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2.xml" ContentType="application/vnd.openxmlformats-officedocument.spreadsheetml.queryTable+xml"/>
  <Override PartName="/xl/tables/table13.xml" ContentType="application/vnd.openxmlformats-officedocument.spreadsheetml.table+xml"/>
  <Override PartName="/xl/queryTables/queryTable3.xml" ContentType="application/vnd.openxmlformats-officedocument.spreadsheetml.queryTable+xml"/>
  <Override PartName="/xl/tables/table14.xml" ContentType="application/vnd.openxmlformats-officedocument.spreadsheetml.table+xml"/>
  <Override PartName="/xl/queryTables/queryTable4.xml" ContentType="application/vnd.openxmlformats-officedocument.spreadsheetml.query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queryTables/queryTable5.xml" ContentType="application/vnd.openxmlformats-officedocument.spreadsheetml.queryTable+xml"/>
  <Override PartName="/xl/tables/table18.xml" ContentType="application/vnd.openxmlformats-officedocument.spreadsheetml.table+xml"/>
  <Override PartName="/xl/queryTables/queryTable6.xml" ContentType="application/vnd.openxmlformats-officedocument.spreadsheetml.queryTable+xml"/>
  <Override PartName="/xl/tables/table19.xml" ContentType="application/vnd.openxmlformats-officedocument.spreadsheetml.table+xml"/>
  <Override PartName="/xl/queryTables/queryTable7.xml" ContentType="application/vnd.openxmlformats-officedocument.spreadsheetml.queryTable+xml"/>
  <Override PartName="/xl/tables/table20.xml" ContentType="application/vnd.openxmlformats-officedocument.spreadsheetml.table+xml"/>
  <Override PartName="/xl/queryTables/queryTable8.xml" ContentType="application/vnd.openxmlformats-officedocument.spreadsheetml.queryTable+xml"/>
  <Override PartName="/xl/tables/table21.xml" ContentType="application/vnd.openxmlformats-officedocument.spreadsheetml.table+xml"/>
  <Override PartName="/xl/queryTables/queryTable9.xml" ContentType="application/vnd.openxmlformats-officedocument.spreadsheetml.queryTable+xml"/>
  <Override PartName="/xl/tables/table22.xml" ContentType="application/vnd.openxmlformats-officedocument.spreadsheetml.table+xml"/>
  <Override PartName="/xl/tables/table23.xml" ContentType="application/vnd.openxmlformats-officedocument.spreadsheetml.table+xml"/>
  <Override PartName="/xl/queryTables/queryTable10.xml" ContentType="application/vnd.openxmlformats-officedocument.spreadsheetml.queryTable+xml"/>
  <Override PartName="/xl/tables/table24.xml" ContentType="application/vnd.openxmlformats-officedocument.spreadsheetml.table+xml"/>
  <Override PartName="/xl/queryTables/queryTable11.xml" ContentType="application/vnd.openxmlformats-officedocument.spreadsheetml.queryTable+xml"/>
  <Override PartName="/xl/tables/table25.xml" ContentType="application/vnd.openxmlformats-officedocument.spreadsheetml.table+xml"/>
  <Override PartName="/xl/queryTables/queryTable12.xml" ContentType="application/vnd.openxmlformats-officedocument.spreadsheetml.queryTable+xml"/>
  <Override PartName="/xl/tables/table26.xml" ContentType="application/vnd.openxmlformats-officedocument.spreadsheetml.table+xml"/>
  <Override PartName="/xl/queryTables/queryTable13.xml" ContentType="application/vnd.openxmlformats-officedocument.spreadsheetml.queryTable+xml"/>
  <Override PartName="/xl/tables/table27.xml" ContentType="application/vnd.openxmlformats-officedocument.spreadsheetml.table+xml"/>
  <Override PartName="/xl/queryTables/queryTable14.xml" ContentType="application/vnd.openxmlformats-officedocument.spreadsheetml.queryTable+xml"/>
  <Override PartName="/xl/tables/table28.xml" ContentType="application/vnd.openxmlformats-officedocument.spreadsheetml.table+xml"/>
  <Override PartName="/xl/queryTables/queryTable15.xml" ContentType="application/vnd.openxmlformats-officedocument.spreadsheetml.queryTable+xml"/>
  <Override PartName="/xl/tables/table29.xml" ContentType="application/vnd.openxmlformats-officedocument.spreadsheetml.table+xml"/>
  <Override PartName="/xl/queryTables/queryTable16.xml" ContentType="application/vnd.openxmlformats-officedocument.spreadsheetml.queryTable+xml"/>
  <Override PartName="/xl/tables/table30.xml" ContentType="application/vnd.openxmlformats-officedocument.spreadsheetml.table+xml"/>
  <Override PartName="/xl/queryTables/queryTable17.xml" ContentType="application/vnd.openxmlformats-officedocument.spreadsheetml.queryTable+xml"/>
  <Override PartName="/xl/tables/table31.xml" ContentType="application/vnd.openxmlformats-officedocument.spreadsheetml.table+xml"/>
  <Override PartName="/xl/queryTables/queryTable18.xml" ContentType="application/vnd.openxmlformats-officedocument.spreadsheetml.queryTable+xml"/>
  <Override PartName="/xl/tables/table32.xml" ContentType="application/vnd.openxmlformats-officedocument.spreadsheetml.table+xml"/>
  <Override PartName="/xl/queryTables/queryTable19.xml" ContentType="application/vnd.openxmlformats-officedocument.spreadsheetml.queryTable+xml"/>
  <Override PartName="/xl/tables/table33.xml" ContentType="application/vnd.openxmlformats-officedocument.spreadsheetml.table+xml"/>
  <Override PartName="/xl/queryTables/queryTable20.xml" ContentType="application/vnd.openxmlformats-officedocument.spreadsheetml.queryTable+xml"/>
  <Override PartName="/xl/tables/table34.xml" ContentType="application/vnd.openxmlformats-officedocument.spreadsheetml.table+xml"/>
  <Override PartName="/xl/queryTables/queryTable21.xml" ContentType="application/vnd.openxmlformats-officedocument.spreadsheetml.queryTable+xml"/>
  <Override PartName="/xl/tables/table35.xml" ContentType="application/vnd.openxmlformats-officedocument.spreadsheetml.table+xml"/>
  <Override PartName="/xl/queryTables/queryTable22.xml" ContentType="application/vnd.openxmlformats-officedocument.spreadsheetml.queryTable+xml"/>
  <Override PartName="/xl/tables/table36.xml" ContentType="application/vnd.openxmlformats-officedocument.spreadsheetml.table+xml"/>
  <Override PartName="/xl/queryTables/queryTable23.xml" ContentType="application/vnd.openxmlformats-officedocument.spreadsheetml.query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2" codeName="{6A26FB3C-EA34-E94E-B44F-155022A03E17}"/>
  <workbookPr codeName="ThisWorkbook"/>
  <mc:AlternateContent xmlns:mc="http://schemas.openxmlformats.org/markup-compatibility/2006">
    <mc:Choice Requires="x15">
      <x15ac:absPath xmlns:x15ac="http://schemas.microsoft.com/office/spreadsheetml/2010/11/ac" url="/Users/didac/Downloads/StoryMac/DashBTracker/"/>
    </mc:Choice>
  </mc:AlternateContent>
  <xr:revisionPtr revIDLastSave="0" documentId="13_ncr:1_{CB3A0F22-760E-184C-83E1-F5D219D686C1}" xr6:coauthVersionLast="47" xr6:coauthVersionMax="47" xr10:uidLastSave="{00000000-0000-0000-0000-000000000000}"/>
  <bookViews>
    <workbookView xWindow="0" yWindow="740" windowWidth="29400" windowHeight="18380" tabRatio="722" activeTab="3" xr2:uid="{EDAD35E9-EC97-4654-B180-E6FDDD7C6CE2}"/>
  </bookViews>
  <sheets>
    <sheet name="StdData" sheetId="58883" r:id="rId1"/>
    <sheet name="InData" sheetId="58853" r:id="rId2"/>
    <sheet name="OutData" sheetId="58858" r:id="rId3"/>
    <sheet name="AsgnBaaN" sheetId="58884" r:id="rId4"/>
    <sheet name="AsgnPpto" sheetId="58885" r:id="rId5"/>
    <sheet name="AsgnPrv" sheetId="58887" r:id="rId6"/>
    <sheet name="Fback" sheetId="5" r:id="rId7"/>
    <sheet name="PPR" sheetId="10" r:id="rId8"/>
    <sheet name="Mods" sheetId="37" r:id="rId9"/>
    <sheet name="Desv" sheetId="58837" r:id="rId10"/>
    <sheet name="EcoS" sheetId="33" r:id="rId11"/>
    <sheet name="PLAN" sheetId="58839" r:id="rId12"/>
  </sheets>
  <functionGroups builtInGroupCount="19"/>
  <definedNames>
    <definedName name="_xlnm._FilterDatabase" localSheetId="3" hidden="1">AsgnBaaN!$EA$3:$EC$173</definedName>
    <definedName name="_xlnm._FilterDatabase" localSheetId="6" hidden="1">Fback!$B$4:$Y$295</definedName>
    <definedName name="_xlnm._FilterDatabase" localSheetId="1" hidden="1">InData!#REF!</definedName>
    <definedName name="_xlnm._FilterDatabase" localSheetId="8" hidden="1">Mods!$B$5:$AP$51</definedName>
    <definedName name="_xlnm._FilterDatabase" localSheetId="7" hidden="1">PPR!$C$114:$AS$315</definedName>
    <definedName name="_xleta.INDEX" hidden="1" xlm="1">#NAME?</definedName>
    <definedName name="_xleta.MATCH" hidden="1" xlm="1">#NAME?</definedName>
    <definedName name="_xleta.ROW" hidden="1" xlm="1">#NAME?</definedName>
    <definedName name="_xlpm.v" hidden="1" xlm="1">#NAME?</definedName>
    <definedName name="_xlpm.w" hidden="1" xlm="1">#NAME?</definedName>
    <definedName name="_xlpm.x" hidden="1" xlm="1">#NAME?</definedName>
    <definedName name="_xlpm.y" hidden="1" xlm="1">#NAME?</definedName>
    <definedName name="_xlpm.yA" hidden="1" xlm="1">#NAME?</definedName>
    <definedName name="_xlpm.yB" hidden="1" xlm="1">#NAME?</definedName>
    <definedName name="_xlpm.yC" hidden="1" xlm="1">#NAME?</definedName>
    <definedName name="_xlpm.yD" hidden="1" xlm="1">#NAME?</definedName>
    <definedName name="_xlpm.yE" hidden="1" xlm="1">#NAME?</definedName>
    <definedName name="_xlpm.z" hidden="1" xlm="1">#NAME?</definedName>
    <definedName name="ClcVrs">InData!$C$11</definedName>
    <definedName name="CtkVrs">InData!$C$10</definedName>
    <definedName name="ExternalData_1" localSheetId="1" hidden="1">InData!$AC$2:$AD$10</definedName>
    <definedName name="ExternalData_1" localSheetId="2" hidden="1">OutData!$DJ$2:$DP$45</definedName>
    <definedName name="ExternalData_10" localSheetId="2" hidden="1">OutData!#REF!</definedName>
    <definedName name="ExternalData_11" localSheetId="2" hidden="1">OutData!$BS$2:$CC$37</definedName>
    <definedName name="ExternalData_12" localSheetId="2" hidden="1">OutData!$I$2:$K$530</definedName>
    <definedName name="ExternalData_13" localSheetId="2" hidden="1">OutData!$N$2:$AF$15</definedName>
    <definedName name="ExternalData_14" localSheetId="2" hidden="1">OutData!#REF!</definedName>
    <definedName name="ExternalData_15" localSheetId="2" hidden="1">OutData!#REF!</definedName>
    <definedName name="ExternalData_16" localSheetId="2" hidden="1">OutData!#REF!</definedName>
    <definedName name="ExternalData_18" localSheetId="1" hidden="1">InData!$AG$2:$AG$3</definedName>
    <definedName name="ExternalData_19" localSheetId="1" hidden="1">InData!#REF!</definedName>
    <definedName name="ExternalData_2" localSheetId="2" hidden="1">OutData!#REF!</definedName>
    <definedName name="ExternalData_20" localSheetId="2" hidden="1">OutData!$AI$2:$AO$4530</definedName>
    <definedName name="ExternalData_21" localSheetId="2" hidden="1">OutData!#REF!</definedName>
    <definedName name="ExternalData_23" localSheetId="2" hidden="1">OutData!$DZ$2:$EL$158</definedName>
    <definedName name="ExternalData_24" localSheetId="2" hidden="1">OutData!#REF!</definedName>
    <definedName name="ExternalData_25" localSheetId="2" hidden="1">OutData!#REF!</definedName>
    <definedName name="ExternalData_27" localSheetId="2" hidden="1">OutData!#REF!</definedName>
    <definedName name="ExternalData_28" localSheetId="2" hidden="1">OutData!#REF!</definedName>
    <definedName name="ExternalData_29" localSheetId="2" hidden="1">OutData!#REF!</definedName>
    <definedName name="ExternalData_3" localSheetId="2" hidden="1">OutData!$DS$2:$DW$6</definedName>
    <definedName name="ExternalData_30" localSheetId="1" hidden="1">InData!$AZ$2:$BB$14</definedName>
    <definedName name="ExternalData_31" localSheetId="2" hidden="1">OutData!$CF$2:$CS$69</definedName>
    <definedName name="ExternalData_33" localSheetId="1" hidden="1">InData!$AJ$2:$AL$6</definedName>
    <definedName name="ExternalData_35" localSheetId="1" hidden="1">InData!#REF!</definedName>
    <definedName name="ExternalData_35" localSheetId="2" hidden="1">OutData!#REF!</definedName>
    <definedName name="ExternalData_36" localSheetId="2" hidden="1">OutData!#REF!</definedName>
    <definedName name="ExternalData_37" localSheetId="2" hidden="1">OutData!$CV$2:$CZ$267</definedName>
    <definedName name="ExternalData_38" localSheetId="2" hidden="1">OutData!$DC$2:$DG$135</definedName>
    <definedName name="ExternalData_4" localSheetId="1" hidden="1">InData!#REF!</definedName>
    <definedName name="ExternalData_4" localSheetId="2" hidden="1">OutData!$AT$2:$BP$990</definedName>
    <definedName name="ExternalData_40" localSheetId="1" hidden="1">InData!$S$2:$Z$5</definedName>
    <definedName name="ExternalData_41" localSheetId="1" hidden="1">InData!$BK$2:$BO$10</definedName>
    <definedName name="ExternalData_41" localSheetId="2" hidden="1">OutData!#REF!</definedName>
    <definedName name="ExternalData_42" localSheetId="1" hidden="1">InData!$BE$2:$BH$63</definedName>
    <definedName name="ExternalData_42" localSheetId="2" hidden="1">OutData!#REF!</definedName>
    <definedName name="ExternalData_43" localSheetId="1" hidden="1">InData!$BR$2:$BT$4</definedName>
    <definedName name="ExternalData_43" localSheetId="2" hidden="1">OutData!#REF!</definedName>
    <definedName name="ExternalData_45" localSheetId="2" hidden="1">OutData!$EP$2:$EV$456</definedName>
    <definedName name="ExternalData_45" localSheetId="0" hidden="1">StdData!$BP$2:$BQ$7</definedName>
    <definedName name="ExternalData_46" localSheetId="2" hidden="1">OutData!$EY$2:$EZ$19</definedName>
    <definedName name="ExternalData_5" localSheetId="2" hidden="1">OutData!#REF!</definedName>
    <definedName name="ExternalData_7" localSheetId="2" hidden="1">OutData!$D$2:$F$181</definedName>
    <definedName name="ExternalData_9" localSheetId="2" hidden="1">OutData!#REF!</definedName>
    <definedName name="GphTch">INDIRECT(#REF!)</definedName>
    <definedName name="LngS">InData!$C$4</definedName>
    <definedName name="LupVrs">InData!$C$13</definedName>
    <definedName name="LvE">InData!#REF!</definedName>
    <definedName name="MeSel">PPR!$E$4</definedName>
    <definedName name="OsyS">InData!$C$3</definedName>
    <definedName name="PckVrs">InData!$C$14</definedName>
    <definedName name="Prj0_Id">InData!$C$24</definedName>
    <definedName name="Prj1_Id">InData!$C$25</definedName>
    <definedName name="Prj2_Id">InData!$C$26</definedName>
    <definedName name="PrjX_Id">InData!$G$3:$G$13</definedName>
    <definedName name="PrSel">PPR!$C$4</definedName>
    <definedName name="Pth">InData!$C$2</definedName>
    <definedName name="PtsVrs">InData!$C$12</definedName>
    <definedName name="TchVrs">InData!$C$9</definedName>
    <definedName name="Vrs">InData!$C$7</definedName>
    <definedName name="XplVrs">InData!$C$8</definedName>
  </definedNames>
  <calcPr calcId="191029" calcMode="manual"/>
  <customWorkbookViews>
    <customWorkbookView name="JSOLDEVI - Personal View" guid="{A6A3454B-DDBC-4A33-99EC-1DC9146C3DAD}" mergeInterval="0" personalView="1" maximized="1" windowWidth="1020" windowHeight="554" activeSheetId="3"/>
  </customWorkbookViews>
  <extLst>
    <ext xmlns:x15="http://schemas.microsoft.com/office/spreadsheetml/2010/11/main" uri="{FCE2AD5D-F65C-4FA6-A056-5C36A1767C68}">
      <x15:dataModel>
        <x15:modelTables>
          <x15:modelTable id="AsgCst4_39468313-d821-4b33-a03a-88d1a5ca6ddb" name="AsgCst4" connection="Query - DetailsCst1"/>
          <x15:modelTable id="DetailsCst0_c9c31e09-63bc-42dd-9789-59388097b7c1" name="DetailsCst0" connection="Query - DetailsCst0"/>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6" i="58853" l="1" a="1"/>
  <c r="M6" i="58853" s="1"/>
  <c r="N6" i="58853" a="1"/>
  <c r="N6" i="58853" s="1"/>
  <c r="O6" i="58853" a="1"/>
  <c r="O6" i="58853" s="1"/>
  <c r="P6" i="58853" a="1"/>
  <c r="P6" i="58853" s="1"/>
  <c r="K2" i="58853" a="1"/>
  <c r="K2" i="58853" s="1"/>
  <c r="K6" i="58853" s="1" a="1"/>
  <c r="K6" i="58853" s="1"/>
  <c r="AD3" i="58885"/>
  <c r="AD2" i="58885"/>
  <c r="BB56" i="58839"/>
  <c r="B56" i="58839"/>
  <c r="DA46" i="58839"/>
  <c r="CZ46" i="58839"/>
  <c r="CY46" i="58839"/>
  <c r="CX46" i="58839"/>
  <c r="CW46" i="58839"/>
  <c r="CV46" i="58839"/>
  <c r="CU46" i="58839"/>
  <c r="CT46" i="58839"/>
  <c r="CS46" i="58839"/>
  <c r="CR46" i="58839"/>
  <c r="CQ46" i="58839"/>
  <c r="CP46" i="58839"/>
  <c r="CO46" i="58839"/>
  <c r="CN46" i="58839"/>
  <c r="CM46" i="58839"/>
  <c r="CL46" i="58839"/>
  <c r="CK46" i="58839"/>
  <c r="CJ46" i="58839"/>
  <c r="CI46" i="58839"/>
  <c r="CH46" i="58839"/>
  <c r="CG46" i="58839"/>
  <c r="CF46" i="58839"/>
  <c r="CE46" i="58839"/>
  <c r="CD46" i="58839"/>
  <c r="CC46" i="58839"/>
  <c r="CB46" i="58839"/>
  <c r="CA46" i="58839"/>
  <c r="BZ46" i="58839"/>
  <c r="BY46" i="58839"/>
  <c r="BX46" i="58839"/>
  <c r="BW46" i="58839"/>
  <c r="BV46" i="58839"/>
  <c r="BU46" i="58839"/>
  <c r="BT46" i="58839"/>
  <c r="BS46" i="58839"/>
  <c r="BR46" i="58839"/>
  <c r="BQ46" i="58839"/>
  <c r="BP46" i="58839"/>
  <c r="BO46" i="58839"/>
  <c r="BN46" i="58839"/>
  <c r="BM46" i="58839"/>
  <c r="BL46" i="58839"/>
  <c r="BK46" i="58839"/>
  <c r="BJ46" i="58839"/>
  <c r="BI46" i="58839"/>
  <c r="BH46" i="58839"/>
  <c r="BG46" i="58839"/>
  <c r="BF46" i="58839"/>
  <c r="BE46" i="58839"/>
  <c r="BD46" i="58839"/>
  <c r="BC46" i="58839"/>
  <c r="BB46" i="58839"/>
  <c r="BA46" i="58839"/>
  <c r="AZ46" i="58839"/>
  <c r="AY46" i="58839"/>
  <c r="AX46" i="58839"/>
  <c r="AW46" i="58839"/>
  <c r="AV46" i="58839"/>
  <c r="AU46" i="58839"/>
  <c r="AT46" i="58839"/>
  <c r="AS46" i="58839"/>
  <c r="AR46" i="58839"/>
  <c r="AQ46" i="58839"/>
  <c r="AP46" i="58839"/>
  <c r="AO46" i="58839"/>
  <c r="AN46" i="58839"/>
  <c r="AM46" i="58839"/>
  <c r="AL46" i="58839"/>
  <c r="AK46" i="58839"/>
  <c r="AJ46" i="58839"/>
  <c r="AI46" i="58839"/>
  <c r="AH46" i="58839"/>
  <c r="AG46" i="58839"/>
  <c r="AF46" i="58839"/>
  <c r="AE46" i="58839"/>
  <c r="AD46" i="58839"/>
  <c r="AC46" i="58839"/>
  <c r="AB46" i="58839"/>
  <c r="AA46" i="58839"/>
  <c r="Z46" i="58839"/>
  <c r="Y46" i="58839"/>
  <c r="X46" i="58839"/>
  <c r="W46" i="58839"/>
  <c r="V46" i="58839"/>
  <c r="U46" i="58839"/>
  <c r="T46" i="58839"/>
  <c r="S46" i="58839"/>
  <c r="R46" i="58839"/>
  <c r="Q46" i="58839"/>
  <c r="P46" i="58839"/>
  <c r="O46" i="58839"/>
  <c r="N46" i="58839"/>
  <c r="M46" i="58839"/>
  <c r="L46" i="58839"/>
  <c r="K46" i="58839"/>
  <c r="J46" i="58839"/>
  <c r="I46" i="58839"/>
  <c r="H46" i="58839"/>
  <c r="G46" i="58839"/>
  <c r="F46" i="58839"/>
  <c r="E46" i="58839"/>
  <c r="D46" i="58839"/>
  <c r="C46" i="58839"/>
  <c r="B46" i="58839"/>
  <c r="DA39" i="58839"/>
  <c r="CZ39" i="58839"/>
  <c r="CY39" i="58839"/>
  <c r="CX39" i="58839"/>
  <c r="CW39" i="58839"/>
  <c r="CV39" i="58839"/>
  <c r="CU39" i="58839"/>
  <c r="CT39" i="58839"/>
  <c r="CS39" i="58839"/>
  <c r="CR39" i="58839"/>
  <c r="CQ39" i="58839"/>
  <c r="CP39" i="58839"/>
  <c r="CO39" i="58839"/>
  <c r="CN39" i="58839"/>
  <c r="CM39" i="58839"/>
  <c r="CL39" i="58839"/>
  <c r="CK39" i="58839"/>
  <c r="CJ39" i="58839"/>
  <c r="CI39" i="58839"/>
  <c r="CH39" i="58839"/>
  <c r="CG39" i="58839"/>
  <c r="CF39" i="58839"/>
  <c r="CE39" i="58839"/>
  <c r="CD39" i="58839"/>
  <c r="CC39" i="58839"/>
  <c r="CB39" i="58839"/>
  <c r="CA39" i="58839"/>
  <c r="BZ39" i="58839"/>
  <c r="BY39" i="58839"/>
  <c r="BX39" i="58839"/>
  <c r="BW39" i="58839"/>
  <c r="BV39" i="58839"/>
  <c r="BU39" i="58839"/>
  <c r="BT39" i="58839"/>
  <c r="BS39" i="58839"/>
  <c r="BR39" i="58839"/>
  <c r="BQ39" i="58839"/>
  <c r="BP39" i="58839"/>
  <c r="BO39" i="58839"/>
  <c r="BN39" i="58839"/>
  <c r="BM39" i="58839"/>
  <c r="BL39" i="58839"/>
  <c r="BK39" i="58839"/>
  <c r="BJ39" i="58839"/>
  <c r="BI39" i="58839"/>
  <c r="BH39" i="58839"/>
  <c r="BG39" i="58839"/>
  <c r="BF39" i="58839"/>
  <c r="BE39" i="58839"/>
  <c r="BD39" i="58839"/>
  <c r="BC39" i="58839"/>
  <c r="BB39" i="58839"/>
  <c r="BA39" i="58839"/>
  <c r="AZ39" i="58839"/>
  <c r="AY39" i="58839"/>
  <c r="AX39" i="58839"/>
  <c r="AW39" i="58839"/>
  <c r="AV39" i="58839"/>
  <c r="AU39" i="58839"/>
  <c r="AT39" i="58839"/>
  <c r="AS39" i="58839"/>
  <c r="AR39" i="58839"/>
  <c r="AQ39" i="58839"/>
  <c r="AP39" i="58839"/>
  <c r="AO39" i="58839"/>
  <c r="AN39" i="58839"/>
  <c r="AM39" i="58839"/>
  <c r="AL39" i="58839"/>
  <c r="AK39" i="58839"/>
  <c r="AJ39" i="58839"/>
  <c r="AI39" i="58839"/>
  <c r="AH39" i="58839"/>
  <c r="AG39" i="58839"/>
  <c r="AF39" i="58839"/>
  <c r="AE39" i="58839"/>
  <c r="AD39" i="58839"/>
  <c r="AC39" i="58839"/>
  <c r="AB39" i="58839"/>
  <c r="AA39" i="58839"/>
  <c r="Z39" i="58839"/>
  <c r="Y39" i="58839"/>
  <c r="X39" i="58839"/>
  <c r="W39" i="58839"/>
  <c r="V39" i="58839"/>
  <c r="U39" i="58839"/>
  <c r="T39" i="58839"/>
  <c r="S39" i="58839"/>
  <c r="R39" i="58839"/>
  <c r="Q39" i="58839"/>
  <c r="P39" i="58839"/>
  <c r="O39" i="58839"/>
  <c r="N39" i="58839"/>
  <c r="M39" i="58839"/>
  <c r="L39" i="58839"/>
  <c r="K39" i="58839"/>
  <c r="J39" i="58839"/>
  <c r="I39" i="58839"/>
  <c r="H39" i="58839"/>
  <c r="G39" i="58839"/>
  <c r="F39" i="58839"/>
  <c r="E39" i="58839"/>
  <c r="D39" i="58839"/>
  <c r="C39" i="58839"/>
  <c r="B39" i="58839"/>
  <c r="DA34" i="58839"/>
  <c r="CZ34" i="58839"/>
  <c r="CY34" i="58839"/>
  <c r="CX34" i="58839"/>
  <c r="CW34" i="58839"/>
  <c r="CV34" i="58839"/>
  <c r="CU34" i="58839"/>
  <c r="CT34" i="58839"/>
  <c r="CS34" i="58839"/>
  <c r="CR34" i="58839"/>
  <c r="CQ34" i="58839"/>
  <c r="CP34" i="58839"/>
  <c r="CO34" i="58839"/>
  <c r="CN34" i="58839"/>
  <c r="CM34" i="58839"/>
  <c r="CL34" i="58839"/>
  <c r="CK34" i="58839"/>
  <c r="CJ34" i="58839"/>
  <c r="CI34" i="58839"/>
  <c r="CH34" i="58839"/>
  <c r="CG34" i="58839"/>
  <c r="CF34" i="58839"/>
  <c r="CE34" i="58839"/>
  <c r="CD34" i="58839"/>
  <c r="CC34" i="58839"/>
  <c r="CB34" i="58839"/>
  <c r="CA34" i="58839"/>
  <c r="BZ34" i="58839"/>
  <c r="BY34" i="58839"/>
  <c r="BX34" i="58839"/>
  <c r="BW34" i="58839"/>
  <c r="BV34" i="58839"/>
  <c r="BU34" i="58839"/>
  <c r="BT34" i="58839"/>
  <c r="BS34" i="58839"/>
  <c r="BR34" i="58839"/>
  <c r="BQ34" i="58839"/>
  <c r="BP34" i="58839"/>
  <c r="BO34" i="58839"/>
  <c r="BN34" i="58839"/>
  <c r="BM34" i="58839"/>
  <c r="BL34" i="58839"/>
  <c r="BK34" i="58839"/>
  <c r="BJ34" i="58839"/>
  <c r="BI34" i="58839"/>
  <c r="BH34" i="58839"/>
  <c r="BG34" i="58839"/>
  <c r="BF34" i="58839"/>
  <c r="BE34" i="58839"/>
  <c r="BD34" i="58839"/>
  <c r="BC34" i="58839"/>
  <c r="BB34" i="58839"/>
  <c r="BA34" i="58839"/>
  <c r="AZ34" i="58839"/>
  <c r="AY34" i="58839"/>
  <c r="AX34" i="58839"/>
  <c r="AW34" i="58839"/>
  <c r="AV34" i="58839"/>
  <c r="AU34" i="58839"/>
  <c r="AT34" i="58839"/>
  <c r="AS34" i="58839"/>
  <c r="AR34" i="58839"/>
  <c r="AQ34" i="58839"/>
  <c r="AP34" i="58839"/>
  <c r="AO34" i="58839"/>
  <c r="AN34" i="58839"/>
  <c r="AM34" i="58839"/>
  <c r="AL34" i="58839"/>
  <c r="AK34" i="58839"/>
  <c r="AJ34" i="58839"/>
  <c r="AI34" i="58839"/>
  <c r="AH34" i="58839"/>
  <c r="AG34" i="58839"/>
  <c r="AF34" i="58839"/>
  <c r="AE34" i="58839"/>
  <c r="AD34" i="58839"/>
  <c r="AC34" i="58839"/>
  <c r="AB34" i="58839"/>
  <c r="AA34" i="58839"/>
  <c r="Z34" i="58839"/>
  <c r="Y34" i="58839"/>
  <c r="X34" i="58839"/>
  <c r="W34" i="58839"/>
  <c r="V34" i="58839"/>
  <c r="U34" i="58839"/>
  <c r="T34" i="58839"/>
  <c r="S34" i="58839"/>
  <c r="R34" i="58839"/>
  <c r="Q34" i="58839"/>
  <c r="P34" i="58839"/>
  <c r="O34" i="58839"/>
  <c r="N34" i="58839"/>
  <c r="M34" i="58839"/>
  <c r="L34" i="58839"/>
  <c r="K34" i="58839"/>
  <c r="J34" i="58839"/>
  <c r="I34" i="58839"/>
  <c r="H34" i="58839"/>
  <c r="G34" i="58839"/>
  <c r="F34" i="58839"/>
  <c r="E34" i="58839"/>
  <c r="D34" i="58839"/>
  <c r="C34" i="58839"/>
  <c r="B34" i="58839"/>
  <c r="DA29" i="58839"/>
  <c r="CZ29" i="58839"/>
  <c r="CY29" i="58839"/>
  <c r="CX29" i="58839"/>
  <c r="CW29" i="58839"/>
  <c r="CV29" i="58839"/>
  <c r="CU29" i="58839"/>
  <c r="CT29" i="58839"/>
  <c r="CS29" i="58839"/>
  <c r="CR29" i="58839"/>
  <c r="CQ29" i="58839"/>
  <c r="CP29" i="58839"/>
  <c r="CO29" i="58839"/>
  <c r="CN29" i="58839"/>
  <c r="CM29" i="58839"/>
  <c r="CL29" i="58839"/>
  <c r="CK29" i="58839"/>
  <c r="CJ29" i="58839"/>
  <c r="CI29" i="58839"/>
  <c r="CH29" i="58839"/>
  <c r="CG29" i="58839"/>
  <c r="CF29" i="58839"/>
  <c r="CE29" i="58839"/>
  <c r="CD29" i="58839"/>
  <c r="CC29" i="58839"/>
  <c r="CB29" i="58839"/>
  <c r="CA29" i="58839"/>
  <c r="BZ29" i="58839"/>
  <c r="BY29" i="58839"/>
  <c r="BX29" i="58839"/>
  <c r="BW29" i="58839"/>
  <c r="BV29" i="58839"/>
  <c r="BU29" i="58839"/>
  <c r="BT29" i="58839"/>
  <c r="BS29" i="58839"/>
  <c r="BR29" i="58839"/>
  <c r="BQ29" i="58839"/>
  <c r="BP29" i="58839"/>
  <c r="BO29" i="58839"/>
  <c r="BN29" i="58839"/>
  <c r="BM29" i="58839"/>
  <c r="BL29" i="58839"/>
  <c r="BK29" i="58839"/>
  <c r="BJ29" i="58839"/>
  <c r="BI29" i="58839"/>
  <c r="BH29" i="58839"/>
  <c r="BG29" i="58839"/>
  <c r="BF29" i="58839"/>
  <c r="BE29" i="58839"/>
  <c r="BD29" i="58839"/>
  <c r="BC29" i="58839"/>
  <c r="BB29" i="58839"/>
  <c r="BA29" i="58839"/>
  <c r="AZ29" i="58839"/>
  <c r="AY29" i="58839"/>
  <c r="AX29" i="58839"/>
  <c r="AW29" i="58839"/>
  <c r="AV29" i="58839"/>
  <c r="AU29" i="58839"/>
  <c r="AT29" i="58839"/>
  <c r="AS29" i="58839"/>
  <c r="AR29" i="58839"/>
  <c r="AQ29" i="58839"/>
  <c r="AP29" i="58839"/>
  <c r="AO29" i="58839"/>
  <c r="AN29" i="58839"/>
  <c r="AM29" i="58839"/>
  <c r="AL29" i="58839"/>
  <c r="AK29" i="58839"/>
  <c r="AJ29" i="58839"/>
  <c r="AI29" i="58839"/>
  <c r="AH29" i="58839"/>
  <c r="AG29" i="58839"/>
  <c r="AF29" i="58839"/>
  <c r="AE29" i="58839"/>
  <c r="AD29" i="58839"/>
  <c r="AC29" i="58839"/>
  <c r="AB29" i="58839"/>
  <c r="AA29" i="58839"/>
  <c r="Z29" i="58839"/>
  <c r="Y29" i="58839"/>
  <c r="X29" i="58839"/>
  <c r="W29" i="58839"/>
  <c r="V29" i="58839"/>
  <c r="U29" i="58839"/>
  <c r="T29" i="58839"/>
  <c r="S29" i="58839"/>
  <c r="R29" i="58839"/>
  <c r="Q29" i="58839"/>
  <c r="P29" i="58839"/>
  <c r="O29" i="58839"/>
  <c r="N29" i="58839"/>
  <c r="M29" i="58839"/>
  <c r="L29" i="58839"/>
  <c r="K29" i="58839"/>
  <c r="J29" i="58839"/>
  <c r="I29" i="58839"/>
  <c r="H29" i="58839"/>
  <c r="G29" i="58839"/>
  <c r="F29" i="58839"/>
  <c r="E29" i="58839"/>
  <c r="D29" i="58839"/>
  <c r="C29" i="58839"/>
  <c r="B29" i="58839"/>
  <c r="DA21" i="58839"/>
  <c r="CZ21" i="58839"/>
  <c r="CY21" i="58839"/>
  <c r="CX21" i="58839"/>
  <c r="CW21" i="58839"/>
  <c r="CV21" i="58839"/>
  <c r="CU21" i="58839"/>
  <c r="CT21" i="58839"/>
  <c r="CS21" i="58839"/>
  <c r="CR21" i="58839"/>
  <c r="CQ21" i="58839"/>
  <c r="CP21" i="58839"/>
  <c r="CO21" i="58839"/>
  <c r="CN21" i="58839"/>
  <c r="CM21" i="58839"/>
  <c r="CL21" i="58839"/>
  <c r="CK21" i="58839"/>
  <c r="CJ21" i="58839"/>
  <c r="CI21" i="58839"/>
  <c r="CH21" i="58839"/>
  <c r="CG21" i="58839"/>
  <c r="CF21" i="58839"/>
  <c r="CE21" i="58839"/>
  <c r="CD21" i="58839"/>
  <c r="CC21" i="58839"/>
  <c r="CB21" i="58839"/>
  <c r="CA21" i="58839"/>
  <c r="BZ21" i="58839"/>
  <c r="BY21" i="58839"/>
  <c r="BX21" i="58839"/>
  <c r="BW21" i="58839"/>
  <c r="BV21" i="58839"/>
  <c r="BU21" i="58839"/>
  <c r="BT21" i="58839"/>
  <c r="BS21" i="58839"/>
  <c r="BR21" i="58839"/>
  <c r="BQ21" i="58839"/>
  <c r="BP21" i="58839"/>
  <c r="BO21" i="58839"/>
  <c r="BN21" i="58839"/>
  <c r="BM21" i="58839"/>
  <c r="BL21" i="58839"/>
  <c r="BK21" i="58839"/>
  <c r="BJ21" i="58839"/>
  <c r="BI21" i="58839"/>
  <c r="BH21" i="58839"/>
  <c r="BG21" i="58839"/>
  <c r="BF21" i="58839"/>
  <c r="BE21" i="58839"/>
  <c r="BD21" i="58839"/>
  <c r="BC21" i="58839"/>
  <c r="BB21" i="58839"/>
  <c r="BA21" i="58839"/>
  <c r="AZ21" i="58839"/>
  <c r="AY21" i="58839"/>
  <c r="AX21" i="58839"/>
  <c r="AW21" i="58839"/>
  <c r="AV21" i="58839"/>
  <c r="AU21" i="58839"/>
  <c r="AT21" i="58839"/>
  <c r="AS21" i="58839"/>
  <c r="AR21" i="58839"/>
  <c r="AQ21" i="58839"/>
  <c r="AP21" i="58839"/>
  <c r="AO21" i="58839"/>
  <c r="AN21" i="58839"/>
  <c r="AM21" i="58839"/>
  <c r="AL21" i="58839"/>
  <c r="AK21" i="58839"/>
  <c r="AJ21" i="58839"/>
  <c r="AI21" i="58839"/>
  <c r="AH21" i="58839"/>
  <c r="AG21" i="58839"/>
  <c r="AF21" i="58839"/>
  <c r="AE21" i="58839"/>
  <c r="AD21" i="58839"/>
  <c r="AC21" i="58839"/>
  <c r="AB21" i="58839"/>
  <c r="AA21" i="58839"/>
  <c r="Z21" i="58839"/>
  <c r="Y21" i="58839"/>
  <c r="X21" i="58839"/>
  <c r="W21" i="58839"/>
  <c r="V21" i="58839"/>
  <c r="U21" i="58839"/>
  <c r="T21" i="58839"/>
  <c r="S21" i="58839"/>
  <c r="R21" i="58839"/>
  <c r="Q21" i="58839"/>
  <c r="P21" i="58839"/>
  <c r="O21" i="58839"/>
  <c r="N21" i="58839"/>
  <c r="M21" i="58839"/>
  <c r="L21" i="58839"/>
  <c r="K21" i="58839"/>
  <c r="J21" i="58839"/>
  <c r="I21" i="58839"/>
  <c r="H21" i="58839"/>
  <c r="G21" i="58839"/>
  <c r="F21" i="58839"/>
  <c r="E21" i="58839"/>
  <c r="D21" i="58839"/>
  <c r="C21" i="58839"/>
  <c r="B21" i="58839"/>
  <c r="DA7" i="58839"/>
  <c r="DA53" i="58839" s="1"/>
  <c r="CZ7" i="58839"/>
  <c r="CZ53" i="58839" s="1"/>
  <c r="CY7" i="58839"/>
  <c r="CY53" i="58839" s="1"/>
  <c r="CX7" i="58839"/>
  <c r="CX53" i="58839" s="1"/>
  <c r="CW7" i="58839"/>
  <c r="CW53" i="58839" s="1"/>
  <c r="CV7" i="58839"/>
  <c r="CV53" i="58839" s="1"/>
  <c r="CU7" i="58839"/>
  <c r="CU53" i="58839" s="1"/>
  <c r="CT7" i="58839"/>
  <c r="CT53" i="58839" s="1"/>
  <c r="CS7" i="58839"/>
  <c r="CS53" i="58839" s="1"/>
  <c r="CR7" i="58839"/>
  <c r="CR53" i="58839" s="1"/>
  <c r="CQ7" i="58839"/>
  <c r="CQ53" i="58839" s="1"/>
  <c r="CP7" i="58839"/>
  <c r="CP53" i="58839" s="1"/>
  <c r="CO7" i="58839"/>
  <c r="CO53" i="58839" s="1"/>
  <c r="CN7" i="58839"/>
  <c r="CN53" i="58839" s="1"/>
  <c r="CM7" i="58839"/>
  <c r="CM53" i="58839" s="1"/>
  <c r="CL7" i="58839"/>
  <c r="CL53" i="58839" s="1"/>
  <c r="CK7" i="58839"/>
  <c r="CK53" i="58839" s="1"/>
  <c r="CJ7" i="58839"/>
  <c r="CJ53" i="58839" s="1"/>
  <c r="CI7" i="58839"/>
  <c r="CI53" i="58839" s="1"/>
  <c r="CH7" i="58839"/>
  <c r="CH53" i="58839" s="1"/>
  <c r="CG7" i="58839"/>
  <c r="CG53" i="58839" s="1"/>
  <c r="CF7" i="58839"/>
  <c r="CF53" i="58839" s="1"/>
  <c r="CE7" i="58839"/>
  <c r="CE53" i="58839" s="1"/>
  <c r="CD7" i="58839"/>
  <c r="CD53" i="58839" s="1"/>
  <c r="CC7" i="58839"/>
  <c r="CC53" i="58839" s="1"/>
  <c r="CB7" i="58839"/>
  <c r="CB53" i="58839" s="1"/>
  <c r="CA7" i="58839"/>
  <c r="CA53" i="58839" s="1"/>
  <c r="BZ7" i="58839"/>
  <c r="BZ53" i="58839" s="1"/>
  <c r="BY7" i="58839"/>
  <c r="BY53" i="58839" s="1"/>
  <c r="BX7" i="58839"/>
  <c r="BX53" i="58839" s="1"/>
  <c r="BW7" i="58839"/>
  <c r="BW53" i="58839" s="1"/>
  <c r="BV7" i="58839"/>
  <c r="BV53" i="58839" s="1"/>
  <c r="BU7" i="58839"/>
  <c r="BU53" i="58839" s="1"/>
  <c r="BT7" i="58839"/>
  <c r="BT53" i="58839" s="1"/>
  <c r="BS7" i="58839"/>
  <c r="BS53" i="58839" s="1"/>
  <c r="BR7" i="58839"/>
  <c r="BR53" i="58839" s="1"/>
  <c r="BQ7" i="58839"/>
  <c r="BQ53" i="58839" s="1"/>
  <c r="BP7" i="58839"/>
  <c r="BP53" i="58839" s="1"/>
  <c r="BO7" i="58839"/>
  <c r="BO53" i="58839" s="1"/>
  <c r="BN7" i="58839"/>
  <c r="BN53" i="58839" s="1"/>
  <c r="BM7" i="58839"/>
  <c r="BM53" i="58839" s="1"/>
  <c r="BL7" i="58839"/>
  <c r="BL53" i="58839" s="1"/>
  <c r="BK7" i="58839"/>
  <c r="BK53" i="58839" s="1"/>
  <c r="BJ7" i="58839"/>
  <c r="BJ53" i="58839" s="1"/>
  <c r="BI7" i="58839"/>
  <c r="BI53" i="58839" s="1"/>
  <c r="BH7" i="58839"/>
  <c r="BH53" i="58839" s="1"/>
  <c r="BG7" i="58839"/>
  <c r="BG53" i="58839" s="1"/>
  <c r="BF7" i="58839"/>
  <c r="BF53" i="58839" s="1"/>
  <c r="BE7" i="58839"/>
  <c r="BE53" i="58839" s="1"/>
  <c r="BD7" i="58839"/>
  <c r="BD53" i="58839" s="1"/>
  <c r="BC7" i="58839"/>
  <c r="BC53" i="58839" s="1"/>
  <c r="BB7" i="58839"/>
  <c r="BB53" i="58839" s="1"/>
  <c r="BA7" i="58839"/>
  <c r="BA53" i="58839" s="1"/>
  <c r="AZ7" i="58839"/>
  <c r="AZ53" i="58839" s="1"/>
  <c r="AY7" i="58839"/>
  <c r="AY53" i="58839" s="1"/>
  <c r="AX7" i="58839"/>
  <c r="AX53" i="58839" s="1"/>
  <c r="AW7" i="58839"/>
  <c r="AW53" i="58839" s="1"/>
  <c r="AV7" i="58839"/>
  <c r="AV53" i="58839" s="1"/>
  <c r="AU7" i="58839"/>
  <c r="AU53" i="58839" s="1"/>
  <c r="AT7" i="58839"/>
  <c r="AT53" i="58839" s="1"/>
  <c r="AS7" i="58839"/>
  <c r="AS53" i="58839" s="1"/>
  <c r="AR7" i="58839"/>
  <c r="AR53" i="58839" s="1"/>
  <c r="AQ7" i="58839"/>
  <c r="AQ53" i="58839" s="1"/>
  <c r="AP7" i="58839"/>
  <c r="AP53" i="58839" s="1"/>
  <c r="AO7" i="58839"/>
  <c r="AO53" i="58839" s="1"/>
  <c r="AN7" i="58839"/>
  <c r="AN53" i="58839" s="1"/>
  <c r="AM7" i="58839"/>
  <c r="AM53" i="58839" s="1"/>
  <c r="AL7" i="58839"/>
  <c r="AL53" i="58839" s="1"/>
  <c r="AK7" i="58839"/>
  <c r="AK53" i="58839" s="1"/>
  <c r="AJ7" i="58839"/>
  <c r="AJ53" i="58839" s="1"/>
  <c r="AI7" i="58839"/>
  <c r="AI53" i="58839" s="1"/>
  <c r="AH7" i="58839"/>
  <c r="AH53" i="58839" s="1"/>
  <c r="AG7" i="58839"/>
  <c r="AG53" i="58839" s="1"/>
  <c r="AF7" i="58839"/>
  <c r="AF53" i="58839" s="1"/>
  <c r="AE7" i="58839"/>
  <c r="AE53" i="58839" s="1"/>
  <c r="AD7" i="58839"/>
  <c r="AD53" i="58839" s="1"/>
  <c r="AC7" i="58839"/>
  <c r="AC53" i="58839" s="1"/>
  <c r="AB7" i="58839"/>
  <c r="AB53" i="58839" s="1"/>
  <c r="AA7" i="58839"/>
  <c r="AA53" i="58839" s="1"/>
  <c r="Z7" i="58839"/>
  <c r="Z53" i="58839" s="1"/>
  <c r="Y7" i="58839"/>
  <c r="Y53" i="58839" s="1"/>
  <c r="X7" i="58839"/>
  <c r="X53" i="58839" s="1"/>
  <c r="W7" i="58839"/>
  <c r="W53" i="58839" s="1"/>
  <c r="V7" i="58839"/>
  <c r="V53" i="58839" s="1"/>
  <c r="U7" i="58839"/>
  <c r="U53" i="58839" s="1"/>
  <c r="T7" i="58839"/>
  <c r="T53" i="58839" s="1"/>
  <c r="S7" i="58839"/>
  <c r="S53" i="58839" s="1"/>
  <c r="R7" i="58839"/>
  <c r="R53" i="58839" s="1"/>
  <c r="Q7" i="58839"/>
  <c r="Q53" i="58839" s="1"/>
  <c r="P7" i="58839"/>
  <c r="P53" i="58839" s="1"/>
  <c r="O7" i="58839"/>
  <c r="O53" i="58839" s="1"/>
  <c r="N7" i="58839"/>
  <c r="N53" i="58839" s="1"/>
  <c r="M7" i="58839"/>
  <c r="M53" i="58839" s="1"/>
  <c r="L7" i="58839"/>
  <c r="L53" i="58839" s="1"/>
  <c r="K7" i="58839"/>
  <c r="K53" i="58839" s="1"/>
  <c r="J7" i="58839"/>
  <c r="J53" i="58839" s="1"/>
  <c r="I7" i="58839"/>
  <c r="I53" i="58839" s="1"/>
  <c r="H7" i="58839"/>
  <c r="H53" i="58839" s="1"/>
  <c r="G7" i="58839"/>
  <c r="G53" i="58839" s="1"/>
  <c r="F7" i="58839"/>
  <c r="F53" i="58839" s="1"/>
  <c r="E7" i="58839"/>
  <c r="E53" i="58839" s="1"/>
  <c r="D7" i="58839"/>
  <c r="D53" i="58839" s="1"/>
  <c r="C7" i="58839"/>
  <c r="C53" i="58839" s="1"/>
  <c r="B7" i="58839"/>
  <c r="B53" i="58839" s="1"/>
  <c r="B54" i="58839" s="1"/>
  <c r="C6" i="58839"/>
  <c r="D6" i="58839" s="1"/>
  <c r="E6" i="58839" s="1"/>
  <c r="F6" i="58839" s="1"/>
  <c r="G6" i="58839" s="1"/>
  <c r="H6" i="58839" s="1"/>
  <c r="I6" i="58839" s="1"/>
  <c r="J6" i="58839" s="1"/>
  <c r="K6" i="58839" s="1"/>
  <c r="L6" i="58839" s="1"/>
  <c r="M6" i="58839" s="1"/>
  <c r="N6" i="58839" s="1"/>
  <c r="O6" i="58839" s="1"/>
  <c r="P6" i="58839" s="1"/>
  <c r="Q6" i="58839" s="1"/>
  <c r="R6" i="58839" s="1"/>
  <c r="S6" i="58839" s="1"/>
  <c r="T6" i="58839" s="1"/>
  <c r="U6" i="58839" s="1"/>
  <c r="V6" i="58839" s="1"/>
  <c r="W6" i="58839" s="1"/>
  <c r="X6" i="58839" s="1"/>
  <c r="Y6" i="58839" s="1"/>
  <c r="Z6" i="58839" s="1"/>
  <c r="AA6" i="58839" s="1"/>
  <c r="AB6" i="58839" s="1"/>
  <c r="AC6" i="58839" s="1"/>
  <c r="AD6" i="58839" s="1"/>
  <c r="AE6" i="58839" s="1"/>
  <c r="AF6" i="58839" s="1"/>
  <c r="AG6" i="58839" s="1"/>
  <c r="AH6" i="58839" s="1"/>
  <c r="AI6" i="58839" s="1"/>
  <c r="AJ6" i="58839" s="1"/>
  <c r="AK6" i="58839" s="1"/>
  <c r="AL6" i="58839" s="1"/>
  <c r="AM6" i="58839" s="1"/>
  <c r="AN6" i="58839" s="1"/>
  <c r="AO6" i="58839" s="1"/>
  <c r="AP6" i="58839" s="1"/>
  <c r="AQ6" i="58839" s="1"/>
  <c r="AR6" i="58839" s="1"/>
  <c r="AS6" i="58839" s="1"/>
  <c r="AT6" i="58839" s="1"/>
  <c r="AU6" i="58839" s="1"/>
  <c r="AV6" i="58839" s="1"/>
  <c r="AW6" i="58839" s="1"/>
  <c r="AX6" i="58839" s="1"/>
  <c r="AY6" i="58839" s="1"/>
  <c r="AZ6" i="58839" s="1"/>
  <c r="BA6" i="58839" s="1"/>
  <c r="BB6" i="58839" s="1"/>
  <c r="BC6" i="58839" s="1"/>
  <c r="BD6" i="58839" s="1"/>
  <c r="BE6" i="58839" s="1"/>
  <c r="BF6" i="58839" s="1"/>
  <c r="BG6" i="58839" s="1"/>
  <c r="BH6" i="58839" s="1"/>
  <c r="BI6" i="58839" s="1"/>
  <c r="BJ6" i="58839" s="1"/>
  <c r="BK6" i="58839" s="1"/>
  <c r="BL6" i="58839" s="1"/>
  <c r="BM6" i="58839" s="1"/>
  <c r="BN6" i="58839" s="1"/>
  <c r="BO6" i="58839" s="1"/>
  <c r="BP6" i="58839" s="1"/>
  <c r="BQ6" i="58839" s="1"/>
  <c r="BR6" i="58839" s="1"/>
  <c r="BS6" i="58839" s="1"/>
  <c r="BT6" i="58839" s="1"/>
  <c r="BU6" i="58839" s="1"/>
  <c r="BV6" i="58839" s="1"/>
  <c r="BW6" i="58839" s="1"/>
  <c r="BX6" i="58839" s="1"/>
  <c r="BY6" i="58839" s="1"/>
  <c r="BZ6" i="58839" s="1"/>
  <c r="CA6" i="58839" s="1"/>
  <c r="CB6" i="58839" s="1"/>
  <c r="CC6" i="58839" s="1"/>
  <c r="CD6" i="58839" s="1"/>
  <c r="CE6" i="58839" s="1"/>
  <c r="CF6" i="58839" s="1"/>
  <c r="CG6" i="58839" s="1"/>
  <c r="CH6" i="58839" s="1"/>
  <c r="CI6" i="58839" s="1"/>
  <c r="CJ6" i="58839" s="1"/>
  <c r="CK6" i="58839" s="1"/>
  <c r="CL6" i="58839" s="1"/>
  <c r="CM6" i="58839" s="1"/>
  <c r="CN6" i="58839" s="1"/>
  <c r="CO6" i="58839" s="1"/>
  <c r="CP6" i="58839" s="1"/>
  <c r="CQ6" i="58839" s="1"/>
  <c r="CR6" i="58839" s="1"/>
  <c r="CS6" i="58839" s="1"/>
  <c r="CT6" i="58839" s="1"/>
  <c r="CU6" i="58839" s="1"/>
  <c r="CV6" i="58839" s="1"/>
  <c r="CW6" i="58839" s="1"/>
  <c r="CX6" i="58839" s="1"/>
  <c r="CY6" i="58839" s="1"/>
  <c r="CZ6" i="58839" s="1"/>
  <c r="DA6" i="58839" s="1"/>
  <c r="BC5" i="58839"/>
  <c r="BD5" i="58839" s="1"/>
  <c r="C5" i="58839"/>
  <c r="C56" i="58839" s="1"/>
  <c r="BG4" i="58839"/>
  <c r="BK4" i="58839" s="1"/>
  <c r="BO4" i="58839" s="1"/>
  <c r="BS4" i="58839" s="1"/>
  <c r="BX4" i="58839" s="1"/>
  <c r="CB4" i="58839" s="1"/>
  <c r="CF4" i="58839" s="1"/>
  <c r="CK4" i="58839" s="1"/>
  <c r="CO4" i="58839" s="1"/>
  <c r="CT4" i="58839" s="1"/>
  <c r="CX4" i="58839" s="1"/>
  <c r="G4" i="58839"/>
  <c r="K4" i="58839" s="1"/>
  <c r="O4" i="58839" s="1"/>
  <c r="S4" i="58839" s="1"/>
  <c r="X4" i="58839" s="1"/>
  <c r="AB4" i="58839" s="1"/>
  <c r="AF4" i="58839" s="1"/>
  <c r="AK4" i="58839" s="1"/>
  <c r="AO4" i="58839" s="1"/>
  <c r="AT4" i="58839" s="1"/>
  <c r="AX4" i="58839" s="1"/>
  <c r="E24" i="33"/>
  <c r="M21" i="33"/>
  <c r="L21" i="33"/>
  <c r="M20" i="33"/>
  <c r="L20" i="33"/>
  <c r="L18" i="33"/>
  <c r="L17" i="33"/>
  <c r="L12" i="33"/>
  <c r="L11" i="33"/>
  <c r="L6" i="33"/>
  <c r="L5" i="33"/>
  <c r="B41" i="58837"/>
  <c r="D51" i="58837" s="1" a="1"/>
  <c r="D51" i="58837" s="1"/>
  <c r="C51" i="58837" s="1"/>
  <c r="B22" i="58837"/>
  <c r="D32" i="58837" s="1" a="1"/>
  <c r="D32" i="58837" s="1"/>
  <c r="C32" i="58837" s="1"/>
  <c r="A55" i="37"/>
  <c r="A64" i="37" s="1"/>
  <c r="A50" i="37"/>
  <c r="A53" i="37" s="1"/>
  <c r="A45" i="37"/>
  <c r="A48" i="37" s="1"/>
  <c r="AL39" i="37"/>
  <c r="B39" i="37" a="1"/>
  <c r="B39" i="37" s="1"/>
  <c r="AL38" i="37"/>
  <c r="B38" i="37" a="1"/>
  <c r="B38" i="37" s="1"/>
  <c r="AJ38" i="37" s="1" a="1"/>
  <c r="AJ38" i="37" s="1"/>
  <c r="AL37" i="37"/>
  <c r="B37" i="37" a="1"/>
  <c r="B37" i="37" s="1"/>
  <c r="AI37" i="37" s="1" a="1"/>
  <c r="AI37" i="37" s="1"/>
  <c r="AL36" i="37"/>
  <c r="B36" i="37" a="1"/>
  <c r="B36" i="37" s="1"/>
  <c r="AL35" i="37"/>
  <c r="B35" i="37" a="1"/>
  <c r="B35" i="37" s="1"/>
  <c r="AI35" i="37" s="1" a="1"/>
  <c r="AI35" i="37" s="1"/>
  <c r="AL34" i="37"/>
  <c r="B34" i="37" a="1"/>
  <c r="B34" i="37" s="1"/>
  <c r="AL33" i="37"/>
  <c r="B33" i="37" a="1"/>
  <c r="B33" i="37" s="1"/>
  <c r="AL32" i="37"/>
  <c r="B32" i="37" a="1"/>
  <c r="B32" i="37" s="1"/>
  <c r="AL31" i="37"/>
  <c r="B31" i="37" a="1"/>
  <c r="B31" i="37" s="1"/>
  <c r="AE31" i="37" s="1" a="1"/>
  <c r="AE31" i="37" s="1"/>
  <c r="AL30" i="37"/>
  <c r="B30" i="37" a="1"/>
  <c r="B30" i="37" s="1"/>
  <c r="AC30" i="37" s="1" a="1"/>
  <c r="AC30" i="37" s="1"/>
  <c r="AL29" i="37"/>
  <c r="B29" i="37" a="1"/>
  <c r="B29" i="37" s="1"/>
  <c r="AL28" i="37"/>
  <c r="B28" i="37" a="1"/>
  <c r="B28" i="37" s="1"/>
  <c r="AI28" i="37" s="1" a="1"/>
  <c r="AI28" i="37" s="1"/>
  <c r="AL27" i="37"/>
  <c r="B27" i="37" a="1"/>
  <c r="B27" i="37" s="1"/>
  <c r="AA27" i="37" s="1" a="1"/>
  <c r="AA27" i="37" s="1"/>
  <c r="AL26" i="37"/>
  <c r="B26" i="37" a="1"/>
  <c r="B26" i="37" s="1"/>
  <c r="AL25" i="37"/>
  <c r="B25" i="37" a="1"/>
  <c r="B25" i="37" s="1"/>
  <c r="Z25" i="37" s="1" a="1"/>
  <c r="Z25" i="37" s="1"/>
  <c r="AL24" i="37"/>
  <c r="B24" i="37" a="1"/>
  <c r="B24" i="37" s="1"/>
  <c r="AL23" i="37"/>
  <c r="B23" i="37" a="1"/>
  <c r="B23" i="37" s="1"/>
  <c r="Z23" i="37" s="1" a="1"/>
  <c r="Z23" i="37" s="1"/>
  <c r="AL22" i="37"/>
  <c r="B22" i="37" a="1"/>
  <c r="B22" i="37" s="1"/>
  <c r="AJ22" i="37" s="1" a="1"/>
  <c r="AJ22" i="37" s="1"/>
  <c r="AL21" i="37"/>
  <c r="B21" i="37" a="1"/>
  <c r="B21" i="37" s="1"/>
  <c r="K21" i="37" s="1" a="1"/>
  <c r="K21" i="37" s="1"/>
  <c r="AL20" i="37"/>
  <c r="B20" i="37" a="1"/>
  <c r="B20" i="37" s="1"/>
  <c r="Z20" i="37" s="1" a="1"/>
  <c r="Z20" i="37" s="1"/>
  <c r="AL19" i="37"/>
  <c r="B19" i="37" a="1"/>
  <c r="B19" i="37" s="1"/>
  <c r="AL18" i="37"/>
  <c r="B18" i="37" a="1"/>
  <c r="B18" i="37" s="1"/>
  <c r="AL17" i="37"/>
  <c r="B17" i="37" a="1"/>
  <c r="B17" i="37" s="1"/>
  <c r="AL16" i="37"/>
  <c r="B16" i="37" a="1"/>
  <c r="B16" i="37" s="1"/>
  <c r="AL15" i="37"/>
  <c r="B15" i="37" a="1"/>
  <c r="B15" i="37" s="1"/>
  <c r="AL14" i="37"/>
  <c r="B14" i="37" a="1"/>
  <c r="B14" i="37" s="1"/>
  <c r="AC14" i="37" s="1" a="1"/>
  <c r="AC14" i="37" s="1"/>
  <c r="AL13" i="37"/>
  <c r="B13" i="37" a="1"/>
  <c r="B13" i="37" s="1"/>
  <c r="AL12" i="37"/>
  <c r="B12" i="37" a="1"/>
  <c r="B12" i="37" s="1"/>
  <c r="AL11" i="37"/>
  <c r="B11" i="37" a="1"/>
  <c r="B11" i="37" s="1"/>
  <c r="AL10" i="37"/>
  <c r="B10" i="37" a="1"/>
  <c r="B10" i="37" s="1"/>
  <c r="AG10" i="37" s="1" a="1"/>
  <c r="AG10" i="37" s="1"/>
  <c r="AL9" i="37"/>
  <c r="B9" i="37" a="1"/>
  <c r="B9" i="37" s="1"/>
  <c r="AJ9" i="37" s="1" a="1"/>
  <c r="AJ9" i="37" s="1"/>
  <c r="AL8" i="37"/>
  <c r="B8" i="37" a="1"/>
  <c r="B8" i="37" s="1"/>
  <c r="AJ8" i="37" s="1" a="1"/>
  <c r="AJ8" i="37" s="1"/>
  <c r="AL7" i="37"/>
  <c r="B7" i="37" a="1"/>
  <c r="B7" i="37" s="1"/>
  <c r="AL6" i="37"/>
  <c r="B6" i="37" a="1"/>
  <c r="B6" i="37" s="1"/>
  <c r="AJ6" i="37" s="1" a="1"/>
  <c r="AJ6" i="37" s="1"/>
  <c r="AL5" i="37"/>
  <c r="AL2" i="37"/>
  <c r="AW314" i="10" a="1"/>
  <c r="AW314" i="10" s="1"/>
  <c r="B314" i="10"/>
  <c r="AS314" i="10" s="1"/>
  <c r="AW313" i="10" a="1"/>
  <c r="AW313" i="10" s="1"/>
  <c r="B313" i="10"/>
  <c r="AS313" i="10" s="1"/>
  <c r="AW312" i="10" a="1"/>
  <c r="AW312" i="10" s="1"/>
  <c r="B312" i="10"/>
  <c r="AS312" i="10" s="1"/>
  <c r="AW311" i="10" a="1"/>
  <c r="AW311" i="10" s="1"/>
  <c r="AS311" i="10"/>
  <c r="AW310" i="10" a="1"/>
  <c r="AW310" i="10" s="1"/>
  <c r="AW309" i="10" a="1"/>
  <c r="AW309" i="10" s="1"/>
  <c r="AW308" i="10" a="1"/>
  <c r="AW308" i="10" s="1"/>
  <c r="AW307" i="10" a="1"/>
  <c r="AW307" i="10" s="1"/>
  <c r="AS307" i="10"/>
  <c r="AW306" i="10" a="1"/>
  <c r="AW306" i="10" s="1"/>
  <c r="E306" i="10" a="1"/>
  <c r="E306" i="10" s="1"/>
  <c r="B306" i="10" s="1"/>
  <c r="AS306" i="10" s="1"/>
  <c r="AW305" i="10" a="1"/>
  <c r="AW305" i="10" s="1"/>
  <c r="E305" i="10" a="1"/>
  <c r="E305" i="10" s="1"/>
  <c r="B305" i="10" s="1"/>
  <c r="AS305" i="10" s="1"/>
  <c r="AW304" i="10" a="1"/>
  <c r="AW304" i="10" s="1"/>
  <c r="E304" i="10" a="1"/>
  <c r="E304" i="10" s="1"/>
  <c r="B304" i="10" s="1"/>
  <c r="AS304" i="10" s="1"/>
  <c r="AW303" i="10" a="1"/>
  <c r="AW303" i="10" s="1"/>
  <c r="E303" i="10" a="1"/>
  <c r="E303" i="10" s="1"/>
  <c r="B303" i="10" s="1"/>
  <c r="AS303" i="10" s="1"/>
  <c r="AW302" i="10" a="1"/>
  <c r="AW302" i="10" s="1"/>
  <c r="E302" i="10" a="1"/>
  <c r="E302" i="10" s="1"/>
  <c r="B302" i="10" s="1"/>
  <c r="AS302" i="10" s="1"/>
  <c r="AW301" i="10" a="1"/>
  <c r="AW301" i="10" s="1"/>
  <c r="E301" i="10" a="1"/>
  <c r="E301" i="10" s="1"/>
  <c r="B301" i="10" s="1"/>
  <c r="AS301" i="10" s="1"/>
  <c r="AW300" i="10" a="1"/>
  <c r="AW300" i="10" s="1"/>
  <c r="E300" i="10" a="1"/>
  <c r="E300" i="10" s="1"/>
  <c r="B300" i="10" s="1"/>
  <c r="AS300" i="10" s="1"/>
  <c r="AW299" i="10" a="1"/>
  <c r="AW299" i="10" s="1"/>
  <c r="E299" i="10" a="1"/>
  <c r="E299" i="10" s="1"/>
  <c r="B299" i="10" s="1"/>
  <c r="AS299" i="10" s="1"/>
  <c r="AW298" i="10" a="1"/>
  <c r="AW298" i="10" s="1"/>
  <c r="E298" i="10" a="1"/>
  <c r="E298" i="10" s="1"/>
  <c r="B298" i="10" s="1"/>
  <c r="AS298" i="10" s="1"/>
  <c r="AW297" i="10" a="1"/>
  <c r="AW297" i="10" s="1"/>
  <c r="E297" i="10" a="1"/>
  <c r="E297" i="10" s="1"/>
  <c r="B297" i="10" s="1"/>
  <c r="AS297" i="10" s="1"/>
  <c r="AW296" i="10" a="1"/>
  <c r="AW296" i="10" s="1"/>
  <c r="E296" i="10" a="1"/>
  <c r="E296" i="10" s="1"/>
  <c r="B296" i="10" s="1"/>
  <c r="AS296" i="10" s="1"/>
  <c r="AW295" i="10" a="1"/>
  <c r="AW295" i="10" s="1"/>
  <c r="E295" i="10" a="1"/>
  <c r="E295" i="10" s="1"/>
  <c r="B295" i="10" s="1"/>
  <c r="AS295" i="10" s="1"/>
  <c r="AW294" i="10" a="1"/>
  <c r="AW294" i="10" s="1"/>
  <c r="E294" i="10" a="1"/>
  <c r="E294" i="10" s="1"/>
  <c r="B294" i="10" s="1"/>
  <c r="AS294" i="10" s="1"/>
  <c r="AW293" i="10" a="1"/>
  <c r="AW293" i="10" s="1"/>
  <c r="E293" i="10" a="1"/>
  <c r="E293" i="10" s="1"/>
  <c r="B293" i="10" s="1"/>
  <c r="AS293" i="10" s="1"/>
  <c r="AW292" i="10" a="1"/>
  <c r="AW292" i="10" s="1"/>
  <c r="E292" i="10" a="1"/>
  <c r="E292" i="10" s="1"/>
  <c r="B292" i="10" s="1"/>
  <c r="AS292" i="10" s="1"/>
  <c r="AW291" i="10" a="1"/>
  <c r="AW291" i="10" s="1"/>
  <c r="E291" i="10" a="1"/>
  <c r="E291" i="10" s="1"/>
  <c r="B291" i="10" s="1"/>
  <c r="AS291" i="10" s="1"/>
  <c r="AW290" i="10" a="1"/>
  <c r="AW290" i="10" s="1"/>
  <c r="E290" i="10" a="1"/>
  <c r="E290" i="10" s="1"/>
  <c r="B290" i="10" s="1"/>
  <c r="AS290" i="10" s="1"/>
  <c r="AW289" i="10" a="1"/>
  <c r="AW289" i="10" s="1"/>
  <c r="E289" i="10" a="1"/>
  <c r="E289" i="10" s="1"/>
  <c r="B289" i="10" s="1"/>
  <c r="AS289" i="10" s="1"/>
  <c r="AW288" i="10" a="1"/>
  <c r="AW288" i="10" s="1"/>
  <c r="E288" i="10" a="1"/>
  <c r="E288" i="10" s="1"/>
  <c r="B288" i="10" s="1"/>
  <c r="AS288" i="10" s="1"/>
  <c r="AW287" i="10" a="1"/>
  <c r="AW287" i="10" s="1"/>
  <c r="E287" i="10" a="1"/>
  <c r="E287" i="10" s="1"/>
  <c r="B287" i="10" s="1"/>
  <c r="AS287" i="10" s="1"/>
  <c r="AW286" i="10" a="1"/>
  <c r="AW286" i="10" s="1"/>
  <c r="E286" i="10" a="1"/>
  <c r="E286" i="10" s="1"/>
  <c r="B286" i="10" s="1"/>
  <c r="AS286" i="10" s="1"/>
  <c r="AW285" i="10" a="1"/>
  <c r="AW285" i="10" s="1"/>
  <c r="E285" i="10" a="1"/>
  <c r="E285" i="10" s="1"/>
  <c r="B285" i="10" s="1"/>
  <c r="AS285" i="10" s="1"/>
  <c r="AW284" i="10" a="1"/>
  <c r="AW284" i="10" s="1"/>
  <c r="E284" i="10" a="1"/>
  <c r="E284" i="10" s="1"/>
  <c r="B284" i="10" s="1"/>
  <c r="AS284" i="10" s="1"/>
  <c r="AW283" i="10" a="1"/>
  <c r="AW283" i="10" s="1"/>
  <c r="AW282" i="10" a="1"/>
  <c r="AW282" i="10" s="1"/>
  <c r="AW281" i="10" a="1"/>
  <c r="AW281" i="10" s="1"/>
  <c r="AW280" i="10" a="1"/>
  <c r="AW280" i="10" s="1"/>
  <c r="AW279" i="10" a="1"/>
  <c r="AW279" i="10" s="1"/>
  <c r="AW278" i="10" a="1"/>
  <c r="AW278" i="10" s="1"/>
  <c r="AW277" i="10" a="1"/>
  <c r="AW277" i="10" s="1"/>
  <c r="AW276" i="10" a="1"/>
  <c r="AW276" i="10" s="1"/>
  <c r="AW275" i="10" a="1"/>
  <c r="AW275" i="10" s="1"/>
  <c r="AW274" i="10" a="1"/>
  <c r="AW274" i="10" s="1"/>
  <c r="AW273" i="10" a="1"/>
  <c r="AW273" i="10" s="1"/>
  <c r="AW272" i="10" a="1"/>
  <c r="AW272" i="10" s="1"/>
  <c r="AW271" i="10" a="1"/>
  <c r="AW271" i="10" s="1"/>
  <c r="AW270" i="10" a="1"/>
  <c r="AW270" i="10" s="1"/>
  <c r="AW269" i="10" a="1"/>
  <c r="AW269" i="10" s="1"/>
  <c r="AW268" i="10" a="1"/>
  <c r="AW268" i="10" s="1"/>
  <c r="AW267" i="10" a="1"/>
  <c r="AW267" i="10" s="1"/>
  <c r="AW266" i="10" a="1"/>
  <c r="AW266" i="10" s="1"/>
  <c r="AW265" i="10" a="1"/>
  <c r="AW265" i="10" s="1"/>
  <c r="AW264" i="10" a="1"/>
  <c r="AW264" i="10" s="1"/>
  <c r="AW263" i="10" a="1"/>
  <c r="AW263" i="10" s="1"/>
  <c r="AW262" i="10" a="1"/>
  <c r="AW262" i="10" s="1"/>
  <c r="AW261" i="10" a="1"/>
  <c r="AW261" i="10" s="1"/>
  <c r="AW260" i="10" a="1"/>
  <c r="AW260" i="10" s="1"/>
  <c r="AW259" i="10" a="1"/>
  <c r="AW259" i="10" s="1"/>
  <c r="AW258" i="10" a="1"/>
  <c r="AW258" i="10" s="1"/>
  <c r="AW257" i="10" a="1"/>
  <c r="AW257" i="10" s="1"/>
  <c r="AS257" i="10"/>
  <c r="AW256" i="10" a="1"/>
  <c r="AW256" i="10" s="1"/>
  <c r="AW255" i="10" a="1"/>
  <c r="AW255" i="10" s="1"/>
  <c r="AW254" i="10" a="1"/>
  <c r="AW254" i="10" s="1"/>
  <c r="AS254" i="10"/>
  <c r="AW115" i="10" a="1"/>
  <c r="AW115" i="10" s="1"/>
  <c r="AS115" i="10"/>
  <c r="AW114" i="10" a="1"/>
  <c r="AW114" i="10" s="1"/>
  <c r="AS114" i="10"/>
  <c r="AW113" i="10" a="1"/>
  <c r="AW113" i="10" s="1"/>
  <c r="AS113" i="10"/>
  <c r="AW112" i="10" a="1"/>
  <c r="AW112" i="10" s="1"/>
  <c r="AW111" i="10" a="1"/>
  <c r="AW111" i="10" s="1"/>
  <c r="AW110" i="10" a="1"/>
  <c r="AW110" i="10" s="1"/>
  <c r="AW109" i="10" a="1"/>
  <c r="AW109" i="10" s="1"/>
  <c r="AW108" i="10" a="1"/>
  <c r="AW108" i="10" s="1"/>
  <c r="AW107" i="10" a="1"/>
  <c r="AW107" i="10" s="1"/>
  <c r="AW106" i="10" a="1"/>
  <c r="AW106" i="10" s="1"/>
  <c r="AW105" i="10" a="1"/>
  <c r="AW105" i="10" s="1"/>
  <c r="AW104" i="10" a="1"/>
  <c r="AW104" i="10" s="1"/>
  <c r="AW103" i="10" a="1"/>
  <c r="AW103" i="10" s="1"/>
  <c r="AW102" i="10" a="1"/>
  <c r="AW102" i="10" s="1"/>
  <c r="AW101" i="10" a="1"/>
  <c r="AW101" i="10" s="1"/>
  <c r="AW100" i="10" a="1"/>
  <c r="AW100" i="10" s="1"/>
  <c r="AW99" i="10" a="1"/>
  <c r="AW99" i="10" s="1"/>
  <c r="AW98" i="10" a="1"/>
  <c r="AW98" i="10" s="1"/>
  <c r="AW97" i="10" a="1"/>
  <c r="AW97" i="10" s="1"/>
  <c r="AW96" i="10" a="1"/>
  <c r="AW96" i="10" s="1"/>
  <c r="AS96" i="10"/>
  <c r="AW95" i="10" a="1"/>
  <c r="AW95" i="10" s="1"/>
  <c r="AS95" i="10"/>
  <c r="AS94" i="10"/>
  <c r="E94" i="10"/>
  <c r="AS93" i="10"/>
  <c r="E93" i="10"/>
  <c r="AS92" i="10"/>
  <c r="E92" i="10"/>
  <c r="AW88" i="10" a="1"/>
  <c r="AW88" i="10" s="1"/>
  <c r="AS88" i="10"/>
  <c r="AW87" i="10" a="1"/>
  <c r="AW87" i="10" s="1"/>
  <c r="AW86" i="10" a="1"/>
  <c r="AW86" i="10" s="1"/>
  <c r="AW85" i="10" a="1"/>
  <c r="AW85" i="10" s="1"/>
  <c r="AW84" i="10" a="1"/>
  <c r="AW84" i="10" s="1"/>
  <c r="AW83" i="10" a="1"/>
  <c r="AW83" i="10" s="1"/>
  <c r="AS83" i="10"/>
  <c r="AS82" i="10"/>
  <c r="AS81" i="10"/>
  <c r="AS80" i="10"/>
  <c r="AS79" i="10"/>
  <c r="AS78" i="10"/>
  <c r="AS77" i="10"/>
  <c r="AS76" i="10"/>
  <c r="AS75" i="10"/>
  <c r="AS74" i="10"/>
  <c r="AS73" i="10"/>
  <c r="AS72" i="10"/>
  <c r="AS71" i="10"/>
  <c r="AS70" i="10"/>
  <c r="AS69" i="10"/>
  <c r="AS68" i="10"/>
  <c r="AS67" i="10"/>
  <c r="AS66" i="10"/>
  <c r="AS65" i="10"/>
  <c r="AS64" i="10"/>
  <c r="AS63" i="10"/>
  <c r="AS62" i="10"/>
  <c r="AS61" i="10"/>
  <c r="AS60" i="10"/>
  <c r="E60" i="10" a="1"/>
  <c r="E60" i="10" s="1"/>
  <c r="AS59" i="10"/>
  <c r="E59" i="10" a="1"/>
  <c r="E59" i="10" s="1"/>
  <c r="AS58" i="10"/>
  <c r="E58" i="10" a="1"/>
  <c r="E58" i="10" s="1"/>
  <c r="AW9" i="10" a="1"/>
  <c r="AW9" i="10" s="1"/>
  <c r="AW8" i="10" a="1"/>
  <c r="AW8" i="10" s="1"/>
  <c r="AW7" i="10" a="1"/>
  <c r="AW7" i="10" s="1"/>
  <c r="AS7" i="10"/>
  <c r="AW6" i="10" a="1"/>
  <c r="AW6" i="10" s="1"/>
  <c r="AW5" i="10" a="1"/>
  <c r="AW5" i="10" s="1"/>
  <c r="AW4" i="10" a="1"/>
  <c r="AW4" i="10" s="1"/>
  <c r="AT2" i="10"/>
  <c r="AS2" i="10"/>
  <c r="AR2" i="10"/>
  <c r="AQ2" i="10"/>
  <c r="AP2" i="10"/>
  <c r="AO2" i="10"/>
  <c r="AN2" i="10"/>
  <c r="AM2" i="10"/>
  <c r="AL2" i="10"/>
  <c r="AK2" i="10"/>
  <c r="AJ2" i="10"/>
  <c r="AI2" i="10"/>
  <c r="AH2" i="10"/>
  <c r="AG2" i="10"/>
  <c r="AF2" i="10"/>
  <c r="AE2" i="10"/>
  <c r="AD2" i="10"/>
  <c r="AC2" i="10"/>
  <c r="AB2" i="10"/>
  <c r="AA2" i="10"/>
  <c r="Z2" i="10"/>
  <c r="Y2" i="10"/>
  <c r="X2" i="10"/>
  <c r="W2" i="10"/>
  <c r="V2" i="10"/>
  <c r="U2" i="10"/>
  <c r="T2" i="10"/>
  <c r="S2" i="10"/>
  <c r="R2" i="10"/>
  <c r="Q2" i="10"/>
  <c r="P2" i="10"/>
  <c r="O2" i="10"/>
  <c r="N2" i="10"/>
  <c r="M2" i="10"/>
  <c r="L2" i="10"/>
  <c r="K2" i="10"/>
  <c r="J2" i="10"/>
  <c r="I2" i="10"/>
  <c r="H2" i="10"/>
  <c r="G2" i="10"/>
  <c r="F2" i="10"/>
  <c r="E2" i="10"/>
  <c r="D2" i="10"/>
  <c r="C2" i="10"/>
  <c r="B2" i="10"/>
  <c r="E294" i="5" a="1"/>
  <c r="E294" i="5" s="1"/>
  <c r="E293" i="5" a="1"/>
  <c r="E293" i="5" s="1"/>
  <c r="B293" i="5" s="1" a="1"/>
  <c r="B293" i="5" s="1"/>
  <c r="E292" i="5" a="1"/>
  <c r="E292" i="5" s="1"/>
  <c r="B292" i="5" s="1" a="1"/>
  <c r="B292" i="5" s="1"/>
  <c r="E291" i="5" a="1"/>
  <c r="E291" i="5" s="1"/>
  <c r="B291" i="5" s="1" a="1"/>
  <c r="B291" i="5" s="1"/>
  <c r="E290" i="5" a="1"/>
  <c r="E290" i="5" s="1"/>
  <c r="B290" i="5" s="1" a="1"/>
  <c r="B290" i="5" s="1"/>
  <c r="E289" i="5" a="1"/>
  <c r="E289" i="5" s="1"/>
  <c r="B289" i="5" s="1" a="1"/>
  <c r="B289" i="5" s="1"/>
  <c r="E288" i="5" a="1"/>
  <c r="E288" i="5" s="1"/>
  <c r="F288" i="5" s="1" a="1"/>
  <c r="F288" i="5" s="1"/>
  <c r="E287" i="5" a="1"/>
  <c r="E287" i="5" s="1"/>
  <c r="B287" i="5" s="1" a="1"/>
  <c r="B287" i="5" s="1"/>
  <c r="E286" i="5" a="1"/>
  <c r="E286" i="5" s="1"/>
  <c r="B286" i="5" s="1" a="1"/>
  <c r="B286" i="5" s="1"/>
  <c r="E285" i="5" a="1"/>
  <c r="E285" i="5" s="1"/>
  <c r="B285" i="5" s="1" a="1"/>
  <c r="B285" i="5" s="1"/>
  <c r="E284" i="5" a="1"/>
  <c r="E284" i="5" s="1"/>
  <c r="B284" i="5" s="1" a="1"/>
  <c r="B284" i="5" s="1"/>
  <c r="E283" i="5" a="1"/>
  <c r="E283" i="5" s="1"/>
  <c r="B283" i="5" s="1" a="1"/>
  <c r="B283" i="5" s="1"/>
  <c r="E282" i="5" a="1"/>
  <c r="E282" i="5" s="1"/>
  <c r="F282" i="5" s="1" a="1"/>
  <c r="F282" i="5" s="1"/>
  <c r="E281" i="5" a="1"/>
  <c r="E281" i="5" s="1"/>
  <c r="B281" i="5" s="1" a="1"/>
  <c r="B281" i="5" s="1"/>
  <c r="E280" i="5" a="1"/>
  <c r="E280" i="5" s="1"/>
  <c r="F280" i="5" s="1" a="1"/>
  <c r="F280" i="5" s="1"/>
  <c r="E279" i="5" a="1"/>
  <c r="E279" i="5" s="1"/>
  <c r="B279" i="5" s="1" a="1"/>
  <c r="B279" i="5" s="1"/>
  <c r="E278" i="5" a="1"/>
  <c r="E278" i="5" s="1"/>
  <c r="B278" i="5" s="1" a="1"/>
  <c r="B278" i="5" s="1"/>
  <c r="E277" i="5" a="1"/>
  <c r="E277" i="5" s="1"/>
  <c r="B277" i="5" s="1" a="1"/>
  <c r="B277" i="5" s="1"/>
  <c r="E276" i="5" a="1"/>
  <c r="E276" i="5" s="1"/>
  <c r="B276" i="5" s="1" a="1"/>
  <c r="B276" i="5" s="1"/>
  <c r="E275" i="5" a="1"/>
  <c r="E275" i="5" s="1"/>
  <c r="B275" i="5" s="1" a="1"/>
  <c r="B275" i="5" s="1"/>
  <c r="E274" i="5" a="1"/>
  <c r="E274" i="5" s="1"/>
  <c r="F274" i="5" s="1" a="1"/>
  <c r="F274" i="5" s="1"/>
  <c r="E273" i="5" a="1"/>
  <c r="E273" i="5" s="1"/>
  <c r="B273" i="5" s="1" a="1"/>
  <c r="B273" i="5" s="1"/>
  <c r="E272" i="5" a="1"/>
  <c r="E272" i="5" s="1"/>
  <c r="F272" i="5" s="1" a="1"/>
  <c r="F272" i="5" s="1"/>
  <c r="E271" i="5" a="1"/>
  <c r="E271" i="5" s="1"/>
  <c r="B271" i="5" s="1" a="1"/>
  <c r="B271" i="5" s="1"/>
  <c r="E270" i="5" a="1"/>
  <c r="E270" i="5" s="1"/>
  <c r="B270" i="5" s="1" a="1"/>
  <c r="B270" i="5" s="1"/>
  <c r="E269" i="5" a="1"/>
  <c r="E269" i="5" s="1"/>
  <c r="B269" i="5" s="1" a="1"/>
  <c r="B269" i="5" s="1"/>
  <c r="E268" i="5" a="1"/>
  <c r="E268" i="5" s="1"/>
  <c r="F268" i="5" s="1" a="1"/>
  <c r="F268" i="5" s="1"/>
  <c r="E267" i="5" a="1"/>
  <c r="E267" i="5" s="1"/>
  <c r="B267" i="5" s="1" a="1"/>
  <c r="B267" i="5" s="1"/>
  <c r="E266" i="5" a="1"/>
  <c r="E266" i="5" s="1"/>
  <c r="F266" i="5" s="1" a="1"/>
  <c r="F266" i="5" s="1"/>
  <c r="E265" i="5" a="1"/>
  <c r="E265" i="5" s="1"/>
  <c r="B265" i="5" s="1" a="1"/>
  <c r="B265" i="5" s="1"/>
  <c r="E264" i="5" a="1"/>
  <c r="E264" i="5" s="1"/>
  <c r="F264" i="5" s="1" a="1"/>
  <c r="F264" i="5" s="1"/>
  <c r="E263" i="5" a="1"/>
  <c r="E263" i="5" s="1"/>
  <c r="B263" i="5" s="1" a="1"/>
  <c r="B263" i="5" s="1"/>
  <c r="E262" i="5" a="1"/>
  <c r="E262" i="5" s="1"/>
  <c r="B262" i="5" s="1" a="1"/>
  <c r="B262" i="5" s="1"/>
  <c r="E261" i="5" a="1"/>
  <c r="E261" i="5" s="1"/>
  <c r="B261" i="5" s="1" a="1"/>
  <c r="B261" i="5" s="1"/>
  <c r="Y257" i="5"/>
  <c r="X257" i="5"/>
  <c r="W257" i="5"/>
  <c r="V257" i="5"/>
  <c r="U257" i="5"/>
  <c r="T257" i="5"/>
  <c r="S257" i="5"/>
  <c r="R257" i="5"/>
  <c r="Q257" i="5"/>
  <c r="P257" i="5"/>
  <c r="O257" i="5"/>
  <c r="N257" i="5"/>
  <c r="M257" i="5"/>
  <c r="L257" i="5"/>
  <c r="K257" i="5"/>
  <c r="J257" i="5"/>
  <c r="I257" i="5"/>
  <c r="Y255" i="5" a="1"/>
  <c r="Y255" i="5" s="1"/>
  <c r="X255" i="5" a="1"/>
  <c r="X255" i="5" s="1"/>
  <c r="W255" i="5" a="1"/>
  <c r="W255" i="5" s="1"/>
  <c r="V255" i="5" a="1"/>
  <c r="V255" i="5" s="1"/>
  <c r="U255" i="5" a="1"/>
  <c r="U255" i="5" s="1"/>
  <c r="T255" i="5" a="1"/>
  <c r="T255" i="5" s="1"/>
  <c r="S255" i="5" a="1"/>
  <c r="S255" i="5" s="1"/>
  <c r="R255" i="5" a="1"/>
  <c r="R255" i="5" s="1"/>
  <c r="Q255" i="5" a="1"/>
  <c r="Q255" i="5" s="1"/>
  <c r="P255" i="5" a="1"/>
  <c r="P255" i="5" s="1"/>
  <c r="O255" i="5" a="1"/>
  <c r="O255" i="5" s="1"/>
  <c r="N255" i="5" a="1"/>
  <c r="N255" i="5" s="1"/>
  <c r="M255" i="5" a="1"/>
  <c r="M255" i="5" s="1"/>
  <c r="L255" i="5" a="1"/>
  <c r="L255" i="5" s="1"/>
  <c r="K255" i="5" a="1"/>
  <c r="K255" i="5" s="1"/>
  <c r="J255" i="5" a="1"/>
  <c r="J255" i="5" s="1"/>
  <c r="I255" i="5" a="1"/>
  <c r="I255" i="5" s="1"/>
  <c r="Y254" i="5" a="1"/>
  <c r="Y254" i="5" s="1"/>
  <c r="X254" i="5" a="1"/>
  <c r="X254" i="5" s="1"/>
  <c r="W254" i="5" a="1"/>
  <c r="W254" i="5" s="1"/>
  <c r="V254" i="5" a="1"/>
  <c r="V254" i="5" s="1"/>
  <c r="U254" i="5" a="1"/>
  <c r="U254" i="5" s="1"/>
  <c r="T254" i="5" a="1"/>
  <c r="T254" i="5" s="1"/>
  <c r="S254" i="5" a="1"/>
  <c r="S254" i="5" s="1"/>
  <c r="R254" i="5" a="1"/>
  <c r="R254" i="5" s="1"/>
  <c r="Q254" i="5" a="1"/>
  <c r="Q254" i="5" s="1"/>
  <c r="P254" i="5" a="1"/>
  <c r="P254" i="5" s="1"/>
  <c r="O254" i="5" a="1"/>
  <c r="O254" i="5" s="1"/>
  <c r="N254" i="5" a="1"/>
  <c r="N254" i="5" s="1"/>
  <c r="M254" i="5" a="1"/>
  <c r="M254" i="5" s="1"/>
  <c r="L254" i="5" a="1"/>
  <c r="L254" i="5" s="1"/>
  <c r="K254" i="5" a="1"/>
  <c r="K254" i="5" s="1"/>
  <c r="J254" i="5" a="1"/>
  <c r="J254" i="5" s="1"/>
  <c r="I254" i="5" a="1"/>
  <c r="I254" i="5" s="1"/>
  <c r="Y253" i="5" a="1"/>
  <c r="Y253" i="5" s="1"/>
  <c r="X253" i="5" a="1"/>
  <c r="X253" i="5" s="1"/>
  <c r="W253" i="5" a="1"/>
  <c r="W253" i="5" s="1"/>
  <c r="V253" i="5" a="1"/>
  <c r="V253" i="5" s="1"/>
  <c r="U253" i="5" a="1"/>
  <c r="U253" i="5" s="1"/>
  <c r="T253" i="5" a="1"/>
  <c r="T253" i="5" s="1"/>
  <c r="S253" i="5" a="1"/>
  <c r="S253" i="5" s="1"/>
  <c r="R253" i="5" a="1"/>
  <c r="R253" i="5" s="1"/>
  <c r="Q253" i="5" a="1"/>
  <c r="Q253" i="5" s="1"/>
  <c r="P253" i="5" a="1"/>
  <c r="P253" i="5" s="1"/>
  <c r="O253" i="5" a="1"/>
  <c r="O253" i="5" s="1"/>
  <c r="N253" i="5" a="1"/>
  <c r="N253" i="5" s="1"/>
  <c r="M253" i="5" a="1"/>
  <c r="M253" i="5" s="1"/>
  <c r="L253" i="5" a="1"/>
  <c r="L253" i="5" s="1"/>
  <c r="K253" i="5" a="1"/>
  <c r="K253" i="5" s="1"/>
  <c r="J253" i="5" a="1"/>
  <c r="J253" i="5" s="1"/>
  <c r="I253" i="5" a="1"/>
  <c r="I253" i="5" s="1"/>
  <c r="Y252" i="5" a="1"/>
  <c r="Y252" i="5" s="1"/>
  <c r="X252" i="5" a="1"/>
  <c r="X252" i="5" s="1"/>
  <c r="W252" i="5" a="1"/>
  <c r="W252" i="5" s="1"/>
  <c r="V252" i="5" a="1"/>
  <c r="V252" i="5" s="1"/>
  <c r="U252" i="5" a="1"/>
  <c r="U252" i="5" s="1"/>
  <c r="T252" i="5" a="1"/>
  <c r="T252" i="5" s="1"/>
  <c r="S252" i="5" a="1"/>
  <c r="S252" i="5" s="1"/>
  <c r="R252" i="5" a="1"/>
  <c r="R252" i="5" s="1"/>
  <c r="Q252" i="5" a="1"/>
  <c r="Q252" i="5" s="1"/>
  <c r="P252" i="5" a="1"/>
  <c r="P252" i="5" s="1"/>
  <c r="O252" i="5" a="1"/>
  <c r="O252" i="5" s="1"/>
  <c r="N252" i="5" a="1"/>
  <c r="N252" i="5" s="1"/>
  <c r="M252" i="5" a="1"/>
  <c r="M252" i="5" s="1"/>
  <c r="L252" i="5" a="1"/>
  <c r="L252" i="5" s="1"/>
  <c r="K252" i="5" a="1"/>
  <c r="K252" i="5" s="1"/>
  <c r="J252" i="5" a="1"/>
  <c r="J252" i="5" s="1"/>
  <c r="I252" i="5" a="1"/>
  <c r="I252" i="5" s="1"/>
  <c r="Y251" i="5" a="1"/>
  <c r="Y251" i="5" s="1"/>
  <c r="X251" i="5" a="1"/>
  <c r="X251" i="5" s="1"/>
  <c r="W251" i="5" a="1"/>
  <c r="W251" i="5" s="1"/>
  <c r="V251" i="5" a="1"/>
  <c r="V251" i="5" s="1"/>
  <c r="U251" i="5" a="1"/>
  <c r="U251" i="5" s="1"/>
  <c r="T251" i="5" a="1"/>
  <c r="T251" i="5" s="1"/>
  <c r="S251" i="5" a="1"/>
  <c r="S251" i="5" s="1"/>
  <c r="R251" i="5" a="1"/>
  <c r="R251" i="5" s="1"/>
  <c r="Q251" i="5" a="1"/>
  <c r="Q251" i="5" s="1"/>
  <c r="P251" i="5" a="1"/>
  <c r="P251" i="5" s="1"/>
  <c r="O251" i="5" a="1"/>
  <c r="O251" i="5" s="1"/>
  <c r="N251" i="5" a="1"/>
  <c r="N251" i="5" s="1"/>
  <c r="M251" i="5" a="1"/>
  <c r="M251" i="5" s="1"/>
  <c r="L251" i="5" a="1"/>
  <c r="L251" i="5" s="1"/>
  <c r="K251" i="5" a="1"/>
  <c r="K251" i="5" s="1"/>
  <c r="J251" i="5" a="1"/>
  <c r="J251" i="5" s="1"/>
  <c r="I251" i="5" a="1"/>
  <c r="I251" i="5" s="1"/>
  <c r="Y250" i="5" a="1"/>
  <c r="Y250" i="5" s="1"/>
  <c r="X250" i="5" a="1"/>
  <c r="X250" i="5" s="1"/>
  <c r="W250" i="5" a="1"/>
  <c r="W250" i="5" s="1"/>
  <c r="V250" i="5" a="1"/>
  <c r="V250" i="5" s="1"/>
  <c r="U250" i="5" a="1"/>
  <c r="U250" i="5" s="1"/>
  <c r="T250" i="5" a="1"/>
  <c r="T250" i="5" s="1"/>
  <c r="S250" i="5" a="1"/>
  <c r="S250" i="5" s="1"/>
  <c r="R250" i="5" a="1"/>
  <c r="R250" i="5" s="1"/>
  <c r="Q250" i="5" a="1"/>
  <c r="Q250" i="5" s="1"/>
  <c r="P250" i="5" a="1"/>
  <c r="P250" i="5" s="1"/>
  <c r="O250" i="5" a="1"/>
  <c r="O250" i="5" s="1"/>
  <c r="N250" i="5" a="1"/>
  <c r="N250" i="5" s="1"/>
  <c r="M250" i="5" a="1"/>
  <c r="M250" i="5" s="1"/>
  <c r="L250" i="5" a="1"/>
  <c r="L250" i="5" s="1"/>
  <c r="K250" i="5" a="1"/>
  <c r="K250" i="5" s="1"/>
  <c r="J250" i="5" a="1"/>
  <c r="J250" i="5" s="1"/>
  <c r="I250" i="5" a="1"/>
  <c r="I250" i="5" s="1"/>
  <c r="Y249" i="5" a="1"/>
  <c r="Y249" i="5" s="1"/>
  <c r="X249" i="5" a="1"/>
  <c r="X249" i="5" s="1"/>
  <c r="W249" i="5" a="1"/>
  <c r="W249" i="5" s="1"/>
  <c r="V249" i="5" a="1"/>
  <c r="V249" i="5" s="1"/>
  <c r="U249" i="5" a="1"/>
  <c r="U249" i="5" s="1"/>
  <c r="T249" i="5" a="1"/>
  <c r="T249" i="5" s="1"/>
  <c r="S249" i="5" a="1"/>
  <c r="S249" i="5" s="1"/>
  <c r="R249" i="5" a="1"/>
  <c r="R249" i="5" s="1"/>
  <c r="Q249" i="5" a="1"/>
  <c r="Q249" i="5" s="1"/>
  <c r="P249" i="5" a="1"/>
  <c r="P249" i="5" s="1"/>
  <c r="O249" i="5" a="1"/>
  <c r="O249" i="5" s="1"/>
  <c r="N249" i="5" a="1"/>
  <c r="N249" i="5" s="1"/>
  <c r="M249" i="5" a="1"/>
  <c r="M249" i="5" s="1"/>
  <c r="L249" i="5" a="1"/>
  <c r="L249" i="5" s="1"/>
  <c r="K249" i="5" a="1"/>
  <c r="K249" i="5" s="1"/>
  <c r="J249" i="5" a="1"/>
  <c r="J249" i="5" s="1"/>
  <c r="I249" i="5" a="1"/>
  <c r="I249" i="5" s="1"/>
  <c r="Y248" i="5" a="1"/>
  <c r="Y248" i="5" s="1"/>
  <c r="X248" i="5" a="1"/>
  <c r="X248" i="5" s="1"/>
  <c r="W248" i="5" a="1"/>
  <c r="W248" i="5" s="1"/>
  <c r="V248" i="5" a="1"/>
  <c r="V248" i="5" s="1"/>
  <c r="U248" i="5" a="1"/>
  <c r="U248" i="5" s="1"/>
  <c r="T248" i="5" a="1"/>
  <c r="T248" i="5" s="1"/>
  <c r="S248" i="5" a="1"/>
  <c r="S248" i="5" s="1"/>
  <c r="R248" i="5" a="1"/>
  <c r="R248" i="5" s="1"/>
  <c r="Q248" i="5" a="1"/>
  <c r="Q248" i="5" s="1"/>
  <c r="P248" i="5" a="1"/>
  <c r="P248" i="5" s="1"/>
  <c r="O248" i="5" a="1"/>
  <c r="O248" i="5" s="1"/>
  <c r="N248" i="5" a="1"/>
  <c r="N248" i="5" s="1"/>
  <c r="M248" i="5" a="1"/>
  <c r="M248" i="5" s="1"/>
  <c r="L248" i="5" a="1"/>
  <c r="L248" i="5" s="1"/>
  <c r="K248" i="5" a="1"/>
  <c r="K248" i="5" s="1"/>
  <c r="J248" i="5" a="1"/>
  <c r="J248" i="5" s="1"/>
  <c r="I248" i="5" a="1"/>
  <c r="I248" i="5" s="1"/>
  <c r="Y247" i="5" a="1"/>
  <c r="Y247" i="5" s="1"/>
  <c r="X247" i="5" a="1"/>
  <c r="X247" i="5" s="1"/>
  <c r="W247" i="5" a="1"/>
  <c r="W247" i="5" s="1"/>
  <c r="V247" i="5" a="1"/>
  <c r="V247" i="5" s="1"/>
  <c r="U247" i="5" a="1"/>
  <c r="U247" i="5" s="1"/>
  <c r="T247" i="5" a="1"/>
  <c r="T247" i="5" s="1"/>
  <c r="S247" i="5" a="1"/>
  <c r="S247" i="5" s="1"/>
  <c r="R247" i="5" a="1"/>
  <c r="R247" i="5" s="1"/>
  <c r="Q247" i="5" a="1"/>
  <c r="Q247" i="5" s="1"/>
  <c r="P247" i="5" a="1"/>
  <c r="P247" i="5" s="1"/>
  <c r="O247" i="5" a="1"/>
  <c r="O247" i="5" s="1"/>
  <c r="N247" i="5" a="1"/>
  <c r="N247" i="5" s="1"/>
  <c r="M247" i="5" a="1"/>
  <c r="M247" i="5" s="1"/>
  <c r="L247" i="5" a="1"/>
  <c r="L247" i="5" s="1"/>
  <c r="K247" i="5" a="1"/>
  <c r="K247" i="5" s="1"/>
  <c r="J247" i="5" a="1"/>
  <c r="J247" i="5" s="1"/>
  <c r="I247" i="5" a="1"/>
  <c r="I247" i="5" s="1"/>
  <c r="Y246" i="5" a="1"/>
  <c r="Y246" i="5" s="1"/>
  <c r="X246" i="5" a="1"/>
  <c r="X246" i="5" s="1"/>
  <c r="W246" i="5" a="1"/>
  <c r="W246" i="5" s="1"/>
  <c r="V246" i="5" a="1"/>
  <c r="V246" i="5" s="1"/>
  <c r="U246" i="5" a="1"/>
  <c r="U246" i="5" s="1"/>
  <c r="T246" i="5" a="1"/>
  <c r="T246" i="5" s="1"/>
  <c r="S246" i="5" a="1"/>
  <c r="S246" i="5" s="1"/>
  <c r="R246" i="5" a="1"/>
  <c r="R246" i="5" s="1"/>
  <c r="Q246" i="5" a="1"/>
  <c r="Q246" i="5" s="1"/>
  <c r="P246" i="5" a="1"/>
  <c r="P246" i="5" s="1"/>
  <c r="O246" i="5" a="1"/>
  <c r="O246" i="5" s="1"/>
  <c r="N246" i="5" a="1"/>
  <c r="N246" i="5" s="1"/>
  <c r="M246" i="5" a="1"/>
  <c r="M246" i="5" s="1"/>
  <c r="L246" i="5" a="1"/>
  <c r="L246" i="5" s="1"/>
  <c r="K246" i="5" a="1"/>
  <c r="K246" i="5" s="1"/>
  <c r="J246" i="5" a="1"/>
  <c r="J246" i="5" s="1"/>
  <c r="I246" i="5" a="1"/>
  <c r="I246" i="5" s="1"/>
  <c r="Y245" i="5" a="1"/>
  <c r="Y245" i="5" s="1"/>
  <c r="X245" i="5" a="1"/>
  <c r="X245" i="5" s="1"/>
  <c r="W245" i="5" a="1"/>
  <c r="W245" i="5" s="1"/>
  <c r="V245" i="5" a="1"/>
  <c r="V245" i="5" s="1"/>
  <c r="U245" i="5" a="1"/>
  <c r="U245" i="5" s="1"/>
  <c r="T245" i="5" a="1"/>
  <c r="T245" i="5" s="1"/>
  <c r="S245" i="5" a="1"/>
  <c r="S245" i="5" s="1"/>
  <c r="R245" i="5" a="1"/>
  <c r="R245" i="5" s="1"/>
  <c r="Q245" i="5" a="1"/>
  <c r="Q245" i="5" s="1"/>
  <c r="P245" i="5" a="1"/>
  <c r="P245" i="5" s="1"/>
  <c r="O245" i="5" a="1"/>
  <c r="O245" i="5" s="1"/>
  <c r="N245" i="5" a="1"/>
  <c r="N245" i="5" s="1"/>
  <c r="M245" i="5" a="1"/>
  <c r="M245" i="5" s="1"/>
  <c r="L245" i="5" a="1"/>
  <c r="L245" i="5" s="1"/>
  <c r="K245" i="5" a="1"/>
  <c r="K245" i="5" s="1"/>
  <c r="J245" i="5" a="1"/>
  <c r="J245" i="5" s="1"/>
  <c r="I245" i="5" a="1"/>
  <c r="I245" i="5" s="1"/>
  <c r="Y244" i="5" a="1"/>
  <c r="Y244" i="5" s="1"/>
  <c r="X244" i="5" a="1"/>
  <c r="X244" i="5" s="1"/>
  <c r="W244" i="5" a="1"/>
  <c r="W244" i="5" s="1"/>
  <c r="V244" i="5" a="1"/>
  <c r="V244" i="5" s="1"/>
  <c r="U244" i="5" a="1"/>
  <c r="U244" i="5" s="1"/>
  <c r="T244" i="5" a="1"/>
  <c r="T244" i="5" s="1"/>
  <c r="S244" i="5" a="1"/>
  <c r="S244" i="5" s="1"/>
  <c r="R244" i="5" a="1"/>
  <c r="R244" i="5" s="1"/>
  <c r="Q244" i="5" a="1"/>
  <c r="Q244" i="5" s="1"/>
  <c r="P244" i="5" a="1"/>
  <c r="P244" i="5" s="1"/>
  <c r="O244" i="5" a="1"/>
  <c r="O244" i="5" s="1"/>
  <c r="N244" i="5" a="1"/>
  <c r="N244" i="5" s="1"/>
  <c r="M244" i="5" a="1"/>
  <c r="M244" i="5" s="1"/>
  <c r="L244" i="5" a="1"/>
  <c r="L244" i="5" s="1"/>
  <c r="K244" i="5" a="1"/>
  <c r="K244" i="5" s="1"/>
  <c r="J244" i="5" a="1"/>
  <c r="J244" i="5" s="1"/>
  <c r="I244" i="5" a="1"/>
  <c r="I244" i="5" s="1"/>
  <c r="Y243" i="5" a="1"/>
  <c r="Y243" i="5" s="1"/>
  <c r="X243" i="5" a="1"/>
  <c r="X243" i="5" s="1"/>
  <c r="W243" i="5" a="1"/>
  <c r="W243" i="5" s="1"/>
  <c r="V243" i="5" a="1"/>
  <c r="V243" i="5" s="1"/>
  <c r="U243" i="5" a="1"/>
  <c r="U243" i="5" s="1"/>
  <c r="T243" i="5" a="1"/>
  <c r="T243" i="5" s="1"/>
  <c r="S243" i="5" a="1"/>
  <c r="S243" i="5" s="1"/>
  <c r="R243" i="5" a="1"/>
  <c r="R243" i="5" s="1"/>
  <c r="Q243" i="5" a="1"/>
  <c r="Q243" i="5" s="1"/>
  <c r="P243" i="5" a="1"/>
  <c r="P243" i="5" s="1"/>
  <c r="O243" i="5" a="1"/>
  <c r="O243" i="5" s="1"/>
  <c r="N243" i="5" a="1"/>
  <c r="N243" i="5" s="1"/>
  <c r="M243" i="5" a="1"/>
  <c r="M243" i="5" s="1"/>
  <c r="L243" i="5" a="1"/>
  <c r="L243" i="5" s="1"/>
  <c r="K243" i="5" a="1"/>
  <c r="K243" i="5" s="1"/>
  <c r="J243" i="5" a="1"/>
  <c r="J243" i="5" s="1"/>
  <c r="I243" i="5" a="1"/>
  <c r="I243" i="5" s="1"/>
  <c r="Y242" i="5" a="1"/>
  <c r="Y242" i="5" s="1"/>
  <c r="X242" i="5" a="1"/>
  <c r="X242" i="5" s="1"/>
  <c r="W242" i="5" a="1"/>
  <c r="W242" i="5" s="1"/>
  <c r="V242" i="5" a="1"/>
  <c r="V242" i="5" s="1"/>
  <c r="U242" i="5" a="1"/>
  <c r="U242" i="5" s="1"/>
  <c r="T242" i="5" a="1"/>
  <c r="T242" i="5" s="1"/>
  <c r="S242" i="5" a="1"/>
  <c r="S242" i="5" s="1"/>
  <c r="R242" i="5" a="1"/>
  <c r="R242" i="5" s="1"/>
  <c r="Q242" i="5" a="1"/>
  <c r="Q242" i="5" s="1"/>
  <c r="P242" i="5" a="1"/>
  <c r="P242" i="5" s="1"/>
  <c r="O242" i="5" a="1"/>
  <c r="O242" i="5" s="1"/>
  <c r="N242" i="5" a="1"/>
  <c r="N242" i="5" s="1"/>
  <c r="M242" i="5" a="1"/>
  <c r="M242" i="5" s="1"/>
  <c r="L242" i="5" a="1"/>
  <c r="L242" i="5" s="1"/>
  <c r="K242" i="5" a="1"/>
  <c r="K242" i="5" s="1"/>
  <c r="J242" i="5" a="1"/>
  <c r="J242" i="5" s="1"/>
  <c r="I242" i="5" a="1"/>
  <c r="I242" i="5" s="1"/>
  <c r="Y241" i="5" a="1"/>
  <c r="Y241" i="5" s="1"/>
  <c r="X241" i="5" a="1"/>
  <c r="X241" i="5" s="1"/>
  <c r="W241" i="5" a="1"/>
  <c r="W241" i="5" s="1"/>
  <c r="V241" i="5" a="1"/>
  <c r="V241" i="5" s="1"/>
  <c r="U241" i="5" a="1"/>
  <c r="U241" i="5" s="1"/>
  <c r="T241" i="5" a="1"/>
  <c r="T241" i="5" s="1"/>
  <c r="S241" i="5" a="1"/>
  <c r="S241" i="5" s="1"/>
  <c r="R241" i="5" a="1"/>
  <c r="R241" i="5" s="1"/>
  <c r="Q241" i="5" a="1"/>
  <c r="Q241" i="5" s="1"/>
  <c r="P241" i="5" a="1"/>
  <c r="P241" i="5" s="1"/>
  <c r="O241" i="5" a="1"/>
  <c r="O241" i="5" s="1"/>
  <c r="N241" i="5" a="1"/>
  <c r="N241" i="5" s="1"/>
  <c r="M241" i="5" a="1"/>
  <c r="M241" i="5" s="1"/>
  <c r="L241" i="5" a="1"/>
  <c r="L241" i="5" s="1"/>
  <c r="K241" i="5" a="1"/>
  <c r="K241" i="5" s="1"/>
  <c r="J241" i="5" a="1"/>
  <c r="J241" i="5" s="1"/>
  <c r="I241" i="5" a="1"/>
  <c r="I241" i="5" s="1"/>
  <c r="Y240" i="5" a="1"/>
  <c r="Y240" i="5" s="1"/>
  <c r="X240" i="5" a="1"/>
  <c r="X240" i="5" s="1"/>
  <c r="W240" i="5" a="1"/>
  <c r="W240" i="5" s="1"/>
  <c r="V240" i="5" a="1"/>
  <c r="V240" i="5" s="1"/>
  <c r="U240" i="5" a="1"/>
  <c r="U240" i="5" s="1"/>
  <c r="T240" i="5" a="1"/>
  <c r="T240" i="5" s="1"/>
  <c r="S240" i="5" a="1"/>
  <c r="S240" i="5" s="1"/>
  <c r="R240" i="5" a="1"/>
  <c r="R240" i="5" s="1"/>
  <c r="Q240" i="5" a="1"/>
  <c r="Q240" i="5" s="1"/>
  <c r="P240" i="5" a="1"/>
  <c r="P240" i="5" s="1"/>
  <c r="O240" i="5" a="1"/>
  <c r="O240" i="5" s="1"/>
  <c r="N240" i="5" a="1"/>
  <c r="N240" i="5" s="1"/>
  <c r="M240" i="5" a="1"/>
  <c r="M240" i="5" s="1"/>
  <c r="L240" i="5" a="1"/>
  <c r="L240" i="5" s="1"/>
  <c r="K240" i="5" a="1"/>
  <c r="K240" i="5" s="1"/>
  <c r="J240" i="5" a="1"/>
  <c r="J240" i="5" s="1"/>
  <c r="I240" i="5" a="1"/>
  <c r="I240" i="5" s="1"/>
  <c r="Y239" i="5" a="1"/>
  <c r="Y239" i="5" s="1"/>
  <c r="X239" i="5" a="1"/>
  <c r="X239" i="5" s="1"/>
  <c r="W239" i="5" a="1"/>
  <c r="W239" i="5" s="1"/>
  <c r="V239" i="5" a="1"/>
  <c r="V239" i="5" s="1"/>
  <c r="U239" i="5" a="1"/>
  <c r="U239" i="5" s="1"/>
  <c r="T239" i="5" a="1"/>
  <c r="T239" i="5" s="1"/>
  <c r="S239" i="5" a="1"/>
  <c r="S239" i="5" s="1"/>
  <c r="R239" i="5" a="1"/>
  <c r="R239" i="5" s="1"/>
  <c r="Q239" i="5" a="1"/>
  <c r="Q239" i="5" s="1"/>
  <c r="P239" i="5" a="1"/>
  <c r="P239" i="5" s="1"/>
  <c r="O239" i="5" a="1"/>
  <c r="O239" i="5" s="1"/>
  <c r="N239" i="5" a="1"/>
  <c r="N239" i="5" s="1"/>
  <c r="M239" i="5" a="1"/>
  <c r="M239" i="5" s="1"/>
  <c r="L239" i="5" a="1"/>
  <c r="L239" i="5" s="1"/>
  <c r="K239" i="5" a="1"/>
  <c r="K239" i="5" s="1"/>
  <c r="J239" i="5" a="1"/>
  <c r="J239" i="5" s="1"/>
  <c r="I239" i="5" a="1"/>
  <c r="I239" i="5" s="1"/>
  <c r="Y238" i="5" a="1"/>
  <c r="Y238" i="5" s="1"/>
  <c r="X238" i="5" a="1"/>
  <c r="X238" i="5" s="1"/>
  <c r="W238" i="5" a="1"/>
  <c r="W238" i="5" s="1"/>
  <c r="V238" i="5" a="1"/>
  <c r="V238" i="5" s="1"/>
  <c r="U238" i="5" a="1"/>
  <c r="U238" i="5" s="1"/>
  <c r="T238" i="5" a="1"/>
  <c r="T238" i="5" s="1"/>
  <c r="S238" i="5" a="1"/>
  <c r="S238" i="5" s="1"/>
  <c r="R238" i="5" a="1"/>
  <c r="R238" i="5" s="1"/>
  <c r="Q238" i="5" a="1"/>
  <c r="Q238" i="5" s="1"/>
  <c r="P238" i="5" a="1"/>
  <c r="P238" i="5" s="1"/>
  <c r="O238" i="5" a="1"/>
  <c r="O238" i="5" s="1"/>
  <c r="N238" i="5" a="1"/>
  <c r="N238" i="5" s="1"/>
  <c r="M238" i="5" a="1"/>
  <c r="M238" i="5" s="1"/>
  <c r="L238" i="5" a="1"/>
  <c r="L238" i="5" s="1"/>
  <c r="K238" i="5" a="1"/>
  <c r="K238" i="5" s="1"/>
  <c r="J238" i="5" a="1"/>
  <c r="J238" i="5" s="1"/>
  <c r="I238" i="5" a="1"/>
  <c r="I238" i="5" s="1"/>
  <c r="Y237" i="5" a="1"/>
  <c r="Y237" i="5" s="1"/>
  <c r="X237" i="5" a="1"/>
  <c r="X237" i="5" s="1"/>
  <c r="W237" i="5" a="1"/>
  <c r="W237" i="5" s="1"/>
  <c r="V237" i="5" a="1"/>
  <c r="V237" i="5" s="1"/>
  <c r="U237" i="5" a="1"/>
  <c r="U237" i="5" s="1"/>
  <c r="T237" i="5" a="1"/>
  <c r="T237" i="5" s="1"/>
  <c r="S237" i="5" a="1"/>
  <c r="S237" i="5" s="1"/>
  <c r="R237" i="5" a="1"/>
  <c r="R237" i="5" s="1"/>
  <c r="Q237" i="5" a="1"/>
  <c r="Q237" i="5" s="1"/>
  <c r="P237" i="5" a="1"/>
  <c r="P237" i="5" s="1"/>
  <c r="O237" i="5" a="1"/>
  <c r="O237" i="5" s="1"/>
  <c r="N237" i="5" a="1"/>
  <c r="N237" i="5" s="1"/>
  <c r="M237" i="5" a="1"/>
  <c r="M237" i="5" s="1"/>
  <c r="L237" i="5" a="1"/>
  <c r="L237" i="5" s="1"/>
  <c r="K237" i="5" a="1"/>
  <c r="K237" i="5" s="1"/>
  <c r="J237" i="5" a="1"/>
  <c r="J237" i="5" s="1"/>
  <c r="I237" i="5" a="1"/>
  <c r="I237" i="5" s="1"/>
  <c r="Y236" i="5" a="1"/>
  <c r="Y236" i="5" s="1"/>
  <c r="X236" i="5" a="1"/>
  <c r="X236" i="5" s="1"/>
  <c r="W236" i="5" a="1"/>
  <c r="W236" i="5" s="1"/>
  <c r="V236" i="5" a="1"/>
  <c r="V236" i="5" s="1"/>
  <c r="U236" i="5" a="1"/>
  <c r="U236" i="5" s="1"/>
  <c r="T236" i="5" a="1"/>
  <c r="T236" i="5" s="1"/>
  <c r="S236" i="5" a="1"/>
  <c r="S236" i="5" s="1"/>
  <c r="R236" i="5" a="1"/>
  <c r="R236" i="5" s="1"/>
  <c r="Q236" i="5" a="1"/>
  <c r="Q236" i="5" s="1"/>
  <c r="P236" i="5" a="1"/>
  <c r="P236" i="5" s="1"/>
  <c r="O236" i="5" a="1"/>
  <c r="O236" i="5" s="1"/>
  <c r="N236" i="5" a="1"/>
  <c r="N236" i="5" s="1"/>
  <c r="M236" i="5" a="1"/>
  <c r="M236" i="5" s="1"/>
  <c r="L236" i="5" a="1"/>
  <c r="L236" i="5" s="1"/>
  <c r="K236" i="5" a="1"/>
  <c r="K236" i="5" s="1"/>
  <c r="J236" i="5" a="1"/>
  <c r="J236" i="5" s="1"/>
  <c r="I236" i="5" a="1"/>
  <c r="I236" i="5" s="1"/>
  <c r="Y235" i="5" a="1"/>
  <c r="Y235" i="5" s="1"/>
  <c r="X235" i="5" a="1"/>
  <c r="X235" i="5" s="1"/>
  <c r="W235" i="5" a="1"/>
  <c r="W235" i="5" s="1"/>
  <c r="V235" i="5" a="1"/>
  <c r="V235" i="5" s="1"/>
  <c r="U235" i="5" a="1"/>
  <c r="U235" i="5" s="1"/>
  <c r="T235" i="5" a="1"/>
  <c r="T235" i="5" s="1"/>
  <c r="S235" i="5" a="1"/>
  <c r="S235" i="5" s="1"/>
  <c r="R235" i="5" a="1"/>
  <c r="R235" i="5" s="1"/>
  <c r="Q235" i="5" a="1"/>
  <c r="Q235" i="5" s="1"/>
  <c r="P235" i="5" a="1"/>
  <c r="P235" i="5" s="1"/>
  <c r="O235" i="5" a="1"/>
  <c r="O235" i="5" s="1"/>
  <c r="N235" i="5" a="1"/>
  <c r="N235" i="5" s="1"/>
  <c r="M235" i="5" a="1"/>
  <c r="M235" i="5" s="1"/>
  <c r="L235" i="5" a="1"/>
  <c r="L235" i="5" s="1"/>
  <c r="K235" i="5" a="1"/>
  <c r="K235" i="5" s="1"/>
  <c r="J235" i="5" a="1"/>
  <c r="J235" i="5" s="1"/>
  <c r="I235" i="5" a="1"/>
  <c r="I235" i="5" s="1"/>
  <c r="Y234" i="5" a="1"/>
  <c r="Y234" i="5" s="1"/>
  <c r="X234" i="5" a="1"/>
  <c r="X234" i="5" s="1"/>
  <c r="W234" i="5" a="1"/>
  <c r="W234" i="5" s="1"/>
  <c r="V234" i="5" a="1"/>
  <c r="V234" i="5" s="1"/>
  <c r="U234" i="5" a="1"/>
  <c r="U234" i="5" s="1"/>
  <c r="T234" i="5" a="1"/>
  <c r="T234" i="5" s="1"/>
  <c r="S234" i="5" a="1"/>
  <c r="S234" i="5" s="1"/>
  <c r="R234" i="5" a="1"/>
  <c r="R234" i="5" s="1"/>
  <c r="Q234" i="5" a="1"/>
  <c r="Q234" i="5" s="1"/>
  <c r="P234" i="5" a="1"/>
  <c r="P234" i="5" s="1"/>
  <c r="O234" i="5" a="1"/>
  <c r="O234" i="5" s="1"/>
  <c r="N234" i="5" a="1"/>
  <c r="N234" i="5" s="1"/>
  <c r="M234" i="5" a="1"/>
  <c r="M234" i="5" s="1"/>
  <c r="L234" i="5" a="1"/>
  <c r="L234" i="5" s="1"/>
  <c r="K234" i="5" a="1"/>
  <c r="K234" i="5" s="1"/>
  <c r="J234" i="5" a="1"/>
  <c r="J234" i="5" s="1"/>
  <c r="I234" i="5" a="1"/>
  <c r="I234" i="5" s="1"/>
  <c r="Y233" i="5" a="1"/>
  <c r="Y233" i="5" s="1"/>
  <c r="X233" i="5" a="1"/>
  <c r="X233" i="5" s="1"/>
  <c r="W233" i="5" a="1"/>
  <c r="W233" i="5" s="1"/>
  <c r="V233" i="5" a="1"/>
  <c r="V233" i="5" s="1"/>
  <c r="U233" i="5" a="1"/>
  <c r="U233" i="5" s="1"/>
  <c r="T233" i="5" a="1"/>
  <c r="T233" i="5" s="1"/>
  <c r="S233" i="5" a="1"/>
  <c r="S233" i="5" s="1"/>
  <c r="R233" i="5" a="1"/>
  <c r="R233" i="5" s="1"/>
  <c r="Q233" i="5" a="1"/>
  <c r="Q233" i="5" s="1"/>
  <c r="P233" i="5" a="1"/>
  <c r="P233" i="5" s="1"/>
  <c r="O233" i="5" a="1"/>
  <c r="O233" i="5" s="1"/>
  <c r="N233" i="5" a="1"/>
  <c r="N233" i="5" s="1"/>
  <c r="M233" i="5" a="1"/>
  <c r="M233" i="5" s="1"/>
  <c r="L233" i="5" a="1"/>
  <c r="L233" i="5" s="1"/>
  <c r="K233" i="5" a="1"/>
  <c r="K233" i="5" s="1"/>
  <c r="J233" i="5" a="1"/>
  <c r="J233" i="5" s="1"/>
  <c r="I233" i="5" a="1"/>
  <c r="I233" i="5" s="1"/>
  <c r="Y232" i="5" a="1"/>
  <c r="Y232" i="5" s="1"/>
  <c r="X232" i="5" a="1"/>
  <c r="X232" i="5" s="1"/>
  <c r="W232" i="5" a="1"/>
  <c r="W232" i="5" s="1"/>
  <c r="V232" i="5" a="1"/>
  <c r="V232" i="5" s="1"/>
  <c r="U232" i="5" a="1"/>
  <c r="U232" i="5" s="1"/>
  <c r="T232" i="5" a="1"/>
  <c r="T232" i="5" s="1"/>
  <c r="S232" i="5" a="1"/>
  <c r="S232" i="5" s="1"/>
  <c r="R232" i="5" a="1"/>
  <c r="R232" i="5" s="1"/>
  <c r="Q232" i="5" a="1"/>
  <c r="Q232" i="5" s="1"/>
  <c r="P232" i="5" a="1"/>
  <c r="P232" i="5" s="1"/>
  <c r="O232" i="5" a="1"/>
  <c r="O232" i="5" s="1"/>
  <c r="N232" i="5" a="1"/>
  <c r="N232" i="5" s="1"/>
  <c r="M232" i="5" a="1"/>
  <c r="M232" i="5" s="1"/>
  <c r="L232" i="5" a="1"/>
  <c r="L232" i="5" s="1"/>
  <c r="K232" i="5" a="1"/>
  <c r="K232" i="5" s="1"/>
  <c r="J232" i="5" a="1"/>
  <c r="J232" i="5" s="1"/>
  <c r="I232" i="5" a="1"/>
  <c r="I232" i="5" s="1"/>
  <c r="Y231" i="5" a="1"/>
  <c r="Y231" i="5" s="1"/>
  <c r="X231" i="5" a="1"/>
  <c r="X231" i="5" s="1"/>
  <c r="W231" i="5" a="1"/>
  <c r="W231" i="5" s="1"/>
  <c r="V231" i="5" a="1"/>
  <c r="V231" i="5" s="1"/>
  <c r="U231" i="5" a="1"/>
  <c r="U231" i="5" s="1"/>
  <c r="T231" i="5" a="1"/>
  <c r="T231" i="5" s="1"/>
  <c r="S231" i="5" a="1"/>
  <c r="S231" i="5" s="1"/>
  <c r="R231" i="5" a="1"/>
  <c r="R231" i="5" s="1"/>
  <c r="Q231" i="5" a="1"/>
  <c r="Q231" i="5" s="1"/>
  <c r="P231" i="5" a="1"/>
  <c r="P231" i="5" s="1"/>
  <c r="O231" i="5" a="1"/>
  <c r="O231" i="5" s="1"/>
  <c r="N231" i="5" a="1"/>
  <c r="N231" i="5" s="1"/>
  <c r="M231" i="5" a="1"/>
  <c r="M231" i="5" s="1"/>
  <c r="L231" i="5" a="1"/>
  <c r="L231" i="5" s="1"/>
  <c r="K231" i="5" a="1"/>
  <c r="K231" i="5" s="1"/>
  <c r="J231" i="5" a="1"/>
  <c r="J231" i="5" s="1"/>
  <c r="I231" i="5" a="1"/>
  <c r="I231" i="5" s="1"/>
  <c r="Y230" i="5" a="1"/>
  <c r="Y230" i="5" s="1"/>
  <c r="X230" i="5" a="1"/>
  <c r="X230" i="5" s="1"/>
  <c r="W230" i="5" a="1"/>
  <c r="W230" i="5" s="1"/>
  <c r="V230" i="5" a="1"/>
  <c r="V230" i="5" s="1"/>
  <c r="U230" i="5" a="1"/>
  <c r="U230" i="5" s="1"/>
  <c r="T230" i="5" a="1"/>
  <c r="T230" i="5" s="1"/>
  <c r="S230" i="5" a="1"/>
  <c r="S230" i="5" s="1"/>
  <c r="R230" i="5" a="1"/>
  <c r="R230" i="5" s="1"/>
  <c r="Q230" i="5" a="1"/>
  <c r="Q230" i="5" s="1"/>
  <c r="P230" i="5" a="1"/>
  <c r="P230" i="5" s="1"/>
  <c r="O230" i="5" a="1"/>
  <c r="O230" i="5" s="1"/>
  <c r="N230" i="5" a="1"/>
  <c r="N230" i="5" s="1"/>
  <c r="M230" i="5" a="1"/>
  <c r="M230" i="5" s="1"/>
  <c r="L230" i="5" a="1"/>
  <c r="L230" i="5" s="1"/>
  <c r="K230" i="5" a="1"/>
  <c r="K230" i="5" s="1"/>
  <c r="J230" i="5" a="1"/>
  <c r="J230" i="5" s="1"/>
  <c r="I230" i="5" a="1"/>
  <c r="I230" i="5" s="1"/>
  <c r="Y229" i="5" a="1"/>
  <c r="Y229" i="5" s="1"/>
  <c r="X229" i="5" a="1"/>
  <c r="X229" i="5" s="1"/>
  <c r="W229" i="5" a="1"/>
  <c r="W229" i="5" s="1"/>
  <c r="V229" i="5" a="1"/>
  <c r="V229" i="5" s="1"/>
  <c r="U229" i="5" a="1"/>
  <c r="U229" i="5" s="1"/>
  <c r="T229" i="5" a="1"/>
  <c r="T229" i="5" s="1"/>
  <c r="S229" i="5" a="1"/>
  <c r="S229" i="5" s="1"/>
  <c r="R229" i="5" a="1"/>
  <c r="R229" i="5" s="1"/>
  <c r="Q229" i="5" a="1"/>
  <c r="Q229" i="5" s="1"/>
  <c r="P229" i="5" a="1"/>
  <c r="P229" i="5" s="1"/>
  <c r="O229" i="5" a="1"/>
  <c r="O229" i="5" s="1"/>
  <c r="N229" i="5" a="1"/>
  <c r="N229" i="5" s="1"/>
  <c r="M229" i="5" a="1"/>
  <c r="M229" i="5" s="1"/>
  <c r="L229" i="5" a="1"/>
  <c r="L229" i="5" s="1"/>
  <c r="K229" i="5" a="1"/>
  <c r="K229" i="5" s="1"/>
  <c r="J229" i="5" a="1"/>
  <c r="J229" i="5" s="1"/>
  <c r="I229" i="5" a="1"/>
  <c r="I229" i="5" s="1"/>
  <c r="Y228" i="5" a="1"/>
  <c r="Y228" i="5" s="1"/>
  <c r="X228" i="5" a="1"/>
  <c r="X228" i="5" s="1"/>
  <c r="W228" i="5" a="1"/>
  <c r="W228" i="5" s="1"/>
  <c r="V228" i="5" a="1"/>
  <c r="V228" i="5" s="1"/>
  <c r="U228" i="5" a="1"/>
  <c r="U228" i="5" s="1"/>
  <c r="T228" i="5" a="1"/>
  <c r="T228" i="5" s="1"/>
  <c r="S228" i="5" a="1"/>
  <c r="S228" i="5" s="1"/>
  <c r="R228" i="5" a="1"/>
  <c r="R228" i="5" s="1"/>
  <c r="Q228" i="5" a="1"/>
  <c r="Q228" i="5" s="1"/>
  <c r="P228" i="5" a="1"/>
  <c r="P228" i="5" s="1"/>
  <c r="O228" i="5" a="1"/>
  <c r="O228" i="5" s="1"/>
  <c r="N228" i="5" a="1"/>
  <c r="N228" i="5" s="1"/>
  <c r="M228" i="5" a="1"/>
  <c r="M228" i="5" s="1"/>
  <c r="L228" i="5" a="1"/>
  <c r="L228" i="5" s="1"/>
  <c r="K228" i="5" a="1"/>
  <c r="K228" i="5" s="1"/>
  <c r="J228" i="5" a="1"/>
  <c r="J228" i="5" s="1"/>
  <c r="I228" i="5" a="1"/>
  <c r="I228" i="5" s="1"/>
  <c r="Y227" i="5" a="1"/>
  <c r="Y227" i="5" s="1"/>
  <c r="X227" i="5" a="1"/>
  <c r="X227" i="5" s="1"/>
  <c r="W227" i="5" a="1"/>
  <c r="W227" i="5" s="1"/>
  <c r="V227" i="5" a="1"/>
  <c r="V227" i="5" s="1"/>
  <c r="U227" i="5" a="1"/>
  <c r="U227" i="5" s="1"/>
  <c r="T227" i="5" a="1"/>
  <c r="T227" i="5" s="1"/>
  <c r="S227" i="5" a="1"/>
  <c r="S227" i="5" s="1"/>
  <c r="R227" i="5" a="1"/>
  <c r="R227" i="5" s="1"/>
  <c r="Q227" i="5" a="1"/>
  <c r="Q227" i="5" s="1"/>
  <c r="P227" i="5" a="1"/>
  <c r="P227" i="5" s="1"/>
  <c r="O227" i="5" a="1"/>
  <c r="O227" i="5" s="1"/>
  <c r="N227" i="5" a="1"/>
  <c r="N227" i="5" s="1"/>
  <c r="M227" i="5" a="1"/>
  <c r="M227" i="5" s="1"/>
  <c r="L227" i="5" a="1"/>
  <c r="L227" i="5" s="1"/>
  <c r="K227" i="5" a="1"/>
  <c r="K227" i="5" s="1"/>
  <c r="J227" i="5" a="1"/>
  <c r="J227" i="5" s="1"/>
  <c r="I227" i="5" a="1"/>
  <c r="I227" i="5" s="1"/>
  <c r="Y226" i="5" a="1"/>
  <c r="Y226" i="5" s="1"/>
  <c r="X226" i="5" a="1"/>
  <c r="X226" i="5" s="1"/>
  <c r="W226" i="5" a="1"/>
  <c r="W226" i="5" s="1"/>
  <c r="V226" i="5" a="1"/>
  <c r="V226" i="5" s="1"/>
  <c r="U226" i="5" a="1"/>
  <c r="U226" i="5" s="1"/>
  <c r="T226" i="5" a="1"/>
  <c r="T226" i="5" s="1"/>
  <c r="S226" i="5" a="1"/>
  <c r="S226" i="5" s="1"/>
  <c r="R226" i="5" a="1"/>
  <c r="R226" i="5" s="1"/>
  <c r="Q226" i="5" a="1"/>
  <c r="Q226" i="5" s="1"/>
  <c r="P226" i="5" a="1"/>
  <c r="P226" i="5" s="1"/>
  <c r="O226" i="5" a="1"/>
  <c r="O226" i="5" s="1"/>
  <c r="N226" i="5" a="1"/>
  <c r="N226" i="5" s="1"/>
  <c r="M226" i="5" a="1"/>
  <c r="M226" i="5" s="1"/>
  <c r="L226" i="5" a="1"/>
  <c r="L226" i="5" s="1"/>
  <c r="K226" i="5" a="1"/>
  <c r="K226" i="5" s="1"/>
  <c r="J226" i="5" a="1"/>
  <c r="J226" i="5" s="1"/>
  <c r="I226" i="5" a="1"/>
  <c r="I226" i="5" s="1"/>
  <c r="Y225" i="5" a="1"/>
  <c r="Y225" i="5" s="1"/>
  <c r="X225" i="5" a="1"/>
  <c r="X225" i="5" s="1"/>
  <c r="W225" i="5" a="1"/>
  <c r="W225" i="5" s="1"/>
  <c r="V225" i="5" a="1"/>
  <c r="V225" i="5" s="1"/>
  <c r="U225" i="5" a="1"/>
  <c r="U225" i="5" s="1"/>
  <c r="T225" i="5" a="1"/>
  <c r="T225" i="5" s="1"/>
  <c r="S225" i="5" a="1"/>
  <c r="S225" i="5" s="1"/>
  <c r="R225" i="5" a="1"/>
  <c r="R225" i="5" s="1"/>
  <c r="Q225" i="5" a="1"/>
  <c r="Q225" i="5" s="1"/>
  <c r="P225" i="5" a="1"/>
  <c r="P225" i="5" s="1"/>
  <c r="O225" i="5" a="1"/>
  <c r="O225" i="5" s="1"/>
  <c r="N225" i="5" a="1"/>
  <c r="N225" i="5" s="1"/>
  <c r="M225" i="5" a="1"/>
  <c r="M225" i="5" s="1"/>
  <c r="L225" i="5" a="1"/>
  <c r="L225" i="5" s="1"/>
  <c r="K225" i="5" a="1"/>
  <c r="K225" i="5" s="1"/>
  <c r="J225" i="5" a="1"/>
  <c r="J225" i="5" s="1"/>
  <c r="I225" i="5" a="1"/>
  <c r="I225" i="5" s="1"/>
  <c r="Y224" i="5" a="1"/>
  <c r="Y224" i="5" s="1"/>
  <c r="X224" i="5" a="1"/>
  <c r="X224" i="5" s="1"/>
  <c r="W224" i="5" a="1"/>
  <c r="W224" i="5" s="1"/>
  <c r="V224" i="5" a="1"/>
  <c r="V224" i="5" s="1"/>
  <c r="U224" i="5" a="1"/>
  <c r="U224" i="5" s="1"/>
  <c r="T224" i="5" a="1"/>
  <c r="T224" i="5" s="1"/>
  <c r="S224" i="5" a="1"/>
  <c r="S224" i="5" s="1"/>
  <c r="R224" i="5" a="1"/>
  <c r="R224" i="5" s="1"/>
  <c r="Q224" i="5" a="1"/>
  <c r="Q224" i="5" s="1"/>
  <c r="P224" i="5" a="1"/>
  <c r="P224" i="5" s="1"/>
  <c r="O224" i="5" a="1"/>
  <c r="O224" i="5" s="1"/>
  <c r="N224" i="5" a="1"/>
  <c r="N224" i="5" s="1"/>
  <c r="M224" i="5" a="1"/>
  <c r="M224" i="5" s="1"/>
  <c r="L224" i="5" a="1"/>
  <c r="L224" i="5" s="1"/>
  <c r="K224" i="5" a="1"/>
  <c r="K224" i="5" s="1"/>
  <c r="J224" i="5" a="1"/>
  <c r="J224" i="5" s="1"/>
  <c r="I224" i="5" a="1"/>
  <c r="I224" i="5" s="1"/>
  <c r="Y223" i="5" a="1"/>
  <c r="Y223" i="5" s="1"/>
  <c r="X223" i="5" a="1"/>
  <c r="X223" i="5" s="1"/>
  <c r="W223" i="5" a="1"/>
  <c r="W223" i="5" s="1"/>
  <c r="V223" i="5" a="1"/>
  <c r="V223" i="5" s="1"/>
  <c r="U223" i="5" a="1"/>
  <c r="U223" i="5" s="1"/>
  <c r="T223" i="5" a="1"/>
  <c r="T223" i="5" s="1"/>
  <c r="S223" i="5" a="1"/>
  <c r="S223" i="5" s="1"/>
  <c r="R223" i="5" a="1"/>
  <c r="R223" i="5" s="1"/>
  <c r="Q223" i="5" a="1"/>
  <c r="Q223" i="5" s="1"/>
  <c r="P223" i="5" a="1"/>
  <c r="P223" i="5" s="1"/>
  <c r="O223" i="5" a="1"/>
  <c r="O223" i="5" s="1"/>
  <c r="N223" i="5" a="1"/>
  <c r="N223" i="5" s="1"/>
  <c r="M223" i="5" a="1"/>
  <c r="M223" i="5" s="1"/>
  <c r="L223" i="5" a="1"/>
  <c r="L223" i="5" s="1"/>
  <c r="K223" i="5" a="1"/>
  <c r="K223" i="5" s="1"/>
  <c r="J223" i="5" a="1"/>
  <c r="J223" i="5" s="1"/>
  <c r="I223" i="5" a="1"/>
  <c r="I223" i="5" s="1"/>
  <c r="Y222" i="5" a="1"/>
  <c r="Y222" i="5" s="1"/>
  <c r="X222" i="5" a="1"/>
  <c r="X222" i="5" s="1"/>
  <c r="W222" i="5" a="1"/>
  <c r="W222" i="5" s="1"/>
  <c r="V222" i="5" a="1"/>
  <c r="V222" i="5" s="1"/>
  <c r="U222" i="5" a="1"/>
  <c r="U222" i="5" s="1"/>
  <c r="T222" i="5" a="1"/>
  <c r="T222" i="5" s="1"/>
  <c r="S222" i="5" a="1"/>
  <c r="S222" i="5" s="1"/>
  <c r="R222" i="5" a="1"/>
  <c r="R222" i="5" s="1"/>
  <c r="Q222" i="5" a="1"/>
  <c r="Q222" i="5" s="1"/>
  <c r="P222" i="5" a="1"/>
  <c r="P222" i="5" s="1"/>
  <c r="O222" i="5" a="1"/>
  <c r="O222" i="5" s="1"/>
  <c r="N222" i="5" a="1"/>
  <c r="N222" i="5" s="1"/>
  <c r="M222" i="5" a="1"/>
  <c r="M222" i="5" s="1"/>
  <c r="L222" i="5" a="1"/>
  <c r="L222" i="5" s="1"/>
  <c r="K222" i="5" a="1"/>
  <c r="K222" i="5" s="1"/>
  <c r="J222" i="5" a="1"/>
  <c r="J222" i="5" s="1"/>
  <c r="I222" i="5" a="1"/>
  <c r="I222" i="5" s="1"/>
  <c r="Y221" i="5" a="1"/>
  <c r="Y221" i="5" s="1"/>
  <c r="X221" i="5" a="1"/>
  <c r="X221" i="5" s="1"/>
  <c r="W221" i="5" a="1"/>
  <c r="W221" i="5" s="1"/>
  <c r="V221" i="5" a="1"/>
  <c r="V221" i="5" s="1"/>
  <c r="U221" i="5" a="1"/>
  <c r="U221" i="5" s="1"/>
  <c r="T221" i="5" a="1"/>
  <c r="T221" i="5" s="1"/>
  <c r="S221" i="5" a="1"/>
  <c r="S221" i="5" s="1"/>
  <c r="R221" i="5" a="1"/>
  <c r="R221" i="5" s="1"/>
  <c r="Q221" i="5" a="1"/>
  <c r="Q221" i="5" s="1"/>
  <c r="P221" i="5" a="1"/>
  <c r="P221" i="5" s="1"/>
  <c r="O221" i="5" a="1"/>
  <c r="O221" i="5" s="1"/>
  <c r="N221" i="5" a="1"/>
  <c r="N221" i="5" s="1"/>
  <c r="M221" i="5" a="1"/>
  <c r="M221" i="5" s="1"/>
  <c r="L221" i="5" a="1"/>
  <c r="L221" i="5" s="1"/>
  <c r="K221" i="5" a="1"/>
  <c r="K221" i="5" s="1"/>
  <c r="J221" i="5" a="1"/>
  <c r="J221" i="5" s="1"/>
  <c r="I221" i="5" a="1"/>
  <c r="I221" i="5" s="1"/>
  <c r="Y220" i="5" a="1"/>
  <c r="Y220" i="5" s="1"/>
  <c r="X220" i="5" a="1"/>
  <c r="X220" i="5" s="1"/>
  <c r="W220" i="5" a="1"/>
  <c r="W220" i="5" s="1"/>
  <c r="V220" i="5" a="1"/>
  <c r="V220" i="5" s="1"/>
  <c r="U220" i="5" a="1"/>
  <c r="U220" i="5" s="1"/>
  <c r="T220" i="5" a="1"/>
  <c r="T220" i="5" s="1"/>
  <c r="S220" i="5" a="1"/>
  <c r="S220" i="5" s="1"/>
  <c r="R220" i="5" a="1"/>
  <c r="R220" i="5" s="1"/>
  <c r="Q220" i="5" a="1"/>
  <c r="Q220" i="5" s="1"/>
  <c r="P220" i="5" a="1"/>
  <c r="P220" i="5" s="1"/>
  <c r="O220" i="5" a="1"/>
  <c r="O220" i="5" s="1"/>
  <c r="N220" i="5" a="1"/>
  <c r="N220" i="5" s="1"/>
  <c r="M220" i="5" a="1"/>
  <c r="M220" i="5" s="1"/>
  <c r="L220" i="5" a="1"/>
  <c r="L220" i="5" s="1"/>
  <c r="K220" i="5" a="1"/>
  <c r="K220" i="5" s="1"/>
  <c r="J220" i="5" a="1"/>
  <c r="J220" i="5" s="1"/>
  <c r="I220" i="5" a="1"/>
  <c r="I220" i="5" s="1"/>
  <c r="Y219" i="5" a="1"/>
  <c r="Y219" i="5" s="1"/>
  <c r="X219" i="5" a="1"/>
  <c r="X219" i="5" s="1"/>
  <c r="W219" i="5" a="1"/>
  <c r="W219" i="5" s="1"/>
  <c r="V219" i="5" a="1"/>
  <c r="V219" i="5" s="1"/>
  <c r="U219" i="5" a="1"/>
  <c r="U219" i="5" s="1"/>
  <c r="T219" i="5" a="1"/>
  <c r="T219" i="5" s="1"/>
  <c r="S219" i="5" a="1"/>
  <c r="S219" i="5" s="1"/>
  <c r="R219" i="5" a="1"/>
  <c r="R219" i="5" s="1"/>
  <c r="Q219" i="5" a="1"/>
  <c r="Q219" i="5" s="1"/>
  <c r="P219" i="5" a="1"/>
  <c r="P219" i="5" s="1"/>
  <c r="O219" i="5" a="1"/>
  <c r="O219" i="5" s="1"/>
  <c r="N219" i="5" a="1"/>
  <c r="N219" i="5" s="1"/>
  <c r="M219" i="5" a="1"/>
  <c r="M219" i="5" s="1"/>
  <c r="L219" i="5" a="1"/>
  <c r="L219" i="5" s="1"/>
  <c r="K219" i="5" a="1"/>
  <c r="K219" i="5" s="1"/>
  <c r="J219" i="5" a="1"/>
  <c r="J219" i="5" s="1"/>
  <c r="I219" i="5" a="1"/>
  <c r="I219" i="5" s="1"/>
  <c r="Y218" i="5" a="1"/>
  <c r="Y218" i="5" s="1"/>
  <c r="X218" i="5" a="1"/>
  <c r="X218" i="5" s="1"/>
  <c r="W218" i="5" a="1"/>
  <c r="W218" i="5" s="1"/>
  <c r="V218" i="5" a="1"/>
  <c r="V218" i="5" s="1"/>
  <c r="U218" i="5" a="1"/>
  <c r="U218" i="5" s="1"/>
  <c r="T218" i="5" a="1"/>
  <c r="T218" i="5" s="1"/>
  <c r="S218" i="5" a="1"/>
  <c r="S218" i="5" s="1"/>
  <c r="R218" i="5" a="1"/>
  <c r="R218" i="5" s="1"/>
  <c r="Q218" i="5" a="1"/>
  <c r="Q218" i="5" s="1"/>
  <c r="P218" i="5" a="1"/>
  <c r="P218" i="5" s="1"/>
  <c r="O218" i="5" a="1"/>
  <c r="O218" i="5" s="1"/>
  <c r="N218" i="5" a="1"/>
  <c r="N218" i="5" s="1"/>
  <c r="M218" i="5" a="1"/>
  <c r="M218" i="5" s="1"/>
  <c r="L218" i="5" a="1"/>
  <c r="L218" i="5" s="1"/>
  <c r="K218" i="5" a="1"/>
  <c r="K218" i="5" s="1"/>
  <c r="J218" i="5" a="1"/>
  <c r="J218" i="5" s="1"/>
  <c r="I218" i="5" a="1"/>
  <c r="I218" i="5" s="1"/>
  <c r="Y217" i="5" a="1"/>
  <c r="Y217" i="5" s="1"/>
  <c r="X217" i="5" a="1"/>
  <c r="X217" i="5" s="1"/>
  <c r="W217" i="5" a="1"/>
  <c r="W217" i="5" s="1"/>
  <c r="V217" i="5" a="1"/>
  <c r="V217" i="5" s="1"/>
  <c r="U217" i="5" a="1"/>
  <c r="U217" i="5" s="1"/>
  <c r="T217" i="5" a="1"/>
  <c r="T217" i="5" s="1"/>
  <c r="S217" i="5" a="1"/>
  <c r="S217" i="5" s="1"/>
  <c r="R217" i="5" a="1"/>
  <c r="R217" i="5" s="1"/>
  <c r="Q217" i="5" a="1"/>
  <c r="Q217" i="5" s="1"/>
  <c r="P217" i="5" a="1"/>
  <c r="P217" i="5" s="1"/>
  <c r="O217" i="5" a="1"/>
  <c r="O217" i="5" s="1"/>
  <c r="N217" i="5" a="1"/>
  <c r="N217" i="5" s="1"/>
  <c r="M217" i="5" a="1"/>
  <c r="M217" i="5" s="1"/>
  <c r="L217" i="5" a="1"/>
  <c r="L217" i="5" s="1"/>
  <c r="K217" i="5" a="1"/>
  <c r="K217" i="5" s="1"/>
  <c r="J217" i="5" a="1"/>
  <c r="J217" i="5" s="1"/>
  <c r="I217" i="5" a="1"/>
  <c r="I217" i="5" s="1"/>
  <c r="Y216" i="5" a="1"/>
  <c r="Y216" i="5" s="1"/>
  <c r="X216" i="5" a="1"/>
  <c r="X216" i="5" s="1"/>
  <c r="W216" i="5" a="1"/>
  <c r="W216" i="5" s="1"/>
  <c r="V216" i="5" a="1"/>
  <c r="V216" i="5" s="1"/>
  <c r="U216" i="5" a="1"/>
  <c r="U216" i="5" s="1"/>
  <c r="T216" i="5" a="1"/>
  <c r="T216" i="5" s="1"/>
  <c r="S216" i="5" a="1"/>
  <c r="S216" i="5" s="1"/>
  <c r="R216" i="5" a="1"/>
  <c r="R216" i="5" s="1"/>
  <c r="Q216" i="5" a="1"/>
  <c r="Q216" i="5" s="1"/>
  <c r="P216" i="5" a="1"/>
  <c r="P216" i="5" s="1"/>
  <c r="O216" i="5" a="1"/>
  <c r="O216" i="5" s="1"/>
  <c r="N216" i="5" a="1"/>
  <c r="N216" i="5" s="1"/>
  <c r="M216" i="5" a="1"/>
  <c r="M216" i="5" s="1"/>
  <c r="L216" i="5" a="1"/>
  <c r="L216" i="5" s="1"/>
  <c r="K216" i="5" a="1"/>
  <c r="K216" i="5" s="1"/>
  <c r="J216" i="5" a="1"/>
  <c r="J216" i="5" s="1"/>
  <c r="I216" i="5" a="1"/>
  <c r="I216" i="5" s="1"/>
  <c r="Y215" i="5" a="1"/>
  <c r="Y215" i="5" s="1"/>
  <c r="X215" i="5" a="1"/>
  <c r="X215" i="5" s="1"/>
  <c r="W215" i="5" a="1"/>
  <c r="W215" i="5" s="1"/>
  <c r="V215" i="5" a="1"/>
  <c r="V215" i="5" s="1"/>
  <c r="U215" i="5" a="1"/>
  <c r="U215" i="5" s="1"/>
  <c r="T215" i="5" a="1"/>
  <c r="T215" i="5" s="1"/>
  <c r="S215" i="5" a="1"/>
  <c r="S215" i="5" s="1"/>
  <c r="R215" i="5" a="1"/>
  <c r="R215" i="5" s="1"/>
  <c r="Q215" i="5" a="1"/>
  <c r="Q215" i="5" s="1"/>
  <c r="P215" i="5" a="1"/>
  <c r="P215" i="5" s="1"/>
  <c r="O215" i="5" a="1"/>
  <c r="O215" i="5" s="1"/>
  <c r="N215" i="5" a="1"/>
  <c r="N215" i="5" s="1"/>
  <c r="M215" i="5" a="1"/>
  <c r="M215" i="5" s="1"/>
  <c r="L215" i="5" a="1"/>
  <c r="L215" i="5" s="1"/>
  <c r="K215" i="5" a="1"/>
  <c r="K215" i="5" s="1"/>
  <c r="J215" i="5" a="1"/>
  <c r="J215" i="5" s="1"/>
  <c r="I215" i="5" a="1"/>
  <c r="I215" i="5" s="1"/>
  <c r="Y214" i="5" a="1"/>
  <c r="Y214" i="5" s="1"/>
  <c r="X214" i="5" a="1"/>
  <c r="X214" i="5" s="1"/>
  <c r="W214" i="5" a="1"/>
  <c r="W214" i="5" s="1"/>
  <c r="V214" i="5" a="1"/>
  <c r="V214" i="5" s="1"/>
  <c r="U214" i="5" a="1"/>
  <c r="U214" i="5" s="1"/>
  <c r="T214" i="5" a="1"/>
  <c r="T214" i="5" s="1"/>
  <c r="S214" i="5" a="1"/>
  <c r="S214" i="5" s="1"/>
  <c r="R214" i="5" a="1"/>
  <c r="R214" i="5" s="1"/>
  <c r="Q214" i="5" a="1"/>
  <c r="Q214" i="5" s="1"/>
  <c r="P214" i="5" a="1"/>
  <c r="P214" i="5" s="1"/>
  <c r="O214" i="5" a="1"/>
  <c r="O214" i="5" s="1"/>
  <c r="N214" i="5" a="1"/>
  <c r="N214" i="5" s="1"/>
  <c r="M214" i="5" a="1"/>
  <c r="M214" i="5" s="1"/>
  <c r="L214" i="5" a="1"/>
  <c r="L214" i="5" s="1"/>
  <c r="K214" i="5" a="1"/>
  <c r="K214" i="5" s="1"/>
  <c r="J214" i="5" a="1"/>
  <c r="J214" i="5" s="1"/>
  <c r="I214" i="5" a="1"/>
  <c r="I214" i="5" s="1"/>
  <c r="Y213" i="5" a="1"/>
  <c r="Y213" i="5" s="1"/>
  <c r="X213" i="5" a="1"/>
  <c r="X213" i="5" s="1"/>
  <c r="W213" i="5" a="1"/>
  <c r="W213" i="5" s="1"/>
  <c r="V213" i="5" a="1"/>
  <c r="V213" i="5" s="1"/>
  <c r="U213" i="5" a="1"/>
  <c r="U213" i="5" s="1"/>
  <c r="T213" i="5" a="1"/>
  <c r="T213" i="5" s="1"/>
  <c r="S213" i="5" a="1"/>
  <c r="S213" i="5" s="1"/>
  <c r="R213" i="5" a="1"/>
  <c r="R213" i="5" s="1"/>
  <c r="Q213" i="5" a="1"/>
  <c r="Q213" i="5" s="1"/>
  <c r="P213" i="5" a="1"/>
  <c r="P213" i="5" s="1"/>
  <c r="O213" i="5" a="1"/>
  <c r="O213" i="5" s="1"/>
  <c r="N213" i="5" a="1"/>
  <c r="N213" i="5" s="1"/>
  <c r="M213" i="5" a="1"/>
  <c r="M213" i="5" s="1"/>
  <c r="L213" i="5" a="1"/>
  <c r="L213" i="5" s="1"/>
  <c r="K213" i="5" a="1"/>
  <c r="K213" i="5" s="1"/>
  <c r="J213" i="5" a="1"/>
  <c r="J213" i="5" s="1"/>
  <c r="I213" i="5" a="1"/>
  <c r="I213" i="5" s="1"/>
  <c r="Y212" i="5" a="1"/>
  <c r="Y212" i="5" s="1"/>
  <c r="X212" i="5" a="1"/>
  <c r="X212" i="5" s="1"/>
  <c r="W212" i="5" a="1"/>
  <c r="W212" i="5" s="1"/>
  <c r="V212" i="5" a="1"/>
  <c r="V212" i="5" s="1"/>
  <c r="U212" i="5" a="1"/>
  <c r="U212" i="5" s="1"/>
  <c r="T212" i="5" a="1"/>
  <c r="T212" i="5" s="1"/>
  <c r="S212" i="5" a="1"/>
  <c r="S212" i="5" s="1"/>
  <c r="R212" i="5" a="1"/>
  <c r="R212" i="5" s="1"/>
  <c r="Q212" i="5" a="1"/>
  <c r="Q212" i="5" s="1"/>
  <c r="P212" i="5" a="1"/>
  <c r="P212" i="5" s="1"/>
  <c r="O212" i="5" a="1"/>
  <c r="O212" i="5" s="1"/>
  <c r="N212" i="5" a="1"/>
  <c r="N212" i="5" s="1"/>
  <c r="M212" i="5" a="1"/>
  <c r="M212" i="5" s="1"/>
  <c r="L212" i="5" a="1"/>
  <c r="L212" i="5" s="1"/>
  <c r="K212" i="5" a="1"/>
  <c r="K212" i="5" s="1"/>
  <c r="J212" i="5" a="1"/>
  <c r="J212" i="5" s="1"/>
  <c r="I212" i="5" a="1"/>
  <c r="I212" i="5" s="1"/>
  <c r="Y211" i="5" a="1"/>
  <c r="Y211" i="5" s="1"/>
  <c r="X211" i="5" a="1"/>
  <c r="X211" i="5" s="1"/>
  <c r="W211" i="5" a="1"/>
  <c r="W211" i="5" s="1"/>
  <c r="V211" i="5" a="1"/>
  <c r="V211" i="5" s="1"/>
  <c r="U211" i="5" a="1"/>
  <c r="U211" i="5" s="1"/>
  <c r="T211" i="5" a="1"/>
  <c r="T211" i="5" s="1"/>
  <c r="S211" i="5" a="1"/>
  <c r="S211" i="5" s="1"/>
  <c r="R211" i="5" a="1"/>
  <c r="R211" i="5" s="1"/>
  <c r="Q211" i="5" a="1"/>
  <c r="Q211" i="5" s="1"/>
  <c r="P211" i="5" a="1"/>
  <c r="P211" i="5" s="1"/>
  <c r="O211" i="5" a="1"/>
  <c r="O211" i="5" s="1"/>
  <c r="N211" i="5" a="1"/>
  <c r="N211" i="5" s="1"/>
  <c r="M211" i="5" a="1"/>
  <c r="M211" i="5" s="1"/>
  <c r="L211" i="5" a="1"/>
  <c r="L211" i="5" s="1"/>
  <c r="K211" i="5" a="1"/>
  <c r="K211" i="5" s="1"/>
  <c r="J211" i="5" a="1"/>
  <c r="J211" i="5" s="1"/>
  <c r="I211" i="5" a="1"/>
  <c r="I211" i="5" s="1"/>
  <c r="Y210" i="5" a="1"/>
  <c r="Y210" i="5" s="1"/>
  <c r="X210" i="5" a="1"/>
  <c r="X210" i="5" s="1"/>
  <c r="W210" i="5" a="1"/>
  <c r="W210" i="5" s="1"/>
  <c r="V210" i="5" a="1"/>
  <c r="V210" i="5" s="1"/>
  <c r="U210" i="5" a="1"/>
  <c r="U210" i="5" s="1"/>
  <c r="T210" i="5" a="1"/>
  <c r="T210" i="5" s="1"/>
  <c r="S210" i="5" a="1"/>
  <c r="S210" i="5" s="1"/>
  <c r="R210" i="5" a="1"/>
  <c r="R210" i="5" s="1"/>
  <c r="Q210" i="5" a="1"/>
  <c r="Q210" i="5" s="1"/>
  <c r="P210" i="5" a="1"/>
  <c r="P210" i="5" s="1"/>
  <c r="O210" i="5" a="1"/>
  <c r="O210" i="5" s="1"/>
  <c r="N210" i="5" a="1"/>
  <c r="N210" i="5" s="1"/>
  <c r="M210" i="5" a="1"/>
  <c r="M210" i="5" s="1"/>
  <c r="L210" i="5" a="1"/>
  <c r="L210" i="5" s="1"/>
  <c r="K210" i="5" a="1"/>
  <c r="K210" i="5" s="1"/>
  <c r="J210" i="5" a="1"/>
  <c r="J210" i="5" s="1"/>
  <c r="I210" i="5" a="1"/>
  <c r="I210" i="5" s="1"/>
  <c r="Y209" i="5" a="1"/>
  <c r="Y209" i="5" s="1"/>
  <c r="X209" i="5" a="1"/>
  <c r="X209" i="5" s="1"/>
  <c r="W209" i="5" a="1"/>
  <c r="W209" i="5" s="1"/>
  <c r="V209" i="5" a="1"/>
  <c r="V209" i="5" s="1"/>
  <c r="U209" i="5" a="1"/>
  <c r="U209" i="5" s="1"/>
  <c r="T209" i="5" a="1"/>
  <c r="T209" i="5" s="1"/>
  <c r="S209" i="5" a="1"/>
  <c r="S209" i="5" s="1"/>
  <c r="R209" i="5" a="1"/>
  <c r="R209" i="5" s="1"/>
  <c r="Q209" i="5" a="1"/>
  <c r="Q209" i="5" s="1"/>
  <c r="P209" i="5" a="1"/>
  <c r="P209" i="5" s="1"/>
  <c r="O209" i="5" a="1"/>
  <c r="O209" i="5" s="1"/>
  <c r="N209" i="5" a="1"/>
  <c r="N209" i="5" s="1"/>
  <c r="M209" i="5" a="1"/>
  <c r="M209" i="5" s="1"/>
  <c r="L209" i="5" a="1"/>
  <c r="L209" i="5" s="1"/>
  <c r="K209" i="5" a="1"/>
  <c r="K209" i="5" s="1"/>
  <c r="J209" i="5" a="1"/>
  <c r="J209" i="5" s="1"/>
  <c r="I209" i="5" a="1"/>
  <c r="I209" i="5" s="1"/>
  <c r="Y208" i="5" a="1"/>
  <c r="Y208" i="5" s="1"/>
  <c r="X208" i="5" a="1"/>
  <c r="X208" i="5" s="1"/>
  <c r="W208" i="5" a="1"/>
  <c r="W208" i="5" s="1"/>
  <c r="V208" i="5" a="1"/>
  <c r="V208" i="5" s="1"/>
  <c r="U208" i="5" a="1"/>
  <c r="U208" i="5" s="1"/>
  <c r="T208" i="5" a="1"/>
  <c r="T208" i="5" s="1"/>
  <c r="S208" i="5" a="1"/>
  <c r="S208" i="5" s="1"/>
  <c r="R208" i="5" a="1"/>
  <c r="R208" i="5" s="1"/>
  <c r="Q208" i="5" a="1"/>
  <c r="Q208" i="5" s="1"/>
  <c r="P208" i="5" a="1"/>
  <c r="P208" i="5" s="1"/>
  <c r="O208" i="5" a="1"/>
  <c r="O208" i="5" s="1"/>
  <c r="N208" i="5" a="1"/>
  <c r="N208" i="5" s="1"/>
  <c r="M208" i="5" a="1"/>
  <c r="M208" i="5" s="1"/>
  <c r="L208" i="5" a="1"/>
  <c r="L208" i="5" s="1"/>
  <c r="K208" i="5" a="1"/>
  <c r="K208" i="5" s="1"/>
  <c r="J208" i="5" a="1"/>
  <c r="J208" i="5" s="1"/>
  <c r="I208" i="5" a="1"/>
  <c r="I208" i="5" s="1"/>
  <c r="Y207" i="5" a="1"/>
  <c r="Y207" i="5" s="1"/>
  <c r="X207" i="5" a="1"/>
  <c r="X207" i="5" s="1"/>
  <c r="W207" i="5" a="1"/>
  <c r="W207" i="5" s="1"/>
  <c r="V207" i="5" a="1"/>
  <c r="V207" i="5" s="1"/>
  <c r="U207" i="5" a="1"/>
  <c r="U207" i="5" s="1"/>
  <c r="T207" i="5" a="1"/>
  <c r="T207" i="5" s="1"/>
  <c r="S207" i="5" a="1"/>
  <c r="S207" i="5" s="1"/>
  <c r="R207" i="5" a="1"/>
  <c r="R207" i="5" s="1"/>
  <c r="Q207" i="5" a="1"/>
  <c r="Q207" i="5" s="1"/>
  <c r="P207" i="5" a="1"/>
  <c r="P207" i="5" s="1"/>
  <c r="O207" i="5" a="1"/>
  <c r="O207" i="5" s="1"/>
  <c r="N207" i="5" a="1"/>
  <c r="N207" i="5" s="1"/>
  <c r="M207" i="5" a="1"/>
  <c r="M207" i="5" s="1"/>
  <c r="L207" i="5" a="1"/>
  <c r="L207" i="5" s="1"/>
  <c r="K207" i="5" a="1"/>
  <c r="K207" i="5" s="1"/>
  <c r="J207" i="5" a="1"/>
  <c r="J207" i="5" s="1"/>
  <c r="I207" i="5" a="1"/>
  <c r="I207" i="5" s="1"/>
  <c r="Y206" i="5" a="1"/>
  <c r="Y206" i="5" s="1"/>
  <c r="X206" i="5" a="1"/>
  <c r="X206" i="5" s="1"/>
  <c r="W206" i="5" a="1"/>
  <c r="W206" i="5" s="1"/>
  <c r="V206" i="5" a="1"/>
  <c r="V206" i="5" s="1"/>
  <c r="U206" i="5" a="1"/>
  <c r="U206" i="5" s="1"/>
  <c r="T206" i="5" a="1"/>
  <c r="T206" i="5" s="1"/>
  <c r="S206" i="5" a="1"/>
  <c r="S206" i="5" s="1"/>
  <c r="R206" i="5" a="1"/>
  <c r="R206" i="5" s="1"/>
  <c r="Q206" i="5" a="1"/>
  <c r="Q206" i="5" s="1"/>
  <c r="P206" i="5" a="1"/>
  <c r="P206" i="5" s="1"/>
  <c r="O206" i="5" a="1"/>
  <c r="O206" i="5" s="1"/>
  <c r="N206" i="5" a="1"/>
  <c r="N206" i="5" s="1"/>
  <c r="M206" i="5" a="1"/>
  <c r="M206" i="5" s="1"/>
  <c r="L206" i="5" a="1"/>
  <c r="L206" i="5" s="1"/>
  <c r="K206" i="5" a="1"/>
  <c r="K206" i="5" s="1"/>
  <c r="J206" i="5" a="1"/>
  <c r="J206" i="5" s="1"/>
  <c r="I206" i="5" a="1"/>
  <c r="I206" i="5" s="1"/>
  <c r="Y205" i="5" a="1"/>
  <c r="Y205" i="5" s="1"/>
  <c r="X205" i="5" a="1"/>
  <c r="X205" i="5" s="1"/>
  <c r="W205" i="5" a="1"/>
  <c r="W205" i="5" s="1"/>
  <c r="V205" i="5" a="1"/>
  <c r="V205" i="5" s="1"/>
  <c r="U205" i="5" a="1"/>
  <c r="U205" i="5" s="1"/>
  <c r="T205" i="5" a="1"/>
  <c r="T205" i="5" s="1"/>
  <c r="S205" i="5" a="1"/>
  <c r="S205" i="5" s="1"/>
  <c r="R205" i="5" a="1"/>
  <c r="R205" i="5" s="1"/>
  <c r="Q205" i="5" a="1"/>
  <c r="Q205" i="5" s="1"/>
  <c r="P205" i="5" a="1"/>
  <c r="P205" i="5" s="1"/>
  <c r="O205" i="5" a="1"/>
  <c r="O205" i="5" s="1"/>
  <c r="N205" i="5" a="1"/>
  <c r="N205" i="5" s="1"/>
  <c r="M205" i="5" a="1"/>
  <c r="M205" i="5" s="1"/>
  <c r="L205" i="5" a="1"/>
  <c r="L205" i="5" s="1"/>
  <c r="K205" i="5" a="1"/>
  <c r="K205" i="5" s="1"/>
  <c r="J205" i="5" a="1"/>
  <c r="J205" i="5" s="1"/>
  <c r="I205" i="5" a="1"/>
  <c r="I205" i="5" s="1"/>
  <c r="Y204" i="5" a="1"/>
  <c r="Y204" i="5" s="1"/>
  <c r="X204" i="5" a="1"/>
  <c r="X204" i="5" s="1"/>
  <c r="W204" i="5" a="1"/>
  <c r="W204" i="5" s="1"/>
  <c r="V204" i="5" a="1"/>
  <c r="V204" i="5" s="1"/>
  <c r="U204" i="5" a="1"/>
  <c r="U204" i="5" s="1"/>
  <c r="T204" i="5" a="1"/>
  <c r="T204" i="5" s="1"/>
  <c r="S204" i="5" a="1"/>
  <c r="S204" i="5" s="1"/>
  <c r="R204" i="5" a="1"/>
  <c r="R204" i="5" s="1"/>
  <c r="Q204" i="5" a="1"/>
  <c r="Q204" i="5" s="1"/>
  <c r="P204" i="5" a="1"/>
  <c r="P204" i="5" s="1"/>
  <c r="O204" i="5" a="1"/>
  <c r="O204" i="5" s="1"/>
  <c r="N204" i="5" a="1"/>
  <c r="N204" i="5" s="1"/>
  <c r="M204" i="5" a="1"/>
  <c r="M204" i="5" s="1"/>
  <c r="L204" i="5" a="1"/>
  <c r="L204" i="5" s="1"/>
  <c r="K204" i="5" a="1"/>
  <c r="K204" i="5" s="1"/>
  <c r="J204" i="5" a="1"/>
  <c r="J204" i="5" s="1"/>
  <c r="I204" i="5" a="1"/>
  <c r="I204" i="5" s="1"/>
  <c r="Y203" i="5" a="1"/>
  <c r="Y203" i="5" s="1"/>
  <c r="X203" i="5" a="1"/>
  <c r="X203" i="5" s="1"/>
  <c r="W203" i="5" a="1"/>
  <c r="W203" i="5" s="1"/>
  <c r="V203" i="5" a="1"/>
  <c r="V203" i="5" s="1"/>
  <c r="U203" i="5" a="1"/>
  <c r="U203" i="5" s="1"/>
  <c r="T203" i="5" a="1"/>
  <c r="T203" i="5" s="1"/>
  <c r="S203" i="5" a="1"/>
  <c r="S203" i="5" s="1"/>
  <c r="R203" i="5" a="1"/>
  <c r="R203" i="5" s="1"/>
  <c r="Q203" i="5" a="1"/>
  <c r="Q203" i="5" s="1"/>
  <c r="P203" i="5" a="1"/>
  <c r="P203" i="5" s="1"/>
  <c r="O203" i="5" a="1"/>
  <c r="O203" i="5" s="1"/>
  <c r="N203" i="5" a="1"/>
  <c r="N203" i="5" s="1"/>
  <c r="M203" i="5" a="1"/>
  <c r="M203" i="5" s="1"/>
  <c r="L203" i="5" a="1"/>
  <c r="L203" i="5" s="1"/>
  <c r="K203" i="5" a="1"/>
  <c r="K203" i="5" s="1"/>
  <c r="J203" i="5" a="1"/>
  <c r="J203" i="5" s="1"/>
  <c r="I203" i="5" a="1"/>
  <c r="I203" i="5" s="1"/>
  <c r="Y202" i="5" a="1"/>
  <c r="Y202" i="5" s="1"/>
  <c r="X202" i="5" a="1"/>
  <c r="X202" i="5" s="1"/>
  <c r="W202" i="5" a="1"/>
  <c r="W202" i="5" s="1"/>
  <c r="V202" i="5" a="1"/>
  <c r="V202" i="5" s="1"/>
  <c r="U202" i="5" a="1"/>
  <c r="U202" i="5" s="1"/>
  <c r="T202" i="5" a="1"/>
  <c r="T202" i="5" s="1"/>
  <c r="S202" i="5" a="1"/>
  <c r="S202" i="5" s="1"/>
  <c r="R202" i="5" a="1"/>
  <c r="R202" i="5" s="1"/>
  <c r="Q202" i="5" a="1"/>
  <c r="Q202" i="5" s="1"/>
  <c r="P202" i="5" a="1"/>
  <c r="P202" i="5" s="1"/>
  <c r="O202" i="5" a="1"/>
  <c r="O202" i="5" s="1"/>
  <c r="N202" i="5" a="1"/>
  <c r="N202" i="5" s="1"/>
  <c r="M202" i="5" a="1"/>
  <c r="M202" i="5" s="1"/>
  <c r="L202" i="5" a="1"/>
  <c r="L202" i="5" s="1"/>
  <c r="K202" i="5" a="1"/>
  <c r="K202" i="5" s="1"/>
  <c r="J202" i="5" a="1"/>
  <c r="J202" i="5" s="1"/>
  <c r="I202" i="5" a="1"/>
  <c r="I202" i="5" s="1"/>
  <c r="Y201" i="5" a="1"/>
  <c r="Y201" i="5" s="1"/>
  <c r="X201" i="5" a="1"/>
  <c r="X201" i="5" s="1"/>
  <c r="W201" i="5" a="1"/>
  <c r="W201" i="5" s="1"/>
  <c r="V201" i="5" a="1"/>
  <c r="V201" i="5" s="1"/>
  <c r="U201" i="5" a="1"/>
  <c r="U201" i="5" s="1"/>
  <c r="T201" i="5" a="1"/>
  <c r="T201" i="5" s="1"/>
  <c r="S201" i="5" a="1"/>
  <c r="S201" i="5" s="1"/>
  <c r="R201" i="5" a="1"/>
  <c r="R201" i="5" s="1"/>
  <c r="Q201" i="5" a="1"/>
  <c r="Q201" i="5" s="1"/>
  <c r="P201" i="5" a="1"/>
  <c r="P201" i="5" s="1"/>
  <c r="O201" i="5" a="1"/>
  <c r="O201" i="5" s="1"/>
  <c r="N201" i="5" a="1"/>
  <c r="N201" i="5" s="1"/>
  <c r="M201" i="5" a="1"/>
  <c r="M201" i="5" s="1"/>
  <c r="L201" i="5" a="1"/>
  <c r="L201" i="5" s="1"/>
  <c r="K201" i="5" a="1"/>
  <c r="K201" i="5" s="1"/>
  <c r="J201" i="5" a="1"/>
  <c r="J201" i="5" s="1"/>
  <c r="I201" i="5" a="1"/>
  <c r="I201" i="5" s="1"/>
  <c r="Y200" i="5" a="1"/>
  <c r="Y200" i="5" s="1"/>
  <c r="X200" i="5" a="1"/>
  <c r="X200" i="5" s="1"/>
  <c r="W200" i="5" a="1"/>
  <c r="W200" i="5" s="1"/>
  <c r="V200" i="5" a="1"/>
  <c r="V200" i="5" s="1"/>
  <c r="U200" i="5" a="1"/>
  <c r="U200" i="5" s="1"/>
  <c r="T200" i="5" a="1"/>
  <c r="T200" i="5" s="1"/>
  <c r="S200" i="5" a="1"/>
  <c r="S200" i="5" s="1"/>
  <c r="R200" i="5" a="1"/>
  <c r="R200" i="5" s="1"/>
  <c r="Q200" i="5" a="1"/>
  <c r="Q200" i="5" s="1"/>
  <c r="P200" i="5" a="1"/>
  <c r="P200" i="5" s="1"/>
  <c r="O200" i="5" a="1"/>
  <c r="O200" i="5" s="1"/>
  <c r="N200" i="5" a="1"/>
  <c r="N200" i="5" s="1"/>
  <c r="M200" i="5" a="1"/>
  <c r="M200" i="5" s="1"/>
  <c r="L200" i="5" a="1"/>
  <c r="L200" i="5" s="1"/>
  <c r="K200" i="5" a="1"/>
  <c r="K200" i="5" s="1"/>
  <c r="J200" i="5" a="1"/>
  <c r="J200" i="5" s="1"/>
  <c r="I200" i="5" a="1"/>
  <c r="I200" i="5" s="1"/>
  <c r="Y199" i="5" a="1"/>
  <c r="Y199" i="5" s="1"/>
  <c r="X199" i="5" a="1"/>
  <c r="X199" i="5" s="1"/>
  <c r="W199" i="5" a="1"/>
  <c r="W199" i="5" s="1"/>
  <c r="V199" i="5" a="1"/>
  <c r="V199" i="5" s="1"/>
  <c r="U199" i="5" a="1"/>
  <c r="U199" i="5" s="1"/>
  <c r="T199" i="5" a="1"/>
  <c r="T199" i="5" s="1"/>
  <c r="S199" i="5" a="1"/>
  <c r="S199" i="5" s="1"/>
  <c r="R199" i="5" a="1"/>
  <c r="R199" i="5" s="1"/>
  <c r="Q199" i="5" a="1"/>
  <c r="Q199" i="5" s="1"/>
  <c r="P199" i="5" a="1"/>
  <c r="P199" i="5" s="1"/>
  <c r="O199" i="5" a="1"/>
  <c r="O199" i="5" s="1"/>
  <c r="N199" i="5" a="1"/>
  <c r="N199" i="5" s="1"/>
  <c r="M199" i="5" a="1"/>
  <c r="M199" i="5" s="1"/>
  <c r="L199" i="5" a="1"/>
  <c r="L199" i="5" s="1"/>
  <c r="K199" i="5" a="1"/>
  <c r="K199" i="5" s="1"/>
  <c r="J199" i="5" a="1"/>
  <c r="J199" i="5" s="1"/>
  <c r="I199" i="5" a="1"/>
  <c r="I199" i="5" s="1"/>
  <c r="Y198" i="5" a="1"/>
  <c r="Y198" i="5" s="1"/>
  <c r="X198" i="5" a="1"/>
  <c r="X198" i="5" s="1"/>
  <c r="W198" i="5" a="1"/>
  <c r="W198" i="5" s="1"/>
  <c r="V198" i="5" a="1"/>
  <c r="V198" i="5" s="1"/>
  <c r="U198" i="5" a="1"/>
  <c r="U198" i="5" s="1"/>
  <c r="T198" i="5" a="1"/>
  <c r="T198" i="5" s="1"/>
  <c r="S198" i="5" a="1"/>
  <c r="S198" i="5" s="1"/>
  <c r="R198" i="5" a="1"/>
  <c r="R198" i="5" s="1"/>
  <c r="Q198" i="5" a="1"/>
  <c r="Q198" i="5" s="1"/>
  <c r="P198" i="5" a="1"/>
  <c r="P198" i="5" s="1"/>
  <c r="O198" i="5" a="1"/>
  <c r="O198" i="5" s="1"/>
  <c r="N198" i="5" a="1"/>
  <c r="N198" i="5" s="1"/>
  <c r="M198" i="5" a="1"/>
  <c r="M198" i="5" s="1"/>
  <c r="L198" i="5" a="1"/>
  <c r="L198" i="5" s="1"/>
  <c r="K198" i="5" a="1"/>
  <c r="K198" i="5" s="1"/>
  <c r="J198" i="5" a="1"/>
  <c r="J198" i="5" s="1"/>
  <c r="I198" i="5" a="1"/>
  <c r="I198" i="5" s="1"/>
  <c r="Y197" i="5" a="1"/>
  <c r="Y197" i="5" s="1"/>
  <c r="X197" i="5" a="1"/>
  <c r="X197" i="5" s="1"/>
  <c r="W197" i="5" a="1"/>
  <c r="W197" i="5" s="1"/>
  <c r="V197" i="5" a="1"/>
  <c r="V197" i="5" s="1"/>
  <c r="U197" i="5" a="1"/>
  <c r="U197" i="5" s="1"/>
  <c r="T197" i="5" a="1"/>
  <c r="T197" i="5" s="1"/>
  <c r="S197" i="5" a="1"/>
  <c r="S197" i="5" s="1"/>
  <c r="R197" i="5" a="1"/>
  <c r="R197" i="5" s="1"/>
  <c r="Q197" i="5" a="1"/>
  <c r="Q197" i="5" s="1"/>
  <c r="P197" i="5" a="1"/>
  <c r="P197" i="5" s="1"/>
  <c r="O197" i="5" a="1"/>
  <c r="O197" i="5" s="1"/>
  <c r="N197" i="5" a="1"/>
  <c r="N197" i="5" s="1"/>
  <c r="M197" i="5" a="1"/>
  <c r="M197" i="5" s="1"/>
  <c r="L197" i="5" a="1"/>
  <c r="L197" i="5" s="1"/>
  <c r="K197" i="5" a="1"/>
  <c r="K197" i="5" s="1"/>
  <c r="J197" i="5" a="1"/>
  <c r="J197" i="5" s="1"/>
  <c r="I197" i="5" a="1"/>
  <c r="I197" i="5" s="1"/>
  <c r="Y196" i="5" a="1"/>
  <c r="Y196" i="5" s="1"/>
  <c r="X196" i="5" a="1"/>
  <c r="X196" i="5" s="1"/>
  <c r="W196" i="5" a="1"/>
  <c r="W196" i="5" s="1"/>
  <c r="V196" i="5" a="1"/>
  <c r="V196" i="5" s="1"/>
  <c r="U196" i="5" a="1"/>
  <c r="U196" i="5" s="1"/>
  <c r="T196" i="5" a="1"/>
  <c r="T196" i="5" s="1"/>
  <c r="S196" i="5" a="1"/>
  <c r="S196" i="5" s="1"/>
  <c r="R196" i="5" a="1"/>
  <c r="R196" i="5" s="1"/>
  <c r="Q196" i="5" a="1"/>
  <c r="Q196" i="5" s="1"/>
  <c r="P196" i="5" a="1"/>
  <c r="P196" i="5" s="1"/>
  <c r="O196" i="5" a="1"/>
  <c r="O196" i="5" s="1"/>
  <c r="N196" i="5" a="1"/>
  <c r="N196" i="5" s="1"/>
  <c r="M196" i="5" a="1"/>
  <c r="M196" i="5" s="1"/>
  <c r="L196" i="5" a="1"/>
  <c r="L196" i="5" s="1"/>
  <c r="K196" i="5" a="1"/>
  <c r="K196" i="5" s="1"/>
  <c r="J196" i="5" a="1"/>
  <c r="J196" i="5" s="1"/>
  <c r="I196" i="5" a="1"/>
  <c r="I196" i="5" s="1"/>
  <c r="Y195" i="5" a="1"/>
  <c r="Y195" i="5" s="1"/>
  <c r="X195" i="5" a="1"/>
  <c r="X195" i="5" s="1"/>
  <c r="W195" i="5" a="1"/>
  <c r="W195" i="5" s="1"/>
  <c r="V195" i="5" a="1"/>
  <c r="V195" i="5" s="1"/>
  <c r="U195" i="5" a="1"/>
  <c r="U195" i="5" s="1"/>
  <c r="T195" i="5" a="1"/>
  <c r="T195" i="5" s="1"/>
  <c r="S195" i="5" a="1"/>
  <c r="S195" i="5" s="1"/>
  <c r="R195" i="5" a="1"/>
  <c r="R195" i="5" s="1"/>
  <c r="Q195" i="5" a="1"/>
  <c r="Q195" i="5" s="1"/>
  <c r="P195" i="5" a="1"/>
  <c r="P195" i="5" s="1"/>
  <c r="O195" i="5" a="1"/>
  <c r="O195" i="5" s="1"/>
  <c r="N195" i="5" a="1"/>
  <c r="N195" i="5" s="1"/>
  <c r="M195" i="5" a="1"/>
  <c r="M195" i="5" s="1"/>
  <c r="L195" i="5" a="1"/>
  <c r="L195" i="5" s="1"/>
  <c r="K195" i="5" a="1"/>
  <c r="K195" i="5" s="1"/>
  <c r="J195" i="5" a="1"/>
  <c r="J195" i="5" s="1"/>
  <c r="I195" i="5" a="1"/>
  <c r="I195" i="5" s="1"/>
  <c r="B55" i="5" a="1"/>
  <c r="B55" i="5" s="1"/>
  <c r="Y50" i="5" a="1"/>
  <c r="Y50" i="5" s="1"/>
  <c r="X50" i="5" a="1"/>
  <c r="X50" i="5" s="1"/>
  <c r="W50" i="5" a="1"/>
  <c r="W50" i="5" s="1"/>
  <c r="V50" i="5" a="1"/>
  <c r="V50" i="5" s="1"/>
  <c r="U50" i="5" a="1"/>
  <c r="U50" i="5" s="1"/>
  <c r="T50" i="5" a="1"/>
  <c r="T50" i="5" s="1"/>
  <c r="S50" i="5" a="1"/>
  <c r="S50" i="5" s="1"/>
  <c r="R50" i="5" a="1"/>
  <c r="R50" i="5" s="1"/>
  <c r="Q50" i="5" a="1"/>
  <c r="Q50" i="5" s="1"/>
  <c r="P50" i="5" a="1"/>
  <c r="P50" i="5" s="1"/>
  <c r="O50" i="5" a="1"/>
  <c r="O50" i="5" s="1"/>
  <c r="N50" i="5" a="1"/>
  <c r="N50" i="5" s="1"/>
  <c r="M50" i="5" a="1"/>
  <c r="M50" i="5" s="1"/>
  <c r="L50" i="5" a="1"/>
  <c r="L50" i="5" s="1"/>
  <c r="K50" i="5" a="1"/>
  <c r="K50" i="5" s="1"/>
  <c r="J50" i="5" a="1"/>
  <c r="J50" i="5" s="1"/>
  <c r="I50" i="5" a="1"/>
  <c r="I50" i="5" s="1"/>
  <c r="Y49" i="5" a="1"/>
  <c r="Y49" i="5" s="1"/>
  <c r="X49" i="5" a="1"/>
  <c r="X49" i="5" s="1"/>
  <c r="W49" i="5" a="1"/>
  <c r="W49" i="5" s="1"/>
  <c r="V49" i="5" a="1"/>
  <c r="V49" i="5" s="1"/>
  <c r="U49" i="5" a="1"/>
  <c r="U49" i="5" s="1"/>
  <c r="T49" i="5" a="1"/>
  <c r="T49" i="5" s="1"/>
  <c r="S49" i="5" a="1"/>
  <c r="S49" i="5" s="1"/>
  <c r="R49" i="5" a="1"/>
  <c r="R49" i="5" s="1"/>
  <c r="Q49" i="5" a="1"/>
  <c r="Q49" i="5" s="1"/>
  <c r="P49" i="5" a="1"/>
  <c r="P49" i="5" s="1"/>
  <c r="O49" i="5" a="1"/>
  <c r="O49" i="5" s="1"/>
  <c r="N49" i="5" a="1"/>
  <c r="N49" i="5" s="1"/>
  <c r="M49" i="5" a="1"/>
  <c r="M49" i="5" s="1"/>
  <c r="L49" i="5" a="1"/>
  <c r="L49" i="5" s="1"/>
  <c r="K49" i="5" a="1"/>
  <c r="K49" i="5" s="1"/>
  <c r="J49" i="5" a="1"/>
  <c r="J49" i="5" s="1"/>
  <c r="I49" i="5" a="1"/>
  <c r="I49" i="5" s="1"/>
  <c r="Y48" i="5" a="1"/>
  <c r="Y48" i="5" s="1"/>
  <c r="X48" i="5" a="1"/>
  <c r="X48" i="5" s="1"/>
  <c r="W48" i="5" a="1"/>
  <c r="W48" i="5" s="1"/>
  <c r="V48" i="5" a="1"/>
  <c r="V48" i="5" s="1"/>
  <c r="U48" i="5" a="1"/>
  <c r="U48" i="5" s="1"/>
  <c r="T48" i="5" a="1"/>
  <c r="T48" i="5" s="1"/>
  <c r="S48" i="5" a="1"/>
  <c r="S48" i="5" s="1"/>
  <c r="R48" i="5" a="1"/>
  <c r="R48" i="5" s="1"/>
  <c r="Q48" i="5" a="1"/>
  <c r="Q48" i="5" s="1"/>
  <c r="P48" i="5" a="1"/>
  <c r="P48" i="5" s="1"/>
  <c r="O48" i="5" a="1"/>
  <c r="O48" i="5" s="1"/>
  <c r="N48" i="5" a="1"/>
  <c r="N48" i="5" s="1"/>
  <c r="M48" i="5" a="1"/>
  <c r="M48" i="5" s="1"/>
  <c r="L48" i="5" a="1"/>
  <c r="L48" i="5" s="1"/>
  <c r="K48" i="5" a="1"/>
  <c r="K48" i="5" s="1"/>
  <c r="J48" i="5" a="1"/>
  <c r="J48" i="5" s="1"/>
  <c r="I48" i="5" a="1"/>
  <c r="I48" i="5" s="1"/>
  <c r="Y47" i="5" a="1"/>
  <c r="Y47" i="5" s="1"/>
  <c r="X47" i="5" a="1"/>
  <c r="X47" i="5" s="1"/>
  <c r="W47" i="5" a="1"/>
  <c r="W47" i="5" s="1"/>
  <c r="V47" i="5" a="1"/>
  <c r="V47" i="5" s="1"/>
  <c r="U47" i="5" a="1"/>
  <c r="U47" i="5" s="1"/>
  <c r="T47" i="5" a="1"/>
  <c r="T47" i="5" s="1"/>
  <c r="S47" i="5" a="1"/>
  <c r="S47" i="5" s="1"/>
  <c r="R47" i="5" a="1"/>
  <c r="R47" i="5" s="1"/>
  <c r="Q47" i="5" a="1"/>
  <c r="Q47" i="5" s="1"/>
  <c r="P47" i="5" a="1"/>
  <c r="P47" i="5" s="1"/>
  <c r="O47" i="5" a="1"/>
  <c r="O47" i="5" s="1"/>
  <c r="N47" i="5" a="1"/>
  <c r="N47" i="5" s="1"/>
  <c r="M47" i="5" a="1"/>
  <c r="M47" i="5" s="1"/>
  <c r="L47" i="5" a="1"/>
  <c r="L47" i="5" s="1"/>
  <c r="K47" i="5" a="1"/>
  <c r="K47" i="5" s="1"/>
  <c r="J47" i="5" a="1"/>
  <c r="J47" i="5" s="1"/>
  <c r="I47" i="5" a="1"/>
  <c r="I47" i="5" s="1"/>
  <c r="Y46" i="5" a="1"/>
  <c r="Y46" i="5" s="1"/>
  <c r="X46" i="5" a="1"/>
  <c r="X46" i="5" s="1"/>
  <c r="W46" i="5" a="1"/>
  <c r="W46" i="5" s="1"/>
  <c r="V46" i="5" a="1"/>
  <c r="V46" i="5" s="1"/>
  <c r="U46" i="5" a="1"/>
  <c r="U46" i="5" s="1"/>
  <c r="T46" i="5" a="1"/>
  <c r="T46" i="5" s="1"/>
  <c r="S46" i="5" a="1"/>
  <c r="S46" i="5" s="1"/>
  <c r="R46" i="5"/>
  <c r="R46" i="5" a="1"/>
  <c r="Q46" i="5" a="1"/>
  <c r="Q46" i="5" s="1"/>
  <c r="P46" i="5" a="1"/>
  <c r="P46" i="5" s="1"/>
  <c r="O46" i="5" a="1"/>
  <c r="O46" i="5" s="1"/>
  <c r="N46" i="5" a="1"/>
  <c r="N46" i="5" s="1"/>
  <c r="M46" i="5" a="1"/>
  <c r="M46" i="5" s="1"/>
  <c r="L46" i="5" a="1"/>
  <c r="L46" i="5" s="1"/>
  <c r="K46" i="5" a="1"/>
  <c r="K46" i="5" s="1"/>
  <c r="J46" i="5" a="1"/>
  <c r="J46" i="5" s="1"/>
  <c r="I46" i="5" a="1"/>
  <c r="I46" i="5" s="1"/>
  <c r="Y45" i="5" a="1"/>
  <c r="Y45" i="5" s="1"/>
  <c r="X45" i="5" a="1"/>
  <c r="X45" i="5" s="1"/>
  <c r="W45" i="5"/>
  <c r="W45" i="5" a="1"/>
  <c r="V45" i="5" a="1"/>
  <c r="V45" i="5" s="1"/>
  <c r="U45" i="5" a="1"/>
  <c r="U45" i="5" s="1"/>
  <c r="T45" i="5" a="1"/>
  <c r="T45" i="5" s="1"/>
  <c r="S45" i="5" a="1"/>
  <c r="S45" i="5" s="1"/>
  <c r="R45" i="5" a="1"/>
  <c r="R45" i="5" s="1"/>
  <c r="Q45" i="5" a="1"/>
  <c r="Q45" i="5" s="1"/>
  <c r="P45" i="5" a="1"/>
  <c r="P45" i="5" s="1"/>
  <c r="O45" i="5" a="1"/>
  <c r="O45" i="5" s="1"/>
  <c r="N45" i="5" a="1"/>
  <c r="N45" i="5" s="1"/>
  <c r="M45" i="5" a="1"/>
  <c r="M45" i="5" s="1"/>
  <c r="L45" i="5" a="1"/>
  <c r="L45" i="5" s="1"/>
  <c r="K45" i="5" a="1"/>
  <c r="K45" i="5" s="1"/>
  <c r="J45" i="5" a="1"/>
  <c r="J45" i="5" s="1"/>
  <c r="I45" i="5" a="1"/>
  <c r="I45" i="5" s="1"/>
  <c r="Y44" i="5" a="1"/>
  <c r="Y44" i="5" s="1"/>
  <c r="X44" i="5" a="1"/>
  <c r="X44" i="5" s="1"/>
  <c r="W44" i="5" a="1"/>
  <c r="W44" i="5" s="1"/>
  <c r="V44" i="5" a="1"/>
  <c r="V44" i="5" s="1"/>
  <c r="U44" i="5" a="1"/>
  <c r="U44" i="5" s="1"/>
  <c r="T44" i="5"/>
  <c r="T44" i="5" a="1"/>
  <c r="S44" i="5" a="1"/>
  <c r="S44" i="5" s="1"/>
  <c r="R44" i="5" a="1"/>
  <c r="R44" i="5" s="1"/>
  <c r="Q44" i="5" a="1"/>
  <c r="Q44" i="5" s="1"/>
  <c r="P44" i="5" a="1"/>
  <c r="P44" i="5" s="1"/>
  <c r="O44" i="5" a="1"/>
  <c r="O44" i="5" s="1"/>
  <c r="N44" i="5" a="1"/>
  <c r="N44" i="5" s="1"/>
  <c r="M44" i="5" a="1"/>
  <c r="M44" i="5" s="1"/>
  <c r="L44" i="5" a="1"/>
  <c r="L44" i="5" s="1"/>
  <c r="K44" i="5" a="1"/>
  <c r="K44" i="5" s="1"/>
  <c r="J44" i="5" a="1"/>
  <c r="J44" i="5" s="1"/>
  <c r="I44" i="5" a="1"/>
  <c r="I44" i="5" s="1"/>
  <c r="Y43" i="5" a="1"/>
  <c r="Y43" i="5" s="1"/>
  <c r="X43" i="5" a="1"/>
  <c r="X43" i="5" s="1"/>
  <c r="W43" i="5" a="1"/>
  <c r="W43" i="5" s="1"/>
  <c r="V43" i="5" a="1"/>
  <c r="V43" i="5" s="1"/>
  <c r="U43" i="5" a="1"/>
  <c r="U43" i="5" s="1"/>
  <c r="T43" i="5" a="1"/>
  <c r="T43" i="5" s="1"/>
  <c r="S43" i="5" a="1"/>
  <c r="S43" i="5" s="1"/>
  <c r="R43" i="5" a="1"/>
  <c r="R43" i="5" s="1"/>
  <c r="Q43" i="5" a="1"/>
  <c r="Q43" i="5" s="1"/>
  <c r="P43" i="5" a="1"/>
  <c r="P43" i="5" s="1"/>
  <c r="O43" i="5" a="1"/>
  <c r="O43" i="5" s="1"/>
  <c r="N43" i="5" a="1"/>
  <c r="N43" i="5" s="1"/>
  <c r="M43" i="5" a="1"/>
  <c r="M43" i="5" s="1"/>
  <c r="L43" i="5" a="1"/>
  <c r="L43" i="5" s="1"/>
  <c r="K43" i="5" a="1"/>
  <c r="K43" i="5" s="1"/>
  <c r="J43" i="5" a="1"/>
  <c r="J43" i="5" s="1"/>
  <c r="I43" i="5" a="1"/>
  <c r="I43" i="5" s="1"/>
  <c r="Y42" i="5" a="1"/>
  <c r="Y42" i="5" s="1"/>
  <c r="X42" i="5" a="1"/>
  <c r="X42" i="5" s="1"/>
  <c r="W42" i="5" a="1"/>
  <c r="W42" i="5" s="1"/>
  <c r="V42" i="5" a="1"/>
  <c r="V42" i="5" s="1"/>
  <c r="U42" i="5" a="1"/>
  <c r="U42" i="5" s="1"/>
  <c r="T42" i="5" a="1"/>
  <c r="T42" i="5" s="1"/>
  <c r="S42" i="5" a="1"/>
  <c r="S42" i="5" s="1"/>
  <c r="R42" i="5" a="1"/>
  <c r="R42" i="5" s="1"/>
  <c r="Q42" i="5" a="1"/>
  <c r="Q42" i="5" s="1"/>
  <c r="P42" i="5" a="1"/>
  <c r="P42" i="5" s="1"/>
  <c r="O42" i="5" a="1"/>
  <c r="O42" i="5" s="1"/>
  <c r="N42" i="5" a="1"/>
  <c r="N42" i="5" s="1"/>
  <c r="M42" i="5" a="1"/>
  <c r="M42" i="5" s="1"/>
  <c r="L42" i="5" a="1"/>
  <c r="L42" i="5" s="1"/>
  <c r="K42" i="5" a="1"/>
  <c r="K42" i="5" s="1"/>
  <c r="J42" i="5" a="1"/>
  <c r="J42" i="5" s="1"/>
  <c r="I42" i="5" a="1"/>
  <c r="I42" i="5" s="1"/>
  <c r="Y41" i="5" a="1"/>
  <c r="Y41" i="5" s="1"/>
  <c r="X41" i="5" a="1"/>
  <c r="X41" i="5" s="1"/>
  <c r="W41" i="5" a="1"/>
  <c r="W41" i="5" s="1"/>
  <c r="V41" i="5" a="1"/>
  <c r="V41" i="5" s="1"/>
  <c r="U41" i="5" a="1"/>
  <c r="U41" i="5" s="1"/>
  <c r="T41" i="5" a="1"/>
  <c r="T41" i="5" s="1"/>
  <c r="S41" i="5" a="1"/>
  <c r="S41" i="5" s="1"/>
  <c r="R41" i="5" a="1"/>
  <c r="R41" i="5" s="1"/>
  <c r="Q41" i="5" a="1"/>
  <c r="Q41" i="5" s="1"/>
  <c r="P41" i="5" a="1"/>
  <c r="P41" i="5" s="1"/>
  <c r="O41" i="5"/>
  <c r="O41" i="5" a="1"/>
  <c r="N41" i="5" a="1"/>
  <c r="N41" i="5" s="1"/>
  <c r="M41" i="5" a="1"/>
  <c r="M41" i="5" s="1"/>
  <c r="L41" i="5" a="1"/>
  <c r="L41" i="5" s="1"/>
  <c r="K41" i="5" a="1"/>
  <c r="K41" i="5" s="1"/>
  <c r="J41" i="5" a="1"/>
  <c r="J41" i="5" s="1"/>
  <c r="I41" i="5" a="1"/>
  <c r="I41" i="5" s="1"/>
  <c r="B5" i="5" a="1"/>
  <c r="S40" i="5" s="1" a="1"/>
  <c r="S40" i="5" s="1"/>
  <c r="Y3" i="5"/>
  <c r="X3" i="5"/>
  <c r="W3" i="5"/>
  <c r="V3" i="5"/>
  <c r="U3" i="5"/>
  <c r="T3" i="5"/>
  <c r="S3" i="5"/>
  <c r="R3" i="5"/>
  <c r="Q3" i="5"/>
  <c r="P3" i="5"/>
  <c r="O3" i="5"/>
  <c r="N3" i="5"/>
  <c r="M3" i="5"/>
  <c r="L3" i="5"/>
  <c r="K3" i="5"/>
  <c r="J3" i="5"/>
  <c r="I3" i="5"/>
  <c r="F3" i="5"/>
  <c r="E3" i="5"/>
  <c r="D3" i="5"/>
  <c r="C3" i="5"/>
  <c r="B3" i="5"/>
  <c r="E2" i="5"/>
  <c r="U166" i="58887" a="1"/>
  <c r="U166" i="58887" s="1"/>
  <c r="T166" i="58887" a="1"/>
  <c r="T166" i="58887" s="1"/>
  <c r="P166" i="58887"/>
  <c r="O166" i="58887"/>
  <c r="J166" i="58887" a="1"/>
  <c r="J166" i="58887" s="1"/>
  <c r="I166" i="58887" a="1"/>
  <c r="I166" i="58887" s="1"/>
  <c r="U165" i="58887" a="1"/>
  <c r="U165" i="58887" s="1"/>
  <c r="T165" i="58887" a="1"/>
  <c r="T165" i="58887" s="1"/>
  <c r="P165" i="58887"/>
  <c r="O165" i="58887"/>
  <c r="J165" i="58887" a="1"/>
  <c r="J165" i="58887" s="1"/>
  <c r="I165" i="58887" a="1"/>
  <c r="I165" i="58887" s="1"/>
  <c r="U164" i="58887" a="1"/>
  <c r="U164" i="58887" s="1"/>
  <c r="T164" i="58887" a="1"/>
  <c r="T164" i="58887" s="1"/>
  <c r="P164" i="58887"/>
  <c r="O164" i="58887"/>
  <c r="J164" i="58887" a="1"/>
  <c r="J164" i="58887" s="1"/>
  <c r="I164" i="58887" a="1"/>
  <c r="I164" i="58887" s="1"/>
  <c r="U163" i="58887" a="1"/>
  <c r="U163" i="58887" s="1"/>
  <c r="T163" i="58887" a="1"/>
  <c r="T163" i="58887" s="1"/>
  <c r="P163" i="58887"/>
  <c r="O163" i="58887"/>
  <c r="J163" i="58887" a="1"/>
  <c r="J163" i="58887" s="1"/>
  <c r="I163" i="58887" a="1"/>
  <c r="I163" i="58887" s="1"/>
  <c r="U162" i="58887" a="1"/>
  <c r="U162" i="58887" s="1"/>
  <c r="T162" i="58887" a="1"/>
  <c r="T162" i="58887" s="1"/>
  <c r="P162" i="58887"/>
  <c r="O162" i="58887"/>
  <c r="J162" i="58887" a="1"/>
  <c r="J162" i="58887" s="1"/>
  <c r="I162" i="58887" a="1"/>
  <c r="I162" i="58887" s="1"/>
  <c r="U161" i="58887" a="1"/>
  <c r="U161" i="58887" s="1"/>
  <c r="T161" i="58887" a="1"/>
  <c r="T161" i="58887" s="1"/>
  <c r="P161" i="58887"/>
  <c r="O161" i="58887"/>
  <c r="J161" i="58887" a="1"/>
  <c r="J161" i="58887" s="1"/>
  <c r="I161" i="58887" a="1"/>
  <c r="I161" i="58887" s="1"/>
  <c r="U160" i="58887" a="1"/>
  <c r="U160" i="58887" s="1"/>
  <c r="T160" i="58887" a="1"/>
  <c r="T160" i="58887" s="1"/>
  <c r="P160" i="58887"/>
  <c r="O160" i="58887"/>
  <c r="J160" i="58887" a="1"/>
  <c r="J160" i="58887" s="1"/>
  <c r="I160" i="58887" a="1"/>
  <c r="I160" i="58887" s="1"/>
  <c r="U159" i="58887" a="1"/>
  <c r="U159" i="58887" s="1"/>
  <c r="T159" i="58887" a="1"/>
  <c r="T159" i="58887" s="1"/>
  <c r="P159" i="58887"/>
  <c r="O159" i="58887"/>
  <c r="J159" i="58887" a="1"/>
  <c r="J159" i="58887" s="1"/>
  <c r="I159" i="58887" a="1"/>
  <c r="I159" i="58887" s="1"/>
  <c r="U158" i="58887" a="1"/>
  <c r="U158" i="58887" s="1"/>
  <c r="T158" i="58887" a="1"/>
  <c r="T158" i="58887" s="1"/>
  <c r="P158" i="58887"/>
  <c r="O158" i="58887"/>
  <c r="J158" i="58887" a="1"/>
  <c r="J158" i="58887" s="1"/>
  <c r="I158" i="58887" a="1"/>
  <c r="I158" i="58887" s="1"/>
  <c r="U157" i="58887" a="1"/>
  <c r="U157" i="58887" s="1"/>
  <c r="T157" i="58887" a="1"/>
  <c r="T157" i="58887" s="1"/>
  <c r="P157" i="58887"/>
  <c r="O157" i="58887"/>
  <c r="J157" i="58887" a="1"/>
  <c r="J157" i="58887" s="1"/>
  <c r="I157" i="58887" a="1"/>
  <c r="I157" i="58887" s="1"/>
  <c r="U156" i="58887" a="1"/>
  <c r="U156" i="58887" s="1"/>
  <c r="T156" i="58887" a="1"/>
  <c r="T156" i="58887" s="1"/>
  <c r="P156" i="58887"/>
  <c r="O156" i="58887"/>
  <c r="J156" i="58887" a="1"/>
  <c r="J156" i="58887" s="1"/>
  <c r="I156" i="58887" a="1"/>
  <c r="I156" i="58887" s="1"/>
  <c r="U155" i="58887" a="1"/>
  <c r="U155" i="58887" s="1"/>
  <c r="T155" i="58887" a="1"/>
  <c r="T155" i="58887" s="1"/>
  <c r="P155" i="58887"/>
  <c r="O155" i="58887"/>
  <c r="J155" i="58887" a="1"/>
  <c r="J155" i="58887" s="1"/>
  <c r="I155" i="58887" a="1"/>
  <c r="I155" i="58887" s="1"/>
  <c r="P154" i="58887"/>
  <c r="U154" i="58887" s="1" a="1"/>
  <c r="U154" i="58887" s="1"/>
  <c r="O154" i="58887"/>
  <c r="T154" i="58887" s="1" a="1"/>
  <c r="T154" i="58887" s="1"/>
  <c r="L154" i="58887"/>
  <c r="J154" i="58887" a="1"/>
  <c r="J154" i="58887" s="1"/>
  <c r="I154" i="58887" a="1"/>
  <c r="I154" i="58887" s="1"/>
  <c r="P153" i="58887"/>
  <c r="U153" i="58887" s="1" a="1"/>
  <c r="U153" i="58887" s="1"/>
  <c r="O153" i="58887"/>
  <c r="T153" i="58887" s="1" a="1"/>
  <c r="T153" i="58887" s="1"/>
  <c r="J153" i="58887" a="1"/>
  <c r="J153" i="58887" s="1"/>
  <c r="I153" i="58887" a="1"/>
  <c r="I153" i="58887" s="1"/>
  <c r="P152" i="58887"/>
  <c r="U152" i="58887" s="1" a="1"/>
  <c r="U152" i="58887" s="1"/>
  <c r="O152" i="58887"/>
  <c r="T152" i="58887" s="1" a="1"/>
  <c r="T152" i="58887" s="1"/>
  <c r="J152" i="58887" a="1"/>
  <c r="J152" i="58887" s="1"/>
  <c r="I152" i="58887" a="1"/>
  <c r="I152" i="58887" s="1"/>
  <c r="P151" i="58887"/>
  <c r="U151" i="58887" s="1" a="1"/>
  <c r="U151" i="58887" s="1"/>
  <c r="O151" i="58887"/>
  <c r="T151" i="58887" s="1" a="1"/>
  <c r="T151" i="58887" s="1"/>
  <c r="J151" i="58887" a="1"/>
  <c r="J151" i="58887" s="1"/>
  <c r="I151" i="58887" a="1"/>
  <c r="I151" i="58887" s="1"/>
  <c r="P150" i="58887"/>
  <c r="U150" i="58887" s="1" a="1"/>
  <c r="U150" i="58887" s="1"/>
  <c r="O150" i="58887"/>
  <c r="T150" i="58887" s="1" a="1"/>
  <c r="T150" i="58887" s="1"/>
  <c r="J150" i="58887" a="1"/>
  <c r="J150" i="58887" s="1"/>
  <c r="I150" i="58887" a="1"/>
  <c r="I150" i="58887" s="1"/>
  <c r="P149" i="58887"/>
  <c r="U149" i="58887" s="1" a="1"/>
  <c r="U149" i="58887" s="1"/>
  <c r="O149" i="58887"/>
  <c r="T149" i="58887" s="1" a="1"/>
  <c r="T149" i="58887" s="1"/>
  <c r="J149" i="58887" a="1"/>
  <c r="J149" i="58887" s="1"/>
  <c r="I149" i="58887" a="1"/>
  <c r="I149" i="58887" s="1"/>
  <c r="P148" i="58887"/>
  <c r="U148" i="58887" s="1" a="1"/>
  <c r="U148" i="58887" s="1"/>
  <c r="O148" i="58887"/>
  <c r="T148" i="58887" s="1" a="1"/>
  <c r="T148" i="58887" s="1"/>
  <c r="J148" i="58887" a="1"/>
  <c r="J148" i="58887" s="1"/>
  <c r="I148" i="58887" a="1"/>
  <c r="I148" i="58887" s="1"/>
  <c r="P147" i="58887"/>
  <c r="U147" i="58887" s="1" a="1"/>
  <c r="U147" i="58887" s="1"/>
  <c r="O147" i="58887"/>
  <c r="T147" i="58887" s="1" a="1"/>
  <c r="T147" i="58887" s="1"/>
  <c r="J147" i="58887" a="1"/>
  <c r="J147" i="58887" s="1"/>
  <c r="I147" i="58887" a="1"/>
  <c r="I147" i="58887" s="1"/>
  <c r="P146" i="58887"/>
  <c r="U146" i="58887" s="1" a="1"/>
  <c r="U146" i="58887" s="1"/>
  <c r="O146" i="58887"/>
  <c r="T146" i="58887" s="1" a="1"/>
  <c r="T146" i="58887" s="1"/>
  <c r="J146" i="58887" a="1"/>
  <c r="J146" i="58887" s="1"/>
  <c r="I146" i="58887" a="1"/>
  <c r="I146" i="58887" s="1"/>
  <c r="P145" i="58887"/>
  <c r="U145" i="58887" s="1" a="1"/>
  <c r="U145" i="58887" s="1"/>
  <c r="O145" i="58887"/>
  <c r="T145" i="58887" s="1" a="1"/>
  <c r="T145" i="58887" s="1"/>
  <c r="J145" i="58887" a="1"/>
  <c r="J145" i="58887" s="1"/>
  <c r="I145" i="58887" a="1"/>
  <c r="I145" i="58887" s="1"/>
  <c r="P144" i="58887"/>
  <c r="U144" i="58887" s="1" a="1"/>
  <c r="U144" i="58887" s="1"/>
  <c r="O144" i="58887"/>
  <c r="T144" i="58887" s="1" a="1"/>
  <c r="T144" i="58887" s="1"/>
  <c r="J144" i="58887" a="1"/>
  <c r="J144" i="58887" s="1"/>
  <c r="I144" i="58887" a="1"/>
  <c r="I144" i="58887" s="1"/>
  <c r="P143" i="58887"/>
  <c r="U143" i="58887" s="1" a="1"/>
  <c r="U143" i="58887" s="1"/>
  <c r="O143" i="58887"/>
  <c r="T143" i="58887" s="1" a="1"/>
  <c r="T143" i="58887" s="1"/>
  <c r="J143" i="58887" a="1"/>
  <c r="J143" i="58887" s="1"/>
  <c r="I143" i="58887" a="1"/>
  <c r="I143" i="58887" s="1"/>
  <c r="P142" i="58887"/>
  <c r="U142" i="58887" s="1" a="1"/>
  <c r="U142" i="58887" s="1"/>
  <c r="O142" i="58887"/>
  <c r="T142" i="58887" s="1" a="1"/>
  <c r="T142" i="58887" s="1"/>
  <c r="J142" i="58887" a="1"/>
  <c r="J142" i="58887" s="1"/>
  <c r="I142" i="58887" a="1"/>
  <c r="I142" i="58887" s="1"/>
  <c r="P141" i="58887"/>
  <c r="U141" i="58887" s="1" a="1"/>
  <c r="U141" i="58887" s="1"/>
  <c r="O141" i="58887"/>
  <c r="T141" i="58887" s="1" a="1"/>
  <c r="T141" i="58887" s="1"/>
  <c r="J141" i="58887" a="1"/>
  <c r="J141" i="58887" s="1"/>
  <c r="I141" i="58887" a="1"/>
  <c r="I141" i="58887" s="1"/>
  <c r="P140" i="58887"/>
  <c r="U140" i="58887" s="1" a="1"/>
  <c r="U140" i="58887" s="1"/>
  <c r="O140" i="58887"/>
  <c r="T140" i="58887" s="1" a="1"/>
  <c r="T140" i="58887" s="1"/>
  <c r="J140" i="58887" a="1"/>
  <c r="J140" i="58887" s="1"/>
  <c r="I140" i="58887" a="1"/>
  <c r="I140" i="58887" s="1"/>
  <c r="P139" i="58887"/>
  <c r="U139" i="58887" s="1" a="1"/>
  <c r="U139" i="58887" s="1"/>
  <c r="O139" i="58887"/>
  <c r="T139" i="58887" s="1" a="1"/>
  <c r="T139" i="58887" s="1"/>
  <c r="J139" i="58887" a="1"/>
  <c r="J139" i="58887" s="1"/>
  <c r="I139" i="58887" a="1"/>
  <c r="I139" i="58887" s="1"/>
  <c r="P138" i="58887"/>
  <c r="U138" i="58887" s="1" a="1"/>
  <c r="U138" i="58887" s="1"/>
  <c r="O138" i="58887"/>
  <c r="T138" i="58887" s="1" a="1"/>
  <c r="T138" i="58887" s="1"/>
  <c r="J138" i="58887" a="1"/>
  <c r="J138" i="58887" s="1"/>
  <c r="I138" i="58887" a="1"/>
  <c r="I138" i="58887" s="1"/>
  <c r="P137" i="58887"/>
  <c r="U137" i="58887" s="1" a="1"/>
  <c r="U137" i="58887" s="1"/>
  <c r="O137" i="58887"/>
  <c r="T137" i="58887" s="1" a="1"/>
  <c r="T137" i="58887" s="1"/>
  <c r="J137" i="58887" a="1"/>
  <c r="J137" i="58887" s="1"/>
  <c r="I137" i="58887" a="1"/>
  <c r="I137" i="58887" s="1"/>
  <c r="P136" i="58887"/>
  <c r="U136" i="58887" s="1" a="1"/>
  <c r="U136" i="58887" s="1"/>
  <c r="O136" i="58887"/>
  <c r="T136" i="58887" s="1" a="1"/>
  <c r="T136" i="58887" s="1"/>
  <c r="J136" i="58887" a="1"/>
  <c r="J136" i="58887" s="1"/>
  <c r="I136" i="58887" a="1"/>
  <c r="I136" i="58887" s="1"/>
  <c r="P135" i="58887"/>
  <c r="U135" i="58887" s="1" a="1"/>
  <c r="U135" i="58887" s="1"/>
  <c r="O135" i="58887"/>
  <c r="T135" i="58887" s="1" a="1"/>
  <c r="T135" i="58887" s="1"/>
  <c r="J135" i="58887" a="1"/>
  <c r="J135" i="58887" s="1"/>
  <c r="I135" i="58887" a="1"/>
  <c r="I135" i="58887" s="1"/>
  <c r="P134" i="58887"/>
  <c r="U134" i="58887" s="1" a="1"/>
  <c r="U134" i="58887" s="1"/>
  <c r="O134" i="58887"/>
  <c r="T134" i="58887" s="1" a="1"/>
  <c r="T134" i="58887" s="1"/>
  <c r="J134" i="58887" a="1"/>
  <c r="J134" i="58887" s="1"/>
  <c r="I134" i="58887" a="1"/>
  <c r="I134" i="58887" s="1"/>
  <c r="P133" i="58887"/>
  <c r="U133" i="58887" s="1" a="1"/>
  <c r="U133" i="58887" s="1"/>
  <c r="J133" i="58887" a="1"/>
  <c r="J133" i="58887" s="1"/>
  <c r="I133" i="58887" a="1"/>
  <c r="I133" i="58887" s="1"/>
  <c r="P132" i="58887"/>
  <c r="U132" i="58887" s="1" a="1"/>
  <c r="U132" i="58887" s="1"/>
  <c r="J132" i="58887" a="1"/>
  <c r="J132" i="58887" s="1"/>
  <c r="I132" i="58887" a="1"/>
  <c r="I132" i="58887" s="1"/>
  <c r="P131" i="58887"/>
  <c r="U131" i="58887" s="1" a="1"/>
  <c r="U131" i="58887" s="1"/>
  <c r="O131" i="58887"/>
  <c r="T131" i="58887" s="1" a="1"/>
  <c r="T131" i="58887" s="1"/>
  <c r="J131" i="58887" a="1"/>
  <c r="J131" i="58887" s="1"/>
  <c r="I131" i="58887" a="1"/>
  <c r="I131" i="58887" s="1"/>
  <c r="P130" i="58887"/>
  <c r="U130" i="58887" s="1" a="1"/>
  <c r="U130" i="58887" s="1"/>
  <c r="O130" i="58887"/>
  <c r="T130" i="58887" s="1" a="1"/>
  <c r="T130" i="58887" s="1"/>
  <c r="J130" i="58887" a="1"/>
  <c r="J130" i="58887" s="1"/>
  <c r="I130" i="58887" a="1"/>
  <c r="I130" i="58887" s="1"/>
  <c r="P129" i="58887"/>
  <c r="O129" i="58887"/>
  <c r="P128" i="58887"/>
  <c r="O128" i="58887"/>
  <c r="P127" i="58887"/>
  <c r="O127" i="58887"/>
  <c r="P126" i="58887"/>
  <c r="O126" i="58887"/>
  <c r="P125" i="58887"/>
  <c r="O125" i="58887"/>
  <c r="P124" i="58887"/>
  <c r="O124" i="58887"/>
  <c r="P123" i="58887"/>
  <c r="O123" i="58887"/>
  <c r="P122" i="58887"/>
  <c r="O122" i="58887"/>
  <c r="P121" i="58887"/>
  <c r="O121" i="58887"/>
  <c r="P120" i="58887"/>
  <c r="O120" i="58887"/>
  <c r="P119" i="58887"/>
  <c r="O119" i="58887"/>
  <c r="P118" i="58887"/>
  <c r="O118" i="58887"/>
  <c r="P117" i="58887"/>
  <c r="O117" i="58887"/>
  <c r="P116" i="58887"/>
  <c r="O116" i="58887"/>
  <c r="P115" i="58887"/>
  <c r="O115" i="58887"/>
  <c r="P114" i="58887"/>
  <c r="O114" i="58887"/>
  <c r="P113" i="58887"/>
  <c r="O113" i="58887"/>
  <c r="P112" i="58887"/>
  <c r="O112" i="58887"/>
  <c r="P111" i="58887"/>
  <c r="O111" i="58887"/>
  <c r="P110" i="58887"/>
  <c r="O110" i="58887"/>
  <c r="P109" i="58887"/>
  <c r="O109" i="58887"/>
  <c r="P108" i="58887"/>
  <c r="O108" i="58887"/>
  <c r="P107" i="58887"/>
  <c r="O107" i="58887"/>
  <c r="P106" i="58887"/>
  <c r="O106" i="58887"/>
  <c r="P105" i="58887"/>
  <c r="O105" i="58887"/>
  <c r="P104" i="58887"/>
  <c r="O104" i="58887"/>
  <c r="P103" i="58887"/>
  <c r="O103" i="58887"/>
  <c r="P102" i="58887"/>
  <c r="O102" i="58887"/>
  <c r="P101" i="58887"/>
  <c r="O101" i="58887"/>
  <c r="P100" i="58887"/>
  <c r="O100" i="58887"/>
  <c r="P99" i="58887"/>
  <c r="O99" i="58887"/>
  <c r="P98" i="58887"/>
  <c r="O98" i="58887"/>
  <c r="P97" i="58887"/>
  <c r="O97" i="58887"/>
  <c r="P96" i="58887"/>
  <c r="O96" i="58887"/>
  <c r="P95" i="58887"/>
  <c r="O95" i="58887"/>
  <c r="P94" i="58887"/>
  <c r="O94" i="58887"/>
  <c r="P93" i="58887"/>
  <c r="O93" i="58887"/>
  <c r="P92" i="58887"/>
  <c r="O92" i="58887"/>
  <c r="P91" i="58887"/>
  <c r="O91" i="58887"/>
  <c r="P90" i="58887"/>
  <c r="O90" i="58887"/>
  <c r="P89" i="58887"/>
  <c r="O89" i="58887"/>
  <c r="P88" i="58887"/>
  <c r="O88" i="58887"/>
  <c r="P87" i="58887"/>
  <c r="O87" i="58887"/>
  <c r="P86" i="58887"/>
  <c r="O86" i="58887"/>
  <c r="P85" i="58887"/>
  <c r="O85" i="58887"/>
  <c r="P84" i="58887"/>
  <c r="O84" i="58887"/>
  <c r="P83" i="58887"/>
  <c r="O83" i="58887"/>
  <c r="P82" i="58887"/>
  <c r="O82" i="58887"/>
  <c r="P81" i="58887"/>
  <c r="O81" i="58887"/>
  <c r="P80" i="58887"/>
  <c r="O80" i="58887"/>
  <c r="P79" i="58887"/>
  <c r="O79" i="58887"/>
  <c r="P78" i="58887"/>
  <c r="O78" i="58887"/>
  <c r="P77" i="58887"/>
  <c r="O77" i="58887"/>
  <c r="P76" i="58887"/>
  <c r="O76" i="58887"/>
  <c r="P75" i="58887"/>
  <c r="O75" i="58887"/>
  <c r="P74" i="58887"/>
  <c r="O74" i="58887"/>
  <c r="P73" i="58887"/>
  <c r="O73" i="58887"/>
  <c r="P72" i="58887"/>
  <c r="O72" i="58887"/>
  <c r="P71" i="58887"/>
  <c r="O71" i="58887"/>
  <c r="P70" i="58887"/>
  <c r="O70" i="58887"/>
  <c r="P69" i="58887"/>
  <c r="O69" i="58887"/>
  <c r="O68" i="58887"/>
  <c r="P67" i="58887"/>
  <c r="O67" i="58887"/>
  <c r="P66" i="58887"/>
  <c r="O66" i="58887"/>
  <c r="P65" i="58887"/>
  <c r="O65" i="58887"/>
  <c r="O64" i="58887"/>
  <c r="O63" i="58887"/>
  <c r="O62" i="58887"/>
  <c r="P61" i="58887"/>
  <c r="P60" i="58887"/>
  <c r="O60" i="58887"/>
  <c r="P59" i="58887"/>
  <c r="O59" i="58887"/>
  <c r="P58" i="58887"/>
  <c r="O58" i="58887"/>
  <c r="P57" i="58887"/>
  <c r="O57" i="58887"/>
  <c r="P56" i="58887"/>
  <c r="O56" i="58887"/>
  <c r="P55" i="58887"/>
  <c r="O55" i="58887"/>
  <c r="P54" i="58887"/>
  <c r="O54" i="58887"/>
  <c r="P53" i="58887"/>
  <c r="O53" i="58887"/>
  <c r="P52" i="58887"/>
  <c r="O52" i="58887"/>
  <c r="P51" i="58887"/>
  <c r="O51" i="58887"/>
  <c r="P50" i="58887"/>
  <c r="O50" i="58887"/>
  <c r="P49" i="58887"/>
  <c r="O49" i="58887"/>
  <c r="O48" i="58887"/>
  <c r="O47" i="58887"/>
  <c r="P46" i="58887"/>
  <c r="O46" i="58887"/>
  <c r="E46" i="58887"/>
  <c r="J46" i="58887" s="1" a="1"/>
  <c r="J46" i="58887" s="1"/>
  <c r="P45" i="58887"/>
  <c r="O45" i="58887"/>
  <c r="E45" i="58887"/>
  <c r="I45" i="58887" s="1" a="1"/>
  <c r="I45" i="58887" s="1"/>
  <c r="P44" i="58887"/>
  <c r="O44" i="58887"/>
  <c r="E44" i="58887"/>
  <c r="J44" i="58887" s="1" a="1"/>
  <c r="J44" i="58887" s="1"/>
  <c r="P43" i="58887"/>
  <c r="O43" i="58887"/>
  <c r="E43" i="58887"/>
  <c r="I43" i="58887" s="1" a="1"/>
  <c r="I43" i="58887" s="1"/>
  <c r="P42" i="58887"/>
  <c r="O42" i="58887"/>
  <c r="E42" i="58887"/>
  <c r="J42" i="58887" s="1" a="1"/>
  <c r="J42" i="58887" s="1"/>
  <c r="P41" i="58887"/>
  <c r="O41" i="58887"/>
  <c r="E41" i="58887"/>
  <c r="I41" i="58887" s="1" a="1"/>
  <c r="I41" i="58887" s="1"/>
  <c r="P40" i="58887"/>
  <c r="O40" i="58887"/>
  <c r="E40" i="58887"/>
  <c r="J40" i="58887" s="1" a="1"/>
  <c r="J40" i="58887" s="1"/>
  <c r="P39" i="58887"/>
  <c r="O39" i="58887"/>
  <c r="E39" i="58887"/>
  <c r="I39" i="58887" s="1" a="1"/>
  <c r="I39" i="58887" s="1"/>
  <c r="P38" i="58887"/>
  <c r="O38" i="58887"/>
  <c r="E38" i="58887"/>
  <c r="I38" i="58887" s="1" a="1"/>
  <c r="I38" i="58887" s="1"/>
  <c r="P37" i="58887"/>
  <c r="O37" i="58887"/>
  <c r="E37" i="58887"/>
  <c r="J37" i="58887" s="1" a="1"/>
  <c r="J37" i="58887" s="1"/>
  <c r="P36" i="58887"/>
  <c r="O36" i="58887"/>
  <c r="E36" i="58887"/>
  <c r="J36" i="58887" s="1" a="1"/>
  <c r="J36" i="58887" s="1"/>
  <c r="P35" i="58887"/>
  <c r="O35" i="58887"/>
  <c r="E35" i="58887"/>
  <c r="J35" i="58887" s="1" a="1"/>
  <c r="J35" i="58887" s="1"/>
  <c r="P34" i="58887"/>
  <c r="O34" i="58887"/>
  <c r="E34" i="58887"/>
  <c r="P33" i="58887"/>
  <c r="O33" i="58887"/>
  <c r="E33" i="58887"/>
  <c r="I33" i="58887" s="1" a="1"/>
  <c r="I33" i="58887" s="1"/>
  <c r="P32" i="58887"/>
  <c r="O32" i="58887"/>
  <c r="E32" i="58887"/>
  <c r="I32" i="58887" s="1" a="1"/>
  <c r="I32" i="58887" s="1"/>
  <c r="P31" i="58887"/>
  <c r="O31" i="58887"/>
  <c r="E31" i="58887"/>
  <c r="J31" i="58887" s="1" a="1"/>
  <c r="J31" i="58887" s="1"/>
  <c r="P30" i="58887"/>
  <c r="O30" i="58887"/>
  <c r="E30" i="58887"/>
  <c r="I30" i="58887" s="1" a="1"/>
  <c r="I30" i="58887" s="1"/>
  <c r="P29" i="58887"/>
  <c r="O29" i="58887"/>
  <c r="E29" i="58887"/>
  <c r="J29" i="58887" s="1" a="1"/>
  <c r="J29" i="58887" s="1"/>
  <c r="P28" i="58887"/>
  <c r="O28" i="58887"/>
  <c r="E28" i="58887"/>
  <c r="J28" i="58887" s="1" a="1"/>
  <c r="J28" i="58887" s="1"/>
  <c r="P27" i="58887"/>
  <c r="O27" i="58887"/>
  <c r="E27" i="58887"/>
  <c r="J27" i="58887" s="1" a="1"/>
  <c r="J27" i="58887" s="1"/>
  <c r="P26" i="58887"/>
  <c r="O26" i="58887"/>
  <c r="E26" i="58887"/>
  <c r="I26" i="58887" s="1" a="1"/>
  <c r="I26" i="58887" s="1"/>
  <c r="P25" i="58887"/>
  <c r="O25" i="58887"/>
  <c r="E25" i="58887"/>
  <c r="I25" i="58887" s="1" a="1"/>
  <c r="I25" i="58887" s="1"/>
  <c r="P24" i="58887"/>
  <c r="O24" i="58887"/>
  <c r="E24" i="58887"/>
  <c r="J24" i="58887" s="1" a="1"/>
  <c r="J24" i="58887" s="1"/>
  <c r="P23" i="58887"/>
  <c r="O23" i="58887"/>
  <c r="E23" i="58887"/>
  <c r="I23" i="58887" s="1" a="1"/>
  <c r="I23" i="58887" s="1"/>
  <c r="P22" i="58887"/>
  <c r="O22" i="58887"/>
  <c r="E22" i="58887"/>
  <c r="I22" i="58887" s="1" a="1"/>
  <c r="I22" i="58887" s="1"/>
  <c r="P21" i="58887"/>
  <c r="O21" i="58887"/>
  <c r="E21" i="58887"/>
  <c r="J21" i="58887" s="1" a="1"/>
  <c r="J21" i="58887" s="1"/>
  <c r="P20" i="58887"/>
  <c r="O20" i="58887"/>
  <c r="E20" i="58887"/>
  <c r="I20" i="58887" s="1" a="1"/>
  <c r="I20" i="58887" s="1"/>
  <c r="P19" i="58887"/>
  <c r="O19" i="58887"/>
  <c r="E19" i="58887"/>
  <c r="I19" i="58887" s="1" a="1"/>
  <c r="I19" i="58887" s="1"/>
  <c r="P18" i="58887"/>
  <c r="O18" i="58887"/>
  <c r="E18" i="58887"/>
  <c r="J18" i="58887" s="1" a="1"/>
  <c r="J18" i="58887" s="1"/>
  <c r="P17" i="58887"/>
  <c r="O17" i="58887"/>
  <c r="E17" i="58887"/>
  <c r="P16" i="58887"/>
  <c r="O16" i="58887"/>
  <c r="E16" i="58887"/>
  <c r="I16" i="58887" s="1" a="1"/>
  <c r="I16" i="58887" s="1"/>
  <c r="P15" i="58887"/>
  <c r="O15" i="58887"/>
  <c r="E15" i="58887"/>
  <c r="J15" i="58887" s="1" a="1"/>
  <c r="J15" i="58887" s="1"/>
  <c r="P14" i="58887"/>
  <c r="O14" i="58887"/>
  <c r="E14" i="58887"/>
  <c r="I14" i="58887" s="1" a="1"/>
  <c r="I14" i="58887" s="1"/>
  <c r="P13" i="58887"/>
  <c r="O13" i="58887"/>
  <c r="E13" i="58887"/>
  <c r="I13" i="58887" s="1" a="1"/>
  <c r="I13" i="58887" s="1"/>
  <c r="P12" i="58887"/>
  <c r="O12" i="58887"/>
  <c r="E12" i="58887"/>
  <c r="J12" i="58887" s="1" a="1"/>
  <c r="J12" i="58887" s="1"/>
  <c r="P11" i="58887"/>
  <c r="O11" i="58887"/>
  <c r="E11" i="58887"/>
  <c r="I11" i="58887" s="1" a="1"/>
  <c r="I11" i="58887" s="1"/>
  <c r="P10" i="58887"/>
  <c r="O10" i="58887"/>
  <c r="E10" i="58887"/>
  <c r="I10" i="58887" s="1" a="1"/>
  <c r="I10" i="58887" s="1"/>
  <c r="P9" i="58887"/>
  <c r="P8" i="58887"/>
  <c r="K8" i="58887"/>
  <c r="O8" i="58887" s="1"/>
  <c r="X7" i="58887" a="1"/>
  <c r="X7" i="58887" s="1"/>
  <c r="X5" i="58887" s="1" a="1"/>
  <c r="X5" i="58887" s="1"/>
  <c r="P7" i="58887"/>
  <c r="P6" i="58887"/>
  <c r="P5" i="58887"/>
  <c r="O5" i="58887"/>
  <c r="W3" i="58887"/>
  <c r="W2" i="58887"/>
  <c r="O254" i="58885" a="1"/>
  <c r="O254" i="58885" s="1"/>
  <c r="N254" i="58885" a="1"/>
  <c r="N254" i="58885" s="1"/>
  <c r="J254" i="58885" a="1"/>
  <c r="J254" i="58885" s="1"/>
  <c r="Z254" i="58885" s="1" a="1"/>
  <c r="Z254" i="58885" s="1"/>
  <c r="O253" i="58885" a="1"/>
  <c r="O253" i="58885" s="1"/>
  <c r="N253" i="58885" a="1"/>
  <c r="N253" i="58885" s="1"/>
  <c r="J253" i="58885" a="1"/>
  <c r="J253" i="58885" s="1"/>
  <c r="O252" i="58885" a="1"/>
  <c r="O252" i="58885" s="1"/>
  <c r="N252" i="58885" a="1"/>
  <c r="N252" i="58885" s="1"/>
  <c r="J252" i="58885" a="1"/>
  <c r="J252" i="58885" s="1"/>
  <c r="O251" i="58885" a="1"/>
  <c r="O251" i="58885" s="1"/>
  <c r="N251" i="58885" a="1"/>
  <c r="N251" i="58885" s="1"/>
  <c r="J251" i="58885" a="1"/>
  <c r="J251" i="58885" s="1"/>
  <c r="O250" i="58885" a="1"/>
  <c r="O250" i="58885" s="1"/>
  <c r="N250" i="58885" a="1"/>
  <c r="N250" i="58885" s="1"/>
  <c r="J250" i="58885" a="1"/>
  <c r="J250" i="58885" s="1"/>
  <c r="O249" i="58885" a="1"/>
  <c r="O249" i="58885" s="1"/>
  <c r="N249" i="58885" a="1"/>
  <c r="N249" i="58885" s="1"/>
  <c r="J249" i="58885" a="1"/>
  <c r="J249" i="58885" s="1"/>
  <c r="O248" i="58885" a="1"/>
  <c r="O248" i="58885" s="1"/>
  <c r="N248" i="58885" a="1"/>
  <c r="N248" i="58885" s="1"/>
  <c r="J248" i="58885" a="1"/>
  <c r="J248" i="58885" s="1"/>
  <c r="O247" i="58885" a="1"/>
  <c r="O247" i="58885" s="1"/>
  <c r="N247" i="58885" a="1"/>
  <c r="N247" i="58885" s="1"/>
  <c r="J247" i="58885" a="1"/>
  <c r="J247" i="58885" s="1"/>
  <c r="O246" i="58885" a="1"/>
  <c r="O246" i="58885" s="1"/>
  <c r="N246" i="58885" a="1"/>
  <c r="N246" i="58885" s="1"/>
  <c r="J246" i="58885" a="1"/>
  <c r="J246" i="58885" s="1"/>
  <c r="O245" i="58885" a="1"/>
  <c r="O245" i="58885" s="1"/>
  <c r="N245" i="58885" a="1"/>
  <c r="N245" i="58885" s="1"/>
  <c r="J245" i="58885" a="1"/>
  <c r="J245" i="58885" s="1"/>
  <c r="O244" i="58885" a="1"/>
  <c r="O244" i="58885" s="1"/>
  <c r="N244" i="58885" a="1"/>
  <c r="N244" i="58885" s="1"/>
  <c r="J244" i="58885" a="1"/>
  <c r="J244" i="58885" s="1"/>
  <c r="Z244" i="58885" s="1" a="1"/>
  <c r="Z244" i="58885" s="1"/>
  <c r="O243" i="58885" a="1"/>
  <c r="O243" i="58885" s="1"/>
  <c r="N243" i="58885" a="1"/>
  <c r="N243" i="58885" s="1"/>
  <c r="J243" i="58885" a="1"/>
  <c r="J243" i="58885" s="1"/>
  <c r="Z243" i="58885" s="1" a="1"/>
  <c r="Z243" i="58885" s="1"/>
  <c r="O242" i="58885" a="1"/>
  <c r="O242" i="58885" s="1"/>
  <c r="N242" i="58885" a="1"/>
  <c r="N242" i="58885" s="1"/>
  <c r="J242" i="58885" a="1"/>
  <c r="J242" i="58885" s="1"/>
  <c r="Z242" i="58885" s="1" a="1"/>
  <c r="Z242" i="58885" s="1"/>
  <c r="O241" i="58885" a="1"/>
  <c r="O241" i="58885" s="1"/>
  <c r="N241" i="58885" a="1"/>
  <c r="N241" i="58885" s="1"/>
  <c r="J241" i="58885" a="1"/>
  <c r="J241" i="58885" s="1"/>
  <c r="O240" i="58885" a="1"/>
  <c r="O240" i="58885" s="1"/>
  <c r="N240" i="58885" a="1"/>
  <c r="N240" i="58885" s="1"/>
  <c r="J240" i="58885" a="1"/>
  <c r="J240" i="58885" s="1"/>
  <c r="O239" i="58885" a="1"/>
  <c r="O239" i="58885" s="1"/>
  <c r="N239" i="58885" a="1"/>
  <c r="N239" i="58885" s="1"/>
  <c r="J239" i="58885" a="1"/>
  <c r="J239" i="58885" s="1"/>
  <c r="Z239" i="58885" s="1" a="1"/>
  <c r="Z239" i="58885" s="1"/>
  <c r="O238" i="58885" a="1"/>
  <c r="O238" i="58885" s="1"/>
  <c r="N238" i="58885" a="1"/>
  <c r="N238" i="58885" s="1"/>
  <c r="J238" i="58885" a="1"/>
  <c r="J238" i="58885" s="1"/>
  <c r="O237" i="58885" a="1"/>
  <c r="O237" i="58885" s="1"/>
  <c r="N237" i="58885" a="1"/>
  <c r="N237" i="58885" s="1"/>
  <c r="J237" i="58885" a="1"/>
  <c r="J237" i="58885" s="1"/>
  <c r="O236" i="58885" a="1"/>
  <c r="O236" i="58885" s="1"/>
  <c r="N236" i="58885" a="1"/>
  <c r="N236" i="58885" s="1"/>
  <c r="J236" i="58885" a="1"/>
  <c r="J236" i="58885" s="1"/>
  <c r="Z236" i="58885" s="1" a="1"/>
  <c r="Z236" i="58885" s="1"/>
  <c r="O235" i="58885" a="1"/>
  <c r="O235" i="58885" s="1"/>
  <c r="N235" i="58885" a="1"/>
  <c r="N235" i="58885" s="1"/>
  <c r="J235" i="58885" a="1"/>
  <c r="J235" i="58885" s="1"/>
  <c r="O234" i="58885" a="1"/>
  <c r="O234" i="58885" s="1"/>
  <c r="N234" i="58885" a="1"/>
  <c r="N234" i="58885" s="1"/>
  <c r="J234" i="58885" a="1"/>
  <c r="J234" i="58885" s="1"/>
  <c r="O233" i="58885" a="1"/>
  <c r="O233" i="58885" s="1"/>
  <c r="N233" i="58885" a="1"/>
  <c r="N233" i="58885" s="1"/>
  <c r="J233" i="58885" a="1"/>
  <c r="J233" i="58885" s="1"/>
  <c r="O232" i="58885" a="1"/>
  <c r="O232" i="58885" s="1"/>
  <c r="N232" i="58885" a="1"/>
  <c r="N232" i="58885" s="1"/>
  <c r="J232" i="58885" a="1"/>
  <c r="J232" i="58885" s="1"/>
  <c r="O231" i="58885" a="1"/>
  <c r="O231" i="58885" s="1"/>
  <c r="N231" i="58885" a="1"/>
  <c r="N231" i="58885" s="1"/>
  <c r="J231" i="58885" a="1"/>
  <c r="J231" i="58885" s="1"/>
  <c r="O230" i="58885" a="1"/>
  <c r="O230" i="58885" s="1"/>
  <c r="N230" i="58885" a="1"/>
  <c r="N230" i="58885" s="1"/>
  <c r="J230" i="58885" a="1"/>
  <c r="J230" i="58885" s="1"/>
  <c r="Y230" i="58885" s="1" a="1"/>
  <c r="Y230" i="58885" s="1"/>
  <c r="O229" i="58885" a="1"/>
  <c r="O229" i="58885" s="1"/>
  <c r="N229" i="58885" a="1"/>
  <c r="N229" i="58885" s="1"/>
  <c r="J229" i="58885" a="1"/>
  <c r="J229" i="58885" s="1"/>
  <c r="O228" i="58885" a="1"/>
  <c r="O228" i="58885" s="1"/>
  <c r="N228" i="58885" a="1"/>
  <c r="N228" i="58885" s="1"/>
  <c r="J228" i="58885" a="1"/>
  <c r="J228" i="58885" s="1"/>
  <c r="O227" i="58885" a="1"/>
  <c r="O227" i="58885" s="1"/>
  <c r="N227" i="58885" a="1"/>
  <c r="N227" i="58885" s="1"/>
  <c r="J227" i="58885" a="1"/>
  <c r="J227" i="58885" s="1"/>
  <c r="O226" i="58885" a="1"/>
  <c r="O226" i="58885" s="1"/>
  <c r="N226" i="58885" a="1"/>
  <c r="N226" i="58885" s="1"/>
  <c r="J226" i="58885" a="1"/>
  <c r="J226" i="58885" s="1"/>
  <c r="Y226" i="58885" s="1" a="1"/>
  <c r="Y226" i="58885" s="1"/>
  <c r="O225" i="58885" a="1"/>
  <c r="O225" i="58885" s="1"/>
  <c r="N225" i="58885" a="1"/>
  <c r="N225" i="58885" s="1"/>
  <c r="J225" i="58885" a="1"/>
  <c r="J225" i="58885" s="1"/>
  <c r="O224" i="58885" a="1"/>
  <c r="O224" i="58885" s="1"/>
  <c r="N224" i="58885" a="1"/>
  <c r="N224" i="58885" s="1"/>
  <c r="J224" i="58885" a="1"/>
  <c r="J224" i="58885" s="1"/>
  <c r="O223" i="58885" a="1"/>
  <c r="O223" i="58885" s="1"/>
  <c r="N223" i="58885" a="1"/>
  <c r="N223" i="58885" s="1"/>
  <c r="J223" i="58885" a="1"/>
  <c r="J223" i="58885" s="1"/>
  <c r="O222" i="58885" a="1"/>
  <c r="O222" i="58885" s="1"/>
  <c r="N222" i="58885" a="1"/>
  <c r="N222" i="58885" s="1"/>
  <c r="J222" i="58885" a="1"/>
  <c r="J222" i="58885" s="1"/>
  <c r="O221" i="58885" a="1"/>
  <c r="O221" i="58885" s="1"/>
  <c r="N221" i="58885" a="1"/>
  <c r="N221" i="58885" s="1"/>
  <c r="J221" i="58885" a="1"/>
  <c r="J221" i="58885" s="1"/>
  <c r="Z221" i="58885" s="1" a="1"/>
  <c r="Z221" i="58885" s="1"/>
  <c r="O220" i="58885" a="1"/>
  <c r="O220" i="58885" s="1"/>
  <c r="N220" i="58885" a="1"/>
  <c r="N220" i="58885" s="1"/>
  <c r="J220" i="58885" a="1"/>
  <c r="J220" i="58885" s="1"/>
  <c r="O219" i="58885" a="1"/>
  <c r="O219" i="58885" s="1"/>
  <c r="N219" i="58885" a="1"/>
  <c r="N219" i="58885" s="1"/>
  <c r="J219" i="58885" a="1"/>
  <c r="J219" i="58885" s="1"/>
  <c r="O218" i="58885" a="1"/>
  <c r="O218" i="58885" s="1"/>
  <c r="N218" i="58885" a="1"/>
  <c r="N218" i="58885" s="1"/>
  <c r="J218" i="58885" a="1"/>
  <c r="J218" i="58885" s="1"/>
  <c r="O217" i="58885" a="1"/>
  <c r="O217" i="58885" s="1"/>
  <c r="N217" i="58885" a="1"/>
  <c r="N217" i="58885" s="1"/>
  <c r="J217" i="58885" a="1"/>
  <c r="J217" i="58885" s="1"/>
  <c r="O216" i="58885" a="1"/>
  <c r="O216" i="58885" s="1"/>
  <c r="N216" i="58885" a="1"/>
  <c r="N216" i="58885" s="1"/>
  <c r="J216" i="58885" a="1"/>
  <c r="J216" i="58885" s="1"/>
  <c r="O215" i="58885" a="1"/>
  <c r="O215" i="58885" s="1"/>
  <c r="N215" i="58885" a="1"/>
  <c r="N215" i="58885" s="1"/>
  <c r="J215" i="58885" a="1"/>
  <c r="J215" i="58885" s="1"/>
  <c r="O214" i="58885" a="1"/>
  <c r="O214" i="58885" s="1"/>
  <c r="N214" i="58885" a="1"/>
  <c r="N214" i="58885" s="1"/>
  <c r="J214" i="58885" a="1"/>
  <c r="J214" i="58885" s="1"/>
  <c r="O213" i="58885" a="1"/>
  <c r="O213" i="58885" s="1"/>
  <c r="N213" i="58885" a="1"/>
  <c r="N213" i="58885" s="1"/>
  <c r="J213" i="58885" a="1"/>
  <c r="J213" i="58885" s="1"/>
  <c r="O212" i="58885" a="1"/>
  <c r="O212" i="58885" s="1"/>
  <c r="N212" i="58885" a="1"/>
  <c r="N212" i="58885" s="1"/>
  <c r="J212" i="58885" a="1"/>
  <c r="J212" i="58885" s="1"/>
  <c r="O211" i="58885" a="1"/>
  <c r="O211" i="58885" s="1"/>
  <c r="N211" i="58885" a="1"/>
  <c r="N211" i="58885" s="1"/>
  <c r="J211" i="58885" a="1"/>
  <c r="J211" i="58885" s="1"/>
  <c r="O210" i="58885" a="1"/>
  <c r="O210" i="58885" s="1"/>
  <c r="N210" i="58885" a="1"/>
  <c r="N210" i="58885" s="1"/>
  <c r="J210" i="58885" a="1"/>
  <c r="J210" i="58885" s="1"/>
  <c r="O209" i="58885" a="1"/>
  <c r="O209" i="58885" s="1"/>
  <c r="N209" i="58885" a="1"/>
  <c r="N209" i="58885" s="1"/>
  <c r="J209" i="58885" a="1"/>
  <c r="J209" i="58885" s="1"/>
  <c r="Y209" i="58885" s="1" a="1"/>
  <c r="Y209" i="58885" s="1"/>
  <c r="O208" i="58885" a="1"/>
  <c r="O208" i="58885" s="1"/>
  <c r="N208" i="58885" a="1"/>
  <c r="N208" i="58885" s="1"/>
  <c r="J208" i="58885" a="1"/>
  <c r="J208" i="58885" s="1"/>
  <c r="O207" i="58885" a="1"/>
  <c r="O207" i="58885" s="1"/>
  <c r="N207" i="58885" a="1"/>
  <c r="N207" i="58885" s="1"/>
  <c r="J207" i="58885" a="1"/>
  <c r="J207" i="58885" s="1"/>
  <c r="O206" i="58885" a="1"/>
  <c r="O206" i="58885" s="1"/>
  <c r="N206" i="58885" a="1"/>
  <c r="N206" i="58885" s="1"/>
  <c r="J206" i="58885" a="1"/>
  <c r="J206" i="58885" s="1"/>
  <c r="Z206" i="58885" s="1" a="1"/>
  <c r="Z206" i="58885" s="1"/>
  <c r="O205" i="58885" a="1"/>
  <c r="O205" i="58885" s="1"/>
  <c r="N205" i="58885" a="1"/>
  <c r="N205" i="58885" s="1"/>
  <c r="J205" i="58885" a="1"/>
  <c r="J205" i="58885" s="1"/>
  <c r="Z205" i="58885" s="1" a="1"/>
  <c r="Z205" i="58885" s="1"/>
  <c r="O204" i="58885" a="1"/>
  <c r="O204" i="58885" s="1"/>
  <c r="N204" i="58885" a="1"/>
  <c r="N204" i="58885" s="1"/>
  <c r="J204" i="58885" a="1"/>
  <c r="J204" i="58885" s="1"/>
  <c r="O203" i="58885" a="1"/>
  <c r="O203" i="58885" s="1"/>
  <c r="N203" i="58885" a="1"/>
  <c r="N203" i="58885" s="1"/>
  <c r="J203" i="58885" a="1"/>
  <c r="J203" i="58885" s="1"/>
  <c r="O202" i="58885" a="1"/>
  <c r="O202" i="58885" s="1"/>
  <c r="N202" i="58885" a="1"/>
  <c r="N202" i="58885" s="1"/>
  <c r="J202" i="58885" a="1"/>
  <c r="J202" i="58885" s="1"/>
  <c r="O201" i="58885" a="1"/>
  <c r="O201" i="58885" s="1"/>
  <c r="N201" i="58885" a="1"/>
  <c r="N201" i="58885" s="1"/>
  <c r="J201" i="58885" a="1"/>
  <c r="J201" i="58885" s="1"/>
  <c r="O200" i="58885" a="1"/>
  <c r="O200" i="58885" s="1"/>
  <c r="N200" i="58885" a="1"/>
  <c r="N200" i="58885" s="1"/>
  <c r="J200" i="58885" a="1"/>
  <c r="J200" i="58885" s="1"/>
  <c r="Z200" i="58885" s="1" a="1"/>
  <c r="Z200" i="58885" s="1"/>
  <c r="O199" i="58885" a="1"/>
  <c r="O199" i="58885" s="1"/>
  <c r="N199" i="58885" a="1"/>
  <c r="N199" i="58885" s="1"/>
  <c r="J199" i="58885" a="1"/>
  <c r="J199" i="58885" s="1"/>
  <c r="O198" i="58885" a="1"/>
  <c r="O198" i="58885" s="1"/>
  <c r="N198" i="58885" a="1"/>
  <c r="N198" i="58885" s="1"/>
  <c r="J198" i="58885" a="1"/>
  <c r="J198" i="58885" s="1"/>
  <c r="O197" i="58885" a="1"/>
  <c r="O197" i="58885" s="1"/>
  <c r="N197" i="58885" a="1"/>
  <c r="N197" i="58885" s="1"/>
  <c r="J197" i="58885" a="1"/>
  <c r="J197" i="58885" s="1"/>
  <c r="O196" i="58885" a="1"/>
  <c r="O196" i="58885" s="1"/>
  <c r="N196" i="58885" a="1"/>
  <c r="N196" i="58885" s="1"/>
  <c r="J196" i="58885" a="1"/>
  <c r="J196" i="58885" s="1"/>
  <c r="O195" i="58885" a="1"/>
  <c r="O195" i="58885" s="1"/>
  <c r="N195" i="58885" a="1"/>
  <c r="N195" i="58885" s="1"/>
  <c r="J195" i="58885" a="1"/>
  <c r="J195" i="58885" s="1"/>
  <c r="O194" i="58885" a="1"/>
  <c r="O194" i="58885" s="1"/>
  <c r="N194" i="58885" a="1"/>
  <c r="N194" i="58885" s="1"/>
  <c r="J194" i="58885" a="1"/>
  <c r="J194" i="58885" s="1"/>
  <c r="O193" i="58885" a="1"/>
  <c r="O193" i="58885" s="1"/>
  <c r="N193" i="58885" a="1"/>
  <c r="N193" i="58885" s="1"/>
  <c r="J193" i="58885" a="1"/>
  <c r="J193" i="58885" s="1"/>
  <c r="O192" i="58885" a="1"/>
  <c r="O192" i="58885" s="1"/>
  <c r="N192" i="58885" a="1"/>
  <c r="N192" i="58885" s="1"/>
  <c r="J192" i="58885" a="1"/>
  <c r="J192" i="58885" s="1"/>
  <c r="O191" i="58885" a="1"/>
  <c r="O191" i="58885" s="1"/>
  <c r="N191" i="58885" a="1"/>
  <c r="N191" i="58885" s="1"/>
  <c r="J191" i="58885" a="1"/>
  <c r="J191" i="58885" s="1"/>
  <c r="X191" i="58885" s="1" a="1"/>
  <c r="X191" i="58885" s="1"/>
  <c r="O190" i="58885" a="1"/>
  <c r="O190" i="58885" s="1"/>
  <c r="N190" i="58885" a="1"/>
  <c r="N190" i="58885" s="1"/>
  <c r="J190" i="58885" a="1"/>
  <c r="J190" i="58885" s="1"/>
  <c r="O189" i="58885" a="1"/>
  <c r="O189" i="58885" s="1"/>
  <c r="N189" i="58885" a="1"/>
  <c r="N189" i="58885" s="1"/>
  <c r="J189" i="58885" a="1"/>
  <c r="J189" i="58885" s="1"/>
  <c r="O188" i="58885" a="1"/>
  <c r="O188" i="58885" s="1"/>
  <c r="N188" i="58885" a="1"/>
  <c r="N188" i="58885" s="1"/>
  <c r="J188" i="58885" a="1"/>
  <c r="J188" i="58885" s="1"/>
  <c r="O187" i="58885" a="1"/>
  <c r="O187" i="58885" s="1"/>
  <c r="N187" i="58885" a="1"/>
  <c r="N187" i="58885" s="1"/>
  <c r="J187" i="58885" a="1"/>
  <c r="J187" i="58885" s="1"/>
  <c r="O186" i="58885" a="1"/>
  <c r="O186" i="58885" s="1"/>
  <c r="N186" i="58885" a="1"/>
  <c r="N186" i="58885" s="1"/>
  <c r="J186" i="58885" a="1"/>
  <c r="J186" i="58885" s="1"/>
  <c r="O185" i="58885" a="1"/>
  <c r="O185" i="58885" s="1"/>
  <c r="N185" i="58885" a="1"/>
  <c r="N185" i="58885" s="1"/>
  <c r="J185" i="58885" a="1"/>
  <c r="J185" i="58885" s="1"/>
  <c r="O184" i="58885" a="1"/>
  <c r="O184" i="58885" s="1"/>
  <c r="N184" i="58885" a="1"/>
  <c r="N184" i="58885" s="1"/>
  <c r="J184" i="58885" a="1"/>
  <c r="J184" i="58885" s="1"/>
  <c r="O183" i="58885" a="1"/>
  <c r="O183" i="58885" s="1"/>
  <c r="O182" i="58885" a="1"/>
  <c r="O182" i="58885" s="1"/>
  <c r="O181" i="58885" a="1"/>
  <c r="O181" i="58885" s="1"/>
  <c r="W180" i="58885" a="1"/>
  <c r="W180" i="58885" s="1"/>
  <c r="V180" i="58885" a="1"/>
  <c r="V180" i="58885" s="1"/>
  <c r="U180" i="58885" a="1"/>
  <c r="U180" i="58885" s="1"/>
  <c r="O180" i="58885" a="1"/>
  <c r="O180" i="58885" s="1"/>
  <c r="I180" i="58885" a="1"/>
  <c r="I180" i="58885" s="1"/>
  <c r="W179" i="58885" a="1"/>
  <c r="W179" i="58885" s="1"/>
  <c r="V179" i="58885" a="1"/>
  <c r="V179" i="58885" s="1"/>
  <c r="U179" i="58885" a="1"/>
  <c r="U179" i="58885" s="1"/>
  <c r="O179" i="58885" a="1"/>
  <c r="O179" i="58885" s="1"/>
  <c r="I179" i="58885" a="1"/>
  <c r="I179" i="58885" s="1"/>
  <c r="W178" i="58885" a="1"/>
  <c r="W178" i="58885" s="1"/>
  <c r="V178" i="58885" a="1"/>
  <c r="V178" i="58885" s="1"/>
  <c r="U178" i="58885" a="1"/>
  <c r="U178" i="58885" s="1"/>
  <c r="O178" i="58885" a="1"/>
  <c r="O178" i="58885" s="1"/>
  <c r="I178" i="58885" a="1"/>
  <c r="I178" i="58885" s="1"/>
  <c r="W177" i="58885" a="1"/>
  <c r="W177" i="58885" s="1"/>
  <c r="V177" i="58885" a="1"/>
  <c r="V177" i="58885" s="1"/>
  <c r="U177" i="58885" a="1"/>
  <c r="U177" i="58885" s="1"/>
  <c r="O177" i="58885" a="1"/>
  <c r="O177" i="58885" s="1"/>
  <c r="I177" i="58885" a="1"/>
  <c r="I177" i="58885" s="1"/>
  <c r="W176" i="58885" a="1"/>
  <c r="W176" i="58885" s="1"/>
  <c r="V176" i="58885" a="1"/>
  <c r="V176" i="58885" s="1"/>
  <c r="U176" i="58885" a="1"/>
  <c r="U176" i="58885" s="1"/>
  <c r="O176" i="58885" a="1"/>
  <c r="O176" i="58885" s="1"/>
  <c r="I176" i="58885" a="1"/>
  <c r="I176" i="58885" s="1"/>
  <c r="W175" i="58885" a="1"/>
  <c r="W175" i="58885" s="1"/>
  <c r="V175" i="58885" a="1"/>
  <c r="V175" i="58885" s="1"/>
  <c r="U175" i="58885" a="1"/>
  <c r="U175" i="58885" s="1"/>
  <c r="O175" i="58885" a="1"/>
  <c r="O175" i="58885" s="1"/>
  <c r="I175" i="58885" a="1"/>
  <c r="I175" i="58885" s="1"/>
  <c r="W174" i="58885" a="1"/>
  <c r="W174" i="58885" s="1"/>
  <c r="V174" i="58885" a="1"/>
  <c r="V174" i="58885" s="1"/>
  <c r="U174" i="58885" a="1"/>
  <c r="U174" i="58885" s="1"/>
  <c r="O174" i="58885" a="1"/>
  <c r="O174" i="58885" s="1"/>
  <c r="I174" i="58885" a="1"/>
  <c r="I174" i="58885" s="1"/>
  <c r="W173" i="58885" a="1"/>
  <c r="W173" i="58885" s="1"/>
  <c r="V173" i="58885" a="1"/>
  <c r="V173" i="58885" s="1"/>
  <c r="U173" i="58885" a="1"/>
  <c r="U173" i="58885" s="1"/>
  <c r="O173" i="58885" a="1"/>
  <c r="O173" i="58885" s="1"/>
  <c r="I173" i="58885" a="1"/>
  <c r="I173" i="58885" s="1"/>
  <c r="W172" i="58885" a="1"/>
  <c r="W172" i="58885" s="1"/>
  <c r="V172" i="58885" a="1"/>
  <c r="V172" i="58885" s="1"/>
  <c r="U172" i="58885" a="1"/>
  <c r="U172" i="58885" s="1"/>
  <c r="O172" i="58885" a="1"/>
  <c r="O172" i="58885" s="1"/>
  <c r="I172" i="58885" a="1"/>
  <c r="I172" i="58885" s="1"/>
  <c r="W171" i="58885" a="1"/>
  <c r="W171" i="58885" s="1"/>
  <c r="V171" i="58885" a="1"/>
  <c r="V171" i="58885" s="1"/>
  <c r="U171" i="58885" a="1"/>
  <c r="U171" i="58885" s="1"/>
  <c r="O171" i="58885" a="1"/>
  <c r="O171" i="58885" s="1"/>
  <c r="I171" i="58885" a="1"/>
  <c r="I171" i="58885" s="1"/>
  <c r="W170" i="58885" a="1"/>
  <c r="W170" i="58885" s="1"/>
  <c r="V170" i="58885" a="1"/>
  <c r="V170" i="58885" s="1"/>
  <c r="U170" i="58885" a="1"/>
  <c r="U170" i="58885" s="1"/>
  <c r="O170" i="58885" a="1"/>
  <c r="O170" i="58885" s="1"/>
  <c r="I170" i="58885" a="1"/>
  <c r="I170" i="58885" s="1"/>
  <c r="W169" i="58885" a="1"/>
  <c r="W169" i="58885" s="1"/>
  <c r="V169" i="58885" a="1"/>
  <c r="V169" i="58885" s="1"/>
  <c r="U169" i="58885" a="1"/>
  <c r="U169" i="58885" s="1"/>
  <c r="O169" i="58885" a="1"/>
  <c r="O169" i="58885" s="1"/>
  <c r="I169" i="58885" a="1"/>
  <c r="I169" i="58885" s="1"/>
  <c r="W168" i="58885" a="1"/>
  <c r="W168" i="58885" s="1"/>
  <c r="V168" i="58885" a="1"/>
  <c r="V168" i="58885" s="1"/>
  <c r="U168" i="58885" a="1"/>
  <c r="U168" i="58885" s="1"/>
  <c r="O168" i="58885" a="1"/>
  <c r="O168" i="58885" s="1"/>
  <c r="I168" i="58885" a="1"/>
  <c r="I168" i="58885" s="1"/>
  <c r="W167" i="58885" a="1"/>
  <c r="W167" i="58885" s="1"/>
  <c r="V167" i="58885" a="1"/>
  <c r="V167" i="58885" s="1"/>
  <c r="U167" i="58885" a="1"/>
  <c r="U167" i="58885" s="1"/>
  <c r="O167" i="58885" a="1"/>
  <c r="O167" i="58885" s="1"/>
  <c r="I167" i="58885" a="1"/>
  <c r="I167" i="58885" s="1"/>
  <c r="W166" i="58885" a="1"/>
  <c r="W166" i="58885" s="1"/>
  <c r="V166" i="58885" a="1"/>
  <c r="V166" i="58885" s="1"/>
  <c r="U166" i="58885" a="1"/>
  <c r="U166" i="58885" s="1"/>
  <c r="O166" i="58885" a="1"/>
  <c r="O166" i="58885" s="1"/>
  <c r="I166" i="58885" a="1"/>
  <c r="I166" i="58885" s="1"/>
  <c r="W165" i="58885" a="1"/>
  <c r="W165" i="58885" s="1"/>
  <c r="V165" i="58885" a="1"/>
  <c r="V165" i="58885" s="1"/>
  <c r="U165" i="58885" a="1"/>
  <c r="U165" i="58885" s="1"/>
  <c r="O165" i="58885" a="1"/>
  <c r="O165" i="58885" s="1"/>
  <c r="I165" i="58885" a="1"/>
  <c r="I165" i="58885" s="1"/>
  <c r="W164" i="58885" a="1"/>
  <c r="W164" i="58885" s="1"/>
  <c r="V164" i="58885" a="1"/>
  <c r="V164" i="58885" s="1"/>
  <c r="U164" i="58885" a="1"/>
  <c r="U164" i="58885" s="1"/>
  <c r="O164" i="58885" a="1"/>
  <c r="O164" i="58885" s="1"/>
  <c r="I164" i="58885" a="1"/>
  <c r="I164" i="58885" s="1"/>
  <c r="W163" i="58885" a="1"/>
  <c r="W163" i="58885" s="1"/>
  <c r="V163" i="58885" a="1"/>
  <c r="V163" i="58885" s="1"/>
  <c r="U163" i="58885" a="1"/>
  <c r="U163" i="58885" s="1"/>
  <c r="O163" i="58885" a="1"/>
  <c r="O163" i="58885" s="1"/>
  <c r="I163" i="58885" a="1"/>
  <c r="I163" i="58885" s="1"/>
  <c r="W162" i="58885" a="1"/>
  <c r="W162" i="58885" s="1"/>
  <c r="V162" i="58885" a="1"/>
  <c r="V162" i="58885" s="1"/>
  <c r="U162" i="58885" a="1"/>
  <c r="U162" i="58885" s="1"/>
  <c r="O162" i="58885" a="1"/>
  <c r="O162" i="58885" s="1"/>
  <c r="I162" i="58885" a="1"/>
  <c r="I162" i="58885" s="1"/>
  <c r="W161" i="58885" a="1"/>
  <c r="W161" i="58885" s="1"/>
  <c r="V161" i="58885" a="1"/>
  <c r="V161" i="58885" s="1"/>
  <c r="U161" i="58885" a="1"/>
  <c r="U161" i="58885" s="1"/>
  <c r="O161" i="58885" a="1"/>
  <c r="O161" i="58885" s="1"/>
  <c r="I161" i="58885" a="1"/>
  <c r="I161" i="58885" s="1"/>
  <c r="W160" i="58885" a="1"/>
  <c r="W160" i="58885" s="1"/>
  <c r="V160" i="58885" a="1"/>
  <c r="V160" i="58885" s="1"/>
  <c r="U160" i="58885" a="1"/>
  <c r="U160" i="58885" s="1"/>
  <c r="O160" i="58885" a="1"/>
  <c r="O160" i="58885" s="1"/>
  <c r="I160" i="58885" a="1"/>
  <c r="I160" i="58885" s="1"/>
  <c r="W159" i="58885" a="1"/>
  <c r="W159" i="58885" s="1"/>
  <c r="V159" i="58885" a="1"/>
  <c r="V159" i="58885" s="1"/>
  <c r="U159" i="58885" a="1"/>
  <c r="U159" i="58885" s="1"/>
  <c r="O159" i="58885" a="1"/>
  <c r="O159" i="58885" s="1"/>
  <c r="I159" i="58885" a="1"/>
  <c r="I159" i="58885" s="1"/>
  <c r="W158" i="58885" a="1"/>
  <c r="W158" i="58885" s="1"/>
  <c r="V158" i="58885" a="1"/>
  <c r="V158" i="58885" s="1"/>
  <c r="U158" i="58885" a="1"/>
  <c r="U158" i="58885" s="1"/>
  <c r="O158" i="58885" a="1"/>
  <c r="O158" i="58885" s="1"/>
  <c r="I158" i="58885" a="1"/>
  <c r="I158" i="58885" s="1"/>
  <c r="W157" i="58885" a="1"/>
  <c r="W157" i="58885" s="1"/>
  <c r="V157" i="58885" a="1"/>
  <c r="V157" i="58885" s="1"/>
  <c r="U157" i="58885" a="1"/>
  <c r="U157" i="58885" s="1"/>
  <c r="O157" i="58885" a="1"/>
  <c r="O157" i="58885" s="1"/>
  <c r="I157" i="58885" a="1"/>
  <c r="I157" i="58885" s="1"/>
  <c r="W156" i="58885" a="1"/>
  <c r="W156" i="58885" s="1"/>
  <c r="V156" i="58885" a="1"/>
  <c r="V156" i="58885" s="1"/>
  <c r="U156" i="58885" a="1"/>
  <c r="U156" i="58885" s="1"/>
  <c r="O156" i="58885" a="1"/>
  <c r="O156" i="58885" s="1"/>
  <c r="I156" i="58885" a="1"/>
  <c r="I156" i="58885" s="1"/>
  <c r="W155" i="58885" a="1"/>
  <c r="W155" i="58885" s="1"/>
  <c r="V155" i="58885" a="1"/>
  <c r="V155" i="58885" s="1"/>
  <c r="U155" i="58885" a="1"/>
  <c r="U155" i="58885" s="1"/>
  <c r="O155" i="58885" a="1"/>
  <c r="O155" i="58885" s="1"/>
  <c r="I155" i="58885" a="1"/>
  <c r="I155" i="58885" s="1"/>
  <c r="W154" i="58885" a="1"/>
  <c r="W154" i="58885" s="1"/>
  <c r="V154" i="58885" a="1"/>
  <c r="V154" i="58885" s="1"/>
  <c r="U154" i="58885" a="1"/>
  <c r="U154" i="58885" s="1"/>
  <c r="O154" i="58885" a="1"/>
  <c r="O154" i="58885" s="1"/>
  <c r="I154" i="58885" a="1"/>
  <c r="I154" i="58885" s="1"/>
  <c r="W153" i="58885" a="1"/>
  <c r="W153" i="58885" s="1"/>
  <c r="V153" i="58885" a="1"/>
  <c r="V153" i="58885" s="1"/>
  <c r="U153" i="58885" a="1"/>
  <c r="U153" i="58885" s="1"/>
  <c r="O153" i="58885" a="1"/>
  <c r="O153" i="58885" s="1"/>
  <c r="I153" i="58885" a="1"/>
  <c r="I153" i="58885" s="1"/>
  <c r="W152" i="58885" a="1"/>
  <c r="W152" i="58885" s="1"/>
  <c r="V152" i="58885" a="1"/>
  <c r="V152" i="58885" s="1"/>
  <c r="U152" i="58885" a="1"/>
  <c r="U152" i="58885" s="1"/>
  <c r="O152" i="58885" a="1"/>
  <c r="O152" i="58885" s="1"/>
  <c r="I152" i="58885" a="1"/>
  <c r="I152" i="58885" s="1"/>
  <c r="W151" i="58885" a="1"/>
  <c r="W151" i="58885" s="1"/>
  <c r="V151" i="58885" a="1"/>
  <c r="V151" i="58885" s="1"/>
  <c r="U151" i="58885" a="1"/>
  <c r="U151" i="58885" s="1"/>
  <c r="O151" i="58885" a="1"/>
  <c r="O151" i="58885" s="1"/>
  <c r="I151" i="58885" a="1"/>
  <c r="I151" i="58885" s="1"/>
  <c r="W150" i="58885" a="1"/>
  <c r="W150" i="58885" s="1"/>
  <c r="V150" i="58885" a="1"/>
  <c r="V150" i="58885" s="1"/>
  <c r="U150" i="58885" a="1"/>
  <c r="U150" i="58885" s="1"/>
  <c r="O150" i="58885" a="1"/>
  <c r="O150" i="58885" s="1"/>
  <c r="I150" i="58885" a="1"/>
  <c r="I150" i="58885" s="1"/>
  <c r="W149" i="58885" a="1"/>
  <c r="W149" i="58885" s="1"/>
  <c r="V149" i="58885" a="1"/>
  <c r="V149" i="58885" s="1"/>
  <c r="U149" i="58885" a="1"/>
  <c r="U149" i="58885" s="1"/>
  <c r="O149" i="58885" a="1"/>
  <c r="O149" i="58885" s="1"/>
  <c r="I149" i="58885" a="1"/>
  <c r="I149" i="58885" s="1"/>
  <c r="W148" i="58885" a="1"/>
  <c r="W148" i="58885" s="1"/>
  <c r="V148" i="58885" a="1"/>
  <c r="V148" i="58885" s="1"/>
  <c r="U148" i="58885" a="1"/>
  <c r="U148" i="58885" s="1"/>
  <c r="O148" i="58885" a="1"/>
  <c r="O148" i="58885" s="1"/>
  <c r="I148" i="58885" a="1"/>
  <c r="I148" i="58885" s="1"/>
  <c r="W147" i="58885" a="1"/>
  <c r="W147" i="58885" s="1"/>
  <c r="V147" i="58885" a="1"/>
  <c r="V147" i="58885" s="1"/>
  <c r="U147" i="58885" a="1"/>
  <c r="U147" i="58885" s="1"/>
  <c r="O147" i="58885" a="1"/>
  <c r="O147" i="58885" s="1"/>
  <c r="I147" i="58885" a="1"/>
  <c r="I147" i="58885" s="1"/>
  <c r="W146" i="58885" a="1"/>
  <c r="W146" i="58885" s="1"/>
  <c r="V146" i="58885" a="1"/>
  <c r="V146" i="58885" s="1"/>
  <c r="U146" i="58885" a="1"/>
  <c r="U146" i="58885" s="1"/>
  <c r="O146" i="58885" a="1"/>
  <c r="O146" i="58885" s="1"/>
  <c r="I146" i="58885" a="1"/>
  <c r="I146" i="58885" s="1"/>
  <c r="W145" i="58885" a="1"/>
  <c r="W145" i="58885" s="1"/>
  <c r="V145" i="58885" a="1"/>
  <c r="V145" i="58885" s="1"/>
  <c r="U145" i="58885" a="1"/>
  <c r="U145" i="58885" s="1"/>
  <c r="O145" i="58885" a="1"/>
  <c r="O145" i="58885" s="1"/>
  <c r="I145" i="58885" a="1"/>
  <c r="I145" i="58885" s="1"/>
  <c r="W144" i="58885" a="1"/>
  <c r="W144" i="58885" s="1"/>
  <c r="V144" i="58885" a="1"/>
  <c r="V144" i="58885" s="1"/>
  <c r="U144" i="58885" a="1"/>
  <c r="U144" i="58885" s="1"/>
  <c r="O144" i="58885" a="1"/>
  <c r="O144" i="58885" s="1"/>
  <c r="I144" i="58885" a="1"/>
  <c r="I144" i="58885" s="1"/>
  <c r="W143" i="58885" a="1"/>
  <c r="W143" i="58885" s="1"/>
  <c r="V143" i="58885" a="1"/>
  <c r="V143" i="58885" s="1"/>
  <c r="U143" i="58885" a="1"/>
  <c r="U143" i="58885" s="1"/>
  <c r="O143" i="58885" a="1"/>
  <c r="O143" i="58885" s="1"/>
  <c r="I143" i="58885" a="1"/>
  <c r="I143" i="58885" s="1"/>
  <c r="O142" i="58885" a="1"/>
  <c r="O142" i="58885" s="1"/>
  <c r="O141" i="58885" a="1"/>
  <c r="O141" i="58885" s="1"/>
  <c r="O140" i="58885" a="1"/>
  <c r="O140" i="58885" s="1"/>
  <c r="O139" i="58885" a="1"/>
  <c r="O139" i="58885" s="1"/>
  <c r="O138" i="58885" a="1"/>
  <c r="O138" i="58885" s="1"/>
  <c r="O137" i="58885" a="1"/>
  <c r="O137" i="58885" s="1"/>
  <c r="O136" i="58885" a="1"/>
  <c r="O136" i="58885" s="1"/>
  <c r="O135" i="58885" a="1"/>
  <c r="O135" i="58885" s="1"/>
  <c r="O134" i="58885" a="1"/>
  <c r="O134" i="58885" s="1"/>
  <c r="O133" i="58885" a="1"/>
  <c r="O133" i="58885" s="1"/>
  <c r="O132" i="58885" a="1"/>
  <c r="O132" i="58885" s="1"/>
  <c r="O131" i="58885" a="1"/>
  <c r="O131" i="58885" s="1"/>
  <c r="O130" i="58885" a="1"/>
  <c r="O130" i="58885" s="1"/>
  <c r="O129" i="58885" a="1"/>
  <c r="O129" i="58885" s="1"/>
  <c r="O128" i="58885" a="1"/>
  <c r="O128" i="58885" s="1"/>
  <c r="O127" i="58885" a="1"/>
  <c r="O127" i="58885" s="1"/>
  <c r="O126" i="58885" a="1"/>
  <c r="O126" i="58885" s="1"/>
  <c r="O125" i="58885" a="1"/>
  <c r="O125" i="58885" s="1"/>
  <c r="O124" i="58885" a="1"/>
  <c r="O124" i="58885" s="1"/>
  <c r="O123" i="58885" a="1"/>
  <c r="O123" i="58885" s="1"/>
  <c r="O122" i="58885" a="1"/>
  <c r="O122" i="58885" s="1"/>
  <c r="O121" i="58885" a="1"/>
  <c r="O121" i="58885" s="1"/>
  <c r="O120" i="58885" a="1"/>
  <c r="O120" i="58885" s="1"/>
  <c r="O119" i="58885" a="1"/>
  <c r="O119" i="58885" s="1"/>
  <c r="O118" i="58885" a="1"/>
  <c r="O118" i="58885" s="1"/>
  <c r="O117" i="58885" a="1"/>
  <c r="O117" i="58885" s="1"/>
  <c r="O116" i="58885" a="1"/>
  <c r="O116" i="58885" s="1"/>
  <c r="O115" i="58885" a="1"/>
  <c r="O115" i="58885" s="1"/>
  <c r="O114" i="58885" a="1"/>
  <c r="O114" i="58885" s="1"/>
  <c r="O113" i="58885" a="1"/>
  <c r="O113" i="58885" s="1"/>
  <c r="O112" i="58885" a="1"/>
  <c r="O112" i="58885" s="1"/>
  <c r="O111" i="58885" a="1"/>
  <c r="O111" i="58885" s="1"/>
  <c r="O110" i="58885" a="1"/>
  <c r="O110" i="58885" s="1"/>
  <c r="O109" i="58885" a="1"/>
  <c r="O109" i="58885" s="1"/>
  <c r="O108" i="58885" a="1"/>
  <c r="O108" i="58885" s="1"/>
  <c r="O107" i="58885" a="1"/>
  <c r="O107" i="58885" s="1"/>
  <c r="O106" i="58885" a="1"/>
  <c r="O106" i="58885" s="1"/>
  <c r="O105" i="58885" a="1"/>
  <c r="O105" i="58885" s="1"/>
  <c r="O104" i="58885" a="1"/>
  <c r="O104" i="58885" s="1"/>
  <c r="O103" i="58885" a="1"/>
  <c r="O103" i="58885" s="1"/>
  <c r="O102" i="58885" a="1"/>
  <c r="O102" i="58885" s="1"/>
  <c r="O101" i="58885" a="1"/>
  <c r="O101" i="58885" s="1"/>
  <c r="O100" i="58885" a="1"/>
  <c r="O100" i="58885" s="1"/>
  <c r="O99" i="58885" a="1"/>
  <c r="O99" i="58885" s="1"/>
  <c r="O98" i="58885" a="1"/>
  <c r="O98" i="58885" s="1"/>
  <c r="O97" i="58885" a="1"/>
  <c r="O97" i="58885" s="1"/>
  <c r="W96" i="58885" a="1"/>
  <c r="W96" i="58885" s="1"/>
  <c r="V96" i="58885" a="1"/>
  <c r="V96" i="58885" s="1"/>
  <c r="U96" i="58885" a="1"/>
  <c r="U96" i="58885" s="1"/>
  <c r="O96" i="58885" a="1"/>
  <c r="O96" i="58885" s="1"/>
  <c r="I96" i="58885" a="1"/>
  <c r="I96" i="58885" s="1"/>
  <c r="W95" i="58885" a="1"/>
  <c r="W95" i="58885" s="1"/>
  <c r="V95" i="58885" a="1"/>
  <c r="V95" i="58885" s="1"/>
  <c r="U95" i="58885" a="1"/>
  <c r="U95" i="58885" s="1"/>
  <c r="O95" i="58885" a="1"/>
  <c r="O95" i="58885" s="1"/>
  <c r="I95" i="58885" a="1"/>
  <c r="I95" i="58885" s="1"/>
  <c r="W94" i="58885" a="1"/>
  <c r="W94" i="58885" s="1"/>
  <c r="V94" i="58885" a="1"/>
  <c r="V94" i="58885" s="1"/>
  <c r="U94" i="58885" a="1"/>
  <c r="U94" i="58885" s="1"/>
  <c r="O94" i="58885" a="1"/>
  <c r="O94" i="58885" s="1"/>
  <c r="I94" i="58885" a="1"/>
  <c r="I94" i="58885" s="1"/>
  <c r="W93" i="58885" a="1"/>
  <c r="W93" i="58885" s="1"/>
  <c r="V93" i="58885" a="1"/>
  <c r="V93" i="58885" s="1"/>
  <c r="U93" i="58885" a="1"/>
  <c r="U93" i="58885" s="1"/>
  <c r="O93" i="58885" a="1"/>
  <c r="O93" i="58885" s="1"/>
  <c r="I93" i="58885" a="1"/>
  <c r="I93" i="58885" s="1"/>
  <c r="W92" i="58885" a="1"/>
  <c r="W92" i="58885" s="1"/>
  <c r="V92" i="58885" a="1"/>
  <c r="V92" i="58885" s="1"/>
  <c r="U92" i="58885" a="1"/>
  <c r="U92" i="58885" s="1"/>
  <c r="O92" i="58885" a="1"/>
  <c r="O92" i="58885" s="1"/>
  <c r="I92" i="58885" a="1"/>
  <c r="I92" i="58885" s="1"/>
  <c r="W91" i="58885" a="1"/>
  <c r="W91" i="58885" s="1"/>
  <c r="V91" i="58885" a="1"/>
  <c r="V91" i="58885" s="1"/>
  <c r="U91" i="58885" a="1"/>
  <c r="U91" i="58885" s="1"/>
  <c r="O91" i="58885" a="1"/>
  <c r="O91" i="58885" s="1"/>
  <c r="I91" i="58885" a="1"/>
  <c r="I91" i="58885" s="1"/>
  <c r="W90" i="58885" a="1"/>
  <c r="W90" i="58885" s="1"/>
  <c r="V90" i="58885" a="1"/>
  <c r="V90" i="58885" s="1"/>
  <c r="U90" i="58885" a="1"/>
  <c r="U90" i="58885" s="1"/>
  <c r="O90" i="58885" a="1"/>
  <c r="O90" i="58885" s="1"/>
  <c r="I90" i="58885" a="1"/>
  <c r="I90" i="58885" s="1"/>
  <c r="W89" i="58885" a="1"/>
  <c r="W89" i="58885" s="1"/>
  <c r="V89" i="58885" a="1"/>
  <c r="V89" i="58885" s="1"/>
  <c r="U89" i="58885" a="1"/>
  <c r="U89" i="58885" s="1"/>
  <c r="O89" i="58885" a="1"/>
  <c r="O89" i="58885" s="1"/>
  <c r="I89" i="58885" a="1"/>
  <c r="I89" i="58885" s="1"/>
  <c r="W88" i="58885" a="1"/>
  <c r="W88" i="58885" s="1"/>
  <c r="V88" i="58885" a="1"/>
  <c r="V88" i="58885" s="1"/>
  <c r="U88" i="58885" a="1"/>
  <c r="U88" i="58885" s="1"/>
  <c r="O88" i="58885" a="1"/>
  <c r="O88" i="58885" s="1"/>
  <c r="I88" i="58885" a="1"/>
  <c r="I88" i="58885" s="1"/>
  <c r="W87" i="58885" a="1"/>
  <c r="W87" i="58885" s="1"/>
  <c r="V87" i="58885" a="1"/>
  <c r="V87" i="58885" s="1"/>
  <c r="U87" i="58885" a="1"/>
  <c r="U87" i="58885" s="1"/>
  <c r="O87" i="58885" a="1"/>
  <c r="O87" i="58885" s="1"/>
  <c r="I87" i="58885" a="1"/>
  <c r="I87" i="58885" s="1"/>
  <c r="W86" i="58885" a="1"/>
  <c r="W86" i="58885" s="1"/>
  <c r="V86" i="58885" a="1"/>
  <c r="V86" i="58885" s="1"/>
  <c r="U86" i="58885" a="1"/>
  <c r="U86" i="58885" s="1"/>
  <c r="O86" i="58885" a="1"/>
  <c r="O86" i="58885" s="1"/>
  <c r="I86" i="58885" a="1"/>
  <c r="I86" i="58885" s="1"/>
  <c r="W85" i="58885" a="1"/>
  <c r="W85" i="58885" s="1"/>
  <c r="V85" i="58885" a="1"/>
  <c r="V85" i="58885" s="1"/>
  <c r="U85" i="58885" a="1"/>
  <c r="U85" i="58885" s="1"/>
  <c r="O85" i="58885" a="1"/>
  <c r="O85" i="58885" s="1"/>
  <c r="I85" i="58885" a="1"/>
  <c r="I85" i="58885" s="1"/>
  <c r="W84" i="58885" a="1"/>
  <c r="W84" i="58885" s="1"/>
  <c r="V84" i="58885" a="1"/>
  <c r="V84" i="58885" s="1"/>
  <c r="U84" i="58885" a="1"/>
  <c r="U84" i="58885" s="1"/>
  <c r="O84" i="58885" a="1"/>
  <c r="O84" i="58885" s="1"/>
  <c r="I84" i="58885" a="1"/>
  <c r="I84" i="58885" s="1"/>
  <c r="W83" i="58885" a="1"/>
  <c r="W83" i="58885" s="1"/>
  <c r="V83" i="58885" a="1"/>
  <c r="V83" i="58885" s="1"/>
  <c r="U83" i="58885" a="1"/>
  <c r="U83" i="58885" s="1"/>
  <c r="O83" i="58885" a="1"/>
  <c r="O83" i="58885" s="1"/>
  <c r="I83" i="58885" a="1"/>
  <c r="I83" i="58885" s="1"/>
  <c r="W82" i="58885" a="1"/>
  <c r="W82" i="58885" s="1"/>
  <c r="V82" i="58885" a="1"/>
  <c r="V82" i="58885" s="1"/>
  <c r="U82" i="58885" a="1"/>
  <c r="U82" i="58885" s="1"/>
  <c r="O82" i="58885" a="1"/>
  <c r="O82" i="58885" s="1"/>
  <c r="I82" i="58885" a="1"/>
  <c r="I82" i="58885" s="1"/>
  <c r="W81" i="58885" a="1"/>
  <c r="W81" i="58885" s="1"/>
  <c r="V81" i="58885" a="1"/>
  <c r="V81" i="58885" s="1"/>
  <c r="U81" i="58885" a="1"/>
  <c r="U81" i="58885" s="1"/>
  <c r="O81" i="58885" a="1"/>
  <c r="O81" i="58885" s="1"/>
  <c r="I81" i="58885" a="1"/>
  <c r="I81" i="58885" s="1"/>
  <c r="W80" i="58885" a="1"/>
  <c r="W80" i="58885" s="1"/>
  <c r="V80" i="58885" a="1"/>
  <c r="V80" i="58885" s="1"/>
  <c r="U80" i="58885" a="1"/>
  <c r="U80" i="58885" s="1"/>
  <c r="O80" i="58885" a="1"/>
  <c r="O80" i="58885" s="1"/>
  <c r="I80" i="58885" a="1"/>
  <c r="I80" i="58885" s="1"/>
  <c r="W79" i="58885" a="1"/>
  <c r="W79" i="58885" s="1"/>
  <c r="V79" i="58885" a="1"/>
  <c r="V79" i="58885" s="1"/>
  <c r="U79" i="58885" a="1"/>
  <c r="U79" i="58885" s="1"/>
  <c r="O79" i="58885" a="1"/>
  <c r="O79" i="58885" s="1"/>
  <c r="I79" i="58885" a="1"/>
  <c r="I79" i="58885" s="1"/>
  <c r="W78" i="58885" a="1"/>
  <c r="W78" i="58885" s="1"/>
  <c r="V78" i="58885" a="1"/>
  <c r="V78" i="58885" s="1"/>
  <c r="U78" i="58885" a="1"/>
  <c r="U78" i="58885" s="1"/>
  <c r="O78" i="58885" a="1"/>
  <c r="O78" i="58885" s="1"/>
  <c r="I78" i="58885" a="1"/>
  <c r="I78" i="58885" s="1"/>
  <c r="W77" i="58885" a="1"/>
  <c r="W77" i="58885" s="1"/>
  <c r="V77" i="58885" a="1"/>
  <c r="V77" i="58885" s="1"/>
  <c r="U77" i="58885" a="1"/>
  <c r="U77" i="58885" s="1"/>
  <c r="O77" i="58885" a="1"/>
  <c r="O77" i="58885" s="1"/>
  <c r="I77" i="58885" a="1"/>
  <c r="I77" i="58885" s="1"/>
  <c r="W76" i="58885" a="1"/>
  <c r="W76" i="58885" s="1"/>
  <c r="V76" i="58885" a="1"/>
  <c r="V76" i="58885" s="1"/>
  <c r="U76" i="58885" a="1"/>
  <c r="U76" i="58885" s="1"/>
  <c r="O76" i="58885" a="1"/>
  <c r="O76" i="58885" s="1"/>
  <c r="I76" i="58885" a="1"/>
  <c r="I76" i="58885" s="1"/>
  <c r="W75" i="58885" a="1"/>
  <c r="W75" i="58885" s="1"/>
  <c r="V75" i="58885" a="1"/>
  <c r="V75" i="58885" s="1"/>
  <c r="U75" i="58885" a="1"/>
  <c r="U75" i="58885" s="1"/>
  <c r="O75" i="58885" a="1"/>
  <c r="O75" i="58885" s="1"/>
  <c r="I75" i="58885" a="1"/>
  <c r="I75" i="58885" s="1"/>
  <c r="W74" i="58885" a="1"/>
  <c r="W74" i="58885" s="1"/>
  <c r="V74" i="58885" a="1"/>
  <c r="V74" i="58885" s="1"/>
  <c r="U74" i="58885" a="1"/>
  <c r="U74" i="58885" s="1"/>
  <c r="O74" i="58885" a="1"/>
  <c r="O74" i="58885" s="1"/>
  <c r="I74" i="58885" a="1"/>
  <c r="I74" i="58885" s="1"/>
  <c r="W73" i="58885" a="1"/>
  <c r="W73" i="58885" s="1"/>
  <c r="V73" i="58885" a="1"/>
  <c r="V73" i="58885" s="1"/>
  <c r="U73" i="58885" a="1"/>
  <c r="U73" i="58885" s="1"/>
  <c r="O73" i="58885" a="1"/>
  <c r="O73" i="58885" s="1"/>
  <c r="I73" i="58885" a="1"/>
  <c r="I73" i="58885" s="1"/>
  <c r="W72" i="58885" a="1"/>
  <c r="W72" i="58885" s="1"/>
  <c r="V72" i="58885" a="1"/>
  <c r="V72" i="58885" s="1"/>
  <c r="U72" i="58885" a="1"/>
  <c r="U72" i="58885" s="1"/>
  <c r="O72" i="58885" a="1"/>
  <c r="O72" i="58885" s="1"/>
  <c r="I72" i="58885" a="1"/>
  <c r="I72" i="58885" s="1"/>
  <c r="W71" i="58885" a="1"/>
  <c r="W71" i="58885" s="1"/>
  <c r="V71" i="58885" a="1"/>
  <c r="V71" i="58885" s="1"/>
  <c r="U71" i="58885" a="1"/>
  <c r="U71" i="58885" s="1"/>
  <c r="O71" i="58885" a="1"/>
  <c r="O71" i="58885" s="1"/>
  <c r="I71" i="58885" a="1"/>
  <c r="I71" i="58885" s="1"/>
  <c r="W70" i="58885" a="1"/>
  <c r="W70" i="58885" s="1"/>
  <c r="V70" i="58885" a="1"/>
  <c r="V70" i="58885" s="1"/>
  <c r="U70" i="58885" a="1"/>
  <c r="U70" i="58885" s="1"/>
  <c r="O70" i="58885" a="1"/>
  <c r="O70" i="58885" s="1"/>
  <c r="I70" i="58885" a="1"/>
  <c r="I70" i="58885" s="1"/>
  <c r="W69" i="58885" a="1"/>
  <c r="W69" i="58885" s="1"/>
  <c r="V69" i="58885" a="1"/>
  <c r="V69" i="58885" s="1"/>
  <c r="U69" i="58885" a="1"/>
  <c r="U69" i="58885" s="1"/>
  <c r="O69" i="58885" a="1"/>
  <c r="O69" i="58885" s="1"/>
  <c r="I69" i="58885" a="1"/>
  <c r="I69" i="58885" s="1"/>
  <c r="W68" i="58885" a="1"/>
  <c r="W68" i="58885" s="1"/>
  <c r="V68" i="58885" a="1"/>
  <c r="V68" i="58885" s="1"/>
  <c r="U68" i="58885" a="1"/>
  <c r="U68" i="58885" s="1"/>
  <c r="O68" i="58885" a="1"/>
  <c r="O68" i="58885" s="1"/>
  <c r="I68" i="58885" a="1"/>
  <c r="I68" i="58885" s="1"/>
  <c r="W67" i="58885" a="1"/>
  <c r="W67" i="58885" s="1"/>
  <c r="V67" i="58885" a="1"/>
  <c r="V67" i="58885" s="1"/>
  <c r="U67" i="58885" a="1"/>
  <c r="U67" i="58885" s="1"/>
  <c r="O67" i="58885" a="1"/>
  <c r="O67" i="58885" s="1"/>
  <c r="I67" i="58885" a="1"/>
  <c r="I67" i="58885" s="1"/>
  <c r="W66" i="58885" a="1"/>
  <c r="W66" i="58885" s="1"/>
  <c r="V66" i="58885" a="1"/>
  <c r="V66" i="58885" s="1"/>
  <c r="U66" i="58885" a="1"/>
  <c r="U66" i="58885" s="1"/>
  <c r="O66" i="58885" a="1"/>
  <c r="O66" i="58885" s="1"/>
  <c r="I66" i="58885" a="1"/>
  <c r="I66" i="58885" s="1"/>
  <c r="W65" i="58885" a="1"/>
  <c r="W65" i="58885" s="1"/>
  <c r="V65" i="58885" a="1"/>
  <c r="V65" i="58885" s="1"/>
  <c r="U65" i="58885" a="1"/>
  <c r="U65" i="58885" s="1"/>
  <c r="O65" i="58885" a="1"/>
  <c r="O65" i="58885" s="1"/>
  <c r="I65" i="58885" a="1"/>
  <c r="I65" i="58885" s="1"/>
  <c r="W64" i="58885" a="1"/>
  <c r="W64" i="58885" s="1"/>
  <c r="V64" i="58885" a="1"/>
  <c r="V64" i="58885" s="1"/>
  <c r="U64" i="58885" a="1"/>
  <c r="U64" i="58885" s="1"/>
  <c r="O64" i="58885" a="1"/>
  <c r="O64" i="58885" s="1"/>
  <c r="I64" i="58885" a="1"/>
  <c r="I64" i="58885" s="1"/>
  <c r="W63" i="58885" a="1"/>
  <c r="W63" i="58885" s="1"/>
  <c r="V63" i="58885" a="1"/>
  <c r="V63" i="58885" s="1"/>
  <c r="U63" i="58885" a="1"/>
  <c r="U63" i="58885" s="1"/>
  <c r="O63" i="58885" a="1"/>
  <c r="O63" i="58885" s="1"/>
  <c r="I63" i="58885" a="1"/>
  <c r="I63" i="58885" s="1"/>
  <c r="W62" i="58885" a="1"/>
  <c r="W62" i="58885" s="1"/>
  <c r="V62" i="58885" a="1"/>
  <c r="V62" i="58885" s="1"/>
  <c r="U62" i="58885" a="1"/>
  <c r="U62" i="58885" s="1"/>
  <c r="O62" i="58885" a="1"/>
  <c r="O62" i="58885" s="1"/>
  <c r="I62" i="58885" a="1"/>
  <c r="I62" i="58885" s="1"/>
  <c r="W61" i="58885" a="1"/>
  <c r="W61" i="58885" s="1"/>
  <c r="V61" i="58885" a="1"/>
  <c r="V61" i="58885" s="1"/>
  <c r="U61" i="58885" a="1"/>
  <c r="U61" i="58885" s="1"/>
  <c r="O61" i="58885" a="1"/>
  <c r="O61" i="58885" s="1"/>
  <c r="I61" i="58885" a="1"/>
  <c r="I61" i="58885" s="1"/>
  <c r="W60" i="58885" a="1"/>
  <c r="W60" i="58885" s="1"/>
  <c r="V60" i="58885" a="1"/>
  <c r="V60" i="58885" s="1"/>
  <c r="U60" i="58885" a="1"/>
  <c r="U60" i="58885" s="1"/>
  <c r="O60" i="58885" a="1"/>
  <c r="O60" i="58885" s="1"/>
  <c r="I60" i="58885" a="1"/>
  <c r="I60" i="58885" s="1"/>
  <c r="W59" i="58885" a="1"/>
  <c r="W59" i="58885" s="1"/>
  <c r="V59" i="58885" a="1"/>
  <c r="V59" i="58885" s="1"/>
  <c r="U59" i="58885" a="1"/>
  <c r="U59" i="58885" s="1"/>
  <c r="O59" i="58885" a="1"/>
  <c r="O59" i="58885" s="1"/>
  <c r="I59" i="58885" a="1"/>
  <c r="I59" i="58885" s="1"/>
  <c r="W58" i="58885" a="1"/>
  <c r="W58" i="58885" s="1"/>
  <c r="V58" i="58885" a="1"/>
  <c r="V58" i="58885" s="1"/>
  <c r="U58" i="58885" a="1"/>
  <c r="U58" i="58885" s="1"/>
  <c r="O58" i="58885" a="1"/>
  <c r="O58" i="58885" s="1"/>
  <c r="I58" i="58885" a="1"/>
  <c r="I58" i="58885" s="1"/>
  <c r="W57" i="58885" a="1"/>
  <c r="W57" i="58885" s="1"/>
  <c r="V57" i="58885" a="1"/>
  <c r="V57" i="58885" s="1"/>
  <c r="U57" i="58885" a="1"/>
  <c r="U57" i="58885" s="1"/>
  <c r="O57" i="58885" a="1"/>
  <c r="O57" i="58885" s="1"/>
  <c r="I57" i="58885" a="1"/>
  <c r="I57" i="58885" s="1"/>
  <c r="W56" i="58885" a="1"/>
  <c r="W56" i="58885" s="1"/>
  <c r="V56" i="58885" a="1"/>
  <c r="V56" i="58885" s="1"/>
  <c r="U56" i="58885" a="1"/>
  <c r="U56" i="58885" s="1"/>
  <c r="O56" i="58885" a="1"/>
  <c r="O56" i="58885" s="1"/>
  <c r="I56" i="58885" a="1"/>
  <c r="I56" i="58885" s="1"/>
  <c r="W55" i="58885" a="1"/>
  <c r="W55" i="58885" s="1"/>
  <c r="V55" i="58885" a="1"/>
  <c r="V55" i="58885" s="1"/>
  <c r="U55" i="58885" a="1"/>
  <c r="U55" i="58885" s="1"/>
  <c r="O55" i="58885" a="1"/>
  <c r="O55" i="58885" s="1"/>
  <c r="I55" i="58885" a="1"/>
  <c r="I55" i="58885" s="1"/>
  <c r="W54" i="58885" a="1"/>
  <c r="W54" i="58885" s="1"/>
  <c r="V54" i="58885" a="1"/>
  <c r="V54" i="58885" s="1"/>
  <c r="U54" i="58885" a="1"/>
  <c r="U54" i="58885" s="1"/>
  <c r="O54" i="58885" a="1"/>
  <c r="O54" i="58885" s="1"/>
  <c r="I54" i="58885" a="1"/>
  <c r="I54" i="58885" s="1"/>
  <c r="W53" i="58885" a="1"/>
  <c r="W53" i="58885" s="1"/>
  <c r="V53" i="58885" a="1"/>
  <c r="V53" i="58885" s="1"/>
  <c r="U53" i="58885" a="1"/>
  <c r="U53" i="58885" s="1"/>
  <c r="O53" i="58885" a="1"/>
  <c r="O53" i="58885" s="1"/>
  <c r="I53" i="58885" a="1"/>
  <c r="I53" i="58885" s="1"/>
  <c r="W52" i="58885" a="1"/>
  <c r="W52" i="58885" s="1"/>
  <c r="V52" i="58885" a="1"/>
  <c r="V52" i="58885" s="1"/>
  <c r="U52" i="58885" a="1"/>
  <c r="U52" i="58885" s="1"/>
  <c r="O52" i="58885" a="1"/>
  <c r="O52" i="58885" s="1"/>
  <c r="I52" i="58885" a="1"/>
  <c r="I52" i="58885" s="1"/>
  <c r="W51" i="58885" a="1"/>
  <c r="W51" i="58885" s="1"/>
  <c r="V51" i="58885" a="1"/>
  <c r="V51" i="58885" s="1"/>
  <c r="U51" i="58885" a="1"/>
  <c r="U51" i="58885" s="1"/>
  <c r="O51" i="58885" a="1"/>
  <c r="O51" i="58885" s="1"/>
  <c r="I51" i="58885" a="1"/>
  <c r="I51" i="58885" s="1"/>
  <c r="W50" i="58885" a="1"/>
  <c r="W50" i="58885" s="1"/>
  <c r="V50" i="58885" a="1"/>
  <c r="V50" i="58885" s="1"/>
  <c r="U50" i="58885" a="1"/>
  <c r="U50" i="58885" s="1"/>
  <c r="O50" i="58885" a="1"/>
  <c r="O50" i="58885" s="1"/>
  <c r="I50" i="58885" a="1"/>
  <c r="I50" i="58885" s="1"/>
  <c r="W49" i="58885" a="1"/>
  <c r="W49" i="58885" s="1"/>
  <c r="V49" i="58885" a="1"/>
  <c r="V49" i="58885" s="1"/>
  <c r="U49" i="58885" a="1"/>
  <c r="U49" i="58885" s="1"/>
  <c r="O49" i="58885" a="1"/>
  <c r="O49" i="58885" s="1"/>
  <c r="I49" i="58885" a="1"/>
  <c r="I49" i="58885" s="1"/>
  <c r="W48" i="58885" a="1"/>
  <c r="W48" i="58885" s="1"/>
  <c r="V48" i="58885" a="1"/>
  <c r="V48" i="58885" s="1"/>
  <c r="U48" i="58885" a="1"/>
  <c r="U48" i="58885" s="1"/>
  <c r="O48" i="58885" a="1"/>
  <c r="O48" i="58885" s="1"/>
  <c r="I48" i="58885" a="1"/>
  <c r="I48" i="58885" s="1"/>
  <c r="W47" i="58885" a="1"/>
  <c r="W47" i="58885" s="1"/>
  <c r="V47" i="58885" a="1"/>
  <c r="V47" i="58885" s="1"/>
  <c r="U47" i="58885" a="1"/>
  <c r="U47" i="58885" s="1"/>
  <c r="O47" i="58885" a="1"/>
  <c r="O47" i="58885" s="1"/>
  <c r="I47" i="58885" a="1"/>
  <c r="I47" i="58885" s="1"/>
  <c r="W46" i="58885" a="1"/>
  <c r="W46" i="58885" s="1"/>
  <c r="V46" i="58885" a="1"/>
  <c r="V46" i="58885" s="1"/>
  <c r="U46" i="58885" a="1"/>
  <c r="U46" i="58885" s="1"/>
  <c r="O46" i="58885" a="1"/>
  <c r="O46" i="58885" s="1"/>
  <c r="I46" i="58885" a="1"/>
  <c r="I46" i="58885" s="1"/>
  <c r="W45" i="58885" a="1"/>
  <c r="W45" i="58885" s="1"/>
  <c r="V45" i="58885" a="1"/>
  <c r="V45" i="58885" s="1"/>
  <c r="U45" i="58885" a="1"/>
  <c r="U45" i="58885" s="1"/>
  <c r="O45" i="58885" a="1"/>
  <c r="O45" i="58885" s="1"/>
  <c r="I45" i="58885" a="1"/>
  <c r="I45" i="58885" s="1"/>
  <c r="W44" i="58885" a="1"/>
  <c r="W44" i="58885" s="1"/>
  <c r="V44" i="58885" a="1"/>
  <c r="V44" i="58885" s="1"/>
  <c r="U44" i="58885" a="1"/>
  <c r="U44" i="58885" s="1"/>
  <c r="O44" i="58885" a="1"/>
  <c r="O44" i="58885" s="1"/>
  <c r="I44" i="58885" a="1"/>
  <c r="I44" i="58885" s="1"/>
  <c r="W43" i="58885" a="1"/>
  <c r="W43" i="58885" s="1"/>
  <c r="V43" i="58885" a="1"/>
  <c r="V43" i="58885" s="1"/>
  <c r="U43" i="58885" a="1"/>
  <c r="U43" i="58885" s="1"/>
  <c r="O43" i="58885" a="1"/>
  <c r="O43" i="58885" s="1"/>
  <c r="I43" i="58885" a="1"/>
  <c r="I43" i="58885" s="1"/>
  <c r="W42" i="58885" a="1"/>
  <c r="W42" i="58885" s="1"/>
  <c r="V42" i="58885" a="1"/>
  <c r="V42" i="58885" s="1"/>
  <c r="U42" i="58885" a="1"/>
  <c r="U42" i="58885" s="1"/>
  <c r="O42" i="58885" a="1"/>
  <c r="O42" i="58885" s="1"/>
  <c r="I42" i="58885" a="1"/>
  <c r="I42" i="58885" s="1"/>
  <c r="W41" i="58885" a="1"/>
  <c r="W41" i="58885" s="1"/>
  <c r="V41" i="58885" a="1"/>
  <c r="V41" i="58885" s="1"/>
  <c r="U41" i="58885" a="1"/>
  <c r="U41" i="58885" s="1"/>
  <c r="O41" i="58885" a="1"/>
  <c r="O41" i="58885" s="1"/>
  <c r="I41" i="58885" a="1"/>
  <c r="I41" i="58885" s="1"/>
  <c r="W40" i="58885" a="1"/>
  <c r="W40" i="58885" s="1"/>
  <c r="V40" i="58885" a="1"/>
  <c r="V40" i="58885" s="1"/>
  <c r="U40" i="58885" a="1"/>
  <c r="U40" i="58885" s="1"/>
  <c r="O40" i="58885" a="1"/>
  <c r="O40" i="58885" s="1"/>
  <c r="I40" i="58885" a="1"/>
  <c r="I40" i="58885" s="1"/>
  <c r="W39" i="58885" a="1"/>
  <c r="W39" i="58885" s="1"/>
  <c r="V39" i="58885" a="1"/>
  <c r="V39" i="58885" s="1"/>
  <c r="U39" i="58885" a="1"/>
  <c r="U39" i="58885" s="1"/>
  <c r="O39" i="58885" a="1"/>
  <c r="O39" i="58885" s="1"/>
  <c r="I39" i="58885" a="1"/>
  <c r="I39" i="58885" s="1"/>
  <c r="W38" i="58885" a="1"/>
  <c r="W38" i="58885" s="1"/>
  <c r="V38" i="58885" a="1"/>
  <c r="V38" i="58885" s="1"/>
  <c r="U38" i="58885" a="1"/>
  <c r="U38" i="58885" s="1"/>
  <c r="O38" i="58885" a="1"/>
  <c r="O38" i="58885" s="1"/>
  <c r="I38" i="58885" a="1"/>
  <c r="I38" i="58885" s="1"/>
  <c r="W37" i="58885" a="1"/>
  <c r="W37" i="58885" s="1"/>
  <c r="V37" i="58885" a="1"/>
  <c r="V37" i="58885" s="1"/>
  <c r="U37" i="58885" a="1"/>
  <c r="U37" i="58885" s="1"/>
  <c r="O37" i="58885" a="1"/>
  <c r="O37" i="58885" s="1"/>
  <c r="I37" i="58885" a="1"/>
  <c r="I37" i="58885" s="1"/>
  <c r="W36" i="58885" a="1"/>
  <c r="W36" i="58885" s="1"/>
  <c r="V36" i="58885" a="1"/>
  <c r="V36" i="58885" s="1"/>
  <c r="U36" i="58885" a="1"/>
  <c r="U36" i="58885" s="1"/>
  <c r="O36" i="58885" a="1"/>
  <c r="O36" i="58885" s="1"/>
  <c r="I36" i="58885" a="1"/>
  <c r="I36" i="58885" s="1"/>
  <c r="W35" i="58885" a="1"/>
  <c r="W35" i="58885" s="1"/>
  <c r="V35" i="58885" a="1"/>
  <c r="V35" i="58885" s="1"/>
  <c r="U35" i="58885" a="1"/>
  <c r="U35" i="58885" s="1"/>
  <c r="O35" i="58885" a="1"/>
  <c r="O35" i="58885" s="1"/>
  <c r="I35" i="58885" a="1"/>
  <c r="I35" i="58885" s="1"/>
  <c r="W34" i="58885" a="1"/>
  <c r="W34" i="58885" s="1"/>
  <c r="V34" i="58885" a="1"/>
  <c r="V34" i="58885" s="1"/>
  <c r="U34" i="58885" a="1"/>
  <c r="U34" i="58885" s="1"/>
  <c r="O34" i="58885" a="1"/>
  <c r="O34" i="58885" s="1"/>
  <c r="I34" i="58885" a="1"/>
  <c r="I34" i="58885" s="1"/>
  <c r="W33" i="58885" a="1"/>
  <c r="W33" i="58885" s="1"/>
  <c r="V33" i="58885" a="1"/>
  <c r="V33" i="58885" s="1"/>
  <c r="U33" i="58885" a="1"/>
  <c r="U33" i="58885" s="1"/>
  <c r="O33" i="58885" a="1"/>
  <c r="O33" i="58885" s="1"/>
  <c r="I33" i="58885" a="1"/>
  <c r="I33" i="58885" s="1"/>
  <c r="W32" i="58885" a="1"/>
  <c r="W32" i="58885" s="1"/>
  <c r="V32" i="58885" a="1"/>
  <c r="V32" i="58885" s="1"/>
  <c r="U32" i="58885" a="1"/>
  <c r="U32" i="58885" s="1"/>
  <c r="O32" i="58885" a="1"/>
  <c r="O32" i="58885" s="1"/>
  <c r="I32" i="58885" a="1"/>
  <c r="I32" i="58885" s="1"/>
  <c r="W31" i="58885" a="1"/>
  <c r="W31" i="58885" s="1"/>
  <c r="V31" i="58885" a="1"/>
  <c r="V31" i="58885" s="1"/>
  <c r="U31" i="58885" a="1"/>
  <c r="U31" i="58885" s="1"/>
  <c r="O31" i="58885" a="1"/>
  <c r="O31" i="58885" s="1"/>
  <c r="I31" i="58885" a="1"/>
  <c r="I31" i="58885" s="1"/>
  <c r="W30" i="58885" a="1"/>
  <c r="W30" i="58885" s="1"/>
  <c r="V30" i="58885" a="1"/>
  <c r="V30" i="58885" s="1"/>
  <c r="U30" i="58885" a="1"/>
  <c r="U30" i="58885" s="1"/>
  <c r="O30" i="58885" a="1"/>
  <c r="O30" i="58885" s="1"/>
  <c r="I30" i="58885" a="1"/>
  <c r="I30" i="58885" s="1"/>
  <c r="W29" i="58885" a="1"/>
  <c r="W29" i="58885" s="1"/>
  <c r="V29" i="58885" a="1"/>
  <c r="V29" i="58885" s="1"/>
  <c r="U29" i="58885" a="1"/>
  <c r="U29" i="58885" s="1"/>
  <c r="O29" i="58885" a="1"/>
  <c r="O29" i="58885" s="1"/>
  <c r="I29" i="58885" a="1"/>
  <c r="I29" i="58885" s="1"/>
  <c r="W28" i="58885" a="1"/>
  <c r="W28" i="58885" s="1"/>
  <c r="V28" i="58885" a="1"/>
  <c r="V28" i="58885" s="1"/>
  <c r="U28" i="58885" a="1"/>
  <c r="U28" i="58885" s="1"/>
  <c r="O28" i="58885" a="1"/>
  <c r="O28" i="58885" s="1"/>
  <c r="I28" i="58885" a="1"/>
  <c r="I28" i="58885" s="1"/>
  <c r="W27" i="58885" a="1"/>
  <c r="W27" i="58885" s="1"/>
  <c r="V27" i="58885" a="1"/>
  <c r="V27" i="58885" s="1"/>
  <c r="U27" i="58885" a="1"/>
  <c r="U27" i="58885" s="1"/>
  <c r="O27" i="58885" a="1"/>
  <c r="O27" i="58885" s="1"/>
  <c r="I27" i="58885" a="1"/>
  <c r="I27" i="58885" s="1"/>
  <c r="W26" i="58885" a="1"/>
  <c r="W26" i="58885" s="1"/>
  <c r="V26" i="58885" a="1"/>
  <c r="V26" i="58885" s="1"/>
  <c r="U26" i="58885" a="1"/>
  <c r="U26" i="58885" s="1"/>
  <c r="O26" i="58885" a="1"/>
  <c r="O26" i="58885" s="1"/>
  <c r="I26" i="58885" a="1"/>
  <c r="I26" i="58885" s="1"/>
  <c r="W25" i="58885" a="1"/>
  <c r="W25" i="58885" s="1"/>
  <c r="V25" i="58885" a="1"/>
  <c r="V25" i="58885" s="1"/>
  <c r="U25" i="58885" a="1"/>
  <c r="U25" i="58885" s="1"/>
  <c r="O25" i="58885" a="1"/>
  <c r="O25" i="58885" s="1"/>
  <c r="I25" i="58885" a="1"/>
  <c r="I25" i="58885" s="1"/>
  <c r="W24" i="58885" a="1"/>
  <c r="W24" i="58885" s="1"/>
  <c r="V24" i="58885" a="1"/>
  <c r="V24" i="58885" s="1"/>
  <c r="U24" i="58885" a="1"/>
  <c r="U24" i="58885" s="1"/>
  <c r="O24" i="58885" a="1"/>
  <c r="O24" i="58885" s="1"/>
  <c r="I24" i="58885" a="1"/>
  <c r="I24" i="58885" s="1"/>
  <c r="W23" i="58885" a="1"/>
  <c r="W23" i="58885" s="1"/>
  <c r="V23" i="58885" a="1"/>
  <c r="V23" i="58885" s="1"/>
  <c r="U23" i="58885" a="1"/>
  <c r="U23" i="58885" s="1"/>
  <c r="O23" i="58885" a="1"/>
  <c r="O23" i="58885" s="1"/>
  <c r="I23" i="58885" a="1"/>
  <c r="I23" i="58885" s="1"/>
  <c r="W22" i="58885" a="1"/>
  <c r="W22" i="58885" s="1"/>
  <c r="V22" i="58885" a="1"/>
  <c r="V22" i="58885" s="1"/>
  <c r="U22" i="58885" a="1"/>
  <c r="U22" i="58885" s="1"/>
  <c r="O22" i="58885" a="1"/>
  <c r="O22" i="58885" s="1"/>
  <c r="I22" i="58885" a="1"/>
  <c r="I22" i="58885" s="1"/>
  <c r="W21" i="58885" a="1"/>
  <c r="W21" i="58885" s="1"/>
  <c r="V21" i="58885" a="1"/>
  <c r="V21" i="58885" s="1"/>
  <c r="U21" i="58885" a="1"/>
  <c r="U21" i="58885" s="1"/>
  <c r="O21" i="58885" a="1"/>
  <c r="O21" i="58885" s="1"/>
  <c r="I21" i="58885" a="1"/>
  <c r="I21" i="58885" s="1"/>
  <c r="W20" i="58885" a="1"/>
  <c r="W20" i="58885" s="1"/>
  <c r="V20" i="58885" a="1"/>
  <c r="V20" i="58885" s="1"/>
  <c r="U20" i="58885" a="1"/>
  <c r="U20" i="58885" s="1"/>
  <c r="O20" i="58885" a="1"/>
  <c r="O20" i="58885" s="1"/>
  <c r="I20" i="58885" a="1"/>
  <c r="I20" i="58885" s="1"/>
  <c r="W19" i="58885" a="1"/>
  <c r="W19" i="58885" s="1"/>
  <c r="V19" i="58885" a="1"/>
  <c r="V19" i="58885" s="1"/>
  <c r="U19" i="58885" a="1"/>
  <c r="U19" i="58885" s="1"/>
  <c r="O19" i="58885" a="1"/>
  <c r="O19" i="58885" s="1"/>
  <c r="I19" i="58885" a="1"/>
  <c r="I19" i="58885" s="1"/>
  <c r="W18" i="58885" a="1"/>
  <c r="W18" i="58885" s="1"/>
  <c r="V18" i="58885" a="1"/>
  <c r="V18" i="58885" s="1"/>
  <c r="U18" i="58885" a="1"/>
  <c r="U18" i="58885" s="1"/>
  <c r="O18" i="58885" a="1"/>
  <c r="O18" i="58885" s="1"/>
  <c r="I18" i="58885" a="1"/>
  <c r="I18" i="58885" s="1"/>
  <c r="W17" i="58885" a="1"/>
  <c r="W17" i="58885" s="1"/>
  <c r="V17" i="58885" a="1"/>
  <c r="V17" i="58885" s="1"/>
  <c r="U17" i="58885" a="1"/>
  <c r="U17" i="58885" s="1"/>
  <c r="O17" i="58885" a="1"/>
  <c r="O17" i="58885" s="1"/>
  <c r="I17" i="58885" a="1"/>
  <c r="I17" i="58885" s="1"/>
  <c r="W16" i="58885" a="1"/>
  <c r="W16" i="58885" s="1"/>
  <c r="V16" i="58885" a="1"/>
  <c r="V16" i="58885" s="1"/>
  <c r="U16" i="58885" a="1"/>
  <c r="U16" i="58885" s="1"/>
  <c r="O16" i="58885" a="1"/>
  <c r="O16" i="58885" s="1"/>
  <c r="I16" i="58885" a="1"/>
  <c r="I16" i="58885" s="1"/>
  <c r="W15" i="58885" a="1"/>
  <c r="W15" i="58885" s="1"/>
  <c r="V15" i="58885" a="1"/>
  <c r="V15" i="58885" s="1"/>
  <c r="U15" i="58885" a="1"/>
  <c r="U15" i="58885" s="1"/>
  <c r="O15" i="58885" a="1"/>
  <c r="O15" i="58885" s="1"/>
  <c r="I15" i="58885" a="1"/>
  <c r="I15" i="58885" s="1"/>
  <c r="FT14" i="58885" a="1"/>
  <c r="FT14" i="58885" s="1"/>
  <c r="W14" i="58885" a="1"/>
  <c r="W14" i="58885" s="1"/>
  <c r="V14" i="58885" a="1"/>
  <c r="V14" i="58885" s="1"/>
  <c r="U14" i="58885" a="1"/>
  <c r="U14" i="58885" s="1"/>
  <c r="O14" i="58885" a="1"/>
  <c r="O14" i="58885" s="1"/>
  <c r="I14" i="58885" a="1"/>
  <c r="I14" i="58885" s="1"/>
  <c r="FT13" i="58885" a="1"/>
  <c r="FT13" i="58885" s="1"/>
  <c r="W13" i="58885" a="1"/>
  <c r="W13" i="58885" s="1"/>
  <c r="V13" i="58885" a="1"/>
  <c r="V13" i="58885" s="1"/>
  <c r="U13" i="58885" a="1"/>
  <c r="U13" i="58885" s="1"/>
  <c r="O13" i="58885" a="1"/>
  <c r="O13" i="58885" s="1"/>
  <c r="I13" i="58885" a="1"/>
  <c r="I13" i="58885" s="1"/>
  <c r="FP12" i="58885"/>
  <c r="W12" i="58885" a="1"/>
  <c r="W12" i="58885" s="1"/>
  <c r="V12" i="58885" a="1"/>
  <c r="V12" i="58885" s="1"/>
  <c r="U12" i="58885" a="1"/>
  <c r="U12" i="58885" s="1"/>
  <c r="O12" i="58885" a="1"/>
  <c r="O12" i="58885" s="1"/>
  <c r="I12" i="58885" a="1"/>
  <c r="I12" i="58885" s="1"/>
  <c r="FT11" i="58885" a="1"/>
  <c r="FT11" i="58885" s="1"/>
  <c r="W11" i="58885" a="1"/>
  <c r="W11" i="58885" s="1"/>
  <c r="V11" i="58885" a="1"/>
  <c r="V11" i="58885" s="1"/>
  <c r="U11" i="58885" a="1"/>
  <c r="U11" i="58885" s="1"/>
  <c r="O11" i="58885" a="1"/>
  <c r="O11" i="58885" s="1"/>
  <c r="I11" i="58885" a="1"/>
  <c r="I11" i="58885" s="1"/>
  <c r="FT10" i="58885" a="1"/>
  <c r="FT10" i="58885" s="1"/>
  <c r="W10" i="58885" a="1"/>
  <c r="W10" i="58885" s="1"/>
  <c r="V10" i="58885" a="1"/>
  <c r="V10" i="58885" s="1"/>
  <c r="U10" i="58885" a="1"/>
  <c r="U10" i="58885" s="1"/>
  <c r="O10" i="58885" a="1"/>
  <c r="O10" i="58885" s="1"/>
  <c r="I10" i="58885" a="1"/>
  <c r="I10" i="58885" s="1"/>
  <c r="W9" i="58885" a="1"/>
  <c r="W9" i="58885" s="1"/>
  <c r="V9" i="58885" a="1"/>
  <c r="V9" i="58885" s="1"/>
  <c r="U9" i="58885" a="1"/>
  <c r="U9" i="58885" s="1"/>
  <c r="O9" i="58885" a="1"/>
  <c r="O9" i="58885" s="1"/>
  <c r="I9" i="58885" a="1"/>
  <c r="I9" i="58885" s="1"/>
  <c r="FT8" i="58885" a="1"/>
  <c r="FT8" i="58885" s="1"/>
  <c r="BH8" i="58885" a="1"/>
  <c r="BH8" i="58885" s="1"/>
  <c r="BF8" i="58885" a="1"/>
  <c r="BF8" i="58885" s="1"/>
  <c r="AR8" i="58885" a="1"/>
  <c r="AR8" i="58885" s="1"/>
  <c r="AP8" i="58885" a="1"/>
  <c r="AP8" i="58885" s="1"/>
  <c r="AL8" i="58885" a="1"/>
  <c r="AL8" i="58885" s="1"/>
  <c r="FQ12" i="58885" s="1" a="1"/>
  <c r="FQ12" i="58885" s="1"/>
  <c r="AJ8" i="58885" a="1"/>
  <c r="AJ8" i="58885" s="1"/>
  <c r="W8" i="58885" a="1"/>
  <c r="W8" i="58885" s="1"/>
  <c r="V8" i="58885" a="1"/>
  <c r="V8" i="58885" s="1"/>
  <c r="U8" i="58885" a="1"/>
  <c r="U8" i="58885" s="1"/>
  <c r="O8" i="58885" a="1"/>
  <c r="O8" i="58885" s="1"/>
  <c r="I8" i="58885" a="1"/>
  <c r="I8" i="58885" s="1"/>
  <c r="FT7" i="58885" a="1"/>
  <c r="FT7" i="58885" s="1"/>
  <c r="AF7" i="58885" a="1"/>
  <c r="AF7" i="58885" s="1"/>
  <c r="AF5" i="58885" s="1" a="1"/>
  <c r="AF5" i="58885" s="1"/>
  <c r="W7" i="58885" a="1"/>
  <c r="W7" i="58885" s="1"/>
  <c r="V7" i="58885" a="1"/>
  <c r="V7" i="58885" s="1"/>
  <c r="U7" i="58885" a="1"/>
  <c r="U7" i="58885" s="1"/>
  <c r="O7" i="58885" a="1"/>
  <c r="O7" i="58885" s="1"/>
  <c r="I7" i="58885" a="1"/>
  <c r="I7" i="58885" s="1"/>
  <c r="W6" i="58885" a="1"/>
  <c r="W6" i="58885" s="1"/>
  <c r="V6" i="58885" a="1"/>
  <c r="V6" i="58885" s="1"/>
  <c r="U6" i="58885" a="1"/>
  <c r="U6" i="58885" s="1"/>
  <c r="O6" i="58885" a="1"/>
  <c r="O6" i="58885" s="1"/>
  <c r="I6" i="58885" a="1"/>
  <c r="I6" i="58885" s="1"/>
  <c r="W5" i="58885" a="1"/>
  <c r="W5" i="58885" s="1"/>
  <c r="V5" i="58885" a="1"/>
  <c r="V5" i="58885" s="1"/>
  <c r="U5" i="58885" a="1"/>
  <c r="U5" i="58885" s="1"/>
  <c r="O5" i="58885" a="1"/>
  <c r="O5" i="58885" s="1"/>
  <c r="I5" i="58885" a="1"/>
  <c r="I5" i="58885" s="1"/>
  <c r="FR4" i="58885"/>
  <c r="FQ4" i="58885"/>
  <c r="FP4" i="58885"/>
  <c r="DM4" i="58885"/>
  <c r="K49" i="58884" a="1"/>
  <c r="K49" i="58884" s="1"/>
  <c r="G49" i="58884" a="1"/>
  <c r="G49" i="58884" s="1"/>
  <c r="D49" i="58884" a="1"/>
  <c r="D49" i="58884" s="1"/>
  <c r="W48" i="58884" a="1"/>
  <c r="W48" i="58884" s="1"/>
  <c r="D48" i="58884" s="1" a="1"/>
  <c r="D48" i="58884" s="1"/>
  <c r="M48" i="58884" a="1"/>
  <c r="M48" i="58884" s="1"/>
  <c r="K48" i="58884" a="1"/>
  <c r="K48" i="58884" s="1"/>
  <c r="G48" i="58884" a="1"/>
  <c r="G48" i="58884" s="1"/>
  <c r="W47" i="58884" a="1"/>
  <c r="W47" i="58884" s="1"/>
  <c r="D47" i="58884" s="1" a="1"/>
  <c r="D47" i="58884" s="1"/>
  <c r="N76" i="58885" s="1" a="1"/>
  <c r="N76" i="58885" s="1"/>
  <c r="M47" i="58884" a="1"/>
  <c r="M47" i="58884" s="1"/>
  <c r="K47" i="58884" a="1"/>
  <c r="K47" i="58884" s="1"/>
  <c r="G47" i="58884" a="1"/>
  <c r="G47" i="58884" s="1"/>
  <c r="W46" i="58884" a="1"/>
  <c r="W46" i="58884" s="1"/>
  <c r="D46" i="58884" s="1" a="1"/>
  <c r="D46" i="58884" s="1"/>
  <c r="M46" i="58884" a="1"/>
  <c r="M46" i="58884" s="1"/>
  <c r="K46" i="58884" a="1"/>
  <c r="K46" i="58884" s="1"/>
  <c r="G46" i="58884" a="1"/>
  <c r="G46" i="58884" s="1"/>
  <c r="W45" i="58884" a="1"/>
  <c r="W45" i="58884" s="1"/>
  <c r="D45" i="58884" s="1" a="1"/>
  <c r="D45" i="58884" s="1"/>
  <c r="M45" i="58884" a="1"/>
  <c r="M45" i="58884" s="1"/>
  <c r="K45" i="58884" a="1"/>
  <c r="K45" i="58884" s="1"/>
  <c r="G45" i="58884" a="1"/>
  <c r="G45" i="58884" s="1"/>
  <c r="W44" i="58884" a="1"/>
  <c r="W44" i="58884" s="1"/>
  <c r="D44" i="58884" s="1" a="1"/>
  <c r="D44" i="58884" s="1"/>
  <c r="M44" i="58884" a="1"/>
  <c r="M44" i="58884" s="1"/>
  <c r="K44" i="58884" a="1"/>
  <c r="K44" i="58884" s="1"/>
  <c r="G44" i="58884" a="1"/>
  <c r="G44" i="58884" s="1"/>
  <c r="W43" i="58884" a="1"/>
  <c r="W43" i="58884" s="1"/>
  <c r="D43" i="58884" s="1" a="1"/>
  <c r="D43" i="58884" s="1"/>
  <c r="M43" i="58884" a="1"/>
  <c r="M43" i="58884" s="1"/>
  <c r="K43" i="58884" a="1"/>
  <c r="K43" i="58884" s="1"/>
  <c r="G43" i="58884" a="1"/>
  <c r="G43" i="58884" s="1"/>
  <c r="W42" i="58884" a="1"/>
  <c r="W42" i="58884" s="1"/>
  <c r="D42" i="58884" s="1" a="1"/>
  <c r="D42" i="58884" s="1"/>
  <c r="N88" i="58885" s="1" a="1"/>
  <c r="N88" i="58885" s="1"/>
  <c r="M42" i="58884" a="1"/>
  <c r="M42" i="58884" s="1"/>
  <c r="K42" i="58884" a="1"/>
  <c r="K42" i="58884" s="1"/>
  <c r="G42" i="58884" a="1"/>
  <c r="G42" i="58884" s="1"/>
  <c r="W41" i="58884" a="1"/>
  <c r="W41" i="58884" s="1"/>
  <c r="D41" i="58884" s="1" a="1"/>
  <c r="D41" i="58884" s="1"/>
  <c r="M41" i="58884" a="1"/>
  <c r="M41" i="58884" s="1"/>
  <c r="K41" i="58884" a="1"/>
  <c r="K41" i="58884" s="1"/>
  <c r="G41" i="58884" a="1"/>
  <c r="G41" i="58884" s="1"/>
  <c r="W40" i="58884" a="1"/>
  <c r="W40" i="58884" s="1"/>
  <c r="D40" i="58884" s="1" a="1"/>
  <c r="D40" i="58884" s="1"/>
  <c r="M40" i="58884" a="1"/>
  <c r="M40" i="58884" s="1"/>
  <c r="K40" i="58884" a="1"/>
  <c r="K40" i="58884" s="1"/>
  <c r="G40" i="58884" a="1"/>
  <c r="G40" i="58884" s="1"/>
  <c r="W39" i="58884" a="1"/>
  <c r="W39" i="58884" s="1"/>
  <c r="D39" i="58884" s="1" a="1"/>
  <c r="D39" i="58884" s="1"/>
  <c r="M39" i="58884" a="1"/>
  <c r="M39" i="58884" s="1"/>
  <c r="K39" i="58884" a="1"/>
  <c r="K39" i="58884" s="1"/>
  <c r="G39" i="58884" a="1"/>
  <c r="G39" i="58884" s="1"/>
  <c r="W38" i="58884" a="1"/>
  <c r="W38" i="58884" s="1"/>
  <c r="D38" i="58884" s="1" a="1"/>
  <c r="D38" i="58884" s="1"/>
  <c r="M38" i="58884" a="1"/>
  <c r="M38" i="58884" s="1"/>
  <c r="K38" i="58884" a="1"/>
  <c r="K38" i="58884" s="1"/>
  <c r="G38" i="58884" a="1"/>
  <c r="G38" i="58884" s="1"/>
  <c r="W37" i="58884" a="1"/>
  <c r="W37" i="58884" s="1"/>
  <c r="D37" i="58884" s="1" a="1"/>
  <c r="D37" i="58884" s="1"/>
  <c r="M37" i="58884" a="1"/>
  <c r="M37" i="58884" s="1"/>
  <c r="K37" i="58884" a="1"/>
  <c r="K37" i="58884" s="1"/>
  <c r="G37" i="58884" a="1"/>
  <c r="G37" i="58884" s="1"/>
  <c r="W36" i="58884" a="1"/>
  <c r="W36" i="58884" s="1"/>
  <c r="D36" i="58884" s="1" a="1"/>
  <c r="D36" i="58884" s="1"/>
  <c r="M36" i="58884" a="1"/>
  <c r="M36" i="58884" s="1"/>
  <c r="K36" i="58884" a="1"/>
  <c r="K36" i="58884" s="1"/>
  <c r="G36" i="58884" a="1"/>
  <c r="G36" i="58884" s="1"/>
  <c r="W35" i="58884" a="1"/>
  <c r="W35" i="58884" s="1"/>
  <c r="D35" i="58884" s="1" a="1"/>
  <c r="D35" i="58884" s="1"/>
  <c r="M35" i="58884" a="1"/>
  <c r="M35" i="58884" s="1"/>
  <c r="K35" i="58884" a="1"/>
  <c r="K35" i="58884" s="1"/>
  <c r="G35" i="58884" a="1"/>
  <c r="G35" i="58884" s="1"/>
  <c r="W34" i="58884" a="1"/>
  <c r="W34" i="58884" s="1"/>
  <c r="D34" i="58884" s="1" a="1"/>
  <c r="D34" i="58884" s="1"/>
  <c r="M34" i="58884" a="1"/>
  <c r="M34" i="58884" s="1"/>
  <c r="K34" i="58884" a="1"/>
  <c r="K34" i="58884" s="1"/>
  <c r="G34" i="58884" a="1"/>
  <c r="G34" i="58884" s="1"/>
  <c r="W33" i="58884" a="1"/>
  <c r="W33" i="58884" s="1"/>
  <c r="D33" i="58884" s="1" a="1"/>
  <c r="D33" i="58884" s="1"/>
  <c r="M33" i="58884" a="1"/>
  <c r="M33" i="58884" s="1"/>
  <c r="K33" i="58884" a="1"/>
  <c r="K33" i="58884" s="1"/>
  <c r="G33" i="58884" a="1"/>
  <c r="G33" i="58884" s="1"/>
  <c r="W32" i="58884" a="1"/>
  <c r="W32" i="58884" s="1"/>
  <c r="D32" i="58884" s="1" a="1"/>
  <c r="D32" i="58884" s="1"/>
  <c r="M32" i="58884" a="1"/>
  <c r="M32" i="58884" s="1"/>
  <c r="K32" i="58884" a="1"/>
  <c r="K32" i="58884" s="1"/>
  <c r="G32" i="58884" a="1"/>
  <c r="G32" i="58884" s="1"/>
  <c r="W31" i="58884" a="1"/>
  <c r="W31" i="58884" s="1"/>
  <c r="D31" i="58884" s="1" a="1"/>
  <c r="D31" i="58884" s="1"/>
  <c r="M31" i="58884" a="1"/>
  <c r="M31" i="58884" s="1"/>
  <c r="K31" i="58884" a="1"/>
  <c r="K31" i="58884" s="1"/>
  <c r="G31" i="58884" a="1"/>
  <c r="G31" i="58884" s="1"/>
  <c r="W30" i="58884" a="1"/>
  <c r="W30" i="58884" s="1"/>
  <c r="D30" i="58884" s="1" a="1"/>
  <c r="D30" i="58884" s="1"/>
  <c r="G30" i="58884" a="1"/>
  <c r="G30" i="58884" s="1"/>
  <c r="W29" i="58884" a="1"/>
  <c r="W29" i="58884" s="1"/>
  <c r="D29" i="58884" s="1" a="1"/>
  <c r="D29" i="58884" s="1"/>
  <c r="M29" i="58884" a="1"/>
  <c r="M29" i="58884" s="1"/>
  <c r="K29" i="58884" a="1"/>
  <c r="K29" i="58884" s="1"/>
  <c r="G29" i="58884" a="1"/>
  <c r="G29" i="58884" s="1"/>
  <c r="W28" i="58884" a="1"/>
  <c r="W28" i="58884" s="1"/>
  <c r="D28" i="58884" s="1" a="1"/>
  <c r="D28" i="58884" s="1"/>
  <c r="M28" i="58884" a="1"/>
  <c r="M28" i="58884" s="1"/>
  <c r="K28" i="58884" a="1"/>
  <c r="K28" i="58884" s="1"/>
  <c r="G28" i="58884" a="1"/>
  <c r="G28" i="58884" s="1"/>
  <c r="W27" i="58884" a="1"/>
  <c r="W27" i="58884" s="1"/>
  <c r="D27" i="58884" s="1" a="1"/>
  <c r="D27" i="58884" s="1"/>
  <c r="N182" i="58885" s="1" a="1"/>
  <c r="N182" i="58885" s="1"/>
  <c r="M27" i="58884" a="1"/>
  <c r="M27" i="58884" s="1"/>
  <c r="K27" i="58884" a="1"/>
  <c r="K27" i="58884" s="1"/>
  <c r="G27" i="58884" a="1"/>
  <c r="G27" i="58884" s="1"/>
  <c r="W26" i="58884" a="1"/>
  <c r="W26" i="58884" s="1"/>
  <c r="D26" i="58884" s="1" a="1"/>
  <c r="D26" i="58884" s="1"/>
  <c r="M26" i="58884" a="1"/>
  <c r="M26" i="58884" s="1"/>
  <c r="K26" i="58884" a="1"/>
  <c r="K26" i="58884" s="1"/>
  <c r="G26" i="58884" a="1"/>
  <c r="G26" i="58884" s="1"/>
  <c r="W25" i="58884" a="1"/>
  <c r="W25" i="58884" s="1"/>
  <c r="D25" i="58884" s="1" a="1"/>
  <c r="D25" i="58884" s="1"/>
  <c r="M25" i="58884" a="1"/>
  <c r="M25" i="58884" s="1"/>
  <c r="K25" i="58884" a="1"/>
  <c r="K25" i="58884" s="1"/>
  <c r="G25" i="58884" a="1"/>
  <c r="G25" i="58884" s="1"/>
  <c r="W24" i="58884" a="1"/>
  <c r="W24" i="58884" s="1"/>
  <c r="D24" i="58884" s="1" a="1"/>
  <c r="D24" i="58884" s="1"/>
  <c r="M24" i="58884" a="1"/>
  <c r="M24" i="58884" s="1"/>
  <c r="K24" i="58884" a="1"/>
  <c r="K24" i="58884" s="1"/>
  <c r="G24" i="58884" a="1"/>
  <c r="G24" i="58884" s="1"/>
  <c r="W23" i="58884" a="1"/>
  <c r="W23" i="58884" s="1"/>
  <c r="D23" i="58884" s="1" a="1"/>
  <c r="D23" i="58884" s="1"/>
  <c r="M23" i="58884" a="1"/>
  <c r="M23" i="58884" s="1"/>
  <c r="K23" i="58884" a="1"/>
  <c r="K23" i="58884" s="1"/>
  <c r="G23" i="58884" a="1"/>
  <c r="G23" i="58884" s="1"/>
  <c r="W22" i="58884" a="1"/>
  <c r="W22" i="58884" s="1"/>
  <c r="D22" i="58884" s="1" a="1"/>
  <c r="D22" i="58884" s="1"/>
  <c r="M22" i="58884" a="1"/>
  <c r="M22" i="58884" s="1"/>
  <c r="K22" i="58884" a="1"/>
  <c r="K22" i="58884" s="1"/>
  <c r="G22" i="58884" a="1"/>
  <c r="G22" i="58884" s="1"/>
  <c r="W21" i="58884" a="1"/>
  <c r="W21" i="58884" s="1"/>
  <c r="D21" i="58884" s="1" a="1"/>
  <c r="D21" i="58884" s="1"/>
  <c r="M21" i="58884" a="1"/>
  <c r="M21" i="58884" s="1"/>
  <c r="K21" i="58884" a="1"/>
  <c r="K21" i="58884" s="1"/>
  <c r="G21" i="58884" a="1"/>
  <c r="G21" i="58884" s="1"/>
  <c r="W20" i="58884" a="1"/>
  <c r="W20" i="58884" s="1"/>
  <c r="D20" i="58884" s="1" a="1"/>
  <c r="D20" i="58884" s="1"/>
  <c r="N32" i="58885" s="1" a="1"/>
  <c r="N32" i="58885" s="1"/>
  <c r="M20" i="58884" a="1"/>
  <c r="M20" i="58884" s="1"/>
  <c r="K20" i="58884" a="1"/>
  <c r="K20" i="58884" s="1"/>
  <c r="G20" i="58884" a="1"/>
  <c r="G20" i="58884" s="1"/>
  <c r="W19" i="58884" a="1"/>
  <c r="W19" i="58884" s="1"/>
  <c r="D19" i="58884" s="1" a="1"/>
  <c r="D19" i="58884" s="1"/>
  <c r="N21" i="58885" s="1" a="1"/>
  <c r="N21" i="58885" s="1"/>
  <c r="M19" i="58884" a="1"/>
  <c r="M19" i="58884" s="1"/>
  <c r="K19" i="58884" a="1"/>
  <c r="K19" i="58884" s="1"/>
  <c r="G19" i="58884" a="1"/>
  <c r="G19" i="58884" s="1"/>
  <c r="W18" i="58884" a="1"/>
  <c r="W18" i="58884" s="1"/>
  <c r="D18" i="58884" s="1" a="1"/>
  <c r="D18" i="58884" s="1"/>
  <c r="M18" i="58884" a="1"/>
  <c r="M18" i="58884" s="1"/>
  <c r="K18" i="58884" a="1"/>
  <c r="K18" i="58884" s="1"/>
  <c r="G18" i="58884" a="1"/>
  <c r="G18" i="58884" s="1"/>
  <c r="W17" i="58884" a="1"/>
  <c r="W17" i="58884" s="1"/>
  <c r="D17" i="58884" s="1" a="1"/>
  <c r="D17" i="58884" s="1"/>
  <c r="M17" i="58884" a="1"/>
  <c r="M17" i="58884" s="1"/>
  <c r="K17" i="58884" a="1"/>
  <c r="K17" i="58884" s="1"/>
  <c r="G17" i="58884" a="1"/>
  <c r="G17" i="58884" s="1"/>
  <c r="W16" i="58884" a="1"/>
  <c r="W16" i="58884" s="1"/>
  <c r="D16" i="58884" s="1" a="1"/>
  <c r="D16" i="58884" s="1"/>
  <c r="M16" i="58884" a="1"/>
  <c r="M16" i="58884" s="1"/>
  <c r="K16" i="58884" a="1"/>
  <c r="K16" i="58884" s="1"/>
  <c r="G16" i="58884" a="1"/>
  <c r="G16" i="58884" s="1"/>
  <c r="W15" i="58884" a="1"/>
  <c r="W15" i="58884" s="1"/>
  <c r="D15" i="58884" s="1" a="1"/>
  <c r="D15" i="58884" s="1"/>
  <c r="M15" i="58884" a="1"/>
  <c r="M15" i="58884" s="1"/>
  <c r="K15" i="58884" a="1"/>
  <c r="K15" i="58884" s="1"/>
  <c r="G15" i="58884" a="1"/>
  <c r="G15" i="58884" s="1"/>
  <c r="W14" i="58884" a="1"/>
  <c r="W14" i="58884" s="1"/>
  <c r="D14" i="58884" s="1" a="1"/>
  <c r="D14" i="58884" s="1"/>
  <c r="M14" i="58884" a="1"/>
  <c r="M14" i="58884" s="1"/>
  <c r="K14" i="58884" a="1"/>
  <c r="K14" i="58884" s="1"/>
  <c r="G14" i="58884" a="1"/>
  <c r="G14" i="58884" s="1"/>
  <c r="W13" i="58884" a="1"/>
  <c r="W13" i="58884" s="1"/>
  <c r="D13" i="58884" s="1" a="1"/>
  <c r="D13" i="58884" s="1"/>
  <c r="M13" i="58884" a="1"/>
  <c r="M13" i="58884" s="1"/>
  <c r="K13" i="58884" a="1"/>
  <c r="K13" i="58884" s="1"/>
  <c r="G13" i="58884" a="1"/>
  <c r="G13" i="58884" s="1"/>
  <c r="W12" i="58884" a="1"/>
  <c r="W12" i="58884" s="1"/>
  <c r="D12" i="58884" s="1" a="1"/>
  <c r="D12" i="58884" s="1"/>
  <c r="M12" i="58884" a="1"/>
  <c r="M12" i="58884" s="1"/>
  <c r="K12" i="58884" a="1"/>
  <c r="K12" i="58884" s="1"/>
  <c r="G12" i="58884" a="1"/>
  <c r="G12" i="58884" s="1"/>
  <c r="W11" i="58884" a="1"/>
  <c r="W11" i="58884" s="1"/>
  <c r="D11" i="58884" s="1" a="1"/>
  <c r="D11" i="58884" s="1"/>
  <c r="M11" i="58884" a="1"/>
  <c r="M11" i="58884" s="1"/>
  <c r="K11" i="58884" a="1"/>
  <c r="K11" i="58884" s="1"/>
  <c r="G11" i="58884" a="1"/>
  <c r="G11" i="58884" s="1"/>
  <c r="W10" i="58884" a="1"/>
  <c r="W10" i="58884" s="1"/>
  <c r="D10" i="58884" s="1" a="1"/>
  <c r="D10" i="58884" s="1"/>
  <c r="M10" i="58884" a="1"/>
  <c r="M10" i="58884" s="1"/>
  <c r="K10" i="58884" a="1"/>
  <c r="K10" i="58884" s="1"/>
  <c r="G10" i="58884" a="1"/>
  <c r="G10" i="58884" s="1"/>
  <c r="W9" i="58884" a="1"/>
  <c r="W9" i="58884" s="1"/>
  <c r="D9" i="58884" s="1" a="1"/>
  <c r="D9" i="58884" s="1"/>
  <c r="N50" i="58885" s="1" a="1"/>
  <c r="N50" i="58885" s="1"/>
  <c r="M9" i="58884" a="1"/>
  <c r="M9" i="58884" s="1"/>
  <c r="K9" i="58884" a="1"/>
  <c r="K9" i="58884" s="1"/>
  <c r="G9" i="58884" a="1"/>
  <c r="G9" i="58884" s="1"/>
  <c r="W8" i="58884" a="1"/>
  <c r="W8" i="58884" s="1"/>
  <c r="D8" i="58884" s="1" a="1"/>
  <c r="D8" i="58884" s="1"/>
  <c r="M8" i="58884" a="1"/>
  <c r="M8" i="58884" s="1"/>
  <c r="K8" i="58884" a="1"/>
  <c r="K8" i="58884" s="1"/>
  <c r="G8" i="58884" a="1"/>
  <c r="G8" i="58884" s="1"/>
  <c r="CR7" i="58884" a="1"/>
  <c r="CR7" i="58884" s="1"/>
  <c r="CP7" i="58884" a="1"/>
  <c r="CP7" i="58884" s="1"/>
  <c r="BL7" i="58884" a="1"/>
  <c r="BL7" i="58884" s="1"/>
  <c r="BJ7" i="58884" a="1"/>
  <c r="BJ7" i="58884" s="1"/>
  <c r="AE7" i="58884" a="1"/>
  <c r="AE7" i="58884" s="1"/>
  <c r="AC7" i="58884" a="1"/>
  <c r="AC7" i="58884" s="1"/>
  <c r="W7" i="58884" a="1"/>
  <c r="W7" i="58884" s="1"/>
  <c r="D7" i="58884" s="1" a="1"/>
  <c r="D7" i="58884" s="1"/>
  <c r="M7" i="58884" a="1"/>
  <c r="M7" i="58884" s="1"/>
  <c r="K7" i="58884" a="1"/>
  <c r="K7" i="58884" s="1"/>
  <c r="G7" i="58884" a="1"/>
  <c r="G7" i="58884" s="1"/>
  <c r="W6" i="58884" a="1"/>
  <c r="W6" i="58884" s="1"/>
  <c r="D6" i="58884" s="1" a="1"/>
  <c r="D6" i="58884" s="1"/>
  <c r="N17" i="58885" s="1" a="1"/>
  <c r="N17" i="58885" s="1"/>
  <c r="T6" i="58884" a="1"/>
  <c r="T6" i="58884" s="1"/>
  <c r="T4" i="58884" s="1" a="1"/>
  <c r="T4" i="58884" s="1"/>
  <c r="M6" i="58884" a="1"/>
  <c r="M6" i="58884" s="1"/>
  <c r="K6" i="58884" a="1"/>
  <c r="K6" i="58884" s="1"/>
  <c r="G6" i="58884" a="1"/>
  <c r="G6" i="58884" s="1"/>
  <c r="W5" i="58884" a="1"/>
  <c r="W5" i="58884" s="1"/>
  <c r="D5" i="58884" s="1" a="1"/>
  <c r="D5" i="58884" s="1"/>
  <c r="M5" i="58884" a="1"/>
  <c r="M5" i="58884" s="1"/>
  <c r="K5" i="58884" a="1"/>
  <c r="K5" i="58884" s="1"/>
  <c r="G5" i="58884" a="1"/>
  <c r="G5" i="58884" s="1"/>
  <c r="DV4" i="58884" a="1"/>
  <c r="DV4" i="58884" s="1"/>
  <c r="Y4" i="58884" a="1"/>
  <c r="Y4" i="58884" s="1"/>
  <c r="W4" i="58884" a="1"/>
  <c r="W4" i="58884" s="1"/>
  <c r="D4" i="58884" s="1" a="1"/>
  <c r="D4" i="58884" s="1"/>
  <c r="M4" i="58884" a="1"/>
  <c r="M4" i="58884" s="1"/>
  <c r="K4" i="58884" a="1"/>
  <c r="K4" i="58884" s="1"/>
  <c r="G4" i="58884" a="1"/>
  <c r="G4" i="58884" s="1"/>
  <c r="AQ5" i="58858" a="1"/>
  <c r="AQ5" i="58858" s="1"/>
  <c r="C39" i="58853"/>
  <c r="C38" i="58853"/>
  <c r="F38" i="58853" s="1" a="1"/>
  <c r="F38" i="58853" s="1"/>
  <c r="G38" i="58853" s="1"/>
  <c r="C37" i="58853"/>
  <c r="F37" i="58853" s="1" a="1"/>
  <c r="F37" i="58853" s="1"/>
  <c r="G37" i="58853" s="1"/>
  <c r="C36" i="58853"/>
  <c r="C35" i="58853"/>
  <c r="F35" i="58853" s="1" a="1"/>
  <c r="F35" i="58853" s="1"/>
  <c r="G35" i="58853" s="1"/>
  <c r="AW17" i="58853"/>
  <c r="AV17" i="58853"/>
  <c r="AV16" i="58853"/>
  <c r="L40" i="58883"/>
  <c r="L39" i="58883"/>
  <c r="L37" i="58883"/>
  <c r="L35" i="58883"/>
  <c r="L33" i="58883"/>
  <c r="L32" i="58883"/>
  <c r="L31" i="58883"/>
  <c r="L30" i="58883"/>
  <c r="N29" i="58883"/>
  <c r="J12" i="58885" s="1" a="1"/>
  <c r="J12" i="58885" s="1"/>
  <c r="L29" i="58883"/>
  <c r="L28" i="58883"/>
  <c r="L27" i="58883"/>
  <c r="L26" i="58883"/>
  <c r="L25" i="58883"/>
  <c r="L23" i="58883"/>
  <c r="L22" i="58883"/>
  <c r="L21" i="58883"/>
  <c r="L20" i="58883"/>
  <c r="BB19" i="58883"/>
  <c r="L19" i="58883"/>
  <c r="BB18" i="58883"/>
  <c r="L18" i="58883"/>
  <c r="BB17" i="58883"/>
  <c r="L17" i="58883"/>
  <c r="BB16" i="58883"/>
  <c r="L16" i="58883"/>
  <c r="BB15" i="58883"/>
  <c r="L15" i="58883"/>
  <c r="BB14" i="58883"/>
  <c r="L14" i="58883"/>
  <c r="BB13" i="58883"/>
  <c r="L13" i="58883"/>
  <c r="BB12" i="58883"/>
  <c r="L12" i="58883"/>
  <c r="D12" i="58883"/>
  <c r="BB11" i="58883"/>
  <c r="L11" i="58883"/>
  <c r="D11" i="58883"/>
  <c r="L10" i="58883"/>
  <c r="D10" i="58883"/>
  <c r="L9" i="58883"/>
  <c r="L8" i="58883"/>
  <c r="L7" i="58883"/>
  <c r="L6" i="58883"/>
  <c r="BM5" i="58883" a="1"/>
  <c r="BM5" i="58883" s="1"/>
  <c r="BM3" i="58883" s="1" a="1"/>
  <c r="BM3" i="58883" s="1"/>
  <c r="L5" i="58883"/>
  <c r="L4" i="58883"/>
  <c r="L3" i="58883"/>
  <c r="AO2" i="58883"/>
  <c r="C4" i="58853" a="1"/>
  <c r="C3" i="58853" a="1"/>
  <c r="B1" i="58853" a="1"/>
  <c r="B2" i="5" a="1"/>
  <c r="B9" i="10" a="1"/>
  <c r="C2" i="58885" a="1"/>
  <c r="B2" i="58884" a="1"/>
  <c r="B2" i="58858" a="1"/>
  <c r="B259" i="10" a="1"/>
  <c r="C2" i="58887" a="1"/>
  <c r="C2" i="37" a="1"/>
  <c r="C3" i="58853" l="1"/>
  <c r="C4" i="58853"/>
  <c r="D5" i="58839"/>
  <c r="E5" i="58839" s="1"/>
  <c r="B2" i="58858"/>
  <c r="B2" i="5"/>
  <c r="B2" i="58884"/>
  <c r="B9" i="10"/>
  <c r="C2" i="58885"/>
  <c r="B259" i="10"/>
  <c r="B1" i="58853"/>
  <c r="C2" i="58887"/>
  <c r="C2" i="37"/>
  <c r="D311" i="10"/>
  <c r="D56" i="58839"/>
  <c r="F5" i="58839"/>
  <c r="E56" i="58839"/>
  <c r="BE5" i="58839"/>
  <c r="BD56" i="58839"/>
  <c r="C54" i="58839"/>
  <c r="D54" i="58839" s="1"/>
  <c r="E54" i="58839" s="1"/>
  <c r="F54" i="58839" s="1"/>
  <c r="G54" i="58839" s="1"/>
  <c r="H54" i="58839" s="1"/>
  <c r="I54" i="58839" s="1"/>
  <c r="J54" i="58839" s="1"/>
  <c r="K54" i="58839" s="1"/>
  <c r="L54" i="58839" s="1"/>
  <c r="M54" i="58839" s="1"/>
  <c r="N54" i="58839" s="1"/>
  <c r="O54" i="58839" s="1"/>
  <c r="P54" i="58839" s="1"/>
  <c r="Q54" i="58839" s="1"/>
  <c r="R54" i="58839" s="1"/>
  <c r="S54" i="58839" s="1"/>
  <c r="T54" i="58839" s="1"/>
  <c r="U54" i="58839" s="1"/>
  <c r="V54" i="58839" s="1"/>
  <c r="W54" i="58839" s="1"/>
  <c r="X54" i="58839" s="1"/>
  <c r="Y54" i="58839" s="1"/>
  <c r="Z54" i="58839" s="1"/>
  <c r="AA54" i="58839" s="1"/>
  <c r="AB54" i="58839" s="1"/>
  <c r="AC54" i="58839" s="1"/>
  <c r="AD54" i="58839" s="1"/>
  <c r="AE54" i="58839" s="1"/>
  <c r="AF54" i="58839" s="1"/>
  <c r="AG54" i="58839" s="1"/>
  <c r="AH54" i="58839" s="1"/>
  <c r="AI54" i="58839" s="1"/>
  <c r="AJ54" i="58839" s="1"/>
  <c r="AK54" i="58839" s="1"/>
  <c r="AL54" i="58839" s="1"/>
  <c r="AM54" i="58839" s="1"/>
  <c r="AN54" i="58839" s="1"/>
  <c r="AO54" i="58839" s="1"/>
  <c r="AP54" i="58839" s="1"/>
  <c r="AQ54" i="58839" s="1"/>
  <c r="AR54" i="58839" s="1"/>
  <c r="AS54" i="58839" s="1"/>
  <c r="AT54" i="58839" s="1"/>
  <c r="AU54" i="58839" s="1"/>
  <c r="AV54" i="58839" s="1"/>
  <c r="AW54" i="58839" s="1"/>
  <c r="AX54" i="58839" s="1"/>
  <c r="AY54" i="58839" s="1"/>
  <c r="AZ54" i="58839" s="1"/>
  <c r="BA54" i="58839" s="1"/>
  <c r="BB54" i="58839" s="1"/>
  <c r="BC54" i="58839" s="1"/>
  <c r="BD54" i="58839" s="1"/>
  <c r="BE54" i="58839" s="1"/>
  <c r="BF54" i="58839" s="1"/>
  <c r="BG54" i="58839" s="1"/>
  <c r="BH54" i="58839" s="1"/>
  <c r="BI54" i="58839" s="1"/>
  <c r="BJ54" i="58839" s="1"/>
  <c r="BK54" i="58839" s="1"/>
  <c r="BL54" i="58839" s="1"/>
  <c r="BM54" i="58839" s="1"/>
  <c r="BN54" i="58839" s="1"/>
  <c r="BO54" i="58839" s="1"/>
  <c r="BP54" i="58839" s="1"/>
  <c r="BQ54" i="58839" s="1"/>
  <c r="BR54" i="58839" s="1"/>
  <c r="BS54" i="58839" s="1"/>
  <c r="BT54" i="58839" s="1"/>
  <c r="BU54" i="58839" s="1"/>
  <c r="BV54" i="58839" s="1"/>
  <c r="BW54" i="58839" s="1"/>
  <c r="BX54" i="58839" s="1"/>
  <c r="BY54" i="58839" s="1"/>
  <c r="BZ54" i="58839" s="1"/>
  <c r="CA54" i="58839" s="1"/>
  <c r="CB54" i="58839" s="1"/>
  <c r="CC54" i="58839" s="1"/>
  <c r="CD54" i="58839" s="1"/>
  <c r="CE54" i="58839" s="1"/>
  <c r="CF54" i="58839" s="1"/>
  <c r="CG54" i="58839" s="1"/>
  <c r="CH54" i="58839" s="1"/>
  <c r="CI54" i="58839" s="1"/>
  <c r="CJ54" i="58839" s="1"/>
  <c r="CK54" i="58839" s="1"/>
  <c r="CL54" i="58839" s="1"/>
  <c r="CM54" i="58839" s="1"/>
  <c r="CN54" i="58839" s="1"/>
  <c r="CO54" i="58839" s="1"/>
  <c r="CP54" i="58839" s="1"/>
  <c r="CQ54" i="58839" s="1"/>
  <c r="CR54" i="58839" s="1"/>
  <c r="CS54" i="58839" s="1"/>
  <c r="CT54" i="58839" s="1"/>
  <c r="CU54" i="58839" s="1"/>
  <c r="CV54" i="58839" s="1"/>
  <c r="CW54" i="58839" s="1"/>
  <c r="CX54" i="58839" s="1"/>
  <c r="CY54" i="58839" s="1"/>
  <c r="CZ54" i="58839" s="1"/>
  <c r="DA54" i="58839" s="1"/>
  <c r="T17" i="58887" a="1"/>
  <c r="T17" i="58887" s="1"/>
  <c r="BC56" i="58839"/>
  <c r="V33" i="58884"/>
  <c r="V38" i="58884"/>
  <c r="V15" i="58884"/>
  <c r="FT12" i="58885" a="1"/>
  <c r="FT12" i="58885" s="1"/>
  <c r="N157" i="58885" a="1"/>
  <c r="N157" i="58885" s="1"/>
  <c r="N10" i="58885" a="1"/>
  <c r="N10" i="58885" s="1"/>
  <c r="N151" i="58885" a="1"/>
  <c r="N151" i="58885" s="1"/>
  <c r="N11" i="58885" a="1"/>
  <c r="N11" i="58885" s="1"/>
  <c r="V48" i="58884"/>
  <c r="AG20" i="37" a="1"/>
  <c r="AG20" i="37" s="1"/>
  <c r="N42" i="58885" a="1"/>
  <c r="N42" i="58885" s="1"/>
  <c r="N44" i="58885" a="1"/>
  <c r="N44" i="58885" s="1"/>
  <c r="N43" i="58885" a="1"/>
  <c r="N43" i="58885" s="1"/>
  <c r="V10" i="58884"/>
  <c r="V44" i="58884"/>
  <c r="V19" i="58884"/>
  <c r="N16" i="58885" a="1"/>
  <c r="N16" i="58885" s="1"/>
  <c r="N7" i="58885" a="1"/>
  <c r="N7" i="58885" s="1"/>
  <c r="V7" i="58884"/>
  <c r="V42" i="58884"/>
  <c r="V41" i="58884"/>
  <c r="V20" i="58884"/>
  <c r="V18" i="58884"/>
  <c r="V24" i="58884"/>
  <c r="V37" i="58884"/>
  <c r="N112" i="58885" a="1"/>
  <c r="N112" i="58885" s="1"/>
  <c r="V43" i="58884"/>
  <c r="V16" i="58884"/>
  <c r="V23" i="58884"/>
  <c r="V34" i="58884"/>
  <c r="V28" i="58884"/>
  <c r="N106" i="58885" a="1"/>
  <c r="N106" i="58885" s="1"/>
  <c r="N75" i="58885" a="1"/>
  <c r="N75" i="58885" s="1"/>
  <c r="N131" i="58885" a="1"/>
  <c r="N131" i="58885" s="1"/>
  <c r="N115" i="58885" a="1"/>
  <c r="N115" i="58885" s="1"/>
  <c r="N125" i="58885" a="1"/>
  <c r="N125" i="58885" s="1"/>
  <c r="V31" i="58884"/>
  <c r="N73" i="58885" a="1"/>
  <c r="N73" i="58885" s="1"/>
  <c r="V39" i="58884"/>
  <c r="V40" i="58884"/>
  <c r="N60" i="58885" a="1"/>
  <c r="N60" i="58885" s="1"/>
  <c r="V22" i="58884"/>
  <c r="N101" i="58885" a="1"/>
  <c r="N101" i="58885" s="1"/>
  <c r="N113" i="58885" a="1"/>
  <c r="N113" i="58885" s="1"/>
  <c r="N103" i="58885" a="1"/>
  <c r="N103" i="58885" s="1"/>
  <c r="N100" i="58885" a="1"/>
  <c r="N100" i="58885" s="1"/>
  <c r="V47" i="58884"/>
  <c r="V11" i="58884"/>
  <c r="N36" i="58885" a="1"/>
  <c r="N36" i="58885" s="1"/>
  <c r="V26" i="58884"/>
  <c r="V45" i="58884"/>
  <c r="J13" i="58885" a="1"/>
  <c r="J13" i="58885" s="1"/>
  <c r="Z13" i="58885" s="1" a="1"/>
  <c r="Z13" i="58885" s="1"/>
  <c r="V12" i="58884"/>
  <c r="N57" i="58885" a="1"/>
  <c r="N57" i="58885" s="1"/>
  <c r="N58" i="58885" a="1"/>
  <c r="N58" i="58885" s="1"/>
  <c r="V21" i="58884"/>
  <c r="V27" i="58884"/>
  <c r="J10" i="58885" a="1"/>
  <c r="J10" i="58885" s="1"/>
  <c r="J11" i="58885" a="1"/>
  <c r="J11" i="58885" s="1"/>
  <c r="N59" i="58885" a="1"/>
  <c r="N59" i="58885" s="1"/>
  <c r="N149" i="58885" a="1"/>
  <c r="N149" i="58885" s="1"/>
  <c r="N150" i="58885" a="1"/>
  <c r="N150" i="58885" s="1"/>
  <c r="N49" i="58885" a="1"/>
  <c r="N49" i="58885" s="1"/>
  <c r="V13" i="58884"/>
  <c r="N156" i="58885" a="1"/>
  <c r="N156" i="58885" s="1"/>
  <c r="N55" i="58885" a="1"/>
  <c r="N55" i="58885" s="1"/>
  <c r="N56" i="58885" a="1"/>
  <c r="N56" i="58885" s="1"/>
  <c r="N181" i="58885" a="1"/>
  <c r="N181" i="58885" s="1"/>
  <c r="N155" i="58885" a="1"/>
  <c r="N155" i="58885" s="1"/>
  <c r="V29" i="58884"/>
  <c r="N98" i="58885" a="1"/>
  <c r="N98" i="58885" s="1"/>
  <c r="N108" i="58885" a="1"/>
  <c r="N108" i="58885" s="1"/>
  <c r="N123" i="58885" a="1"/>
  <c r="N123" i="58885" s="1"/>
  <c r="N69" i="58885" a="1"/>
  <c r="N69" i="58885" s="1"/>
  <c r="N70" i="58885" a="1"/>
  <c r="N70" i="58885" s="1"/>
  <c r="N117" i="58885" a="1"/>
  <c r="N117" i="58885" s="1"/>
  <c r="N107" i="58885" a="1"/>
  <c r="N107" i="58885" s="1"/>
  <c r="N99" i="58885" a="1"/>
  <c r="N99" i="58885" s="1"/>
  <c r="N132" i="58885" a="1"/>
  <c r="N132" i="58885" s="1"/>
  <c r="N129" i="58885" a="1"/>
  <c r="N129" i="58885" s="1"/>
  <c r="N139" i="58885" a="1"/>
  <c r="N139" i="58885" s="1"/>
  <c r="N134" i="58885" a="1"/>
  <c r="N134" i="58885" s="1"/>
  <c r="N121" i="58885" a="1"/>
  <c r="N121" i="58885" s="1"/>
  <c r="N136" i="58885" a="1"/>
  <c r="N136" i="58885" s="1"/>
  <c r="N126" i="58885" a="1"/>
  <c r="N126" i="58885" s="1"/>
  <c r="N118" i="58885" a="1"/>
  <c r="N118" i="58885" s="1"/>
  <c r="N141" i="58885" a="1"/>
  <c r="N141" i="58885" s="1"/>
  <c r="N128" i="58885" a="1"/>
  <c r="N128" i="58885" s="1"/>
  <c r="N110" i="58885" a="1"/>
  <c r="N110" i="58885" s="1"/>
  <c r="N105" i="58885" a="1"/>
  <c r="N105" i="58885" s="1"/>
  <c r="N78" i="58885" a="1"/>
  <c r="N78" i="58885" s="1"/>
  <c r="N120" i="58885" a="1"/>
  <c r="N120" i="58885" s="1"/>
  <c r="N97" i="58885" a="1"/>
  <c r="N97" i="58885" s="1"/>
  <c r="N79" i="58885" a="1"/>
  <c r="N79" i="58885" s="1"/>
  <c r="N135" i="58885" a="1"/>
  <c r="N135" i="58885" s="1"/>
  <c r="N89" i="58885" a="1"/>
  <c r="N89" i="58885" s="1"/>
  <c r="N80" i="58885" a="1"/>
  <c r="N80" i="58885" s="1"/>
  <c r="N122" i="58885" a="1"/>
  <c r="N122" i="58885" s="1"/>
  <c r="N109" i="58885" a="1"/>
  <c r="N109" i="58885" s="1"/>
  <c r="N90" i="58885" a="1"/>
  <c r="N90" i="58885" s="1"/>
  <c r="N81" i="58885" a="1"/>
  <c r="N81" i="58885" s="1"/>
  <c r="V35" i="58884"/>
  <c r="N137" i="58885" a="1"/>
  <c r="N137" i="58885" s="1"/>
  <c r="N127" i="58885" a="1"/>
  <c r="N127" i="58885" s="1"/>
  <c r="N119" i="58885" a="1"/>
  <c r="N119" i="58885" s="1"/>
  <c r="J181" i="58885" a="1"/>
  <c r="J181" i="58885" s="1"/>
  <c r="J174" i="58885" a="1"/>
  <c r="J174" i="58885" s="1"/>
  <c r="X174" i="58885" s="1" a="1"/>
  <c r="X174" i="58885" s="1"/>
  <c r="J163" i="58885" a="1"/>
  <c r="J163" i="58885" s="1"/>
  <c r="X163" i="58885" s="1" a="1"/>
  <c r="X163" i="58885" s="1"/>
  <c r="J155" i="58885" a="1"/>
  <c r="J155" i="58885" s="1"/>
  <c r="X155" i="58885" s="1" a="1"/>
  <c r="X155" i="58885" s="1"/>
  <c r="J146" i="58885" a="1"/>
  <c r="J146" i="58885" s="1"/>
  <c r="Z146" i="58885" s="1" a="1"/>
  <c r="Z146" i="58885" s="1"/>
  <c r="J137" i="58885" a="1"/>
  <c r="J137" i="58885" s="1"/>
  <c r="J132" i="58885" a="1"/>
  <c r="J132" i="58885" s="1"/>
  <c r="J127" i="58885" a="1"/>
  <c r="J127" i="58885" s="1"/>
  <c r="J119" i="58885" a="1"/>
  <c r="J119" i="58885" s="1"/>
  <c r="J114" i="58885" a="1"/>
  <c r="J114" i="58885" s="1"/>
  <c r="J109" i="58885" a="1"/>
  <c r="J109" i="58885" s="1"/>
  <c r="J104" i="58885" a="1"/>
  <c r="J104" i="58885" s="1"/>
  <c r="J92" i="58885" a="1"/>
  <c r="J92" i="58885" s="1"/>
  <c r="Z92" i="58885" s="1" a="1"/>
  <c r="Z92" i="58885" s="1"/>
  <c r="J82" i="58885" a="1"/>
  <c r="J82" i="58885" s="1"/>
  <c r="Y82" i="58885" s="1" a="1"/>
  <c r="Y82" i="58885" s="1"/>
  <c r="J73" i="58885" a="1"/>
  <c r="J73" i="58885" s="1"/>
  <c r="J63" i="58885" a="1"/>
  <c r="J63" i="58885" s="1"/>
  <c r="J54" i="58885" a="1"/>
  <c r="J54" i="58885" s="1"/>
  <c r="J46" i="58885" a="1"/>
  <c r="J46" i="58885" s="1"/>
  <c r="Y46" i="58885" s="1" a="1"/>
  <c r="Y46" i="58885" s="1"/>
  <c r="J45" i="58885" a="1"/>
  <c r="J45" i="58885" s="1"/>
  <c r="Z45" i="58885" s="1" a="1"/>
  <c r="Z45" i="58885" s="1"/>
  <c r="J36" i="58885" a="1"/>
  <c r="J36" i="58885" s="1"/>
  <c r="Y36" i="58885" s="1" a="1"/>
  <c r="Y36" i="58885" s="1"/>
  <c r="J28" i="58885" a="1"/>
  <c r="J28" i="58885" s="1"/>
  <c r="X28" i="58885" s="1" a="1"/>
  <c r="X28" i="58885" s="1"/>
  <c r="J175" i="58885" a="1"/>
  <c r="J175" i="58885" s="1"/>
  <c r="J167" i="58885" a="1"/>
  <c r="J167" i="58885" s="1"/>
  <c r="J166" i="58885" a="1"/>
  <c r="J166" i="58885" s="1"/>
  <c r="J165" i="58885" a="1"/>
  <c r="J165" i="58885" s="1"/>
  <c r="X165" i="58885" s="1" a="1"/>
  <c r="X165" i="58885" s="1"/>
  <c r="J164" i="58885" a="1"/>
  <c r="J164" i="58885" s="1"/>
  <c r="X164" i="58885" s="1" a="1"/>
  <c r="X164" i="58885" s="1"/>
  <c r="J156" i="58885" a="1"/>
  <c r="J156" i="58885" s="1"/>
  <c r="Z156" i="58885" s="1" a="1"/>
  <c r="Z156" i="58885" s="1"/>
  <c r="J147" i="58885" a="1"/>
  <c r="J147" i="58885" s="1"/>
  <c r="Z147" i="58885" s="1" a="1"/>
  <c r="Z147" i="58885" s="1"/>
  <c r="J142" i="58885" a="1"/>
  <c r="J142" i="58885" s="1"/>
  <c r="Y142" i="58885" s="1" a="1"/>
  <c r="Y142" i="58885" s="1"/>
  <c r="J129" i="58885" a="1"/>
  <c r="J129" i="58885" s="1"/>
  <c r="J124" i="58885" a="1"/>
  <c r="J124" i="58885" s="1"/>
  <c r="J111" i="58885" a="1"/>
  <c r="J111" i="58885" s="1"/>
  <c r="X111" i="58885" s="1" a="1"/>
  <c r="X111" i="58885" s="1"/>
  <c r="J106" i="58885" a="1"/>
  <c r="J106" i="58885" s="1"/>
  <c r="J101" i="58885" a="1"/>
  <c r="J101" i="58885" s="1"/>
  <c r="J93" i="58885" a="1"/>
  <c r="J93" i="58885" s="1"/>
  <c r="Z93" i="58885" s="1" a="1"/>
  <c r="Z93" i="58885" s="1"/>
  <c r="J84" i="58885" a="1"/>
  <c r="J84" i="58885" s="1"/>
  <c r="J83" i="58885" a="1"/>
  <c r="J83" i="58885" s="1"/>
  <c r="Z83" i="58885" s="1" a="1"/>
  <c r="Z83" i="58885" s="1"/>
  <c r="J74" i="58885" a="1"/>
  <c r="J74" i="58885" s="1"/>
  <c r="Y74" i="58885" s="1" a="1"/>
  <c r="Y74" i="58885" s="1"/>
  <c r="J64" i="58885" a="1"/>
  <c r="J64" i="58885" s="1"/>
  <c r="J55" i="58885" a="1"/>
  <c r="J55" i="58885" s="1"/>
  <c r="J47" i="58885" a="1"/>
  <c r="J47" i="58885" s="1"/>
  <c r="Z47" i="58885" s="1" a="1"/>
  <c r="Z47" i="58885" s="1"/>
  <c r="J37" i="58885" a="1"/>
  <c r="J37" i="58885" s="1"/>
  <c r="Y37" i="58885" s="1" a="1"/>
  <c r="Y37" i="58885" s="1"/>
  <c r="J29" i="58885" a="1"/>
  <c r="J29" i="58885" s="1"/>
  <c r="Y29" i="58885" s="1" a="1"/>
  <c r="Y29" i="58885" s="1"/>
  <c r="J21" i="58885" a="1"/>
  <c r="J21" i="58885" s="1"/>
  <c r="X21" i="58885" s="1" a="1"/>
  <c r="X21" i="58885" s="1"/>
  <c r="J7" i="58885" a="1"/>
  <c r="J7" i="58885" s="1"/>
  <c r="Z7" i="58885" s="1" a="1"/>
  <c r="Z7" i="58885" s="1"/>
  <c r="J183" i="58885" a="1"/>
  <c r="J183" i="58885" s="1"/>
  <c r="J176" i="58885" a="1"/>
  <c r="J176" i="58885" s="1"/>
  <c r="J168" i="58885" a="1"/>
  <c r="J168" i="58885" s="1"/>
  <c r="J157" i="58885" a="1"/>
  <c r="J157" i="58885" s="1"/>
  <c r="J149" i="58885" a="1"/>
  <c r="J149" i="58885" s="1"/>
  <c r="Z149" i="58885" s="1" a="1"/>
  <c r="Z149" i="58885" s="1"/>
  <c r="J148" i="58885" a="1"/>
  <c r="J148" i="58885" s="1"/>
  <c r="Z148" i="58885" s="1" a="1"/>
  <c r="Z148" i="58885" s="1"/>
  <c r="J139" i="58885" a="1"/>
  <c r="J139" i="58885" s="1"/>
  <c r="Y139" i="58885" s="1" a="1"/>
  <c r="Y139" i="58885" s="1"/>
  <c r="J134" i="58885" a="1"/>
  <c r="J134" i="58885" s="1"/>
  <c r="J121" i="58885" a="1"/>
  <c r="J121" i="58885" s="1"/>
  <c r="J116" i="58885" a="1"/>
  <c r="J116" i="58885" s="1"/>
  <c r="J98" i="58885" a="1"/>
  <c r="J98" i="58885" s="1"/>
  <c r="J95" i="58885" a="1"/>
  <c r="J95" i="58885" s="1"/>
  <c r="J94" i="58885" a="1"/>
  <c r="J94" i="58885" s="1"/>
  <c r="Y94" i="58885" s="1" a="1"/>
  <c r="Y94" i="58885" s="1"/>
  <c r="J85" i="58885" a="1"/>
  <c r="J85" i="58885" s="1"/>
  <c r="Y85" i="58885" s="1" a="1"/>
  <c r="Y85" i="58885" s="1"/>
  <c r="J76" i="58885" a="1"/>
  <c r="J76" i="58885" s="1"/>
  <c r="Y76" i="58885" s="1" a="1"/>
  <c r="Y76" i="58885" s="1"/>
  <c r="J75" i="58885" a="1"/>
  <c r="J75" i="58885" s="1"/>
  <c r="J67" i="58885" a="1"/>
  <c r="J67" i="58885" s="1"/>
  <c r="J66" i="58885" a="1"/>
  <c r="J66" i="58885" s="1"/>
  <c r="X66" i="58885" s="1" a="1"/>
  <c r="X66" i="58885" s="1"/>
  <c r="J65" i="58885" a="1"/>
  <c r="J65" i="58885" s="1"/>
  <c r="Z65" i="58885" s="1" a="1"/>
  <c r="Z65" i="58885" s="1"/>
  <c r="J56" i="58885" a="1"/>
  <c r="J56" i="58885" s="1"/>
  <c r="Z56" i="58885" s="1" a="1"/>
  <c r="Z56" i="58885" s="1"/>
  <c r="J48" i="58885" a="1"/>
  <c r="J48" i="58885" s="1"/>
  <c r="J38" i="58885" a="1"/>
  <c r="J38" i="58885" s="1"/>
  <c r="Y38" i="58885" s="1" a="1"/>
  <c r="Y38" i="58885" s="1"/>
  <c r="J30" i="58885" a="1"/>
  <c r="J30" i="58885" s="1"/>
  <c r="X30" i="58885" s="1" a="1"/>
  <c r="X30" i="58885" s="1"/>
  <c r="J22" i="58885" a="1"/>
  <c r="J22" i="58885" s="1"/>
  <c r="Y22" i="58885" s="1" a="1"/>
  <c r="Y22" i="58885" s="1"/>
  <c r="J177" i="58885" a="1"/>
  <c r="J177" i="58885" s="1"/>
  <c r="J169" i="58885" a="1"/>
  <c r="J169" i="58885" s="1"/>
  <c r="Z169" i="58885" s="1" a="1"/>
  <c r="Z169" i="58885" s="1"/>
  <c r="J158" i="58885" a="1"/>
  <c r="J158" i="58885" s="1"/>
  <c r="X158" i="58885" s="1" a="1"/>
  <c r="X158" i="58885" s="1"/>
  <c r="J150" i="58885" a="1"/>
  <c r="J150" i="58885" s="1"/>
  <c r="Y150" i="58885" s="1" a="1"/>
  <c r="Y150" i="58885" s="1"/>
  <c r="J136" i="58885" a="1"/>
  <c r="J136" i="58885" s="1"/>
  <c r="J131" i="58885" a="1"/>
  <c r="J131" i="58885" s="1"/>
  <c r="J126" i="58885" a="1"/>
  <c r="J126" i="58885" s="1"/>
  <c r="J118" i="58885" a="1"/>
  <c r="J118" i="58885" s="1"/>
  <c r="J113" i="58885" a="1"/>
  <c r="J113" i="58885" s="1"/>
  <c r="Z113" i="58885" s="1" a="1"/>
  <c r="Z113" i="58885" s="1"/>
  <c r="J108" i="58885" a="1"/>
  <c r="J108" i="58885" s="1"/>
  <c r="J103" i="58885" a="1"/>
  <c r="J103" i="58885" s="1"/>
  <c r="Y103" i="58885" s="1" a="1"/>
  <c r="Y103" i="58885" s="1"/>
  <c r="J96" i="58885" a="1"/>
  <c r="J96" i="58885" s="1"/>
  <c r="Z96" i="58885" s="1" a="1"/>
  <c r="Z96" i="58885" s="1"/>
  <c r="J86" i="58885" a="1"/>
  <c r="J86" i="58885" s="1"/>
  <c r="J77" i="58885" a="1"/>
  <c r="J77" i="58885" s="1"/>
  <c r="X77" i="58885" s="1" a="1"/>
  <c r="X77" i="58885" s="1"/>
  <c r="J68" i="58885" a="1"/>
  <c r="J68" i="58885" s="1"/>
  <c r="Y68" i="58885" s="1" a="1"/>
  <c r="Y68" i="58885" s="1"/>
  <c r="J178" i="58885" a="1"/>
  <c r="J178" i="58885" s="1"/>
  <c r="Z178" i="58885" s="1" a="1"/>
  <c r="Z178" i="58885" s="1"/>
  <c r="J170" i="58885" a="1"/>
  <c r="J170" i="58885" s="1"/>
  <c r="Y170" i="58885" s="1" a="1"/>
  <c r="Y170" i="58885" s="1"/>
  <c r="J159" i="58885" a="1"/>
  <c r="J159" i="58885" s="1"/>
  <c r="J151" i="58885" a="1"/>
  <c r="J151" i="58885" s="1"/>
  <c r="Z151" i="58885" s="1" a="1"/>
  <c r="Z151" i="58885" s="1"/>
  <c r="J141" i="58885" a="1"/>
  <c r="J141" i="58885" s="1"/>
  <c r="Z141" i="58885" s="1" a="1"/>
  <c r="Z141" i="58885" s="1"/>
  <c r="J123" i="58885" a="1"/>
  <c r="J123" i="58885" s="1"/>
  <c r="J110" i="58885" a="1"/>
  <c r="J110" i="58885" s="1"/>
  <c r="J105" i="58885" a="1"/>
  <c r="J105" i="58885" s="1"/>
  <c r="J100" i="58885" a="1"/>
  <c r="J100" i="58885" s="1"/>
  <c r="J87" i="58885" a="1"/>
  <c r="J87" i="58885" s="1"/>
  <c r="Y87" i="58885" s="1" a="1"/>
  <c r="Y87" i="58885" s="1"/>
  <c r="J78" i="58885" a="1"/>
  <c r="J78" i="58885" s="1"/>
  <c r="X78" i="58885" s="1" a="1"/>
  <c r="X78" i="58885" s="1"/>
  <c r="J69" i="58885" a="1"/>
  <c r="J69" i="58885" s="1"/>
  <c r="J59" i="58885" a="1"/>
  <c r="J59" i="58885" s="1"/>
  <c r="J50" i="58885" a="1"/>
  <c r="J50" i="58885" s="1"/>
  <c r="J40" i="58885" a="1"/>
  <c r="J40" i="58885" s="1"/>
  <c r="Y40" i="58885" s="1" a="1"/>
  <c r="Y40" i="58885" s="1"/>
  <c r="J32" i="58885" a="1"/>
  <c r="J32" i="58885" s="1"/>
  <c r="X32" i="58885" s="1" a="1"/>
  <c r="X32" i="58885" s="1"/>
  <c r="J24" i="58885" a="1"/>
  <c r="J24" i="58885" s="1"/>
  <c r="X24" i="58885" s="1" a="1"/>
  <c r="X24" i="58885" s="1"/>
  <c r="J182" i="58885" a="1"/>
  <c r="J182" i="58885" s="1"/>
  <c r="J179" i="58885" a="1"/>
  <c r="J179" i="58885" s="1"/>
  <c r="J171" i="58885" a="1"/>
  <c r="J171" i="58885" s="1"/>
  <c r="X171" i="58885" s="1" a="1"/>
  <c r="X171" i="58885" s="1"/>
  <c r="J160" i="58885" a="1"/>
  <c r="J160" i="58885" s="1"/>
  <c r="X160" i="58885" s="1" a="1"/>
  <c r="X160" i="58885" s="1"/>
  <c r="J152" i="58885" a="1"/>
  <c r="J152" i="58885" s="1"/>
  <c r="X152" i="58885" s="1" a="1"/>
  <c r="X152" i="58885" s="1"/>
  <c r="J143" i="58885" a="1"/>
  <c r="J143" i="58885" s="1"/>
  <c r="Z143" i="58885" s="1" a="1"/>
  <c r="Z143" i="58885" s="1"/>
  <c r="J138" i="58885" a="1"/>
  <c r="J138" i="58885" s="1"/>
  <c r="Y138" i="58885" s="1" a="1"/>
  <c r="Y138" i="58885" s="1"/>
  <c r="J133" i="58885" a="1"/>
  <c r="J133" i="58885" s="1"/>
  <c r="J128" i="58885" a="1"/>
  <c r="J128" i="58885" s="1"/>
  <c r="J120" i="58885" a="1"/>
  <c r="J120" i="58885" s="1"/>
  <c r="J115" i="58885" a="1"/>
  <c r="J115" i="58885" s="1"/>
  <c r="J97" i="58885" a="1"/>
  <c r="J97" i="58885" s="1"/>
  <c r="X97" i="58885" s="1" a="1"/>
  <c r="X97" i="58885" s="1"/>
  <c r="J88" i="58885" a="1"/>
  <c r="J88" i="58885" s="1"/>
  <c r="J79" i="58885" a="1"/>
  <c r="J79" i="58885" s="1"/>
  <c r="Z79" i="58885" s="1" a="1"/>
  <c r="Z79" i="58885" s="1"/>
  <c r="J70" i="58885" a="1"/>
  <c r="J70" i="58885" s="1"/>
  <c r="Y70" i="58885" s="1" a="1"/>
  <c r="Y70" i="58885" s="1"/>
  <c r="J60" i="58885" a="1"/>
  <c r="J60" i="58885" s="1"/>
  <c r="J51" i="58885" a="1"/>
  <c r="J51" i="58885" s="1"/>
  <c r="Y51" i="58885" s="1" a="1"/>
  <c r="Y51" i="58885" s="1"/>
  <c r="J41" i="58885" a="1"/>
  <c r="J41" i="58885" s="1"/>
  <c r="J33" i="58885" a="1"/>
  <c r="J33" i="58885" s="1"/>
  <c r="Y33" i="58885" s="1" a="1"/>
  <c r="Y33" i="58885" s="1"/>
  <c r="J25" i="58885" a="1"/>
  <c r="J25" i="58885" s="1"/>
  <c r="X25" i="58885" s="1" a="1"/>
  <c r="X25" i="58885" s="1"/>
  <c r="J17" i="58885" a="1"/>
  <c r="J17" i="58885" s="1"/>
  <c r="X17" i="58885" s="1" a="1"/>
  <c r="X17" i="58885" s="1"/>
  <c r="J180" i="58885" a="1"/>
  <c r="J180" i="58885" s="1"/>
  <c r="Y180" i="58885" s="1" a="1"/>
  <c r="Y180" i="58885" s="1"/>
  <c r="J172" i="58885" a="1"/>
  <c r="J172" i="58885" s="1"/>
  <c r="J161" i="58885" a="1"/>
  <c r="J161" i="58885" s="1"/>
  <c r="Z161" i="58885" s="1" a="1"/>
  <c r="Z161" i="58885" s="1"/>
  <c r="J153" i="58885" a="1"/>
  <c r="J153" i="58885" s="1"/>
  <c r="X153" i="58885" s="1" a="1"/>
  <c r="X153" i="58885" s="1"/>
  <c r="J144" i="58885" a="1"/>
  <c r="J144" i="58885" s="1"/>
  <c r="Z144" i="58885" s="1" a="1"/>
  <c r="Z144" i="58885" s="1"/>
  <c r="J135" i="58885" a="1"/>
  <c r="J135" i="58885" s="1"/>
  <c r="Y135" i="58885" s="1" a="1"/>
  <c r="Y135" i="58885" s="1"/>
  <c r="J130" i="58885" a="1"/>
  <c r="J130" i="58885" s="1"/>
  <c r="J125" i="58885" a="1"/>
  <c r="J125" i="58885" s="1"/>
  <c r="J117" i="58885" a="1"/>
  <c r="J117" i="58885" s="1"/>
  <c r="J112" i="58885" a="1"/>
  <c r="J112" i="58885" s="1"/>
  <c r="J107" i="58885" a="1"/>
  <c r="J107" i="58885" s="1"/>
  <c r="J102" i="58885" a="1"/>
  <c r="J102" i="58885" s="1"/>
  <c r="X102" i="58885" s="1" a="1"/>
  <c r="X102" i="58885" s="1"/>
  <c r="J89" i="58885" a="1"/>
  <c r="J89" i="58885" s="1"/>
  <c r="J80" i="58885" a="1"/>
  <c r="J80" i="58885" s="1"/>
  <c r="X80" i="58885" s="1" a="1"/>
  <c r="X80" i="58885" s="1"/>
  <c r="J71" i="58885" a="1"/>
  <c r="J71" i="58885" s="1"/>
  <c r="J61" i="58885" a="1"/>
  <c r="J61" i="58885" s="1"/>
  <c r="J52" i="58885" a="1"/>
  <c r="J52" i="58885" s="1"/>
  <c r="X52" i="58885" s="1" a="1"/>
  <c r="X52" i="58885" s="1"/>
  <c r="J42" i="58885" a="1"/>
  <c r="J42" i="58885" s="1"/>
  <c r="X42" i="58885" s="1" a="1"/>
  <c r="X42" i="58885" s="1"/>
  <c r="J34" i="58885" a="1"/>
  <c r="J34" i="58885" s="1"/>
  <c r="Y34" i="58885" s="1" a="1"/>
  <c r="Y34" i="58885" s="1"/>
  <c r="J26" i="58885" a="1"/>
  <c r="J26" i="58885" s="1"/>
  <c r="X26" i="58885" s="1" a="1"/>
  <c r="X26" i="58885" s="1"/>
  <c r="J18" i="58885" a="1"/>
  <c r="J18" i="58885" s="1"/>
  <c r="Z18" i="58885" s="1" a="1"/>
  <c r="Z18" i="58885" s="1"/>
  <c r="J173" i="58885" a="1"/>
  <c r="J173" i="58885" s="1"/>
  <c r="X173" i="58885" s="1" a="1"/>
  <c r="X173" i="58885" s="1"/>
  <c r="J162" i="58885" a="1"/>
  <c r="J162" i="58885" s="1"/>
  <c r="J154" i="58885" a="1"/>
  <c r="J154" i="58885" s="1"/>
  <c r="X154" i="58885" s="1" a="1"/>
  <c r="X154" i="58885" s="1"/>
  <c r="J145" i="58885" a="1"/>
  <c r="J145" i="58885" s="1"/>
  <c r="Z145" i="58885" s="1" a="1"/>
  <c r="Z145" i="58885" s="1"/>
  <c r="J140" i="58885" a="1"/>
  <c r="J140" i="58885" s="1"/>
  <c r="J122" i="58885" a="1"/>
  <c r="J122" i="58885" s="1"/>
  <c r="J99" i="58885" a="1"/>
  <c r="J99" i="58885" s="1"/>
  <c r="J91" i="58885" a="1"/>
  <c r="J91" i="58885" s="1"/>
  <c r="Z91" i="58885" s="1" a="1"/>
  <c r="Z91" i="58885" s="1"/>
  <c r="J90" i="58885" a="1"/>
  <c r="J90" i="58885" s="1"/>
  <c r="Z90" i="58885" s="1" a="1"/>
  <c r="Z90" i="58885" s="1"/>
  <c r="J81" i="58885" a="1"/>
  <c r="J81" i="58885" s="1"/>
  <c r="J72" i="58885" a="1"/>
  <c r="J72" i="58885" s="1"/>
  <c r="Y72" i="58885" s="1" a="1"/>
  <c r="Y72" i="58885" s="1"/>
  <c r="J62" i="58885" a="1"/>
  <c r="J62" i="58885" s="1"/>
  <c r="Z62" i="58885" s="1" a="1"/>
  <c r="Z62" i="58885" s="1"/>
  <c r="J53" i="58885" a="1"/>
  <c r="J53" i="58885" s="1"/>
  <c r="J44" i="58885" a="1"/>
  <c r="J44" i="58885" s="1"/>
  <c r="J43" i="58885" a="1"/>
  <c r="J43" i="58885" s="1"/>
  <c r="Z43" i="58885" s="1" a="1"/>
  <c r="Z43" i="58885" s="1"/>
  <c r="J35" i="58885" a="1"/>
  <c r="J35" i="58885" s="1"/>
  <c r="Y35" i="58885" s="1" a="1"/>
  <c r="Y35" i="58885" s="1"/>
  <c r="J27" i="58885" a="1"/>
  <c r="J27" i="58885" s="1"/>
  <c r="X27" i="58885" s="1" a="1"/>
  <c r="X27" i="58885" s="1"/>
  <c r="J19" i="58885" a="1"/>
  <c r="J19" i="58885" s="1"/>
  <c r="J5" i="58885" a="1"/>
  <c r="J5" i="58885" s="1"/>
  <c r="Z5" i="58885" s="1" a="1"/>
  <c r="Z5" i="58885" s="1"/>
  <c r="N24" i="58885" a="1"/>
  <c r="N24" i="58885" s="1"/>
  <c r="D272" i="10" a="1"/>
  <c r="D272" i="10" s="1"/>
  <c r="E272" i="10" s="1" a="1"/>
  <c r="E272" i="10" s="1"/>
  <c r="B272" i="10" s="1"/>
  <c r="AS272" i="10" s="1"/>
  <c r="D261" i="10" a="1"/>
  <c r="D261" i="10" s="1"/>
  <c r="E261" i="10" s="1" a="1"/>
  <c r="E261" i="10" s="1"/>
  <c r="B261" i="10" s="1"/>
  <c r="AS261" i="10" s="1"/>
  <c r="D280" i="10" a="1"/>
  <c r="D280" i="10" s="1"/>
  <c r="E280" i="10" s="1" a="1"/>
  <c r="E280" i="10" s="1"/>
  <c r="B280" i="10" s="1"/>
  <c r="AS280" i="10" s="1"/>
  <c r="D274" i="10" a="1"/>
  <c r="D274" i="10" s="1"/>
  <c r="E274" i="10" s="1" a="1"/>
  <c r="E274" i="10" s="1"/>
  <c r="B274" i="10" s="1"/>
  <c r="AS274" i="10" s="1"/>
  <c r="D277" i="10" a="1"/>
  <c r="D277" i="10" s="1"/>
  <c r="E277" i="10" s="1" a="1"/>
  <c r="E277" i="10" s="1"/>
  <c r="B277" i="10" s="1"/>
  <c r="AS277" i="10" s="1"/>
  <c r="D269" i="10" a="1"/>
  <c r="D269" i="10" s="1"/>
  <c r="E269" i="10" s="1" a="1"/>
  <c r="E269" i="10" s="1"/>
  <c r="B269" i="10" s="1"/>
  <c r="AS269" i="10" s="1"/>
  <c r="D266" i="10" a="1"/>
  <c r="D266" i="10" s="1"/>
  <c r="E266" i="10" s="1" a="1"/>
  <c r="E266" i="10" s="1"/>
  <c r="B266" i="10" s="1"/>
  <c r="AS266" i="10" s="1"/>
  <c r="D263" i="10" a="1"/>
  <c r="D263" i="10" s="1"/>
  <c r="E263" i="10" s="1" a="1"/>
  <c r="E263" i="10" s="1"/>
  <c r="B263" i="10" s="1"/>
  <c r="AS263" i="10" s="1"/>
  <c r="D260" i="10" a="1"/>
  <c r="D260" i="10" s="1"/>
  <c r="E260" i="10" s="1" a="1"/>
  <c r="E260" i="10" s="1"/>
  <c r="B260" i="10" s="1"/>
  <c r="AS260" i="10" s="1"/>
  <c r="D283" i="10" a="1"/>
  <c r="D283" i="10" s="1"/>
  <c r="E283" i="10" s="1" a="1"/>
  <c r="E283" i="10" s="1"/>
  <c r="B283" i="10" s="1"/>
  <c r="AS283" i="10" s="1"/>
  <c r="D279" i="10" a="1"/>
  <c r="D279" i="10" s="1"/>
  <c r="E279" i="10" s="1" a="1"/>
  <c r="E279" i="10" s="1"/>
  <c r="B279" i="10" s="1"/>
  <c r="AS279" i="10" s="1"/>
  <c r="D276" i="10" a="1"/>
  <c r="D276" i="10" s="1"/>
  <c r="E276" i="10" s="1" a="1"/>
  <c r="E276" i="10" s="1"/>
  <c r="B276" i="10" s="1"/>
  <c r="AS276" i="10" s="1"/>
  <c r="D271" i="10" a="1"/>
  <c r="D271" i="10" s="1"/>
  <c r="E271" i="10" s="1" a="1"/>
  <c r="E271" i="10" s="1"/>
  <c r="B271" i="10" s="1"/>
  <c r="AS271" i="10" s="1"/>
  <c r="D265" i="10" a="1"/>
  <c r="D265" i="10" s="1"/>
  <c r="E265" i="10" s="1" a="1"/>
  <c r="E265" i="10" s="1"/>
  <c r="B265" i="10" s="1"/>
  <c r="AS265" i="10" s="1"/>
  <c r="D262" i="10" a="1"/>
  <c r="D262" i="10" s="1"/>
  <c r="E262" i="10" s="1" a="1"/>
  <c r="E262" i="10" s="1"/>
  <c r="B262" i="10" s="1"/>
  <c r="AS262" i="10" s="1"/>
  <c r="D282" i="10" a="1"/>
  <c r="D282" i="10" s="1"/>
  <c r="E282" i="10" s="1" a="1"/>
  <c r="E282" i="10" s="1"/>
  <c r="B282" i="10" s="1"/>
  <c r="AS282" i="10" s="1"/>
  <c r="D273" i="10" a="1"/>
  <c r="D273" i="10" s="1"/>
  <c r="E273" i="10" s="1" a="1"/>
  <c r="E273" i="10" s="1"/>
  <c r="B273" i="10" s="1"/>
  <c r="AS273" i="10" s="1"/>
  <c r="D268" i="10" a="1"/>
  <c r="D268" i="10" s="1"/>
  <c r="E268" i="10" s="1" a="1"/>
  <c r="E268" i="10" s="1"/>
  <c r="B268" i="10" s="1"/>
  <c r="AS268" i="10" s="1"/>
  <c r="D270" i="10" a="1"/>
  <c r="D270" i="10" s="1"/>
  <c r="E270" i="10" s="1" a="1"/>
  <c r="E270" i="10" s="1"/>
  <c r="B270" i="10" s="1"/>
  <c r="AS270" i="10" s="1"/>
  <c r="D264" i="10" a="1"/>
  <c r="D264" i="10" s="1"/>
  <c r="E264" i="10" s="1" a="1"/>
  <c r="E264" i="10" s="1"/>
  <c r="B264" i="10" s="1"/>
  <c r="AS264" i="10" s="1"/>
  <c r="D281" i="10" a="1"/>
  <c r="D281" i="10" s="1"/>
  <c r="E281" i="10" s="1" a="1"/>
  <c r="E281" i="10" s="1"/>
  <c r="B281" i="10" s="1"/>
  <c r="AS281" i="10" s="1"/>
  <c r="D278" i="10" a="1"/>
  <c r="D278" i="10" s="1"/>
  <c r="E278" i="10" s="1" a="1"/>
  <c r="E278" i="10" s="1"/>
  <c r="B278" i="10" s="1"/>
  <c r="AS278" i="10" s="1"/>
  <c r="D275" i="10" a="1"/>
  <c r="D275" i="10" s="1"/>
  <c r="E275" i="10" s="1" a="1"/>
  <c r="E275" i="10" s="1"/>
  <c r="B275" i="10" s="1"/>
  <c r="AS275" i="10" s="1"/>
  <c r="D267" i="10" a="1"/>
  <c r="D267" i="10" s="1"/>
  <c r="E267" i="10" s="1" a="1"/>
  <c r="E267" i="10" s="1"/>
  <c r="B267" i="10" s="1"/>
  <c r="AS267" i="10" s="1"/>
  <c r="N51" i="58885" a="1"/>
  <c r="N51" i="58885" s="1"/>
  <c r="N52" i="58885" a="1"/>
  <c r="N52" i="58885" s="1"/>
  <c r="N53" i="58885" a="1"/>
  <c r="N53" i="58885" s="1"/>
  <c r="V9" i="58884"/>
  <c r="N35" i="58885" a="1"/>
  <c r="N35" i="58885" s="1"/>
  <c r="V25" i="58884"/>
  <c r="N66" i="58885" a="1"/>
  <c r="N66" i="58885" s="1"/>
  <c r="N65" i="58885" a="1"/>
  <c r="N65" i="58885" s="1"/>
  <c r="N67" i="58885" a="1"/>
  <c r="N67" i="58885" s="1"/>
  <c r="N68" i="58885" a="1"/>
  <c r="N68" i="58885" s="1"/>
  <c r="N72" i="58885" a="1"/>
  <c r="N72" i="58885" s="1"/>
  <c r="N82" i="58885" a="1"/>
  <c r="N82" i="58885" s="1"/>
  <c r="J9" i="58885" a="1"/>
  <c r="J9" i="58885" s="1"/>
  <c r="Z9" i="58885" s="1" a="1"/>
  <c r="Z9" i="58885" s="1"/>
  <c r="J20" i="58885" a="1"/>
  <c r="J20" i="58885" s="1"/>
  <c r="Z20" i="58885" s="1" a="1"/>
  <c r="Z20" i="58885" s="1"/>
  <c r="N167" i="58885" a="1"/>
  <c r="N167" i="58885" s="1"/>
  <c r="N166" i="58885" a="1"/>
  <c r="N166" i="58885" s="1"/>
  <c r="N165" i="58885" a="1"/>
  <c r="N165" i="58885" s="1"/>
  <c r="N64" i="58885" a="1"/>
  <c r="N64" i="58885" s="1"/>
  <c r="N37" i="58885" a="1"/>
  <c r="N37" i="58885" s="1"/>
  <c r="N38" i="58885" a="1"/>
  <c r="N38" i="58885" s="1"/>
  <c r="N171" i="58885" a="1"/>
  <c r="N171" i="58885" s="1"/>
  <c r="N160" i="58885" a="1"/>
  <c r="N160" i="58885" s="1"/>
  <c r="N161" i="58885" a="1"/>
  <c r="N161" i="58885" s="1"/>
  <c r="N61" i="58885" a="1"/>
  <c r="N61" i="58885" s="1"/>
  <c r="N162" i="58885" a="1"/>
  <c r="N162" i="58885" s="1"/>
  <c r="N62" i="58885" a="1"/>
  <c r="N62" i="58885" s="1"/>
  <c r="N63" i="58885" a="1"/>
  <c r="N63" i="58885" s="1"/>
  <c r="N94" i="58885" a="1"/>
  <c r="N94" i="58885" s="1"/>
  <c r="N93" i="58885" a="1"/>
  <c r="N93" i="58885" s="1"/>
  <c r="N84" i="58885" a="1"/>
  <c r="N84" i="58885" s="1"/>
  <c r="N83" i="58885" a="1"/>
  <c r="N83" i="58885" s="1"/>
  <c r="N85" i="58885" a="1"/>
  <c r="N85" i="58885" s="1"/>
  <c r="N86" i="58885" a="1"/>
  <c r="N86" i="58885" s="1"/>
  <c r="N140" i="58885" a="1"/>
  <c r="N140" i="58885" s="1"/>
  <c r="N91" i="58885" a="1"/>
  <c r="N91" i="58885" s="1"/>
  <c r="N92" i="58885" a="1"/>
  <c r="N92" i="58885" s="1"/>
  <c r="N47" i="58885" a="1"/>
  <c r="N47" i="58885" s="1"/>
  <c r="N148" i="58885" a="1"/>
  <c r="N148" i="58885" s="1"/>
  <c r="N48" i="58885" a="1"/>
  <c r="N48" i="58885" s="1"/>
  <c r="N41" i="58885" a="1"/>
  <c r="N41" i="58885" s="1"/>
  <c r="N144" i="58885" a="1"/>
  <c r="N144" i="58885" s="1"/>
  <c r="N54" i="58885" a="1"/>
  <c r="N54" i="58885" s="1"/>
  <c r="N46" i="58885" a="1"/>
  <c r="N46" i="58885" s="1"/>
  <c r="N6" i="58885" a="1"/>
  <c r="N6" i="58885" s="1"/>
  <c r="V14" i="58884"/>
  <c r="V36" i="58884"/>
  <c r="N147" i="58885" a="1"/>
  <c r="N147" i="58885" s="1"/>
  <c r="N12" i="58885" a="1"/>
  <c r="N12" i="58885" s="1"/>
  <c r="N23" i="58885" a="1"/>
  <c r="N23" i="58885" s="1"/>
  <c r="N143" i="58885" a="1"/>
  <c r="N143" i="58885" s="1"/>
  <c r="V4" i="58884"/>
  <c r="N145" i="58885" a="1"/>
  <c r="N145" i="58885" s="1"/>
  <c r="N5" i="58885" a="1"/>
  <c r="N5" i="58885" s="1"/>
  <c r="N146" i="58885" a="1"/>
  <c r="N146" i="58885" s="1"/>
  <c r="N45" i="58885" a="1"/>
  <c r="N45" i="58885" s="1"/>
  <c r="N8" i="58885" a="1"/>
  <c r="N8" i="58885" s="1"/>
  <c r="N9" i="58885" a="1"/>
  <c r="N9" i="58885" s="1"/>
  <c r="N158" i="58885" a="1"/>
  <c r="N158" i="58885" s="1"/>
  <c r="N74" i="58885" a="1"/>
  <c r="N74" i="58885" s="1"/>
  <c r="N77" i="58885" a="1"/>
  <c r="N77" i="58885" s="1"/>
  <c r="N124" i="58885" a="1"/>
  <c r="N124" i="58885" s="1"/>
  <c r="N116" i="58885" a="1"/>
  <c r="N116" i="58885" s="1"/>
  <c r="N133" i="58885" a="1"/>
  <c r="N133" i="58885" s="1"/>
  <c r="N71" i="58885" a="1"/>
  <c r="N71" i="58885" s="1"/>
  <c r="J16" i="58885" a="1"/>
  <c r="J16" i="58885" s="1"/>
  <c r="Z16" i="58885" s="1" a="1"/>
  <c r="Z16" i="58885" s="1"/>
  <c r="J23" i="58885" a="1"/>
  <c r="J23" i="58885" s="1"/>
  <c r="X23" i="58885" s="1" a="1"/>
  <c r="X23" i="58885" s="1"/>
  <c r="J49" i="58885" a="1"/>
  <c r="J49" i="58885" s="1"/>
  <c r="Z49" i="58885" s="1" a="1"/>
  <c r="Z49" i="58885" s="1"/>
  <c r="J58" i="58885" a="1"/>
  <c r="J58" i="58885" s="1"/>
  <c r="Z58" i="58885" s="1" a="1"/>
  <c r="Z58" i="58885" s="1"/>
  <c r="J31" i="58885" a="1"/>
  <c r="J31" i="58885" s="1"/>
  <c r="X31" i="58885" s="1" a="1"/>
  <c r="X31" i="58885" s="1"/>
  <c r="N40" i="58885" a="1"/>
  <c r="N40" i="58885" s="1"/>
  <c r="J57" i="58885" a="1"/>
  <c r="J57" i="58885" s="1"/>
  <c r="Y57" i="58885" s="1" a="1"/>
  <c r="Y57" i="58885" s="1"/>
  <c r="J15" i="58885" a="1"/>
  <c r="J15" i="58885" s="1"/>
  <c r="Y15" i="58885" s="1" a="1"/>
  <c r="Y15" i="58885" s="1"/>
  <c r="V8" i="58884"/>
  <c r="V17" i="58884"/>
  <c r="V30" i="58884"/>
  <c r="V46" i="58884"/>
  <c r="J14" i="58885" a="1"/>
  <c r="J14" i="58885" s="1"/>
  <c r="X14" i="58885" s="1" a="1"/>
  <c r="X14" i="58885" s="1"/>
  <c r="N175" i="58885" a="1"/>
  <c r="N175" i="58885" s="1"/>
  <c r="N29" i="58885" a="1"/>
  <c r="N29" i="58885" s="1"/>
  <c r="N183" i="58885" a="1"/>
  <c r="N183" i="58885" s="1"/>
  <c r="N176" i="58885" a="1"/>
  <c r="N176" i="58885" s="1"/>
  <c r="N168" i="58885" a="1"/>
  <c r="N168" i="58885" s="1"/>
  <c r="N30" i="58885" a="1"/>
  <c r="N30" i="58885" s="1"/>
  <c r="N177" i="58885" a="1"/>
  <c r="N177" i="58885" s="1"/>
  <c r="N169" i="58885" a="1"/>
  <c r="N169" i="58885" s="1"/>
  <c r="N39" i="58885" a="1"/>
  <c r="N39" i="58885" s="1"/>
  <c r="N178" i="58885" a="1"/>
  <c r="N178" i="58885" s="1"/>
  <c r="N170" i="58885" a="1"/>
  <c r="N170" i="58885" s="1"/>
  <c r="N33" i="58885" a="1"/>
  <c r="N33" i="58885" s="1"/>
  <c r="N25" i="58885" a="1"/>
  <c r="N25" i="58885" s="1"/>
  <c r="N34" i="58885" a="1"/>
  <c r="N34" i="58885" s="1"/>
  <c r="N173" i="58885" a="1"/>
  <c r="N173" i="58885" s="1"/>
  <c r="N27" i="58885" a="1"/>
  <c r="N27" i="58885" s="1"/>
  <c r="N174" i="58885" a="1"/>
  <c r="N174" i="58885" s="1"/>
  <c r="N28" i="58885" a="1"/>
  <c r="N28" i="58885" s="1"/>
  <c r="N95" i="58885" a="1"/>
  <c r="N95" i="58885" s="1"/>
  <c r="N96" i="58885" a="1"/>
  <c r="N96" i="58885" s="1"/>
  <c r="J8" i="58885" a="1"/>
  <c r="J8" i="58885" s="1"/>
  <c r="Z8" i="58885" s="1" a="1"/>
  <c r="Z8" i="58885" s="1"/>
  <c r="V5" i="58884"/>
  <c r="N15" i="58885" a="1"/>
  <c r="N15" i="58885" s="1"/>
  <c r="N13" i="58885" a="1"/>
  <c r="N13" i="58885" s="1"/>
  <c r="N159" i="58885" a="1"/>
  <c r="N159" i="58885" s="1"/>
  <c r="N152" i="58885" a="1"/>
  <c r="N152" i="58885" s="1"/>
  <c r="N14" i="58885" a="1"/>
  <c r="N14" i="58885" s="1"/>
  <c r="N153" i="58885" a="1"/>
  <c r="N153" i="58885" s="1"/>
  <c r="V6" i="58884"/>
  <c r="N154" i="58885" a="1"/>
  <c r="N154" i="58885" s="1"/>
  <c r="N164" i="58885" a="1"/>
  <c r="N164" i="58885" s="1"/>
  <c r="N22" i="58885" a="1"/>
  <c r="N22" i="58885" s="1"/>
  <c r="N172" i="58885" a="1"/>
  <c r="N172" i="58885" s="1"/>
  <c r="N18" i="58885" a="1"/>
  <c r="N18" i="58885" s="1"/>
  <c r="N19" i="58885" a="1"/>
  <c r="N19" i="58885" s="1"/>
  <c r="N163" i="58885" a="1"/>
  <c r="N163" i="58885" s="1"/>
  <c r="N20" i="58885" a="1"/>
  <c r="N20" i="58885" s="1"/>
  <c r="N31" i="58885" a="1"/>
  <c r="N31" i="58885" s="1"/>
  <c r="N179" i="58885" a="1"/>
  <c r="N179" i="58885" s="1"/>
  <c r="N180" i="58885" a="1"/>
  <c r="N180" i="58885" s="1"/>
  <c r="N26" i="58885" a="1"/>
  <c r="N26" i="58885" s="1"/>
  <c r="V32" i="58884"/>
  <c r="N142" i="58885" a="1"/>
  <c r="N142" i="58885" s="1"/>
  <c r="N111" i="58885" a="1"/>
  <c r="N111" i="58885" s="1"/>
  <c r="N87" i="58885" a="1"/>
  <c r="N87" i="58885" s="1"/>
  <c r="N138" i="58885" a="1"/>
  <c r="N138" i="58885" s="1"/>
  <c r="N130" i="58885" a="1"/>
  <c r="N130" i="58885" s="1"/>
  <c r="N102" i="58885" a="1"/>
  <c r="N102" i="58885" s="1"/>
  <c r="N114" i="58885" a="1"/>
  <c r="N114" i="58885" s="1"/>
  <c r="N104" i="58885" a="1"/>
  <c r="N104" i="58885" s="1"/>
  <c r="J6" i="58885" a="1"/>
  <c r="J6" i="58885" s="1"/>
  <c r="Z6" i="58885" s="1" a="1"/>
  <c r="Z6" i="58885" s="1"/>
  <c r="J39" i="58885" a="1"/>
  <c r="J39" i="58885" s="1"/>
  <c r="X39" i="58885" s="1" a="1"/>
  <c r="X39" i="58885" s="1"/>
  <c r="B268" i="5" a="1"/>
  <c r="B268" i="5" s="1"/>
  <c r="B282" i="5" a="1"/>
  <c r="B282" i="5" s="1"/>
  <c r="B274" i="5" a="1"/>
  <c r="B274" i="5" s="1"/>
  <c r="B266" i="5" a="1"/>
  <c r="B266" i="5" s="1"/>
  <c r="B288" i="5" a="1"/>
  <c r="B288" i="5" s="1"/>
  <c r="B280" i="5" a="1"/>
  <c r="B280" i="5" s="1"/>
  <c r="B272" i="5" a="1"/>
  <c r="B272" i="5" s="1"/>
  <c r="B264" i="5" a="1"/>
  <c r="B264" i="5" s="1"/>
  <c r="B294" i="5" a="1"/>
  <c r="B294" i="5" s="1"/>
  <c r="L6" i="58853" a="1"/>
  <c r="L6" i="58853" s="1"/>
  <c r="D29" i="58837" a="1"/>
  <c r="D29" i="58837" s="1"/>
  <c r="C29" i="58837" s="1"/>
  <c r="G54" i="58837" a="1"/>
  <c r="G54" i="58837" s="1"/>
  <c r="G53" i="58837" a="1"/>
  <c r="G53" i="58837" s="1"/>
  <c r="U43" i="58887" a="1"/>
  <c r="U43" i="58887" s="1"/>
  <c r="I46" i="58887" a="1"/>
  <c r="I46" i="58887" s="1"/>
  <c r="D31" i="58837" a="1"/>
  <c r="D31" i="58837" s="1"/>
  <c r="C31" i="58837" s="1"/>
  <c r="G34" i="58837" a="1"/>
  <c r="G34" i="58837" s="1"/>
  <c r="J26" i="58887" a="1"/>
  <c r="J26" i="58887" s="1"/>
  <c r="G35" i="58837" a="1"/>
  <c r="G35" i="58837" s="1"/>
  <c r="D27" i="58837" a="1"/>
  <c r="D27" i="58837" s="1"/>
  <c r="C27" i="58837" s="1"/>
  <c r="D44" i="58837" a="1"/>
  <c r="D44" i="58837" s="1"/>
  <c r="C44" i="58837" s="1"/>
  <c r="D46" i="58837" a="1"/>
  <c r="D46" i="58837" s="1"/>
  <c r="C46" i="58837" s="1"/>
  <c r="T20" i="58887" a="1"/>
  <c r="T20" i="58887" s="1"/>
  <c r="U33" i="58887" a="1"/>
  <c r="U33" i="58887" s="1"/>
  <c r="U20" i="58887" a="1"/>
  <c r="U20" i="58887" s="1"/>
  <c r="J43" i="58887" a="1"/>
  <c r="J43" i="58887" s="1"/>
  <c r="D48" i="58837" a="1"/>
  <c r="D48" i="58837" s="1"/>
  <c r="C48" i="58837" s="1"/>
  <c r="F36" i="58853" a="1"/>
  <c r="F36" i="58853" s="1"/>
  <c r="G36" i="58853" s="1"/>
  <c r="D23" i="58837" a="1"/>
  <c r="D23" i="58837" s="1"/>
  <c r="C23" i="58837" s="1"/>
  <c r="D42" i="58837" a="1"/>
  <c r="D42" i="58837" s="1"/>
  <c r="C42" i="58837" s="1"/>
  <c r="D50" i="58837" a="1"/>
  <c r="D50" i="58837" s="1"/>
  <c r="C50" i="58837" s="1"/>
  <c r="U26" i="58887" a="1"/>
  <c r="U26" i="58887" s="1"/>
  <c r="I29" i="58887" a="1"/>
  <c r="I29" i="58887" s="1"/>
  <c r="D25" i="58837" a="1"/>
  <c r="D25" i="58837" s="1"/>
  <c r="C25" i="58837" s="1"/>
  <c r="I42" i="58887" a="1"/>
  <c r="I42" i="58887" s="1"/>
  <c r="T29" i="58887" a="1"/>
  <c r="T29" i="58887" s="1"/>
  <c r="J20" i="58887" a="1"/>
  <c r="J20" i="58887" s="1"/>
  <c r="U29" i="58887" a="1"/>
  <c r="U29" i="58887" s="1"/>
  <c r="G24" i="58837" a="1"/>
  <c r="G24" i="58837" s="1"/>
  <c r="G26" i="58837" a="1"/>
  <c r="G26" i="58837" s="1"/>
  <c r="G28" i="58837" a="1"/>
  <c r="G28" i="58837" s="1"/>
  <c r="G30" i="58837" a="1"/>
  <c r="G30" i="58837" s="1"/>
  <c r="G32" i="58837" a="1"/>
  <c r="G32" i="58837" s="1"/>
  <c r="G43" i="58837" a="1"/>
  <c r="G43" i="58837" s="1"/>
  <c r="G45" i="58837" a="1"/>
  <c r="G45" i="58837" s="1"/>
  <c r="G47" i="58837" a="1"/>
  <c r="G47" i="58837" s="1"/>
  <c r="G49" i="58837" a="1"/>
  <c r="G49" i="58837" s="1"/>
  <c r="G51" i="58837" a="1"/>
  <c r="G51" i="58837" s="1"/>
  <c r="J10" i="58887" a="1"/>
  <c r="J10" i="58887" s="1"/>
  <c r="T15" i="58887" a="1"/>
  <c r="T15" i="58887" s="1"/>
  <c r="T27" i="58887" a="1"/>
  <c r="T27" i="58887" s="1"/>
  <c r="J39" i="58887" a="1"/>
  <c r="J39" i="58887" s="1"/>
  <c r="G33" i="58837" a="1"/>
  <c r="G33" i="58837" s="1"/>
  <c r="G52" i="58837" a="1"/>
  <c r="G52" i="58837" s="1"/>
  <c r="T10" i="58887" a="1"/>
  <c r="T10" i="58887" s="1"/>
  <c r="U27" i="58887" a="1"/>
  <c r="U27" i="58887" s="1"/>
  <c r="T39" i="58887" a="1"/>
  <c r="T39" i="58887" s="1"/>
  <c r="U10" i="58887" a="1"/>
  <c r="U10" i="58887" s="1"/>
  <c r="U15" i="58887" a="1"/>
  <c r="U15" i="58887" s="1"/>
  <c r="U39" i="58887" a="1"/>
  <c r="U39" i="58887" s="1"/>
  <c r="J30" i="58887" a="1"/>
  <c r="J30" i="58887" s="1"/>
  <c r="U37" i="58887" a="1"/>
  <c r="U37" i="58887" s="1"/>
  <c r="G23" i="58837" a="1"/>
  <c r="G23" i="58837" s="1"/>
  <c r="G25" i="58837" a="1"/>
  <c r="G25" i="58837" s="1"/>
  <c r="G27" i="58837" a="1"/>
  <c r="G27" i="58837" s="1"/>
  <c r="G29" i="58837" a="1"/>
  <c r="G29" i="58837" s="1"/>
  <c r="G31" i="58837" a="1"/>
  <c r="G31" i="58837" s="1"/>
  <c r="D38" i="58837" a="1"/>
  <c r="D38" i="58837" s="1"/>
  <c r="G42" i="58837" a="1"/>
  <c r="G42" i="58837" s="1"/>
  <c r="G44" i="58837" a="1"/>
  <c r="G44" i="58837" s="1"/>
  <c r="G46" i="58837" a="1"/>
  <c r="G46" i="58837" s="1"/>
  <c r="G48" i="58837" a="1"/>
  <c r="G48" i="58837" s="1"/>
  <c r="G50" i="58837" a="1"/>
  <c r="G50" i="58837" s="1"/>
  <c r="T30" i="58887" a="1"/>
  <c r="T30" i="58887" s="1"/>
  <c r="U11" i="58887" a="1"/>
  <c r="U11" i="58887" s="1"/>
  <c r="T26" i="58887" a="1"/>
  <c r="T26" i="58887" s="1"/>
  <c r="U30" i="58887" a="1"/>
  <c r="U30" i="58887" s="1"/>
  <c r="J33" i="58887" a="1"/>
  <c r="J33" i="58887" s="1"/>
  <c r="B21" i="58837" a="1"/>
  <c r="B21" i="58837" s="1"/>
  <c r="D24" i="58837" a="1"/>
  <c r="D24" i="58837" s="1"/>
  <c r="C24" i="58837" s="1"/>
  <c r="D26" i="58837" a="1"/>
  <c r="D26" i="58837" s="1"/>
  <c r="C26" i="58837" s="1"/>
  <c r="D28" i="58837" a="1"/>
  <c r="D28" i="58837" s="1"/>
  <c r="C28" i="58837" s="1"/>
  <c r="D30" i="58837" a="1"/>
  <c r="D30" i="58837" s="1"/>
  <c r="C30" i="58837" s="1"/>
  <c r="B40" i="58837" a="1"/>
  <c r="B40" i="58837" s="1"/>
  <c r="D43" i="58837" a="1"/>
  <c r="D43" i="58837" s="1"/>
  <c r="C43" i="58837" s="1"/>
  <c r="D45" i="58837" a="1"/>
  <c r="D45" i="58837" s="1"/>
  <c r="C45" i="58837" s="1"/>
  <c r="D47" i="58837" a="1"/>
  <c r="D47" i="58837" s="1"/>
  <c r="C47" i="58837" s="1"/>
  <c r="D49" i="58837" a="1"/>
  <c r="D49" i="58837" s="1"/>
  <c r="C49" i="58837" s="1"/>
  <c r="T33" i="58887" a="1"/>
  <c r="T33" i="58887" s="1"/>
  <c r="AF23" i="37" a="1"/>
  <c r="AF23" i="37" s="1"/>
  <c r="C21" i="37"/>
  <c r="R21" i="37" s="1" a="1"/>
  <c r="R21" i="37" s="1"/>
  <c r="Z29" i="37" a="1"/>
  <c r="Z29" i="37" s="1"/>
  <c r="AC29" i="37" a="1"/>
  <c r="AC29" i="37" s="1"/>
  <c r="Z9" i="37" a="1"/>
  <c r="Z9" i="37" s="1"/>
  <c r="S21" i="37" a="1"/>
  <c r="S21" i="37" s="1"/>
  <c r="AH21" i="37" a="1"/>
  <c r="AH21" i="37" s="1"/>
  <c r="Y37" i="37" a="1"/>
  <c r="Y37" i="37" s="1"/>
  <c r="Y20" i="37" a="1"/>
  <c r="Y20" i="37" s="1"/>
  <c r="AE28" i="37" a="1"/>
  <c r="AE28" i="37" s="1"/>
  <c r="K14" i="37" a="1"/>
  <c r="K14" i="37" s="1"/>
  <c r="AK14" i="37" a="1"/>
  <c r="AK14" i="37" s="1"/>
  <c r="J38" i="58887" a="1"/>
  <c r="J38" i="58887" s="1"/>
  <c r="I12" i="58887" a="1"/>
  <c r="I12" i="58887" s="1"/>
  <c r="U16" i="58887" a="1"/>
  <c r="U16" i="58887" s="1"/>
  <c r="T23" i="58887" a="1"/>
  <c r="T23" i="58887" s="1"/>
  <c r="I28" i="58887" a="1"/>
  <c r="I28" i="58887" s="1"/>
  <c r="T36" i="58887" a="1"/>
  <c r="T36" i="58887" s="1"/>
  <c r="T38" i="58887" a="1"/>
  <c r="T38" i="58887" s="1"/>
  <c r="T42" i="58887" a="1"/>
  <c r="T42" i="58887" s="1"/>
  <c r="T46" i="58887" a="1"/>
  <c r="T46" i="58887" s="1"/>
  <c r="I36" i="58887" a="1"/>
  <c r="I36" i="58887" s="1"/>
  <c r="T16" i="58887" a="1"/>
  <c r="T16" i="58887" s="1"/>
  <c r="U36" i="58887" a="1"/>
  <c r="U36" i="58887" s="1"/>
  <c r="U38" i="58887" a="1"/>
  <c r="U38" i="58887" s="1"/>
  <c r="U42" i="58887" a="1"/>
  <c r="U42" i="58887" s="1"/>
  <c r="U46" i="58887" a="1"/>
  <c r="U46" i="58887" s="1"/>
  <c r="U23" i="58887" a="1"/>
  <c r="U23" i="58887" s="1"/>
  <c r="U17" i="58887" a="1"/>
  <c r="U17" i="58887" s="1"/>
  <c r="I35" i="58887" a="1"/>
  <c r="I35" i="58887" s="1"/>
  <c r="J23" i="58887" a="1"/>
  <c r="J23" i="58887" s="1"/>
  <c r="U12" i="58887" a="1"/>
  <c r="U12" i="58887" s="1"/>
  <c r="U34" i="58887" a="1"/>
  <c r="U34" i="58887" s="1"/>
  <c r="Z198" i="58885" a="1"/>
  <c r="Z198" i="58885" s="1"/>
  <c r="X198" i="58885" a="1"/>
  <c r="X198" i="58885" s="1"/>
  <c r="Z223" i="58885" a="1"/>
  <c r="Z223" i="58885" s="1"/>
  <c r="X223" i="58885" a="1"/>
  <c r="X223" i="58885" s="1"/>
  <c r="Y228" i="58885" a="1"/>
  <c r="Y228" i="58885" s="1"/>
  <c r="Z228" i="58885" a="1"/>
  <c r="Z228" i="58885" s="1"/>
  <c r="Z208" i="58885" a="1"/>
  <c r="Z208" i="58885" s="1"/>
  <c r="X208" i="58885" a="1"/>
  <c r="X208" i="58885" s="1"/>
  <c r="Y104" i="58885" a="1"/>
  <c r="Y104" i="58885" s="1"/>
  <c r="Y30" i="58885" a="1"/>
  <c r="Y30" i="58885" s="1"/>
  <c r="Y227" i="58885" a="1"/>
  <c r="Y227" i="58885" s="1"/>
  <c r="Z227" i="58885" a="1"/>
  <c r="Z227" i="58885" s="1"/>
  <c r="Y238" i="58885" a="1"/>
  <c r="Y238" i="58885" s="1"/>
  <c r="Z238" i="58885" a="1"/>
  <c r="Z238" i="58885" s="1"/>
  <c r="Z248" i="58885" a="1"/>
  <c r="Z248" i="58885" s="1"/>
  <c r="Y248" i="58885" a="1"/>
  <c r="Y248" i="58885" s="1"/>
  <c r="X248" i="58885" a="1"/>
  <c r="X248" i="58885" s="1"/>
  <c r="X190" i="58885" a="1"/>
  <c r="X190" i="58885" s="1"/>
  <c r="Z190" i="58885" a="1"/>
  <c r="Z190" i="58885" s="1"/>
  <c r="Z219" i="58885" a="1"/>
  <c r="Z219" i="58885" s="1"/>
  <c r="X219" i="58885" a="1"/>
  <c r="X219" i="58885" s="1"/>
  <c r="X44" i="58885" a="1"/>
  <c r="X44" i="58885" s="1"/>
  <c r="Y44" i="58885" a="1"/>
  <c r="Y44" i="58885" s="1"/>
  <c r="Z176" i="58885" a="1"/>
  <c r="Z176" i="58885" s="1"/>
  <c r="Y176" i="58885" a="1"/>
  <c r="Y176" i="58885" s="1"/>
  <c r="Z207" i="58885" a="1"/>
  <c r="Z207" i="58885" s="1"/>
  <c r="Y207" i="58885" a="1"/>
  <c r="Y207" i="58885" s="1"/>
  <c r="Z217" i="58885" a="1"/>
  <c r="Z217" i="58885" s="1"/>
  <c r="X217" i="58885" a="1"/>
  <c r="X217" i="58885" s="1"/>
  <c r="Y217" i="58885" a="1"/>
  <c r="Y217" i="58885" s="1"/>
  <c r="Z249" i="58885" a="1"/>
  <c r="Z249" i="58885" s="1"/>
  <c r="X249" i="58885" a="1"/>
  <c r="X249" i="58885" s="1"/>
  <c r="Y24" i="58885" a="1"/>
  <c r="Y24" i="58885" s="1"/>
  <c r="Y84" i="58885" a="1"/>
  <c r="Y84" i="58885" s="1"/>
  <c r="Z84" i="58885" a="1"/>
  <c r="Z84" i="58885" s="1"/>
  <c r="Z173" i="58885" a="1"/>
  <c r="Z173" i="58885" s="1"/>
  <c r="Z237" i="58885" a="1"/>
  <c r="Z237" i="58885" s="1"/>
  <c r="X237" i="58885" a="1"/>
  <c r="X237" i="58885" s="1"/>
  <c r="Z220" i="58885" a="1"/>
  <c r="Z220" i="58885" s="1"/>
  <c r="X220" i="58885" a="1"/>
  <c r="X220" i="58885" s="1"/>
  <c r="Z222" i="58885" a="1"/>
  <c r="Z222" i="58885" s="1"/>
  <c r="X222" i="58885" a="1"/>
  <c r="X222" i="58885" s="1"/>
  <c r="Z235" i="58885" a="1"/>
  <c r="Z235" i="58885" s="1"/>
  <c r="Y235" i="58885" a="1"/>
  <c r="Y235" i="58885" s="1"/>
  <c r="X235" i="58885" a="1"/>
  <c r="X235" i="58885" s="1"/>
  <c r="Y167" i="58885" a="1"/>
  <c r="Y167" i="58885" s="1"/>
  <c r="Z167" i="58885" a="1"/>
  <c r="Z167" i="58885" s="1"/>
  <c r="X189" i="58885" a="1"/>
  <c r="X189" i="58885" s="1"/>
  <c r="Z189" i="58885" a="1"/>
  <c r="Z189" i="58885" s="1"/>
  <c r="Z199" i="58885" a="1"/>
  <c r="Z199" i="58885" s="1"/>
  <c r="X199" i="58885" a="1"/>
  <c r="X199" i="58885" s="1"/>
  <c r="Z218" i="58885" a="1"/>
  <c r="Z218" i="58885" s="1"/>
  <c r="X218" i="58885" a="1"/>
  <c r="X218" i="58885" s="1"/>
  <c r="X15" i="58885" a="1"/>
  <c r="X15" i="58885" s="1"/>
  <c r="Z138" i="58885" a="1"/>
  <c r="Z138" i="58885" s="1"/>
  <c r="Z155" i="58885" a="1"/>
  <c r="Z155" i="58885" s="1"/>
  <c r="Y206" i="58885" a="1"/>
  <c r="Y206" i="58885" s="1"/>
  <c r="X221" i="58885" a="1"/>
  <c r="X221" i="58885" s="1"/>
  <c r="Z226" i="58885" a="1"/>
  <c r="Z226" i="58885" s="1"/>
  <c r="Z103" i="58885" a="1"/>
  <c r="Z103" i="58885" s="1"/>
  <c r="Y66" i="58885" a="1"/>
  <c r="Y66" i="58885" s="1"/>
  <c r="X205" i="58885" a="1"/>
  <c r="X205" i="58885" s="1"/>
  <c r="Z36" i="58885" a="1"/>
  <c r="Z36" i="58885" s="1"/>
  <c r="X139" i="58885" a="1"/>
  <c r="X139" i="58885" s="1"/>
  <c r="Z170" i="58885" a="1"/>
  <c r="Z170" i="58885" s="1"/>
  <c r="X236" i="58885" a="1"/>
  <c r="X236" i="58885" s="1"/>
  <c r="Z139" i="58885" a="1"/>
  <c r="Z139" i="58885" s="1"/>
  <c r="Z82" i="58885" a="1"/>
  <c r="Z82" i="58885" s="1"/>
  <c r="X141" i="58885" a="1"/>
  <c r="X141" i="58885" s="1"/>
  <c r="Y155" i="58885" a="1"/>
  <c r="Y155" i="58885" s="1"/>
  <c r="J13" i="58887" a="1"/>
  <c r="J13" i="58887" s="1"/>
  <c r="J14" i="58887" a="1"/>
  <c r="J14" i="58887" s="1"/>
  <c r="J22" i="58887" a="1"/>
  <c r="J22" i="58887" s="1"/>
  <c r="J25" i="58887" a="1"/>
  <c r="J25" i="58887" s="1"/>
  <c r="J32" i="58887" a="1"/>
  <c r="J32" i="58887" s="1"/>
  <c r="J41" i="58887" a="1"/>
  <c r="J41" i="58887" s="1"/>
  <c r="J45" i="58887" a="1"/>
  <c r="J45" i="58887" s="1"/>
  <c r="T19" i="58887" a="1"/>
  <c r="T19" i="58887" s="1"/>
  <c r="I21" i="58887" a="1"/>
  <c r="I21" i="58887" s="1"/>
  <c r="I31" i="58887" a="1"/>
  <c r="I31" i="58887" s="1"/>
  <c r="U32" i="58887" a="1"/>
  <c r="U32" i="58887" s="1"/>
  <c r="I34" i="58887" a="1"/>
  <c r="I34" i="58887" s="1"/>
  <c r="I40" i="58887" a="1"/>
  <c r="I40" i="58887" s="1"/>
  <c r="I44" i="58887" a="1"/>
  <c r="I44" i="58887" s="1"/>
  <c r="K9" i="58887"/>
  <c r="O9" i="58887" s="1"/>
  <c r="T14" i="58887" a="1"/>
  <c r="T14" i="58887" s="1"/>
  <c r="J19" i="58887" a="1"/>
  <c r="J19" i="58887" s="1"/>
  <c r="U25" i="58887" a="1"/>
  <c r="U25" i="58887" s="1"/>
  <c r="J11" i="58887" a="1"/>
  <c r="J11" i="58887" s="1"/>
  <c r="T25" i="58887" a="1"/>
  <c r="T25" i="58887" s="1"/>
  <c r="T28" i="58887" a="1"/>
  <c r="T28" i="58887" s="1"/>
  <c r="T35" i="58887" a="1"/>
  <c r="T35" i="58887" s="1"/>
  <c r="I37" i="58887" a="1"/>
  <c r="I37" i="58887" s="1"/>
  <c r="I18" i="58887" a="1"/>
  <c r="I18" i="58887" s="1"/>
  <c r="U22" i="58887" a="1"/>
  <c r="U22" i="58887" s="1"/>
  <c r="I24" i="58887" a="1"/>
  <c r="I24" i="58887" s="1"/>
  <c r="U19" i="58887" a="1"/>
  <c r="U19" i="58887" s="1"/>
  <c r="I15" i="58887" a="1"/>
  <c r="I15" i="58887" s="1"/>
  <c r="J16" i="58887" a="1"/>
  <c r="J16" i="58887" s="1"/>
  <c r="T18" i="58887" a="1"/>
  <c r="T18" i="58887" s="1"/>
  <c r="T24" i="58887" a="1"/>
  <c r="T24" i="58887" s="1"/>
  <c r="I27" i="58887" a="1"/>
  <c r="I27" i="58887" s="1"/>
  <c r="U28" i="58887" a="1"/>
  <c r="U28" i="58887" s="1"/>
  <c r="T31" i="58887" a="1"/>
  <c r="T31" i="58887" s="1"/>
  <c r="U35" i="58887" a="1"/>
  <c r="U35" i="58887" s="1"/>
  <c r="T40" i="58887" a="1"/>
  <c r="T40" i="58887" s="1"/>
  <c r="U41" i="58887" a="1"/>
  <c r="U41" i="58887" s="1"/>
  <c r="T44" i="58887" a="1"/>
  <c r="T44" i="58887" s="1"/>
  <c r="U45" i="58887" a="1"/>
  <c r="U45" i="58887" s="1"/>
  <c r="T22" i="58887" a="1"/>
  <c r="T22" i="58887" s="1"/>
  <c r="U14" i="58887" a="1"/>
  <c r="U14" i="58887" s="1"/>
  <c r="I17" i="58887" a="1"/>
  <c r="I17" i="58887" s="1"/>
  <c r="T13" i="58887" a="1"/>
  <c r="T13" i="58887" s="1"/>
  <c r="J17" i="58887" a="1"/>
  <c r="J17" i="58887" s="1"/>
  <c r="T32" i="58887" a="1"/>
  <c r="T32" i="58887" s="1"/>
  <c r="J34" i="58887" a="1"/>
  <c r="J34" i="58887" s="1"/>
  <c r="T41" i="58887" a="1"/>
  <c r="T41" i="58887" s="1"/>
  <c r="T45" i="58887" a="1"/>
  <c r="T45" i="58887" s="1"/>
  <c r="T12" i="58887" a="1"/>
  <c r="T12" i="58887" s="1"/>
  <c r="T21" i="58887" a="1"/>
  <c r="T21" i="58887" s="1"/>
  <c r="T11" i="58887" a="1"/>
  <c r="T11" i="58887" s="1"/>
  <c r="U13" i="58887" a="1"/>
  <c r="U13" i="58887" s="1"/>
  <c r="U18" i="58887" a="1"/>
  <c r="U18" i="58887" s="1"/>
  <c r="U21" i="58887" a="1"/>
  <c r="U21" i="58887" s="1"/>
  <c r="U24" i="58887" a="1"/>
  <c r="U24" i="58887" s="1"/>
  <c r="U31" i="58887" a="1"/>
  <c r="U31" i="58887" s="1"/>
  <c r="T34" i="58887" a="1"/>
  <c r="T34" i="58887" s="1"/>
  <c r="T37" i="58887" a="1"/>
  <c r="T37" i="58887" s="1"/>
  <c r="U40" i="58887" a="1"/>
  <c r="U40" i="58887" s="1"/>
  <c r="U44" i="58887" a="1"/>
  <c r="U44" i="58887" s="1"/>
  <c r="T43" i="58887" a="1"/>
  <c r="T43" i="58887" s="1"/>
  <c r="Z11" i="58885" a="1"/>
  <c r="Z11" i="58885" s="1"/>
  <c r="Y11" i="58885" a="1"/>
  <c r="Y11" i="58885" s="1"/>
  <c r="X11" i="58885" a="1"/>
  <c r="X11" i="58885" s="1"/>
  <c r="Z10" i="58885" a="1"/>
  <c r="Z10" i="58885" s="1"/>
  <c r="Y10" i="58885" a="1"/>
  <c r="Y10" i="58885" s="1"/>
  <c r="X10" i="58885" a="1"/>
  <c r="X10" i="58885" s="1"/>
  <c r="Z27" i="58885" a="1"/>
  <c r="Z27" i="58885" s="1"/>
  <c r="Y27" i="58885" a="1"/>
  <c r="Y27" i="58885" s="1"/>
  <c r="X7" i="58885" a="1"/>
  <c r="X7" i="58885" s="1"/>
  <c r="Y7" i="58885" a="1"/>
  <c r="Y7" i="58885" s="1"/>
  <c r="Z48" i="58885" a="1"/>
  <c r="Z48" i="58885" s="1"/>
  <c r="Y48" i="58885" a="1"/>
  <c r="Y48" i="58885" s="1"/>
  <c r="X48" i="58885" a="1"/>
  <c r="X48" i="58885" s="1"/>
  <c r="Y20" i="58885" a="1"/>
  <c r="Y20" i="58885" s="1"/>
  <c r="X20" i="58885" a="1"/>
  <c r="X20" i="58885" s="1"/>
  <c r="Z19" i="58885" a="1"/>
  <c r="Z19" i="58885" s="1"/>
  <c r="Y19" i="58885" a="1"/>
  <c r="Y19" i="58885" s="1"/>
  <c r="X19" i="58885" a="1"/>
  <c r="X19" i="58885" s="1"/>
  <c r="Z12" i="58885" a="1"/>
  <c r="Z12" i="58885" s="1"/>
  <c r="X12" i="58885" a="1"/>
  <c r="X12" i="58885" s="1"/>
  <c r="Y12" i="58885" a="1"/>
  <c r="Y12" i="58885" s="1"/>
  <c r="Y8" i="58885" a="1"/>
  <c r="Y8" i="58885" s="1"/>
  <c r="X8" i="58885" a="1"/>
  <c r="X8" i="58885" s="1"/>
  <c r="Y5" i="58885" a="1"/>
  <c r="Y5" i="58885" s="1"/>
  <c r="X5" i="58885" a="1"/>
  <c r="X5" i="58885" s="1"/>
  <c r="Z50" i="58885" a="1"/>
  <c r="Z50" i="58885" s="1"/>
  <c r="Y50" i="58885" a="1"/>
  <c r="Y50" i="58885" s="1"/>
  <c r="X50" i="58885" a="1"/>
  <c r="X50" i="58885" s="1"/>
  <c r="X16" i="58885" a="1"/>
  <c r="X16" i="58885" s="1"/>
  <c r="Z23" i="58885" a="1"/>
  <c r="Z23" i="58885" s="1"/>
  <c r="Y28" i="58885" a="1"/>
  <c r="Y28" i="58885" s="1"/>
  <c r="Z37" i="58885" a="1"/>
  <c r="Z37" i="58885" s="1"/>
  <c r="X53" i="58885" a="1"/>
  <c r="X53" i="58885" s="1"/>
  <c r="Z53" i="58885" a="1"/>
  <c r="Z53" i="58885" s="1"/>
  <c r="Z61" i="58885" a="1"/>
  <c r="Z61" i="58885" s="1"/>
  <c r="Y61" i="58885" a="1"/>
  <c r="Y61" i="58885" s="1"/>
  <c r="X61" i="58885" a="1"/>
  <c r="X61" i="58885" s="1"/>
  <c r="X63" i="58885" a="1"/>
  <c r="X63" i="58885" s="1"/>
  <c r="Z63" i="58885" a="1"/>
  <c r="Z63" i="58885" s="1"/>
  <c r="Y63" i="58885" a="1"/>
  <c r="Y63" i="58885" s="1"/>
  <c r="Z73" i="58885" a="1"/>
  <c r="Z73" i="58885" s="1"/>
  <c r="Y73" i="58885" a="1"/>
  <c r="Y73" i="58885" s="1"/>
  <c r="X73" i="58885" a="1"/>
  <c r="X73" i="58885" s="1"/>
  <c r="Z105" i="58885" a="1"/>
  <c r="Z105" i="58885" s="1"/>
  <c r="Y105" i="58885" a="1"/>
  <c r="Y105" i="58885" s="1"/>
  <c r="X105" i="58885" a="1"/>
  <c r="X105" i="58885" s="1"/>
  <c r="X188" i="58885" a="1"/>
  <c r="X188" i="58885" s="1"/>
  <c r="Z188" i="58885" a="1"/>
  <c r="Z188" i="58885" s="1"/>
  <c r="Y188" i="58885" a="1"/>
  <c r="Y188" i="58885" s="1"/>
  <c r="Z193" i="58885" a="1"/>
  <c r="Z193" i="58885" s="1"/>
  <c r="Y193" i="58885" a="1"/>
  <c r="Y193" i="58885" s="1"/>
  <c r="X193" i="58885" a="1"/>
  <c r="X193" i="58885" s="1"/>
  <c r="Z240" i="58885" a="1"/>
  <c r="Z240" i="58885" s="1"/>
  <c r="Y240" i="58885" a="1"/>
  <c r="Y240" i="58885" s="1"/>
  <c r="X240" i="58885" a="1"/>
  <c r="X240" i="58885" s="1"/>
  <c r="Y18" i="58885" a="1"/>
  <c r="Y18" i="58885" s="1"/>
  <c r="X34" i="58885" a="1"/>
  <c r="X34" i="58885" s="1"/>
  <c r="Z41" i="58885" a="1"/>
  <c r="Z41" i="58885" s="1"/>
  <c r="Y41" i="58885" a="1"/>
  <c r="Y41" i="58885" s="1"/>
  <c r="Y42" i="58885" a="1"/>
  <c r="Y42" i="58885" s="1"/>
  <c r="Z46" i="58885" a="1"/>
  <c r="Z46" i="58885" s="1"/>
  <c r="X46" i="58885" a="1"/>
  <c r="X46" i="58885" s="1"/>
  <c r="Z54" i="58885" a="1"/>
  <c r="Z54" i="58885" s="1"/>
  <c r="Y54" i="58885" a="1"/>
  <c r="Y54" i="58885" s="1"/>
  <c r="X54" i="58885" a="1"/>
  <c r="X54" i="58885" s="1"/>
  <c r="Z64" i="58885" a="1"/>
  <c r="Z64" i="58885" s="1"/>
  <c r="Y64" i="58885" a="1"/>
  <c r="Y64" i="58885" s="1"/>
  <c r="X64" i="58885" a="1"/>
  <c r="X64" i="58885" s="1"/>
  <c r="X74" i="58885" a="1"/>
  <c r="X74" i="58885" s="1"/>
  <c r="Z74" i="58885" a="1"/>
  <c r="Z74" i="58885" s="1"/>
  <c r="X113" i="58885" a="1"/>
  <c r="X113" i="58885" s="1"/>
  <c r="Y113" i="58885" a="1"/>
  <c r="Y113" i="58885" s="1"/>
  <c r="Z119" i="58885" a="1"/>
  <c r="Z119" i="58885" s="1"/>
  <c r="Y119" i="58885" a="1"/>
  <c r="Y119" i="58885" s="1"/>
  <c r="X119" i="58885" a="1"/>
  <c r="X119" i="58885" s="1"/>
  <c r="Y127" i="58885" a="1"/>
  <c r="Y127" i="58885" s="1"/>
  <c r="Z127" i="58885" a="1"/>
  <c r="Z127" i="58885" s="1"/>
  <c r="X127" i="58885" a="1"/>
  <c r="X127" i="58885" s="1"/>
  <c r="Y161" i="58885" a="1"/>
  <c r="Y161" i="58885" s="1"/>
  <c r="X161" i="58885" a="1"/>
  <c r="X161" i="58885" s="1"/>
  <c r="Y14" i="58885" a="1"/>
  <c r="Y14" i="58885" s="1"/>
  <c r="Z14" i="58885" a="1"/>
  <c r="Z14" i="58885" s="1"/>
  <c r="X22" i="58885" a="1"/>
  <c r="X22" i="58885" s="1"/>
  <c r="Z26" i="58885" a="1"/>
  <c r="Z26" i="58885" s="1"/>
  <c r="Z42" i="58885" a="1"/>
  <c r="Z42" i="58885" s="1"/>
  <c r="Y47" i="58885" a="1"/>
  <c r="Y47" i="58885" s="1"/>
  <c r="X47" i="58885" a="1"/>
  <c r="X47" i="58885" s="1"/>
  <c r="Z55" i="58885" a="1"/>
  <c r="Z55" i="58885" s="1"/>
  <c r="Y55" i="58885" a="1"/>
  <c r="Y55" i="58885" s="1"/>
  <c r="X55" i="58885" a="1"/>
  <c r="X55" i="58885" s="1"/>
  <c r="Z67" i="58885" a="1"/>
  <c r="Z67" i="58885" s="1"/>
  <c r="Y67" i="58885" a="1"/>
  <c r="Y67" i="58885" s="1"/>
  <c r="X67" i="58885" a="1"/>
  <c r="X67" i="58885" s="1"/>
  <c r="Z75" i="58885" a="1"/>
  <c r="Z75" i="58885" s="1"/>
  <c r="Y75" i="58885" a="1"/>
  <c r="Y75" i="58885" s="1"/>
  <c r="X75" i="58885" a="1"/>
  <c r="X75" i="58885" s="1"/>
  <c r="Z86" i="58885" a="1"/>
  <c r="Z86" i="58885" s="1"/>
  <c r="Y86" i="58885" a="1"/>
  <c r="Y86" i="58885" s="1"/>
  <c r="X86" i="58885" a="1"/>
  <c r="X86" i="58885" s="1"/>
  <c r="X18" i="58885" a="1"/>
  <c r="X18" i="58885" s="1"/>
  <c r="Z24" i="58885" a="1"/>
  <c r="Z24" i="58885" s="1"/>
  <c r="Z32" i="58885" a="1"/>
  <c r="Z32" i="58885" s="1"/>
  <c r="Z34" i="58885" a="1"/>
  <c r="Z34" i="58885" s="1"/>
  <c r="X68" i="58885" a="1"/>
  <c r="X68" i="58885" s="1"/>
  <c r="Z68" i="58885" a="1"/>
  <c r="Z68" i="58885" s="1"/>
  <c r="X76" i="58885" a="1"/>
  <c r="X76" i="58885" s="1"/>
  <c r="Z76" i="58885" a="1"/>
  <c r="Z76" i="58885" s="1"/>
  <c r="X87" i="58885" a="1"/>
  <c r="X87" i="58885" s="1"/>
  <c r="Z87" i="58885" a="1"/>
  <c r="Z87" i="58885" s="1"/>
  <c r="Z108" i="58885" a="1"/>
  <c r="Z108" i="58885" s="1"/>
  <c r="Y108" i="58885" a="1"/>
  <c r="Y108" i="58885" s="1"/>
  <c r="X108" i="58885" a="1"/>
  <c r="X108" i="58885" s="1"/>
  <c r="FR12" i="58885" a="1"/>
  <c r="FR12" i="58885" s="1"/>
  <c r="Y49" i="58885" a="1"/>
  <c r="Y49" i="58885" s="1"/>
  <c r="X49" i="58885" a="1"/>
  <c r="X49" i="58885" s="1"/>
  <c r="Z69" i="58885" a="1"/>
  <c r="Z69" i="58885" s="1"/>
  <c r="Y69" i="58885" a="1"/>
  <c r="Y69" i="58885" s="1"/>
  <c r="X69" i="58885" a="1"/>
  <c r="X69" i="58885" s="1"/>
  <c r="Z77" i="58885" a="1"/>
  <c r="Z77" i="58885" s="1"/>
  <c r="Z88" i="58885" a="1"/>
  <c r="Z88" i="58885" s="1"/>
  <c r="Y88" i="58885" a="1"/>
  <c r="Y88" i="58885" s="1"/>
  <c r="X88" i="58885" a="1"/>
  <c r="X88" i="58885" s="1"/>
  <c r="X94" i="58885" a="1"/>
  <c r="X94" i="58885" s="1"/>
  <c r="Z94" i="58885" a="1"/>
  <c r="Z94" i="58885" s="1"/>
  <c r="X112" i="58885" a="1"/>
  <c r="X112" i="58885" s="1"/>
  <c r="Z112" i="58885" a="1"/>
  <c r="Z112" i="58885" s="1"/>
  <c r="Y112" i="58885" a="1"/>
  <c r="Y112" i="58885" s="1"/>
  <c r="Z17" i="58885" a="1"/>
  <c r="Z17" i="58885" s="1"/>
  <c r="Y21" i="58885" a="1"/>
  <c r="Y21" i="58885" s="1"/>
  <c r="Z22" i="58885" a="1"/>
  <c r="Z22" i="58885" s="1"/>
  <c r="Y25" i="58885" a="1"/>
  <c r="Y25" i="58885" s="1"/>
  <c r="Z30" i="58885" a="1"/>
  <c r="Z30" i="58885" s="1"/>
  <c r="Z35" i="58885" a="1"/>
  <c r="Z35" i="58885" s="1"/>
  <c r="X36" i="58885" a="1"/>
  <c r="X36" i="58885" s="1"/>
  <c r="Z44" i="58885" a="1"/>
  <c r="Z44" i="58885" s="1"/>
  <c r="X70" i="58885" a="1"/>
  <c r="X70" i="58885" s="1"/>
  <c r="Z70" i="58885" a="1"/>
  <c r="Z70" i="58885" s="1"/>
  <c r="Z78" i="58885" a="1"/>
  <c r="Z78" i="58885" s="1"/>
  <c r="Y78" i="58885" a="1"/>
  <c r="Y78" i="58885" s="1"/>
  <c r="Z80" i="58885" a="1"/>
  <c r="Z80" i="58885" s="1"/>
  <c r="Y80" i="58885" a="1"/>
  <c r="Y80" i="58885" s="1"/>
  <c r="Z89" i="58885" a="1"/>
  <c r="Z89" i="58885" s="1"/>
  <c r="Y89" i="58885" a="1"/>
  <c r="Y89" i="58885" s="1"/>
  <c r="X89" i="58885" a="1"/>
  <c r="X89" i="58885" s="1"/>
  <c r="Z95" i="58885" a="1"/>
  <c r="Z95" i="58885" s="1"/>
  <c r="Y95" i="58885" a="1"/>
  <c r="Y95" i="58885" s="1"/>
  <c r="X95" i="58885" a="1"/>
  <c r="X95" i="58885" s="1"/>
  <c r="X114" i="58885" a="1"/>
  <c r="X114" i="58885" s="1"/>
  <c r="Z114" i="58885" a="1"/>
  <c r="Z114" i="58885" s="1"/>
  <c r="Y114" i="58885" a="1"/>
  <c r="Y114" i="58885" s="1"/>
  <c r="Z33" i="58885" a="1"/>
  <c r="Z33" i="58885" s="1"/>
  <c r="X33" i="58885" a="1"/>
  <c r="X33" i="58885" s="1"/>
  <c r="X51" i="58885" a="1"/>
  <c r="X51" i="58885" s="1"/>
  <c r="Z51" i="58885" a="1"/>
  <c r="Z51" i="58885" s="1"/>
  <c r="Y52" i="58885" a="1"/>
  <c r="Y52" i="58885" s="1"/>
  <c r="Z59" i="58885" a="1"/>
  <c r="Z59" i="58885" s="1"/>
  <c r="Y59" i="58885" a="1"/>
  <c r="Y59" i="58885" s="1"/>
  <c r="X59" i="58885" a="1"/>
  <c r="X59" i="58885" s="1"/>
  <c r="Z71" i="58885" a="1"/>
  <c r="Z71" i="58885" s="1"/>
  <c r="Y71" i="58885" a="1"/>
  <c r="Y71" i="58885" s="1"/>
  <c r="X71" i="58885" a="1"/>
  <c r="X71" i="58885" s="1"/>
  <c r="Y79" i="58885" a="1"/>
  <c r="Y79" i="58885" s="1"/>
  <c r="Z81" i="58885" a="1"/>
  <c r="Z81" i="58885" s="1"/>
  <c r="Y81" i="58885" a="1"/>
  <c r="Y81" i="58885" s="1"/>
  <c r="X81" i="58885" a="1"/>
  <c r="X81" i="58885" s="1"/>
  <c r="X96" i="58885" a="1"/>
  <c r="X96" i="58885" s="1"/>
  <c r="Y96" i="58885" a="1"/>
  <c r="Y96" i="58885" s="1"/>
  <c r="Z130" i="58885" a="1"/>
  <c r="Z130" i="58885" s="1"/>
  <c r="Y130" i="58885" a="1"/>
  <c r="Y130" i="58885" s="1"/>
  <c r="X130" i="58885" a="1"/>
  <c r="X130" i="58885" s="1"/>
  <c r="Z21" i="58885" a="1"/>
  <c r="Z21" i="58885" s="1"/>
  <c r="Z25" i="58885" a="1"/>
  <c r="Z25" i="58885" s="1"/>
  <c r="Y23" i="58885" a="1"/>
  <c r="Y23" i="58885" s="1"/>
  <c r="Y31" i="58885" a="1"/>
  <c r="Y31" i="58885" s="1"/>
  <c r="X37" i="58885" a="1"/>
  <c r="X37" i="58885" s="1"/>
  <c r="X41" i="58885" a="1"/>
  <c r="X41" i="58885" s="1"/>
  <c r="Y53" i="58885" a="1"/>
  <c r="Y53" i="58885" s="1"/>
  <c r="X60" i="58885" a="1"/>
  <c r="X60" i="58885" s="1"/>
  <c r="Z60" i="58885" a="1"/>
  <c r="Z60" i="58885" s="1"/>
  <c r="Y60" i="58885" a="1"/>
  <c r="Y60" i="58885" s="1"/>
  <c r="X72" i="58885" a="1"/>
  <c r="X72" i="58885" s="1"/>
  <c r="Z72" i="58885" a="1"/>
  <c r="Z72" i="58885" s="1"/>
  <c r="X57" i="58885" a="1"/>
  <c r="X57" i="58885" s="1"/>
  <c r="X65" i="58885" a="1"/>
  <c r="X65" i="58885" s="1"/>
  <c r="Z66" i="58885" a="1"/>
  <c r="Z66" i="58885" s="1"/>
  <c r="X82" i="58885" a="1"/>
  <c r="X82" i="58885" s="1"/>
  <c r="X84" i="58885" a="1"/>
  <c r="X84" i="58885" s="1"/>
  <c r="X91" i="58885" a="1"/>
  <c r="X91" i="58885" s="1"/>
  <c r="Z102" i="58885" a="1"/>
  <c r="Z102" i="58885" s="1"/>
  <c r="Y141" i="58885" a="1"/>
  <c r="Y141" i="58885" s="1"/>
  <c r="Y183" i="58885" a="1"/>
  <c r="Y183" i="58885" s="1"/>
  <c r="X183" i="58885" a="1"/>
  <c r="X183" i="58885" s="1"/>
  <c r="Z183" i="58885" a="1"/>
  <c r="Z183" i="58885" s="1"/>
  <c r="Z196" i="58885" a="1"/>
  <c r="Z196" i="58885" s="1"/>
  <c r="Y196" i="58885" a="1"/>
  <c r="Y196" i="58885" s="1"/>
  <c r="X196" i="58885" a="1"/>
  <c r="X196" i="58885" s="1"/>
  <c r="Y210" i="58885" a="1"/>
  <c r="Y210" i="58885" s="1"/>
  <c r="X210" i="58885" a="1"/>
  <c r="X210" i="58885" s="1"/>
  <c r="Z210" i="58885" a="1"/>
  <c r="Z210" i="58885" s="1"/>
  <c r="Z225" i="58885" a="1"/>
  <c r="Z225" i="58885" s="1"/>
  <c r="Y225" i="58885" a="1"/>
  <c r="Y225" i="58885" s="1"/>
  <c r="X225" i="58885" a="1"/>
  <c r="X225" i="58885" s="1"/>
  <c r="Y232" i="58885" a="1"/>
  <c r="Y232" i="58885" s="1"/>
  <c r="X232" i="58885" a="1"/>
  <c r="X232" i="58885" s="1"/>
  <c r="Z232" i="58885" a="1"/>
  <c r="Z232" i="58885" s="1"/>
  <c r="Z252" i="58885" a="1"/>
  <c r="Z252" i="58885" s="1"/>
  <c r="Y252" i="58885" a="1"/>
  <c r="Y252" i="58885" s="1"/>
  <c r="X252" i="58885" a="1"/>
  <c r="X252" i="58885" s="1"/>
  <c r="Y65" i="58885" a="1"/>
  <c r="Y65" i="58885" s="1"/>
  <c r="Y143" i="58885" a="1"/>
  <c r="Y143" i="58885" s="1"/>
  <c r="Z153" i="58885" a="1"/>
  <c r="Z153" i="58885" s="1"/>
  <c r="Y153" i="58885" a="1"/>
  <c r="Y153" i="58885" s="1"/>
  <c r="Y162" i="58885" a="1"/>
  <c r="Y162" i="58885" s="1"/>
  <c r="X162" i="58885" a="1"/>
  <c r="X162" i="58885" s="1"/>
  <c r="Z162" i="58885" a="1"/>
  <c r="Z162" i="58885" s="1"/>
  <c r="Z172" i="58885" a="1"/>
  <c r="Z172" i="58885" s="1"/>
  <c r="Y172" i="58885" a="1"/>
  <c r="Y172" i="58885" s="1"/>
  <c r="X172" i="58885" a="1"/>
  <c r="X172" i="58885" s="1"/>
  <c r="Y186" i="58885" a="1"/>
  <c r="Y186" i="58885" s="1"/>
  <c r="X186" i="58885" a="1"/>
  <c r="X186" i="58885" s="1"/>
  <c r="Z186" i="58885" a="1"/>
  <c r="Z186" i="58885" s="1"/>
  <c r="X245" i="58885" a="1"/>
  <c r="X245" i="58885" s="1"/>
  <c r="Z245" i="58885" a="1"/>
  <c r="Z245" i="58885" s="1"/>
  <c r="Y245" i="58885" a="1"/>
  <c r="Y245" i="58885" s="1"/>
  <c r="Y144" i="58885" a="1"/>
  <c r="Y144" i="58885" s="1"/>
  <c r="X144" i="58885" a="1"/>
  <c r="X144" i="58885" s="1"/>
  <c r="Z165" i="58885" a="1"/>
  <c r="Z165" i="58885" s="1"/>
  <c r="Y165" i="58885" a="1"/>
  <c r="Y165" i="58885" s="1"/>
  <c r="Y181" i="58885" a="1"/>
  <c r="Y181" i="58885" s="1"/>
  <c r="X181" i="58885" a="1"/>
  <c r="X181" i="58885" s="1"/>
  <c r="Z181" i="58885" a="1"/>
  <c r="Z181" i="58885" s="1"/>
  <c r="Z194" i="58885" a="1"/>
  <c r="Z194" i="58885" s="1"/>
  <c r="Y194" i="58885" a="1"/>
  <c r="Y194" i="58885" s="1"/>
  <c r="X194" i="58885" a="1"/>
  <c r="X194" i="58885" s="1"/>
  <c r="Z202" i="58885" a="1"/>
  <c r="Z202" i="58885" s="1"/>
  <c r="Y202" i="58885" a="1"/>
  <c r="Y202" i="58885" s="1"/>
  <c r="X202" i="58885" a="1"/>
  <c r="X202" i="58885" s="1"/>
  <c r="Z204" i="58885" a="1"/>
  <c r="Z204" i="58885" s="1"/>
  <c r="Y204" i="58885" a="1"/>
  <c r="Y204" i="58885" s="1"/>
  <c r="X204" i="58885" a="1"/>
  <c r="X204" i="58885" s="1"/>
  <c r="Y213" i="58885" a="1"/>
  <c r="Y213" i="58885" s="1"/>
  <c r="X213" i="58885" a="1"/>
  <c r="X213" i="58885" s="1"/>
  <c r="Z213" i="58885" a="1"/>
  <c r="Z213" i="58885" s="1"/>
  <c r="X215" i="58885" a="1"/>
  <c r="X215" i="58885" s="1"/>
  <c r="Z215" i="58885" a="1"/>
  <c r="Z215" i="58885" s="1"/>
  <c r="Y215" i="58885" a="1"/>
  <c r="Y215" i="58885" s="1"/>
  <c r="Z241" i="58885" a="1"/>
  <c r="Z241" i="58885" s="1"/>
  <c r="Y241" i="58885" a="1"/>
  <c r="Y241" i="58885" s="1"/>
  <c r="X241" i="58885" a="1"/>
  <c r="X241" i="58885" s="1"/>
  <c r="Z247" i="58885" a="1"/>
  <c r="Z247" i="58885" s="1"/>
  <c r="Y247" i="58885" a="1"/>
  <c r="Y247" i="58885" s="1"/>
  <c r="X247" i="58885" a="1"/>
  <c r="X247" i="58885" s="1"/>
  <c r="Z250" i="58885" a="1"/>
  <c r="Z250" i="58885" s="1"/>
  <c r="Y250" i="58885" a="1"/>
  <c r="Y250" i="58885" s="1"/>
  <c r="X250" i="58885" a="1"/>
  <c r="X250" i="58885" s="1"/>
  <c r="X145" i="58885" a="1"/>
  <c r="X145" i="58885" s="1"/>
  <c r="Y146" i="58885" a="1"/>
  <c r="Y146" i="58885" s="1"/>
  <c r="X146" i="58885" a="1"/>
  <c r="X146" i="58885" s="1"/>
  <c r="Z166" i="58885" a="1"/>
  <c r="Z166" i="58885" s="1"/>
  <c r="Y166" i="58885" a="1"/>
  <c r="Y166" i="58885" s="1"/>
  <c r="X166" i="58885" a="1"/>
  <c r="X166" i="58885" s="1"/>
  <c r="Z180" i="58885" a="1"/>
  <c r="Z180" i="58885" s="1"/>
  <c r="Y184" i="58885" a="1"/>
  <c r="Y184" i="58885" s="1"/>
  <c r="X184" i="58885" a="1"/>
  <c r="X184" i="58885" s="1"/>
  <c r="Z184" i="58885" a="1"/>
  <c r="Z184" i="58885" s="1"/>
  <c r="Z197" i="58885" a="1"/>
  <c r="Z197" i="58885" s="1"/>
  <c r="Y197" i="58885" a="1"/>
  <c r="Y197" i="58885" s="1"/>
  <c r="X197" i="58885" a="1"/>
  <c r="X197" i="58885" s="1"/>
  <c r="Y211" i="58885" a="1"/>
  <c r="Y211" i="58885" s="1"/>
  <c r="X211" i="58885" a="1"/>
  <c r="X211" i="58885" s="1"/>
  <c r="Z211" i="58885" a="1"/>
  <c r="Z211" i="58885" s="1"/>
  <c r="X233" i="58885" a="1"/>
  <c r="X233" i="58885" s="1"/>
  <c r="Z233" i="58885" a="1"/>
  <c r="Z233" i="58885" s="1"/>
  <c r="Y233" i="58885" a="1"/>
  <c r="Y233" i="58885" s="1"/>
  <c r="X43" i="58885" a="1"/>
  <c r="X43" i="58885" s="1"/>
  <c r="X56" i="58885" a="1"/>
  <c r="X56" i="58885" s="1"/>
  <c r="X58" i="58885" a="1"/>
  <c r="X58" i="58885" s="1"/>
  <c r="X83" i="58885" a="1"/>
  <c r="X83" i="58885" s="1"/>
  <c r="X90" i="58885" a="1"/>
  <c r="X90" i="58885" s="1"/>
  <c r="X92" i="58885" a="1"/>
  <c r="X92" i="58885" s="1"/>
  <c r="Y147" i="58885" a="1"/>
  <c r="Y147" i="58885" s="1"/>
  <c r="X147" i="58885" a="1"/>
  <c r="X147" i="58885" s="1"/>
  <c r="X148" i="58885" a="1"/>
  <c r="X148" i="58885" s="1"/>
  <c r="Z168" i="58885" a="1"/>
  <c r="Z168" i="58885" s="1"/>
  <c r="Y168" i="58885" a="1"/>
  <c r="Y168" i="58885" s="1"/>
  <c r="X168" i="58885" a="1"/>
  <c r="X168" i="58885" s="1"/>
  <c r="Z175" i="58885" a="1"/>
  <c r="Z175" i="58885" s="1"/>
  <c r="Y175" i="58885" a="1"/>
  <c r="Y175" i="58885" s="1"/>
  <c r="X175" i="58885" a="1"/>
  <c r="X175" i="58885" s="1"/>
  <c r="Z179" i="58885" a="1"/>
  <c r="Z179" i="58885" s="1"/>
  <c r="Y179" i="58885" a="1"/>
  <c r="Y179" i="58885" s="1"/>
  <c r="X179" i="58885" a="1"/>
  <c r="X179" i="58885" s="1"/>
  <c r="Y187" i="58885" a="1"/>
  <c r="Y187" i="58885" s="1"/>
  <c r="X187" i="58885" a="1"/>
  <c r="X187" i="58885" s="1"/>
  <c r="Z187" i="58885" a="1"/>
  <c r="Z187" i="58885" s="1"/>
  <c r="Z192" i="58885" a="1"/>
  <c r="Z192" i="58885" s="1"/>
  <c r="Y192" i="58885" a="1"/>
  <c r="Y192" i="58885" s="1"/>
  <c r="X192" i="58885" a="1"/>
  <c r="X192" i="58885" s="1"/>
  <c r="Z253" i="58885" a="1"/>
  <c r="Z253" i="58885" s="1"/>
  <c r="Y253" i="58885" a="1"/>
  <c r="Y253" i="58885" s="1"/>
  <c r="X253" i="58885" a="1"/>
  <c r="X253" i="58885" s="1"/>
  <c r="Y43" i="58885" a="1"/>
  <c r="Y43" i="58885" s="1"/>
  <c r="Y45" i="58885" a="1"/>
  <c r="Y45" i="58885" s="1"/>
  <c r="Y56" i="58885" a="1"/>
  <c r="Y56" i="58885" s="1"/>
  <c r="Y83" i="58885" a="1"/>
  <c r="Y83" i="58885" s="1"/>
  <c r="Y90" i="58885" a="1"/>
  <c r="Y90" i="58885" s="1"/>
  <c r="Y92" i="58885" a="1"/>
  <c r="Y92" i="58885" s="1"/>
  <c r="Y97" i="58885" a="1"/>
  <c r="Y97" i="58885" s="1"/>
  <c r="X103" i="58885" a="1"/>
  <c r="X103" i="58885" s="1"/>
  <c r="Y111" i="58885" a="1"/>
  <c r="Y111" i="58885" s="1"/>
  <c r="X142" i="58885" a="1"/>
  <c r="X142" i="58885" s="1"/>
  <c r="Y149" i="58885" a="1"/>
  <c r="Y149" i="58885" s="1"/>
  <c r="X149" i="58885" a="1"/>
  <c r="X149" i="58885" s="1"/>
  <c r="Z158" i="58885" a="1"/>
  <c r="Z158" i="58885" s="1"/>
  <c r="Y158" i="58885" a="1"/>
  <c r="Y158" i="58885" s="1"/>
  <c r="X177" i="58885" a="1"/>
  <c r="X177" i="58885" s="1"/>
  <c r="Z177" i="58885" a="1"/>
  <c r="Z177" i="58885" s="1"/>
  <c r="Y177" i="58885" a="1"/>
  <c r="Y177" i="58885" s="1"/>
  <c r="Y182" i="58885" a="1"/>
  <c r="Y182" i="58885" s="1"/>
  <c r="X182" i="58885" a="1"/>
  <c r="X182" i="58885" s="1"/>
  <c r="Z182" i="58885" a="1"/>
  <c r="Z182" i="58885" s="1"/>
  <c r="Z195" i="58885" a="1"/>
  <c r="Z195" i="58885" s="1"/>
  <c r="Y195" i="58885" a="1"/>
  <c r="Y195" i="58885" s="1"/>
  <c r="X195" i="58885" a="1"/>
  <c r="X195" i="58885" s="1"/>
  <c r="Z224" i="58885" a="1"/>
  <c r="Z224" i="58885" s="1"/>
  <c r="Y224" i="58885" a="1"/>
  <c r="Y224" i="58885" s="1"/>
  <c r="X224" i="58885" a="1"/>
  <c r="X224" i="58885" s="1"/>
  <c r="Z229" i="58885" a="1"/>
  <c r="Z229" i="58885" s="1"/>
  <c r="Y229" i="58885" a="1"/>
  <c r="Y229" i="58885" s="1"/>
  <c r="X229" i="58885" a="1"/>
  <c r="X229" i="58885" s="1"/>
  <c r="Y231" i="58885" a="1"/>
  <c r="Y231" i="58885" s="1"/>
  <c r="X231" i="58885" a="1"/>
  <c r="X231" i="58885" s="1"/>
  <c r="Z231" i="58885" a="1"/>
  <c r="Z231" i="58885" s="1"/>
  <c r="Z246" i="58885" a="1"/>
  <c r="Z246" i="58885" s="1"/>
  <c r="Y246" i="58885" a="1"/>
  <c r="Y246" i="58885" s="1"/>
  <c r="X246" i="58885" a="1"/>
  <c r="X246" i="58885" s="1"/>
  <c r="Z251" i="58885" a="1"/>
  <c r="Z251" i="58885" s="1"/>
  <c r="Y251" i="58885" a="1"/>
  <c r="Y251" i="58885" s="1"/>
  <c r="X251" i="58885" a="1"/>
  <c r="X251" i="58885" s="1"/>
  <c r="Z97" i="58885" a="1"/>
  <c r="Z97" i="58885" s="1"/>
  <c r="Z111" i="58885" a="1"/>
  <c r="Z111" i="58885" s="1"/>
  <c r="X138" i="58885" a="1"/>
  <c r="X138" i="58885" s="1"/>
  <c r="Z150" i="58885" a="1"/>
  <c r="Z150" i="58885" s="1"/>
  <c r="X150" i="58885" a="1"/>
  <c r="X150" i="58885" s="1"/>
  <c r="Y157" i="58885" a="1"/>
  <c r="Y157" i="58885" s="1"/>
  <c r="X157" i="58885" a="1"/>
  <c r="X157" i="58885" s="1"/>
  <c r="Z157" i="58885" a="1"/>
  <c r="Z157" i="58885" s="1"/>
  <c r="X159" i="58885" a="1"/>
  <c r="X159" i="58885" s="1"/>
  <c r="Z159" i="58885" a="1"/>
  <c r="Z159" i="58885" s="1"/>
  <c r="Y159" i="58885" a="1"/>
  <c r="Y159" i="58885" s="1"/>
  <c r="Z160" i="58885" a="1"/>
  <c r="Z160" i="58885" s="1"/>
  <c r="Y160" i="58885" a="1"/>
  <c r="Y160" i="58885" s="1"/>
  <c r="Y185" i="58885" a="1"/>
  <c r="Y185" i="58885" s="1"/>
  <c r="X185" i="58885" a="1"/>
  <c r="X185" i="58885" s="1"/>
  <c r="Z185" i="58885" a="1"/>
  <c r="Z185" i="58885" s="1"/>
  <c r="Z201" i="58885" a="1"/>
  <c r="Z201" i="58885" s="1"/>
  <c r="Y201" i="58885" a="1"/>
  <c r="Y201" i="58885" s="1"/>
  <c r="X201" i="58885" a="1"/>
  <c r="X201" i="58885" s="1"/>
  <c r="Z203" i="58885" a="1"/>
  <c r="Z203" i="58885" s="1"/>
  <c r="Y203" i="58885" a="1"/>
  <c r="Y203" i="58885" s="1"/>
  <c r="X203" i="58885" a="1"/>
  <c r="X203" i="58885" s="1"/>
  <c r="Y212" i="58885" a="1"/>
  <c r="Y212" i="58885" s="1"/>
  <c r="X212" i="58885" a="1"/>
  <c r="X212" i="58885" s="1"/>
  <c r="Z212" i="58885" a="1"/>
  <c r="Z212" i="58885" s="1"/>
  <c r="X214" i="58885" a="1"/>
  <c r="X214" i="58885" s="1"/>
  <c r="Z214" i="58885" a="1"/>
  <c r="Z214" i="58885" s="1"/>
  <c r="Y214" i="58885" a="1"/>
  <c r="Y214" i="58885" s="1"/>
  <c r="Z216" i="58885" a="1"/>
  <c r="Z216" i="58885" s="1"/>
  <c r="Y216" i="58885" a="1"/>
  <c r="Y216" i="58885" s="1"/>
  <c r="X216" i="58885" a="1"/>
  <c r="X216" i="58885" s="1"/>
  <c r="Z234" i="58885" a="1"/>
  <c r="Z234" i="58885" s="1"/>
  <c r="Y234" i="58885" a="1"/>
  <c r="Y234" i="58885" s="1"/>
  <c r="X234" i="58885" a="1"/>
  <c r="X234" i="58885" s="1"/>
  <c r="Y152" i="58885" a="1"/>
  <c r="Y152" i="58885" s="1"/>
  <c r="Y154" i="58885" a="1"/>
  <c r="Y154" i="58885" s="1"/>
  <c r="Y164" i="58885" a="1"/>
  <c r="Y164" i="58885" s="1"/>
  <c r="Y174" i="58885" a="1"/>
  <c r="Y174" i="58885" s="1"/>
  <c r="Y189" i="58885" a="1"/>
  <c r="Y189" i="58885" s="1"/>
  <c r="Y190" i="58885" a="1"/>
  <c r="Y190" i="58885" s="1"/>
  <c r="Y191" i="58885" a="1"/>
  <c r="Y191" i="58885" s="1"/>
  <c r="Z209" i="58885" a="1"/>
  <c r="Z209" i="58885" s="1"/>
  <c r="Z230" i="58885" a="1"/>
  <c r="Z230" i="58885" s="1"/>
  <c r="Z152" i="58885" a="1"/>
  <c r="Z152" i="58885" s="1"/>
  <c r="Z154" i="58885" a="1"/>
  <c r="Z154" i="58885" s="1"/>
  <c r="Z164" i="58885" a="1"/>
  <c r="Z164" i="58885" s="1"/>
  <c r="X170" i="58885" a="1"/>
  <c r="X170" i="58885" s="1"/>
  <c r="Y171" i="58885" a="1"/>
  <c r="Y171" i="58885" s="1"/>
  <c r="Z174" i="58885" a="1"/>
  <c r="Z174" i="58885" s="1"/>
  <c r="X176" i="58885" a="1"/>
  <c r="X176" i="58885" s="1"/>
  <c r="X151" i="58885" a="1"/>
  <c r="X151" i="58885" s="1"/>
  <c r="Y156" i="58885" a="1"/>
  <c r="Y156" i="58885" s="1"/>
  <c r="Z171" i="58885" a="1"/>
  <c r="Z171" i="58885" s="1"/>
  <c r="Z191" i="58885" a="1"/>
  <c r="Z191" i="58885" s="1"/>
  <c r="Y198" i="58885" a="1"/>
  <c r="Y198" i="58885" s="1"/>
  <c r="Y199" i="58885" a="1"/>
  <c r="Y199" i="58885" s="1"/>
  <c r="X200" i="58885" a="1"/>
  <c r="X200" i="58885" s="1"/>
  <c r="Y218" i="58885" a="1"/>
  <c r="Y218" i="58885" s="1"/>
  <c r="Y219" i="58885" a="1"/>
  <c r="Y219" i="58885" s="1"/>
  <c r="Y220" i="58885" a="1"/>
  <c r="Y220" i="58885" s="1"/>
  <c r="Y221" i="58885" a="1"/>
  <c r="Y221" i="58885" s="1"/>
  <c r="Y222" i="58885" a="1"/>
  <c r="Y222" i="58885" s="1"/>
  <c r="Y223" i="58885" a="1"/>
  <c r="Y223" i="58885" s="1"/>
  <c r="Y236" i="58885" a="1"/>
  <c r="Y236" i="58885" s="1"/>
  <c r="Y249" i="58885" a="1"/>
  <c r="Y249" i="58885" s="1"/>
  <c r="Y200" i="58885" a="1"/>
  <c r="Y200" i="58885" s="1"/>
  <c r="X226" i="58885" a="1"/>
  <c r="X226" i="58885" s="1"/>
  <c r="X227" i="58885" a="1"/>
  <c r="X227" i="58885" s="1"/>
  <c r="X228" i="58885" a="1"/>
  <c r="X228" i="58885" s="1"/>
  <c r="Y237" i="58885" a="1"/>
  <c r="Y237" i="58885" s="1"/>
  <c r="X238" i="58885" a="1"/>
  <c r="X238" i="58885" s="1"/>
  <c r="X239" i="58885" a="1"/>
  <c r="X239" i="58885" s="1"/>
  <c r="Y151" i="58885" a="1"/>
  <c r="Y151" i="58885" s="1"/>
  <c r="X167" i="58885" a="1"/>
  <c r="X167" i="58885" s="1"/>
  <c r="X178" i="58885" a="1"/>
  <c r="X178" i="58885" s="1"/>
  <c r="Y205" i="58885" a="1"/>
  <c r="Y205" i="58885" s="1"/>
  <c r="X206" i="58885" a="1"/>
  <c r="X206" i="58885" s="1"/>
  <c r="X207" i="58885" a="1"/>
  <c r="X207" i="58885" s="1"/>
  <c r="Y239" i="58885" a="1"/>
  <c r="Y239" i="58885" s="1"/>
  <c r="X169" i="58885" a="1"/>
  <c r="X169" i="58885" s="1"/>
  <c r="Y178" i="58885" a="1"/>
  <c r="Y178" i="58885" s="1"/>
  <c r="X209" i="58885" a="1"/>
  <c r="X209" i="58885" s="1"/>
  <c r="X242" i="58885" a="1"/>
  <c r="X242" i="58885" s="1"/>
  <c r="X243" i="58885" a="1"/>
  <c r="X243" i="58885" s="1"/>
  <c r="X244" i="58885" a="1"/>
  <c r="X244" i="58885" s="1"/>
  <c r="X254" i="58885" a="1"/>
  <c r="X254" i="58885" s="1"/>
  <c r="Y169" i="58885" a="1"/>
  <c r="Y169" i="58885" s="1"/>
  <c r="Y208" i="58885" a="1"/>
  <c r="Y208" i="58885" s="1"/>
  <c r="X230" i="58885" a="1"/>
  <c r="X230" i="58885" s="1"/>
  <c r="Y242" i="58885" a="1"/>
  <c r="Y242" i="58885" s="1"/>
  <c r="Y243" i="58885" a="1"/>
  <c r="Y243" i="58885" s="1"/>
  <c r="Y244" i="58885" a="1"/>
  <c r="Y244" i="58885" s="1"/>
  <c r="Y254" i="58885" a="1"/>
  <c r="Y254" i="58885" s="1"/>
  <c r="AF18" i="37" a="1"/>
  <c r="AF18" i="37" s="1"/>
  <c r="AJ18" i="37" a="1"/>
  <c r="AJ18" i="37" s="1"/>
  <c r="AD18" i="37" a="1"/>
  <c r="AD18" i="37" s="1"/>
  <c r="Z18" i="37" a="1"/>
  <c r="Z18" i="37" s="1"/>
  <c r="E18" i="37" a="1"/>
  <c r="E18" i="37" s="1"/>
  <c r="AK12" i="37" a="1"/>
  <c r="AK12" i="37" s="1"/>
  <c r="AH12" i="37" a="1"/>
  <c r="AH12" i="37" s="1"/>
  <c r="AE12" i="37" a="1"/>
  <c r="AE12" i="37" s="1"/>
  <c r="V12" i="37" a="1"/>
  <c r="V12" i="37" s="1"/>
  <c r="K12" i="37" a="1"/>
  <c r="K12" i="37" s="1"/>
  <c r="E12" i="37" a="1"/>
  <c r="E12" i="37" s="1"/>
  <c r="AE33" i="37" a="1"/>
  <c r="AE33" i="37" s="1"/>
  <c r="AA33" i="37" a="1"/>
  <c r="AA33" i="37" s="1"/>
  <c r="S33" i="37" a="1"/>
  <c r="S33" i="37" s="1"/>
  <c r="F284" i="5" a="1"/>
  <c r="F284" i="5" s="1"/>
  <c r="AI11" i="37" a="1"/>
  <c r="AI11" i="37" s="1"/>
  <c r="AF11" i="37" a="1"/>
  <c r="AF11" i="37" s="1"/>
  <c r="W11" i="37" a="1"/>
  <c r="W11" i="37" s="1"/>
  <c r="O7" i="5" a="1"/>
  <c r="O7" i="5" s="1"/>
  <c r="X14" i="5" a="1"/>
  <c r="X14" i="5" s="1"/>
  <c r="P22" i="5" a="1"/>
  <c r="P22" i="5" s="1"/>
  <c r="Y29" i="5" a="1"/>
  <c r="Y29" i="5" s="1"/>
  <c r="X21" i="37" a="1"/>
  <c r="X21" i="37" s="1"/>
  <c r="S23" i="37" a="1"/>
  <c r="S23" i="37" s="1"/>
  <c r="X28" i="37" a="1"/>
  <c r="X28" i="37" s="1"/>
  <c r="AA31" i="37" a="1"/>
  <c r="AA31" i="37" s="1"/>
  <c r="N8" i="5" a="1"/>
  <c r="N8" i="5" s="1"/>
  <c r="W15" i="5" a="1"/>
  <c r="W15" i="5" s="1"/>
  <c r="O23" i="5" a="1"/>
  <c r="O23" i="5" s="1"/>
  <c r="X30" i="5" a="1"/>
  <c r="X30" i="5" s="1"/>
  <c r="M9" i="5" a="1"/>
  <c r="M9" i="5" s="1"/>
  <c r="V16" i="5" a="1"/>
  <c r="V16" i="5" s="1"/>
  <c r="N24" i="5" a="1"/>
  <c r="N24" i="5" s="1"/>
  <c r="J32" i="5" a="1"/>
  <c r="J32" i="5" s="1"/>
  <c r="AF10" i="37" a="1"/>
  <c r="AF10" i="37" s="1"/>
  <c r="AD20" i="37" a="1"/>
  <c r="AD20" i="37" s="1"/>
  <c r="AG23" i="37" a="1"/>
  <c r="AG23" i="37" s="1"/>
  <c r="W30" i="37" a="1"/>
  <c r="W30" i="37" s="1"/>
  <c r="L10" i="5" a="1"/>
  <c r="L10" i="5" s="1"/>
  <c r="U17" i="5" a="1"/>
  <c r="U17" i="5" s="1"/>
  <c r="M25" i="5" a="1"/>
  <c r="M25" i="5" s="1"/>
  <c r="Y33" i="5" a="1"/>
  <c r="Y33" i="5" s="1"/>
  <c r="AB30" i="37" a="1"/>
  <c r="AB30" i="37" s="1"/>
  <c r="K11" i="5" a="1"/>
  <c r="K11" i="5" s="1"/>
  <c r="T18" i="5" a="1"/>
  <c r="T18" i="5" s="1"/>
  <c r="L26" i="5" a="1"/>
  <c r="L26" i="5" s="1"/>
  <c r="W35" i="5" a="1"/>
  <c r="W35" i="5" s="1"/>
  <c r="AJ30" i="37" a="1"/>
  <c r="AJ30" i="37" s="1"/>
  <c r="J12" i="5" a="1"/>
  <c r="J12" i="5" s="1"/>
  <c r="S19" i="5" a="1"/>
  <c r="S19" i="5" s="1"/>
  <c r="K27" i="5" a="1"/>
  <c r="K27" i="5" s="1"/>
  <c r="U37" i="5" a="1"/>
  <c r="U37" i="5" s="1"/>
  <c r="V9" i="37" a="1"/>
  <c r="V9" i="37" s="1"/>
  <c r="E14" i="37" a="1"/>
  <c r="E14" i="37" s="1"/>
  <c r="W22" i="37" a="1"/>
  <c r="W22" i="37" s="1"/>
  <c r="U29" i="37" a="1"/>
  <c r="U29" i="37" s="1"/>
  <c r="I13" i="5" a="1"/>
  <c r="I13" i="5" s="1"/>
  <c r="R20" i="5" a="1"/>
  <c r="R20" i="5" s="1"/>
  <c r="J28" i="5" a="1"/>
  <c r="J28" i="5" s="1"/>
  <c r="S39" i="5" a="1"/>
  <c r="S39" i="5" s="1"/>
  <c r="P6" i="5" a="1"/>
  <c r="P6" i="5" s="1"/>
  <c r="Y13" i="5" a="1"/>
  <c r="Y13" i="5" s="1"/>
  <c r="Q21" i="5" a="1"/>
  <c r="Q21" i="5" s="1"/>
  <c r="I29" i="5" a="1"/>
  <c r="I29" i="5" s="1"/>
  <c r="K28" i="37" a="1"/>
  <c r="K28" i="37" s="1"/>
  <c r="W31" i="37" a="1"/>
  <c r="W31" i="37" s="1"/>
  <c r="AI26" i="37" a="1"/>
  <c r="AI26" i="37" s="1"/>
  <c r="W26" i="37" a="1"/>
  <c r="W26" i="37" s="1"/>
  <c r="Q26" i="37" a="1"/>
  <c r="Q26" i="37" s="1"/>
  <c r="AH26" i="37" a="1"/>
  <c r="AH26" i="37" s="1"/>
  <c r="O26" i="37" a="1"/>
  <c r="O26" i="37" s="1"/>
  <c r="AG26" i="37" a="1"/>
  <c r="AG26" i="37" s="1"/>
  <c r="AF26" i="37" a="1"/>
  <c r="AF26" i="37" s="1"/>
  <c r="AC26" i="37" a="1"/>
  <c r="AC26" i="37" s="1"/>
  <c r="AA26" i="37" a="1"/>
  <c r="AA26" i="37" s="1"/>
  <c r="X26" i="37" a="1"/>
  <c r="X26" i="37" s="1"/>
  <c r="F292" i="5" a="1"/>
  <c r="F292" i="5" s="1"/>
  <c r="AJ32" i="37" a="1"/>
  <c r="AJ32" i="37" s="1"/>
  <c r="AC32" i="37" a="1"/>
  <c r="AC32" i="37" s="1"/>
  <c r="U32" i="37" a="1"/>
  <c r="U32" i="37" s="1"/>
  <c r="I32" i="37" a="1"/>
  <c r="I32" i="37" s="1"/>
  <c r="J32" i="37" s="1"/>
  <c r="AF32" i="37" a="1"/>
  <c r="AF32" i="37" s="1"/>
  <c r="F276" i="5" a="1"/>
  <c r="F276" i="5" s="1"/>
  <c r="AG16" i="37" a="1"/>
  <c r="AG16" i="37" s="1"/>
  <c r="AK16" i="37" a="1"/>
  <c r="AK16" i="37" s="1"/>
  <c r="Y16" i="37" a="1"/>
  <c r="Y16" i="37" s="1"/>
  <c r="AI16" i="37" a="1"/>
  <c r="AI16" i="37" s="1"/>
  <c r="W16" i="37" a="1"/>
  <c r="W16" i="37" s="1"/>
  <c r="E16" i="37" a="1"/>
  <c r="E16" i="37" s="1"/>
  <c r="AH16" i="37" a="1"/>
  <c r="AH16" i="37" s="1"/>
  <c r="U16" i="37" a="1"/>
  <c r="U16" i="37" s="1"/>
  <c r="C16" i="37"/>
  <c r="R16" i="37" s="1" a="1"/>
  <c r="R16" i="37" s="1"/>
  <c r="S16" i="37" a="1"/>
  <c r="S16" i="37" s="1"/>
  <c r="AD16" i="37" a="1"/>
  <c r="AD16" i="37" s="1"/>
  <c r="AC16" i="37" a="1"/>
  <c r="AC16" i="37" s="1"/>
  <c r="O16" i="37" a="1"/>
  <c r="O16" i="37" s="1"/>
  <c r="AB16" i="37" a="1"/>
  <c r="AB16" i="37" s="1"/>
  <c r="K16" i="37" a="1"/>
  <c r="K16" i="37" s="1"/>
  <c r="Z16" i="37" a="1"/>
  <c r="Z16" i="37" s="1"/>
  <c r="I16" i="37" a="1"/>
  <c r="I16" i="37" s="1"/>
  <c r="J16" i="37" s="1"/>
  <c r="O24" i="37" a="1"/>
  <c r="O24" i="37" s="1"/>
  <c r="AJ24" i="37" a="1"/>
  <c r="AJ24" i="37" s="1"/>
  <c r="AH24" i="37" a="1"/>
  <c r="AH24" i="37" s="1"/>
  <c r="I24" i="37" a="1"/>
  <c r="I24" i="37" s="1"/>
  <c r="J24" i="37" s="1"/>
  <c r="AF24" i="37" a="1"/>
  <c r="AF24" i="37" s="1"/>
  <c r="AB24" i="37" a="1"/>
  <c r="AB24" i="37" s="1"/>
  <c r="V24" i="37" a="1"/>
  <c r="V24" i="37" s="1"/>
  <c r="S24" i="37" a="1"/>
  <c r="S24" i="37" s="1"/>
  <c r="Q24" i="37" a="1"/>
  <c r="Q24" i="37" s="1"/>
  <c r="AH7" i="37" a="1"/>
  <c r="AH7" i="37" s="1"/>
  <c r="AD7" i="37" a="1"/>
  <c r="AD7" i="37" s="1"/>
  <c r="Z7" i="37" a="1"/>
  <c r="Z7" i="37" s="1"/>
  <c r="AK36" i="37" a="1"/>
  <c r="AK36" i="37" s="1"/>
  <c r="AF36" i="37" a="1"/>
  <c r="AF36" i="37" s="1"/>
  <c r="AA36" i="37" a="1"/>
  <c r="AA36" i="37" s="1"/>
  <c r="T6" i="5" a="1"/>
  <c r="T6" i="5" s="1"/>
  <c r="R8" i="5" a="1"/>
  <c r="R8" i="5" s="1"/>
  <c r="P10" i="5" a="1"/>
  <c r="P10" i="5" s="1"/>
  <c r="N12" i="5" a="1"/>
  <c r="N12" i="5" s="1"/>
  <c r="L14" i="5" a="1"/>
  <c r="L14" i="5" s="1"/>
  <c r="J16" i="5" a="1"/>
  <c r="J16" i="5" s="1"/>
  <c r="Y17" i="5" a="1"/>
  <c r="Y17" i="5" s="1"/>
  <c r="W19" i="5" a="1"/>
  <c r="W19" i="5" s="1"/>
  <c r="U21" i="5" a="1"/>
  <c r="U21" i="5" s="1"/>
  <c r="S23" i="5" a="1"/>
  <c r="S23" i="5" s="1"/>
  <c r="Q25" i="5" a="1"/>
  <c r="Q25" i="5" s="1"/>
  <c r="O27" i="5" a="1"/>
  <c r="O27" i="5" s="1"/>
  <c r="M29" i="5" a="1"/>
  <c r="M29" i="5" s="1"/>
  <c r="K31" i="5" a="1"/>
  <c r="K31" i="5" s="1"/>
  <c r="N34" i="5" a="1"/>
  <c r="N34" i="5" s="1"/>
  <c r="J38" i="5" a="1"/>
  <c r="J38" i="5" s="1"/>
  <c r="W9" i="37" a="1"/>
  <c r="W9" i="37" s="1"/>
  <c r="AJ10" i="37" a="1"/>
  <c r="AJ10" i="37" s="1"/>
  <c r="AG11" i="37" a="1"/>
  <c r="AG11" i="37" s="1"/>
  <c r="S12" i="37" a="1"/>
  <c r="S12" i="37" s="1"/>
  <c r="AI12" i="37" a="1"/>
  <c r="AI12" i="37" s="1"/>
  <c r="K18" i="37" a="1"/>
  <c r="K18" i="37" s="1"/>
  <c r="AE20" i="37" a="1"/>
  <c r="AE20" i="37" s="1"/>
  <c r="V21" i="37" a="1"/>
  <c r="V21" i="37" s="1"/>
  <c r="Q22" i="37" a="1"/>
  <c r="Q22" i="37" s="1"/>
  <c r="P22" i="37" s="1" a="1"/>
  <c r="P22" i="37" s="1"/>
  <c r="W28" i="37" a="1"/>
  <c r="W28" i="37" s="1"/>
  <c r="AJ28" i="37" a="1"/>
  <c r="AJ28" i="37" s="1"/>
  <c r="AA29" i="37" a="1"/>
  <c r="AA29" i="37" s="1"/>
  <c r="O30" i="37" a="1"/>
  <c r="O30" i="37" s="1"/>
  <c r="Q31" i="37" a="1"/>
  <c r="Q31" i="37" s="1"/>
  <c r="AH31" i="37" a="1"/>
  <c r="AH31" i="37" s="1"/>
  <c r="Y33" i="37" a="1"/>
  <c r="Y33" i="37" s="1"/>
  <c r="Y38" i="37" a="1"/>
  <c r="Y38" i="37" s="1"/>
  <c r="X6" i="5" a="1"/>
  <c r="X6" i="5" s="1"/>
  <c r="V8" i="5" a="1"/>
  <c r="V8" i="5" s="1"/>
  <c r="T10" i="5" a="1"/>
  <c r="T10" i="5" s="1"/>
  <c r="R12" i="5" a="1"/>
  <c r="R12" i="5" s="1"/>
  <c r="P14" i="5" a="1"/>
  <c r="P14" i="5" s="1"/>
  <c r="N16" i="5" a="1"/>
  <c r="N16" i="5" s="1"/>
  <c r="L18" i="5" a="1"/>
  <c r="L18" i="5" s="1"/>
  <c r="J20" i="5" a="1"/>
  <c r="J20" i="5" s="1"/>
  <c r="Y21" i="5" a="1"/>
  <c r="Y21" i="5" s="1"/>
  <c r="W23" i="5" a="1"/>
  <c r="W23" i="5" s="1"/>
  <c r="U25" i="5" a="1"/>
  <c r="U25" i="5" s="1"/>
  <c r="S27" i="5" a="1"/>
  <c r="S27" i="5" s="1"/>
  <c r="Q29" i="5" a="1"/>
  <c r="Q29" i="5" s="1"/>
  <c r="P31" i="5" a="1"/>
  <c r="P31" i="5" s="1"/>
  <c r="U34" i="5" a="1"/>
  <c r="U34" i="5" s="1"/>
  <c r="Q38" i="5" a="1"/>
  <c r="Q38" i="5" s="1"/>
  <c r="Z38" i="37" a="1"/>
  <c r="Z38" i="37" s="1"/>
  <c r="K7" i="5" a="1"/>
  <c r="K7" i="5" s="1"/>
  <c r="I9" i="5" a="1"/>
  <c r="I9" i="5" s="1"/>
  <c r="X10" i="5" a="1"/>
  <c r="X10" i="5" s="1"/>
  <c r="V12" i="5" a="1"/>
  <c r="V12" i="5" s="1"/>
  <c r="T14" i="5" a="1"/>
  <c r="T14" i="5" s="1"/>
  <c r="R16" i="5" a="1"/>
  <c r="R16" i="5" s="1"/>
  <c r="P18" i="5" a="1"/>
  <c r="P18" i="5" s="1"/>
  <c r="N20" i="5" a="1"/>
  <c r="N20" i="5" s="1"/>
  <c r="L22" i="5" a="1"/>
  <c r="L22" i="5" s="1"/>
  <c r="J24" i="5" a="1"/>
  <c r="J24" i="5" s="1"/>
  <c r="Y25" i="5" a="1"/>
  <c r="Y25" i="5" s="1"/>
  <c r="W27" i="5" a="1"/>
  <c r="W27" i="5" s="1"/>
  <c r="U29" i="5" a="1"/>
  <c r="U29" i="5" s="1"/>
  <c r="U31" i="5" a="1"/>
  <c r="U31" i="5" s="1"/>
  <c r="J35" i="5" a="1"/>
  <c r="J35" i="5" s="1"/>
  <c r="W38" i="5" a="1"/>
  <c r="W38" i="5" s="1"/>
  <c r="Y8" i="37" a="1"/>
  <c r="Y8" i="37" s="1"/>
  <c r="AA9" i="37" a="1"/>
  <c r="AA9" i="37" s="1"/>
  <c r="O10" i="37" a="1"/>
  <c r="O10" i="37" s="1"/>
  <c r="Y12" i="37" a="1"/>
  <c r="Y12" i="37" s="1"/>
  <c r="U14" i="37" a="1"/>
  <c r="U14" i="37" s="1"/>
  <c r="O18" i="37" a="1"/>
  <c r="O18" i="37" s="1"/>
  <c r="AE18" i="37" a="1"/>
  <c r="AE18" i="37" s="1"/>
  <c r="AK20" i="37" a="1"/>
  <c r="AK20" i="37" s="1"/>
  <c r="AB21" i="37" a="1"/>
  <c r="AB21" i="37" s="1"/>
  <c r="X22" i="37" a="1"/>
  <c r="X22" i="37" s="1"/>
  <c r="Y28" i="37" a="1"/>
  <c r="Y28" i="37" s="1"/>
  <c r="AH29" i="37" a="1"/>
  <c r="AH29" i="37" s="1"/>
  <c r="Z30" i="37" a="1"/>
  <c r="Z30" i="37" s="1"/>
  <c r="V31" i="37" a="1"/>
  <c r="V31" i="37" s="1"/>
  <c r="AD33" i="37" a="1"/>
  <c r="AD33" i="37" s="1"/>
  <c r="O35" i="37" a="1"/>
  <c r="O35" i="37" s="1"/>
  <c r="AA38" i="37" a="1"/>
  <c r="AA38" i="37" s="1"/>
  <c r="AD9" i="37" a="1"/>
  <c r="AD9" i="37" s="1"/>
  <c r="S10" i="37" a="1"/>
  <c r="S10" i="37" s="1"/>
  <c r="Z12" i="37" a="1"/>
  <c r="Z12" i="37" s="1"/>
  <c r="W14" i="37" a="1"/>
  <c r="W14" i="37" s="1"/>
  <c r="U18" i="37" a="1"/>
  <c r="U18" i="37" s="1"/>
  <c r="AG18" i="37" a="1"/>
  <c r="AG18" i="37" s="1"/>
  <c r="Z22" i="37" a="1"/>
  <c r="Z22" i="37" s="1"/>
  <c r="AI29" i="37" a="1"/>
  <c r="AI29" i="37" s="1"/>
  <c r="AH33" i="37" a="1"/>
  <c r="AH33" i="37" s="1"/>
  <c r="AA35" i="37" a="1"/>
  <c r="AA35" i="37" s="1"/>
  <c r="E38" i="37" a="1"/>
  <c r="E38" i="37" s="1"/>
  <c r="AC38" i="37" a="1"/>
  <c r="AC38" i="37" s="1"/>
  <c r="S7" i="5" a="1"/>
  <c r="S7" i="5" s="1"/>
  <c r="Q9" i="5" a="1"/>
  <c r="Q9" i="5" s="1"/>
  <c r="O11" i="5" a="1"/>
  <c r="O11" i="5" s="1"/>
  <c r="M13" i="5" a="1"/>
  <c r="M13" i="5" s="1"/>
  <c r="K15" i="5" a="1"/>
  <c r="K15" i="5" s="1"/>
  <c r="I17" i="5" a="1"/>
  <c r="I17" i="5" s="1"/>
  <c r="X18" i="5" a="1"/>
  <c r="X18" i="5" s="1"/>
  <c r="V20" i="5" a="1"/>
  <c r="V20" i="5" s="1"/>
  <c r="T22" i="5" a="1"/>
  <c r="T22" i="5" s="1"/>
  <c r="R24" i="5" a="1"/>
  <c r="R24" i="5" s="1"/>
  <c r="P26" i="5" a="1"/>
  <c r="P26" i="5" s="1"/>
  <c r="N28" i="5" a="1"/>
  <c r="N28" i="5" s="1"/>
  <c r="L30" i="5" a="1"/>
  <c r="L30" i="5" s="1"/>
  <c r="P32" i="5" a="1"/>
  <c r="P32" i="5" s="1"/>
  <c r="L36" i="5" a="1"/>
  <c r="L36" i="5" s="1"/>
  <c r="Y39" i="5" a="1"/>
  <c r="Y39" i="5" s="1"/>
  <c r="AE9" i="37" a="1"/>
  <c r="AE9" i="37" s="1"/>
  <c r="X10" i="37" a="1"/>
  <c r="X10" i="37" s="1"/>
  <c r="Q11" i="37" a="1"/>
  <c r="Q11" i="37" s="1"/>
  <c r="P11" i="37" s="1" a="1"/>
  <c r="P11" i="37" s="1"/>
  <c r="C12" i="37"/>
  <c r="R12" i="37" s="1" a="1"/>
  <c r="R12" i="37" s="1"/>
  <c r="AB12" i="37" a="1"/>
  <c r="AB12" i="37" s="1"/>
  <c r="Y14" i="37" a="1"/>
  <c r="Y14" i="37" s="1"/>
  <c r="V18" i="37" a="1"/>
  <c r="V18" i="37" s="1"/>
  <c r="AH18" i="37" a="1"/>
  <c r="AH18" i="37" s="1"/>
  <c r="U20" i="37" a="1"/>
  <c r="U20" i="37" s="1"/>
  <c r="AJ21" i="37" a="1"/>
  <c r="AJ21" i="37" s="1"/>
  <c r="C28" i="37"/>
  <c r="R28" i="37" s="1" a="1"/>
  <c r="R28" i="37" s="1"/>
  <c r="AB28" i="37" a="1"/>
  <c r="AB28" i="37" s="1"/>
  <c r="Q29" i="37" a="1"/>
  <c r="Q29" i="37" s="1"/>
  <c r="P29" i="37" s="1" a="1"/>
  <c r="P29" i="37" s="1"/>
  <c r="AK29" i="37" a="1"/>
  <c r="AK29" i="37" s="1"/>
  <c r="AG30" i="37" a="1"/>
  <c r="AG30" i="37" s="1"/>
  <c r="X31" i="37" a="1"/>
  <c r="X31" i="37" s="1"/>
  <c r="Q33" i="37" a="1"/>
  <c r="Q33" i="37" s="1"/>
  <c r="AI33" i="37" a="1"/>
  <c r="AI33" i="37" s="1"/>
  <c r="AG35" i="37" a="1"/>
  <c r="AG35" i="37" s="1"/>
  <c r="I38" i="37" a="1"/>
  <c r="I38" i="37" s="1"/>
  <c r="J38" i="37" s="1"/>
  <c r="AF38" i="37" a="1"/>
  <c r="AF38" i="37" s="1"/>
  <c r="W7" i="5" a="1"/>
  <c r="W7" i="5" s="1"/>
  <c r="U9" i="5" a="1"/>
  <c r="U9" i="5" s="1"/>
  <c r="S11" i="5" a="1"/>
  <c r="S11" i="5" s="1"/>
  <c r="Q13" i="5" a="1"/>
  <c r="Q13" i="5" s="1"/>
  <c r="O15" i="5" a="1"/>
  <c r="O15" i="5" s="1"/>
  <c r="M17" i="5" a="1"/>
  <c r="M17" i="5" s="1"/>
  <c r="K19" i="5" a="1"/>
  <c r="K19" i="5" s="1"/>
  <c r="I21" i="5" a="1"/>
  <c r="I21" i="5" s="1"/>
  <c r="X22" i="5" a="1"/>
  <c r="X22" i="5" s="1"/>
  <c r="V24" i="5" a="1"/>
  <c r="V24" i="5" s="1"/>
  <c r="T26" i="5" a="1"/>
  <c r="T26" i="5" s="1"/>
  <c r="R28" i="5" a="1"/>
  <c r="R28" i="5" s="1"/>
  <c r="P30" i="5" a="1"/>
  <c r="P30" i="5" s="1"/>
  <c r="W32" i="5" a="1"/>
  <c r="W32" i="5" s="1"/>
  <c r="S36" i="5" a="1"/>
  <c r="S36" i="5" s="1"/>
  <c r="O40" i="5" a="1"/>
  <c r="O40" i="5" s="1"/>
  <c r="AH9" i="37" a="1"/>
  <c r="AH9" i="37" s="1"/>
  <c r="Y10" i="37" a="1"/>
  <c r="Y10" i="37" s="1"/>
  <c r="AB14" i="37" a="1"/>
  <c r="AB14" i="37" s="1"/>
  <c r="X18" i="37" a="1"/>
  <c r="X18" i="37" s="1"/>
  <c r="K38" i="37" a="1"/>
  <c r="K38" i="37" s="1"/>
  <c r="AH38" i="37" a="1"/>
  <c r="AH38" i="37" s="1"/>
  <c r="L6" i="5" a="1"/>
  <c r="L6" i="5" s="1"/>
  <c r="J8" i="5" a="1"/>
  <c r="J8" i="5" s="1"/>
  <c r="Y9" i="5" a="1"/>
  <c r="Y9" i="5" s="1"/>
  <c r="W11" i="5" a="1"/>
  <c r="W11" i="5" s="1"/>
  <c r="U13" i="5" a="1"/>
  <c r="U13" i="5" s="1"/>
  <c r="S15" i="5" a="1"/>
  <c r="S15" i="5" s="1"/>
  <c r="Q17" i="5" a="1"/>
  <c r="Q17" i="5" s="1"/>
  <c r="O19" i="5" a="1"/>
  <c r="O19" i="5" s="1"/>
  <c r="M21" i="5" a="1"/>
  <c r="M21" i="5" s="1"/>
  <c r="K23" i="5" a="1"/>
  <c r="K23" i="5" s="1"/>
  <c r="I25" i="5" a="1"/>
  <c r="I25" i="5" s="1"/>
  <c r="X26" i="5" a="1"/>
  <c r="X26" i="5" s="1"/>
  <c r="V28" i="5" a="1"/>
  <c r="V28" i="5" s="1"/>
  <c r="T30" i="5" a="1"/>
  <c r="T30" i="5" s="1"/>
  <c r="L33" i="5" a="1"/>
  <c r="L33" i="5" s="1"/>
  <c r="Y36" i="5" a="1"/>
  <c r="Y36" i="5" s="1"/>
  <c r="U40" i="5" a="1"/>
  <c r="U40" i="5" s="1"/>
  <c r="Q9" i="37" a="1"/>
  <c r="Q9" i="37" s="1"/>
  <c r="P9" i="37" s="1" a="1"/>
  <c r="P9" i="37" s="1"/>
  <c r="AI9" i="37" a="1"/>
  <c r="AI9" i="37" s="1"/>
  <c r="AC10" i="37" a="1"/>
  <c r="AC10" i="37" s="1"/>
  <c r="X11" i="37" a="1"/>
  <c r="X11" i="37" s="1"/>
  <c r="AG12" i="37" a="1"/>
  <c r="AG12" i="37" s="1"/>
  <c r="C14" i="37"/>
  <c r="R14" i="37" s="1" a="1"/>
  <c r="R14" i="37" s="1"/>
  <c r="AG14" i="37" a="1"/>
  <c r="AG14" i="37" s="1"/>
  <c r="C18" i="37"/>
  <c r="R18" i="37" s="1" a="1"/>
  <c r="R18" i="37" s="1"/>
  <c r="Y18" i="37" a="1"/>
  <c r="Y18" i="37" s="1"/>
  <c r="AI18" i="37" a="1"/>
  <c r="AI18" i="37" s="1"/>
  <c r="O28" i="37" a="1"/>
  <c r="O28" i="37" s="1"/>
  <c r="AF28" i="37" a="1"/>
  <c r="AF28" i="37" s="1"/>
  <c r="V29" i="37" a="1"/>
  <c r="V29" i="37" s="1"/>
  <c r="AC31" i="37" a="1"/>
  <c r="AC31" i="37" s="1"/>
  <c r="V33" i="37" a="1"/>
  <c r="V33" i="37" s="1"/>
  <c r="AD37" i="37" a="1"/>
  <c r="AD37" i="37" s="1"/>
  <c r="O38" i="37" a="1"/>
  <c r="O38" i="37" s="1"/>
  <c r="AI38" i="37" a="1"/>
  <c r="AI38" i="37" s="1"/>
  <c r="S28" i="37" a="1"/>
  <c r="S28" i="37" s="1"/>
  <c r="AG28" i="37" a="1"/>
  <c r="AG28" i="37" s="1"/>
  <c r="W33" i="37" a="1"/>
  <c r="W33" i="37" s="1"/>
  <c r="U38" i="37" a="1"/>
  <c r="U38" i="37" s="1"/>
  <c r="B239" i="10" a="1"/>
  <c r="B239" i="10" s="1"/>
  <c r="AK239" i="10" s="1" a="1"/>
  <c r="AK239" i="10" s="1"/>
  <c r="B215" i="10" a="1"/>
  <c r="B215" i="10" s="1"/>
  <c r="AE215" i="10" s="1" a="1"/>
  <c r="AE215" i="10" s="1"/>
  <c r="B194" i="10" a="1"/>
  <c r="B194" i="10" s="1"/>
  <c r="AS194" i="10" s="1"/>
  <c r="B170" i="10" a="1"/>
  <c r="B170" i="10" s="1"/>
  <c r="B146" i="10" a="1"/>
  <c r="B146" i="10" s="1"/>
  <c r="AI146" i="10" s="1" a="1"/>
  <c r="AI146" i="10" s="1"/>
  <c r="B125" i="10" a="1"/>
  <c r="B125" i="10" s="1"/>
  <c r="B236" i="10" a="1"/>
  <c r="B236" i="10" s="1"/>
  <c r="AE236" i="10" s="1" a="1"/>
  <c r="AE236" i="10" s="1"/>
  <c r="B191" i="10" a="1"/>
  <c r="B191" i="10" s="1"/>
  <c r="AS191" i="10" s="1"/>
  <c r="B167" i="10" a="1"/>
  <c r="B167" i="10" s="1"/>
  <c r="B122" i="10" a="1"/>
  <c r="B122" i="10" s="1"/>
  <c r="AS122" i="10" s="1"/>
  <c r="B233" i="10" a="1"/>
  <c r="B233" i="10" s="1"/>
  <c r="K233" i="10" s="1" a="1"/>
  <c r="K233" i="10" s="1"/>
  <c r="B212" i="10" a="1"/>
  <c r="B212" i="10" s="1"/>
  <c r="T212" i="10" s="1" a="1"/>
  <c r="T212" i="10" s="1"/>
  <c r="B188" i="10" a="1"/>
  <c r="B188" i="10" s="1"/>
  <c r="AS188" i="10" s="1"/>
  <c r="B164" i="10" a="1"/>
  <c r="B164" i="10" s="1"/>
  <c r="B143" i="10" a="1"/>
  <c r="B143" i="10" s="1"/>
  <c r="AS143" i="10" s="1"/>
  <c r="B119" i="10" a="1"/>
  <c r="B119" i="10" s="1"/>
  <c r="AF119" i="10" s="1" a="1"/>
  <c r="AF119" i="10" s="1"/>
  <c r="B251" i="10" a="1"/>
  <c r="B251" i="10" s="1"/>
  <c r="Q251" i="10" s="1" a="1"/>
  <c r="Q251" i="10" s="1"/>
  <c r="B227" i="10" a="1"/>
  <c r="B227" i="10" s="1"/>
  <c r="AL227" i="10" s="1" a="1"/>
  <c r="AL227" i="10" s="1"/>
  <c r="B206" i="10" a="1"/>
  <c r="B206" i="10" s="1"/>
  <c r="AB206" i="10" s="1" a="1"/>
  <c r="AB206" i="10" s="1"/>
  <c r="B182" i="10" a="1"/>
  <c r="B182" i="10" s="1"/>
  <c r="AS182" i="10" s="1"/>
  <c r="B158" i="10" a="1"/>
  <c r="B158" i="10" s="1"/>
  <c r="B137" i="10" a="1"/>
  <c r="B245" i="10" a="1"/>
  <c r="B245" i="10" s="1"/>
  <c r="Z245" i="10" s="1" a="1"/>
  <c r="Z245" i="10" s="1"/>
  <c r="B221" i="10" a="1"/>
  <c r="B221" i="10" s="1"/>
  <c r="AJ221" i="10" s="1" a="1"/>
  <c r="AJ221" i="10" s="1"/>
  <c r="B200" i="10" a="1"/>
  <c r="B200" i="10" s="1"/>
  <c r="P200" i="10" s="1" a="1"/>
  <c r="P200" i="10" s="1"/>
  <c r="B176" i="10" a="1"/>
  <c r="B176" i="10" s="1"/>
  <c r="B152" i="10" a="1"/>
  <c r="B152" i="10" s="1"/>
  <c r="N152" i="10" s="1" a="1"/>
  <c r="N152" i="10" s="1"/>
  <c r="B131" i="10" a="1"/>
  <c r="B131" i="10" s="1"/>
  <c r="AA131" i="10" s="1" a="1"/>
  <c r="AA131" i="10" s="1"/>
  <c r="B224" i="10" a="1"/>
  <c r="B224" i="10" s="1"/>
  <c r="AN224" i="10" s="1" a="1"/>
  <c r="AN224" i="10" s="1"/>
  <c r="B161" i="10" a="1"/>
  <c r="B161" i="10" s="1"/>
  <c r="AS161" i="10" s="1"/>
  <c r="B218" i="10" a="1"/>
  <c r="B218" i="10" s="1"/>
  <c r="H218" i="10" s="1" a="1"/>
  <c r="H218" i="10" s="1"/>
  <c r="B155" i="10" a="1"/>
  <c r="B155" i="10" s="1"/>
  <c r="AS155" i="10" s="1"/>
  <c r="B209" i="10" a="1"/>
  <c r="B209" i="10" s="1"/>
  <c r="Z209" i="10" s="1" a="1"/>
  <c r="Z209" i="10" s="1"/>
  <c r="B149" i="10" a="1"/>
  <c r="B149" i="10" s="1"/>
  <c r="B203" i="10" a="1"/>
  <c r="B203" i="10" s="1"/>
  <c r="AP203" i="10" s="1" a="1"/>
  <c r="AP203" i="10" s="1"/>
  <c r="B140" i="10" a="1"/>
  <c r="B140" i="10" s="1"/>
  <c r="S140" i="10" s="1" a="1"/>
  <c r="S140" i="10" s="1"/>
  <c r="B197" i="10" a="1"/>
  <c r="B197" i="10" s="1"/>
  <c r="AS197" i="10" s="1"/>
  <c r="B134" i="10" a="1"/>
  <c r="B134" i="10" s="1"/>
  <c r="AO134" i="10" s="1" a="1"/>
  <c r="AO134" i="10" s="1"/>
  <c r="B248" i="10" a="1"/>
  <c r="B248" i="10" s="1"/>
  <c r="AK248" i="10" s="1" a="1"/>
  <c r="AK248" i="10" s="1"/>
  <c r="B185" i="10" a="1"/>
  <c r="B185" i="10" s="1"/>
  <c r="AS185" i="10" s="1"/>
  <c r="B128" i="10" a="1"/>
  <c r="B128" i="10" s="1"/>
  <c r="AS128" i="10" s="1"/>
  <c r="B242" i="10" a="1"/>
  <c r="B242" i="10" s="1"/>
  <c r="G242" i="10" s="1" a="1"/>
  <c r="G242" i="10" s="1"/>
  <c r="B179" i="10" a="1"/>
  <c r="B179" i="10" s="1"/>
  <c r="AP179" i="10" s="1" a="1"/>
  <c r="AP179" i="10" s="1"/>
  <c r="B116" i="10" a="1"/>
  <c r="B116" i="10" s="1"/>
  <c r="AB116" i="10" s="1" a="1"/>
  <c r="AB116" i="10" s="1"/>
  <c r="B230" i="10" a="1"/>
  <c r="B230" i="10" s="1"/>
  <c r="AO230" i="10" s="1" a="1"/>
  <c r="AO230" i="10" s="1"/>
  <c r="B173" i="10" a="1"/>
  <c r="B173" i="10" s="1"/>
  <c r="AS173" i="10" s="1"/>
  <c r="Z4" i="58884" a="1"/>
  <c r="Z4" i="58884" s="1"/>
  <c r="H163" i="58887" a="1"/>
  <c r="H163" i="58887" s="1"/>
  <c r="M163" i="58887" s="1"/>
  <c r="H156" i="58887" a="1"/>
  <c r="H156" i="58887" s="1"/>
  <c r="M156" i="58887" s="1"/>
  <c r="H147" i="58887" a="1"/>
  <c r="H147" i="58887" s="1"/>
  <c r="H143" i="58887" a="1"/>
  <c r="H143" i="58887" s="1"/>
  <c r="H139" i="58887" a="1"/>
  <c r="H139" i="58887" s="1"/>
  <c r="H135" i="58887" a="1"/>
  <c r="H135" i="58887" s="1"/>
  <c r="H131" i="58887" a="1"/>
  <c r="H131" i="58887" s="1"/>
  <c r="H42" i="58887" a="1"/>
  <c r="H42" i="58887" s="1"/>
  <c r="H39" i="58887" a="1"/>
  <c r="H39" i="58887" s="1"/>
  <c r="H38" i="58887" a="1"/>
  <c r="H38" i="58887" s="1"/>
  <c r="H35" i="58887" a="1"/>
  <c r="H35" i="58887" s="1"/>
  <c r="H155" i="58887" a="1"/>
  <c r="H155" i="58887" s="1"/>
  <c r="M155" i="58887" s="1"/>
  <c r="H154" i="58887" a="1"/>
  <c r="H154" i="58887" s="1"/>
  <c r="H151" i="58887" a="1"/>
  <c r="H151" i="58887" s="1"/>
  <c r="H166" i="58887" a="1"/>
  <c r="H166" i="58887" s="1"/>
  <c r="M166" i="58887" s="1"/>
  <c r="H162" i="58887" a="1"/>
  <c r="H162" i="58887" s="1"/>
  <c r="M162" i="58887" s="1"/>
  <c r="H150" i="58887" a="1"/>
  <c r="H150" i="58887" s="1"/>
  <c r="H165" i="58887" a="1"/>
  <c r="H165" i="58887" s="1"/>
  <c r="M165" i="58887" s="1"/>
  <c r="H159" i="58887" a="1"/>
  <c r="H159" i="58887" s="1"/>
  <c r="M159" i="58887" s="1"/>
  <c r="H149" i="58887" a="1"/>
  <c r="H149" i="58887" s="1"/>
  <c r="H145" i="58887" a="1"/>
  <c r="H145" i="58887" s="1"/>
  <c r="H141" i="58887" a="1"/>
  <c r="H141" i="58887" s="1"/>
  <c r="H137" i="58887" a="1"/>
  <c r="H137" i="58887" s="1"/>
  <c r="H40" i="58887" a="1"/>
  <c r="H40" i="58887" s="1"/>
  <c r="H158" i="58887" a="1"/>
  <c r="H158" i="58887" s="1"/>
  <c r="M158" i="58887" s="1"/>
  <c r="H148" i="58887" a="1"/>
  <c r="H148" i="58887" s="1"/>
  <c r="H144" i="58887" a="1"/>
  <c r="H144" i="58887" s="1"/>
  <c r="H140" i="58887" a="1"/>
  <c r="H140" i="58887" s="1"/>
  <c r="H136" i="58887" a="1"/>
  <c r="H136" i="58887" s="1"/>
  <c r="H32" i="58887" a="1"/>
  <c r="H32" i="58887" s="1"/>
  <c r="H164" i="58887" a="1"/>
  <c r="H164" i="58887" s="1"/>
  <c r="M164" i="58887" s="1"/>
  <c r="H161" i="58887" a="1"/>
  <c r="H161" i="58887" s="1"/>
  <c r="M161" i="58887" s="1"/>
  <c r="H157" i="58887" a="1"/>
  <c r="H157" i="58887" s="1"/>
  <c r="M157" i="58887" s="1"/>
  <c r="H44" i="58887" a="1"/>
  <c r="H44" i="58887" s="1"/>
  <c r="H43" i="58887" a="1"/>
  <c r="H43" i="58887" s="1"/>
  <c r="M43" i="58887" s="1"/>
  <c r="H132" i="58887" a="1"/>
  <c r="H132" i="58887" s="1"/>
  <c r="K132" i="58887" s="1"/>
  <c r="K133" i="58887" s="1"/>
  <c r="O133" i="58887" s="1"/>
  <c r="T133" i="58887" s="1" a="1"/>
  <c r="T133" i="58887" s="1"/>
  <c r="H130" i="58887" a="1"/>
  <c r="H130" i="58887" s="1"/>
  <c r="H36" i="58887" a="1"/>
  <c r="H36" i="58887" s="1"/>
  <c r="H146" i="58887" a="1"/>
  <c r="H146" i="58887" s="1"/>
  <c r="H153" i="58887" a="1"/>
  <c r="H153" i="58887" s="1"/>
  <c r="H25" i="58887" a="1"/>
  <c r="H25" i="58887" s="1"/>
  <c r="H21" i="58887" a="1"/>
  <c r="H21" i="58887" s="1"/>
  <c r="H18" i="58887" a="1"/>
  <c r="H18" i="58887" s="1"/>
  <c r="H14" i="58887" a="1"/>
  <c r="H14" i="58887" s="1"/>
  <c r="H11" i="58887" a="1"/>
  <c r="H11" i="58887" s="1"/>
  <c r="H160" i="58887" a="1"/>
  <c r="H160" i="58887" s="1"/>
  <c r="M160" i="58887" s="1"/>
  <c r="H142" i="58887" a="1"/>
  <c r="H142" i="58887" s="1"/>
  <c r="H46" i="58887" a="1"/>
  <c r="H46" i="58887" s="1"/>
  <c r="H24" i="58887" a="1"/>
  <c r="H24" i="58887" s="1"/>
  <c r="H23" i="58887" a="1"/>
  <c r="H23" i="58887" s="1"/>
  <c r="H20" i="58887" a="1"/>
  <c r="H20" i="58887" s="1"/>
  <c r="H10" i="58887" a="1"/>
  <c r="H10" i="58887" s="1"/>
  <c r="H138" i="58887" a="1"/>
  <c r="H138" i="58887" s="1"/>
  <c r="H133" i="58887" a="1"/>
  <c r="H133" i="58887" s="1"/>
  <c r="H34" i="58887" a="1"/>
  <c r="H34" i="58887" s="1"/>
  <c r="H33" i="58887" a="1"/>
  <c r="H33" i="58887" s="1"/>
  <c r="H30" i="58887" a="1"/>
  <c r="H30" i="58887" s="1"/>
  <c r="H134" i="58887" a="1"/>
  <c r="H134" i="58887" s="1"/>
  <c r="H31" i="58887" a="1"/>
  <c r="H31" i="58887" s="1"/>
  <c r="H28" i="58887" a="1"/>
  <c r="H28" i="58887" s="1"/>
  <c r="H22" i="58887" a="1"/>
  <c r="H22" i="58887" s="1"/>
  <c r="H19" i="58887" a="1"/>
  <c r="H19" i="58887" s="1"/>
  <c r="M19" i="58887" s="1"/>
  <c r="H37" i="58887" a="1"/>
  <c r="H37" i="58887" s="1"/>
  <c r="H27" i="58887" a="1"/>
  <c r="H27" i="58887" s="1"/>
  <c r="M27" i="58887" s="1"/>
  <c r="I6" i="5" a="1"/>
  <c r="I6" i="5" s="1"/>
  <c r="M6" i="5" a="1"/>
  <c r="M6" i="5" s="1"/>
  <c r="Q6" i="5" a="1"/>
  <c r="Q6" i="5" s="1"/>
  <c r="U6" i="5" a="1"/>
  <c r="U6" i="5" s="1"/>
  <c r="Y6" i="5" a="1"/>
  <c r="Y6" i="5" s="1"/>
  <c r="L7" i="5" a="1"/>
  <c r="L7" i="5" s="1"/>
  <c r="P7" i="5" a="1"/>
  <c r="P7" i="5" s="1"/>
  <c r="T7" i="5" a="1"/>
  <c r="T7" i="5" s="1"/>
  <c r="X7" i="5" a="1"/>
  <c r="X7" i="5" s="1"/>
  <c r="K8" i="5" a="1"/>
  <c r="K8" i="5" s="1"/>
  <c r="O8" i="5" a="1"/>
  <c r="O8" i="5" s="1"/>
  <c r="S8" i="5" a="1"/>
  <c r="S8" i="5" s="1"/>
  <c r="W8" i="5" a="1"/>
  <c r="W8" i="5" s="1"/>
  <c r="J9" i="5" a="1"/>
  <c r="J9" i="5" s="1"/>
  <c r="N9" i="5" a="1"/>
  <c r="N9" i="5" s="1"/>
  <c r="R9" i="5" a="1"/>
  <c r="R9" i="5" s="1"/>
  <c r="V9" i="5" a="1"/>
  <c r="V9" i="5" s="1"/>
  <c r="I10" i="5" a="1"/>
  <c r="I10" i="5" s="1"/>
  <c r="M10" i="5" a="1"/>
  <c r="M10" i="5" s="1"/>
  <c r="Q10" i="5" a="1"/>
  <c r="Q10" i="5" s="1"/>
  <c r="U10" i="5" a="1"/>
  <c r="U10" i="5" s="1"/>
  <c r="Y10" i="5" a="1"/>
  <c r="Y10" i="5" s="1"/>
  <c r="L11" i="5" a="1"/>
  <c r="L11" i="5" s="1"/>
  <c r="P11" i="5" a="1"/>
  <c r="P11" i="5" s="1"/>
  <c r="T11" i="5" a="1"/>
  <c r="T11" i="5" s="1"/>
  <c r="X11" i="5" a="1"/>
  <c r="X11" i="5" s="1"/>
  <c r="K12" i="5" a="1"/>
  <c r="K12" i="5" s="1"/>
  <c r="O12" i="5" a="1"/>
  <c r="O12" i="5" s="1"/>
  <c r="S12" i="5" a="1"/>
  <c r="S12" i="5" s="1"/>
  <c r="W12" i="5" a="1"/>
  <c r="W12" i="5" s="1"/>
  <c r="J13" i="5" a="1"/>
  <c r="J13" i="5" s="1"/>
  <c r="N13" i="5" a="1"/>
  <c r="N13" i="5" s="1"/>
  <c r="R13" i="5" a="1"/>
  <c r="R13" i="5" s="1"/>
  <c r="V13" i="5" a="1"/>
  <c r="V13" i="5" s="1"/>
  <c r="I14" i="5" a="1"/>
  <c r="I14" i="5" s="1"/>
  <c r="M14" i="5" a="1"/>
  <c r="M14" i="5" s="1"/>
  <c r="Q14" i="5" a="1"/>
  <c r="Q14" i="5" s="1"/>
  <c r="U14" i="5" a="1"/>
  <c r="U14" i="5" s="1"/>
  <c r="Y14" i="5" a="1"/>
  <c r="Y14" i="5" s="1"/>
  <c r="L15" i="5" a="1"/>
  <c r="L15" i="5" s="1"/>
  <c r="P15" i="5" a="1"/>
  <c r="P15" i="5" s="1"/>
  <c r="T15" i="5" a="1"/>
  <c r="T15" i="5" s="1"/>
  <c r="X15" i="5" a="1"/>
  <c r="X15" i="5" s="1"/>
  <c r="K16" i="5" a="1"/>
  <c r="K16" i="5" s="1"/>
  <c r="O16" i="5" a="1"/>
  <c r="O16" i="5" s="1"/>
  <c r="S16" i="5" a="1"/>
  <c r="S16" i="5" s="1"/>
  <c r="W16" i="5" a="1"/>
  <c r="W16" i="5" s="1"/>
  <c r="J17" i="5" a="1"/>
  <c r="J17" i="5" s="1"/>
  <c r="N17" i="5" a="1"/>
  <c r="N17" i="5" s="1"/>
  <c r="R17" i="5" a="1"/>
  <c r="R17" i="5" s="1"/>
  <c r="V17" i="5" a="1"/>
  <c r="V17" i="5" s="1"/>
  <c r="I18" i="5" a="1"/>
  <c r="I18" i="5" s="1"/>
  <c r="M18" i="5" a="1"/>
  <c r="M18" i="5" s="1"/>
  <c r="Q18" i="5" a="1"/>
  <c r="Q18" i="5" s="1"/>
  <c r="U18" i="5" a="1"/>
  <c r="U18" i="5" s="1"/>
  <c r="Y18" i="5" a="1"/>
  <c r="Y18" i="5" s="1"/>
  <c r="L19" i="5" a="1"/>
  <c r="L19" i="5" s="1"/>
  <c r="P19" i="5" a="1"/>
  <c r="P19" i="5" s="1"/>
  <c r="T19" i="5" a="1"/>
  <c r="T19" i="5" s="1"/>
  <c r="X19" i="5" a="1"/>
  <c r="X19" i="5" s="1"/>
  <c r="K20" i="5" a="1"/>
  <c r="K20" i="5" s="1"/>
  <c r="O20" i="5" a="1"/>
  <c r="O20" i="5" s="1"/>
  <c r="S20" i="5" a="1"/>
  <c r="S20" i="5" s="1"/>
  <c r="W20" i="5" a="1"/>
  <c r="W20" i="5" s="1"/>
  <c r="J21" i="5" a="1"/>
  <c r="J21" i="5" s="1"/>
  <c r="N21" i="5" a="1"/>
  <c r="N21" i="5" s="1"/>
  <c r="R21" i="5" a="1"/>
  <c r="R21" i="5" s="1"/>
  <c r="V21" i="5" a="1"/>
  <c r="V21" i="5" s="1"/>
  <c r="I22" i="5" a="1"/>
  <c r="I22" i="5" s="1"/>
  <c r="M22" i="5" a="1"/>
  <c r="M22" i="5" s="1"/>
  <c r="Q22" i="5" a="1"/>
  <c r="Q22" i="5" s="1"/>
  <c r="U22" i="5" a="1"/>
  <c r="U22" i="5" s="1"/>
  <c r="Y22" i="5" a="1"/>
  <c r="Y22" i="5" s="1"/>
  <c r="L23" i="5" a="1"/>
  <c r="L23" i="5" s="1"/>
  <c r="P23" i="5" a="1"/>
  <c r="P23" i="5" s="1"/>
  <c r="T23" i="5" a="1"/>
  <c r="T23" i="5" s="1"/>
  <c r="X23" i="5" a="1"/>
  <c r="X23" i="5" s="1"/>
  <c r="K24" i="5" a="1"/>
  <c r="K24" i="5" s="1"/>
  <c r="O24" i="5" a="1"/>
  <c r="O24" i="5" s="1"/>
  <c r="S24" i="5" a="1"/>
  <c r="S24" i="5" s="1"/>
  <c r="W24" i="5" a="1"/>
  <c r="W24" i="5" s="1"/>
  <c r="J25" i="5" a="1"/>
  <c r="J25" i="5" s="1"/>
  <c r="N25" i="5" a="1"/>
  <c r="N25" i="5" s="1"/>
  <c r="R25" i="5" a="1"/>
  <c r="R25" i="5" s="1"/>
  <c r="V25" i="5" a="1"/>
  <c r="V25" i="5" s="1"/>
  <c r="I26" i="5" a="1"/>
  <c r="I26" i="5" s="1"/>
  <c r="M26" i="5" a="1"/>
  <c r="M26" i="5" s="1"/>
  <c r="Q26" i="5" a="1"/>
  <c r="Q26" i="5" s="1"/>
  <c r="U26" i="5" a="1"/>
  <c r="U26" i="5" s="1"/>
  <c r="Y26" i="5" a="1"/>
  <c r="Y26" i="5" s="1"/>
  <c r="L27" i="5" a="1"/>
  <c r="L27" i="5" s="1"/>
  <c r="P27" i="5" a="1"/>
  <c r="P27" i="5" s="1"/>
  <c r="T27" i="5" a="1"/>
  <c r="T27" i="5" s="1"/>
  <c r="X27" i="5" a="1"/>
  <c r="X27" i="5" s="1"/>
  <c r="K28" i="5" a="1"/>
  <c r="K28" i="5" s="1"/>
  <c r="O28" i="5" a="1"/>
  <c r="O28" i="5" s="1"/>
  <c r="S28" i="5" a="1"/>
  <c r="S28" i="5" s="1"/>
  <c r="W28" i="5" a="1"/>
  <c r="W28" i="5" s="1"/>
  <c r="J29" i="5" a="1"/>
  <c r="J29" i="5" s="1"/>
  <c r="N29" i="5" a="1"/>
  <c r="N29" i="5" s="1"/>
  <c r="R29" i="5" a="1"/>
  <c r="R29" i="5" s="1"/>
  <c r="V29" i="5" a="1"/>
  <c r="V29" i="5" s="1"/>
  <c r="I30" i="5" a="1"/>
  <c r="I30" i="5" s="1"/>
  <c r="M30" i="5" a="1"/>
  <c r="M30" i="5" s="1"/>
  <c r="Q30" i="5" a="1"/>
  <c r="Q30" i="5" s="1"/>
  <c r="U30" i="5" a="1"/>
  <c r="U30" i="5" s="1"/>
  <c r="Y30" i="5" a="1"/>
  <c r="Y30" i="5" s="1"/>
  <c r="L31" i="5" a="1"/>
  <c r="L31" i="5" s="1"/>
  <c r="Q31" i="5" a="1"/>
  <c r="Q31" i="5" s="1"/>
  <c r="W31" i="5" a="1"/>
  <c r="W31" i="5" s="1"/>
  <c r="R32" i="5" a="1"/>
  <c r="R32" i="5" s="1"/>
  <c r="X32" i="5" a="1"/>
  <c r="X32" i="5" s="1"/>
  <c r="N33" i="5" a="1"/>
  <c r="N33" i="5" s="1"/>
  <c r="T33" i="5" a="1"/>
  <c r="T33" i="5" s="1"/>
  <c r="P34" i="5" a="1"/>
  <c r="P34" i="5" s="1"/>
  <c r="V34" i="5" a="1"/>
  <c r="V34" i="5" s="1"/>
  <c r="L35" i="5" a="1"/>
  <c r="L35" i="5" s="1"/>
  <c r="R35" i="5" a="1"/>
  <c r="R35" i="5" s="1"/>
  <c r="N36" i="5" a="1"/>
  <c r="N36" i="5" s="1"/>
  <c r="T36" i="5" a="1"/>
  <c r="T36" i="5" s="1"/>
  <c r="J37" i="5" a="1"/>
  <c r="J37" i="5" s="1"/>
  <c r="P37" i="5" a="1"/>
  <c r="P37" i="5" s="1"/>
  <c r="L38" i="5" a="1"/>
  <c r="L38" i="5" s="1"/>
  <c r="R38" i="5" a="1"/>
  <c r="R38" i="5" s="1"/>
  <c r="Y38" i="5" a="1"/>
  <c r="Y38" i="5" s="1"/>
  <c r="N39" i="5" a="1"/>
  <c r="N39" i="5" s="1"/>
  <c r="J40" i="5" a="1"/>
  <c r="J40" i="5" s="1"/>
  <c r="P40" i="5" a="1"/>
  <c r="P40" i="5" s="1"/>
  <c r="F277" i="5" a="1"/>
  <c r="F277" i="5" s="1"/>
  <c r="F287" i="5" a="1"/>
  <c r="F287" i="5" s="1"/>
  <c r="R31" i="5" a="1"/>
  <c r="R31" i="5" s="1"/>
  <c r="L32" i="5" a="1"/>
  <c r="L32" i="5" s="1"/>
  <c r="S32" i="5" a="1"/>
  <c r="S32" i="5" s="1"/>
  <c r="Y32" i="5" a="1"/>
  <c r="Y32" i="5" s="1"/>
  <c r="U33" i="5" a="1"/>
  <c r="U33" i="5" s="1"/>
  <c r="J34" i="5" a="1"/>
  <c r="J34" i="5" s="1"/>
  <c r="Q34" i="5" a="1"/>
  <c r="Q34" i="5" s="1"/>
  <c r="W34" i="5" a="1"/>
  <c r="W34" i="5" s="1"/>
  <c r="S35" i="5" a="1"/>
  <c r="S35" i="5" s="1"/>
  <c r="Y35" i="5" a="1"/>
  <c r="Y35" i="5" s="1"/>
  <c r="O36" i="5" a="1"/>
  <c r="O36" i="5" s="1"/>
  <c r="U36" i="5" a="1"/>
  <c r="U36" i="5" s="1"/>
  <c r="Q37" i="5" a="1"/>
  <c r="Q37" i="5" s="1"/>
  <c r="W37" i="5" a="1"/>
  <c r="W37" i="5" s="1"/>
  <c r="M38" i="5" a="1"/>
  <c r="M38" i="5" s="1"/>
  <c r="S38" i="5" a="1"/>
  <c r="S38" i="5" s="1"/>
  <c r="O39" i="5" a="1"/>
  <c r="O39" i="5" s="1"/>
  <c r="U39" i="5" a="1"/>
  <c r="U39" i="5" s="1"/>
  <c r="K40" i="5" a="1"/>
  <c r="K40" i="5" s="1"/>
  <c r="Q40" i="5" a="1"/>
  <c r="Q40" i="5" s="1"/>
  <c r="X40" i="5" a="1"/>
  <c r="X40" i="5" s="1"/>
  <c r="F263" i="5" a="1"/>
  <c r="F263" i="5" s="1"/>
  <c r="F273" i="5" a="1"/>
  <c r="F273" i="5" s="1"/>
  <c r="F283" i="5" a="1"/>
  <c r="F283" i="5" s="1"/>
  <c r="J6" i="5" a="1"/>
  <c r="J6" i="5" s="1"/>
  <c r="N6" i="5" a="1"/>
  <c r="N6" i="5" s="1"/>
  <c r="R6" i="5" a="1"/>
  <c r="R6" i="5" s="1"/>
  <c r="V6" i="5" a="1"/>
  <c r="V6" i="5" s="1"/>
  <c r="I7" i="5" a="1"/>
  <c r="I7" i="5" s="1"/>
  <c r="M7" i="5" a="1"/>
  <c r="M7" i="5" s="1"/>
  <c r="Q7" i="5" a="1"/>
  <c r="Q7" i="5" s="1"/>
  <c r="U7" i="5" a="1"/>
  <c r="U7" i="5" s="1"/>
  <c r="Y7" i="5" a="1"/>
  <c r="Y7" i="5" s="1"/>
  <c r="L8" i="5" a="1"/>
  <c r="L8" i="5" s="1"/>
  <c r="P8" i="5" a="1"/>
  <c r="P8" i="5" s="1"/>
  <c r="T8" i="5" a="1"/>
  <c r="T8" i="5" s="1"/>
  <c r="X8" i="5" a="1"/>
  <c r="X8" i="5" s="1"/>
  <c r="K9" i="5" a="1"/>
  <c r="K9" i="5" s="1"/>
  <c r="O9" i="5" a="1"/>
  <c r="O9" i="5" s="1"/>
  <c r="S9" i="5" a="1"/>
  <c r="S9" i="5" s="1"/>
  <c r="W9" i="5" a="1"/>
  <c r="W9" i="5" s="1"/>
  <c r="J10" i="5" a="1"/>
  <c r="J10" i="5" s="1"/>
  <c r="N10" i="5" a="1"/>
  <c r="N10" i="5" s="1"/>
  <c r="R10" i="5" a="1"/>
  <c r="R10" i="5" s="1"/>
  <c r="V10" i="5" a="1"/>
  <c r="V10" i="5" s="1"/>
  <c r="I11" i="5" a="1"/>
  <c r="I11" i="5" s="1"/>
  <c r="M11" i="5" a="1"/>
  <c r="M11" i="5" s="1"/>
  <c r="Q11" i="5" a="1"/>
  <c r="Q11" i="5" s="1"/>
  <c r="U11" i="5" a="1"/>
  <c r="U11" i="5" s="1"/>
  <c r="Y11" i="5" a="1"/>
  <c r="Y11" i="5" s="1"/>
  <c r="L12" i="5" a="1"/>
  <c r="L12" i="5" s="1"/>
  <c r="P12" i="5" a="1"/>
  <c r="P12" i="5" s="1"/>
  <c r="T12" i="5" a="1"/>
  <c r="T12" i="5" s="1"/>
  <c r="X12" i="5" a="1"/>
  <c r="X12" i="5" s="1"/>
  <c r="K13" i="5" a="1"/>
  <c r="K13" i="5" s="1"/>
  <c r="O13" i="5" a="1"/>
  <c r="O13" i="5" s="1"/>
  <c r="S13" i="5" a="1"/>
  <c r="S13" i="5" s="1"/>
  <c r="W13" i="5" a="1"/>
  <c r="W13" i="5" s="1"/>
  <c r="J14" i="5" a="1"/>
  <c r="J14" i="5" s="1"/>
  <c r="N14" i="5" a="1"/>
  <c r="N14" i="5" s="1"/>
  <c r="R14" i="5" a="1"/>
  <c r="R14" i="5" s="1"/>
  <c r="V14" i="5" a="1"/>
  <c r="V14" i="5" s="1"/>
  <c r="I15" i="5" a="1"/>
  <c r="I15" i="5" s="1"/>
  <c r="M15" i="5" a="1"/>
  <c r="M15" i="5" s="1"/>
  <c r="Q15" i="5" a="1"/>
  <c r="Q15" i="5" s="1"/>
  <c r="U15" i="5" a="1"/>
  <c r="U15" i="5" s="1"/>
  <c r="Y15" i="5" a="1"/>
  <c r="Y15" i="5" s="1"/>
  <c r="L16" i="5" a="1"/>
  <c r="L16" i="5" s="1"/>
  <c r="P16" i="5" a="1"/>
  <c r="P16" i="5" s="1"/>
  <c r="T16" i="5" a="1"/>
  <c r="T16" i="5" s="1"/>
  <c r="X16" i="5" a="1"/>
  <c r="X16" i="5" s="1"/>
  <c r="K17" i="5" a="1"/>
  <c r="K17" i="5" s="1"/>
  <c r="O17" i="5" a="1"/>
  <c r="O17" i="5" s="1"/>
  <c r="S17" i="5" a="1"/>
  <c r="S17" i="5" s="1"/>
  <c r="W17" i="5" a="1"/>
  <c r="W17" i="5" s="1"/>
  <c r="J18" i="5" a="1"/>
  <c r="J18" i="5" s="1"/>
  <c r="N18" i="5" a="1"/>
  <c r="N18" i="5" s="1"/>
  <c r="R18" i="5" a="1"/>
  <c r="R18" i="5" s="1"/>
  <c r="V18" i="5" a="1"/>
  <c r="V18" i="5" s="1"/>
  <c r="I19" i="5" a="1"/>
  <c r="I19" i="5" s="1"/>
  <c r="M19" i="5" a="1"/>
  <c r="M19" i="5" s="1"/>
  <c r="Q19" i="5" a="1"/>
  <c r="Q19" i="5" s="1"/>
  <c r="U19" i="5" a="1"/>
  <c r="U19" i="5" s="1"/>
  <c r="Y19" i="5" a="1"/>
  <c r="Y19" i="5" s="1"/>
  <c r="L20" i="5" a="1"/>
  <c r="L20" i="5" s="1"/>
  <c r="P20" i="5" a="1"/>
  <c r="P20" i="5" s="1"/>
  <c r="T20" i="5" a="1"/>
  <c r="T20" i="5" s="1"/>
  <c r="X20" i="5" a="1"/>
  <c r="X20" i="5" s="1"/>
  <c r="K21" i="5" a="1"/>
  <c r="K21" i="5" s="1"/>
  <c r="O21" i="5" a="1"/>
  <c r="O21" i="5" s="1"/>
  <c r="S21" i="5" a="1"/>
  <c r="S21" i="5" s="1"/>
  <c r="W21" i="5" a="1"/>
  <c r="W21" i="5" s="1"/>
  <c r="J22" i="5" a="1"/>
  <c r="J22" i="5" s="1"/>
  <c r="N22" i="5" a="1"/>
  <c r="N22" i="5" s="1"/>
  <c r="R22" i="5" a="1"/>
  <c r="R22" i="5" s="1"/>
  <c r="V22" i="5" a="1"/>
  <c r="V22" i="5" s="1"/>
  <c r="I23" i="5" a="1"/>
  <c r="I23" i="5" s="1"/>
  <c r="M23" i="5" a="1"/>
  <c r="M23" i="5" s="1"/>
  <c r="Q23" i="5" a="1"/>
  <c r="Q23" i="5" s="1"/>
  <c r="U23" i="5" a="1"/>
  <c r="U23" i="5" s="1"/>
  <c r="Y23" i="5" a="1"/>
  <c r="Y23" i="5" s="1"/>
  <c r="L24" i="5" a="1"/>
  <c r="L24" i="5" s="1"/>
  <c r="P24" i="5" a="1"/>
  <c r="P24" i="5" s="1"/>
  <c r="T24" i="5" a="1"/>
  <c r="T24" i="5" s="1"/>
  <c r="X24" i="5" a="1"/>
  <c r="X24" i="5" s="1"/>
  <c r="K25" i="5" a="1"/>
  <c r="K25" i="5" s="1"/>
  <c r="O25" i="5" a="1"/>
  <c r="O25" i="5" s="1"/>
  <c r="S25" i="5" a="1"/>
  <c r="S25" i="5" s="1"/>
  <c r="W25" i="5" a="1"/>
  <c r="W25" i="5" s="1"/>
  <c r="J26" i="5" a="1"/>
  <c r="J26" i="5" s="1"/>
  <c r="N26" i="5" a="1"/>
  <c r="N26" i="5" s="1"/>
  <c r="R26" i="5" a="1"/>
  <c r="R26" i="5" s="1"/>
  <c r="V26" i="5" a="1"/>
  <c r="V26" i="5" s="1"/>
  <c r="I27" i="5" a="1"/>
  <c r="I27" i="5" s="1"/>
  <c r="M27" i="5" a="1"/>
  <c r="M27" i="5" s="1"/>
  <c r="Q27" i="5" a="1"/>
  <c r="Q27" i="5" s="1"/>
  <c r="U27" i="5" a="1"/>
  <c r="U27" i="5" s="1"/>
  <c r="Y27" i="5" a="1"/>
  <c r="Y27" i="5" s="1"/>
  <c r="L28" i="5" a="1"/>
  <c r="L28" i="5" s="1"/>
  <c r="P28" i="5" a="1"/>
  <c r="P28" i="5" s="1"/>
  <c r="T28" i="5" a="1"/>
  <c r="T28" i="5" s="1"/>
  <c r="X28" i="5" a="1"/>
  <c r="X28" i="5" s="1"/>
  <c r="K29" i="5" a="1"/>
  <c r="K29" i="5" s="1"/>
  <c r="O29" i="5" a="1"/>
  <c r="O29" i="5" s="1"/>
  <c r="S29" i="5" a="1"/>
  <c r="S29" i="5" s="1"/>
  <c r="W29" i="5" a="1"/>
  <c r="W29" i="5" s="1"/>
  <c r="J30" i="5" a="1"/>
  <c r="J30" i="5" s="1"/>
  <c r="N30" i="5" a="1"/>
  <c r="N30" i="5" s="1"/>
  <c r="R30" i="5" a="1"/>
  <c r="R30" i="5" s="1"/>
  <c r="V30" i="5" a="1"/>
  <c r="V30" i="5" s="1"/>
  <c r="I31" i="5" a="1"/>
  <c r="I31" i="5" s="1"/>
  <c r="M31" i="5" a="1"/>
  <c r="M31" i="5" s="1"/>
  <c r="S31" i="5" a="1"/>
  <c r="S31" i="5" s="1"/>
  <c r="X31" i="5" a="1"/>
  <c r="X31" i="5" s="1"/>
  <c r="M32" i="5" a="1"/>
  <c r="M32" i="5" s="1"/>
  <c r="I33" i="5" a="1"/>
  <c r="I33" i="5" s="1"/>
  <c r="O33" i="5" a="1"/>
  <c r="O33" i="5" s="1"/>
  <c r="V33" i="5" a="1"/>
  <c r="V33" i="5" s="1"/>
  <c r="K34" i="5" a="1"/>
  <c r="K34" i="5" s="1"/>
  <c r="X34" i="5" a="1"/>
  <c r="X34" i="5" s="1"/>
  <c r="M35" i="5" a="1"/>
  <c r="M35" i="5" s="1"/>
  <c r="T35" i="5" a="1"/>
  <c r="T35" i="5" s="1"/>
  <c r="I36" i="5" a="1"/>
  <c r="I36" i="5" s="1"/>
  <c r="V36" i="5" a="1"/>
  <c r="V36" i="5" s="1"/>
  <c r="K37" i="5" a="1"/>
  <c r="K37" i="5" s="1"/>
  <c r="R37" i="5" a="1"/>
  <c r="R37" i="5" s="1"/>
  <c r="X37" i="5" a="1"/>
  <c r="X37" i="5" s="1"/>
  <c r="T38" i="5" a="1"/>
  <c r="T38" i="5" s="1"/>
  <c r="I39" i="5" a="1"/>
  <c r="I39" i="5" s="1"/>
  <c r="P39" i="5" a="1"/>
  <c r="P39" i="5" s="1"/>
  <c r="V39" i="5" a="1"/>
  <c r="V39" i="5" s="1"/>
  <c r="R40" i="5" a="1"/>
  <c r="R40" i="5" s="1"/>
  <c r="N31" i="5" a="1"/>
  <c r="N31" i="5" s="1"/>
  <c r="N32" i="5" a="1"/>
  <c r="N32" i="5" s="1"/>
  <c r="T32" i="5" a="1"/>
  <c r="T32" i="5" s="1"/>
  <c r="J33" i="5" a="1"/>
  <c r="J33" i="5" s="1"/>
  <c r="P33" i="5" a="1"/>
  <c r="P33" i="5" s="1"/>
  <c r="L34" i="5" a="1"/>
  <c r="L34" i="5" s="1"/>
  <c r="R34" i="5" a="1"/>
  <c r="R34" i="5" s="1"/>
  <c r="Y34" i="5" a="1"/>
  <c r="Y34" i="5" s="1"/>
  <c r="N35" i="5" a="1"/>
  <c r="N35" i="5" s="1"/>
  <c r="J36" i="5" a="1"/>
  <c r="J36" i="5" s="1"/>
  <c r="P36" i="5" a="1"/>
  <c r="P36" i="5" s="1"/>
  <c r="W36" i="5" a="1"/>
  <c r="W36" i="5" s="1"/>
  <c r="L37" i="5" a="1"/>
  <c r="L37" i="5" s="1"/>
  <c r="Y37" i="5" a="1"/>
  <c r="Y37" i="5" s="1"/>
  <c r="N38" i="5" a="1"/>
  <c r="N38" i="5" s="1"/>
  <c r="U38" i="5" a="1"/>
  <c r="U38" i="5" s="1"/>
  <c r="J39" i="5" a="1"/>
  <c r="J39" i="5" s="1"/>
  <c r="W39" i="5" a="1"/>
  <c r="W39" i="5" s="1"/>
  <c r="L40" i="5" a="1"/>
  <c r="L40" i="5" s="1"/>
  <c r="F269" i="5" a="1"/>
  <c r="F269" i="5" s="1"/>
  <c r="F279" i="5" a="1"/>
  <c r="F279" i="5" s="1"/>
  <c r="F289" i="5" a="1"/>
  <c r="F289" i="5" s="1"/>
  <c r="W40" i="5" a="1"/>
  <c r="W40" i="5" s="1"/>
  <c r="Y40" i="5" a="1"/>
  <c r="Y40" i="5" s="1"/>
  <c r="K6" i="5" a="1"/>
  <c r="K6" i="5" s="1"/>
  <c r="O6" i="5" a="1"/>
  <c r="O6" i="5" s="1"/>
  <c r="S6" i="5" a="1"/>
  <c r="S6" i="5" s="1"/>
  <c r="W6" i="5" a="1"/>
  <c r="W6" i="5" s="1"/>
  <c r="J7" i="5" a="1"/>
  <c r="J7" i="5" s="1"/>
  <c r="N7" i="5" a="1"/>
  <c r="N7" i="5" s="1"/>
  <c r="R7" i="5" a="1"/>
  <c r="R7" i="5" s="1"/>
  <c r="V7" i="5" a="1"/>
  <c r="V7" i="5" s="1"/>
  <c r="I8" i="5" a="1"/>
  <c r="I8" i="5" s="1"/>
  <c r="M8" i="5" a="1"/>
  <c r="M8" i="5" s="1"/>
  <c r="Q8" i="5" a="1"/>
  <c r="Q8" i="5" s="1"/>
  <c r="U8" i="5" a="1"/>
  <c r="U8" i="5" s="1"/>
  <c r="Y8" i="5" a="1"/>
  <c r="Y8" i="5" s="1"/>
  <c r="L9" i="5" a="1"/>
  <c r="L9" i="5" s="1"/>
  <c r="P9" i="5" a="1"/>
  <c r="P9" i="5" s="1"/>
  <c r="T9" i="5" a="1"/>
  <c r="T9" i="5" s="1"/>
  <c r="X9" i="5" a="1"/>
  <c r="X9" i="5" s="1"/>
  <c r="K10" i="5" a="1"/>
  <c r="K10" i="5" s="1"/>
  <c r="O10" i="5" a="1"/>
  <c r="O10" i="5" s="1"/>
  <c r="S10" i="5" a="1"/>
  <c r="S10" i="5" s="1"/>
  <c r="W10" i="5" a="1"/>
  <c r="W10" i="5" s="1"/>
  <c r="J11" i="5" a="1"/>
  <c r="J11" i="5" s="1"/>
  <c r="N11" i="5" a="1"/>
  <c r="N11" i="5" s="1"/>
  <c r="R11" i="5" a="1"/>
  <c r="R11" i="5" s="1"/>
  <c r="V11" i="5" a="1"/>
  <c r="V11" i="5" s="1"/>
  <c r="I12" i="5" a="1"/>
  <c r="I12" i="5" s="1"/>
  <c r="M12" i="5" a="1"/>
  <c r="M12" i="5" s="1"/>
  <c r="Q12" i="5" a="1"/>
  <c r="Q12" i="5" s="1"/>
  <c r="U12" i="5" a="1"/>
  <c r="U12" i="5" s="1"/>
  <c r="Y12" i="5" a="1"/>
  <c r="Y12" i="5" s="1"/>
  <c r="L13" i="5" a="1"/>
  <c r="L13" i="5" s="1"/>
  <c r="P13" i="5" a="1"/>
  <c r="P13" i="5" s="1"/>
  <c r="T13" i="5" a="1"/>
  <c r="T13" i="5" s="1"/>
  <c r="X13" i="5" a="1"/>
  <c r="X13" i="5" s="1"/>
  <c r="K14" i="5" a="1"/>
  <c r="K14" i="5" s="1"/>
  <c r="O14" i="5" a="1"/>
  <c r="O14" i="5" s="1"/>
  <c r="S14" i="5" a="1"/>
  <c r="S14" i="5" s="1"/>
  <c r="W14" i="5" a="1"/>
  <c r="W14" i="5" s="1"/>
  <c r="J15" i="5" a="1"/>
  <c r="J15" i="5" s="1"/>
  <c r="N15" i="5" a="1"/>
  <c r="N15" i="5" s="1"/>
  <c r="R15" i="5" a="1"/>
  <c r="R15" i="5" s="1"/>
  <c r="V15" i="5" a="1"/>
  <c r="V15" i="5" s="1"/>
  <c r="I16" i="5" a="1"/>
  <c r="I16" i="5" s="1"/>
  <c r="M16" i="5" a="1"/>
  <c r="M16" i="5" s="1"/>
  <c r="Q16" i="5" a="1"/>
  <c r="Q16" i="5" s="1"/>
  <c r="U16" i="5" a="1"/>
  <c r="U16" i="5" s="1"/>
  <c r="Y16" i="5" a="1"/>
  <c r="Y16" i="5" s="1"/>
  <c r="L17" i="5" a="1"/>
  <c r="L17" i="5" s="1"/>
  <c r="P17" i="5" a="1"/>
  <c r="P17" i="5" s="1"/>
  <c r="T17" i="5" a="1"/>
  <c r="T17" i="5" s="1"/>
  <c r="X17" i="5" a="1"/>
  <c r="X17" i="5" s="1"/>
  <c r="K18" i="5" a="1"/>
  <c r="K18" i="5" s="1"/>
  <c r="O18" i="5" a="1"/>
  <c r="O18" i="5" s="1"/>
  <c r="S18" i="5" a="1"/>
  <c r="S18" i="5" s="1"/>
  <c r="W18" i="5" a="1"/>
  <c r="W18" i="5" s="1"/>
  <c r="J19" i="5" a="1"/>
  <c r="J19" i="5" s="1"/>
  <c r="N19" i="5" a="1"/>
  <c r="N19" i="5" s="1"/>
  <c r="R19" i="5" a="1"/>
  <c r="R19" i="5" s="1"/>
  <c r="V19" i="5" a="1"/>
  <c r="V19" i="5" s="1"/>
  <c r="I20" i="5" a="1"/>
  <c r="I20" i="5" s="1"/>
  <c r="M20" i="5" a="1"/>
  <c r="M20" i="5" s="1"/>
  <c r="Q20" i="5" a="1"/>
  <c r="Q20" i="5" s="1"/>
  <c r="U20" i="5" a="1"/>
  <c r="U20" i="5" s="1"/>
  <c r="Y20" i="5" a="1"/>
  <c r="Y20" i="5" s="1"/>
  <c r="L21" i="5" a="1"/>
  <c r="L21" i="5" s="1"/>
  <c r="P21" i="5" a="1"/>
  <c r="P21" i="5" s="1"/>
  <c r="T21" i="5" a="1"/>
  <c r="T21" i="5" s="1"/>
  <c r="X21" i="5" a="1"/>
  <c r="X21" i="5" s="1"/>
  <c r="K22" i="5" a="1"/>
  <c r="K22" i="5" s="1"/>
  <c r="O22" i="5" a="1"/>
  <c r="O22" i="5" s="1"/>
  <c r="S22" i="5" a="1"/>
  <c r="S22" i="5" s="1"/>
  <c r="W22" i="5" a="1"/>
  <c r="W22" i="5" s="1"/>
  <c r="J23" i="5" a="1"/>
  <c r="J23" i="5" s="1"/>
  <c r="N23" i="5" a="1"/>
  <c r="N23" i="5" s="1"/>
  <c r="R23" i="5" a="1"/>
  <c r="R23" i="5" s="1"/>
  <c r="V23" i="5" a="1"/>
  <c r="V23" i="5" s="1"/>
  <c r="I24" i="5" a="1"/>
  <c r="I24" i="5" s="1"/>
  <c r="M24" i="5" a="1"/>
  <c r="M24" i="5" s="1"/>
  <c r="Q24" i="5" a="1"/>
  <c r="Q24" i="5" s="1"/>
  <c r="U24" i="5" a="1"/>
  <c r="U24" i="5" s="1"/>
  <c r="Y24" i="5" a="1"/>
  <c r="Y24" i="5" s="1"/>
  <c r="L25" i="5" a="1"/>
  <c r="L25" i="5" s="1"/>
  <c r="P25" i="5" a="1"/>
  <c r="P25" i="5" s="1"/>
  <c r="T25" i="5" a="1"/>
  <c r="T25" i="5" s="1"/>
  <c r="X25" i="5" a="1"/>
  <c r="X25" i="5" s="1"/>
  <c r="K26" i="5" a="1"/>
  <c r="K26" i="5" s="1"/>
  <c r="O26" i="5" a="1"/>
  <c r="O26" i="5" s="1"/>
  <c r="S26" i="5" a="1"/>
  <c r="S26" i="5" s="1"/>
  <c r="W26" i="5" a="1"/>
  <c r="W26" i="5" s="1"/>
  <c r="J27" i="5" a="1"/>
  <c r="J27" i="5" s="1"/>
  <c r="N27" i="5" a="1"/>
  <c r="N27" i="5" s="1"/>
  <c r="R27" i="5" a="1"/>
  <c r="R27" i="5" s="1"/>
  <c r="V27" i="5" a="1"/>
  <c r="V27" i="5" s="1"/>
  <c r="I28" i="5" a="1"/>
  <c r="I28" i="5" s="1"/>
  <c r="M28" i="5" a="1"/>
  <c r="M28" i="5" s="1"/>
  <c r="Q28" i="5" a="1"/>
  <c r="Q28" i="5" s="1"/>
  <c r="U28" i="5" a="1"/>
  <c r="U28" i="5" s="1"/>
  <c r="Y28" i="5" a="1"/>
  <c r="Y28" i="5" s="1"/>
  <c r="L29" i="5" a="1"/>
  <c r="L29" i="5" s="1"/>
  <c r="P29" i="5" a="1"/>
  <c r="P29" i="5" s="1"/>
  <c r="T29" i="5" a="1"/>
  <c r="T29" i="5" s="1"/>
  <c r="X29" i="5" a="1"/>
  <c r="X29" i="5" s="1"/>
  <c r="K30" i="5" a="1"/>
  <c r="K30" i="5" s="1"/>
  <c r="O30" i="5" a="1"/>
  <c r="O30" i="5" s="1"/>
  <c r="S30" i="5" a="1"/>
  <c r="S30" i="5" s="1"/>
  <c r="W30" i="5" a="1"/>
  <c r="W30" i="5" s="1"/>
  <c r="J31" i="5" a="1"/>
  <c r="J31" i="5" s="1"/>
  <c r="O31" i="5" a="1"/>
  <c r="O31" i="5" s="1"/>
  <c r="T31" i="5" a="1"/>
  <c r="T31" i="5" s="1"/>
  <c r="Y31" i="5" a="1"/>
  <c r="Y31" i="5" s="1"/>
  <c r="O32" i="5" a="1"/>
  <c r="O32" i="5" s="1"/>
  <c r="U32" i="5" a="1"/>
  <c r="U32" i="5" s="1"/>
  <c r="Q33" i="5" a="1"/>
  <c r="Q33" i="5" s="1"/>
  <c r="W33" i="5" a="1"/>
  <c r="W33" i="5" s="1"/>
  <c r="M34" i="5" a="1"/>
  <c r="M34" i="5" s="1"/>
  <c r="S34" i="5" a="1"/>
  <c r="S34" i="5" s="1"/>
  <c r="O35" i="5" a="1"/>
  <c r="O35" i="5" s="1"/>
  <c r="U35" i="5" a="1"/>
  <c r="U35" i="5" s="1"/>
  <c r="K36" i="5" a="1"/>
  <c r="K36" i="5" s="1"/>
  <c r="Q36" i="5" a="1"/>
  <c r="Q36" i="5" s="1"/>
  <c r="M37" i="5" a="1"/>
  <c r="M37" i="5" s="1"/>
  <c r="S37" i="5" a="1"/>
  <c r="S37" i="5" s="1"/>
  <c r="I38" i="5" a="1"/>
  <c r="I38" i="5" s="1"/>
  <c r="O38" i="5" a="1"/>
  <c r="O38" i="5" s="1"/>
  <c r="K39" i="5" a="1"/>
  <c r="K39" i="5" s="1"/>
  <c r="Q39" i="5" a="1"/>
  <c r="Q39" i="5" s="1"/>
  <c r="X39" i="5" a="1"/>
  <c r="X39" i="5" s="1"/>
  <c r="M40" i="5" a="1"/>
  <c r="M40" i="5" s="1"/>
  <c r="F265" i="5" a="1"/>
  <c r="F265" i="5" s="1"/>
  <c r="F275" i="5" a="1"/>
  <c r="F275" i="5" s="1"/>
  <c r="F290" i="5" a="1"/>
  <c r="F290" i="5" s="1"/>
  <c r="B5" i="5"/>
  <c r="I32" i="5" a="1"/>
  <c r="I32" i="5" s="1"/>
  <c r="V32" i="5" a="1"/>
  <c r="V32" i="5" s="1"/>
  <c r="K33" i="5" a="1"/>
  <c r="K33" i="5" s="1"/>
  <c r="R33" i="5" a="1"/>
  <c r="R33" i="5" s="1"/>
  <c r="X33" i="5" a="1"/>
  <c r="X33" i="5" s="1"/>
  <c r="T34" i="5" a="1"/>
  <c r="T34" i="5" s="1"/>
  <c r="I35" i="5" a="1"/>
  <c r="I35" i="5" s="1"/>
  <c r="P35" i="5" a="1"/>
  <c r="P35" i="5" s="1"/>
  <c r="V35" i="5" a="1"/>
  <c r="V35" i="5" s="1"/>
  <c r="R36" i="5" a="1"/>
  <c r="R36" i="5" s="1"/>
  <c r="X36" i="5" a="1"/>
  <c r="X36" i="5" s="1"/>
  <c r="N37" i="5" a="1"/>
  <c r="N37" i="5" s="1"/>
  <c r="T37" i="5" a="1"/>
  <c r="T37" i="5" s="1"/>
  <c r="P38" i="5" a="1"/>
  <c r="P38" i="5" s="1"/>
  <c r="V38" i="5" a="1"/>
  <c r="V38" i="5" s="1"/>
  <c r="L39" i="5" a="1"/>
  <c r="L39" i="5" s="1"/>
  <c r="R39" i="5" a="1"/>
  <c r="R39" i="5" s="1"/>
  <c r="N40" i="5" a="1"/>
  <c r="N40" i="5" s="1"/>
  <c r="T40" i="5" a="1"/>
  <c r="T40" i="5" s="1"/>
  <c r="F285" i="5" a="1"/>
  <c r="F285" i="5" s="1"/>
  <c r="F261" i="5" a="1"/>
  <c r="F261" i="5" s="1"/>
  <c r="F271" i="5" a="1"/>
  <c r="F271" i="5" s="1"/>
  <c r="F281" i="5" a="1"/>
  <c r="F281" i="5" s="1"/>
  <c r="V31" i="5" a="1"/>
  <c r="V31" i="5" s="1"/>
  <c r="K32" i="5" a="1"/>
  <c r="K32" i="5" s="1"/>
  <c r="Q32" i="5" a="1"/>
  <c r="Q32" i="5" s="1"/>
  <c r="M33" i="5" a="1"/>
  <c r="M33" i="5" s="1"/>
  <c r="S33" i="5" a="1"/>
  <c r="S33" i="5" s="1"/>
  <c r="I34" i="5" a="1"/>
  <c r="I34" i="5" s="1"/>
  <c r="O34" i="5" a="1"/>
  <c r="O34" i="5" s="1"/>
  <c r="K35" i="5" a="1"/>
  <c r="K35" i="5" s="1"/>
  <c r="Q35" i="5" a="1"/>
  <c r="Q35" i="5" s="1"/>
  <c r="X35" i="5" a="1"/>
  <c r="X35" i="5" s="1"/>
  <c r="M36" i="5" a="1"/>
  <c r="M36" i="5" s="1"/>
  <c r="I37" i="5" a="1"/>
  <c r="I37" i="5" s="1"/>
  <c r="O37" i="5" a="1"/>
  <c r="O37" i="5" s="1"/>
  <c r="V37" i="5" a="1"/>
  <c r="V37" i="5" s="1"/>
  <c r="K38" i="5" a="1"/>
  <c r="K38" i="5" s="1"/>
  <c r="X38" i="5" a="1"/>
  <c r="X38" i="5" s="1"/>
  <c r="M39" i="5" a="1"/>
  <c r="M39" i="5" s="1"/>
  <c r="T39" i="5" a="1"/>
  <c r="T39" i="5" s="1"/>
  <c r="I40" i="5" a="1"/>
  <c r="I40" i="5" s="1"/>
  <c r="V40" i="5" a="1"/>
  <c r="V40" i="5" s="1"/>
  <c r="F267" i="5" a="1"/>
  <c r="F267" i="5" s="1"/>
  <c r="K6" i="37" a="1"/>
  <c r="K6" i="37" s="1"/>
  <c r="W6" i="37" a="1"/>
  <c r="W6" i="37" s="1"/>
  <c r="AG6" i="37" a="1"/>
  <c r="AG6" i="37" s="1"/>
  <c r="W7" i="37" a="1"/>
  <c r="W7" i="37" s="1"/>
  <c r="S8" i="37" a="1"/>
  <c r="S8" i="37" s="1"/>
  <c r="X6" i="37" a="1"/>
  <c r="X6" i="37" s="1"/>
  <c r="AI6" i="37" a="1"/>
  <c r="AI6" i="37" s="1"/>
  <c r="I8" i="37" a="1"/>
  <c r="I8" i="37" s="1"/>
  <c r="J8" i="37" s="1"/>
  <c r="E8" i="37" a="1"/>
  <c r="E8" i="37" s="1"/>
  <c r="AH8" i="37" a="1"/>
  <c r="AH8" i="37" s="1"/>
  <c r="AD8" i="37" a="1"/>
  <c r="AD8" i="37" s="1"/>
  <c r="Z8" i="37" a="1"/>
  <c r="Z8" i="37" s="1"/>
  <c r="V8" i="37" a="1"/>
  <c r="V8" i="37" s="1"/>
  <c r="Q8" i="37" a="1"/>
  <c r="Q8" i="37" s="1"/>
  <c r="P8" i="37" s="1" a="1"/>
  <c r="P8" i="37" s="1"/>
  <c r="C8" i="37"/>
  <c r="R8" i="37" s="1" a="1"/>
  <c r="R8" i="37" s="1"/>
  <c r="AI8" i="37" a="1"/>
  <c r="AI8" i="37" s="1"/>
  <c r="AE8" i="37" a="1"/>
  <c r="AE8" i="37" s="1"/>
  <c r="AA8" i="37" a="1"/>
  <c r="AA8" i="37" s="1"/>
  <c r="W8" i="37" a="1"/>
  <c r="W8" i="37" s="1"/>
  <c r="U8" i="37" a="1"/>
  <c r="U8" i="37" s="1"/>
  <c r="AK8" i="37" a="1"/>
  <c r="AK8" i="37" s="1"/>
  <c r="F262" i="5" a="1"/>
  <c r="F262" i="5" s="1"/>
  <c r="F270" i="5" a="1"/>
  <c r="F270" i="5" s="1"/>
  <c r="F278" i="5" a="1"/>
  <c r="F278" i="5" s="1"/>
  <c r="F286" i="5" a="1"/>
  <c r="F286" i="5" s="1"/>
  <c r="F291" i="5" a="1"/>
  <c r="F291" i="5" s="1"/>
  <c r="F293" i="5" a="1"/>
  <c r="F293" i="5" s="1"/>
  <c r="Y6" i="37" a="1"/>
  <c r="Y6" i="37" s="1"/>
  <c r="AA7" i="37" a="1"/>
  <c r="AA7" i="37" s="1"/>
  <c r="X8" i="37" a="1"/>
  <c r="X8" i="37" s="1"/>
  <c r="K10" i="37" a="1"/>
  <c r="K10" i="37" s="1"/>
  <c r="AB10" i="37" a="1"/>
  <c r="AB10" i="37" s="1"/>
  <c r="I6" i="37" a="1"/>
  <c r="I6" i="37" s="1"/>
  <c r="J6" i="37" s="1"/>
  <c r="E6" i="37" a="1"/>
  <c r="E6" i="37" s="1"/>
  <c r="AH6" i="37" a="1"/>
  <c r="AH6" i="37" s="1"/>
  <c r="AD6" i="37" a="1"/>
  <c r="AD6" i="37" s="1"/>
  <c r="Z6" i="37" a="1"/>
  <c r="Z6" i="37" s="1"/>
  <c r="V6" i="37" a="1"/>
  <c r="V6" i="37" s="1"/>
  <c r="Q6" i="37" a="1"/>
  <c r="Q6" i="37" s="1"/>
  <c r="P6" i="37" s="1" a="1"/>
  <c r="P6" i="37" s="1"/>
  <c r="C6" i="37"/>
  <c r="R6" i="37" s="1" a="1"/>
  <c r="R6" i="37" s="1"/>
  <c r="O6" i="37" a="1"/>
  <c r="O6" i="37" s="1"/>
  <c r="AA6" i="37" a="1"/>
  <c r="AA6" i="37" s="1"/>
  <c r="AK6" i="37" a="1"/>
  <c r="AK6" i="37" s="1"/>
  <c r="AB6" i="37" a="1"/>
  <c r="AB6" i="37" s="1"/>
  <c r="AE7" i="37" a="1"/>
  <c r="AE7" i="37" s="1"/>
  <c r="K8" i="37" a="1"/>
  <c r="K8" i="37" s="1"/>
  <c r="AB8" i="37" a="1"/>
  <c r="AB8" i="37" s="1"/>
  <c r="AJ15" i="37" a="1"/>
  <c r="AJ15" i="37" s="1"/>
  <c r="AF15" i="37" a="1"/>
  <c r="AF15" i="37" s="1"/>
  <c r="AB15" i="37" a="1"/>
  <c r="AB15" i="37" s="1"/>
  <c r="X15" i="37" a="1"/>
  <c r="X15" i="37" s="1"/>
  <c r="S15" i="37" a="1"/>
  <c r="S15" i="37" s="1"/>
  <c r="O15" i="37" a="1"/>
  <c r="O15" i="37" s="1"/>
  <c r="K15" i="37" a="1"/>
  <c r="K15" i="37" s="1"/>
  <c r="AI15" i="37" a="1"/>
  <c r="AI15" i="37" s="1"/>
  <c r="I15" i="37" a="1"/>
  <c r="I15" i="37" s="1"/>
  <c r="J15" i="37" s="1"/>
  <c r="E15" i="37" a="1"/>
  <c r="E15" i="37" s="1"/>
  <c r="AA15" i="37" a="1"/>
  <c r="AA15" i="37" s="1"/>
  <c r="C15" i="37"/>
  <c r="R15" i="37" s="1" a="1"/>
  <c r="R15" i="37" s="1"/>
  <c r="Z15" i="37" a="1"/>
  <c r="Z15" i="37" s="1"/>
  <c r="U15" i="37" a="1"/>
  <c r="U15" i="37" s="1"/>
  <c r="AK15" i="37" a="1"/>
  <c r="AK15" i="37" s="1"/>
  <c r="AE15" i="37" a="1"/>
  <c r="AE15" i="37" s="1"/>
  <c r="AD15" i="37" a="1"/>
  <c r="AD15" i="37" s="1"/>
  <c r="Y15" i="37" a="1"/>
  <c r="Y15" i="37" s="1"/>
  <c r="AH15" i="37" a="1"/>
  <c r="AH15" i="37" s="1"/>
  <c r="AC15" i="37" a="1"/>
  <c r="AC15" i="37" s="1"/>
  <c r="Q15" i="37" a="1"/>
  <c r="Q15" i="37" s="1"/>
  <c r="P15" i="37" s="1" a="1"/>
  <c r="P15" i="37" s="1"/>
  <c r="W15" i="37" a="1"/>
  <c r="W15" i="37" s="1"/>
  <c r="AG15" i="37" a="1"/>
  <c r="AG15" i="37" s="1"/>
  <c r="V15" i="37" a="1"/>
  <c r="V15" i="37" s="1"/>
  <c r="C19" i="37"/>
  <c r="R19" i="37" s="1" a="1"/>
  <c r="R19" i="37" s="1"/>
  <c r="AJ19" i="37" a="1"/>
  <c r="AJ19" i="37" s="1"/>
  <c r="AA19" i="37" a="1"/>
  <c r="AA19" i="37" s="1"/>
  <c r="Q19" i="37" a="1"/>
  <c r="Q19" i="37" s="1"/>
  <c r="P19" i="37" s="1" a="1"/>
  <c r="P19" i="37" s="1"/>
  <c r="AI19" i="37" a="1"/>
  <c r="AI19" i="37" s="1"/>
  <c r="Z19" i="37" a="1"/>
  <c r="Z19" i="37" s="1"/>
  <c r="U19" i="37" a="1"/>
  <c r="U19" i="37" s="1"/>
  <c r="K19" i="37" a="1"/>
  <c r="K19" i="37" s="1"/>
  <c r="F19" i="37" a="1"/>
  <c r="F19" i="37" s="1"/>
  <c r="AD19" i="37" a="1"/>
  <c r="AD19" i="37" s="1"/>
  <c r="Y19" i="37" a="1"/>
  <c r="Y19" i="37" s="1"/>
  <c r="O19" i="37" a="1"/>
  <c r="O19" i="37" s="1"/>
  <c r="AG19" i="37" a="1"/>
  <c r="AG19" i="37" s="1"/>
  <c r="X19" i="37" a="1"/>
  <c r="X19" i="37" s="1"/>
  <c r="I19" i="37" a="1"/>
  <c r="I19" i="37" s="1"/>
  <c r="J19" i="37" s="1"/>
  <c r="AH19" i="37" a="1"/>
  <c r="AH19" i="37" s="1"/>
  <c r="E19" i="37" a="1"/>
  <c r="E19" i="37" s="1"/>
  <c r="AF19" i="37" a="1"/>
  <c r="AF19" i="37" s="1"/>
  <c r="W19" i="37" a="1"/>
  <c r="W19" i="37" s="1"/>
  <c r="AE19" i="37" a="1"/>
  <c r="AE19" i="37" s="1"/>
  <c r="V19" i="37" a="1"/>
  <c r="V19" i="37" s="1"/>
  <c r="AC19" i="37" a="1"/>
  <c r="AC19" i="37" s="1"/>
  <c r="S19" i="37" a="1"/>
  <c r="S19" i="37" s="1"/>
  <c r="AK19" i="37" a="1"/>
  <c r="AK19" i="37" s="1"/>
  <c r="AB19" i="37" a="1"/>
  <c r="AB19" i="37" s="1"/>
  <c r="AC6" i="37" a="1"/>
  <c r="AC6" i="37" s="1"/>
  <c r="Q7" i="37" a="1"/>
  <c r="Q7" i="37" s="1"/>
  <c r="P7" i="37" s="1" a="1"/>
  <c r="P7" i="37" s="1"/>
  <c r="AC8" i="37" a="1"/>
  <c r="AC8" i="37" s="1"/>
  <c r="I13" i="37" a="1"/>
  <c r="I13" i="37" s="1"/>
  <c r="J13" i="37" s="1"/>
  <c r="E13" i="37" a="1"/>
  <c r="E13" i="37" s="1"/>
  <c r="AI13" i="37" a="1"/>
  <c r="AI13" i="37" s="1"/>
  <c r="AD13" i="37" a="1"/>
  <c r="AD13" i="37" s="1"/>
  <c r="U13" i="37" a="1"/>
  <c r="U13" i="37" s="1"/>
  <c r="K13" i="37" a="1"/>
  <c r="K13" i="37" s="1"/>
  <c r="AH13" i="37" a="1"/>
  <c r="AH13" i="37" s="1"/>
  <c r="Y13" i="37" a="1"/>
  <c r="Y13" i="37" s="1"/>
  <c r="O13" i="37" a="1"/>
  <c r="O13" i="37" s="1"/>
  <c r="AC13" i="37" a="1"/>
  <c r="AC13" i="37" s="1"/>
  <c r="S13" i="37" a="1"/>
  <c r="S13" i="37" s="1"/>
  <c r="AG13" i="37" a="1"/>
  <c r="AG13" i="37" s="1"/>
  <c r="X13" i="37" a="1"/>
  <c r="X13" i="37" s="1"/>
  <c r="C13" i="37"/>
  <c r="R13" i="37" s="1" a="1"/>
  <c r="R13" i="37" s="1"/>
  <c r="AK13" i="37" a="1"/>
  <c r="AK13" i="37" s="1"/>
  <c r="AB13" i="37" a="1"/>
  <c r="AB13" i="37" s="1"/>
  <c r="AF13" i="37" a="1"/>
  <c r="AF13" i="37" s="1"/>
  <c r="W13" i="37" a="1"/>
  <c r="W13" i="37" s="1"/>
  <c r="Q13" i="37" a="1"/>
  <c r="Q13" i="37" s="1"/>
  <c r="P13" i="37" s="1" a="1"/>
  <c r="P13" i="37" s="1"/>
  <c r="AJ13" i="37" a="1"/>
  <c r="AJ13" i="37" s="1"/>
  <c r="AA13" i="37" a="1"/>
  <c r="AA13" i="37" s="1"/>
  <c r="V13" i="37" a="1"/>
  <c r="V13" i="37" s="1"/>
  <c r="AE13" i="37" a="1"/>
  <c r="AE13" i="37" s="1"/>
  <c r="Z13" i="37" a="1"/>
  <c r="Z13" i="37" s="1"/>
  <c r="F294" i="5" a="1"/>
  <c r="F294" i="5" s="1"/>
  <c r="S6" i="37" a="1"/>
  <c r="S6" i="37" s="1"/>
  <c r="AE6" i="37" a="1"/>
  <c r="AE6" i="37" s="1"/>
  <c r="AJ7" i="37" a="1"/>
  <c r="AJ7" i="37" s="1"/>
  <c r="AF7" i="37" a="1"/>
  <c r="AF7" i="37" s="1"/>
  <c r="AB7" i="37" a="1"/>
  <c r="AB7" i="37" s="1"/>
  <c r="X7" i="37" a="1"/>
  <c r="X7" i="37" s="1"/>
  <c r="S7" i="37" a="1"/>
  <c r="S7" i="37" s="1"/>
  <c r="O7" i="37" a="1"/>
  <c r="O7" i="37" s="1"/>
  <c r="K7" i="37" a="1"/>
  <c r="K7" i="37" s="1"/>
  <c r="I7" i="37" a="1"/>
  <c r="I7" i="37" s="1"/>
  <c r="J7" i="37" s="1"/>
  <c r="E7" i="37" a="1"/>
  <c r="E7" i="37" s="1"/>
  <c r="C7" i="37"/>
  <c r="R7" i="37" s="1" a="1"/>
  <c r="R7" i="37" s="1"/>
  <c r="AK7" i="37" a="1"/>
  <c r="AK7" i="37" s="1"/>
  <c r="AG7" i="37" a="1"/>
  <c r="AG7" i="37" s="1"/>
  <c r="AC7" i="37" a="1"/>
  <c r="AC7" i="37" s="1"/>
  <c r="Y7" i="37" a="1"/>
  <c r="Y7" i="37" s="1"/>
  <c r="U7" i="37" a="1"/>
  <c r="U7" i="37" s="1"/>
  <c r="AI7" i="37" a="1"/>
  <c r="AI7" i="37" s="1"/>
  <c r="O8" i="37" a="1"/>
  <c r="O8" i="37" s="1"/>
  <c r="AF8" i="37" a="1"/>
  <c r="AF8" i="37" s="1"/>
  <c r="U6" i="37" a="1"/>
  <c r="U6" i="37" s="1"/>
  <c r="AF6" i="37" a="1"/>
  <c r="AF6" i="37" s="1"/>
  <c r="V7" i="37" a="1"/>
  <c r="V7" i="37" s="1"/>
  <c r="AG8" i="37" a="1"/>
  <c r="AG8" i="37" s="1"/>
  <c r="I10" i="37" a="1"/>
  <c r="I10" i="37" s="1"/>
  <c r="J10" i="37" s="1"/>
  <c r="E10" i="37" a="1"/>
  <c r="E10" i="37" s="1"/>
  <c r="AH10" i="37" a="1"/>
  <c r="AH10" i="37" s="1"/>
  <c r="AD10" i="37" a="1"/>
  <c r="AD10" i="37" s="1"/>
  <c r="Z10" i="37" a="1"/>
  <c r="Z10" i="37" s="1"/>
  <c r="V10" i="37" a="1"/>
  <c r="V10" i="37" s="1"/>
  <c r="Q10" i="37" a="1"/>
  <c r="Q10" i="37" s="1"/>
  <c r="P10" i="37" s="1" a="1"/>
  <c r="P10" i="37" s="1"/>
  <c r="C10" i="37"/>
  <c r="R10" i="37" s="1" a="1"/>
  <c r="R10" i="37" s="1"/>
  <c r="AI10" i="37" a="1"/>
  <c r="AI10" i="37" s="1"/>
  <c r="AE10" i="37" a="1"/>
  <c r="AE10" i="37" s="1"/>
  <c r="AA10" i="37" a="1"/>
  <c r="AA10" i="37" s="1"/>
  <c r="W10" i="37" a="1"/>
  <c r="W10" i="37" s="1"/>
  <c r="U10" i="37" a="1"/>
  <c r="U10" i="37" s="1"/>
  <c r="AK10" i="37" a="1"/>
  <c r="AK10" i="37" s="1"/>
  <c r="U9" i="37" a="1"/>
  <c r="U9" i="37" s="1"/>
  <c r="Y9" i="37" a="1"/>
  <c r="Y9" i="37" s="1"/>
  <c r="AC9" i="37" a="1"/>
  <c r="AC9" i="37" s="1"/>
  <c r="AG9" i="37" a="1"/>
  <c r="AG9" i="37" s="1"/>
  <c r="AK9" i="37" a="1"/>
  <c r="AK9" i="37" s="1"/>
  <c r="Z11" i="37" a="1"/>
  <c r="Z11" i="37" s="1"/>
  <c r="AE11" i="37" a="1"/>
  <c r="AE11" i="37" s="1"/>
  <c r="C17" i="37"/>
  <c r="R17" i="37" s="1" a="1"/>
  <c r="R17" i="37" s="1"/>
  <c r="AE17" i="37" a="1"/>
  <c r="AE17" i="37" s="1"/>
  <c r="V17" i="37" a="1"/>
  <c r="V17" i="37" s="1"/>
  <c r="AD17" i="37" a="1"/>
  <c r="AD17" i="37" s="1"/>
  <c r="Y17" i="37" a="1"/>
  <c r="Y17" i="37" s="1"/>
  <c r="O17" i="37" a="1"/>
  <c r="O17" i="37" s="1"/>
  <c r="AH17" i="37" a="1"/>
  <c r="AH17" i="37" s="1"/>
  <c r="AC17" i="37" a="1"/>
  <c r="AC17" i="37" s="1"/>
  <c r="S17" i="37" a="1"/>
  <c r="S17" i="37" s="1"/>
  <c r="E17" i="37" a="1"/>
  <c r="E17" i="37" s="1"/>
  <c r="AI17" i="37" a="1"/>
  <c r="AI17" i="37" s="1"/>
  <c r="C9" i="37"/>
  <c r="C11" i="37"/>
  <c r="V11" i="37" a="1"/>
  <c r="V11" i="37" s="1"/>
  <c r="AA11" i="37" a="1"/>
  <c r="AA11" i="37" s="1"/>
  <c r="AJ11" i="37" a="1"/>
  <c r="AJ11" i="37" s="1"/>
  <c r="D12" i="37"/>
  <c r="I12" i="37" a="1"/>
  <c r="I12" i="37" s="1"/>
  <c r="J12" i="37" s="1"/>
  <c r="X12" i="37" a="1"/>
  <c r="X12" i="37" s="1"/>
  <c r="AC12" i="37" a="1"/>
  <c r="AC12" i="37" s="1"/>
  <c r="I14" i="37" a="1"/>
  <c r="I14" i="37" s="1"/>
  <c r="J14" i="37" s="1"/>
  <c r="S14" i="37" a="1"/>
  <c r="S14" i="37" s="1"/>
  <c r="AE14" i="37" a="1"/>
  <c r="AE14" i="37" s="1"/>
  <c r="AJ14" i="37" a="1"/>
  <c r="AJ14" i="37" s="1"/>
  <c r="U17" i="37" a="1"/>
  <c r="U17" i="37" s="1"/>
  <c r="AB17" i="37" a="1"/>
  <c r="AB17" i="37" s="1"/>
  <c r="AJ17" i="37" a="1"/>
  <c r="AJ17" i="37" s="1"/>
  <c r="I25" i="37" a="1"/>
  <c r="I25" i="37" s="1"/>
  <c r="J25" i="37" s="1"/>
  <c r="E25" i="37" a="1"/>
  <c r="E25" i="37" s="1"/>
  <c r="AG25" i="37" a="1"/>
  <c r="AG25" i="37" s="1"/>
  <c r="AB25" i="37" a="1"/>
  <c r="AB25" i="37" s="1"/>
  <c r="V25" i="37" a="1"/>
  <c r="V25" i="37" s="1"/>
  <c r="K25" i="37" a="1"/>
  <c r="K25" i="37" s="1"/>
  <c r="AJ25" i="37" a="1"/>
  <c r="AJ25" i="37" s="1"/>
  <c r="X25" i="37" a="1"/>
  <c r="X25" i="37" s="1"/>
  <c r="AH25" i="37" a="1"/>
  <c r="AH25" i="37" s="1"/>
  <c r="O25" i="37" a="1"/>
  <c r="O25" i="37" s="1"/>
  <c r="AA25" i="37" a="1"/>
  <c r="AA25" i="37" s="1"/>
  <c r="U25" i="37" a="1"/>
  <c r="U25" i="37" s="1"/>
  <c r="AF25" i="37" a="1"/>
  <c r="AF25" i="37" s="1"/>
  <c r="S25" i="37" a="1"/>
  <c r="S25" i="37" s="1"/>
  <c r="AC25" i="37" a="1"/>
  <c r="AC25" i="37" s="1"/>
  <c r="I23" i="37" a="1"/>
  <c r="I23" i="37" s="1"/>
  <c r="J23" i="37" s="1"/>
  <c r="E23" i="37" a="1"/>
  <c r="E23" i="37" s="1"/>
  <c r="AA23" i="37" a="1"/>
  <c r="AA23" i="37" s="1"/>
  <c r="C23" i="37"/>
  <c r="AK23" i="37" a="1"/>
  <c r="AK23" i="37" s="1"/>
  <c r="AE23" i="37" a="1"/>
  <c r="AE23" i="37" s="1"/>
  <c r="Y23" i="37" a="1"/>
  <c r="Y23" i="37" s="1"/>
  <c r="AJ23" i="37" a="1"/>
  <c r="AJ23" i="37" s="1"/>
  <c r="X23" i="37" a="1"/>
  <c r="X23" i="37" s="1"/>
  <c r="K23" i="37" a="1"/>
  <c r="K23" i="37" s="1"/>
  <c r="AI23" i="37" a="1"/>
  <c r="AI23" i="37" s="1"/>
  <c r="AC23" i="37" a="1"/>
  <c r="AC23" i="37" s="1"/>
  <c r="W23" i="37" a="1"/>
  <c r="W23" i="37" s="1"/>
  <c r="AB23" i="37" a="1"/>
  <c r="AB23" i="37" s="1"/>
  <c r="U23" i="37" a="1"/>
  <c r="U23" i="37" s="1"/>
  <c r="O23" i="37" a="1"/>
  <c r="O23" i="37" s="1"/>
  <c r="C25" i="37"/>
  <c r="R25" i="37" s="1" a="1"/>
  <c r="R25" i="37" s="1"/>
  <c r="Q25" i="37" a="1"/>
  <c r="Q25" i="37" s="1"/>
  <c r="P25" i="37" s="1" a="1"/>
  <c r="P25" i="37" s="1"/>
  <c r="AD25" i="37" a="1"/>
  <c r="AD25" i="37" s="1"/>
  <c r="Y27" i="37" a="1"/>
  <c r="Y27" i="37" s="1"/>
  <c r="E9" i="37" a="1"/>
  <c r="E9" i="37" s="1"/>
  <c r="I9" i="37" a="1"/>
  <c r="I9" i="37" s="1"/>
  <c r="J9" i="37" s="1"/>
  <c r="E11" i="37" a="1"/>
  <c r="E11" i="37" s="1"/>
  <c r="I11" i="37" a="1"/>
  <c r="I11" i="37" s="1"/>
  <c r="J11" i="37" s="1"/>
  <c r="AB11" i="37" a="1"/>
  <c r="AB11" i="37" s="1"/>
  <c r="AK11" i="37" a="1"/>
  <c r="AK11" i="37" s="1"/>
  <c r="O12" i="37" a="1"/>
  <c r="O12" i="37" s="1"/>
  <c r="U12" i="37" a="1"/>
  <c r="U12" i="37" s="1"/>
  <c r="AD12" i="37" a="1"/>
  <c r="AD12" i="37" s="1"/>
  <c r="O14" i="37" a="1"/>
  <c r="O14" i="37" s="1"/>
  <c r="AA14" i="37" a="1"/>
  <c r="AA14" i="37" s="1"/>
  <c r="AF14" i="37" a="1"/>
  <c r="AF14" i="37" s="1"/>
  <c r="W17" i="37" a="1"/>
  <c r="W17" i="37" s="1"/>
  <c r="AK17" i="37" a="1"/>
  <c r="AK17" i="37" s="1"/>
  <c r="AH20" i="37" a="1"/>
  <c r="AH20" i="37" s="1"/>
  <c r="AB20" i="37" a="1"/>
  <c r="AB20" i="37" s="1"/>
  <c r="W20" i="37" a="1"/>
  <c r="W20" i="37" s="1"/>
  <c r="Q20" i="37" a="1"/>
  <c r="Q20" i="37" s="1"/>
  <c r="P20" i="37" s="1" a="1"/>
  <c r="P20" i="37" s="1"/>
  <c r="K20" i="37" a="1"/>
  <c r="K20" i="37" s="1"/>
  <c r="AJ20" i="37" a="1"/>
  <c r="AJ20" i="37" s="1"/>
  <c r="X20" i="37" a="1"/>
  <c r="X20" i="37" s="1"/>
  <c r="E20" i="37" a="1"/>
  <c r="E20" i="37" s="1"/>
  <c r="AI20" i="37" a="1"/>
  <c r="AI20" i="37" s="1"/>
  <c r="AC20" i="37" a="1"/>
  <c r="AC20" i="37" s="1"/>
  <c r="O20" i="37" a="1"/>
  <c r="O20" i="37" s="1"/>
  <c r="I20" i="37" a="1"/>
  <c r="I20" i="37" s="1"/>
  <c r="J20" i="37" s="1"/>
  <c r="C20" i="37"/>
  <c r="V20" i="37" a="1"/>
  <c r="V20" i="37" s="1"/>
  <c r="AF20" i="37" a="1"/>
  <c r="AF20" i="37" s="1"/>
  <c r="S20" i="37" a="1"/>
  <c r="S20" i="37" s="1"/>
  <c r="AA20" i="37" a="1"/>
  <c r="AA20" i="37" s="1"/>
  <c r="C22" i="37"/>
  <c r="F22" i="37" s="1" a="1"/>
  <c r="F22" i="37" s="1"/>
  <c r="AC22" i="37" a="1"/>
  <c r="AC22" i="37" s="1"/>
  <c r="AI22" i="37" a="1"/>
  <c r="AI22" i="37" s="1"/>
  <c r="AB22" i="37" a="1"/>
  <c r="AB22" i="37" s="1"/>
  <c r="O22" i="37" a="1"/>
  <c r="O22" i="37" s="1"/>
  <c r="I22" i="37" a="1"/>
  <c r="I22" i="37" s="1"/>
  <c r="J22" i="37" s="1"/>
  <c r="AG22" i="37" a="1"/>
  <c r="AG22" i="37" s="1"/>
  <c r="AA22" i="37" a="1"/>
  <c r="AA22" i="37" s="1"/>
  <c r="U22" i="37" a="1"/>
  <c r="U22" i="37" s="1"/>
  <c r="AF22" i="37" a="1"/>
  <c r="AF22" i="37" s="1"/>
  <c r="S22" i="37" a="1"/>
  <c r="S22" i="37" s="1"/>
  <c r="AK22" i="37" a="1"/>
  <c r="AK22" i="37" s="1"/>
  <c r="AE22" i="37" a="1"/>
  <c r="AE22" i="37" s="1"/>
  <c r="Y22" i="37" a="1"/>
  <c r="Y22" i="37" s="1"/>
  <c r="K22" i="37" a="1"/>
  <c r="K22" i="37" s="1"/>
  <c r="E22" i="37" a="1"/>
  <c r="E22" i="37" s="1"/>
  <c r="AD22" i="37" a="1"/>
  <c r="AD22" i="37" s="1"/>
  <c r="Q23" i="37" a="1"/>
  <c r="Q23" i="37" s="1"/>
  <c r="P23" i="37" s="1" a="1"/>
  <c r="P23" i="37" s="1"/>
  <c r="AD23" i="37" a="1"/>
  <c r="AD23" i="37" s="1"/>
  <c r="AE25" i="37" a="1"/>
  <c r="AE25" i="37" s="1"/>
  <c r="S11" i="37" a="1"/>
  <c r="S11" i="37" s="1"/>
  <c r="AC11" i="37" a="1"/>
  <c r="AC11" i="37" s="1"/>
  <c r="F16" i="37" a="1"/>
  <c r="F16" i="37" s="1"/>
  <c r="Q17" i="37" a="1"/>
  <c r="Q17" i="37" s="1"/>
  <c r="P17" i="37" s="1" a="1"/>
  <c r="P17" i="37" s="1"/>
  <c r="X17" i="37" a="1"/>
  <c r="X17" i="37" s="1"/>
  <c r="AF17" i="37" a="1"/>
  <c r="AF17" i="37" s="1"/>
  <c r="W25" i="37" a="1"/>
  <c r="W25" i="37" s="1"/>
  <c r="AI25" i="37" a="1"/>
  <c r="AI25" i="37" s="1"/>
  <c r="I27" i="37" a="1"/>
  <c r="I27" i="37" s="1"/>
  <c r="J27" i="37" s="1"/>
  <c r="E27" i="37" a="1"/>
  <c r="E27" i="37" s="1"/>
  <c r="C27" i="37"/>
  <c r="R27" i="37" s="1" a="1"/>
  <c r="R27" i="37" s="1"/>
  <c r="AJ27" i="37" a="1"/>
  <c r="AJ27" i="37" s="1"/>
  <c r="AF27" i="37" a="1"/>
  <c r="AF27" i="37" s="1"/>
  <c r="AB27" i="37" a="1"/>
  <c r="AB27" i="37" s="1"/>
  <c r="X27" i="37" a="1"/>
  <c r="X27" i="37" s="1"/>
  <c r="S27" i="37" a="1"/>
  <c r="S27" i="37" s="1"/>
  <c r="O27" i="37" a="1"/>
  <c r="O27" i="37" s="1"/>
  <c r="AD27" i="37" a="1"/>
  <c r="AD27" i="37" s="1"/>
  <c r="V27" i="37" a="1"/>
  <c r="V27" i="37" s="1"/>
  <c r="AH27" i="37" a="1"/>
  <c r="AH27" i="37" s="1"/>
  <c r="W27" i="37" a="1"/>
  <c r="W27" i="37" s="1"/>
  <c r="K27" i="37" a="1"/>
  <c r="K27" i="37" s="1"/>
  <c r="AK27" i="37" a="1"/>
  <c r="AK27" i="37" s="1"/>
  <c r="Z27" i="37" a="1"/>
  <c r="Z27" i="37" s="1"/>
  <c r="AI27" i="37" a="1"/>
  <c r="AI27" i="37" s="1"/>
  <c r="U27" i="37" a="1"/>
  <c r="U27" i="37" s="1"/>
  <c r="AG27" i="37" a="1"/>
  <c r="AG27" i="37" s="1"/>
  <c r="AE27" i="37" a="1"/>
  <c r="AE27" i="37" s="1"/>
  <c r="AC27" i="37" a="1"/>
  <c r="AC27" i="37" s="1"/>
  <c r="Q27" i="37" a="1"/>
  <c r="Q27" i="37" s="1"/>
  <c r="P27" i="37" s="1" a="1"/>
  <c r="P27" i="37" s="1"/>
  <c r="K9" i="37" a="1"/>
  <c r="K9" i="37" s="1"/>
  <c r="O9" i="37" a="1"/>
  <c r="O9" i="37" s="1"/>
  <c r="S9" i="37" a="1"/>
  <c r="S9" i="37" s="1"/>
  <c r="X9" i="37" a="1"/>
  <c r="X9" i="37" s="1"/>
  <c r="AB9" i="37" a="1"/>
  <c r="AB9" i="37" s="1"/>
  <c r="AF9" i="37" a="1"/>
  <c r="AF9" i="37" s="1"/>
  <c r="K11" i="37" a="1"/>
  <c r="K11" i="37" s="1"/>
  <c r="O11" i="37" a="1"/>
  <c r="O11" i="37" s="1"/>
  <c r="Y11" i="37" a="1"/>
  <c r="Y11" i="37" s="1"/>
  <c r="AH11" i="37" a="1"/>
  <c r="AH11" i="37" s="1"/>
  <c r="Q12" i="37" a="1"/>
  <c r="Q12" i="37" s="1"/>
  <c r="P12" i="37" s="1" a="1"/>
  <c r="P12" i="37" s="1"/>
  <c r="AA12" i="37" a="1"/>
  <c r="AA12" i="37" s="1"/>
  <c r="AJ12" i="37" a="1"/>
  <c r="AJ12" i="37" s="1"/>
  <c r="I17" i="37" a="1"/>
  <c r="I17" i="37" s="1"/>
  <c r="J17" i="37" s="1"/>
  <c r="Z17" i="37" a="1"/>
  <c r="Z17" i="37" s="1"/>
  <c r="V22" i="37" a="1"/>
  <c r="V22" i="37" s="1"/>
  <c r="AH22" i="37" a="1"/>
  <c r="AH22" i="37" s="1"/>
  <c r="V23" i="37" a="1"/>
  <c r="V23" i="37" s="1"/>
  <c r="AH23" i="37" a="1"/>
  <c r="AH23" i="37" s="1"/>
  <c r="U11" i="37" a="1"/>
  <c r="U11" i="37" s="1"/>
  <c r="AD11" i="37" a="1"/>
  <c r="AD11" i="37" s="1"/>
  <c r="W12" i="37" a="1"/>
  <c r="W12" i="37" s="1"/>
  <c r="AF12" i="37" a="1"/>
  <c r="AF12" i="37" s="1"/>
  <c r="AH14" i="37" a="1"/>
  <c r="AH14" i="37" s="1"/>
  <c r="AD14" i="37" a="1"/>
  <c r="AD14" i="37" s="1"/>
  <c r="Z14" i="37" a="1"/>
  <c r="Z14" i="37" s="1"/>
  <c r="V14" i="37" a="1"/>
  <c r="V14" i="37" s="1"/>
  <c r="Q14" i="37" a="1"/>
  <c r="Q14" i="37" s="1"/>
  <c r="P14" i="37" s="1" a="1"/>
  <c r="P14" i="37" s="1"/>
  <c r="X14" i="37" a="1"/>
  <c r="X14" i="37" s="1"/>
  <c r="AI14" i="37" a="1"/>
  <c r="AI14" i="37" s="1"/>
  <c r="K17" i="37" a="1"/>
  <c r="K17" i="37" s="1"/>
  <c r="AA17" i="37" a="1"/>
  <c r="AA17" i="37" s="1"/>
  <c r="AG17" i="37" a="1"/>
  <c r="AG17" i="37" s="1"/>
  <c r="Y25" i="37" a="1"/>
  <c r="Y25" i="37" s="1"/>
  <c r="AK25" i="37" a="1"/>
  <c r="AK25" i="37" s="1"/>
  <c r="F21" i="37" a="1"/>
  <c r="F21" i="37" s="1"/>
  <c r="I21" i="37" a="1"/>
  <c r="I21" i="37" s="1"/>
  <c r="J21" i="37" s="1"/>
  <c r="E21" i="37" a="1"/>
  <c r="E21" i="37" s="1"/>
  <c r="AK21" i="37" a="1"/>
  <c r="AK21" i="37" s="1"/>
  <c r="AF21" i="37" a="1"/>
  <c r="AF21" i="37" s="1"/>
  <c r="Z21" i="37" a="1"/>
  <c r="Z21" i="37" s="1"/>
  <c r="U21" i="37" a="1"/>
  <c r="U21" i="37" s="1"/>
  <c r="O21" i="37" a="1"/>
  <c r="O21" i="37" s="1"/>
  <c r="W21" i="37" a="1"/>
  <c r="W21" i="37" s="1"/>
  <c r="AC21" i="37" a="1"/>
  <c r="AC21" i="37" s="1"/>
  <c r="AI21" i="37" a="1"/>
  <c r="AI21" i="37" s="1"/>
  <c r="C24" i="37"/>
  <c r="AI24" i="37" a="1"/>
  <c r="AI24" i="37" s="1"/>
  <c r="AD24" i="37" a="1"/>
  <c r="AD24" i="37" s="1"/>
  <c r="X24" i="37" a="1"/>
  <c r="X24" i="37" s="1"/>
  <c r="P24" i="37" a="1"/>
  <c r="P24" i="37" s="1"/>
  <c r="W24" i="37" a="1"/>
  <c r="W24" i="37" s="1"/>
  <c r="AC24" i="37" a="1"/>
  <c r="AC24" i="37" s="1"/>
  <c r="V16" i="37" a="1"/>
  <c r="V16" i="37" s="1"/>
  <c r="AE16" i="37" a="1"/>
  <c r="AE16" i="37" s="1"/>
  <c r="AJ16" i="37" a="1"/>
  <c r="AJ16" i="37" s="1"/>
  <c r="Q18" i="37" a="1"/>
  <c r="Q18" i="37" s="1"/>
  <c r="P18" i="37" s="1" a="1"/>
  <c r="P18" i="37" s="1"/>
  <c r="N18" i="37" s="1" a="1"/>
  <c r="N18" i="37" s="1"/>
  <c r="AA18" i="37" a="1"/>
  <c r="AA18" i="37" s="1"/>
  <c r="D21" i="37"/>
  <c r="Q21" i="37" a="1"/>
  <c r="Q21" i="37" s="1"/>
  <c r="P21" i="37" s="1" a="1"/>
  <c r="P21" i="37" s="1"/>
  <c r="AD21" i="37" a="1"/>
  <c r="AD21" i="37" s="1"/>
  <c r="E24" i="37" a="1"/>
  <c r="E24" i="37" s="1"/>
  <c r="K24" i="37" a="1"/>
  <c r="K24" i="37" s="1"/>
  <c r="Y24" i="37" a="1"/>
  <c r="Y24" i="37" s="1"/>
  <c r="AE24" i="37" a="1"/>
  <c r="AE24" i="37" s="1"/>
  <c r="AK24" i="37" a="1"/>
  <c r="AK24" i="37" s="1"/>
  <c r="Q16" i="37" a="1"/>
  <c r="Q16" i="37" s="1"/>
  <c r="P16" i="37" s="1" a="1"/>
  <c r="P16" i="37" s="1"/>
  <c r="AA16" i="37" a="1"/>
  <c r="AA16" i="37" s="1"/>
  <c r="AF16" i="37" a="1"/>
  <c r="AF16" i="37" s="1"/>
  <c r="F18" i="37" a="1"/>
  <c r="F18" i="37" s="1"/>
  <c r="W18" i="37" a="1"/>
  <c r="W18" i="37" s="1"/>
  <c r="AB18" i="37" a="1"/>
  <c r="AB18" i="37" s="1"/>
  <c r="AK18" i="37" a="1"/>
  <c r="AK18" i="37" s="1"/>
  <c r="Y21" i="37" a="1"/>
  <c r="Y21" i="37" s="1"/>
  <c r="AE21" i="37" a="1"/>
  <c r="AE21" i="37" s="1"/>
  <c r="Z24" i="37" a="1"/>
  <c r="Z24" i="37" s="1"/>
  <c r="I26" i="37" a="1"/>
  <c r="I26" i="37" s="1"/>
  <c r="J26" i="37" s="1"/>
  <c r="Z26" i="37" a="1"/>
  <c r="Z26" i="37" s="1"/>
  <c r="U26" i="37" a="1"/>
  <c r="U26" i="37" s="1"/>
  <c r="C26" i="37"/>
  <c r="AJ26" i="37" a="1"/>
  <c r="AJ26" i="37" s="1"/>
  <c r="AD26" i="37" a="1"/>
  <c r="AD26" i="37" s="1"/>
  <c r="Y26" i="37" a="1"/>
  <c r="Y26" i="37" s="1"/>
  <c r="AE26" i="37" a="1"/>
  <c r="AE26" i="37" s="1"/>
  <c r="P26" i="37" a="1"/>
  <c r="P26" i="37" s="1"/>
  <c r="K26" i="37" a="1"/>
  <c r="K26" i="37" s="1"/>
  <c r="S26" i="37" a="1"/>
  <c r="S26" i="37" s="1"/>
  <c r="AB26" i="37" a="1"/>
  <c r="AB26" i="37" s="1"/>
  <c r="AK26" i="37" a="1"/>
  <c r="AK26" i="37" s="1"/>
  <c r="D16" i="37"/>
  <c r="X16" i="37" a="1"/>
  <c r="X16" i="37" s="1"/>
  <c r="D18" i="37"/>
  <c r="I18" i="37" a="1"/>
  <c r="I18" i="37" s="1"/>
  <c r="J18" i="37" s="1"/>
  <c r="S18" i="37" a="1"/>
  <c r="S18" i="37" s="1"/>
  <c r="AC18" i="37" a="1"/>
  <c r="AC18" i="37" s="1"/>
  <c r="AA21" i="37" a="1"/>
  <c r="AA21" i="37" s="1"/>
  <c r="AG21" i="37" a="1"/>
  <c r="AG21" i="37" s="1"/>
  <c r="U24" i="37" a="1"/>
  <c r="U24" i="37" s="1"/>
  <c r="AA24" i="37" a="1"/>
  <c r="AA24" i="37" s="1"/>
  <c r="AG24" i="37" a="1"/>
  <c r="AG24" i="37" s="1"/>
  <c r="E26" i="37" a="1"/>
  <c r="E26" i="37" s="1"/>
  <c r="V26" i="37" a="1"/>
  <c r="V26" i="37" s="1"/>
  <c r="C34" i="37"/>
  <c r="R34" i="37" s="1" a="1"/>
  <c r="R34" i="37" s="1"/>
  <c r="AE34" i="37" a="1"/>
  <c r="AE34" i="37" s="1"/>
  <c r="Y34" i="37" a="1"/>
  <c r="Y34" i="37" s="1"/>
  <c r="K34" i="37" a="1"/>
  <c r="K34" i="37" s="1"/>
  <c r="AJ34" i="37" a="1"/>
  <c r="AJ34" i="37" s="1"/>
  <c r="AD34" i="37" a="1"/>
  <c r="AD34" i="37" s="1"/>
  <c r="W34" i="37" a="1"/>
  <c r="W34" i="37" s="1"/>
  <c r="I34" i="37" a="1"/>
  <c r="I34" i="37" s="1"/>
  <c r="J34" i="37" s="1"/>
  <c r="AB34" i="37" a="1"/>
  <c r="AB34" i="37" s="1"/>
  <c r="V34" i="37" a="1"/>
  <c r="V34" i="37" s="1"/>
  <c r="AH34" i="37" a="1"/>
  <c r="AH34" i="37" s="1"/>
  <c r="AA34" i="37" a="1"/>
  <c r="AA34" i="37" s="1"/>
  <c r="U34" i="37" a="1"/>
  <c r="U34" i="37" s="1"/>
  <c r="AG34" i="37" a="1"/>
  <c r="AG34" i="37" s="1"/>
  <c r="S34" i="37" a="1"/>
  <c r="S34" i="37" s="1"/>
  <c r="AK34" i="37" a="1"/>
  <c r="AK34" i="37" s="1"/>
  <c r="AF34" i="37" a="1"/>
  <c r="AF34" i="37" s="1"/>
  <c r="O34" i="37" a="1"/>
  <c r="O34" i="37" s="1"/>
  <c r="AC34" i="37" a="1"/>
  <c r="AC34" i="37" s="1"/>
  <c r="Z34" i="37" a="1"/>
  <c r="Z34" i="37" s="1"/>
  <c r="X34" i="37" a="1"/>
  <c r="X34" i="37" s="1"/>
  <c r="E34" i="37" a="1"/>
  <c r="E34" i="37" s="1"/>
  <c r="Q34" i="37" a="1"/>
  <c r="Q34" i="37" s="1"/>
  <c r="P34" i="37" s="1" a="1"/>
  <c r="P34" i="37" s="1"/>
  <c r="I29" i="37" a="1"/>
  <c r="I29" i="37" s="1"/>
  <c r="J29" i="37" s="1"/>
  <c r="E29" i="37" a="1"/>
  <c r="E29" i="37" s="1"/>
  <c r="C29" i="37"/>
  <c r="AJ29" i="37" a="1"/>
  <c r="AJ29" i="37" s="1"/>
  <c r="AF29" i="37" a="1"/>
  <c r="AF29" i="37" s="1"/>
  <c r="AB29" i="37" a="1"/>
  <c r="AB29" i="37" s="1"/>
  <c r="X29" i="37" a="1"/>
  <c r="X29" i="37" s="1"/>
  <c r="S29" i="37" a="1"/>
  <c r="S29" i="37" s="1"/>
  <c r="O29" i="37" a="1"/>
  <c r="O29" i="37" s="1"/>
  <c r="K29" i="37" a="1"/>
  <c r="K29" i="37" s="1"/>
  <c r="AG29" i="37" a="1"/>
  <c r="AG29" i="37" s="1"/>
  <c r="Y29" i="37" a="1"/>
  <c r="Y29" i="37" s="1"/>
  <c r="AE29" i="37" a="1"/>
  <c r="AE29" i="37" s="1"/>
  <c r="W29" i="37" a="1"/>
  <c r="W29" i="37" s="1"/>
  <c r="AD29" i="37" a="1"/>
  <c r="AD29" i="37" s="1"/>
  <c r="AI34" i="37" a="1"/>
  <c r="AI34" i="37" s="1"/>
  <c r="AA28" i="37" a="1"/>
  <c r="AA28" i="37" s="1"/>
  <c r="K30" i="37" a="1"/>
  <c r="K30" i="37" s="1"/>
  <c r="S30" i="37" a="1"/>
  <c r="S30" i="37" s="1"/>
  <c r="C31" i="37"/>
  <c r="AG31" i="37" a="1"/>
  <c r="AG31" i="37" s="1"/>
  <c r="AB31" i="37" a="1"/>
  <c r="AB31" i="37" s="1"/>
  <c r="P31" i="37" a="1"/>
  <c r="P31" i="37" s="1"/>
  <c r="K31" i="37" a="1"/>
  <c r="K31" i="37" s="1"/>
  <c r="E31" i="37" a="1"/>
  <c r="E31" i="37" s="1"/>
  <c r="AK31" i="37" a="1"/>
  <c r="AK31" i="37" s="1"/>
  <c r="AF31" i="37" a="1"/>
  <c r="AF31" i="37" s="1"/>
  <c r="U31" i="37" a="1"/>
  <c r="U31" i="37" s="1"/>
  <c r="O31" i="37" a="1"/>
  <c r="O31" i="37" s="1"/>
  <c r="I31" i="37" a="1"/>
  <c r="I31" i="37" s="1"/>
  <c r="J31" i="37" s="1"/>
  <c r="AJ31" i="37" a="1"/>
  <c r="AJ31" i="37" s="1"/>
  <c r="Y31" i="37" a="1"/>
  <c r="Y31" i="37" s="1"/>
  <c r="S31" i="37" a="1"/>
  <c r="S31" i="37" s="1"/>
  <c r="AI31" i="37" a="1"/>
  <c r="AI31" i="37" s="1"/>
  <c r="AD31" i="37" a="1"/>
  <c r="AD31" i="37" s="1"/>
  <c r="Z31" i="37" a="1"/>
  <c r="Z31" i="37" s="1"/>
  <c r="V32" i="37" a="1"/>
  <c r="V32" i="37" s="1"/>
  <c r="I35" i="37" a="1"/>
  <c r="I35" i="37" s="1"/>
  <c r="J35" i="37" s="1"/>
  <c r="E35" i="37" a="1"/>
  <c r="E35" i="37" s="1"/>
  <c r="C35" i="37"/>
  <c r="R35" i="37" s="1" a="1"/>
  <c r="R35" i="37" s="1"/>
  <c r="AJ35" i="37" a="1"/>
  <c r="AJ35" i="37" s="1"/>
  <c r="AC35" i="37" a="1"/>
  <c r="AC35" i="37" s="1"/>
  <c r="W35" i="37" a="1"/>
  <c r="W35" i="37" s="1"/>
  <c r="AH35" i="37" a="1"/>
  <c r="AH35" i="37" s="1"/>
  <c r="AB35" i="37" a="1"/>
  <c r="AB35" i="37" s="1"/>
  <c r="U35" i="37" a="1"/>
  <c r="U35" i="37" s="1"/>
  <c r="Z35" i="37" a="1"/>
  <c r="Z35" i="37" s="1"/>
  <c r="S35" i="37" a="1"/>
  <c r="S35" i="37" s="1"/>
  <c r="AF35" i="37" a="1"/>
  <c r="AF35" i="37" s="1"/>
  <c r="Y35" i="37" a="1"/>
  <c r="Y35" i="37" s="1"/>
  <c r="AK35" i="37" a="1"/>
  <c r="AK35" i="37" s="1"/>
  <c r="AE35" i="37" a="1"/>
  <c r="AE35" i="37" s="1"/>
  <c r="Q35" i="37" a="1"/>
  <c r="Q35" i="37" s="1"/>
  <c r="P35" i="37" s="1" a="1"/>
  <c r="P35" i="37" s="1"/>
  <c r="K35" i="37" a="1"/>
  <c r="K35" i="37" s="1"/>
  <c r="V35" i="37" a="1"/>
  <c r="V35" i="37" s="1"/>
  <c r="Q36" i="37" a="1"/>
  <c r="Q36" i="37" s="1"/>
  <c r="P36" i="37" s="1" a="1"/>
  <c r="P36" i="37" s="1"/>
  <c r="AH36" i="37" a="1"/>
  <c r="AH36" i="37" s="1"/>
  <c r="O37" i="37" a="1"/>
  <c r="O37" i="37" s="1"/>
  <c r="AF37" i="37" a="1"/>
  <c r="AF37" i="37" s="1"/>
  <c r="G36" i="58837" a="1"/>
  <c r="G36" i="58837" s="1"/>
  <c r="G38" i="58837" s="1"/>
  <c r="AI30" i="37" a="1"/>
  <c r="AI30" i="37" s="1"/>
  <c r="AD30" i="37" a="1"/>
  <c r="AD30" i="37" s="1"/>
  <c r="Y30" i="37" a="1"/>
  <c r="Y30" i="37" s="1"/>
  <c r="AH30" i="37" a="1"/>
  <c r="AH30" i="37" s="1"/>
  <c r="X30" i="37" a="1"/>
  <c r="X30" i="37" s="1"/>
  <c r="AA30" i="37" a="1"/>
  <c r="AA30" i="37" s="1"/>
  <c r="I30" i="37" a="1"/>
  <c r="I30" i="37" s="1"/>
  <c r="J30" i="37" s="1"/>
  <c r="E30" i="37" a="1"/>
  <c r="E30" i="37" s="1"/>
  <c r="AK30" i="37" a="1"/>
  <c r="AK30" i="37" s="1"/>
  <c r="AF30" i="37" a="1"/>
  <c r="AF30" i="37" s="1"/>
  <c r="V30" i="37" a="1"/>
  <c r="V30" i="37" s="1"/>
  <c r="Q30" i="37" a="1"/>
  <c r="Q30" i="37" s="1"/>
  <c r="P30" i="37" s="1" a="1"/>
  <c r="P30" i="37" s="1"/>
  <c r="U30" i="37" a="1"/>
  <c r="U30" i="37" s="1"/>
  <c r="X32" i="37" a="1"/>
  <c r="X32" i="37" s="1"/>
  <c r="X35" i="37" a="1"/>
  <c r="X35" i="37" s="1"/>
  <c r="I28" i="37" a="1"/>
  <c r="I28" i="37" s="1"/>
  <c r="J28" i="37" s="1"/>
  <c r="E28" i="37" a="1"/>
  <c r="E28" i="37" s="1"/>
  <c r="AH28" i="37" a="1"/>
  <c r="AH28" i="37" s="1"/>
  <c r="AD28" i="37" a="1"/>
  <c r="AD28" i="37" s="1"/>
  <c r="Z28" i="37" a="1"/>
  <c r="Z28" i="37" s="1"/>
  <c r="V28" i="37" a="1"/>
  <c r="V28" i="37" s="1"/>
  <c r="Q28" i="37" a="1"/>
  <c r="Q28" i="37" s="1"/>
  <c r="P28" i="37" s="1" a="1"/>
  <c r="P28" i="37" s="1"/>
  <c r="U28" i="37" a="1"/>
  <c r="U28" i="37" s="1"/>
  <c r="AC28" i="37" a="1"/>
  <c r="AC28" i="37" s="1"/>
  <c r="AK28" i="37" a="1"/>
  <c r="AK28" i="37" s="1"/>
  <c r="C30" i="37"/>
  <c r="R30" i="37" s="1" a="1"/>
  <c r="R30" i="37" s="1"/>
  <c r="AE30" i="37" a="1"/>
  <c r="AE30" i="37" s="1"/>
  <c r="Y32" i="37" a="1"/>
  <c r="Y32" i="37" s="1"/>
  <c r="C36" i="37"/>
  <c r="R36" i="37" s="1" a="1"/>
  <c r="R36" i="37" s="1"/>
  <c r="AG36" i="37" a="1"/>
  <c r="AG36" i="37" s="1"/>
  <c r="S36" i="37" a="1"/>
  <c r="S36" i="37" s="1"/>
  <c r="AE36" i="37" a="1"/>
  <c r="AE36" i="37" s="1"/>
  <c r="Y36" i="37" a="1"/>
  <c r="Y36" i="37" s="1"/>
  <c r="K36" i="37" a="1"/>
  <c r="K36" i="37" s="1"/>
  <c r="AJ36" i="37" a="1"/>
  <c r="AJ36" i="37" s="1"/>
  <c r="AD36" i="37" a="1"/>
  <c r="AD36" i="37" s="1"/>
  <c r="W36" i="37" a="1"/>
  <c r="W36" i="37" s="1"/>
  <c r="I36" i="37" a="1"/>
  <c r="I36" i="37" s="1"/>
  <c r="J36" i="37" s="1"/>
  <c r="AI36" i="37" a="1"/>
  <c r="AI36" i="37" s="1"/>
  <c r="AC36" i="37" a="1"/>
  <c r="AC36" i="37" s="1"/>
  <c r="O36" i="37" a="1"/>
  <c r="O36" i="37" s="1"/>
  <c r="AB36" i="37" a="1"/>
  <c r="AB36" i="37" s="1"/>
  <c r="V36" i="37" a="1"/>
  <c r="V36" i="37" s="1"/>
  <c r="U36" i="37" a="1"/>
  <c r="U36" i="37" s="1"/>
  <c r="I39" i="37" a="1"/>
  <c r="I39" i="37" s="1"/>
  <c r="J39" i="37" s="1"/>
  <c r="E39" i="37" a="1"/>
  <c r="E39" i="37" s="1"/>
  <c r="C39" i="37"/>
  <c r="R39" i="37" s="1" a="1"/>
  <c r="R39" i="37" s="1"/>
  <c r="Z39" i="37" a="1"/>
  <c r="Z39" i="37" s="1"/>
  <c r="S39" i="37" a="1"/>
  <c r="S39" i="37" s="1"/>
  <c r="AF39" i="37" a="1"/>
  <c r="AF39" i="37" s="1"/>
  <c r="Y39" i="37" a="1"/>
  <c r="Y39" i="37" s="1"/>
  <c r="AK39" i="37" a="1"/>
  <c r="AK39" i="37" s="1"/>
  <c r="AE39" i="37" a="1"/>
  <c r="AE39" i="37" s="1"/>
  <c r="Q39" i="37" a="1"/>
  <c r="Q39" i="37" s="1"/>
  <c r="P39" i="37" s="1" a="1"/>
  <c r="P39" i="37" s="1"/>
  <c r="K39" i="37" a="1"/>
  <c r="K39" i="37" s="1"/>
  <c r="AD39" i="37" a="1"/>
  <c r="AD39" i="37" s="1"/>
  <c r="X39" i="37" a="1"/>
  <c r="X39" i="37" s="1"/>
  <c r="AJ39" i="37" a="1"/>
  <c r="AJ39" i="37" s="1"/>
  <c r="AC39" i="37" a="1"/>
  <c r="AC39" i="37" s="1"/>
  <c r="W39" i="37" a="1"/>
  <c r="W39" i="37" s="1"/>
  <c r="AI39" i="37" a="1"/>
  <c r="AI39" i="37" s="1"/>
  <c r="V39" i="37" a="1"/>
  <c r="V39" i="37" s="1"/>
  <c r="O39" i="37" a="1"/>
  <c r="O39" i="37" s="1"/>
  <c r="AH39" i="37" a="1"/>
  <c r="AH39" i="37" s="1"/>
  <c r="AB39" i="37" a="1"/>
  <c r="AB39" i="37" s="1"/>
  <c r="U39" i="37" a="1"/>
  <c r="U39" i="37" s="1"/>
  <c r="AG39" i="37" a="1"/>
  <c r="AG39" i="37" s="1"/>
  <c r="AA39" i="37" a="1"/>
  <c r="AA39" i="37" s="1"/>
  <c r="C32" i="37"/>
  <c r="R32" i="37" s="1" a="1"/>
  <c r="R32" i="37" s="1"/>
  <c r="AE32" i="37" a="1"/>
  <c r="AE32" i="37" s="1"/>
  <c r="Z32" i="37" a="1"/>
  <c r="Z32" i="37" s="1"/>
  <c r="AI32" i="37" a="1"/>
  <c r="AI32" i="37" s="1"/>
  <c r="AD32" i="37" a="1"/>
  <c r="AD32" i="37" s="1"/>
  <c r="AH32" i="37" a="1"/>
  <c r="AH32" i="37" s="1"/>
  <c r="W32" i="37" a="1"/>
  <c r="W32" i="37" s="1"/>
  <c r="Q32" i="37" a="1"/>
  <c r="Q32" i="37" s="1"/>
  <c r="P32" i="37" s="1" a="1"/>
  <c r="P32" i="37" s="1"/>
  <c r="AG32" i="37" a="1"/>
  <c r="AG32" i="37" s="1"/>
  <c r="AB32" i="37" a="1"/>
  <c r="AB32" i="37" s="1"/>
  <c r="K32" i="37" a="1"/>
  <c r="K32" i="37" s="1"/>
  <c r="E32" i="37" a="1"/>
  <c r="E32" i="37" s="1"/>
  <c r="O32" i="37" a="1"/>
  <c r="O32" i="37" s="1"/>
  <c r="AK32" i="37" a="1"/>
  <c r="AK32" i="37" s="1"/>
  <c r="E36" i="37" a="1"/>
  <c r="E36" i="37" s="1"/>
  <c r="X36" i="37" a="1"/>
  <c r="X36" i="37" s="1"/>
  <c r="I37" i="37" a="1"/>
  <c r="I37" i="37" s="1"/>
  <c r="J37" i="37" s="1"/>
  <c r="E37" i="37" a="1"/>
  <c r="E37" i="37" s="1"/>
  <c r="C37" i="37"/>
  <c r="R37" i="37" s="1" a="1"/>
  <c r="R37" i="37" s="1"/>
  <c r="AK37" i="37" a="1"/>
  <c r="AK37" i="37" s="1"/>
  <c r="AE37" i="37" a="1"/>
  <c r="AE37" i="37" s="1"/>
  <c r="Q37" i="37" a="1"/>
  <c r="Q37" i="37" s="1"/>
  <c r="P37" i="37" s="1" a="1"/>
  <c r="P37" i="37" s="1"/>
  <c r="K37" i="37" a="1"/>
  <c r="K37" i="37" s="1"/>
  <c r="AJ37" i="37" a="1"/>
  <c r="AJ37" i="37" s="1"/>
  <c r="AC37" i="37" a="1"/>
  <c r="AC37" i="37" s="1"/>
  <c r="W37" i="37" a="1"/>
  <c r="W37" i="37" s="1"/>
  <c r="AH37" i="37" a="1"/>
  <c r="AH37" i="37" s="1"/>
  <c r="AB37" i="37" a="1"/>
  <c r="AB37" i="37" s="1"/>
  <c r="U37" i="37" a="1"/>
  <c r="U37" i="37" s="1"/>
  <c r="AG37" i="37" a="1"/>
  <c r="AG37" i="37" s="1"/>
  <c r="AA37" i="37" a="1"/>
  <c r="AA37" i="37" s="1"/>
  <c r="Z37" i="37" a="1"/>
  <c r="Z37" i="37" s="1"/>
  <c r="S37" i="37" a="1"/>
  <c r="S37" i="37" s="1"/>
  <c r="V37" i="37" a="1"/>
  <c r="V37" i="37" s="1"/>
  <c r="AA32" i="37" a="1"/>
  <c r="AA32" i="37" s="1"/>
  <c r="AD35" i="37" a="1"/>
  <c r="AD35" i="37" s="1"/>
  <c r="Z36" i="37" a="1"/>
  <c r="Z36" i="37" s="1"/>
  <c r="X37" i="37" a="1"/>
  <c r="X37" i="37" s="1"/>
  <c r="S32" i="37" a="1"/>
  <c r="S32" i="37" s="1"/>
  <c r="AJ33" i="37" a="1"/>
  <c r="AJ33" i="37" s="1"/>
  <c r="W38" i="37" a="1"/>
  <c r="W38" i="37" s="1"/>
  <c r="AD38" i="37" a="1"/>
  <c r="AD38" i="37" s="1"/>
  <c r="Z33" i="37" a="1"/>
  <c r="Z33" i="37" s="1"/>
  <c r="C38" i="37"/>
  <c r="R38" i="37" s="1" a="1"/>
  <c r="R38" i="37" s="1"/>
  <c r="Q38" i="37" a="1"/>
  <c r="Q38" i="37" s="1"/>
  <c r="P38" i="37" s="1" a="1"/>
  <c r="P38" i="37" s="1"/>
  <c r="X38" i="37" a="1"/>
  <c r="X38" i="37" s="1"/>
  <c r="AK38" i="37" a="1"/>
  <c r="AK38" i="37" s="1"/>
  <c r="C33" i="37"/>
  <c r="I33" i="37" a="1"/>
  <c r="I33" i="37" s="1"/>
  <c r="J33" i="37" s="1"/>
  <c r="O33" i="37" a="1"/>
  <c r="O33" i="37" s="1"/>
  <c r="U33" i="37" a="1"/>
  <c r="U33" i="37" s="1"/>
  <c r="AF33" i="37" a="1"/>
  <c r="AF33" i="37" s="1"/>
  <c r="AK33" i="37" a="1"/>
  <c r="AK33" i="37" s="1"/>
  <c r="AE38" i="37" a="1"/>
  <c r="AE38" i="37" s="1"/>
  <c r="E33" i="37" a="1"/>
  <c r="E33" i="37" s="1"/>
  <c r="K33" i="37" a="1"/>
  <c r="K33" i="37" s="1"/>
  <c r="P33" i="37" a="1"/>
  <c r="P33" i="37" s="1"/>
  <c r="AB33" i="37" a="1"/>
  <c r="AB33" i="37" s="1"/>
  <c r="AG33" i="37" a="1"/>
  <c r="AG33" i="37" s="1"/>
  <c r="S38" i="37" a="1"/>
  <c r="S38" i="37" s="1"/>
  <c r="AG38" i="37" a="1"/>
  <c r="AG38" i="37" s="1"/>
  <c r="X33" i="37" a="1"/>
  <c r="X33" i="37" s="1"/>
  <c r="AC33" i="37" a="1"/>
  <c r="AC33" i="37" s="1"/>
  <c r="V38" i="37" a="1"/>
  <c r="V38" i="37" s="1"/>
  <c r="AB38" i="37" a="1"/>
  <c r="AB38" i="37" s="1"/>
  <c r="Y17" i="58885" l="1" a="1"/>
  <c r="Y17" i="58885" s="1"/>
  <c r="F36" i="37" a="1"/>
  <c r="F36" i="37" s="1"/>
  <c r="X9" i="58885" a="1"/>
  <c r="X9" i="58885" s="1"/>
  <c r="X135" i="58885" a="1"/>
  <c r="X135" i="58885" s="1"/>
  <c r="Y58" i="58885" a="1"/>
  <c r="Y58" i="58885" s="1"/>
  <c r="Y9" i="58885" a="1"/>
  <c r="Y9" i="58885" s="1"/>
  <c r="Y173" i="58885" a="1"/>
  <c r="Y173" i="58885" s="1"/>
  <c r="D14" i="37"/>
  <c r="N16" i="37" a="1"/>
  <c r="N16" i="37" s="1"/>
  <c r="Z142" i="58885" a="1"/>
  <c r="Z142" i="58885" s="1"/>
  <c r="G5" i="58839"/>
  <c r="F56" i="58839"/>
  <c r="BE56" i="58839"/>
  <c r="BF5" i="58839"/>
  <c r="Z28" i="58885" a="1"/>
  <c r="Z28" i="58885" s="1"/>
  <c r="Z39" i="58885" a="1"/>
  <c r="Z39" i="58885" s="1"/>
  <c r="Y102" i="58885" a="1"/>
  <c r="Y102" i="58885" s="1"/>
  <c r="Y26" i="58885" a="1"/>
  <c r="Y26" i="58885" s="1"/>
  <c r="X143" i="58885" a="1"/>
  <c r="X143" i="58885" s="1"/>
  <c r="X79" i="58885" a="1"/>
  <c r="X79" i="58885" s="1"/>
  <c r="Y77" i="58885" a="1"/>
  <c r="Y77" i="58885" s="1"/>
  <c r="Z85" i="58885" a="1"/>
  <c r="Z85" i="58885" s="1"/>
  <c r="Y148" i="58885" a="1"/>
  <c r="Y148" i="58885" s="1"/>
  <c r="X180" i="58885" a="1"/>
  <c r="X180" i="58885" s="1"/>
  <c r="Y145" i="58885" a="1"/>
  <c r="Y145" i="58885" s="1"/>
  <c r="X93" i="58885" a="1"/>
  <c r="X93" i="58885" s="1"/>
  <c r="X62" i="58885" a="1"/>
  <c r="X62" i="58885" s="1"/>
  <c r="Z40" i="58885" a="1"/>
  <c r="Z40" i="58885" s="1"/>
  <c r="Z52" i="58885" a="1"/>
  <c r="Z52" i="58885" s="1"/>
  <c r="X156" i="58885" a="1"/>
  <c r="X156" i="58885" s="1"/>
  <c r="X45" i="58885" a="1"/>
  <c r="X45" i="58885" s="1"/>
  <c r="Y62" i="58885" a="1"/>
  <c r="Y62" i="58885" s="1"/>
  <c r="Z29" i="58885" a="1"/>
  <c r="Z29" i="58885" s="1"/>
  <c r="Y93" i="58885" a="1"/>
  <c r="Y93" i="58885" s="1"/>
  <c r="X38" i="58885" a="1"/>
  <c r="X38" i="58885" s="1"/>
  <c r="X6" i="58885" a="1"/>
  <c r="X6" i="58885" s="1"/>
  <c r="X13" i="58885" a="1"/>
  <c r="X13" i="58885" s="1"/>
  <c r="X29" i="58885" a="1"/>
  <c r="X29" i="58885" s="1"/>
  <c r="Y163" i="58885" a="1"/>
  <c r="Y163" i="58885" s="1"/>
  <c r="Z15" i="58885" a="1"/>
  <c r="Z15" i="58885" s="1"/>
  <c r="Z38" i="58885" a="1"/>
  <c r="Z38" i="58885" s="1"/>
  <c r="Y6" i="58885" a="1"/>
  <c r="Y6" i="58885" s="1"/>
  <c r="Y13" i="58885" a="1"/>
  <c r="Y13" i="58885" s="1"/>
  <c r="Z57" i="58885" a="1"/>
  <c r="Z57" i="58885" s="1"/>
  <c r="X85" i="58885" a="1"/>
  <c r="X85" i="58885" s="1"/>
  <c r="Z163" i="58885" a="1"/>
  <c r="Z163" i="58885" s="1"/>
  <c r="Z31" i="58885" a="1"/>
  <c r="Z31" i="58885" s="1"/>
  <c r="Z135" i="58885" a="1"/>
  <c r="Z135" i="58885" s="1"/>
  <c r="X40" i="58885" a="1"/>
  <c r="X40" i="58885" s="1"/>
  <c r="Y39" i="58885" a="1"/>
  <c r="Y39" i="58885" s="1"/>
  <c r="X35" i="58885" a="1"/>
  <c r="X35" i="58885" s="1"/>
  <c r="Y91" i="58885" a="1"/>
  <c r="Y91" i="58885" s="1"/>
  <c r="Y32" i="58885" a="1"/>
  <c r="Y32" i="58885" s="1"/>
  <c r="Y16" i="58885" a="1"/>
  <c r="Y16" i="58885" s="1"/>
  <c r="X104" i="58885" a="1"/>
  <c r="X104" i="58885" s="1"/>
  <c r="Z104" i="58885" a="1"/>
  <c r="Z104" i="58885" s="1"/>
  <c r="F28" i="37" a="1"/>
  <c r="F28" i="37" s="1"/>
  <c r="N28" i="37" a="1"/>
  <c r="N28" i="37" s="1"/>
  <c r="D28" i="37"/>
  <c r="G55" i="58837" a="1"/>
  <c r="G55" i="58837" s="1"/>
  <c r="G57" i="58837" s="1"/>
  <c r="C5" i="58853"/>
  <c r="C2" i="58853"/>
  <c r="F39" i="37" a="1"/>
  <c r="F39" i="37" s="1"/>
  <c r="F38" i="37" a="1"/>
  <c r="F38" i="37" s="1"/>
  <c r="D37" i="37"/>
  <c r="D39" i="37"/>
  <c r="F37" i="37" a="1"/>
  <c r="F37" i="37" s="1"/>
  <c r="D38" i="37"/>
  <c r="D36" i="37"/>
  <c r="J251" i="10" a="1"/>
  <c r="J251" i="10" s="1"/>
  <c r="AM191" i="10" a="1"/>
  <c r="AM191" i="10" s="1"/>
  <c r="G191" i="10" a="1"/>
  <c r="G191" i="10" s="1"/>
  <c r="N191" i="10" a="1"/>
  <c r="N191" i="10" s="1"/>
  <c r="L209" i="10" a="1"/>
  <c r="L209" i="10" s="1"/>
  <c r="AH197" i="10" a="1"/>
  <c r="AH197" i="10" s="1"/>
  <c r="P209" i="10" a="1"/>
  <c r="P209" i="10" s="1"/>
  <c r="S251" i="10" a="1"/>
  <c r="S251" i="10" s="1"/>
  <c r="AG251" i="10" a="1"/>
  <c r="AG251" i="10" s="1"/>
  <c r="L239" i="10" a="1"/>
  <c r="L239" i="10" s="1"/>
  <c r="Y200" i="10" a="1"/>
  <c r="Y200" i="10" s="1"/>
  <c r="Z239" i="10" a="1"/>
  <c r="Z239" i="10" s="1"/>
  <c r="AN200" i="10" a="1"/>
  <c r="AN200" i="10" s="1"/>
  <c r="AF209" i="10" a="1"/>
  <c r="AF209" i="10" s="1"/>
  <c r="AM251" i="10" a="1"/>
  <c r="AM251" i="10" s="1"/>
  <c r="X188" i="10" a="1"/>
  <c r="X188" i="10" s="1"/>
  <c r="T188" i="10" a="1"/>
  <c r="T188" i="10" s="1"/>
  <c r="M155" i="10" a="1"/>
  <c r="M155" i="10" s="1"/>
  <c r="AE239" i="10" a="1"/>
  <c r="AE239" i="10" s="1"/>
  <c r="AC200" i="10" a="1"/>
  <c r="AC200" i="10" s="1"/>
  <c r="R191" i="10" a="1"/>
  <c r="R191" i="10" s="1"/>
  <c r="AE185" i="10" a="1"/>
  <c r="AE185" i="10" s="1"/>
  <c r="Z122" i="10" a="1"/>
  <c r="Z122" i="10" s="1"/>
  <c r="AK200" i="10" a="1"/>
  <c r="AK200" i="10" s="1"/>
  <c r="N122" i="10" a="1"/>
  <c r="N122" i="10" s="1"/>
  <c r="J191" i="10" a="1"/>
  <c r="J191" i="10" s="1"/>
  <c r="Q239" i="10" a="1"/>
  <c r="Q239" i="10" s="1"/>
  <c r="AS251" i="10"/>
  <c r="AC128" i="10" a="1"/>
  <c r="AC128" i="10" s="1"/>
  <c r="AH191" i="10" a="1"/>
  <c r="AH191" i="10" s="1"/>
  <c r="O176" i="10" a="1"/>
  <c r="O176" i="10" s="1"/>
  <c r="AO227" i="10" a="1"/>
  <c r="AO227" i="10" s="1"/>
  <c r="AL251" i="10" a="1"/>
  <c r="AL251" i="10" s="1"/>
  <c r="AN209" i="10" a="1"/>
  <c r="AN209" i="10" s="1"/>
  <c r="AJ251" i="10" a="1"/>
  <c r="AJ251" i="10" s="1"/>
  <c r="W200" i="10" a="1"/>
  <c r="W200" i="10" s="1"/>
  <c r="L128" i="10" a="1"/>
  <c r="L128" i="10" s="1"/>
  <c r="G176" i="10" a="1"/>
  <c r="G176" i="10" s="1"/>
  <c r="J227" i="10" a="1"/>
  <c r="J227" i="10" s="1"/>
  <c r="AC251" i="10" a="1"/>
  <c r="AC251" i="10" s="1"/>
  <c r="G251" i="10" a="1"/>
  <c r="G251" i="10" s="1"/>
  <c r="AO251" i="10" a="1"/>
  <c r="AO251" i="10" s="1"/>
  <c r="AA200" i="10" a="1"/>
  <c r="AA200" i="10" s="1"/>
  <c r="AD251" i="10" a="1"/>
  <c r="AD251" i="10" s="1"/>
  <c r="Z197" i="10" a="1"/>
  <c r="Z197" i="10" s="1"/>
  <c r="N185" i="10" a="1"/>
  <c r="N185" i="10" s="1"/>
  <c r="AN251" i="10" a="1"/>
  <c r="AN251" i="10" s="1"/>
  <c r="AG239" i="10" a="1"/>
  <c r="AG239" i="10" s="1"/>
  <c r="N209" i="10" a="1"/>
  <c r="N209" i="10" s="1"/>
  <c r="P191" i="10" a="1"/>
  <c r="P191" i="10" s="1"/>
  <c r="AI251" i="10" a="1"/>
  <c r="AI251" i="10" s="1"/>
  <c r="K200" i="10" a="1"/>
  <c r="K200" i="10" s="1"/>
  <c r="U251" i="10" a="1"/>
  <c r="U251" i="10" s="1"/>
  <c r="I239" i="10" a="1"/>
  <c r="I239" i="10" s="1"/>
  <c r="X209" i="10" a="1"/>
  <c r="X209" i="10" s="1"/>
  <c r="H251" i="10" a="1"/>
  <c r="H251" i="10" s="1"/>
  <c r="AP251" i="10" a="1"/>
  <c r="AP251" i="10" s="1"/>
  <c r="AO200" i="10" a="1"/>
  <c r="AO200" i="10" s="1"/>
  <c r="M128" i="10" a="1"/>
  <c r="M128" i="10" s="1"/>
  <c r="T194" i="10" a="1"/>
  <c r="T194" i="10" s="1"/>
  <c r="AM176" i="10" a="1"/>
  <c r="AM176" i="10" s="1"/>
  <c r="R227" i="10" a="1"/>
  <c r="R227" i="10" s="1"/>
  <c r="AP239" i="10" a="1"/>
  <c r="AP239" i="10" s="1"/>
  <c r="AE209" i="10" a="1"/>
  <c r="AE209" i="10" s="1"/>
  <c r="M191" i="10" a="1"/>
  <c r="M191" i="10" s="1"/>
  <c r="I251" i="10" a="1"/>
  <c r="I251" i="10" s="1"/>
  <c r="O200" i="10" a="1"/>
  <c r="O200" i="10" s="1"/>
  <c r="AG209" i="10" a="1"/>
  <c r="AG209" i="10" s="1"/>
  <c r="AM203" i="10" a="1"/>
  <c r="AM203" i="10" s="1"/>
  <c r="AE227" i="10" a="1"/>
  <c r="AE227" i="10" s="1"/>
  <c r="AF182" i="10" a="1"/>
  <c r="AF182" i="10" s="1"/>
  <c r="AD242" i="10" a="1"/>
  <c r="AD242" i="10" s="1"/>
  <c r="AH176" i="10" a="1"/>
  <c r="AH176" i="10" s="1"/>
  <c r="J239" i="10" a="1"/>
  <c r="J239" i="10" s="1"/>
  <c r="AM209" i="10" a="1"/>
  <c r="AM209" i="10" s="1"/>
  <c r="O215" i="10" a="1"/>
  <c r="O215" i="10" s="1"/>
  <c r="L251" i="10" a="1"/>
  <c r="L251" i="10" s="1"/>
  <c r="AH200" i="10" a="1"/>
  <c r="AH200" i="10" s="1"/>
  <c r="AI209" i="10" a="1"/>
  <c r="AI209" i="10" s="1"/>
  <c r="T176" i="10" a="1"/>
  <c r="T176" i="10" s="1"/>
  <c r="P176" i="10" a="1"/>
  <c r="P176" i="10" s="1"/>
  <c r="V182" i="10" a="1"/>
  <c r="V182" i="10" s="1"/>
  <c r="AE251" i="10" a="1"/>
  <c r="AE251" i="10" s="1"/>
  <c r="U203" i="10" a="1"/>
  <c r="U203" i="10" s="1"/>
  <c r="R239" i="10" a="1"/>
  <c r="R239" i="10" s="1"/>
  <c r="W239" i="10" a="1"/>
  <c r="W239" i="10" s="1"/>
  <c r="AC209" i="10" a="1"/>
  <c r="AC209" i="10" s="1"/>
  <c r="M239" i="10" a="1"/>
  <c r="M239" i="10" s="1"/>
  <c r="AD239" i="10" a="1"/>
  <c r="AD239" i="10" s="1"/>
  <c r="AL239" i="10" a="1"/>
  <c r="AL239" i="10" s="1"/>
  <c r="Y251" i="10" a="1"/>
  <c r="Y251" i="10" s="1"/>
  <c r="W251" i="10" a="1"/>
  <c r="W251" i="10" s="1"/>
  <c r="AS200" i="10"/>
  <c r="L200" i="10" a="1"/>
  <c r="L200" i="10" s="1"/>
  <c r="AJ209" i="10" a="1"/>
  <c r="AJ209" i="10" s="1"/>
  <c r="AS227" i="10"/>
  <c r="L176" i="10" a="1"/>
  <c r="L176" i="10" s="1"/>
  <c r="N182" i="10" a="1"/>
  <c r="N182" i="10" s="1"/>
  <c r="V251" i="10" a="1"/>
  <c r="V251" i="10" s="1"/>
  <c r="X239" i="10" a="1"/>
  <c r="X239" i="10" s="1"/>
  <c r="AO239" i="10" a="1"/>
  <c r="AO239" i="10" s="1"/>
  <c r="N239" i="10" a="1"/>
  <c r="N239" i="10" s="1"/>
  <c r="AL209" i="10" a="1"/>
  <c r="AL209" i="10" s="1"/>
  <c r="AL128" i="10" a="1"/>
  <c r="AL128" i="10" s="1"/>
  <c r="X215" i="10" a="1"/>
  <c r="X215" i="10" s="1"/>
  <c r="AC239" i="10" a="1"/>
  <c r="AC239" i="10" s="1"/>
  <c r="AH251" i="10" a="1"/>
  <c r="AH251" i="10" s="1"/>
  <c r="N251" i="10" a="1"/>
  <c r="N251" i="10" s="1"/>
  <c r="R200" i="10" a="1"/>
  <c r="R200" i="10" s="1"/>
  <c r="T200" i="10" a="1"/>
  <c r="T200" i="10" s="1"/>
  <c r="AK128" i="10" a="1"/>
  <c r="AK128" i="10" s="1"/>
  <c r="AA122" i="10" a="1"/>
  <c r="AA122" i="10" s="1"/>
  <c r="U242" i="10" a="1"/>
  <c r="U242" i="10" s="1"/>
  <c r="AC242" i="10" a="1"/>
  <c r="AC242" i="10" s="1"/>
  <c r="M251" i="10" a="1"/>
  <c r="M251" i="10" s="1"/>
  <c r="K239" i="10" a="1"/>
  <c r="K239" i="10" s="1"/>
  <c r="G209" i="10" a="1"/>
  <c r="G209" i="10" s="1"/>
  <c r="AH128" i="10" a="1"/>
  <c r="AH128" i="10" s="1"/>
  <c r="X251" i="10" a="1"/>
  <c r="X251" i="10" s="1"/>
  <c r="AS239" i="10"/>
  <c r="X200" i="10" a="1"/>
  <c r="X200" i="10" s="1"/>
  <c r="I128" i="10" a="1"/>
  <c r="I128" i="10" s="1"/>
  <c r="S218" i="10" a="1"/>
  <c r="S218" i="10" s="1"/>
  <c r="T242" i="10" a="1"/>
  <c r="T242" i="10" s="1"/>
  <c r="M242" i="10" a="1"/>
  <c r="M242" i="10" s="1"/>
  <c r="P239" i="10" a="1"/>
  <c r="P239" i="10" s="1"/>
  <c r="AH239" i="10" a="1"/>
  <c r="AH239" i="10" s="1"/>
  <c r="S239" i="10" a="1"/>
  <c r="S239" i="10" s="1"/>
  <c r="K209" i="10" a="1"/>
  <c r="K209" i="10" s="1"/>
  <c r="J209" i="10" a="1"/>
  <c r="J209" i="10" s="1"/>
  <c r="N128" i="10" a="1"/>
  <c r="N128" i="10" s="1"/>
  <c r="AO215" i="10" a="1"/>
  <c r="AO215" i="10" s="1"/>
  <c r="O251" i="10" a="1"/>
  <c r="O251" i="10" s="1"/>
  <c r="Z251" i="10" a="1"/>
  <c r="Z251" i="10" s="1"/>
  <c r="H239" i="10" a="1"/>
  <c r="H239" i="10" s="1"/>
  <c r="AL200" i="10" a="1"/>
  <c r="AL200" i="10" s="1"/>
  <c r="AB200" i="10" a="1"/>
  <c r="AB200" i="10" s="1"/>
  <c r="U128" i="10" a="1"/>
  <c r="U128" i="10" s="1"/>
  <c r="G128" i="10" a="1"/>
  <c r="G128" i="10" s="1"/>
  <c r="AP167" i="10" a="1"/>
  <c r="AP167" i="10" s="1"/>
  <c r="U167" i="10" a="1"/>
  <c r="U167" i="10" s="1"/>
  <c r="N167" i="10" a="1"/>
  <c r="N167" i="10" s="1"/>
  <c r="R167" i="10" a="1"/>
  <c r="R167" i="10" s="1"/>
  <c r="AG203" i="10" a="1"/>
  <c r="AG203" i="10" s="1"/>
  <c r="R233" i="10" a="1"/>
  <c r="R233" i="10" s="1"/>
  <c r="P182" i="10" a="1"/>
  <c r="P182" i="10" s="1"/>
  <c r="AE176" i="10" a="1"/>
  <c r="AE176" i="10" s="1"/>
  <c r="AK242" i="10" a="1"/>
  <c r="AK242" i="10" s="1"/>
  <c r="V176" i="10" a="1"/>
  <c r="V176" i="10" s="1"/>
  <c r="AG176" i="10" a="1"/>
  <c r="AG176" i="10" s="1"/>
  <c r="Y227" i="10" a="1"/>
  <c r="Y227" i="10" s="1"/>
  <c r="AF176" i="10" a="1"/>
  <c r="AF176" i="10" s="1"/>
  <c r="AA176" i="10" a="1"/>
  <c r="AA176" i="10" s="1"/>
  <c r="Z194" i="10" a="1"/>
  <c r="Z194" i="10" s="1"/>
  <c r="AC176" i="10" a="1"/>
  <c r="AC176" i="10" s="1"/>
  <c r="AH227" i="10" a="1"/>
  <c r="AH227" i="10" s="1"/>
  <c r="Q206" i="10" a="1"/>
  <c r="Q206" i="10" s="1"/>
  <c r="AN185" i="10" a="1"/>
  <c r="AN185" i="10" s="1"/>
  <c r="T182" i="10" a="1"/>
  <c r="T182" i="10" s="1"/>
  <c r="H176" i="10" a="1"/>
  <c r="H176" i="10" s="1"/>
  <c r="AI176" i="10" a="1"/>
  <c r="AI176" i="10" s="1"/>
  <c r="AG215" i="10" a="1"/>
  <c r="AG215" i="10" s="1"/>
  <c r="X242" i="10" a="1"/>
  <c r="X242" i="10" s="1"/>
  <c r="AD215" i="10" a="1"/>
  <c r="AD215" i="10" s="1"/>
  <c r="AH215" i="10" a="1"/>
  <c r="AH215" i="10" s="1"/>
  <c r="AJ122" i="10" a="1"/>
  <c r="AJ122" i="10" s="1"/>
  <c r="L242" i="10" a="1"/>
  <c r="L242" i="10" s="1"/>
  <c r="R176" i="10" a="1"/>
  <c r="R176" i="10" s="1"/>
  <c r="L233" i="10" a="1"/>
  <c r="L233" i="10" s="1"/>
  <c r="AB176" i="10" a="1"/>
  <c r="AB176" i="10" s="1"/>
  <c r="N155" i="10" a="1"/>
  <c r="N155" i="10" s="1"/>
  <c r="W176" i="10" a="1"/>
  <c r="W176" i="10" s="1"/>
  <c r="AH182" i="10" a="1"/>
  <c r="AH182" i="10" s="1"/>
  <c r="AS242" i="10"/>
  <c r="M176" i="10" a="1"/>
  <c r="M176" i="10" s="1"/>
  <c r="L227" i="10" a="1"/>
  <c r="L227" i="10" s="1"/>
  <c r="AC215" i="10" a="1"/>
  <c r="AC215" i="10" s="1"/>
  <c r="T239" i="10" a="1"/>
  <c r="T239" i="10" s="1"/>
  <c r="AA239" i="10" a="1"/>
  <c r="AA239" i="10" s="1"/>
  <c r="J206" i="10" a="1"/>
  <c r="J206" i="10" s="1"/>
  <c r="S209" i="10" a="1"/>
  <c r="S209" i="10" s="1"/>
  <c r="Q209" i="10" a="1"/>
  <c r="Q209" i="10" s="1"/>
  <c r="AK251" i="10" a="1"/>
  <c r="AK251" i="10" s="1"/>
  <c r="AD128" i="10" a="1"/>
  <c r="AD128" i="10" s="1"/>
  <c r="U239" i="10" a="1"/>
  <c r="U239" i="10" s="1"/>
  <c r="Z215" i="10" a="1"/>
  <c r="Z215" i="10" s="1"/>
  <c r="AM233" i="10" a="1"/>
  <c r="AM233" i="10" s="1"/>
  <c r="K251" i="10" a="1"/>
  <c r="K251" i="10" s="1"/>
  <c r="R251" i="10" a="1"/>
  <c r="R251" i="10" s="1"/>
  <c r="I200" i="10" a="1"/>
  <c r="I200" i="10" s="1"/>
  <c r="V200" i="10" a="1"/>
  <c r="V200" i="10" s="1"/>
  <c r="AE200" i="10" a="1"/>
  <c r="AE200" i="10" s="1"/>
  <c r="I122" i="10" a="1"/>
  <c r="I122" i="10" s="1"/>
  <c r="AP128" i="10" a="1"/>
  <c r="AP128" i="10" s="1"/>
  <c r="N227" i="10" a="1"/>
  <c r="N227" i="10" s="1"/>
  <c r="AF194" i="10" a="1"/>
  <c r="AF194" i="10" s="1"/>
  <c r="AH185" i="10" a="1"/>
  <c r="AH185" i="10" s="1"/>
  <c r="X176" i="10" a="1"/>
  <c r="X176" i="10" s="1"/>
  <c r="AL242" i="10" a="1"/>
  <c r="AL242" i="10" s="1"/>
  <c r="S176" i="10" a="1"/>
  <c r="S176" i="10" s="1"/>
  <c r="AD182" i="10" a="1"/>
  <c r="AD182" i="10" s="1"/>
  <c r="V242" i="10" a="1"/>
  <c r="V242" i="10" s="1"/>
  <c r="S155" i="10" a="1"/>
  <c r="S155" i="10" s="1"/>
  <c r="Q227" i="10" a="1"/>
  <c r="Q227" i="10" s="1"/>
  <c r="Y209" i="10" a="1"/>
  <c r="Y209" i="10" s="1"/>
  <c r="Y239" i="10" a="1"/>
  <c r="Y239" i="10" s="1"/>
  <c r="AJ239" i="10" a="1"/>
  <c r="AJ239" i="10" s="1"/>
  <c r="V206" i="10" a="1"/>
  <c r="V206" i="10" s="1"/>
  <c r="W209" i="10" a="1"/>
  <c r="W209" i="10" s="1"/>
  <c r="U209" i="10" a="1"/>
  <c r="U209" i="10" s="1"/>
  <c r="AN239" i="10" a="1"/>
  <c r="AN239" i="10" s="1"/>
  <c r="R128" i="10" a="1"/>
  <c r="R128" i="10" s="1"/>
  <c r="M221" i="10" a="1"/>
  <c r="M221" i="10" s="1"/>
  <c r="AI215" i="10" a="1"/>
  <c r="AI215" i="10" s="1"/>
  <c r="T251" i="10" a="1"/>
  <c r="T251" i="10" s="1"/>
  <c r="AA251" i="10" a="1"/>
  <c r="AA251" i="10" s="1"/>
  <c r="M200" i="10" a="1"/>
  <c r="M200" i="10" s="1"/>
  <c r="AD200" i="10" a="1"/>
  <c r="AD200" i="10" s="1"/>
  <c r="H200" i="10" a="1"/>
  <c r="H200" i="10" s="1"/>
  <c r="AP209" i="10" a="1"/>
  <c r="AP209" i="10" s="1"/>
  <c r="U215" i="10" a="1"/>
  <c r="U215" i="10" s="1"/>
  <c r="AA128" i="10" a="1"/>
  <c r="AA128" i="10" s="1"/>
  <c r="Q128" i="10" a="1"/>
  <c r="Q128" i="10" s="1"/>
  <c r="X182" i="10" a="1"/>
  <c r="X182" i="10" s="1"/>
  <c r="AD176" i="10" a="1"/>
  <c r="AD176" i="10" s="1"/>
  <c r="AP227" i="10" a="1"/>
  <c r="AP227" i="10" s="1"/>
  <c r="AN176" i="10" a="1"/>
  <c r="AN176" i="10" s="1"/>
  <c r="P215" i="10" a="1"/>
  <c r="P215" i="10" s="1"/>
  <c r="AB215" i="10" a="1"/>
  <c r="AB215" i="10" s="1"/>
  <c r="G227" i="10" a="1"/>
  <c r="G227" i="10" s="1"/>
  <c r="N194" i="10" a="1"/>
  <c r="N194" i="10" s="1"/>
  <c r="AJ203" i="10" a="1"/>
  <c r="AJ203" i="10" s="1"/>
  <c r="AC206" i="10" a="1"/>
  <c r="AC206" i="10" s="1"/>
  <c r="AN233" i="10" a="1"/>
  <c r="AN233" i="10" s="1"/>
  <c r="W233" i="10" a="1"/>
  <c r="W233" i="10" s="1"/>
  <c r="N203" i="10" a="1"/>
  <c r="N203" i="10" s="1"/>
  <c r="AP206" i="10" a="1"/>
  <c r="AP206" i="10" s="1"/>
  <c r="W194" i="10" a="1"/>
  <c r="W194" i="10" s="1"/>
  <c r="AK194" i="10" a="1"/>
  <c r="AK194" i="10" s="1"/>
  <c r="Z203" i="10" a="1"/>
  <c r="Z203" i="10" s="1"/>
  <c r="AI206" i="10" a="1"/>
  <c r="AI206" i="10" s="1"/>
  <c r="AI194" i="10" a="1"/>
  <c r="AI194" i="10" s="1"/>
  <c r="U122" i="10" a="1"/>
  <c r="U122" i="10" s="1"/>
  <c r="H242" i="10" a="1"/>
  <c r="H242" i="10" s="1"/>
  <c r="Q194" i="10" a="1"/>
  <c r="Q194" i="10" s="1"/>
  <c r="G203" i="10" a="1"/>
  <c r="G203" i="10" s="1"/>
  <c r="L206" i="10" a="1"/>
  <c r="L206" i="10" s="1"/>
  <c r="T233" i="10" a="1"/>
  <c r="T233" i="10" s="1"/>
  <c r="AA203" i="10" a="1"/>
  <c r="AA203" i="10" s="1"/>
  <c r="AF206" i="10" a="1"/>
  <c r="AF206" i="10" s="1"/>
  <c r="Z233" i="10" a="1"/>
  <c r="Z233" i="10" s="1"/>
  <c r="P233" i="10" a="1"/>
  <c r="P233" i="10" s="1"/>
  <c r="AK209" i="10" a="1"/>
  <c r="AK209" i="10" s="1"/>
  <c r="I209" i="10" a="1"/>
  <c r="I209" i="10" s="1"/>
  <c r="R209" i="10" a="1"/>
  <c r="R209" i="10" s="1"/>
  <c r="Z128" i="10" a="1"/>
  <c r="Z128" i="10" s="1"/>
  <c r="Q200" i="10" a="1"/>
  <c r="Q200" i="10" s="1"/>
  <c r="J200" i="10" a="1"/>
  <c r="J200" i="10" s="1"/>
  <c r="AP200" i="10" a="1"/>
  <c r="AP200" i="10" s="1"/>
  <c r="AI200" i="10" a="1"/>
  <c r="AI200" i="10" s="1"/>
  <c r="AF200" i="10" a="1"/>
  <c r="AF200" i="10" s="1"/>
  <c r="W128" i="10" a="1"/>
  <c r="W128" i="10" s="1"/>
  <c r="T128" i="10" a="1"/>
  <c r="T128" i="10" s="1"/>
  <c r="AE128" i="10" a="1"/>
  <c r="AE128" i="10" s="1"/>
  <c r="AB182" i="10" a="1"/>
  <c r="AB182" i="10" s="1"/>
  <c r="Z182" i="10" a="1"/>
  <c r="Z182" i="10" s="1"/>
  <c r="G239" i="10" a="1"/>
  <c r="G239" i="10" s="1"/>
  <c r="X203" i="10" a="1"/>
  <c r="X203" i="10" s="1"/>
  <c r="O239" i="10" a="1"/>
  <c r="O239" i="10" s="1"/>
  <c r="AI239" i="10" a="1"/>
  <c r="AI239" i="10" s="1"/>
  <c r="AB239" i="10" a="1"/>
  <c r="AB239" i="10" s="1"/>
  <c r="O206" i="10" a="1"/>
  <c r="O206" i="10" s="1"/>
  <c r="AO209" i="10" a="1"/>
  <c r="AO209" i="10" s="1"/>
  <c r="H209" i="10" a="1"/>
  <c r="H209" i="10" s="1"/>
  <c r="M209" i="10" a="1"/>
  <c r="M209" i="10" s="1"/>
  <c r="V209" i="10" a="1"/>
  <c r="V209" i="10" s="1"/>
  <c r="V239" i="10" a="1"/>
  <c r="V239" i="10" s="1"/>
  <c r="V128" i="10" a="1"/>
  <c r="V128" i="10" s="1"/>
  <c r="AM239" i="10" a="1"/>
  <c r="AM239" i="10" s="1"/>
  <c r="P251" i="10" a="1"/>
  <c r="P251" i="10" s="1"/>
  <c r="AC233" i="10" a="1"/>
  <c r="AC233" i="10" s="1"/>
  <c r="AB251" i="10" a="1"/>
  <c r="AB251" i="10" s="1"/>
  <c r="U200" i="10" a="1"/>
  <c r="U200" i="10" s="1"/>
  <c r="N200" i="10" a="1"/>
  <c r="N200" i="10" s="1"/>
  <c r="G200" i="10" a="1"/>
  <c r="G200" i="10" s="1"/>
  <c r="AM200" i="10" a="1"/>
  <c r="AM200" i="10" s="1"/>
  <c r="AJ200" i="10" a="1"/>
  <c r="AJ200" i="10" s="1"/>
  <c r="O128" i="10" a="1"/>
  <c r="O128" i="10" s="1"/>
  <c r="K128" i="10" a="1"/>
  <c r="K128" i="10" s="1"/>
  <c r="P128" i="10" a="1"/>
  <c r="P128" i="10" s="1"/>
  <c r="AJ128" i="10" a="1"/>
  <c r="AJ128" i="10" s="1"/>
  <c r="AO128" i="10" a="1"/>
  <c r="AO128" i="10" s="1"/>
  <c r="AH209" i="10" a="1"/>
  <c r="AH209" i="10" s="1"/>
  <c r="O209" i="10" a="1"/>
  <c r="O209" i="10" s="1"/>
  <c r="T209" i="10" a="1"/>
  <c r="T209" i="10" s="1"/>
  <c r="AD209" i="10" a="1"/>
  <c r="AD209" i="10" s="1"/>
  <c r="AS209" i="10"/>
  <c r="J128" i="10" a="1"/>
  <c r="J128" i="10" s="1"/>
  <c r="AG200" i="10" a="1"/>
  <c r="AG200" i="10" s="1"/>
  <c r="Z200" i="10" a="1"/>
  <c r="Z200" i="10" s="1"/>
  <c r="S200" i="10" a="1"/>
  <c r="S200" i="10" s="1"/>
  <c r="AB128" i="10" a="1"/>
  <c r="AB128" i="10" s="1"/>
  <c r="Y128" i="10" a="1"/>
  <c r="Y128" i="10" s="1"/>
  <c r="AF128" i="10" a="1"/>
  <c r="AF128" i="10" s="1"/>
  <c r="T230" i="10" a="1"/>
  <c r="T230" i="10" s="1"/>
  <c r="N158" i="10" a="1"/>
  <c r="N158" i="10" s="1"/>
  <c r="AP212" i="10" a="1"/>
  <c r="AP212" i="10" s="1"/>
  <c r="AJ230" i="10" a="1"/>
  <c r="AJ230" i="10" s="1"/>
  <c r="L182" i="10" a="1"/>
  <c r="L182" i="10" s="1"/>
  <c r="Z188" i="10" a="1"/>
  <c r="Z188" i="10" s="1"/>
  <c r="J182" i="10" a="1"/>
  <c r="J182" i="10" s="1"/>
  <c r="Q158" i="10" a="1"/>
  <c r="Q158" i="10" s="1"/>
  <c r="AP182" i="10" a="1"/>
  <c r="AP182" i="10" s="1"/>
  <c r="N230" i="10" a="1"/>
  <c r="N230" i="10" s="1"/>
  <c r="AG182" i="10" a="1"/>
  <c r="AG182" i="10" s="1"/>
  <c r="AH212" i="10" a="1"/>
  <c r="AH212" i="10" s="1"/>
  <c r="AD212" i="10" a="1"/>
  <c r="AD212" i="10" s="1"/>
  <c r="P188" i="10" a="1"/>
  <c r="P188" i="10" s="1"/>
  <c r="AC188" i="10" a="1"/>
  <c r="AC188" i="10" s="1"/>
  <c r="H182" i="10" a="1"/>
  <c r="H182" i="10" s="1"/>
  <c r="AL197" i="10" a="1"/>
  <c r="AL197" i="10" s="1"/>
  <c r="AJ182" i="10" a="1"/>
  <c r="AJ182" i="10" s="1"/>
  <c r="S158" i="10" a="1"/>
  <c r="S158" i="10" s="1"/>
  <c r="AL182" i="10" a="1"/>
  <c r="AL182" i="10" s="1"/>
  <c r="K197" i="10" a="1"/>
  <c r="K197" i="10" s="1"/>
  <c r="Y182" i="10" a="1"/>
  <c r="Y182" i="10" s="1"/>
  <c r="Q212" i="10" a="1"/>
  <c r="Q212" i="10" s="1"/>
  <c r="W188" i="10" a="1"/>
  <c r="W188" i="10" s="1"/>
  <c r="AJ158" i="10" a="1"/>
  <c r="AJ158" i="10" s="1"/>
  <c r="U182" i="10" a="1"/>
  <c r="U182" i="10" s="1"/>
  <c r="K182" i="10" a="1"/>
  <c r="K182" i="10" s="1"/>
  <c r="R212" i="10" a="1"/>
  <c r="R212" i="10" s="1"/>
  <c r="AD197" i="10" a="1"/>
  <c r="AD197" i="10" s="1"/>
  <c r="AB188" i="10" a="1"/>
  <c r="AB188" i="10" s="1"/>
  <c r="AB158" i="10" a="1"/>
  <c r="AB158" i="10" s="1"/>
  <c r="M182" i="10" a="1"/>
  <c r="M182" i="10" s="1"/>
  <c r="AE182" i="10" a="1"/>
  <c r="AE182" i="10" s="1"/>
  <c r="AO212" i="10" a="1"/>
  <c r="AO212" i="10" s="1"/>
  <c r="M212" i="10" a="1"/>
  <c r="M212" i="10" s="1"/>
  <c r="AF158" i="10" a="1"/>
  <c r="AF158" i="10" s="1"/>
  <c r="W158" i="10" a="1"/>
  <c r="W158" i="10" s="1"/>
  <c r="AC230" i="10" a="1"/>
  <c r="AC230" i="10" s="1"/>
  <c r="AD188" i="10" a="1"/>
  <c r="AD188" i="10" s="1"/>
  <c r="R158" i="10" a="1"/>
  <c r="R158" i="10" s="1"/>
  <c r="S230" i="10" a="1"/>
  <c r="S230" i="10" s="1"/>
  <c r="O197" i="10" a="1"/>
  <c r="O197" i="10" s="1"/>
  <c r="AK188" i="10" a="1"/>
  <c r="AK188" i="10" s="1"/>
  <c r="U158" i="10" a="1"/>
  <c r="U158" i="10" s="1"/>
  <c r="O188" i="10" a="1"/>
  <c r="O188" i="10" s="1"/>
  <c r="AA230" i="10" a="1"/>
  <c r="AA230" i="10" s="1"/>
  <c r="V197" i="10" a="1"/>
  <c r="V197" i="10" s="1"/>
  <c r="L188" i="10" a="1"/>
  <c r="L188" i="10" s="1"/>
  <c r="X158" i="10" a="1"/>
  <c r="X158" i="10" s="1"/>
  <c r="O158" i="10" a="1"/>
  <c r="O158" i="10" s="1"/>
  <c r="K230" i="10" a="1"/>
  <c r="K230" i="10" s="1"/>
  <c r="V188" i="10" a="1"/>
  <c r="V188" i="10" s="1"/>
  <c r="AP158" i="10" a="1"/>
  <c r="AP158" i="10" s="1"/>
  <c r="J158" i="10" a="1"/>
  <c r="J158" i="10" s="1"/>
  <c r="AM197" i="10" a="1"/>
  <c r="AM197" i="10" s="1"/>
  <c r="G197" i="10" a="1"/>
  <c r="G197" i="10" s="1"/>
  <c r="Y188" i="10" a="1"/>
  <c r="Y188" i="10" s="1"/>
  <c r="M158" i="10" a="1"/>
  <c r="M158" i="10" s="1"/>
  <c r="AI188" i="10" a="1"/>
  <c r="AI188" i="10" s="1"/>
  <c r="AJ197" i="10" a="1"/>
  <c r="AJ197" i="10" s="1"/>
  <c r="V230" i="10" a="1"/>
  <c r="V230" i="10" s="1"/>
  <c r="R197" i="10" a="1"/>
  <c r="R197" i="10" s="1"/>
  <c r="T158" i="10" a="1"/>
  <c r="T158" i="10" s="1"/>
  <c r="K158" i="10" a="1"/>
  <c r="K158" i="10" s="1"/>
  <c r="R188" i="10" a="1"/>
  <c r="R188" i="10" s="1"/>
  <c r="AL158" i="10" a="1"/>
  <c r="AL158" i="10" s="1"/>
  <c r="AI197" i="10" a="1"/>
  <c r="AI197" i="10" s="1"/>
  <c r="U188" i="10" a="1"/>
  <c r="U188" i="10" s="1"/>
  <c r="I158" i="10" a="1"/>
  <c r="I158" i="10" s="1"/>
  <c r="Q197" i="10" a="1"/>
  <c r="Q197" i="10" s="1"/>
  <c r="M230" i="10" a="1"/>
  <c r="M230" i="10" s="1"/>
  <c r="N197" i="10" a="1"/>
  <c r="N197" i="10" s="1"/>
  <c r="AJ188" i="10" a="1"/>
  <c r="AJ188" i="10" s="1"/>
  <c r="P158" i="10" a="1"/>
  <c r="P158" i="10" s="1"/>
  <c r="AM158" i="10" a="1"/>
  <c r="AM158" i="10" s="1"/>
  <c r="G158" i="10" a="1"/>
  <c r="G158" i="10" s="1"/>
  <c r="N188" i="10" a="1"/>
  <c r="N188" i="10" s="1"/>
  <c r="AH158" i="10" a="1"/>
  <c r="AH158" i="10" s="1"/>
  <c r="AE197" i="10" a="1"/>
  <c r="AE197" i="10" s="1"/>
  <c r="Q188" i="10" a="1"/>
  <c r="Q188" i="10" s="1"/>
  <c r="V224" i="10" a="1"/>
  <c r="V224" i="10" s="1"/>
  <c r="H188" i="10" a="1"/>
  <c r="H188" i="10" s="1"/>
  <c r="J197" i="10" a="1"/>
  <c r="J197" i="10" s="1"/>
  <c r="AF188" i="10" a="1"/>
  <c r="AF188" i="10" s="1"/>
  <c r="L158" i="10" a="1"/>
  <c r="L158" i="10" s="1"/>
  <c r="AI158" i="10" a="1"/>
  <c r="AI158" i="10" s="1"/>
  <c r="AP188" i="10" a="1"/>
  <c r="AP188" i="10" s="1"/>
  <c r="J188" i="10" a="1"/>
  <c r="J188" i="10" s="1"/>
  <c r="AD158" i="10" a="1"/>
  <c r="AD158" i="10" s="1"/>
  <c r="AA197" i="10" a="1"/>
  <c r="AA197" i="10" s="1"/>
  <c r="M188" i="10" a="1"/>
  <c r="M188" i="10" s="1"/>
  <c r="AC224" i="10" a="1"/>
  <c r="AC224" i="10" s="1"/>
  <c r="AM242" i="10" a="1"/>
  <c r="AM242" i="10" s="1"/>
  <c r="H158" i="10" a="1"/>
  <c r="H158" i="10" s="1"/>
  <c r="AE158" i="10" a="1"/>
  <c r="AE158" i="10" s="1"/>
  <c r="AL188" i="10" a="1"/>
  <c r="AL188" i="10" s="1"/>
  <c r="Z158" i="10" a="1"/>
  <c r="Z158" i="10" s="1"/>
  <c r="AK230" i="10" a="1"/>
  <c r="AK230" i="10" s="1"/>
  <c r="W197" i="10" a="1"/>
  <c r="W197" i="10" s="1"/>
  <c r="AO158" i="10" a="1"/>
  <c r="AO158" i="10" s="1"/>
  <c r="K224" i="10" a="1"/>
  <c r="K224" i="10" s="1"/>
  <c r="AA158" i="10" a="1"/>
  <c r="AA158" i="10" s="1"/>
  <c r="AL230" i="10" a="1"/>
  <c r="AL230" i="10" s="1"/>
  <c r="AH188" i="10" a="1"/>
  <c r="AH188" i="10" s="1"/>
  <c r="V158" i="10" a="1"/>
  <c r="V158" i="10" s="1"/>
  <c r="AB230" i="10" a="1"/>
  <c r="AB230" i="10" s="1"/>
  <c r="S197" i="10" a="1"/>
  <c r="S197" i="10" s="1"/>
  <c r="AO188" i="10" a="1"/>
  <c r="AO188" i="10" s="1"/>
  <c r="Y158" i="10" a="1"/>
  <c r="Y158" i="10" s="1"/>
  <c r="V185" i="10" a="1"/>
  <c r="V185" i="10" s="1"/>
  <c r="AE191" i="10" a="1"/>
  <c r="AE191" i="10" s="1"/>
  <c r="AK185" i="10" a="1"/>
  <c r="AK185" i="10" s="1"/>
  <c r="AK221" i="10" a="1"/>
  <c r="AK221" i="10" s="1"/>
  <c r="X191" i="10" a="1"/>
  <c r="X191" i="10" s="1"/>
  <c r="U191" i="10" a="1"/>
  <c r="U191" i="10" s="1"/>
  <c r="Z185" i="10" a="1"/>
  <c r="Z185" i="10" s="1"/>
  <c r="Z191" i="10" a="1"/>
  <c r="Z191" i="10" s="1"/>
  <c r="V191" i="10" a="1"/>
  <c r="V191" i="10" s="1"/>
  <c r="R185" i="10" a="1"/>
  <c r="R185" i="10" s="1"/>
  <c r="AA191" i="10" a="1"/>
  <c r="AA191" i="10" s="1"/>
  <c r="X155" i="10" a="1"/>
  <c r="X155" i="10" s="1"/>
  <c r="Q221" i="10" a="1"/>
  <c r="Q221" i="10" s="1"/>
  <c r="AL221" i="10" a="1"/>
  <c r="AL221" i="10" s="1"/>
  <c r="AB191" i="10" a="1"/>
  <c r="AB191" i="10" s="1"/>
  <c r="Y191" i="10" a="1"/>
  <c r="Y191" i="10" s="1"/>
  <c r="W191" i="10" a="1"/>
  <c r="W191" i="10" s="1"/>
  <c r="AN155" i="10" a="1"/>
  <c r="AN155" i="10" s="1"/>
  <c r="AD221" i="10" a="1"/>
  <c r="AD221" i="10" s="1"/>
  <c r="AF191" i="10" a="1"/>
  <c r="AF191" i="10" s="1"/>
  <c r="AC191" i="10" a="1"/>
  <c r="AC191" i="10" s="1"/>
  <c r="S191" i="10" a="1"/>
  <c r="S191" i="10" s="1"/>
  <c r="AJ191" i="10" a="1"/>
  <c r="AJ191" i="10" s="1"/>
  <c r="AG191" i="10" a="1"/>
  <c r="AG191" i="10" s="1"/>
  <c r="AG155" i="10" a="1"/>
  <c r="AG155" i="10" s="1"/>
  <c r="O191" i="10" a="1"/>
  <c r="O191" i="10" s="1"/>
  <c r="H185" i="10" a="1"/>
  <c r="H185" i="10" s="1"/>
  <c r="H191" i="10" a="1"/>
  <c r="H191" i="10" s="1"/>
  <c r="AN191" i="10" a="1"/>
  <c r="AN191" i="10" s="1"/>
  <c r="AK191" i="10" a="1"/>
  <c r="AK191" i="10" s="1"/>
  <c r="AP191" i="10" a="1"/>
  <c r="AP191" i="10" s="1"/>
  <c r="AH155" i="10" a="1"/>
  <c r="AH155" i="10" s="1"/>
  <c r="AL191" i="10" a="1"/>
  <c r="AL191" i="10" s="1"/>
  <c r="AL185" i="10" a="1"/>
  <c r="AL185" i="10" s="1"/>
  <c r="AD155" i="10" a="1"/>
  <c r="AD155" i="10" s="1"/>
  <c r="AC155" i="10" a="1"/>
  <c r="AC155" i="10" s="1"/>
  <c r="K191" i="10" a="1"/>
  <c r="K191" i="10" s="1"/>
  <c r="AI155" i="10" a="1"/>
  <c r="AI155" i="10" s="1"/>
  <c r="H155" i="10" a="1"/>
  <c r="H155" i="10" s="1"/>
  <c r="X185" i="10" a="1"/>
  <c r="X185" i="10" s="1"/>
  <c r="L191" i="10" a="1"/>
  <c r="L191" i="10" s="1"/>
  <c r="I191" i="10" a="1"/>
  <c r="I191" i="10" s="1"/>
  <c r="AO191" i="10" a="1"/>
  <c r="AO191" i="10" s="1"/>
  <c r="AD191" i="10" a="1"/>
  <c r="AD191" i="10" s="1"/>
  <c r="AI191" i="10" a="1"/>
  <c r="AI191" i="10" s="1"/>
  <c r="O185" i="10" a="1"/>
  <c r="O185" i="10" s="1"/>
  <c r="T221" i="10" a="1"/>
  <c r="T221" i="10" s="1"/>
  <c r="U185" i="10" a="1"/>
  <c r="U185" i="10" s="1"/>
  <c r="AS221" i="10"/>
  <c r="T191" i="10" a="1"/>
  <c r="T191" i="10" s="1"/>
  <c r="Q191" i="10" a="1"/>
  <c r="Q191" i="10" s="1"/>
  <c r="AB245" i="10" a="1"/>
  <c r="AB245" i="10" s="1"/>
  <c r="AA143" i="10" a="1"/>
  <c r="AA143" i="10" s="1"/>
  <c r="Z248" i="10" a="1"/>
  <c r="Z248" i="10" s="1"/>
  <c r="AB218" i="10" a="1"/>
  <c r="AB218" i="10" s="1"/>
  <c r="V194" i="10" a="1"/>
  <c r="V194" i="10" s="1"/>
  <c r="AJ242" i="10" a="1"/>
  <c r="AJ242" i="10" s="1"/>
  <c r="M194" i="10" a="1"/>
  <c r="M194" i="10" s="1"/>
  <c r="AO176" i="10" a="1"/>
  <c r="AO176" i="10" s="1"/>
  <c r="I176" i="10" a="1"/>
  <c r="I176" i="10" s="1"/>
  <c r="X227" i="10" a="1"/>
  <c r="X227" i="10" s="1"/>
  <c r="AA227" i="10" a="1"/>
  <c r="AA227" i="10" s="1"/>
  <c r="K227" i="10" a="1"/>
  <c r="K227" i="10" s="1"/>
  <c r="AE203" i="10" a="1"/>
  <c r="AE203" i="10" s="1"/>
  <c r="AB203" i="10" a="1"/>
  <c r="AB203" i="10" s="1"/>
  <c r="Y203" i="10" a="1"/>
  <c r="Y203" i="10" s="1"/>
  <c r="R203" i="10" a="1"/>
  <c r="R203" i="10" s="1"/>
  <c r="U206" i="10" a="1"/>
  <c r="U206" i="10" s="1"/>
  <c r="N206" i="10" a="1"/>
  <c r="N206" i="10" s="1"/>
  <c r="G206" i="10" a="1"/>
  <c r="G206" i="10" s="1"/>
  <c r="AM206" i="10" a="1"/>
  <c r="AM206" i="10" s="1"/>
  <c r="AJ206" i="10" a="1"/>
  <c r="AJ206" i="10" s="1"/>
  <c r="AJ233" i="10" a="1"/>
  <c r="AJ233" i="10" s="1"/>
  <c r="G215" i="10" a="1"/>
  <c r="G215" i="10" s="1"/>
  <c r="V122" i="10" a="1"/>
  <c r="V122" i="10" s="1"/>
  <c r="J215" i="10" a="1"/>
  <c r="J215" i="10" s="1"/>
  <c r="L215" i="10" a="1"/>
  <c r="L215" i="10" s="1"/>
  <c r="U233" i="10" a="1"/>
  <c r="U233" i="10" s="1"/>
  <c r="AS233" i="10"/>
  <c r="AL233" i="10" a="1"/>
  <c r="AL233" i="10" s="1"/>
  <c r="AA194" i="10" a="1"/>
  <c r="AA194" i="10" s="1"/>
  <c r="W122" i="10" a="1"/>
  <c r="W122" i="10" s="1"/>
  <c r="AB194" i="10" a="1"/>
  <c r="AB194" i="10" s="1"/>
  <c r="X194" i="10" a="1"/>
  <c r="X194" i="10" s="1"/>
  <c r="R194" i="10" a="1"/>
  <c r="R194" i="10" s="1"/>
  <c r="Z176" i="10" a="1"/>
  <c r="Z176" i="10" s="1"/>
  <c r="AA242" i="10" a="1"/>
  <c r="AA242" i="10" s="1"/>
  <c r="AO194" i="10" a="1"/>
  <c r="AO194" i="10" s="1"/>
  <c r="I194" i="10" a="1"/>
  <c r="I194" i="10" s="1"/>
  <c r="AK176" i="10" a="1"/>
  <c r="AK176" i="10" s="1"/>
  <c r="O227" i="10" a="1"/>
  <c r="O227" i="10" s="1"/>
  <c r="AJ227" i="10" a="1"/>
  <c r="AJ227" i="10" s="1"/>
  <c r="T227" i="10" a="1"/>
  <c r="T227" i="10" s="1"/>
  <c r="AI203" i="10" a="1"/>
  <c r="AI203" i="10" s="1"/>
  <c r="AF203" i="10" a="1"/>
  <c r="AF203" i="10" s="1"/>
  <c r="AC203" i="10" a="1"/>
  <c r="AC203" i="10" s="1"/>
  <c r="V203" i="10" a="1"/>
  <c r="V203" i="10" s="1"/>
  <c r="Y206" i="10" a="1"/>
  <c r="Y206" i="10" s="1"/>
  <c r="R206" i="10" a="1"/>
  <c r="R206" i="10" s="1"/>
  <c r="K206" i="10" a="1"/>
  <c r="K206" i="10" s="1"/>
  <c r="H206" i="10" a="1"/>
  <c r="H206" i="10" s="1"/>
  <c r="AN206" i="10" a="1"/>
  <c r="AN206" i="10" s="1"/>
  <c r="AA233" i="10" a="1"/>
  <c r="AA233" i="10" s="1"/>
  <c r="R122" i="10" a="1"/>
  <c r="R122" i="10" s="1"/>
  <c r="AI233" i="10" a="1"/>
  <c r="AI233" i="10" s="1"/>
  <c r="S215" i="10" a="1"/>
  <c r="S215" i="10" s="1"/>
  <c r="Q215" i="10" a="1"/>
  <c r="Q215" i="10" s="1"/>
  <c r="AD233" i="10" a="1"/>
  <c r="AD233" i="10" s="1"/>
  <c r="N233" i="10" a="1"/>
  <c r="N233" i="10" s="1"/>
  <c r="AE194" i="10" a="1"/>
  <c r="AE194" i="10" s="1"/>
  <c r="P122" i="10" a="1"/>
  <c r="P122" i="10" s="1"/>
  <c r="AB233" i="10" a="1"/>
  <c r="AB233" i="10" s="1"/>
  <c r="AG122" i="10" a="1"/>
  <c r="AG122" i="10" s="1"/>
  <c r="AP194" i="10" a="1"/>
  <c r="AP194" i="10" s="1"/>
  <c r="J194" i="10" a="1"/>
  <c r="J194" i="10" s="1"/>
  <c r="K203" i="10" a="1"/>
  <c r="K203" i="10" s="1"/>
  <c r="H203" i="10" a="1"/>
  <c r="H203" i="10" s="1"/>
  <c r="AN203" i="10" a="1"/>
  <c r="AN203" i="10" s="1"/>
  <c r="AK203" i="10" a="1"/>
  <c r="AK203" i="10" s="1"/>
  <c r="AD203" i="10" a="1"/>
  <c r="AD203" i="10" s="1"/>
  <c r="AG206" i="10" a="1"/>
  <c r="AG206" i="10" s="1"/>
  <c r="Z206" i="10" a="1"/>
  <c r="Z206" i="10" s="1"/>
  <c r="S206" i="10" a="1"/>
  <c r="S206" i="10" s="1"/>
  <c r="P206" i="10" a="1"/>
  <c r="P206" i="10" s="1"/>
  <c r="Q233" i="10" a="1"/>
  <c r="Q233" i="10" s="1"/>
  <c r="H233" i="10" a="1"/>
  <c r="H233" i="10" s="1"/>
  <c r="AF233" i="10" a="1"/>
  <c r="AF233" i="10" s="1"/>
  <c r="G194" i="10" a="1"/>
  <c r="G194" i="10" s="1"/>
  <c r="AM194" i="10" a="1"/>
  <c r="AM194" i="10" s="1"/>
  <c r="J233" i="10" a="1"/>
  <c r="J233" i="10" s="1"/>
  <c r="AP233" i="10" a="1"/>
  <c r="AP233" i="10" s="1"/>
  <c r="AG194" i="10" a="1"/>
  <c r="AG194" i="10" s="1"/>
  <c r="I233" i="10" a="1"/>
  <c r="I233" i="10" s="1"/>
  <c r="L194" i="10" a="1"/>
  <c r="L194" i="10" s="1"/>
  <c r="AJ176" i="10" a="1"/>
  <c r="AJ176" i="10" s="1"/>
  <c r="K242" i="10" a="1"/>
  <c r="K242" i="10" s="1"/>
  <c r="K176" i="10" a="1"/>
  <c r="K176" i="10" s="1"/>
  <c r="AB242" i="10" a="1"/>
  <c r="AB242" i="10" s="1"/>
  <c r="AL194" i="10" a="1"/>
  <c r="AL194" i="10" s="1"/>
  <c r="N176" i="10" a="1"/>
  <c r="N176" i="10" s="1"/>
  <c r="AC194" i="10" a="1"/>
  <c r="AC194" i="10" s="1"/>
  <c r="Y176" i="10" a="1"/>
  <c r="Y176" i="10" s="1"/>
  <c r="Z227" i="10" a="1"/>
  <c r="Z227" i="10" s="1"/>
  <c r="S227" i="10" a="1"/>
  <c r="S227" i="10" s="1"/>
  <c r="O203" i="10" a="1"/>
  <c r="O203" i="10" s="1"/>
  <c r="L203" i="10" a="1"/>
  <c r="L203" i="10" s="1"/>
  <c r="I203" i="10" a="1"/>
  <c r="I203" i="10" s="1"/>
  <c r="AO203" i="10" a="1"/>
  <c r="AO203" i="10" s="1"/>
  <c r="AH203" i="10" a="1"/>
  <c r="AH203" i="10" s="1"/>
  <c r="AK206" i="10" a="1"/>
  <c r="AK206" i="10" s="1"/>
  <c r="AD206" i="10" a="1"/>
  <c r="AD206" i="10" s="1"/>
  <c r="W206" i="10" a="1"/>
  <c r="W206" i="10" s="1"/>
  <c r="T206" i="10" a="1"/>
  <c r="T206" i="10" s="1"/>
  <c r="AD227" i="10" a="1"/>
  <c r="AD227" i="10" s="1"/>
  <c r="AL122" i="10" a="1"/>
  <c r="AL122" i="10" s="1"/>
  <c r="AS224" i="10"/>
  <c r="I215" i="10" a="1"/>
  <c r="I215" i="10" s="1"/>
  <c r="AP215" i="10" a="1"/>
  <c r="AP215" i="10" s="1"/>
  <c r="AH233" i="10" a="1"/>
  <c r="AH233" i="10" s="1"/>
  <c r="M233" i="10" a="1"/>
  <c r="M233" i="10" s="1"/>
  <c r="AK233" i="10" a="1"/>
  <c r="AK233" i="10" s="1"/>
  <c r="K194" i="10" a="1"/>
  <c r="K194" i="10" s="1"/>
  <c r="V215" i="10" a="1"/>
  <c r="V215" i="10" s="1"/>
  <c r="S233" i="10" a="1"/>
  <c r="S233" i="10" s="1"/>
  <c r="AN227" i="10" a="1"/>
  <c r="AN227" i="10" s="1"/>
  <c r="AF242" i="10" a="1"/>
  <c r="AF242" i="10" s="1"/>
  <c r="J242" i="10" a="1"/>
  <c r="J242" i="10" s="1"/>
  <c r="P194" i="10" a="1"/>
  <c r="P194" i="10" s="1"/>
  <c r="H194" i="10" a="1"/>
  <c r="H194" i="10" s="1"/>
  <c r="S242" i="10" a="1"/>
  <c r="S242" i="10" s="1"/>
  <c r="AH194" i="10" a="1"/>
  <c r="AH194" i="10" s="1"/>
  <c r="AP176" i="10" a="1"/>
  <c r="AP176" i="10" s="1"/>
  <c r="J176" i="10" a="1"/>
  <c r="J176" i="10" s="1"/>
  <c r="Y194" i="10" a="1"/>
  <c r="Y194" i="10" s="1"/>
  <c r="U176" i="10" a="1"/>
  <c r="U176" i="10" s="1"/>
  <c r="AI227" i="10" a="1"/>
  <c r="AI227" i="10" s="1"/>
  <c r="AB227" i="10" a="1"/>
  <c r="AB227" i="10" s="1"/>
  <c r="S203" i="10" a="1"/>
  <c r="S203" i="10" s="1"/>
  <c r="P203" i="10" a="1"/>
  <c r="P203" i="10" s="1"/>
  <c r="M203" i="10" a="1"/>
  <c r="M203" i="10" s="1"/>
  <c r="AS203" i="10"/>
  <c r="AL203" i="10" a="1"/>
  <c r="AL203" i="10" s="1"/>
  <c r="I206" i="10" a="1"/>
  <c r="I206" i="10" s="1"/>
  <c r="AO206" i="10" a="1"/>
  <c r="AO206" i="10" s="1"/>
  <c r="AH206" i="10" a="1"/>
  <c r="AH206" i="10" s="1"/>
  <c r="AA206" i="10" a="1"/>
  <c r="AA206" i="10" s="1"/>
  <c r="X206" i="10" a="1"/>
  <c r="X206" i="10" s="1"/>
  <c r="U227" i="10" a="1"/>
  <c r="U227" i="10" s="1"/>
  <c r="AH122" i="10" a="1"/>
  <c r="AH122" i="10" s="1"/>
  <c r="R215" i="10" a="1"/>
  <c r="R215" i="10" s="1"/>
  <c r="K215" i="10" a="1"/>
  <c r="K215" i="10" s="1"/>
  <c r="Y233" i="10" a="1"/>
  <c r="Y233" i="10" s="1"/>
  <c r="V233" i="10" a="1"/>
  <c r="V233" i="10" s="1"/>
  <c r="O233" i="10" a="1"/>
  <c r="O233" i="10" s="1"/>
  <c r="O194" i="10" a="1"/>
  <c r="O194" i="10" s="1"/>
  <c r="Q122" i="10" a="1"/>
  <c r="Q122" i="10" s="1"/>
  <c r="W227" i="10" a="1"/>
  <c r="W227" i="10" s="1"/>
  <c r="AE122" i="10" a="1"/>
  <c r="AE122" i="10" s="1"/>
  <c r="P227" i="10" a="1"/>
  <c r="P227" i="10" s="1"/>
  <c r="AO233" i="10" a="1"/>
  <c r="AO233" i="10" s="1"/>
  <c r="AJ194" i="10" a="1"/>
  <c r="AJ194" i="10" s="1"/>
  <c r="N242" i="10" a="1"/>
  <c r="N242" i="10" s="1"/>
  <c r="AD194" i="10" a="1"/>
  <c r="AD194" i="10" s="1"/>
  <c r="AL176" i="10" a="1"/>
  <c r="AL176" i="10" s="1"/>
  <c r="U194" i="10" a="1"/>
  <c r="U194" i="10" s="1"/>
  <c r="Q176" i="10" a="1"/>
  <c r="Q176" i="10" s="1"/>
  <c r="I227" i="10" a="1"/>
  <c r="I227" i="10" s="1"/>
  <c r="AG227" i="10" a="1"/>
  <c r="AG227" i="10" s="1"/>
  <c r="AL215" i="10" a="1"/>
  <c r="AL215" i="10" s="1"/>
  <c r="W203" i="10" a="1"/>
  <c r="W203" i="10" s="1"/>
  <c r="T203" i="10" a="1"/>
  <c r="T203" i="10" s="1"/>
  <c r="Q203" i="10" a="1"/>
  <c r="Q203" i="10" s="1"/>
  <c r="J203" i="10" a="1"/>
  <c r="J203" i="10" s="1"/>
  <c r="M206" i="10" a="1"/>
  <c r="M206" i="10" s="1"/>
  <c r="AS206" i="10"/>
  <c r="AL206" i="10" a="1"/>
  <c r="AL206" i="10" s="1"/>
  <c r="AE206" i="10" a="1"/>
  <c r="AE206" i="10" s="1"/>
  <c r="AD122" i="10" a="1"/>
  <c r="AD122" i="10" s="1"/>
  <c r="AA215" i="10" a="1"/>
  <c r="AA215" i="10" s="1"/>
  <c r="Y215" i="10" a="1"/>
  <c r="Y215" i="10" s="1"/>
  <c r="G233" i="10" a="1"/>
  <c r="G233" i="10" s="1"/>
  <c r="AE233" i="10" a="1"/>
  <c r="AE233" i="10" s="1"/>
  <c r="X233" i="10" a="1"/>
  <c r="X233" i="10" s="1"/>
  <c r="S194" i="10" a="1"/>
  <c r="S194" i="10" s="1"/>
  <c r="K122" i="10" a="1"/>
  <c r="K122" i="10" s="1"/>
  <c r="AN194" i="10" a="1"/>
  <c r="AN194" i="10" s="1"/>
  <c r="AF215" i="10" a="1"/>
  <c r="AF215" i="10" s="1"/>
  <c r="M227" i="10" a="1"/>
  <c r="M227" i="10" s="1"/>
  <c r="AA221" i="10" a="1"/>
  <c r="AA221" i="10" s="1"/>
  <c r="AH173" i="10" a="1"/>
  <c r="AH173" i="10" s="1"/>
  <c r="AA209" i="10" a="1"/>
  <c r="AA209" i="10" s="1"/>
  <c r="AG128" i="10" a="1"/>
  <c r="AG128" i="10" s="1"/>
  <c r="S128" i="10" a="1"/>
  <c r="S128" i="10" s="1"/>
  <c r="AN128" i="10" a="1"/>
  <c r="AN128" i="10" s="1"/>
  <c r="J221" i="10" a="1"/>
  <c r="J221" i="10" s="1"/>
  <c r="AL155" i="10" a="1"/>
  <c r="AL155" i="10" s="1"/>
  <c r="AK155" i="10" a="1"/>
  <c r="AK155" i="10" s="1"/>
  <c r="AM185" i="10" a="1"/>
  <c r="AM185" i="10" s="1"/>
  <c r="G185" i="10" a="1"/>
  <c r="G185" i="10" s="1"/>
  <c r="AA155" i="10" a="1"/>
  <c r="AA155" i="10" s="1"/>
  <c r="AF185" i="10" a="1"/>
  <c r="AF185" i="10" s="1"/>
  <c r="AC185" i="10" a="1"/>
  <c r="AC185" i="10" s="1"/>
  <c r="AF155" i="10" a="1"/>
  <c r="AF155" i="10" s="1"/>
  <c r="AI221" i="10" a="1"/>
  <c r="AI221" i="10" s="1"/>
  <c r="AE221" i="10" a="1"/>
  <c r="AE221" i="10" s="1"/>
  <c r="X221" i="10" a="1"/>
  <c r="X221" i="10" s="1"/>
  <c r="AH224" i="10" a="1"/>
  <c r="AH224" i="10" s="1"/>
  <c r="AI185" i="10" a="1"/>
  <c r="AI185" i="10" s="1"/>
  <c r="W155" i="10" a="1"/>
  <c r="W155" i="10" s="1"/>
  <c r="AJ185" i="10" a="1"/>
  <c r="AJ185" i="10" s="1"/>
  <c r="AG185" i="10" a="1"/>
  <c r="AG185" i="10" s="1"/>
  <c r="AJ155" i="10" a="1"/>
  <c r="AJ155" i="10" s="1"/>
  <c r="Z221" i="10" a="1"/>
  <c r="Z221" i="10" s="1"/>
  <c r="AP155" i="10" a="1"/>
  <c r="AP155" i="10" s="1"/>
  <c r="AN221" i="10" a="1"/>
  <c r="AN221" i="10" s="1"/>
  <c r="AC221" i="10" a="1"/>
  <c r="AC221" i="10" s="1"/>
  <c r="Z155" i="10" a="1"/>
  <c r="Z155" i="10" s="1"/>
  <c r="Y155" i="10" a="1"/>
  <c r="Y155" i="10" s="1"/>
  <c r="AA185" i="10" a="1"/>
  <c r="AA185" i="10" s="1"/>
  <c r="O155" i="10" a="1"/>
  <c r="O155" i="10" s="1"/>
  <c r="K221" i="10" a="1"/>
  <c r="K221" i="10" s="1"/>
  <c r="L185" i="10" a="1"/>
  <c r="L185" i="10" s="1"/>
  <c r="I185" i="10" a="1"/>
  <c r="I185" i="10" s="1"/>
  <c r="AH221" i="10" a="1"/>
  <c r="AH221" i="10" s="1"/>
  <c r="N221" i="10" a="1"/>
  <c r="N221" i="10" s="1"/>
  <c r="G221" i="10" a="1"/>
  <c r="G221" i="10" s="1"/>
  <c r="AB221" i="10" a="1"/>
  <c r="AB221" i="10" s="1"/>
  <c r="AP221" i="10" a="1"/>
  <c r="AP221" i="10" s="1"/>
  <c r="J185" i="10" a="1"/>
  <c r="J185" i="10" s="1"/>
  <c r="V155" i="10" a="1"/>
  <c r="V155" i="10" s="1"/>
  <c r="U155" i="10" a="1"/>
  <c r="U155" i="10" s="1"/>
  <c r="W185" i="10" a="1"/>
  <c r="W185" i="10" s="1"/>
  <c r="K155" i="10" a="1"/>
  <c r="K155" i="10" s="1"/>
  <c r="P185" i="10" a="1"/>
  <c r="P185" i="10" s="1"/>
  <c r="M185" i="10" a="1"/>
  <c r="M185" i="10" s="1"/>
  <c r="P155" i="10" a="1"/>
  <c r="P155" i="10" s="1"/>
  <c r="Y221" i="10" a="1"/>
  <c r="Y221" i="10" s="1"/>
  <c r="W221" i="10" a="1"/>
  <c r="W221" i="10" s="1"/>
  <c r="P221" i="10" a="1"/>
  <c r="P221" i="10" s="1"/>
  <c r="L221" i="10" a="1"/>
  <c r="L221" i="10" s="1"/>
  <c r="R155" i="10" a="1"/>
  <c r="R155" i="10" s="1"/>
  <c r="Q155" i="10" a="1"/>
  <c r="Q155" i="10" s="1"/>
  <c r="S185" i="10" a="1"/>
  <c r="S185" i="10" s="1"/>
  <c r="AM155" i="10" a="1"/>
  <c r="AM155" i="10" s="1"/>
  <c r="G155" i="10" a="1"/>
  <c r="G155" i="10" s="1"/>
  <c r="T185" i="10" a="1"/>
  <c r="T185" i="10" s="1"/>
  <c r="Q185" i="10" a="1"/>
  <c r="Q185" i="10" s="1"/>
  <c r="T155" i="10" a="1"/>
  <c r="T155" i="10" s="1"/>
  <c r="H221" i="10" a="1"/>
  <c r="H221" i="10" s="1"/>
  <c r="AF221" i="10" a="1"/>
  <c r="AF221" i="10" s="1"/>
  <c r="U221" i="10" a="1"/>
  <c r="U221" i="10" s="1"/>
  <c r="AD185" i="10" a="1"/>
  <c r="AD185" i="10" s="1"/>
  <c r="J155" i="10" a="1"/>
  <c r="J155" i="10" s="1"/>
  <c r="AO155" i="10" a="1"/>
  <c r="AO155" i="10" s="1"/>
  <c r="I155" i="10" a="1"/>
  <c r="I155" i="10" s="1"/>
  <c r="I188" i="10" a="1"/>
  <c r="I188" i="10" s="1"/>
  <c r="K185" i="10" a="1"/>
  <c r="K185" i="10" s="1"/>
  <c r="AG158" i="10" a="1"/>
  <c r="AG158" i="10" s="1"/>
  <c r="AE155" i="10" a="1"/>
  <c r="AE155" i="10" s="1"/>
  <c r="T224" i="10" a="1"/>
  <c r="T224" i="10" s="1"/>
  <c r="AB185" i="10" a="1"/>
  <c r="AB185" i="10" s="1"/>
  <c r="Y185" i="10" a="1"/>
  <c r="Y185" i="10" s="1"/>
  <c r="AB155" i="10" a="1"/>
  <c r="AB155" i="10" s="1"/>
  <c r="AA188" i="10" a="1"/>
  <c r="AA188" i="10" s="1"/>
  <c r="V221" i="10" a="1"/>
  <c r="V221" i="10" s="1"/>
  <c r="O221" i="10" a="1"/>
  <c r="O221" i="10" s="1"/>
  <c r="AM221" i="10" a="1"/>
  <c r="AM221" i="10" s="1"/>
  <c r="Y224" i="10" a="1"/>
  <c r="Y224" i="10" s="1"/>
  <c r="I221" i="10" a="1"/>
  <c r="I221" i="10" s="1"/>
  <c r="AG221" i="10" a="1"/>
  <c r="AG221" i="10" s="1"/>
  <c r="S221" i="10" a="1"/>
  <c r="S221" i="10" s="1"/>
  <c r="R221" i="10" a="1"/>
  <c r="R221" i="10" s="1"/>
  <c r="AO182" i="10" a="1"/>
  <c r="AO182" i="10" s="1"/>
  <c r="I182" i="10" a="1"/>
  <c r="I182" i="10" s="1"/>
  <c r="AI182" i="10" a="1"/>
  <c r="AI182" i="10" s="1"/>
  <c r="AM212" i="10" a="1"/>
  <c r="AM212" i="10" s="1"/>
  <c r="W212" i="10" a="1"/>
  <c r="W212" i="10" s="1"/>
  <c r="Y143" i="10" a="1"/>
  <c r="Y143" i="10" s="1"/>
  <c r="J248" i="10" a="1"/>
  <c r="J248" i="10" s="1"/>
  <c r="U212" i="10" a="1"/>
  <c r="U212" i="10" s="1"/>
  <c r="AI245" i="10" a="1"/>
  <c r="AI245" i="10" s="1"/>
  <c r="AK182" i="10" a="1"/>
  <c r="AK182" i="10" s="1"/>
  <c r="G182" i="10" a="1"/>
  <c r="G182" i="10" s="1"/>
  <c r="AM182" i="10" a="1"/>
  <c r="AM182" i="10" s="1"/>
  <c r="H212" i="10" a="1"/>
  <c r="H212" i="10" s="1"/>
  <c r="AF212" i="10" a="1"/>
  <c r="AF212" i="10" s="1"/>
  <c r="AH248" i="10" a="1"/>
  <c r="AH248" i="10" s="1"/>
  <c r="V212" i="10" a="1"/>
  <c r="V212" i="10" s="1"/>
  <c r="L212" i="10" a="1"/>
  <c r="L212" i="10" s="1"/>
  <c r="M236" i="10" a="1"/>
  <c r="M236" i="10" s="1"/>
  <c r="AA218" i="10" a="1"/>
  <c r="AA218" i="10" s="1"/>
  <c r="X218" i="10" a="1"/>
  <c r="X218" i="10" s="1"/>
  <c r="L236" i="10" a="1"/>
  <c r="L236" i="10" s="1"/>
  <c r="AF236" i="10" a="1"/>
  <c r="AF236" i="10" s="1"/>
  <c r="AF143" i="10" a="1"/>
  <c r="AF143" i="10" s="1"/>
  <c r="AC182" i="10" a="1"/>
  <c r="AC182" i="10" s="1"/>
  <c r="AS212" i="10"/>
  <c r="O182" i="10" a="1"/>
  <c r="O182" i="10" s="1"/>
  <c r="Z212" i="10" a="1"/>
  <c r="Z212" i="10" s="1"/>
  <c r="J212" i="10" a="1"/>
  <c r="J212" i="10" s="1"/>
  <c r="P236" i="10" a="1"/>
  <c r="P236" i="10" s="1"/>
  <c r="AL212" i="10" a="1"/>
  <c r="AL212" i="10" s="1"/>
  <c r="AJ212" i="10" a="1"/>
  <c r="AJ212" i="10" s="1"/>
  <c r="S182" i="10" a="1"/>
  <c r="S182" i="10" s="1"/>
  <c r="AH245" i="10" a="1"/>
  <c r="AH245" i="10" s="1"/>
  <c r="G212" i="10" a="1"/>
  <c r="G212" i="10" s="1"/>
  <c r="AE212" i="10" a="1"/>
  <c r="AE212" i="10" s="1"/>
  <c r="O212" i="10" a="1"/>
  <c r="O212" i="10" s="1"/>
  <c r="AN236" i="10" a="1"/>
  <c r="AN236" i="10" s="1"/>
  <c r="L143" i="10" a="1"/>
  <c r="L143" i="10" s="1"/>
  <c r="AI236" i="10" a="1"/>
  <c r="AI236" i="10" s="1"/>
  <c r="AA212" i="10" a="1"/>
  <c r="AA212" i="10" s="1"/>
  <c r="W182" i="10" a="1"/>
  <c r="W182" i="10" s="1"/>
  <c r="U245" i="10" a="1"/>
  <c r="U245" i="10" s="1"/>
  <c r="P212" i="10" a="1"/>
  <c r="P212" i="10" s="1"/>
  <c r="AN212" i="10" a="1"/>
  <c r="AN212" i="10" s="1"/>
  <c r="X212" i="10" a="1"/>
  <c r="X212" i="10" s="1"/>
  <c r="S236" i="10" a="1"/>
  <c r="S236" i="10" s="1"/>
  <c r="AB212" i="10" a="1"/>
  <c r="AB212" i="10" s="1"/>
  <c r="R182" i="10" a="1"/>
  <c r="R182" i="10" s="1"/>
  <c r="Q182" i="10" a="1"/>
  <c r="Q182" i="10" s="1"/>
  <c r="R245" i="10" a="1"/>
  <c r="R245" i="10" s="1"/>
  <c r="AA182" i="10" a="1"/>
  <c r="AA182" i="10" s="1"/>
  <c r="AS245" i="10"/>
  <c r="Y212" i="10" a="1"/>
  <c r="Y212" i="10" s="1"/>
  <c r="I212" i="10" a="1"/>
  <c r="I212" i="10" s="1"/>
  <c r="AG212" i="10" a="1"/>
  <c r="AG212" i="10" s="1"/>
  <c r="AN182" i="10" a="1"/>
  <c r="AN182" i="10" s="1"/>
  <c r="AM218" i="10" a="1"/>
  <c r="AM218" i="10" s="1"/>
  <c r="AK173" i="10" a="1"/>
  <c r="AK173" i="10" s="1"/>
  <c r="T164" i="10" a="1"/>
  <c r="T164" i="10" s="1"/>
  <c r="R161" i="10" a="1"/>
  <c r="R161" i="10" s="1"/>
  <c r="AD179" i="10" a="1"/>
  <c r="AD179" i="10" s="1"/>
  <c r="Z179" i="10" a="1"/>
  <c r="Z179" i="10" s="1"/>
  <c r="I242" i="10" a="1"/>
  <c r="I242" i="10" s="1"/>
  <c r="W242" i="10" a="1"/>
  <c r="W242" i="10" s="1"/>
  <c r="Q242" i="10" a="1"/>
  <c r="Q242" i="10" s="1"/>
  <c r="AN170" i="10" a="1"/>
  <c r="AN170" i="10" s="1"/>
  <c r="O170" i="10" a="1"/>
  <c r="O170" i="10" s="1"/>
  <c r="AF170" i="10" a="1"/>
  <c r="AF170" i="10" s="1"/>
  <c r="X170" i="10" a="1"/>
  <c r="X170" i="10" s="1"/>
  <c r="W170" i="10" a="1"/>
  <c r="W170" i="10" s="1"/>
  <c r="N170" i="10" a="1"/>
  <c r="N170" i="10" s="1"/>
  <c r="AI170" i="10" a="1"/>
  <c r="AI170" i="10" s="1"/>
  <c r="AB170" i="10" a="1"/>
  <c r="AB170" i="10" s="1"/>
  <c r="P170" i="10" a="1"/>
  <c r="P170" i="10" s="1"/>
  <c r="P149" i="10" a="1"/>
  <c r="P149" i="10" s="1"/>
  <c r="AI149" i="10" a="1"/>
  <c r="AI149" i="10" s="1"/>
  <c r="AI173" i="10" a="1"/>
  <c r="AI173" i="10" s="1"/>
  <c r="Z173" i="10" a="1"/>
  <c r="Z173" i="10" s="1"/>
  <c r="L164" i="10" a="1"/>
  <c r="L164" i="10" s="1"/>
  <c r="J161" i="10" a="1"/>
  <c r="J161" i="10" s="1"/>
  <c r="Y173" i="10" a="1"/>
  <c r="Y173" i="10" s="1"/>
  <c r="AE164" i="10" a="1"/>
  <c r="AE164" i="10" s="1"/>
  <c r="AG164" i="10" a="1"/>
  <c r="AG164" i="10" s="1"/>
  <c r="Q224" i="10" a="1"/>
  <c r="Q224" i="10" s="1"/>
  <c r="U197" i="10" a="1"/>
  <c r="U197" i="10" s="1"/>
  <c r="L224" i="10" a="1"/>
  <c r="L224" i="10" s="1"/>
  <c r="H227" i="10" a="1"/>
  <c r="H227" i="10" s="1"/>
  <c r="G230" i="10" a="1"/>
  <c r="G230" i="10" s="1"/>
  <c r="AF227" i="10" a="1"/>
  <c r="AF227" i="10" s="1"/>
  <c r="V173" i="10" a="1"/>
  <c r="V173" i="10" s="1"/>
  <c r="H164" i="10" a="1"/>
  <c r="H164" i="10" s="1"/>
  <c r="U173" i="10" a="1"/>
  <c r="U173" i="10" s="1"/>
  <c r="W164" i="10" a="1"/>
  <c r="W164" i="10" s="1"/>
  <c r="AI161" i="10" a="1"/>
  <c r="AI161" i="10" s="1"/>
  <c r="M224" i="10" a="1"/>
  <c r="M224" i="10" s="1"/>
  <c r="AE188" i="10" a="1"/>
  <c r="AE188" i="10" s="1"/>
  <c r="I224" i="10" a="1"/>
  <c r="I224" i="10" s="1"/>
  <c r="AG197" i="10" a="1"/>
  <c r="AG197" i="10" s="1"/>
  <c r="AC122" i="10" a="1"/>
  <c r="AC122" i="10" s="1"/>
  <c r="AB122" i="10" a="1"/>
  <c r="AB122" i="10" s="1"/>
  <c r="AS215" i="10"/>
  <c r="G122" i="10" a="1"/>
  <c r="G122" i="10" s="1"/>
  <c r="V227" i="10" a="1"/>
  <c r="V227" i="10" s="1"/>
  <c r="AK227" i="10" a="1"/>
  <c r="AK227" i="10" s="1"/>
  <c r="AP242" i="10" a="1"/>
  <c r="AP242" i="10" s="1"/>
  <c r="AG242" i="10" a="1"/>
  <c r="AG242" i="10" s="1"/>
  <c r="AO221" i="10" a="1"/>
  <c r="AO221" i="10" s="1"/>
  <c r="R224" i="10" a="1"/>
  <c r="R224" i="10" s="1"/>
  <c r="L173" i="10" a="1"/>
  <c r="L173" i="10" s="1"/>
  <c r="N173" i="10" a="1"/>
  <c r="N173" i="10" s="1"/>
  <c r="AF164" i="10" a="1"/>
  <c r="AF164" i="10" s="1"/>
  <c r="AD161" i="10" a="1"/>
  <c r="AD161" i="10" s="1"/>
  <c r="AC161" i="10" a="1"/>
  <c r="AC161" i="10" s="1"/>
  <c r="AK158" i="10" a="1"/>
  <c r="AK158" i="10" s="1"/>
  <c r="AK224" i="10" a="1"/>
  <c r="AK224" i="10" s="1"/>
  <c r="AM188" i="10" a="1"/>
  <c r="AM188" i="10" s="1"/>
  <c r="AO224" i="10" a="1"/>
  <c r="AO224" i="10" s="1"/>
  <c r="Y122" i="10" a="1"/>
  <c r="Y122" i="10" s="1"/>
  <c r="O122" i="10" a="1"/>
  <c r="O122" i="10" s="1"/>
  <c r="AC227" i="10" a="1"/>
  <c r="AC227" i="10" s="1"/>
  <c r="AH242" i="10" a="1"/>
  <c r="AH242" i="10" s="1"/>
  <c r="H215" i="10" a="1"/>
  <c r="H215" i="10" s="1"/>
  <c r="T122" i="10" a="1"/>
  <c r="T122" i="10" s="1"/>
  <c r="X230" i="10" a="1"/>
  <c r="X230" i="10" s="1"/>
  <c r="AK212" i="10" a="1"/>
  <c r="AK212" i="10" s="1"/>
  <c r="AG173" i="10" a="1"/>
  <c r="AG173" i="10" s="1"/>
  <c r="AI164" i="10" a="1"/>
  <c r="AI164" i="10" s="1"/>
  <c r="R173" i="10" a="1"/>
  <c r="R173" i="10" s="1"/>
  <c r="J173" i="10" a="1"/>
  <c r="J173" i="10" s="1"/>
  <c r="AB164" i="10" a="1"/>
  <c r="AB164" i="10" s="1"/>
  <c r="Z161" i="10" a="1"/>
  <c r="Z161" i="10" s="1"/>
  <c r="I161" i="10" a="1"/>
  <c r="I161" i="10" s="1"/>
  <c r="AP164" i="10" a="1"/>
  <c r="AP164" i="10" s="1"/>
  <c r="X161" i="10" a="1"/>
  <c r="X161" i="10" s="1"/>
  <c r="AB224" i="10" a="1"/>
  <c r="AB224" i="10" s="1"/>
  <c r="G188" i="10" a="1"/>
  <c r="G188" i="10" s="1"/>
  <c r="J224" i="10" a="1"/>
  <c r="J224" i="10" s="1"/>
  <c r="T197" i="10" a="1"/>
  <c r="T197" i="10" s="1"/>
  <c r="S122" i="10" a="1"/>
  <c r="S122" i="10" s="1"/>
  <c r="AO122" i="10" a="1"/>
  <c r="AO122" i="10" s="1"/>
  <c r="AM215" i="10" a="1"/>
  <c r="AM215" i="10" s="1"/>
  <c r="AK215" i="10" a="1"/>
  <c r="AK215" i="10" s="1"/>
  <c r="R242" i="10" a="1"/>
  <c r="R242" i="10" s="1"/>
  <c r="AM122" i="10" a="1"/>
  <c r="AM122" i="10" s="1"/>
  <c r="AO242" i="10" a="1"/>
  <c r="AO242" i="10" s="1"/>
  <c r="AK122" i="10" a="1"/>
  <c r="AK122" i="10" s="1"/>
  <c r="AD173" i="10" a="1"/>
  <c r="AD173" i="10" s="1"/>
  <c r="P164" i="10" a="1"/>
  <c r="P164" i="10" s="1"/>
  <c r="N161" i="10" a="1"/>
  <c r="N161" i="10" s="1"/>
  <c r="AH161" i="10" a="1"/>
  <c r="AH161" i="10" s="1"/>
  <c r="M173" i="10" a="1"/>
  <c r="M173" i="10" s="1"/>
  <c r="AO161" i="10" a="1"/>
  <c r="AO161" i="10" s="1"/>
  <c r="X164" i="10" a="1"/>
  <c r="X164" i="10" s="1"/>
  <c r="V161" i="10" a="1"/>
  <c r="V161" i="10" s="1"/>
  <c r="J164" i="10" a="1"/>
  <c r="J164" i="10" s="1"/>
  <c r="AG188" i="10" a="1"/>
  <c r="AG188" i="10" s="1"/>
  <c r="AC158" i="10" a="1"/>
  <c r="AC158" i="10" s="1"/>
  <c r="AL224" i="10" a="1"/>
  <c r="AL224" i="10" s="1"/>
  <c r="AN158" i="10" a="1"/>
  <c r="AN158" i="10" s="1"/>
  <c r="S224" i="10" a="1"/>
  <c r="S224" i="10" s="1"/>
  <c r="K188" i="10" a="1"/>
  <c r="K188" i="10" s="1"/>
  <c r="AP122" i="10" a="1"/>
  <c r="AP122" i="10" s="1"/>
  <c r="J122" i="10" a="1"/>
  <c r="J122" i="10" s="1"/>
  <c r="AJ215" i="10" a="1"/>
  <c r="AJ215" i="10" s="1"/>
  <c r="T215" i="10" a="1"/>
  <c r="T215" i="10" s="1"/>
  <c r="AG224" i="10" a="1"/>
  <c r="AG224" i="10" s="1"/>
  <c r="X197" i="10" a="1"/>
  <c r="X197" i="10" s="1"/>
  <c r="X122" i="10" a="1"/>
  <c r="X122" i="10" s="1"/>
  <c r="AI122" i="10" a="1"/>
  <c r="AI122" i="10" s="1"/>
  <c r="AN215" i="10" a="1"/>
  <c r="AN215" i="10" s="1"/>
  <c r="AN242" i="10" a="1"/>
  <c r="AN242" i="10" s="1"/>
  <c r="N215" i="10" a="1"/>
  <c r="N215" i="10" s="1"/>
  <c r="M215" i="10" a="1"/>
  <c r="M215" i="10" s="1"/>
  <c r="L122" i="10" a="1"/>
  <c r="L122" i="10" s="1"/>
  <c r="Z242" i="10" a="1"/>
  <c r="Z242" i="10" s="1"/>
  <c r="H122" i="10" a="1"/>
  <c r="H122" i="10" s="1"/>
  <c r="P242" i="10" a="1"/>
  <c r="P242" i="10" s="1"/>
  <c r="O242" i="10" a="1"/>
  <c r="O242" i="10" s="1"/>
  <c r="AE242" i="10" a="1"/>
  <c r="AE242" i="10" s="1"/>
  <c r="Y242" i="10" a="1"/>
  <c r="Y242" i="10" s="1"/>
  <c r="AN122" i="10" a="1"/>
  <c r="AN122" i="10" s="1"/>
  <c r="M122" i="10" a="1"/>
  <c r="M122" i="10" s="1"/>
  <c r="S212" i="10" a="1"/>
  <c r="S212" i="10" s="1"/>
  <c r="AC212" i="10" a="1"/>
  <c r="AC212" i="10" s="1"/>
  <c r="X128" i="10" a="1"/>
  <c r="X128" i="10" s="1"/>
  <c r="H128" i="10" a="1"/>
  <c r="H128" i="10" s="1"/>
  <c r="AI128" i="10" a="1"/>
  <c r="AI128" i="10" s="1"/>
  <c r="AM128" i="10" a="1"/>
  <c r="AM128" i="10" s="1"/>
  <c r="J170" i="10" a="1"/>
  <c r="J170" i="10" s="1"/>
  <c r="O224" i="10" a="1"/>
  <c r="O224" i="10" s="1"/>
  <c r="AM224" i="10" a="1"/>
  <c r="AM224" i="10" s="1"/>
  <c r="W224" i="10" a="1"/>
  <c r="W224" i="10" s="1"/>
  <c r="AB197" i="10" a="1"/>
  <c r="AB197" i="10" s="1"/>
  <c r="Y197" i="10" a="1"/>
  <c r="Y197" i="10" s="1"/>
  <c r="AD224" i="10" a="1"/>
  <c r="AD224" i="10" s="1"/>
  <c r="J230" i="10" a="1"/>
  <c r="J230" i="10" s="1"/>
  <c r="O230" i="10" a="1"/>
  <c r="O230" i="10" s="1"/>
  <c r="X224" i="10" a="1"/>
  <c r="X224" i="10" s="1"/>
  <c r="H224" i="10" a="1"/>
  <c r="H224" i="10" s="1"/>
  <c r="AF224" i="10" a="1"/>
  <c r="AF224" i="10" s="1"/>
  <c r="AF197" i="10" a="1"/>
  <c r="AF197" i="10" s="1"/>
  <c r="AC197" i="10" a="1"/>
  <c r="AC197" i="10" s="1"/>
  <c r="AI212" i="10" a="1"/>
  <c r="AI212" i="10" s="1"/>
  <c r="AP161" i="10" a="1"/>
  <c r="AP161" i="10" s="1"/>
  <c r="AJ224" i="10" a="1"/>
  <c r="AJ224" i="10" s="1"/>
  <c r="AP224" i="10" a="1"/>
  <c r="AP224" i="10" s="1"/>
  <c r="Z224" i="10" a="1"/>
  <c r="Z224" i="10" s="1"/>
  <c r="H197" i="10" a="1"/>
  <c r="H197" i="10" s="1"/>
  <c r="AN197" i="10" a="1"/>
  <c r="AN197" i="10" s="1"/>
  <c r="AK197" i="10" a="1"/>
  <c r="AK197" i="10" s="1"/>
  <c r="AG170" i="10" a="1"/>
  <c r="AG170" i="10" s="1"/>
  <c r="AA224" i="10" a="1"/>
  <c r="AA224" i="10" s="1"/>
  <c r="AI224" i="10" a="1"/>
  <c r="AI224" i="10" s="1"/>
  <c r="G224" i="10" a="1"/>
  <c r="G224" i="10" s="1"/>
  <c r="AE224" i="10" a="1"/>
  <c r="AE224" i="10" s="1"/>
  <c r="L197" i="10" a="1"/>
  <c r="L197" i="10" s="1"/>
  <c r="I197" i="10" a="1"/>
  <c r="I197" i="10" s="1"/>
  <c r="AO197" i="10" a="1"/>
  <c r="AO197" i="10" s="1"/>
  <c r="AE170" i="10" a="1"/>
  <c r="AE170" i="10" s="1"/>
  <c r="AD170" i="10" a="1"/>
  <c r="AD170" i="10" s="1"/>
  <c r="AC170" i="10" a="1"/>
  <c r="AC170" i="10" s="1"/>
  <c r="S188" i="10" a="1"/>
  <c r="S188" i="10" s="1"/>
  <c r="P224" i="10" a="1"/>
  <c r="P224" i="10" s="1"/>
  <c r="P197" i="10" a="1"/>
  <c r="P197" i="10" s="1"/>
  <c r="M197" i="10" a="1"/>
  <c r="M197" i="10" s="1"/>
  <c r="AP197" i="10" a="1"/>
  <c r="AP197" i="10" s="1"/>
  <c r="AB248" i="10" a="1"/>
  <c r="AB248" i="10" s="1"/>
  <c r="AH218" i="10" a="1"/>
  <c r="AH218" i="10" s="1"/>
  <c r="L179" i="10" a="1"/>
  <c r="L179" i="10" s="1"/>
  <c r="F35" i="37" a="1"/>
  <c r="F35" i="37" s="1"/>
  <c r="L35" i="37" s="1" a="1"/>
  <c r="L35" i="37" s="1"/>
  <c r="AM179" i="10" a="1"/>
  <c r="AM179" i="10" s="1"/>
  <c r="T179" i="10" a="1"/>
  <c r="T179" i="10" s="1"/>
  <c r="T170" i="10" a="1"/>
  <c r="T170" i="10" s="1"/>
  <c r="S170" i="10" a="1"/>
  <c r="S170" i="10" s="1"/>
  <c r="AP170" i="10" a="1"/>
  <c r="AP170" i="10" s="1"/>
  <c r="K179" i="10" a="1"/>
  <c r="K179" i="10" s="1"/>
  <c r="X179" i="10" a="1"/>
  <c r="X179" i="10" s="1"/>
  <c r="AB152" i="10" a="1"/>
  <c r="AB152" i="10" s="1"/>
  <c r="D35" i="37"/>
  <c r="V179" i="10" a="1"/>
  <c r="V179" i="10" s="1"/>
  <c r="G179" i="10" a="1"/>
  <c r="G179" i="10" s="1"/>
  <c r="Y179" i="10" a="1"/>
  <c r="Y179" i="10" s="1"/>
  <c r="AH179" i="10" a="1"/>
  <c r="AH179" i="10" s="1"/>
  <c r="L170" i="10" a="1"/>
  <c r="L170" i="10" s="1"/>
  <c r="Y167" i="10" a="1"/>
  <c r="Y167" i="10" s="1"/>
  <c r="Z170" i="10" a="1"/>
  <c r="Z170" i="10" s="1"/>
  <c r="N218" i="10" a="1"/>
  <c r="N218" i="10" s="1"/>
  <c r="AL218" i="10" a="1"/>
  <c r="AL218" i="10" s="1"/>
  <c r="I245" i="10" a="1"/>
  <c r="I245" i="10" s="1"/>
  <c r="AH143" i="10" a="1"/>
  <c r="AH143" i="10" s="1"/>
  <c r="Y245" i="10" a="1"/>
  <c r="Y245" i="10" s="1"/>
  <c r="AD245" i="10" a="1"/>
  <c r="AD245" i="10" s="1"/>
  <c r="N245" i="10" a="1"/>
  <c r="N245" i="10" s="1"/>
  <c r="AL143" i="10" a="1"/>
  <c r="AL143" i="10" s="1"/>
  <c r="AE143" i="10" a="1"/>
  <c r="AE143" i="10" s="1"/>
  <c r="AC143" i="10" a="1"/>
  <c r="AC143" i="10" s="1"/>
  <c r="AE248" i="10" a="1"/>
  <c r="AE248" i="10" s="1"/>
  <c r="O248" i="10" a="1"/>
  <c r="O248" i="10" s="1"/>
  <c r="AM248" i="10" a="1"/>
  <c r="AM248" i="10" s="1"/>
  <c r="S245" i="10" a="1"/>
  <c r="S245" i="10" s="1"/>
  <c r="AO236" i="10" a="1"/>
  <c r="AO236" i="10" s="1"/>
  <c r="Y236" i="10" a="1"/>
  <c r="Y236" i="10" s="1"/>
  <c r="T143" i="10" a="1"/>
  <c r="T143" i="10" s="1"/>
  <c r="AF218" i="10" a="1"/>
  <c r="AF218" i="10" s="1"/>
  <c r="R218" i="10" a="1"/>
  <c r="R218" i="10" s="1"/>
  <c r="O218" i="10" a="1"/>
  <c r="O218" i="10" s="1"/>
  <c r="AP245" i="10" a="1"/>
  <c r="AP245" i="10" s="1"/>
  <c r="Y218" i="10" a="1"/>
  <c r="Y218" i="10" s="1"/>
  <c r="AC218" i="10" a="1"/>
  <c r="AC218" i="10" s="1"/>
  <c r="AL248" i="10" a="1"/>
  <c r="AL248" i="10" s="1"/>
  <c r="R143" i="10" a="1"/>
  <c r="R143" i="10" s="1"/>
  <c r="O245" i="10" a="1"/>
  <c r="O245" i="10" s="1"/>
  <c r="AM245" i="10" a="1"/>
  <c r="AM245" i="10" s="1"/>
  <c r="W245" i="10" a="1"/>
  <c r="W245" i="10" s="1"/>
  <c r="V143" i="10" a="1"/>
  <c r="V143" i="10" s="1"/>
  <c r="AI143" i="10" a="1"/>
  <c r="AI143" i="10" s="1"/>
  <c r="AG143" i="10" a="1"/>
  <c r="AG143" i="10" s="1"/>
  <c r="P143" i="10" a="1"/>
  <c r="P143" i="10" s="1"/>
  <c r="AN248" i="10" a="1"/>
  <c r="AN248" i="10" s="1"/>
  <c r="X248" i="10" a="1"/>
  <c r="X248" i="10" s="1"/>
  <c r="AO245" i="10" a="1"/>
  <c r="AO245" i="10" s="1"/>
  <c r="AS236" i="10"/>
  <c r="J245" i="10" a="1"/>
  <c r="J245" i="10" s="1"/>
  <c r="J236" i="10" a="1"/>
  <c r="J236" i="10" s="1"/>
  <c r="AH236" i="10" a="1"/>
  <c r="AH236" i="10" s="1"/>
  <c r="H143" i="10" a="1"/>
  <c r="H143" i="10" s="1"/>
  <c r="AD143" i="10" a="1"/>
  <c r="AD143" i="10" s="1"/>
  <c r="W218" i="10" a="1"/>
  <c r="W218" i="10" s="1"/>
  <c r="J218" i="10" a="1"/>
  <c r="J218" i="10" s="1"/>
  <c r="AS248" i="10"/>
  <c r="G218" i="10" a="1"/>
  <c r="G218" i="10" s="1"/>
  <c r="L248" i="10" a="1"/>
  <c r="L248" i="10" s="1"/>
  <c r="T218" i="10" a="1"/>
  <c r="T218" i="10" s="1"/>
  <c r="AC248" i="10" a="1"/>
  <c r="AC248" i="10" s="1"/>
  <c r="X245" i="10" a="1"/>
  <c r="X245" i="10" s="1"/>
  <c r="H245" i="10" a="1"/>
  <c r="H245" i="10" s="1"/>
  <c r="AF245" i="10" a="1"/>
  <c r="AF245" i="10" s="1"/>
  <c r="G143" i="10" a="1"/>
  <c r="G143" i="10" s="1"/>
  <c r="AM143" i="10" a="1"/>
  <c r="AM143" i="10" s="1"/>
  <c r="AK143" i="10" a="1"/>
  <c r="AK143" i="10" s="1"/>
  <c r="I248" i="10" a="1"/>
  <c r="I248" i="10" s="1"/>
  <c r="AG248" i="10" a="1"/>
  <c r="AG248" i="10" s="1"/>
  <c r="AJ236" i="10" a="1"/>
  <c r="AJ236" i="10" s="1"/>
  <c r="O236" i="10" a="1"/>
  <c r="O236" i="10" s="1"/>
  <c r="AM236" i="10" a="1"/>
  <c r="AM236" i="10" s="1"/>
  <c r="AP143" i="10" a="1"/>
  <c r="AP143" i="10" s="1"/>
  <c r="N143" i="10" a="1"/>
  <c r="N143" i="10" s="1"/>
  <c r="AD218" i="10" a="1"/>
  <c r="AD218" i="10" s="1"/>
  <c r="S248" i="10" a="1"/>
  <c r="S248" i="10" s="1"/>
  <c r="AP218" i="10" a="1"/>
  <c r="AP218" i="10" s="1"/>
  <c r="AD236" i="10" a="1"/>
  <c r="AD236" i="10" s="1"/>
  <c r="U236" i="10" a="1"/>
  <c r="U236" i="10" s="1"/>
  <c r="N248" i="10" a="1"/>
  <c r="N248" i="10" s="1"/>
  <c r="K218" i="10" a="1"/>
  <c r="K218" i="10" s="1"/>
  <c r="T248" i="10" a="1"/>
  <c r="T248" i="10" s="1"/>
  <c r="N236" i="10" a="1"/>
  <c r="N236" i="10" s="1"/>
  <c r="AC245" i="10" a="1"/>
  <c r="AC245" i="10" s="1"/>
  <c r="M245" i="10" a="1"/>
  <c r="M245" i="10" s="1"/>
  <c r="AK245" i="10" a="1"/>
  <c r="AK245" i="10" s="1"/>
  <c r="K143" i="10" a="1"/>
  <c r="K143" i="10" s="1"/>
  <c r="I143" i="10" a="1"/>
  <c r="I143" i="10" s="1"/>
  <c r="AO143" i="10" a="1"/>
  <c r="AO143" i="10" s="1"/>
  <c r="AL236" i="10" a="1"/>
  <c r="AL236" i="10" s="1"/>
  <c r="R248" i="10" a="1"/>
  <c r="R248" i="10" s="1"/>
  <c r="AP248" i="10" a="1"/>
  <c r="AP248" i="10" s="1"/>
  <c r="AA236" i="10" a="1"/>
  <c r="AA236" i="10" s="1"/>
  <c r="X236" i="10" a="1"/>
  <c r="X236" i="10" s="1"/>
  <c r="H236" i="10" a="1"/>
  <c r="H236" i="10" s="1"/>
  <c r="Z143" i="10" a="1"/>
  <c r="Z143" i="10" s="1"/>
  <c r="AN143" i="10" a="1"/>
  <c r="AN143" i="10" s="1"/>
  <c r="AE218" i="10" a="1"/>
  <c r="AE218" i="10" s="1"/>
  <c r="V248" i="10" a="1"/>
  <c r="V248" i="10" s="1"/>
  <c r="AI218" i="10" a="1"/>
  <c r="AI218" i="10" s="1"/>
  <c r="AJ248" i="10" a="1"/>
  <c r="AJ248" i="10" s="1"/>
  <c r="K245" i="10" a="1"/>
  <c r="K245" i="10" s="1"/>
  <c r="U248" i="10" a="1"/>
  <c r="U248" i="10" s="1"/>
  <c r="K248" i="10" a="1"/>
  <c r="K248" i="10" s="1"/>
  <c r="AL245" i="10" a="1"/>
  <c r="AL245" i="10" s="1"/>
  <c r="V245" i="10" a="1"/>
  <c r="V245" i="10" s="1"/>
  <c r="O143" i="10" a="1"/>
  <c r="O143" i="10" s="1"/>
  <c r="M143" i="10" a="1"/>
  <c r="M143" i="10" s="1"/>
  <c r="AC236" i="10" a="1"/>
  <c r="AC236" i="10" s="1"/>
  <c r="W248" i="10" a="1"/>
  <c r="W248" i="10" s="1"/>
  <c r="G248" i="10" a="1"/>
  <c r="G248" i="10" s="1"/>
  <c r="I236" i="10" a="1"/>
  <c r="I236" i="10" s="1"/>
  <c r="AG236" i="10" a="1"/>
  <c r="AG236" i="10" s="1"/>
  <c r="Q236" i="10" a="1"/>
  <c r="Q236" i="10" s="1"/>
  <c r="J143" i="10" a="1"/>
  <c r="J143" i="10" s="1"/>
  <c r="V218" i="10" a="1"/>
  <c r="V218" i="10" s="1"/>
  <c r="AJ218" i="10" a="1"/>
  <c r="AJ218" i="10" s="1"/>
  <c r="Z218" i="10" a="1"/>
  <c r="Z218" i="10" s="1"/>
  <c r="M248" i="10" a="1"/>
  <c r="M248" i="10" s="1"/>
  <c r="Q245" i="10" a="1"/>
  <c r="Q245" i="10" s="1"/>
  <c r="AA248" i="10" a="1"/>
  <c r="AA248" i="10" s="1"/>
  <c r="AJ245" i="10" a="1"/>
  <c r="AJ245" i="10" s="1"/>
  <c r="G245" i="10" a="1"/>
  <c r="G245" i="10" s="1"/>
  <c r="AE245" i="10" a="1"/>
  <c r="AE245" i="10" s="1"/>
  <c r="S143" i="10" a="1"/>
  <c r="S143" i="10" s="1"/>
  <c r="Q143" i="10" a="1"/>
  <c r="Q143" i="10" s="1"/>
  <c r="AI248" i="10" a="1"/>
  <c r="AI248" i="10" s="1"/>
  <c r="T236" i="10" a="1"/>
  <c r="T236" i="10" s="1"/>
  <c r="H248" i="10" a="1"/>
  <c r="H248" i="10" s="1"/>
  <c r="AF248" i="10" a="1"/>
  <c r="AF248" i="10" s="1"/>
  <c r="P248" i="10" a="1"/>
  <c r="P248" i="10" s="1"/>
  <c r="AK236" i="10" a="1"/>
  <c r="AK236" i="10" s="1"/>
  <c r="R236" i="10" a="1"/>
  <c r="R236" i="10" s="1"/>
  <c r="AP236" i="10" a="1"/>
  <c r="AP236" i="10" s="1"/>
  <c r="Z236" i="10" a="1"/>
  <c r="Z236" i="10" s="1"/>
  <c r="AB143" i="10" a="1"/>
  <c r="AB143" i="10" s="1"/>
  <c r="M218" i="10" a="1"/>
  <c r="M218" i="10" s="1"/>
  <c r="U218" i="10" a="1"/>
  <c r="U218" i="10" s="1"/>
  <c r="Q218" i="10" a="1"/>
  <c r="Q218" i="10" s="1"/>
  <c r="AN218" i="10" a="1"/>
  <c r="AN218" i="10" s="1"/>
  <c r="T245" i="10" a="1"/>
  <c r="T245" i="10" s="1"/>
  <c r="AO218" i="10" a="1"/>
  <c r="AO218" i="10" s="1"/>
  <c r="AD248" i="10" a="1"/>
  <c r="AD248" i="10" s="1"/>
  <c r="AA245" i="10" a="1"/>
  <c r="AA245" i="10" s="1"/>
  <c r="P245" i="10" a="1"/>
  <c r="P245" i="10" s="1"/>
  <c r="AN245" i="10" a="1"/>
  <c r="AN245" i="10" s="1"/>
  <c r="W143" i="10" a="1"/>
  <c r="W143" i="10" s="1"/>
  <c r="U143" i="10" a="1"/>
  <c r="U143" i="10" s="1"/>
  <c r="AG245" i="10" a="1"/>
  <c r="AG245" i="10" s="1"/>
  <c r="K236" i="10" a="1"/>
  <c r="K236" i="10" s="1"/>
  <c r="Q248" i="10" a="1"/>
  <c r="Q248" i="10" s="1"/>
  <c r="AO248" i="10" a="1"/>
  <c r="AO248" i="10" s="1"/>
  <c r="Y248" i="10" a="1"/>
  <c r="Y248" i="10" s="1"/>
  <c r="AB236" i="10" a="1"/>
  <c r="AB236" i="10" s="1"/>
  <c r="L245" i="10" a="1"/>
  <c r="L245" i="10" s="1"/>
  <c r="W236" i="10" a="1"/>
  <c r="W236" i="10" s="1"/>
  <c r="G236" i="10" a="1"/>
  <c r="G236" i="10" s="1"/>
  <c r="AJ143" i="10" a="1"/>
  <c r="AJ143" i="10" s="1"/>
  <c r="L218" i="10" a="1"/>
  <c r="L218" i="10" s="1"/>
  <c r="AS218" i="10"/>
  <c r="I218" i="10" a="1"/>
  <c r="I218" i="10" s="1"/>
  <c r="AG218" i="10" a="1"/>
  <c r="AG218" i="10" s="1"/>
  <c r="P218" i="10" a="1"/>
  <c r="P218" i="10" s="1"/>
  <c r="Q179" i="10" a="1"/>
  <c r="Q179" i="10" s="1"/>
  <c r="U179" i="10" a="1"/>
  <c r="U179" i="10" s="1"/>
  <c r="F6" i="37" a="1"/>
  <c r="F6" i="37" s="1"/>
  <c r="M6" i="37" s="1" a="1"/>
  <c r="M6" i="37" s="1"/>
  <c r="R179" i="10" a="1"/>
  <c r="R179" i="10" s="1"/>
  <c r="AI179" i="10" a="1"/>
  <c r="AI179" i="10" s="1"/>
  <c r="AB179" i="10" a="1"/>
  <c r="AB179" i="10" s="1"/>
  <c r="AC179" i="10" a="1"/>
  <c r="AC179" i="10" s="1"/>
  <c r="Y152" i="10" a="1"/>
  <c r="Y152" i="10" s="1"/>
  <c r="AD167" i="10" a="1"/>
  <c r="AD167" i="10" s="1"/>
  <c r="AE179" i="10" a="1"/>
  <c r="AE179" i="10" s="1"/>
  <c r="AF179" i="10" a="1"/>
  <c r="AF179" i="10" s="1"/>
  <c r="AG179" i="10" a="1"/>
  <c r="AG179" i="10" s="1"/>
  <c r="W152" i="10" a="1"/>
  <c r="W152" i="10" s="1"/>
  <c r="F10" i="37" a="1"/>
  <c r="F10" i="37" s="1"/>
  <c r="G10" i="37" s="1" a="1"/>
  <c r="G10" i="37" s="1"/>
  <c r="F12" i="37" a="1"/>
  <c r="F12" i="37" s="1"/>
  <c r="I167" i="10" a="1"/>
  <c r="I167" i="10" s="1"/>
  <c r="AH167" i="10" a="1"/>
  <c r="AH167" i="10" s="1"/>
  <c r="N179" i="10" a="1"/>
  <c r="N179" i="10" s="1"/>
  <c r="W179" i="10" a="1"/>
  <c r="W179" i="10" s="1"/>
  <c r="AJ179" i="10" a="1"/>
  <c r="AJ179" i="10" s="1"/>
  <c r="AK179" i="10" a="1"/>
  <c r="AK179" i="10" s="1"/>
  <c r="J179" i="10" a="1"/>
  <c r="J179" i="10" s="1"/>
  <c r="Z167" i="10" a="1"/>
  <c r="Z167" i="10" s="1"/>
  <c r="AL179" i="10" a="1"/>
  <c r="AL179" i="10" s="1"/>
  <c r="V167" i="10" a="1"/>
  <c r="V167" i="10" s="1"/>
  <c r="AO167" i="10" a="1"/>
  <c r="AO167" i="10" s="1"/>
  <c r="S179" i="10" a="1"/>
  <c r="S179" i="10" s="1"/>
  <c r="K167" i="10" a="1"/>
  <c r="K167" i="10" s="1"/>
  <c r="AN179" i="10" a="1"/>
  <c r="AN179" i="10" s="1"/>
  <c r="AO179" i="10" a="1"/>
  <c r="AO179" i="10" s="1"/>
  <c r="N10" i="37" a="1"/>
  <c r="N10" i="37" s="1"/>
  <c r="AK167" i="10" a="1"/>
  <c r="AK167" i="10" s="1"/>
  <c r="O179" i="10" a="1"/>
  <c r="O179" i="10" s="1"/>
  <c r="H179" i="10" a="1"/>
  <c r="H179" i="10" s="1"/>
  <c r="I179" i="10" a="1"/>
  <c r="I179" i="10" s="1"/>
  <c r="O132" i="58887"/>
  <c r="T132" i="58887" s="1" a="1"/>
  <c r="T132" i="58887" s="1"/>
  <c r="K170" i="10" a="1"/>
  <c r="K170" i="10" s="1"/>
  <c r="Q167" i="10" a="1"/>
  <c r="Q167" i="10" s="1"/>
  <c r="AL170" i="10" a="1"/>
  <c r="AL170" i="10" s="1"/>
  <c r="L152" i="10" a="1"/>
  <c r="L152" i="10" s="1"/>
  <c r="AC152" i="10" a="1"/>
  <c r="AC152" i="10" s="1"/>
  <c r="AA152" i="10" a="1"/>
  <c r="AA152" i="10" s="1"/>
  <c r="N36" i="37" a="1"/>
  <c r="N36" i="37" s="1"/>
  <c r="D34" i="37"/>
  <c r="D27" i="37"/>
  <c r="H170" i="10" a="1"/>
  <c r="H170" i="10" s="1"/>
  <c r="J167" i="10" a="1"/>
  <c r="J167" i="10" s="1"/>
  <c r="AJ170" i="10" a="1"/>
  <c r="AJ170" i="10" s="1"/>
  <c r="AL167" i="10" a="1"/>
  <c r="AL167" i="10" s="1"/>
  <c r="AM170" i="10" a="1"/>
  <c r="AM170" i="10" s="1"/>
  <c r="G170" i="10" a="1"/>
  <c r="G170" i="10" s="1"/>
  <c r="M167" i="10" a="1"/>
  <c r="M167" i="10" s="1"/>
  <c r="AH170" i="10" a="1"/>
  <c r="AH170" i="10" s="1"/>
  <c r="AA179" i="10" a="1"/>
  <c r="AA179" i="10" s="1"/>
  <c r="AK170" i="10" a="1"/>
  <c r="AK170" i="10" s="1"/>
  <c r="P179" i="10" a="1"/>
  <c r="P179" i="10" s="1"/>
  <c r="M179" i="10" a="1"/>
  <c r="M179" i="10" s="1"/>
  <c r="AS179" i="10"/>
  <c r="AG152" i="10" a="1"/>
  <c r="AG152" i="10" s="1"/>
  <c r="AE152" i="10" a="1"/>
  <c r="AE152" i="10" s="1"/>
  <c r="F32" i="37" a="1"/>
  <c r="F32" i="37" s="1"/>
  <c r="H32" i="37" s="1" a="1"/>
  <c r="H32" i="37" s="1"/>
  <c r="D6" i="37"/>
  <c r="V152" i="10" a="1"/>
  <c r="V152" i="10" s="1"/>
  <c r="AO152" i="10" a="1"/>
  <c r="AO152" i="10" s="1"/>
  <c r="AI152" i="10" a="1"/>
  <c r="AI152" i="10" s="1"/>
  <c r="I152" i="10" a="1"/>
  <c r="I152" i="10" s="1"/>
  <c r="G152" i="10" a="1"/>
  <c r="G152" i="10" s="1"/>
  <c r="AM152" i="10" a="1"/>
  <c r="AM152" i="10" s="1"/>
  <c r="AA170" i="10" a="1"/>
  <c r="AA170" i="10" s="1"/>
  <c r="AG167" i="10" a="1"/>
  <c r="AG167" i="10" s="1"/>
  <c r="V170" i="10" a="1"/>
  <c r="V170" i="10" s="1"/>
  <c r="U170" i="10" a="1"/>
  <c r="U170" i="10" s="1"/>
  <c r="AN152" i="10" a="1"/>
  <c r="AN152" i="10" s="1"/>
  <c r="M152" i="10" a="1"/>
  <c r="M152" i="10" s="1"/>
  <c r="K152" i="10" a="1"/>
  <c r="K152" i="10" s="1"/>
  <c r="AC167" i="10" a="1"/>
  <c r="AC167" i="10" s="1"/>
  <c r="R170" i="10" a="1"/>
  <c r="R170" i="10" s="1"/>
  <c r="M170" i="10" a="1"/>
  <c r="M170" i="10" s="1"/>
  <c r="X152" i="10" a="1"/>
  <c r="X152" i="10" s="1"/>
  <c r="Q152" i="10" a="1"/>
  <c r="Q152" i="10" s="1"/>
  <c r="O152" i="10" a="1"/>
  <c r="O152" i="10" s="1"/>
  <c r="N35" i="37" a="1"/>
  <c r="N35" i="37" s="1"/>
  <c r="H152" i="10" a="1"/>
  <c r="H152" i="10" s="1"/>
  <c r="U152" i="10" a="1"/>
  <c r="U152" i="10" s="1"/>
  <c r="S152" i="10" a="1"/>
  <c r="S152" i="10" s="1"/>
  <c r="AH125" i="10" a="1"/>
  <c r="AH125" i="10" s="1"/>
  <c r="Z125" i="10" a="1"/>
  <c r="Z125" i="10" s="1"/>
  <c r="AL173" i="10" a="1"/>
  <c r="AL173" i="10" s="1"/>
  <c r="AJ164" i="10" a="1"/>
  <c r="AJ164" i="10" s="1"/>
  <c r="AL161" i="10" a="1"/>
  <c r="AL161" i="10" s="1"/>
  <c r="AC173" i="10" a="1"/>
  <c r="AC173" i="10" s="1"/>
  <c r="AM164" i="10" a="1"/>
  <c r="AM164" i="10" s="1"/>
  <c r="G164" i="10" a="1"/>
  <c r="G164" i="10" s="1"/>
  <c r="M161" i="10" a="1"/>
  <c r="M161" i="10" s="1"/>
  <c r="N164" i="10" a="1"/>
  <c r="N164" i="10" s="1"/>
  <c r="AM173" i="10" a="1"/>
  <c r="AM173" i="10" s="1"/>
  <c r="G173" i="10" a="1"/>
  <c r="G173" i="10" s="1"/>
  <c r="AK164" i="10" a="1"/>
  <c r="AK164" i="10" s="1"/>
  <c r="AM161" i="10" a="1"/>
  <c r="AM161" i="10" s="1"/>
  <c r="G161" i="10" a="1"/>
  <c r="G161" i="10" s="1"/>
  <c r="AE149" i="10" a="1"/>
  <c r="AE149" i="10" s="1"/>
  <c r="T161" i="10" a="1"/>
  <c r="T161" i="10" s="1"/>
  <c r="H173" i="10" a="1"/>
  <c r="H173" i="10" s="1"/>
  <c r="AN173" i="10" a="1"/>
  <c r="AN173" i="10" s="1"/>
  <c r="B137" i="10"/>
  <c r="AE137" i="10" s="1" a="1"/>
  <c r="AE137" i="10" s="1"/>
  <c r="AK161" i="10" a="1"/>
  <c r="AK161" i="10" s="1"/>
  <c r="AL164" i="10" a="1"/>
  <c r="AL164" i="10" s="1"/>
  <c r="AE173" i="10" a="1"/>
  <c r="AE173" i="10" s="1"/>
  <c r="AC164" i="10" a="1"/>
  <c r="AC164" i="10" s="1"/>
  <c r="AE161" i="10" a="1"/>
  <c r="AE161" i="10" s="1"/>
  <c r="AM149" i="10" a="1"/>
  <c r="AM149" i="10" s="1"/>
  <c r="AB161" i="10" a="1"/>
  <c r="AB161" i="10" s="1"/>
  <c r="P173" i="10" a="1"/>
  <c r="P173" i="10" s="1"/>
  <c r="S125" i="10" a="1"/>
  <c r="S125" i="10" s="1"/>
  <c r="Q173" i="10" a="1"/>
  <c r="Q173" i="10" s="1"/>
  <c r="AA164" i="10" a="1"/>
  <c r="AA164" i="10" s="1"/>
  <c r="AG161" i="10" a="1"/>
  <c r="AG161" i="10" s="1"/>
  <c r="AH164" i="10" a="1"/>
  <c r="AH164" i="10" s="1"/>
  <c r="AA173" i="10" a="1"/>
  <c r="AA173" i="10" s="1"/>
  <c r="Y164" i="10" a="1"/>
  <c r="Y164" i="10" s="1"/>
  <c r="AA161" i="10" a="1"/>
  <c r="AA161" i="10" s="1"/>
  <c r="AL149" i="10" a="1"/>
  <c r="AL149" i="10" s="1"/>
  <c r="M149" i="10" a="1"/>
  <c r="M149" i="10" s="1"/>
  <c r="AF161" i="10" a="1"/>
  <c r="AF161" i="10" s="1"/>
  <c r="T173" i="10" a="1"/>
  <c r="T173" i="10" s="1"/>
  <c r="AP173" i="10" a="1"/>
  <c r="AP173" i="10" s="1"/>
  <c r="M125" i="10" a="1"/>
  <c r="M125" i="10" s="1"/>
  <c r="H125" i="10" a="1"/>
  <c r="H125" i="10" s="1"/>
  <c r="W125" i="10" a="1"/>
  <c r="W125" i="10" s="1"/>
  <c r="AN164" i="10" a="1"/>
  <c r="AN164" i="10" s="1"/>
  <c r="AD164" i="10" a="1"/>
  <c r="AD164" i="10" s="1"/>
  <c r="W173" i="10" a="1"/>
  <c r="W173" i="10" s="1"/>
  <c r="U164" i="10" a="1"/>
  <c r="U164" i="10" s="1"/>
  <c r="W161" i="10" a="1"/>
  <c r="W161" i="10" s="1"/>
  <c r="V149" i="10" a="1"/>
  <c r="V149" i="10" s="1"/>
  <c r="U149" i="10" a="1"/>
  <c r="U149" i="10" s="1"/>
  <c r="AJ161" i="10" a="1"/>
  <c r="AJ161" i="10" s="1"/>
  <c r="X173" i="10" a="1"/>
  <c r="X173" i="10" s="1"/>
  <c r="AN149" i="10" a="1"/>
  <c r="AN149" i="10" s="1"/>
  <c r="P125" i="10" a="1"/>
  <c r="P125" i="10" s="1"/>
  <c r="R125" i="10" a="1"/>
  <c r="R125" i="10" s="1"/>
  <c r="Q125" i="10" a="1"/>
  <c r="Q125" i="10" s="1"/>
  <c r="AO173" i="10" a="1"/>
  <c r="AO173" i="10" s="1"/>
  <c r="I173" i="10" a="1"/>
  <c r="I173" i="10" s="1"/>
  <c r="S164" i="10" a="1"/>
  <c r="S164" i="10" s="1"/>
  <c r="Y161" i="10" a="1"/>
  <c r="Y161" i="10" s="1"/>
  <c r="Z164" i="10" a="1"/>
  <c r="Z164" i="10" s="1"/>
  <c r="S173" i="10" a="1"/>
  <c r="S173" i="10" s="1"/>
  <c r="Q164" i="10" a="1"/>
  <c r="Q164" i="10" s="1"/>
  <c r="S161" i="10" a="1"/>
  <c r="S161" i="10" s="1"/>
  <c r="G149" i="10" a="1"/>
  <c r="G149" i="10" s="1"/>
  <c r="AC149" i="10" a="1"/>
  <c r="AC149" i="10" s="1"/>
  <c r="H161" i="10" a="1"/>
  <c r="H161" i="10" s="1"/>
  <c r="AN161" i="10" a="1"/>
  <c r="AN161" i="10" s="1"/>
  <c r="T149" i="10" a="1"/>
  <c r="T149" i="10" s="1"/>
  <c r="AB173" i="10" a="1"/>
  <c r="AB173" i="10" s="1"/>
  <c r="AF149" i="10" a="1"/>
  <c r="AF149" i="10" s="1"/>
  <c r="T125" i="10" a="1"/>
  <c r="T125" i="10" s="1"/>
  <c r="O164" i="10" a="1"/>
  <c r="O164" i="10" s="1"/>
  <c r="U161" i="10" a="1"/>
  <c r="U161" i="10" s="1"/>
  <c r="V164" i="10" a="1"/>
  <c r="V164" i="10" s="1"/>
  <c r="O173" i="10" a="1"/>
  <c r="O173" i="10" s="1"/>
  <c r="M164" i="10" a="1"/>
  <c r="M164" i="10" s="1"/>
  <c r="O161" i="10" a="1"/>
  <c r="O161" i="10" s="1"/>
  <c r="O149" i="10" a="1"/>
  <c r="O149" i="10" s="1"/>
  <c r="AG149" i="10" a="1"/>
  <c r="AG149" i="10" s="1"/>
  <c r="L161" i="10" a="1"/>
  <c r="L161" i="10" s="1"/>
  <c r="AF173" i="10" a="1"/>
  <c r="AF173" i="10" s="1"/>
  <c r="N149" i="10" a="1"/>
  <c r="N149" i="10" s="1"/>
  <c r="X125" i="10" a="1"/>
  <c r="X125" i="10" s="1"/>
  <c r="K164" i="10" a="1"/>
  <c r="K164" i="10" s="1"/>
  <c r="Q161" i="10" a="1"/>
  <c r="Q161" i="10" s="1"/>
  <c r="R164" i="10" a="1"/>
  <c r="R164" i="10" s="1"/>
  <c r="K173" i="10" a="1"/>
  <c r="K173" i="10" s="1"/>
  <c r="AO164" i="10" a="1"/>
  <c r="AO164" i="10" s="1"/>
  <c r="I164" i="10" a="1"/>
  <c r="I164" i="10" s="1"/>
  <c r="K161" i="10" a="1"/>
  <c r="K161" i="10" s="1"/>
  <c r="W149" i="10" a="1"/>
  <c r="W149" i="10" s="1"/>
  <c r="AK149" i="10" a="1"/>
  <c r="AK149" i="10" s="1"/>
  <c r="P161" i="10" a="1"/>
  <c r="P161" i="10" s="1"/>
  <c r="AJ173" i="10" a="1"/>
  <c r="AJ173" i="10" s="1"/>
  <c r="AS149" i="10"/>
  <c r="AJ149" i="10" a="1"/>
  <c r="AJ149" i="10" s="1"/>
  <c r="AN125" i="10" a="1"/>
  <c r="AN125" i="10" s="1"/>
  <c r="F27" i="37" a="1"/>
  <c r="F27" i="37" s="1"/>
  <c r="H27" i="37" s="1" a="1"/>
  <c r="H27" i="37" s="1"/>
  <c r="D17" i="37"/>
  <c r="F14" i="37" a="1"/>
  <c r="F14" i="37" s="1"/>
  <c r="Y170" i="10" a="1"/>
  <c r="Y170" i="10" s="1"/>
  <c r="K149" i="10" a="1"/>
  <c r="K149" i="10" s="1"/>
  <c r="I149" i="10" a="1"/>
  <c r="I149" i="10" s="1"/>
  <c r="AO149" i="10" a="1"/>
  <c r="AO149" i="10" s="1"/>
  <c r="J149" i="10" a="1"/>
  <c r="J149" i="10" s="1"/>
  <c r="AL125" i="10" a="1"/>
  <c r="AL125" i="10" s="1"/>
  <c r="AB125" i="10" a="1"/>
  <c r="AB125" i="10" s="1"/>
  <c r="AC125" i="10" a="1"/>
  <c r="AC125" i="10" s="1"/>
  <c r="F15" i="37" a="1"/>
  <c r="F15" i="37" s="1"/>
  <c r="G15" i="37" s="1" a="1"/>
  <c r="G15" i="37" s="1"/>
  <c r="N6" i="37" a="1"/>
  <c r="N6" i="37" s="1"/>
  <c r="F8" i="37" a="1"/>
  <c r="F8" i="37" s="1"/>
  <c r="L8" i="37" s="1" a="1"/>
  <c r="L8" i="37" s="1"/>
  <c r="Z149" i="10" a="1"/>
  <c r="Z149" i="10" s="1"/>
  <c r="AE125" i="10" a="1"/>
  <c r="AE125" i="10" s="1"/>
  <c r="AF125" i="10" a="1"/>
  <c r="AF125" i="10" s="1"/>
  <c r="L149" i="10" a="1"/>
  <c r="L149" i="10" s="1"/>
  <c r="Q170" i="10" a="1"/>
  <c r="Q170" i="10" s="1"/>
  <c r="S149" i="10" a="1"/>
  <c r="S149" i="10" s="1"/>
  <c r="Q149" i="10" a="1"/>
  <c r="Q149" i="10" s="1"/>
  <c r="P167" i="10" a="1"/>
  <c r="P167" i="10" s="1"/>
  <c r="AP149" i="10" a="1"/>
  <c r="AP149" i="10" s="1"/>
  <c r="Y125" i="10" a="1"/>
  <c r="Y125" i="10" s="1"/>
  <c r="AJ125" i="10" a="1"/>
  <c r="AJ125" i="10" s="1"/>
  <c r="AK125" i="10" a="1"/>
  <c r="AK125" i="10" s="1"/>
  <c r="F34" i="37" a="1"/>
  <c r="F34" i="37" s="1"/>
  <c r="L34" i="37" s="1" a="1"/>
  <c r="L34" i="37" s="1"/>
  <c r="N8" i="37" a="1"/>
  <c r="N8" i="37" s="1"/>
  <c r="F13" i="37" a="1"/>
  <c r="F13" i="37" s="1"/>
  <c r="H13" i="37" s="1" a="1"/>
  <c r="H13" i="37" s="1"/>
  <c r="F17" i="37" a="1"/>
  <c r="F17" i="37" s="1"/>
  <c r="M17" i="37" s="1" a="1"/>
  <c r="M17" i="37" s="1"/>
  <c r="AO170" i="10" a="1"/>
  <c r="AO170" i="10" s="1"/>
  <c r="I170" i="10" a="1"/>
  <c r="I170" i="10" s="1"/>
  <c r="AA149" i="10" a="1"/>
  <c r="AA149" i="10" s="1"/>
  <c r="Y149" i="10" a="1"/>
  <c r="Y149" i="10" s="1"/>
  <c r="L125" i="10" a="1"/>
  <c r="L125" i="10" s="1"/>
  <c r="K125" i="10" a="1"/>
  <c r="K125" i="10" s="1"/>
  <c r="R149" i="10" a="1"/>
  <c r="R149" i="10" s="1"/>
  <c r="D13" i="37"/>
  <c r="AN131" i="10" a="1"/>
  <c r="AN131" i="10" s="1"/>
  <c r="G131" i="10" a="1"/>
  <c r="G131" i="10" s="1"/>
  <c r="I131" i="10" a="1"/>
  <c r="I131" i="10" s="1"/>
  <c r="N131" i="10" a="1"/>
  <c r="N131" i="10" s="1"/>
  <c r="O131" i="10" a="1"/>
  <c r="O131" i="10" s="1"/>
  <c r="AH131" i="10" a="1"/>
  <c r="AH131" i="10" s="1"/>
  <c r="X146" i="10" a="1"/>
  <c r="X146" i="10" s="1"/>
  <c r="AS230" i="10"/>
  <c r="AP230" i="10" a="1"/>
  <c r="AP230" i="10" s="1"/>
  <c r="R230" i="10" a="1"/>
  <c r="R230" i="10" s="1"/>
  <c r="AH230" i="10" a="1"/>
  <c r="AH230" i="10" s="1"/>
  <c r="AI230" i="10" a="1"/>
  <c r="AI230" i="10" s="1"/>
  <c r="AN230" i="10" a="1"/>
  <c r="AN230" i="10" s="1"/>
  <c r="AG230" i="10" a="1"/>
  <c r="AG230" i="10" s="1"/>
  <c r="P230" i="10" a="1"/>
  <c r="P230" i="10" s="1"/>
  <c r="L230" i="10" a="1"/>
  <c r="L230" i="10" s="1"/>
  <c r="Z230" i="10" a="1"/>
  <c r="Z230" i="10" s="1"/>
  <c r="AD230" i="10" a="1"/>
  <c r="AD230" i="10" s="1"/>
  <c r="AM230" i="10" a="1"/>
  <c r="AM230" i="10" s="1"/>
  <c r="Q230" i="10" a="1"/>
  <c r="Q230" i="10" s="1"/>
  <c r="AE230" i="10" a="1"/>
  <c r="AE230" i="10" s="1"/>
  <c r="U230" i="10" a="1"/>
  <c r="U230" i="10" s="1"/>
  <c r="W230" i="10" a="1"/>
  <c r="W230" i="10" s="1"/>
  <c r="Y230" i="10" a="1"/>
  <c r="Y230" i="10" s="1"/>
  <c r="N224" i="10" a="1"/>
  <c r="N224" i="10" s="1"/>
  <c r="U224" i="10" a="1"/>
  <c r="U224" i="10" s="1"/>
  <c r="AS158" i="10"/>
  <c r="I230" i="10" a="1"/>
  <c r="I230" i="10" s="1"/>
  <c r="R23" i="37" a="1"/>
  <c r="R23" i="37" s="1"/>
  <c r="N23" i="37" s="1" a="1"/>
  <c r="N23" i="37" s="1"/>
  <c r="F23" i="37" a="1"/>
  <c r="F23" i="37" s="1"/>
  <c r="D23" i="37"/>
  <c r="N38" i="37" a="1"/>
  <c r="N38" i="37" s="1"/>
  <c r="N15" i="37" a="1"/>
  <c r="N15" i="37" s="1"/>
  <c r="AF230" i="10" a="1"/>
  <c r="AF230" i="10" s="1"/>
  <c r="R11" i="37" a="1"/>
  <c r="R11" i="37" s="1"/>
  <c r="N11" i="37" s="1" a="1"/>
  <c r="N11" i="37" s="1"/>
  <c r="D11" i="37"/>
  <c r="F11" i="37" a="1"/>
  <c r="F11" i="37" s="1"/>
  <c r="H230" i="10" a="1"/>
  <c r="H230" i="10" s="1"/>
  <c r="H38" i="37" a="1"/>
  <c r="H38" i="37" s="1"/>
  <c r="G38" i="37" a="1"/>
  <c r="G38" i="37" s="1"/>
  <c r="M38" i="37" a="1"/>
  <c r="M38" i="37" s="1"/>
  <c r="L38" i="37" a="1"/>
  <c r="L38" i="37" s="1"/>
  <c r="H37" i="37" a="1"/>
  <c r="H37" i="37" s="1"/>
  <c r="G37" i="37" a="1"/>
  <c r="G37" i="37" s="1"/>
  <c r="M37" i="37" a="1"/>
  <c r="M37" i="37" s="1"/>
  <c r="L37" i="37" a="1"/>
  <c r="L37" i="37" s="1"/>
  <c r="N39" i="37" a="1"/>
  <c r="N39" i="37" s="1"/>
  <c r="N12" i="37" a="1"/>
  <c r="N12" i="37" s="1"/>
  <c r="D25" i="37"/>
  <c r="F25" i="37" a="1"/>
  <c r="F25" i="37" s="1"/>
  <c r="N17" i="37" a="1"/>
  <c r="N17" i="37" s="1"/>
  <c r="N7" i="37" a="1"/>
  <c r="N7" i="37" s="1"/>
  <c r="N19" i="37" a="1"/>
  <c r="N19" i="37" s="1"/>
  <c r="AS164" i="10"/>
  <c r="R29" i="37" a="1"/>
  <c r="R29" i="37" s="1"/>
  <c r="N29" i="37" s="1" a="1"/>
  <c r="N29" i="37" s="1"/>
  <c r="D29" i="37"/>
  <c r="N34" i="37" a="1"/>
  <c r="N34" i="37" s="1"/>
  <c r="M21" i="37" a="1"/>
  <c r="M21" i="37" s="1"/>
  <c r="G21" i="37" a="1"/>
  <c r="G21" i="37" s="1"/>
  <c r="L21" i="37" a="1"/>
  <c r="L21" i="37" s="1"/>
  <c r="H21" i="37" a="1"/>
  <c r="H21" i="37" s="1"/>
  <c r="D9" i="37"/>
  <c r="R9" i="37" a="1"/>
  <c r="R9" i="37" s="1"/>
  <c r="N9" i="37" s="1" a="1"/>
  <c r="N9" i="37" s="1"/>
  <c r="H10" i="37" a="1"/>
  <c r="H10" i="37" s="1"/>
  <c r="L10" i="37" a="1"/>
  <c r="L10" i="37" s="1"/>
  <c r="N212" i="10" a="1"/>
  <c r="N212" i="10" s="1"/>
  <c r="K212" i="10" a="1"/>
  <c r="K212" i="10" s="1"/>
  <c r="R33" i="37" a="1"/>
  <c r="R33" i="37" s="1"/>
  <c r="N33" i="37" s="1" a="1"/>
  <c r="N33" i="37" s="1"/>
  <c r="D33" i="37"/>
  <c r="N21" i="37" a="1"/>
  <c r="N21" i="37" s="1"/>
  <c r="L16" i="37" a="1"/>
  <c r="L16" i="37" s="1"/>
  <c r="G16" i="37" a="1"/>
  <c r="G16" i="37" s="1"/>
  <c r="H16" i="37" a="1"/>
  <c r="H16" i="37" s="1"/>
  <c r="M16" i="37" a="1"/>
  <c r="M16" i="37" s="1"/>
  <c r="R20" i="37" a="1"/>
  <c r="R20" i="37" s="1"/>
  <c r="N20" i="37" s="1" a="1"/>
  <c r="N20" i="37" s="1"/>
  <c r="D20" i="37"/>
  <c r="F20" i="37" a="1"/>
  <c r="F20" i="37" s="1"/>
  <c r="H19" i="37" a="1"/>
  <c r="H19" i="37" s="1"/>
  <c r="L19" i="37" a="1"/>
  <c r="L19" i="37" s="1"/>
  <c r="G19" i="37" a="1"/>
  <c r="G19" i="37" s="1"/>
  <c r="M19" i="37" a="1"/>
  <c r="M19" i="37" s="1"/>
  <c r="AG233" i="10" a="1"/>
  <c r="AG233" i="10" s="1"/>
  <c r="F33" i="37" a="1"/>
  <c r="F33" i="37" s="1"/>
  <c r="N32" i="37" a="1"/>
  <c r="N32" i="37" s="1"/>
  <c r="D30" i="37"/>
  <c r="F30" i="37" a="1"/>
  <c r="F30" i="37" s="1"/>
  <c r="H22" i="37" a="1"/>
  <c r="H22" i="37" s="1"/>
  <c r="G22" i="37" a="1"/>
  <c r="G22" i="37" s="1"/>
  <c r="L22" i="37" a="1"/>
  <c r="L22" i="37" s="1"/>
  <c r="M22" i="37" a="1"/>
  <c r="M22" i="37" s="1"/>
  <c r="N25" i="37" a="1"/>
  <c r="N25" i="37" s="1"/>
  <c r="D10" i="37"/>
  <c r="N13" i="37" a="1"/>
  <c r="N13" i="37" s="1"/>
  <c r="D19" i="37"/>
  <c r="D15" i="37"/>
  <c r="D8" i="37"/>
  <c r="X5" i="5" a="1"/>
  <c r="X5" i="5" s="1"/>
  <c r="T5" i="5" a="1"/>
  <c r="T5" i="5" s="1"/>
  <c r="P5" i="5" a="1"/>
  <c r="P5" i="5" s="1"/>
  <c r="L5" i="5" a="1"/>
  <c r="L5" i="5" s="1"/>
  <c r="W5" i="5" a="1"/>
  <c r="W5" i="5" s="1"/>
  <c r="S5" i="5" a="1"/>
  <c r="S5" i="5" s="1"/>
  <c r="O5" i="5" a="1"/>
  <c r="O5" i="5" s="1"/>
  <c r="K5" i="5" a="1"/>
  <c r="K5" i="5" s="1"/>
  <c r="V5" i="5" a="1"/>
  <c r="V5" i="5" s="1"/>
  <c r="R5" i="5" a="1"/>
  <c r="R5" i="5" s="1"/>
  <c r="N5" i="5" a="1"/>
  <c r="N5" i="5" s="1"/>
  <c r="J5" i="5" a="1"/>
  <c r="J5" i="5" s="1"/>
  <c r="Y5" i="5" a="1"/>
  <c r="Y5" i="5" s="1"/>
  <c r="U5" i="5" a="1"/>
  <c r="U5" i="5" s="1"/>
  <c r="Q5" i="5" a="1"/>
  <c r="Q5" i="5" s="1"/>
  <c r="M5" i="5" a="1"/>
  <c r="M5" i="5" s="1"/>
  <c r="I5" i="5" a="1"/>
  <c r="I5" i="5" s="1"/>
  <c r="AI242" i="10" a="1"/>
  <c r="AI242" i="10" s="1"/>
  <c r="AS176" i="10"/>
  <c r="AM227" i="10" a="1"/>
  <c r="AM227" i="10" s="1"/>
  <c r="AF122" i="10" a="1"/>
  <c r="AF122" i="10" s="1"/>
  <c r="W215" i="10" a="1"/>
  <c r="W215" i="10" s="1"/>
  <c r="H149" i="10" a="1"/>
  <c r="H149" i="10" s="1"/>
  <c r="D32" i="37"/>
  <c r="H39" i="37" a="1"/>
  <c r="H39" i="37" s="1"/>
  <c r="L39" i="37" a="1"/>
  <c r="L39" i="37" s="1"/>
  <c r="G39" i="37" a="1"/>
  <c r="G39" i="37" s="1"/>
  <c r="M39" i="37" a="1"/>
  <c r="M39" i="37" s="1"/>
  <c r="N30" i="37" a="1"/>
  <c r="N30" i="37" s="1"/>
  <c r="N37" i="37" a="1"/>
  <c r="N37" i="37" s="1"/>
  <c r="R31" i="37" a="1"/>
  <c r="R31" i="37" s="1"/>
  <c r="N31" i="37" s="1" a="1"/>
  <c r="N31" i="37" s="1"/>
  <c r="D31" i="37"/>
  <c r="G34" i="37" a="1"/>
  <c r="G34" i="37" s="1"/>
  <c r="R26" i="37" a="1"/>
  <c r="R26" i="37" s="1"/>
  <c r="N26" i="37" s="1" a="1"/>
  <c r="N26" i="37" s="1"/>
  <c r="F26" i="37" a="1"/>
  <c r="F26" i="37" s="1"/>
  <c r="D26" i="37"/>
  <c r="N27" i="37" a="1"/>
  <c r="N27" i="37" s="1"/>
  <c r="N14" i="37" a="1"/>
  <c r="N14" i="37" s="1"/>
  <c r="AB209" i="10" a="1"/>
  <c r="AB209" i="10" s="1"/>
  <c r="AF251" i="10" a="1"/>
  <c r="AF251" i="10" s="1"/>
  <c r="AF239" i="10" a="1"/>
  <c r="AF239" i="10" s="1"/>
  <c r="F31" i="37" a="1"/>
  <c r="F31" i="37" s="1"/>
  <c r="R24" i="37" a="1"/>
  <c r="R24" i="37" s="1"/>
  <c r="N24" i="37" s="1" a="1"/>
  <c r="N24" i="37" s="1"/>
  <c r="F24" i="37" a="1"/>
  <c r="F24" i="37" s="1"/>
  <c r="D24" i="37"/>
  <c r="R22" i="37" a="1"/>
  <c r="R22" i="37" s="1"/>
  <c r="N22" i="37" s="1" a="1"/>
  <c r="N22" i="37" s="1"/>
  <c r="D22" i="37"/>
  <c r="F7" i="37" a="1"/>
  <c r="F7" i="37" s="1"/>
  <c r="L155" i="10" a="1"/>
  <c r="L155" i="10" s="1"/>
  <c r="H36" i="37" a="1"/>
  <c r="H36" i="37" s="1"/>
  <c r="G36" i="37" a="1"/>
  <c r="G36" i="37" s="1"/>
  <c r="M36" i="37" a="1"/>
  <c r="M36" i="37" s="1"/>
  <c r="L36" i="37" a="1"/>
  <c r="L36" i="37" s="1"/>
  <c r="G28" i="37" a="1"/>
  <c r="G28" i="37" s="1"/>
  <c r="M28" i="37" a="1"/>
  <c r="M28" i="37" s="1"/>
  <c r="L28" i="37" a="1"/>
  <c r="L28" i="37" s="1"/>
  <c r="H28" i="37" a="1"/>
  <c r="H28" i="37" s="1"/>
  <c r="F29" i="37" a="1"/>
  <c r="F29" i="37" s="1"/>
  <c r="M18" i="37" a="1"/>
  <c r="M18" i="37" s="1"/>
  <c r="H18" i="37" a="1"/>
  <c r="H18" i="37" s="1"/>
  <c r="G18" i="37" a="1"/>
  <c r="G18" i="37" s="1"/>
  <c r="L18" i="37" a="1"/>
  <c r="L18" i="37" s="1"/>
  <c r="F9" i="37" a="1"/>
  <c r="F9" i="37" s="1"/>
  <c r="D7" i="37"/>
  <c r="AK218" i="10" a="1"/>
  <c r="AK218" i="10" s="1"/>
  <c r="X143" i="10" a="1"/>
  <c r="X143" i="10" s="1"/>
  <c r="V236" i="10" a="1"/>
  <c r="V236" i="10" s="1"/>
  <c r="AB140" i="10" a="1"/>
  <c r="AB140" i="10" s="1"/>
  <c r="AG140" i="10" a="1"/>
  <c r="AG140" i="10" s="1"/>
  <c r="AM131" i="10" a="1"/>
  <c r="AM131" i="10" s="1"/>
  <c r="P119" i="10" a="1"/>
  <c r="P119" i="10" s="1"/>
  <c r="AM125" i="10" a="1"/>
  <c r="AM125" i="10" s="1"/>
  <c r="AF131" i="10" a="1"/>
  <c r="AF131" i="10" s="1"/>
  <c r="I119" i="10" a="1"/>
  <c r="I119" i="10" s="1"/>
  <c r="AM167" i="10" a="1"/>
  <c r="AM167" i="10" s="1"/>
  <c r="G167" i="10" a="1"/>
  <c r="G167" i="10" s="1"/>
  <c r="T167" i="10" a="1"/>
  <c r="T167" i="10" s="1"/>
  <c r="AE140" i="10" a="1"/>
  <c r="AE140" i="10" s="1"/>
  <c r="I125" i="10" a="1"/>
  <c r="I125" i="10" s="1"/>
  <c r="AD152" i="10" a="1"/>
  <c r="AD152" i="10" s="1"/>
  <c r="AI167" i="10" a="1"/>
  <c r="AI167" i="10" s="1"/>
  <c r="X167" i="10" a="1"/>
  <c r="X167" i="10" s="1"/>
  <c r="Z131" i="10" a="1"/>
  <c r="Z131" i="10" s="1"/>
  <c r="AE167" i="10" a="1"/>
  <c r="AE167" i="10" s="1"/>
  <c r="AB167" i="10" a="1"/>
  <c r="AB167" i="10" s="1"/>
  <c r="AM134" i="10" a="1"/>
  <c r="AM134" i="10" s="1"/>
  <c r="M131" i="10" a="1"/>
  <c r="M131" i="10" s="1"/>
  <c r="Z119" i="10" a="1"/>
  <c r="Z119" i="10" s="1"/>
  <c r="AA167" i="10" a="1"/>
  <c r="AA167" i="10" s="1"/>
  <c r="AF167" i="10" a="1"/>
  <c r="AF167" i="10" s="1"/>
  <c r="Y131" i="10" a="1"/>
  <c r="Y131" i="10" s="1"/>
  <c r="W167" i="10" a="1"/>
  <c r="W167" i="10" s="1"/>
  <c r="AJ167" i="10" a="1"/>
  <c r="AJ167" i="10" s="1"/>
  <c r="L131" i="10" a="1"/>
  <c r="L131" i="10" s="1"/>
  <c r="X140" i="10" a="1"/>
  <c r="X140" i="10" s="1"/>
  <c r="S167" i="10" a="1"/>
  <c r="S167" i="10" s="1"/>
  <c r="H167" i="10" a="1"/>
  <c r="H167" i="10" s="1"/>
  <c r="AN167" i="10" a="1"/>
  <c r="AN167" i="10" s="1"/>
  <c r="O167" i="10" a="1"/>
  <c r="O167" i="10" s="1"/>
  <c r="L167" i="10" a="1"/>
  <c r="L167" i="10" s="1"/>
  <c r="AS167" i="10"/>
  <c r="AJ131" i="10" a="1"/>
  <c r="AJ131" i="10" s="1"/>
  <c r="AF140" i="10" a="1"/>
  <c r="AF140" i="10" s="1"/>
  <c r="Y146" i="10" a="1"/>
  <c r="Y146" i="10" s="1"/>
  <c r="V134" i="10" a="1"/>
  <c r="V134" i="10" s="1"/>
  <c r="AA134" i="10" a="1"/>
  <c r="AA134" i="10" s="1"/>
  <c r="AG134" i="10" a="1"/>
  <c r="AG134" i="10" s="1"/>
  <c r="H140" i="10" a="1"/>
  <c r="H140" i="10" s="1"/>
  <c r="M140" i="10" a="1"/>
  <c r="M140" i="10" s="1"/>
  <c r="AM140" i="10" a="1"/>
  <c r="AM140" i="10" s="1"/>
  <c r="AS152" i="10"/>
  <c r="AH152" i="10" a="1"/>
  <c r="AH152" i="10" s="1"/>
  <c r="J152" i="10" a="1"/>
  <c r="J152" i="10" s="1"/>
  <c r="AP152" i="10" a="1"/>
  <c r="AP152" i="10" s="1"/>
  <c r="R152" i="10" a="1"/>
  <c r="R152" i="10" s="1"/>
  <c r="V125" i="10" a="1"/>
  <c r="V125" i="10" s="1"/>
  <c r="U125" i="10" a="1"/>
  <c r="U125" i="10" s="1"/>
  <c r="AI125" i="10" a="1"/>
  <c r="AI125" i="10" s="1"/>
  <c r="S146" i="10" a="1"/>
  <c r="S146" i="10" s="1"/>
  <c r="N134" i="10" a="1"/>
  <c r="N134" i="10" s="1"/>
  <c r="AE134" i="10" a="1"/>
  <c r="AE134" i="10" s="1"/>
  <c r="S134" i="10" a="1"/>
  <c r="S134" i="10" s="1"/>
  <c r="Z134" i="10" a="1"/>
  <c r="Z134" i="10" s="1"/>
  <c r="Z140" i="10" a="1"/>
  <c r="Z140" i="10" s="1"/>
  <c r="Q140" i="10" a="1"/>
  <c r="Q140" i="10" s="1"/>
  <c r="Z152" i="10" a="1"/>
  <c r="Z152" i="10" s="1"/>
  <c r="AD125" i="10" a="1"/>
  <c r="AD125" i="10" s="1"/>
  <c r="T152" i="10" a="1"/>
  <c r="T152" i="10" s="1"/>
  <c r="AF152" i="10" a="1"/>
  <c r="AF152" i="10" s="1"/>
  <c r="P134" i="10" a="1"/>
  <c r="P134" i="10" s="1"/>
  <c r="AD149" i="10" a="1"/>
  <c r="AD149" i="10" s="1"/>
  <c r="X149" i="10" a="1"/>
  <c r="X149" i="10" s="1"/>
  <c r="K134" i="10" a="1"/>
  <c r="K134" i="10" s="1"/>
  <c r="T134" i="10" a="1"/>
  <c r="T134" i="10" s="1"/>
  <c r="AI134" i="10" a="1"/>
  <c r="AI134" i="10" s="1"/>
  <c r="L140" i="10" a="1"/>
  <c r="L140" i="10" s="1"/>
  <c r="AK140" i="10" a="1"/>
  <c r="AK140" i="10" s="1"/>
  <c r="AO125" i="10" a="1"/>
  <c r="AO125" i="10" s="1"/>
  <c r="AJ152" i="10" a="1"/>
  <c r="AJ152" i="10" s="1"/>
  <c r="Y134" i="10" a="1"/>
  <c r="Y134" i="10" s="1"/>
  <c r="X134" i="10" a="1"/>
  <c r="X134" i="10" s="1"/>
  <c r="AE131" i="10" a="1"/>
  <c r="AE131" i="10" s="1"/>
  <c r="V140" i="10" a="1"/>
  <c r="V140" i="10" s="1"/>
  <c r="G140" i="10" a="1"/>
  <c r="G140" i="10" s="1"/>
  <c r="Q119" i="10" a="1"/>
  <c r="Q119" i="10" s="1"/>
  <c r="AA125" i="10" a="1"/>
  <c r="AA125" i="10" s="1"/>
  <c r="P152" i="10" a="1"/>
  <c r="P152" i="10" s="1"/>
  <c r="U134" i="10" a="1"/>
  <c r="U134" i="10" s="1"/>
  <c r="AF134" i="10" a="1"/>
  <c r="AF134" i="10" s="1"/>
  <c r="N140" i="10" a="1"/>
  <c r="N140" i="10" s="1"/>
  <c r="K140" i="10" a="1"/>
  <c r="K140" i="10" s="1"/>
  <c r="AS125" i="10"/>
  <c r="AG125" i="10" a="1"/>
  <c r="AG125" i="10" s="1"/>
  <c r="J125" i="10" a="1"/>
  <c r="J125" i="10" s="1"/>
  <c r="AP125" i="10" a="1"/>
  <c r="AP125" i="10" s="1"/>
  <c r="G125" i="10" a="1"/>
  <c r="G125" i="10" s="1"/>
  <c r="O125" i="10" a="1"/>
  <c r="O125" i="10" s="1"/>
  <c r="AN188" i="10" a="1"/>
  <c r="AN188" i="10" s="1"/>
  <c r="AB149" i="10" a="1"/>
  <c r="AB149" i="10" s="1"/>
  <c r="N125" i="10" a="1"/>
  <c r="N125" i="10" s="1"/>
  <c r="AD134" i="10" a="1"/>
  <c r="AD134" i="10" s="1"/>
  <c r="AJ134" i="10" a="1"/>
  <c r="AJ134" i="10" s="1"/>
  <c r="AN140" i="10" a="1"/>
  <c r="AN140" i="10" s="1"/>
  <c r="P140" i="10" a="1"/>
  <c r="P140" i="10" s="1"/>
  <c r="AA140" i="10" a="1"/>
  <c r="AA140" i="10" s="1"/>
  <c r="AP134" i="10" a="1"/>
  <c r="AP134" i="10" s="1"/>
  <c r="AS170" i="10"/>
  <c r="AH149" i="10" a="1"/>
  <c r="AH149" i="10" s="1"/>
  <c r="T146" i="10" a="1"/>
  <c r="T146" i="10" s="1"/>
  <c r="AG146" i="10" a="1"/>
  <c r="AG146" i="10" s="1"/>
  <c r="AA146" i="10" a="1"/>
  <c r="AA146" i="10" s="1"/>
  <c r="AH134" i="10" a="1"/>
  <c r="AH134" i="10" s="1"/>
  <c r="H134" i="10" a="1"/>
  <c r="H134" i="10" s="1"/>
  <c r="AN134" i="10" a="1"/>
  <c r="AN134" i="10" s="1"/>
  <c r="AG116" i="10" a="1"/>
  <c r="AG116" i="10" s="1"/>
  <c r="T131" i="10" a="1"/>
  <c r="T131" i="10" s="1"/>
  <c r="AH140" i="10" a="1"/>
  <c r="AH140" i="10" s="1"/>
  <c r="AD140" i="10" a="1"/>
  <c r="AD140" i="10" s="1"/>
  <c r="U140" i="10" a="1"/>
  <c r="U140" i="10" s="1"/>
  <c r="O140" i="10" a="1"/>
  <c r="O140" i="10" s="1"/>
  <c r="V146" i="10" a="1"/>
  <c r="V146" i="10" s="1"/>
  <c r="N119" i="10" a="1"/>
  <c r="N119" i="10" s="1"/>
  <c r="V119" i="10" a="1"/>
  <c r="V119" i="10" s="1"/>
  <c r="AD119" i="10" a="1"/>
  <c r="AD119" i="10" s="1"/>
  <c r="X119" i="10" a="1"/>
  <c r="X119" i="10" s="1"/>
  <c r="AP146" i="10" a="1"/>
  <c r="AP146" i="10" s="1"/>
  <c r="AJ146" i="10" a="1"/>
  <c r="AJ146" i="10" s="1"/>
  <c r="AE146" i="10" a="1"/>
  <c r="AE146" i="10" s="1"/>
  <c r="G134" i="10" a="1"/>
  <c r="G134" i="10" s="1"/>
  <c r="L134" i="10" a="1"/>
  <c r="L134" i="10" s="1"/>
  <c r="AO131" i="10" a="1"/>
  <c r="AO131" i="10" s="1"/>
  <c r="AA116" i="10" a="1"/>
  <c r="AA116" i="10" s="1"/>
  <c r="X131" i="10" a="1"/>
  <c r="X131" i="10" s="1"/>
  <c r="J140" i="10" a="1"/>
  <c r="J140" i="10" s="1"/>
  <c r="T140" i="10" a="1"/>
  <c r="T140" i="10" s="1"/>
  <c r="Y140" i="10" a="1"/>
  <c r="Y140" i="10" s="1"/>
  <c r="AE119" i="10" a="1"/>
  <c r="AE119" i="10" s="1"/>
  <c r="AG119" i="10" a="1"/>
  <c r="AG119" i="10" s="1"/>
  <c r="AO119" i="10" a="1"/>
  <c r="AO119" i="10" s="1"/>
  <c r="K119" i="10" a="1"/>
  <c r="K119" i="10" s="1"/>
  <c r="AB119" i="10" a="1"/>
  <c r="AB119" i="10" s="1"/>
  <c r="P146" i="10" a="1"/>
  <c r="P146" i="10" s="1"/>
  <c r="AF146" i="10" a="1"/>
  <c r="AF146" i="10" s="1"/>
  <c r="I146" i="10" a="1"/>
  <c r="I146" i="10" s="1"/>
  <c r="AO146" i="10" a="1"/>
  <c r="AO146" i="10" s="1"/>
  <c r="V131" i="10" a="1"/>
  <c r="V131" i="10" s="1"/>
  <c r="V116" i="10" a="1"/>
  <c r="V116" i="10" s="1"/>
  <c r="AL131" i="10" a="1"/>
  <c r="AL131" i="10" s="1"/>
  <c r="AB131" i="10" a="1"/>
  <c r="AB131" i="10" s="1"/>
  <c r="AS140" i="10"/>
  <c r="R140" i="10" a="1"/>
  <c r="R140" i="10" s="1"/>
  <c r="AJ140" i="10" a="1"/>
  <c r="AJ140" i="10" s="1"/>
  <c r="AC140" i="10" a="1"/>
  <c r="AC140" i="10" s="1"/>
  <c r="W140" i="10" a="1"/>
  <c r="W140" i="10" s="1"/>
  <c r="Y119" i="10" a="1"/>
  <c r="Y119" i="10" s="1"/>
  <c r="AM119" i="10" a="1"/>
  <c r="AM119" i="10" s="1"/>
  <c r="J119" i="10" a="1"/>
  <c r="J119" i="10" s="1"/>
  <c r="R119" i="10" a="1"/>
  <c r="R119" i="10" s="1"/>
  <c r="AS146" i="10"/>
  <c r="Z146" i="10" a="1"/>
  <c r="Z146" i="10" s="1"/>
  <c r="R146" i="10" a="1"/>
  <c r="R146" i="10" s="1"/>
  <c r="M146" i="10" a="1"/>
  <c r="M146" i="10" s="1"/>
  <c r="G146" i="10" a="1"/>
  <c r="G146" i="10" s="1"/>
  <c r="AM146" i="10" a="1"/>
  <c r="AM146" i="10" s="1"/>
  <c r="N146" i="10" a="1"/>
  <c r="N146" i="10" s="1"/>
  <c r="Q116" i="10" a="1"/>
  <c r="Q116" i="10" s="1"/>
  <c r="AS119" i="10"/>
  <c r="U119" i="10" a="1"/>
  <c r="U119" i="10" s="1"/>
  <c r="AC119" i="10" a="1"/>
  <c r="AC119" i="10" s="1"/>
  <c r="AK119" i="10" a="1"/>
  <c r="AK119" i="10" s="1"/>
  <c r="AJ119" i="10" a="1"/>
  <c r="AJ119" i="10" s="1"/>
  <c r="AH146" i="10" a="1"/>
  <c r="AH146" i="10" s="1"/>
  <c r="Q146" i="10" a="1"/>
  <c r="Q146" i="10" s="1"/>
  <c r="K146" i="10" a="1"/>
  <c r="K146" i="10" s="1"/>
  <c r="K116" i="10" a="1"/>
  <c r="K116" i="10" s="1"/>
  <c r="M119" i="10" a="1"/>
  <c r="M119" i="10" s="1"/>
  <c r="AA119" i="10" a="1"/>
  <c r="AA119" i="10" s="1"/>
  <c r="AI119" i="10" a="1"/>
  <c r="AI119" i="10" s="1"/>
  <c r="H119" i="10" a="1"/>
  <c r="H119" i="10" s="1"/>
  <c r="AN119" i="10" a="1"/>
  <c r="AN119" i="10" s="1"/>
  <c r="H146" i="10" a="1"/>
  <c r="H146" i="10" s="1"/>
  <c r="U146" i="10" a="1"/>
  <c r="U146" i="10" s="1"/>
  <c r="O146" i="10" a="1"/>
  <c r="O146" i="10" s="1"/>
  <c r="AS134" i="10"/>
  <c r="W134" i="10" a="1"/>
  <c r="W134" i="10" s="1"/>
  <c r="O134" i="10" a="1"/>
  <c r="O134" i="10" s="1"/>
  <c r="I134" i="10" a="1"/>
  <c r="I134" i="10" s="1"/>
  <c r="AK134" i="10" a="1"/>
  <c r="AK134" i="10" s="1"/>
  <c r="AC134" i="10" a="1"/>
  <c r="AC134" i="10" s="1"/>
  <c r="R134" i="10" a="1"/>
  <c r="R134" i="10" s="1"/>
  <c r="J134" i="10" a="1"/>
  <c r="J134" i="10" s="1"/>
  <c r="AL134" i="10" a="1"/>
  <c r="AL134" i="10" s="1"/>
  <c r="Q134" i="10" a="1"/>
  <c r="Q134" i="10" s="1"/>
  <c r="M134" i="10" a="1"/>
  <c r="M134" i="10" s="1"/>
  <c r="AB134" i="10" a="1"/>
  <c r="AB134" i="10" s="1"/>
  <c r="AD146" i="10" a="1"/>
  <c r="AD146" i="10" s="1"/>
  <c r="U131" i="10" a="1"/>
  <c r="U131" i="10" s="1"/>
  <c r="L116" i="10" a="1"/>
  <c r="L116" i="10" s="1"/>
  <c r="AG131" i="10" a="1"/>
  <c r="AG131" i="10" s="1"/>
  <c r="S131" i="10" a="1"/>
  <c r="S131" i="10" s="1"/>
  <c r="AF116" i="10" a="1"/>
  <c r="AF116" i="10" s="1"/>
  <c r="H131" i="10" a="1"/>
  <c r="H131" i="10" s="1"/>
  <c r="AP140" i="10" a="1"/>
  <c r="AP140" i="10" s="1"/>
  <c r="AL140" i="10" a="1"/>
  <c r="AL140" i="10" s="1"/>
  <c r="I140" i="10" a="1"/>
  <c r="I140" i="10" s="1"/>
  <c r="AO140" i="10" a="1"/>
  <c r="AO140" i="10" s="1"/>
  <c r="AI140" i="10" a="1"/>
  <c r="AI140" i="10" s="1"/>
  <c r="S119" i="10" a="1"/>
  <c r="S119" i="10" s="1"/>
  <c r="AH119" i="10" a="1"/>
  <c r="AH119" i="10" s="1"/>
  <c r="AP119" i="10" a="1"/>
  <c r="AP119" i="10" s="1"/>
  <c r="L119" i="10" a="1"/>
  <c r="L119" i="10" s="1"/>
  <c r="L146" i="10" a="1"/>
  <c r="L146" i="10" s="1"/>
  <c r="AO116" i="10" a="1"/>
  <c r="AO116" i="10" s="1"/>
  <c r="AI116" i="10" a="1"/>
  <c r="AI116" i="10" s="1"/>
  <c r="AD116" i="10" a="1"/>
  <c r="AD116" i="10" s="1"/>
  <c r="Y116" i="10" a="1"/>
  <c r="Y116" i="10" s="1"/>
  <c r="S116" i="10" a="1"/>
  <c r="S116" i="10" s="1"/>
  <c r="N116" i="10" a="1"/>
  <c r="N116" i="10" s="1"/>
  <c r="I116" i="10" a="1"/>
  <c r="I116" i="10" s="1"/>
  <c r="AN116" i="10" a="1"/>
  <c r="AN116" i="10" s="1"/>
  <c r="X116" i="10" a="1"/>
  <c r="X116" i="10" s="1"/>
  <c r="H116" i="10" a="1"/>
  <c r="H116" i="10" s="1"/>
  <c r="AS116" i="10"/>
  <c r="AM116" i="10" a="1"/>
  <c r="AM116" i="10" s="1"/>
  <c r="AH116" i="10" a="1"/>
  <c r="AH116" i="10" s="1"/>
  <c r="AC116" i="10" a="1"/>
  <c r="AC116" i="10" s="1"/>
  <c r="W116" i="10" a="1"/>
  <c r="W116" i="10" s="1"/>
  <c r="R116" i="10" a="1"/>
  <c r="R116" i="10" s="1"/>
  <c r="M116" i="10" a="1"/>
  <c r="M116" i="10" s="1"/>
  <c r="G116" i="10" a="1"/>
  <c r="G116" i="10" s="1"/>
  <c r="AP116" i="10" a="1"/>
  <c r="AP116" i="10" s="1"/>
  <c r="AK116" i="10" a="1"/>
  <c r="AK116" i="10" s="1"/>
  <c r="AE116" i="10" a="1"/>
  <c r="AE116" i="10" s="1"/>
  <c r="Z116" i="10" a="1"/>
  <c r="Z116" i="10" s="1"/>
  <c r="U116" i="10" a="1"/>
  <c r="U116" i="10" s="1"/>
  <c r="O116" i="10" a="1"/>
  <c r="O116" i="10" s="1"/>
  <c r="J116" i="10" a="1"/>
  <c r="J116" i="10" s="1"/>
  <c r="T116" i="10" a="1"/>
  <c r="T116" i="10" s="1"/>
  <c r="AJ116" i="10" a="1"/>
  <c r="AJ116" i="10" s="1"/>
  <c r="P116" i="10" a="1"/>
  <c r="P116" i="10" s="1"/>
  <c r="AN146" i="10" a="1"/>
  <c r="AN146" i="10" s="1"/>
  <c r="AC146" i="10" a="1"/>
  <c r="AC146" i="10" s="1"/>
  <c r="W146" i="10" a="1"/>
  <c r="W146" i="10" s="1"/>
  <c r="AB146" i="10" a="1"/>
  <c r="AB146" i="10" s="1"/>
  <c r="AL116" i="10" a="1"/>
  <c r="AL116" i="10" s="1"/>
  <c r="AD131" i="10" a="1"/>
  <c r="AD131" i="10" s="1"/>
  <c r="W131" i="10" a="1"/>
  <c r="W131" i="10" s="1"/>
  <c r="Q131" i="10" a="1"/>
  <c r="Q131" i="10" s="1"/>
  <c r="AP131" i="10" a="1"/>
  <c r="AP131" i="10" s="1"/>
  <c r="AI131" i="10" a="1"/>
  <c r="AI131" i="10" s="1"/>
  <c r="AC131" i="10" a="1"/>
  <c r="AC131" i="10" s="1"/>
  <c r="J131" i="10" a="1"/>
  <c r="J131" i="10" s="1"/>
  <c r="AS131" i="10"/>
  <c r="K131" i="10" a="1"/>
  <c r="K131" i="10" s="1"/>
  <c r="AK131" i="10" a="1"/>
  <c r="AK131" i="10" s="1"/>
  <c r="R131" i="10" a="1"/>
  <c r="R131" i="10" s="1"/>
  <c r="J146" i="10" a="1"/>
  <c r="J146" i="10" s="1"/>
  <c r="P131" i="10" a="1"/>
  <c r="P131" i="10" s="1"/>
  <c r="AL119" i="10" a="1"/>
  <c r="AL119" i="10" s="1"/>
  <c r="G119" i="10" a="1"/>
  <c r="G119" i="10" s="1"/>
  <c r="O119" i="10" a="1"/>
  <c r="O119" i="10" s="1"/>
  <c r="W119" i="10" a="1"/>
  <c r="W119" i="10" s="1"/>
  <c r="T119" i="10" a="1"/>
  <c r="T119" i="10" s="1"/>
  <c r="M34" i="37" l="1" a="1"/>
  <c r="M34" i="37" s="1"/>
  <c r="BF56" i="58839"/>
  <c r="BG5" i="58839"/>
  <c r="H5" i="58839"/>
  <c r="G56" i="58839"/>
  <c r="G35" i="37" a="1"/>
  <c r="G35" i="37" s="1"/>
  <c r="G13" i="37" a="1"/>
  <c r="G13" i="37" s="1"/>
  <c r="L13" i="37" a="1"/>
  <c r="L13" i="37" s="1"/>
  <c r="M13" i="37" a="1"/>
  <c r="M13" i="37" s="1"/>
  <c r="L32" i="37" a="1"/>
  <c r="L32" i="37" s="1"/>
  <c r="G8" i="37" a="1"/>
  <c r="G8" i="37" s="1"/>
  <c r="M10" i="37" a="1"/>
  <c r="M10" i="37" s="1"/>
  <c r="L15" i="37" a="1"/>
  <c r="L15" i="37" s="1"/>
  <c r="M35" i="37" a="1"/>
  <c r="M35" i="37" s="1"/>
  <c r="M8" i="37" a="1"/>
  <c r="M8" i="37" s="1"/>
  <c r="H35" i="37" a="1"/>
  <c r="H35" i="37" s="1"/>
  <c r="G32" i="37" a="1"/>
  <c r="G32" i="37" s="1"/>
  <c r="H34" i="37" a="1"/>
  <c r="H34" i="37" s="1"/>
  <c r="L6" i="37" a="1"/>
  <c r="L6" i="37" s="1"/>
  <c r="M15" i="37" a="1"/>
  <c r="M15" i="37" s="1"/>
  <c r="G6" i="37" a="1"/>
  <c r="G6" i="37" s="1"/>
  <c r="H8" i="37" a="1"/>
  <c r="H8" i="37" s="1"/>
  <c r="H15" i="37" a="1"/>
  <c r="H15" i="37" s="1"/>
  <c r="H6" i="37" a="1"/>
  <c r="H6" i="37" s="1"/>
  <c r="M27" i="37" a="1"/>
  <c r="M27" i="37" s="1"/>
  <c r="L17" i="37" a="1"/>
  <c r="L17" i="37" s="1"/>
  <c r="G27" i="37" a="1"/>
  <c r="G27" i="37" s="1"/>
  <c r="M32" i="37" a="1"/>
  <c r="M32" i="37" s="1"/>
  <c r="G17" i="37" a="1"/>
  <c r="G17" i="37" s="1"/>
  <c r="L27" i="37" a="1"/>
  <c r="L27" i="37" s="1"/>
  <c r="W137" i="10" a="1"/>
  <c r="W137" i="10" s="1"/>
  <c r="AB137" i="10" a="1"/>
  <c r="AB137" i="10" s="1"/>
  <c r="R137" i="10" a="1"/>
  <c r="R137" i="10" s="1"/>
  <c r="Z137" i="10" a="1"/>
  <c r="Z137" i="10" s="1"/>
  <c r="H17" i="37" a="1"/>
  <c r="H17" i="37" s="1"/>
  <c r="G12" i="37" a="1"/>
  <c r="G12" i="37" s="1"/>
  <c r="M12" i="37" a="1"/>
  <c r="M12" i="37" s="1"/>
  <c r="H12" i="37" a="1"/>
  <c r="H12" i="37" s="1"/>
  <c r="L12" i="37" a="1"/>
  <c r="L12" i="37" s="1"/>
  <c r="X137" i="10" a="1"/>
  <c r="X137" i="10" s="1"/>
  <c r="J137" i="10" a="1"/>
  <c r="J137" i="10" s="1"/>
  <c r="AD137" i="10" a="1"/>
  <c r="AD137" i="10" s="1"/>
  <c r="P137" i="10" a="1"/>
  <c r="P137" i="10" s="1"/>
  <c r="K137" i="10" a="1"/>
  <c r="K137" i="10" s="1"/>
  <c r="AK137" i="10" a="1"/>
  <c r="AK137" i="10" s="1"/>
  <c r="AS137" i="10"/>
  <c r="AM137" i="10" a="1"/>
  <c r="AM137" i="10" s="1"/>
  <c r="I137" i="10" a="1"/>
  <c r="I137" i="10" s="1"/>
  <c r="AI137" i="10" a="1"/>
  <c r="AI137" i="10" s="1"/>
  <c r="H137" i="10" a="1"/>
  <c r="H137" i="10" s="1"/>
  <c r="N137" i="10" a="1"/>
  <c r="N137" i="10" s="1"/>
  <c r="V137" i="10" a="1"/>
  <c r="V137" i="10" s="1"/>
  <c r="Y137" i="10" a="1"/>
  <c r="Y137" i="10" s="1"/>
  <c r="O137" i="10" a="1"/>
  <c r="O137" i="10" s="1"/>
  <c r="S137" i="10" a="1"/>
  <c r="S137" i="10" s="1"/>
  <c r="AA137" i="10" a="1"/>
  <c r="AA137" i="10" s="1"/>
  <c r="L137" i="10" a="1"/>
  <c r="L137" i="10" s="1"/>
  <c r="G137" i="10" a="1"/>
  <c r="G137" i="10" s="1"/>
  <c r="AJ137" i="10" a="1"/>
  <c r="AJ137" i="10" s="1"/>
  <c r="T137" i="10" a="1"/>
  <c r="T137" i="10" s="1"/>
  <c r="AP137" i="10" a="1"/>
  <c r="AP137" i="10" s="1"/>
  <c r="AH137" i="10" a="1"/>
  <c r="AH137" i="10" s="1"/>
  <c r="AL137" i="10" a="1"/>
  <c r="AL137" i="10" s="1"/>
  <c r="AG137" i="10" a="1"/>
  <c r="AG137" i="10" s="1"/>
  <c r="AF137" i="10" a="1"/>
  <c r="AF137" i="10" s="1"/>
  <c r="U137" i="10" a="1"/>
  <c r="U137" i="10" s="1"/>
  <c r="AO137" i="10" a="1"/>
  <c r="AO137" i="10" s="1"/>
  <c r="Q137" i="10" a="1"/>
  <c r="Q137" i="10" s="1"/>
  <c r="AN137" i="10" a="1"/>
  <c r="AN137" i="10" s="1"/>
  <c r="M137" i="10" a="1"/>
  <c r="M137" i="10" s="1"/>
  <c r="G26" i="37" a="1"/>
  <c r="G26" i="37" s="1"/>
  <c r="M26" i="37" a="1"/>
  <c r="M26" i="37" s="1"/>
  <c r="H26" i="37" a="1"/>
  <c r="H26" i="37" s="1"/>
  <c r="L26" i="37" a="1"/>
  <c r="L26" i="37" s="1"/>
  <c r="H20" i="37" a="1"/>
  <c r="H20" i="37" s="1"/>
  <c r="G20" i="37" a="1"/>
  <c r="G20" i="37" s="1"/>
  <c r="M20" i="37" a="1"/>
  <c r="M20" i="37" s="1"/>
  <c r="L20" i="37" a="1"/>
  <c r="L20" i="37" s="1"/>
  <c r="H25" i="37" a="1"/>
  <c r="H25" i="37" s="1"/>
  <c r="L25" i="37" a="1"/>
  <c r="L25" i="37" s="1"/>
  <c r="G25" i="37" a="1"/>
  <c r="G25" i="37" s="1"/>
  <c r="M25" i="37" a="1"/>
  <c r="M25" i="37" s="1"/>
  <c r="H29" i="37" a="1"/>
  <c r="H29" i="37" s="1"/>
  <c r="G29" i="37" a="1"/>
  <c r="G29" i="37" s="1"/>
  <c r="M29" i="37" a="1"/>
  <c r="M29" i="37" s="1"/>
  <c r="L29" i="37" a="1"/>
  <c r="L29" i="37" s="1"/>
  <c r="G30" i="37" a="1"/>
  <c r="G30" i="37" s="1"/>
  <c r="M30" i="37" a="1"/>
  <c r="M30" i="37" s="1"/>
  <c r="L30" i="37" a="1"/>
  <c r="L30" i="37" s="1"/>
  <c r="H30" i="37" a="1"/>
  <c r="H30" i="37" s="1"/>
  <c r="G9" i="37" a="1"/>
  <c r="G9" i="37" s="1"/>
  <c r="H9" i="37" a="1"/>
  <c r="H9" i="37" s="1"/>
  <c r="L9" i="37" a="1"/>
  <c r="L9" i="37" s="1"/>
  <c r="M9" i="37" a="1"/>
  <c r="M9" i="37" s="1"/>
  <c r="G7" i="37" a="1"/>
  <c r="G7" i="37" s="1"/>
  <c r="H7" i="37" a="1"/>
  <c r="H7" i="37" s="1"/>
  <c r="L7" i="37" a="1"/>
  <c r="L7" i="37" s="1"/>
  <c r="M7" i="37" a="1"/>
  <c r="M7" i="37" s="1"/>
  <c r="H24" i="37" a="1"/>
  <c r="H24" i="37" s="1"/>
  <c r="G24" i="37" a="1"/>
  <c r="G24" i="37" s="1"/>
  <c r="M24" i="37" a="1"/>
  <c r="M24" i="37" s="1"/>
  <c r="L24" i="37" a="1"/>
  <c r="L24" i="37" s="1"/>
  <c r="L23" i="37" a="1"/>
  <c r="L23" i="37" s="1"/>
  <c r="H23" i="37" a="1"/>
  <c r="H23" i="37" s="1"/>
  <c r="G23" i="37" a="1"/>
  <c r="G23" i="37" s="1"/>
  <c r="M23" i="37" a="1"/>
  <c r="M23" i="37" s="1"/>
  <c r="H33" i="37" a="1"/>
  <c r="H33" i="37" s="1"/>
  <c r="L33" i="37" a="1"/>
  <c r="L33" i="37" s="1"/>
  <c r="G33" i="37" a="1"/>
  <c r="G33" i="37" s="1"/>
  <c r="M33" i="37" a="1"/>
  <c r="M33" i="37" s="1"/>
  <c r="H31" i="37" a="1"/>
  <c r="H31" i="37" s="1"/>
  <c r="M31" i="37" a="1"/>
  <c r="M31" i="37" s="1"/>
  <c r="G31" i="37" a="1"/>
  <c r="G31" i="37" s="1"/>
  <c r="L31" i="37" a="1"/>
  <c r="L31" i="37" s="1"/>
  <c r="G11" i="37" a="1"/>
  <c r="G11" i="37" s="1"/>
  <c r="H11" i="37" a="1"/>
  <c r="H11" i="37" s="1"/>
  <c r="L11" i="37" a="1"/>
  <c r="L11" i="37" s="1"/>
  <c r="M11" i="37" a="1"/>
  <c r="M11" i="37" s="1"/>
  <c r="H56" i="58839" l="1"/>
  <c r="I5" i="58839"/>
  <c r="BH5" i="58839"/>
  <c r="BG56" i="58839"/>
  <c r="M14" i="37" a="1"/>
  <c r="M14" i="37" s="1"/>
  <c r="H14" i="37" a="1"/>
  <c r="H14" i="37" s="1"/>
  <c r="L14" i="37" a="1"/>
  <c r="L14" i="37" s="1"/>
  <c r="G14" i="37" a="1"/>
  <c r="G14" i="37" s="1"/>
  <c r="AX117" i="10" a="1"/>
  <c r="BI5" i="58839" l="1"/>
  <c r="BH56" i="58839"/>
  <c r="I56" i="58839"/>
  <c r="J5" i="58839"/>
  <c r="AX117" i="10"/>
  <c r="J56" i="58839" l="1"/>
  <c r="K5" i="58839"/>
  <c r="BJ5" i="58839"/>
  <c r="BI56" i="58839"/>
  <c r="C24" i="58853"/>
  <c r="C7" i="58853" a="1"/>
  <c r="C7" i="58853" s="1"/>
  <c r="BK5" i="58839" l="1"/>
  <c r="BJ56" i="58839"/>
  <c r="L5" i="58839"/>
  <c r="K56" i="58839"/>
  <c r="C32" i="58853"/>
  <c r="E115" i="58887"/>
  <c r="E71" i="58887"/>
  <c r="E73" i="58887"/>
  <c r="E98" i="58887"/>
  <c r="E47" i="58887"/>
  <c r="E78" i="58887"/>
  <c r="E62" i="58887"/>
  <c r="E85" i="58887"/>
  <c r="E89" i="58887"/>
  <c r="E83" i="58887"/>
  <c r="C33" i="58853"/>
  <c r="E67" i="58887"/>
  <c r="E104" i="58887"/>
  <c r="E102" i="58887"/>
  <c r="E111" i="58887"/>
  <c r="E114" i="58887"/>
  <c r="E116" i="58887"/>
  <c r="E109" i="58887"/>
  <c r="E97" i="58887"/>
  <c r="E54" i="58887"/>
  <c r="E7" i="58887"/>
  <c r="E69" i="58887"/>
  <c r="E66" i="58887"/>
  <c r="E72" i="58887"/>
  <c r="E118" i="58887"/>
  <c r="E95" i="58887"/>
  <c r="G3" i="58853" a="1"/>
  <c r="G3" i="58853" s="1"/>
  <c r="E81" i="58887"/>
  <c r="E6" i="58887"/>
  <c r="L4" i="33"/>
  <c r="E65" i="58887"/>
  <c r="E74" i="58887"/>
  <c r="E123" i="58887"/>
  <c r="E125" i="58887"/>
  <c r="E79" i="58887"/>
  <c r="E70" i="58887"/>
  <c r="E103" i="58887"/>
  <c r="E126" i="58887"/>
  <c r="E127" i="58887"/>
  <c r="L10" i="33"/>
  <c r="E110" i="58887"/>
  <c r="E64" i="58887"/>
  <c r="E68" i="58887"/>
  <c r="E75" i="58887"/>
  <c r="E120" i="58887"/>
  <c r="L16" i="33"/>
  <c r="E77" i="58887"/>
  <c r="C31" i="58853"/>
  <c r="E9" i="58887"/>
  <c r="E99" i="58887"/>
  <c r="E108" i="58887"/>
  <c r="E59" i="58887"/>
  <c r="E58" i="58887"/>
  <c r="C30" i="58853"/>
  <c r="E112" i="58887"/>
  <c r="E50" i="58887"/>
  <c r="E124" i="58887"/>
  <c r="E63" i="58887"/>
  <c r="E105" i="58887"/>
  <c r="E119" i="58887"/>
  <c r="E80" i="58887"/>
  <c r="L19" i="33"/>
  <c r="B3" i="58837"/>
  <c r="E55" i="58887"/>
  <c r="E88" i="58887"/>
  <c r="E96" i="58887"/>
  <c r="E57" i="58887"/>
  <c r="E56" i="58887"/>
  <c r="E100" i="58887"/>
  <c r="E5" i="58887"/>
  <c r="E128" i="58887"/>
  <c r="E92" i="58887"/>
  <c r="E129" i="58887"/>
  <c r="E49" i="58887"/>
  <c r="E122" i="58887"/>
  <c r="E101" i="58887"/>
  <c r="E93" i="58887"/>
  <c r="E76" i="58887"/>
  <c r="E60" i="58887"/>
  <c r="E87" i="58887"/>
  <c r="C29" i="58853"/>
  <c r="E61" i="58887"/>
  <c r="E117" i="58887"/>
  <c r="E8" i="58887"/>
  <c r="E113" i="58887"/>
  <c r="E82" i="58887"/>
  <c r="E53" i="58887"/>
  <c r="E48" i="58887"/>
  <c r="E84" i="58887"/>
  <c r="E52" i="58887"/>
  <c r="E107" i="58887"/>
  <c r="E90" i="58887"/>
  <c r="E106" i="58887"/>
  <c r="E91" i="58887"/>
  <c r="E86" i="58887"/>
  <c r="E121" i="58887"/>
  <c r="E94" i="58887"/>
  <c r="E51" i="58887"/>
  <c r="M5" i="58839" l="1"/>
  <c r="L56" i="58839"/>
  <c r="BL5" i="58839"/>
  <c r="BK56" i="58839"/>
  <c r="U106" i="58887" a="1"/>
  <c r="U106" i="58887" s="1"/>
  <c r="H106" i="58887" a="1"/>
  <c r="H106" i="58887" s="1"/>
  <c r="I106" i="58887" a="1"/>
  <c r="I106" i="58887" s="1"/>
  <c r="T106" i="58887" a="1"/>
  <c r="T106" i="58887" s="1"/>
  <c r="J106" i="58887" a="1"/>
  <c r="J106" i="58887" s="1"/>
  <c r="T113" i="58887" a="1"/>
  <c r="T113" i="58887" s="1"/>
  <c r="J113" i="58887" a="1"/>
  <c r="J113" i="58887" s="1"/>
  <c r="I113" i="58887" a="1"/>
  <c r="I113" i="58887" s="1"/>
  <c r="U113" i="58887" a="1"/>
  <c r="U113" i="58887" s="1"/>
  <c r="T51" i="58887" a="1"/>
  <c r="T51" i="58887" s="1"/>
  <c r="I51" i="58887" a="1"/>
  <c r="I51" i="58887" s="1"/>
  <c r="H51" i="58887" a="1"/>
  <c r="H51" i="58887" s="1"/>
  <c r="J51" i="58887" a="1"/>
  <c r="J51" i="58887" s="1"/>
  <c r="U51" i="58887" a="1"/>
  <c r="U51" i="58887" s="1"/>
  <c r="T52" i="58887" a="1"/>
  <c r="T52" i="58887" s="1"/>
  <c r="U52" i="58887" a="1"/>
  <c r="U52" i="58887" s="1"/>
  <c r="J52" i="58887" a="1"/>
  <c r="J52" i="58887" s="1"/>
  <c r="I52" i="58887" a="1"/>
  <c r="I52" i="58887" s="1"/>
  <c r="H52" i="58887" a="1"/>
  <c r="H52" i="58887" s="1"/>
  <c r="I61" i="58887" a="1"/>
  <c r="I61" i="58887" s="1"/>
  <c r="K61" i="58887" s="1"/>
  <c r="O61" i="58887" s="1"/>
  <c r="T61" i="58887" s="1" a="1"/>
  <c r="T61" i="58887" s="1"/>
  <c r="H61" i="58887" a="1"/>
  <c r="H61" i="58887" s="1"/>
  <c r="J61" i="58887" a="1"/>
  <c r="J61" i="58887" s="1"/>
  <c r="U61" i="58887" a="1"/>
  <c r="U61" i="58887" s="1"/>
  <c r="H49" i="58887" a="1"/>
  <c r="H49" i="58887" s="1"/>
  <c r="T49" i="58887" a="1"/>
  <c r="T49" i="58887" s="1"/>
  <c r="U49" i="58887" a="1"/>
  <c r="U49" i="58887" s="1"/>
  <c r="J49" i="58887" a="1"/>
  <c r="J49" i="58887" s="1"/>
  <c r="I49" i="58887" a="1"/>
  <c r="I49" i="58887" s="1"/>
  <c r="I96" i="58887" a="1"/>
  <c r="I96" i="58887" s="1"/>
  <c r="U96" i="58887" a="1"/>
  <c r="U96" i="58887" s="1"/>
  <c r="T96" i="58887" a="1"/>
  <c r="T96" i="58887" s="1"/>
  <c r="H96" i="58887" a="1"/>
  <c r="H96" i="58887" s="1"/>
  <c r="J96" i="58887" a="1"/>
  <c r="J96" i="58887" s="1"/>
  <c r="H63" i="58887" a="1"/>
  <c r="H63" i="58887" s="1"/>
  <c r="J63" i="58887" a="1"/>
  <c r="J63" i="58887" s="1"/>
  <c r="L63" i="58887" s="1"/>
  <c r="P63" i="58887" s="1"/>
  <c r="T63" i="58887" a="1"/>
  <c r="T63" i="58887" s="1"/>
  <c r="I63" i="58887" a="1"/>
  <c r="I63" i="58887" s="1"/>
  <c r="J99" i="58887" a="1"/>
  <c r="J99" i="58887" s="1"/>
  <c r="I99" i="58887" a="1"/>
  <c r="I99" i="58887" s="1"/>
  <c r="H99" i="58887" a="1"/>
  <c r="H99" i="58887" s="1"/>
  <c r="T99" i="58887" a="1"/>
  <c r="T99" i="58887" s="1"/>
  <c r="U99" i="58887" a="1"/>
  <c r="U99" i="58887" s="1"/>
  <c r="T68" i="58887" a="1"/>
  <c r="T68" i="58887" s="1"/>
  <c r="J68" i="58887" a="1"/>
  <c r="J68" i="58887" s="1"/>
  <c r="H68" i="58887" a="1"/>
  <c r="H68" i="58887" s="1"/>
  <c r="I68" i="58887" a="1"/>
  <c r="I68" i="58887" s="1"/>
  <c r="J79" i="58887" a="1"/>
  <c r="J79" i="58887" s="1"/>
  <c r="T79" i="58887" a="1"/>
  <c r="T79" i="58887" s="1"/>
  <c r="I79" i="58887" a="1"/>
  <c r="I79" i="58887" s="1"/>
  <c r="H79" i="58887" a="1"/>
  <c r="H79" i="58887" s="1"/>
  <c r="U79" i="58887" a="1"/>
  <c r="U79" i="58887" s="1"/>
  <c r="AB5" i="58884" a="1"/>
  <c r="Z6" i="58887" a="1"/>
  <c r="AI6" i="58885" a="1"/>
  <c r="U97" i="58887" a="1"/>
  <c r="U97" i="58887" s="1"/>
  <c r="I97" i="58887" a="1"/>
  <c r="I97" i="58887" s="1"/>
  <c r="H97" i="58887" a="1"/>
  <c r="H97" i="58887" s="1"/>
  <c r="J97" i="58887" a="1"/>
  <c r="J97" i="58887" s="1"/>
  <c r="T97" i="58887" a="1"/>
  <c r="T97" i="58887" s="1"/>
  <c r="F33" i="58853" a="1"/>
  <c r="F33" i="58853" s="1"/>
  <c r="G33" i="58853" s="1"/>
  <c r="H73" i="58887" a="1"/>
  <c r="H73" i="58887" s="1"/>
  <c r="T73" i="58887" a="1"/>
  <c r="T73" i="58887" s="1"/>
  <c r="J73" i="58887" a="1"/>
  <c r="J73" i="58887" s="1"/>
  <c r="U73" i="58887" a="1"/>
  <c r="U73" i="58887" s="1"/>
  <c r="I73" i="58887" a="1"/>
  <c r="I73" i="58887" s="1"/>
  <c r="J94" i="58887" a="1"/>
  <c r="J94" i="58887" s="1"/>
  <c r="I94" i="58887" a="1"/>
  <c r="I94" i="58887" s="1"/>
  <c r="T94" i="58887" a="1"/>
  <c r="T94" i="58887" s="1"/>
  <c r="U94" i="58887" a="1"/>
  <c r="U94" i="58887" s="1"/>
  <c r="H94" i="58887" a="1"/>
  <c r="H94" i="58887" s="1"/>
  <c r="T84" i="58887" a="1"/>
  <c r="T84" i="58887" s="1"/>
  <c r="I84" i="58887" a="1"/>
  <c r="I84" i="58887" s="1"/>
  <c r="U84" i="58887" a="1"/>
  <c r="U84" i="58887" s="1"/>
  <c r="J84" i="58887" a="1"/>
  <c r="J84" i="58887" s="1"/>
  <c r="H84" i="58887" a="1"/>
  <c r="H84" i="58887" s="1"/>
  <c r="F29" i="58853" a="1"/>
  <c r="F29" i="58853" s="1"/>
  <c r="G29" i="58853" s="1"/>
  <c r="J129" i="58887" a="1"/>
  <c r="J129" i="58887" s="1"/>
  <c r="H129" i="58887" a="1"/>
  <c r="H129" i="58887" s="1"/>
  <c r="T129" i="58887" a="1"/>
  <c r="T129" i="58887" s="1"/>
  <c r="I129" i="58887" a="1"/>
  <c r="I129" i="58887" s="1"/>
  <c r="U129" i="58887" a="1"/>
  <c r="U129" i="58887" s="1"/>
  <c r="U88" i="58887" a="1"/>
  <c r="U88" i="58887" s="1"/>
  <c r="H88" i="58887" a="1"/>
  <c r="H88" i="58887" s="1"/>
  <c r="J88" i="58887" a="1"/>
  <c r="J88" i="58887" s="1"/>
  <c r="I88" i="58887" a="1"/>
  <c r="I88" i="58887" s="1"/>
  <c r="T88" i="58887" a="1"/>
  <c r="T88" i="58887" s="1"/>
  <c r="T124" i="58887" a="1"/>
  <c r="T124" i="58887" s="1"/>
  <c r="U124" i="58887" a="1"/>
  <c r="U124" i="58887" s="1"/>
  <c r="J124" i="58887" a="1"/>
  <c r="J124" i="58887" s="1"/>
  <c r="H124" i="58887" a="1"/>
  <c r="H124" i="58887" s="1"/>
  <c r="I124" i="58887" a="1"/>
  <c r="I124" i="58887" s="1"/>
  <c r="U9" i="58887" a="1"/>
  <c r="U9" i="58887" s="1"/>
  <c r="T9" i="58887" a="1"/>
  <c r="T9" i="58887" s="1"/>
  <c r="H9" i="58887" a="1"/>
  <c r="H9" i="58887" s="1"/>
  <c r="J9" i="58887" a="1"/>
  <c r="J9" i="58887" s="1"/>
  <c r="I9" i="58887" a="1"/>
  <c r="I9" i="58887" s="1"/>
  <c r="J64" i="58887" a="1"/>
  <c r="J64" i="58887" s="1"/>
  <c r="L64" i="58887" s="1"/>
  <c r="P64" i="58887" s="1"/>
  <c r="U64" i="58887" s="1" a="1"/>
  <c r="U64" i="58887" s="1"/>
  <c r="I64" i="58887" a="1"/>
  <c r="I64" i="58887" s="1"/>
  <c r="H64" i="58887" a="1"/>
  <c r="H64" i="58887" s="1"/>
  <c r="T64" i="58887" a="1"/>
  <c r="T64" i="58887" s="1"/>
  <c r="T125" i="58887" a="1"/>
  <c r="T125" i="58887" s="1"/>
  <c r="H125" i="58887" a="1"/>
  <c r="H125" i="58887" s="1"/>
  <c r="J125" i="58887" a="1"/>
  <c r="J125" i="58887" s="1"/>
  <c r="U125" i="58887" a="1"/>
  <c r="U125" i="58887" s="1"/>
  <c r="I125" i="58887" a="1"/>
  <c r="I125" i="58887" s="1"/>
  <c r="J95" i="58887" a="1"/>
  <c r="J95" i="58887" s="1"/>
  <c r="U95" i="58887" a="1"/>
  <c r="U95" i="58887" s="1"/>
  <c r="I95" i="58887" a="1"/>
  <c r="I95" i="58887" s="1"/>
  <c r="T95" i="58887" a="1"/>
  <c r="T95" i="58887" s="1"/>
  <c r="H95" i="58887" a="1"/>
  <c r="H95" i="58887" s="1"/>
  <c r="H109" i="58887" a="1"/>
  <c r="H109" i="58887" s="1"/>
  <c r="J109" i="58887" a="1"/>
  <c r="J109" i="58887" s="1"/>
  <c r="U109" i="58887" a="1"/>
  <c r="U109" i="58887" s="1"/>
  <c r="T109" i="58887" a="1"/>
  <c r="T109" i="58887" s="1"/>
  <c r="I109" i="58887" a="1"/>
  <c r="I109" i="58887" s="1"/>
  <c r="H83" i="58887" a="1"/>
  <c r="H83" i="58887" s="1"/>
  <c r="I83" i="58887" a="1"/>
  <c r="I83" i="58887" s="1"/>
  <c r="U83" i="58887" a="1"/>
  <c r="U83" i="58887" s="1"/>
  <c r="J83" i="58887" a="1"/>
  <c r="J83" i="58887" s="1"/>
  <c r="T83" i="58887" a="1"/>
  <c r="T83" i="58887" s="1"/>
  <c r="I71" i="58887" a="1"/>
  <c r="I71" i="58887" s="1"/>
  <c r="T71" i="58887" a="1"/>
  <c r="T71" i="58887" s="1"/>
  <c r="H71" i="58887" a="1"/>
  <c r="H71" i="58887" s="1"/>
  <c r="U71" i="58887" a="1"/>
  <c r="U71" i="58887" s="1"/>
  <c r="J71" i="58887" a="1"/>
  <c r="J71" i="58887" s="1"/>
  <c r="U121" i="58887" a="1"/>
  <c r="U121" i="58887" s="1"/>
  <c r="T121" i="58887" a="1"/>
  <c r="T121" i="58887" s="1"/>
  <c r="H121" i="58887" a="1"/>
  <c r="H121" i="58887" s="1"/>
  <c r="I121" i="58887" a="1"/>
  <c r="I121" i="58887" s="1"/>
  <c r="J121" i="58887" a="1"/>
  <c r="J121" i="58887" s="1"/>
  <c r="T48" i="58887" a="1"/>
  <c r="T48" i="58887" s="1"/>
  <c r="H48" i="58887" a="1"/>
  <c r="H48" i="58887" s="1"/>
  <c r="J48" i="58887" a="1"/>
  <c r="J48" i="58887" s="1"/>
  <c r="I48" i="58887" a="1"/>
  <c r="I48" i="58887" s="1"/>
  <c r="U87" i="58887" a="1"/>
  <c r="U87" i="58887" s="1"/>
  <c r="T87" i="58887" a="1"/>
  <c r="T87" i="58887" s="1"/>
  <c r="H87" i="58887" a="1"/>
  <c r="H87" i="58887" s="1"/>
  <c r="I87" i="58887" a="1"/>
  <c r="I87" i="58887" s="1"/>
  <c r="J87" i="58887" a="1"/>
  <c r="J87" i="58887" s="1"/>
  <c r="H92" i="58887" a="1"/>
  <c r="H92" i="58887" s="1"/>
  <c r="T92" i="58887" a="1"/>
  <c r="T92" i="58887" s="1"/>
  <c r="I92" i="58887" a="1"/>
  <c r="I92" i="58887" s="1"/>
  <c r="U92" i="58887" a="1"/>
  <c r="U92" i="58887" s="1"/>
  <c r="J92" i="58887" a="1"/>
  <c r="J92" i="58887" s="1"/>
  <c r="U55" i="58887" a="1"/>
  <c r="U55" i="58887" s="1"/>
  <c r="H55" i="58887" a="1"/>
  <c r="H55" i="58887" s="1"/>
  <c r="J55" i="58887" a="1"/>
  <c r="J55" i="58887" s="1"/>
  <c r="T55" i="58887" a="1"/>
  <c r="T55" i="58887" s="1"/>
  <c r="I55" i="58887" a="1"/>
  <c r="I55" i="58887" s="1"/>
  <c r="H50" i="58887" a="1"/>
  <c r="H50" i="58887" s="1"/>
  <c r="T50" i="58887" a="1"/>
  <c r="T50" i="58887" s="1"/>
  <c r="J50" i="58887" a="1"/>
  <c r="J50" i="58887" s="1"/>
  <c r="U50" i="58887" a="1"/>
  <c r="U50" i="58887" s="1"/>
  <c r="I50" i="58887" a="1"/>
  <c r="I50" i="58887" s="1"/>
  <c r="F31" i="58853" a="1"/>
  <c r="F31" i="58853" s="1"/>
  <c r="G31" i="58853" s="1"/>
  <c r="I110" i="58887" a="1"/>
  <c r="I110" i="58887" s="1"/>
  <c r="T110" i="58887" a="1"/>
  <c r="T110" i="58887" s="1"/>
  <c r="U110" i="58887" a="1"/>
  <c r="U110" i="58887" s="1"/>
  <c r="J110" i="58887" a="1"/>
  <c r="J110" i="58887" s="1"/>
  <c r="H110" i="58887" a="1"/>
  <c r="H110" i="58887" s="1"/>
  <c r="J123" i="58887" a="1"/>
  <c r="J123" i="58887" s="1"/>
  <c r="T123" i="58887" a="1"/>
  <c r="T123" i="58887" s="1"/>
  <c r="H123" i="58887" a="1"/>
  <c r="H123" i="58887" s="1"/>
  <c r="U123" i="58887" a="1"/>
  <c r="U123" i="58887" s="1"/>
  <c r="I123" i="58887" a="1"/>
  <c r="I123" i="58887" s="1"/>
  <c r="T118" i="58887" a="1"/>
  <c r="T118" i="58887" s="1"/>
  <c r="I118" i="58887" a="1"/>
  <c r="I118" i="58887" s="1"/>
  <c r="J118" i="58887" a="1"/>
  <c r="J118" i="58887" s="1"/>
  <c r="U118" i="58887" a="1"/>
  <c r="U118" i="58887" s="1"/>
  <c r="H118" i="58887" a="1"/>
  <c r="H118" i="58887" s="1"/>
  <c r="I116" i="58887" a="1"/>
  <c r="I116" i="58887" s="1"/>
  <c r="J116" i="58887" a="1"/>
  <c r="J116" i="58887" s="1"/>
  <c r="U116" i="58887" a="1"/>
  <c r="U116" i="58887" s="1"/>
  <c r="T116" i="58887" a="1"/>
  <c r="T116" i="58887" s="1"/>
  <c r="T89" i="58887" a="1"/>
  <c r="T89" i="58887" s="1"/>
  <c r="J89" i="58887" a="1"/>
  <c r="J89" i="58887" s="1"/>
  <c r="H89" i="58887" a="1"/>
  <c r="H89" i="58887" s="1"/>
  <c r="U89" i="58887" a="1"/>
  <c r="U89" i="58887" s="1"/>
  <c r="I89" i="58887" a="1"/>
  <c r="I89" i="58887" s="1"/>
  <c r="T115" i="58887" a="1"/>
  <c r="T115" i="58887" s="1"/>
  <c r="U115" i="58887" a="1"/>
  <c r="U115" i="58887" s="1"/>
  <c r="H115" i="58887" a="1"/>
  <c r="H115" i="58887" s="1"/>
  <c r="I115" i="58887" a="1"/>
  <c r="I115" i="58887" s="1"/>
  <c r="J115" i="58887" a="1"/>
  <c r="J115" i="58887" s="1"/>
  <c r="H86" i="58887" a="1"/>
  <c r="H86" i="58887" s="1"/>
  <c r="T86" i="58887" a="1"/>
  <c r="T86" i="58887" s="1"/>
  <c r="I86" i="58887" a="1"/>
  <c r="I86" i="58887" s="1"/>
  <c r="J86" i="58887" a="1"/>
  <c r="J86" i="58887" s="1"/>
  <c r="U86" i="58887" a="1"/>
  <c r="U86" i="58887" s="1"/>
  <c r="J53" i="58887" a="1"/>
  <c r="J53" i="58887" s="1"/>
  <c r="I53" i="58887" a="1"/>
  <c r="I53" i="58887" s="1"/>
  <c r="H53" i="58887" a="1"/>
  <c r="H53" i="58887" s="1"/>
  <c r="T53" i="58887" a="1"/>
  <c r="T53" i="58887" s="1"/>
  <c r="U53" i="58887" a="1"/>
  <c r="U53" i="58887" s="1"/>
  <c r="I60" i="58887" a="1"/>
  <c r="I60" i="58887" s="1"/>
  <c r="J60" i="58887" a="1"/>
  <c r="J60" i="58887" s="1"/>
  <c r="T60" i="58887" a="1"/>
  <c r="T60" i="58887" s="1"/>
  <c r="U60" i="58887" a="1"/>
  <c r="U60" i="58887" s="1"/>
  <c r="J128" i="58887" a="1"/>
  <c r="J128" i="58887" s="1"/>
  <c r="T128" i="58887" a="1"/>
  <c r="T128" i="58887" s="1"/>
  <c r="I128" i="58887" a="1"/>
  <c r="I128" i="58887" s="1"/>
  <c r="H128" i="58887" a="1"/>
  <c r="H128" i="58887" s="1"/>
  <c r="U128" i="58887" a="1"/>
  <c r="U128" i="58887" s="1"/>
  <c r="G7" i="58837" a="1"/>
  <c r="G7" i="58837" s="1"/>
  <c r="G9" i="58837" a="1"/>
  <c r="G9" i="58837" s="1"/>
  <c r="D5" i="58837" a="1"/>
  <c r="D5" i="58837" s="1"/>
  <c r="C5" i="58837" s="1"/>
  <c r="D13" i="58837" a="1"/>
  <c r="D13" i="58837" s="1"/>
  <c r="C13" i="58837" s="1"/>
  <c r="D8" i="58837" a="1"/>
  <c r="D8" i="58837" s="1"/>
  <c r="C8" i="58837" s="1"/>
  <c r="G15" i="58837" a="1"/>
  <c r="G15" i="58837" s="1"/>
  <c r="G12" i="58837" a="1"/>
  <c r="G12" i="58837" s="1"/>
  <c r="D12" i="58837" a="1"/>
  <c r="D12" i="58837" s="1"/>
  <c r="C12" i="58837" s="1"/>
  <c r="G11" i="58837" a="1"/>
  <c r="G11" i="58837" s="1"/>
  <c r="D10" i="58837" a="1"/>
  <c r="D10" i="58837" s="1"/>
  <c r="C10" i="58837" s="1"/>
  <c r="G8" i="58837" a="1"/>
  <c r="G8" i="58837" s="1"/>
  <c r="D57" i="58837" a="1"/>
  <c r="D57" i="58837" s="1"/>
  <c r="G16" i="58837" a="1"/>
  <c r="G16" i="58837" s="1"/>
  <c r="D4" i="58837" a="1"/>
  <c r="D4" i="58837" s="1"/>
  <c r="D19" i="58837" a="1"/>
  <c r="D19" i="58837" s="1"/>
  <c r="E23" i="33" s="1"/>
  <c r="D9" i="58837" a="1"/>
  <c r="D9" i="58837" s="1"/>
  <c r="C9" i="58837" s="1"/>
  <c r="D6" i="58837" a="1"/>
  <c r="D6" i="58837" s="1"/>
  <c r="C6" i="58837" s="1"/>
  <c r="G5" i="58837" a="1"/>
  <c r="G5" i="58837" s="1"/>
  <c r="D7" i="58837" a="1"/>
  <c r="D7" i="58837" s="1"/>
  <c r="C7" i="58837" s="1"/>
  <c r="G13" i="58837" a="1"/>
  <c r="G13" i="58837" s="1"/>
  <c r="B2" i="58837" a="1"/>
  <c r="B2" i="58837" s="1"/>
  <c r="G10" i="58837" a="1"/>
  <c r="G10" i="58837" s="1"/>
  <c r="G6" i="58837" a="1"/>
  <c r="G6" i="58837" s="1"/>
  <c r="D11" i="58837" a="1"/>
  <c r="D11" i="58837" s="1"/>
  <c r="C11" i="58837" s="1"/>
  <c r="G4" i="58837" a="1"/>
  <c r="G4" i="58837" s="1"/>
  <c r="J112" i="58887" a="1"/>
  <c r="J112" i="58887" s="1"/>
  <c r="I112" i="58887" a="1"/>
  <c r="I112" i="58887" s="1"/>
  <c r="T112" i="58887" a="1"/>
  <c r="T112" i="58887" s="1"/>
  <c r="U112" i="58887" a="1"/>
  <c r="U112" i="58887" s="1"/>
  <c r="H112" i="58887" a="1"/>
  <c r="H112" i="58887" s="1"/>
  <c r="I77" i="58887" a="1"/>
  <c r="I77" i="58887" s="1"/>
  <c r="H77" i="58887" a="1"/>
  <c r="H77" i="58887" s="1"/>
  <c r="J77" i="58887" a="1"/>
  <c r="J77" i="58887" s="1"/>
  <c r="U77" i="58887" a="1"/>
  <c r="U77" i="58887" s="1"/>
  <c r="T77" i="58887" a="1"/>
  <c r="T77" i="58887" s="1"/>
  <c r="J74" i="58887" a="1"/>
  <c r="J74" i="58887" s="1"/>
  <c r="H74" i="58887" a="1"/>
  <c r="H74" i="58887" s="1"/>
  <c r="I74" i="58887" a="1"/>
  <c r="I74" i="58887" s="1"/>
  <c r="U74" i="58887" a="1"/>
  <c r="U74" i="58887" s="1"/>
  <c r="T74" i="58887" a="1"/>
  <c r="T74" i="58887" s="1"/>
  <c r="I72" i="58887" a="1"/>
  <c r="I72" i="58887" s="1"/>
  <c r="H72" i="58887" a="1"/>
  <c r="H72" i="58887" s="1"/>
  <c r="T72" i="58887" a="1"/>
  <c r="T72" i="58887" s="1"/>
  <c r="J72" i="58887" a="1"/>
  <c r="J72" i="58887" s="1"/>
  <c r="U72" i="58887" a="1"/>
  <c r="U72" i="58887" s="1"/>
  <c r="I114" i="58887" a="1"/>
  <c r="I114" i="58887" s="1"/>
  <c r="J114" i="58887" a="1"/>
  <c r="J114" i="58887" s="1"/>
  <c r="T114" i="58887" a="1"/>
  <c r="T114" i="58887" s="1"/>
  <c r="U114" i="58887" a="1"/>
  <c r="U114" i="58887" s="1"/>
  <c r="H114" i="58887" a="1"/>
  <c r="H114" i="58887" s="1"/>
  <c r="J85" i="58887" a="1"/>
  <c r="J85" i="58887" s="1"/>
  <c r="H85" i="58887" a="1"/>
  <c r="H85" i="58887" s="1"/>
  <c r="T85" i="58887" a="1"/>
  <c r="T85" i="58887" s="1"/>
  <c r="I85" i="58887" a="1"/>
  <c r="I85" i="58887" s="1"/>
  <c r="U85" i="58887" a="1"/>
  <c r="U85" i="58887" s="1"/>
  <c r="F32" i="58853" a="1"/>
  <c r="F32" i="58853" s="1"/>
  <c r="G32" i="58853" s="1"/>
  <c r="U91" i="58887" a="1"/>
  <c r="U91" i="58887" s="1"/>
  <c r="I91" i="58887" a="1"/>
  <c r="I91" i="58887" s="1"/>
  <c r="T91" i="58887" a="1"/>
  <c r="T91" i="58887" s="1"/>
  <c r="J91" i="58887" a="1"/>
  <c r="J91" i="58887" s="1"/>
  <c r="H91" i="58887" a="1"/>
  <c r="H91" i="58887" s="1"/>
  <c r="I82" i="58887" a="1"/>
  <c r="I82" i="58887" s="1"/>
  <c r="T82" i="58887" a="1"/>
  <c r="T82" i="58887" s="1"/>
  <c r="H82" i="58887" a="1"/>
  <c r="H82" i="58887" s="1"/>
  <c r="J82" i="58887" a="1"/>
  <c r="J82" i="58887" s="1"/>
  <c r="U82" i="58887" a="1"/>
  <c r="U82" i="58887" s="1"/>
  <c r="U76" i="58887" a="1"/>
  <c r="U76" i="58887" s="1"/>
  <c r="T76" i="58887" a="1"/>
  <c r="T76" i="58887" s="1"/>
  <c r="J76" i="58887" a="1"/>
  <c r="J76" i="58887" s="1"/>
  <c r="H76" i="58887" a="1"/>
  <c r="H76" i="58887" s="1"/>
  <c r="I76" i="58887" a="1"/>
  <c r="I76" i="58887" s="1"/>
  <c r="F53" i="58837" a="1"/>
  <c r="F53" i="58837" s="1"/>
  <c r="F39" i="58853" a="1"/>
  <c r="F39" i="58853" s="1"/>
  <c r="G39" i="58853" s="1"/>
  <c r="F51" i="58837" a="1"/>
  <c r="F51" i="58837" s="1"/>
  <c r="F44" i="58837" a="1"/>
  <c r="F44" i="58837" s="1"/>
  <c r="F25" i="58837" a="1"/>
  <c r="F25" i="58837" s="1"/>
  <c r="F27" i="58837" a="1"/>
  <c r="F27" i="58837" s="1"/>
  <c r="J5" i="58887" a="1"/>
  <c r="J5" i="58887" s="1"/>
  <c r="F46" i="58837" a="1"/>
  <c r="F46" i="58837" s="1"/>
  <c r="F23" i="58837" a="1"/>
  <c r="F23" i="58837" s="1"/>
  <c r="F43" i="58837" a="1"/>
  <c r="F43" i="58837" s="1"/>
  <c r="U5" i="58887" a="1"/>
  <c r="U5" i="58887" s="1"/>
  <c r="F29" i="58837" a="1"/>
  <c r="F29" i="58837" s="1"/>
  <c r="I5" i="58887" a="1"/>
  <c r="I5" i="58887" s="1"/>
  <c r="F30" i="58837" a="1"/>
  <c r="F30" i="58837" s="1"/>
  <c r="F28" i="58837" a="1"/>
  <c r="F28" i="58837" s="1"/>
  <c r="F35" i="58837" a="1"/>
  <c r="F35" i="58837" s="1"/>
  <c r="F50" i="58837" a="1"/>
  <c r="F50" i="58837" s="1"/>
  <c r="F26" i="58837" a="1"/>
  <c r="F26" i="58837" s="1"/>
  <c r="F31" i="58837" a="1"/>
  <c r="F31" i="58837" s="1"/>
  <c r="F42" i="58837" a="1"/>
  <c r="F42" i="58837" s="1"/>
  <c r="F48" i="58837" a="1"/>
  <c r="F48" i="58837" s="1"/>
  <c r="F34" i="58837" a="1"/>
  <c r="F34" i="58837" s="1"/>
  <c r="T5" i="58887" a="1"/>
  <c r="T5" i="58887" s="1"/>
  <c r="F47" i="58837" a="1"/>
  <c r="F47" i="58837" s="1"/>
  <c r="F33" i="58837" a="1"/>
  <c r="F33" i="58837" s="1"/>
  <c r="F49" i="58837" a="1"/>
  <c r="F49" i="58837" s="1"/>
  <c r="F54" i="58837" a="1"/>
  <c r="F54" i="58837" s="1"/>
  <c r="F45" i="58837" a="1"/>
  <c r="F45" i="58837" s="1"/>
  <c r="F24" i="58837" a="1"/>
  <c r="F24" i="58837" s="1"/>
  <c r="F32" i="58837" a="1"/>
  <c r="F32" i="58837" s="1"/>
  <c r="F52" i="58837" a="1"/>
  <c r="F52" i="58837" s="1"/>
  <c r="F30" i="58853" a="1"/>
  <c r="F30" i="58853" s="1"/>
  <c r="G30" i="58853" s="1"/>
  <c r="I127" i="58887" a="1"/>
  <c r="I127" i="58887" s="1"/>
  <c r="H127" i="58887" a="1"/>
  <c r="H127" i="58887" s="1"/>
  <c r="T127" i="58887" a="1"/>
  <c r="T127" i="58887" s="1"/>
  <c r="U127" i="58887" a="1"/>
  <c r="U127" i="58887" s="1"/>
  <c r="J127" i="58887" a="1"/>
  <c r="J127" i="58887" s="1"/>
  <c r="U65" i="58887" a="1"/>
  <c r="U65" i="58887" s="1"/>
  <c r="T65" i="58887" a="1"/>
  <c r="T65" i="58887" s="1"/>
  <c r="I65" i="58887" a="1"/>
  <c r="I65" i="58887" s="1"/>
  <c r="J65" i="58887" a="1"/>
  <c r="J65" i="58887" s="1"/>
  <c r="H65" i="58887" a="1"/>
  <c r="H65" i="58887" s="1"/>
  <c r="U66" i="58887" a="1"/>
  <c r="U66" i="58887" s="1"/>
  <c r="H66" i="58887" a="1"/>
  <c r="H66" i="58887" s="1"/>
  <c r="I66" i="58887" a="1"/>
  <c r="I66" i="58887" s="1"/>
  <c r="T66" i="58887" a="1"/>
  <c r="T66" i="58887" s="1"/>
  <c r="J66" i="58887" a="1"/>
  <c r="J66" i="58887" s="1"/>
  <c r="I111" i="58887" a="1"/>
  <c r="I111" i="58887" s="1"/>
  <c r="J111" i="58887" a="1"/>
  <c r="J111" i="58887" s="1"/>
  <c r="U111" i="58887" a="1"/>
  <c r="U111" i="58887" s="1"/>
  <c r="T111" i="58887" a="1"/>
  <c r="T111" i="58887" s="1"/>
  <c r="H111" i="58887" a="1"/>
  <c r="H111" i="58887" s="1"/>
  <c r="T62" i="58887" a="1"/>
  <c r="T62" i="58887" s="1"/>
  <c r="H62" i="58887" a="1"/>
  <c r="H62" i="58887" s="1"/>
  <c r="J62" i="58887" a="1"/>
  <c r="J62" i="58887" s="1"/>
  <c r="L62" i="58887" s="1"/>
  <c r="P62" i="58887" s="1"/>
  <c r="U62" i="58887" s="1" a="1"/>
  <c r="U62" i="58887" s="1"/>
  <c r="I62" i="58887" a="1"/>
  <c r="I62" i="58887" s="1"/>
  <c r="I93" i="58887" a="1"/>
  <c r="I93" i="58887" s="1"/>
  <c r="T93" i="58887" a="1"/>
  <c r="T93" i="58887" s="1"/>
  <c r="J93" i="58887" a="1"/>
  <c r="J93" i="58887" s="1"/>
  <c r="H93" i="58887" a="1"/>
  <c r="H93" i="58887" s="1"/>
  <c r="U93" i="58887" a="1"/>
  <c r="U93" i="58887" s="1"/>
  <c r="I100" i="58887" a="1"/>
  <c r="I100" i="58887" s="1"/>
  <c r="H100" i="58887" a="1"/>
  <c r="H100" i="58887" s="1"/>
  <c r="U100" i="58887" a="1"/>
  <c r="U100" i="58887" s="1"/>
  <c r="J100" i="58887" a="1"/>
  <c r="J100" i="58887" s="1"/>
  <c r="T100" i="58887" a="1"/>
  <c r="T100" i="58887" s="1"/>
  <c r="I80" i="58887" a="1"/>
  <c r="I80" i="58887" s="1"/>
  <c r="U80" i="58887" a="1"/>
  <c r="U80" i="58887" s="1"/>
  <c r="T80" i="58887" a="1"/>
  <c r="T80" i="58887" s="1"/>
  <c r="J80" i="58887" a="1"/>
  <c r="J80" i="58887" s="1"/>
  <c r="H80" i="58887" a="1"/>
  <c r="H80" i="58887" s="1"/>
  <c r="J58" i="58887" a="1"/>
  <c r="J58" i="58887" s="1"/>
  <c r="T58" i="58887" a="1"/>
  <c r="T58" i="58887" s="1"/>
  <c r="H58" i="58887" a="1"/>
  <c r="H58" i="58887" s="1"/>
  <c r="I58" i="58887" a="1"/>
  <c r="I58" i="58887" s="1"/>
  <c r="U58" i="58887" a="1"/>
  <c r="U58" i="58887" s="1"/>
  <c r="J126" i="58887" a="1"/>
  <c r="J126" i="58887" s="1"/>
  <c r="I126" i="58887" a="1"/>
  <c r="I126" i="58887" s="1"/>
  <c r="U126" i="58887" a="1"/>
  <c r="U126" i="58887" s="1"/>
  <c r="T126" i="58887" a="1"/>
  <c r="T126" i="58887" s="1"/>
  <c r="T69" i="58887" a="1"/>
  <c r="T69" i="58887" s="1"/>
  <c r="J69" i="58887" a="1"/>
  <c r="J69" i="58887" s="1"/>
  <c r="I69" i="58887" a="1"/>
  <c r="I69" i="58887" s="1"/>
  <c r="H69" i="58887" a="1"/>
  <c r="H69" i="58887" s="1"/>
  <c r="U69" i="58887" a="1"/>
  <c r="U69" i="58887" s="1"/>
  <c r="H102" i="58887" a="1"/>
  <c r="H102" i="58887" s="1"/>
  <c r="J102" i="58887" a="1"/>
  <c r="J102" i="58887" s="1"/>
  <c r="T102" i="58887" a="1"/>
  <c r="T102" i="58887" s="1"/>
  <c r="I102" i="58887" a="1"/>
  <c r="I102" i="58887" s="1"/>
  <c r="U102" i="58887" a="1"/>
  <c r="U102" i="58887" s="1"/>
  <c r="I78" i="58887" a="1"/>
  <c r="I78" i="58887" s="1"/>
  <c r="T78" i="58887" a="1"/>
  <c r="T78" i="58887" s="1"/>
  <c r="J78" i="58887" a="1"/>
  <c r="J78" i="58887" s="1"/>
  <c r="H78" i="58887" a="1"/>
  <c r="H78" i="58887" s="1"/>
  <c r="U78" i="58887" a="1"/>
  <c r="U78" i="58887" s="1"/>
  <c r="U90" i="58887" a="1"/>
  <c r="U90" i="58887" s="1"/>
  <c r="J90" i="58887" a="1"/>
  <c r="J90" i="58887" s="1"/>
  <c r="I90" i="58887" a="1"/>
  <c r="I90" i="58887" s="1"/>
  <c r="H90" i="58887" a="1"/>
  <c r="H90" i="58887" s="1"/>
  <c r="T90" i="58887" a="1"/>
  <c r="T90" i="58887" s="1"/>
  <c r="I8" i="58887" a="1"/>
  <c r="I8" i="58887" s="1"/>
  <c r="H8" i="58887" a="1"/>
  <c r="H8" i="58887" s="1"/>
  <c r="T8" i="58887" a="1"/>
  <c r="T8" i="58887" s="1"/>
  <c r="U8" i="58887" a="1"/>
  <c r="U8" i="58887" s="1"/>
  <c r="J8" i="58887" a="1"/>
  <c r="J8" i="58887" s="1"/>
  <c r="T101" i="58887" a="1"/>
  <c r="T101" i="58887" s="1"/>
  <c r="H101" i="58887" a="1"/>
  <c r="H101" i="58887" s="1"/>
  <c r="J101" i="58887" a="1"/>
  <c r="J101" i="58887" s="1"/>
  <c r="U101" i="58887" a="1"/>
  <c r="U101" i="58887" s="1"/>
  <c r="I101" i="58887" a="1"/>
  <c r="I101" i="58887" s="1"/>
  <c r="T56" i="58887" a="1"/>
  <c r="T56" i="58887" s="1"/>
  <c r="I56" i="58887" a="1"/>
  <c r="I56" i="58887" s="1"/>
  <c r="J56" i="58887" a="1"/>
  <c r="J56" i="58887" s="1"/>
  <c r="H56" i="58887" a="1"/>
  <c r="H56" i="58887" s="1"/>
  <c r="U56" i="58887" a="1"/>
  <c r="U56" i="58887" s="1"/>
  <c r="H119" i="58887" a="1"/>
  <c r="H119" i="58887" s="1"/>
  <c r="I119" i="58887" a="1"/>
  <c r="I119" i="58887" s="1"/>
  <c r="J119" i="58887" a="1"/>
  <c r="J119" i="58887" s="1"/>
  <c r="U119" i="58887" a="1"/>
  <c r="U119" i="58887" s="1"/>
  <c r="T119" i="58887" a="1"/>
  <c r="T119" i="58887" s="1"/>
  <c r="I59" i="58887" a="1"/>
  <c r="I59" i="58887" s="1"/>
  <c r="U59" i="58887" a="1"/>
  <c r="U59" i="58887" s="1"/>
  <c r="H59" i="58887" a="1"/>
  <c r="H59" i="58887" s="1"/>
  <c r="T59" i="58887" a="1"/>
  <c r="T59" i="58887" s="1"/>
  <c r="J59" i="58887" a="1"/>
  <c r="J59" i="58887" s="1"/>
  <c r="U120" i="58887" a="1"/>
  <c r="U120" i="58887" s="1"/>
  <c r="H120" i="58887" a="1"/>
  <c r="H120" i="58887" s="1"/>
  <c r="J120" i="58887" a="1"/>
  <c r="J120" i="58887" s="1"/>
  <c r="I120" i="58887" a="1"/>
  <c r="I120" i="58887" s="1"/>
  <c r="T120" i="58887" a="1"/>
  <c r="T120" i="58887" s="1"/>
  <c r="U103" i="58887" a="1"/>
  <c r="U103" i="58887" s="1"/>
  <c r="H103" i="58887" a="1"/>
  <c r="H103" i="58887" s="1"/>
  <c r="J103" i="58887" a="1"/>
  <c r="J103" i="58887" s="1"/>
  <c r="T103" i="58887" a="1"/>
  <c r="T103" i="58887" s="1"/>
  <c r="I103" i="58887" a="1"/>
  <c r="I103" i="58887" s="1"/>
  <c r="I6" i="58887" a="1"/>
  <c r="I6" i="58887" s="1"/>
  <c r="K6" i="58887" s="1"/>
  <c r="J6" i="58887" a="1"/>
  <c r="J6" i="58887" s="1"/>
  <c r="U6" i="58887" a="1"/>
  <c r="U6" i="58887" s="1"/>
  <c r="H6" i="58887" a="1"/>
  <c r="H6" i="58887" s="1"/>
  <c r="J7" i="58887" a="1"/>
  <c r="J7" i="58887" s="1"/>
  <c r="H7" i="58887" a="1"/>
  <c r="H7" i="58887" s="1"/>
  <c r="U7" i="58887" a="1"/>
  <c r="U7" i="58887" s="1"/>
  <c r="I7" i="58887" a="1"/>
  <c r="I7" i="58887" s="1"/>
  <c r="T104" i="58887" a="1"/>
  <c r="T104" i="58887" s="1"/>
  <c r="I104" i="58887" a="1"/>
  <c r="I104" i="58887" s="1"/>
  <c r="H104" i="58887" a="1"/>
  <c r="H104" i="58887" s="1"/>
  <c r="U104" i="58887" a="1"/>
  <c r="U104" i="58887" s="1"/>
  <c r="J104" i="58887" a="1"/>
  <c r="J104" i="58887" s="1"/>
  <c r="T47" i="58887" a="1"/>
  <c r="T47" i="58887" s="1"/>
  <c r="J47" i="58887" a="1"/>
  <c r="J47" i="58887" s="1"/>
  <c r="H47" i="58887" a="1"/>
  <c r="H47" i="58887" s="1"/>
  <c r="I47" i="58887" a="1"/>
  <c r="I47" i="58887" s="1"/>
  <c r="J107" i="58887" a="1"/>
  <c r="J107" i="58887" s="1"/>
  <c r="I107" i="58887" a="1"/>
  <c r="I107" i="58887" s="1"/>
  <c r="T107" i="58887" a="1"/>
  <c r="T107" i="58887" s="1"/>
  <c r="H107" i="58887" a="1"/>
  <c r="H107" i="58887" s="1"/>
  <c r="U107" i="58887" a="1"/>
  <c r="U107" i="58887" s="1"/>
  <c r="T117" i="58887" a="1"/>
  <c r="T117" i="58887" s="1"/>
  <c r="I117" i="58887" a="1"/>
  <c r="I117" i="58887" s="1"/>
  <c r="J117" i="58887" a="1"/>
  <c r="J117" i="58887" s="1"/>
  <c r="H117" i="58887" a="1"/>
  <c r="H117" i="58887" s="1"/>
  <c r="U117" i="58887" a="1"/>
  <c r="U117" i="58887" s="1"/>
  <c r="J122" i="58887" a="1"/>
  <c r="J122" i="58887" s="1"/>
  <c r="I122" i="58887" a="1"/>
  <c r="I122" i="58887" s="1"/>
  <c r="H122" i="58887" a="1"/>
  <c r="H122" i="58887" s="1"/>
  <c r="T122" i="58887" a="1"/>
  <c r="T122" i="58887" s="1"/>
  <c r="U122" i="58887" a="1"/>
  <c r="U122" i="58887" s="1"/>
  <c r="I57" i="58887" a="1"/>
  <c r="I57" i="58887" s="1"/>
  <c r="H57" i="58887" a="1"/>
  <c r="H57" i="58887" s="1"/>
  <c r="U57" i="58887" a="1"/>
  <c r="U57" i="58887" s="1"/>
  <c r="J57" i="58887" a="1"/>
  <c r="J57" i="58887" s="1"/>
  <c r="T57" i="58887" a="1"/>
  <c r="T57" i="58887" s="1"/>
  <c r="U105" i="58887" a="1"/>
  <c r="U105" i="58887" s="1"/>
  <c r="J105" i="58887" a="1"/>
  <c r="J105" i="58887" s="1"/>
  <c r="H105" i="58887" a="1"/>
  <c r="H105" i="58887" s="1"/>
  <c r="I105" i="58887" a="1"/>
  <c r="I105" i="58887" s="1"/>
  <c r="T105" i="58887" a="1"/>
  <c r="T105" i="58887" s="1"/>
  <c r="I108" i="58887" a="1"/>
  <c r="I108" i="58887" s="1"/>
  <c r="H108" i="58887" a="1"/>
  <c r="H108" i="58887" s="1"/>
  <c r="U108" i="58887" a="1"/>
  <c r="U108" i="58887" s="1"/>
  <c r="J108" i="58887" a="1"/>
  <c r="J108" i="58887" s="1"/>
  <c r="T108" i="58887" a="1"/>
  <c r="T108" i="58887" s="1"/>
  <c r="J75" i="58887" a="1"/>
  <c r="J75" i="58887" s="1"/>
  <c r="U75" i="58887" a="1"/>
  <c r="U75" i="58887" s="1"/>
  <c r="T75" i="58887" a="1"/>
  <c r="T75" i="58887" s="1"/>
  <c r="I75" i="58887" a="1"/>
  <c r="I75" i="58887" s="1"/>
  <c r="H75" i="58887" a="1"/>
  <c r="H75" i="58887" s="1"/>
  <c r="T70" i="58887" a="1"/>
  <c r="T70" i="58887" s="1"/>
  <c r="J70" i="58887" a="1"/>
  <c r="J70" i="58887" s="1"/>
  <c r="H70" i="58887" a="1"/>
  <c r="H70" i="58887" s="1"/>
  <c r="U70" i="58887" a="1"/>
  <c r="U70" i="58887" s="1"/>
  <c r="I70" i="58887" a="1"/>
  <c r="I70" i="58887" s="1"/>
  <c r="T81" i="58887" a="1"/>
  <c r="T81" i="58887" s="1"/>
  <c r="I81" i="58887" a="1"/>
  <c r="I81" i="58887" s="1"/>
  <c r="H81" i="58887" a="1"/>
  <c r="H81" i="58887" s="1"/>
  <c r="J81" i="58887" a="1"/>
  <c r="J81" i="58887" s="1"/>
  <c r="U81" i="58887" a="1"/>
  <c r="U81" i="58887" s="1"/>
  <c r="J54" i="58887" a="1"/>
  <c r="J54" i="58887" s="1"/>
  <c r="I54" i="58887" a="1"/>
  <c r="I54" i="58887" s="1"/>
  <c r="T54" i="58887" a="1"/>
  <c r="T54" i="58887" s="1"/>
  <c r="U54" i="58887" a="1"/>
  <c r="U54" i="58887" s="1"/>
  <c r="H54" i="58887" a="1"/>
  <c r="H54" i="58887" s="1"/>
  <c r="I67" i="58887" a="1"/>
  <c r="I67" i="58887" s="1"/>
  <c r="H67" i="58887" a="1"/>
  <c r="H67" i="58887" s="1"/>
  <c r="T67" i="58887" a="1"/>
  <c r="T67" i="58887" s="1"/>
  <c r="U67" i="58887" a="1"/>
  <c r="U67" i="58887" s="1"/>
  <c r="J67" i="58887" a="1"/>
  <c r="J67" i="58887" s="1"/>
  <c r="T98" i="58887" a="1"/>
  <c r="T98" i="58887" s="1"/>
  <c r="H98" i="58887" a="1"/>
  <c r="H98" i="58887" s="1"/>
  <c r="U98" i="58887" a="1"/>
  <c r="U98" i="58887" s="1"/>
  <c r="J98" i="58887" a="1"/>
  <c r="J98" i="58887" s="1"/>
  <c r="I98" i="58887" a="1"/>
  <c r="I98" i="58887" s="1"/>
  <c r="BM5" i="58839" l="1"/>
  <c r="BL56" i="58839"/>
  <c r="N5" i="58839"/>
  <c r="M56" i="58839"/>
  <c r="M59" i="58887"/>
  <c r="L68" i="58887"/>
  <c r="P68" i="58887" s="1"/>
  <c r="E35" i="58837" a="1"/>
  <c r="E35" i="58837" s="1"/>
  <c r="C35" i="58837" s="1"/>
  <c r="H35" i="58837"/>
  <c r="E54" i="58837" a="1"/>
  <c r="E54" i="58837" s="1"/>
  <c r="C54" i="58837" s="1"/>
  <c r="H54" i="58837"/>
  <c r="H48" i="58837"/>
  <c r="E48" i="58837" a="1"/>
  <c r="E48" i="58837" s="1"/>
  <c r="E30" i="58837" a="1"/>
  <c r="E30" i="58837" s="1"/>
  <c r="H30" i="58837"/>
  <c r="F6" i="58837" a="1"/>
  <c r="F6" i="58837" s="1"/>
  <c r="E6" i="58837" s="1" a="1"/>
  <c r="E6" i="58837" s="1"/>
  <c r="AI6" i="58885"/>
  <c r="AR7" i="58885" a="1"/>
  <c r="AR7" i="58885" s="1"/>
  <c r="FP9" i="58885"/>
  <c r="BH7" i="58885" a="1"/>
  <c r="BH7" i="58885" s="1"/>
  <c r="AL7" i="58885" a="1"/>
  <c r="AL7" i="58885" s="1"/>
  <c r="FQ9" i="58885" s="1" a="1"/>
  <c r="FQ9" i="58885" s="1"/>
  <c r="U63" i="58887" a="1"/>
  <c r="U63" i="58887" s="1"/>
  <c r="M61" i="58887"/>
  <c r="E49" i="58837" a="1"/>
  <c r="E49" i="58837" s="1"/>
  <c r="H49" i="58837"/>
  <c r="E42" i="58837" a="1"/>
  <c r="E42" i="58837" s="1"/>
  <c r="E57" i="58837" s="1"/>
  <c r="H42" i="58837"/>
  <c r="F57" i="58837"/>
  <c r="H27" i="58837"/>
  <c r="E27" i="58837" a="1"/>
  <c r="E27" i="58837" s="1"/>
  <c r="F10" i="58837" a="1"/>
  <c r="F10" i="58837" s="1"/>
  <c r="E10" i="58837" s="1" a="1"/>
  <c r="E10" i="58837" s="1"/>
  <c r="F12" i="58837" a="1"/>
  <c r="F12" i="58837" s="1"/>
  <c r="E12" i="58837" s="1" a="1"/>
  <c r="E12" i="58837" s="1"/>
  <c r="Z6" i="58887"/>
  <c r="E31" i="58837" a="1"/>
  <c r="E31" i="58837" s="1"/>
  <c r="H31" i="58837"/>
  <c r="E25" i="58837" a="1"/>
  <c r="E25" i="58837" s="1"/>
  <c r="H25" i="58837"/>
  <c r="F15" i="58837" a="1"/>
  <c r="F15" i="58837" s="1"/>
  <c r="E15" i="58837" s="1" a="1"/>
  <c r="E15" i="58837" s="1"/>
  <c r="K7" i="58887"/>
  <c r="O7" i="58887" s="1"/>
  <c r="O6" i="58887"/>
  <c r="E52" i="58837" a="1"/>
  <c r="E52" i="58837" s="1"/>
  <c r="H52" i="58837"/>
  <c r="E26" i="58837" a="1"/>
  <c r="E26" i="58837" s="1"/>
  <c r="H26" i="58837"/>
  <c r="E29" i="58837" a="1"/>
  <c r="E29" i="58837" s="1"/>
  <c r="H29" i="58837"/>
  <c r="H44" i="58837"/>
  <c r="E44" i="58837" a="1"/>
  <c r="E44" i="58837" s="1"/>
  <c r="F13" i="58837" a="1"/>
  <c r="F13" i="58837" s="1"/>
  <c r="E13" i="58837" s="1" a="1"/>
  <c r="E13" i="58837" s="1"/>
  <c r="F16" i="58837" a="1"/>
  <c r="F16" i="58837" s="1"/>
  <c r="E16" i="58837" s="1" a="1"/>
  <c r="E16" i="58837" s="1"/>
  <c r="C16" i="58837" s="1"/>
  <c r="CR6" i="58884" a="1"/>
  <c r="CR6" i="58884" s="1"/>
  <c r="AE6" i="58884" a="1"/>
  <c r="AE6" i="58884" s="1"/>
  <c r="BL6" i="58884" a="1"/>
  <c r="BL6" i="58884" s="1"/>
  <c r="AB5" i="58884"/>
  <c r="L47" i="58887"/>
  <c r="M47" i="58887" s="1"/>
  <c r="H32" i="58837"/>
  <c r="E32" i="58837" a="1"/>
  <c r="E32" i="58837" s="1"/>
  <c r="H33" i="58837"/>
  <c r="E33" i="58837" a="1"/>
  <c r="E33" i="58837" s="1"/>
  <c r="E50" i="58837" a="1"/>
  <c r="E50" i="58837" s="1"/>
  <c r="H50" i="58837"/>
  <c r="H51" i="58837"/>
  <c r="E51" i="58837" a="1"/>
  <c r="E51" i="58837" s="1"/>
  <c r="F5" i="58837" a="1"/>
  <c r="F5" i="58837" s="1"/>
  <c r="E5" i="58837" s="1" a="1"/>
  <c r="E5" i="58837" s="1"/>
  <c r="F8" i="58837" a="1"/>
  <c r="F8" i="58837" s="1"/>
  <c r="E8" i="58837" s="1" a="1"/>
  <c r="E8" i="58837" s="1"/>
  <c r="H28" i="58837"/>
  <c r="E28" i="58837" a="1"/>
  <c r="E28" i="58837" s="1"/>
  <c r="F38" i="58837"/>
  <c r="E23" i="58837" a="1"/>
  <c r="E23" i="58837" s="1"/>
  <c r="E38" i="58837" s="1"/>
  <c r="H23" i="58837"/>
  <c r="E53" i="58837" a="1"/>
  <c r="E53" i="58837" s="1"/>
  <c r="H53" i="58837"/>
  <c r="F4" i="58837" a="1"/>
  <c r="F4" i="58837" s="1"/>
  <c r="H4" i="58837" s="1"/>
  <c r="F9" i="58837" a="1"/>
  <c r="F9" i="58837" s="1"/>
  <c r="E9" i="58837" s="1" a="1"/>
  <c r="E9" i="58837" s="1"/>
  <c r="E24" i="58837" a="1"/>
  <c r="E24" i="58837" s="1"/>
  <c r="H24" i="58837"/>
  <c r="H47" i="58837"/>
  <c r="E47" i="58837" a="1"/>
  <c r="E47" i="58837" s="1"/>
  <c r="H43" i="58837"/>
  <c r="E43" i="58837" a="1"/>
  <c r="E43" i="58837" s="1"/>
  <c r="H45" i="58837"/>
  <c r="E45" i="58837" a="1"/>
  <c r="E45" i="58837" s="1"/>
  <c r="E34" i="58837" a="1"/>
  <c r="E34" i="58837" s="1"/>
  <c r="H34" i="58837"/>
  <c r="H46" i="58837"/>
  <c r="E46" i="58837" a="1"/>
  <c r="E46" i="58837" s="1"/>
  <c r="F11" i="58837" a="1"/>
  <c r="F11" i="58837" s="1"/>
  <c r="O5" i="58839" l="1"/>
  <c r="N56" i="58839"/>
  <c r="BM56" i="58839"/>
  <c r="BN5" i="58839"/>
  <c r="FT9" i="58885" a="1"/>
  <c r="FT9" i="58885" s="1"/>
  <c r="FR9" i="58885" s="1" a="1"/>
  <c r="FR9" i="58885" s="1"/>
  <c r="F7" i="58837" a="1"/>
  <c r="F7" i="58837" s="1"/>
  <c r="E7" i="58837" s="1" a="1"/>
  <c r="E7" i="58837" s="1"/>
  <c r="E11" i="58837" a="1"/>
  <c r="E11" i="58837" s="1"/>
  <c r="H11" i="58837"/>
  <c r="H12" i="58837"/>
  <c r="H16" i="58837"/>
  <c r="AJ7" i="58885" a="1"/>
  <c r="AJ7" i="58885" s="1"/>
  <c r="U68" i="58887" a="1"/>
  <c r="U68" i="58887" s="1"/>
  <c r="T7" i="58887" a="1"/>
  <c r="T7" i="58887" s="1"/>
  <c r="Z4" i="58887" a="1"/>
  <c r="Z4" i="58887" s="1"/>
  <c r="E4" i="58837" a="1"/>
  <c r="E4" i="58837" s="1"/>
  <c r="E19" i="58837" s="1"/>
  <c r="H8" i="58837"/>
  <c r="P47" i="58887"/>
  <c r="L48" i="58887"/>
  <c r="P48" i="58887" s="1"/>
  <c r="H15" i="58837"/>
  <c r="H57" i="58837"/>
  <c r="H5" i="58837"/>
  <c r="AE5" i="58884" a="1"/>
  <c r="AE5" i="58884" s="1"/>
  <c r="BL5" i="58884" a="1"/>
  <c r="BL5" i="58884" s="1"/>
  <c r="CR5" i="58884" a="1"/>
  <c r="CR5" i="58884" s="1"/>
  <c r="H6" i="58837"/>
  <c r="H13" i="58837"/>
  <c r="H10" i="58837"/>
  <c r="H38" i="58837"/>
  <c r="H9" i="58837"/>
  <c r="AL6" i="58885" a="1"/>
  <c r="AL6" i="58885" s="1"/>
  <c r="FQ6" i="58885" s="1" a="1"/>
  <c r="FQ6" i="58885" s="1"/>
  <c r="FP6" i="58885"/>
  <c r="AR6" i="58885" a="1"/>
  <c r="AR6" i="58885" s="1"/>
  <c r="AI4" i="58885" a="1"/>
  <c r="AI4" i="58885" s="1"/>
  <c r="BH6" i="58885" a="1"/>
  <c r="BH6" i="58885" s="1"/>
  <c r="T6" i="58887" a="1"/>
  <c r="T6" i="58887" s="1"/>
  <c r="BN56" i="58839" l="1"/>
  <c r="BO5" i="58839"/>
  <c r="P5" i="58839"/>
  <c r="O56" i="58839"/>
  <c r="H7" i="58837"/>
  <c r="FT6" i="58885" a="1"/>
  <c r="FT6" i="58885" s="1"/>
  <c r="FR6" i="58885" s="1" a="1"/>
  <c r="FR6" i="58885" s="1"/>
  <c r="AJ6" i="58885" a="1"/>
  <c r="AJ6" i="58885" s="1"/>
  <c r="U47" i="58887" a="1"/>
  <c r="U47" i="58887" s="1"/>
  <c r="U48" i="58887" a="1"/>
  <c r="U48" i="58887" s="1"/>
  <c r="P56" i="58839" l="1"/>
  <c r="Q5" i="58839"/>
  <c r="BP5" i="58839"/>
  <c r="BO56" i="58839"/>
  <c r="BQ5" i="58839" l="1"/>
  <c r="BP56" i="58839"/>
  <c r="Q56" i="58839"/>
  <c r="R5" i="58839"/>
  <c r="R56" i="58839" l="1"/>
  <c r="S5" i="58839"/>
  <c r="BR5" i="58839"/>
  <c r="BQ56" i="58839"/>
  <c r="BS5" i="58839" l="1"/>
  <c r="BR56" i="58839"/>
  <c r="T5" i="58839"/>
  <c r="S56" i="58839"/>
  <c r="U5" i="58839" l="1"/>
  <c r="T56" i="58839"/>
  <c r="BT5" i="58839"/>
  <c r="BS56" i="58839"/>
  <c r="BU5" i="58839" l="1"/>
  <c r="BT56" i="58839"/>
  <c r="V5" i="58839"/>
  <c r="U56" i="58839"/>
  <c r="K145" i="5" a="1"/>
  <c r="T127" i="5" a="1"/>
  <c r="G287" i="10" a="1"/>
  <c r="Y180" i="5" a="1"/>
  <c r="I184" i="5" a="1"/>
  <c r="AQ170" i="10" a="1"/>
  <c r="T297" i="10" a="1"/>
  <c r="DO149" i="58885" a="1"/>
  <c r="AR176" i="10" a="1"/>
  <c r="L79" i="5" a="1"/>
  <c r="P61" i="5" a="1"/>
  <c r="I119" i="58885" a="1"/>
  <c r="L61" i="5" a="1"/>
  <c r="AV67" i="10" a="1"/>
  <c r="V172" i="5" a="1"/>
  <c r="DO15" i="58885" a="1"/>
  <c r="W193" i="5" a="1"/>
  <c r="T122" i="5" a="1"/>
  <c r="I215" i="58885" a="1"/>
  <c r="Y273" i="10" a="1"/>
  <c r="S269" i="10" a="1"/>
  <c r="Q174" i="5" a="1"/>
  <c r="L67" i="5" a="1"/>
  <c r="S90" i="5" a="1"/>
  <c r="AW253" i="10" a="1"/>
  <c r="V55" i="5" a="1"/>
  <c r="K154" i="5" a="1"/>
  <c r="V114" i="5" a="1"/>
  <c r="V62" i="5" a="1"/>
  <c r="AV122" i="10" a="1"/>
  <c r="L139" i="5" a="1"/>
  <c r="I199" i="58885" a="1"/>
  <c r="N157" i="5" a="1"/>
  <c r="DO154" i="58885" a="1"/>
  <c r="AK273" i="10" a="1"/>
  <c r="N62" i="5" a="1"/>
  <c r="W126" i="5" a="1"/>
  <c r="DO33" i="58885" a="1"/>
  <c r="K72" i="5" a="1"/>
  <c r="P194" i="5" a="1"/>
  <c r="Q33" i="58887" a="1"/>
  <c r="B120" i="10" a="1"/>
  <c r="K84" i="5" a="1"/>
  <c r="AC261" i="10" a="1"/>
  <c r="DM191" i="58885" a="1"/>
  <c r="AJ297" i="10" a="1"/>
  <c r="AN301" i="10" a="1"/>
  <c r="J134" i="5" a="1"/>
  <c r="P181" i="5" a="1"/>
  <c r="DW15" i="58884" a="1"/>
  <c r="AL291" i="10" a="1"/>
  <c r="T80" i="5" a="1"/>
  <c r="L291" i="10" a="1"/>
  <c r="AW136" i="10" a="1"/>
  <c r="X129" i="5" a="1"/>
  <c r="AV175" i="10" a="1"/>
  <c r="K301" i="10" a="1"/>
  <c r="Q154" i="5" a="1"/>
  <c r="J155" i="5" a="1"/>
  <c r="J83" i="5" a="1"/>
  <c r="DO83" i="58885" a="1"/>
  <c r="K157" i="5" a="1"/>
  <c r="DO62" i="58885" a="1"/>
  <c r="T77" i="5" a="1"/>
  <c r="S63" i="5" a="1"/>
  <c r="AL297" i="10" a="1"/>
  <c r="Q115" i="5" a="1"/>
  <c r="P182" i="5" a="1"/>
  <c r="X3" i="10" a="1"/>
  <c r="I132" i="58885" a="1"/>
  <c r="AG263" i="10" a="1"/>
  <c r="M289" i="10" a="1"/>
  <c r="Y100" i="5" a="1"/>
  <c r="I136" i="58885" a="1"/>
  <c r="P187" i="5" a="1"/>
  <c r="C3" i="10" a="1"/>
  <c r="I194" i="58885" a="1"/>
  <c r="T141" i="5" a="1"/>
  <c r="I244" i="58885" a="1"/>
  <c r="V84" i="5" a="1"/>
  <c r="U110" i="5" a="1"/>
  <c r="O269" i="10" a="1"/>
  <c r="J59" i="5" a="1"/>
  <c r="K98" i="5" a="1"/>
  <c r="Q28" i="58887" a="1"/>
  <c r="Q277" i="10" a="1"/>
  <c r="P112" i="5" a="1"/>
  <c r="AP301" i="10" a="1"/>
  <c r="U164" i="5" a="1"/>
  <c r="AW180" i="10" a="1"/>
  <c r="K94" i="5" a="1"/>
  <c r="P183" i="5" a="1"/>
  <c r="M100" i="5" a="1"/>
  <c r="N193" i="5" a="1"/>
  <c r="I217" i="58885" a="1"/>
  <c r="AW121" i="10" a="1"/>
  <c r="I226" i="58885" a="1"/>
  <c r="AW163" i="10" a="1"/>
  <c r="AV167" i="10" a="1"/>
  <c r="G301" i="10" a="1"/>
  <c r="AM299" i="10" a="1"/>
  <c r="Q129" i="58887" a="1"/>
  <c r="S187" i="5" a="1"/>
  <c r="Q143" i="58887" a="1"/>
  <c r="Q58" i="5" a="1"/>
  <c r="J70" i="5" a="1"/>
  <c r="Y116" i="5" a="1"/>
  <c r="AW78" i="10" a="1"/>
  <c r="AV71" i="10" a="1"/>
  <c r="P97" i="5" a="1"/>
  <c r="N75" i="5" a="1"/>
  <c r="AE273" i="10" a="1"/>
  <c r="U122" i="5" a="1"/>
  <c r="M80" i="5" a="1"/>
  <c r="I188" i="58885" a="1"/>
  <c r="Q84" i="5" a="1"/>
  <c r="AI283" i="10" a="1"/>
  <c r="Y110" i="5" a="1"/>
  <c r="S193" i="5" a="1"/>
  <c r="AV275" i="10" a="1"/>
  <c r="DW17" i="58884" a="1"/>
  <c r="AW191" i="10" a="1"/>
  <c r="AW66" i="10" a="1"/>
  <c r="O175" i="5" a="1"/>
  <c r="W166" i="5" a="1"/>
  <c r="Z295" i="10" a="1"/>
  <c r="W157" i="5" a="1"/>
  <c r="V108" i="5" a="1"/>
  <c r="W165" i="5" a="1"/>
  <c r="L93" i="5" a="1"/>
  <c r="K102" i="5" a="1"/>
  <c r="I261" i="10" a="1"/>
  <c r="AA299" i="10" a="1"/>
  <c r="Y76" i="5" a="1"/>
  <c r="O161" i="5" a="1"/>
  <c r="I192" i="58885" a="1"/>
  <c r="I128" i="5" a="1"/>
  <c r="M170" i="5" a="1"/>
  <c r="V82" i="5" a="1"/>
  <c r="M129" i="5" a="1"/>
  <c r="Q162" i="58887" a="1"/>
  <c r="AV180" i="10" a="1"/>
  <c r="Q133" i="5" a="1"/>
  <c r="I84" i="5" a="1"/>
  <c r="AI275" i="10" a="1"/>
  <c r="W155" i="5" a="1"/>
  <c r="R153" i="5" a="1"/>
  <c r="N110" i="5" a="1"/>
  <c r="B147" i="10" a="1"/>
  <c r="B141" i="10" a="1"/>
  <c r="X168" i="5" a="1"/>
  <c r="AV209" i="10" a="1"/>
  <c r="DO7" i="58885" a="1"/>
  <c r="X133" i="5" a="1"/>
  <c r="AR209" i="10" a="1"/>
  <c r="AM275" i="10" a="1"/>
  <c r="I220" i="58885" a="1"/>
  <c r="O193" i="5" a="1"/>
  <c r="DO10" i="58885" a="1"/>
  <c r="P291" i="10" a="1"/>
  <c r="AO277" i="10" a="1"/>
  <c r="DM226" i="58885" a="1"/>
  <c r="AW219" i="10" a="1"/>
  <c r="N80" i="5" a="1"/>
  <c r="T183" i="5" a="1"/>
  <c r="I158" i="5" a="1"/>
  <c r="T17" i="37"/>
  <c r="U146" i="5" a="1"/>
  <c r="AW172" i="10" a="1"/>
  <c r="K293" i="10" a="1"/>
  <c r="V65" i="5" a="1"/>
  <c r="J100" i="5" a="1"/>
  <c r="AV83" i="10" a="1"/>
  <c r="DO70" i="58885" a="1"/>
  <c r="I159" i="5" a="1"/>
  <c r="V59" i="5" a="1"/>
  <c r="R173" i="5" a="1"/>
  <c r="AV146" i="10" a="1"/>
  <c r="X132" i="5" a="1"/>
  <c r="S136" i="5" a="1"/>
  <c r="X93" i="5" a="1"/>
  <c r="AV216" i="10" a="1"/>
  <c r="O80" i="5" a="1"/>
  <c r="DO145" i="58885" a="1"/>
  <c r="W91" i="5" a="1"/>
  <c r="DM229" i="58885" a="1"/>
  <c r="R120" i="5" a="1"/>
  <c r="DO39" i="58885" a="1"/>
  <c r="R297" i="10" a="1"/>
  <c r="I135" i="58885" a="1"/>
  <c r="R97" i="5" a="1"/>
  <c r="T55" i="5" a="1"/>
  <c r="AV135" i="10" a="1"/>
  <c r="X80" i="5" a="1"/>
  <c r="I153" i="5" a="1"/>
  <c r="U152" i="5" a="1"/>
  <c r="V132" i="5" a="1"/>
  <c r="V137" i="5" a="1"/>
  <c r="Y134" i="5" a="1"/>
  <c r="AW200" i="10" a="1"/>
  <c r="O261" i="10" a="1"/>
  <c r="I287" i="10" a="1"/>
  <c r="K83" i="5" a="1"/>
  <c r="AW135" i="10" a="1"/>
  <c r="J108" i="5" a="1"/>
  <c r="N174" i="5" a="1"/>
  <c r="I105" i="58885" a="1"/>
  <c r="U188" i="5" a="1"/>
  <c r="R148" i="5" a="1"/>
  <c r="J68" i="5" a="1"/>
  <c r="V58" i="5" a="1"/>
  <c r="J162" i="5" a="1"/>
  <c r="Q86" i="5" a="1"/>
  <c r="L138" i="5" a="1"/>
  <c r="AI293" i="10" a="1"/>
  <c r="P144" i="5" a="1"/>
  <c r="AL301" i="10" a="1"/>
  <c r="DO159" i="58885" a="1"/>
  <c r="I224" i="58885" a="1"/>
  <c r="P163" i="5" a="1"/>
  <c r="P150" i="5" a="1"/>
  <c r="T113" i="5" a="1"/>
  <c r="R189" i="5" a="1"/>
  <c r="R101" i="5" a="1"/>
  <c r="AO263" i="10" a="1"/>
  <c r="Y132" i="5" a="1"/>
  <c r="AW182" i="10" a="1"/>
  <c r="I212" i="58885" a="1"/>
  <c r="AG279" i="10" a="1"/>
  <c r="V111" i="5" a="1"/>
  <c r="AW203" i="10" a="1"/>
  <c r="X156" i="5" a="1"/>
  <c r="AV78" i="10" a="1"/>
  <c r="W277" i="10" a="1"/>
  <c r="AW185" i="10" a="1"/>
  <c r="AW251" i="10" a="1"/>
  <c r="I102" i="58885" a="1"/>
  <c r="K115" i="5" a="1"/>
  <c r="AV312" i="10" a="1"/>
  <c r="AR194" i="10" a="1"/>
  <c r="AV271" i="10" a="1"/>
  <c r="I187" i="58885" a="1"/>
  <c r="O136" i="5" a="1"/>
  <c r="P179" i="5" a="1"/>
  <c r="AV94" i="10" a="1"/>
  <c r="DO152" i="58885" a="1"/>
  <c r="Y94" i="5" a="1"/>
  <c r="DO42" i="58885" a="1"/>
  <c r="T110" i="5" a="1"/>
  <c r="Z299" i="10" a="1"/>
  <c r="AW151" i="10" a="1"/>
  <c r="DO38" i="58885" a="1"/>
  <c r="DM237" i="58885" a="1"/>
  <c r="N168" i="5" a="1"/>
  <c r="L60" i="5" a="1"/>
  <c r="J190" i="5" a="1"/>
  <c r="AQ176" i="10" a="1"/>
  <c r="G271" i="10" a="1"/>
  <c r="B135" i="10" a="1"/>
  <c r="S170" i="5" a="1"/>
  <c r="I132" i="5" a="1"/>
  <c r="J158" i="5" a="1"/>
  <c r="AW199" i="10" a="1"/>
  <c r="Q126" i="58887" a="1"/>
  <c r="I128" i="58885" a="1"/>
  <c r="K156" i="5" a="1"/>
  <c r="O134" i="5" a="1"/>
  <c r="AQ194" i="10" a="1"/>
  <c r="N152" i="5" a="1"/>
  <c r="M139" i="5" a="1"/>
  <c r="N180" i="5" a="1"/>
  <c r="DM217" i="58885" a="1"/>
  <c r="L162" i="5" a="1"/>
  <c r="DM238" i="58885" a="1"/>
  <c r="O124" i="5" a="1"/>
  <c r="AE281" i="10" a="1"/>
  <c r="J80" i="5" a="1"/>
  <c r="T180" i="5" a="1"/>
  <c r="AW64" i="10" a="1"/>
  <c r="M76" i="5" a="1"/>
  <c r="P167" i="5" a="1"/>
  <c r="DO40" i="58885" a="1"/>
  <c r="AE295" i="10" a="1"/>
  <c r="V173" i="5" a="1"/>
  <c r="O133" i="5" a="1"/>
  <c r="M161" i="5" a="1"/>
  <c r="V155" i="5" a="1"/>
  <c r="W168" i="5" a="1"/>
  <c r="AA267" i="10" a="1"/>
  <c r="N101" i="5" a="1"/>
  <c r="N160" i="5" a="1"/>
  <c r="AW168" i="10" a="1"/>
  <c r="DO26" i="58885" a="1"/>
  <c r="O178" i="5" a="1"/>
  <c r="AV59" i="10" a="1"/>
  <c r="I81" i="5" a="1"/>
  <c r="Q94" i="58887" a="1"/>
  <c r="L69" i="5" a="1"/>
  <c r="I279" i="10" a="1"/>
  <c r="H293" i="10" a="1"/>
  <c r="T78" i="5" a="1"/>
  <c r="AV293" i="10" a="1"/>
  <c r="U120" i="5" a="1"/>
  <c r="AV170" i="10" a="1"/>
  <c r="B252" i="10" a="1"/>
  <c r="AQ182" i="10" a="1"/>
  <c r="R146" i="5" a="1"/>
  <c r="Q89" i="5" a="1"/>
  <c r="P93" i="5" a="1"/>
  <c r="DO76" i="58885" a="1"/>
  <c r="J82" i="5" a="1"/>
  <c r="DO13" i="58885" a="1"/>
  <c r="V143" i="5" a="1"/>
  <c r="AV181" i="10" a="1"/>
  <c r="J153" i="5" a="1"/>
  <c r="X297" i="10" a="1"/>
  <c r="Q154" i="58887" a="1"/>
  <c r="P135" i="5" a="1"/>
  <c r="M163" i="5" a="1"/>
  <c r="Q11" i="58887" a="1"/>
  <c r="N122" i="5" a="1"/>
  <c r="W107" i="5" a="1"/>
  <c r="R172" i="5" a="1"/>
  <c r="K111" i="5" a="1"/>
  <c r="G295" i="10" a="1"/>
  <c r="G279" i="10" a="1"/>
  <c r="AW174" i="10" a="1"/>
  <c r="AK291" i="10" a="1"/>
  <c r="P60" i="5" a="1"/>
  <c r="Q273" i="10" a="1"/>
  <c r="AW236" i="10" a="1"/>
  <c r="K140" i="5" a="1"/>
  <c r="AH301" i="10" a="1"/>
  <c r="K59" i="5" a="1"/>
  <c r="AG293" i="10" a="1"/>
  <c r="DO43" i="58885" a="1"/>
  <c r="R291" i="10" a="1"/>
  <c r="Q166" i="5" a="1"/>
  <c r="Y168" i="5" a="1"/>
  <c r="N70" i="5" a="1"/>
  <c r="DM232" i="58885" a="1"/>
  <c r="I73" i="5" a="1"/>
  <c r="AV58" i="10" a="1"/>
  <c r="I89" i="5" a="1"/>
  <c r="M157" i="5" a="1"/>
  <c r="Q97" i="58887" a="1"/>
  <c r="DM198" i="58885" a="1"/>
  <c r="AL295" i="10" a="1"/>
  <c r="AW215" i="10" a="1"/>
  <c r="AG275" i="10" a="1"/>
  <c r="S130" i="5" a="1"/>
  <c r="Y127" i="5" a="1"/>
  <c r="S99" i="5" a="1"/>
  <c r="I157" i="5" a="1"/>
  <c r="AO283" i="10" a="1"/>
  <c r="AB293" i="10" a="1"/>
  <c r="I97" i="58885" a="1"/>
  <c r="Q190" i="5" a="1"/>
  <c r="T87" i="5" a="1"/>
  <c r="O71" i="5" a="1"/>
  <c r="Q21" i="58887" a="1"/>
  <c r="P142" i="5" a="1"/>
  <c r="L112" i="5" a="1"/>
  <c r="Y194" i="5" a="1"/>
  <c r="S168" i="5" a="1"/>
  <c r="T172" i="5" a="1"/>
  <c r="K93" i="5" a="1"/>
  <c r="S275" i="10" a="1"/>
  <c r="S112" i="5" a="1"/>
  <c r="V181" i="5" a="1"/>
  <c r="Q269" i="10" a="1"/>
  <c r="DO24" i="58885" a="1"/>
  <c r="X102" i="5" a="1"/>
  <c r="U162" i="5" a="1"/>
  <c r="O103" i="5" a="1"/>
  <c r="R177" i="5" a="1"/>
  <c r="U182" i="5" a="1"/>
  <c r="V64" i="5" a="1"/>
  <c r="U66" i="5" a="1"/>
  <c r="AC295" i="10" a="1"/>
  <c r="T14" i="37"/>
  <c r="O100" i="5" a="1"/>
  <c r="M134" i="5" a="1"/>
  <c r="I122" i="5" a="1"/>
  <c r="K193" i="5" a="1"/>
  <c r="S62" i="5" a="1"/>
  <c r="AW179" i="10" a="1"/>
  <c r="R171" i="5" a="1"/>
  <c r="X110" i="5" a="1"/>
  <c r="I297" i="10" a="1"/>
  <c r="O180" i="5" a="1"/>
  <c r="K120" i="5" a="1"/>
  <c r="T111" i="5" a="1"/>
  <c r="S180" i="5" a="1"/>
  <c r="H291" i="10" a="1"/>
  <c r="Y82" i="5" a="1"/>
  <c r="I136" i="5" a="1"/>
  <c r="Q63" i="5" a="1"/>
  <c r="J163" i="5" a="1"/>
  <c r="L154" i="5" a="1"/>
  <c r="J55" i="5" a="1"/>
  <c r="T129" i="5" a="1"/>
  <c r="I167" i="5" a="1"/>
  <c r="L114" i="5" a="1"/>
  <c r="P111" i="5" a="1"/>
  <c r="AV82" i="10" a="1"/>
  <c r="AW225" i="10" a="1"/>
  <c r="X127" i="5" a="1"/>
  <c r="V129" i="5" a="1"/>
  <c r="K173" i="5" a="1"/>
  <c r="DO18" i="58885" a="1"/>
  <c r="AV215" i="10" a="1"/>
  <c r="B123" i="10" a="1"/>
  <c r="U263" i="10" a="1"/>
  <c r="R162" i="5" a="1"/>
  <c r="N154" i="5" a="1"/>
  <c r="S135" i="5" a="1"/>
  <c r="I103" i="58885" a="1"/>
  <c r="DM219" i="58885" a="1"/>
  <c r="X117" i="5" a="1"/>
  <c r="N97" i="5" a="1"/>
  <c r="AV195" i="10" a="1"/>
  <c r="DM188" i="58885" a="1"/>
  <c r="AV252" i="10" a="1"/>
  <c r="T136" i="5" a="1"/>
  <c r="AW247" i="10" a="1"/>
  <c r="O293" i="10" a="1"/>
  <c r="K277" i="10" a="1"/>
  <c r="I160" i="5" a="1"/>
  <c r="I208" i="58885" a="1"/>
  <c r="V162" i="5" a="1"/>
  <c r="N293" i="10" a="1"/>
  <c r="M104" i="5" a="1"/>
  <c r="K73" i="5" a="1"/>
  <c r="K129" i="5" a="1"/>
  <c r="K86" i="5" a="1"/>
  <c r="AV245" i="10" a="1"/>
  <c r="W77" i="5" a="1"/>
  <c r="N297" i="10" a="1"/>
  <c r="AC279" i="10" a="1"/>
  <c r="AV236" i="10" a="1"/>
  <c r="L107" i="5" a="1"/>
  <c r="B180" i="10" a="1"/>
  <c r="U297" i="10" a="1"/>
  <c r="AW217" i="10" a="1"/>
  <c r="U174" i="5" a="1"/>
  <c r="K182" i="5" a="1"/>
  <c r="AV285" i="10" a="1"/>
  <c r="AJ3" i="10" a="1"/>
  <c r="L119" i="5" a="1"/>
  <c r="R116" i="5" a="1"/>
  <c r="B201" i="10" a="1"/>
  <c r="I205" i="58885" a="1"/>
  <c r="Y163" i="5" a="1"/>
  <c r="X101" i="5" a="1"/>
  <c r="AW155" i="10" a="1"/>
  <c r="S108" i="5" a="1"/>
  <c r="AV227" i="10" a="1"/>
  <c r="DM235" i="58885" a="1"/>
  <c r="DM213" i="58885" a="1"/>
  <c r="Q80" i="5" a="1"/>
  <c r="AV176" i="10" a="1"/>
  <c r="O186" i="5" a="1"/>
  <c r="K166" i="5" a="1"/>
  <c r="AV142" i="10" a="1"/>
  <c r="X177" i="5" a="1"/>
  <c r="AE269" i="10" a="1"/>
  <c r="J297" i="10" a="1"/>
  <c r="M81" i="5" a="1"/>
  <c r="T156" i="5" a="1"/>
  <c r="M132" i="5" a="1"/>
  <c r="S55" i="5" a="1"/>
  <c r="AW123" i="10" a="1"/>
  <c r="Q281" i="10" a="1"/>
  <c r="M69" i="5" a="1"/>
  <c r="T155" i="5" a="1"/>
  <c r="AI291" i="10" a="1"/>
  <c r="AV250" i="10" a="1"/>
  <c r="AV188" i="10" a="1"/>
  <c r="L159" i="5" a="1"/>
  <c r="S104" i="5" a="1"/>
  <c r="I127" i="58885" a="1"/>
  <c r="AW94" i="10" a="1"/>
  <c r="K89" i="5" a="1"/>
  <c r="B156" i="10" a="1"/>
  <c r="K79" i="5" a="1"/>
  <c r="AW132" i="10" a="1"/>
  <c r="U80" i="5" a="1"/>
  <c r="DW5" i="58884" a="1"/>
  <c r="DM187" i="58885" a="1"/>
  <c r="AV255" i="10" a="1"/>
  <c r="AB301" i="10" a="1"/>
  <c r="L102" i="5" a="1"/>
  <c r="AV224" i="10" a="1"/>
  <c r="AV267" i="10" a="1"/>
  <c r="U96" i="5" a="1"/>
  <c r="AW218" i="10" a="1"/>
  <c r="V145" i="5" a="1"/>
  <c r="S144" i="5" a="1"/>
  <c r="AQ149" i="10" a="1"/>
  <c r="M57" i="5" a="1"/>
  <c r="J94" i="5" a="1"/>
  <c r="Y86" i="5" a="1"/>
  <c r="U102" i="5" a="1"/>
  <c r="Q64" i="5" a="1"/>
  <c r="AW233" i="10" a="1"/>
  <c r="I74" i="5" a="1"/>
  <c r="AT3" i="10" a="1"/>
  <c r="J111" i="5" a="1"/>
  <c r="P62" i="5" a="1"/>
  <c r="I191" i="5" a="1"/>
  <c r="O157" i="5" a="1"/>
  <c r="DO171" i="58885" a="1"/>
  <c r="R110" i="5" a="1"/>
  <c r="AW92" i="10" a="1"/>
  <c r="U271" i="10" a="1"/>
  <c r="I195" i="58885" a="1"/>
  <c r="DM225" i="58885" a="1"/>
  <c r="R74" i="5" a="1"/>
  <c r="AW229" i="10" a="1"/>
  <c r="P125" i="5" a="1"/>
  <c r="K172" i="5" a="1"/>
  <c r="AV166" i="10" a="1"/>
  <c r="AV217" i="10" a="1"/>
  <c r="AV8" i="10" a="1"/>
  <c r="V115" i="5" a="1"/>
  <c r="AV126" i="10" a="1"/>
  <c r="S87" i="5" a="1"/>
  <c r="B171" i="10" a="1"/>
  <c r="DO71" i="58885" a="1"/>
  <c r="L96" i="5" a="1"/>
  <c r="P91" i="5" a="1"/>
  <c r="Y126" i="5" a="1"/>
  <c r="AC283" i="10" a="1"/>
  <c r="AM261" i="10" a="1"/>
  <c r="AV203" i="10" a="1"/>
  <c r="K88" i="5" a="1"/>
  <c r="AV108" i="10" a="1"/>
  <c r="I80" i="5" a="1"/>
  <c r="Y187" i="5" a="1"/>
  <c r="X186" i="5" a="1"/>
  <c r="I267" i="10" a="1"/>
  <c r="AM279" i="10" a="1"/>
  <c r="W149" i="5" a="1"/>
  <c r="AV136" i="10" a="1"/>
  <c r="W72" i="5" a="1"/>
  <c r="Q80" i="58887" a="1"/>
  <c r="I138" i="58885" a="1"/>
  <c r="K150" i="5" a="1"/>
  <c r="G285" i="10" a="1"/>
  <c r="N295" i="10" a="1"/>
  <c r="AR227" i="10" a="1"/>
  <c r="S271" i="10" a="1"/>
  <c r="DM201" i="58885" a="1"/>
  <c r="I154" i="5" a="1"/>
  <c r="I193" i="5" a="1"/>
  <c r="AW153" i="10" a="1"/>
  <c r="K153" i="5" a="1"/>
  <c r="DW21" i="58884" a="1"/>
  <c r="AP291" i="10" a="1"/>
  <c r="M165" i="5" a="1"/>
  <c r="V177" i="5" a="1"/>
  <c r="U93" i="5" a="1"/>
  <c r="J299" i="10" a="1"/>
  <c r="K147" i="5" a="1"/>
  <c r="DO30" i="58885" a="1"/>
  <c r="I110" i="58885" a="1"/>
  <c r="P169" i="5" a="1"/>
  <c r="DO178" i="58885" a="1"/>
  <c r="AM277" i="10" a="1"/>
  <c r="S125" i="5" a="1"/>
  <c r="AV266" i="10" a="1"/>
  <c r="L166" i="5" a="1"/>
  <c r="R99" i="5" a="1"/>
  <c r="I295" i="10" a="1"/>
  <c r="R144" i="5" a="1"/>
  <c r="W143" i="5" a="1"/>
  <c r="T11" i="37"/>
  <c r="Y71" i="5" a="1"/>
  <c r="M108" i="5" a="1"/>
  <c r="Z291" i="10" a="1"/>
  <c r="O185" i="5" a="1"/>
  <c r="AB299" i="10" a="1"/>
  <c r="L168" i="5" a="1"/>
  <c r="AV278" i="10" a="1"/>
  <c r="AA263" i="10" a="1"/>
  <c r="N67" i="5" a="1"/>
  <c r="T169" i="5" a="1"/>
  <c r="X68" i="5" a="1"/>
  <c r="T108" i="5" a="1"/>
  <c r="L157" i="5" a="1"/>
  <c r="U58" i="5" a="1"/>
  <c r="AH295" i="10" a="1"/>
  <c r="AV191" i="10" a="1"/>
  <c r="O289" i="10" a="1"/>
  <c r="AF293" i="10" a="1"/>
  <c r="Y120" i="5" a="1"/>
  <c r="I118" i="5" a="1"/>
  <c r="DO75" i="58885" a="1"/>
  <c r="Q107" i="5" a="1"/>
  <c r="DO148" i="58885" a="1"/>
  <c r="K283" i="10" a="1"/>
  <c r="AN299" i="10" a="1"/>
  <c r="AV183" i="10" a="1"/>
  <c r="DO32" i="58885" a="1"/>
  <c r="I133" i="58885" a="1"/>
  <c r="N69" i="5" a="1"/>
  <c r="L118" i="5" a="1"/>
  <c r="I112" i="58885" a="1"/>
  <c r="AW228" i="10" a="1"/>
  <c r="DM204" i="58885" a="1"/>
  <c r="AV134" i="10" a="1"/>
  <c r="Q3" i="10" a="1"/>
  <c r="S145" i="5" a="1"/>
  <c r="I118" i="58885" a="1"/>
  <c r="K192" i="5" a="1"/>
  <c r="X126" i="5" a="1"/>
  <c r="U171" i="5" a="1"/>
  <c r="N165" i="5" a="1"/>
  <c r="DO66" i="58885" a="1"/>
  <c r="W140" i="5" a="1"/>
  <c r="T32" i="37"/>
  <c r="X71" i="5" a="1"/>
  <c r="AV107" i="10" a="1"/>
  <c r="AR230" i="10" a="1"/>
  <c r="DM202" i="58885" a="1"/>
  <c r="T27" i="37"/>
  <c r="P170" i="5" a="1"/>
  <c r="AW148" i="10" a="1"/>
  <c r="X92" i="5" a="1"/>
  <c r="I82" i="5" a="1"/>
  <c r="AV251" i="10" a="1"/>
  <c r="R56" i="5" a="1"/>
  <c r="W102" i="5" a="1"/>
  <c r="AV7" i="10" a="1"/>
  <c r="DO60" i="58885" a="1"/>
  <c r="Y275" i="10" a="1"/>
  <c r="DO144" i="58885" a="1"/>
  <c r="O85" i="5" a="1"/>
  <c r="AE267" i="10" a="1"/>
  <c r="Y106" i="5" a="1"/>
  <c r="J183" i="5" a="1"/>
  <c r="S184" i="5" a="1"/>
  <c r="X160" i="5" a="1"/>
  <c r="U167" i="5" a="1"/>
  <c r="O105" i="5" a="1"/>
  <c r="AA285" i="10" a="1"/>
  <c r="W141" i="5" a="1"/>
  <c r="N91" i="5" a="1"/>
  <c r="AW243" i="10" a="1"/>
  <c r="N114" i="5" a="1"/>
  <c r="Q121" i="58887" a="1"/>
  <c r="Y154" i="5" a="1"/>
  <c r="W70" i="5" a="1"/>
  <c r="U187" i="5" a="1"/>
  <c r="Q287" i="10" a="1"/>
  <c r="T68" i="5" a="1"/>
  <c r="AQ143" i="10" a="1"/>
  <c r="AF299" i="10" a="1"/>
  <c r="AQ218" i="10" a="1"/>
  <c r="U121" i="5" a="1"/>
  <c r="N191" i="5" a="1"/>
  <c r="W82" i="5" a="1"/>
  <c r="O172" i="5" a="1"/>
  <c r="Y112" i="5" a="1"/>
  <c r="AW80" i="10" a="1"/>
  <c r="X83" i="5" a="1"/>
  <c r="N166" i="5" a="1"/>
  <c r="AO273" i="10" a="1"/>
  <c r="M87" i="5" a="1"/>
  <c r="X299" i="10" a="1"/>
  <c r="I249" i="58885" a="1"/>
  <c r="Y64" i="5" a="1"/>
  <c r="DM194" i="58885" a="1"/>
  <c r="AE279" i="10" a="1"/>
  <c r="W159" i="5" a="1"/>
  <c r="J104" i="5" a="1"/>
  <c r="Q91" i="58887" a="1"/>
  <c r="DO8" i="58885" a="1"/>
  <c r="P82" i="5" a="1"/>
  <c r="T301" i="10" a="1"/>
  <c r="N179" i="5" a="1"/>
  <c r="T114" i="5" a="1"/>
  <c r="Y81" i="5" a="1"/>
  <c r="X97" i="5" a="1"/>
  <c r="S263" i="10" a="1"/>
  <c r="S267" i="10" a="1"/>
  <c r="AW221" i="10" a="1"/>
  <c r="O135" i="5" a="1"/>
  <c r="K160" i="5" a="1"/>
  <c r="DO176" i="58885" a="1"/>
  <c r="W173" i="5" a="1"/>
  <c r="AT83" i="10"/>
  <c r="K267" i="10" a="1"/>
  <c r="AC267" i="10" a="1"/>
  <c r="R158" i="5" a="1"/>
  <c r="M174" i="5" a="1"/>
  <c r="H297" i="10" a="1"/>
  <c r="R98" i="5" a="1"/>
  <c r="X76" i="5" a="1"/>
  <c r="K97" i="5" a="1"/>
  <c r="V88" i="5" a="1"/>
  <c r="AW139" i="10" a="1"/>
  <c r="M185" i="5" a="1"/>
  <c r="Q178" i="5" a="1"/>
  <c r="AC275" i="10" a="1"/>
  <c r="P155" i="5" a="1"/>
  <c r="S148" i="5" a="1"/>
  <c r="R3" i="10" a="1"/>
  <c r="I235" i="58885" a="1"/>
  <c r="O141" i="5" a="1"/>
  <c r="P295" i="10" a="1"/>
  <c r="T26" i="37"/>
  <c r="Y269" i="10" a="1"/>
  <c r="AR248" i="10" a="1"/>
  <c r="I236" i="58885" a="1"/>
  <c r="K141" i="5" a="1"/>
  <c r="B231" i="10" a="1"/>
  <c r="W122" i="5" a="1"/>
  <c r="AC8" i="58887" a="1"/>
  <c r="DW11" i="58884" a="1"/>
  <c r="Q95" i="5" a="1"/>
  <c r="P86" i="5" a="1"/>
  <c r="W109" i="5" a="1"/>
  <c r="U99" i="5" a="1"/>
  <c r="AR224" i="10" a="1"/>
  <c r="AG283" i="10" a="1"/>
  <c r="AN295" i="10" a="1"/>
  <c r="I203" i="58885" a="1"/>
  <c r="K75" i="5" a="1"/>
  <c r="K273" i="10" a="1"/>
  <c r="AE289" i="10" a="1"/>
  <c r="Y99" i="5" a="1"/>
  <c r="M267" i="10" a="1"/>
  <c r="V170" i="5" a="1"/>
  <c r="I145" i="5" a="1"/>
  <c r="Y192" i="5" a="1"/>
  <c r="N72" i="5" a="1"/>
  <c r="K299" i="10" a="1"/>
  <c r="W289" i="10" a="1"/>
  <c r="T185" i="5" a="1"/>
  <c r="O58" i="5" a="1"/>
  <c r="U170" i="5" a="1"/>
  <c r="I125" i="5" a="1"/>
  <c r="Y75" i="5" a="1"/>
  <c r="X85" i="5" a="1"/>
  <c r="R62" i="5" a="1"/>
  <c r="S93" i="5" a="1"/>
  <c r="U84" i="5" a="1"/>
  <c r="K103" i="5" a="1"/>
  <c r="M175" i="5" a="1"/>
  <c r="AV60" i="10" a="1"/>
  <c r="K68" i="5" a="1"/>
  <c r="I141" i="58885" a="1"/>
  <c r="T84" i="5" a="1"/>
  <c r="AV129" i="10" a="1"/>
  <c r="I228" i="58885" a="1"/>
  <c r="W80" i="5" a="1"/>
  <c r="T189" i="5" a="1"/>
  <c r="AG273" i="10" a="1"/>
  <c r="L129" i="5" a="1"/>
  <c r="K279" i="10" a="1"/>
  <c r="P164" i="5" a="1"/>
  <c r="J106" i="5" a="1"/>
  <c r="I198" i="58885" a="1"/>
  <c r="K125" i="5" a="1"/>
  <c r="DO55" i="58885" a="1"/>
  <c r="AL3" i="10" a="1"/>
  <c r="M189" i="5" a="1"/>
  <c r="AW177" i="10" a="1"/>
  <c r="AW142" i="10" a="1"/>
  <c r="K119" i="5" a="1"/>
  <c r="DO81" i="58885" a="1"/>
  <c r="AC293" i="10" a="1"/>
  <c r="AV210" i="10" a="1"/>
  <c r="Q59" i="5" a="1"/>
  <c r="I121" i="5" a="1"/>
  <c r="M152" i="5" a="1"/>
  <c r="Q69" i="5" a="1"/>
  <c r="U111" i="5" a="1"/>
  <c r="S68" i="5" a="1"/>
  <c r="I204" i="58885" a="1"/>
  <c r="P132" i="5" a="1"/>
  <c r="L55" i="5" a="1"/>
  <c r="AM295" i="10" a="1"/>
  <c r="L187" i="5" a="1"/>
  <c r="W103" i="5" a="1"/>
  <c r="Q77" i="5" a="1"/>
  <c r="X73" i="5" a="1"/>
  <c r="I125" i="58885" a="1"/>
  <c r="K58" i="5" a="1"/>
  <c r="I142" i="58885" a="1"/>
  <c r="J184" i="5" a="1"/>
  <c r="N87" i="5" a="1"/>
  <c r="T182" i="5" a="1"/>
  <c r="X152" i="5" a="1"/>
  <c r="T159" i="5" a="1"/>
  <c r="P96" i="5" a="1"/>
  <c r="Y124" i="5" a="1"/>
  <c r="S165" i="5" a="1"/>
  <c r="U301" i="10" a="1"/>
  <c r="AA4" i="58887" a="1"/>
  <c r="I88" i="5" a="1"/>
  <c r="N175" i="5" a="1"/>
  <c r="O155" i="5" a="1"/>
  <c r="M265" i="10" a="1"/>
  <c r="AK271" i="10" a="1"/>
  <c r="R293" i="10" a="1"/>
  <c r="B204" i="10" a="1"/>
  <c r="N85" i="5" a="1"/>
  <c r="AV268" i="10" a="1"/>
  <c r="R95" i="5" a="1"/>
  <c r="K66" i="5" a="1"/>
  <c r="G281" i="10" a="1"/>
  <c r="T61" i="5" a="1"/>
  <c r="Y87" i="5" a="1"/>
  <c r="J170" i="5" a="1"/>
  <c r="K78" i="5" a="1"/>
  <c r="M167" i="5" a="1"/>
  <c r="S122" i="5" a="1"/>
  <c r="U94" i="5" a="1"/>
  <c r="Q134" i="58887" a="1"/>
  <c r="V189" i="5" a="1"/>
  <c r="V147" i="5" a="1"/>
  <c r="M113" i="5" a="1"/>
  <c r="M275" i="10" a="1"/>
  <c r="M130" i="5" a="1"/>
  <c r="K176" i="5" a="1"/>
  <c r="U142" i="5" a="1"/>
  <c r="V72" i="5" a="1"/>
  <c r="AW70" i="10" a="1"/>
  <c r="S279" i="10" a="1"/>
  <c r="T176" i="5" a="1"/>
  <c r="X112" i="5" a="1"/>
  <c r="Y97" i="5" a="1"/>
  <c r="AV277" i="10" a="1"/>
  <c r="L3" i="10" a="1"/>
  <c r="AV299" i="10" a="1"/>
  <c r="O271" i="10" a="1"/>
  <c r="T90" i="5" a="1"/>
  <c r="AW120" i="10" a="1"/>
  <c r="T158" i="5" a="1"/>
  <c r="AV100" i="10" a="1"/>
  <c r="P66" i="5" a="1"/>
  <c r="O279" i="10" a="1"/>
  <c r="W139" i="5" a="1"/>
  <c r="U291" i="10" a="1"/>
  <c r="AV231" i="10" a="1"/>
  <c r="L175" i="5" a="1"/>
  <c r="P157" i="5" a="1"/>
  <c r="M188" i="5" a="1"/>
  <c r="L74" i="5" a="1"/>
  <c r="AV307" i="10" a="1"/>
  <c r="N183" i="5" a="1"/>
  <c r="T79" i="5" a="1"/>
  <c r="R90" i="5" a="1"/>
  <c r="Y67" i="5" a="1"/>
  <c r="W154" i="5" a="1"/>
  <c r="DO12" i="58885" a="1"/>
  <c r="S113" i="5" a="1"/>
  <c r="Y130" i="5" a="1"/>
  <c r="W295" i="10" a="1"/>
  <c r="M78" i="5" a="1"/>
  <c r="O106" i="5" a="1"/>
  <c r="DM184" i="58885" a="1"/>
  <c r="N103" i="5" a="1"/>
  <c r="W174" i="5" a="1"/>
  <c r="Y137" i="5" a="1"/>
  <c r="I146" i="5" a="1"/>
  <c r="X70" i="5" a="1"/>
  <c r="J113" i="5" a="1"/>
  <c r="DO168" i="58885" a="1"/>
  <c r="AI273" i="10" a="1"/>
  <c r="AV214" i="10" a="1"/>
  <c r="T130" i="5" a="1"/>
  <c r="AE297" i="10" a="1"/>
  <c r="AD297" i="10" a="1"/>
  <c r="U86" i="5" a="1"/>
  <c r="AW239" i="10" a="1"/>
  <c r="Y85" i="5" a="1"/>
  <c r="AW154" i="10" a="1"/>
  <c r="Q123" i="5" a="1"/>
  <c r="I281" i="10" a="1"/>
  <c r="AW117" i="10" a="1"/>
  <c r="M110" i="5" a="1"/>
  <c r="K261" i="10" a="1"/>
  <c r="S82" i="5" a="1"/>
  <c r="AW125" i="10" a="1"/>
  <c r="Q67" i="58887" a="1"/>
  <c r="R61" i="5" a="1"/>
  <c r="J139" i="5" a="1"/>
  <c r="Y174" i="5" a="1"/>
  <c r="T59" i="5" a="1"/>
  <c r="AA289" i="10" a="1"/>
  <c r="I92" i="5" a="1"/>
  <c r="AP6" i="58885" a="1"/>
  <c r="Y176" i="5" a="1"/>
  <c r="N162" i="5" a="1"/>
  <c r="U269" i="10" a="1"/>
  <c r="N92" i="5" a="1"/>
  <c r="O281" i="10" a="1"/>
  <c r="Y143" i="5" a="1"/>
  <c r="AV104" i="10" a="1"/>
  <c r="AI285" i="10" a="1"/>
  <c r="AV201" i="10" a="1"/>
  <c r="I96" i="5" a="1"/>
  <c r="Y3" i="10" a="1"/>
  <c r="I234" i="58885" a="1"/>
  <c r="X185" i="5" a="1"/>
  <c r="L128" i="5" a="1"/>
  <c r="AR206" i="10" a="1"/>
  <c r="V127" i="5" a="1"/>
  <c r="N3" i="10" a="1"/>
  <c r="AW178" i="10" a="1"/>
  <c r="Q137" i="58887" a="1"/>
  <c r="DM200" i="58885" a="1"/>
  <c r="W58" i="5" a="1"/>
  <c r="V295" i="10" a="1"/>
  <c r="I98" i="5" a="1"/>
  <c r="AW211" i="10" a="1"/>
  <c r="X163" i="5" a="1"/>
  <c r="N291" i="10" a="1"/>
  <c r="AV117" i="10" a="1"/>
  <c r="AV272" i="10" a="1"/>
  <c r="AD301" i="10" a="1"/>
  <c r="M150" i="5" a="1"/>
  <c r="P121" i="5" a="1"/>
  <c r="AV221" i="10" a="1"/>
  <c r="T154" i="5" a="1"/>
  <c r="DO44" i="58885" a="1"/>
  <c r="U88" i="5" a="1"/>
  <c r="Q85" i="58887" a="1"/>
  <c r="AV139" i="10" a="1"/>
  <c r="I127" i="5" a="1"/>
  <c r="X148" i="5" a="1"/>
  <c r="S142" i="5" a="1"/>
  <c r="AM273" i="10" a="1"/>
  <c r="AI289" i="10" a="1"/>
  <c r="N185" i="5" a="1"/>
  <c r="Q193" i="5" a="1"/>
  <c r="AW246" i="10" a="1"/>
  <c r="I68" i="5" a="1"/>
  <c r="O156" i="5" a="1"/>
  <c r="K281" i="10" a="1"/>
  <c r="AV263" i="10" a="1"/>
  <c r="I201" i="58885" a="1"/>
  <c r="K134" i="5" a="1"/>
  <c r="AO267" i="10" a="1"/>
  <c r="G283" i="10" a="1"/>
  <c r="Q86" i="58887" a="1"/>
  <c r="J174" i="5" a="1"/>
  <c r="AW79" i="10" a="1"/>
  <c r="V126" i="5" a="1"/>
  <c r="DO6" i="58885" a="1"/>
  <c r="X134" i="5" a="1"/>
  <c r="Q108" i="58887" a="1"/>
  <c r="P122" i="5" a="1"/>
  <c r="K122" i="5" a="1"/>
  <c r="AQ233" i="10" a="1"/>
  <c r="AW140" i="10" a="1"/>
  <c r="V157" i="5" a="1"/>
  <c r="Y62" i="5" a="1"/>
  <c r="S159" i="5" a="1"/>
  <c r="U295" i="10" a="1"/>
  <c r="T38" i="37"/>
  <c r="X171" i="5" a="1"/>
  <c r="W114" i="5" a="1"/>
  <c r="Y109" i="5" a="1"/>
  <c r="AV174" i="10" a="1"/>
  <c r="Q101" i="5" a="1"/>
  <c r="J117" i="5" a="1"/>
  <c r="DO147" i="58885" a="1"/>
  <c r="Q68" i="58887" a="1"/>
  <c r="P123" i="5" a="1"/>
  <c r="J177" i="5" a="1"/>
  <c r="T15" i="37"/>
  <c r="W66" i="5" a="1"/>
  <c r="B186" i="10" a="1"/>
  <c r="R295" i="10" a="1"/>
  <c r="S299" i="10" a="1"/>
  <c r="J192" i="5" a="1"/>
  <c r="DM209" i="58885" a="1"/>
  <c r="O57" i="5" a="1"/>
  <c r="W145" i="5" a="1"/>
  <c r="U157" i="5" a="1"/>
  <c r="N68" i="5" a="1"/>
  <c r="S297" i="10" a="1"/>
  <c r="R68" i="5" a="1"/>
  <c r="DO48" i="58885" a="1"/>
  <c r="J96" i="5" a="1"/>
  <c r="K96" i="5" a="1"/>
  <c r="DO82" i="58885" a="1"/>
  <c r="P137" i="5" a="1"/>
  <c r="W106" i="5" a="1"/>
  <c r="M297" i="10" a="1"/>
  <c r="AR218" i="10" a="1"/>
  <c r="X166" i="5" a="1"/>
  <c r="O107" i="5" a="1"/>
  <c r="I3" i="10" a="1"/>
  <c r="W63" i="5" a="1"/>
  <c r="K143" i="5" a="1"/>
  <c r="W76" i="5" a="1"/>
  <c r="O163" i="5" a="1"/>
  <c r="L59" i="5" a="1"/>
  <c r="J105" i="5" a="1"/>
  <c r="O174" i="5" a="1"/>
  <c r="N140" i="5" a="1"/>
  <c r="AE275" i="10" a="1"/>
  <c r="O59" i="5" a="1"/>
  <c r="Y115" i="5" a="1"/>
  <c r="O69" i="5" a="1"/>
  <c r="AW235" i="10" a="1"/>
  <c r="X106" i="5" a="1"/>
  <c r="M66" i="5" a="1"/>
  <c r="M301" i="10" a="1"/>
  <c r="AW193" i="10" a="1"/>
  <c r="AQ224" i="10" a="1"/>
  <c r="X115" i="5" a="1"/>
  <c r="O149" i="5" a="1"/>
  <c r="AW160" i="10" a="1"/>
  <c r="R112" i="5" a="1"/>
  <c r="AW197" i="10" a="1"/>
  <c r="P79" i="5" a="1"/>
  <c r="R60" i="5" a="1"/>
  <c r="I227" i="58885" a="1"/>
  <c r="Q73" i="5" a="1"/>
  <c r="V91" i="5" a="1"/>
  <c r="N59" i="5" a="1"/>
  <c r="U189" i="5" a="1"/>
  <c r="AV241" i="10" a="1"/>
  <c r="N98" i="5" a="1"/>
  <c r="AR200" i="10" a="1"/>
  <c r="DM247" i="58885" a="1"/>
  <c r="Q112" i="5" a="1"/>
  <c r="V131" i="5" a="1"/>
  <c r="M184" i="5" a="1"/>
  <c r="Y61" i="5" a="1"/>
  <c r="K148" i="5" a="1"/>
  <c r="Q102" i="5" a="1"/>
  <c r="DO67" i="58885" a="1"/>
  <c r="W129" i="5" a="1"/>
  <c r="Q54" i="58887" a="1"/>
  <c r="J143" i="5" a="1"/>
  <c r="K184" i="5" a="1"/>
  <c r="U131" i="5" a="1"/>
  <c r="I202" i="58885" a="1"/>
  <c r="R86" i="5" a="1"/>
  <c r="P110" i="5" a="1"/>
  <c r="J62" i="5" a="1"/>
  <c r="Y104" i="5" a="1"/>
  <c r="U82" i="5" a="1"/>
  <c r="R108" i="5" a="1"/>
  <c r="Q82" i="58887" a="1"/>
  <c r="T171" i="5" a="1"/>
  <c r="X180" i="5" a="1"/>
  <c r="AP299" i="10" a="1"/>
  <c r="DO21" i="58885" a="1"/>
  <c r="J175" i="5" a="1"/>
  <c r="AG261" i="10" a="1"/>
  <c r="O118" i="5" a="1"/>
  <c r="DW6" i="58884" a="1"/>
  <c r="J182" i="5" a="1"/>
  <c r="R131" i="5" a="1"/>
  <c r="DM223" i="58885" a="1"/>
  <c r="S134" i="5" a="1"/>
  <c r="V166" i="5" a="1"/>
  <c r="V168" i="5" a="1"/>
  <c r="AK293" i="10" a="1"/>
  <c r="B132" i="10" a="1"/>
  <c r="AC299" i="10" a="1"/>
  <c r="DO150" i="58885" a="1"/>
  <c r="O263" i="10" a="1"/>
  <c r="T91" i="5" a="1"/>
  <c r="I86" i="5" a="1"/>
  <c r="Q96" i="5" a="1"/>
  <c r="Y138" i="5" a="1"/>
  <c r="R143" i="5" a="1"/>
  <c r="R194" i="5" a="1"/>
  <c r="M277" i="10" a="1"/>
  <c r="DM186" i="58885" a="1"/>
  <c r="I76" i="5" a="1"/>
  <c r="I57" i="5" a="1"/>
  <c r="AO261" i="10" a="1"/>
  <c r="AV198" i="10" a="1"/>
  <c r="AR197" i="10" a="1"/>
  <c r="D3" i="10" a="1"/>
  <c r="O140" i="5" a="1"/>
  <c r="R133" i="5" a="1"/>
  <c r="K194" i="5" a="1"/>
  <c r="M143" i="5" a="1"/>
  <c r="S167" i="5" a="1"/>
  <c r="AL293" i="10" a="1"/>
  <c r="AK275" i="10" a="1"/>
  <c r="AV249" i="10" a="1"/>
  <c r="AV115" i="10" a="1"/>
  <c r="I211" i="58885" a="1"/>
  <c r="M96" i="5" a="1"/>
  <c r="S158" i="5" a="1"/>
  <c r="AV177" i="10" a="1"/>
  <c r="S163" i="5" a="1"/>
  <c r="AO293" i="10" a="1"/>
  <c r="J186" i="5" a="1"/>
  <c r="B117" i="10" a="1"/>
  <c r="AV147" i="10" a="1"/>
  <c r="T126" i="5" a="1"/>
  <c r="K168" i="5" a="1"/>
  <c r="J161" i="5" a="1"/>
  <c r="T148" i="5" a="1"/>
  <c r="Z293" i="10" a="1"/>
  <c r="AV303" i="10" a="1"/>
  <c r="N119" i="5" a="1"/>
  <c r="U3" i="10" a="1"/>
  <c r="W137" i="5" a="1"/>
  <c r="Q151" i="5" a="1"/>
  <c r="T167" i="5" a="1"/>
  <c r="M168" i="5" a="1"/>
  <c r="K62" i="5" a="1"/>
  <c r="I116" i="58885" a="1"/>
  <c r="M131" i="5" a="1"/>
  <c r="K151" i="5" a="1"/>
  <c r="Q130" i="5" a="1"/>
  <c r="O164" i="5" a="1"/>
  <c r="T36" i="37"/>
  <c r="AV168" i="10" a="1"/>
  <c r="X94" i="5" a="1"/>
  <c r="N130" i="5" a="1"/>
  <c r="Y299" i="10" a="1"/>
  <c r="K187" i="5" a="1"/>
  <c r="E3" i="10" a="1"/>
  <c r="M138" i="5" a="1"/>
  <c r="AK295" i="10" a="1"/>
  <c r="AQ122" i="10" a="1"/>
  <c r="I112" i="5" a="1"/>
  <c r="S66" i="5" a="1"/>
  <c r="P139" i="5" a="1"/>
  <c r="AJ293" i="10" a="1"/>
  <c r="V191" i="5" a="1"/>
  <c r="AV208" i="10" a="1"/>
  <c r="I232" i="58885" a="1"/>
  <c r="AW184" i="10" a="1"/>
  <c r="M109" i="5" a="1"/>
  <c r="AK283" i="10" a="1"/>
  <c r="AW130" i="10" a="1"/>
  <c r="L191" i="5" a="1"/>
  <c r="U148" i="5" a="1"/>
  <c r="S189" i="5" a="1"/>
  <c r="O179" i="5" a="1"/>
  <c r="S289" i="10" a="1"/>
  <c r="AV219" i="10" a="1"/>
  <c r="P177" i="5" a="1"/>
  <c r="U194" i="5" a="1"/>
  <c r="AD295" i="10" a="1"/>
  <c r="AV218" i="10" a="1"/>
  <c r="Y128" i="5" a="1"/>
  <c r="B174" i="10" a="1"/>
  <c r="R119" i="5" a="1"/>
  <c r="AV273" i="10" a="1"/>
  <c r="Q139" i="5" a="1"/>
  <c r="U143" i="5" a="1"/>
  <c r="J156" i="5" a="1"/>
  <c r="P151" i="5" a="1"/>
  <c r="I216" i="58885" a="1"/>
  <c r="T143" i="5" a="1"/>
  <c r="AE301" i="10" a="1"/>
  <c r="R136" i="5" a="1"/>
  <c r="T109" i="5" a="1"/>
  <c r="DM242" i="58885" a="1"/>
  <c r="AR221" i="10" a="1"/>
  <c r="S124" i="5" a="1"/>
  <c r="AF301" i="10" a="1"/>
  <c r="M83" i="5" a="1"/>
  <c r="P113" i="5" a="1"/>
  <c r="L181" i="5" a="1"/>
  <c r="W153" i="5" a="1"/>
  <c r="U150" i="5" a="1"/>
  <c r="K135" i="5" a="1"/>
  <c r="AO297" i="10" a="1"/>
  <c r="J88" i="5" a="1"/>
  <c r="N184" i="5" a="1"/>
  <c r="AC285" i="10" a="1"/>
  <c r="AV120" i="10" a="1"/>
  <c r="O81" i="5" a="1"/>
  <c r="M60" i="5" a="1"/>
  <c r="Q291" i="10" a="1"/>
  <c r="O287" i="10" a="1"/>
  <c r="R151" i="5" a="1"/>
  <c r="U281" i="10" a="1"/>
  <c r="W279" i="10" a="1"/>
  <c r="P119" i="5" a="1"/>
  <c r="T8" i="37"/>
  <c r="W271" i="10" a="1"/>
  <c r="Y114" i="5" a="1"/>
  <c r="I151" i="5" a="1"/>
  <c r="DW16" i="58884" a="1"/>
  <c r="S190" i="5" a="1"/>
  <c r="U275" i="10" a="1"/>
  <c r="P55" i="5" a="1"/>
  <c r="AV243" i="10" a="1"/>
  <c r="B219" i="10" a="1"/>
  <c r="W163" i="5" a="1"/>
  <c r="AH3" i="10" a="1"/>
  <c r="T194" i="5" a="1"/>
  <c r="AB291" i="10" a="1"/>
  <c r="AV66" i="10" a="1"/>
  <c r="O126" i="5" a="1"/>
  <c r="AJ301" i="10" a="1"/>
  <c r="K265" i="10" a="1"/>
  <c r="T139" i="5" a="1"/>
  <c r="Q76" i="5" a="1"/>
  <c r="AE277" i="10" a="1"/>
  <c r="AV73" i="10" a="1"/>
  <c r="X125" i="5" a="1"/>
  <c r="Q79" i="5" a="1"/>
  <c r="I186" i="58885" a="1"/>
  <c r="AV63" i="10" a="1"/>
  <c r="L189" i="5" a="1"/>
  <c r="B225" i="10" a="1"/>
  <c r="W142" i="5" a="1"/>
  <c r="DO63" i="58885" a="1"/>
  <c r="P188" i="5" a="1"/>
  <c r="B210" i="10" a="1"/>
  <c r="AV169" i="10" a="1"/>
  <c r="V299" i="10" a="1"/>
  <c r="T64" i="5" a="1"/>
  <c r="AV230" i="10" a="1"/>
  <c r="O145" i="5" a="1"/>
  <c r="I197" i="58885" a="1"/>
  <c r="W105" i="5" a="1"/>
  <c r="S69" i="5" a="1"/>
  <c r="AV192" i="10" a="1"/>
  <c r="I109" i="5" a="1"/>
  <c r="X135" i="5" a="1"/>
  <c r="V61" i="5" a="1"/>
  <c r="AW241" i="10" a="1"/>
  <c r="DM231" i="58885" a="1"/>
  <c r="AW196" i="10" a="1"/>
  <c r="DM212" i="58885" a="1"/>
  <c r="AW129" i="10" a="1"/>
  <c r="U173" i="5" a="1"/>
  <c r="T24" i="37"/>
  <c r="Y98" i="5" a="1"/>
  <c r="I219" i="58885" a="1"/>
  <c r="Y84" i="5" a="1"/>
  <c r="S70" i="5" a="1"/>
  <c r="R87" i="5" a="1"/>
  <c r="I129" i="58885" a="1"/>
  <c r="V70" i="5" a="1"/>
  <c r="K131" i="5" a="1"/>
  <c r="M82" i="5" a="1"/>
  <c r="L113" i="5" a="1"/>
  <c r="Q75" i="58887" a="1"/>
  <c r="J150" i="5" a="1"/>
  <c r="O113" i="5" a="1"/>
  <c r="Q139" i="58887" a="1"/>
  <c r="K87" i="5" a="1"/>
  <c r="S128" i="5" a="1"/>
  <c r="O189" i="5" a="1"/>
  <c r="AV74" i="10" a="1"/>
  <c r="AV220" i="10" a="1"/>
  <c r="K126" i="5" a="1"/>
  <c r="AV223" i="10" a="1"/>
  <c r="T187" i="5" a="1"/>
  <c r="S265" i="10" a="1"/>
  <c r="P69" i="5" a="1"/>
  <c r="AQ179" i="10" a="1"/>
  <c r="W55" i="5" a="1"/>
  <c r="AV314" i="10" a="1"/>
  <c r="I140" i="5" a="1"/>
  <c r="AP297" i="10" a="1"/>
  <c r="R166" i="5" a="1"/>
  <c r="Q99" i="5" a="1"/>
  <c r="L111" i="5" a="1"/>
  <c r="X95" i="5" a="1"/>
  <c r="AV138" i="10" a="1"/>
  <c r="AV189" i="10" a="1"/>
  <c r="O285" i="10" a="1"/>
  <c r="K74" i="5" a="1"/>
  <c r="AM269" i="10" a="1"/>
  <c r="I243" i="58885" a="1"/>
  <c r="AK269" i="10" a="1"/>
  <c r="N128" i="5" a="1"/>
  <c r="Q64" i="58887" a="1"/>
  <c r="M137" i="5" a="1"/>
  <c r="I193" i="58885" a="1"/>
  <c r="DO151" i="58885" a="1"/>
  <c r="AR215" i="10" a="1"/>
  <c r="AV184" i="10" a="1"/>
  <c r="Q152" i="5" a="1"/>
  <c r="T39" i="37"/>
  <c r="AW238" i="10" a="1"/>
  <c r="K174" i="5" a="1"/>
  <c r="T186" i="5" a="1"/>
  <c r="AF291" i="10" a="1"/>
  <c r="Q61" i="58887" a="1"/>
  <c r="J92" i="5" a="1"/>
  <c r="R67" i="5" a="1"/>
  <c r="AV244" i="10" a="1"/>
  <c r="O89" i="5" a="1"/>
  <c r="N71" i="5" a="1"/>
  <c r="K92" i="5" a="1"/>
  <c r="Y136" i="5" a="1"/>
  <c r="AV137" i="10" a="1"/>
  <c r="AM267" i="10" a="1"/>
  <c r="I182" i="5" a="1"/>
  <c r="M86" i="10"/>
  <c r="X194" i="5" a="1"/>
  <c r="DM222" i="58885" a="1"/>
  <c r="Q263" i="10" a="1"/>
  <c r="J78" i="5" a="1"/>
  <c r="DO58" i="58885" a="1"/>
  <c r="Q69" i="58887" a="1"/>
  <c r="AR119" i="10" a="1"/>
  <c r="T37" i="37"/>
  <c r="AV286" i="10" a="1"/>
  <c r="AB297" i="10" a="1"/>
  <c r="X155" i="5" a="1"/>
  <c r="U261" i="10" a="1"/>
  <c r="Q124" i="5" a="1"/>
  <c r="U134" i="5" a="1"/>
  <c r="M3" i="10" a="1"/>
  <c r="Q81" i="58887" a="1"/>
  <c r="P171" i="5" a="1"/>
  <c r="R107" i="5" a="1"/>
  <c r="I91" i="5" a="1"/>
  <c r="B144" i="10" a="1"/>
  <c r="AW60" i="10" a="1"/>
  <c r="Q55" i="5" a="1"/>
  <c r="J144" i="5" a="1"/>
  <c r="P109" i="5" a="1"/>
  <c r="AC273" i="10" a="1"/>
  <c r="W119" i="5" a="1"/>
  <c r="I130" i="5" a="1"/>
  <c r="Y140" i="5" a="1"/>
  <c r="K149" i="5" a="1"/>
  <c r="U144" i="5" a="1"/>
  <c r="M68" i="5" a="1"/>
  <c r="Q168" i="5" a="1"/>
  <c r="M86" i="5" a="1"/>
  <c r="AA287" i="10" a="1"/>
  <c r="Q83" i="5" a="1"/>
  <c r="DM193" i="58885" a="1"/>
  <c r="N171" i="5" a="1"/>
  <c r="N89" i="5" a="1"/>
  <c r="AV70" i="10" a="1"/>
  <c r="I119" i="5" a="1"/>
  <c r="Y57" i="5" a="1"/>
  <c r="U68" i="5" a="1"/>
  <c r="N81" i="5" a="1"/>
  <c r="I114" i="58885" a="1"/>
  <c r="V95" i="5" a="1"/>
  <c r="I121" i="58885" a="1"/>
  <c r="I65" i="5" a="1"/>
  <c r="AI297" i="10" a="1"/>
  <c r="DO179" i="58885" a="1"/>
  <c r="G277" i="10" a="1"/>
  <c r="P301" i="10" a="1"/>
  <c r="N299" i="10" a="1"/>
  <c r="AW206" i="10" a="1"/>
  <c r="AM287" i="10" a="1"/>
  <c r="S67" i="5" a="1"/>
  <c r="R178" i="5" a="1"/>
  <c r="AW71" i="10" a="1"/>
  <c r="M101" i="5" a="1"/>
  <c r="O194" i="5" a="1"/>
  <c r="AC289" i="10" a="1"/>
  <c r="AW167" i="10" a="1"/>
  <c r="Q145" i="5" a="1"/>
  <c r="O130" i="5" a="1"/>
  <c r="B192" i="10" a="1"/>
  <c r="O159" i="5" a="1"/>
  <c r="R170" i="5" a="1"/>
  <c r="AV178" i="10" a="1"/>
  <c r="AK299" i="10" a="1"/>
  <c r="B177" i="10" a="1"/>
  <c r="B150" i="10" a="1"/>
  <c r="P149" i="5" a="1"/>
  <c r="R105" i="5" a="1"/>
  <c r="W156" i="5" a="1"/>
  <c r="S110" i="5" a="1"/>
  <c r="I137" i="58885" a="1"/>
  <c r="U181" i="5" a="1"/>
  <c r="L103" i="5" a="1"/>
  <c r="W62" i="5" a="1"/>
  <c r="P153" i="5" a="1"/>
  <c r="V105" i="5" a="1"/>
  <c r="J102" i="5" a="1"/>
  <c r="N188" i="5" a="1"/>
  <c r="L125" i="5" a="1"/>
  <c r="Y80" i="5" a="1"/>
  <c r="I138" i="5" a="1"/>
  <c r="AG297" i="10" a="1"/>
  <c r="Y145" i="5" a="1"/>
  <c r="DO80" i="58885" a="1"/>
  <c r="R88" i="5" a="1"/>
  <c r="V94" i="5" a="1"/>
  <c r="DO59" i="58885" a="1"/>
  <c r="AW216" i="10" a="1"/>
  <c r="AL299" i="10" a="1"/>
  <c r="P65" i="5" a="1"/>
  <c r="M283" i="10" a="1"/>
  <c r="W89" i="5" a="1"/>
  <c r="I126" i="5" a="1"/>
  <c r="K186" i="5" a="1"/>
  <c r="AV173" i="10" a="1"/>
  <c r="X60" i="5" a="1"/>
  <c r="W131" i="5" a="1"/>
  <c r="S97" i="5" a="1"/>
  <c r="Q96" i="58887" a="1"/>
  <c r="AQ230" i="10" a="1"/>
  <c r="Y139" i="5" a="1"/>
  <c r="Q299" i="10" a="1"/>
  <c r="U190" i="5" a="1"/>
  <c r="W293" i="10" a="1"/>
  <c r="P148" i="5" a="1"/>
  <c r="AP293" i="10" a="1"/>
  <c r="Q142" i="5" a="1"/>
  <c r="Q58" i="58887" a="1"/>
  <c r="R63" i="5" a="1"/>
  <c r="I189" i="5" a="1"/>
  <c r="B153" i="10" a="1"/>
  <c r="AV128" i="10" a="1"/>
  <c r="N176" i="5" a="1"/>
  <c r="AV205" i="10" a="1"/>
  <c r="K289" i="10" a="1"/>
  <c r="I289" i="10" a="1"/>
  <c r="T299" i="10" a="1"/>
  <c r="L105" i="5" a="1"/>
  <c r="U151" i="5" a="1"/>
  <c r="I117" i="5" a="1"/>
  <c r="AM265" i="10" a="1"/>
  <c r="R142" i="5" a="1"/>
  <c r="AV148" i="10" a="1"/>
  <c r="I301" i="10" a="1"/>
  <c r="Q71" i="5" a="1"/>
  <c r="I155" i="5" a="1"/>
  <c r="T151" i="5" a="1"/>
  <c r="Q158" i="58887" a="1"/>
  <c r="N139" i="5" a="1"/>
  <c r="Q155" i="5" a="1"/>
  <c r="I113" i="58885" a="1"/>
  <c r="K112" i="5" a="1"/>
  <c r="T164" i="5" a="1"/>
  <c r="AN297" i="10" a="1"/>
  <c r="Q93" i="58887" a="1"/>
  <c r="P147" i="5" a="1"/>
  <c r="W92" i="5" a="1"/>
  <c r="DW12" i="58884" a="1"/>
  <c r="AV206" i="10" a="1"/>
  <c r="N90" i="5" a="1"/>
  <c r="AH297" i="10" a="1"/>
  <c r="J133" i="5" a="1"/>
  <c r="J125" i="5" a="1"/>
  <c r="Q141" i="58887" a="1"/>
  <c r="J99" i="5" a="1"/>
  <c r="X183" i="5" a="1"/>
  <c r="AG3" i="10" a="1"/>
  <c r="U97" i="5" a="1"/>
  <c r="AV242" i="10" a="1"/>
  <c r="AK285" i="10" a="1"/>
  <c r="B237" i="10" a="1"/>
  <c r="X190" i="5" a="1"/>
  <c r="P64" i="5" a="1"/>
  <c r="M190" i="5" a="1"/>
  <c r="U95" i="5" a="1"/>
  <c r="U89" i="5" a="1"/>
  <c r="N181" i="5" a="1"/>
  <c r="Q66" i="58887" a="1"/>
  <c r="Q90" i="5" a="1"/>
  <c r="AV4" i="10" a="1"/>
  <c r="P159" i="5" a="1"/>
  <c r="T128" i="5" a="1"/>
  <c r="AC291" i="10" a="1"/>
  <c r="L301" i="10" a="1"/>
  <c r="Q101" i="58887" a="1"/>
  <c r="AV101" i="10" a="1"/>
  <c r="Y56" i="5" a="1"/>
  <c r="M256" i="10"/>
  <c r="X146" i="5" a="1"/>
  <c r="T13" i="37"/>
  <c r="J176" i="5" a="1"/>
  <c r="W187" i="5" a="1"/>
  <c r="L165" i="5" a="1"/>
  <c r="R127" i="5" a="1"/>
  <c r="Q170" i="5" a="1"/>
  <c r="N173" i="5" a="1"/>
  <c r="U83" i="5" a="1"/>
  <c r="U108" i="5" a="1"/>
  <c r="R122" i="5" a="1"/>
  <c r="AR179" i="10" a="1"/>
  <c r="AV140" i="10" a="1"/>
  <c r="N120" i="5" a="1"/>
  <c r="Q141" i="5" a="1"/>
  <c r="AW188" i="10" a="1"/>
  <c r="R57" i="5" a="1"/>
  <c r="T3" i="10" a="1"/>
  <c r="P92" i="5" a="1"/>
  <c r="K191" i="5" a="1"/>
  <c r="V163" i="5" a="1"/>
  <c r="DO27" i="58885" a="1"/>
  <c r="W285" i="10" a="1"/>
  <c r="DO17" i="58885" a="1"/>
  <c r="Y113" i="5" a="1"/>
  <c r="V56" i="5" a="1"/>
  <c r="O125" i="5" a="1"/>
  <c r="W189" i="5" a="1"/>
  <c r="AV152" i="10" a="1"/>
  <c r="L99" i="5" a="1"/>
  <c r="V140" i="5" a="1"/>
  <c r="Y102" i="5" a="1"/>
  <c r="P178" i="5" a="1"/>
  <c r="T173" i="5" a="1"/>
  <c r="Q50" i="58887" a="1"/>
  <c r="S147" i="5" a="1"/>
  <c r="AA301" i="10" a="1"/>
  <c r="K163" i="5" a="1"/>
  <c r="DO51" i="58885" a="1"/>
  <c r="I169" i="5" a="1"/>
  <c r="AV114" i="10" a="1"/>
  <c r="U62" i="5" a="1"/>
  <c r="AV311" i="10" a="1"/>
  <c r="M164" i="5" a="1"/>
  <c r="L122" i="5" a="1"/>
  <c r="AQ131" i="10" a="1"/>
  <c r="Y153" i="5" a="1"/>
  <c r="AI267" i="10" a="1"/>
  <c r="M291" i="10" a="1"/>
  <c r="U153" i="5" a="1"/>
  <c r="M58" i="5" a="1"/>
  <c r="L71" i="5" a="1"/>
  <c r="T117" i="5" a="1"/>
  <c r="L182" i="5" a="1"/>
  <c r="AV270" i="10" a="1"/>
  <c r="AG287" i="10" a="1"/>
  <c r="I210" i="58885" a="1"/>
  <c r="N146" i="5" a="1"/>
  <c r="N125" i="5" a="1"/>
  <c r="P193" i="5" a="1"/>
  <c r="T115" i="5" a="1"/>
  <c r="I61" i="5" a="1"/>
  <c r="S295" i="10" a="1"/>
  <c r="M85" i="5" a="1"/>
  <c r="AV254" i="10" a="1"/>
  <c r="I140" i="58885" a="1"/>
  <c r="T149" i="5" a="1"/>
  <c r="AV246" i="10" a="1"/>
  <c r="AW63" i="10" a="1"/>
  <c r="AW82" i="10" a="1"/>
  <c r="U56" i="5" a="1"/>
  <c r="V256" i="10"/>
  <c r="M119" i="5" a="1"/>
  <c r="Y83" i="5" a="1"/>
  <c r="J112" i="5" a="1"/>
  <c r="Y165" i="5" a="1"/>
  <c r="AO301" i="10" a="1"/>
  <c r="Q22" i="58887" a="1"/>
  <c r="N133" i="5" a="1"/>
  <c r="AW169" i="10" a="1"/>
  <c r="S59" i="5" a="1"/>
  <c r="U69" i="5" a="1"/>
  <c r="Y65" i="5" a="1"/>
  <c r="AI299" i="10" a="1"/>
  <c r="T118" i="5" a="1"/>
  <c r="I246" i="58885" a="1"/>
  <c r="Q173" i="5" a="1"/>
  <c r="I67" i="5" a="1"/>
  <c r="W151" i="5" a="1"/>
  <c r="L108" i="5" a="1"/>
  <c r="L58" i="5" a="1"/>
  <c r="AR3" i="10" a="1"/>
  <c r="Z112" i="5"/>
  <c r="L136" i="5" a="1"/>
  <c r="P105" i="5" a="1"/>
  <c r="S273" i="10" a="1"/>
  <c r="I133" i="5" a="1"/>
  <c r="Q114" i="5" a="1"/>
  <c r="DW14" i="58884" a="1"/>
  <c r="V117" i="5" a="1"/>
  <c r="U115" i="5" a="1"/>
  <c r="L145" i="5" a="1"/>
  <c r="U104" i="5" a="1"/>
  <c r="M194" i="5" a="1"/>
  <c r="AI277" i="10" a="1"/>
  <c r="L97" i="5" a="1"/>
  <c r="P108" i="5" a="1"/>
  <c r="AR203" i="10" a="1"/>
  <c r="Y111" i="5" a="1"/>
  <c r="DM206" i="58885" a="1"/>
  <c r="Q24" i="58887" a="1"/>
  <c r="W265" i="10" a="1"/>
  <c r="AW145" i="10" a="1"/>
  <c r="M59" i="5" a="1"/>
  <c r="B138" i="10" a="1"/>
  <c r="Q68" i="5" a="1"/>
  <c r="L127" i="5" a="1"/>
  <c r="V156" i="5" a="1"/>
  <c r="K161" i="5" a="1"/>
  <c r="DO53" i="58885" a="1"/>
  <c r="J127" i="5" a="1"/>
  <c r="DM214" i="58885" a="1"/>
  <c r="DO57" i="58885" a="1"/>
  <c r="AK265" i="10" a="1"/>
  <c r="AW220" i="10" a="1"/>
  <c r="AA273" i="10" a="1"/>
  <c r="M186" i="5" a="1"/>
  <c r="AW207" i="10" a="1"/>
  <c r="U91" i="5" a="1"/>
  <c r="I239" i="58885" a="1"/>
  <c r="K100" i="5" a="1"/>
  <c r="Q129" i="5" a="1"/>
  <c r="AV269" i="10" a="1"/>
  <c r="DO161" i="58885" a="1"/>
  <c r="AQ191" i="10" a="1"/>
  <c r="W83" i="5" a="1"/>
  <c r="Q12" i="58887" a="1"/>
  <c r="P162" i="5" a="1"/>
  <c r="X128" i="5" a="1"/>
  <c r="N77" i="5" a="1"/>
  <c r="I242" i="58885" a="1"/>
  <c r="V293" i="10" a="1"/>
  <c r="Q191" i="5" a="1"/>
  <c r="AV262" i="10" a="1"/>
  <c r="R152" i="5" a="1"/>
  <c r="Q45" i="58887" a="1"/>
  <c r="V99" i="5" a="1"/>
  <c r="R150" i="5" a="1"/>
  <c r="DO167" i="58885" a="1"/>
  <c r="Q59" i="58887" a="1"/>
  <c r="AV283" i="10" a="1"/>
  <c r="L156" i="5" a="1"/>
  <c r="R130" i="5" a="1"/>
  <c r="R91" i="5" a="1"/>
  <c r="M77" i="5" a="1"/>
  <c r="M141" i="5" a="1"/>
  <c r="S301" i="10" a="1"/>
  <c r="AV149" i="10" a="1"/>
  <c r="L163" i="5" a="1"/>
  <c r="X150" i="5" a="1"/>
  <c r="L176" i="5" a="1"/>
  <c r="K81" i="5" a="1"/>
  <c r="Q77" i="58887" a="1"/>
  <c r="K3" i="58853" a="1"/>
  <c r="W85" i="5" a="1"/>
  <c r="V139" i="5" a="1"/>
  <c r="T152" i="5" a="1"/>
  <c r="S261" i="10" a="1"/>
  <c r="DO89" i="58885" a="1"/>
  <c r="N150" i="5" a="1"/>
  <c r="X100" i="5" a="1"/>
  <c r="S194" i="5" a="1"/>
  <c r="Z197" i="5"/>
  <c r="T7" i="37"/>
  <c r="F105" i="10"/>
  <c r="U57" i="5" a="1"/>
  <c r="X90" i="5" a="1"/>
  <c r="N104" i="5" a="1"/>
  <c r="T104" i="5" a="1"/>
  <c r="Q140" i="5" a="1"/>
  <c r="DO155" i="58885" a="1"/>
  <c r="DM197" i="58885" a="1"/>
  <c r="P174" i="5" a="1"/>
  <c r="R113" i="5" a="1"/>
  <c r="AW73" i="10" a="1"/>
  <c r="AV308" i="10" a="1"/>
  <c r="AC281" i="10" a="1"/>
  <c r="AC297" i="10" a="1"/>
  <c r="P3" i="10" a="1"/>
  <c r="K108" i="5" a="1"/>
  <c r="P90" i="5" a="1"/>
  <c r="T161" i="5" a="1"/>
  <c r="Y189" i="5" a="1"/>
  <c r="V112" i="10"/>
  <c r="I104" i="58885" a="1"/>
  <c r="N4" i="37" a="1"/>
  <c r="T19" i="37"/>
  <c r="AW166" i="10" a="1"/>
  <c r="P299" i="10" a="1"/>
  <c r="W68" i="5" a="1"/>
  <c r="Y151" i="5" a="1"/>
  <c r="N131" i="5" a="1"/>
  <c r="Q150" i="5" a="1"/>
  <c r="S129" i="5" a="1"/>
  <c r="B246" i="10" a="1"/>
  <c r="M147" i="5" a="1"/>
  <c r="L160" i="5" a="1"/>
  <c r="AQ140" i="10" a="1"/>
  <c r="T67" i="5" a="1"/>
  <c r="AV187" i="10" a="1"/>
  <c r="M65" i="5" a="1"/>
  <c r="AL256" i="10"/>
  <c r="C105" i="10"/>
  <c r="AV9" i="10" a="1"/>
  <c r="K170" i="5" a="1"/>
  <c r="AV302" i="10" a="1"/>
  <c r="I254" i="58885" a="1"/>
  <c r="DM241" i="58885" a="1"/>
  <c r="S160" i="5" a="1"/>
  <c r="L77" i="5" a="1"/>
  <c r="O70" i="5" a="1"/>
  <c r="AW205" i="10" a="1"/>
  <c r="V161" i="5" a="1"/>
  <c r="N143" i="5" a="1"/>
  <c r="I110" i="5" a="1"/>
  <c r="W299" i="10" a="1"/>
  <c r="R73" i="5" a="1"/>
  <c r="S161" i="5" a="1"/>
  <c r="AW75" i="10" a="1"/>
  <c r="AV279" i="10" a="1"/>
  <c r="I100" i="58885" a="1"/>
  <c r="V102" i="5" a="1"/>
  <c r="Q100" i="5" a="1"/>
  <c r="AJ4" i="58885" a="1"/>
  <c r="R76" i="5" a="1"/>
  <c r="Y125" i="5" a="1"/>
  <c r="AM285" i="10" a="1"/>
  <c r="U85" i="5" a="1"/>
  <c r="B222" i="10" a="1"/>
  <c r="V73" i="5" a="1"/>
  <c r="AG295" i="10" a="1"/>
  <c r="X167" i="5" a="1"/>
  <c r="P59" i="5" a="1"/>
  <c r="AV284" i="10" a="1"/>
  <c r="AH299" i="10" a="1"/>
  <c r="L91" i="5" a="1"/>
  <c r="N172" i="5" a="1"/>
  <c r="Y78" i="5" a="1"/>
  <c r="I108" i="58885" a="1"/>
  <c r="T174" i="5" a="1"/>
  <c r="DO173" i="58885" a="1"/>
  <c r="DO92" i="58885" a="1"/>
  <c r="M261" i="10" a="1"/>
  <c r="R129" i="5" a="1"/>
  <c r="Q134" i="5" a="1"/>
  <c r="X111" i="5" a="1"/>
  <c r="R58" i="5" a="1"/>
  <c r="DO77" i="58885" a="1"/>
  <c r="AV156" i="10" a="1"/>
  <c r="K106" i="5" a="1"/>
  <c r="L63" i="5" a="1"/>
  <c r="R176" i="5" a="1"/>
  <c r="I97" i="5" a="1"/>
  <c r="AV111" i="10" a="1"/>
  <c r="W177" i="5" a="1"/>
  <c r="X159" i="5" a="1"/>
  <c r="Q121" i="5" a="1"/>
  <c r="S61" i="5" a="1"/>
  <c r="AW226" i="10" a="1"/>
  <c r="AG277" i="10" a="1"/>
  <c r="Q155" i="58887" a="1"/>
  <c r="I176" i="5" a="1"/>
  <c r="Y158" i="5" a="1"/>
  <c r="O151" i="5" a="1"/>
  <c r="S75" i="5" a="1"/>
  <c r="P103" i="5" a="1"/>
  <c r="D309" i="10"/>
  <c r="AO285" i="10" a="1"/>
  <c r="M64" i="5" a="1"/>
  <c r="M279" i="10" a="1"/>
  <c r="J64" i="5" a="1"/>
  <c r="J138" i="5" a="1"/>
  <c r="W65" i="5" a="1"/>
  <c r="O76" i="5" a="1"/>
  <c r="AA293" i="10" a="1"/>
  <c r="Q110" i="58887" a="1"/>
  <c r="AQ242" i="10" a="1"/>
  <c r="AO271" i="10" a="1"/>
  <c r="AV123" i="10" a="1"/>
  <c r="AV259" i="10" a="1"/>
  <c r="X116" i="5" a="1"/>
  <c r="X145" i="5" a="1"/>
  <c r="DM234" i="58885" a="1"/>
  <c r="AS3" i="10" a="1"/>
  <c r="M89" i="5" a="1"/>
  <c r="O3" i="10" a="1"/>
  <c r="AW126" i="10" a="1"/>
  <c r="Y283" i="10" a="1"/>
  <c r="V80" i="5" a="1"/>
  <c r="DM195" i="58885" a="1"/>
  <c r="DW9" i="58884" a="1"/>
  <c r="R118" i="5" a="1"/>
  <c r="I123" i="5" a="1"/>
  <c r="N301" i="10" a="1"/>
  <c r="DO156" i="58885" a="1"/>
  <c r="M153" i="5" a="1"/>
  <c r="T116" i="5" a="1"/>
  <c r="X295" i="10" a="1"/>
  <c r="X301" i="10" a="1"/>
  <c r="AW93" i="10" a="1"/>
  <c r="N132" i="5" a="1"/>
  <c r="U293" i="10" a="1"/>
  <c r="L87" i="5" a="1"/>
  <c r="T34" i="37"/>
  <c r="O166" i="5" a="1"/>
  <c r="I101" i="58885" a="1"/>
  <c r="G275" i="10" a="1"/>
  <c r="Q98" i="5" a="1"/>
  <c r="N177" i="5" a="1"/>
  <c r="T16" i="37"/>
  <c r="V165" i="5" a="1"/>
  <c r="W188" i="5" a="1"/>
  <c r="K109" i="5" a="1"/>
  <c r="DO16" i="58885" a="1"/>
  <c r="AA295" i="10" a="1"/>
  <c r="P146" i="5" a="1"/>
  <c r="Q157" i="5" a="1"/>
  <c r="AV77" i="10" a="1"/>
  <c r="Y291" i="10" a="1"/>
  <c r="M90" i="5" a="1"/>
  <c r="I105" i="5" a="1"/>
  <c r="AV287" i="10" a="1"/>
  <c r="J180" i="5" a="1"/>
  <c r="AV264" i="10" a="1"/>
  <c r="AW133" i="10" a="1"/>
  <c r="DM224" i="58885" a="1"/>
  <c r="V297" i="10" a="1"/>
  <c r="W101" i="5" a="1"/>
  <c r="U279" i="10" a="1"/>
  <c r="I149" i="5" a="1"/>
  <c r="J74" i="5" a="1"/>
  <c r="S143" i="5" a="1"/>
  <c r="I253" i="58885" a="1"/>
  <c r="N178" i="5" a="1"/>
  <c r="L98" i="5" a="1"/>
  <c r="Q165" i="5" a="1"/>
  <c r="AQ248" i="10" a="1"/>
  <c r="W74" i="5" a="1"/>
  <c r="V185" i="5" a="1"/>
  <c r="AP295" i="10" a="1"/>
  <c r="N127" i="5" a="1"/>
  <c r="M103" i="5" a="1"/>
  <c r="AV97" i="10" a="1"/>
  <c r="X189" i="5" a="1"/>
  <c r="I206" i="58885" a="1"/>
  <c r="H301" i="10" a="1"/>
  <c r="G263" i="10" a="1"/>
  <c r="O299" i="10" a="1"/>
  <c r="T6" i="37"/>
  <c r="AG299" i="10" a="1"/>
  <c r="I95" i="5" a="1"/>
  <c r="R145" i="5" a="1"/>
  <c r="I107" i="58885" a="1"/>
  <c r="AQ221" i="10" a="1"/>
  <c r="AR137" i="10" a="1"/>
  <c r="N186" i="5" a="1"/>
  <c r="AB295" i="10" a="1"/>
  <c r="X103" i="5" a="1"/>
  <c r="N57" i="5" a="1"/>
  <c r="K63" i="5" a="1"/>
  <c r="Q16" i="58887" a="1"/>
  <c r="X120" i="5" a="1"/>
  <c r="AW240" i="10" a="1"/>
  <c r="M73" i="5" a="1"/>
  <c r="N76" i="5" a="1"/>
  <c r="P85" i="5" a="1"/>
  <c r="L152" i="5" a="1"/>
  <c r="J58" i="5" a="1"/>
  <c r="O115" i="5" a="1"/>
  <c r="W281" i="10" a="1"/>
  <c r="V180" i="5" a="1"/>
  <c r="Q160" i="5" a="1"/>
  <c r="AC263" i="10" a="1"/>
  <c r="Q267" i="10" a="1"/>
  <c r="W59" i="5" a="1"/>
  <c r="W121" i="5" a="1"/>
  <c r="S107" i="5" a="1"/>
  <c r="I189" i="58885" a="1"/>
  <c r="AM263" i="10" a="1"/>
  <c r="L90" i="5" a="1"/>
  <c r="V194" i="5" a="1"/>
  <c r="V167" i="5" a="1"/>
  <c r="W97" i="5" a="1"/>
  <c r="K80" i="5" a="1"/>
  <c r="AM297" i="10" a="1"/>
  <c r="AW242" i="10" a="1"/>
  <c r="V119" i="5" a="1"/>
  <c r="V122" i="5" a="1"/>
  <c r="DM230" i="58885" a="1"/>
  <c r="I163" i="5" a="1"/>
  <c r="AI287" i="10" a="1"/>
  <c r="U87" i="5" a="1"/>
  <c r="I94" i="5" a="1"/>
  <c r="I170" i="5" a="1"/>
  <c r="AW214" i="10" a="1"/>
  <c r="AW74" i="10" a="1"/>
  <c r="AW201" i="10" a="1"/>
  <c r="J293" i="10" a="1"/>
  <c r="U172" i="5" a="1"/>
  <c r="Q72" i="58887" a="1"/>
  <c r="M151" i="5" a="1"/>
  <c r="Q157" i="58887" a="1"/>
  <c r="P83" i="5" a="1"/>
  <c r="I285" i="10" a="1"/>
  <c r="AW173" i="10" a="1"/>
  <c r="X193" i="5" a="1"/>
  <c r="I109" i="58885" a="1"/>
  <c r="J148" i="5" a="1"/>
  <c r="Q51" i="58887" a="1"/>
  <c r="I265" i="10" a="1"/>
  <c r="L82" i="5" a="1"/>
  <c r="AQ173" i="10" a="1"/>
  <c r="DO54" i="58885" a="1"/>
  <c r="H3" i="10" a="1"/>
  <c r="K287" i="10" a="1"/>
  <c r="O158" i="5" a="1"/>
  <c r="L297" i="10" a="1"/>
  <c r="S146" i="5" a="1"/>
  <c r="L299" i="10" a="1"/>
  <c r="O139" i="5" a="1"/>
  <c r="BO8" i="58887" a="1"/>
  <c r="AW250" i="10" a="1"/>
  <c r="X164" i="5" a="1"/>
  <c r="Q189" i="5" a="1"/>
  <c r="DO153" i="58885" a="1"/>
  <c r="X192" i="5" a="1"/>
  <c r="W110" i="5" a="1"/>
  <c r="W164" i="5" a="1"/>
  <c r="AG285" i="10" a="1"/>
  <c r="I63" i="5" a="1"/>
  <c r="V86" i="5" a="1"/>
  <c r="M287" i="10" a="1"/>
  <c r="J178" i="5" a="1"/>
  <c r="Q150" i="58887" a="1"/>
  <c r="P127" i="5" a="1"/>
  <c r="Q74" i="58887" a="1"/>
  <c r="L151" i="5" a="1"/>
  <c r="AV292" i="10" a="1"/>
  <c r="J81" i="5" a="1"/>
  <c r="Z122" i="5"/>
  <c r="M63" i="5" a="1"/>
  <c r="O171" i="5" a="1"/>
  <c r="P176" i="5" a="1"/>
  <c r="S84" i="5" a="1"/>
  <c r="AA297" i="10" a="1"/>
  <c r="B243" i="10" a="1"/>
  <c r="O66" i="5" a="1"/>
  <c r="DO166" i="58885" a="1"/>
  <c r="P73" i="5" a="1"/>
  <c r="U165" i="5" a="1"/>
  <c r="O177" i="5" a="1"/>
  <c r="DO23" i="58885" a="1"/>
  <c r="I177" i="5" a="1"/>
  <c r="DO72" i="58885" a="1"/>
  <c r="J173" i="5" a="1"/>
  <c r="AV161" i="10" a="1"/>
  <c r="W57" i="5" a="1"/>
  <c r="T10" i="37"/>
  <c r="I271" i="10" a="1"/>
  <c r="AW232" i="10" a="1"/>
  <c r="T73" i="5" a="1"/>
  <c r="J72" i="5" a="1"/>
  <c r="DM221" i="58885" a="1"/>
  <c r="X149" i="5" a="1"/>
  <c r="P129" i="5" a="1"/>
  <c r="I248" i="58885" a="1"/>
  <c r="AW164" i="10" a="1"/>
  <c r="W84" i="5" a="1"/>
  <c r="Q164" i="5" a="1"/>
  <c r="T98" i="5" a="1"/>
  <c r="AQ206" i="10" a="1"/>
  <c r="Z297" i="10" a="1"/>
  <c r="I148" i="5" a="1"/>
  <c r="R93" i="5" a="1"/>
  <c r="DO73" i="58885" a="1"/>
  <c r="AV281" i="10" a="1"/>
  <c r="W64" i="5" a="1"/>
  <c r="Y119" i="5" a="1"/>
  <c r="M95" i="5" a="1"/>
  <c r="Y4" i="37" a="1"/>
  <c r="X66" i="5" a="1"/>
  <c r="V190" i="5" a="1"/>
  <c r="I188" i="5" a="1"/>
  <c r="Y73" i="5" a="1"/>
  <c r="AK261" i="10" a="1"/>
  <c r="J73" i="5" a="1"/>
  <c r="J107" i="5" a="1"/>
  <c r="N93" i="5" a="1"/>
  <c r="AC301" i="10" a="1"/>
  <c r="AF3" i="10" a="1"/>
  <c r="W169" i="5" a="1"/>
  <c r="L104" i="5" a="1"/>
  <c r="I141" i="5" a="1"/>
  <c r="T57" i="5" a="1"/>
  <c r="O291" i="10" a="1"/>
  <c r="V291" i="10" a="1"/>
  <c r="DO84" i="58885" a="1"/>
  <c r="AK3" i="10" a="1"/>
  <c r="I273" i="10" a="1"/>
  <c r="S149" i="5" a="1"/>
  <c r="P152" i="5" a="1"/>
  <c r="O111" i="5" a="1"/>
  <c r="K158" i="5" a="1"/>
  <c r="U76" i="5" a="1"/>
  <c r="I129" i="5" a="1"/>
  <c r="B3" i="10" a="1"/>
  <c r="R156" i="5" a="1"/>
  <c r="U283" i="10" a="1"/>
  <c r="P100" i="5" a="1"/>
  <c r="T29" i="37"/>
  <c r="M107" i="5" a="1"/>
  <c r="AM291" i="10" a="1"/>
  <c r="X114" i="5" a="1"/>
  <c r="I182" i="58885" a="1"/>
  <c r="AH293" i="10" a="1"/>
  <c r="AV62" i="10" a="1"/>
  <c r="AO291" i="10" a="1"/>
  <c r="N156" i="5" a="1"/>
  <c r="P190" i="5" a="1"/>
  <c r="T25" i="37"/>
  <c r="AR212" i="10" a="1"/>
  <c r="AA291" i="10" a="1"/>
  <c r="S83" i="5" a="1"/>
  <c r="AD293" i="10" a="1"/>
  <c r="AV282" i="10" a="1"/>
  <c r="I231" i="58885" a="1"/>
  <c r="V71" i="5" a="1"/>
  <c r="AV72" i="10" a="1"/>
  <c r="V96" i="5" a="1"/>
  <c r="DM243" i="58885" a="1"/>
  <c r="Q293" i="10" a="1"/>
  <c r="AW159" i="10" a="1"/>
  <c r="AE261" i="10" a="1"/>
  <c r="L86" i="5" a="1"/>
  <c r="AQ155" i="10" a="1"/>
  <c r="M105" i="5" a="1"/>
  <c r="AN3" i="10" a="1"/>
  <c r="N65" i="5" a="1"/>
  <c r="W130" i="5" a="1"/>
  <c r="Q70" i="5" a="1"/>
  <c r="G265" i="10" a="1"/>
  <c r="DO14" i="58885" a="1"/>
  <c r="AV199" i="10" a="1"/>
  <c r="K105" i="5" a="1"/>
  <c r="DO86" i="58885" a="1"/>
  <c r="Q47" i="58887" a="1"/>
  <c r="I131" i="58885" a="1"/>
  <c r="U61" i="5" a="1"/>
  <c r="P70" i="5" a="1"/>
  <c r="J189" i="5" a="1"/>
  <c r="W86" i="5" a="1"/>
  <c r="I98" i="58885" a="1"/>
  <c r="DO46" i="58885" a="1"/>
  <c r="S281" i="10" a="1"/>
  <c r="X162" i="5" a="1"/>
  <c r="W123" i="5" a="1"/>
  <c r="AV257" i="10" a="1"/>
  <c r="L89" i="5" a="1"/>
  <c r="O91" i="5" a="1"/>
  <c r="Q19" i="58887" a="1"/>
  <c r="DW7" i="58884" a="1"/>
  <c r="AV211" i="10" a="1"/>
  <c r="W117" i="5" a="1"/>
  <c r="J128" i="5" a="1"/>
  <c r="Q7" i="58887" a="1"/>
  <c r="AV106" i="10" a="1"/>
  <c r="AW138" i="10" a="1"/>
  <c r="Q56" i="58887" a="1"/>
  <c r="P161" i="5" a="1"/>
  <c r="J3" i="10" a="1"/>
  <c r="DO45" i="58885" a="1"/>
  <c r="U98" i="5" a="1"/>
  <c r="O97" i="5" a="1"/>
  <c r="N189" i="5" a="1"/>
  <c r="AR245" i="10" a="1"/>
  <c r="L57" i="5" a="1"/>
  <c r="V136" i="5" a="1"/>
  <c r="U183" i="5" a="1"/>
  <c r="U285" i="10" a="1"/>
  <c r="K190" i="5" a="1"/>
  <c r="P192" i="5" a="1"/>
  <c r="S92" i="5" a="1"/>
  <c r="K285" i="10" a="1"/>
  <c r="AM283" i="10" a="1"/>
  <c r="S277" i="10" a="1"/>
  <c r="AC265" i="10" a="1"/>
  <c r="M125" i="5" a="1"/>
  <c r="I247" i="58885" a="1"/>
  <c r="DO163" i="58885" a="1"/>
  <c r="K162" i="5" a="1"/>
  <c r="L178" i="5" a="1"/>
  <c r="X175" i="5" a="1"/>
  <c r="U81" i="5" a="1"/>
  <c r="R168" i="5" a="1"/>
  <c r="L72" i="5" a="1"/>
  <c r="AA3" i="10" a="1"/>
  <c r="O116" i="5" a="1"/>
  <c r="J140" i="5" a="1"/>
  <c r="I58" i="5" a="1"/>
  <c r="K183" i="5" a="1"/>
  <c r="S173" i="5" a="1"/>
  <c r="T112" i="5" a="1"/>
  <c r="V66" i="5" a="1"/>
  <c r="O137" i="5" a="1"/>
  <c r="K127" i="5" a="1"/>
  <c r="S106" i="5" a="1"/>
  <c r="Q79" i="58887" a="1"/>
  <c r="J301" i="10" a="1"/>
  <c r="O120" i="5" a="1"/>
  <c r="AW237" i="10" a="1"/>
  <c r="M74" i="5" a="1"/>
  <c r="W160" i="5" a="1"/>
  <c r="Q181" i="5" a="1"/>
  <c r="W297" i="10" a="1"/>
  <c r="K263" i="10" a="1"/>
  <c r="J166" i="5" a="1"/>
  <c r="O295" i="10" a="1"/>
  <c r="AW118" i="10" a="1"/>
  <c r="AV93" i="10" a="1"/>
  <c r="Z81" i="5"/>
  <c r="W108" i="5" a="1"/>
  <c r="AA112" i="10"/>
  <c r="Q161" i="5" a="1"/>
  <c r="Q44" i="58887" a="1"/>
  <c r="AI261" i="10" a="1"/>
  <c r="J149" i="5" a="1"/>
  <c r="Z275" i="5"/>
  <c r="X63" i="5" a="1"/>
  <c r="R141" i="5" a="1"/>
  <c r="Q65" i="5" a="1"/>
  <c r="AW127" i="10" a="1"/>
  <c r="T175" i="5" a="1"/>
  <c r="M71" i="5" a="1"/>
  <c r="P154" i="5" a="1"/>
  <c r="M140" i="5" a="1"/>
  <c r="AW222" i="10" a="1"/>
  <c r="W94" i="5" a="1"/>
  <c r="I209" i="58885" a="1"/>
  <c r="AW234" i="10" a="1"/>
  <c r="W171" i="5" a="1"/>
  <c r="X170" i="5" a="1"/>
  <c r="K178" i="5" a="1"/>
  <c r="S98" i="5" a="1"/>
  <c r="AV124" i="10" a="1"/>
  <c r="AO295" i="10" a="1"/>
  <c r="Z221" i="5"/>
  <c r="I275" i="10" a="1"/>
  <c r="I179" i="5" a="1"/>
  <c r="I66" i="5" a="1"/>
  <c r="J115" i="5" a="1"/>
  <c r="J124" i="5" a="1"/>
  <c r="O96" i="5" a="1"/>
  <c r="Q182" i="5" a="1"/>
  <c r="M177" i="5" a="1"/>
  <c r="AQ119" i="10" a="1"/>
  <c r="Y271" i="10" a="1"/>
  <c r="L174" i="5" a="1"/>
  <c r="Q6" i="10"/>
  <c r="W147" i="5" a="1"/>
  <c r="U3" i="58885"/>
  <c r="B207" i="10" a="1"/>
  <c r="Z53" i="5"/>
  <c r="DO11" i="58885" a="1"/>
  <c r="S141" i="5" a="1"/>
  <c r="J77" i="5" a="1"/>
  <c r="Q15" i="58887" a="1"/>
  <c r="AV95" i="10" a="1"/>
  <c r="K155" i="5" a="1"/>
  <c r="G297" i="10" a="1"/>
  <c r="M133" i="5" a="1"/>
  <c r="U180" i="5" a="1"/>
  <c r="DO5" i="58885" a="1"/>
  <c r="D3" i="58887"/>
  <c r="AW119" i="10" a="1"/>
  <c r="L70" i="5" a="1"/>
  <c r="Q63" i="58887" a="1"/>
  <c r="N115" i="5" a="1"/>
  <c r="P106" i="5" a="1"/>
  <c r="Z198" i="5"/>
  <c r="J191" i="5" a="1"/>
  <c r="R103" i="5" a="1"/>
  <c r="I156" i="5" a="1"/>
  <c r="Z288" i="5"/>
  <c r="S112" i="10"/>
  <c r="Q98" i="58887" a="1"/>
  <c r="D259" i="5"/>
  <c r="Q106" i="5" a="1"/>
  <c r="I221" i="58885" a="1"/>
  <c r="AQ128" i="10" a="1"/>
  <c r="W183" i="5" a="1"/>
  <c r="AC6" i="58887" a="1"/>
  <c r="G53" i="5"/>
  <c r="DO36" i="58885" a="1"/>
  <c r="AK256" i="10"/>
  <c r="S291" i="10" a="1"/>
  <c r="I115" i="5" a="1"/>
  <c r="W96" i="5" a="1"/>
  <c r="W104" i="5" a="1"/>
  <c r="Z3" i="10" a="1"/>
  <c r="AK301" i="10" a="1"/>
  <c r="AW165" i="10" a="1"/>
  <c r="T28" i="37"/>
  <c r="AP3" i="10" a="1"/>
  <c r="L141" i="5" a="1"/>
  <c r="M142" i="5" a="1"/>
  <c r="X81" i="5" a="1"/>
  <c r="U112" i="5" a="1"/>
  <c r="T193" i="5" a="1"/>
  <c r="P76" i="5" a="1"/>
  <c r="N100" i="5" a="1"/>
  <c r="W190" i="5" a="1"/>
  <c r="U118" i="5" a="1"/>
  <c r="J57" i="5" a="1"/>
  <c r="I293" i="10" a="1"/>
  <c r="AW244" i="10" a="1"/>
  <c r="R69" i="5" a="1"/>
  <c r="AV160" i="10" a="1"/>
  <c r="J112" i="10"/>
  <c r="O117" i="5" a="1"/>
  <c r="M263" i="10" a="1"/>
  <c r="L144" i="5" a="1"/>
  <c r="K77" i="5" a="1"/>
  <c r="AV143" i="10" a="1"/>
  <c r="R72" i="5" a="1"/>
  <c r="M148" i="5" a="1"/>
  <c r="AW157" i="10" a="1"/>
  <c r="AW208" i="10" a="1"/>
  <c r="AR239" i="10" a="1"/>
  <c r="U128" i="5" a="1"/>
  <c r="X109" i="5" a="1"/>
  <c r="S183" i="5" a="1"/>
  <c r="AQ245" i="10" a="1"/>
  <c r="V60" i="5" a="1"/>
  <c r="S177" i="5" a="1"/>
  <c r="Y79" i="5" a="1"/>
  <c r="P116" i="5" a="1"/>
  <c r="I93" i="5" a="1"/>
  <c r="L92" i="5" a="1"/>
  <c r="N136" i="5" a="1"/>
  <c r="X124" i="5" a="1"/>
  <c r="I277" i="10" a="1"/>
  <c r="FP7" i="58885" a="1"/>
  <c r="Q102" i="58887" a="1"/>
  <c r="U155" i="5" a="1"/>
  <c r="J95" i="5" a="1"/>
  <c r="B240" i="10" a="1"/>
  <c r="AB3" i="10" a="1"/>
  <c r="J71" i="5" a="1"/>
  <c r="T72" i="5" a="1"/>
  <c r="I79" i="5" a="1"/>
  <c r="AW181" i="10" a="1"/>
  <c r="P68" i="5" a="1"/>
  <c r="L169" i="5" a="1"/>
  <c r="V120" i="5" a="1"/>
  <c r="W170" i="5" a="1"/>
  <c r="AW204" i="10" a="1"/>
  <c r="L183" i="5" a="1"/>
  <c r="I233" i="58885" a="1"/>
  <c r="Q37" i="58887" a="1"/>
  <c r="AG265" i="10" a="1"/>
  <c r="Y171" i="5" a="1"/>
  <c r="K124" i="5" a="1"/>
  <c r="R187" i="5" a="1"/>
  <c r="Q138" i="5" a="1"/>
  <c r="AA279" i="10" a="1"/>
  <c r="AV69" i="10" a="1"/>
  <c r="Q57" i="5" a="1"/>
  <c r="AV197" i="10" a="1"/>
  <c r="R94" i="5" a="1"/>
  <c r="Q271" i="10" a="1"/>
  <c r="DM215" i="58885" a="1"/>
  <c r="AW183" i="10" a="1"/>
  <c r="Y279" i="10" a="1"/>
  <c r="Y289" i="10" a="1"/>
  <c r="AE265" i="10" a="1"/>
  <c r="M94" i="5" a="1"/>
  <c r="AE256" i="10"/>
  <c r="AQ251" i="10" a="1"/>
  <c r="AM289" i="10" a="1"/>
  <c r="M295" i="10" a="1"/>
  <c r="DM210" i="58885" a="1"/>
  <c r="O95" i="5" a="1"/>
  <c r="V86" i="10"/>
  <c r="R125" i="5" a="1"/>
  <c r="Z100" i="5"/>
  <c r="AG289" i="10" a="1"/>
  <c r="I102" i="5" a="1"/>
  <c r="U113" i="5" a="1"/>
  <c r="J130" i="5" a="1"/>
  <c r="R157" i="5" a="1"/>
  <c r="Q185" i="5" a="1"/>
  <c r="N138" i="5" a="1"/>
  <c r="M88" i="5" a="1"/>
  <c r="X147" i="5" a="1"/>
  <c r="S140" i="5" a="1"/>
  <c r="Y59" i="5" a="1"/>
  <c r="AW162" i="10" a="1"/>
  <c r="I245" i="58885" a="1"/>
  <c r="I108" i="5" a="1"/>
  <c r="V148" i="5" a="1"/>
  <c r="AV247" i="10" a="1"/>
  <c r="DM196" i="58885" a="1"/>
  <c r="P309" i="10"/>
  <c r="P118" i="5" a="1"/>
  <c r="X105" i="10"/>
  <c r="I111" i="58885" a="1"/>
  <c r="I144" i="5" a="1"/>
  <c r="Z78" i="5"/>
  <c r="V76" i="5" a="1"/>
  <c r="Q53" i="58887" a="1"/>
  <c r="Q143" i="5" a="1"/>
  <c r="DO37" i="58885" a="1"/>
  <c r="O184" i="5" a="1"/>
  <c r="DO91" i="58885" a="1"/>
  <c r="Q26" i="58887" a="1"/>
  <c r="AV196" i="10" a="1"/>
  <c r="N61" i="5" a="1"/>
  <c r="I106" i="58885" a="1"/>
  <c r="R301" i="10" a="1"/>
  <c r="T56" i="5" a="1"/>
  <c r="J145" i="5" a="1"/>
  <c r="I214" i="58885" a="1"/>
  <c r="V67" i="5" a="1"/>
  <c r="N83" i="5" a="1"/>
  <c r="AI265" i="10" a="1"/>
  <c r="R163" i="5" a="1"/>
  <c r="T293" i="10" a="1"/>
  <c r="S77" i="5" a="1"/>
  <c r="AO289" i="10" a="1"/>
  <c r="W120" i="5" a="1"/>
  <c r="N58" i="5" a="1"/>
  <c r="S91" i="5" a="1"/>
  <c r="O162" i="5" a="1"/>
  <c r="Q61" i="5" a="1"/>
  <c r="X154" i="5" a="1"/>
  <c r="R92" i="5" a="1"/>
  <c r="J194" i="5" a="1"/>
  <c r="B195" i="10" a="1"/>
  <c r="I113" i="5" a="1"/>
  <c r="L76" i="5" a="1"/>
  <c r="Q163" i="58887" a="1"/>
  <c r="S81" i="5" a="1"/>
  <c r="AV304" i="10" a="1"/>
  <c r="S76" i="5" a="1"/>
  <c r="Y142" i="5" a="1"/>
  <c r="AO3" i="10" a="1"/>
  <c r="P128" i="5" a="1"/>
  <c r="S116" i="5" a="1"/>
  <c r="AR173" i="10" a="1"/>
  <c r="AQ125" i="10" a="1"/>
  <c r="Y190" i="5" a="1"/>
  <c r="Q120" i="58887" a="1"/>
  <c r="J179" i="5" a="1"/>
  <c r="W125" i="5" a="1"/>
  <c r="Y144" i="5" a="1"/>
  <c r="T63" i="5" a="1"/>
  <c r="V121" i="5" a="1"/>
  <c r="P72" i="5" a="1"/>
  <c r="I164" i="5" a="1"/>
  <c r="O68" i="5" a="1"/>
  <c r="Q60" i="58887" a="1"/>
  <c r="Y297" i="10" a="1"/>
  <c r="K271" i="10" a="1"/>
  <c r="Q70" i="58887" a="1"/>
  <c r="AE271" i="10" a="1"/>
  <c r="W261" i="10" a="1"/>
  <c r="J122" i="5" a="1"/>
  <c r="T145" i="5" a="1"/>
  <c r="DM208" i="58885" a="1"/>
  <c r="Q186" i="5" a="1"/>
  <c r="V149" i="5" a="1"/>
  <c r="Z266" i="5"/>
  <c r="Z272" i="5"/>
  <c r="AV280" i="10" a="1"/>
  <c r="R137" i="5" a="1"/>
  <c r="AV118" i="10" a="1"/>
  <c r="L85" i="5" a="1"/>
  <c r="AV5" i="10" a="1"/>
  <c r="R111" i="5" a="1"/>
  <c r="AO299" i="10" a="1"/>
  <c r="V112" i="5" a="1"/>
  <c r="N141" i="5" a="1"/>
  <c r="T58" i="5" a="1"/>
  <c r="N112" i="5" a="1"/>
  <c r="R159" i="5" a="1"/>
  <c r="T147" i="5" a="1"/>
  <c r="B126" i="10" a="1"/>
  <c r="Y287" i="10" a="1"/>
  <c r="AV260" i="10" a="1"/>
  <c r="I69" i="5" a="1"/>
  <c r="DO19" i="58885" a="1"/>
  <c r="B165" i="10" a="1"/>
  <c r="O301" i="10" a="1"/>
  <c r="DO69" i="58885" a="1"/>
  <c r="L62" i="5" a="1"/>
  <c r="X293" i="10" a="1"/>
  <c r="AV238" i="10" a="1"/>
  <c r="Z85" i="5"/>
  <c r="AW147" i="10" a="1"/>
  <c r="V85" i="5" a="1"/>
  <c r="X104" i="5" a="1"/>
  <c r="W275" i="10" a="1"/>
  <c r="V154" i="5" a="1"/>
  <c r="U70" i="5" a="1"/>
  <c r="N147" i="5" a="1"/>
  <c r="S151" i="5" a="1"/>
  <c r="J171" i="5" a="1"/>
  <c r="K142" i="5" a="1"/>
  <c r="R191" i="5" a="1"/>
  <c r="Q167" i="5" a="1"/>
  <c r="X182" i="5" a="1"/>
  <c r="R78" i="5" a="1"/>
  <c r="AK277" i="10" a="1"/>
  <c r="W181" i="5" a="1"/>
  <c r="J118" i="5" a="1"/>
  <c r="N149" i="5" a="1"/>
  <c r="Y155" i="5" a="1"/>
  <c r="M118" i="5" a="1"/>
  <c r="W178" i="5" a="1"/>
  <c r="J85" i="5" a="1"/>
  <c r="L131" i="5" a="1"/>
  <c r="O275" i="10" a="1"/>
  <c r="W3" i="10" a="1"/>
  <c r="J295" i="10" a="1"/>
  <c r="I252" i="58885" a="1"/>
  <c r="Q75" i="5" a="1"/>
  <c r="V87" i="5" a="1"/>
  <c r="J4" i="37" a="1"/>
  <c r="AQ203" i="10" a="1"/>
  <c r="W128" i="5" a="1"/>
  <c r="DM248" i="58885" a="1"/>
  <c r="N53" i="5"/>
  <c r="X122" i="5" a="1"/>
  <c r="Q285" i="10" a="1"/>
  <c r="L94" i="5" a="1"/>
  <c r="Y60" i="5" a="1"/>
  <c r="M79" i="5" a="1"/>
  <c r="Q110" i="5" a="1"/>
  <c r="DO64" i="58885" a="1"/>
  <c r="I192" i="5" a="1"/>
  <c r="Q85" i="5" a="1"/>
  <c r="AV185" i="10" a="1"/>
  <c r="T119" i="5" a="1"/>
  <c r="U133" i="5" a="1"/>
  <c r="I196" i="58885" a="1"/>
  <c r="BF7" i="58885" a="1"/>
  <c r="AV232" i="10" a="1"/>
  <c r="S115" i="5" a="1"/>
  <c r="U67" i="5" a="1"/>
  <c r="T88" i="5" a="1"/>
  <c r="DO90" i="58885" a="1"/>
  <c r="AG267" i="10" a="1"/>
  <c r="U73" i="5" a="1"/>
  <c r="AI301" i="10" a="1"/>
  <c r="Q92" i="5" a="1"/>
  <c r="W93" i="5" a="1"/>
  <c r="AW209" i="10" a="1"/>
  <c r="J67" i="5" a="1"/>
  <c r="J157" i="5" a="1"/>
  <c r="O93" i="5" a="1"/>
  <c r="O142" i="5" a="1"/>
  <c r="AW223" i="10" a="1"/>
  <c r="DO25" i="58885" a="1"/>
  <c r="M149" i="5" a="1"/>
  <c r="Z105" i="5"/>
  <c r="L179" i="5" a="1"/>
  <c r="T103" i="5" a="1"/>
  <c r="AQ3" i="10" a="1"/>
  <c r="I191" i="58885" a="1"/>
  <c r="AF98" i="10"/>
  <c r="Y68" i="5" a="1"/>
  <c r="S71" i="5" a="1"/>
  <c r="M172" i="5" a="1"/>
  <c r="Q87" i="58887" a="1"/>
  <c r="R174" i="5" a="1"/>
  <c r="X74" i="5" a="1"/>
  <c r="U72" i="5" a="1"/>
  <c r="I120" i="58885" a="1"/>
  <c r="K259" i="5"/>
  <c r="K82" i="5" a="1"/>
  <c r="O112" i="5" a="1"/>
  <c r="M117" i="5" a="1"/>
  <c r="P124" i="5" a="1"/>
  <c r="AI295" i="10" a="1"/>
  <c r="L161" i="5" a="1"/>
  <c r="P4" i="37" a="1"/>
  <c r="S150" i="5" a="1"/>
  <c r="AR149" i="10" a="1"/>
  <c r="T165" i="5" a="1"/>
  <c r="O190" i="5" a="1"/>
  <c r="AE3" i="10" a="1"/>
  <c r="W150" i="5" a="1"/>
  <c r="AW248" i="10" a="1"/>
  <c r="AW189" i="10" a="1"/>
  <c r="X84" i="5" a="1"/>
  <c r="AK297" i="10" a="1"/>
  <c r="L115" i="5" a="1"/>
  <c r="Q104" i="5" a="1"/>
  <c r="O267" i="10" a="1"/>
  <c r="N164" i="5" a="1"/>
  <c r="V186" i="5" a="1"/>
  <c r="Y178" i="5" a="1"/>
  <c r="I135" i="5" a="1"/>
  <c r="Y293" i="10" a="1"/>
  <c r="L177" i="5" a="1"/>
  <c r="U117" i="5" a="1"/>
  <c r="T179" i="5" a="1"/>
  <c r="M158" i="5" a="1"/>
  <c r="J152" i="5" a="1"/>
  <c r="R184" i="5" a="1"/>
  <c r="DM211" i="58885" a="1"/>
  <c r="P134" i="5" a="1"/>
  <c r="Y188" i="5" a="1"/>
  <c r="B162" i="10" a="1"/>
  <c r="S186" i="5" a="1"/>
  <c r="S105" i="5" a="1"/>
  <c r="X88" i="5" a="1"/>
  <c r="Q8" i="58887" a="1"/>
  <c r="P88" i="5" a="1"/>
  <c r="D53" i="5"/>
  <c r="O104" i="5" a="1"/>
  <c r="J76" i="5" a="1"/>
  <c r="Q109" i="58887" a="1"/>
  <c r="T89" i="5" a="1"/>
  <c r="AV228" i="10" a="1"/>
  <c r="T96" i="5" a="1"/>
  <c r="AW62" i="10" a="1"/>
  <c r="T153" i="5" a="1"/>
  <c r="U161" i="5" a="1"/>
  <c r="AV80" i="10" a="1"/>
  <c r="I107" i="5" a="1"/>
  <c r="AV291" i="10" a="1"/>
  <c r="AV127" i="10" a="1"/>
  <c r="T144" i="5" a="1"/>
  <c r="AW141" i="10" a="1"/>
  <c r="S182" i="5" a="1"/>
  <c r="Q88" i="58887" a="1"/>
  <c r="G3" i="10" a="1"/>
  <c r="N155" i="5" a="1"/>
  <c r="BF6" i="58885" a="1"/>
  <c r="X86" i="5" a="1"/>
  <c r="X144" i="5" a="1"/>
  <c r="U141" i="5" a="1"/>
  <c r="K110" i="5" a="1"/>
  <c r="W134" i="5" a="1"/>
  <c r="AQ167" i="10" a="1"/>
  <c r="M128" i="5" a="1"/>
  <c r="DO61" i="58885" a="1"/>
  <c r="X153" i="5" a="1"/>
  <c r="AW161" i="10" a="1"/>
  <c r="P138" i="5" a="1"/>
  <c r="O182" i="5" a="1"/>
  <c r="AR242" i="10" a="1"/>
  <c r="J169" i="5" a="1"/>
  <c r="B159" i="10" a="1"/>
  <c r="O108" i="5" a="1"/>
  <c r="T157" i="5" a="1"/>
  <c r="Q118" i="5" a="1"/>
  <c r="M179" i="5" a="1"/>
  <c r="U166" i="5" a="1"/>
  <c r="AM271" i="10" a="1"/>
  <c r="AV109" i="10" a="1"/>
  <c r="I131" i="5" a="1"/>
  <c r="AV300" i="10" a="1"/>
  <c r="I75" i="5" a="1"/>
  <c r="X291" i="10" a="1"/>
  <c r="AW249" i="10" a="1"/>
  <c r="I130" i="58885" a="1"/>
  <c r="U175" i="5" a="1"/>
  <c r="AV88" i="10" a="1"/>
  <c r="K171" i="5" a="1"/>
  <c r="AG271" i="10" a="1"/>
  <c r="Q78" i="5" a="1"/>
  <c r="K132" i="5" a="1"/>
  <c r="L73" i="5" a="1"/>
  <c r="Y74" i="5" a="1"/>
  <c r="Y301" i="10" a="1"/>
  <c r="L190" i="5" a="1"/>
  <c r="I165" i="5" a="1"/>
  <c r="I115" i="58885" a="1"/>
  <c r="Y177" i="5" a="1"/>
  <c r="K95" i="5" a="1"/>
  <c r="Y135" i="5" a="1"/>
  <c r="T31" i="37"/>
  <c r="AR161" i="10" a="1"/>
  <c r="S157" i="5" a="1"/>
  <c r="J87" i="5" a="1"/>
  <c r="V133" i="5" a="1"/>
  <c r="U277" i="10" a="1"/>
  <c r="AV296" i="10" a="1"/>
  <c r="X69" i="5" a="1"/>
  <c r="AJ299" i="10" a="1"/>
  <c r="AG281" i="10" a="1"/>
  <c r="M144" i="5" a="1"/>
  <c r="AK279" i="10" a="1"/>
  <c r="V141" i="5" a="1"/>
  <c r="T35" i="37"/>
  <c r="AV110" i="10" a="1"/>
  <c r="M166" i="5" a="1"/>
  <c r="L180" i="5" a="1"/>
  <c r="AO279" i="10" a="1"/>
  <c r="O86" i="5" a="1"/>
  <c r="O55" i="5" a="1"/>
  <c r="S293" i="10" a="1"/>
  <c r="Y118" i="5" a="1"/>
  <c r="X55" i="5" a="1"/>
  <c r="S155" i="5" a="1"/>
  <c r="M112" i="5" a="1"/>
  <c r="M269" i="10" a="1"/>
  <c r="K67" i="5" a="1"/>
  <c r="AV261" i="10" a="1"/>
  <c r="V301" i="10" a="1"/>
  <c r="I71" i="5" a="1"/>
  <c r="T177" i="5" a="1"/>
  <c r="R66" i="5" a="1"/>
  <c r="M114" i="5" a="1"/>
  <c r="J159" i="5" a="1"/>
  <c r="AV150" i="10" a="1"/>
  <c r="AW61" i="10" a="1"/>
  <c r="DO164" i="58885" a="1"/>
  <c r="I230" i="58885" a="1"/>
  <c r="AR167" i="10" a="1"/>
  <c r="W100" i="5" a="1"/>
  <c r="O148" i="5" a="1"/>
  <c r="R134" i="5" a="1"/>
  <c r="R80" i="5" a="1"/>
  <c r="X61" i="5" a="1"/>
  <c r="U103" i="5" a="1"/>
  <c r="M91" i="5" a="1"/>
  <c r="T146" i="5" a="1"/>
  <c r="AW198" i="10" a="1"/>
  <c r="I147" i="5" a="1"/>
  <c r="N167" i="5" a="1"/>
  <c r="S119" i="5" a="1"/>
  <c r="I106" i="5" a="1"/>
  <c r="Y152" i="5" a="1"/>
  <c r="AH6" i="10"/>
  <c r="J97" i="5" a="1"/>
  <c r="AW69" i="10" a="1"/>
  <c r="Z246" i="5"/>
  <c r="T76" i="5" a="1"/>
  <c r="K3" i="10" a="1"/>
  <c r="Y186" i="5" a="1"/>
  <c r="AA265" i="10" a="1"/>
  <c r="AW137" i="10" a="1"/>
  <c r="M136" i="5" a="1"/>
  <c r="V159" i="5" a="1"/>
  <c r="N95" i="5" a="1"/>
  <c r="AR188" i="10" a="1"/>
  <c r="Y58" i="5" a="1"/>
  <c r="AC269" i="10" a="1"/>
  <c r="F3" i="10" a="1"/>
  <c r="DM190" i="58885" a="1"/>
  <c r="J84" i="5" a="1"/>
  <c r="X178" i="5" a="1"/>
  <c r="S103" i="5" a="1"/>
  <c r="N123" i="5" a="1"/>
  <c r="L100" i="5" a="1"/>
  <c r="R154" i="5" a="1"/>
  <c r="I117" i="58885" a="1"/>
  <c r="W67" i="5" a="1"/>
  <c r="O127" i="5" a="1"/>
  <c r="N74" i="5" a="1"/>
  <c r="M72" i="5" a="1"/>
  <c r="T21" i="37"/>
  <c r="W79" i="5" a="1"/>
  <c r="L66" i="5" a="1"/>
  <c r="S181" i="5" a="1"/>
  <c r="DO52" i="58885" a="1"/>
  <c r="J164" i="5" a="1"/>
  <c r="P186" i="5" a="1"/>
  <c r="X138" i="5" a="1"/>
  <c r="R169" i="5" a="1"/>
  <c r="AR128" i="10" a="1"/>
  <c r="AW149" i="10" a="1"/>
  <c r="J119" i="5" a="1"/>
  <c r="T82" i="5" a="1"/>
  <c r="Q116" i="5" a="1"/>
  <c r="L126" i="5" a="1"/>
  <c r="U168" i="5" a="1"/>
  <c r="S162" i="5" a="1"/>
  <c r="L65" i="5" a="1"/>
  <c r="AW72" i="10" a="1"/>
  <c r="M55" i="5" a="1"/>
  <c r="M116" i="5" a="1"/>
  <c r="O165" i="5" a="1"/>
  <c r="R161" i="5" a="1"/>
  <c r="X118" i="5" a="1"/>
  <c r="AV298" i="10" a="1"/>
  <c r="AI279" i="10" a="1"/>
  <c r="Z117" i="5"/>
  <c r="O154" i="5" a="1"/>
  <c r="B249" i="10" a="1"/>
  <c r="Q130" i="58887" a="1"/>
  <c r="N124" i="5" a="1"/>
  <c r="G289" i="10" a="1"/>
  <c r="U64" i="5" a="1"/>
  <c r="R70" i="5" a="1"/>
  <c r="N66" i="5" a="1"/>
  <c r="S100" i="5" a="1"/>
  <c r="S152" i="5" a="1"/>
  <c r="R182" i="5" a="1"/>
  <c r="AW192" i="10" a="1"/>
  <c r="N190" i="5" a="1"/>
  <c r="X62" i="5" a="1"/>
  <c r="V153" i="5" a="1"/>
  <c r="T163" i="5" a="1"/>
  <c r="Y191" i="5" a="1"/>
  <c r="Y182" i="5" a="1"/>
  <c r="Q123" i="58887" a="1"/>
  <c r="R186" i="5" a="1"/>
  <c r="W111" i="5" a="1"/>
  <c r="P175" i="5" a="1"/>
  <c r="P165" i="5" a="1"/>
  <c r="K99" i="5" a="1"/>
  <c r="AI6" i="10"/>
  <c r="Q301" i="10" a="1"/>
  <c r="S133" i="5" a="1"/>
  <c r="T181" i="5" a="1"/>
  <c r="K128" i="5" a="1"/>
  <c r="Y261" i="10" a="1"/>
  <c r="L146" i="5" a="1"/>
  <c r="O56" i="5" a="1"/>
  <c r="S175" i="5" a="1"/>
  <c r="Q158" i="5" a="1"/>
  <c r="Y91" i="5" a="1"/>
  <c r="N153" i="5" a="1"/>
  <c r="L295" i="10" a="1"/>
  <c r="J291" i="10" a="1"/>
  <c r="R85" i="5" a="1"/>
  <c r="Q30" i="58887" a="1"/>
  <c r="Z284" i="5"/>
  <c r="S64" i="5" a="1"/>
  <c r="K90" i="5" a="1"/>
  <c r="AO281" i="10" a="1"/>
  <c r="DO22" i="58885" a="1"/>
  <c r="AV64" i="10" a="1"/>
  <c r="L95" i="5" a="1"/>
  <c r="AW144" i="10" a="1"/>
  <c r="AW76" i="10" a="1"/>
  <c r="I99" i="58885" a="1"/>
  <c r="AO265" i="10" a="1"/>
  <c r="W263" i="10" a="1"/>
  <c r="Z222" i="5"/>
  <c r="AC309" i="10"/>
  <c r="Z163" i="5"/>
  <c r="AV306" i="10" a="1"/>
  <c r="Y185" i="5" a="1"/>
  <c r="AW212" i="10" a="1"/>
  <c r="M105" i="10"/>
  <c r="U186" i="5" a="1"/>
  <c r="P114" i="5" a="1"/>
  <c r="J65" i="5" a="1"/>
  <c r="O67" i="5" a="1"/>
  <c r="Z125" i="5"/>
  <c r="J114" i="5" a="1"/>
  <c r="N105" i="5" a="1"/>
  <c r="AV159" i="10" a="1"/>
  <c r="R135" i="5" a="1"/>
  <c r="S153" i="5" a="1"/>
  <c r="X181" i="5" a="1"/>
  <c r="DO157" i="58885" a="1"/>
  <c r="AR116" i="10" a="1"/>
  <c r="K189" i="5" a="1"/>
  <c r="I85" i="5" a="1"/>
  <c r="M121" i="5" a="1"/>
  <c r="N142" i="5" a="1"/>
  <c r="Y129" i="5" a="1"/>
  <c r="V135" i="5" a="1"/>
  <c r="O114" i="5" a="1"/>
  <c r="P94" i="5" a="1"/>
  <c r="I291" i="10" a="1"/>
  <c r="P115" i="5" a="1"/>
  <c r="O143" i="5" a="1"/>
  <c r="R175" i="5" a="1"/>
  <c r="S188" i="5" a="1"/>
  <c r="I229" i="58885" a="1"/>
  <c r="AV290" i="10" a="1"/>
  <c r="J93" i="5" a="1"/>
  <c r="DO9" i="58885" a="1"/>
  <c r="M160" i="5" a="1"/>
  <c r="Z72" i="5"/>
  <c r="I263" i="10" a="1"/>
  <c r="AJ105" i="10"/>
  <c r="Z140" i="5"/>
  <c r="P99" i="5" a="1"/>
  <c r="S287" i="10" a="1"/>
  <c r="AK105" i="10"/>
  <c r="Z231" i="5"/>
  <c r="Z152" i="5"/>
  <c r="P158" i="5" a="1"/>
  <c r="AD6" i="10"/>
  <c r="Z290" i="5"/>
  <c r="Y70" i="5" a="1"/>
  <c r="DO49" i="58885" a="1"/>
  <c r="H6" i="10"/>
  <c r="P180" i="5" a="1"/>
  <c r="AQ227" i="10" a="1"/>
  <c r="W162" i="5" a="1"/>
  <c r="N121" i="5" a="1"/>
  <c r="T18" i="37"/>
  <c r="T102" i="5" a="1"/>
  <c r="T23" i="37"/>
  <c r="Y131" i="5" a="1"/>
  <c r="S123" i="5" a="1"/>
  <c r="L147" i="5" a="1"/>
  <c r="I171" i="5" a="1"/>
  <c r="P104" i="5" a="1"/>
  <c r="K136" i="5" a="1"/>
  <c r="AJ295" i="10" a="1"/>
  <c r="Y169" i="5" a="1"/>
  <c r="S3" i="10" a="1"/>
  <c r="W186" i="5" a="1"/>
  <c r="T125" i="5" a="1"/>
  <c r="AR233" i="10" a="1"/>
  <c r="O131" i="5" a="1"/>
  <c r="S118" i="5" a="1"/>
  <c r="X142" i="5" a="1"/>
  <c r="AR125" i="10" a="1"/>
  <c r="O90" i="5" a="1"/>
  <c r="AW210" i="10" a="1"/>
  <c r="O112" i="10"/>
  <c r="Z173" i="5"/>
  <c r="AA256" i="10"/>
  <c r="R96" i="5" a="1"/>
  <c r="Y105" i="5" a="1"/>
  <c r="AM281" i="10" a="1"/>
  <c r="I259" i="5"/>
  <c r="U59" i="5" a="1"/>
  <c r="T166" i="5" a="1"/>
  <c r="V68" i="5" a="1"/>
  <c r="Z114" i="5"/>
  <c r="Q23" i="58887" a="1"/>
  <c r="AI98" i="10"/>
  <c r="G293" i="10" a="1"/>
  <c r="AW124" i="10" a="1"/>
  <c r="R160" i="5" a="1"/>
  <c r="Q103" i="5" a="1"/>
  <c r="W87" i="5" a="1"/>
  <c r="AA259" i="5"/>
  <c r="L143" i="5" a="1"/>
  <c r="P126" i="5" a="1"/>
  <c r="O109" i="5" a="1"/>
  <c r="S172" i="5" a="1"/>
  <c r="R183" i="5" a="1"/>
  <c r="X82" i="5" a="1"/>
  <c r="X64" i="5" a="1"/>
  <c r="AQ239" i="10" a="1"/>
  <c r="I120" i="5" a="1"/>
  <c r="N161" i="5" a="1"/>
  <c r="I185" i="5" a="1"/>
  <c r="X157" i="5" a="1"/>
  <c r="K56" i="5" a="1"/>
  <c r="L86" i="10"/>
  <c r="U191" i="5" a="1"/>
  <c r="Y117" i="5" a="1"/>
  <c r="U98" i="10"/>
  <c r="AO86" i="10"/>
  <c r="AV144" i="10" a="1"/>
  <c r="N55" i="5" a="1"/>
  <c r="I181" i="5" a="1"/>
  <c r="Y172" i="5" a="1"/>
  <c r="O297" i="10" a="1"/>
  <c r="Z172" i="5"/>
  <c r="Q10" i="58887" a="1"/>
  <c r="R53" i="5"/>
  <c r="AT6" i="10"/>
  <c r="Z175" i="5"/>
  <c r="H256" i="10"/>
  <c r="Y133" i="5" a="1"/>
  <c r="V63" i="5" a="1"/>
  <c r="AV229" i="10" a="1"/>
  <c r="X137" i="5" a="1"/>
  <c r="O129" i="5" a="1"/>
  <c r="AV265" i="10" a="1"/>
  <c r="Q149" i="58887" a="1"/>
  <c r="I181" i="58885" a="1"/>
  <c r="U125" i="5" a="1"/>
  <c r="M162" i="5" a="1"/>
  <c r="DO85" i="58885" a="1"/>
  <c r="AR140" i="10" a="1"/>
  <c r="Y162" i="5" a="1"/>
  <c r="AO275" i="10" a="1"/>
  <c r="H299" i="10" a="1"/>
  <c r="R104" i="5" a="1"/>
  <c r="AW146" i="10" a="1"/>
  <c r="N113" i="5" a="1"/>
  <c r="Q148" i="5" a="1"/>
  <c r="T134" i="5" a="1"/>
  <c r="W283" i="10" a="1"/>
  <c r="I299" i="10" a="1"/>
  <c r="AV76" i="10" a="1"/>
  <c r="T70" i="5" a="1"/>
  <c r="L75" i="5" a="1"/>
  <c r="Q275" i="10" a="1"/>
  <c r="Y101" i="5" a="1"/>
  <c r="L3" i="58853" a="1"/>
  <c r="K91" i="5" a="1"/>
  <c r="U106" i="5" a="1"/>
  <c r="Z73" i="5"/>
  <c r="Q135" i="58887" a="1"/>
  <c r="L185" i="5" a="1"/>
  <c r="N64" i="5" a="1"/>
  <c r="Z167" i="5"/>
  <c r="C309" i="10"/>
  <c r="Z66" i="5"/>
  <c r="I62" i="5" a="1"/>
  <c r="I122" i="58885" a="1"/>
  <c r="J66" i="5" a="1"/>
  <c r="L173" i="5" a="1"/>
  <c r="L150" i="5" a="1"/>
  <c r="E3" i="58887"/>
  <c r="O119" i="5" a="1"/>
  <c r="V176" i="5" a="1"/>
  <c r="I123" i="58885" a="1"/>
  <c r="Z219" i="5"/>
  <c r="AB98" i="10"/>
  <c r="AK281" i="10" a="1"/>
  <c r="Z161" i="5"/>
  <c r="X158" i="5" a="1"/>
  <c r="Q36" i="58887" a="1"/>
  <c r="AI86" i="10"/>
  <c r="Y265" i="10" a="1"/>
  <c r="Z120" i="5"/>
  <c r="O122" i="5" a="1"/>
  <c r="BO6" i="58887" a="1"/>
  <c r="E98" i="10"/>
  <c r="P168" i="5" a="1"/>
  <c r="Z103" i="5"/>
  <c r="AV200" i="10" a="1"/>
  <c r="Z61" i="5"/>
  <c r="AQ116" i="10" a="1"/>
  <c r="Z55" i="5"/>
  <c r="Q13" i="58887" a="1"/>
  <c r="I83" i="5" a="1"/>
  <c r="Z168" i="5"/>
  <c r="L137" i="5" a="1"/>
  <c r="U149" i="5" a="1"/>
  <c r="Z242" i="5"/>
  <c r="T131" i="5" a="1"/>
  <c r="W192" i="5" a="1"/>
  <c r="S171" i="5" a="1"/>
  <c r="V146" i="5" a="1"/>
  <c r="O88" i="5" a="1"/>
  <c r="W127" i="5" a="1"/>
  <c r="W95" i="5" a="1"/>
  <c r="S72" i="5" a="1"/>
  <c r="P117" i="5" a="1"/>
  <c r="P78" i="5" a="1"/>
  <c r="Z62" i="5"/>
  <c r="V309" i="10"/>
  <c r="AK287" i="10" a="1"/>
  <c r="I168" i="5" a="1"/>
  <c r="AD309" i="10"/>
  <c r="Z191" i="5"/>
  <c r="V89" i="5" a="1"/>
  <c r="Z63" i="5"/>
  <c r="Q133" i="58887" a="1"/>
  <c r="U90" i="5" a="1"/>
  <c r="S56" i="5" a="1"/>
  <c r="J53" i="5"/>
  <c r="P133" i="5" a="1"/>
  <c r="U77" i="5" a="1"/>
  <c r="Q105" i="10"/>
  <c r="L110" i="5" a="1"/>
  <c r="Q117" i="5" a="1"/>
  <c r="T191" i="5" a="1"/>
  <c r="O75" i="5" a="1"/>
  <c r="AV233" i="10" a="1"/>
  <c r="K137" i="5" a="1"/>
  <c r="AV164" i="10" a="1"/>
  <c r="DO169" i="58885" a="1"/>
  <c r="X77" i="5" a="1"/>
  <c r="Z121" i="5"/>
  <c r="V124" i="5" a="1"/>
  <c r="Q132" i="58887" a="1"/>
  <c r="M191" i="5" a="1"/>
  <c r="AR98" i="10"/>
  <c r="Q152" i="58887" a="1"/>
  <c r="N82" i="5" a="1"/>
  <c r="Z164" i="5"/>
  <c r="O78" i="5" a="1"/>
  <c r="K76" i="5" a="1"/>
  <c r="Z271" i="5"/>
  <c r="W309" i="10"/>
  <c r="D112" i="10"/>
  <c r="J120" i="5" a="1"/>
  <c r="Y156" i="5" a="1"/>
  <c r="K165" i="5" a="1"/>
  <c r="AD4" i="37" a="1"/>
  <c r="Z280" i="5"/>
  <c r="DO143" i="58885" a="1"/>
  <c r="S3" i="58887"/>
  <c r="T192" i="5" a="1"/>
  <c r="O102" i="5" a="1"/>
  <c r="L3" i="58887"/>
  <c r="Z101" i="5"/>
  <c r="J63" i="5" a="1"/>
  <c r="AR131" i="10" a="1"/>
  <c r="P166" i="5" a="1"/>
  <c r="U184" i="5" a="1"/>
  <c r="Q62" i="58887" a="1"/>
  <c r="F256" i="10"/>
  <c r="P6" i="10"/>
  <c r="T106" i="5" a="1"/>
  <c r="M61" i="5" a="1"/>
  <c r="L167" i="5" a="1"/>
  <c r="CP5" i="58884" a="1"/>
  <c r="Q124" i="58887" a="1"/>
  <c r="AV276" i="10" a="1"/>
  <c r="AW190" i="10" a="1"/>
  <c r="R82" i="5" a="1"/>
  <c r="J3" i="58853"/>
  <c r="Q149" i="5" a="1"/>
  <c r="Z229" i="5"/>
  <c r="W152" i="5" a="1"/>
  <c r="AW77" i="10" a="1"/>
  <c r="B189" i="10" a="1"/>
  <c r="O132" i="5" a="1"/>
  <c r="U160" i="5" a="1"/>
  <c r="W116" i="5" a="1"/>
  <c r="Q117" i="58887" a="1"/>
  <c r="X130" i="5" a="1"/>
  <c r="DM239" i="58885" a="1"/>
  <c r="AV301" i="10" a="1"/>
  <c r="Y175" i="5" a="1"/>
  <c r="W138" i="5" a="1"/>
  <c r="AV151" i="10" a="1"/>
  <c r="L56" i="5" a="1"/>
  <c r="X59" i="5" a="1"/>
  <c r="AR256" i="10"/>
  <c r="K104" i="5" a="1"/>
  <c r="P95" i="5" a="1"/>
  <c r="J86" i="5" a="1"/>
  <c r="Z208" i="5"/>
  <c r="S88" i="5" a="1"/>
  <c r="AK267" i="10" a="1"/>
  <c r="M4" i="37" a="1"/>
  <c r="N88" i="5" a="1"/>
  <c r="I137" i="5" a="1"/>
  <c r="J146" i="5" a="1"/>
  <c r="AG301" i="10" a="1"/>
  <c r="U169" i="5" a="1"/>
  <c r="Z187" i="5"/>
  <c r="I70" i="5" a="1"/>
  <c r="I222" i="58885" a="1"/>
  <c r="R115" i="5" a="1"/>
  <c r="AG105" i="10"/>
  <c r="Q108" i="5" a="1"/>
  <c r="AQ309" i="10"/>
  <c r="AN86" i="10"/>
  <c r="K107" i="5" a="1"/>
  <c r="U127" i="5" a="1"/>
  <c r="AM309" i="10"/>
  <c r="T188" i="5" a="1"/>
  <c r="V57" i="5" a="1"/>
  <c r="DO28" i="58885" a="1"/>
  <c r="I134" i="5" a="1"/>
  <c r="DM207" i="58885" a="1"/>
  <c r="M180" i="5" a="1"/>
  <c r="Q180" i="5" a="1"/>
  <c r="J135" i="5" a="1"/>
  <c r="DO65" i="58885" a="1"/>
  <c r="T22" i="37"/>
  <c r="Z226" i="5"/>
  <c r="L135" i="5" a="1"/>
  <c r="AM301" i="10" a="1"/>
  <c r="U147" i="5" a="1"/>
  <c r="J168" i="5" a="1"/>
  <c r="AR134" i="10" a="1"/>
  <c r="J126" i="5" a="1"/>
  <c r="P143" i="5" a="1"/>
  <c r="Q40" i="58887" a="1"/>
  <c r="Q159" i="58887" a="1"/>
  <c r="Z144" i="5"/>
  <c r="AF297" i="10" a="1"/>
  <c r="AM293" i="10" a="1"/>
  <c r="I250" i="58885" a="1"/>
  <c r="U158" i="5" a="1"/>
  <c r="I100" i="5" a="1"/>
  <c r="N111" i="5" a="1"/>
  <c r="S132" i="5" a="1"/>
  <c r="AV207" i="10" a="1"/>
  <c r="I162" i="5" a="1"/>
  <c r="DM246" i="58885" a="1"/>
  <c r="W175" i="5" a="1"/>
  <c r="M75" i="5" a="1"/>
  <c r="AW175" i="10" a="1"/>
  <c r="N126" i="5" a="1"/>
  <c r="V169" i="5" a="1"/>
  <c r="N169" i="5" a="1"/>
  <c r="I175" i="5" a="1"/>
  <c r="Z194" i="5"/>
  <c r="Z206" i="5"/>
  <c r="Z218" i="5"/>
  <c r="DW8" i="58884" a="1"/>
  <c r="Z90" i="5"/>
  <c r="O256" i="10"/>
  <c r="Q90" i="58887" a="1"/>
  <c r="P71" i="5" a="1"/>
  <c r="Q111" i="58887" a="1"/>
  <c r="I55" i="5" a="1"/>
  <c r="P172" i="5" a="1"/>
  <c r="Y181" i="5" a="1"/>
  <c r="Y263" i="10" a="1"/>
  <c r="M183" i="5" a="1"/>
  <c r="L123" i="5" a="1"/>
  <c r="R89" i="5" a="1"/>
  <c r="Y6" i="10"/>
  <c r="I237" i="58885" a="1"/>
  <c r="O53" i="5"/>
  <c r="V152" i="5" a="1"/>
  <c r="AH105" i="10"/>
  <c r="Q3" i="58885"/>
  <c r="AA105" i="10"/>
  <c r="AH98" i="10"/>
  <c r="Y164" i="5" a="1"/>
  <c r="U287" i="10" a="1"/>
  <c r="U71" i="5" a="1"/>
  <c r="M145" i="5" a="1"/>
  <c r="O3" i="58885"/>
  <c r="AL112" i="10"/>
  <c r="AV258" i="10" a="1"/>
  <c r="T112" i="10"/>
  <c r="N94" i="5" a="1"/>
  <c r="R180" i="5" a="1"/>
  <c r="AV162" i="10" a="1"/>
  <c r="Q192" i="5" a="1"/>
  <c r="I134" i="58885" a="1"/>
  <c r="T98" i="10"/>
  <c r="AV99" i="10" a="1"/>
  <c r="AH256" i="10"/>
  <c r="AE263" i="10" a="1"/>
  <c r="AF4" i="37" a="1"/>
  <c r="AC86" i="10"/>
  <c r="AR105" i="10"/>
  <c r="AN309" i="10"/>
  <c r="Y92" i="5" a="1"/>
  <c r="DM218" i="58885" a="1"/>
  <c r="I78" i="5" a="1"/>
  <c r="Q42" i="58887" a="1"/>
  <c r="AW59" i="10" a="1"/>
  <c r="Q151" i="58887" a="1"/>
  <c r="Q165" i="58887" a="1"/>
  <c r="I139" i="58885" a="1"/>
  <c r="B129" i="10" a="1"/>
  <c r="S85" i="5" a="1"/>
  <c r="AF295" i="10" a="1"/>
  <c r="Q99" i="58887" a="1"/>
  <c r="X58" i="5" a="1"/>
  <c r="L133" i="5" a="1"/>
  <c r="N158" i="5" a="1"/>
  <c r="J187" i="5" a="1"/>
  <c r="Z186" i="5"/>
  <c r="I104" i="5" a="1"/>
  <c r="O147" i="5" a="1"/>
  <c r="O83" i="5" a="1"/>
  <c r="Q132" i="5" a="1"/>
  <c r="Q83" i="58887" a="1"/>
  <c r="R185" i="5" a="1"/>
  <c r="T184" i="5" a="1"/>
  <c r="N137" i="5" a="1"/>
  <c r="V3" i="10" a="1"/>
  <c r="I178" i="5" a="1"/>
  <c r="P293" i="10" a="1"/>
  <c r="AF105" i="10"/>
  <c r="Y123" i="5" a="1"/>
  <c r="U105" i="10"/>
  <c r="C256" i="10"/>
  <c r="S164" i="5" a="1"/>
  <c r="AI269" i="10" a="1"/>
  <c r="AK289" i="10" a="1"/>
  <c r="AE299" i="10" a="1"/>
  <c r="U55" i="5" a="1"/>
  <c r="O191" i="5" a="1"/>
  <c r="Y170" i="5" a="1"/>
  <c r="K133" i="5" a="1"/>
  <c r="S73" i="5" a="1"/>
  <c r="Z57" i="5"/>
  <c r="W176" i="5" a="1"/>
  <c r="O265" i="10" a="1"/>
  <c r="DM233" i="58885" a="1"/>
  <c r="X87" i="5" a="1"/>
  <c r="AO287" i="10" a="1"/>
  <c r="V69" i="5" a="1"/>
  <c r="Q183" i="5" a="1"/>
  <c r="U132" i="5" a="1"/>
  <c r="R65" i="5" a="1"/>
  <c r="AV295" i="10" a="1"/>
  <c r="J154" i="5" a="1"/>
  <c r="AV222" i="10" a="1"/>
  <c r="AI263" i="10" a="1"/>
  <c r="AT256" i="10"/>
  <c r="Y72" i="5" a="1"/>
  <c r="O277" i="10" a="1"/>
  <c r="DM205" i="58885" a="1"/>
  <c r="Y103" i="5" a="1"/>
  <c r="AA283" i="10" a="1"/>
  <c r="U123" i="5" a="1"/>
  <c r="Q93" i="5" a="1"/>
  <c r="I183" i="5" a="1"/>
  <c r="I190" i="58885" a="1"/>
  <c r="X113" i="5" a="1"/>
  <c r="O61" i="5" a="1"/>
  <c r="M3" i="58853" a="1"/>
  <c r="AQ212" i="10" a="1"/>
  <c r="Z102" i="5"/>
  <c r="DO29" i="58885" a="1"/>
  <c r="Q142" i="58887" a="1"/>
  <c r="I124" i="5" a="1"/>
  <c r="DO93" i="58885" a="1"/>
  <c r="J181" i="5" a="1"/>
  <c r="AW195" i="10" a="1"/>
  <c r="DO146" i="58885" a="1"/>
  <c r="Q41" i="58887" a="1"/>
  <c r="X57" i="5" a="1"/>
  <c r="Z274" i="5"/>
  <c r="AV313" i="10" a="1"/>
  <c r="U156" i="5" a="1"/>
  <c r="B52" i="5"/>
  <c r="Z249" i="5"/>
  <c r="Z83" i="5"/>
  <c r="T83" i="5" a="1"/>
  <c r="J61" i="5" a="1"/>
  <c r="AW194" i="10" a="1"/>
  <c r="Z129" i="5"/>
  <c r="AV239" i="10" a="1"/>
  <c r="P63" i="5" a="1"/>
  <c r="V160" i="5" a="1"/>
  <c r="DM236" i="58885" a="1"/>
  <c r="AC6" i="58884" a="1"/>
  <c r="L101" i="5" a="1"/>
  <c r="K101" i="5" a="1"/>
  <c r="Q62" i="5" a="1"/>
  <c r="Q57" i="58887" a="1"/>
  <c r="Z251" i="5"/>
  <c r="K114" i="5" a="1"/>
  <c r="P105" i="10"/>
  <c r="I238" i="58885" a="1"/>
  <c r="X169" i="5" a="1"/>
  <c r="Z254" i="5"/>
  <c r="G3" i="58887"/>
  <c r="H3" i="58887"/>
  <c r="X121" i="5" a="1"/>
  <c r="O123" i="5" a="1"/>
  <c r="T33" i="37"/>
  <c r="AV125" i="10" a="1"/>
  <c r="R81" i="5" a="1"/>
  <c r="DO41" i="58885" a="1"/>
  <c r="AW81" i="10" a="1"/>
  <c r="W167" i="5" a="1"/>
  <c r="AV102" i="10" a="1"/>
  <c r="M62" i="5" a="1"/>
  <c r="Q156" i="5" a="1"/>
  <c r="R147" i="5" a="1"/>
  <c r="M123" i="5" a="1"/>
  <c r="V164" i="5" a="1"/>
  <c r="C3" i="58885"/>
  <c r="Y149" i="5" a="1"/>
  <c r="K152" i="5" a="1"/>
  <c r="U179" i="5" a="1"/>
  <c r="AQ112" i="10"/>
  <c r="V116" i="5" a="1"/>
  <c r="Q135" i="5" a="1"/>
  <c r="T12" i="37"/>
  <c r="DO177" i="58885" a="1"/>
  <c r="S101" i="5" a="1"/>
  <c r="R59" i="5" a="1"/>
  <c r="O273" i="10" a="1"/>
  <c r="X187" i="5" a="1"/>
  <c r="T81" i="5" a="1"/>
  <c r="O87" i="5" a="1"/>
  <c r="AS98" i="10"/>
  <c r="AW171" i="10" a="1"/>
  <c r="K105" i="10"/>
  <c r="S121" i="5" a="1"/>
  <c r="AA275" i="10" a="1"/>
  <c r="V179" i="5" a="1"/>
  <c r="AV103" i="10" a="1"/>
  <c r="V103" i="5" a="1"/>
  <c r="FP13" i="58885" a="1"/>
  <c r="AW128" i="10" a="1"/>
  <c r="Q162" i="5" a="1"/>
  <c r="B198" i="10" a="1"/>
  <c r="R192" i="5" a="1"/>
  <c r="V138" i="5" a="1"/>
  <c r="S283" i="10" a="1"/>
  <c r="Q118" i="58887" a="1"/>
  <c r="J79" i="5" a="1"/>
  <c r="Z225" i="5"/>
  <c r="N135" i="5" a="1"/>
  <c r="W191" i="5" a="1"/>
  <c r="DM227" i="58885" a="1"/>
  <c r="Y281" i="10" a="1"/>
  <c r="L88" i="5" a="1"/>
  <c r="K71" i="5" a="1"/>
  <c r="Q259" i="5"/>
  <c r="J137" i="5" a="1"/>
  <c r="K180" i="5" a="1"/>
  <c r="W133" i="5" a="1"/>
  <c r="DO158" i="58885" a="1"/>
  <c r="DW20" i="58884" a="1"/>
  <c r="N194" i="5" a="1"/>
  <c r="J259" i="5"/>
  <c r="P145" i="5" a="1"/>
  <c r="O84" i="5" a="1"/>
  <c r="O82" i="5" a="1"/>
  <c r="V78" i="5" a="1"/>
  <c r="B234" i="10" a="1"/>
  <c r="Z115" i="5"/>
  <c r="K167" i="5" a="1"/>
  <c r="Q72" i="5" a="1"/>
  <c r="W273" i="10" a="1"/>
  <c r="U138" i="5" a="1"/>
  <c r="M171" i="5" a="1"/>
  <c r="J101" i="5" a="1"/>
  <c r="Y141" i="5" a="1"/>
  <c r="AN105" i="10"/>
  <c r="DO68" i="58885" a="1"/>
  <c r="DW13" i="58884" a="1"/>
  <c r="DO78" i="58885" a="1"/>
  <c r="V130" i="5" a="1"/>
  <c r="DM203" i="58885" a="1"/>
  <c r="B216" i="10" a="1"/>
  <c r="AV145" i="10" a="1"/>
  <c r="Y98" i="10"/>
  <c r="Y108" i="5" a="1"/>
  <c r="DM228" i="58885" a="1"/>
  <c r="R140" i="5" a="1"/>
  <c r="AN291" i="10" a="1"/>
  <c r="K159" i="5" a="1"/>
  <c r="V110" i="5" a="1"/>
  <c r="R193" i="5" a="1"/>
  <c r="M126" i="5" a="1"/>
  <c r="O3" i="58887"/>
  <c r="G299" i="10" a="1"/>
  <c r="N3" i="58887"/>
  <c r="U193" i="5" a="1"/>
  <c r="AW156" i="10" a="1"/>
  <c r="AQ3" i="58858" a="1"/>
  <c r="AM3" i="10" a="1"/>
  <c r="BO7" i="58887" a="1"/>
  <c r="K70" i="5" a="1"/>
  <c r="I4" i="37" a="1"/>
  <c r="M193" i="5" a="1"/>
  <c r="M102" i="5" a="1"/>
  <c r="W259" i="5"/>
  <c r="BJ3" i="58884" a="1"/>
  <c r="V83" i="5" a="1"/>
  <c r="V3" i="58887"/>
  <c r="Q112" i="58887" a="1"/>
  <c r="AA271" i="10" a="1"/>
  <c r="AC98" i="10"/>
  <c r="U114" i="5" a="1"/>
  <c r="K53" i="5"/>
  <c r="P120" i="5" a="1"/>
  <c r="O94" i="5" a="1"/>
  <c r="I185" i="58885" a="1"/>
  <c r="N96" i="5" a="1"/>
  <c r="P184" i="5" a="1"/>
  <c r="U130" i="5" a="1"/>
  <c r="AD256" i="10"/>
  <c r="R139" i="5" a="1"/>
  <c r="J105" i="10"/>
  <c r="R100" i="5" a="1"/>
  <c r="N3" i="58885"/>
  <c r="B168" i="10" a="1"/>
  <c r="J2" i="58853"/>
  <c r="Z70" i="5"/>
  <c r="J142" i="5" a="1"/>
  <c r="Z82" i="5"/>
  <c r="Y69" i="5" a="1"/>
  <c r="M155" i="5" a="1"/>
  <c r="M106" i="5" a="1"/>
  <c r="S139" i="5" a="1"/>
  <c r="J132" i="5" a="1"/>
  <c r="J69" i="5" a="1"/>
  <c r="AW202" i="10" a="1"/>
  <c r="DO47" i="58885" a="1"/>
  <c r="U139" i="5" a="1"/>
  <c r="DO56" i="58885" a="1"/>
  <c r="N56" i="5" a="1"/>
  <c r="U177" i="5" a="1"/>
  <c r="R126" i="5" a="1"/>
  <c r="Y173" i="5" a="1"/>
  <c r="K121" i="5" a="1"/>
  <c r="Q14" i="58887" a="1"/>
  <c r="T178" i="5" a="1"/>
  <c r="AQ137" i="10" a="1"/>
  <c r="I142" i="5" a="1"/>
  <c r="Z136" i="5"/>
  <c r="R149" i="5" a="1"/>
  <c r="Y277" i="10" a="1"/>
  <c r="AV133" i="10" a="1"/>
  <c r="N182" i="5" a="1"/>
  <c r="AA277" i="10" a="1"/>
  <c r="O105" i="10"/>
  <c r="J116" i="5" a="1"/>
  <c r="W301" i="10" a="1"/>
  <c r="M99" i="5" a="1"/>
  <c r="Q127" i="58887" a="1"/>
  <c r="Q49" i="58887" a="1"/>
  <c r="Z215" i="5"/>
  <c r="X136" i="5" a="1"/>
  <c r="P136" i="5" a="1"/>
  <c r="Y88" i="5" a="1"/>
  <c r="I116" i="5" a="1"/>
  <c r="AC277" i="10" a="1"/>
  <c r="W98" i="5" a="1"/>
  <c r="Z166" i="5"/>
  <c r="S192" i="5" a="1"/>
  <c r="AV182" i="10" a="1"/>
  <c r="Q9" i="58887" a="1"/>
  <c r="AE291" i="10" a="1"/>
  <c r="S166" i="5" a="1"/>
  <c r="N78" i="5" a="1"/>
  <c r="L194" i="5" a="1"/>
  <c r="J98" i="5" a="1"/>
  <c r="AW58" i="10" a="1"/>
  <c r="N170" i="5" a="1"/>
  <c r="W146" i="5" a="1"/>
  <c r="Q175" i="5" a="1"/>
  <c r="AV289" i="10" a="1"/>
  <c r="S191" i="5" a="1"/>
  <c r="P98" i="5" a="1"/>
  <c r="O121" i="5" a="1"/>
  <c r="U267" i="10" a="1"/>
  <c r="Q137" i="5" a="1"/>
  <c r="AE283" i="10" a="1"/>
  <c r="AD3" i="10" a="1"/>
  <c r="X165" i="5" a="1"/>
  <c r="N73" i="5" a="1"/>
  <c r="V92" i="5" a="1"/>
  <c r="S154" i="5" a="1"/>
  <c r="Z54" i="5"/>
  <c r="H295" i="10" a="1"/>
  <c r="I60" i="5" a="1"/>
  <c r="U137" i="5" a="1"/>
  <c r="AW230" i="10" a="1"/>
  <c r="AR164" i="10" a="1"/>
  <c r="U154" i="5" a="1"/>
  <c r="Z162" i="5"/>
  <c r="R75" i="5" a="1"/>
  <c r="R188" i="5" a="1"/>
  <c r="AO269" i="10" a="1"/>
  <c r="V81" i="5" a="1"/>
  <c r="W98" i="10"/>
  <c r="P80" i="5" a="1"/>
  <c r="I180" i="5" a="1"/>
  <c r="R71" i="5" a="1"/>
  <c r="Q128" i="5" a="1"/>
  <c r="O188" i="5" a="1"/>
  <c r="S179" i="5" a="1"/>
  <c r="L83" i="5" a="1"/>
  <c r="I56" i="5" a="1"/>
  <c r="T86" i="5" a="1"/>
  <c r="T170" i="5" a="1"/>
  <c r="R138" i="5" a="1"/>
  <c r="AV235" i="10" a="1"/>
  <c r="L120" i="5" a="1"/>
  <c r="AH291" i="10" a="1"/>
  <c r="I114" i="5" a="1"/>
  <c r="W118" i="5" a="1"/>
  <c r="AC105" i="10"/>
  <c r="AQ200" i="10" a="1"/>
  <c r="AN293" i="10" a="1"/>
  <c r="Z223" i="5"/>
  <c r="S74" i="5" a="1"/>
  <c r="J185" i="5" a="1"/>
  <c r="AF256" i="10"/>
  <c r="M70" i="5" a="1"/>
  <c r="M285" i="10" a="1"/>
  <c r="R259" i="5"/>
  <c r="U116" i="5" a="1"/>
  <c r="Q76" i="58887" a="1"/>
  <c r="Z141" i="5"/>
  <c r="K188" i="5" a="1"/>
  <c r="U63" i="5" a="1"/>
  <c r="G98" i="10"/>
  <c r="B258" i="5"/>
  <c r="P86" i="10"/>
  <c r="I213" i="58885" a="1"/>
  <c r="AG86" i="10"/>
  <c r="L124" i="5" a="1"/>
  <c r="Y63" i="5" a="1"/>
  <c r="S138" i="5" a="1"/>
  <c r="M273" i="10" a="1"/>
  <c r="AB4" i="37" a="1"/>
  <c r="Q172" i="5" a="1"/>
  <c r="O283" i="10" a="1"/>
  <c r="AT105" i="10"/>
  <c r="F53" i="5"/>
  <c r="S53" i="5"/>
  <c r="AG98" i="10"/>
  <c r="D6" i="10"/>
  <c r="S6" i="10"/>
  <c r="S102" i="5" a="1"/>
  <c r="B98" i="10"/>
  <c r="Z196" i="5"/>
  <c r="N106" i="5" a="1"/>
  <c r="Z171" i="5"/>
  <c r="Q97" i="5" a="1"/>
  <c r="Z58" i="5"/>
  <c r="E112" i="10"/>
  <c r="AV234" i="10" a="1"/>
  <c r="DM240" i="58885" a="1"/>
  <c r="T74" i="5" a="1"/>
  <c r="Y148" i="5" a="1"/>
  <c r="R106" i="5" a="1"/>
  <c r="I309" i="10"/>
  <c r="W6" i="10"/>
  <c r="AV163" i="10" a="1"/>
  <c r="U75" i="5" a="1"/>
  <c r="R179" i="5" a="1"/>
  <c r="AQ197" i="10" a="1"/>
  <c r="AJ98" i="10"/>
  <c r="FP10" i="58885" a="1"/>
  <c r="E6" i="10"/>
  <c r="I174" i="5" a="1"/>
  <c r="K130" i="5" a="1"/>
  <c r="T121" i="5" a="1"/>
  <c r="V118" i="5" a="1"/>
  <c r="L4" i="37" a="1"/>
  <c r="AV130" i="10" a="1"/>
  <c r="P191" i="5" a="1"/>
  <c r="DO88" i="58885" a="1"/>
  <c r="L256" i="10"/>
  <c r="Z217" i="5"/>
  <c r="Y86" i="10"/>
  <c r="O65" i="5" a="1"/>
  <c r="Y96" i="5" a="1"/>
  <c r="Z241" i="5"/>
  <c r="X108" i="5" a="1"/>
  <c r="K269" i="10" a="1"/>
  <c r="Z250" i="5"/>
  <c r="AT309" i="10"/>
  <c r="U185" i="5" a="1"/>
  <c r="U86" i="10"/>
  <c r="X141" i="5" a="1"/>
  <c r="AV253" i="10" a="1"/>
  <c r="Z204" i="5"/>
  <c r="AE6" i="10"/>
  <c r="S58" i="5" a="1"/>
  <c r="AQ256" i="10"/>
  <c r="K185" i="5" a="1"/>
  <c r="D105" i="10"/>
  <c r="W269" i="10" a="1"/>
  <c r="I112" i="10"/>
  <c r="AK6" i="10"/>
  <c r="AC3" i="58884" a="1"/>
  <c r="Z235" i="5"/>
  <c r="K3" i="58887"/>
  <c r="K6" i="10"/>
  <c r="AA6" i="10"/>
  <c r="T94" i="5" a="1"/>
  <c r="X309" i="10"/>
  <c r="DO50" i="58885" a="1"/>
  <c r="Q88" i="5" a="1"/>
  <c r="AP86" i="10"/>
  <c r="I186" i="5" a="1"/>
  <c r="AD86" i="10"/>
  <c r="AM105" i="10"/>
  <c r="AI256" i="10"/>
  <c r="AW224" i="10" a="1"/>
  <c r="U79" i="5" a="1"/>
  <c r="W180" i="5" a="1"/>
  <c r="Q65" i="58887" a="1"/>
  <c r="N192" i="5" a="1"/>
  <c r="T100" i="5" a="1"/>
  <c r="Q56" i="5" a="1"/>
  <c r="Q144" i="58887" a="1"/>
  <c r="Q122" i="58887" a="1"/>
  <c r="J75" i="5" a="1"/>
  <c r="AE86" i="10"/>
  <c r="M124" i="5" a="1"/>
  <c r="Q6" i="58887" a="1"/>
  <c r="Z281" i="5"/>
  <c r="O170" i="5" a="1"/>
  <c r="Z205" i="5"/>
  <c r="Z216" i="5"/>
  <c r="AQ236" i="10" a="1"/>
  <c r="Z220" i="5"/>
  <c r="W148" i="5" a="1"/>
  <c r="Z257" i="5"/>
  <c r="Z267" i="5"/>
  <c r="AE112" i="10"/>
  <c r="T93" i="5" a="1"/>
  <c r="AA86" i="10"/>
  <c r="AO309" i="10"/>
  <c r="P259" i="5"/>
  <c r="K117" i="5" a="1"/>
  <c r="S57" i="5" a="1"/>
  <c r="W194" i="5" a="1"/>
  <c r="M146" i="5" a="1"/>
  <c r="N309" i="10"/>
  <c r="AM112" i="10"/>
  <c r="L186" i="5" a="1"/>
  <c r="F3" i="58885"/>
  <c r="L121" i="5" a="1"/>
  <c r="O167" i="5" a="1"/>
  <c r="J89" i="5" a="1"/>
  <c r="Q39" i="58887" a="1"/>
  <c r="Z263" i="5"/>
  <c r="L3" i="58885"/>
  <c r="AM86" i="10"/>
  <c r="L105" i="10"/>
  <c r="W73" i="5" a="1"/>
  <c r="R3" i="58887"/>
  <c r="K297" i="10" a="1"/>
  <c r="AF309" i="10"/>
  <c r="Q194" i="5" a="1"/>
  <c r="X174" i="5" a="1"/>
  <c r="Z59" i="5"/>
  <c r="R3" i="58885"/>
  <c r="AV81" i="10" a="1"/>
  <c r="AJ309" i="10"/>
  <c r="S86" i="5" a="1"/>
  <c r="AV294" i="10" a="1"/>
  <c r="Q153" i="58887" a="1"/>
  <c r="C4" i="37" a="1"/>
  <c r="K175" i="5" a="1"/>
  <c r="S176" i="5" a="1"/>
  <c r="K118" i="5" a="1"/>
  <c r="AC6" i="10"/>
  <c r="I6" i="10"/>
  <c r="AS309" i="10"/>
  <c r="I241" i="58885" a="1"/>
  <c r="AW245" i="10" a="1"/>
  <c r="Q95" i="58887" a="1"/>
  <c r="L81" i="5" a="1"/>
  <c r="L84" i="5" a="1"/>
  <c r="L148" i="5" a="1"/>
  <c r="Q27" i="58887" a="1"/>
  <c r="Q113" i="5" a="1"/>
  <c r="F98" i="10"/>
  <c r="O98" i="10"/>
  <c r="Z301" i="10" a="1"/>
  <c r="AV171" i="10" a="1"/>
  <c r="Y55" i="5" a="1"/>
  <c r="AV190" i="10" a="1"/>
  <c r="O98" i="5" a="1"/>
  <c r="O160" i="5" a="1"/>
  <c r="Z179" i="5"/>
  <c r="N107" i="5" a="1"/>
  <c r="AQ134" i="10" a="1"/>
  <c r="Q109" i="5" a="1"/>
  <c r="M173" i="5" a="1"/>
  <c r="T295" i="10" a="1"/>
  <c r="AW152" i="10" a="1"/>
  <c r="R309" i="10"/>
  <c r="W115" i="5" a="1"/>
  <c r="J131" i="5" a="1"/>
  <c r="M156" i="5" a="1"/>
  <c r="Z149" i="5"/>
  <c r="U6" i="10"/>
  <c r="R64" i="5" a="1"/>
  <c r="Q111" i="5" a="1"/>
  <c r="N109" i="5" a="1"/>
  <c r="X105" i="5" a="1"/>
  <c r="Q48" i="58887" a="1"/>
  <c r="M181" i="5" a="1"/>
  <c r="J121" i="5" a="1"/>
  <c r="O92" i="5" a="1"/>
  <c r="V192" i="5" a="1"/>
  <c r="Q53" i="5"/>
  <c r="N148" i="5" a="1"/>
  <c r="M53" i="5"/>
  <c r="V182" i="5" a="1"/>
  <c r="Z155" i="5"/>
  <c r="Z118" i="5"/>
  <c r="T124" i="5" a="1"/>
  <c r="Z71" i="5"/>
  <c r="B2" i="37"/>
  <c r="S174" i="5" a="1"/>
  <c r="S178" i="5" a="1"/>
  <c r="Z170" i="5"/>
  <c r="AI281" i="10" a="1"/>
  <c r="V183" i="5" a="1"/>
  <c r="AV132" i="10" a="1"/>
  <c r="DO170" i="58885" a="1"/>
  <c r="P101" i="5" a="1"/>
  <c r="P87" i="5" a="1"/>
  <c r="BJ6" i="58884" a="1"/>
  <c r="AJ256" i="10"/>
  <c r="AQ105" i="10"/>
  <c r="Z160" i="5"/>
  <c r="Q179" i="5" a="1"/>
  <c r="M259" i="5"/>
  <c r="AA3" i="58885"/>
  <c r="Z190" i="5"/>
  <c r="W69" i="5" a="1"/>
  <c r="M92" i="5" a="1"/>
  <c r="W60" i="5" a="1"/>
  <c r="V187" i="5" a="1"/>
  <c r="E105" i="10"/>
  <c r="Z270" i="5"/>
  <c r="S3" i="58885"/>
  <c r="V74" i="5" a="1"/>
  <c r="S120" i="5" a="1"/>
  <c r="Z89" i="5"/>
  <c r="Y107" i="5" a="1"/>
  <c r="O181" i="5" a="1"/>
  <c r="O3" i="58853" a="1"/>
  <c r="Z293" i="5"/>
  <c r="W158" i="5" a="1"/>
  <c r="N102" i="5" a="1"/>
  <c r="P67" i="5" a="1"/>
  <c r="G6" i="10"/>
  <c r="H309" i="10"/>
  <c r="AI112" i="10"/>
  <c r="AJ4" i="37" a="1"/>
  <c r="AV240" i="10" a="1"/>
  <c r="Y183" i="5" a="1"/>
  <c r="U178" i="5" a="1"/>
  <c r="Y167" i="5" a="1"/>
  <c r="Y259" i="5"/>
  <c r="N98" i="10"/>
  <c r="Z193" i="5"/>
  <c r="M293" i="10" a="1"/>
  <c r="X3" i="58885"/>
  <c r="AV297" i="10" a="1"/>
  <c r="V104" i="5" a="1"/>
  <c r="S259" i="5"/>
  <c r="Z95" i="5"/>
  <c r="Q32" i="58887" a="1"/>
  <c r="R124" i="5" a="1"/>
  <c r="S109" i="5" a="1"/>
  <c r="Z200" i="5"/>
  <c r="I143" i="5" a="1"/>
  <c r="L132" i="5" a="1"/>
  <c r="Q138" i="58887" a="1"/>
  <c r="V184" i="5" a="1"/>
  <c r="B86" i="10"/>
  <c r="DM199" i="58885" a="1"/>
  <c r="Z131" i="5"/>
  <c r="DO160" i="58885" a="1"/>
  <c r="AT98" i="10"/>
  <c r="Z135" i="5"/>
  <c r="B183" i="10" a="1"/>
  <c r="Q161" i="58887" a="1"/>
  <c r="I218" i="58885" a="1"/>
  <c r="Q184" i="5" a="1"/>
  <c r="I87" i="5" a="1"/>
  <c r="O183" i="5" a="1"/>
  <c r="Y105" i="10"/>
  <c r="R77" i="5" a="1"/>
  <c r="C259" i="5"/>
  <c r="AQ158" i="10" a="1"/>
  <c r="R79" i="5" a="1"/>
  <c r="F4" i="37" a="1"/>
  <c r="C113" i="10"/>
  <c r="N3" i="58853" a="1"/>
  <c r="T259" i="5"/>
  <c r="K123" i="5" a="1"/>
  <c r="X86" i="10"/>
  <c r="AV226" i="10" a="1"/>
  <c r="N118" i="5" a="1"/>
  <c r="Z237" i="5"/>
  <c r="T4" i="37" a="1"/>
  <c r="Q188" i="5" a="1"/>
  <c r="Z98" i="10"/>
  <c r="M169" i="5" a="1"/>
  <c r="I152" i="5" a="1"/>
  <c r="P112" i="10"/>
  <c r="AC7" i="58887" a="1"/>
  <c r="R112" i="10"/>
  <c r="N79" i="5" a="1"/>
  <c r="X79" i="5" a="1"/>
  <c r="L53" i="5"/>
  <c r="G267" i="10" a="1"/>
  <c r="M3" i="58887"/>
  <c r="V101" i="5" a="1"/>
  <c r="Y93" i="5" a="1"/>
  <c r="P173" i="5" a="1"/>
  <c r="F259" i="5"/>
  <c r="K57" i="5" a="1"/>
  <c r="M6" i="10"/>
  <c r="Z180" i="5"/>
  <c r="AJ291" i="10" a="1"/>
  <c r="Q146" i="58887" a="1"/>
  <c r="Z104" i="5"/>
  <c r="I256" i="10"/>
  <c r="Q119" i="58887" a="1"/>
  <c r="R84" i="5" a="1"/>
  <c r="W287" i="10" a="1"/>
  <c r="L109" i="5" a="1"/>
  <c r="Z157" i="5"/>
  <c r="AV193" i="10" a="1"/>
  <c r="AE105" i="10"/>
  <c r="V3" i="58885"/>
  <c r="D98" i="10"/>
  <c r="AW170" i="10" a="1"/>
  <c r="Z185" i="5"/>
  <c r="W71" i="5" a="1"/>
  <c r="L164" i="5" a="1"/>
  <c r="S185" i="5" a="1"/>
  <c r="T9" i="37"/>
  <c r="AW67" i="10" a="1"/>
  <c r="Q34" i="58887" a="1"/>
  <c r="Q98" i="10"/>
  <c r="Z279" i="5"/>
  <c r="T75" i="5" a="1"/>
  <c r="V158" i="5" a="1"/>
  <c r="Q71" i="58887" a="1"/>
  <c r="J167" i="5" a="1"/>
  <c r="AV186" i="10" a="1"/>
  <c r="AW176" i="10" a="1"/>
  <c r="G86" i="10"/>
  <c r="Z143" i="5"/>
  <c r="AV248" i="10" a="1"/>
  <c r="U192" i="5" a="1"/>
  <c r="AM6" i="10"/>
  <c r="V171" i="5" a="1"/>
  <c r="U78" i="5" a="1"/>
  <c r="H53" i="5"/>
  <c r="L116" i="5" a="1"/>
  <c r="AW143" i="10" a="1"/>
  <c r="Z276" i="5"/>
  <c r="DW18" i="58884" a="1"/>
  <c r="Z6" i="10"/>
  <c r="N116" i="5" a="1"/>
  <c r="M93" i="5" a="1"/>
  <c r="DO20" i="58885" a="1"/>
  <c r="O110" i="5" a="1"/>
  <c r="AR143" i="10" a="1"/>
  <c r="AV121" i="10" a="1"/>
  <c r="R299" i="10" a="1"/>
  <c r="Y95" i="5" a="1"/>
  <c r="W185" i="5" a="1"/>
  <c r="X4" i="37" a="1"/>
  <c r="X72" i="5" a="1"/>
  <c r="Q147" i="5" a="1"/>
  <c r="Z199" i="5"/>
  <c r="Q3" i="58887"/>
  <c r="AV131" i="10" a="1"/>
  <c r="T120" i="5" a="1"/>
  <c r="M154" i="5" a="1"/>
  <c r="DO165" i="58885" a="1"/>
  <c r="S86" i="10"/>
  <c r="J86" i="10"/>
  <c r="K112" i="10"/>
  <c r="AF6" i="10"/>
  <c r="T66" i="5" a="1"/>
  <c r="AV237" i="10" a="1"/>
  <c r="J90" i="5" a="1"/>
  <c r="AP98" i="10"/>
  <c r="Z174" i="5"/>
  <c r="L293" i="10" a="1"/>
  <c r="M192" i="5" a="1"/>
  <c r="O173" i="5" a="1"/>
  <c r="AL98" i="10"/>
  <c r="M182" i="5" a="1"/>
  <c r="R123" i="5" a="1"/>
  <c r="N99" i="5" a="1"/>
  <c r="AA4" i="37" a="1"/>
  <c r="J103" i="5" a="1"/>
  <c r="J141" i="5" a="1"/>
  <c r="R55" i="5" a="1"/>
  <c r="AK263" i="10" a="1"/>
  <c r="W88" i="5" a="1"/>
  <c r="R132" i="5" a="1"/>
  <c r="X91" i="5" a="1"/>
  <c r="Q60" i="5" a="1"/>
  <c r="Z203" i="5"/>
  <c r="J172" i="5" a="1"/>
  <c r="Z108" i="5"/>
  <c r="AP6" i="10"/>
  <c r="I3" i="58887"/>
  <c r="E86" i="10"/>
  <c r="Z291" i="5"/>
  <c r="X140" i="5" a="1"/>
  <c r="O176" i="5" a="1"/>
  <c r="Q43" i="58887" a="1"/>
  <c r="X107" i="5" a="1"/>
  <c r="O63" i="5" a="1"/>
  <c r="W81" i="5" a="1"/>
  <c r="DM185" i="58885" a="1"/>
  <c r="Z233" i="5"/>
  <c r="Z156" i="5"/>
  <c r="N63" i="5" a="1"/>
  <c r="Q297" i="10" a="1"/>
  <c r="AW68" i="10" a="1"/>
  <c r="Q120" i="5" a="1"/>
  <c r="Z188" i="5"/>
  <c r="M3" i="58885"/>
  <c r="P160" i="5" a="1"/>
  <c r="AV154" i="10" a="1"/>
  <c r="C99" i="10"/>
  <c r="V93" i="5" a="1"/>
  <c r="AV204" i="10" a="1"/>
  <c r="W144" i="5" a="1"/>
  <c r="M309" i="10"/>
  <c r="C106" i="10"/>
  <c r="Z286" i="5"/>
  <c r="Q84" i="58887" a="1"/>
  <c r="DM216" i="58885" a="1"/>
  <c r="Z264" i="5"/>
  <c r="AW187" i="10" a="1"/>
  <c r="Y121" i="5" a="1"/>
  <c r="L140" i="5" a="1"/>
  <c r="AS86" i="10"/>
  <c r="AG112" i="10"/>
  <c r="Q20" i="58887" a="1"/>
  <c r="AV65" i="10" a="1"/>
  <c r="Z105" i="10"/>
  <c r="Q289" i="10" a="1"/>
  <c r="X112" i="10"/>
  <c r="X123" i="5" a="1"/>
  <c r="L192" i="5" a="1"/>
  <c r="P141" i="5" a="1"/>
  <c r="T105" i="5" a="1"/>
  <c r="Y3" i="58885"/>
  <c r="Y53" i="5"/>
  <c r="U112" i="10"/>
  <c r="Z169" i="5"/>
  <c r="R109" i="5" a="1"/>
  <c r="T105" i="10"/>
  <c r="L188" i="5" a="1"/>
  <c r="E256" i="10"/>
  <c r="AQ164" i="10" a="1"/>
  <c r="U299" i="10" a="1"/>
  <c r="Q4" i="37" a="1"/>
  <c r="C86" i="10"/>
  <c r="Z309" i="10"/>
  <c r="H86" i="10"/>
  <c r="Y160" i="5" a="1"/>
  <c r="S117" i="5" a="1"/>
  <c r="W179" i="5" a="1"/>
  <c r="Z240" i="5"/>
  <c r="W172" i="5" a="1"/>
  <c r="P77" i="5" a="1"/>
  <c r="O74" i="5" a="1"/>
  <c r="AD291" i="10" a="1"/>
  <c r="Z260" i="5"/>
  <c r="R165" i="5" a="1"/>
  <c r="H3" i="58885"/>
  <c r="M56" i="5" a="1"/>
  <c r="Z238" i="5"/>
  <c r="V75" i="5" a="1"/>
  <c r="Q279" i="10" a="1"/>
  <c r="X6" i="10"/>
  <c r="Z139" i="5"/>
  <c r="N6" i="10"/>
  <c r="Z88" i="5"/>
  <c r="F309" i="10"/>
  <c r="Z154" i="5"/>
  <c r="Z183" i="5"/>
  <c r="R105" i="10"/>
  <c r="V97" i="5" a="1"/>
  <c r="Q160" i="58887" a="1"/>
  <c r="S78" i="5" a="1"/>
  <c r="W124" i="5" a="1"/>
  <c r="AV141" i="10" a="1"/>
  <c r="Z112" i="10"/>
  <c r="Q100" i="58887" a="1"/>
  <c r="I99" i="5" a="1"/>
  <c r="Z259" i="5"/>
  <c r="L134" i="5" a="1"/>
  <c r="AC3" i="10" a="1"/>
  <c r="C3" i="58887"/>
  <c r="Z148" i="5"/>
  <c r="AA281" i="10" a="1"/>
  <c r="Q156" i="58887" a="1"/>
  <c r="N86" i="5" a="1"/>
  <c r="I72" i="5" a="1"/>
  <c r="Q67" i="5" a="1"/>
  <c r="U124" i="5" a="1"/>
  <c r="AM256" i="10"/>
  <c r="O99" i="5" a="1"/>
  <c r="Z255" i="5"/>
  <c r="I172" i="5" a="1"/>
  <c r="P131" i="5" a="1"/>
  <c r="P156" i="5" a="1"/>
  <c r="Q146" i="5" a="1"/>
  <c r="O192" i="5" a="1"/>
  <c r="AG309" i="10"/>
  <c r="AB6" i="10"/>
  <c r="V106" i="5" a="1"/>
  <c r="I86" i="10"/>
  <c r="AI105" i="10"/>
  <c r="L184" i="5" a="1"/>
  <c r="Y157" i="5" a="1"/>
  <c r="L172" i="5" a="1"/>
  <c r="N159" i="5" a="1"/>
  <c r="N187" i="5" a="1"/>
  <c r="V100" i="5" a="1"/>
  <c r="T123" i="5" a="1"/>
  <c r="Z132" i="5"/>
  <c r="Z107" i="5"/>
  <c r="AP7" i="58885" a="1"/>
  <c r="B309" i="10"/>
  <c r="L80" i="5" a="1"/>
  <c r="J193" i="5" a="1"/>
  <c r="L6" i="10"/>
  <c r="CP6" i="58884" a="1"/>
  <c r="AR86" i="10"/>
  <c r="AV68" i="10" a="1"/>
  <c r="Z126" i="5"/>
  <c r="B228" i="10" a="1"/>
  <c r="Z289" i="5"/>
  <c r="DM220" i="58885" a="1"/>
  <c r="J129" i="5" a="1"/>
  <c r="P89" i="5" a="1"/>
  <c r="Z269" i="5"/>
  <c r="AW134" i="10" a="1"/>
  <c r="DW4" i="58884" a="1"/>
  <c r="AB86" i="10"/>
  <c r="N105" i="10"/>
  <c r="AN112" i="10"/>
  <c r="AB112" i="10"/>
  <c r="X172" i="5" a="1"/>
  <c r="U136" i="5" a="1"/>
  <c r="K65" i="5" a="1"/>
  <c r="W75" i="5" a="1"/>
  <c r="AV274" i="10" a="1"/>
  <c r="AP105" i="10"/>
  <c r="AV157" i="10" a="1"/>
  <c r="X259" i="5"/>
  <c r="V98" i="5" a="1"/>
  <c r="J188" i="5" a="1"/>
  <c r="AW65" i="10" a="1"/>
  <c r="T138" i="5" a="1"/>
  <c r="U159" i="5" a="1"/>
  <c r="T160" i="5" a="1"/>
  <c r="Z209" i="5"/>
  <c r="I105" i="10"/>
  <c r="Z285" i="5"/>
  <c r="N117" i="5" a="1"/>
  <c r="V128" i="5" a="1"/>
  <c r="R190" i="5" a="1"/>
  <c r="AP112" i="10"/>
  <c r="AV153" i="10" a="1"/>
  <c r="Z99" i="5"/>
  <c r="V142" i="5" a="1"/>
  <c r="G261" i="10" a="1"/>
  <c r="Z256" i="10"/>
  <c r="M97" i="5" a="1"/>
  <c r="T107" i="5" a="1"/>
  <c r="S65" i="5" a="1"/>
  <c r="DO87" i="58885" a="1"/>
  <c r="X78" i="5" a="1"/>
  <c r="O77" i="5" a="1"/>
  <c r="Q126" i="5" a="1"/>
  <c r="V193" i="5" a="1"/>
  <c r="W99" i="5" a="1"/>
  <c r="B213" i="10" a="1"/>
  <c r="Y89" i="5" a="1"/>
  <c r="O64" i="5" a="1"/>
  <c r="Q159" i="5" a="1"/>
  <c r="V259" i="5"/>
  <c r="J151" i="5" a="1"/>
  <c r="J147" i="5" a="1"/>
  <c r="AI271" i="10" a="1"/>
  <c r="Z106" i="5"/>
  <c r="U107" i="5" a="1"/>
  <c r="R167" i="5" a="1"/>
  <c r="AB309" i="10"/>
  <c r="V144" i="5" a="1"/>
  <c r="X96" i="5" a="1"/>
  <c r="Q125" i="58887" a="1"/>
  <c r="AW116" i="10" a="1"/>
  <c r="Q25" i="58887" a="1"/>
  <c r="AI309" i="10"/>
  <c r="G4" i="37" a="1"/>
  <c r="L117" i="5" a="1"/>
  <c r="AW150" i="10" a="1"/>
  <c r="Z283" i="5"/>
  <c r="H4" i="37" a="1"/>
  <c r="W132" i="5" a="1"/>
  <c r="J123" i="5" a="1"/>
  <c r="AQ209" i="10" a="1"/>
  <c r="AV105" i="10" a="1"/>
  <c r="B4" i="37" a="1"/>
  <c r="Y112" i="10"/>
  <c r="K275" i="10" a="1"/>
  <c r="AW231" i="10" a="1"/>
  <c r="X75" i="5" a="1"/>
  <c r="DM189" i="58885" a="1"/>
  <c r="V123" i="5" a="1"/>
  <c r="Y146" i="5" a="1"/>
  <c r="AH112" i="10"/>
  <c r="U256" i="10"/>
  <c r="AQ161" i="10" a="1"/>
  <c r="I59" i="5" a="1"/>
  <c r="Q164" i="58887" a="1"/>
  <c r="M187" i="5" a="1"/>
  <c r="Q5" i="58887" a="1"/>
  <c r="Z201" i="5"/>
  <c r="Z134" i="5"/>
  <c r="Q114" i="58887" a="1"/>
  <c r="S95" i="5" a="1"/>
  <c r="I184" i="58885" a="1"/>
  <c r="K138" i="5" a="1"/>
  <c r="O4" i="37" a="1"/>
  <c r="E4" i="37" a="1"/>
  <c r="P107" i="5" a="1"/>
  <c r="Z243" i="5"/>
  <c r="AV96" i="10" a="1"/>
  <c r="J136" i="5" a="1"/>
  <c r="Y66" i="5" a="1"/>
  <c r="AO105" i="10"/>
  <c r="Q261" i="10" a="1"/>
  <c r="AV61" i="10" a="1"/>
  <c r="I200" i="58885" a="1"/>
  <c r="T132" i="5" a="1"/>
  <c r="X179" i="5" a="1"/>
  <c r="Z3" i="58885"/>
  <c r="K98" i="10"/>
  <c r="K144" i="5" a="1"/>
  <c r="K169" i="5" a="1"/>
  <c r="AA309" i="10"/>
  <c r="AE293" i="10" a="1"/>
  <c r="O169" i="5" a="1"/>
  <c r="Q73" i="58887" a="1"/>
  <c r="P75" i="5" a="1"/>
  <c r="Q283" i="10" a="1"/>
  <c r="T291" i="10" a="1"/>
  <c r="U105" i="5" a="1"/>
  <c r="T69" i="5" a="1"/>
  <c r="Y193" i="5" a="1"/>
  <c r="AQ6" i="10"/>
  <c r="AK309" i="10"/>
  <c r="Y122" i="5" a="1"/>
  <c r="BJ5" i="58884" a="1"/>
  <c r="AV75" i="10" a="1"/>
  <c r="I126" i="58885" a="1"/>
  <c r="AR6" i="10"/>
  <c r="V107" i="5" a="1"/>
  <c r="K64" i="5" a="1"/>
  <c r="R6" i="10"/>
  <c r="Z252" i="5"/>
  <c r="AL309" i="10"/>
  <c r="Q17" i="58887" a="1"/>
  <c r="AR309" i="10"/>
  <c r="Z84" i="5"/>
  <c r="Z146" i="5"/>
  <c r="AC287" i="10" a="1"/>
  <c r="U119" i="5" a="1"/>
  <c r="K309" i="10"/>
  <c r="X191" i="5" a="1"/>
  <c r="T190" i="5" a="1"/>
  <c r="I101" i="5" a="1"/>
  <c r="Q125" i="5" a="1"/>
  <c r="R86" i="10"/>
  <c r="Z247" i="5"/>
  <c r="W112" i="5" a="1"/>
  <c r="T71" i="5" a="1"/>
  <c r="AD299" i="10" a="1"/>
  <c r="R155" i="5" a="1"/>
  <c r="AI3" i="10" a="1"/>
  <c r="K139" i="5" a="1"/>
  <c r="Q82" i="5" a="1"/>
  <c r="Q136" i="58887" a="1"/>
  <c r="AV179" i="10" a="1"/>
  <c r="M176" i="5" a="1"/>
  <c r="V113" i="5" a="1"/>
  <c r="U273" i="10" a="1"/>
  <c r="Q87" i="5" a="1"/>
  <c r="V178" i="5" a="1"/>
  <c r="AB105" i="10"/>
  <c r="K291" i="10" a="1"/>
  <c r="U140" i="5" a="1"/>
  <c r="T85" i="5" a="1"/>
  <c r="W161" i="5" a="1"/>
  <c r="Z236" i="5"/>
  <c r="U4" i="37" a="1"/>
  <c r="Q119" i="5" a="1"/>
  <c r="M112" i="10"/>
  <c r="AV155" i="10" a="1"/>
  <c r="AV85" i="10" a="1"/>
  <c r="M67" i="5" a="1"/>
  <c r="K113" i="5" a="1"/>
  <c r="T20" i="37"/>
  <c r="O138" i="5" a="1"/>
  <c r="W105" i="10"/>
  <c r="U60" i="5" a="1"/>
  <c r="Z142" i="5"/>
  <c r="I64" i="5" a="1"/>
  <c r="Q78" i="58887" a="1"/>
  <c r="C112" i="10"/>
  <c r="N60" i="5" a="1"/>
  <c r="Z212" i="5"/>
  <c r="Q148" i="58887" a="1"/>
  <c r="Z150" i="5"/>
  <c r="W86" i="10"/>
  <c r="O128" i="5" a="1"/>
  <c r="Y285" i="10" a="1"/>
  <c r="AO98" i="10"/>
  <c r="E3" i="58885"/>
  <c r="L78" i="5" a="1"/>
  <c r="Z4" i="37" a="1"/>
  <c r="U126" i="5" a="1"/>
  <c r="Z74" i="5"/>
  <c r="X173" i="5" a="1"/>
  <c r="P74" i="5" a="1"/>
  <c r="O152" i="5" a="1"/>
  <c r="Z91" i="5"/>
  <c r="K4" i="37" a="1"/>
  <c r="M84" i="5" a="1"/>
  <c r="R128" i="5" a="1"/>
  <c r="K181" i="5" a="1"/>
  <c r="AN256" i="10"/>
  <c r="Z213" i="5"/>
  <c r="F6" i="10"/>
  <c r="AP309" i="10"/>
  <c r="AI4" i="37" a="1"/>
  <c r="O62" i="5" a="1"/>
  <c r="Q145" i="58887" a="1"/>
  <c r="P130" i="5" a="1"/>
  <c r="V188" i="5" a="1"/>
  <c r="Z69" i="5"/>
  <c r="AW227" i="10" a="1"/>
  <c r="K60" i="5" a="1"/>
  <c r="Q35" i="58887" a="1"/>
  <c r="AN6" i="10"/>
  <c r="AK112" i="10"/>
  <c r="T99" i="5" a="1"/>
  <c r="Z189" i="5"/>
  <c r="X65" i="5" a="1"/>
  <c r="T65" i="5" a="1"/>
  <c r="Q187" i="5" a="1"/>
  <c r="Z178" i="5"/>
  <c r="L193" i="5" a="1"/>
  <c r="V79" i="5" a="1"/>
  <c r="K61" i="5" a="1"/>
  <c r="S105" i="10"/>
  <c r="V174" i="5" a="1"/>
  <c r="AV288" i="10" a="1"/>
  <c r="Z268" i="5"/>
  <c r="AH309" i="10"/>
  <c r="W4" i="37" a="1"/>
  <c r="G3" i="58885"/>
  <c r="AE309" i="10"/>
  <c r="Z111" i="5"/>
  <c r="Z79" i="5"/>
  <c r="AC271" i="10" a="1"/>
  <c r="X188" i="5" a="1"/>
  <c r="Q171" i="5" a="1"/>
  <c r="Y309" i="10"/>
  <c r="L112" i="10"/>
  <c r="J98" i="10"/>
  <c r="AF86" i="10"/>
  <c r="Z278" i="5"/>
  <c r="AC5" i="58884" a="1"/>
  <c r="Z214" i="5"/>
  <c r="Q46" i="58887" a="1"/>
  <c r="M281" i="10" a="1"/>
  <c r="Z128" i="5"/>
  <c r="X176" i="5" a="1"/>
  <c r="U265" i="10" a="1"/>
  <c r="Y295" i="10" a="1"/>
  <c r="T168" i="5" a="1"/>
  <c r="U129" i="5" a="1"/>
  <c r="AV212" i="10" a="1"/>
  <c r="AE4" i="37" a="1"/>
  <c r="Z97" i="5"/>
  <c r="Z211" i="5"/>
  <c r="Z96" i="5"/>
  <c r="M115" i="5" a="1"/>
  <c r="R121" i="5" a="1"/>
  <c r="AQ188" i="10" a="1"/>
  <c r="AV172" i="10" a="1"/>
  <c r="T60" i="5" a="1"/>
  <c r="P53" i="5"/>
  <c r="AV213" i="10" a="1"/>
  <c r="J165" i="5" a="1"/>
  <c r="P57" i="5" a="1"/>
  <c r="AA269" i="10" a="1"/>
  <c r="AR158" i="10" a="1"/>
  <c r="G273" i="10" a="1"/>
  <c r="K295" i="10" a="1"/>
  <c r="R181" i="5" a="1"/>
  <c r="O72" i="5" a="1"/>
  <c r="S169" i="5" a="1"/>
  <c r="N84" i="5" a="1"/>
  <c r="S80" i="5" a="1"/>
  <c r="L171" i="5" a="1"/>
  <c r="P102" i="5" a="1"/>
  <c r="DO35" i="58885" a="1"/>
  <c r="X184" i="5" a="1"/>
  <c r="AV305" i="10" a="1"/>
  <c r="Q112" i="10"/>
  <c r="Z145" i="5"/>
  <c r="O187" i="5" a="1"/>
  <c r="P84" i="5" a="1"/>
  <c r="V175" i="5" a="1"/>
  <c r="AC112" i="10"/>
  <c r="AD105" i="10"/>
  <c r="AG4" i="37" a="1"/>
  <c r="L68" i="5" a="1"/>
  <c r="Q52" i="58887" a="1"/>
  <c r="AO6" i="10"/>
  <c r="Z119" i="5"/>
  <c r="Q140" i="58887" a="1"/>
  <c r="T256" i="10"/>
  <c r="Z124" i="5"/>
  <c r="Q106" i="58887" a="1"/>
  <c r="Z239" i="5"/>
  <c r="K3" i="58885"/>
  <c r="P256" i="10"/>
  <c r="AH86" i="10"/>
  <c r="AP4" i="58885" a="1"/>
  <c r="T92" i="5" a="1"/>
  <c r="Q81" i="5" a="1"/>
  <c r="AJ112" i="10"/>
  <c r="Q169" i="5" a="1"/>
  <c r="V90" i="5" a="1"/>
  <c r="C53" i="5"/>
  <c r="AE287" i="10" a="1"/>
  <c r="AV310" i="10" a="1"/>
  <c r="AR170" i="10" a="1"/>
  <c r="Q163" i="5" a="1"/>
  <c r="U92" i="5" a="1"/>
  <c r="R114" i="5" a="1"/>
  <c r="P3" i="58887"/>
  <c r="K86" i="10"/>
  <c r="M98" i="5" a="1"/>
  <c r="G256" i="10"/>
  <c r="AG269" i="10" a="1"/>
  <c r="Q309" i="10"/>
  <c r="Y161" i="5" a="1"/>
  <c r="Q153" i="5" a="1"/>
  <c r="Z224" i="5"/>
  <c r="W291" i="10" a="1"/>
  <c r="Z245" i="5"/>
  <c r="DW19" i="58884" a="1"/>
  <c r="AB256" i="10"/>
  <c r="AR122" i="10" a="1"/>
  <c r="O60" i="5" a="1"/>
  <c r="U65" i="5" a="1"/>
  <c r="Z287" i="5"/>
  <c r="M120" i="5" a="1"/>
  <c r="Y267" i="10" a="1"/>
  <c r="Z265" i="5"/>
  <c r="O153" i="5" a="1"/>
  <c r="I173" i="5" a="1"/>
  <c r="I207" i="58885" a="1"/>
  <c r="N129" i="5" a="1"/>
  <c r="H98" i="10"/>
  <c r="W267" i="10" a="1"/>
  <c r="AW131" i="10" a="1"/>
  <c r="L106" i="5" a="1"/>
  <c r="J3" i="58887"/>
  <c r="O79" i="5" a="1"/>
  <c r="K256" i="10"/>
  <c r="L158" i="5" a="1"/>
  <c r="AW158" i="10" a="1"/>
  <c r="Z137" i="5"/>
  <c r="Z98" i="5"/>
  <c r="I190" i="5" a="1"/>
  <c r="DO175" i="58885" a="1"/>
  <c r="N163" i="5" a="1"/>
  <c r="AQ215" i="10" a="1"/>
  <c r="AA98" i="10"/>
  <c r="DO174" i="58885" a="1"/>
  <c r="AD98" i="10"/>
  <c r="T53" i="5"/>
  <c r="AW213" i="10" a="1"/>
  <c r="Y166" i="5" a="1"/>
  <c r="I139" i="5" a="1"/>
  <c r="S309" i="10"/>
  <c r="AM98" i="10"/>
  <c r="E53" i="5"/>
  <c r="U176" i="5" a="1"/>
  <c r="R256" i="10"/>
  <c r="Q265" i="10" a="1"/>
  <c r="I194" i="5" a="1"/>
  <c r="R83" i="5" a="1"/>
  <c r="Z77" i="5"/>
  <c r="AG6" i="10"/>
  <c r="O86" i="10"/>
  <c r="W135" i="5" a="1"/>
  <c r="X161" i="5" a="1"/>
  <c r="AV194" i="10" a="1"/>
  <c r="AV225" i="10" a="1"/>
  <c r="T95" i="5" a="1"/>
  <c r="K177" i="5" a="1"/>
  <c r="Q103" i="58887" a="1"/>
  <c r="V105" i="10"/>
  <c r="P297" i="10" a="1"/>
  <c r="M135" i="5" a="1"/>
  <c r="X89" i="5" a="1"/>
  <c r="K69" i="5" a="1"/>
  <c r="Q147" i="58887" a="1"/>
  <c r="AN98" i="10"/>
  <c r="Y159" i="5" a="1"/>
  <c r="AL86" i="10"/>
  <c r="S96" i="5" a="1"/>
  <c r="L130" i="5" a="1"/>
  <c r="AR236" i="10" a="1"/>
  <c r="L309" i="10"/>
  <c r="DM245" i="58885" a="1"/>
  <c r="I150" i="5" a="1"/>
  <c r="Z94" i="5"/>
  <c r="AR112" i="10"/>
  <c r="L155" i="5" a="1"/>
  <c r="F3" i="58887"/>
  <c r="AC256" i="10"/>
  <c r="S127" i="5" a="1"/>
  <c r="Q116" i="58887" a="1"/>
  <c r="Q18" i="58887" a="1"/>
  <c r="Q38" i="58887" a="1"/>
  <c r="P98" i="10"/>
  <c r="AR155" i="10" a="1"/>
  <c r="T162" i="5" a="1"/>
  <c r="R23" i="58887" a="1"/>
  <c r="L98" i="10"/>
  <c r="S22" i="58887" a="1"/>
  <c r="AO112" i="10"/>
  <c r="X151" i="5" a="1"/>
  <c r="DO79" i="58885" a="1"/>
  <c r="I187" i="5" a="1"/>
  <c r="S256" i="10"/>
  <c r="N86" i="10"/>
  <c r="Q131" i="58887" a="1"/>
  <c r="U53" i="5"/>
  <c r="AV79" i="10" a="1"/>
  <c r="W112" i="10"/>
  <c r="AR191" i="10" a="1"/>
  <c r="S64" i="58887" a="1"/>
  <c r="W3" i="58885"/>
  <c r="X98" i="5" a="1"/>
  <c r="V125" i="5" a="1"/>
  <c r="S285" i="10" a="1"/>
  <c r="S147" i="58887" a="1"/>
  <c r="Z75" i="5"/>
  <c r="R160" i="58887" a="1"/>
  <c r="AC3" i="58885"/>
  <c r="Z65" i="5"/>
  <c r="Z153" i="5"/>
  <c r="S38" i="58887" a="1"/>
  <c r="K164" i="5" a="1"/>
  <c r="Q105" i="5" a="1"/>
  <c r="I225" i="58885" a="1"/>
  <c r="W90" i="5" a="1"/>
  <c r="S101" i="58887" a="1"/>
  <c r="L64" i="5" a="1"/>
  <c r="V6" i="10"/>
  <c r="Q144" i="5" a="1"/>
  <c r="S94" i="5" a="1"/>
  <c r="Z277" i="5"/>
  <c r="X131" i="5" a="1"/>
  <c r="Q105" i="58887" a="1"/>
  <c r="Q89" i="58887" a="1"/>
  <c r="DW10" i="58884" a="1"/>
  <c r="K179" i="5" a="1"/>
  <c r="I251" i="58885" a="1"/>
  <c r="B112" i="10"/>
  <c r="X67" i="5" a="1"/>
  <c r="AL6" i="10"/>
  <c r="T30" i="37"/>
  <c r="Z182" i="5"/>
  <c r="J309" i="10"/>
  <c r="S136" i="58887" a="1"/>
  <c r="V53" i="5"/>
  <c r="B6" i="10"/>
  <c r="R121" i="58887" a="1"/>
  <c r="Q136" i="5" a="1"/>
  <c r="T97" i="5" a="1"/>
  <c r="AJ6" i="10"/>
  <c r="R64" i="58887" a="1"/>
  <c r="Y256" i="10"/>
  <c r="U100" i="5" a="1"/>
  <c r="K116" i="5" a="1"/>
  <c r="S14" i="58887" a="1"/>
  <c r="S58" i="58887" a="1"/>
  <c r="Z192" i="5"/>
  <c r="R164" i="5" a="1"/>
  <c r="S52" i="58887" a="1"/>
  <c r="R97" i="58887" a="1"/>
  <c r="AV165" i="10" a="1"/>
  <c r="S80" i="58887" a="1"/>
  <c r="R14" i="58887" a="1"/>
  <c r="S50" i="58887" a="1"/>
  <c r="W53" i="5"/>
  <c r="Q166" i="58887" a="1"/>
  <c r="L259" i="5"/>
  <c r="R106" i="58887" a="1"/>
  <c r="DO162" i="58885" a="1"/>
  <c r="Z234" i="5"/>
  <c r="U259" i="5"/>
  <c r="AV256" i="10" a="1"/>
  <c r="R128" i="58887" a="1"/>
  <c r="S119" i="58887" a="1"/>
  <c r="R143" i="58887" a="1"/>
  <c r="S53" i="58887" a="1"/>
  <c r="Q29" i="58887" a="1"/>
  <c r="Q107" i="58887" a="1"/>
  <c r="W113" i="5" a="1"/>
  <c r="T86" i="10"/>
  <c r="J256" i="10"/>
  <c r="AV158" i="10" a="1"/>
  <c r="Z86" i="5"/>
  <c r="N108" i="5" a="1"/>
  <c r="W56" i="5" a="1"/>
  <c r="S165" i="58887" a="1"/>
  <c r="AS6" i="10"/>
  <c r="J3" i="58885"/>
  <c r="AQ86" i="10"/>
  <c r="Z228" i="5"/>
  <c r="W184" i="5" a="1"/>
  <c r="M159" i="5" a="1"/>
  <c r="R77" i="58887" a="1"/>
  <c r="AV84" i="10" a="1"/>
  <c r="X256" i="10"/>
  <c r="G105" i="10"/>
  <c r="R76" i="58887" a="1"/>
  <c r="Z159" i="5"/>
  <c r="R59" i="58887" a="1"/>
  <c r="J60" i="5" a="1"/>
  <c r="P58" i="5" a="1"/>
  <c r="U289" i="10" a="1"/>
  <c r="B53" i="5"/>
  <c r="P81" i="5" a="1"/>
  <c r="T135" i="5" a="1"/>
  <c r="Z123" i="5"/>
  <c r="Z248" i="5"/>
  <c r="O259" i="5"/>
  <c r="I269" i="10" a="1"/>
  <c r="Z202" i="5"/>
  <c r="S126" i="5" a="1"/>
  <c r="T3" i="58885"/>
  <c r="R127" i="58887" a="1"/>
  <c r="U135" i="5" a="1"/>
  <c r="AH4" i="37" a="1"/>
  <c r="S23" i="58887" a="1"/>
  <c r="M98" i="10"/>
  <c r="DM244" i="58885" a="1"/>
  <c r="X119" i="5" a="1"/>
  <c r="I166" i="5" a="1"/>
  <c r="X98" i="10"/>
  <c r="R6" i="58887" a="1"/>
  <c r="R163" i="58887" a="1"/>
  <c r="Z109" i="5"/>
  <c r="AS256" i="10"/>
  <c r="S39" i="58887" a="1"/>
  <c r="L142" i="5" a="1"/>
  <c r="S83" i="58887" a="1"/>
  <c r="R32" i="58887" a="1"/>
  <c r="S157" i="58887" a="1"/>
  <c r="Z147" i="5"/>
  <c r="Q115" i="58887" a="1"/>
  <c r="O150" i="5" a="1"/>
  <c r="S18" i="58887" a="1"/>
  <c r="Z230" i="5"/>
  <c r="I223" i="58885" a="1"/>
  <c r="K55" i="5" a="1"/>
  <c r="R68" i="58887" a="1"/>
  <c r="P3" i="58885"/>
  <c r="AB38" i="58885" a="1"/>
  <c r="AA40" i="58885" a="1"/>
  <c r="AA9" i="58885" a="1"/>
  <c r="U74" i="5" a="1"/>
  <c r="I3" i="58885"/>
  <c r="AB45" i="58885" a="1"/>
  <c r="Y184" i="5" a="1"/>
  <c r="AL3" i="37"/>
  <c r="R34" i="58887" a="1"/>
  <c r="DO172" i="58885" a="1"/>
  <c r="T133" i="5" a="1"/>
  <c r="X53" i="5"/>
  <c r="R67" i="58887" a="1"/>
  <c r="B259" i="5"/>
  <c r="AA54" i="58885" a="1"/>
  <c r="AB29" i="58885" a="1"/>
  <c r="R75" i="58887" a="1"/>
  <c r="Z87" i="5"/>
  <c r="AB51" i="58885" a="1"/>
  <c r="AA61" i="58885" a="1"/>
  <c r="AC23" i="58885" a="1"/>
  <c r="S36" i="58887" a="1"/>
  <c r="S25" i="58887" a="1"/>
  <c r="S143" i="58887" a="1"/>
  <c r="S122" i="58887" a="1"/>
  <c r="S124" i="58887" a="1"/>
  <c r="AB5" i="58885" a="1"/>
  <c r="AB8" i="58885" a="1"/>
  <c r="AC8" i="58885" a="1"/>
  <c r="T62" i="5" a="1"/>
  <c r="R21" i="58887" a="1"/>
  <c r="Z232" i="5"/>
  <c r="DO74" i="58885" a="1"/>
  <c r="U145" i="5" a="1"/>
  <c r="U109" i="5" a="1"/>
  <c r="AC14" i="58885" a="1"/>
  <c r="R22" i="58887" a="1"/>
  <c r="S141" i="58887" a="1"/>
  <c r="AC32" i="58885" a="1"/>
  <c r="AB62" i="58885" a="1"/>
  <c r="R118" i="58887" a="1"/>
  <c r="V4" i="37" a="1"/>
  <c r="R141" i="58887" a="1"/>
  <c r="DO94" i="58885" a="1"/>
  <c r="N151" i="5" a="1"/>
  <c r="AP256" i="10"/>
  <c r="AL105" i="10"/>
  <c r="Z294" i="5"/>
  <c r="R58" i="58887" a="1"/>
  <c r="AB37" i="58885" a="1"/>
  <c r="AC29" i="58885" a="1"/>
  <c r="AA37" i="58885" a="1"/>
  <c r="AA52" i="58885" a="1"/>
  <c r="S32" i="58887" a="1"/>
  <c r="S87" i="58887" a="1"/>
  <c r="AC31" i="58885" a="1"/>
  <c r="N144" i="5" a="1"/>
  <c r="Z282" i="5"/>
  <c r="AA17" i="58885" a="1"/>
  <c r="S9" i="58887" a="1"/>
  <c r="R30" i="58887" a="1"/>
  <c r="S37" i="58887" a="1"/>
  <c r="AV202" i="10" a="1"/>
  <c r="AT86" i="10"/>
  <c r="AA25" i="58885" a="1"/>
  <c r="AB47" i="58885" a="1"/>
  <c r="Z177" i="5"/>
  <c r="AB14" i="58885" a="1"/>
  <c r="AC45" i="58885" a="1"/>
  <c r="AA23" i="58885" a="1"/>
  <c r="AC46" i="58885" a="1"/>
  <c r="S128" i="58887" a="1"/>
  <c r="R120" i="58887" a="1"/>
  <c r="AC37" i="58885" a="1"/>
  <c r="AA32" i="58885" a="1"/>
  <c r="AB19" i="58885" a="1"/>
  <c r="J91" i="5" a="1"/>
  <c r="I103" i="5" a="1"/>
  <c r="O309" i="10"/>
  <c r="D86" i="10"/>
  <c r="BM4" i="58887" a="1"/>
  <c r="C6" i="10"/>
  <c r="Q31" i="58887" a="1"/>
  <c r="Z80" i="5"/>
  <c r="AV119" i="10" a="1"/>
  <c r="T137" i="5" a="1"/>
  <c r="Z210" i="5"/>
  <c r="V98" i="10"/>
  <c r="S27" i="58887" a="1"/>
  <c r="Q113" i="58887" a="1"/>
  <c r="Z184" i="5"/>
  <c r="Z227" i="5"/>
  <c r="AG291" i="10" a="1"/>
  <c r="T309" i="10"/>
  <c r="Z176" i="5"/>
  <c r="S43" i="58887" a="1"/>
  <c r="S123" i="58887" a="1"/>
  <c r="O6" i="10"/>
  <c r="P56" i="5" a="1"/>
  <c r="Z130" i="5"/>
  <c r="V77" i="5" a="1"/>
  <c r="Y90" i="5" a="1"/>
  <c r="P3" i="58853" a="1"/>
  <c r="AB3" i="58884" a="1"/>
  <c r="R98" i="10"/>
  <c r="Z273" i="5"/>
  <c r="X139" i="5" a="1"/>
  <c r="C310" i="10"/>
  <c r="Z86" i="10"/>
  <c r="S4" i="37" a="1"/>
  <c r="Z181" i="5"/>
  <c r="Z92" i="5"/>
  <c r="Q295" i="10" a="1"/>
  <c r="T150" i="5" a="1"/>
  <c r="AC64" i="58885" a="1"/>
  <c r="AA44" i="58885" a="1"/>
  <c r="AB64" i="58885" a="1"/>
  <c r="R79" i="58887" a="1"/>
  <c r="Z113" i="5"/>
  <c r="AC60" i="58885" a="1"/>
  <c r="AB40" i="58885" a="1"/>
  <c r="F86" i="10"/>
  <c r="S34" i="58887" a="1"/>
  <c r="P189" i="5" a="1"/>
  <c r="W78" i="5" a="1"/>
  <c r="Q128" i="58887" a="1"/>
  <c r="D256" i="10"/>
  <c r="S11" i="58887" a="1"/>
  <c r="AB6" i="58885" a="1"/>
  <c r="AA41" i="58885" a="1"/>
  <c r="M122" i="5" a="1"/>
  <c r="R81" i="58887" a="1"/>
  <c r="U163" i="5" a="1"/>
  <c r="AA35" i="58885" a="1"/>
  <c r="AC38" i="58885" a="1"/>
  <c r="R105" i="58887" a="1"/>
  <c r="S158" i="58887" a="1"/>
  <c r="R138" i="58887" a="1"/>
  <c r="R33" i="58887" a="1"/>
  <c r="S164" i="58887" a="1"/>
  <c r="AA11" i="58885" a="1"/>
  <c r="AB17" i="58885" a="1"/>
  <c r="AA10" i="58885" a="1"/>
  <c r="V109" i="5" a="1"/>
  <c r="S131" i="5" a="1"/>
  <c r="X99" i="5" a="1"/>
  <c r="AA64" i="58885" a="1"/>
  <c r="AC21" i="58885" a="1"/>
  <c r="AB49" i="58885" a="1"/>
  <c r="S90" i="58887" a="1"/>
  <c r="AA46" i="58885" a="1"/>
  <c r="Z110" i="5"/>
  <c r="N259" i="5"/>
  <c r="AS112" i="10"/>
  <c r="H105" i="10"/>
  <c r="AB18" i="58885" a="1"/>
  <c r="X143" i="5" a="1"/>
  <c r="S77" i="58887" a="1"/>
  <c r="I183" i="58885" a="1"/>
  <c r="O73" i="5" a="1"/>
  <c r="Q131" i="5" a="1"/>
  <c r="AA56" i="58885" a="1"/>
  <c r="S79" i="58887" a="1"/>
  <c r="AC56" i="58885" a="1"/>
  <c r="Q104" i="58887" a="1"/>
  <c r="O168" i="5" a="1"/>
  <c r="S121" i="58887" a="1"/>
  <c r="AA28" i="58885" a="1"/>
  <c r="AA13" i="58885" a="1"/>
  <c r="AB28" i="58885" a="1"/>
  <c r="S75" i="58887" a="1"/>
  <c r="AC43" i="58885" a="1"/>
  <c r="AC34" i="58885" a="1"/>
  <c r="AC57" i="58885" a="1"/>
  <c r="AC15" i="58885" a="1"/>
  <c r="S6" i="58887" a="1"/>
  <c r="J160" i="5" a="1"/>
  <c r="Q127" i="5" a="1"/>
  <c r="W256" i="10"/>
  <c r="S137" i="5" a="1"/>
  <c r="S156" i="5" a="1"/>
  <c r="Q55" i="58887" a="1"/>
  <c r="AQ98" i="10"/>
  <c r="S111" i="5" a="1"/>
  <c r="DO180" i="58885" a="1"/>
  <c r="DO96" i="58885" a="1"/>
  <c r="L149" i="5" a="1"/>
  <c r="R148" i="58887" a="1"/>
  <c r="R80" i="58887" a="1"/>
  <c r="AW122" i="10" a="1"/>
  <c r="AW252" i="10" a="1"/>
  <c r="S150" i="58887" a="1"/>
  <c r="O146" i="5" a="1"/>
  <c r="S151" i="58887" a="1"/>
  <c r="T3" i="58887"/>
  <c r="C98" i="10"/>
  <c r="AA261" i="10" a="1"/>
  <c r="Q177" i="5" a="1"/>
  <c r="DO31" i="58885" a="1"/>
  <c r="Z261" i="5"/>
  <c r="AB7" i="58885" a="1"/>
  <c r="AC44" i="58885" a="1"/>
  <c r="Z207" i="5"/>
  <c r="AB25" i="58885" a="1"/>
  <c r="AB63" i="58885" a="1"/>
  <c r="R109" i="58887" a="1"/>
  <c r="S142" i="58887" a="1"/>
  <c r="BF4" i="58885" a="1"/>
  <c r="AR182" i="10" a="1"/>
  <c r="AK98" i="10"/>
  <c r="V150" i="5" a="1"/>
  <c r="AA45" i="58885" a="1"/>
  <c r="S115" i="58887" a="1"/>
  <c r="I283" i="10" a="1"/>
  <c r="S134" i="58887" a="1"/>
  <c r="R36" i="58887" a="1"/>
  <c r="U101" i="5" a="1"/>
  <c r="Z195" i="5"/>
  <c r="I90" i="5" a="1"/>
  <c r="AV98" i="10" a="1"/>
  <c r="O101" i="5" a="1"/>
  <c r="S99" i="58887" a="1"/>
  <c r="Y77" i="5" a="1"/>
  <c r="X56" i="5" a="1"/>
  <c r="AS105" i="10"/>
  <c r="S98" i="10"/>
  <c r="Z165" i="5"/>
  <c r="J6" i="10"/>
  <c r="S79" i="5" a="1"/>
  <c r="R142" i="58887" a="1"/>
  <c r="Z244" i="5"/>
  <c r="R130" i="58887" a="1"/>
  <c r="Q74" i="5" a="1"/>
  <c r="Z151" i="5"/>
  <c r="M111" i="5" a="1"/>
  <c r="S153" i="58887" a="1"/>
  <c r="Q256" i="10"/>
  <c r="R103" i="58887" a="1"/>
  <c r="AV87" i="10" a="1"/>
  <c r="R164" i="58887" a="1"/>
  <c r="Q66" i="5" a="1"/>
  <c r="I111" i="5" a="1"/>
  <c r="R99" i="58887" a="1"/>
  <c r="G291" i="10" a="1"/>
  <c r="S89" i="5" a="1"/>
  <c r="CP3" i="58884" a="1"/>
  <c r="Z158" i="5"/>
  <c r="Y150" i="5" a="1"/>
  <c r="E309" i="10"/>
  <c r="Z68" i="5"/>
  <c r="Z76" i="5"/>
  <c r="DO34" i="58885" a="1"/>
  <c r="R154" i="58887" a="1"/>
  <c r="J109" i="5" a="1"/>
  <c r="AA55" i="58885" a="1"/>
  <c r="S160" i="58887" a="1"/>
  <c r="U3" i="58887"/>
  <c r="Z93" i="5"/>
  <c r="AV116" i="10" a="1"/>
  <c r="R108" i="58887" a="1"/>
  <c r="AC19" i="58885" a="1"/>
  <c r="S125" i="58887" a="1"/>
  <c r="S114" i="5" a="1"/>
  <c r="R39" i="58887" a="1"/>
  <c r="Y147" i="5" a="1"/>
  <c r="D3" i="58885"/>
  <c r="M178" i="5" a="1"/>
  <c r="S154" i="58887" a="1"/>
  <c r="AB27" i="58885" a="1"/>
  <c r="AB10" i="58885" a="1"/>
  <c r="AC61" i="58885" a="1"/>
  <c r="AB34" i="58885" a="1"/>
  <c r="AV86" i="10" a="1"/>
  <c r="AA34" i="58885" a="1"/>
  <c r="AC48" i="58885" a="1"/>
  <c r="S140" i="58887" a="1"/>
  <c r="S96" i="58887" a="1"/>
  <c r="R111" i="58887" a="1"/>
  <c r="S19" i="58887" a="1"/>
  <c r="AA29" i="58885" a="1"/>
  <c r="AB52" i="58885" a="1"/>
  <c r="AA26" i="58885" a="1"/>
  <c r="W61" i="5" a="1"/>
  <c r="I240" i="58885" a="1"/>
  <c r="R61" i="58887" a="1"/>
  <c r="B256" i="10"/>
  <c r="AB20" i="58885" a="1"/>
  <c r="Z262" i="5"/>
  <c r="T101" i="5" a="1"/>
  <c r="S85" i="58887" a="1"/>
  <c r="AL4" i="37"/>
  <c r="Z253" i="5"/>
  <c r="I98" i="10"/>
  <c r="R50" i="58887" a="1"/>
  <c r="I77" i="5" a="1"/>
  <c r="AC63" i="58885" a="1"/>
  <c r="AC27" i="58885" a="1"/>
  <c r="AK86" i="10"/>
  <c r="P140" i="5" a="1"/>
  <c r="AC4" i="37" a="1"/>
  <c r="Q91" i="5" a="1"/>
  <c r="F112" i="10"/>
  <c r="I53" i="5"/>
  <c r="S111" i="58887" a="1"/>
  <c r="E259" i="5"/>
  <c r="AR251" i="10" a="1"/>
  <c r="L170" i="5" a="1"/>
  <c r="T140" i="5" a="1"/>
  <c r="R73" i="58887" a="1"/>
  <c r="M299" i="10" a="1"/>
  <c r="Y179" i="5" a="1"/>
  <c r="W182" i="5" a="1"/>
  <c r="Z56" i="5"/>
  <c r="Q122" i="5" a="1"/>
  <c r="O144" i="5" a="1"/>
  <c r="V151" i="5" a="1"/>
  <c r="N145" i="5" a="1"/>
  <c r="N256" i="10"/>
  <c r="G112" i="10"/>
  <c r="AC25" i="58885" a="1"/>
  <c r="R72" i="58887" a="1"/>
  <c r="AB61" i="58885" a="1"/>
  <c r="Z292" i="5"/>
  <c r="S88" i="58887" a="1"/>
  <c r="C87" i="10"/>
  <c r="S161" i="58887" a="1"/>
  <c r="R112" i="58887" a="1"/>
  <c r="R117" i="5" a="1"/>
  <c r="S42" i="58887" a="1"/>
  <c r="J56" i="5" a="1"/>
  <c r="L153" i="5" a="1"/>
  <c r="Z138" i="5"/>
  <c r="U309" i="10"/>
  <c r="R134" i="58887" a="1"/>
  <c r="AE98" i="10"/>
  <c r="B105" i="10"/>
  <c r="M127" i="5" a="1"/>
  <c r="N112" i="10"/>
  <c r="M271" i="10" a="1"/>
  <c r="G269" i="10" a="1"/>
  <c r="I161" i="5" a="1"/>
  <c r="AO256" i="10"/>
  <c r="R98" i="58887" a="1"/>
  <c r="K146" i="5" a="1"/>
  <c r="Q176" i="5" a="1"/>
  <c r="T142" i="5" a="1"/>
  <c r="N134" i="5" a="1"/>
  <c r="R125" i="58887" a="1"/>
  <c r="Q92" i="58887" a="1"/>
  <c r="H112" i="10"/>
  <c r="I124" i="58885" a="1"/>
  <c r="S31" i="58887" a="1"/>
  <c r="J110" i="5" a="1"/>
  <c r="R159" i="58887" a="1"/>
  <c r="AC62" i="58885" a="1"/>
  <c r="R42" i="58887" a="1"/>
  <c r="AF112" i="10"/>
  <c r="S149" i="58887" a="1"/>
  <c r="Z127" i="5"/>
  <c r="V134" i="5" a="1"/>
  <c r="R104" i="58887" a="1"/>
  <c r="R137" i="58887" a="1"/>
  <c r="DO95" i="58885" a="1"/>
  <c r="S131" i="58887" a="1"/>
  <c r="DM192" i="58885" a="1"/>
  <c r="R102" i="5" a="1"/>
  <c r="Z60" i="5"/>
  <c r="Q86" i="10"/>
  <c r="AJ86" i="10"/>
  <c r="Q94" i="5" a="1"/>
  <c r="AV92" i="10" a="1"/>
  <c r="S100" i="58887" a="1"/>
  <c r="R53" i="58887" a="1"/>
  <c r="Z67" i="5"/>
  <c r="R155" i="58887" a="1"/>
  <c r="S60" i="5" a="1"/>
  <c r="W136" i="5" a="1"/>
  <c r="G309" i="10"/>
  <c r="Z64" i="5"/>
  <c r="AK4" i="37" a="1"/>
  <c r="Z116" i="5"/>
  <c r="Z133" i="5"/>
  <c r="AE285" i="10" a="1"/>
  <c r="T6" i="10"/>
  <c r="R78" i="58887" a="1"/>
  <c r="AG256" i="10"/>
  <c r="R35" i="58887" a="1"/>
  <c r="AD112" i="10"/>
  <c r="AW186" i="10" a="1"/>
  <c r="S63" i="58887" a="1"/>
  <c r="S133" i="58887" a="1"/>
  <c r="AB3" i="58885"/>
  <c r="K85" i="5" a="1"/>
  <c r="S48" i="58887" a="1"/>
  <c r="S73" i="58887" a="1"/>
  <c r="AB46" i="58885" a="1"/>
  <c r="P185" i="5" a="1"/>
  <c r="AV309" i="10" a="1"/>
  <c r="AV112" i="10" a="1"/>
  <c r="AV6" i="10" a="1"/>
  <c r="AC13" i="58885" a="1"/>
  <c r="AB57" i="58885" a="1"/>
  <c r="AC35" i="58885" a="1"/>
  <c r="AC9" i="58885" a="1"/>
  <c r="AB41" i="58885" a="1"/>
  <c r="AC36" i="58885" a="1"/>
  <c r="AA16" i="58885" a="1"/>
  <c r="AA7" i="58885" a="1"/>
  <c r="AC17" i="58885" a="1"/>
  <c r="AA5" i="58885" a="1"/>
  <c r="AA21" i="58885" a="1"/>
  <c r="AB23" i="58885" a="1"/>
  <c r="AB56" i="58885" a="1"/>
  <c r="AC55" i="58885" a="1"/>
  <c r="AC5" i="58885" a="1"/>
  <c r="AC12" i="58885" a="1"/>
  <c r="AA14" i="58885" a="1"/>
  <c r="AA43" i="58885" a="1"/>
  <c r="AA31" i="58885" a="1"/>
  <c r="AA27" i="58885" a="1"/>
  <c r="AB60" i="58885" a="1"/>
  <c r="AC24" i="58885" a="1"/>
  <c r="AA24" i="58885" a="1"/>
  <c r="AA63" i="58885" a="1"/>
  <c r="AB44" i="58885" a="1"/>
  <c r="AA22" i="58885" a="1"/>
  <c r="AC16" i="58885" a="1"/>
  <c r="AC26" i="58885" a="1"/>
  <c r="AA36" i="58885" a="1"/>
  <c r="AB50" i="58885" a="1"/>
  <c r="AA15" i="58885" a="1"/>
  <c r="AC53" i="58885" a="1"/>
  <c r="AC11" i="58885" a="1"/>
  <c r="AC54" i="58885" a="1"/>
  <c r="AC7" i="58885" a="1"/>
  <c r="AC20" i="58885" a="1"/>
  <c r="AA51" i="58885" a="1"/>
  <c r="AC50" i="58885" a="1"/>
  <c r="AA8" i="58885" a="1"/>
  <c r="AC52" i="58885" a="1"/>
  <c r="AB11" i="58885" a="1"/>
  <c r="AB22" i="58885" a="1"/>
  <c r="AB54" i="58885" a="1"/>
  <c r="AA18" i="58885" a="1"/>
  <c r="AA30" i="58885" a="1"/>
  <c r="AC33" i="58885" a="1"/>
  <c r="AA33" i="58885" a="1"/>
  <c r="AB42" i="58885" a="1"/>
  <c r="AA39" i="58885" a="1"/>
  <c r="AB24" i="58885" a="1"/>
  <c r="AC6" i="58885" a="1"/>
  <c r="AA57" i="58885" a="1"/>
  <c r="AB35" i="58885" a="1"/>
  <c r="AA53" i="58885" a="1"/>
  <c r="AB13" i="58885" a="1"/>
  <c r="AC47" i="58885" a="1"/>
  <c r="AB32" i="58885" a="1"/>
  <c r="AB12" i="58885" a="1"/>
  <c r="AA60" i="58885" a="1"/>
  <c r="AC22" i="58885" a="1"/>
  <c r="AB39" i="58885" a="1"/>
  <c r="AC30" i="58885" a="1"/>
  <c r="S74" i="58887" a="1"/>
  <c r="S114" i="58887" a="1"/>
  <c r="R83" i="58887" a="1"/>
  <c r="R51" i="58887" a="1"/>
  <c r="R70" i="58887" a="1"/>
  <c r="R147" i="58887" a="1"/>
  <c r="S28" i="58887" a="1"/>
  <c r="R101" i="58887" a="1"/>
  <c r="R150" i="58887" a="1"/>
  <c r="R100" i="58887" a="1"/>
  <c r="S70" i="58887" a="1"/>
  <c r="S56" i="58887" a="1"/>
  <c r="S21" i="58887" a="1"/>
  <c r="R87" i="58887" a="1"/>
  <c r="R69" i="58887" a="1"/>
  <c r="R63" i="58887" a="1"/>
  <c r="S24" i="58887" a="1"/>
  <c r="R124" i="58887" a="1"/>
  <c r="R86" i="58887" a="1"/>
  <c r="R49" i="58887" a="1"/>
  <c r="R122" i="58887" a="1"/>
  <c r="S94" i="58887" a="1"/>
  <c r="R40" i="58887" a="1"/>
  <c r="R102" i="58887" a="1"/>
  <c r="S155" i="58887" a="1"/>
  <c r="S54" i="58887" a="1"/>
  <c r="S102" i="58887" a="1"/>
  <c r="R153" i="58887" a="1"/>
  <c r="S127" i="58887" a="1"/>
  <c r="S137" i="58887" a="1"/>
  <c r="S81" i="58887" a="1"/>
  <c r="R44" i="58887" a="1"/>
  <c r="S104" i="58887" a="1"/>
  <c r="R89" i="58887" a="1"/>
  <c r="R24" i="58887" a="1"/>
  <c r="S78" i="58887" a="1"/>
  <c r="R95" i="58887" a="1"/>
  <c r="R74" i="58887" a="1"/>
  <c r="S7" i="58887" a="1"/>
  <c r="R123" i="58887" a="1"/>
  <c r="R10" i="58887" a="1"/>
  <c r="S20" i="58887" a="1"/>
  <c r="R119" i="58887" a="1"/>
  <c r="S10" i="58887" a="1"/>
  <c r="R43" i="58887" a="1"/>
  <c r="S139" i="58887" a="1"/>
  <c r="R56" i="58887" a="1"/>
  <c r="R8" i="58887" a="1"/>
  <c r="S93" i="58887" a="1"/>
  <c r="S110" i="58887" a="1"/>
  <c r="R31" i="58887" a="1"/>
  <c r="S108" i="58887" a="1"/>
  <c r="R65" i="58887" a="1"/>
  <c r="S146" i="58887" a="1"/>
  <c r="S117" i="58887" a="1"/>
  <c r="R136" i="58887" a="1"/>
  <c r="R162" i="58887" a="1"/>
  <c r="S40" i="58887" a="1"/>
  <c r="R146" i="58887" a="1"/>
  <c r="R84" i="58887" a="1"/>
  <c r="S57" i="58887" a="1"/>
  <c r="R151" i="58887" a="1"/>
  <c r="R27" i="58887" a="1"/>
  <c r="R93" i="58887" a="1"/>
  <c r="R9" i="58887" a="1"/>
  <c r="R48" i="58887" a="1"/>
  <c r="S156" i="58887" a="1"/>
  <c r="R90" i="58887" a="1"/>
  <c r="S92" i="58887" a="1"/>
  <c r="R55" i="58887" a="1"/>
  <c r="R156" i="58887" a="1"/>
  <c r="R96" i="58887" a="1"/>
  <c r="R7" i="58887" a="1"/>
  <c r="R18" i="58887" a="1"/>
  <c r="S120" i="58887" a="1"/>
  <c r="R133" i="58887" a="1"/>
  <c r="S130" i="58887" a="1"/>
  <c r="S33" i="58887" a="1"/>
  <c r="S163" i="58887" a="1"/>
  <c r="R37" i="58887" a="1"/>
  <c r="R71" i="58887" a="1"/>
  <c r="S112" i="58887" a="1"/>
  <c r="S72" i="58887" a="1"/>
  <c r="S98" i="58887" a="1"/>
  <c r="R11" i="58887" a="1"/>
  <c r="S55" i="58887" a="1"/>
  <c r="S62" i="58887" a="1"/>
  <c r="S47" i="58887" a="1"/>
  <c r="S148" i="58887" a="1"/>
  <c r="R144" i="58887" a="1"/>
  <c r="S109" i="58887" a="1"/>
  <c r="R94" i="58887" a="1"/>
  <c r="S49" i="58887" a="1"/>
  <c r="S105" i="58887" a="1"/>
  <c r="R62" i="58887" a="1"/>
  <c r="R135" i="58887" a="1"/>
  <c r="S67" i="58887" a="1"/>
  <c r="R158" i="58887" a="1"/>
  <c r="R140" i="58887" a="1"/>
  <c r="S86" i="58887" a="1"/>
  <c r="R91" i="58887" a="1"/>
  <c r="R161" i="58887" a="1"/>
  <c r="S135" i="58887" a="1"/>
  <c r="S89" i="58887" a="1"/>
  <c r="S145" i="58887" a="1"/>
  <c r="R110" i="58887" a="1"/>
  <c r="S82" i="58887" a="1"/>
  <c r="R165" i="58887" a="1"/>
  <c r="R139" i="58887" a="1"/>
  <c r="S129" i="58887" a="1"/>
  <c r="R157" i="58887" a="1"/>
  <c r="R129" i="58887" a="1"/>
  <c r="S51" i="58887" a="1"/>
  <c r="R20" i="58887" a="1"/>
  <c r="R19" i="58887" a="1"/>
  <c r="R28" i="58887" a="1"/>
  <c r="S66" i="58887" a="1"/>
  <c r="R52" i="58887" a="1"/>
  <c r="R92" i="58887" a="1"/>
  <c r="R46" i="58887" a="1"/>
  <c r="R82" i="58887" a="1"/>
  <c r="S30" i="58887" a="1"/>
  <c r="S138" i="58887" a="1"/>
  <c r="R25" i="58887" a="1"/>
  <c r="S166" i="58887" a="1"/>
  <c r="S132" i="58887" a="1"/>
  <c r="S35" i="58887" a="1"/>
  <c r="R66" i="58887" a="1"/>
  <c r="S106" i="58887" a="1"/>
  <c r="S69" i="58887" a="1"/>
  <c r="R145" i="58887" a="1"/>
  <c r="R117" i="58887" a="1"/>
  <c r="R115" i="58887" a="1"/>
  <c r="S159" i="58887" a="1"/>
  <c r="S118" i="58887" a="1"/>
  <c r="S61" i="58887" a="1"/>
  <c r="S103" i="58887" a="1"/>
  <c r="S76" i="58887" a="1"/>
  <c r="S84" i="58887" a="1"/>
  <c r="R166" i="58887" a="1"/>
  <c r="R132" i="58887" a="1"/>
  <c r="R38" i="58887" a="1"/>
  <c r="R47" i="58887" a="1"/>
  <c r="S46" i="58887" a="1"/>
  <c r="R88" i="58887" a="1"/>
  <c r="S68" i="58887" a="1"/>
  <c r="R114" i="58887" a="1"/>
  <c r="R107" i="58887" a="1"/>
  <c r="R85" i="58887" a="1"/>
  <c r="S95" i="58887" a="1"/>
  <c r="S8" i="58887" a="1"/>
  <c r="S91" i="58887" a="1"/>
  <c r="R54" i="58887" a="1"/>
  <c r="S44" i="58887" a="1"/>
  <c r="S65" i="58887" a="1"/>
  <c r="R57" i="58887" a="1"/>
  <c r="S144" i="58887" a="1"/>
  <c r="S162" i="58887" a="1"/>
  <c r="S97" i="58887" a="1"/>
  <c r="S59" i="58887" a="1"/>
  <c r="S107" i="58887" a="1"/>
  <c r="R149" i="58887" a="1"/>
  <c r="S71" i="58887" a="1"/>
  <c r="R131" i="58887" a="1"/>
  <c r="AA47" i="58885" a="1"/>
  <c r="AB53" i="58885" a="1"/>
  <c r="AB48" i="58885" a="1"/>
  <c r="AC59" i="58885" a="1"/>
  <c r="AB26" i="58885" a="1"/>
  <c r="AC40" i="58885" a="1"/>
  <c r="AB36" i="58885" a="1"/>
  <c r="AB43" i="58885" a="1"/>
  <c r="AB31" i="58885" a="1"/>
  <c r="AA20" i="58885" a="1"/>
  <c r="AA58" i="58885" a="1"/>
  <c r="AB58" i="58885" a="1"/>
  <c r="AB16" i="58885" a="1"/>
  <c r="AC10" i="58885" a="1"/>
  <c r="AA38" i="58885" a="1"/>
  <c r="AB9" i="58885" a="1"/>
  <c r="AA42" i="58885" a="1"/>
  <c r="AC42" i="58885" a="1"/>
  <c r="AB55" i="58885" a="1"/>
  <c r="AC51" i="58885" a="1"/>
  <c r="AB59" i="58885" a="1"/>
  <c r="AC49" i="58885" a="1"/>
  <c r="AA59" i="58885" a="1"/>
  <c r="AA12" i="58885" a="1"/>
  <c r="AC28" i="58885" a="1"/>
  <c r="AA6" i="58885" a="1"/>
  <c r="AB21" i="58885" a="1"/>
  <c r="AA62" i="58885" a="1"/>
  <c r="AB33" i="58885" a="1"/>
  <c r="AA48" i="58885" a="1"/>
  <c r="AA49" i="58885" a="1"/>
  <c r="AC18" i="58885" a="1"/>
  <c r="AC39" i="58885" a="1"/>
  <c r="AB15" i="58885" a="1"/>
  <c r="AB30" i="58885" a="1"/>
  <c r="AA50" i="58885" a="1"/>
  <c r="AC41" i="58885" a="1"/>
  <c r="AC58" i="58885" a="1"/>
  <c r="AA19" i="58885" a="1"/>
  <c r="AA19" i="58885" l="1"/>
  <c r="AC58" i="58885"/>
  <c r="AC41" i="58885"/>
  <c r="AA50" i="58885"/>
  <c r="AB30" i="58885"/>
  <c r="AB15" i="58885"/>
  <c r="AC39" i="58885"/>
  <c r="AC18" i="58885"/>
  <c r="AA49" i="58885"/>
  <c r="AA48" i="58885"/>
  <c r="AB33" i="58885"/>
  <c r="AA62" i="58885"/>
  <c r="AB21" i="58885"/>
  <c r="AA6" i="58885"/>
  <c r="AC28" i="58885"/>
  <c r="AA12" i="58885"/>
  <c r="AA59" i="58885"/>
  <c r="AC49" i="58885"/>
  <c r="AB59" i="58885"/>
  <c r="AC51" i="58885"/>
  <c r="AB55" i="58885"/>
  <c r="AC42" i="58885"/>
  <c r="AA42" i="58885"/>
  <c r="AB9" i="58885"/>
  <c r="AA38" i="58885"/>
  <c r="AC10" i="58885"/>
  <c r="AB16" i="58885"/>
  <c r="AB58" i="58885"/>
  <c r="AA58" i="58885"/>
  <c r="AA20" i="58885"/>
  <c r="AB31" i="58885"/>
  <c r="AB43" i="58885"/>
  <c r="AB36" i="58885"/>
  <c r="AC40" i="58885"/>
  <c r="AB26" i="58885"/>
  <c r="AC59" i="58885"/>
  <c r="AB48" i="58885"/>
  <c r="AB53" i="58885"/>
  <c r="AA47" i="58885"/>
  <c r="R131" i="58887"/>
  <c r="S71" i="58887"/>
  <c r="R149" i="58887"/>
  <c r="S107" i="58887"/>
  <c r="S59" i="58887"/>
  <c r="S97" i="58887"/>
  <c r="S162" i="58887"/>
  <c r="S144" i="58887"/>
  <c r="R57" i="58887"/>
  <c r="S65" i="58887"/>
  <c r="S44" i="58887"/>
  <c r="R54" i="58887"/>
  <c r="S91" i="58887"/>
  <c r="S8" i="58887"/>
  <c r="S95" i="58887"/>
  <c r="R85" i="58887"/>
  <c r="R107" i="58887"/>
  <c r="M107" i="58887" s="1"/>
  <c r="R114" i="58887"/>
  <c r="S68" i="58887"/>
  <c r="R88" i="58887"/>
  <c r="S46" i="58887"/>
  <c r="R47" i="58887"/>
  <c r="R38" i="58887"/>
  <c r="R132" i="58887"/>
  <c r="M132" i="58887" s="1"/>
  <c r="R166" i="58887"/>
  <c r="S84" i="58887"/>
  <c r="S76" i="58887"/>
  <c r="S103" i="58887"/>
  <c r="S61" i="58887"/>
  <c r="S118" i="58887"/>
  <c r="S159" i="58887"/>
  <c r="R115" i="58887"/>
  <c r="R117" i="58887"/>
  <c r="R145" i="58887"/>
  <c r="S69" i="58887"/>
  <c r="S106" i="58887"/>
  <c r="R66" i="58887"/>
  <c r="S35" i="58887"/>
  <c r="S132" i="58887"/>
  <c r="S166" i="58887"/>
  <c r="R25" i="58887"/>
  <c r="S138" i="58887"/>
  <c r="S30" i="58887"/>
  <c r="R82" i="58887"/>
  <c r="R46" i="58887"/>
  <c r="R92" i="58887"/>
  <c r="R52" i="58887"/>
  <c r="S66" i="58887"/>
  <c r="R28" i="58887"/>
  <c r="R19" i="58887"/>
  <c r="R20" i="58887"/>
  <c r="S51" i="58887"/>
  <c r="R129" i="58887"/>
  <c r="R157" i="58887"/>
  <c r="S129" i="58887"/>
  <c r="R139" i="58887"/>
  <c r="M139" i="58887" s="1"/>
  <c r="R165" i="58887"/>
  <c r="S82" i="58887"/>
  <c r="R110" i="58887"/>
  <c r="S145" i="58887"/>
  <c r="S89" i="58887"/>
  <c r="S135" i="58887"/>
  <c r="R161" i="58887"/>
  <c r="R91" i="58887"/>
  <c r="M91" i="58887" s="1"/>
  <c r="S86" i="58887"/>
  <c r="R140" i="58887"/>
  <c r="R158" i="58887"/>
  <c r="S67" i="58887"/>
  <c r="R135" i="58887"/>
  <c r="R62" i="58887"/>
  <c r="S105" i="58887"/>
  <c r="S49" i="58887"/>
  <c r="R94" i="58887"/>
  <c r="S109" i="58887"/>
  <c r="R144" i="58887"/>
  <c r="S148" i="58887"/>
  <c r="S47" i="58887"/>
  <c r="S62" i="58887"/>
  <c r="S55" i="58887"/>
  <c r="R11" i="58887"/>
  <c r="S98" i="58887"/>
  <c r="S72" i="58887"/>
  <c r="S112" i="58887"/>
  <c r="R71" i="58887"/>
  <c r="M71" i="58887" s="1"/>
  <c r="R37" i="58887"/>
  <c r="S163" i="58887"/>
  <c r="S33" i="58887"/>
  <c r="S130" i="58887"/>
  <c r="R133" i="58887"/>
  <c r="S120" i="58887"/>
  <c r="R18" i="58887"/>
  <c r="R7" i="58887"/>
  <c r="R96" i="58887"/>
  <c r="R156" i="58887"/>
  <c r="R55" i="58887"/>
  <c r="M55" i="58887" s="1"/>
  <c r="S92" i="58887"/>
  <c r="R90" i="58887"/>
  <c r="S156" i="58887"/>
  <c r="R48" i="58887"/>
  <c r="R9" i="58887"/>
  <c r="R93" i="58887"/>
  <c r="M93" i="58887" s="1"/>
  <c r="R27" i="58887"/>
  <c r="R151" i="58887"/>
  <c r="S57" i="58887"/>
  <c r="R84" i="58887"/>
  <c r="M84" i="58887" s="1"/>
  <c r="R146" i="58887"/>
  <c r="S40" i="58887"/>
  <c r="R162" i="58887"/>
  <c r="R136" i="58887"/>
  <c r="S117" i="58887"/>
  <c r="S146" i="58887"/>
  <c r="R65" i="58887"/>
  <c r="S108" i="58887"/>
  <c r="R31" i="58887"/>
  <c r="S110" i="58887"/>
  <c r="S93" i="58887"/>
  <c r="R8" i="58887"/>
  <c r="R56" i="58887"/>
  <c r="S139" i="58887"/>
  <c r="R43" i="58887"/>
  <c r="S10" i="58887"/>
  <c r="R119" i="58887"/>
  <c r="S20" i="58887"/>
  <c r="R10" i="58887"/>
  <c r="R123" i="58887"/>
  <c r="S7" i="58887"/>
  <c r="R74" i="58887"/>
  <c r="R95" i="58887"/>
  <c r="M95" i="58887" s="1"/>
  <c r="S78" i="58887"/>
  <c r="R24" i="58887"/>
  <c r="R89" i="58887"/>
  <c r="S104" i="58887"/>
  <c r="R44" i="58887"/>
  <c r="M44" i="58887" s="1"/>
  <c r="S81" i="58887"/>
  <c r="S137" i="58887"/>
  <c r="S127" i="58887"/>
  <c r="R153" i="58887"/>
  <c r="S102" i="58887"/>
  <c r="S54" i="58887"/>
  <c r="S155" i="58887"/>
  <c r="R102" i="58887"/>
  <c r="M102" i="58887" s="1"/>
  <c r="R40" i="58887"/>
  <c r="M40" i="58887" s="1"/>
  <c r="S94" i="58887"/>
  <c r="R122" i="58887"/>
  <c r="R49" i="58887"/>
  <c r="R86" i="58887"/>
  <c r="R124" i="58887"/>
  <c r="S24" i="58887"/>
  <c r="R63" i="58887"/>
  <c r="R69" i="58887"/>
  <c r="M69" i="58887" s="1"/>
  <c r="R87" i="58887"/>
  <c r="S21" i="58887"/>
  <c r="S56" i="58887"/>
  <c r="S70" i="58887"/>
  <c r="R100" i="58887"/>
  <c r="R150" i="58887"/>
  <c r="R101" i="58887"/>
  <c r="S28" i="58887"/>
  <c r="R147" i="58887"/>
  <c r="R70" i="58887"/>
  <c r="M70" i="58887" s="1"/>
  <c r="R51" i="58887"/>
  <c r="M51" i="58887" s="1"/>
  <c r="R83" i="58887"/>
  <c r="S114" i="58887"/>
  <c r="S74" i="58887"/>
  <c r="AC30" i="58885"/>
  <c r="AB39" i="58885"/>
  <c r="AC22" i="58885"/>
  <c r="AA60" i="58885"/>
  <c r="AB12" i="58885"/>
  <c r="AB32" i="58885"/>
  <c r="AC47" i="58885"/>
  <c r="AB13" i="58885"/>
  <c r="AA53" i="58885"/>
  <c r="AB35" i="58885"/>
  <c r="AA57" i="58885"/>
  <c r="AC6" i="58885"/>
  <c r="AB24" i="58885"/>
  <c r="AA39" i="58885"/>
  <c r="AB42" i="58885"/>
  <c r="AA33" i="58885"/>
  <c r="AC33" i="58885"/>
  <c r="AA30" i="58885"/>
  <c r="AA18" i="58885"/>
  <c r="AB54" i="58885"/>
  <c r="AB22" i="58885"/>
  <c r="AB11" i="58885"/>
  <c r="AC52" i="58885"/>
  <c r="AA8" i="58885"/>
  <c r="AC50" i="58885"/>
  <c r="AA51" i="58885"/>
  <c r="AC20" i="58885"/>
  <c r="AC7" i="58885"/>
  <c r="AC54" i="58885"/>
  <c r="AC11" i="58885"/>
  <c r="AC53" i="58885"/>
  <c r="AA15" i="58885"/>
  <c r="AB50" i="58885"/>
  <c r="AA36" i="58885"/>
  <c r="AC26" i="58885"/>
  <c r="AC16" i="58885"/>
  <c r="AA22" i="58885"/>
  <c r="AB44" i="58885"/>
  <c r="AA63" i="58885"/>
  <c r="AA24" i="58885"/>
  <c r="AC24" i="58885"/>
  <c r="AB60" i="58885"/>
  <c r="AA27" i="58885"/>
  <c r="AA31" i="58885"/>
  <c r="AA43" i="58885"/>
  <c r="AA14" i="58885"/>
  <c r="AC12" i="58885"/>
  <c r="AC5" i="58885"/>
  <c r="AC55" i="58885"/>
  <c r="AB56" i="58885"/>
  <c r="AB23" i="58885"/>
  <c r="AA21" i="58885"/>
  <c r="AA5" i="58885"/>
  <c r="AC17" i="58885"/>
  <c r="AA7" i="58885"/>
  <c r="AA16" i="58885"/>
  <c r="AC36" i="58885"/>
  <c r="AB41" i="58885"/>
  <c r="AC9" i="58885"/>
  <c r="AC35" i="58885"/>
  <c r="AB57" i="58885"/>
  <c r="AC13" i="58885"/>
  <c r="P185" i="5"/>
  <c r="AB46" i="58885"/>
  <c r="S73" i="58887"/>
  <c r="S48" i="58887"/>
  <c r="K85" i="5"/>
  <c r="S133" i="58887"/>
  <c r="S63" i="58887"/>
  <c r="AW186" i="10"/>
  <c r="R35" i="58887"/>
  <c r="R78" i="58887"/>
  <c r="AE285" i="10"/>
  <c r="AK4" i="37"/>
  <c r="W136" i="5"/>
  <c r="S60" i="5"/>
  <c r="R155" i="58887"/>
  <c r="R53" i="58887"/>
  <c r="S100" i="58887"/>
  <c r="AV92" i="10"/>
  <c r="Q94" i="5"/>
  <c r="R102" i="5"/>
  <c r="DM192" i="58885"/>
  <c r="S131" i="58887"/>
  <c r="DO95" i="58885"/>
  <c r="R137" i="58887"/>
  <c r="R104" i="58887"/>
  <c r="M104" i="58887" s="1"/>
  <c r="V134" i="5"/>
  <c r="S149" i="58887"/>
  <c r="R42" i="58887"/>
  <c r="M42" i="58887" s="1"/>
  <c r="AC62" i="58885"/>
  <c r="R159" i="58887"/>
  <c r="J110" i="5"/>
  <c r="S31" i="58887"/>
  <c r="I124" i="58885"/>
  <c r="Q92" i="58887"/>
  <c r="R125" i="58887"/>
  <c r="M125" i="58887" s="1"/>
  <c r="N134" i="5"/>
  <c r="T142" i="5"/>
  <c r="Q176" i="5"/>
  <c r="K146" i="5"/>
  <c r="R98" i="58887"/>
  <c r="M98" i="58887" s="1"/>
  <c r="I161" i="5"/>
  <c r="G269" i="10"/>
  <c r="M271" i="10"/>
  <c r="M127" i="5"/>
  <c r="R134" i="58887"/>
  <c r="L153" i="5"/>
  <c r="J56" i="5"/>
  <c r="S42" i="58887"/>
  <c r="R117" i="5"/>
  <c r="R112" i="58887"/>
  <c r="M112" i="58887" s="1"/>
  <c r="S161" i="58887"/>
  <c r="S88" i="58887"/>
  <c r="AB61" i="58885"/>
  <c r="R72" i="58887"/>
  <c r="M72" i="58887" s="1"/>
  <c r="AC25" i="58885"/>
  <c r="N145" i="5"/>
  <c r="V151" i="5"/>
  <c r="O144" i="5"/>
  <c r="Q122" i="5"/>
  <c r="W182" i="5"/>
  <c r="Y179" i="5"/>
  <c r="M299" i="10"/>
  <c r="R73" i="58887"/>
  <c r="T140" i="5"/>
  <c r="L170" i="5"/>
  <c r="AR251" i="10"/>
  <c r="S111" i="58887"/>
  <c r="Q91" i="5"/>
  <c r="AC4" i="37"/>
  <c r="P140" i="5"/>
  <c r="AC27" i="58885"/>
  <c r="AC63" i="58885"/>
  <c r="I77" i="5"/>
  <c r="R50" i="58887"/>
  <c r="M50" i="58887" s="1"/>
  <c r="S85" i="58887"/>
  <c r="T101" i="5"/>
  <c r="AB20" i="58885"/>
  <c r="R61" i="58887"/>
  <c r="I240" i="58885"/>
  <c r="W61" i="5"/>
  <c r="AA26" i="58885"/>
  <c r="AB52" i="58885"/>
  <c r="AA29" i="58885"/>
  <c r="S19" i="58887"/>
  <c r="R111" i="58887"/>
  <c r="S96" i="58887"/>
  <c r="S140" i="58887"/>
  <c r="AC48" i="58885"/>
  <c r="AA34" i="58885"/>
  <c r="AV86" i="10"/>
  <c r="AB34" i="58885"/>
  <c r="AC61" i="58885"/>
  <c r="AB10" i="58885"/>
  <c r="AB27" i="58885"/>
  <c r="S154" i="58887"/>
  <c r="M178" i="5"/>
  <c r="Y147" i="5"/>
  <c r="R39" i="58887"/>
  <c r="S114" i="5"/>
  <c r="S125" i="58887"/>
  <c r="AC19" i="58885"/>
  <c r="R108" i="58887"/>
  <c r="M108" i="58887" s="1"/>
  <c r="AV116" i="10"/>
  <c r="S160" i="58887"/>
  <c r="AA55" i="58885"/>
  <c r="J109" i="5"/>
  <c r="R154" i="58887"/>
  <c r="DO34" i="58885"/>
  <c r="Y150" i="5"/>
  <c r="CP3" i="58884"/>
  <c r="S89" i="5"/>
  <c r="G291" i="10"/>
  <c r="R99" i="58887"/>
  <c r="I111" i="5"/>
  <c r="Q66" i="5"/>
  <c r="R164" i="58887"/>
  <c r="AV87" i="10"/>
  <c r="R103" i="58887"/>
  <c r="M103" i="58887" s="1"/>
  <c r="S153" i="58887"/>
  <c r="M111" i="5"/>
  <c r="Q74" i="5"/>
  <c r="R130" i="58887"/>
  <c r="R142" i="58887"/>
  <c r="M142" i="58887" s="1"/>
  <c r="S79" i="5"/>
  <c r="X56" i="5"/>
  <c r="Y77" i="5"/>
  <c r="S99" i="58887"/>
  <c r="O101" i="5"/>
  <c r="AV98" i="10"/>
  <c r="I90" i="5"/>
  <c r="U101" i="5"/>
  <c r="R36" i="58887"/>
  <c r="S134" i="58887"/>
  <c r="I283" i="10"/>
  <c r="S115" i="58887"/>
  <c r="AA45" i="58885"/>
  <c r="V150" i="5"/>
  <c r="AR182" i="10"/>
  <c r="BF4" i="58885"/>
  <c r="S142" i="58887"/>
  <c r="R109" i="58887"/>
  <c r="AB63" i="58885"/>
  <c r="AB25" i="58885"/>
  <c r="AC44" i="58885"/>
  <c r="AB7" i="58885"/>
  <c r="DO31" i="58885"/>
  <c r="Q177" i="5"/>
  <c r="AA261" i="10"/>
  <c r="S151" i="58887"/>
  <c r="O146" i="5"/>
  <c r="S150" i="58887"/>
  <c r="AW252" i="10"/>
  <c r="AW122" i="10"/>
  <c r="R80" i="58887"/>
  <c r="R148" i="58887"/>
  <c r="M148" i="58887" s="1"/>
  <c r="L149" i="5"/>
  <c r="DO96" i="58885"/>
  <c r="DO180" i="58885"/>
  <c r="S111" i="5"/>
  <c r="Q55" i="58887"/>
  <c r="S156" i="5"/>
  <c r="S137" i="5"/>
  <c r="Q127" i="5"/>
  <c r="J160" i="5"/>
  <c r="S6" i="58887"/>
  <c r="AC15" i="58885"/>
  <c r="AC57" i="58885"/>
  <c r="AC34" i="58885"/>
  <c r="AC43" i="58885"/>
  <c r="S75" i="58887"/>
  <c r="AB28" i="58885"/>
  <c r="AA13" i="58885"/>
  <c r="AA28" i="58885"/>
  <c r="S121" i="58887"/>
  <c r="O168" i="5"/>
  <c r="Q104" i="58887"/>
  <c r="AC56" i="58885"/>
  <c r="S79" i="58887"/>
  <c r="AA56" i="58885"/>
  <c r="Q131" i="5"/>
  <c r="O73" i="5"/>
  <c r="I183" i="58885"/>
  <c r="S77" i="58887"/>
  <c r="X143" i="5"/>
  <c r="AB18" i="58885"/>
  <c r="AA46" i="58885"/>
  <c r="S90" i="58887"/>
  <c r="AB49" i="58885"/>
  <c r="AC21" i="58885"/>
  <c r="AA64" i="58885"/>
  <c r="X99" i="5"/>
  <c r="S131" i="5"/>
  <c r="V109" i="5"/>
  <c r="AA10" i="58885"/>
  <c r="AB17" i="58885"/>
  <c r="AA11" i="58885"/>
  <c r="S164" i="58887"/>
  <c r="R33" i="58887"/>
  <c r="M33" i="58887" s="1"/>
  <c r="R138" i="58887"/>
  <c r="S158" i="58887"/>
  <c r="R105" i="58887"/>
  <c r="AC38" i="58885"/>
  <c r="AA35" i="58885"/>
  <c r="U163" i="5"/>
  <c r="R81" i="58887"/>
  <c r="M122" i="5"/>
  <c r="AA41" i="58885"/>
  <c r="AB6" i="58885"/>
  <c r="S11" i="58887"/>
  <c r="Q128" i="58887"/>
  <c r="W78" i="5"/>
  <c r="P189" i="5"/>
  <c r="S34" i="58887"/>
  <c r="AB40" i="58885"/>
  <c r="AC60" i="58885"/>
  <c r="R79" i="58887"/>
  <c r="AB64" i="58885"/>
  <c r="AA44" i="58885"/>
  <c r="AC64" i="58885"/>
  <c r="T150" i="5"/>
  <c r="Q295" i="10"/>
  <c r="S4" i="37"/>
  <c r="X139" i="5"/>
  <c r="AB3" i="58884"/>
  <c r="P3" i="58853"/>
  <c r="Y90" i="5"/>
  <c r="V77" i="5"/>
  <c r="P56" i="5"/>
  <c r="S123" i="58887"/>
  <c r="S43" i="58887"/>
  <c r="AG291" i="10"/>
  <c r="Q113" i="58887"/>
  <c r="S27" i="58887"/>
  <c r="T137" i="5"/>
  <c r="AV119" i="10"/>
  <c r="Q31" i="58887"/>
  <c r="BM4" i="58887"/>
  <c r="I103" i="5"/>
  <c r="J91" i="5"/>
  <c r="AB19" i="58885"/>
  <c r="AA32" i="58885"/>
  <c r="AC37" i="58885"/>
  <c r="R120" i="58887"/>
  <c r="M120" i="58887" s="1"/>
  <c r="S128" i="58887"/>
  <c r="AC46" i="58885"/>
  <c r="AA23" i="58885"/>
  <c r="AC45" i="58885"/>
  <c r="AB14" i="58885"/>
  <c r="AB47" i="58885"/>
  <c r="AA25" i="58885"/>
  <c r="AV202" i="10"/>
  <c r="S37" i="58887"/>
  <c r="R30" i="58887"/>
  <c r="S9" i="58887"/>
  <c r="AA17" i="58885"/>
  <c r="N144" i="5"/>
  <c r="AC31" i="58885"/>
  <c r="S87" i="58887"/>
  <c r="S32" i="58887"/>
  <c r="AA52" i="58885"/>
  <c r="AA37" i="58885"/>
  <c r="AC29" i="58885"/>
  <c r="AB37" i="58885"/>
  <c r="R58" i="58887"/>
  <c r="N151" i="5"/>
  <c r="DO94" i="58885"/>
  <c r="R141" i="58887"/>
  <c r="M141" i="58887" s="1"/>
  <c r="V4" i="37"/>
  <c r="R118" i="58887"/>
  <c r="M118" i="58887" s="1"/>
  <c r="AB62" i="58885"/>
  <c r="AC32" i="58885"/>
  <c r="S141" i="58887"/>
  <c r="R22" i="58887"/>
  <c r="AC14" i="58885"/>
  <c r="U109" i="5"/>
  <c r="U145" i="5"/>
  <c r="DO74" i="58885"/>
  <c r="R21" i="58887"/>
  <c r="M21" i="58887" s="1"/>
  <c r="T62" i="5"/>
  <c r="AC8" i="58885"/>
  <c r="AB8" i="58885"/>
  <c r="AB5" i="58885"/>
  <c r="S124" i="58887"/>
  <c r="S122" i="58887"/>
  <c r="S143" i="58887"/>
  <c r="S25" i="58887"/>
  <c r="S36" i="58887"/>
  <c r="AC23" i="58885"/>
  <c r="AA61" i="58885"/>
  <c r="AB51" i="58885"/>
  <c r="R75" i="58887"/>
  <c r="M75" i="58887" s="1"/>
  <c r="AB29" i="58885"/>
  <c r="AA54" i="58885"/>
  <c r="R67" i="58887"/>
  <c r="T133" i="5"/>
  <c r="DO172" i="58885"/>
  <c r="R34" i="58887"/>
  <c r="Y184" i="5"/>
  <c r="AB45" i="58885"/>
  <c r="U74" i="5"/>
  <c r="AA9" i="58885"/>
  <c r="AA40" i="58885"/>
  <c r="AB38" i="58885"/>
  <c r="R68" i="58887"/>
  <c r="M68" i="58887" s="1"/>
  <c r="K55" i="5"/>
  <c r="I223" i="58885"/>
  <c r="S18" i="58887"/>
  <c r="O150" i="5"/>
  <c r="Q115" i="58887"/>
  <c r="S157" i="58887"/>
  <c r="R32" i="58887"/>
  <c r="S83" i="58887"/>
  <c r="L142" i="5"/>
  <c r="S39" i="58887"/>
  <c r="R163" i="58887"/>
  <c r="R6" i="58887"/>
  <c r="I166" i="5"/>
  <c r="X119" i="5"/>
  <c r="DM244" i="58885"/>
  <c r="S23" i="58887"/>
  <c r="AH4" i="37"/>
  <c r="U135" i="5"/>
  <c r="R127" i="58887"/>
  <c r="S126" i="5"/>
  <c r="I269" i="10"/>
  <c r="T135" i="5"/>
  <c r="P81" i="5"/>
  <c r="U289" i="10"/>
  <c r="P58" i="5"/>
  <c r="J60" i="5"/>
  <c r="R59" i="58887"/>
  <c r="R76" i="58887"/>
  <c r="AV84" i="10"/>
  <c r="R77" i="58887"/>
  <c r="M159" i="5"/>
  <c r="W184" i="5"/>
  <c r="S165" i="58887"/>
  <c r="W56" i="5"/>
  <c r="N108" i="5"/>
  <c r="AV158" i="10"/>
  <c r="W113" i="5"/>
  <c r="Q107" i="58887"/>
  <c r="Q29" i="58887"/>
  <c r="S53" i="58887"/>
  <c r="R143" i="58887"/>
  <c r="M143" i="58887" s="1"/>
  <c r="S119" i="58887"/>
  <c r="R128" i="58887"/>
  <c r="M128" i="58887" s="1"/>
  <c r="AV256" i="10"/>
  <c r="DO162" i="58885"/>
  <c r="R106" i="58887"/>
  <c r="M106" i="58887" s="1"/>
  <c r="Q166" i="58887"/>
  <c r="S50" i="58887"/>
  <c r="R14" i="58887"/>
  <c r="M14" i="58887" s="1"/>
  <c r="S80" i="58887"/>
  <c r="AV165" i="10"/>
  <c r="R97" i="58887"/>
  <c r="M97" i="58887" s="1"/>
  <c r="S52" i="58887"/>
  <c r="R164" i="5"/>
  <c r="S58" i="58887"/>
  <c r="S14" i="58887"/>
  <c r="K116" i="5"/>
  <c r="U100" i="5"/>
  <c r="R64" i="58887"/>
  <c r="M64" i="58887" s="1"/>
  <c r="T97" i="5"/>
  <c r="Q136" i="5"/>
  <c r="R121" i="58887"/>
  <c r="M121" i="58887" s="1"/>
  <c r="S136" i="58887"/>
  <c r="X67" i="5"/>
  <c r="I251" i="58885"/>
  <c r="K179" i="5"/>
  <c r="DW10" i="58884"/>
  <c r="Q89" i="58887"/>
  <c r="Q105" i="58887"/>
  <c r="X131" i="5"/>
  <c r="S94" i="5"/>
  <c r="Q144" i="5"/>
  <c r="L64" i="5"/>
  <c r="S101" i="58887"/>
  <c r="W90" i="5"/>
  <c r="I225" i="58885"/>
  <c r="Q105" i="5"/>
  <c r="K164" i="5"/>
  <c r="S38" i="58887"/>
  <c r="R160" i="58887"/>
  <c r="S147" i="58887"/>
  <c r="S285" i="10"/>
  <c r="V125" i="5"/>
  <c r="X98" i="5"/>
  <c r="S64" i="58887"/>
  <c r="AR191" i="10"/>
  <c r="AV79" i="10"/>
  <c r="Q131" i="58887"/>
  <c r="I187" i="5"/>
  <c r="DO79" i="58885"/>
  <c r="X151" i="5"/>
  <c r="S22" i="58887"/>
  <c r="R23" i="58887"/>
  <c r="T162" i="5"/>
  <c r="AR155" i="10"/>
  <c r="Q38" i="58887"/>
  <c r="Q18" i="58887"/>
  <c r="Q116" i="58887"/>
  <c r="S127" i="5"/>
  <c r="L155" i="5"/>
  <c r="I150" i="5"/>
  <c r="DM245" i="58885"/>
  <c r="AR236" i="10"/>
  <c r="L130" i="5"/>
  <c r="S96" i="5"/>
  <c r="Y159" i="5"/>
  <c r="Q147" i="58887"/>
  <c r="K69" i="5"/>
  <c r="X89" i="5"/>
  <c r="M135" i="5"/>
  <c r="P297" i="10"/>
  <c r="Q103" i="58887"/>
  <c r="K177" i="5"/>
  <c r="T95" i="5"/>
  <c r="AV225" i="10"/>
  <c r="AV194" i="10"/>
  <c r="X161" i="5"/>
  <c r="W135" i="5"/>
  <c r="R83" i="5"/>
  <c r="I194" i="5"/>
  <c r="Q265" i="10"/>
  <c r="U176" i="5"/>
  <c r="I139" i="5"/>
  <c r="Y166" i="5"/>
  <c r="AW213" i="10"/>
  <c r="DO174" i="58885"/>
  <c r="AQ215" i="10"/>
  <c r="N163" i="5"/>
  <c r="DO175" i="58885"/>
  <c r="I190" i="5"/>
  <c r="AW158" i="10"/>
  <c r="L158" i="5"/>
  <c r="O79" i="5"/>
  <c r="L106" i="5"/>
  <c r="AW131" i="10"/>
  <c r="W267" i="10"/>
  <c r="N129" i="5"/>
  <c r="I207" i="58885"/>
  <c r="I173" i="5"/>
  <c r="O153" i="5"/>
  <c r="Y267" i="10"/>
  <c r="M120" i="5"/>
  <c r="U65" i="5"/>
  <c r="O60" i="5"/>
  <c r="AR122" i="10"/>
  <c r="DW19" i="58884"/>
  <c r="W291" i="10"/>
  <c r="Q153" i="5"/>
  <c r="Y161" i="5"/>
  <c r="AG269" i="10"/>
  <c r="M98" i="5"/>
  <c r="R114" i="5"/>
  <c r="U92" i="5"/>
  <c r="Q163" i="5"/>
  <c r="AR170" i="10"/>
  <c r="AV310" i="10"/>
  <c r="AE287" i="10"/>
  <c r="V90" i="5"/>
  <c r="Q169" i="5"/>
  <c r="Q81" i="5"/>
  <c r="T92" i="5"/>
  <c r="AP4" i="58885"/>
  <c r="Q106" i="58887"/>
  <c r="Q140" i="58887"/>
  <c r="Q52" i="58887"/>
  <c r="L68" i="5"/>
  <c r="AG4" i="37"/>
  <c r="V175" i="5"/>
  <c r="P84" i="5"/>
  <c r="O187" i="5"/>
  <c r="AV305" i="10"/>
  <c r="X184" i="5"/>
  <c r="DO35" i="58885"/>
  <c r="P102" i="5"/>
  <c r="L171" i="5"/>
  <c r="S80" i="5"/>
  <c r="N84" i="5"/>
  <c r="S169" i="5"/>
  <c r="O72" i="5"/>
  <c r="R181" i="5"/>
  <c r="K295" i="10"/>
  <c r="G273" i="10"/>
  <c r="AR158" i="10"/>
  <c r="AA269" i="10"/>
  <c r="P57" i="5"/>
  <c r="J165" i="5"/>
  <c r="AV213" i="10"/>
  <c r="T60" i="5"/>
  <c r="AV172" i="10"/>
  <c r="AQ188" i="10"/>
  <c r="R121" i="5"/>
  <c r="M115" i="5"/>
  <c r="AE4" i="37"/>
  <c r="AV212" i="10"/>
  <c r="U129" i="5"/>
  <c r="T168" i="5"/>
  <c r="Y295" i="10"/>
  <c r="U265" i="10"/>
  <c r="X176" i="5"/>
  <c r="M281" i="10"/>
  <c r="Q46" i="58887"/>
  <c r="AC5" i="58884"/>
  <c r="Q171" i="5"/>
  <c r="X188" i="5"/>
  <c r="AC271" i="10"/>
  <c r="W4" i="37"/>
  <c r="AV288" i="10"/>
  <c r="V174" i="5"/>
  <c r="K61" i="5"/>
  <c r="V79" i="5"/>
  <c r="L193" i="5"/>
  <c r="Q187" i="5"/>
  <c r="T65" i="5"/>
  <c r="X65" i="5"/>
  <c r="T99" i="5"/>
  <c r="Q35" i="58887"/>
  <c r="K60" i="5"/>
  <c r="AW227" i="10"/>
  <c r="V188" i="5"/>
  <c r="P130" i="5"/>
  <c r="Q145" i="58887"/>
  <c r="O62" i="5"/>
  <c r="AI4" i="37"/>
  <c r="K181" i="5"/>
  <c r="R128" i="5"/>
  <c r="M84" i="5"/>
  <c r="K4" i="37"/>
  <c r="O152" i="5"/>
  <c r="P74" i="5"/>
  <c r="X173" i="5"/>
  <c r="U126" i="5"/>
  <c r="Z4" i="37"/>
  <c r="L78" i="5"/>
  <c r="Y285" i="10"/>
  <c r="O128" i="5"/>
  <c r="Q148" i="58887"/>
  <c r="N60" i="5"/>
  <c r="Q78" i="58887"/>
  <c r="I64" i="5"/>
  <c r="U60" i="5"/>
  <c r="O138" i="5"/>
  <c r="K113" i="5"/>
  <c r="M67" i="5"/>
  <c r="AV85" i="10"/>
  <c r="AV155" i="10"/>
  <c r="Q119" i="5"/>
  <c r="U4" i="37"/>
  <c r="W161" i="5"/>
  <c r="T85" i="5"/>
  <c r="U140" i="5"/>
  <c r="K291" i="10"/>
  <c r="V178" i="5"/>
  <c r="Q87" i="5"/>
  <c r="U273" i="10"/>
  <c r="V113" i="5"/>
  <c r="M176" i="5"/>
  <c r="AV179" i="10"/>
  <c r="Q136" i="58887"/>
  <c r="Q82" i="5"/>
  <c r="K139" i="5"/>
  <c r="AI3" i="10"/>
  <c r="R155" i="5"/>
  <c r="AD299" i="10"/>
  <c r="T71" i="5"/>
  <c r="W112" i="5"/>
  <c r="Q125" i="5"/>
  <c r="I101" i="5"/>
  <c r="T190" i="5"/>
  <c r="X191" i="5"/>
  <c r="U119" i="5"/>
  <c r="AC287" i="10"/>
  <c r="Q17" i="58887"/>
  <c r="K64" i="5"/>
  <c r="V107" i="5"/>
  <c r="I126" i="58885"/>
  <c r="AV75" i="10"/>
  <c r="BJ5" i="58884"/>
  <c r="Y122" i="5"/>
  <c r="Y193" i="5"/>
  <c r="T69" i="5"/>
  <c r="U105" i="5"/>
  <c r="T291" i="10"/>
  <c r="Q283" i="10"/>
  <c r="P75" i="5"/>
  <c r="Q73" i="58887"/>
  <c r="O169" i="5"/>
  <c r="AE293" i="10"/>
  <c r="K169" i="5"/>
  <c r="K144" i="5"/>
  <c r="X179" i="5"/>
  <c r="T132" i="5"/>
  <c r="I200" i="58885"/>
  <c r="AV61" i="10"/>
  <c r="Q261" i="10"/>
  <c r="Y66" i="5"/>
  <c r="J136" i="5"/>
  <c r="AV96" i="10"/>
  <c r="P107" i="5"/>
  <c r="E4" i="37"/>
  <c r="O4" i="37"/>
  <c r="K138" i="5"/>
  <c r="I184" i="58885"/>
  <c r="S95" i="5"/>
  <c r="Q114" i="58887"/>
  <c r="Q5" i="58887"/>
  <c r="M187" i="5"/>
  <c r="Q164" i="58887"/>
  <c r="I59" i="5"/>
  <c r="AQ161" i="10"/>
  <c r="Y146" i="5"/>
  <c r="V123" i="5"/>
  <c r="DM189" i="58885"/>
  <c r="X75" i="5"/>
  <c r="AW231" i="10"/>
  <c r="K275" i="10"/>
  <c r="B4" i="37"/>
  <c r="AV105" i="10"/>
  <c r="AQ209" i="10"/>
  <c r="J123" i="5"/>
  <c r="W132" i="5"/>
  <c r="H4" i="37"/>
  <c r="AW150" i="10"/>
  <c r="L117" i="5"/>
  <c r="G4" i="37"/>
  <c r="Q25" i="58887"/>
  <c r="AW116" i="10"/>
  <c r="Q125" i="58887"/>
  <c r="X96" i="5"/>
  <c r="V144" i="5"/>
  <c r="R167" i="5"/>
  <c r="U107" i="5"/>
  <c r="AI271" i="10"/>
  <c r="J147" i="5"/>
  <c r="J151" i="5"/>
  <c r="Q159" i="5"/>
  <c r="O64" i="5"/>
  <c r="Y89" i="5"/>
  <c r="B213" i="10"/>
  <c r="W99" i="5"/>
  <c r="V193" i="5"/>
  <c r="Q126" i="5"/>
  <c r="O77" i="5"/>
  <c r="X78" i="5"/>
  <c r="DO87" i="58885"/>
  <c r="S65" i="5"/>
  <c r="T107" i="5"/>
  <c r="M97" i="5"/>
  <c r="G261" i="10"/>
  <c r="V142" i="5"/>
  <c r="AV153" i="10"/>
  <c r="R190" i="5"/>
  <c r="V128" i="5"/>
  <c r="N117" i="5"/>
  <c r="T160" i="5"/>
  <c r="U159" i="5"/>
  <c r="T138" i="5"/>
  <c r="AW65" i="10"/>
  <c r="J188" i="5"/>
  <c r="V98" i="5"/>
  <c r="AV157" i="10"/>
  <c r="AV274" i="10"/>
  <c r="W75" i="5"/>
  <c r="K65" i="5"/>
  <c r="U136" i="5"/>
  <c r="X172" i="5"/>
  <c r="DW4" i="58884"/>
  <c r="AW134" i="10"/>
  <c r="P89" i="5"/>
  <c r="J129" i="5"/>
  <c r="DM220" i="58885"/>
  <c r="B228" i="10"/>
  <c r="AV68" i="10"/>
  <c r="CP6" i="58884"/>
  <c r="J193" i="5"/>
  <c r="L80" i="5"/>
  <c r="AP7" i="58885"/>
  <c r="T123" i="5"/>
  <c r="V100" i="5"/>
  <c r="N187" i="5"/>
  <c r="N159" i="5"/>
  <c r="L172" i="5"/>
  <c r="Y157" i="5"/>
  <c r="L184" i="5"/>
  <c r="V106" i="5"/>
  <c r="O192" i="5"/>
  <c r="Q146" i="5"/>
  <c r="P156" i="5"/>
  <c r="P131" i="5"/>
  <c r="I172" i="5"/>
  <c r="O99" i="5"/>
  <c r="U124" i="5"/>
  <c r="Q67" i="5"/>
  <c r="I72" i="5"/>
  <c r="N86" i="5"/>
  <c r="Q156" i="58887"/>
  <c r="AA281" i="10"/>
  <c r="AC3" i="10"/>
  <c r="L134" i="5"/>
  <c r="I99" i="5"/>
  <c r="Q100" i="58887"/>
  <c r="AV141" i="10"/>
  <c r="W124" i="5"/>
  <c r="S78" i="5"/>
  <c r="Q160" i="58887"/>
  <c r="V97" i="5"/>
  <c r="Q279" i="10"/>
  <c r="V75" i="5"/>
  <c r="M56" i="5"/>
  <c r="R165" i="5"/>
  <c r="AD291" i="10"/>
  <c r="O74" i="5"/>
  <c r="P77" i="5"/>
  <c r="W172" i="5"/>
  <c r="W179" i="5"/>
  <c r="S117" i="5"/>
  <c r="Y160" i="5"/>
  <c r="Q4" i="37"/>
  <c r="U299" i="10"/>
  <c r="AQ164" i="10"/>
  <c r="L188" i="5"/>
  <c r="R109" i="5"/>
  <c r="T105" i="5"/>
  <c r="P141" i="5"/>
  <c r="L192" i="5"/>
  <c r="X123" i="5"/>
  <c r="Q289" i="10"/>
  <c r="AV65" i="10"/>
  <c r="Q20" i="58887"/>
  <c r="L140" i="5"/>
  <c r="Y121" i="5"/>
  <c r="AW187" i="10"/>
  <c r="DM216" i="58885"/>
  <c r="Q84" i="58887"/>
  <c r="W144" i="5"/>
  <c r="AV204" i="10"/>
  <c r="V93" i="5"/>
  <c r="AV154" i="10"/>
  <c r="P160" i="5"/>
  <c r="Q120" i="5"/>
  <c r="AW68" i="10"/>
  <c r="Q297" i="10"/>
  <c r="N63" i="5"/>
  <c r="DM185" i="58885"/>
  <c r="W81" i="5"/>
  <c r="O63" i="5"/>
  <c r="X107" i="5"/>
  <c r="Q43" i="58887"/>
  <c r="O176" i="5"/>
  <c r="X140" i="5"/>
  <c r="J172" i="5"/>
  <c r="Q60" i="5"/>
  <c r="X91" i="5"/>
  <c r="R132" i="5"/>
  <c r="W88" i="5"/>
  <c r="AK263" i="10"/>
  <c r="R55" i="5"/>
  <c r="J141" i="5"/>
  <c r="J103" i="5"/>
  <c r="AA4" i="37"/>
  <c r="N99" i="5"/>
  <c r="R123" i="5"/>
  <c r="M182" i="5"/>
  <c r="O173" i="5"/>
  <c r="M192" i="5"/>
  <c r="L293" i="10"/>
  <c r="J90" i="5"/>
  <c r="AV237" i="10"/>
  <c r="T66" i="5"/>
  <c r="DO165" i="58885"/>
  <c r="M154" i="5"/>
  <c r="T120" i="5"/>
  <c r="AV131" i="10"/>
  <c r="Q147" i="5"/>
  <c r="X72" i="5"/>
  <c r="X4" i="37"/>
  <c r="W185" i="5"/>
  <c r="Y95" i="5"/>
  <c r="R299" i="10"/>
  <c r="AV121" i="10"/>
  <c r="AR143" i="10"/>
  <c r="O110" i="5"/>
  <c r="DO20" i="58885"/>
  <c r="M93" i="5"/>
  <c r="N116" i="5"/>
  <c r="DW18" i="58884"/>
  <c r="AW143" i="10"/>
  <c r="L116" i="5"/>
  <c r="U78" i="5"/>
  <c r="V171" i="5"/>
  <c r="U192" i="5"/>
  <c r="AV248" i="10"/>
  <c r="AW176" i="10"/>
  <c r="AV186" i="10"/>
  <c r="J167" i="5"/>
  <c r="Q71" i="58887"/>
  <c r="V158" i="5"/>
  <c r="T75" i="5"/>
  <c r="Q34" i="58887"/>
  <c r="AW67" i="10"/>
  <c r="S185" i="5"/>
  <c r="L164" i="5"/>
  <c r="W71" i="5"/>
  <c r="AW170" i="10"/>
  <c r="AV193" i="10"/>
  <c r="L109" i="5"/>
  <c r="W287" i="10"/>
  <c r="R84" i="5"/>
  <c r="Q119" i="58887"/>
  <c r="Q146" i="58887"/>
  <c r="AJ291" i="10"/>
  <c r="K57" i="5"/>
  <c r="P173" i="5"/>
  <c r="Y93" i="5"/>
  <c r="V101" i="5"/>
  <c r="G267" i="10"/>
  <c r="X79" i="5"/>
  <c r="N79" i="5"/>
  <c r="AC7" i="58887"/>
  <c r="I152" i="5"/>
  <c r="M169" i="5"/>
  <c r="Q188" i="5"/>
  <c r="T4" i="37"/>
  <c r="N118" i="5"/>
  <c r="AV226" i="10"/>
  <c r="K123" i="5"/>
  <c r="N3" i="58853"/>
  <c r="F4" i="37"/>
  <c r="R79" i="5"/>
  <c r="AQ158" i="10"/>
  <c r="R77" i="5"/>
  <c r="O183" i="5"/>
  <c r="I87" i="5"/>
  <c r="Q184" i="5"/>
  <c r="I218" i="58885"/>
  <c r="Q161" i="58887"/>
  <c r="AK183" i="10" a="1"/>
  <c r="AK183" i="10" s="1"/>
  <c r="B183" i="10"/>
  <c r="P183" i="10" s="1" a="1"/>
  <c r="P183" i="10" s="1"/>
  <c r="O183" i="10" a="1"/>
  <c r="O183" i="10" s="1"/>
  <c r="AJ183" i="10" a="1"/>
  <c r="AJ183" i="10" s="1"/>
  <c r="AB183" i="10" a="1"/>
  <c r="AB183" i="10" s="1"/>
  <c r="M183" i="10" a="1"/>
  <c r="M183" i="10" s="1"/>
  <c r="Q183" i="10" a="1"/>
  <c r="Q183" i="10" s="1"/>
  <c r="AA183" i="10" a="1"/>
  <c r="AA183" i="10" s="1"/>
  <c r="AI183" i="10" a="1"/>
  <c r="AI183" i="10" s="1"/>
  <c r="J183" i="10" a="1"/>
  <c r="J183" i="10" s="1"/>
  <c r="Z183" i="10" a="1"/>
  <c r="Z183" i="10" s="1"/>
  <c r="DO160" i="58885"/>
  <c r="DM199" i="58885"/>
  <c r="V184" i="5"/>
  <c r="Q138" i="58887"/>
  <c r="L132" i="5"/>
  <c r="I143" i="5"/>
  <c r="S109" i="5"/>
  <c r="R124" i="5"/>
  <c r="Q32" i="58887"/>
  <c r="V104" i="5"/>
  <c r="AV297" i="10"/>
  <c r="M293" i="10"/>
  <c r="Y167" i="5"/>
  <c r="U178" i="5"/>
  <c r="Y183" i="5"/>
  <c r="AV240" i="10"/>
  <c r="AJ4" i="37"/>
  <c r="P67" i="5"/>
  <c r="N102" i="5"/>
  <c r="W158" i="5"/>
  <c r="O3" i="58853"/>
  <c r="O181" i="5"/>
  <c r="Y107" i="5"/>
  <c r="S120" i="5"/>
  <c r="V74" i="5"/>
  <c r="V187" i="5"/>
  <c r="W60" i="5"/>
  <c r="M92" i="5"/>
  <c r="W69" i="5"/>
  <c r="Q179" i="5"/>
  <c r="BJ6" i="58884"/>
  <c r="P87" i="5"/>
  <c r="P101" i="5"/>
  <c r="DO170" i="58885"/>
  <c r="AV132" i="10"/>
  <c r="V183" i="5"/>
  <c r="AI281" i="10"/>
  <c r="S178" i="5"/>
  <c r="S174" i="5"/>
  <c r="T124" i="5"/>
  <c r="V182" i="5"/>
  <c r="N148" i="5"/>
  <c r="V192" i="5"/>
  <c r="O92" i="5"/>
  <c r="J121" i="5"/>
  <c r="M181" i="5"/>
  <c r="Q48" i="58887"/>
  <c r="X105" i="5"/>
  <c r="N109" i="5"/>
  <c r="Q111" i="5"/>
  <c r="R64" i="5"/>
  <c r="M156" i="5"/>
  <c r="J131" i="5"/>
  <c r="W115" i="5"/>
  <c r="AW152" i="10"/>
  <c r="T295" i="10"/>
  <c r="M173" i="5"/>
  <c r="Q109" i="5"/>
  <c r="AQ134" i="10"/>
  <c r="N107" i="5"/>
  <c r="O160" i="5"/>
  <c r="O98" i="5"/>
  <c r="AV190" i="10"/>
  <c r="Y55" i="5"/>
  <c r="AV171" i="10"/>
  <c r="Z301" i="10"/>
  <c r="Q113" i="5"/>
  <c r="Q27" i="58887"/>
  <c r="L148" i="5"/>
  <c r="L84" i="5"/>
  <c r="L81" i="5"/>
  <c r="Q95" i="58887"/>
  <c r="AW245" i="10"/>
  <c r="I241" i="58885"/>
  <c r="K118" i="5"/>
  <c r="S176" i="5"/>
  <c r="K175" i="5"/>
  <c r="C4" i="37"/>
  <c r="Q153" i="58887"/>
  <c r="AV294" i="10"/>
  <c r="S86" i="5"/>
  <c r="AV81" i="10"/>
  <c r="X174" i="5"/>
  <c r="Q194" i="5"/>
  <c r="K297" i="10"/>
  <c r="W73" i="5"/>
  <c r="Q39" i="58887"/>
  <c r="J89" i="5"/>
  <c r="O167" i="5"/>
  <c r="L121" i="5"/>
  <c r="L186" i="5"/>
  <c r="M146" i="5"/>
  <c r="W194" i="5"/>
  <c r="S57" i="5"/>
  <c r="K117" i="5"/>
  <c r="T93" i="5"/>
  <c r="W148" i="5"/>
  <c r="AQ236" i="10"/>
  <c r="O170" i="5"/>
  <c r="Q6" i="58887"/>
  <c r="M124" i="5"/>
  <c r="J75" i="5"/>
  <c r="Q122" i="58887"/>
  <c r="Q144" i="58887"/>
  <c r="Q56" i="5"/>
  <c r="T100" i="5"/>
  <c r="N192" i="5"/>
  <c r="Q65" i="58887"/>
  <c r="W180" i="5"/>
  <c r="U79" i="5"/>
  <c r="AW224" i="10"/>
  <c r="I186" i="5"/>
  <c r="Q88" i="5"/>
  <c r="DO50" i="58885"/>
  <c r="T94" i="5"/>
  <c r="AC3" i="58884"/>
  <c r="W269" i="10"/>
  <c r="K185" i="5"/>
  <c r="S58" i="5"/>
  <c r="AV253" i="10"/>
  <c r="X141" i="5"/>
  <c r="U185" i="5"/>
  <c r="K269" i="10"/>
  <c r="X108" i="5"/>
  <c r="Y96" i="5"/>
  <c r="O65" i="5"/>
  <c r="DO88" i="58885"/>
  <c r="P191" i="5"/>
  <c r="AV130" i="10"/>
  <c r="L4" i="37"/>
  <c r="V118" i="5"/>
  <c r="T121" i="5"/>
  <c r="K130" i="5"/>
  <c r="I174" i="5"/>
  <c r="FP10" i="58885"/>
  <c r="AQ197" i="10"/>
  <c r="R179" i="5"/>
  <c r="U75" i="5"/>
  <c r="AV163" i="10"/>
  <c r="R106" i="5"/>
  <c r="Y148" i="5"/>
  <c r="T74" i="5"/>
  <c r="DM240" i="58885"/>
  <c r="AV234" i="10"/>
  <c r="Q97" i="5"/>
  <c r="N106" i="5"/>
  <c r="S102" i="5"/>
  <c r="O283" i="10"/>
  <c r="Q172" i="5"/>
  <c r="AB4" i="37"/>
  <c r="M273" i="10"/>
  <c r="S138" i="5"/>
  <c r="Y63" i="5"/>
  <c r="L124" i="5"/>
  <c r="I213" i="58885"/>
  <c r="U63" i="5"/>
  <c r="K188" i="5"/>
  <c r="Q76" i="58887"/>
  <c r="U116" i="5"/>
  <c r="M285" i="10"/>
  <c r="M70" i="5"/>
  <c r="J185" i="5"/>
  <c r="S74" i="5"/>
  <c r="AN293" i="10"/>
  <c r="AQ200" i="10"/>
  <c r="W118" i="5"/>
  <c r="I114" i="5"/>
  <c r="AH291" i="10"/>
  <c r="L120" i="5"/>
  <c r="AV235" i="10"/>
  <c r="R138" i="5"/>
  <c r="T170" i="5"/>
  <c r="T86" i="5"/>
  <c r="I56" i="5"/>
  <c r="L83" i="5"/>
  <c r="S179" i="5"/>
  <c r="O188" i="5"/>
  <c r="Q128" i="5"/>
  <c r="R71" i="5"/>
  <c r="I180" i="5"/>
  <c r="P80" i="5"/>
  <c r="V81" i="5"/>
  <c r="AO269" i="10"/>
  <c r="R188" i="5"/>
  <c r="R75" i="5"/>
  <c r="U154" i="5"/>
  <c r="AR164" i="10"/>
  <c r="AW230" i="10"/>
  <c r="U137" i="5"/>
  <c r="I60" i="5"/>
  <c r="H295" i="10"/>
  <c r="S154" i="5"/>
  <c r="V92" i="5"/>
  <c r="N73" i="5"/>
  <c r="X165" i="5"/>
  <c r="AD3" i="10"/>
  <c r="AE283" i="10"/>
  <c r="Q137" i="5"/>
  <c r="U267" i="10"/>
  <c r="O121" i="5"/>
  <c r="P98" i="5"/>
  <c r="S191" i="5"/>
  <c r="AV289" i="10"/>
  <c r="Q175" i="5"/>
  <c r="W146" i="5"/>
  <c r="N170" i="5"/>
  <c r="AW58" i="10"/>
  <c r="J98" i="5"/>
  <c r="L194" i="5"/>
  <c r="N78" i="5"/>
  <c r="S166" i="5"/>
  <c r="AE291" i="10"/>
  <c r="Q9" i="58887"/>
  <c r="AV182" i="10"/>
  <c r="S192" i="5"/>
  <c r="W98" i="5"/>
  <c r="AC277" i="10"/>
  <c r="I116" i="5"/>
  <c r="Y88" i="5"/>
  <c r="P136" i="5"/>
  <c r="X136" i="5"/>
  <c r="Q49" i="58887"/>
  <c r="Q127" i="58887"/>
  <c r="M99" i="5"/>
  <c r="W301" i="10"/>
  <c r="J116" i="5"/>
  <c r="AA277" i="10"/>
  <c r="N182" i="5"/>
  <c r="AV133" i="10"/>
  <c r="Y277" i="10"/>
  <c r="R149" i="5"/>
  <c r="I142" i="5"/>
  <c r="AQ137" i="10"/>
  <c r="T178" i="5"/>
  <c r="Q14" i="58887"/>
  <c r="K121" i="5"/>
  <c r="Y173" i="5"/>
  <c r="R126" i="5"/>
  <c r="U177" i="5"/>
  <c r="N56" i="5"/>
  <c r="DO56" i="58885"/>
  <c r="U139" i="5"/>
  <c r="DO47" i="58885"/>
  <c r="AW202" i="10"/>
  <c r="J69" i="5"/>
  <c r="J132" i="5"/>
  <c r="S139" i="5"/>
  <c r="M106" i="5"/>
  <c r="M155" i="5"/>
  <c r="Y69" i="5"/>
  <c r="J142" i="5"/>
  <c r="B168" i="10"/>
  <c r="AG168" i="10" s="1" a="1"/>
  <c r="AG168" i="10" s="1"/>
  <c r="AJ168" i="10" a="1"/>
  <c r="AJ168" i="10" s="1"/>
  <c r="Q168" i="10" a="1"/>
  <c r="Q168" i="10" s="1"/>
  <c r="T168" i="10" a="1"/>
  <c r="T168" i="10" s="1"/>
  <c r="R100" i="5"/>
  <c r="R139" i="5"/>
  <c r="U130" i="5"/>
  <c r="P184" i="5"/>
  <c r="N96" i="5"/>
  <c r="I185" i="58885"/>
  <c r="O94" i="5"/>
  <c r="P120" i="5"/>
  <c r="U114" i="5"/>
  <c r="AA271" i="10"/>
  <c r="Q112" i="58887"/>
  <c r="V83" i="5"/>
  <c r="BJ3" i="58884"/>
  <c r="M102" i="5"/>
  <c r="M193" i="5"/>
  <c r="I4" i="37"/>
  <c r="K70" i="5"/>
  <c r="BO7" i="58887"/>
  <c r="AM3" i="10"/>
  <c r="AQ3" i="58858"/>
  <c r="AW156" i="10"/>
  <c r="U193" i="5"/>
  <c r="G299" i="10"/>
  <c r="M126" i="5"/>
  <c r="R193" i="5"/>
  <c r="V110" i="5"/>
  <c r="K159" i="5"/>
  <c r="AN291" i="10"/>
  <c r="R140" i="5"/>
  <c r="DM228" i="58885"/>
  <c r="Y108" i="5"/>
  <c r="AV145" i="10"/>
  <c r="B216" i="10"/>
  <c r="DM203" i="58885"/>
  <c r="V130" i="5"/>
  <c r="DO78" i="58885"/>
  <c r="DW13" i="58884"/>
  <c r="DO68" i="58885"/>
  <c r="Y141" i="5"/>
  <c r="J101" i="5"/>
  <c r="M171" i="5"/>
  <c r="U138" i="5"/>
  <c r="W273" i="10"/>
  <c r="Q72" i="5"/>
  <c r="K167" i="5"/>
  <c r="B234" i="10"/>
  <c r="V78" i="5"/>
  <c r="O82" i="5"/>
  <c r="O84" i="5"/>
  <c r="P145" i="5"/>
  <c r="N194" i="5"/>
  <c r="DW20" i="58884"/>
  <c r="DO158" i="58885"/>
  <c r="W133" i="5"/>
  <c r="K180" i="5"/>
  <c r="J137" i="5"/>
  <c r="K71" i="5"/>
  <c r="L88" i="5"/>
  <c r="Y281" i="10"/>
  <c r="DM227" i="58885"/>
  <c r="W191" i="5"/>
  <c r="N135" i="5"/>
  <c r="J79" i="5"/>
  <c r="Q118" i="58887"/>
  <c r="S283" i="10"/>
  <c r="V138" i="5"/>
  <c r="R192" i="5"/>
  <c r="O198" i="10" a="1"/>
  <c r="O198" i="10" s="1"/>
  <c r="AA198" i="10" a="1"/>
  <c r="AA198" i="10" s="1"/>
  <c r="Q198" i="10" a="1"/>
  <c r="Q198" i="10" s="1"/>
  <c r="B198" i="10"/>
  <c r="AD198" i="10" s="1" a="1"/>
  <c r="AD198" i="10" s="1"/>
  <c r="AL198" i="10" a="1"/>
  <c r="AL198" i="10" s="1"/>
  <c r="G198" i="10" a="1"/>
  <c r="G198" i="10" s="1"/>
  <c r="AN198" i="10" a="1"/>
  <c r="AN198" i="10" s="1"/>
  <c r="H198" i="10" a="1"/>
  <c r="H198" i="10" s="1"/>
  <c r="M198" i="10" a="1"/>
  <c r="M198" i="10" s="1"/>
  <c r="P198" i="10" a="1"/>
  <c r="P198" i="10" s="1"/>
  <c r="Q162" i="5"/>
  <c r="AW128" i="10"/>
  <c r="FP13" i="58885"/>
  <c r="V103" i="5"/>
  <c r="AV103" i="10"/>
  <c r="V179" i="5"/>
  <c r="AA275" i="10"/>
  <c r="S121" i="5"/>
  <c r="AW171" i="10"/>
  <c r="O87" i="5"/>
  <c r="T81" i="5"/>
  <c r="X187" i="5"/>
  <c r="O273" i="10"/>
  <c r="R59" i="5"/>
  <c r="S101" i="5"/>
  <c r="DO177" i="58885"/>
  <c r="Q135" i="5"/>
  <c r="V116" i="5"/>
  <c r="U179" i="5"/>
  <c r="K152" i="5"/>
  <c r="Y149" i="5"/>
  <c r="V164" i="5"/>
  <c r="M123" i="5"/>
  <c r="R147" i="5"/>
  <c r="Q156" i="5"/>
  <c r="M62" i="5"/>
  <c r="AV102" i="10"/>
  <c r="W167" i="5"/>
  <c r="AW81" i="10"/>
  <c r="DO41" i="58885"/>
  <c r="R81" i="5"/>
  <c r="AV125" i="10"/>
  <c r="O123" i="5"/>
  <c r="X121" i="5"/>
  <c r="X169" i="5"/>
  <c r="I238" i="58885"/>
  <c r="K114" i="5"/>
  <c r="Q57" i="58887"/>
  <c r="Q62" i="5"/>
  <c r="K101" i="5"/>
  <c r="L101" i="5"/>
  <c r="AC6" i="58884"/>
  <c r="DM236" i="58885"/>
  <c r="V160" i="5"/>
  <c r="P63" i="5"/>
  <c r="AV239" i="10"/>
  <c r="AW194" i="10"/>
  <c r="J61" i="5"/>
  <c r="T83" i="5"/>
  <c r="U156" i="5"/>
  <c r="AV313" i="10"/>
  <c r="X57" i="5"/>
  <c r="Q41" i="58887"/>
  <c r="DO146" i="58885"/>
  <c r="AW195" i="10"/>
  <c r="J181" i="5"/>
  <c r="DO93" i="58885"/>
  <c r="I124" i="5"/>
  <c r="Q142" i="58887"/>
  <c r="DO29" i="58885"/>
  <c r="AQ212" i="10"/>
  <c r="M3" i="58853"/>
  <c r="O61" i="5"/>
  <c r="X113" i="5"/>
  <c r="I190" i="58885"/>
  <c r="I183" i="5"/>
  <c r="Q93" i="5"/>
  <c r="U123" i="5"/>
  <c r="AA283" i="10"/>
  <c r="Y103" i="5"/>
  <c r="DM205" i="58885"/>
  <c r="O277" i="10"/>
  <c r="Y72" i="5"/>
  <c r="AI263" i="10"/>
  <c r="AV222" i="10"/>
  <c r="J154" i="5"/>
  <c r="AV295" i="10"/>
  <c r="R65" i="5"/>
  <c r="U132" i="5"/>
  <c r="Q183" i="5"/>
  <c r="V69" i="5"/>
  <c r="AO287" i="10"/>
  <c r="X87" i="5"/>
  <c r="DM233" i="58885"/>
  <c r="O265" i="10"/>
  <c r="W176" i="5"/>
  <c r="S73" i="5"/>
  <c r="K133" i="5"/>
  <c r="Y170" i="5"/>
  <c r="O191" i="5"/>
  <c r="U55" i="5"/>
  <c r="AE299" i="10"/>
  <c r="AK289" i="10"/>
  <c r="AI269" i="10"/>
  <c r="S164" i="5"/>
  <c r="Y123" i="5"/>
  <c r="P293" i="10"/>
  <c r="I178" i="5"/>
  <c r="V3" i="10"/>
  <c r="N137" i="5"/>
  <c r="T184" i="5"/>
  <c r="R185" i="5"/>
  <c r="Q83" i="58887"/>
  <c r="Q132" i="5"/>
  <c r="O83" i="5"/>
  <c r="O147" i="5"/>
  <c r="I104" i="5"/>
  <c r="J187" i="5"/>
  <c r="N158" i="5"/>
  <c r="L133" i="5"/>
  <c r="X58" i="5"/>
  <c r="Q99" i="58887"/>
  <c r="AF295" i="10"/>
  <c r="S85" i="5"/>
  <c r="AJ129" i="10" a="1"/>
  <c r="AJ129" i="10" s="1"/>
  <c r="P129" i="10" a="1"/>
  <c r="P129" i="10" s="1"/>
  <c r="B129" i="10"/>
  <c r="AD129" i="10" a="1"/>
  <c r="AD129" i="10" s="1"/>
  <c r="T129" i="10" a="1"/>
  <c r="T129" i="10" s="1"/>
  <c r="J129" i="10" a="1"/>
  <c r="J129" i="10" s="1"/>
  <c r="AO129" i="10" a="1"/>
  <c r="AO129" i="10" s="1"/>
  <c r="Q129" i="10" a="1"/>
  <c r="Q129" i="10" s="1"/>
  <c r="AG129" i="10" a="1"/>
  <c r="AG129" i="10" s="1"/>
  <c r="AC129" i="10" a="1"/>
  <c r="AC129" i="10" s="1"/>
  <c r="G129" i="10" a="1"/>
  <c r="G129" i="10" s="1"/>
  <c r="I129" i="10" a="1"/>
  <c r="I129" i="10" s="1"/>
  <c r="O129" i="10" a="1"/>
  <c r="O129" i="10" s="1"/>
  <c r="AK129" i="10" a="1"/>
  <c r="AK129" i="10" s="1"/>
  <c r="AB129" i="10" a="1"/>
  <c r="AB129" i="10" s="1"/>
  <c r="X129" i="10" a="1"/>
  <c r="X129" i="10" s="1"/>
  <c r="AF129" i="10" a="1"/>
  <c r="AF129" i="10" s="1"/>
  <c r="S129" i="10" a="1"/>
  <c r="S129" i="10" s="1"/>
  <c r="V129" i="10" a="1"/>
  <c r="V129" i="10" s="1"/>
  <c r="AN129" i="10" a="1"/>
  <c r="AN129" i="10" s="1"/>
  <c r="Y129" i="10" a="1"/>
  <c r="Y129" i="10" s="1"/>
  <c r="AI129" i="10" a="1"/>
  <c r="AI129" i="10" s="1"/>
  <c r="AP129" i="10" a="1"/>
  <c r="AP129" i="10" s="1"/>
  <c r="K129" i="10" a="1"/>
  <c r="K129" i="10" s="1"/>
  <c r="AH129" i="10" a="1"/>
  <c r="AH129" i="10" s="1"/>
  <c r="I139" i="58885"/>
  <c r="Q165" i="58887"/>
  <c r="Q151" i="58887"/>
  <c r="AW59" i="10"/>
  <c r="Q42" i="58887"/>
  <c r="I78" i="5"/>
  <c r="DM218" i="58885"/>
  <c r="Y92" i="5"/>
  <c r="AF4" i="37"/>
  <c r="AE263" i="10"/>
  <c r="AV99" i="10"/>
  <c r="I134" i="58885"/>
  <c r="Q192" i="5"/>
  <c r="AV162" i="10"/>
  <c r="R180" i="5"/>
  <c r="N94" i="5"/>
  <c r="AV258" i="10"/>
  <c r="M145" i="5"/>
  <c r="U71" i="5"/>
  <c r="U287" i="10"/>
  <c r="Y164" i="5"/>
  <c r="V152" i="5"/>
  <c r="I237" i="58885"/>
  <c r="R89" i="5"/>
  <c r="L123" i="5"/>
  <c r="M183" i="5"/>
  <c r="Y263" i="10"/>
  <c r="Y181" i="5"/>
  <c r="P172" i="5"/>
  <c r="I55" i="5"/>
  <c r="Q111" i="58887"/>
  <c r="P71" i="5"/>
  <c r="Q90" i="58887"/>
  <c r="DW8" i="58884"/>
  <c r="I175" i="5"/>
  <c r="N169" i="5"/>
  <c r="V169" i="5"/>
  <c r="N126" i="5"/>
  <c r="AW175" i="10"/>
  <c r="M75" i="5"/>
  <c r="W175" i="5"/>
  <c r="DM246" i="58885"/>
  <c r="I162" i="5"/>
  <c r="AV207" i="10"/>
  <c r="S132" i="5"/>
  <c r="N111" i="5"/>
  <c r="I100" i="5"/>
  <c r="U158" i="5"/>
  <c r="I250" i="58885"/>
  <c r="AM293" i="10"/>
  <c r="AF297" i="10"/>
  <c r="Q159" i="58887"/>
  <c r="Q40" i="58887"/>
  <c r="P143" i="5"/>
  <c r="J126" i="5"/>
  <c r="AR134" i="10"/>
  <c r="J168" i="5"/>
  <c r="U147" i="5"/>
  <c r="AM301" i="10"/>
  <c r="L135" i="5"/>
  <c r="DO65" i="58885"/>
  <c r="J135" i="5"/>
  <c r="Q180" i="5"/>
  <c r="M180" i="5"/>
  <c r="DM207" i="58885"/>
  <c r="I134" i="5"/>
  <c r="DO28" i="58885"/>
  <c r="V57" i="5"/>
  <c r="T188" i="5"/>
  <c r="U127" i="5"/>
  <c r="K107" i="5"/>
  <c r="Q108" i="5"/>
  <c r="R115" i="5"/>
  <c r="I222" i="58885"/>
  <c r="I70" i="5"/>
  <c r="U169" i="5"/>
  <c r="AG301" i="10"/>
  <c r="J146" i="5"/>
  <c r="I137" i="5"/>
  <c r="N88" i="5"/>
  <c r="M4" i="37"/>
  <c r="AK267" i="10"/>
  <c r="S88" i="5"/>
  <c r="J86" i="5"/>
  <c r="P95" i="5"/>
  <c r="K104" i="5"/>
  <c r="X59" i="5"/>
  <c r="L56" i="5"/>
  <c r="AV151" i="10"/>
  <c r="W138" i="5"/>
  <c r="Y175" i="5"/>
  <c r="AV301" i="10"/>
  <c r="DM239" i="58885"/>
  <c r="X130" i="5"/>
  <c r="Q117" i="58887"/>
  <c r="W116" i="5"/>
  <c r="U160" i="5"/>
  <c r="O132" i="5"/>
  <c r="Z189" i="10" a="1"/>
  <c r="Z189" i="10" s="1"/>
  <c r="L189" i="10" a="1"/>
  <c r="L189" i="10" s="1"/>
  <c r="B189" i="10"/>
  <c r="AD189" i="10" s="1" a="1"/>
  <c r="AD189" i="10" s="1"/>
  <c r="Y189" i="10" a="1"/>
  <c r="Y189" i="10" s="1"/>
  <c r="AL189" i="10" a="1"/>
  <c r="AL189" i="10" s="1"/>
  <c r="AF189" i="10" a="1"/>
  <c r="AF189" i="10" s="1"/>
  <c r="AP189" i="10" a="1"/>
  <c r="AP189" i="10" s="1"/>
  <c r="AA189" i="10" a="1"/>
  <c r="AA189" i="10" s="1"/>
  <c r="T189" i="10" a="1"/>
  <c r="T189" i="10" s="1"/>
  <c r="S189" i="10" a="1"/>
  <c r="S189" i="10" s="1"/>
  <c r="M189" i="10" a="1"/>
  <c r="M189" i="10" s="1"/>
  <c r="J189" i="10" a="1"/>
  <c r="J189" i="10" s="1"/>
  <c r="AE189" i="10" a="1"/>
  <c r="AE189" i="10" s="1"/>
  <c r="AC189" i="10" a="1"/>
  <c r="AC189" i="10" s="1"/>
  <c r="AI189" i="10" a="1"/>
  <c r="AI189" i="10" s="1"/>
  <c r="I189" i="10" a="1"/>
  <c r="I189" i="10" s="1"/>
  <c r="K189" i="10" a="1"/>
  <c r="K189" i="10" s="1"/>
  <c r="Q189" i="10" a="1"/>
  <c r="Q189" i="10" s="1"/>
  <c r="X189" i="10" a="1"/>
  <c r="X189" i="10" s="1"/>
  <c r="V189" i="10" a="1"/>
  <c r="V189" i="10" s="1"/>
  <c r="AH189" i="10" a="1"/>
  <c r="AH189" i="10" s="1"/>
  <c r="AK189" i="10" a="1"/>
  <c r="AK189" i="10" s="1"/>
  <c r="AG189" i="10" a="1"/>
  <c r="AG189" i="10" s="1"/>
  <c r="AW77" i="10"/>
  <c r="W152" i="5"/>
  <c r="Q149" i="5"/>
  <c r="R82" i="5"/>
  <c r="AW190" i="10"/>
  <c r="AV276" i="10"/>
  <c r="Q124" i="58887"/>
  <c r="CP5" i="58884"/>
  <c r="L167" i="5"/>
  <c r="M61" i="5"/>
  <c r="T106" i="5"/>
  <c r="Q62" i="58887"/>
  <c r="U184" i="5"/>
  <c r="P166" i="5"/>
  <c r="AR131" i="10"/>
  <c r="J63" i="5"/>
  <c r="O102" i="5"/>
  <c r="T192" i="5"/>
  <c r="DO143" i="58885"/>
  <c r="AD4" i="37"/>
  <c r="K165" i="5"/>
  <c r="Y156" i="5"/>
  <c r="J120" i="5"/>
  <c r="K76" i="5"/>
  <c r="O78" i="5"/>
  <c r="N82" i="5"/>
  <c r="Q152" i="58887"/>
  <c r="M191" i="5"/>
  <c r="Q132" i="58887"/>
  <c r="V124" i="5"/>
  <c r="X77" i="5"/>
  <c r="DO169" i="58885"/>
  <c r="AV164" i="10"/>
  <c r="K137" i="5"/>
  <c r="AV233" i="10"/>
  <c r="O75" i="5"/>
  <c r="T191" i="5"/>
  <c r="Q117" i="5"/>
  <c r="L110" i="5"/>
  <c r="U77" i="5"/>
  <c r="P133" i="5"/>
  <c r="S56" i="5"/>
  <c r="U90" i="5"/>
  <c r="Q133" i="58887"/>
  <c r="V89" i="5"/>
  <c r="I168" i="5"/>
  <c r="AK287" i="10"/>
  <c r="P78" i="5"/>
  <c r="P117" i="5"/>
  <c r="S72" i="5"/>
  <c r="W95" i="5"/>
  <c r="W127" i="5"/>
  <c r="O88" i="5"/>
  <c r="V146" i="5"/>
  <c r="S171" i="5"/>
  <c r="W192" i="5"/>
  <c r="T131" i="5"/>
  <c r="U149" i="5"/>
  <c r="L137" i="5"/>
  <c r="I83" i="5"/>
  <c r="Q13" i="58887"/>
  <c r="AQ116" i="10"/>
  <c r="AV200" i="10"/>
  <c r="P168" i="5"/>
  <c r="BO6" i="58887"/>
  <c r="O122" i="5"/>
  <c r="Y265" i="10"/>
  <c r="Q36" i="58887"/>
  <c r="X158" i="5"/>
  <c r="AK281" i="10"/>
  <c r="I123" i="58885"/>
  <c r="V176" i="5"/>
  <c r="O119" i="5"/>
  <c r="L150" i="5"/>
  <c r="L173" i="5"/>
  <c r="J66" i="5"/>
  <c r="I122" i="58885"/>
  <c r="I62" i="5"/>
  <c r="N64" i="5"/>
  <c r="L185" i="5"/>
  <c r="Q135" i="58887"/>
  <c r="U106" i="5"/>
  <c r="K91" i="5"/>
  <c r="L3" i="58853"/>
  <c r="Y101" i="5"/>
  <c r="Q275" i="10"/>
  <c r="L75" i="5"/>
  <c r="T70" i="5"/>
  <c r="AV76" i="10"/>
  <c r="I299" i="10"/>
  <c r="W283" i="10"/>
  <c r="T134" i="5"/>
  <c r="Q148" i="5"/>
  <c r="N113" i="5"/>
  <c r="AW146" i="10"/>
  <c r="R104" i="5"/>
  <c r="H299" i="10"/>
  <c r="AO275" i="10"/>
  <c r="Y162" i="5"/>
  <c r="AR140" i="10"/>
  <c r="DO85" i="58885"/>
  <c r="M162" i="5"/>
  <c r="U125" i="5"/>
  <c r="I181" i="58885"/>
  <c r="Q149" i="58887"/>
  <c r="AV265" i="10"/>
  <c r="O129" i="5"/>
  <c r="X137" i="5"/>
  <c r="AV229" i="10"/>
  <c r="V63" i="5"/>
  <c r="Y133" i="5"/>
  <c r="Q10" i="58887"/>
  <c r="O297" i="10"/>
  <c r="Y172" i="5"/>
  <c r="I181" i="5"/>
  <c r="N55" i="5"/>
  <c r="AV144" i="10"/>
  <c r="Y117" i="5"/>
  <c r="U191" i="5"/>
  <c r="K56" i="5"/>
  <c r="X157" i="5"/>
  <c r="I185" i="5"/>
  <c r="N161" i="5"/>
  <c r="I120" i="5"/>
  <c r="AQ239" i="10"/>
  <c r="X64" i="5"/>
  <c r="X82" i="5"/>
  <c r="R183" i="5"/>
  <c r="S172" i="5"/>
  <c r="O109" i="5"/>
  <c r="P126" i="5"/>
  <c r="L143" i="5"/>
  <c r="W87" i="5"/>
  <c r="Q103" i="5"/>
  <c r="R160" i="5"/>
  <c r="AW124" i="10"/>
  <c r="G293" i="10"/>
  <c r="Q23" i="58887"/>
  <c r="V68" i="5"/>
  <c r="T166" i="5"/>
  <c r="U59" i="5"/>
  <c r="AM281" i="10"/>
  <c r="Y105" i="5"/>
  <c r="R96" i="5"/>
  <c r="AW210" i="10"/>
  <c r="O90" i="5"/>
  <c r="AR125" i="10"/>
  <c r="X142" i="5"/>
  <c r="S118" i="5"/>
  <c r="O131" i="5"/>
  <c r="AR233" i="10"/>
  <c r="T125" i="5"/>
  <c r="W186" i="5"/>
  <c r="S3" i="10"/>
  <c r="Y169" i="5"/>
  <c r="AJ295" i="10"/>
  <c r="K136" i="5"/>
  <c r="P104" i="5"/>
  <c r="I171" i="5"/>
  <c r="L147" i="5"/>
  <c r="S123" i="5"/>
  <c r="Y131" i="5"/>
  <c r="T102" i="5"/>
  <c r="N121" i="5"/>
  <c r="W162" i="5"/>
  <c r="AQ227" i="10"/>
  <c r="P180" i="5"/>
  <c r="DO49" i="58885"/>
  <c r="Y70" i="5"/>
  <c r="P158" i="5"/>
  <c r="S287" i="10"/>
  <c r="P99" i="5"/>
  <c r="I263" i="10"/>
  <c r="M160" i="5"/>
  <c r="DO9" i="58885"/>
  <c r="J93" i="5"/>
  <c r="AV290" i="10"/>
  <c r="I229" i="58885"/>
  <c r="S188" i="5"/>
  <c r="R175" i="5"/>
  <c r="O143" i="5"/>
  <c r="P115" i="5"/>
  <c r="I291" i="10"/>
  <c r="P94" i="5"/>
  <c r="O114" i="5"/>
  <c r="V135" i="5"/>
  <c r="Y129" i="5"/>
  <c r="N142" i="5"/>
  <c r="M121" i="5"/>
  <c r="I85" i="5"/>
  <c r="K189" i="5"/>
  <c r="AR116" i="10"/>
  <c r="DO157" i="58885"/>
  <c r="X181" i="5"/>
  <c r="S153" i="5"/>
  <c r="R135" i="5"/>
  <c r="AV159" i="10"/>
  <c r="N105" i="5"/>
  <c r="J114" i="5"/>
  <c r="O67" i="5"/>
  <c r="J65" i="5"/>
  <c r="P114" i="5"/>
  <c r="U186" i="5"/>
  <c r="AW212" i="10"/>
  <c r="Y185" i="5"/>
  <c r="AV306" i="10"/>
  <c r="W263" i="10"/>
  <c r="AO265" i="10"/>
  <c r="I99" i="58885"/>
  <c r="AW76" i="10"/>
  <c r="AW144" i="10"/>
  <c r="L95" i="5"/>
  <c r="AV64" i="10"/>
  <c r="DO22" i="58885"/>
  <c r="AO281" i="10"/>
  <c r="K90" i="5"/>
  <c r="S64" i="5"/>
  <c r="Q30" i="58887"/>
  <c r="R85" i="5"/>
  <c r="J291" i="10"/>
  <c r="L295" i="10"/>
  <c r="N153" i="5"/>
  <c r="Y91" i="5"/>
  <c r="Q158" i="5"/>
  <c r="S175" i="5"/>
  <c r="O56" i="5"/>
  <c r="L146" i="5"/>
  <c r="Y261" i="10"/>
  <c r="K128" i="5"/>
  <c r="T181" i="5"/>
  <c r="S133" i="5"/>
  <c r="Q301" i="10"/>
  <c r="K99" i="5"/>
  <c r="P165" i="5"/>
  <c r="P175" i="5"/>
  <c r="W111" i="5"/>
  <c r="R186" i="5"/>
  <c r="Q123" i="58887"/>
  <c r="Y182" i="5"/>
  <c r="Y191" i="5"/>
  <c r="T163" i="5"/>
  <c r="V153" i="5"/>
  <c r="X62" i="5"/>
  <c r="N190" i="5"/>
  <c r="AW192" i="10"/>
  <c r="R182" i="5"/>
  <c r="S152" i="5"/>
  <c r="S100" i="5"/>
  <c r="N66" i="5"/>
  <c r="R70" i="5"/>
  <c r="U64" i="5"/>
  <c r="G289" i="10"/>
  <c r="N124" i="5"/>
  <c r="Q130" i="58887"/>
  <c r="B249" i="10"/>
  <c r="O154" i="5"/>
  <c r="AI279" i="10"/>
  <c r="AV298" i="10"/>
  <c r="X118" i="5"/>
  <c r="R161" i="5"/>
  <c r="O165" i="5"/>
  <c r="M116" i="5"/>
  <c r="M55" i="5"/>
  <c r="AW72" i="10"/>
  <c r="L65" i="5"/>
  <c r="S162" i="5"/>
  <c r="U168" i="5"/>
  <c r="L126" i="5"/>
  <c r="Q116" i="5"/>
  <c r="T82" i="5"/>
  <c r="J119" i="5"/>
  <c r="AW149" i="10"/>
  <c r="AR128" i="10"/>
  <c r="R169" i="5"/>
  <c r="X138" i="5"/>
  <c r="P186" i="5"/>
  <c r="J164" i="5"/>
  <c r="DO52" i="58885"/>
  <c r="S181" i="5"/>
  <c r="L66" i="5"/>
  <c r="W79" i="5"/>
  <c r="M72" i="5"/>
  <c r="N74" i="5"/>
  <c r="O127" i="5"/>
  <c r="W67" i="5"/>
  <c r="I117" i="58885"/>
  <c r="R154" i="5"/>
  <c r="L100" i="5"/>
  <c r="N123" i="5"/>
  <c r="S103" i="5"/>
  <c r="X178" i="5"/>
  <c r="J84" i="5"/>
  <c r="DM190" i="58885"/>
  <c r="F3" i="10"/>
  <c r="AC269" i="10"/>
  <c r="Y58" i="5"/>
  <c r="AR188" i="10"/>
  <c r="N95" i="5"/>
  <c r="V159" i="5"/>
  <c r="M136" i="5"/>
  <c r="AW137" i="10"/>
  <c r="AA265" i="10"/>
  <c r="Y186" i="5"/>
  <c r="K3" i="10"/>
  <c r="T76" i="5"/>
  <c r="AW69" i="10"/>
  <c r="J97" i="5"/>
  <c r="Y152" i="5"/>
  <c r="I106" i="5"/>
  <c r="S119" i="5"/>
  <c r="N167" i="5"/>
  <c r="I147" i="5"/>
  <c r="AW198" i="10"/>
  <c r="T146" i="5"/>
  <c r="M91" i="5"/>
  <c r="U103" i="5"/>
  <c r="X61" i="5"/>
  <c r="R80" i="5"/>
  <c r="R134" i="5"/>
  <c r="O148" i="5"/>
  <c r="W100" i="5"/>
  <c r="AR167" i="10"/>
  <c r="I230" i="58885"/>
  <c r="DO164" i="58885"/>
  <c r="AW61" i="10"/>
  <c r="AV150" i="10"/>
  <c r="J159" i="5"/>
  <c r="M114" i="5"/>
  <c r="R66" i="5"/>
  <c r="T177" i="5"/>
  <c r="I71" i="5"/>
  <c r="V301" i="10"/>
  <c r="AV261" i="10"/>
  <c r="K67" i="5"/>
  <c r="M269" i="10"/>
  <c r="M112" i="5"/>
  <c r="S155" i="5"/>
  <c r="X55" i="5"/>
  <c r="Y118" i="5"/>
  <c r="S293" i="10"/>
  <c r="O55" i="5"/>
  <c r="O86" i="5"/>
  <c r="AO279" i="10"/>
  <c r="L180" i="5"/>
  <c r="M166" i="5"/>
  <c r="AV110" i="10"/>
  <c r="V141" i="5"/>
  <c r="AK279" i="10"/>
  <c r="M144" i="5"/>
  <c r="AG281" i="10"/>
  <c r="AJ299" i="10"/>
  <c r="X69" i="5"/>
  <c r="AV296" i="10"/>
  <c r="U277" i="10"/>
  <c r="V133" i="5"/>
  <c r="J87" i="5"/>
  <c r="S157" i="5"/>
  <c r="AR161" i="10"/>
  <c r="Y135" i="5"/>
  <c r="K95" i="5"/>
  <c r="Y177" i="5"/>
  <c r="I115" i="58885"/>
  <c r="I165" i="5"/>
  <c r="L190" i="5"/>
  <c r="Y301" i="10"/>
  <c r="Y74" i="5"/>
  <c r="L73" i="5"/>
  <c r="K132" i="5"/>
  <c r="Q78" i="5"/>
  <c r="AG271" i="10"/>
  <c r="K171" i="5"/>
  <c r="AV88" i="10"/>
  <c r="U175" i="5"/>
  <c r="I130" i="58885"/>
  <c r="AW249" i="10"/>
  <c r="X291" i="10"/>
  <c r="I75" i="5"/>
  <c r="AV300" i="10"/>
  <c r="I131" i="5"/>
  <c r="AV109" i="10"/>
  <c r="AM271" i="10"/>
  <c r="U166" i="5"/>
  <c r="M179" i="5"/>
  <c r="Q118" i="5"/>
  <c r="T157" i="5"/>
  <c r="O108" i="5"/>
  <c r="B159" i="10"/>
  <c r="H159" i="10" a="1"/>
  <c r="H159" i="10" s="1"/>
  <c r="U159" i="10" a="1"/>
  <c r="U159" i="10" s="1"/>
  <c r="AK159" i="10" a="1"/>
  <c r="AK159" i="10" s="1"/>
  <c r="AC159" i="10" a="1"/>
  <c r="AC159" i="10" s="1"/>
  <c r="K159" i="10" a="1"/>
  <c r="K159" i="10" s="1"/>
  <c r="AP159" i="10" a="1"/>
  <c r="AP159" i="10" s="1"/>
  <c r="N159" i="10" a="1"/>
  <c r="N159" i="10" s="1"/>
  <c r="J169" i="5"/>
  <c r="AR242" i="10"/>
  <c r="O182" i="5"/>
  <c r="P138" i="5"/>
  <c r="AW161" i="10"/>
  <c r="X153" i="5"/>
  <c r="DO61" i="58885"/>
  <c r="M128" i="5"/>
  <c r="AQ167" i="10"/>
  <c r="W134" i="5"/>
  <c r="K110" i="5"/>
  <c r="U141" i="5"/>
  <c r="X144" i="5"/>
  <c r="X86" i="5"/>
  <c r="BF6" i="58885"/>
  <c r="N155" i="5"/>
  <c r="G3" i="10"/>
  <c r="Q88" i="58887"/>
  <c r="S182" i="5"/>
  <c r="AW141" i="10"/>
  <c r="T144" i="5"/>
  <c r="AV127" i="10"/>
  <c r="AV291" i="10"/>
  <c r="I107" i="5"/>
  <c r="AV80" i="10"/>
  <c r="U161" i="5"/>
  <c r="T153" i="5"/>
  <c r="AW62" i="10"/>
  <c r="T96" i="5"/>
  <c r="AV228" i="10"/>
  <c r="T89" i="5"/>
  <c r="Q109" i="58887"/>
  <c r="J76" i="5"/>
  <c r="O104" i="5"/>
  <c r="P88" i="5"/>
  <c r="Q8" i="58887"/>
  <c r="X88" i="5"/>
  <c r="S105" i="5"/>
  <c r="S186" i="5"/>
  <c r="AL162" i="10" a="1"/>
  <c r="AL162" i="10" s="1"/>
  <c r="AC162" i="10" a="1"/>
  <c r="AC162" i="10" s="1"/>
  <c r="AI162" i="10" a="1"/>
  <c r="AI162" i="10" s="1"/>
  <c r="B162" i="10"/>
  <c r="AB162" i="10" a="1"/>
  <c r="AB162" i="10" s="1"/>
  <c r="AM162" i="10" a="1"/>
  <c r="AM162" i="10" s="1"/>
  <c r="N162" i="10" a="1"/>
  <c r="N162" i="10" s="1"/>
  <c r="AE162" i="10" a="1"/>
  <c r="AE162" i="10" s="1"/>
  <c r="AK162" i="10" a="1"/>
  <c r="AK162" i="10" s="1"/>
  <c r="J162" i="10" a="1"/>
  <c r="J162" i="10" s="1"/>
  <c r="AD162" i="10" a="1"/>
  <c r="AD162" i="10" s="1"/>
  <c r="W162" i="10" a="1"/>
  <c r="W162" i="10" s="1"/>
  <c r="V162" i="10" a="1"/>
  <c r="V162" i="10" s="1"/>
  <c r="L162" i="10" a="1"/>
  <c r="L162" i="10" s="1"/>
  <c r="AF162" i="10" a="1"/>
  <c r="AF162" i="10" s="1"/>
  <c r="AA162" i="10" a="1"/>
  <c r="AA162" i="10" s="1"/>
  <c r="AJ162" i="10" a="1"/>
  <c r="AJ162" i="10" s="1"/>
  <c r="U162" i="10" a="1"/>
  <c r="U162" i="10" s="1"/>
  <c r="S162" i="10" a="1"/>
  <c r="S162" i="10" s="1"/>
  <c r="Y162" i="10" a="1"/>
  <c r="Y162" i="10" s="1"/>
  <c r="AP162" i="10" a="1"/>
  <c r="AP162" i="10" s="1"/>
  <c r="X162" i="10" a="1"/>
  <c r="X162" i="10" s="1"/>
  <c r="I162" i="10" a="1"/>
  <c r="I162" i="10" s="1"/>
  <c r="AG162" i="10" a="1"/>
  <c r="AG162" i="10" s="1"/>
  <c r="P162" i="10" a="1"/>
  <c r="P162" i="10" s="1"/>
  <c r="H162" i="10" a="1"/>
  <c r="H162" i="10" s="1"/>
  <c r="AH162" i="10" a="1"/>
  <c r="AH162" i="10" s="1"/>
  <c r="T162" i="10" a="1"/>
  <c r="T162" i="10" s="1"/>
  <c r="Q162" i="10" a="1"/>
  <c r="Q162" i="10" s="1"/>
  <c r="K162" i="10" a="1"/>
  <c r="K162" i="10" s="1"/>
  <c r="AO162" i="10" a="1"/>
  <c r="AO162" i="10" s="1"/>
  <c r="R162" i="10" a="1"/>
  <c r="R162" i="10" s="1"/>
  <c r="O162" i="10" a="1"/>
  <c r="O162" i="10" s="1"/>
  <c r="Z162" i="10" a="1"/>
  <c r="Z162" i="10" s="1"/>
  <c r="G162" i="10" a="1"/>
  <c r="G162" i="10" s="1"/>
  <c r="M162" i="10" a="1"/>
  <c r="M162" i="10" s="1"/>
  <c r="Y188" i="5"/>
  <c r="P134" i="5"/>
  <c r="DM211" i="58885"/>
  <c r="R184" i="5"/>
  <c r="J152" i="5"/>
  <c r="M158" i="5"/>
  <c r="T179" i="5"/>
  <c r="U117" i="5"/>
  <c r="L177" i="5"/>
  <c r="Y293" i="10"/>
  <c r="I135" i="5"/>
  <c r="Y178" i="5"/>
  <c r="V186" i="5"/>
  <c r="N164" i="5"/>
  <c r="O267" i="10"/>
  <c r="Q104" i="5"/>
  <c r="L115" i="5"/>
  <c r="AK297" i="10"/>
  <c r="X84" i="5"/>
  <c r="AW189" i="10"/>
  <c r="AW248" i="10"/>
  <c r="W150" i="5"/>
  <c r="AE3" i="10"/>
  <c r="O190" i="5"/>
  <c r="T165" i="5"/>
  <c r="AR149" i="10"/>
  <c r="S150" i="5"/>
  <c r="P4" i="37"/>
  <c r="L161" i="5"/>
  <c r="AI295" i="10"/>
  <c r="P124" i="5"/>
  <c r="M117" i="5"/>
  <c r="O112" i="5"/>
  <c r="K82" i="5"/>
  <c r="I120" i="58885"/>
  <c r="U72" i="5"/>
  <c r="X74" i="5"/>
  <c r="R174" i="5"/>
  <c r="Q87" i="58887"/>
  <c r="M172" i="5"/>
  <c r="S71" i="5"/>
  <c r="Y68" i="5"/>
  <c r="I191" i="58885"/>
  <c r="AQ3" i="10"/>
  <c r="T103" i="5"/>
  <c r="L179" i="5"/>
  <c r="M149" i="5"/>
  <c r="DO25" i="58885"/>
  <c r="AW223" i="10"/>
  <c r="O142" i="5"/>
  <c r="O93" i="5"/>
  <c r="J157" i="5"/>
  <c r="J67" i="5"/>
  <c r="AW209" i="10"/>
  <c r="W93" i="5"/>
  <c r="Q92" i="5"/>
  <c r="AI301" i="10"/>
  <c r="U73" i="5"/>
  <c r="AG267" i="10"/>
  <c r="DO90" i="58885"/>
  <c r="T88" i="5"/>
  <c r="U67" i="5"/>
  <c r="S115" i="5"/>
  <c r="AV232" i="10"/>
  <c r="BF7" i="58885"/>
  <c r="I196" i="58885"/>
  <c r="U133" i="5"/>
  <c r="T119" i="5"/>
  <c r="AV185" i="10"/>
  <c r="Q85" i="5"/>
  <c r="I192" i="5"/>
  <c r="DO64" i="58885"/>
  <c r="Q110" i="5"/>
  <c r="M79" i="5"/>
  <c r="Y60" i="5"/>
  <c r="L94" i="5"/>
  <c r="Q285" i="10"/>
  <c r="X122" i="5"/>
  <c r="DM248" i="58885"/>
  <c r="W128" i="5"/>
  <c r="AQ203" i="10"/>
  <c r="J4" i="37"/>
  <c r="V87" i="5"/>
  <c r="Q75" i="5"/>
  <c r="I252" i="58885"/>
  <c r="J295" i="10"/>
  <c r="W3" i="10"/>
  <c r="O275" i="10"/>
  <c r="L131" i="5"/>
  <c r="J85" i="5"/>
  <c r="W178" i="5"/>
  <c r="M118" i="5"/>
  <c r="Y155" i="5"/>
  <c r="N149" i="5"/>
  <c r="J118" i="5"/>
  <c r="W181" i="5"/>
  <c r="AK277" i="10"/>
  <c r="R78" i="5"/>
  <c r="X182" i="5"/>
  <c r="Q167" i="5"/>
  <c r="R191" i="5"/>
  <c r="K142" i="5"/>
  <c r="J171" i="5"/>
  <c r="S151" i="5"/>
  <c r="N147" i="5"/>
  <c r="U70" i="5"/>
  <c r="V154" i="5"/>
  <c r="W275" i="10"/>
  <c r="X104" i="5"/>
  <c r="V85" i="5"/>
  <c r="AW147" i="10"/>
  <c r="AV238" i="10"/>
  <c r="X293" i="10"/>
  <c r="L62" i="5"/>
  <c r="DO69" i="58885"/>
  <c r="O301" i="10"/>
  <c r="T165" i="10" a="1"/>
  <c r="T165" i="10" s="1"/>
  <c r="Z165" i="10" a="1"/>
  <c r="Z165" i="10" s="1"/>
  <c r="H165" i="10" a="1"/>
  <c r="H165" i="10" s="1"/>
  <c r="B165" i="10"/>
  <c r="AD165" i="10" a="1"/>
  <c r="AD165" i="10" s="1"/>
  <c r="J165" i="10" a="1"/>
  <c r="J165" i="10" s="1"/>
  <c r="DO19" i="58885"/>
  <c r="I69" i="5"/>
  <c r="AV260" i="10"/>
  <c r="Y287" i="10"/>
  <c r="B126" i="10"/>
  <c r="AL126" i="10" s="1" a="1"/>
  <c r="AL126" i="10" s="1"/>
  <c r="P126" i="10" a="1"/>
  <c r="P126" i="10" s="1"/>
  <c r="AD126" i="10" a="1"/>
  <c r="AD126" i="10" s="1"/>
  <c r="L126" i="10" a="1"/>
  <c r="L126" i="10" s="1"/>
  <c r="T126" i="10" a="1"/>
  <c r="T126" i="10" s="1"/>
  <c r="AI126" i="10" a="1"/>
  <c r="AI126" i="10" s="1"/>
  <c r="W126" i="10" a="1"/>
  <c r="W126" i="10" s="1"/>
  <c r="AK126" i="10" a="1"/>
  <c r="AK126" i="10" s="1"/>
  <c r="U126" i="10" a="1"/>
  <c r="U126" i="10" s="1"/>
  <c r="AO126" i="10" a="1"/>
  <c r="AO126" i="10" s="1"/>
  <c r="S126" i="10" a="1"/>
  <c r="S126" i="10" s="1"/>
  <c r="V126" i="10" a="1"/>
  <c r="V126" i="10" s="1"/>
  <c r="AH126" i="10" a="1"/>
  <c r="AH126" i="10" s="1"/>
  <c r="H126" i="10" a="1"/>
  <c r="H126" i="10" s="1"/>
  <c r="N126" i="10" a="1"/>
  <c r="N126" i="10" s="1"/>
  <c r="AJ126" i="10" a="1"/>
  <c r="AJ126" i="10" s="1"/>
  <c r="AN126" i="10" a="1"/>
  <c r="AN126" i="10" s="1"/>
  <c r="G126" i="10" a="1"/>
  <c r="G126" i="10" s="1"/>
  <c r="Q126" i="10" a="1"/>
  <c r="Q126" i="10" s="1"/>
  <c r="T147" i="5"/>
  <c r="R159" i="5"/>
  <c r="N112" i="5"/>
  <c r="T58" i="5"/>
  <c r="N141" i="5"/>
  <c r="V112" i="5"/>
  <c r="AO299" i="10"/>
  <c r="R111" i="5"/>
  <c r="AV5" i="10"/>
  <c r="L85" i="5"/>
  <c r="AV118" i="10"/>
  <c r="R137" i="5"/>
  <c r="AV280" i="10"/>
  <c r="V149" i="5"/>
  <c r="Q186" i="5"/>
  <c r="DM208" i="58885"/>
  <c r="T145" i="5"/>
  <c r="J122" i="5"/>
  <c r="W261" i="10"/>
  <c r="AE271" i="10"/>
  <c r="Q70" i="58887"/>
  <c r="K271" i="10"/>
  <c r="Y297" i="10"/>
  <c r="Q60" i="58887"/>
  <c r="O68" i="5"/>
  <c r="I164" i="5"/>
  <c r="P72" i="5"/>
  <c r="V121" i="5"/>
  <c r="T63" i="5"/>
  <c r="Y144" i="5"/>
  <c r="W125" i="5"/>
  <c r="J179" i="5"/>
  <c r="Q120" i="58887"/>
  <c r="Y190" i="5"/>
  <c r="AQ125" i="10"/>
  <c r="AR173" i="10"/>
  <c r="S116" i="5"/>
  <c r="P128" i="5"/>
  <c r="AO3" i="10"/>
  <c r="Y142" i="5"/>
  <c r="S76" i="5"/>
  <c r="AV304" i="10"/>
  <c r="S81" i="5"/>
  <c r="Q163" i="58887"/>
  <c r="L76" i="5"/>
  <c r="I113" i="5"/>
  <c r="AC195" i="10" a="1"/>
  <c r="AC195" i="10" s="1"/>
  <c r="W195" i="10" a="1"/>
  <c r="W195" i="10" s="1"/>
  <c r="B195" i="10"/>
  <c r="AK195" i="10" a="1"/>
  <c r="AK195" i="10" s="1"/>
  <c r="J194" i="5"/>
  <c r="R92" i="5"/>
  <c r="X154" i="5"/>
  <c r="Q61" i="5"/>
  <c r="O162" i="5"/>
  <c r="S91" i="5"/>
  <c r="N58" i="5"/>
  <c r="W120" i="5"/>
  <c r="AO289" i="10"/>
  <c r="S77" i="5"/>
  <c r="T293" i="10"/>
  <c r="R163" i="5"/>
  <c r="AI265" i="10"/>
  <c r="N83" i="5"/>
  <c r="V67" i="5"/>
  <c r="I214" i="58885"/>
  <c r="J145" i="5"/>
  <c r="T56" i="5"/>
  <c r="R301" i="10"/>
  <c r="I106" i="58885"/>
  <c r="N61" i="5"/>
  <c r="AV196" i="10"/>
  <c r="Q26" i="58887"/>
  <c r="DO91" i="58885"/>
  <c r="O184" i="5"/>
  <c r="DO37" i="58885"/>
  <c r="Q143" i="5"/>
  <c r="Q53" i="58887"/>
  <c r="V76" i="5"/>
  <c r="I144" i="5"/>
  <c r="I111" i="58885"/>
  <c r="P118" i="5"/>
  <c r="DM196" i="58885"/>
  <c r="AV247" i="10"/>
  <c r="V148" i="5"/>
  <c r="I108" i="5"/>
  <c r="I245" i="58885"/>
  <c r="AW162" i="10"/>
  <c r="Y59" i="5"/>
  <c r="S140" i="5"/>
  <c r="X147" i="5"/>
  <c r="M88" i="5"/>
  <c r="N138" i="5"/>
  <c r="Q185" i="5"/>
  <c r="R157" i="5"/>
  <c r="J130" i="5"/>
  <c r="U113" i="5"/>
  <c r="I102" i="5"/>
  <c r="AG289" i="10"/>
  <c r="R125" i="5"/>
  <c r="O95" i="5"/>
  <c r="DM210" i="58885"/>
  <c r="M295" i="10"/>
  <c r="AM289" i="10"/>
  <c r="AQ251" i="10"/>
  <c r="M94" i="5"/>
  <c r="AE265" i="10"/>
  <c r="Y289" i="10"/>
  <c r="Y279" i="10"/>
  <c r="AW183" i="10"/>
  <c r="DM215" i="58885"/>
  <c r="Q271" i="10"/>
  <c r="R94" i="5"/>
  <c r="AV197" i="10"/>
  <c r="Q57" i="5"/>
  <c r="AV69" i="10"/>
  <c r="AA279" i="10"/>
  <c r="Q138" i="5"/>
  <c r="R187" i="5"/>
  <c r="K124" i="5"/>
  <c r="Y171" i="5"/>
  <c r="AG265" i="10"/>
  <c r="Q37" i="58887"/>
  <c r="I233" i="58885"/>
  <c r="L183" i="5"/>
  <c r="AW204" i="10"/>
  <c r="W170" i="5"/>
  <c r="V120" i="5"/>
  <c r="L169" i="5"/>
  <c r="P68" i="5"/>
  <c r="AW181" i="10"/>
  <c r="I79" i="5"/>
  <c r="T72" i="5"/>
  <c r="J71" i="5"/>
  <c r="AB3" i="10"/>
  <c r="B240" i="10"/>
  <c r="J95" i="5"/>
  <c r="U155" i="5"/>
  <c r="Q102" i="58887"/>
  <c r="FP7" i="58885"/>
  <c r="I277" i="10"/>
  <c r="X124" i="5"/>
  <c r="N136" i="5"/>
  <c r="L92" i="5"/>
  <c r="I93" i="5"/>
  <c r="P116" i="5"/>
  <c r="Y79" i="5"/>
  <c r="S177" i="5"/>
  <c r="V60" i="5"/>
  <c r="AQ245" i="10"/>
  <c r="S183" i="5"/>
  <c r="X109" i="5"/>
  <c r="U128" i="5"/>
  <c r="AR239" i="10"/>
  <c r="AW208" i="10"/>
  <c r="AW157" i="10"/>
  <c r="M148" i="5"/>
  <c r="R72" i="5"/>
  <c r="AV143" i="10"/>
  <c r="K77" i="5"/>
  <c r="L144" i="5"/>
  <c r="M263" i="10"/>
  <c r="O117" i="5"/>
  <c r="AV160" i="10"/>
  <c r="R69" i="5"/>
  <c r="AW244" i="10"/>
  <c r="I293" i="10"/>
  <c r="J57" i="5"/>
  <c r="U118" i="5"/>
  <c r="W190" i="5"/>
  <c r="N100" i="5"/>
  <c r="P76" i="5"/>
  <c r="T193" i="5"/>
  <c r="U112" i="5"/>
  <c r="X81" i="5"/>
  <c r="M142" i="5"/>
  <c r="L141" i="5"/>
  <c r="AP3" i="10"/>
  <c r="AW165" i="10"/>
  <c r="AK301" i="10"/>
  <c r="Z3" i="10"/>
  <c r="W104" i="5"/>
  <c r="W96" i="5"/>
  <c r="I115" i="5"/>
  <c r="S291" i="10"/>
  <c r="DO36" i="58885"/>
  <c r="AC6" i="58887"/>
  <c r="W183" i="5"/>
  <c r="AQ128" i="10"/>
  <c r="I221" i="58885"/>
  <c r="Q106" i="5"/>
  <c r="Q98" i="58887"/>
  <c r="I156" i="5"/>
  <c r="R103" i="5"/>
  <c r="J191" i="5"/>
  <c r="P106" i="5"/>
  <c r="N115" i="5"/>
  <c r="Q63" i="58887"/>
  <c r="L70" i="5"/>
  <c r="AW119" i="10"/>
  <c r="DO5" i="58885"/>
  <c r="U180" i="5"/>
  <c r="M133" i="5"/>
  <c r="G297" i="10"/>
  <c r="K155" i="5"/>
  <c r="AV95" i="10"/>
  <c r="Q15" i="58887"/>
  <c r="J77" i="5"/>
  <c r="S141" i="5"/>
  <c r="DO11" i="58885"/>
  <c r="B207" i="10"/>
  <c r="W147" i="5"/>
  <c r="L174" i="5"/>
  <c r="Y271" i="10"/>
  <c r="AQ119" i="10"/>
  <c r="M177" i="5"/>
  <c r="Q182" i="5"/>
  <c r="O96" i="5"/>
  <c r="J124" i="5"/>
  <c r="J115" i="5"/>
  <c r="I66" i="5"/>
  <c r="I179" i="5"/>
  <c r="I275" i="10"/>
  <c r="AO295" i="10"/>
  <c r="AV124" i="10"/>
  <c r="S98" i="5"/>
  <c r="K178" i="5"/>
  <c r="X170" i="5"/>
  <c r="W171" i="5"/>
  <c r="AW234" i="10"/>
  <c r="I209" i="58885"/>
  <c r="W94" i="5"/>
  <c r="AW222" i="10"/>
  <c r="M140" i="5"/>
  <c r="P154" i="5"/>
  <c r="M71" i="5"/>
  <c r="T175" i="5"/>
  <c r="AW127" i="10"/>
  <c r="Q65" i="5"/>
  <c r="R141" i="5"/>
  <c r="X63" i="5"/>
  <c r="J149" i="5"/>
  <c r="AI261" i="10"/>
  <c r="Q44" i="58887"/>
  <c r="Q161" i="5"/>
  <c r="W108" i="5"/>
  <c r="AV93" i="10"/>
  <c r="AW118" i="10"/>
  <c r="O295" i="10"/>
  <c r="J166" i="5"/>
  <c r="K263" i="10"/>
  <c r="W297" i="10"/>
  <c r="Q181" i="5"/>
  <c r="W160" i="5"/>
  <c r="M74" i="5"/>
  <c r="AW237" i="10"/>
  <c r="O120" i="5"/>
  <c r="J301" i="10"/>
  <c r="Q79" i="58887"/>
  <c r="S106" i="5"/>
  <c r="K127" i="5"/>
  <c r="O137" i="5"/>
  <c r="V66" i="5"/>
  <c r="T112" i="5"/>
  <c r="S173" i="5"/>
  <c r="K183" i="5"/>
  <c r="I58" i="5"/>
  <c r="J140" i="5"/>
  <c r="O116" i="5"/>
  <c r="AA3" i="10"/>
  <c r="L72" i="5"/>
  <c r="R168" i="5"/>
  <c r="U81" i="5"/>
  <c r="X175" i="5"/>
  <c r="L178" i="5"/>
  <c r="K162" i="5"/>
  <c r="DO163" i="58885"/>
  <c r="I247" i="58885"/>
  <c r="M125" i="5"/>
  <c r="AC265" i="10"/>
  <c r="S277" i="10"/>
  <c r="AM283" i="10"/>
  <c r="K285" i="10"/>
  <c r="S92" i="5"/>
  <c r="P192" i="5"/>
  <c r="K190" i="5"/>
  <c r="U285" i="10"/>
  <c r="U183" i="5"/>
  <c r="V136" i="5"/>
  <c r="L57" i="5"/>
  <c r="AR245" i="10"/>
  <c r="N189" i="5"/>
  <c r="O97" i="5"/>
  <c r="U98" i="5"/>
  <c r="DO45" i="58885"/>
  <c r="J3" i="10"/>
  <c r="P161" i="5"/>
  <c r="Q56" i="58887"/>
  <c r="AW138" i="10"/>
  <c r="AV106" i="10"/>
  <c r="Q7" i="58887"/>
  <c r="J128" i="5"/>
  <c r="W117" i="5"/>
  <c r="AV211" i="10"/>
  <c r="DW7" i="58884"/>
  <c r="Q19" i="58887"/>
  <c r="O91" i="5"/>
  <c r="L89" i="5"/>
  <c r="AV257" i="10"/>
  <c r="W123" i="5"/>
  <c r="X162" i="5"/>
  <c r="S281" i="10"/>
  <c r="DO46" i="58885"/>
  <c r="I98" i="58885"/>
  <c r="W86" i="5"/>
  <c r="J189" i="5"/>
  <c r="P70" i="5"/>
  <c r="U61" i="5"/>
  <c r="I131" i="58885"/>
  <c r="Q47" i="58887"/>
  <c r="DO86" i="58885"/>
  <c r="K105" i="5"/>
  <c r="AV199" i="10"/>
  <c r="DO14" i="58885"/>
  <c r="G265" i="10"/>
  <c r="Q70" i="5"/>
  <c r="W130" i="5"/>
  <c r="N65" i="5"/>
  <c r="AN3" i="10"/>
  <c r="M105" i="5"/>
  <c r="AQ155" i="10"/>
  <c r="L86" i="5"/>
  <c r="AE261" i="10"/>
  <c r="AW159" i="10"/>
  <c r="Q293" i="10"/>
  <c r="DM243" i="58885"/>
  <c r="V96" i="5"/>
  <c r="AV72" i="10"/>
  <c r="V71" i="5"/>
  <c r="I231" i="58885"/>
  <c r="AV282" i="10"/>
  <c r="AD293" i="10"/>
  <c r="S83" i="5"/>
  <c r="AA291" i="10"/>
  <c r="AR212" i="10"/>
  <c r="P190" i="5"/>
  <c r="N156" i="5"/>
  <c r="AO291" i="10"/>
  <c r="AV62" i="10"/>
  <c r="AH293" i="10"/>
  <c r="I182" i="58885"/>
  <c r="X114" i="5"/>
  <c r="AM291" i="10"/>
  <c r="M107" i="5"/>
  <c r="P100" i="5"/>
  <c r="U283" i="10"/>
  <c r="R156" i="5"/>
  <c r="B3" i="10"/>
  <c r="I129" i="5"/>
  <c r="U76" i="5"/>
  <c r="K158" i="5"/>
  <c r="O111" i="5"/>
  <c r="P152" i="5"/>
  <c r="S149" i="5"/>
  <c r="I273" i="10"/>
  <c r="AK3" i="10"/>
  <c r="DO84" i="58885"/>
  <c r="V291" i="10"/>
  <c r="O291" i="10"/>
  <c r="T57" i="5"/>
  <c r="I141" i="5"/>
  <c r="L104" i="5"/>
  <c r="W169" i="5"/>
  <c r="AF3" i="10"/>
  <c r="AC301" i="10"/>
  <c r="N93" i="5"/>
  <c r="J107" i="5"/>
  <c r="J73" i="5"/>
  <c r="AK261" i="10"/>
  <c r="Y73" i="5"/>
  <c r="I188" i="5"/>
  <c r="V190" i="5"/>
  <c r="X66" i="5"/>
  <c r="Y4" i="37"/>
  <c r="M95" i="5"/>
  <c r="Y119" i="5"/>
  <c r="W64" i="5"/>
  <c r="AV281" i="10"/>
  <c r="DO73" i="58885"/>
  <c r="R93" i="5"/>
  <c r="I148" i="5"/>
  <c r="Z297" i="10"/>
  <c r="AQ206" i="10"/>
  <c r="T98" i="5"/>
  <c r="Q164" i="5"/>
  <c r="W84" i="5"/>
  <c r="AW164" i="10"/>
  <c r="I248" i="58885"/>
  <c r="P129" i="5"/>
  <c r="X149" i="5"/>
  <c r="DM221" i="58885"/>
  <c r="J72" i="5"/>
  <c r="T73" i="5"/>
  <c r="AW232" i="10"/>
  <c r="I271" i="10"/>
  <c r="W57" i="5"/>
  <c r="AV161" i="10"/>
  <c r="J173" i="5"/>
  <c r="DO72" i="58885"/>
  <c r="I177" i="5"/>
  <c r="DO23" i="58885"/>
  <c r="O177" i="5"/>
  <c r="U165" i="5"/>
  <c r="P73" i="5"/>
  <c r="DO166" i="58885"/>
  <c r="O66" i="5"/>
  <c r="B243" i="10"/>
  <c r="AA297" i="10"/>
  <c r="S84" i="5"/>
  <c r="P176" i="5"/>
  <c r="O171" i="5"/>
  <c r="M63" i="5"/>
  <c r="J81" i="5"/>
  <c r="AV292" i="10"/>
  <c r="L151" i="5"/>
  <c r="Q74" i="58887"/>
  <c r="P127" i="5"/>
  <c r="Q150" i="58887"/>
  <c r="J178" i="5"/>
  <c r="M287" i="10"/>
  <c r="V86" i="5"/>
  <c r="I63" i="5"/>
  <c r="AG285" i="10"/>
  <c r="W164" i="5"/>
  <c r="W110" i="5"/>
  <c r="X192" i="5"/>
  <c r="DO153" i="58885"/>
  <c r="Q189" i="5"/>
  <c r="X164" i="5"/>
  <c r="AW250" i="10"/>
  <c r="BO8" i="58887"/>
  <c r="O139" i="5"/>
  <c r="L299" i="10"/>
  <c r="S146" i="5"/>
  <c r="L297" i="10"/>
  <c r="O158" i="5"/>
  <c r="K287" i="10"/>
  <c r="H3" i="10"/>
  <c r="DO54" i="58885"/>
  <c r="AQ173" i="10"/>
  <c r="L82" i="5"/>
  <c r="I265" i="10"/>
  <c r="Q51" i="58887"/>
  <c r="J148" i="5"/>
  <c r="I109" i="58885"/>
  <c r="X193" i="5"/>
  <c r="AW173" i="10"/>
  <c r="I285" i="10"/>
  <c r="P83" i="5"/>
  <c r="Q157" i="58887"/>
  <c r="M151" i="5"/>
  <c r="Q72" i="58887"/>
  <c r="U172" i="5"/>
  <c r="J293" i="10"/>
  <c r="AW201" i="10"/>
  <c r="AW74" i="10"/>
  <c r="AW214" i="10"/>
  <c r="I170" i="5"/>
  <c r="I94" i="5"/>
  <c r="U87" i="5"/>
  <c r="AI287" i="10"/>
  <c r="I163" i="5"/>
  <c r="DM230" i="58885"/>
  <c r="V122" i="5"/>
  <c r="V119" i="5"/>
  <c r="AW242" i="10"/>
  <c r="AM297" i="10"/>
  <c r="K80" i="5"/>
  <c r="W97" i="5"/>
  <c r="V167" i="5"/>
  <c r="V194" i="5"/>
  <c r="L90" i="5"/>
  <c r="AM263" i="10"/>
  <c r="I189" i="58885"/>
  <c r="S107" i="5"/>
  <c r="W121" i="5"/>
  <c r="W59" i="5"/>
  <c r="Q267" i="10"/>
  <c r="AC263" i="10"/>
  <c r="Q160" i="5"/>
  <c r="V180" i="5"/>
  <c r="W281" i="10"/>
  <c r="O115" i="5"/>
  <c r="J58" i="5"/>
  <c r="L152" i="5"/>
  <c r="P85" i="5"/>
  <c r="N76" i="5"/>
  <c r="M73" i="5"/>
  <c r="AW240" i="10"/>
  <c r="X120" i="5"/>
  <c r="Q16" i="58887"/>
  <c r="K63" i="5"/>
  <c r="N57" i="5"/>
  <c r="X103" i="5"/>
  <c r="AB295" i="10"/>
  <c r="N186" i="5"/>
  <c r="AR137" i="10"/>
  <c r="AQ221" i="10"/>
  <c r="I107" i="58885"/>
  <c r="R145" i="5"/>
  <c r="I95" i="5"/>
  <c r="AG299" i="10"/>
  <c r="O299" i="10"/>
  <c r="G263" i="10"/>
  <c r="H301" i="10"/>
  <c r="I206" i="58885"/>
  <c r="X189" i="5"/>
  <c r="AV97" i="10"/>
  <c r="M103" i="5"/>
  <c r="N127" i="5"/>
  <c r="AP295" i="10"/>
  <c r="V185" i="5"/>
  <c r="W74" i="5"/>
  <c r="AQ248" i="10"/>
  <c r="Q165" i="5"/>
  <c r="L98" i="5"/>
  <c r="N178" i="5"/>
  <c r="I253" i="58885"/>
  <c r="S143" i="5"/>
  <c r="J74" i="5"/>
  <c r="I149" i="5"/>
  <c r="U279" i="10"/>
  <c r="W101" i="5"/>
  <c r="V297" i="10"/>
  <c r="DM224" i="58885"/>
  <c r="AW133" i="10"/>
  <c r="AV264" i="10"/>
  <c r="J180" i="5"/>
  <c r="AV287" i="10"/>
  <c r="I105" i="5"/>
  <c r="M90" i="5"/>
  <c r="Y291" i="10"/>
  <c r="AV77" i="10"/>
  <c r="Q157" i="5"/>
  <c r="P146" i="5"/>
  <c r="AA295" i="10"/>
  <c r="DO16" i="58885"/>
  <c r="K109" i="5"/>
  <c r="W188" i="5"/>
  <c r="V165" i="5"/>
  <c r="N177" i="5"/>
  <c r="Q98" i="5"/>
  <c r="G275" i="10"/>
  <c r="I101" i="58885"/>
  <c r="O166" i="5"/>
  <c r="L87" i="5"/>
  <c r="U293" i="10"/>
  <c r="N132" i="5"/>
  <c r="AW93" i="10"/>
  <c r="X301" i="10"/>
  <c r="X295" i="10"/>
  <c r="T116" i="5"/>
  <c r="M153" i="5"/>
  <c r="DO156" i="58885"/>
  <c r="N301" i="10"/>
  <c r="I123" i="5"/>
  <c r="R118" i="5"/>
  <c r="DW9" i="58884"/>
  <c r="DM195" i="58885"/>
  <c r="V80" i="5"/>
  <c r="Y283" i="10"/>
  <c r="AW126" i="10"/>
  <c r="O3" i="10"/>
  <c r="M89" i="5"/>
  <c r="AS3" i="10"/>
  <c r="DM234" i="58885"/>
  <c r="X145" i="5"/>
  <c r="X116" i="5"/>
  <c r="AV259" i="10"/>
  <c r="AV123" i="10"/>
  <c r="AO271" i="10"/>
  <c r="AQ242" i="10"/>
  <c r="Q110" i="58887"/>
  <c r="AA293" i="10"/>
  <c r="O76" i="5"/>
  <c r="W65" i="5"/>
  <c r="J138" i="5"/>
  <c r="J64" i="5"/>
  <c r="M279" i="10"/>
  <c r="M64" i="5"/>
  <c r="AO285" i="10"/>
  <c r="P103" i="5"/>
  <c r="S75" i="5"/>
  <c r="O151" i="5"/>
  <c r="Y158" i="5"/>
  <c r="I176" i="5"/>
  <c r="Q155" i="58887"/>
  <c r="AG277" i="10"/>
  <c r="AW226" i="10"/>
  <c r="S61" i="5"/>
  <c r="Q121" i="5"/>
  <c r="X159" i="5"/>
  <c r="W177" i="5"/>
  <c r="AV111" i="10"/>
  <c r="I97" i="5"/>
  <c r="R176" i="5"/>
  <c r="L63" i="5"/>
  <c r="K106" i="5"/>
  <c r="AV156" i="10"/>
  <c r="DO77" i="58885"/>
  <c r="R58" i="5"/>
  <c r="X111" i="5"/>
  <c r="Q134" i="5"/>
  <c r="R129" i="5"/>
  <c r="M261" i="10"/>
  <c r="DO92" i="58885"/>
  <c r="DO173" i="58885"/>
  <c r="T174" i="5"/>
  <c r="I108" i="58885"/>
  <c r="Y78" i="5"/>
  <c r="N172" i="5"/>
  <c r="L91" i="5"/>
  <c r="AH299" i="10"/>
  <c r="AV284" i="10"/>
  <c r="P59" i="5"/>
  <c r="X167" i="5"/>
  <c r="AG295" i="10"/>
  <c r="V73" i="5"/>
  <c r="B222" i="10"/>
  <c r="U85" i="5"/>
  <c r="AM285" i="10"/>
  <c r="Y125" i="5"/>
  <c r="R76" i="5"/>
  <c r="AJ4" i="58885"/>
  <c r="Q100" i="5"/>
  <c r="V102" i="5"/>
  <c r="I100" i="58885"/>
  <c r="AV279" i="10"/>
  <c r="AW75" i="10"/>
  <c r="S161" i="5"/>
  <c r="R73" i="5"/>
  <c r="W299" i="10"/>
  <c r="I110" i="5"/>
  <c r="N143" i="5"/>
  <c r="V161" i="5"/>
  <c r="AW205" i="10"/>
  <c r="O70" i="5"/>
  <c r="L77" i="5"/>
  <c r="S160" i="5"/>
  <c r="DM241" i="58885"/>
  <c r="I254" i="58885"/>
  <c r="AV302" i="10"/>
  <c r="K170" i="5"/>
  <c r="AV9" i="10"/>
  <c r="M65" i="5"/>
  <c r="AV187" i="10"/>
  <c r="T67" i="5"/>
  <c r="AQ140" i="10"/>
  <c r="L160" i="5"/>
  <c r="M147" i="5"/>
  <c r="B246" i="10"/>
  <c r="S129" i="5"/>
  <c r="Q150" i="5"/>
  <c r="N131" i="5"/>
  <c r="Y151" i="5"/>
  <c r="W68" i="5"/>
  <c r="P299" i="10"/>
  <c r="AW166" i="10"/>
  <c r="N4" i="37"/>
  <c r="I104" i="58885"/>
  <c r="Y189" i="5"/>
  <c r="T161" i="5"/>
  <c r="P90" i="5"/>
  <c r="K108" i="5"/>
  <c r="P3" i="10"/>
  <c r="AC297" i="10"/>
  <c r="AC281" i="10"/>
  <c r="AV308" i="10"/>
  <c r="AW73" i="10"/>
  <c r="R113" i="5"/>
  <c r="P174" i="5"/>
  <c r="DM197" i="58885"/>
  <c r="DO155" i="58885"/>
  <c r="Q140" i="5"/>
  <c r="T104" i="5"/>
  <c r="N104" i="5"/>
  <c r="X90" i="5"/>
  <c r="U57" i="5"/>
  <c r="S194" i="5"/>
  <c r="X100" i="5"/>
  <c r="N150" i="5"/>
  <c r="DO89" i="58885"/>
  <c r="S261" i="10"/>
  <c r="T152" i="5"/>
  <c r="V139" i="5"/>
  <c r="W85" i="5"/>
  <c r="K3" i="58853"/>
  <c r="Q77" i="58887"/>
  <c r="K81" i="5"/>
  <c r="L176" i="5"/>
  <c r="X150" i="5"/>
  <c r="L163" i="5"/>
  <c r="AV149" i="10"/>
  <c r="S301" i="10"/>
  <c r="M141" i="5"/>
  <c r="M77" i="5"/>
  <c r="R91" i="5"/>
  <c r="R130" i="5"/>
  <c r="L156" i="5"/>
  <c r="AV283" i="10"/>
  <c r="Q59" i="58887"/>
  <c r="DO167" i="58885"/>
  <c r="R150" i="5"/>
  <c r="V99" i="5"/>
  <c r="Q45" i="58887"/>
  <c r="R152" i="5"/>
  <c r="AV262" i="10"/>
  <c r="Q191" i="5"/>
  <c r="V293" i="10"/>
  <c r="I242" i="58885"/>
  <c r="N77" i="5"/>
  <c r="X128" i="5"/>
  <c r="P162" i="5"/>
  <c r="Q12" i="58887"/>
  <c r="W83" i="5"/>
  <c r="AQ191" i="10"/>
  <c r="DO161" i="58885"/>
  <c r="AV269" i="10"/>
  <c r="Q129" i="5"/>
  <c r="K100" i="5"/>
  <c r="I239" i="58885"/>
  <c r="U91" i="5"/>
  <c r="AW207" i="10"/>
  <c r="M186" i="5"/>
  <c r="AA273" i="10"/>
  <c r="AW220" i="10"/>
  <c r="AK265" i="10"/>
  <c r="DO57" i="58885"/>
  <c r="DM214" i="58885"/>
  <c r="J127" i="5"/>
  <c r="DO53" i="58885"/>
  <c r="K161" i="5"/>
  <c r="V156" i="5"/>
  <c r="L127" i="5"/>
  <c r="Q68" i="5"/>
  <c r="U138" i="10" a="1"/>
  <c r="U138" i="10" s="1"/>
  <c r="AM138" i="10" a="1"/>
  <c r="AM138" i="10" s="1"/>
  <c r="B138" i="10"/>
  <c r="AK138" i="10" a="1"/>
  <c r="AK138" i="10" s="1"/>
  <c r="O138" i="10" a="1"/>
  <c r="O138" i="10" s="1"/>
  <c r="Z138" i="10" a="1"/>
  <c r="Z138" i="10" s="1"/>
  <c r="AC138" i="10" a="1"/>
  <c r="AC138" i="10" s="1"/>
  <c r="AA138" i="10" a="1"/>
  <c r="AA138" i="10" s="1"/>
  <c r="M59" i="5"/>
  <c r="AW145" i="10"/>
  <c r="W265" i="10"/>
  <c r="Q24" i="58887"/>
  <c r="DM206" i="58885"/>
  <c r="Y111" i="5"/>
  <c r="AR203" i="10"/>
  <c r="P108" i="5"/>
  <c r="L97" i="5"/>
  <c r="AI277" i="10"/>
  <c r="M194" i="5"/>
  <c r="U104" i="5"/>
  <c r="L145" i="5"/>
  <c r="U115" i="5"/>
  <c r="V117" i="5"/>
  <c r="DW14" i="58884"/>
  <c r="Q114" i="5"/>
  <c r="I133" i="5"/>
  <c r="S273" i="10"/>
  <c r="P105" i="5"/>
  <c r="L136" i="5"/>
  <c r="AR3" i="10"/>
  <c r="L58" i="5"/>
  <c r="L108" i="5"/>
  <c r="W151" i="5"/>
  <c r="I67" i="5"/>
  <c r="Q173" i="5"/>
  <c r="I246" i="58885"/>
  <c r="T118" i="5"/>
  <c r="AI299" i="10"/>
  <c r="Y65" i="5"/>
  <c r="U69" i="5"/>
  <c r="S59" i="5"/>
  <c r="AW169" i="10"/>
  <c r="N133" i="5"/>
  <c r="Q22" i="58887"/>
  <c r="AO301" i="10"/>
  <c r="Y165" i="5"/>
  <c r="J112" i="5"/>
  <c r="Y83" i="5"/>
  <c r="M119" i="5"/>
  <c r="U56" i="5"/>
  <c r="AW82" i="10"/>
  <c r="AW63" i="10"/>
  <c r="AV246" i="10"/>
  <c r="T149" i="5"/>
  <c r="I140" i="58885"/>
  <c r="AV254" i="10"/>
  <c r="M85" i="5"/>
  <c r="S295" i="10"/>
  <c r="I61" i="5"/>
  <c r="T115" i="5"/>
  <c r="P193" i="5"/>
  <c r="N125" i="5"/>
  <c r="N146" i="5"/>
  <c r="I210" i="58885"/>
  <c r="AG287" i="10"/>
  <c r="AV270" i="10"/>
  <c r="L182" i="5"/>
  <c r="T117" i="5"/>
  <c r="L71" i="5"/>
  <c r="M58" i="5"/>
  <c r="U153" i="5"/>
  <c r="M291" i="10"/>
  <c r="AI267" i="10"/>
  <c r="Y153" i="5"/>
  <c r="AQ131" i="10"/>
  <c r="L122" i="5"/>
  <c r="M164" i="5"/>
  <c r="AV311" i="10"/>
  <c r="U62" i="5"/>
  <c r="AV114" i="10"/>
  <c r="I169" i="5"/>
  <c r="DO51" i="58885"/>
  <c r="K163" i="5"/>
  <c r="AA301" i="10"/>
  <c r="S147" i="5"/>
  <c r="Q50" i="58887"/>
  <c r="T173" i="5"/>
  <c r="P178" i="5"/>
  <c r="Y102" i="5"/>
  <c r="V140" i="5"/>
  <c r="L99" i="5"/>
  <c r="AV152" i="10"/>
  <c r="W189" i="5"/>
  <c r="O125" i="5"/>
  <c r="V56" i="5"/>
  <c r="Y113" i="5"/>
  <c r="DO17" i="58885"/>
  <c r="W285" i="10"/>
  <c r="DO27" i="58885"/>
  <c r="V163" i="5"/>
  <c r="K191" i="5"/>
  <c r="P92" i="5"/>
  <c r="T3" i="10"/>
  <c r="R57" i="5"/>
  <c r="AW188" i="10"/>
  <c r="Q141" i="5"/>
  <c r="N120" i="5"/>
  <c r="AV140" i="10"/>
  <c r="AR179" i="10"/>
  <c r="R122" i="5"/>
  <c r="U108" i="5"/>
  <c r="U83" i="5"/>
  <c r="N173" i="5"/>
  <c r="Q170" i="5"/>
  <c r="R127" i="5"/>
  <c r="L165" i="5"/>
  <c r="W187" i="5"/>
  <c r="J176" i="5"/>
  <c r="X146" i="5"/>
  <c r="Y56" i="5"/>
  <c r="AV101" i="10"/>
  <c r="Q101" i="58887"/>
  <c r="L301" i="10"/>
  <c r="AC291" i="10"/>
  <c r="T128" i="5"/>
  <c r="P159" i="5"/>
  <c r="AV4" i="10"/>
  <c r="Q90" i="5"/>
  <c r="Q66" i="58887"/>
  <c r="N181" i="5"/>
  <c r="U89" i="5"/>
  <c r="U95" i="5"/>
  <c r="M190" i="5"/>
  <c r="P64" i="5"/>
  <c r="X190" i="5"/>
  <c r="B237" i="10"/>
  <c r="AK285" i="10"/>
  <c r="AV242" i="10"/>
  <c r="U97" i="5"/>
  <c r="AG3" i="10"/>
  <c r="X183" i="5"/>
  <c r="J99" i="5"/>
  <c r="Q141" i="58887"/>
  <c r="J125" i="5"/>
  <c r="J133" i="5"/>
  <c r="AH297" i="10"/>
  <c r="N90" i="5"/>
  <c r="AV206" i="10"/>
  <c r="DW12" i="58884"/>
  <c r="W92" i="5"/>
  <c r="P147" i="5"/>
  <c r="Q93" i="58887"/>
  <c r="AN297" i="10"/>
  <c r="T164" i="5"/>
  <c r="K112" i="5"/>
  <c r="I113" i="58885"/>
  <c r="Q155" i="5"/>
  <c r="N139" i="5"/>
  <c r="Q158" i="58887"/>
  <c r="T151" i="5"/>
  <c r="I155" i="5"/>
  <c r="Q71" i="5"/>
  <c r="I301" i="10"/>
  <c r="AV148" i="10"/>
  <c r="R142" i="5"/>
  <c r="AM265" i="10"/>
  <c r="I117" i="5"/>
  <c r="U151" i="5"/>
  <c r="L105" i="5"/>
  <c r="T299" i="10"/>
  <c r="I289" i="10"/>
  <c r="K289" i="10"/>
  <c r="AV205" i="10"/>
  <c r="N176" i="5"/>
  <c r="AV128" i="10"/>
  <c r="B153" i="10"/>
  <c r="AD153" i="10" s="1" a="1"/>
  <c r="AD153" i="10" s="1"/>
  <c r="N153" i="10" a="1"/>
  <c r="N153" i="10" s="1"/>
  <c r="AO153" i="10" a="1"/>
  <c r="AO153" i="10" s="1"/>
  <c r="L153" i="10" a="1"/>
  <c r="L153" i="10" s="1"/>
  <c r="AC153" i="10" a="1"/>
  <c r="AC153" i="10" s="1"/>
  <c r="AM153" i="10" a="1"/>
  <c r="AM153" i="10" s="1"/>
  <c r="W153" i="10" a="1"/>
  <c r="W153" i="10" s="1"/>
  <c r="R153" i="10" a="1"/>
  <c r="R153" i="10" s="1"/>
  <c r="P153" i="10" a="1"/>
  <c r="P153" i="10" s="1"/>
  <c r="AJ153" i="10" a="1"/>
  <c r="AJ153" i="10" s="1"/>
  <c r="AL153" i="10" a="1"/>
  <c r="AL153" i="10" s="1"/>
  <c r="I189" i="5"/>
  <c r="R63" i="5"/>
  <c r="Q58" i="58887"/>
  <c r="Q142" i="5"/>
  <c r="AP293" i="10"/>
  <c r="P148" i="5"/>
  <c r="W293" i="10"/>
  <c r="U190" i="5"/>
  <c r="Q299" i="10"/>
  <c r="Y139" i="5"/>
  <c r="AQ230" i="10"/>
  <c r="Q96" i="58887"/>
  <c r="S97" i="5"/>
  <c r="W131" i="5"/>
  <c r="X60" i="5"/>
  <c r="AV173" i="10"/>
  <c r="K186" i="5"/>
  <c r="I126" i="5"/>
  <c r="W89" i="5"/>
  <c r="M283" i="10"/>
  <c r="P65" i="5"/>
  <c r="AL299" i="10"/>
  <c r="AW216" i="10"/>
  <c r="DO59" i="58885"/>
  <c r="V94" i="5"/>
  <c r="R88" i="5"/>
  <c r="DO80" i="58885"/>
  <c r="Y145" i="5"/>
  <c r="AG297" i="10"/>
  <c r="I138" i="5"/>
  <c r="Y80" i="5"/>
  <c r="L125" i="5"/>
  <c r="N188" i="5"/>
  <c r="J102" i="5"/>
  <c r="V105" i="5"/>
  <c r="P153" i="5"/>
  <c r="W62" i="5"/>
  <c r="L103" i="5"/>
  <c r="U181" i="5"/>
  <c r="I137" i="58885"/>
  <c r="S110" i="5"/>
  <c r="W156" i="5"/>
  <c r="R105" i="5"/>
  <c r="P149" i="5"/>
  <c r="AP150" i="10" a="1"/>
  <c r="AP150" i="10" s="1"/>
  <c r="M150" i="10" a="1"/>
  <c r="M150" i="10" s="1"/>
  <c r="B150" i="10"/>
  <c r="AO150" i="10" s="1" a="1"/>
  <c r="AO150" i="10" s="1"/>
  <c r="W150" i="10" a="1"/>
  <c r="W150" i="10" s="1"/>
  <c r="AL150" i="10" a="1"/>
  <c r="AL150" i="10" s="1"/>
  <c r="AI150" i="10" a="1"/>
  <c r="AI150" i="10" s="1"/>
  <c r="AK150" i="10" a="1"/>
  <c r="AK150" i="10" s="1"/>
  <c r="Y150" i="10" a="1"/>
  <c r="Y150" i="10" s="1"/>
  <c r="Q150" i="10" a="1"/>
  <c r="Q150" i="10" s="1"/>
  <c r="J150" i="10" a="1"/>
  <c r="J150" i="10" s="1"/>
  <c r="P150" i="10" a="1"/>
  <c r="P150" i="10" s="1"/>
  <c r="AC150" i="10" a="1"/>
  <c r="AC150" i="10" s="1"/>
  <c r="AF150" i="10" a="1"/>
  <c r="AF150" i="10" s="1"/>
  <c r="Y177" i="10" a="1"/>
  <c r="Y177" i="10" s="1"/>
  <c r="I177" i="10" a="1"/>
  <c r="I177" i="10" s="1"/>
  <c r="X177" i="10" a="1"/>
  <c r="X177" i="10" s="1"/>
  <c r="W177" i="10" a="1"/>
  <c r="W177" i="10" s="1"/>
  <c r="R177" i="10" a="1"/>
  <c r="R177" i="10" s="1"/>
  <c r="AG177" i="10" a="1"/>
  <c r="AG177" i="10" s="1"/>
  <c r="V177" i="10" a="1"/>
  <c r="V177" i="10" s="1"/>
  <c r="K177" i="10" a="1"/>
  <c r="K177" i="10" s="1"/>
  <c r="B177" i="10"/>
  <c r="G177" i="10" s="1" a="1"/>
  <c r="G177" i="10" s="1"/>
  <c r="N177" i="10" a="1"/>
  <c r="N177" i="10" s="1"/>
  <c r="AO177" i="10" a="1"/>
  <c r="AO177" i="10" s="1"/>
  <c r="U177" i="10" a="1"/>
  <c r="U177" i="10" s="1"/>
  <c r="AH177" i="10" a="1"/>
  <c r="AH177" i="10" s="1"/>
  <c r="AK299" i="10"/>
  <c r="AV178" i="10"/>
  <c r="R170" i="5"/>
  <c r="O159" i="5"/>
  <c r="AC192" i="10" a="1"/>
  <c r="AC192" i="10" s="1"/>
  <c r="AK192" i="10" a="1"/>
  <c r="AK192" i="10" s="1"/>
  <c r="AN192" i="10" a="1"/>
  <c r="AN192" i="10" s="1"/>
  <c r="Q192" i="10" a="1"/>
  <c r="Q192" i="10" s="1"/>
  <c r="I192" i="10" a="1"/>
  <c r="I192" i="10" s="1"/>
  <c r="U192" i="10" a="1"/>
  <c r="U192" i="10" s="1"/>
  <c r="J192" i="10" a="1"/>
  <c r="J192" i="10" s="1"/>
  <c r="AH192" i="10" a="1"/>
  <c r="AH192" i="10" s="1"/>
  <c r="M192" i="10" a="1"/>
  <c r="M192" i="10" s="1"/>
  <c r="AL192" i="10" a="1"/>
  <c r="AL192" i="10" s="1"/>
  <c r="W192" i="10" a="1"/>
  <c r="W192" i="10" s="1"/>
  <c r="AF192" i="10" a="1"/>
  <c r="AF192" i="10" s="1"/>
  <c r="S192" i="10" a="1"/>
  <c r="S192" i="10" s="1"/>
  <c r="K192" i="10" a="1"/>
  <c r="K192" i="10" s="1"/>
  <c r="R192" i="10" a="1"/>
  <c r="R192" i="10" s="1"/>
  <c r="L192" i="10" a="1"/>
  <c r="L192" i="10" s="1"/>
  <c r="N192" i="10" a="1"/>
  <c r="N192" i="10" s="1"/>
  <c r="B192" i="10"/>
  <c r="AM192" i="10" s="1" a="1"/>
  <c r="AM192" i="10" s="1"/>
  <c r="G192" i="10" a="1"/>
  <c r="G192" i="10" s="1"/>
  <c r="O192" i="10" a="1"/>
  <c r="O192" i="10" s="1"/>
  <c r="H192" i="10" a="1"/>
  <c r="H192" i="10" s="1"/>
  <c r="AP192" i="10" a="1"/>
  <c r="AP192" i="10" s="1"/>
  <c r="Y192" i="10" a="1"/>
  <c r="Y192" i="10" s="1"/>
  <c r="AD192" i="10" a="1"/>
  <c r="AD192" i="10" s="1"/>
  <c r="Z192" i="10" a="1"/>
  <c r="Z192" i="10" s="1"/>
  <c r="P192" i="10" a="1"/>
  <c r="P192" i="10" s="1"/>
  <c r="O130" i="5"/>
  <c r="Q145" i="5"/>
  <c r="AW167" i="10"/>
  <c r="AC289" i="10"/>
  <c r="O194" i="5"/>
  <c r="M101" i="5"/>
  <c r="AW71" i="10"/>
  <c r="R178" i="5"/>
  <c r="S67" i="5"/>
  <c r="AM287" i="10"/>
  <c r="AW206" i="10"/>
  <c r="N299" i="10"/>
  <c r="P301" i="10"/>
  <c r="G277" i="10"/>
  <c r="DO179" i="58885"/>
  <c r="AI297" i="10"/>
  <c r="I65" i="5"/>
  <c r="I121" i="58885"/>
  <c r="V95" i="5"/>
  <c r="I114" i="58885"/>
  <c r="N81" i="5"/>
  <c r="U68" i="5"/>
  <c r="Y57" i="5"/>
  <c r="I119" i="5"/>
  <c r="AV70" i="10"/>
  <c r="N89" i="5"/>
  <c r="N171" i="5"/>
  <c r="DM193" i="58885"/>
  <c r="Q83" i="5"/>
  <c r="AA287" i="10"/>
  <c r="M86" i="5"/>
  <c r="Q168" i="5"/>
  <c r="M68" i="5"/>
  <c r="U144" i="5"/>
  <c r="K149" i="5"/>
  <c r="Y140" i="5"/>
  <c r="I130" i="5"/>
  <c r="W119" i="5"/>
  <c r="AC273" i="10"/>
  <c r="P109" i="5"/>
  <c r="J144" i="5"/>
  <c r="Q55" i="5"/>
  <c r="AW60" i="10"/>
  <c r="N144" i="10" a="1"/>
  <c r="N144" i="10" s="1"/>
  <c r="P144" i="10" a="1"/>
  <c r="P144" i="10" s="1"/>
  <c r="AL144" i="10" a="1"/>
  <c r="AL144" i="10" s="1"/>
  <c r="B144" i="10"/>
  <c r="T144" i="10" s="1" a="1"/>
  <c r="T144" i="10" s="1"/>
  <c r="AA144" i="10" a="1"/>
  <c r="AA144" i="10" s="1"/>
  <c r="AH144" i="10" a="1"/>
  <c r="AH144" i="10" s="1"/>
  <c r="R144" i="10" a="1"/>
  <c r="R144" i="10" s="1"/>
  <c r="G144" i="10" a="1"/>
  <c r="G144" i="10" s="1"/>
  <c r="J144" i="10" a="1"/>
  <c r="J144" i="10" s="1"/>
  <c r="O144" i="10" a="1"/>
  <c r="O144" i="10" s="1"/>
  <c r="I91" i="5"/>
  <c r="R107" i="5"/>
  <c r="P171" i="5"/>
  <c r="Q81" i="58887"/>
  <c r="M3" i="10"/>
  <c r="U134" i="5"/>
  <c r="Q124" i="5"/>
  <c r="U261" i="10"/>
  <c r="X155" i="5"/>
  <c r="AB297" i="10"/>
  <c r="AV286" i="10"/>
  <c r="AR119" i="10"/>
  <c r="Q69" i="58887"/>
  <c r="DO58" i="58885"/>
  <c r="J78" i="5"/>
  <c r="Q263" i="10"/>
  <c r="DM222" i="58885"/>
  <c r="X194" i="5"/>
  <c r="I182" i="5"/>
  <c r="AM267" i="10"/>
  <c r="AV137" i="10"/>
  <c r="Y136" i="5"/>
  <c r="K92" i="5"/>
  <c r="N71" i="5"/>
  <c r="O89" i="5"/>
  <c r="AV244" i="10"/>
  <c r="R67" i="5"/>
  <c r="J92" i="5"/>
  <c r="Q61" i="58887"/>
  <c r="AF291" i="10"/>
  <c r="T186" i="5"/>
  <c r="K174" i="5"/>
  <c r="AW238" i="10"/>
  <c r="Q152" i="5"/>
  <c r="AV184" i="10"/>
  <c r="AR215" i="10"/>
  <c r="DO151" i="58885"/>
  <c r="I193" i="58885"/>
  <c r="M137" i="5"/>
  <c r="Q64" i="58887"/>
  <c r="N128" i="5"/>
  <c r="AK269" i="10"/>
  <c r="I243" i="58885"/>
  <c r="AM269" i="10"/>
  <c r="K74" i="5"/>
  <c r="O285" i="10"/>
  <c r="AV189" i="10"/>
  <c r="AV138" i="10"/>
  <c r="X95" i="5"/>
  <c r="L111" i="5"/>
  <c r="Q99" i="5"/>
  <c r="R166" i="5"/>
  <c r="AP297" i="10"/>
  <c r="I140" i="5"/>
  <c r="AV314" i="10"/>
  <c r="W55" i="5"/>
  <c r="AQ179" i="10"/>
  <c r="P69" i="5"/>
  <c r="S265" i="10"/>
  <c r="T187" i="5"/>
  <c r="AV223" i="10"/>
  <c r="K126" i="5"/>
  <c r="AV220" i="10"/>
  <c r="AV74" i="10"/>
  <c r="O189" i="5"/>
  <c r="S128" i="5"/>
  <c r="K87" i="5"/>
  <c r="Q139" i="58887"/>
  <c r="O113" i="5"/>
  <c r="J150" i="5"/>
  <c r="Q75" i="58887"/>
  <c r="L113" i="5"/>
  <c r="M82" i="5"/>
  <c r="K131" i="5"/>
  <c r="V70" i="5"/>
  <c r="I129" i="58885"/>
  <c r="R87" i="5"/>
  <c r="S70" i="5"/>
  <c r="Y84" i="5"/>
  <c r="I219" i="58885"/>
  <c r="Y98" i="5"/>
  <c r="U173" i="5"/>
  <c r="AW129" i="10"/>
  <c r="DM212" i="58885"/>
  <c r="AW196" i="10"/>
  <c r="DM231" i="58885"/>
  <c r="AW241" i="10"/>
  <c r="V61" i="5"/>
  <c r="X135" i="5"/>
  <c r="I109" i="5"/>
  <c r="AV192" i="10"/>
  <c r="S69" i="5"/>
  <c r="W105" i="5"/>
  <c r="I197" i="58885"/>
  <c r="O145" i="5"/>
  <c r="AV230" i="10"/>
  <c r="T64" i="5"/>
  <c r="V299" i="10"/>
  <c r="AV169" i="10"/>
  <c r="B210" i="10"/>
  <c r="P188" i="5"/>
  <c r="DO63" i="58885"/>
  <c r="W142" i="5"/>
  <c r="B225" i="10"/>
  <c r="L189" i="5"/>
  <c r="AV63" i="10"/>
  <c r="I186" i="58885"/>
  <c r="Q79" i="5"/>
  <c r="X125" i="5"/>
  <c r="AV73" i="10"/>
  <c r="AE277" i="10"/>
  <c r="Q76" i="5"/>
  <c r="T139" i="5"/>
  <c r="K265" i="10"/>
  <c r="AJ301" i="10"/>
  <c r="O126" i="5"/>
  <c r="AV66" i="10"/>
  <c r="AB291" i="10"/>
  <c r="T194" i="5"/>
  <c r="AH3" i="10"/>
  <c r="W163" i="5"/>
  <c r="B219" i="10"/>
  <c r="AV243" i="10"/>
  <c r="P55" i="5"/>
  <c r="U275" i="10"/>
  <c r="S190" i="5"/>
  <c r="DW16" i="58884"/>
  <c r="I151" i="5"/>
  <c r="Y114" i="5"/>
  <c r="W271" i="10"/>
  <c r="P119" i="5"/>
  <c r="W279" i="10"/>
  <c r="U281" i="10"/>
  <c r="R151" i="5"/>
  <c r="O287" i="10"/>
  <c r="Q291" i="10"/>
  <c r="M60" i="5"/>
  <c r="O81" i="5"/>
  <c r="AV120" i="10"/>
  <c r="AC285" i="10"/>
  <c r="N184" i="5"/>
  <c r="J88" i="5"/>
  <c r="AO297" i="10"/>
  <c r="K135" i="5"/>
  <c r="U150" i="5"/>
  <c r="W153" i="5"/>
  <c r="L181" i="5"/>
  <c r="P113" i="5"/>
  <c r="M83" i="5"/>
  <c r="AF301" i="10"/>
  <c r="S124" i="5"/>
  <c r="AR221" i="10"/>
  <c r="DM242" i="58885"/>
  <c r="T109" i="5"/>
  <c r="R136" i="5"/>
  <c r="AE301" i="10"/>
  <c r="T143" i="5"/>
  <c r="I216" i="58885"/>
  <c r="P151" i="5"/>
  <c r="J156" i="5"/>
  <c r="U143" i="5"/>
  <c r="Q139" i="5"/>
  <c r="AV273" i="10"/>
  <c r="R119" i="5"/>
  <c r="V174" i="10" a="1"/>
  <c r="V174" i="10" s="1"/>
  <c r="AA174" i="10" a="1"/>
  <c r="AA174" i="10" s="1"/>
  <c r="O174" i="10" a="1"/>
  <c r="O174" i="10" s="1"/>
  <c r="P174" i="10" a="1"/>
  <c r="P174" i="10" s="1"/>
  <c r="AC174" i="10" a="1"/>
  <c r="AC174" i="10" s="1"/>
  <c r="T174" i="10" a="1"/>
  <c r="T174" i="10" s="1"/>
  <c r="U174" i="10" a="1"/>
  <c r="U174" i="10" s="1"/>
  <c r="AM174" i="10" a="1"/>
  <c r="AM174" i="10" s="1"/>
  <c r="B174" i="10"/>
  <c r="G174" i="10" a="1"/>
  <c r="G174" i="10" s="1"/>
  <c r="Q174" i="10" a="1"/>
  <c r="Q174" i="10" s="1"/>
  <c r="AN174" i="10" a="1"/>
  <c r="AN174" i="10" s="1"/>
  <c r="AJ174" i="10" a="1"/>
  <c r="AJ174" i="10" s="1"/>
  <c r="AP174" i="10" a="1"/>
  <c r="AP174" i="10" s="1"/>
  <c r="K174" i="10" a="1"/>
  <c r="K174" i="10" s="1"/>
  <c r="I174" i="10" a="1"/>
  <c r="I174" i="10" s="1"/>
  <c r="AI174" i="10" a="1"/>
  <c r="AI174" i="10" s="1"/>
  <c r="W174" i="10" a="1"/>
  <c r="W174" i="10" s="1"/>
  <c r="AD174" i="10" a="1"/>
  <c r="AD174" i="10" s="1"/>
  <c r="Y128" i="5"/>
  <c r="AV218" i="10"/>
  <c r="AD295" i="10"/>
  <c r="U194" i="5"/>
  <c r="P177" i="5"/>
  <c r="AV219" i="10"/>
  <c r="S289" i="10"/>
  <c r="O179" i="5"/>
  <c r="S189" i="5"/>
  <c r="U148" i="5"/>
  <c r="L191" i="5"/>
  <c r="AW130" i="10"/>
  <c r="AK283" i="10"/>
  <c r="M109" i="5"/>
  <c r="AW184" i="10"/>
  <c r="I232" i="58885"/>
  <c r="AV208" i="10"/>
  <c r="V191" i="5"/>
  <c r="AJ293" i="10"/>
  <c r="P139" i="5"/>
  <c r="S66" i="5"/>
  <c r="I112" i="5"/>
  <c r="AQ122" i="10"/>
  <c r="AK295" i="10"/>
  <c r="M138" i="5"/>
  <c r="E3" i="10"/>
  <c r="K187" i="5"/>
  <c r="Y299" i="10"/>
  <c r="N130" i="5"/>
  <c r="X94" i="5"/>
  <c r="AV168" i="10"/>
  <c r="O164" i="5"/>
  <c r="Q130" i="5"/>
  <c r="K151" i="5"/>
  <c r="M131" i="5"/>
  <c r="I116" i="58885"/>
  <c r="K62" i="5"/>
  <c r="M168" i="5"/>
  <c r="T167" i="5"/>
  <c r="Q151" i="5"/>
  <c r="W137" i="5"/>
  <c r="U3" i="10"/>
  <c r="N119" i="5"/>
  <c r="AV303" i="10"/>
  <c r="Z293" i="10"/>
  <c r="T148" i="5"/>
  <c r="J161" i="5"/>
  <c r="K168" i="5"/>
  <c r="T126" i="5"/>
  <c r="AV147" i="10"/>
  <c r="J117" i="10" a="1"/>
  <c r="J117" i="10" s="1"/>
  <c r="B117" i="10"/>
  <c r="V117" i="10" s="1" a="1"/>
  <c r="V117" i="10" s="1"/>
  <c r="P117" i="10" a="1"/>
  <c r="P117" i="10" s="1"/>
  <c r="I117" i="10" a="1"/>
  <c r="I117" i="10" s="1"/>
  <c r="J186" i="5"/>
  <c r="AO293" i="10"/>
  <c r="S163" i="5"/>
  <c r="AV177" i="10"/>
  <c r="S158" i="5"/>
  <c r="M96" i="5"/>
  <c r="I211" i="58885"/>
  <c r="AV115" i="10"/>
  <c r="AV249" i="10"/>
  <c r="AK275" i="10"/>
  <c r="AL293" i="10"/>
  <c r="S167" i="5"/>
  <c r="M143" i="5"/>
  <c r="K194" i="5"/>
  <c r="R133" i="5"/>
  <c r="O140" i="5"/>
  <c r="D3" i="10"/>
  <c r="AR197" i="10"/>
  <c r="AV198" i="10"/>
  <c r="AO261" i="10"/>
  <c r="I57" i="5"/>
  <c r="I76" i="5"/>
  <c r="DM186" i="58885"/>
  <c r="M277" i="10"/>
  <c r="R194" i="5"/>
  <c r="R143" i="5"/>
  <c r="Y138" i="5"/>
  <c r="Q96" i="5"/>
  <c r="I86" i="5"/>
  <c r="T91" i="5"/>
  <c r="O263" i="10"/>
  <c r="DO150" i="58885"/>
  <c r="AC299" i="10"/>
  <c r="B132" i="10"/>
  <c r="AG132" i="10" s="1" a="1"/>
  <c r="AG132" i="10" s="1"/>
  <c r="X132" i="10" a="1"/>
  <c r="X132" i="10" s="1"/>
  <c r="AH132" i="10" a="1"/>
  <c r="AH132" i="10" s="1"/>
  <c r="T132" i="10" a="1"/>
  <c r="T132" i="10" s="1"/>
  <c r="AK132" i="10" a="1"/>
  <c r="AK132" i="10" s="1"/>
  <c r="W132" i="10" a="1"/>
  <c r="W132" i="10" s="1"/>
  <c r="L132" i="10" a="1"/>
  <c r="L132" i="10" s="1"/>
  <c r="AK293" i="10"/>
  <c r="V168" i="5"/>
  <c r="V166" i="5"/>
  <c r="S134" i="5"/>
  <c r="DM223" i="58885"/>
  <c r="R131" i="5"/>
  <c r="J182" i="5"/>
  <c r="DW6" i="58884"/>
  <c r="O118" i="5"/>
  <c r="AG261" i="10"/>
  <c r="J175" i="5"/>
  <c r="DO21" i="58885"/>
  <c r="AP299" i="10"/>
  <c r="X180" i="5"/>
  <c r="T171" i="5"/>
  <c r="Q82" i="58887"/>
  <c r="R108" i="5"/>
  <c r="U82" i="5"/>
  <c r="Y104" i="5"/>
  <c r="J62" i="5"/>
  <c r="P110" i="5"/>
  <c r="R86" i="5"/>
  <c r="I202" i="58885"/>
  <c r="U131" i="5"/>
  <c r="K184" i="5"/>
  <c r="J143" i="5"/>
  <c r="Q54" i="58887"/>
  <c r="W129" i="5"/>
  <c r="DO67" i="58885"/>
  <c r="Q102" i="5"/>
  <c r="K148" i="5"/>
  <c r="Y61" i="5"/>
  <c r="M184" i="5"/>
  <c r="V131" i="5"/>
  <c r="Q112" i="5"/>
  <c r="DM247" i="58885"/>
  <c r="AR200" i="10"/>
  <c r="N98" i="5"/>
  <c r="AV241" i="10"/>
  <c r="U189" i="5"/>
  <c r="N59" i="5"/>
  <c r="V91" i="5"/>
  <c r="Q73" i="5"/>
  <c r="I227" i="58885"/>
  <c r="R60" i="5"/>
  <c r="P79" i="5"/>
  <c r="AW197" i="10"/>
  <c r="R112" i="5"/>
  <c r="AW160" i="10"/>
  <c r="O149" i="5"/>
  <c r="X115" i="5"/>
  <c r="AQ224" i="10"/>
  <c r="AW193" i="10"/>
  <c r="M301" i="10"/>
  <c r="M66" i="5"/>
  <c r="X106" i="5"/>
  <c r="AW235" i="10"/>
  <c r="O69" i="5"/>
  <c r="Y115" i="5"/>
  <c r="O59" i="5"/>
  <c r="AE275" i="10"/>
  <c r="N140" i="5"/>
  <c r="O174" i="5"/>
  <c r="J105" i="5"/>
  <c r="L59" i="5"/>
  <c r="O163" i="5"/>
  <c r="W76" i="5"/>
  <c r="K143" i="5"/>
  <c r="W63" i="5"/>
  <c r="I3" i="10"/>
  <c r="O107" i="5"/>
  <c r="X166" i="5"/>
  <c r="AR218" i="10"/>
  <c r="M297" i="10"/>
  <c r="W106" i="5"/>
  <c r="P137" i="5"/>
  <c r="DO82" i="58885"/>
  <c r="K96" i="5"/>
  <c r="J96" i="5"/>
  <c r="DO48" i="58885"/>
  <c r="R68" i="5"/>
  <c r="S297" i="10"/>
  <c r="N68" i="5"/>
  <c r="U157" i="5"/>
  <c r="W145" i="5"/>
  <c r="O57" i="5"/>
  <c r="DM209" i="58885"/>
  <c r="J192" i="5"/>
  <c r="S299" i="10"/>
  <c r="R295" i="10"/>
  <c r="B186" i="10"/>
  <c r="AM186" i="10" s="1" a="1"/>
  <c r="AM186" i="10" s="1"/>
  <c r="U186" i="10" a="1"/>
  <c r="U186" i="10" s="1"/>
  <c r="H186" i="10" a="1"/>
  <c r="H186" i="10" s="1"/>
  <c r="AP186" i="10" a="1"/>
  <c r="AP186" i="10" s="1"/>
  <c r="AO186" i="10" a="1"/>
  <c r="AO186" i="10" s="1"/>
  <c r="K186" i="10" a="1"/>
  <c r="K186" i="10" s="1"/>
  <c r="AJ186" i="10" a="1"/>
  <c r="AJ186" i="10" s="1"/>
  <c r="AG186" i="10" a="1"/>
  <c r="AG186" i="10" s="1"/>
  <c r="AL186" i="10" a="1"/>
  <c r="AL186" i="10" s="1"/>
  <c r="O186" i="10" a="1"/>
  <c r="O186" i="10" s="1"/>
  <c r="AN186" i="10" a="1"/>
  <c r="AN186" i="10" s="1"/>
  <c r="Q186" i="10" a="1"/>
  <c r="Q186" i="10" s="1"/>
  <c r="T186" i="10" a="1"/>
  <c r="T186" i="10" s="1"/>
  <c r="S186" i="10" a="1"/>
  <c r="S186" i="10" s="1"/>
  <c r="R186" i="10" a="1"/>
  <c r="R186" i="10" s="1"/>
  <c r="V186" i="10" a="1"/>
  <c r="V186" i="10" s="1"/>
  <c r="N186" i="10" a="1"/>
  <c r="N186" i="10" s="1"/>
  <c r="AI186" i="10" a="1"/>
  <c r="AI186" i="10" s="1"/>
  <c r="W66" i="5"/>
  <c r="J177" i="5"/>
  <c r="P123" i="5"/>
  <c r="Q68" i="58887"/>
  <c r="DO147" i="58885"/>
  <c r="J117" i="5"/>
  <c r="Q101" i="5"/>
  <c r="AV174" i="10"/>
  <c r="Y109" i="5"/>
  <c r="W114" i="5"/>
  <c r="X171" i="5"/>
  <c r="U295" i="10"/>
  <c r="S159" i="5"/>
  <c r="Y62" i="5"/>
  <c r="V157" i="5"/>
  <c r="AW140" i="10"/>
  <c r="AQ233" i="10"/>
  <c r="K122" i="5"/>
  <c r="P122" i="5"/>
  <c r="Q108" i="58887"/>
  <c r="X134" i="5"/>
  <c r="DO6" i="58885"/>
  <c r="V126" i="5"/>
  <c r="AW79" i="10"/>
  <c r="J174" i="5"/>
  <c r="Q86" i="58887"/>
  <c r="G283" i="10"/>
  <c r="AO267" i="10"/>
  <c r="K134" i="5"/>
  <c r="I201" i="58885"/>
  <c r="AV263" i="10"/>
  <c r="K281" i="10"/>
  <c r="O156" i="5"/>
  <c r="I68" i="5"/>
  <c r="AW246" i="10"/>
  <c r="Q193" i="5"/>
  <c r="N185" i="5"/>
  <c r="AI289" i="10"/>
  <c r="AM273" i="10"/>
  <c r="S142" i="5"/>
  <c r="X148" i="5"/>
  <c r="I127" i="5"/>
  <c r="AV139" i="10"/>
  <c r="Q85" i="58887"/>
  <c r="U88" i="5"/>
  <c r="DO44" i="58885"/>
  <c r="T154" i="5"/>
  <c r="AV221" i="10"/>
  <c r="P121" i="5"/>
  <c r="M150" i="5"/>
  <c r="AD301" i="10"/>
  <c r="AV272" i="10"/>
  <c r="AV117" i="10"/>
  <c r="N291" i="10"/>
  <c r="X163" i="5"/>
  <c r="AW211" i="10"/>
  <c r="I98" i="5"/>
  <c r="V295" i="10"/>
  <c r="W58" i="5"/>
  <c r="DM200" i="58885"/>
  <c r="Q137" i="58887"/>
  <c r="AW178" i="10"/>
  <c r="N3" i="10"/>
  <c r="V127" i="5"/>
  <c r="AR206" i="10"/>
  <c r="L128" i="5"/>
  <c r="X185" i="5"/>
  <c r="I234" i="58885"/>
  <c r="Y3" i="10"/>
  <c r="I96" i="5"/>
  <c r="AV201" i="10"/>
  <c r="AI285" i="10"/>
  <c r="AV104" i="10"/>
  <c r="Y143" i="5"/>
  <c r="O281" i="10"/>
  <c r="N92" i="5"/>
  <c r="U269" i="10"/>
  <c r="N162" i="5"/>
  <c r="Y176" i="5"/>
  <c r="AP6" i="58885"/>
  <c r="I92" i="5"/>
  <c r="AA289" i="10"/>
  <c r="T59" i="5"/>
  <c r="Y174" i="5"/>
  <c r="J139" i="5"/>
  <c r="R61" i="5"/>
  <c r="Q67" i="58887"/>
  <c r="AW125" i="10"/>
  <c r="S82" i="5"/>
  <c r="K261" i="10"/>
  <c r="M110" i="5"/>
  <c r="AW117" i="10"/>
  <c r="I281" i="10"/>
  <c r="Q123" i="5"/>
  <c r="AW154" i="10"/>
  <c r="Y85" i="5"/>
  <c r="AW239" i="10"/>
  <c r="U86" i="5"/>
  <c r="AD297" i="10"/>
  <c r="AE297" i="10"/>
  <c r="T130" i="5"/>
  <c r="AV214" i="10"/>
  <c r="AI273" i="10"/>
  <c r="DO168" i="58885"/>
  <c r="J113" i="5"/>
  <c r="X70" i="5"/>
  <c r="I146" i="5"/>
  <c r="Y137" i="5"/>
  <c r="W174" i="5"/>
  <c r="N103" i="5"/>
  <c r="DM184" i="58885"/>
  <c r="O106" i="5"/>
  <c r="M78" i="5"/>
  <c r="W295" i="10"/>
  <c r="Y130" i="5"/>
  <c r="S113" i="5"/>
  <c r="DO12" i="58885"/>
  <c r="W154" i="5"/>
  <c r="Y67" i="5"/>
  <c r="R90" i="5"/>
  <c r="T79" i="5"/>
  <c r="N183" i="5"/>
  <c r="AV307" i="10"/>
  <c r="L74" i="5"/>
  <c r="M188" i="5"/>
  <c r="P157" i="5"/>
  <c r="L175" i="5"/>
  <c r="AV231" i="10"/>
  <c r="U291" i="10"/>
  <c r="W139" i="5"/>
  <c r="O279" i="10"/>
  <c r="P66" i="5"/>
  <c r="AV100" i="10"/>
  <c r="T158" i="5"/>
  <c r="AW120" i="10"/>
  <c r="T90" i="5"/>
  <c r="O271" i="10"/>
  <c r="AV299" i="10"/>
  <c r="L3" i="10"/>
  <c r="AV277" i="10"/>
  <c r="Y97" i="5"/>
  <c r="X112" i="5"/>
  <c r="T176" i="5"/>
  <c r="S279" i="10"/>
  <c r="AW70" i="10"/>
  <c r="V72" i="5"/>
  <c r="U142" i="5"/>
  <c r="K176" i="5"/>
  <c r="M130" i="5"/>
  <c r="M275" i="10"/>
  <c r="M113" i="5"/>
  <c r="V147" i="5"/>
  <c r="V189" i="5"/>
  <c r="Q134" i="58887"/>
  <c r="U94" i="5"/>
  <c r="S122" i="5"/>
  <c r="M167" i="5"/>
  <c r="K78" i="5"/>
  <c r="J170" i="5"/>
  <c r="Y87" i="5"/>
  <c r="T61" i="5"/>
  <c r="G281" i="10"/>
  <c r="K66" i="5"/>
  <c r="R95" i="5"/>
  <c r="AV268" i="10"/>
  <c r="N85" i="5"/>
  <c r="B204" i="10"/>
  <c r="R293" i="10"/>
  <c r="AK271" i="10"/>
  <c r="M265" i="10"/>
  <c r="O155" i="5"/>
  <c r="N175" i="5"/>
  <c r="I88" i="5"/>
  <c r="AA4" i="58887"/>
  <c r="U301" i="10"/>
  <c r="S165" i="5"/>
  <c r="Y124" i="5"/>
  <c r="P96" i="5"/>
  <c r="T159" i="5"/>
  <c r="X152" i="5"/>
  <c r="T182" i="5"/>
  <c r="N87" i="5"/>
  <c r="J184" i="5"/>
  <c r="I142" i="58885"/>
  <c r="K58" i="5"/>
  <c r="I125" i="58885"/>
  <c r="X73" i="5"/>
  <c r="Q77" i="5"/>
  <c r="W103" i="5"/>
  <c r="L187" i="5"/>
  <c r="AM295" i="10"/>
  <c r="L55" i="5"/>
  <c r="P132" i="5"/>
  <c r="I204" i="58885"/>
  <c r="S68" i="5"/>
  <c r="U111" i="5"/>
  <c r="Q69" i="5"/>
  <c r="M152" i="5"/>
  <c r="I121" i="5"/>
  <c r="Q59" i="5"/>
  <c r="AV210" i="10"/>
  <c r="AC293" i="10"/>
  <c r="DO81" i="58885"/>
  <c r="K119" i="5"/>
  <c r="AW142" i="10"/>
  <c r="AW177" i="10"/>
  <c r="M189" i="5"/>
  <c r="AL3" i="10"/>
  <c r="DO55" i="58885"/>
  <c r="K125" i="5"/>
  <c r="I198" i="58885"/>
  <c r="J106" i="5"/>
  <c r="P164" i="5"/>
  <c r="K279" i="10"/>
  <c r="L129" i="5"/>
  <c r="AG273" i="10"/>
  <c r="T189" i="5"/>
  <c r="W80" i="5"/>
  <c r="I228" i="58885"/>
  <c r="T228" i="58885" s="1" a="1"/>
  <c r="T228" i="58885" s="1"/>
  <c r="AV129" i="10"/>
  <c r="T84" i="5"/>
  <c r="I141" i="58885"/>
  <c r="K68" i="5"/>
  <c r="AV60" i="10"/>
  <c r="M175" i="5"/>
  <c r="K103" i="5"/>
  <c r="U84" i="5"/>
  <c r="S93" i="5"/>
  <c r="R62" i="5"/>
  <c r="X85" i="5"/>
  <c r="Y75" i="5"/>
  <c r="I125" i="5"/>
  <c r="U170" i="5"/>
  <c r="O58" i="5"/>
  <c r="T185" i="5"/>
  <c r="W289" i="10"/>
  <c r="K299" i="10"/>
  <c r="N72" i="5"/>
  <c r="Y192" i="5"/>
  <c r="I145" i="5"/>
  <c r="V170" i="5"/>
  <c r="M267" i="10"/>
  <c r="Y99" i="5"/>
  <c r="AE289" i="10"/>
  <c r="K273" i="10"/>
  <c r="K75" i="5"/>
  <c r="I203" i="58885"/>
  <c r="AN295" i="10"/>
  <c r="AG283" i="10"/>
  <c r="AR224" i="10"/>
  <c r="U99" i="5"/>
  <c r="W109" i="5"/>
  <c r="P86" i="5"/>
  <c r="Q95" i="5"/>
  <c r="DW11" i="58884"/>
  <c r="AC8" i="58887"/>
  <c r="W122" i="5"/>
  <c r="B231" i="10"/>
  <c r="K141" i="5"/>
  <c r="I236" i="58885"/>
  <c r="AR248" i="10"/>
  <c r="Y269" i="10"/>
  <c r="P295" i="10"/>
  <c r="O141" i="5"/>
  <c r="I235" i="58885"/>
  <c r="R3" i="10"/>
  <c r="S148" i="5"/>
  <c r="P155" i="5"/>
  <c r="AC275" i="10"/>
  <c r="Q178" i="5"/>
  <c r="M185" i="5"/>
  <c r="AW139" i="10"/>
  <c r="V88" i="5"/>
  <c r="K97" i="5"/>
  <c r="X76" i="5"/>
  <c r="R98" i="5"/>
  <c r="H297" i="10"/>
  <c r="M174" i="5"/>
  <c r="R158" i="5"/>
  <c r="AC267" i="10"/>
  <c r="K267" i="10"/>
  <c r="W173" i="5"/>
  <c r="DO176" i="58885"/>
  <c r="K160" i="5"/>
  <c r="O135" i="5"/>
  <c r="AW221" i="10"/>
  <c r="S267" i="10"/>
  <c r="S263" i="10"/>
  <c r="X97" i="5"/>
  <c r="Y81" i="5"/>
  <c r="T114" i="5"/>
  <c r="N179" i="5"/>
  <c r="T301" i="10"/>
  <c r="P82" i="5"/>
  <c r="DO8" i="58885"/>
  <c r="Q91" i="58887"/>
  <c r="J104" i="5"/>
  <c r="W159" i="5"/>
  <c r="AE279" i="10"/>
  <c r="DM194" i="58885"/>
  <c r="Y64" i="5"/>
  <c r="I249" i="58885"/>
  <c r="X299" i="10"/>
  <c r="M87" i="5"/>
  <c r="AO273" i="10"/>
  <c r="N166" i="5"/>
  <c r="X83" i="5"/>
  <c r="AW80" i="10"/>
  <c r="Y112" i="5"/>
  <c r="O172" i="5"/>
  <c r="W82" i="5"/>
  <c r="N191" i="5"/>
  <c r="U121" i="5"/>
  <c r="AQ218" i="10"/>
  <c r="AF299" i="10"/>
  <c r="AQ143" i="10"/>
  <c r="T68" i="5"/>
  <c r="Q287" i="10"/>
  <c r="U187" i="5"/>
  <c r="W70" i="5"/>
  <c r="Y154" i="5"/>
  <c r="Q121" i="58887"/>
  <c r="N114" i="5"/>
  <c r="AW243" i="10"/>
  <c r="N91" i="5"/>
  <c r="W141" i="5"/>
  <c r="AA285" i="10"/>
  <c r="O105" i="5"/>
  <c r="U167" i="5"/>
  <c r="X160" i="5"/>
  <c r="S184" i="5"/>
  <c r="J183" i="5"/>
  <c r="Y106" i="5"/>
  <c r="AE267" i="10"/>
  <c r="O85" i="5"/>
  <c r="DO144" i="58885"/>
  <c r="Y275" i="10"/>
  <c r="DO60" i="58885"/>
  <c r="AV7" i="10"/>
  <c r="W102" i="5"/>
  <c r="R56" i="5"/>
  <c r="AV251" i="10"/>
  <c r="I82" i="5"/>
  <c r="X92" i="5"/>
  <c r="AW148" i="10"/>
  <c r="P170" i="5"/>
  <c r="DM202" i="58885"/>
  <c r="AR230" i="10"/>
  <c r="AV107" i="10"/>
  <c r="X71" i="5"/>
  <c r="W140" i="5"/>
  <c r="DO66" i="58885"/>
  <c r="N165" i="5"/>
  <c r="U171" i="5"/>
  <c r="X126" i="5"/>
  <c r="K192" i="5"/>
  <c r="I118" i="58885"/>
  <c r="S145" i="5"/>
  <c r="Q3" i="10"/>
  <c r="AV134" i="10"/>
  <c r="DM204" i="58885"/>
  <c r="AW228" i="10"/>
  <c r="I112" i="58885"/>
  <c r="L118" i="5"/>
  <c r="N69" i="5"/>
  <c r="I133" i="58885"/>
  <c r="DO32" i="58885"/>
  <c r="AV183" i="10"/>
  <c r="AN299" i="10"/>
  <c r="K283" i="10"/>
  <c r="DO148" i="58885"/>
  <c r="Q107" i="5"/>
  <c r="DO75" i="58885"/>
  <c r="I118" i="5"/>
  <c r="Y120" i="5"/>
  <c r="AF293" i="10"/>
  <c r="O289" i="10"/>
  <c r="AV191" i="10"/>
  <c r="AH295" i="10"/>
  <c r="U58" i="5"/>
  <c r="L157" i="5"/>
  <c r="T108" i="5"/>
  <c r="X68" i="5"/>
  <c r="T169" i="5"/>
  <c r="N67" i="5"/>
  <c r="AA263" i="10"/>
  <c r="AV278" i="10"/>
  <c r="L168" i="5"/>
  <c r="AB299" i="10"/>
  <c r="O185" i="5"/>
  <c r="Z291" i="10"/>
  <c r="M108" i="5"/>
  <c r="Y71" i="5"/>
  <c r="W143" i="5"/>
  <c r="R144" i="5"/>
  <c r="I295" i="10"/>
  <c r="R99" i="5"/>
  <c r="L166" i="5"/>
  <c r="AV266" i="10"/>
  <c r="S125" i="5"/>
  <c r="AM277" i="10"/>
  <c r="DO178" i="58885"/>
  <c r="P169" i="5"/>
  <c r="I110" i="58885"/>
  <c r="DO30" i="58885"/>
  <c r="K147" i="5"/>
  <c r="J299" i="10"/>
  <c r="U93" i="5"/>
  <c r="V177" i="5"/>
  <c r="M165" i="5"/>
  <c r="AP291" i="10"/>
  <c r="DW21" i="58884"/>
  <c r="K153" i="5"/>
  <c r="AW153" i="10"/>
  <c r="I193" i="5"/>
  <c r="I154" i="5"/>
  <c r="DM201" i="58885"/>
  <c r="S271" i="10"/>
  <c r="AR227" i="10"/>
  <c r="N295" i="10"/>
  <c r="G285" i="10"/>
  <c r="K150" i="5"/>
  <c r="I138" i="58885"/>
  <c r="Q80" i="58887"/>
  <c r="W72" i="5"/>
  <c r="AV136" i="10"/>
  <c r="W149" i="5"/>
  <c r="AM279" i="10"/>
  <c r="I267" i="10"/>
  <c r="X186" i="5"/>
  <c r="Y187" i="5"/>
  <c r="I80" i="5"/>
  <c r="AV108" i="10"/>
  <c r="K88" i="5"/>
  <c r="AV203" i="10"/>
  <c r="AM261" i="10"/>
  <c r="AC283" i="10"/>
  <c r="Y126" i="5"/>
  <c r="P91" i="5"/>
  <c r="L96" i="5"/>
  <c r="DO71" i="58885"/>
  <c r="R171" i="10" a="1"/>
  <c r="R171" i="10" s="1"/>
  <c r="AL171" i="10" a="1"/>
  <c r="AL171" i="10" s="1"/>
  <c r="S171" i="10" a="1"/>
  <c r="S171" i="10" s="1"/>
  <c r="G171" i="10" a="1"/>
  <c r="G171" i="10" s="1"/>
  <c r="AA171" i="10" a="1"/>
  <c r="AA171" i="10" s="1"/>
  <c r="AG171" i="10" a="1"/>
  <c r="AG171" i="10" s="1"/>
  <c r="B171" i="10"/>
  <c r="S87" i="5"/>
  <c r="AV126" i="10"/>
  <c r="V115" i="5"/>
  <c r="AV8" i="10"/>
  <c r="AV217" i="10"/>
  <c r="AV166" i="10"/>
  <c r="K172" i="5"/>
  <c r="P125" i="5"/>
  <c r="AW229" i="10"/>
  <c r="R74" i="5"/>
  <c r="DM225" i="58885"/>
  <c r="I195" i="58885"/>
  <c r="U271" i="10"/>
  <c r="AW92" i="10"/>
  <c r="R110" i="5"/>
  <c r="DO171" i="58885"/>
  <c r="O157" i="5"/>
  <c r="I191" i="5"/>
  <c r="P62" i="5"/>
  <c r="J111" i="5"/>
  <c r="AT3" i="10"/>
  <c r="I74" i="5"/>
  <c r="AW233" i="10"/>
  <c r="Q64" i="5"/>
  <c r="U102" i="5"/>
  <c r="Y86" i="5"/>
  <c r="J94" i="5"/>
  <c r="M57" i="5"/>
  <c r="AQ149" i="10"/>
  <c r="S144" i="5"/>
  <c r="V145" i="5"/>
  <c r="AW218" i="10"/>
  <c r="U96" i="5"/>
  <c r="AV267" i="10"/>
  <c r="AV224" i="10"/>
  <c r="L102" i="5"/>
  <c r="AB301" i="10"/>
  <c r="AV255" i="10"/>
  <c r="DM187" i="58885"/>
  <c r="DW5" i="58884"/>
  <c r="U80" i="5"/>
  <c r="AW132" i="10"/>
  <c r="K79" i="5"/>
  <c r="AN156" i="10" a="1"/>
  <c r="AN156" i="10" s="1"/>
  <c r="B156" i="10"/>
  <c r="H156" i="10" s="1" a="1"/>
  <c r="H156" i="10" s="1"/>
  <c r="U156" i="10" a="1"/>
  <c r="U156" i="10" s="1"/>
  <c r="Y156" i="10" a="1"/>
  <c r="Y156" i="10" s="1"/>
  <c r="AD156" i="10" a="1"/>
  <c r="AD156" i="10" s="1"/>
  <c r="K89" i="5"/>
  <c r="AW94" i="10"/>
  <c r="I127" i="58885"/>
  <c r="S104" i="5"/>
  <c r="L159" i="5"/>
  <c r="AV188" i="10"/>
  <c r="AV250" i="10"/>
  <c r="AI291" i="10"/>
  <c r="T155" i="5"/>
  <c r="M69" i="5"/>
  <c r="Q281" i="10"/>
  <c r="AW123" i="10"/>
  <c r="S55" i="5"/>
  <c r="M132" i="5"/>
  <c r="T156" i="5"/>
  <c r="M81" i="5"/>
  <c r="J297" i="10"/>
  <c r="AE269" i="10"/>
  <c r="X177" i="5"/>
  <c r="AV142" i="10"/>
  <c r="K166" i="5"/>
  <c r="O186" i="5"/>
  <c r="AV176" i="10"/>
  <c r="Q80" i="5"/>
  <c r="DM213" i="58885"/>
  <c r="DM235" i="58885"/>
  <c r="AV227" i="10"/>
  <c r="S108" i="5"/>
  <c r="AW155" i="10"/>
  <c r="X101" i="5"/>
  <c r="Y163" i="5"/>
  <c r="I205" i="58885"/>
  <c r="B201" i="10"/>
  <c r="R116" i="5"/>
  <c r="L119" i="5"/>
  <c r="AJ3" i="10"/>
  <c r="AV285" i="10"/>
  <c r="K182" i="5"/>
  <c r="U174" i="5"/>
  <c r="AW217" i="10"/>
  <c r="U297" i="10"/>
  <c r="B180" i="10"/>
  <c r="P180" i="10" s="1" a="1"/>
  <c r="P180" i="10" s="1"/>
  <c r="L180" i="10" a="1"/>
  <c r="L180" i="10" s="1"/>
  <c r="AB180" i="10" a="1"/>
  <c r="AB180" i="10" s="1"/>
  <c r="AC180" i="10" a="1"/>
  <c r="AC180" i="10" s="1"/>
  <c r="L107" i="5"/>
  <c r="AV236" i="10"/>
  <c r="AC279" i="10"/>
  <c r="N297" i="10"/>
  <c r="W77" i="5"/>
  <c r="AV245" i="10"/>
  <c r="K86" i="5"/>
  <c r="K129" i="5"/>
  <c r="K73" i="5"/>
  <c r="M104" i="5"/>
  <c r="N293" i="10"/>
  <c r="V162" i="5"/>
  <c r="I208" i="58885"/>
  <c r="I160" i="5"/>
  <c r="K277" i="10"/>
  <c r="O293" i="10"/>
  <c r="AW247" i="10"/>
  <c r="T136" i="5"/>
  <c r="AV252" i="10"/>
  <c r="DM188" i="58885"/>
  <c r="AV195" i="10"/>
  <c r="N97" i="5"/>
  <c r="X117" i="5"/>
  <c r="DM219" i="58885"/>
  <c r="I103" i="58885"/>
  <c r="S135" i="5"/>
  <c r="N154" i="5"/>
  <c r="R162" i="5"/>
  <c r="U263" i="10"/>
  <c r="AO123" i="10" a="1"/>
  <c r="AO123" i="10" s="1"/>
  <c r="AP123" i="10" a="1"/>
  <c r="AP123" i="10" s="1"/>
  <c r="B123" i="10"/>
  <c r="G123" i="10" s="1" a="1"/>
  <c r="G123" i="10" s="1"/>
  <c r="P123" i="10" a="1"/>
  <c r="P123" i="10" s="1"/>
  <c r="S123" i="10" a="1"/>
  <c r="S123" i="10" s="1"/>
  <c r="I123" i="10" a="1"/>
  <c r="I123" i="10" s="1"/>
  <c r="U123" i="10" a="1"/>
  <c r="U123" i="10" s="1"/>
  <c r="AV215" i="10"/>
  <c r="DO18" i="58885"/>
  <c r="K173" i="5"/>
  <c r="V129" i="5"/>
  <c r="X127" i="5"/>
  <c r="AW225" i="10"/>
  <c r="AV82" i="10"/>
  <c r="P111" i="5"/>
  <c r="L114" i="5"/>
  <c r="I167" i="5"/>
  <c r="T129" i="5"/>
  <c r="J55" i="5"/>
  <c r="L154" i="5"/>
  <c r="J163" i="5"/>
  <c r="Q63" i="5"/>
  <c r="I136" i="5"/>
  <c r="Y82" i="5"/>
  <c r="H291" i="10"/>
  <c r="S180" i="5"/>
  <c r="T111" i="5"/>
  <c r="K120" i="5"/>
  <c r="O180" i="5"/>
  <c r="I297" i="10"/>
  <c r="X110" i="5"/>
  <c r="R171" i="5"/>
  <c r="AW179" i="10"/>
  <c r="S62" i="5"/>
  <c r="K193" i="5"/>
  <c r="I122" i="5"/>
  <c r="M134" i="5"/>
  <c r="O100" i="5"/>
  <c r="AC295" i="10"/>
  <c r="U66" i="5"/>
  <c r="V64" i="5"/>
  <c r="U182" i="5"/>
  <c r="R177" i="5"/>
  <c r="O103" i="5"/>
  <c r="U162" i="5"/>
  <c r="X102" i="5"/>
  <c r="DO24" i="58885"/>
  <c r="Q269" i="10"/>
  <c r="V181" i="5"/>
  <c r="S112" i="5"/>
  <c r="S275" i="10"/>
  <c r="K93" i="5"/>
  <c r="T172" i="5"/>
  <c r="S168" i="5"/>
  <c r="Y194" i="5"/>
  <c r="L112" i="5"/>
  <c r="P142" i="5"/>
  <c r="Q21" i="58887"/>
  <c r="O71" i="5"/>
  <c r="T87" i="5"/>
  <c r="Q190" i="5"/>
  <c r="I97" i="58885"/>
  <c r="T97" i="58885" s="1" a="1"/>
  <c r="T97" i="58885" s="1"/>
  <c r="AB293" i="10"/>
  <c r="AO283" i="10"/>
  <c r="I157" i="5"/>
  <c r="S99" i="5"/>
  <c r="Y127" i="5"/>
  <c r="S130" i="5"/>
  <c r="AG275" i="10"/>
  <c r="AW215" i="10"/>
  <c r="AL295" i="10"/>
  <c r="DM198" i="58885"/>
  <c r="Q97" i="58887"/>
  <c r="M157" i="5"/>
  <c r="I89" i="5"/>
  <c r="AV58" i="10"/>
  <c r="I73" i="5"/>
  <c r="DM232" i="58885"/>
  <c r="N70" i="5"/>
  <c r="Y168" i="5"/>
  <c r="Q166" i="5"/>
  <c r="R291" i="10"/>
  <c r="DO43" i="58885"/>
  <c r="AG293" i="10"/>
  <c r="K59" i="5"/>
  <c r="AH301" i="10"/>
  <c r="K140" i="5"/>
  <c r="AW236" i="10"/>
  <c r="Q273" i="10"/>
  <c r="P60" i="5"/>
  <c r="AK291" i="10"/>
  <c r="AW174" i="10"/>
  <c r="G279" i="10"/>
  <c r="G295" i="10"/>
  <c r="K111" i="5"/>
  <c r="R172" i="5"/>
  <c r="W107" i="5"/>
  <c r="N122" i="5"/>
  <c r="Q11" i="58887"/>
  <c r="M163" i="5"/>
  <c r="P135" i="5"/>
  <c r="Q154" i="58887"/>
  <c r="X297" i="10"/>
  <c r="J153" i="5"/>
  <c r="AV181" i="10"/>
  <c r="V143" i="5"/>
  <c r="DO13" i="58885"/>
  <c r="J82" i="5"/>
  <c r="DO76" i="58885"/>
  <c r="P93" i="5"/>
  <c r="Q89" i="5"/>
  <c r="R146" i="5"/>
  <c r="AQ182" i="10"/>
  <c r="B252" i="10"/>
  <c r="AV170" i="10"/>
  <c r="U120" i="5"/>
  <c r="AV293" i="10"/>
  <c r="T78" i="5"/>
  <c r="H293" i="10"/>
  <c r="I279" i="10"/>
  <c r="L69" i="5"/>
  <c r="Q94" i="58887"/>
  <c r="I81" i="5"/>
  <c r="AV59" i="10"/>
  <c r="O178" i="5"/>
  <c r="DO26" i="58885"/>
  <c r="AW168" i="10"/>
  <c r="N160" i="5"/>
  <c r="N101" i="5"/>
  <c r="AA267" i="10"/>
  <c r="W168" i="5"/>
  <c r="V155" i="5"/>
  <c r="M161" i="5"/>
  <c r="O133" i="5"/>
  <c r="V173" i="5"/>
  <c r="AE295" i="10"/>
  <c r="DO40" i="58885"/>
  <c r="P167" i="5"/>
  <c r="M76" i="5"/>
  <c r="AW64" i="10"/>
  <c r="T180" i="5"/>
  <c r="J80" i="5"/>
  <c r="AE281" i="10"/>
  <c r="O124" i="5"/>
  <c r="DM238" i="58885"/>
  <c r="L162" i="5"/>
  <c r="DM217" i="58885"/>
  <c r="N180" i="5"/>
  <c r="M139" i="5"/>
  <c r="N152" i="5"/>
  <c r="AQ194" i="10"/>
  <c r="O134" i="5"/>
  <c r="K156" i="5"/>
  <c r="I128" i="58885"/>
  <c r="Q126" i="58887"/>
  <c r="AW199" i="10"/>
  <c r="J158" i="5"/>
  <c r="I132" i="5"/>
  <c r="S170" i="5"/>
  <c r="B135" i="10"/>
  <c r="AB135" i="10" s="1" a="1"/>
  <c r="AB135" i="10" s="1"/>
  <c r="U135" i="10" a="1"/>
  <c r="U135" i="10" s="1"/>
  <c r="P135" i="10" a="1"/>
  <c r="P135" i="10" s="1"/>
  <c r="AO135" i="10" a="1"/>
  <c r="AO135" i="10" s="1"/>
  <c r="AF135" i="10" a="1"/>
  <c r="AF135" i="10" s="1"/>
  <c r="G135" i="10" a="1"/>
  <c r="G135" i="10" s="1"/>
  <c r="AA135" i="10" a="1"/>
  <c r="AA135" i="10" s="1"/>
  <c r="AE135" i="10" a="1"/>
  <c r="AE135" i="10" s="1"/>
  <c r="G271" i="10"/>
  <c r="AQ176" i="10"/>
  <c r="J190" i="5"/>
  <c r="L60" i="5"/>
  <c r="N168" i="5"/>
  <c r="DM237" i="58885"/>
  <c r="DO38" i="58885"/>
  <c r="AW151" i="10"/>
  <c r="Z299" i="10"/>
  <c r="T110" i="5"/>
  <c r="DO42" i="58885"/>
  <c r="Y94" i="5"/>
  <c r="DO152" i="58885"/>
  <c r="AV94" i="10"/>
  <c r="P179" i="5"/>
  <c r="O136" i="5"/>
  <c r="I187" i="58885"/>
  <c r="AV271" i="10"/>
  <c r="AR194" i="10"/>
  <c r="AV312" i="10"/>
  <c r="K115" i="5"/>
  <c r="I102" i="58885"/>
  <c r="AW251" i="10"/>
  <c r="AW185" i="10"/>
  <c r="W277" i="10"/>
  <c r="AV78" i="10"/>
  <c r="X156" i="5"/>
  <c r="AW203" i="10"/>
  <c r="V111" i="5"/>
  <c r="AG279" i="10"/>
  <c r="I212" i="58885"/>
  <c r="AW182" i="10"/>
  <c r="Y132" i="5"/>
  <c r="AO263" i="10"/>
  <c r="R101" i="5"/>
  <c r="R189" i="5"/>
  <c r="T113" i="5"/>
  <c r="P150" i="5"/>
  <c r="P163" i="5"/>
  <c r="I224" i="58885"/>
  <c r="DO159" i="58885"/>
  <c r="AL301" i="10"/>
  <c r="P144" i="5"/>
  <c r="AI293" i="10"/>
  <c r="L138" i="5"/>
  <c r="Q86" i="5"/>
  <c r="J162" i="5"/>
  <c r="V58" i="5"/>
  <c r="J68" i="5"/>
  <c r="R148" i="5"/>
  <c r="U188" i="5"/>
  <c r="I105" i="58885"/>
  <c r="N174" i="5"/>
  <c r="J108" i="5"/>
  <c r="AW135" i="10"/>
  <c r="K83" i="5"/>
  <c r="I287" i="10"/>
  <c r="O261" i="10"/>
  <c r="AW200" i="10"/>
  <c r="Y134" i="5"/>
  <c r="V137" i="5"/>
  <c r="V132" i="5"/>
  <c r="U152" i="5"/>
  <c r="I153" i="5"/>
  <c r="X80" i="5"/>
  <c r="AV135" i="10"/>
  <c r="T55" i="5"/>
  <c r="R97" i="5"/>
  <c r="I135" i="58885"/>
  <c r="R297" i="10"/>
  <c r="DO39" i="58885"/>
  <c r="R120" i="5"/>
  <c r="DM229" i="58885"/>
  <c r="W91" i="5"/>
  <c r="DO145" i="58885"/>
  <c r="O80" i="5"/>
  <c r="AV216" i="10"/>
  <c r="X93" i="5"/>
  <c r="S136" i="5"/>
  <c r="X132" i="5"/>
  <c r="AV146" i="10"/>
  <c r="R173" i="5"/>
  <c r="V59" i="5"/>
  <c r="I159" i="5"/>
  <c r="DO70" i="58885"/>
  <c r="AV83" i="10"/>
  <c r="J100" i="5"/>
  <c r="V65" i="5"/>
  <c r="K293" i="10"/>
  <c r="AW172" i="10"/>
  <c r="U146" i="5"/>
  <c r="I158" i="5"/>
  <c r="T183" i="5"/>
  <c r="N80" i="5"/>
  <c r="AW219" i="10"/>
  <c r="DM226" i="58885"/>
  <c r="AO277" i="10"/>
  <c r="P291" i="10"/>
  <c r="DO10" i="58885"/>
  <c r="O193" i="5"/>
  <c r="I220" i="58885"/>
  <c r="AM275" i="10"/>
  <c r="AR209" i="10"/>
  <c r="X133" i="5"/>
  <c r="DO7" i="58885"/>
  <c r="AV209" i="10"/>
  <c r="X168" i="5"/>
  <c r="AI141" i="10" a="1"/>
  <c r="AI141" i="10" s="1"/>
  <c r="AN141" i="10" a="1"/>
  <c r="AN141" i="10" s="1"/>
  <c r="AC141" i="10" a="1"/>
  <c r="AC141" i="10" s="1"/>
  <c r="T141" i="10" a="1"/>
  <c r="T141" i="10" s="1"/>
  <c r="B141" i="10"/>
  <c r="N141" i="10" s="1" a="1"/>
  <c r="N141" i="10" s="1"/>
  <c r="O141" i="10" a="1"/>
  <c r="O141" i="10" s="1"/>
  <c r="Z141" i="10" a="1"/>
  <c r="Z141" i="10" s="1"/>
  <c r="I141" i="10" a="1"/>
  <c r="I141" i="10" s="1"/>
  <c r="J141" i="10" a="1"/>
  <c r="J141" i="10" s="1"/>
  <c r="AL141" i="10" a="1"/>
  <c r="AL141" i="10" s="1"/>
  <c r="B147" i="10"/>
  <c r="AD147" i="10" s="1" a="1"/>
  <c r="AD147" i="10" s="1"/>
  <c r="J147" i="10" a="1"/>
  <c r="J147" i="10" s="1"/>
  <c r="R147" i="10" a="1"/>
  <c r="R147" i="10" s="1"/>
  <c r="AK147" i="10" a="1"/>
  <c r="AK147" i="10" s="1"/>
  <c r="Y147" i="10" a="1"/>
  <c r="Y147" i="10" s="1"/>
  <c r="K147" i="10" a="1"/>
  <c r="K147" i="10" s="1"/>
  <c r="O147" i="10" a="1"/>
  <c r="O147" i="10" s="1"/>
  <c r="AM147" i="10" a="1"/>
  <c r="AM147" i="10" s="1"/>
  <c r="AN147" i="10" a="1"/>
  <c r="AN147" i="10" s="1"/>
  <c r="N110" i="5"/>
  <c r="R153" i="5"/>
  <c r="W155" i="5"/>
  <c r="AI275" i="10"/>
  <c r="I84" i="5"/>
  <c r="Q133" i="5"/>
  <c r="AV180" i="10"/>
  <c r="Q162" i="58887"/>
  <c r="M129" i="5"/>
  <c r="V82" i="5"/>
  <c r="M170" i="5"/>
  <c r="I128" i="5"/>
  <c r="I192" i="58885"/>
  <c r="O161" i="5"/>
  <c r="Y76" i="5"/>
  <c r="AA299" i="10"/>
  <c r="I261" i="10"/>
  <c r="K102" i="5"/>
  <c r="L93" i="5"/>
  <c r="W165" i="5"/>
  <c r="V108" i="5"/>
  <c r="W157" i="5"/>
  <c r="Z295" i="10"/>
  <c r="W166" i="5"/>
  <c r="O175" i="5"/>
  <c r="AW66" i="10"/>
  <c r="AW191" i="10"/>
  <c r="DW17" i="58884"/>
  <c r="AV275" i="10"/>
  <c r="S193" i="5"/>
  <c r="Y110" i="5"/>
  <c r="AI283" i="10"/>
  <c r="Q84" i="5"/>
  <c r="I188" i="58885"/>
  <c r="M80" i="5"/>
  <c r="U122" i="5"/>
  <c r="AE273" i="10"/>
  <c r="N75" i="5"/>
  <c r="P97" i="5"/>
  <c r="AV71" i="10"/>
  <c r="AW78" i="10"/>
  <c r="Y116" i="5"/>
  <c r="J70" i="5"/>
  <c r="Q58" i="5"/>
  <c r="Q143" i="58887"/>
  <c r="S187" i="5"/>
  <c r="Q129" i="58887"/>
  <c r="AM299" i="10"/>
  <c r="G301" i="10"/>
  <c r="AV167" i="10"/>
  <c r="AW163" i="10"/>
  <c r="I226" i="58885"/>
  <c r="AW121" i="10"/>
  <c r="I217" i="58885"/>
  <c r="N193" i="5"/>
  <c r="M100" i="5"/>
  <c r="P183" i="5"/>
  <c r="K94" i="5"/>
  <c r="AW180" i="10"/>
  <c r="U164" i="5"/>
  <c r="AP301" i="10"/>
  <c r="P112" i="5"/>
  <c r="Q277" i="10"/>
  <c r="Q28" i="58887"/>
  <c r="K98" i="5"/>
  <c r="J59" i="5"/>
  <c r="O269" i="10"/>
  <c r="U110" i="5"/>
  <c r="V84" i="5"/>
  <c r="I244" i="58885"/>
  <c r="T141" i="5"/>
  <c r="I194" i="58885"/>
  <c r="C3" i="10"/>
  <c r="P187" i="5"/>
  <c r="I136" i="58885"/>
  <c r="Y100" i="5"/>
  <c r="M289" i="10"/>
  <c r="AG263" i="10"/>
  <c r="I132" i="58885"/>
  <c r="X3" i="10"/>
  <c r="P182" i="5"/>
  <c r="Q115" i="5"/>
  <c r="AL297" i="10"/>
  <c r="S63" i="5"/>
  <c r="T77" i="5"/>
  <c r="DO62" i="58885"/>
  <c r="K157" i="5"/>
  <c r="DO83" i="58885"/>
  <c r="J83" i="5"/>
  <c r="J155" i="5"/>
  <c r="Q154" i="5"/>
  <c r="K301" i="10"/>
  <c r="AV175" i="10"/>
  <c r="X129" i="5"/>
  <c r="AW136" i="10"/>
  <c r="L291" i="10"/>
  <c r="T80" i="5"/>
  <c r="AL291" i="10"/>
  <c r="DW15" i="58884"/>
  <c r="P181" i="5"/>
  <c r="J134" i="5"/>
  <c r="AN301" i="10"/>
  <c r="AJ297" i="10"/>
  <c r="DM191" i="58885"/>
  <c r="AC261" i="10"/>
  <c r="K84" i="5"/>
  <c r="L120" i="10" a="1"/>
  <c r="L120" i="10" s="1"/>
  <c r="B120" i="10"/>
  <c r="AA120" i="10" s="1" a="1"/>
  <c r="AA120" i="10" s="1"/>
  <c r="AO120" i="10" a="1"/>
  <c r="AO120" i="10" s="1"/>
  <c r="P120" i="10" a="1"/>
  <c r="P120" i="10" s="1"/>
  <c r="Q33" i="58887"/>
  <c r="P194" i="5"/>
  <c r="K72" i="5"/>
  <c r="DO33" i="58885"/>
  <c r="W126" i="5"/>
  <c r="N62" i="5"/>
  <c r="AK273" i="10"/>
  <c r="DO154" i="58885"/>
  <c r="N157" i="5"/>
  <c r="I199" i="58885"/>
  <c r="L139" i="5"/>
  <c r="AV122" i="10"/>
  <c r="V62" i="5"/>
  <c r="V114" i="5"/>
  <c r="K154" i="5"/>
  <c r="V55" i="5"/>
  <c r="AW253" i="10"/>
  <c r="S90" i="5"/>
  <c r="L67" i="5"/>
  <c r="Q174" i="5"/>
  <c r="S269" i="10"/>
  <c r="Y273" i="10"/>
  <c r="I215" i="58885"/>
  <c r="T215" i="58885" s="1" a="1"/>
  <c r="T215" i="58885" s="1"/>
  <c r="T122" i="5"/>
  <c r="W193" i="5"/>
  <c r="DO15" i="58885"/>
  <c r="V172" i="5"/>
  <c r="AV67" i="10"/>
  <c r="L61" i="5"/>
  <c r="I119" i="58885"/>
  <c r="P61" i="5"/>
  <c r="L79" i="5"/>
  <c r="AR176" i="10"/>
  <c r="DO149" i="58885"/>
  <c r="T297" i="10"/>
  <c r="AQ170" i="10"/>
  <c r="I184" i="5"/>
  <c r="Y180" i="5"/>
  <c r="G287" i="10"/>
  <c r="T127" i="5"/>
  <c r="K145" i="5"/>
  <c r="AV309" i="10"/>
  <c r="AV6" i="10"/>
  <c r="AV112" i="10"/>
  <c r="U205" i="58885" a="1"/>
  <c r="U205" i="58885" s="1"/>
  <c r="W205" i="58885" s="1" a="1"/>
  <c r="W205" i="58885" s="1"/>
  <c r="N120" i="10" a="1"/>
  <c r="N120" i="10" s="1"/>
  <c r="AL120" i="10" a="1"/>
  <c r="AL120" i="10" s="1"/>
  <c r="AE120" i="10" a="1"/>
  <c r="AE120" i="10" s="1"/>
  <c r="AH120" i="10" a="1"/>
  <c r="AH120" i="10" s="1"/>
  <c r="G120" i="10" a="1"/>
  <c r="G120" i="10" s="1"/>
  <c r="AC120" i="10" a="1"/>
  <c r="AC120" i="10" s="1"/>
  <c r="H120" i="10" a="1"/>
  <c r="H120" i="10" s="1"/>
  <c r="AB120" i="10" a="1"/>
  <c r="AB120" i="10" s="1"/>
  <c r="Z120" i="10" a="1"/>
  <c r="Z120" i="10" s="1"/>
  <c r="W120" i="10" a="1"/>
  <c r="W120" i="10" s="1"/>
  <c r="U120" i="10" a="1"/>
  <c r="U120" i="10" s="1"/>
  <c r="AI120" i="10" a="1"/>
  <c r="AI120" i="10" s="1"/>
  <c r="AN120" i="10" a="1"/>
  <c r="AN120" i="10" s="1"/>
  <c r="AP120" i="10" a="1"/>
  <c r="AP120" i="10" s="1"/>
  <c r="S120" i="10" a="1"/>
  <c r="S120" i="10" s="1"/>
  <c r="AK120" i="10" a="1"/>
  <c r="AK120" i="10" s="1"/>
  <c r="V120" i="10" a="1"/>
  <c r="V120" i="10" s="1"/>
  <c r="Y120" i="10" a="1"/>
  <c r="Y120" i="10" s="1"/>
  <c r="O120" i="10" a="1"/>
  <c r="O120" i="10" s="1"/>
  <c r="I120" i="10" a="1"/>
  <c r="I120" i="10" s="1"/>
  <c r="AJ120" i="10" a="1"/>
  <c r="AJ120" i="10" s="1"/>
  <c r="AF120" i="10" a="1"/>
  <c r="AF120" i="10" s="1"/>
  <c r="Q120" i="10" a="1"/>
  <c r="Q120" i="10" s="1"/>
  <c r="M120" i="10" a="1"/>
  <c r="M120" i="10" s="1"/>
  <c r="AG120" i="10" a="1"/>
  <c r="AG120" i="10" s="1"/>
  <c r="T120" i="10" a="1"/>
  <c r="T120" i="10" s="1"/>
  <c r="T208" i="58885" a="1"/>
  <c r="T208" i="58885" s="1"/>
  <c r="H171" i="10" a="1"/>
  <c r="H171" i="10" s="1"/>
  <c r="Z171" i="10" a="1"/>
  <c r="Z171" i="10" s="1"/>
  <c r="AP171" i="10" a="1"/>
  <c r="AP171" i="10" s="1"/>
  <c r="T171" i="10" a="1"/>
  <c r="T171" i="10" s="1"/>
  <c r="W171" i="10" a="1"/>
  <c r="W171" i="10" s="1"/>
  <c r="AC171" i="10" a="1"/>
  <c r="AC171" i="10" s="1"/>
  <c r="AH171" i="10" a="1"/>
  <c r="AH171" i="10" s="1"/>
  <c r="AE171" i="10" a="1"/>
  <c r="AE171" i="10" s="1"/>
  <c r="U171" i="10" a="1"/>
  <c r="U171" i="10" s="1"/>
  <c r="AI171" i="10" a="1"/>
  <c r="AI171" i="10" s="1"/>
  <c r="Y171" i="10" a="1"/>
  <c r="Y171" i="10" s="1"/>
  <c r="P171" i="10" a="1"/>
  <c r="P171" i="10" s="1"/>
  <c r="AK171" i="10" a="1"/>
  <c r="AK171" i="10" s="1"/>
  <c r="L171" i="10" a="1"/>
  <c r="L171" i="10" s="1"/>
  <c r="M171" i="10" a="1"/>
  <c r="M171" i="10" s="1"/>
  <c r="Q171" i="10" a="1"/>
  <c r="Q171" i="10" s="1"/>
  <c r="AJ171" i="10" a="1"/>
  <c r="AJ171" i="10" s="1"/>
  <c r="AN171" i="10" a="1"/>
  <c r="AN171" i="10" s="1"/>
  <c r="O171" i="10" a="1"/>
  <c r="O171" i="10" s="1"/>
  <c r="AF171" i="10" a="1"/>
  <c r="AF171" i="10" s="1"/>
  <c r="V171" i="10" a="1"/>
  <c r="V171" i="10" s="1"/>
  <c r="K171" i="10" a="1"/>
  <c r="K171" i="10" s="1"/>
  <c r="AD171" i="10" a="1"/>
  <c r="AD171" i="10" s="1"/>
  <c r="AO171" i="10" a="1"/>
  <c r="AO171" i="10" s="1"/>
  <c r="X171" i="10" a="1"/>
  <c r="X171" i="10" s="1"/>
  <c r="AB171" i="10" a="1"/>
  <c r="AB171" i="10" s="1"/>
  <c r="N171" i="10" a="1"/>
  <c r="N171" i="10" s="1"/>
  <c r="J171" i="10" a="1"/>
  <c r="J171" i="10" s="1"/>
  <c r="AD120" i="10" a="1"/>
  <c r="AD120" i="10" s="1"/>
  <c r="U228" i="58885" a="1"/>
  <c r="U228" i="58885" s="1"/>
  <c r="I138" i="10" a="1"/>
  <c r="I138" i="10" s="1"/>
  <c r="AJ132" i="10" a="1"/>
  <c r="AJ132" i="10" s="1"/>
  <c r="T131" i="58885" a="1"/>
  <c r="T131" i="58885" s="1"/>
  <c r="U131" i="58885" a="1"/>
  <c r="U131" i="58885" s="1"/>
  <c r="T109" i="58885" a="1"/>
  <c r="T109" i="58885" s="1"/>
  <c r="AB147" i="10" a="1"/>
  <c r="AB147" i="10" s="1"/>
  <c r="AJ147" i="10" a="1"/>
  <c r="AJ147" i="10" s="1"/>
  <c r="L147" i="10" a="1"/>
  <c r="L147" i="10" s="1"/>
  <c r="P147" i="10" a="1"/>
  <c r="P147" i="10" s="1"/>
  <c r="H123" i="10" a="1"/>
  <c r="H123" i="10" s="1"/>
  <c r="AK123" i="10" a="1"/>
  <c r="AK123" i="10" s="1"/>
  <c r="W156" i="10" a="1"/>
  <c r="W156" i="10" s="1"/>
  <c r="O156" i="10" a="1"/>
  <c r="O156" i="10" s="1"/>
  <c r="N156" i="10" a="1"/>
  <c r="N156" i="10" s="1"/>
  <c r="M117" i="10" a="1"/>
  <c r="M117" i="10" s="1"/>
  <c r="L117" i="10" a="1"/>
  <c r="L117" i="10" s="1"/>
  <c r="U117" i="10" a="1"/>
  <c r="U117" i="10" s="1"/>
  <c r="Y222" i="10" a="1"/>
  <c r="Y222" i="10" s="1"/>
  <c r="L222" i="10" a="1"/>
  <c r="L222" i="10" s="1"/>
  <c r="AC222" i="10" a="1"/>
  <c r="AC222" i="10" s="1"/>
  <c r="AE222" i="10" a="1"/>
  <c r="AE222" i="10" s="1"/>
  <c r="H222" i="10" a="1"/>
  <c r="H222" i="10" s="1"/>
  <c r="V222" i="10" a="1"/>
  <c r="V222" i="10" s="1"/>
  <c r="J222" i="10" a="1"/>
  <c r="J222" i="10" s="1"/>
  <c r="AK222" i="10" a="1"/>
  <c r="AK222" i="10" s="1"/>
  <c r="AB222" i="10" a="1"/>
  <c r="AB222" i="10" s="1"/>
  <c r="Z222" i="10" a="1"/>
  <c r="Z222" i="10" s="1"/>
  <c r="AA222" i="10" a="1"/>
  <c r="AA222" i="10" s="1"/>
  <c r="AG222" i="10" a="1"/>
  <c r="AG222" i="10" s="1"/>
  <c r="M222" i="10" a="1"/>
  <c r="M222" i="10" s="1"/>
  <c r="AD222" i="10" a="1"/>
  <c r="AD222" i="10" s="1"/>
  <c r="N222" i="10" a="1"/>
  <c r="N222" i="10" s="1"/>
  <c r="AN222" i="10" a="1"/>
  <c r="AN222" i="10" s="1"/>
  <c r="AS222" i="10"/>
  <c r="I222" i="10" a="1"/>
  <c r="I222" i="10" s="1"/>
  <c r="AP222" i="10" a="1"/>
  <c r="AP222" i="10" s="1"/>
  <c r="O222" i="10" a="1"/>
  <c r="O222" i="10" s="1"/>
  <c r="AJ222" i="10" a="1"/>
  <c r="AJ222" i="10" s="1"/>
  <c r="AL222" i="10" a="1"/>
  <c r="AL222" i="10" s="1"/>
  <c r="AM222" i="10" a="1"/>
  <c r="AM222" i="10" s="1"/>
  <c r="AH222" i="10" a="1"/>
  <c r="AH222" i="10" s="1"/>
  <c r="T222" i="10" a="1"/>
  <c r="T222" i="10" s="1"/>
  <c r="W222" i="10" a="1"/>
  <c r="W222" i="10" s="1"/>
  <c r="AF222" i="10" a="1"/>
  <c r="AF222" i="10" s="1"/>
  <c r="X222" i="10" a="1"/>
  <c r="X222" i="10" s="1"/>
  <c r="G222" i="10" a="1"/>
  <c r="G222" i="10" s="1"/>
  <c r="Q138" i="10" a="1"/>
  <c r="Q138" i="10" s="1"/>
  <c r="H132" i="10" a="1"/>
  <c r="H132" i="10" s="1"/>
  <c r="T239" i="58885" a="1"/>
  <c r="T239" i="58885" s="1"/>
  <c r="AA156" i="10" a="1"/>
  <c r="AA156" i="10" s="1"/>
  <c r="V156" i="10" a="1"/>
  <c r="V156" i="10" s="1"/>
  <c r="AO156" i="10" a="1"/>
  <c r="AO156" i="10" s="1"/>
  <c r="T156" i="10" a="1"/>
  <c r="T156" i="10" s="1"/>
  <c r="AE117" i="10" a="1"/>
  <c r="AE117" i="10" s="1"/>
  <c r="AG117" i="10" a="1"/>
  <c r="AG117" i="10" s="1"/>
  <c r="AL117" i="10" a="1"/>
  <c r="AL117" i="10" s="1"/>
  <c r="T212" i="58885" a="1"/>
  <c r="T212" i="58885" s="1"/>
  <c r="U187" i="58885" a="1"/>
  <c r="U187" i="58885" s="1"/>
  <c r="T137" i="58885" a="1"/>
  <c r="T137" i="58885" s="1"/>
  <c r="AB153" i="10" a="1"/>
  <c r="AB153" i="10" s="1"/>
  <c r="Z153" i="10" a="1"/>
  <c r="Z153" i="10" s="1"/>
  <c r="AN153" i="10" a="1"/>
  <c r="AN153" i="10" s="1"/>
  <c r="Y153" i="10" a="1"/>
  <c r="Y153" i="10" s="1"/>
  <c r="O153" i="10" a="1"/>
  <c r="O153" i="10" s="1"/>
  <c r="M153" i="10" a="1"/>
  <c r="M153" i="10" s="1"/>
  <c r="J153" i="10" a="1"/>
  <c r="J153" i="10" s="1"/>
  <c r="G153" i="10" a="1"/>
  <c r="G153" i="10" s="1"/>
  <c r="AF153" i="10" a="1"/>
  <c r="AF153" i="10" s="1"/>
  <c r="AK153" i="10" a="1"/>
  <c r="AK153" i="10" s="1"/>
  <c r="AG153" i="10" a="1"/>
  <c r="AG153" i="10" s="1"/>
  <c r="H153" i="10" a="1"/>
  <c r="H153" i="10" s="1"/>
  <c r="AE153" i="10" a="1"/>
  <c r="AE153" i="10" s="1"/>
  <c r="S153" i="10" a="1"/>
  <c r="S153" i="10" s="1"/>
  <c r="K153" i="10" a="1"/>
  <c r="K153" i="10" s="1"/>
  <c r="I153" i="10" a="1"/>
  <c r="I153" i="10" s="1"/>
  <c r="T153" i="10" a="1"/>
  <c r="T153" i="10" s="1"/>
  <c r="AI153" i="10" a="1"/>
  <c r="AI153" i="10" s="1"/>
  <c r="G246" i="10" a="1"/>
  <c r="G246" i="10" s="1"/>
  <c r="I246" i="10" a="1"/>
  <c r="I246" i="10" s="1"/>
  <c r="AD246" i="10" a="1"/>
  <c r="AD246" i="10" s="1"/>
  <c r="N246" i="10" a="1"/>
  <c r="N246" i="10" s="1"/>
  <c r="Q246" i="10" a="1"/>
  <c r="Q246" i="10" s="1"/>
  <c r="AS246" i="10"/>
  <c r="M246" i="10" a="1"/>
  <c r="M246" i="10" s="1"/>
  <c r="AB246" i="10" a="1"/>
  <c r="AB246" i="10" s="1"/>
  <c r="AL246" i="10" a="1"/>
  <c r="AL246" i="10" s="1"/>
  <c r="K246" i="10" a="1"/>
  <c r="K246" i="10" s="1"/>
  <c r="AH246" i="10" a="1"/>
  <c r="AH246" i="10" s="1"/>
  <c r="AJ246" i="10" a="1"/>
  <c r="AJ246" i="10" s="1"/>
  <c r="J246" i="10" a="1"/>
  <c r="J246" i="10" s="1"/>
  <c r="S246" i="10" a="1"/>
  <c r="S246" i="10" s="1"/>
  <c r="O246" i="10" a="1"/>
  <c r="O246" i="10" s="1"/>
  <c r="AC246" i="10" a="1"/>
  <c r="AC246" i="10" s="1"/>
  <c r="AG246" i="10" a="1"/>
  <c r="AG246" i="10" s="1"/>
  <c r="L246" i="10" a="1"/>
  <c r="L246" i="10" s="1"/>
  <c r="X246" i="10" a="1"/>
  <c r="X246" i="10" s="1"/>
  <c r="U246" i="10" a="1"/>
  <c r="U246" i="10" s="1"/>
  <c r="AI246" i="10" a="1"/>
  <c r="AI246" i="10" s="1"/>
  <c r="R246" i="10" a="1"/>
  <c r="R246" i="10" s="1"/>
  <c r="AF246" i="10" a="1"/>
  <c r="AF246" i="10" s="1"/>
  <c r="H246" i="10" a="1"/>
  <c r="H246" i="10" s="1"/>
  <c r="Z156" i="10" a="1"/>
  <c r="Z156" i="10" s="1"/>
  <c r="I156" i="10" a="1"/>
  <c r="I156" i="10" s="1"/>
  <c r="G156" i="10" a="1"/>
  <c r="G156" i="10" s="1"/>
  <c r="W117" i="10" a="1"/>
  <c r="W117" i="10" s="1"/>
  <c r="AK117" i="10" a="1"/>
  <c r="AK117" i="10" s="1"/>
  <c r="H117" i="10" a="1"/>
  <c r="H117" i="10" s="1"/>
  <c r="K117" i="10" a="1"/>
  <c r="K117" i="10" s="1"/>
  <c r="AH117" i="10" a="1"/>
  <c r="AH117" i="10" s="1"/>
  <c r="AP117" i="10" a="1"/>
  <c r="AP117" i="10" s="1"/>
  <c r="AA117" i="10" a="1"/>
  <c r="AA117" i="10" s="1"/>
  <c r="U97" i="58885" a="1"/>
  <c r="U97" i="58885" s="1"/>
  <c r="Y138" i="10" a="1"/>
  <c r="Y138" i="10" s="1"/>
  <c r="G138" i="10" a="1"/>
  <c r="G138" i="10" s="1"/>
  <c r="W138" i="10" a="1"/>
  <c r="W138" i="10" s="1"/>
  <c r="AJ138" i="10" a="1"/>
  <c r="AJ138" i="10" s="1"/>
  <c r="P138" i="10" a="1"/>
  <c r="P138" i="10" s="1"/>
  <c r="AI138" i="10" a="1"/>
  <c r="AI138" i="10" s="1"/>
  <c r="M138" i="10" a="1"/>
  <c r="M138" i="10" s="1"/>
  <c r="AD138" i="10" a="1"/>
  <c r="AD138" i="10" s="1"/>
  <c r="AN138" i="10" a="1"/>
  <c r="AN138" i="10" s="1"/>
  <c r="AP138" i="10" a="1"/>
  <c r="AP138" i="10" s="1"/>
  <c r="AL138" i="10" a="1"/>
  <c r="AL138" i="10" s="1"/>
  <c r="AO138" i="10" a="1"/>
  <c r="AO138" i="10" s="1"/>
  <c r="AP132" i="10" a="1"/>
  <c r="AP132" i="10" s="1"/>
  <c r="N132" i="10" a="1"/>
  <c r="N132" i="10" s="1"/>
  <c r="Z132" i="10" a="1"/>
  <c r="Z132" i="10" s="1"/>
  <c r="V132" i="10" a="1"/>
  <c r="V132" i="10" s="1"/>
  <c r="AI132" i="10" a="1"/>
  <c r="AI132" i="10" s="1"/>
  <c r="P132" i="10" a="1"/>
  <c r="P132" i="10" s="1"/>
  <c r="I132" i="10" a="1"/>
  <c r="I132" i="10" s="1"/>
  <c r="AD132" i="10" a="1"/>
  <c r="AD132" i="10" s="1"/>
  <c r="AM132" i="10" a="1"/>
  <c r="AM132" i="10" s="1"/>
  <c r="AF132" i="10" a="1"/>
  <c r="AF132" i="10" s="1"/>
  <c r="AA132" i="10" a="1"/>
  <c r="AA132" i="10" s="1"/>
  <c r="K132" i="10" a="1"/>
  <c r="K132" i="10" s="1"/>
  <c r="Q132" i="10" a="1"/>
  <c r="Q132" i="10" s="1"/>
  <c r="AB132" i="10" a="1"/>
  <c r="AB132" i="10" s="1"/>
  <c r="AN132" i="10" a="1"/>
  <c r="AN132" i="10" s="1"/>
  <c r="U117" i="58885" a="1"/>
  <c r="U117" i="58885" s="1"/>
  <c r="T117" i="58885" a="1"/>
  <c r="T117" i="58885" s="1"/>
  <c r="T230" i="58885" a="1"/>
  <c r="T230" i="58885" s="1"/>
  <c r="U230" i="58885" a="1"/>
  <c r="U230" i="58885" s="1"/>
  <c r="T119" i="58885" a="1"/>
  <c r="T119" i="58885" s="1"/>
  <c r="U119" i="58885" a="1"/>
  <c r="U119" i="58885" s="1"/>
  <c r="V147" i="10" a="1"/>
  <c r="V147" i="10" s="1"/>
  <c r="AG147" i="10" a="1"/>
  <c r="AG147" i="10" s="1"/>
  <c r="AE147" i="10" a="1"/>
  <c r="AE147" i="10" s="1"/>
  <c r="AD141" i="10" a="1"/>
  <c r="AD141" i="10" s="1"/>
  <c r="V141" i="10" a="1"/>
  <c r="V141" i="10" s="1"/>
  <c r="R141" i="10" a="1"/>
  <c r="R141" i="10" s="1"/>
  <c r="AI123" i="10" a="1"/>
  <c r="AI123" i="10" s="1"/>
  <c r="W123" i="10" a="1"/>
  <c r="W123" i="10" s="1"/>
  <c r="S156" i="10" a="1"/>
  <c r="S156" i="10" s="1"/>
  <c r="AK156" i="10" a="1"/>
  <c r="AK156" i="10" s="1"/>
  <c r="AL156" i="10" a="1"/>
  <c r="AL156" i="10" s="1"/>
  <c r="AD117" i="10" a="1"/>
  <c r="AD117" i="10" s="1"/>
  <c r="N117" i="10" a="1"/>
  <c r="N117" i="10" s="1"/>
  <c r="O117" i="10" a="1"/>
  <c r="O117" i="10" s="1"/>
  <c r="S117" i="10" a="1"/>
  <c r="S117" i="10" s="1"/>
  <c r="U219" i="58885" a="1"/>
  <c r="U219" i="58885" s="1"/>
  <c r="T219" i="58885" a="1"/>
  <c r="T219" i="58885" s="1"/>
  <c r="L138" i="10" a="1"/>
  <c r="L138" i="10" s="1"/>
  <c r="S138" i="10" a="1"/>
  <c r="S138" i="10" s="1"/>
  <c r="M132" i="10" a="1"/>
  <c r="M132" i="10" s="1"/>
  <c r="AA153" i="10" a="1"/>
  <c r="AA153" i="10" s="1"/>
  <c r="U141" i="58885" a="1"/>
  <c r="U141" i="58885" s="1"/>
  <c r="W141" i="58885" s="1" a="1"/>
  <c r="W141" i="58885" s="1"/>
  <c r="U211" i="58885" a="1"/>
  <c r="U211" i="58885" s="1"/>
  <c r="U138" i="58885" a="1"/>
  <c r="U138" i="58885" s="1"/>
  <c r="T252" i="10" a="1"/>
  <c r="T252" i="10" s="1"/>
  <c r="AL252" i="10" a="1"/>
  <c r="AL252" i="10" s="1"/>
  <c r="S252" i="10" a="1"/>
  <c r="S252" i="10" s="1"/>
  <c r="N252" i="10" a="1"/>
  <c r="N252" i="10" s="1"/>
  <c r="AI135" i="10" a="1"/>
  <c r="AI135" i="10" s="1"/>
  <c r="AN135" i="10" a="1"/>
  <c r="AN135" i="10" s="1"/>
  <c r="AL135" i="10" a="1"/>
  <c r="AL135" i="10" s="1"/>
  <c r="T135" i="10" a="1"/>
  <c r="T135" i="10" s="1"/>
  <c r="AA147" i="10" a="1"/>
  <c r="AA147" i="10" s="1"/>
  <c r="AH147" i="10" a="1"/>
  <c r="AH147" i="10" s="1"/>
  <c r="I147" i="10" a="1"/>
  <c r="I147" i="10" s="1"/>
  <c r="S147" i="10" a="1"/>
  <c r="S147" i="10" s="1"/>
  <c r="AJ180" i="10" a="1"/>
  <c r="AJ180" i="10" s="1"/>
  <c r="X180" i="10" a="1"/>
  <c r="X180" i="10" s="1"/>
  <c r="S180" i="10" a="1"/>
  <c r="S180" i="10" s="1"/>
  <c r="M141" i="10" a="1"/>
  <c r="M141" i="10" s="1"/>
  <c r="AM141" i="10" a="1"/>
  <c r="AM141" i="10" s="1"/>
  <c r="Q141" i="10" a="1"/>
  <c r="Q141" i="10" s="1"/>
  <c r="Y123" i="10" a="1"/>
  <c r="Y123" i="10" s="1"/>
  <c r="AB123" i="10" a="1"/>
  <c r="AB123" i="10" s="1"/>
  <c r="U135" i="58885" a="1"/>
  <c r="U135" i="58885" s="1"/>
  <c r="X156" i="10" a="1"/>
  <c r="X156" i="10" s="1"/>
  <c r="AJ156" i="10" a="1"/>
  <c r="AJ156" i="10" s="1"/>
  <c r="AM156" i="10" a="1"/>
  <c r="AM156" i="10" s="1"/>
  <c r="AO117" i="10" a="1"/>
  <c r="AO117" i="10" s="1"/>
  <c r="T117" i="10" a="1"/>
  <c r="T117" i="10" s="1"/>
  <c r="AM117" i="10" a="1"/>
  <c r="AM117" i="10" s="1"/>
  <c r="Z117" i="10" a="1"/>
  <c r="Z117" i="10" s="1"/>
  <c r="U197" i="58885" a="1"/>
  <c r="U197" i="58885" s="1"/>
  <c r="T197" i="58885" a="1"/>
  <c r="T197" i="58885" s="1"/>
  <c r="AG138" i="10" a="1"/>
  <c r="AG138" i="10" s="1"/>
  <c r="H138" i="10" a="1"/>
  <c r="H138" i="10" s="1"/>
  <c r="AE132" i="10" a="1"/>
  <c r="AE132" i="10" s="1"/>
  <c r="Y132" i="10" a="1"/>
  <c r="Y132" i="10" s="1"/>
  <c r="AH153" i="10" a="1"/>
  <c r="AH153" i="10" s="1"/>
  <c r="X123" i="10" a="1"/>
  <c r="X123" i="10" s="1"/>
  <c r="AN123" i="10" a="1"/>
  <c r="AN123" i="10" s="1"/>
  <c r="L123" i="10" a="1"/>
  <c r="L123" i="10" s="1"/>
  <c r="J123" i="10" a="1"/>
  <c r="J123" i="10" s="1"/>
  <c r="K123" i="10" a="1"/>
  <c r="K123" i="10" s="1"/>
  <c r="M123" i="10" a="1"/>
  <c r="M123" i="10" s="1"/>
  <c r="V123" i="10" a="1"/>
  <c r="V123" i="10" s="1"/>
  <c r="AB156" i="10" a="1"/>
  <c r="AB156" i="10" s="1"/>
  <c r="AG156" i="10" a="1"/>
  <c r="AG156" i="10" s="1"/>
  <c r="T224" i="58885" a="1"/>
  <c r="T224" i="58885" s="1"/>
  <c r="AI117" i="10" a="1"/>
  <c r="AI117" i="10" s="1"/>
  <c r="AB117" i="10" a="1"/>
  <c r="AB117" i="10" s="1"/>
  <c r="Q117" i="10" a="1"/>
  <c r="Q117" i="10" s="1"/>
  <c r="R117" i="10" a="1"/>
  <c r="R117" i="10" s="1"/>
  <c r="AG192" i="10" a="1"/>
  <c r="AG192" i="10" s="1"/>
  <c r="AI192" i="10" a="1"/>
  <c r="AI192" i="10" s="1"/>
  <c r="AA192" i="10" a="1"/>
  <c r="AA192" i="10" s="1"/>
  <c r="AH138" i="10" a="1"/>
  <c r="AH138" i="10" s="1"/>
  <c r="AL132" i="10" a="1"/>
  <c r="AL132" i="10" s="1"/>
  <c r="U189" i="58885" a="1"/>
  <c r="U189" i="58885" s="1"/>
  <c r="X153" i="10" a="1"/>
  <c r="X153" i="10" s="1"/>
  <c r="U216" i="58885" a="1"/>
  <c r="U216" i="58885" s="1"/>
  <c r="AE156" i="10" a="1"/>
  <c r="AE156" i="10" s="1"/>
  <c r="AC156" i="10" a="1"/>
  <c r="AC156" i="10" s="1"/>
  <c r="R156" i="10" a="1"/>
  <c r="R156" i="10" s="1"/>
  <c r="L156" i="10" a="1"/>
  <c r="L156" i="10" s="1"/>
  <c r="AP156" i="10" a="1"/>
  <c r="AP156" i="10" s="1"/>
  <c r="AF117" i="10" a="1"/>
  <c r="AF117" i="10" s="1"/>
  <c r="AJ117" i="10" a="1"/>
  <c r="AJ117" i="10" s="1"/>
  <c r="AN117" i="10" a="1"/>
  <c r="AN117" i="10" s="1"/>
  <c r="T232" i="58885" a="1"/>
  <c r="T232" i="58885" s="1"/>
  <c r="U232" i="58885" a="1"/>
  <c r="U232" i="58885" s="1"/>
  <c r="U204" i="58885" a="1"/>
  <c r="U204" i="58885" s="1"/>
  <c r="T204" i="58885" a="1"/>
  <c r="T204" i="58885" s="1"/>
  <c r="V192" i="10" a="1"/>
  <c r="V192" i="10" s="1"/>
  <c r="R138" i="10" a="1"/>
  <c r="R138" i="10" s="1"/>
  <c r="AC132" i="10" a="1"/>
  <c r="AC132" i="10" s="1"/>
  <c r="V153" i="10" a="1"/>
  <c r="V153" i="10" s="1"/>
  <c r="R195" i="10" a="1"/>
  <c r="R195" i="10" s="1"/>
  <c r="U104" i="58885" a="1"/>
  <c r="U104" i="58885" s="1"/>
  <c r="T104" i="58885" a="1"/>
  <c r="T104" i="58885" s="1"/>
  <c r="O249" i="10" a="1"/>
  <c r="O249" i="10" s="1"/>
  <c r="AB249" i="10" a="1"/>
  <c r="AB249" i="10" s="1"/>
  <c r="M249" i="10" a="1"/>
  <c r="M249" i="10" s="1"/>
  <c r="AC249" i="10" a="1"/>
  <c r="AC249" i="10" s="1"/>
  <c r="AK249" i="10" a="1"/>
  <c r="AK249" i="10" s="1"/>
  <c r="AM249" i="10" a="1"/>
  <c r="AM249" i="10" s="1"/>
  <c r="I249" i="10" a="1"/>
  <c r="I249" i="10" s="1"/>
  <c r="AD249" i="10" a="1"/>
  <c r="AD249" i="10" s="1"/>
  <c r="S249" i="10" a="1"/>
  <c r="S249" i="10" s="1"/>
  <c r="AL249" i="10" a="1"/>
  <c r="AL249" i="10" s="1"/>
  <c r="AO249" i="10" a="1"/>
  <c r="AO249" i="10" s="1"/>
  <c r="J249" i="10" a="1"/>
  <c r="J249" i="10" s="1"/>
  <c r="AH249" i="10" a="1"/>
  <c r="AH249" i="10" s="1"/>
  <c r="U249" i="10" a="1"/>
  <c r="U249" i="10" s="1"/>
  <c r="H249" i="10" a="1"/>
  <c r="H249" i="10" s="1"/>
  <c r="AE249" i="10" a="1"/>
  <c r="AE249" i="10" s="1"/>
  <c r="K249" i="10" a="1"/>
  <c r="K249" i="10" s="1"/>
  <c r="AJ249" i="10" a="1"/>
  <c r="AJ249" i="10" s="1"/>
  <c r="V249" i="10" a="1"/>
  <c r="V249" i="10" s="1"/>
  <c r="AS249" i="10"/>
  <c r="AG249" i="10" a="1"/>
  <c r="AG249" i="10" s="1"/>
  <c r="L249" i="10" a="1"/>
  <c r="L249" i="10" s="1"/>
  <c r="Z249" i="10" a="1"/>
  <c r="Z249" i="10" s="1"/>
  <c r="P249" i="10" a="1"/>
  <c r="P249" i="10" s="1"/>
  <c r="AP249" i="10" a="1"/>
  <c r="AP249" i="10" s="1"/>
  <c r="N249" i="10" a="1"/>
  <c r="N249" i="10" s="1"/>
  <c r="Q249" i="10" a="1"/>
  <c r="Q249" i="10" s="1"/>
  <c r="AA249" i="10" a="1"/>
  <c r="AA249" i="10" s="1"/>
  <c r="T249" i="10" a="1"/>
  <c r="T249" i="10" s="1"/>
  <c r="W249" i="10" a="1"/>
  <c r="W249" i="10" s="1"/>
  <c r="R249" i="10" a="1"/>
  <c r="R249" i="10" s="1"/>
  <c r="G249" i="10" a="1"/>
  <c r="G249" i="10" s="1"/>
  <c r="AN249" i="10" a="1"/>
  <c r="AN249" i="10" s="1"/>
  <c r="AI249" i="10" a="1"/>
  <c r="AI249" i="10" s="1"/>
  <c r="Y249" i="10" a="1"/>
  <c r="Y249" i="10" s="1"/>
  <c r="X249" i="10" a="1"/>
  <c r="X249" i="10" s="1"/>
  <c r="AF249" i="10" a="1"/>
  <c r="AF249" i="10" s="1"/>
  <c r="T233" i="58885" a="1"/>
  <c r="T233" i="58885" s="1"/>
  <c r="U233" i="58885" a="1"/>
  <c r="U233" i="58885" s="1"/>
  <c r="T139" i="58885" a="1"/>
  <c r="T139" i="58885" s="1"/>
  <c r="U139" i="58885" a="1"/>
  <c r="U139" i="58885" s="1"/>
  <c r="AE129" i="10" a="1"/>
  <c r="AE129" i="10" s="1"/>
  <c r="AM129" i="10" a="1"/>
  <c r="AM129" i="10" s="1"/>
  <c r="AL165" i="10" a="1"/>
  <c r="AL165" i="10" s="1"/>
  <c r="N165" i="10" a="1"/>
  <c r="N165" i="10" s="1"/>
  <c r="AI165" i="10" a="1"/>
  <c r="AI165" i="10" s="1"/>
  <c r="G165" i="10" a="1"/>
  <c r="G165" i="10" s="1"/>
  <c r="AE198" i="10" a="1"/>
  <c r="AE198" i="10" s="1"/>
  <c r="N198" i="10" a="1"/>
  <c r="N198" i="10" s="1"/>
  <c r="T198" i="10" a="1"/>
  <c r="T198" i="10" s="1"/>
  <c r="AK168" i="10" a="1"/>
  <c r="AK168" i="10" s="1"/>
  <c r="M28" i="58887"/>
  <c r="M133" i="58887"/>
  <c r="M129" i="58887"/>
  <c r="AE177" i="10" a="1"/>
  <c r="AE177" i="10" s="1"/>
  <c r="J177" i="10" a="1"/>
  <c r="J177" i="10" s="1"/>
  <c r="AD144" i="10" a="1"/>
  <c r="AD144" i="10" s="1"/>
  <c r="W144" i="10" a="1"/>
  <c r="W144" i="10" s="1"/>
  <c r="AN144" i="10" a="1"/>
  <c r="AN144" i="10" s="1"/>
  <c r="U210" i="58885" a="1"/>
  <c r="U210" i="58885" s="1"/>
  <c r="T210" i="58885" a="1"/>
  <c r="T210" i="58885" s="1"/>
  <c r="U140" i="58885" a="1"/>
  <c r="U140" i="58885" s="1"/>
  <c r="T140" i="58885" a="1"/>
  <c r="T140" i="58885" s="1"/>
  <c r="AO195" i="10" a="1"/>
  <c r="AO195" i="10" s="1"/>
  <c r="L195" i="10" a="1"/>
  <c r="L195" i="10" s="1"/>
  <c r="K195" i="10" a="1"/>
  <c r="K195" i="10" s="1"/>
  <c r="AI195" i="10" a="1"/>
  <c r="AI195" i="10" s="1"/>
  <c r="AA195" i="10" a="1"/>
  <c r="AA195" i="10" s="1"/>
  <c r="L159" i="10" a="1"/>
  <c r="L159" i="10" s="1"/>
  <c r="U247" i="58885" a="1"/>
  <c r="U247" i="58885" s="1"/>
  <c r="AN162" i="10" a="1"/>
  <c r="AN162" i="10" s="1"/>
  <c r="U100" i="58885" a="1"/>
  <c r="U100" i="58885" s="1"/>
  <c r="J126" i="10" a="1"/>
  <c r="J126" i="10" s="1"/>
  <c r="Z129" i="10" a="1"/>
  <c r="Z129" i="10" s="1"/>
  <c r="N129" i="10" a="1"/>
  <c r="N129" i="10" s="1"/>
  <c r="AN165" i="10" a="1"/>
  <c r="AN165" i="10" s="1"/>
  <c r="U165" i="10" a="1"/>
  <c r="U165" i="10" s="1"/>
  <c r="AF165" i="10" a="1"/>
  <c r="AF165" i="10" s="1"/>
  <c r="V165" i="10" a="1"/>
  <c r="V165" i="10" s="1"/>
  <c r="AJ198" i="10" a="1"/>
  <c r="AJ198" i="10" s="1"/>
  <c r="AO198" i="10" a="1"/>
  <c r="AO198" i="10" s="1"/>
  <c r="V198" i="10" a="1"/>
  <c r="V198" i="10" s="1"/>
  <c r="W198" i="10" a="1"/>
  <c r="W198" i="10" s="1"/>
  <c r="U214" i="58885" a="1"/>
  <c r="U214" i="58885" s="1"/>
  <c r="T214" i="58885" a="1"/>
  <c r="T214" i="58885" s="1"/>
  <c r="T123" i="58885" a="1"/>
  <c r="T123" i="58885" s="1"/>
  <c r="U123" i="58885" a="1"/>
  <c r="U123" i="58885" s="1"/>
  <c r="P213" i="10" a="1"/>
  <c r="P213" i="10" s="1"/>
  <c r="L213" i="10" a="1"/>
  <c r="L213" i="10" s="1"/>
  <c r="J213" i="10" a="1"/>
  <c r="J213" i="10" s="1"/>
  <c r="Z213" i="10" a="1"/>
  <c r="Z213" i="10" s="1"/>
  <c r="U213" i="58885" a="1"/>
  <c r="U213" i="58885" s="1"/>
  <c r="T213" i="58885" a="1"/>
  <c r="T213" i="58885" s="1"/>
  <c r="AA168" i="10" a="1"/>
  <c r="AA168" i="10" s="1"/>
  <c r="AI168" i="10" a="1"/>
  <c r="AI168" i="10" s="1"/>
  <c r="I168" i="10" a="1"/>
  <c r="I168" i="10" s="1"/>
  <c r="AN168" i="10" a="1"/>
  <c r="AN168" i="10" s="1"/>
  <c r="T225" i="58885" a="1"/>
  <c r="T225" i="58885" s="1"/>
  <c r="U225" i="58885" a="1"/>
  <c r="U225" i="58885" s="1"/>
  <c r="M73" i="58887"/>
  <c r="U183" i="10" a="1"/>
  <c r="U183" i="10" s="1"/>
  <c r="AP183" i="10" a="1"/>
  <c r="AP183" i="10" s="1"/>
  <c r="T183" i="10" a="1"/>
  <c r="T183" i="10" s="1"/>
  <c r="Y183" i="10" a="1"/>
  <c r="Y183" i="10" s="1"/>
  <c r="M144" i="58887"/>
  <c r="M56" i="58887"/>
  <c r="M18" i="58887"/>
  <c r="T226" i="58885" a="1"/>
  <c r="T226" i="58885" s="1"/>
  <c r="U226" i="58885" a="1"/>
  <c r="U226" i="58885" s="1"/>
  <c r="T188" i="58885" a="1"/>
  <c r="T188" i="58885" s="1"/>
  <c r="S174" i="10" a="1"/>
  <c r="S174" i="10" s="1"/>
  <c r="J174" i="10" a="1"/>
  <c r="J174" i="10" s="1"/>
  <c r="AH174" i="10" a="1"/>
  <c r="AH174" i="10" s="1"/>
  <c r="AP177" i="10" a="1"/>
  <c r="AP177" i="10" s="1"/>
  <c r="O177" i="10" a="1"/>
  <c r="O177" i="10" s="1"/>
  <c r="AN177" i="10" a="1"/>
  <c r="AN177" i="10" s="1"/>
  <c r="P177" i="10" a="1"/>
  <c r="P177" i="10" s="1"/>
  <c r="L150" i="10" a="1"/>
  <c r="L150" i="10" s="1"/>
  <c r="I150" i="10" a="1"/>
  <c r="I150" i="10" s="1"/>
  <c r="U243" i="58885" a="1"/>
  <c r="U243" i="58885" s="1"/>
  <c r="H144" i="10" a="1"/>
  <c r="H144" i="10" s="1"/>
  <c r="AK144" i="10" a="1"/>
  <c r="AK144" i="10" s="1"/>
  <c r="Z144" i="10" a="1"/>
  <c r="Z144" i="10" s="1"/>
  <c r="X195" i="10" a="1"/>
  <c r="X195" i="10" s="1"/>
  <c r="I195" i="10" a="1"/>
  <c r="I195" i="10" s="1"/>
  <c r="AP195" i="10" a="1"/>
  <c r="AP195" i="10" s="1"/>
  <c r="Z195" i="10" a="1"/>
  <c r="Z195" i="10" s="1"/>
  <c r="AH195" i="10" a="1"/>
  <c r="AH195" i="10" s="1"/>
  <c r="AL159" i="10" a="1"/>
  <c r="AL159" i="10" s="1"/>
  <c r="U130" i="58885" a="1"/>
  <c r="U130" i="58885" s="1"/>
  <c r="T130" i="58885" a="1"/>
  <c r="T130" i="58885" s="1"/>
  <c r="AP126" i="10" a="1"/>
  <c r="AP126" i="10" s="1"/>
  <c r="W129" i="10" a="1"/>
  <c r="W129" i="10" s="1"/>
  <c r="L129" i="10" a="1"/>
  <c r="L129" i="10" s="1"/>
  <c r="S165" i="10" a="1"/>
  <c r="S165" i="10" s="1"/>
  <c r="AG165" i="10" a="1"/>
  <c r="AG165" i="10" s="1"/>
  <c r="AB165" i="10" a="1"/>
  <c r="AB165" i="10" s="1"/>
  <c r="O165" i="10" a="1"/>
  <c r="O165" i="10" s="1"/>
  <c r="Q165" i="10" a="1"/>
  <c r="Q165" i="10" s="1"/>
  <c r="W189" i="10" a="1"/>
  <c r="W189" i="10" s="1"/>
  <c r="AB189" i="10" a="1"/>
  <c r="AB189" i="10" s="1"/>
  <c r="P207" i="10" a="1"/>
  <c r="P207" i="10" s="1"/>
  <c r="AG207" i="10" a="1"/>
  <c r="AG207" i="10" s="1"/>
  <c r="AP207" i="10" a="1"/>
  <c r="AP207" i="10" s="1"/>
  <c r="Y207" i="10" a="1"/>
  <c r="Y207" i="10" s="1"/>
  <c r="AH207" i="10" a="1"/>
  <c r="AH207" i="10" s="1"/>
  <c r="AD207" i="10" a="1"/>
  <c r="AD207" i="10" s="1"/>
  <c r="AE207" i="10" a="1"/>
  <c r="AE207" i="10" s="1"/>
  <c r="O207" i="10" a="1"/>
  <c r="O207" i="10" s="1"/>
  <c r="AB207" i="10" a="1"/>
  <c r="AB207" i="10" s="1"/>
  <c r="G207" i="10" a="1"/>
  <c r="G207" i="10" s="1"/>
  <c r="J207" i="10" a="1"/>
  <c r="J207" i="10" s="1"/>
  <c r="AN207" i="10" a="1"/>
  <c r="AN207" i="10" s="1"/>
  <c r="AF207" i="10" a="1"/>
  <c r="AF207" i="10" s="1"/>
  <c r="AK207" i="10" a="1"/>
  <c r="AK207" i="10" s="1"/>
  <c r="AI207" i="10" a="1"/>
  <c r="AI207" i="10" s="1"/>
  <c r="H207" i="10" a="1"/>
  <c r="H207" i="10" s="1"/>
  <c r="Q207" i="10" a="1"/>
  <c r="Q207" i="10" s="1"/>
  <c r="AS207" i="10"/>
  <c r="AA207" i="10" a="1"/>
  <c r="AA207" i="10" s="1"/>
  <c r="AL207" i="10" a="1"/>
  <c r="AL207" i="10" s="1"/>
  <c r="L207" i="10" a="1"/>
  <c r="L207" i="10" s="1"/>
  <c r="T207" i="10" a="1"/>
  <c r="T207" i="10" s="1"/>
  <c r="AC207" i="10" a="1"/>
  <c r="AC207" i="10" s="1"/>
  <c r="AM207" i="10" a="1"/>
  <c r="AM207" i="10" s="1"/>
  <c r="S207" i="10" a="1"/>
  <c r="S207" i="10" s="1"/>
  <c r="AJ207" i="10" a="1"/>
  <c r="AJ207" i="10" s="1"/>
  <c r="AO207" i="10" a="1"/>
  <c r="AO207" i="10" s="1"/>
  <c r="I207" i="10" a="1"/>
  <c r="I207" i="10" s="1"/>
  <c r="W207" i="10" a="1"/>
  <c r="W207" i="10" s="1"/>
  <c r="X207" i="10" a="1"/>
  <c r="X207" i="10" s="1"/>
  <c r="U207" i="10" a="1"/>
  <c r="U207" i="10" s="1"/>
  <c r="R207" i="10" a="1"/>
  <c r="R207" i="10" s="1"/>
  <c r="M207" i="10" a="1"/>
  <c r="M207" i="10" s="1"/>
  <c r="K207" i="10" a="1"/>
  <c r="K207" i="10" s="1"/>
  <c r="V207" i="10" a="1"/>
  <c r="V207" i="10" s="1"/>
  <c r="N207" i="10" a="1"/>
  <c r="N207" i="10" s="1"/>
  <c r="Z207" i="10" a="1"/>
  <c r="Z207" i="10" s="1"/>
  <c r="T245" i="58885" a="1"/>
  <c r="T245" i="58885" s="1"/>
  <c r="AI198" i="10" a="1"/>
  <c r="AI198" i="10" s="1"/>
  <c r="R198" i="10" a="1"/>
  <c r="R198" i="10" s="1"/>
  <c r="L198" i="10" a="1"/>
  <c r="L198" i="10" s="1"/>
  <c r="AF198" i="10" a="1"/>
  <c r="AF198" i="10" s="1"/>
  <c r="AK234" i="10" a="1"/>
  <c r="AK234" i="10" s="1"/>
  <c r="H234" i="10" a="1"/>
  <c r="H234" i="10" s="1"/>
  <c r="X234" i="10" a="1"/>
  <c r="X234" i="10" s="1"/>
  <c r="J234" i="10" a="1"/>
  <c r="J234" i="10" s="1"/>
  <c r="AN234" i="10" a="1"/>
  <c r="AN234" i="10" s="1"/>
  <c r="AS234" i="10"/>
  <c r="U234" i="10" a="1"/>
  <c r="U234" i="10" s="1"/>
  <c r="L234" i="10" a="1"/>
  <c r="L234" i="10" s="1"/>
  <c r="AO234" i="10" a="1"/>
  <c r="AO234" i="10" s="1"/>
  <c r="R234" i="10" a="1"/>
  <c r="R234" i="10" s="1"/>
  <c r="AB234" i="10" a="1"/>
  <c r="AB234" i="10" s="1"/>
  <c r="V234" i="10" a="1"/>
  <c r="V234" i="10" s="1"/>
  <c r="AP234" i="10" a="1"/>
  <c r="AP234" i="10" s="1"/>
  <c r="AD234" i="10" a="1"/>
  <c r="AD234" i="10" s="1"/>
  <c r="AG234" i="10" a="1"/>
  <c r="AG234" i="10" s="1"/>
  <c r="AC234" i="10" a="1"/>
  <c r="AC234" i="10" s="1"/>
  <c r="W234" i="10" a="1"/>
  <c r="W234" i="10" s="1"/>
  <c r="AE234" i="10" a="1"/>
  <c r="AE234" i="10" s="1"/>
  <c r="T234" i="10" a="1"/>
  <c r="T234" i="10" s="1"/>
  <c r="K234" i="10" a="1"/>
  <c r="K234" i="10" s="1"/>
  <c r="O234" i="10" a="1"/>
  <c r="O234" i="10" s="1"/>
  <c r="M234" i="10" a="1"/>
  <c r="M234" i="10" s="1"/>
  <c r="AJ234" i="10" a="1"/>
  <c r="AJ234" i="10" s="1"/>
  <c r="AH234" i="10" a="1"/>
  <c r="AH234" i="10" s="1"/>
  <c r="Z234" i="10" a="1"/>
  <c r="Z234" i="10" s="1"/>
  <c r="AA234" i="10" a="1"/>
  <c r="AA234" i="10" s="1"/>
  <c r="G234" i="10" a="1"/>
  <c r="G234" i="10" s="1"/>
  <c r="AM234" i="10" a="1"/>
  <c r="AM234" i="10" s="1"/>
  <c r="AI234" i="10" a="1"/>
  <c r="AI234" i="10" s="1"/>
  <c r="AF234" i="10" a="1"/>
  <c r="AF234" i="10" s="1"/>
  <c r="I234" i="10" a="1"/>
  <c r="I234" i="10" s="1"/>
  <c r="P234" i="10" a="1"/>
  <c r="P234" i="10" s="1"/>
  <c r="AL234" i="10" a="1"/>
  <c r="AL234" i="10" s="1"/>
  <c r="Y234" i="10" a="1"/>
  <c r="Y234" i="10" s="1"/>
  <c r="Q234" i="10" a="1"/>
  <c r="Q234" i="10" s="1"/>
  <c r="S234" i="10" a="1"/>
  <c r="S234" i="10" s="1"/>
  <c r="N234" i="10" a="1"/>
  <c r="N234" i="10" s="1"/>
  <c r="AL168" i="10" a="1"/>
  <c r="AL168" i="10" s="1"/>
  <c r="H168" i="10" a="1"/>
  <c r="H168" i="10" s="1"/>
  <c r="AM168" i="10" a="1"/>
  <c r="AM168" i="10" s="1"/>
  <c r="N168" i="10" a="1"/>
  <c r="N168" i="10" s="1"/>
  <c r="T184" i="58885" a="1"/>
  <c r="T184" i="58885" s="1"/>
  <c r="M137" i="58887"/>
  <c r="M127" i="58887"/>
  <c r="R183" i="10" a="1"/>
  <c r="R183" i="10" s="1"/>
  <c r="L183" i="10" a="1"/>
  <c r="L183" i="10" s="1"/>
  <c r="W183" i="10" a="1"/>
  <c r="W183" i="10" s="1"/>
  <c r="M6" i="58887"/>
  <c r="M146" i="58887"/>
  <c r="M67" i="58887"/>
  <c r="M81" i="58887"/>
  <c r="M22" i="58887"/>
  <c r="AI204" i="10" a="1"/>
  <c r="AI204" i="10" s="1"/>
  <c r="AO204" i="10" a="1"/>
  <c r="AO204" i="10" s="1"/>
  <c r="Q204" i="10" a="1"/>
  <c r="Q204" i="10" s="1"/>
  <c r="G204" i="10" a="1"/>
  <c r="G204" i="10" s="1"/>
  <c r="O204" i="10" a="1"/>
  <c r="O204" i="10" s="1"/>
  <c r="R204" i="10" a="1"/>
  <c r="R204" i="10" s="1"/>
  <c r="Z204" i="10" a="1"/>
  <c r="Z204" i="10" s="1"/>
  <c r="W204" i="10" a="1"/>
  <c r="W204" i="10" s="1"/>
  <c r="AH204" i="10" a="1"/>
  <c r="AH204" i="10" s="1"/>
  <c r="T206" i="58885" a="1"/>
  <c r="T206" i="58885" s="1"/>
  <c r="S144" i="10" a="1"/>
  <c r="S144" i="10" s="1"/>
  <c r="AB144" i="10" a="1"/>
  <c r="AB144" i="10" s="1"/>
  <c r="AG144" i="10" a="1"/>
  <c r="AG144" i="10" s="1"/>
  <c r="U246" i="58885" a="1"/>
  <c r="U246" i="58885" s="1"/>
  <c r="T246" i="58885" a="1"/>
  <c r="T246" i="58885" s="1"/>
  <c r="S195" i="10" a="1"/>
  <c r="S195" i="10" s="1"/>
  <c r="M195" i="10" a="1"/>
  <c r="M195" i="10" s="1"/>
  <c r="Q195" i="10" a="1"/>
  <c r="Q195" i="10" s="1"/>
  <c r="AE195" i="10" a="1"/>
  <c r="AE195" i="10" s="1"/>
  <c r="J195" i="10" a="1"/>
  <c r="J195" i="10" s="1"/>
  <c r="AD159" i="10" a="1"/>
  <c r="AD159" i="10" s="1"/>
  <c r="T191" i="58885" a="1"/>
  <c r="T191" i="58885" s="1"/>
  <c r="U191" i="58885" a="1"/>
  <c r="U191" i="58885" s="1"/>
  <c r="AE126" i="10" a="1"/>
  <c r="AE126" i="10" s="1"/>
  <c r="U209" i="58885" a="1"/>
  <c r="U209" i="58885" s="1"/>
  <c r="AA129" i="10" a="1"/>
  <c r="AA129" i="10" s="1"/>
  <c r="U129" i="10" a="1"/>
  <c r="U129" i="10" s="1"/>
  <c r="AP165" i="10" a="1"/>
  <c r="AP165" i="10" s="1"/>
  <c r="AK165" i="10" a="1"/>
  <c r="AK165" i="10" s="1"/>
  <c r="M165" i="10" a="1"/>
  <c r="M165" i="10" s="1"/>
  <c r="W165" i="10" a="1"/>
  <c r="W165" i="10" s="1"/>
  <c r="AC165" i="10" a="1"/>
  <c r="AC165" i="10" s="1"/>
  <c r="T229" i="58885" a="1"/>
  <c r="T229" i="58885" s="1"/>
  <c r="U229" i="58885" a="1"/>
  <c r="U229" i="58885" s="1"/>
  <c r="T99" i="58885" a="1"/>
  <c r="T99" i="58885" s="1"/>
  <c r="U99" i="58885" a="1"/>
  <c r="U99" i="58885" s="1"/>
  <c r="U252" i="58885" a="1"/>
  <c r="U252" i="58885" s="1"/>
  <c r="T252" i="58885" a="1"/>
  <c r="T252" i="58885" s="1"/>
  <c r="U111" i="58885" a="1"/>
  <c r="U111" i="58885" s="1"/>
  <c r="T111" i="58885" a="1"/>
  <c r="T111" i="58885" s="1"/>
  <c r="T221" i="58885" a="1"/>
  <c r="T221" i="58885" s="1"/>
  <c r="U221" i="58885" a="1"/>
  <c r="U221" i="58885" s="1"/>
  <c r="X198" i="10" a="1"/>
  <c r="X198" i="10" s="1"/>
  <c r="AK198" i="10" a="1"/>
  <c r="AK198" i="10" s="1"/>
  <c r="AM198" i="10" a="1"/>
  <c r="AM198" i="10" s="1"/>
  <c r="I198" i="10" a="1"/>
  <c r="I198" i="10" s="1"/>
  <c r="U207" i="58885" a="1"/>
  <c r="U207" i="58885" s="1"/>
  <c r="U126" i="58885" a="1"/>
  <c r="U126" i="58885" s="1"/>
  <c r="AH168" i="10" a="1"/>
  <c r="AH168" i="10" s="1"/>
  <c r="Y168" i="10" a="1"/>
  <c r="Y168" i="10" s="1"/>
  <c r="P168" i="10" a="1"/>
  <c r="P168" i="10" s="1"/>
  <c r="U134" i="58885" a="1"/>
  <c r="U134" i="58885" s="1"/>
  <c r="M34" i="58887"/>
  <c r="M111" i="58887"/>
  <c r="U231" i="58885" a="1"/>
  <c r="U231" i="58885" s="1"/>
  <c r="X144" i="10" a="1"/>
  <c r="X144" i="10" s="1"/>
  <c r="AO144" i="10" a="1"/>
  <c r="AO144" i="10" s="1"/>
  <c r="T98" i="58885" a="1"/>
  <c r="T98" i="58885" s="1"/>
  <c r="T253" i="58885" a="1"/>
  <c r="T253" i="58885" s="1"/>
  <c r="U253" i="58885" a="1"/>
  <c r="U253" i="58885" s="1"/>
  <c r="AL195" i="10" a="1"/>
  <c r="AL195" i="10" s="1"/>
  <c r="N195" i="10" a="1"/>
  <c r="N195" i="10" s="1"/>
  <c r="AB195" i="10" a="1"/>
  <c r="AB195" i="10" s="1"/>
  <c r="Y195" i="10" a="1"/>
  <c r="Y195" i="10" s="1"/>
  <c r="AJ195" i="10" a="1"/>
  <c r="AJ195" i="10" s="1"/>
  <c r="U115" i="58885" a="1"/>
  <c r="U115" i="58885" s="1"/>
  <c r="T115" i="58885" a="1"/>
  <c r="T115" i="58885" s="1"/>
  <c r="T120" i="58885" a="1"/>
  <c r="T120" i="58885" s="1"/>
  <c r="U120" i="58885" a="1"/>
  <c r="U120" i="58885" s="1"/>
  <c r="I240" i="10" a="1"/>
  <c r="I240" i="10" s="1"/>
  <c r="AA240" i="10" a="1"/>
  <c r="AA240" i="10" s="1"/>
  <c r="AF240" i="10" a="1"/>
  <c r="AF240" i="10" s="1"/>
  <c r="AO240" i="10" a="1"/>
  <c r="AO240" i="10" s="1"/>
  <c r="H240" i="10" a="1"/>
  <c r="H240" i="10" s="1"/>
  <c r="AC240" i="10" a="1"/>
  <c r="AC240" i="10" s="1"/>
  <c r="AM240" i="10" a="1"/>
  <c r="AM240" i="10" s="1"/>
  <c r="AD240" i="10" a="1"/>
  <c r="AD240" i="10" s="1"/>
  <c r="S240" i="10" a="1"/>
  <c r="S240" i="10" s="1"/>
  <c r="AI240" i="10" a="1"/>
  <c r="AI240" i="10" s="1"/>
  <c r="AP240" i="10" a="1"/>
  <c r="AP240" i="10" s="1"/>
  <c r="O240" i="10" a="1"/>
  <c r="O240" i="10" s="1"/>
  <c r="AG240" i="10" a="1"/>
  <c r="AG240" i="10" s="1"/>
  <c r="W240" i="10" a="1"/>
  <c r="W240" i="10" s="1"/>
  <c r="AN240" i="10" a="1"/>
  <c r="AN240" i="10" s="1"/>
  <c r="Q240" i="10" a="1"/>
  <c r="Q240" i="10" s="1"/>
  <c r="R240" i="10" a="1"/>
  <c r="R240" i="10" s="1"/>
  <c r="Z240" i="10" a="1"/>
  <c r="Z240" i="10" s="1"/>
  <c r="AL240" i="10" a="1"/>
  <c r="AL240" i="10" s="1"/>
  <c r="P240" i="10" a="1"/>
  <c r="P240" i="10" s="1"/>
  <c r="M240" i="10" a="1"/>
  <c r="M240" i="10" s="1"/>
  <c r="V240" i="10" a="1"/>
  <c r="V240" i="10" s="1"/>
  <c r="X240" i="10" a="1"/>
  <c r="X240" i="10" s="1"/>
  <c r="G240" i="10" a="1"/>
  <c r="G240" i="10" s="1"/>
  <c r="AS240" i="10"/>
  <c r="T240" i="10" a="1"/>
  <c r="T240" i="10" s="1"/>
  <c r="N240" i="10" a="1"/>
  <c r="N240" i="10" s="1"/>
  <c r="U240" i="10" a="1"/>
  <c r="U240" i="10" s="1"/>
  <c r="AK240" i="10" a="1"/>
  <c r="AK240" i="10" s="1"/>
  <c r="AJ240" i="10" a="1"/>
  <c r="AJ240" i="10" s="1"/>
  <c r="K240" i="10" a="1"/>
  <c r="K240" i="10" s="1"/>
  <c r="AB240" i="10" a="1"/>
  <c r="AB240" i="10" s="1"/>
  <c r="L240" i="10" a="1"/>
  <c r="L240" i="10" s="1"/>
  <c r="J240" i="10" a="1"/>
  <c r="J240" i="10" s="1"/>
  <c r="AH240" i="10" a="1"/>
  <c r="AH240" i="10" s="1"/>
  <c r="AE240" i="10" a="1"/>
  <c r="AE240" i="10" s="1"/>
  <c r="Y240" i="10" a="1"/>
  <c r="Y240" i="10" s="1"/>
  <c r="M126" i="10" a="1"/>
  <c r="M126" i="10" s="1"/>
  <c r="H129" i="10" a="1"/>
  <c r="H129" i="10" s="1"/>
  <c r="M129" i="10" a="1"/>
  <c r="M129" i="10" s="1"/>
  <c r="I165" i="10" a="1"/>
  <c r="I165" i="10" s="1"/>
  <c r="P165" i="10" a="1"/>
  <c r="P165" i="10" s="1"/>
  <c r="R165" i="10" a="1"/>
  <c r="R165" i="10" s="1"/>
  <c r="K165" i="10" a="1"/>
  <c r="K165" i="10" s="1"/>
  <c r="Y165" i="10" a="1"/>
  <c r="Y165" i="10" s="1"/>
  <c r="AB198" i="10" a="1"/>
  <c r="AB198" i="10" s="1"/>
  <c r="AP198" i="10" a="1"/>
  <c r="AP198" i="10" s="1"/>
  <c r="Y198" i="10" a="1"/>
  <c r="Y198" i="10" s="1"/>
  <c r="J198" i="10" a="1"/>
  <c r="J198" i="10" s="1"/>
  <c r="U222" i="58885" a="1"/>
  <c r="U222" i="58885" s="1"/>
  <c r="T238" i="58885" a="1"/>
  <c r="T238" i="58885" s="1"/>
  <c r="U238" i="58885" a="1"/>
  <c r="U238" i="58885" s="1"/>
  <c r="T185" i="58885" a="1"/>
  <c r="T185" i="58885" s="1"/>
  <c r="U185" i="58885" a="1"/>
  <c r="U185" i="58885" s="1"/>
  <c r="V168" i="10" a="1"/>
  <c r="V168" i="10" s="1"/>
  <c r="S168" i="10" a="1"/>
  <c r="S168" i="10" s="1"/>
  <c r="X168" i="10" a="1"/>
  <c r="X168" i="10" s="1"/>
  <c r="M23" i="58887"/>
  <c r="T251" i="58885" a="1"/>
  <c r="T251" i="58885" s="1"/>
  <c r="U251" i="58885" a="1"/>
  <c r="U251" i="58885" s="1"/>
  <c r="V183" i="10" a="1"/>
  <c r="V183" i="10" s="1"/>
  <c r="AO183" i="10" a="1"/>
  <c r="AO183" i="10" s="1"/>
  <c r="I183" i="10" a="1"/>
  <c r="I183" i="10" s="1"/>
  <c r="M76" i="58887"/>
  <c r="M100" i="58887"/>
  <c r="M150" i="58887"/>
  <c r="U242" i="58885" a="1"/>
  <c r="U242" i="58885" s="1"/>
  <c r="T242" i="58885" a="1"/>
  <c r="T242" i="58885" s="1"/>
  <c r="X186" i="10" a="1"/>
  <c r="X186" i="10" s="1"/>
  <c r="AJ144" i="10" a="1"/>
  <c r="AJ144" i="10" s="1"/>
  <c r="AF144" i="10" a="1"/>
  <c r="AF144" i="10" s="1"/>
  <c r="AM144" i="10" a="1"/>
  <c r="AM144" i="10" s="1"/>
  <c r="T196" i="58885" a="1"/>
  <c r="T196" i="58885" s="1"/>
  <c r="U196" i="58885" a="1"/>
  <c r="U196" i="58885" s="1"/>
  <c r="U195" i="10" a="1"/>
  <c r="U195" i="10" s="1"/>
  <c r="G195" i="10" a="1"/>
  <c r="G195" i="10" s="1"/>
  <c r="O195" i="10" a="1"/>
  <c r="O195" i="10" s="1"/>
  <c r="AG195" i="10" a="1"/>
  <c r="AG195" i="10" s="1"/>
  <c r="X159" i="10" a="1"/>
  <c r="X159" i="10" s="1"/>
  <c r="G243" i="10" a="1"/>
  <c r="G243" i="10" s="1"/>
  <c r="U181" i="58885" a="1"/>
  <c r="U181" i="58885" s="1"/>
  <c r="T181" i="58885" a="1"/>
  <c r="T181" i="58885" s="1"/>
  <c r="AM165" i="10" a="1"/>
  <c r="AM165" i="10" s="1"/>
  <c r="AJ165" i="10" a="1"/>
  <c r="AJ165" i="10" s="1"/>
  <c r="L165" i="10" a="1"/>
  <c r="L165" i="10" s="1"/>
  <c r="X165" i="10" a="1"/>
  <c r="X165" i="10" s="1"/>
  <c r="U190" i="58885" a="1"/>
  <c r="U190" i="58885" s="1"/>
  <c r="T190" i="58885" a="1"/>
  <c r="T190" i="58885" s="1"/>
  <c r="AG198" i="10" a="1"/>
  <c r="AG198" i="10" s="1"/>
  <c r="K198" i="10" a="1"/>
  <c r="K198" i="10" s="1"/>
  <c r="AH198" i="10" a="1"/>
  <c r="AH198" i="10" s="1"/>
  <c r="S198" i="10" a="1"/>
  <c r="S198" i="10" s="1"/>
  <c r="U200" i="58885" a="1"/>
  <c r="U200" i="58885" s="1"/>
  <c r="T200" i="58885" a="1"/>
  <c r="T200" i="58885" s="1"/>
  <c r="T237" i="58885" a="1"/>
  <c r="T237" i="58885" s="1"/>
  <c r="U237" i="58885" a="1"/>
  <c r="U237" i="58885" s="1"/>
  <c r="P228" i="10" a="1"/>
  <c r="P228" i="10" s="1"/>
  <c r="AJ228" i="10" a="1"/>
  <c r="AJ228" i="10" s="1"/>
  <c r="L168" i="10" a="1"/>
  <c r="L168" i="10" s="1"/>
  <c r="AE168" i="10" a="1"/>
  <c r="AE168" i="10" s="1"/>
  <c r="AC168" i="10" a="1"/>
  <c r="AC168" i="10" s="1"/>
  <c r="M7" i="58887"/>
  <c r="AM183" i="10" a="1"/>
  <c r="AM183" i="10" s="1"/>
  <c r="AN183" i="10" a="1"/>
  <c r="AN183" i="10" s="1"/>
  <c r="AC183" i="10" a="1"/>
  <c r="AC183" i="10" s="1"/>
  <c r="AE183" i="10" a="1"/>
  <c r="AE183" i="10" s="1"/>
  <c r="M109" i="58887"/>
  <c r="M77" i="58887"/>
  <c r="AF126" i="10" a="1"/>
  <c r="AF126" i="10" s="1"/>
  <c r="R129" i="10" a="1"/>
  <c r="R129" i="10" s="1"/>
  <c r="AH165" i="10" a="1"/>
  <c r="AH165" i="10" s="1"/>
  <c r="AO165" i="10" a="1"/>
  <c r="AO165" i="10" s="1"/>
  <c r="AA165" i="10" a="1"/>
  <c r="AA165" i="10" s="1"/>
  <c r="T106" i="58885" a="1"/>
  <c r="T106" i="58885" s="1"/>
  <c r="U106" i="58885" a="1"/>
  <c r="U106" i="58885" s="1"/>
  <c r="U250" i="58885" a="1"/>
  <c r="U250" i="58885" s="1"/>
  <c r="T250" i="58885" a="1"/>
  <c r="T250" i="58885" s="1"/>
  <c r="M74" i="58887"/>
  <c r="U218" i="58885" a="1"/>
  <c r="U218" i="58885" s="1"/>
  <c r="U124" i="58885" a="1"/>
  <c r="U124" i="58885" s="1"/>
  <c r="M65" i="58887"/>
  <c r="M105" i="58887"/>
  <c r="M138" i="58887"/>
  <c r="M30" i="58887"/>
  <c r="AI216" i="10" a="1"/>
  <c r="AI216" i="10" s="1"/>
  <c r="AO216" i="10" a="1"/>
  <c r="AO216" i="10" s="1"/>
  <c r="K216" i="10" a="1"/>
  <c r="K216" i="10" s="1"/>
  <c r="Q216" i="10" a="1"/>
  <c r="Q216" i="10" s="1"/>
  <c r="V216" i="10" a="1"/>
  <c r="V216" i="10" s="1"/>
  <c r="M216" i="10" a="1"/>
  <c r="M216" i="10" s="1"/>
  <c r="AD216" i="10" a="1"/>
  <c r="AD216" i="10" s="1"/>
  <c r="U216" i="10" a="1"/>
  <c r="U216" i="10" s="1"/>
  <c r="Z216" i="10" a="1"/>
  <c r="Z216" i="10" s="1"/>
  <c r="J216" i="10" a="1"/>
  <c r="J216" i="10" s="1"/>
  <c r="T216" i="10" a="1"/>
  <c r="T216" i="10" s="1"/>
  <c r="L216" i="10" a="1"/>
  <c r="L216" i="10" s="1"/>
  <c r="Y216" i="10" a="1"/>
  <c r="Y216" i="10" s="1"/>
  <c r="P216" i="10" a="1"/>
  <c r="P216" i="10" s="1"/>
  <c r="AA216" i="10" a="1"/>
  <c r="AA216" i="10" s="1"/>
  <c r="AM216" i="10" a="1"/>
  <c r="AM216" i="10" s="1"/>
  <c r="AC216" i="10" a="1"/>
  <c r="AC216" i="10" s="1"/>
  <c r="AB216" i="10" a="1"/>
  <c r="AB216" i="10" s="1"/>
  <c r="G216" i="10" a="1"/>
  <c r="G216" i="10" s="1"/>
  <c r="N216" i="10" a="1"/>
  <c r="N216" i="10" s="1"/>
  <c r="AE216" i="10" a="1"/>
  <c r="AE216" i="10" s="1"/>
  <c r="O216" i="10" a="1"/>
  <c r="O216" i="10" s="1"/>
  <c r="AK216" i="10" a="1"/>
  <c r="AK216" i="10" s="1"/>
  <c r="AN216" i="10" a="1"/>
  <c r="AN216" i="10" s="1"/>
  <c r="X216" i="10" a="1"/>
  <c r="X216" i="10" s="1"/>
  <c r="I216" i="10" a="1"/>
  <c r="I216" i="10" s="1"/>
  <c r="H216" i="10" a="1"/>
  <c r="H216" i="10" s="1"/>
  <c r="W216" i="10" a="1"/>
  <c r="W216" i="10" s="1"/>
  <c r="AF216" i="10" a="1"/>
  <c r="AF216" i="10" s="1"/>
  <c r="AS216" i="10"/>
  <c r="AP216" i="10" a="1"/>
  <c r="AP216" i="10" s="1"/>
  <c r="R216" i="10" a="1"/>
  <c r="R216" i="10" s="1"/>
  <c r="AJ216" i="10" a="1"/>
  <c r="AJ216" i="10" s="1"/>
  <c r="AL216" i="10" a="1"/>
  <c r="AL216" i="10" s="1"/>
  <c r="AG216" i="10" a="1"/>
  <c r="AG216" i="10" s="1"/>
  <c r="AH216" i="10" a="1"/>
  <c r="AH216" i="10" s="1"/>
  <c r="S216" i="10" a="1"/>
  <c r="S216" i="10" s="1"/>
  <c r="U241" i="58885" a="1"/>
  <c r="U241" i="58885" s="1"/>
  <c r="T183" i="58885" a="1"/>
  <c r="T183" i="58885" s="1"/>
  <c r="U183" i="58885" a="1"/>
  <c r="U183" i="58885" s="1"/>
  <c r="T223" i="58885" a="1"/>
  <c r="T223" i="58885" s="1"/>
  <c r="M52" i="58887"/>
  <c r="M66" i="58887"/>
  <c r="M82" i="58887"/>
  <c r="M46" i="58887"/>
  <c r="W211" i="58885" a="1"/>
  <c r="W211" i="58885" s="1"/>
  <c r="V211" i="58885" a="1"/>
  <c r="V211" i="58885" s="1"/>
  <c r="V138" i="58885" a="1"/>
  <c r="V138" i="58885" s="1"/>
  <c r="W138" i="58885" a="1"/>
  <c r="W138" i="58885" s="1"/>
  <c r="W5" i="58839"/>
  <c r="V56" i="58839"/>
  <c r="BU56" i="58839"/>
  <c r="BV5" i="58839"/>
  <c r="AQ291" i="10" a="1"/>
  <c r="AR291" i="10" a="1"/>
  <c r="DM172" i="58885" a="1"/>
  <c r="DM87" i="58885" a="1"/>
  <c r="DM170" i="58885" a="1"/>
  <c r="DO241" i="58885" a="1"/>
  <c r="AT236" i="10"/>
  <c r="DM50" i="58885" a="1"/>
  <c r="DM78" i="58885" a="1"/>
  <c r="FP14" i="58885" a="1"/>
  <c r="T145" i="58885" a="1"/>
  <c r="T50" i="58885" a="1"/>
  <c r="T166" i="58885" a="1"/>
  <c r="T57" i="58885" a="1"/>
  <c r="T156" i="58885" a="1"/>
  <c r="T68" i="58885" a="1"/>
  <c r="T170" i="58885" a="1"/>
  <c r="T143" i="58885" a="1"/>
  <c r="T45" i="58885" a="1"/>
  <c r="T150" i="58885" a="1"/>
  <c r="DM65" i="58885" a="1"/>
  <c r="B190" i="10" a="1"/>
  <c r="DM169" i="58885" a="1"/>
  <c r="DO181" i="58885" a="1"/>
  <c r="DM49" i="58885" a="1"/>
  <c r="DO120" i="58885" a="1"/>
  <c r="DO191" i="58885" a="1"/>
  <c r="DM69" i="58885" a="1"/>
  <c r="DM19" i="58885" a="1"/>
  <c r="DO106" i="58885" a="1"/>
  <c r="AT245" i="10"/>
  <c r="DO221" i="58885" a="1"/>
  <c r="T24" i="58885" a="1"/>
  <c r="T159" i="58885" a="1"/>
  <c r="T20" i="58885" a="1"/>
  <c r="T174" i="58885" a="1"/>
  <c r="T25" i="58885" a="1"/>
  <c r="T79" i="58885" a="1"/>
  <c r="T89" i="58885" a="1"/>
  <c r="AT119" i="10"/>
  <c r="DO209" i="58885" a="1"/>
  <c r="DM45" i="58885" a="1"/>
  <c r="DO131" i="58885" a="1"/>
  <c r="DO182" i="58885" a="1"/>
  <c r="DM84" i="58885" a="1"/>
  <c r="DM166" i="58885" a="1"/>
  <c r="DO109" i="58885" a="1"/>
  <c r="M313" i="10" a="1"/>
  <c r="DM161" i="58885" a="1"/>
  <c r="B193" i="10" a="1"/>
  <c r="DM179" i="58885" a="1"/>
  <c r="DM58" i="58885" a="1"/>
  <c r="DO193" i="58885" a="1"/>
  <c r="DO197" i="58885" a="1"/>
  <c r="DM63" i="58885" a="1"/>
  <c r="DO216" i="58885" a="1"/>
  <c r="DO232" i="58885" a="1"/>
  <c r="DO202" i="58885" a="1"/>
  <c r="K313" i="10" a="1"/>
  <c r="DO125" i="58885" a="1"/>
  <c r="DO204" i="58885" a="1"/>
  <c r="B232" i="10" a="1"/>
  <c r="AT218" i="10"/>
  <c r="DM60" i="58885" a="1"/>
  <c r="DM178" i="58885" a="1"/>
  <c r="DM76" i="58885" a="1"/>
  <c r="DO102" i="58885" a="1"/>
  <c r="DO226" i="58885" a="1"/>
  <c r="DM33" i="58885" a="1"/>
  <c r="AT170" i="10"/>
  <c r="DO124" i="58885" a="1"/>
  <c r="DM175" i="58885" a="1"/>
  <c r="AT134" i="10"/>
  <c r="DO213" i="58885" a="1"/>
  <c r="DM47" i="58885" a="1"/>
  <c r="DM158" i="58885" a="1"/>
  <c r="DO238" i="58885" a="1"/>
  <c r="T146" i="58885" a="1"/>
  <c r="T168" i="58885" a="1"/>
  <c r="T154" i="58885" a="1"/>
  <c r="T42" i="58885" a="1"/>
  <c r="T96" i="58885" a="1"/>
  <c r="T13" i="58885" a="1"/>
  <c r="T36" i="58885" a="1"/>
  <c r="T60" i="58885" a="1"/>
  <c r="T46" i="58885" a="1"/>
  <c r="T8" i="58885" a="1"/>
  <c r="DM93" i="58885" a="1"/>
  <c r="DO190" i="58885" a="1"/>
  <c r="BM6" i="58887" a="1"/>
  <c r="AR293" i="10" a="1"/>
  <c r="AQ293" i="10" a="1"/>
  <c r="DM157" i="58885" a="1"/>
  <c r="DO99" i="58885" a="1"/>
  <c r="DM61" i="58885" a="1"/>
  <c r="DM90" i="58885" a="1"/>
  <c r="DO245" i="58885" a="1"/>
  <c r="T171" i="58885" a="1"/>
  <c r="T15" i="58885" a="1"/>
  <c r="T163" i="58885" a="1"/>
  <c r="T21" i="58885" a="1"/>
  <c r="T39" i="58885" a="1"/>
  <c r="T164" i="58885" a="1"/>
  <c r="T32" i="58885" a="1"/>
  <c r="DM92" i="58885" a="1"/>
  <c r="DM167" i="58885" a="1"/>
  <c r="DO242" i="58885" a="1"/>
  <c r="DO140" i="58885" a="1"/>
  <c r="DO211" i="58885" a="1"/>
  <c r="DM48" i="58885" a="1"/>
  <c r="DM81" i="58885" a="1"/>
  <c r="DO198" i="58885" a="1"/>
  <c r="DO228" i="58885" a="1"/>
  <c r="DM176" i="58885" a="1"/>
  <c r="DO112" i="58885" a="1"/>
  <c r="DM148" i="58885" a="1"/>
  <c r="DO127" i="58885" a="1"/>
  <c r="B181" i="10" a="1"/>
  <c r="DO103" i="58885" a="1"/>
  <c r="DO97" i="58885" a="1"/>
  <c r="AQ295" i="10" a="1"/>
  <c r="AR295" i="10" a="1"/>
  <c r="DM26" i="58885" a="1"/>
  <c r="DM31" i="58885" a="1"/>
  <c r="DM94" i="58885" a="1"/>
  <c r="DO223" i="58885" a="1"/>
  <c r="DM79" i="58885" a="1"/>
  <c r="DO207" i="58885" a="1"/>
  <c r="B214" i="10" a="1"/>
  <c r="AT158" i="10"/>
  <c r="B184" i="10" a="1"/>
  <c r="DO185" i="58885" a="1"/>
  <c r="DM68" i="58885" a="1"/>
  <c r="B235" i="10" a="1"/>
  <c r="T12" i="58885" a="1"/>
  <c r="T58" i="58885" a="1"/>
  <c r="T16" i="58885" a="1"/>
  <c r="T87" i="58885" a="1"/>
  <c r="T40" i="58885" a="1"/>
  <c r="T63" i="58885" a="1"/>
  <c r="T151" i="58885" a="1"/>
  <c r="T29" i="58885" a="1"/>
  <c r="T149" i="58885" a="1"/>
  <c r="DO237" i="58885" a="1"/>
  <c r="DO229" i="58885" a="1"/>
  <c r="DO115" i="58885" a="1"/>
  <c r="B241" i="10" a="1"/>
  <c r="T177" i="58885" a="1"/>
  <c r="T34" i="58885" a="1"/>
  <c r="T30" i="58885" a="1"/>
  <c r="T90" i="58885" a="1"/>
  <c r="T157" i="58885" a="1"/>
  <c r="T84" i="58885" a="1"/>
  <c r="T161" i="58885" a="1"/>
  <c r="DM46" i="58885" a="1"/>
  <c r="DM86" i="58885" a="1"/>
  <c r="AT206" i="10"/>
  <c r="DM72" i="58885" a="1"/>
  <c r="B244" i="10" a="1"/>
  <c r="BM8" i="58887" a="1"/>
  <c r="DM54" i="58885" a="1"/>
  <c r="DM173" i="58885" a="1"/>
  <c r="DO210" i="58885" a="1"/>
  <c r="B238" i="10" a="1"/>
  <c r="B154" i="10" a="1"/>
  <c r="AT230" i="10"/>
  <c r="DM80" i="58885" a="1"/>
  <c r="U313" i="10" a="1"/>
  <c r="DO219" i="58885" a="1"/>
  <c r="B226" i="10" a="1"/>
  <c r="DM150" i="58885" a="1"/>
  <c r="DO234" i="58885" a="1"/>
  <c r="DO236" i="58885" a="1"/>
  <c r="AT143" i="10"/>
  <c r="DO110" i="58885" a="1"/>
  <c r="AM313" i="10" a="1"/>
  <c r="DM24" i="58885" a="1"/>
  <c r="AT194" i="10"/>
  <c r="DO224" i="58885" a="1"/>
  <c r="DO217" i="58885" a="1"/>
  <c r="DO244" i="58885" a="1"/>
  <c r="DM62" i="58885" a="1"/>
  <c r="B121" i="10" a="1"/>
  <c r="DO119" i="58885" a="1"/>
  <c r="DO126" i="58885" a="1"/>
  <c r="B229" i="10" a="1"/>
  <c r="AT164" i="10"/>
  <c r="DM20" i="58885" a="1"/>
  <c r="AT200" i="10"/>
  <c r="AR299" i="10" a="1"/>
  <c r="AQ299" i="10" a="1"/>
  <c r="B199" i="10" a="1"/>
  <c r="DM41" i="58885" a="1"/>
  <c r="T72" i="58885" a="1"/>
  <c r="T147" i="58885" a="1"/>
  <c r="T67" i="58885" a="1"/>
  <c r="T144" i="58885" a="1"/>
  <c r="T152" i="58885" a="1"/>
  <c r="T41" i="58885" a="1"/>
  <c r="T61" i="58885" a="1"/>
  <c r="T6" i="58885" a="1"/>
  <c r="T148" i="58885" a="1"/>
  <c r="DM143" i="58885" a="1"/>
  <c r="DO230" i="58885" a="1"/>
  <c r="AT167" i="10"/>
  <c r="DO111" i="58885" a="1"/>
  <c r="AT251" i="10"/>
  <c r="DM5" i="58885" a="1"/>
  <c r="T92" i="58885" a="1"/>
  <c r="T81" i="58885" a="1"/>
  <c r="T180" i="58885" a="1"/>
  <c r="T75" i="58885" a="1"/>
  <c r="T71" i="58885" a="1"/>
  <c r="T9" i="58885" a="1"/>
  <c r="T33" i="58885" a="1"/>
  <c r="DO98" i="58885" a="1"/>
  <c r="AT173" i="10"/>
  <c r="DO101" i="58885" a="1"/>
  <c r="DM77" i="58885" a="1"/>
  <c r="AT140" i="10"/>
  <c r="DM57" i="58885" a="1"/>
  <c r="DM17" i="58885" a="1"/>
  <c r="B151" i="10" a="1"/>
  <c r="DO121" i="58885" a="1"/>
  <c r="AT179" i="10"/>
  <c r="AG313" i="10" a="1"/>
  <c r="DM147" i="58885" a="1"/>
  <c r="DM12" i="58885" a="1"/>
  <c r="DO118" i="58885" a="1"/>
  <c r="DM75" i="58885" a="1"/>
  <c r="DM30" i="58885" a="1"/>
  <c r="DO195" i="58885" a="1"/>
  <c r="B136" i="10" a="1"/>
  <c r="DO187" i="58885" a="1"/>
  <c r="DM159" i="58885" a="1"/>
  <c r="DM7" i="58885" a="1"/>
  <c r="DO132" i="58885" a="1"/>
  <c r="DO215" i="58885" a="1"/>
  <c r="DM34" i="58885" a="1"/>
  <c r="AA313" i="10" a="1"/>
  <c r="DO225" i="58885" a="1"/>
  <c r="DO200" i="58885" a="1"/>
  <c r="G313" i="10" a="1"/>
  <c r="D259" i="10"/>
  <c r="T62" i="58885" a="1"/>
  <c r="T28" i="58885" a="1"/>
  <c r="T35" i="58885" a="1"/>
  <c r="T74" i="58885" a="1"/>
  <c r="T95" i="58885" a="1"/>
  <c r="T153" i="58885" a="1"/>
  <c r="T55" i="58885" a="1"/>
  <c r="T48" i="58885" a="1"/>
  <c r="T175" i="58885" a="1"/>
  <c r="DM29" i="58885" a="1"/>
  <c r="DO139" i="58885" a="1"/>
  <c r="Y313" i="10" a="1"/>
  <c r="DM164" i="58885" a="1"/>
  <c r="B127" i="10" a="1"/>
  <c r="DO214" i="58885" a="1"/>
  <c r="DM91" i="58885" a="1"/>
  <c r="DM36" i="58885" a="1"/>
  <c r="DM11" i="58885" a="1"/>
  <c r="T94" i="58885" a="1"/>
  <c r="T19" i="58885" a="1"/>
  <c r="T31" i="58885" a="1"/>
  <c r="T27" i="58885" a="1"/>
  <c r="T38" i="58885" a="1"/>
  <c r="T179" i="58885" a="1"/>
  <c r="B208" i="10" a="1"/>
  <c r="AI313" i="10" a="1"/>
  <c r="AT155" i="10"/>
  <c r="AK313" i="10" a="1"/>
  <c r="DM23" i="58885" a="1"/>
  <c r="DM16" i="58885" a="1"/>
  <c r="DO108" i="58885" a="1"/>
  <c r="DM155" i="58885" a="1"/>
  <c r="DO239" i="58885" a="1"/>
  <c r="DM51" i="58885" a="1"/>
  <c r="B178" i="10" a="1"/>
  <c r="B145" i="10" a="1"/>
  <c r="B220" i="10" a="1"/>
  <c r="DO116" i="58885" a="1"/>
  <c r="B118" i="10" a="1"/>
  <c r="B133" i="10" a="1"/>
  <c r="B187" i="10" a="1"/>
  <c r="DM6" i="58885" a="1"/>
  <c r="DO201" i="58885" a="1"/>
  <c r="DM44" i="58885" a="1"/>
  <c r="DO141" i="58885" a="1"/>
  <c r="DO133" i="58885" a="1"/>
  <c r="AT149" i="10"/>
  <c r="DM18" i="58885" a="1"/>
  <c r="AT182" i="10"/>
  <c r="DM40" i="58885" a="1"/>
  <c r="AT176" i="10"/>
  <c r="O313" i="10" a="1"/>
  <c r="DO194" i="58885" a="1"/>
  <c r="DM83" i="58885" a="1"/>
  <c r="DM154" i="58885" a="1"/>
  <c r="DM96" i="58885" a="1"/>
  <c r="DM74" i="58885" a="1"/>
  <c r="DM162" i="58885" a="1"/>
  <c r="DM35" i="58885" a="1"/>
  <c r="AT161" i="10"/>
  <c r="DM88" i="58885" a="1"/>
  <c r="FP11" i="58885" a="1"/>
  <c r="B217" i="10" a="1"/>
  <c r="DM177" i="58885" a="1"/>
  <c r="T88" i="58885" a="1"/>
  <c r="T169" i="58885" a="1"/>
  <c r="T23" i="58885" a="1"/>
  <c r="T66" i="58885" a="1"/>
  <c r="T178" i="58885" a="1"/>
  <c r="T77" i="58885" a="1"/>
  <c r="T51" i="58885" a="1"/>
  <c r="T56" i="58885" a="1"/>
  <c r="T52" i="58885" a="1"/>
  <c r="AT212" i="10"/>
  <c r="B130" i="10" a="1"/>
  <c r="DO222" i="58885" a="1"/>
  <c r="DO122" i="58885" a="1"/>
  <c r="DM85" i="58885" a="1"/>
  <c r="AT239" i="10"/>
  <c r="B163" i="10" a="1"/>
  <c r="DM25" i="58885" a="1"/>
  <c r="DM64" i="58885" a="1"/>
  <c r="B166" i="10" a="1"/>
  <c r="W313" i="10" a="1"/>
  <c r="AT125" i="10"/>
  <c r="AA6" i="58887" a="1"/>
  <c r="T18" i="58885" a="1"/>
  <c r="T162" i="58885" a="1"/>
  <c r="T176" i="58885" a="1"/>
  <c r="T85" i="58885" a="1"/>
  <c r="T11" i="58885" a="1"/>
  <c r="T86" i="58885" a="1"/>
  <c r="T160" i="58885" a="1"/>
  <c r="DM14" i="58885" a="1"/>
  <c r="DO231" i="58885" a="1"/>
  <c r="DO189" i="58885" a="1"/>
  <c r="AT221" i="10"/>
  <c r="DO206" i="58885" a="1"/>
  <c r="AT248" i="10"/>
  <c r="DM156" i="58885" a="1"/>
  <c r="DM89" i="58885" a="1"/>
  <c r="AT131" i="10"/>
  <c r="DM27" i="58885" a="1"/>
  <c r="DO114" i="58885" a="1"/>
  <c r="DO243" i="58885" a="1"/>
  <c r="DO186" i="58885" a="1"/>
  <c r="DM21" i="58885" a="1"/>
  <c r="DO227" i="58885" a="1"/>
  <c r="AT224" i="10"/>
  <c r="B205" i="10" a="1"/>
  <c r="DO203" i="58885" a="1"/>
  <c r="DM8" i="58885" a="1"/>
  <c r="DM32" i="58885" a="1"/>
  <c r="DO138" i="58885" a="1"/>
  <c r="DO208" i="58885" a="1"/>
  <c r="B253" i="10" a="1"/>
  <c r="DO128" i="58885" a="1"/>
  <c r="DM42" i="58885" a="1"/>
  <c r="DM145" i="58885" a="1"/>
  <c r="DM10" i="58885" a="1"/>
  <c r="I313" i="10" a="1"/>
  <c r="AQ301" i="10" a="1"/>
  <c r="AR301" i="10" a="1"/>
  <c r="AC313" i="10" a="1"/>
  <c r="DM180" i="58885" a="1"/>
  <c r="DO183" i="58885" a="1"/>
  <c r="DM174" i="58885" a="1"/>
  <c r="AT188" i="10"/>
  <c r="Q313" i="10" a="1"/>
  <c r="DO184" i="58885" a="1"/>
  <c r="AT209" i="10"/>
  <c r="DM165" i="58885" a="1"/>
  <c r="AT197" i="10"/>
  <c r="B169" i="10" a="1"/>
  <c r="BM7" i="58887" a="1"/>
  <c r="T7" i="58885" a="1"/>
  <c r="T17" i="58885" a="1"/>
  <c r="T53" i="58885" a="1"/>
  <c r="T14" i="58885" a="1"/>
  <c r="T76" i="58885" a="1"/>
  <c r="T5" i="58885" a="1"/>
  <c r="T47" i="58885" a="1"/>
  <c r="T165" i="58885" a="1"/>
  <c r="T54" i="58885" a="1"/>
  <c r="DM146" i="58885" a="1"/>
  <c r="DM28" i="58885" a="1"/>
  <c r="AT116" i="10"/>
  <c r="AT227" i="10"/>
  <c r="DM22" i="58885" a="1"/>
  <c r="DM52" i="58885" a="1"/>
  <c r="DO117" i="58885" a="1"/>
  <c r="DO130" i="58885" a="1"/>
  <c r="AT203" i="10"/>
  <c r="DM37" i="58885" a="1"/>
  <c r="DO233" i="58885" a="1"/>
  <c r="FP8" i="58885" a="1"/>
  <c r="AQ297" i="10" a="1"/>
  <c r="AR297" i="10" a="1"/>
  <c r="T37" i="58885" a="1"/>
  <c r="T80" i="58885" a="1"/>
  <c r="T158" i="58885" a="1"/>
  <c r="T173" i="58885" a="1"/>
  <c r="T22" i="58885" a="1"/>
  <c r="T93" i="58885" a="1"/>
  <c r="T70" i="58885" a="1"/>
  <c r="DM163" i="58885" a="1"/>
  <c r="AE313" i="10" a="1"/>
  <c r="DM73" i="58885" a="1"/>
  <c r="DM153" i="58885" a="1"/>
  <c r="DO107" i="58885" a="1"/>
  <c r="B223" i="10" a="1"/>
  <c r="DO100" i="58885" a="1"/>
  <c r="B247" i="10" a="1"/>
  <c r="S313" i="10" a="1"/>
  <c r="DM53" i="58885" a="1"/>
  <c r="DO246" i="58885" a="1"/>
  <c r="DO113" i="58885" a="1"/>
  <c r="DO129" i="58885" a="1"/>
  <c r="B211" i="10" a="1"/>
  <c r="AO313" i="10" a="1"/>
  <c r="DM67" i="58885" a="1"/>
  <c r="DM82" i="58885" a="1"/>
  <c r="DM168" i="58885" a="1"/>
  <c r="DO142" i="58885" a="1"/>
  <c r="AA8" i="58887" a="1"/>
  <c r="DM144" i="58885" a="1"/>
  <c r="DM66" i="58885" a="1"/>
  <c r="B157" i="10" a="1"/>
  <c r="DO205" i="58885" a="1"/>
  <c r="B124" i="10" a="1"/>
  <c r="DM43" i="58885" a="1"/>
  <c r="DM13" i="58885" a="1"/>
  <c r="DO105" i="58885" a="1"/>
  <c r="B142" i="10" a="1"/>
  <c r="B148" i="10" a="1"/>
  <c r="DO188" i="58885" a="1"/>
  <c r="DO199" i="58885" a="1"/>
  <c r="DM15" i="58885" a="1"/>
  <c r="DM149" i="58885" a="1"/>
  <c r="DM95" i="58885" a="1"/>
  <c r="DO240" i="58885" a="1"/>
  <c r="AT215" i="10"/>
  <c r="AA7" i="58887" a="1"/>
  <c r="DO218" i="58885" a="1"/>
  <c r="DM160" i="58885" a="1"/>
  <c r="AT137" i="10"/>
  <c r="DM56" i="58885" a="1"/>
  <c r="T65" i="58885" a="1"/>
  <c r="T73" i="58885" a="1"/>
  <c r="T64" i="58885" a="1"/>
  <c r="T43" i="58885" a="1"/>
  <c r="T59" i="58885" a="1"/>
  <c r="T167" i="58885" a="1"/>
  <c r="T82" i="58885" a="1"/>
  <c r="T155" i="58885" a="1"/>
  <c r="T49" i="58885" a="1"/>
  <c r="T44" i="58885" a="1"/>
  <c r="DO134" i="58885" a="1"/>
  <c r="DO123" i="58885" a="1"/>
  <c r="DM9" i="58885" a="1"/>
  <c r="B250" i="10" a="1"/>
  <c r="B160" i="10" a="1"/>
  <c r="DO196" i="58885" a="1"/>
  <c r="B196" i="10" a="1"/>
  <c r="AT128" i="10"/>
  <c r="T172" i="58885" a="1"/>
  <c r="T26" i="58885" a="1"/>
  <c r="T10" i="58885" a="1"/>
  <c r="T91" i="58885" a="1"/>
  <c r="T69" i="58885" a="1"/>
  <c r="T78" i="58885" a="1"/>
  <c r="T83" i="58885" a="1"/>
  <c r="DO247" i="58885" a="1"/>
  <c r="DO248" i="58885" a="1"/>
  <c r="AT242" i="10"/>
  <c r="DO104" i="58885" a="1"/>
  <c r="AT191" i="10"/>
  <c r="B139" i="10" a="1"/>
  <c r="DM59" i="58885" a="1"/>
  <c r="DO137" i="58885" a="1"/>
  <c r="DM151" i="58885" a="1"/>
  <c r="B175" i="10" a="1"/>
  <c r="AT122" i="10"/>
  <c r="AT233" i="10"/>
  <c r="DM55" i="58885" a="1"/>
  <c r="DO235" i="58885" a="1"/>
  <c r="DM71" i="58885" a="1"/>
  <c r="B172" i="10" a="1"/>
  <c r="DM171" i="58885" a="1"/>
  <c r="B202" i="10" a="1"/>
  <c r="DM152" i="58885" a="1"/>
  <c r="DO135" i="58885" a="1"/>
  <c r="DM70" i="58885" a="1"/>
  <c r="DO220" i="58885" a="1"/>
  <c r="DO136" i="58885" a="1"/>
  <c r="BM296" i="58883" a="1"/>
  <c r="AQ207" i="10" a="1"/>
  <c r="AQ249" i="10" a="1"/>
  <c r="DO192" i="58885" a="1"/>
  <c r="AQ240" i="10" a="1"/>
  <c r="AQ234" i="10" a="1"/>
  <c r="AR207" i="10" a="1"/>
  <c r="AR249" i="10" a="1"/>
  <c r="AR240" i="10" a="1"/>
  <c r="AR234" i="10" a="1"/>
  <c r="D15" i="33" a="1"/>
  <c r="C11" i="33" a="1"/>
  <c r="G11" i="33" a="1"/>
  <c r="C5" i="33" a="1"/>
  <c r="D14" i="33" a="1"/>
  <c r="G16" i="33" a="1"/>
  <c r="AR216" i="10" a="1"/>
  <c r="DM38" i="58885" a="1"/>
  <c r="DO212" i="58885" a="1"/>
  <c r="DM39" i="58885" a="1"/>
  <c r="G18" i="33" a="1"/>
  <c r="AQ216" i="10" a="1"/>
  <c r="U296" i="58884" a="1"/>
  <c r="DM39" i="58885" l="1"/>
  <c r="DO212" i="58885"/>
  <c r="DM38" i="58885"/>
  <c r="DO192" i="58885"/>
  <c r="DO136" i="58885"/>
  <c r="DO220" i="58885"/>
  <c r="DM70" i="58885"/>
  <c r="DO135" i="58885"/>
  <c r="DM152" i="58885"/>
  <c r="B202" i="10"/>
  <c r="DM171" i="58885"/>
  <c r="B172" i="10"/>
  <c r="AB172" i="10" s="1" a="1"/>
  <c r="AB172" i="10" s="1"/>
  <c r="DM71" i="58885"/>
  <c r="DO235" i="58885"/>
  <c r="DM55" i="58885"/>
  <c r="Q175" i="10" a="1"/>
  <c r="Q175" i="10" s="1"/>
  <c r="AK175" i="10" a="1"/>
  <c r="AK175" i="10" s="1"/>
  <c r="J175" i="10" a="1"/>
  <c r="J175" i="10" s="1"/>
  <c r="B175" i="10"/>
  <c r="AS175" i="10" s="1"/>
  <c r="P175" i="10" a="1"/>
  <c r="P175" i="10" s="1"/>
  <c r="M175" i="10" a="1"/>
  <c r="M175" i="10" s="1"/>
  <c r="AI175" i="10" a="1"/>
  <c r="AI175" i="10" s="1"/>
  <c r="W175" i="10" a="1"/>
  <c r="W175" i="10" s="1"/>
  <c r="AE175" i="10" a="1"/>
  <c r="AE175" i="10" s="1"/>
  <c r="O175" i="10" a="1"/>
  <c r="O175" i="10" s="1"/>
  <c r="X175" i="10" a="1"/>
  <c r="X175" i="10" s="1"/>
  <c r="L175" i="10" a="1"/>
  <c r="L175" i="10" s="1"/>
  <c r="AM175" i="10" a="1"/>
  <c r="AM175" i="10" s="1"/>
  <c r="AB175" i="10" a="1"/>
  <c r="AB175" i="10" s="1"/>
  <c r="DM151" i="58885"/>
  <c r="DO137" i="58885"/>
  <c r="DM59" i="58885"/>
  <c r="P139" i="10" a="1"/>
  <c r="P139" i="10" s="1"/>
  <c r="V139" i="10" a="1"/>
  <c r="V139" i="10" s="1"/>
  <c r="AO139" i="10" a="1"/>
  <c r="AO139" i="10" s="1"/>
  <c r="L139" i="10" a="1"/>
  <c r="L139" i="10" s="1"/>
  <c r="B139" i="10"/>
  <c r="X139" i="10" s="1" a="1"/>
  <c r="X139" i="10" s="1"/>
  <c r="AP139" i="10" a="1"/>
  <c r="AP139" i="10" s="1"/>
  <c r="DO104" i="58885"/>
  <c r="DO248" i="58885"/>
  <c r="DO247" i="58885"/>
  <c r="T83" i="58885"/>
  <c r="T78" i="58885"/>
  <c r="T69" i="58885"/>
  <c r="T91" i="58885"/>
  <c r="T10" i="58885"/>
  <c r="T26" i="58885"/>
  <c r="T172" i="58885"/>
  <c r="AE196" i="10" a="1"/>
  <c r="AE196" i="10" s="1"/>
  <c r="R196" i="10" a="1"/>
  <c r="R196" i="10" s="1"/>
  <c r="AH196" i="10" a="1"/>
  <c r="AH196" i="10" s="1"/>
  <c r="P196" i="10" a="1"/>
  <c r="P196" i="10" s="1"/>
  <c r="B196" i="10"/>
  <c r="AS196" i="10" s="1"/>
  <c r="O196" i="10" a="1"/>
  <c r="O196" i="10" s="1"/>
  <c r="H196" i="10" a="1"/>
  <c r="H196" i="10" s="1"/>
  <c r="AM196" i="10" a="1"/>
  <c r="AM196" i="10" s="1"/>
  <c r="G196" i="10" a="1"/>
  <c r="G196" i="10" s="1"/>
  <c r="Y196" i="10" a="1"/>
  <c r="Y196" i="10" s="1"/>
  <c r="AD196" i="10" a="1"/>
  <c r="AD196" i="10" s="1"/>
  <c r="AG196" i="10" a="1"/>
  <c r="AG196" i="10" s="1"/>
  <c r="V196" i="10" a="1"/>
  <c r="V196" i="10" s="1"/>
  <c r="AA196" i="10" a="1"/>
  <c r="AA196" i="10" s="1"/>
  <c r="AC196" i="10" a="1"/>
  <c r="AC196" i="10" s="1"/>
  <c r="AN196" i="10" a="1"/>
  <c r="AN196" i="10" s="1"/>
  <c r="AP196" i="10" a="1"/>
  <c r="AP196" i="10" s="1"/>
  <c r="DO196" i="58885"/>
  <c r="M160" i="10" a="1"/>
  <c r="M160" i="10" s="1"/>
  <c r="AL160" i="10" a="1"/>
  <c r="AL160" i="10" s="1"/>
  <c r="AO160" i="10" a="1"/>
  <c r="AO160" i="10" s="1"/>
  <c r="AN160" i="10" a="1"/>
  <c r="AN160" i="10" s="1"/>
  <c r="N160" i="10" a="1"/>
  <c r="N160" i="10" s="1"/>
  <c r="AD160" i="10" a="1"/>
  <c r="AD160" i="10" s="1"/>
  <c r="K160" i="10" a="1"/>
  <c r="K160" i="10" s="1"/>
  <c r="P160" i="10" a="1"/>
  <c r="P160" i="10" s="1"/>
  <c r="Q160" i="10" a="1"/>
  <c r="Q160" i="10" s="1"/>
  <c r="I160" i="10" a="1"/>
  <c r="I160" i="10" s="1"/>
  <c r="B160" i="10"/>
  <c r="AS160" i="10" s="1"/>
  <c r="B250" i="10"/>
  <c r="DM9" i="58885"/>
  <c r="DO123" i="58885"/>
  <c r="DO134" i="58885"/>
  <c r="T44" i="58885"/>
  <c r="T49" i="58885"/>
  <c r="T155" i="58885"/>
  <c r="T82" i="58885"/>
  <c r="T167" i="58885"/>
  <c r="T59" i="58885"/>
  <c r="T43" i="58885"/>
  <c r="T64" i="58885"/>
  <c r="T73" i="58885"/>
  <c r="T65" i="58885"/>
  <c r="DM56" i="58885"/>
  <c r="DM160" i="58885"/>
  <c r="DO218" i="58885"/>
  <c r="AA7" i="58887"/>
  <c r="DO240" i="58885"/>
  <c r="DM95" i="58885"/>
  <c r="DM149" i="58885"/>
  <c r="DM15" i="58885"/>
  <c r="DO199" i="58885"/>
  <c r="DO188" i="58885"/>
  <c r="AO148" i="10" a="1"/>
  <c r="AO148" i="10" s="1"/>
  <c r="AM148" i="10" a="1"/>
  <c r="AM148" i="10" s="1"/>
  <c r="AA148" i="10" a="1"/>
  <c r="AA148" i="10" s="1"/>
  <c r="W148" i="10" a="1"/>
  <c r="W148" i="10" s="1"/>
  <c r="M148" i="10" a="1"/>
  <c r="M148" i="10" s="1"/>
  <c r="B148" i="10"/>
  <c r="AS148" i="10" s="1"/>
  <c r="AE148" i="10" a="1"/>
  <c r="AE148" i="10" s="1"/>
  <c r="AH148" i="10" a="1"/>
  <c r="AH148" i="10" s="1"/>
  <c r="O148" i="10" a="1"/>
  <c r="O148" i="10" s="1"/>
  <c r="G148" i="10" a="1"/>
  <c r="G148" i="10" s="1"/>
  <c r="AI148" i="10" a="1"/>
  <c r="AI148" i="10" s="1"/>
  <c r="H148" i="10" a="1"/>
  <c r="H148" i="10" s="1"/>
  <c r="AD148" i="10" a="1"/>
  <c r="AD148" i="10" s="1"/>
  <c r="J148" i="10" a="1"/>
  <c r="J148" i="10" s="1"/>
  <c r="V148" i="10" a="1"/>
  <c r="V148" i="10" s="1"/>
  <c r="AP148" i="10" a="1"/>
  <c r="AP148" i="10" s="1"/>
  <c r="AK148" i="10" a="1"/>
  <c r="AK148" i="10" s="1"/>
  <c r="N148" i="10" a="1"/>
  <c r="N148" i="10" s="1"/>
  <c r="L148" i="10" a="1"/>
  <c r="L148" i="10" s="1"/>
  <c r="B142" i="10"/>
  <c r="AB142" i="10" a="1"/>
  <c r="AB142" i="10" s="1"/>
  <c r="AL142" i="10" a="1"/>
  <c r="AL142" i="10" s="1"/>
  <c r="M142" i="10" a="1"/>
  <c r="M142" i="10" s="1"/>
  <c r="K142" i="10" a="1"/>
  <c r="K142" i="10" s="1"/>
  <c r="J142" i="10" a="1"/>
  <c r="J142" i="10" s="1"/>
  <c r="DO105" i="58885"/>
  <c r="DM13" i="58885"/>
  <c r="DM43" i="58885"/>
  <c r="AO124" i="10" a="1"/>
  <c r="AO124" i="10" s="1"/>
  <c r="R124" i="10" a="1"/>
  <c r="R124" i="10" s="1"/>
  <c r="B124" i="10"/>
  <c r="V124" i="10" s="1" a="1"/>
  <c r="V124" i="10" s="1"/>
  <c r="X124" i="10" a="1"/>
  <c r="X124" i="10" s="1"/>
  <c r="M124" i="10" a="1"/>
  <c r="M124" i="10" s="1"/>
  <c r="AA124" i="10" a="1"/>
  <c r="AA124" i="10" s="1"/>
  <c r="Q124" i="10" a="1"/>
  <c r="Q124" i="10" s="1"/>
  <c r="N124" i="10" a="1"/>
  <c r="N124" i="10" s="1"/>
  <c r="DO205" i="58885"/>
  <c r="Q157" i="10" a="1"/>
  <c r="Q157" i="10" s="1"/>
  <c r="B157" i="10"/>
  <c r="AS157" i="10" s="1"/>
  <c r="V157" i="10" a="1"/>
  <c r="V157" i="10" s="1"/>
  <c r="Y157" i="10" a="1"/>
  <c r="Y157" i="10" s="1"/>
  <c r="AI157" i="10" a="1"/>
  <c r="AI157" i="10" s="1"/>
  <c r="AF157" i="10" a="1"/>
  <c r="AF157" i="10" s="1"/>
  <c r="AJ157" i="10" a="1"/>
  <c r="AJ157" i="10" s="1"/>
  <c r="AK157" i="10" a="1"/>
  <c r="AK157" i="10" s="1"/>
  <c r="L157" i="10" a="1"/>
  <c r="L157" i="10" s="1"/>
  <c r="AO157" i="10" a="1"/>
  <c r="AO157" i="10" s="1"/>
  <c r="S157" i="10" a="1"/>
  <c r="S157" i="10" s="1"/>
  <c r="J157" i="10" a="1"/>
  <c r="J157" i="10" s="1"/>
  <c r="AA157" i="10" a="1"/>
  <c r="AA157" i="10" s="1"/>
  <c r="AM157" i="10" a="1"/>
  <c r="AM157" i="10" s="1"/>
  <c r="X157" i="10" a="1"/>
  <c r="X157" i="10" s="1"/>
  <c r="AB157" i="10" a="1"/>
  <c r="AB157" i="10" s="1"/>
  <c r="DM66" i="58885"/>
  <c r="DM144" i="58885"/>
  <c r="AA8" i="58887"/>
  <c r="DO142" i="58885"/>
  <c r="DM168" i="58885"/>
  <c r="DM82" i="58885"/>
  <c r="DM67" i="58885"/>
  <c r="AO313" i="10"/>
  <c r="B211" i="10"/>
  <c r="DO129" i="58885"/>
  <c r="DO113" i="58885"/>
  <c r="DO246" i="58885"/>
  <c r="DM53" i="58885"/>
  <c r="S313" i="10"/>
  <c r="B247" i="10"/>
  <c r="DO100" i="58885"/>
  <c r="B223" i="10"/>
  <c r="DO107" i="58885"/>
  <c r="DM153" i="58885"/>
  <c r="DM73" i="58885"/>
  <c r="AE313" i="10"/>
  <c r="DM163" i="58885"/>
  <c r="T70" i="58885"/>
  <c r="T93" i="58885"/>
  <c r="T22" i="58885"/>
  <c r="T173" i="58885"/>
  <c r="T158" i="58885"/>
  <c r="T80" i="58885"/>
  <c r="T37" i="58885"/>
  <c r="AR297" i="10"/>
  <c r="AQ297" i="10"/>
  <c r="FP8" i="58885"/>
  <c r="FR8" i="58885" s="1" a="1"/>
  <c r="FR8" i="58885" s="1"/>
  <c r="DO233" i="58885"/>
  <c r="DM37" i="58885"/>
  <c r="DO130" i="58885"/>
  <c r="DO117" i="58885"/>
  <c r="DM52" i="58885"/>
  <c r="DM22" i="58885"/>
  <c r="DM28" i="58885"/>
  <c r="DM146" i="58885"/>
  <c r="T54" i="58885"/>
  <c r="T165" i="58885"/>
  <c r="T47" i="58885"/>
  <c r="T5" i="58885"/>
  <c r="T76" i="58885"/>
  <c r="T14" i="58885"/>
  <c r="T53" i="58885"/>
  <c r="T17" i="58885"/>
  <c r="T7" i="58885"/>
  <c r="BM7" i="58887"/>
  <c r="Y169" i="10" a="1"/>
  <c r="Y169" i="10" s="1"/>
  <c r="AD169" i="10" a="1"/>
  <c r="AD169" i="10" s="1"/>
  <c r="AE169" i="10" a="1"/>
  <c r="AE169" i="10" s="1"/>
  <c r="H169" i="10" a="1"/>
  <c r="H169" i="10" s="1"/>
  <c r="AO169" i="10" a="1"/>
  <c r="AO169" i="10" s="1"/>
  <c r="AK169" i="10" a="1"/>
  <c r="AK169" i="10" s="1"/>
  <c r="AG169" i="10" a="1"/>
  <c r="AG169" i="10" s="1"/>
  <c r="AH169" i="10" a="1"/>
  <c r="AH169" i="10" s="1"/>
  <c r="AB169" i="10" a="1"/>
  <c r="AB169" i="10" s="1"/>
  <c r="J169" i="10" a="1"/>
  <c r="J169" i="10" s="1"/>
  <c r="B169" i="10"/>
  <c r="AS169" i="10" s="1"/>
  <c r="AI169" i="10" a="1"/>
  <c r="AI169" i="10" s="1"/>
  <c r="P169" i="10" a="1"/>
  <c r="P169" i="10" s="1"/>
  <c r="T169" i="10" a="1"/>
  <c r="T169" i="10" s="1"/>
  <c r="N169" i="10" a="1"/>
  <c r="N169" i="10" s="1"/>
  <c r="AJ169" i="10" a="1"/>
  <c r="AJ169" i="10" s="1"/>
  <c r="DM165" i="58885"/>
  <c r="DO184" i="58885"/>
  <c r="Q313" i="10"/>
  <c r="DM174" i="58885"/>
  <c r="DO183" i="58885"/>
  <c r="DM180" i="58885"/>
  <c r="AC313" i="10"/>
  <c r="AR301" i="10"/>
  <c r="AQ301" i="10"/>
  <c r="I313" i="10"/>
  <c r="DM10" i="58885"/>
  <c r="DM145" i="58885"/>
  <c r="DM42" i="58885"/>
  <c r="DO128" i="58885"/>
  <c r="B253" i="10"/>
  <c r="DO208" i="58885"/>
  <c r="DO138" i="58885"/>
  <c r="DM32" i="58885"/>
  <c r="DM8" i="58885"/>
  <c r="DO203" i="58885"/>
  <c r="B205" i="10"/>
  <c r="DO227" i="58885"/>
  <c r="DM21" i="58885"/>
  <c r="DO186" i="58885"/>
  <c r="DO243" i="58885"/>
  <c r="DO114" i="58885"/>
  <c r="DM27" i="58885"/>
  <c r="DM89" i="58885"/>
  <c r="DM156" i="58885"/>
  <c r="DO206" i="58885"/>
  <c r="DO189" i="58885"/>
  <c r="DO231" i="58885"/>
  <c r="DM14" i="58885"/>
  <c r="T160" i="58885"/>
  <c r="T86" i="58885"/>
  <c r="T11" i="58885"/>
  <c r="T85" i="58885"/>
  <c r="T176" i="58885"/>
  <c r="T162" i="58885"/>
  <c r="T18" i="58885"/>
  <c r="AA6" i="58887"/>
  <c r="W313" i="10"/>
  <c r="M166" i="10" a="1"/>
  <c r="M166" i="10" s="1"/>
  <c r="B166" i="10"/>
  <c r="P166" i="10" s="1" a="1"/>
  <c r="P166" i="10" s="1"/>
  <c r="W166" i="10" a="1"/>
  <c r="W166" i="10" s="1"/>
  <c r="AH166" i="10" a="1"/>
  <c r="AH166" i="10" s="1"/>
  <c r="K166" i="10" a="1"/>
  <c r="K166" i="10" s="1"/>
  <c r="AF166" i="10" a="1"/>
  <c r="AF166" i="10" s="1"/>
  <c r="AA166" i="10" a="1"/>
  <c r="AA166" i="10" s="1"/>
  <c r="R166" i="10" a="1"/>
  <c r="R166" i="10" s="1"/>
  <c r="X166" i="10" a="1"/>
  <c r="X166" i="10" s="1"/>
  <c r="AJ166" i="10" a="1"/>
  <c r="AJ166" i="10" s="1"/>
  <c r="S166" i="10" a="1"/>
  <c r="S166" i="10" s="1"/>
  <c r="AD166" i="10" a="1"/>
  <c r="AD166" i="10" s="1"/>
  <c r="J166" i="10" a="1"/>
  <c r="J166" i="10" s="1"/>
  <c r="I166" i="10" a="1"/>
  <c r="I166" i="10" s="1"/>
  <c r="H166" i="10" a="1"/>
  <c r="H166" i="10" s="1"/>
  <c r="AB166" i="10" a="1"/>
  <c r="AB166" i="10" s="1"/>
  <c r="U166" i="10" a="1"/>
  <c r="U166" i="10" s="1"/>
  <c r="AO166" i="10" a="1"/>
  <c r="AO166" i="10" s="1"/>
  <c r="AN166" i="10" a="1"/>
  <c r="AN166" i="10" s="1"/>
  <c r="V166" i="10" a="1"/>
  <c r="V166" i="10" s="1"/>
  <c r="Y166" i="10" a="1"/>
  <c r="Y166" i="10" s="1"/>
  <c r="Q166" i="10" a="1"/>
  <c r="Q166" i="10" s="1"/>
  <c r="Z166" i="10" a="1"/>
  <c r="Z166" i="10" s="1"/>
  <c r="AE166" i="10" a="1"/>
  <c r="AE166" i="10" s="1"/>
  <c r="AC166" i="10" a="1"/>
  <c r="AC166" i="10" s="1"/>
  <c r="N166" i="10" a="1"/>
  <c r="N166" i="10" s="1"/>
  <c r="AM166" i="10" a="1"/>
  <c r="AM166" i="10" s="1"/>
  <c r="AP166" i="10" a="1"/>
  <c r="AP166" i="10" s="1"/>
  <c r="DM64" i="58885"/>
  <c r="DM25" i="58885"/>
  <c r="AN163" i="10" a="1"/>
  <c r="AN163" i="10" s="1"/>
  <c r="B163" i="10"/>
  <c r="AB163" i="10" s="1" a="1"/>
  <c r="AB163" i="10" s="1"/>
  <c r="L163" i="10" a="1"/>
  <c r="L163" i="10" s="1"/>
  <c r="W163" i="10" a="1"/>
  <c r="W163" i="10" s="1"/>
  <c r="Q163" i="10" a="1"/>
  <c r="Q163" i="10" s="1"/>
  <c r="P163" i="10" a="1"/>
  <c r="P163" i="10" s="1"/>
  <c r="AM163" i="10" a="1"/>
  <c r="AM163" i="10" s="1"/>
  <c r="AK163" i="10" a="1"/>
  <c r="AK163" i="10" s="1"/>
  <c r="DM85" i="58885"/>
  <c r="DO122" i="58885"/>
  <c r="DO222" i="58885"/>
  <c r="B130" i="10"/>
  <c r="V130" i="10" s="1" a="1"/>
  <c r="V130" i="10" s="1"/>
  <c r="S130" i="10" a="1"/>
  <c r="S130" i="10" s="1"/>
  <c r="AH130" i="10" a="1"/>
  <c r="AH130" i="10" s="1"/>
  <c r="T52" i="58885"/>
  <c r="T56" i="58885"/>
  <c r="T51" i="58885"/>
  <c r="T77" i="58885"/>
  <c r="T178" i="58885"/>
  <c r="T66" i="58885"/>
  <c r="T23" i="58885"/>
  <c r="T169" i="58885"/>
  <c r="T88" i="58885"/>
  <c r="DM177" i="58885"/>
  <c r="B217" i="10"/>
  <c r="FP11" i="58885"/>
  <c r="FR11" i="58885" s="1" a="1"/>
  <c r="FR11" i="58885" s="1"/>
  <c r="DM88" i="58885"/>
  <c r="DM35" i="58885"/>
  <c r="DM162" i="58885"/>
  <c r="DM74" i="58885"/>
  <c r="DM96" i="58885"/>
  <c r="DM154" i="58885"/>
  <c r="DM83" i="58885"/>
  <c r="DO194" i="58885"/>
  <c r="O313" i="10"/>
  <c r="DM40" i="58885"/>
  <c r="DM18" i="58885"/>
  <c r="DO133" i="58885"/>
  <c r="DO141" i="58885"/>
  <c r="DM44" i="58885"/>
  <c r="DO201" i="58885"/>
  <c r="DM6" i="58885"/>
  <c r="AE187" i="10" a="1"/>
  <c r="AE187" i="10" s="1"/>
  <c r="T187" i="10" a="1"/>
  <c r="T187" i="10" s="1"/>
  <c r="AK187" i="10" a="1"/>
  <c r="AK187" i="10" s="1"/>
  <c r="AJ187" i="10" a="1"/>
  <c r="AJ187" i="10" s="1"/>
  <c r="L187" i="10" a="1"/>
  <c r="L187" i="10" s="1"/>
  <c r="AC187" i="10" a="1"/>
  <c r="AC187" i="10" s="1"/>
  <c r="H187" i="10" a="1"/>
  <c r="H187" i="10" s="1"/>
  <c r="AB187" i="10" a="1"/>
  <c r="AB187" i="10" s="1"/>
  <c r="Y187" i="10" a="1"/>
  <c r="Y187" i="10" s="1"/>
  <c r="AD187" i="10" a="1"/>
  <c r="AD187" i="10" s="1"/>
  <c r="W187" i="10" a="1"/>
  <c r="W187" i="10" s="1"/>
  <c r="AF187" i="10" a="1"/>
  <c r="AF187" i="10" s="1"/>
  <c r="V187" i="10" a="1"/>
  <c r="V187" i="10" s="1"/>
  <c r="O187" i="10" a="1"/>
  <c r="O187" i="10" s="1"/>
  <c r="B187" i="10"/>
  <c r="AS187" i="10" s="1"/>
  <c r="AI187" i="10" a="1"/>
  <c r="AI187" i="10" s="1"/>
  <c r="AA187" i="10" a="1"/>
  <c r="AA187" i="10" s="1"/>
  <c r="AL187" i="10" a="1"/>
  <c r="AL187" i="10" s="1"/>
  <c r="AP187" i="10" a="1"/>
  <c r="AP187" i="10" s="1"/>
  <c r="X187" i="10" a="1"/>
  <c r="X187" i="10" s="1"/>
  <c r="M187" i="10" a="1"/>
  <c r="M187" i="10" s="1"/>
  <c r="R187" i="10" a="1"/>
  <c r="R187" i="10" s="1"/>
  <c r="AN187" i="10" a="1"/>
  <c r="AN187" i="10" s="1"/>
  <c r="AM187" i="10" a="1"/>
  <c r="AM187" i="10" s="1"/>
  <c r="P187" i="10" a="1"/>
  <c r="P187" i="10" s="1"/>
  <c r="K187" i="10" a="1"/>
  <c r="K187" i="10" s="1"/>
  <c r="AH187" i="10" a="1"/>
  <c r="AH187" i="10" s="1"/>
  <c r="Q187" i="10" a="1"/>
  <c r="Q187" i="10" s="1"/>
  <c r="AG187" i="10" a="1"/>
  <c r="AG187" i="10" s="1"/>
  <c r="G187" i="10" a="1"/>
  <c r="G187" i="10" s="1"/>
  <c r="B133" i="10"/>
  <c r="AS133" i="10" s="1"/>
  <c r="N133" i="10" a="1"/>
  <c r="N133" i="10" s="1"/>
  <c r="K133" i="10" a="1"/>
  <c r="K133" i="10" s="1"/>
  <c r="AH133" i="10" a="1"/>
  <c r="AH133" i="10" s="1"/>
  <c r="Z133" i="10" a="1"/>
  <c r="Z133" i="10" s="1"/>
  <c r="AM133" i="10" a="1"/>
  <c r="AM133" i="10" s="1"/>
  <c r="H133" i="10" a="1"/>
  <c r="H133" i="10" s="1"/>
  <c r="S133" i="10" a="1"/>
  <c r="S133" i="10" s="1"/>
  <c r="AO133" i="10" a="1"/>
  <c r="AO133" i="10" s="1"/>
  <c r="AB133" i="10" a="1"/>
  <c r="AB133" i="10" s="1"/>
  <c r="AJ133" i="10" a="1"/>
  <c r="AJ133" i="10" s="1"/>
  <c r="AL133" i="10" a="1"/>
  <c r="AL133" i="10" s="1"/>
  <c r="AF133" i="10" a="1"/>
  <c r="AF133" i="10" s="1"/>
  <c r="AC133" i="10" a="1"/>
  <c r="AC133" i="10" s="1"/>
  <c r="AN133" i="10" a="1"/>
  <c r="AN133" i="10" s="1"/>
  <c r="V133" i="10" a="1"/>
  <c r="V133" i="10" s="1"/>
  <c r="AE133" i="10" a="1"/>
  <c r="AE133" i="10" s="1"/>
  <c r="AP133" i="10" a="1"/>
  <c r="AP133" i="10" s="1"/>
  <c r="I133" i="10" a="1"/>
  <c r="I133" i="10" s="1"/>
  <c r="L133" i="10" a="1"/>
  <c r="L133" i="10" s="1"/>
  <c r="W133" i="10" a="1"/>
  <c r="W133" i="10" s="1"/>
  <c r="U118" i="10" a="1"/>
  <c r="U118" i="10" s="1"/>
  <c r="B118" i="10"/>
  <c r="AC118" i="10" s="1" a="1"/>
  <c r="AC118" i="10" s="1"/>
  <c r="V118" i="10" a="1"/>
  <c r="V118" i="10" s="1"/>
  <c r="AA118" i="10" a="1"/>
  <c r="AA118" i="10" s="1"/>
  <c r="P118" i="10" a="1"/>
  <c r="P118" i="10" s="1"/>
  <c r="Y118" i="10" a="1"/>
  <c r="Y118" i="10" s="1"/>
  <c r="W118" i="10" a="1"/>
  <c r="W118" i="10" s="1"/>
  <c r="AL118" i="10" a="1"/>
  <c r="AL118" i="10" s="1"/>
  <c r="Z118" i="10" a="1"/>
  <c r="Z118" i="10" s="1"/>
  <c r="L118" i="10" a="1"/>
  <c r="L118" i="10" s="1"/>
  <c r="DO116" i="58885"/>
  <c r="B220" i="10"/>
  <c r="J145" i="10" a="1"/>
  <c r="J145" i="10" s="1"/>
  <c r="M145" i="10" a="1"/>
  <c r="M145" i="10" s="1"/>
  <c r="I145" i="10" a="1"/>
  <c r="I145" i="10" s="1"/>
  <c r="U145" i="10" a="1"/>
  <c r="U145" i="10" s="1"/>
  <c r="B145" i="10"/>
  <c r="AL145" i="10" s="1" a="1"/>
  <c r="AL145" i="10" s="1"/>
  <c r="N145" i="10" a="1"/>
  <c r="N145" i="10" s="1"/>
  <c r="AH145" i="10" a="1"/>
  <c r="AH145" i="10" s="1"/>
  <c r="Y145" i="10" a="1"/>
  <c r="Y145" i="10" s="1"/>
  <c r="AI145" i="10" a="1"/>
  <c r="AI145" i="10" s="1"/>
  <c r="AA145" i="10" a="1"/>
  <c r="AA145" i="10" s="1"/>
  <c r="G145" i="10" a="1"/>
  <c r="G145" i="10" s="1"/>
  <c r="P145" i="10" a="1"/>
  <c r="P145" i="10" s="1"/>
  <c r="AO145" i="10" a="1"/>
  <c r="AO145" i="10" s="1"/>
  <c r="K145" i="10" a="1"/>
  <c r="K145" i="10" s="1"/>
  <c r="AG145" i="10" a="1"/>
  <c r="AG145" i="10" s="1"/>
  <c r="AJ145" i="10" a="1"/>
  <c r="AJ145" i="10" s="1"/>
  <c r="X145" i="10" a="1"/>
  <c r="X145" i="10" s="1"/>
  <c r="AN178" i="10" a="1"/>
  <c r="AN178" i="10" s="1"/>
  <c r="R178" i="10" a="1"/>
  <c r="R178" i="10" s="1"/>
  <c r="S178" i="10" a="1"/>
  <c r="S178" i="10" s="1"/>
  <c r="B178" i="10"/>
  <c r="AC178" i="10" s="1" a="1"/>
  <c r="AC178" i="10" s="1"/>
  <c r="J178" i="10" a="1"/>
  <c r="J178" i="10" s="1"/>
  <c r="AL178" i="10" a="1"/>
  <c r="AL178" i="10" s="1"/>
  <c r="DM51" i="58885"/>
  <c r="DO239" i="58885"/>
  <c r="DM155" i="58885"/>
  <c r="DO108" i="58885"/>
  <c r="DM16" i="58885"/>
  <c r="DM23" i="58885"/>
  <c r="AK313" i="10"/>
  <c r="AI313" i="10"/>
  <c r="B208" i="10"/>
  <c r="T179" i="58885"/>
  <c r="T38" i="58885"/>
  <c r="T27" i="58885"/>
  <c r="T31" i="58885"/>
  <c r="T19" i="58885"/>
  <c r="T94" i="58885"/>
  <c r="DM11" i="58885"/>
  <c r="DM36" i="58885"/>
  <c r="DM91" i="58885"/>
  <c r="DO214" i="58885"/>
  <c r="Y127" i="10" a="1"/>
  <c r="Y127" i="10" s="1"/>
  <c r="AG127" i="10" a="1"/>
  <c r="AG127" i="10" s="1"/>
  <c r="B127" i="10"/>
  <c r="AS127" i="10" s="1"/>
  <c r="V127" i="10" a="1"/>
  <c r="V127" i="10" s="1"/>
  <c r="W127" i="10" a="1"/>
  <c r="W127" i="10" s="1"/>
  <c r="AC127" i="10" a="1"/>
  <c r="AC127" i="10" s="1"/>
  <c r="N127" i="10" a="1"/>
  <c r="N127" i="10" s="1"/>
  <c r="AA127" i="10" a="1"/>
  <c r="AA127" i="10" s="1"/>
  <c r="AB127" i="10" a="1"/>
  <c r="AB127" i="10" s="1"/>
  <c r="AE127" i="10" a="1"/>
  <c r="AE127" i="10" s="1"/>
  <c r="I127" i="10" a="1"/>
  <c r="I127" i="10" s="1"/>
  <c r="AP127" i="10" a="1"/>
  <c r="AP127" i="10" s="1"/>
  <c r="AK127" i="10" a="1"/>
  <c r="AK127" i="10" s="1"/>
  <c r="AF127" i="10" a="1"/>
  <c r="AF127" i="10" s="1"/>
  <c r="M127" i="10" a="1"/>
  <c r="M127" i="10" s="1"/>
  <c r="AJ127" i="10" a="1"/>
  <c r="AJ127" i="10" s="1"/>
  <c r="DM164" i="58885"/>
  <c r="Y313" i="10"/>
  <c r="DO139" i="58885"/>
  <c r="DM29" i="58885"/>
  <c r="T175" i="58885"/>
  <c r="T48" i="58885"/>
  <c r="T55" i="58885"/>
  <c r="T153" i="58885"/>
  <c r="T95" i="58885"/>
  <c r="T74" i="58885"/>
  <c r="T35" i="58885"/>
  <c r="T28" i="58885"/>
  <c r="T62" i="58885"/>
  <c r="G313" i="10"/>
  <c r="DO200" i="58885"/>
  <c r="DO225" i="58885"/>
  <c r="AA313" i="10"/>
  <c r="DM34" i="58885"/>
  <c r="DO215" i="58885"/>
  <c r="DO132" i="58885"/>
  <c r="DM7" i="58885"/>
  <c r="DM159" i="58885"/>
  <c r="DO187" i="58885"/>
  <c r="AC136" i="10" a="1"/>
  <c r="AC136" i="10" s="1"/>
  <c r="O136" i="10" a="1"/>
  <c r="O136" i="10" s="1"/>
  <c r="B136" i="10"/>
  <c r="AS136" i="10" s="1"/>
  <c r="L136" i="10" a="1"/>
  <c r="L136" i="10" s="1"/>
  <c r="X136" i="10" a="1"/>
  <c r="X136" i="10" s="1"/>
  <c r="DO195" i="58885"/>
  <c r="DM30" i="58885"/>
  <c r="DM75" i="58885"/>
  <c r="DO118" i="58885"/>
  <c r="DM12" i="58885"/>
  <c r="DM147" i="58885"/>
  <c r="AG313" i="10"/>
  <c r="DO121" i="58885"/>
  <c r="B151" i="10"/>
  <c r="AS151" i="10" s="1"/>
  <c r="M151" i="10" a="1"/>
  <c r="M151" i="10" s="1"/>
  <c r="AF151" i="10" a="1"/>
  <c r="AF151" i="10" s="1"/>
  <c r="AH151" i="10" a="1"/>
  <c r="AH151" i="10" s="1"/>
  <c r="AN151" i="10" a="1"/>
  <c r="AN151" i="10" s="1"/>
  <c r="K151" i="10" a="1"/>
  <c r="K151" i="10" s="1"/>
  <c r="R151" i="10" a="1"/>
  <c r="R151" i="10" s="1"/>
  <c r="AC151" i="10" a="1"/>
  <c r="AC151" i="10" s="1"/>
  <c r="J151" i="10" a="1"/>
  <c r="J151" i="10" s="1"/>
  <c r="AG151" i="10" a="1"/>
  <c r="AG151" i="10" s="1"/>
  <c r="X151" i="10" a="1"/>
  <c r="X151" i="10" s="1"/>
  <c r="DM17" i="58885"/>
  <c r="DM57" i="58885"/>
  <c r="DM77" i="58885"/>
  <c r="DO101" i="58885"/>
  <c r="DO98" i="58885"/>
  <c r="T33" i="58885"/>
  <c r="T9" i="58885"/>
  <c r="T71" i="58885"/>
  <c r="T75" i="58885"/>
  <c r="T180" i="58885"/>
  <c r="T81" i="58885"/>
  <c r="T92" i="58885"/>
  <c r="DM5" i="58885"/>
  <c r="DO111" i="58885"/>
  <c r="DO230" i="58885"/>
  <c r="DM143" i="58885"/>
  <c r="T148" i="58885"/>
  <c r="T6" i="58885"/>
  <c r="T61" i="58885"/>
  <c r="T41" i="58885"/>
  <c r="T152" i="58885"/>
  <c r="T144" i="58885"/>
  <c r="T67" i="58885"/>
  <c r="T147" i="58885"/>
  <c r="T72" i="58885"/>
  <c r="DM41" i="58885"/>
  <c r="O199" i="10" a="1"/>
  <c r="O199" i="10" s="1"/>
  <c r="V199" i="10" a="1"/>
  <c r="V199" i="10" s="1"/>
  <c r="AE199" i="10" a="1"/>
  <c r="AE199" i="10" s="1"/>
  <c r="X199" i="10" a="1"/>
  <c r="X199" i="10" s="1"/>
  <c r="Z199" i="10" a="1"/>
  <c r="Z199" i="10" s="1"/>
  <c r="N199" i="10" a="1"/>
  <c r="N199" i="10" s="1"/>
  <c r="AB199" i="10" a="1"/>
  <c r="AB199" i="10" s="1"/>
  <c r="T199" i="10" a="1"/>
  <c r="T199" i="10" s="1"/>
  <c r="AK199" i="10" a="1"/>
  <c r="AK199" i="10" s="1"/>
  <c r="H199" i="10" a="1"/>
  <c r="H199" i="10" s="1"/>
  <c r="AL199" i="10" a="1"/>
  <c r="AL199" i="10" s="1"/>
  <c r="J199" i="10" a="1"/>
  <c r="J199" i="10" s="1"/>
  <c r="M199" i="10" a="1"/>
  <c r="M199" i="10" s="1"/>
  <c r="AA199" i="10" a="1"/>
  <c r="AA199" i="10" s="1"/>
  <c r="AG199" i="10" a="1"/>
  <c r="AG199" i="10" s="1"/>
  <c r="AN199" i="10" a="1"/>
  <c r="AN199" i="10" s="1"/>
  <c r="I199" i="10" a="1"/>
  <c r="I199" i="10" s="1"/>
  <c r="AM199" i="10" a="1"/>
  <c r="AM199" i="10" s="1"/>
  <c r="AO199" i="10" a="1"/>
  <c r="AO199" i="10" s="1"/>
  <c r="AD199" i="10" a="1"/>
  <c r="AD199" i="10" s="1"/>
  <c r="B199" i="10"/>
  <c r="AS199" i="10" s="1"/>
  <c r="W199" i="10" a="1"/>
  <c r="W199" i="10" s="1"/>
  <c r="AQ299" i="10"/>
  <c r="AR299" i="10"/>
  <c r="DM20" i="58885"/>
  <c r="B229" i="10"/>
  <c r="DO126" i="58885"/>
  <c r="DO119" i="58885"/>
  <c r="AM121" i="10" a="1"/>
  <c r="AM121" i="10" s="1"/>
  <c r="AP121" i="10" a="1"/>
  <c r="AP121" i="10" s="1"/>
  <c r="AN121" i="10" a="1"/>
  <c r="AN121" i="10" s="1"/>
  <c r="B121" i="10"/>
  <c r="AS121" i="10" s="1"/>
  <c r="L121" i="10" a="1"/>
  <c r="L121" i="10" s="1"/>
  <c r="AK121" i="10" a="1"/>
  <c r="AK121" i="10" s="1"/>
  <c r="K121" i="10" a="1"/>
  <c r="K121" i="10" s="1"/>
  <c r="AC121" i="10" a="1"/>
  <c r="AC121" i="10" s="1"/>
  <c r="AA121" i="10" a="1"/>
  <c r="AA121" i="10" s="1"/>
  <c r="S121" i="10" a="1"/>
  <c r="S121" i="10" s="1"/>
  <c r="I121" i="10" a="1"/>
  <c r="I121" i="10" s="1"/>
  <c r="AL121" i="10" a="1"/>
  <c r="AL121" i="10" s="1"/>
  <c r="AF121" i="10" a="1"/>
  <c r="AF121" i="10" s="1"/>
  <c r="AH121" i="10" a="1"/>
  <c r="AH121" i="10" s="1"/>
  <c r="U121" i="10" a="1"/>
  <c r="U121" i="10" s="1"/>
  <c r="T121" i="10" a="1"/>
  <c r="T121" i="10" s="1"/>
  <c r="Q121" i="10" a="1"/>
  <c r="Q121" i="10" s="1"/>
  <c r="DM62" i="58885"/>
  <c r="DO244" i="58885"/>
  <c r="DO217" i="58885"/>
  <c r="DO224" i="58885"/>
  <c r="DM24" i="58885"/>
  <c r="AM313" i="10"/>
  <c r="DO110" i="58885"/>
  <c r="DO236" i="58885"/>
  <c r="DO234" i="58885"/>
  <c r="DM150" i="58885"/>
  <c r="B226" i="10"/>
  <c r="DO219" i="58885"/>
  <c r="U313" i="10"/>
  <c r="DM80" i="58885"/>
  <c r="P154" i="10" a="1"/>
  <c r="P154" i="10" s="1"/>
  <c r="AB154" i="10" a="1"/>
  <c r="AB154" i="10" s="1"/>
  <c r="AP154" i="10" a="1"/>
  <c r="AP154" i="10" s="1"/>
  <c r="B154" i="10"/>
  <c r="AS154" i="10" s="1"/>
  <c r="V154" i="10" a="1"/>
  <c r="V154" i="10" s="1"/>
  <c r="T154" i="10" a="1"/>
  <c r="T154" i="10" s="1"/>
  <c r="Z154" i="10" a="1"/>
  <c r="Z154" i="10" s="1"/>
  <c r="AE154" i="10" a="1"/>
  <c r="AE154" i="10" s="1"/>
  <c r="X154" i="10" a="1"/>
  <c r="X154" i="10" s="1"/>
  <c r="R154" i="10" a="1"/>
  <c r="R154" i="10" s="1"/>
  <c r="S154" i="10" a="1"/>
  <c r="S154" i="10" s="1"/>
  <c r="AC154" i="10" a="1"/>
  <c r="AC154" i="10" s="1"/>
  <c r="J154" i="10" a="1"/>
  <c r="J154" i="10" s="1"/>
  <c r="AO154" i="10" a="1"/>
  <c r="AO154" i="10" s="1"/>
  <c r="AI154" i="10" a="1"/>
  <c r="AI154" i="10" s="1"/>
  <c r="AJ154" i="10" a="1"/>
  <c r="AJ154" i="10" s="1"/>
  <c r="I154" i="10" a="1"/>
  <c r="I154" i="10" s="1"/>
  <c r="AN154" i="10" a="1"/>
  <c r="AN154" i="10" s="1"/>
  <c r="B238" i="10"/>
  <c r="DO210" i="58885"/>
  <c r="DM173" i="58885"/>
  <c r="DM54" i="58885"/>
  <c r="BM8" i="58887"/>
  <c r="B244" i="10"/>
  <c r="DM72" i="58885"/>
  <c r="DM86" i="58885"/>
  <c r="DM46" i="58885"/>
  <c r="T161" i="58885"/>
  <c r="T84" i="58885"/>
  <c r="T157" i="58885"/>
  <c r="T90" i="58885"/>
  <c r="T30" i="58885"/>
  <c r="T34" i="58885"/>
  <c r="T177" i="58885"/>
  <c r="B241" i="10"/>
  <c r="DO115" i="58885"/>
  <c r="DO229" i="58885"/>
  <c r="DO237" i="58885"/>
  <c r="T149" i="58885"/>
  <c r="T29" i="58885"/>
  <c r="T151" i="58885"/>
  <c r="T63" i="58885"/>
  <c r="T40" i="58885"/>
  <c r="T87" i="58885"/>
  <c r="T16" i="58885"/>
  <c r="T58" i="58885"/>
  <c r="T12" i="58885"/>
  <c r="B235" i="10"/>
  <c r="DM68" i="58885"/>
  <c r="DO185" i="58885"/>
  <c r="B184" i="10"/>
  <c r="AS184" i="10" s="1"/>
  <c r="AG184" i="10" a="1"/>
  <c r="AG184" i="10" s="1"/>
  <c r="AJ184" i="10" a="1"/>
  <c r="AJ184" i="10" s="1"/>
  <c r="Z184" i="10" a="1"/>
  <c r="Z184" i="10" s="1"/>
  <c r="B214" i="10"/>
  <c r="DO207" i="58885"/>
  <c r="DM79" i="58885"/>
  <c r="DO223" i="58885"/>
  <c r="DM94" i="58885"/>
  <c r="DM31" i="58885"/>
  <c r="DM26" i="58885"/>
  <c r="AR295" i="10"/>
  <c r="AQ295" i="10"/>
  <c r="DO97" i="58885"/>
  <c r="DO103" i="58885"/>
  <c r="N181" i="10" a="1"/>
  <c r="N181" i="10" s="1"/>
  <c r="H181" i="10" a="1"/>
  <c r="H181" i="10" s="1"/>
  <c r="B181" i="10"/>
  <c r="AS181" i="10" s="1"/>
  <c r="AC181" i="10" a="1"/>
  <c r="AC181" i="10" s="1"/>
  <c r="AN181" i="10" a="1"/>
  <c r="AN181" i="10" s="1"/>
  <c r="I181" i="10" a="1"/>
  <c r="I181" i="10" s="1"/>
  <c r="Y181" i="10" a="1"/>
  <c r="Y181" i="10" s="1"/>
  <c r="O181" i="10" a="1"/>
  <c r="O181" i="10" s="1"/>
  <c r="M181" i="10" a="1"/>
  <c r="M181" i="10" s="1"/>
  <c r="R181" i="10" a="1"/>
  <c r="R181" i="10" s="1"/>
  <c r="AD181" i="10" a="1"/>
  <c r="AD181" i="10" s="1"/>
  <c r="AH181" i="10" a="1"/>
  <c r="AH181" i="10" s="1"/>
  <c r="W181" i="10" a="1"/>
  <c r="W181" i="10" s="1"/>
  <c r="DO127" i="58885"/>
  <c r="DM148" i="58885"/>
  <c r="DO112" i="58885"/>
  <c r="DM176" i="58885"/>
  <c r="DO228" i="58885"/>
  <c r="DO198" i="58885"/>
  <c r="DM81" i="58885"/>
  <c r="DM48" i="58885"/>
  <c r="DO211" i="58885"/>
  <c r="DO140" i="58885"/>
  <c r="DO242" i="58885"/>
  <c r="DM167" i="58885"/>
  <c r="DM92" i="58885"/>
  <c r="T32" i="58885"/>
  <c r="T164" i="58885"/>
  <c r="T39" i="58885"/>
  <c r="T21" i="58885"/>
  <c r="T163" i="58885"/>
  <c r="T15" i="58885"/>
  <c r="T171" i="58885"/>
  <c r="DO245" i="58885"/>
  <c r="DM90" i="58885"/>
  <c r="DM61" i="58885"/>
  <c r="DO99" i="58885"/>
  <c r="DM157" i="58885"/>
  <c r="AQ293" i="10"/>
  <c r="AR293" i="10"/>
  <c r="BM6" i="58887"/>
  <c r="DO190" i="58885"/>
  <c r="DM93" i="58885"/>
  <c r="T8" i="58885"/>
  <c r="T46" i="58885"/>
  <c r="T60" i="58885"/>
  <c r="T36" i="58885"/>
  <c r="T13" i="58885"/>
  <c r="T96" i="58885"/>
  <c r="T42" i="58885"/>
  <c r="T154" i="58885"/>
  <c r="T168" i="58885"/>
  <c r="T146" i="58885"/>
  <c r="DO238" i="58885"/>
  <c r="DM158" i="58885"/>
  <c r="DM47" i="58885"/>
  <c r="DO213" i="58885"/>
  <c r="DM175" i="58885"/>
  <c r="DO124" i="58885"/>
  <c r="DM33" i="58885"/>
  <c r="DO226" i="58885"/>
  <c r="DO102" i="58885"/>
  <c r="DM76" i="58885"/>
  <c r="DM178" i="58885"/>
  <c r="DM60" i="58885"/>
  <c r="B232" i="10"/>
  <c r="DO204" i="58885"/>
  <c r="DO125" i="58885"/>
  <c r="K313" i="10"/>
  <c r="DO202" i="58885"/>
  <c r="DO232" i="58885"/>
  <c r="DO216" i="58885"/>
  <c r="DM63" i="58885"/>
  <c r="DO197" i="58885"/>
  <c r="DO193" i="58885"/>
  <c r="DM58" i="58885"/>
  <c r="DM179" i="58885"/>
  <c r="AH193" i="10" a="1"/>
  <c r="AH193" i="10" s="1"/>
  <c r="B193" i="10"/>
  <c r="AS193" i="10" s="1"/>
  <c r="N193" i="10" a="1"/>
  <c r="N193" i="10" s="1"/>
  <c r="AK193" i="10" a="1"/>
  <c r="AK193" i="10" s="1"/>
  <c r="I193" i="10" a="1"/>
  <c r="I193" i="10" s="1"/>
  <c r="AO193" i="10" a="1"/>
  <c r="AO193" i="10" s="1"/>
  <c r="P193" i="10" a="1"/>
  <c r="P193" i="10" s="1"/>
  <c r="Z193" i="10" a="1"/>
  <c r="Z193" i="10" s="1"/>
  <c r="Q193" i="10" a="1"/>
  <c r="Q193" i="10" s="1"/>
  <c r="DM161" i="58885"/>
  <c r="M313" i="10"/>
  <c r="DO109" i="58885"/>
  <c r="DM166" i="58885"/>
  <c r="DM84" i="58885"/>
  <c r="DO182" i="58885"/>
  <c r="DO131" i="58885"/>
  <c r="DM45" i="58885"/>
  <c r="DO209" i="58885"/>
  <c r="T89" i="58885"/>
  <c r="T79" i="58885"/>
  <c r="T25" i="58885"/>
  <c r="T174" i="58885"/>
  <c r="T20" i="58885"/>
  <c r="T159" i="58885"/>
  <c r="T24" i="58885"/>
  <c r="DO221" i="58885"/>
  <c r="DO106" i="58885"/>
  <c r="DM19" i="58885"/>
  <c r="DM69" i="58885"/>
  <c r="DO191" i="58885"/>
  <c r="DO120" i="58885"/>
  <c r="DM49" i="58885"/>
  <c r="DO181" i="58885"/>
  <c r="DM169" i="58885"/>
  <c r="AO190" i="10" a="1"/>
  <c r="AO190" i="10" s="1"/>
  <c r="P190" i="10" a="1"/>
  <c r="P190" i="10" s="1"/>
  <c r="AC190" i="10" a="1"/>
  <c r="AC190" i="10" s="1"/>
  <c r="K190" i="10" a="1"/>
  <c r="K190" i="10" s="1"/>
  <c r="G190" i="10" a="1"/>
  <c r="G190" i="10" s="1"/>
  <c r="H190" i="10" a="1"/>
  <c r="H190" i="10" s="1"/>
  <c r="AG190" i="10" a="1"/>
  <c r="AG190" i="10" s="1"/>
  <c r="S190" i="10" a="1"/>
  <c r="S190" i="10" s="1"/>
  <c r="AF190" i="10" a="1"/>
  <c r="AF190" i="10" s="1"/>
  <c r="AJ190" i="10" a="1"/>
  <c r="AJ190" i="10" s="1"/>
  <c r="T190" i="10" a="1"/>
  <c r="T190" i="10" s="1"/>
  <c r="O190" i="10" a="1"/>
  <c r="O190" i="10" s="1"/>
  <c r="Q190" i="10" a="1"/>
  <c r="Q190" i="10" s="1"/>
  <c r="X190" i="10" a="1"/>
  <c r="X190" i="10" s="1"/>
  <c r="AE190" i="10" a="1"/>
  <c r="AE190" i="10" s="1"/>
  <c r="AH190" i="10" a="1"/>
  <c r="AH190" i="10" s="1"/>
  <c r="U190" i="10" a="1"/>
  <c r="U190" i="10" s="1"/>
  <c r="B190" i="10"/>
  <c r="AS190" i="10" s="1"/>
  <c r="DM65" i="58885"/>
  <c r="T150" i="58885"/>
  <c r="T45" i="58885"/>
  <c r="T143" i="58885"/>
  <c r="T170" i="58885"/>
  <c r="T68" i="58885"/>
  <c r="T156" i="58885"/>
  <c r="T57" i="58885"/>
  <c r="T166" i="58885"/>
  <c r="T50" i="58885"/>
  <c r="T145" i="58885"/>
  <c r="FP14" i="58885"/>
  <c r="FR14" i="58885" s="1" a="1"/>
  <c r="FR14" i="58885" s="1"/>
  <c r="DM78" i="58885"/>
  <c r="DM50" i="58885"/>
  <c r="DO241" i="58885"/>
  <c r="DM170" i="58885"/>
  <c r="DM87" i="58885"/>
  <c r="DM172" i="58885"/>
  <c r="AR291" i="10"/>
  <c r="AQ291" i="10"/>
  <c r="U212" i="58885" a="1"/>
  <c r="U212" i="58885" s="1"/>
  <c r="T192" i="58885" a="1"/>
  <c r="T192" i="58885" s="1"/>
  <c r="U192" i="58885" a="1"/>
  <c r="U192" i="58885" s="1"/>
  <c r="O123" i="10" a="1"/>
  <c r="O123" i="10" s="1"/>
  <c r="AM120" i="10" a="1"/>
  <c r="AM120" i="10" s="1"/>
  <c r="T136" i="58885" a="1"/>
  <c r="T136" i="58885" s="1"/>
  <c r="U136" i="58885" a="1"/>
  <c r="U136" i="58885" s="1"/>
  <c r="T147" i="10" a="1"/>
  <c r="T147" i="10" s="1"/>
  <c r="Z147" i="10" a="1"/>
  <c r="Z147" i="10" s="1"/>
  <c r="AJ141" i="10" a="1"/>
  <c r="AJ141" i="10" s="1"/>
  <c r="AG141" i="10" a="1"/>
  <c r="AG141" i="10" s="1"/>
  <c r="AP141" i="10" a="1"/>
  <c r="AP141" i="10" s="1"/>
  <c r="T220" i="58885" a="1"/>
  <c r="T220" i="58885" s="1"/>
  <c r="U220" i="58885" a="1"/>
  <c r="U220" i="58885" s="1"/>
  <c r="T135" i="58885" a="1"/>
  <c r="T135" i="58885" s="1"/>
  <c r="AH135" i="10" a="1"/>
  <c r="AH135" i="10" s="1"/>
  <c r="AJ135" i="10" a="1"/>
  <c r="AJ135" i="10" s="1"/>
  <c r="AM135" i="10" a="1"/>
  <c r="AM135" i="10" s="1"/>
  <c r="W135" i="10" a="1"/>
  <c r="W135" i="10" s="1"/>
  <c r="N123" i="10" a="1"/>
  <c r="N123" i="10" s="1"/>
  <c r="T123" i="10" a="1"/>
  <c r="T123" i="10" s="1"/>
  <c r="AM180" i="10" a="1"/>
  <c r="AM180" i="10" s="1"/>
  <c r="W180" i="10" a="1"/>
  <c r="W180" i="10" s="1"/>
  <c r="O180" i="10" a="1"/>
  <c r="O180" i="10" s="1"/>
  <c r="H180" i="10" a="1"/>
  <c r="H180" i="10" s="1"/>
  <c r="AH201" i="10" a="1"/>
  <c r="AH201" i="10" s="1"/>
  <c r="S201" i="10" a="1"/>
  <c r="S201" i="10" s="1"/>
  <c r="AL201" i="10" a="1"/>
  <c r="AL201" i="10" s="1"/>
  <c r="AD201" i="10" a="1"/>
  <c r="AD201" i="10" s="1"/>
  <c r="O201" i="10" a="1"/>
  <c r="O201" i="10" s="1"/>
  <c r="AM201" i="10" a="1"/>
  <c r="AM201" i="10" s="1"/>
  <c r="AI201" i="10" a="1"/>
  <c r="AI201" i="10" s="1"/>
  <c r="AF201" i="10" a="1"/>
  <c r="AF201" i="10" s="1"/>
  <c r="AP201" i="10" a="1"/>
  <c r="AP201" i="10" s="1"/>
  <c r="T201" i="10" a="1"/>
  <c r="T201" i="10" s="1"/>
  <c r="P201" i="10" a="1"/>
  <c r="P201" i="10" s="1"/>
  <c r="AJ201" i="10" a="1"/>
  <c r="AJ201" i="10" s="1"/>
  <c r="K201" i="10" a="1"/>
  <c r="K201" i="10" s="1"/>
  <c r="X201" i="10" a="1"/>
  <c r="X201" i="10" s="1"/>
  <c r="AO201" i="10" a="1"/>
  <c r="AO201" i="10" s="1"/>
  <c r="M201" i="10" a="1"/>
  <c r="M201" i="10" s="1"/>
  <c r="Z201" i="10" a="1"/>
  <c r="Z201" i="10" s="1"/>
  <c r="AB201" i="10" a="1"/>
  <c r="AB201" i="10" s="1"/>
  <c r="AG201" i="10" a="1"/>
  <c r="AG201" i="10" s="1"/>
  <c r="R201" i="10" a="1"/>
  <c r="R201" i="10" s="1"/>
  <c r="H201" i="10" a="1"/>
  <c r="H201" i="10" s="1"/>
  <c r="Y201" i="10" a="1"/>
  <c r="Y201" i="10" s="1"/>
  <c r="AE201" i="10" a="1"/>
  <c r="AE201" i="10" s="1"/>
  <c r="I201" i="10" a="1"/>
  <c r="I201" i="10" s="1"/>
  <c r="AS201" i="10"/>
  <c r="AN201" i="10" a="1"/>
  <c r="AN201" i="10" s="1"/>
  <c r="U201" i="10" a="1"/>
  <c r="U201" i="10" s="1"/>
  <c r="Q201" i="10" a="1"/>
  <c r="Q201" i="10" s="1"/>
  <c r="AA201" i="10" a="1"/>
  <c r="AA201" i="10" s="1"/>
  <c r="AC201" i="10" a="1"/>
  <c r="AC201" i="10" s="1"/>
  <c r="G201" i="10" a="1"/>
  <c r="G201" i="10" s="1"/>
  <c r="J201" i="10" a="1"/>
  <c r="J201" i="10" s="1"/>
  <c r="L201" i="10" a="1"/>
  <c r="L201" i="10" s="1"/>
  <c r="V201" i="10" a="1"/>
  <c r="V201" i="10" s="1"/>
  <c r="AK201" i="10" a="1"/>
  <c r="AK201" i="10" s="1"/>
  <c r="W201" i="10" a="1"/>
  <c r="W201" i="10" s="1"/>
  <c r="N201" i="10" a="1"/>
  <c r="N201" i="10" s="1"/>
  <c r="AM171" i="10" a="1"/>
  <c r="AM171" i="10" s="1"/>
  <c r="AS171" i="10"/>
  <c r="U235" i="58885" a="1"/>
  <c r="U235" i="58885" s="1"/>
  <c r="T235" i="58885" a="1"/>
  <c r="T235" i="58885" s="1"/>
  <c r="Y186" i="10" a="1"/>
  <c r="Y186" i="10" s="1"/>
  <c r="Z186" i="10" a="1"/>
  <c r="Z186" i="10" s="1"/>
  <c r="AD186" i="10" a="1"/>
  <c r="AD186" i="10" s="1"/>
  <c r="J186" i="10" a="1"/>
  <c r="J186" i="10" s="1"/>
  <c r="G132" i="10" a="1"/>
  <c r="G132" i="10" s="1"/>
  <c r="J132" i="10" a="1"/>
  <c r="J132" i="10" s="1"/>
  <c r="X117" i="10" a="1"/>
  <c r="X117" i="10" s="1"/>
  <c r="AS174" i="10"/>
  <c r="AG174" i="10" a="1"/>
  <c r="AG174" i="10" s="1"/>
  <c r="AE174" i="10" a="1"/>
  <c r="AE174" i="10" s="1"/>
  <c r="L144" i="10" a="1"/>
  <c r="L144" i="10" s="1"/>
  <c r="I144" i="10" a="1"/>
  <c r="I144" i="10" s="1"/>
  <c r="V144" i="10" a="1"/>
  <c r="V144" i="10" s="1"/>
  <c r="L177" i="10" a="1"/>
  <c r="L177" i="10" s="1"/>
  <c r="AJ177" i="10" a="1"/>
  <c r="AJ177" i="10" s="1"/>
  <c r="S177" i="10" a="1"/>
  <c r="S177" i="10" s="1"/>
  <c r="AF177" i="10" a="1"/>
  <c r="AF177" i="10" s="1"/>
  <c r="AN150" i="10" a="1"/>
  <c r="AN150" i="10" s="1"/>
  <c r="AE150" i="10" a="1"/>
  <c r="AE150" i="10" s="1"/>
  <c r="R150" i="10" a="1"/>
  <c r="R150" i="10" s="1"/>
  <c r="N150" i="10" a="1"/>
  <c r="N150" i="10" s="1"/>
  <c r="U137" i="58885" a="1"/>
  <c r="U137" i="58885" s="1"/>
  <c r="V138" i="10" a="1"/>
  <c r="V138" i="10" s="1"/>
  <c r="AS138" i="10"/>
  <c r="T248" i="58885" a="1"/>
  <c r="T248" i="58885" s="1"/>
  <c r="U248" i="58885" a="1"/>
  <c r="U248" i="58885" s="1"/>
  <c r="T247" i="58885" a="1"/>
  <c r="T247" i="58885" s="1"/>
  <c r="AS195" i="10"/>
  <c r="AF159" i="10" a="1"/>
  <c r="AF159" i="10" s="1"/>
  <c r="AS159" i="10"/>
  <c r="T134" i="58885" a="1"/>
  <c r="T134" i="58885" s="1"/>
  <c r="K168" i="10" a="1"/>
  <c r="K168" i="10" s="1"/>
  <c r="T218" i="58885" a="1"/>
  <c r="T218" i="58885" s="1"/>
  <c r="M32" i="58887"/>
  <c r="U240" i="58885" a="1"/>
  <c r="U240" i="58885" s="1"/>
  <c r="T240" i="58885" a="1"/>
  <c r="T240" i="58885" s="1"/>
  <c r="M49" i="58887"/>
  <c r="M153" i="58887"/>
  <c r="M90" i="58887"/>
  <c r="M94" i="58887"/>
  <c r="M25" i="58887"/>
  <c r="M117" i="58887"/>
  <c r="M57" i="58887"/>
  <c r="M131" i="58887"/>
  <c r="T199" i="58885" a="1"/>
  <c r="T199" i="58885" s="1"/>
  <c r="U199" i="58885" a="1"/>
  <c r="U199" i="58885" s="1"/>
  <c r="U188" i="58885" a="1"/>
  <c r="U188" i="58885" s="1"/>
  <c r="AS147" i="10"/>
  <c r="AS141" i="10"/>
  <c r="P141" i="10" a="1"/>
  <c r="P141" i="10" s="1"/>
  <c r="K141" i="10" a="1"/>
  <c r="K141" i="10" s="1"/>
  <c r="T105" i="58885" a="1"/>
  <c r="T105" i="58885" s="1"/>
  <c r="U105" i="58885" a="1"/>
  <c r="U105" i="58885" s="1"/>
  <c r="AK135" i="10" a="1"/>
  <c r="AK135" i="10" s="1"/>
  <c r="AG135" i="10" a="1"/>
  <c r="AG135" i="10" s="1"/>
  <c r="K135" i="10" a="1"/>
  <c r="K135" i="10" s="1"/>
  <c r="AC135" i="10" a="1"/>
  <c r="AC135" i="10" s="1"/>
  <c r="AL123" i="10" a="1"/>
  <c r="AL123" i="10" s="1"/>
  <c r="AS123" i="10"/>
  <c r="Z123" i="10" a="1"/>
  <c r="Z123" i="10" s="1"/>
  <c r="AG180" i="10" a="1"/>
  <c r="AG180" i="10" s="1"/>
  <c r="U180" i="10" a="1"/>
  <c r="U180" i="10" s="1"/>
  <c r="Z180" i="10" a="1"/>
  <c r="Z180" i="10" s="1"/>
  <c r="J180" i="10" a="1"/>
  <c r="J180" i="10" s="1"/>
  <c r="T205" i="58885" a="1"/>
  <c r="T205" i="58885" s="1"/>
  <c r="AI156" i="10" a="1"/>
  <c r="AI156" i="10" s="1"/>
  <c r="AS156" i="10"/>
  <c r="T142" i="58885" a="1"/>
  <c r="T142" i="58885" s="1"/>
  <c r="U142" i="58885" a="1"/>
  <c r="U142" i="58885" s="1"/>
  <c r="AC210" i="10" a="1"/>
  <c r="AC210" i="10" s="1"/>
  <c r="L210" i="10" a="1"/>
  <c r="L210" i="10" s="1"/>
  <c r="M210" i="10" a="1"/>
  <c r="M210" i="10" s="1"/>
  <c r="Y210" i="10" a="1"/>
  <c r="Y210" i="10" s="1"/>
  <c r="S210" i="10" a="1"/>
  <c r="S210" i="10" s="1"/>
  <c r="V210" i="10" a="1"/>
  <c r="V210" i="10" s="1"/>
  <c r="W210" i="10" a="1"/>
  <c r="W210" i="10" s="1"/>
  <c r="AN210" i="10" a="1"/>
  <c r="AN210" i="10" s="1"/>
  <c r="AB210" i="10" a="1"/>
  <c r="AB210" i="10" s="1"/>
  <c r="AD210" i="10" a="1"/>
  <c r="AD210" i="10" s="1"/>
  <c r="I210" i="10" a="1"/>
  <c r="I210" i="10" s="1"/>
  <c r="AP210" i="10" a="1"/>
  <c r="AP210" i="10" s="1"/>
  <c r="R210" i="10" a="1"/>
  <c r="R210" i="10" s="1"/>
  <c r="X210" i="10" a="1"/>
  <c r="X210" i="10" s="1"/>
  <c r="AI210" i="10" a="1"/>
  <c r="AI210" i="10" s="1"/>
  <c r="J210" i="10" a="1"/>
  <c r="J210" i="10" s="1"/>
  <c r="AL210" i="10" a="1"/>
  <c r="AL210" i="10" s="1"/>
  <c r="Z210" i="10" a="1"/>
  <c r="Z210" i="10" s="1"/>
  <c r="AK210" i="10" a="1"/>
  <c r="AK210" i="10" s="1"/>
  <c r="U210" i="10" a="1"/>
  <c r="U210" i="10" s="1"/>
  <c r="O210" i="10" a="1"/>
  <c r="O210" i="10" s="1"/>
  <c r="H210" i="10" a="1"/>
  <c r="H210" i="10" s="1"/>
  <c r="N210" i="10" a="1"/>
  <c r="N210" i="10" s="1"/>
  <c r="AJ210" i="10" a="1"/>
  <c r="AJ210" i="10" s="1"/>
  <c r="AS210" i="10"/>
  <c r="AM210" i="10" a="1"/>
  <c r="AM210" i="10" s="1"/>
  <c r="P210" i="10" a="1"/>
  <c r="P210" i="10" s="1"/>
  <c r="AG210" i="10" a="1"/>
  <c r="AG210" i="10" s="1"/>
  <c r="AF210" i="10" a="1"/>
  <c r="AF210" i="10" s="1"/>
  <c r="K210" i="10" a="1"/>
  <c r="K210" i="10" s="1"/>
  <c r="AA210" i="10" a="1"/>
  <c r="AA210" i="10" s="1"/>
  <c r="AO210" i="10" a="1"/>
  <c r="AO210" i="10" s="1"/>
  <c r="Q210" i="10" a="1"/>
  <c r="Q210" i="10" s="1"/>
  <c r="T210" i="10" a="1"/>
  <c r="T210" i="10" s="1"/>
  <c r="G210" i="10" a="1"/>
  <c r="G210" i="10" s="1"/>
  <c r="AE210" i="10" a="1"/>
  <c r="AE210" i="10" s="1"/>
  <c r="AH210" i="10" a="1"/>
  <c r="AH210" i="10" s="1"/>
  <c r="U129" i="58885" a="1"/>
  <c r="U129" i="58885" s="1"/>
  <c r="T129" i="58885" a="1"/>
  <c r="T129" i="58885" s="1"/>
  <c r="T113" i="58885" a="1"/>
  <c r="T113" i="58885" s="1"/>
  <c r="U113" i="58885" a="1"/>
  <c r="U113" i="58885" s="1"/>
  <c r="V246" i="10" a="1"/>
  <c r="V246" i="10" s="1"/>
  <c r="T246" i="10" a="1"/>
  <c r="T246" i="10" s="1"/>
  <c r="AE246" i="10" a="1"/>
  <c r="AE246" i="10" s="1"/>
  <c r="Y246" i="10" a="1"/>
  <c r="Y246" i="10" s="1"/>
  <c r="AA246" i="10" a="1"/>
  <c r="AA246" i="10" s="1"/>
  <c r="AP246" i="10" a="1"/>
  <c r="AP246" i="10" s="1"/>
  <c r="AO246" i="10" a="1"/>
  <c r="AO246" i="10" s="1"/>
  <c r="AK246" i="10" a="1"/>
  <c r="AK246" i="10" s="1"/>
  <c r="Z246" i="10" a="1"/>
  <c r="Z246" i="10" s="1"/>
  <c r="AN246" i="10" a="1"/>
  <c r="AN246" i="10" s="1"/>
  <c r="AM246" i="10" a="1"/>
  <c r="AM246" i="10" s="1"/>
  <c r="W246" i="10" a="1"/>
  <c r="W246" i="10" s="1"/>
  <c r="P246" i="10" a="1"/>
  <c r="P246" i="10" s="1"/>
  <c r="T100" i="58885" a="1"/>
  <c r="T100" i="58885" s="1"/>
  <c r="AO222" i="10" a="1"/>
  <c r="AO222" i="10" s="1"/>
  <c r="P222" i="10" a="1"/>
  <c r="P222" i="10" s="1"/>
  <c r="K222" i="10" a="1"/>
  <c r="K222" i="10" s="1"/>
  <c r="R222" i="10" a="1"/>
  <c r="R222" i="10" s="1"/>
  <c r="U222" i="10" a="1"/>
  <c r="U222" i="10" s="1"/>
  <c r="AI222" i="10" a="1"/>
  <c r="AI222" i="10" s="1"/>
  <c r="S222" i="10" a="1"/>
  <c r="S222" i="10" s="1"/>
  <c r="Q222" i="10" a="1"/>
  <c r="Q222" i="10" s="1"/>
  <c r="T107" i="58885" a="1"/>
  <c r="T107" i="58885" s="1"/>
  <c r="U107" i="58885" a="1"/>
  <c r="U107" i="58885" s="1"/>
  <c r="FR7" i="58885" a="1"/>
  <c r="FR7" i="58885" s="1"/>
  <c r="AI159" i="10" a="1"/>
  <c r="AI159" i="10" s="1"/>
  <c r="AJ159" i="10" a="1"/>
  <c r="AJ159" i="10" s="1"/>
  <c r="M159" i="10" a="1"/>
  <c r="M159" i="10" s="1"/>
  <c r="Y159" i="10" a="1"/>
  <c r="Y159" i="10" s="1"/>
  <c r="AS168" i="10"/>
  <c r="U184" i="58885" a="1"/>
  <c r="U184" i="58885" s="1"/>
  <c r="M122" i="58887"/>
  <c r="M11" i="58887"/>
  <c r="M115" i="58887"/>
  <c r="M85" i="58887"/>
  <c r="AI180" i="10" a="1"/>
  <c r="AI180" i="10" s="1"/>
  <c r="Q135" i="10" a="1"/>
  <c r="Q135" i="10" s="1"/>
  <c r="AD123" i="10" a="1"/>
  <c r="AD123" i="10" s="1"/>
  <c r="N147" i="10" a="1"/>
  <c r="N147" i="10" s="1"/>
  <c r="M156" i="10" a="1"/>
  <c r="M156" i="10" s="1"/>
  <c r="AF147" i="10" a="1"/>
  <c r="AF147" i="10" s="1"/>
  <c r="J120" i="10" a="1"/>
  <c r="J120" i="10" s="1"/>
  <c r="R120" i="10" a="1"/>
  <c r="R120" i="10" s="1"/>
  <c r="AP147" i="10" a="1"/>
  <c r="AP147" i="10" s="1"/>
  <c r="AO147" i="10" a="1"/>
  <c r="AO147" i="10" s="1"/>
  <c r="W147" i="10" a="1"/>
  <c r="W147" i="10" s="1"/>
  <c r="S141" i="10" a="1"/>
  <c r="S141" i="10" s="1"/>
  <c r="AB141" i="10" a="1"/>
  <c r="AB141" i="10" s="1"/>
  <c r="U141" i="10" a="1"/>
  <c r="U141" i="10" s="1"/>
  <c r="V135" i="10" a="1"/>
  <c r="V135" i="10" s="1"/>
  <c r="H135" i="10" a="1"/>
  <c r="H135" i="10" s="1"/>
  <c r="S135" i="10" a="1"/>
  <c r="S135" i="10" s="1"/>
  <c r="I135" i="10" a="1"/>
  <c r="I135" i="10" s="1"/>
  <c r="T128" i="58885" a="1"/>
  <c r="T128" i="58885" s="1"/>
  <c r="U128" i="58885" a="1"/>
  <c r="U128" i="58885" s="1"/>
  <c r="AI252" i="10" a="1"/>
  <c r="AI252" i="10" s="1"/>
  <c r="Q252" i="10" a="1"/>
  <c r="Q252" i="10" s="1"/>
  <c r="X252" i="10" a="1"/>
  <c r="X252" i="10" s="1"/>
  <c r="AJ252" i="10" a="1"/>
  <c r="AJ252" i="10" s="1"/>
  <c r="AP252" i="10" a="1"/>
  <c r="AP252" i="10" s="1"/>
  <c r="AB252" i="10" a="1"/>
  <c r="AB252" i="10" s="1"/>
  <c r="P252" i="10" a="1"/>
  <c r="P252" i="10" s="1"/>
  <c r="AS252" i="10"/>
  <c r="M252" i="10" a="1"/>
  <c r="M252" i="10" s="1"/>
  <c r="AF252" i="10" a="1"/>
  <c r="AF252" i="10" s="1"/>
  <c r="AE252" i="10" a="1"/>
  <c r="AE252" i="10" s="1"/>
  <c r="AK252" i="10" a="1"/>
  <c r="AK252" i="10" s="1"/>
  <c r="G252" i="10" a="1"/>
  <c r="G252" i="10" s="1"/>
  <c r="AA252" i="10" a="1"/>
  <c r="AA252" i="10" s="1"/>
  <c r="Y252" i="10" a="1"/>
  <c r="Y252" i="10" s="1"/>
  <c r="Z252" i="10" a="1"/>
  <c r="Z252" i="10" s="1"/>
  <c r="K252" i="10" a="1"/>
  <c r="K252" i="10" s="1"/>
  <c r="AC252" i="10" a="1"/>
  <c r="AC252" i="10" s="1"/>
  <c r="AN252" i="10" a="1"/>
  <c r="AN252" i="10" s="1"/>
  <c r="AO252" i="10" a="1"/>
  <c r="AO252" i="10" s="1"/>
  <c r="U252" i="10" a="1"/>
  <c r="U252" i="10" s="1"/>
  <c r="AM252" i="10" a="1"/>
  <c r="AM252" i="10" s="1"/>
  <c r="L252" i="10" a="1"/>
  <c r="L252" i="10" s="1"/>
  <c r="R252" i="10" a="1"/>
  <c r="R252" i="10" s="1"/>
  <c r="W252" i="10" a="1"/>
  <c r="W252" i="10" s="1"/>
  <c r="AH252" i="10" a="1"/>
  <c r="AH252" i="10" s="1"/>
  <c r="AD252" i="10" a="1"/>
  <c r="AD252" i="10" s="1"/>
  <c r="J252" i="10" a="1"/>
  <c r="J252" i="10" s="1"/>
  <c r="H252" i="10" a="1"/>
  <c r="H252" i="10" s="1"/>
  <c r="O252" i="10" a="1"/>
  <c r="O252" i="10" s="1"/>
  <c r="V252" i="10" a="1"/>
  <c r="V252" i="10" s="1"/>
  <c r="I252" i="10" a="1"/>
  <c r="I252" i="10" s="1"/>
  <c r="AG252" i="10" a="1"/>
  <c r="AG252" i="10" s="1"/>
  <c r="AF123" i="10" a="1"/>
  <c r="AF123" i="10" s="1"/>
  <c r="AM123" i="10" a="1"/>
  <c r="AM123" i="10" s="1"/>
  <c r="U208" i="58885" a="1"/>
  <c r="U208" i="58885" s="1"/>
  <c r="AA180" i="10" a="1"/>
  <c r="AA180" i="10" s="1"/>
  <c r="AH180" i="10" a="1"/>
  <c r="AH180" i="10" s="1"/>
  <c r="AP180" i="10" a="1"/>
  <c r="AP180" i="10" s="1"/>
  <c r="AE180" i="10" a="1"/>
  <c r="AE180" i="10" s="1"/>
  <c r="K156" i="10" a="1"/>
  <c r="K156" i="10" s="1"/>
  <c r="Q156" i="10" a="1"/>
  <c r="Q156" i="10" s="1"/>
  <c r="I171" i="10" a="1"/>
  <c r="I171" i="10" s="1"/>
  <c r="T138" i="58885" a="1"/>
  <c r="T138" i="58885" s="1"/>
  <c r="T203" i="58885" a="1"/>
  <c r="T203" i="58885" s="1"/>
  <c r="U203" i="58885" a="1"/>
  <c r="U203" i="58885" s="1"/>
  <c r="AN204" i="10" a="1"/>
  <c r="AN204" i="10" s="1"/>
  <c r="Y204" i="10" a="1"/>
  <c r="Y204" i="10" s="1"/>
  <c r="AS204" i="10"/>
  <c r="V204" i="10" a="1"/>
  <c r="V204" i="10" s="1"/>
  <c r="AB204" i="10" a="1"/>
  <c r="AB204" i="10" s="1"/>
  <c r="P204" i="10" a="1"/>
  <c r="P204" i="10" s="1"/>
  <c r="AG204" i="10" a="1"/>
  <c r="AG204" i="10" s="1"/>
  <c r="U204" i="10" a="1"/>
  <c r="U204" i="10" s="1"/>
  <c r="M204" i="10" a="1"/>
  <c r="M204" i="10" s="1"/>
  <c r="J204" i="10" a="1"/>
  <c r="J204" i="10" s="1"/>
  <c r="AE204" i="10" a="1"/>
  <c r="AE204" i="10" s="1"/>
  <c r="AA204" i="10" a="1"/>
  <c r="AA204" i="10" s="1"/>
  <c r="H204" i="10" a="1"/>
  <c r="H204" i="10" s="1"/>
  <c r="AK204" i="10" a="1"/>
  <c r="AK204" i="10" s="1"/>
  <c r="X204" i="10" a="1"/>
  <c r="X204" i="10" s="1"/>
  <c r="AJ204" i="10" a="1"/>
  <c r="AJ204" i="10" s="1"/>
  <c r="AL204" i="10" a="1"/>
  <c r="AL204" i="10" s="1"/>
  <c r="AF204" i="10" a="1"/>
  <c r="AF204" i="10" s="1"/>
  <c r="N204" i="10" a="1"/>
  <c r="N204" i="10" s="1"/>
  <c r="AP204" i="10" a="1"/>
  <c r="AP204" i="10" s="1"/>
  <c r="AC204" i="10" a="1"/>
  <c r="AC204" i="10" s="1"/>
  <c r="AM204" i="10" a="1"/>
  <c r="AM204" i="10" s="1"/>
  <c r="S204" i="10" a="1"/>
  <c r="S204" i="10" s="1"/>
  <c r="T204" i="10" a="1"/>
  <c r="T204" i="10" s="1"/>
  <c r="I204" i="10" a="1"/>
  <c r="I204" i="10" s="1"/>
  <c r="L204" i="10" a="1"/>
  <c r="L204" i="10" s="1"/>
  <c r="AD204" i="10" a="1"/>
  <c r="AD204" i="10" s="1"/>
  <c r="K204" i="10" a="1"/>
  <c r="K204" i="10" s="1"/>
  <c r="P186" i="10" a="1"/>
  <c r="P186" i="10" s="1"/>
  <c r="AE186" i="10" a="1"/>
  <c r="AE186" i="10" s="1"/>
  <c r="G186" i="10" a="1"/>
  <c r="G186" i="10" s="1"/>
  <c r="AC186" i="10" a="1"/>
  <c r="AC186" i="10" s="1"/>
  <c r="T227" i="58885" a="1"/>
  <c r="T227" i="58885" s="1"/>
  <c r="U227" i="58885" a="1"/>
  <c r="U227" i="58885" s="1"/>
  <c r="S132" i="10" a="1"/>
  <c r="S132" i="10" s="1"/>
  <c r="R174" i="10" a="1"/>
  <c r="R174" i="10" s="1"/>
  <c r="AO174" i="10" a="1"/>
  <c r="AO174" i="10" s="1"/>
  <c r="AL174" i="10" a="1"/>
  <c r="AL174" i="10" s="1"/>
  <c r="AB174" i="10" a="1"/>
  <c r="AB174" i="10" s="1"/>
  <c r="U186" i="58885" a="1"/>
  <c r="U186" i="58885" s="1"/>
  <c r="T186" i="58885" a="1"/>
  <c r="T186" i="58885" s="1"/>
  <c r="T243" i="58885" a="1"/>
  <c r="T243" i="58885" s="1"/>
  <c r="M144" i="10" a="1"/>
  <c r="M144" i="10" s="1"/>
  <c r="Y144" i="10" a="1"/>
  <c r="Y144" i="10" s="1"/>
  <c r="T114" i="58885" a="1"/>
  <c r="T114" i="58885" s="1"/>
  <c r="U114" i="58885" a="1"/>
  <c r="U114" i="58885" s="1"/>
  <c r="AE192" i="10" a="1"/>
  <c r="AE192" i="10" s="1"/>
  <c r="T192" i="10" a="1"/>
  <c r="T192" i="10" s="1"/>
  <c r="AB192" i="10" a="1"/>
  <c r="AB192" i="10" s="1"/>
  <c r="M177" i="10" a="1"/>
  <c r="M177" i="10" s="1"/>
  <c r="AC177" i="10" a="1"/>
  <c r="AC177" i="10" s="1"/>
  <c r="AI177" i="10" a="1"/>
  <c r="AI177" i="10" s="1"/>
  <c r="AD150" i="10" a="1"/>
  <c r="AD150" i="10" s="1"/>
  <c r="K150" i="10" a="1"/>
  <c r="K150" i="10" s="1"/>
  <c r="AG150" i="10" a="1"/>
  <c r="AG150" i="10" s="1"/>
  <c r="X150" i="10" a="1"/>
  <c r="X150" i="10" s="1"/>
  <c r="O150" i="10" a="1"/>
  <c r="O150" i="10" s="1"/>
  <c r="Q153" i="10" a="1"/>
  <c r="Q153" i="10" s="1"/>
  <c r="T138" i="10" a="1"/>
  <c r="T138" i="10" s="1"/>
  <c r="AB138" i="10" a="1"/>
  <c r="AB138" i="10" s="1"/>
  <c r="U206" i="58885" a="1"/>
  <c r="U206" i="58885" s="1"/>
  <c r="T189" i="58885" a="1"/>
  <c r="T189" i="58885" s="1"/>
  <c r="T231" i="58885" a="1"/>
  <c r="T231" i="58885" s="1"/>
  <c r="T195" i="10" a="1"/>
  <c r="T195" i="10" s="1"/>
  <c r="Z126" i="10" a="1"/>
  <c r="Z126" i="10" s="1"/>
  <c r="Y126" i="10" a="1"/>
  <c r="Y126" i="10" s="1"/>
  <c r="O126" i="10" a="1"/>
  <c r="O126" i="10" s="1"/>
  <c r="AE165" i="10" a="1"/>
  <c r="AE165" i="10" s="1"/>
  <c r="AS165" i="10"/>
  <c r="AS162" i="10"/>
  <c r="AN159" i="10" a="1"/>
  <c r="AN159" i="10" s="1"/>
  <c r="AE159" i="10" a="1"/>
  <c r="AE159" i="10" s="1"/>
  <c r="O159" i="10" a="1"/>
  <c r="O159" i="10" s="1"/>
  <c r="AB159" i="10" a="1"/>
  <c r="AB159" i="10" s="1"/>
  <c r="U122" i="58885" a="1"/>
  <c r="U122" i="58885" s="1"/>
  <c r="T122" i="58885" a="1"/>
  <c r="T122" i="58885" s="1"/>
  <c r="AM189" i="10" a="1"/>
  <c r="AM189" i="10" s="1"/>
  <c r="R189" i="10" a="1"/>
  <c r="R189" i="10" s="1"/>
  <c r="O189" i="10" a="1"/>
  <c r="O189" i="10" s="1"/>
  <c r="AO189" i="10" a="1"/>
  <c r="AO189" i="10" s="1"/>
  <c r="T222" i="58885" a="1"/>
  <c r="T222" i="58885" s="1"/>
  <c r="AL129" i="10" a="1"/>
  <c r="AL129" i="10" s="1"/>
  <c r="AS129" i="10"/>
  <c r="AC198" i="10" a="1"/>
  <c r="AC198" i="10" s="1"/>
  <c r="U198" i="10" a="1"/>
  <c r="U198" i="10" s="1"/>
  <c r="Z168" i="10" a="1"/>
  <c r="Z168" i="10" s="1"/>
  <c r="AP168" i="10" a="1"/>
  <c r="AP168" i="10" s="1"/>
  <c r="FR10" i="58885" a="1"/>
  <c r="FR10" i="58885" s="1"/>
  <c r="AH183" i="10" a="1"/>
  <c r="AH183" i="10" s="1"/>
  <c r="AF183" i="10" a="1"/>
  <c r="AF183" i="10" s="1"/>
  <c r="AG183" i="10" a="1"/>
  <c r="AG183" i="10" s="1"/>
  <c r="M134" i="58887"/>
  <c r="M147" i="58887"/>
  <c r="M87" i="58887"/>
  <c r="M151" i="58887"/>
  <c r="M38" i="58887"/>
  <c r="U194" i="58885" a="1"/>
  <c r="U194" i="58885" s="1"/>
  <c r="T194" i="58885" a="1"/>
  <c r="T194" i="58885" s="1"/>
  <c r="AL147" i="10" a="1"/>
  <c r="AL147" i="10" s="1"/>
  <c r="U147" i="10" a="1"/>
  <c r="U147" i="10" s="1"/>
  <c r="X147" i="10" a="1"/>
  <c r="X147" i="10" s="1"/>
  <c r="H141" i="10" a="1"/>
  <c r="H141" i="10" s="1"/>
  <c r="X141" i="10" a="1"/>
  <c r="X141" i="10" s="1"/>
  <c r="AE141" i="10" a="1"/>
  <c r="AE141" i="10" s="1"/>
  <c r="G141" i="10" a="1"/>
  <c r="G141" i="10" s="1"/>
  <c r="AP135" i="10" a="1"/>
  <c r="AP135" i="10" s="1"/>
  <c r="R135" i="10" a="1"/>
  <c r="R135" i="10" s="1"/>
  <c r="Z135" i="10" a="1"/>
  <c r="Z135" i="10" s="1"/>
  <c r="AC123" i="10" a="1"/>
  <c r="AC123" i="10" s="1"/>
  <c r="AH123" i="10" a="1"/>
  <c r="AH123" i="10" s="1"/>
  <c r="T180" i="10" a="1"/>
  <c r="T180" i="10" s="1"/>
  <c r="Q180" i="10" a="1"/>
  <c r="Q180" i="10" s="1"/>
  <c r="K180" i="10" a="1"/>
  <c r="K180" i="10" s="1"/>
  <c r="M180" i="10" a="1"/>
  <c r="M180" i="10" s="1"/>
  <c r="AH156" i="10" a="1"/>
  <c r="AH156" i="10" s="1"/>
  <c r="J156" i="10" a="1"/>
  <c r="J156" i="10" s="1"/>
  <c r="T133" i="58885" a="1"/>
  <c r="T133" i="58885" s="1"/>
  <c r="U133" i="58885" a="1"/>
  <c r="U133" i="58885" s="1"/>
  <c r="T249" i="58885" a="1"/>
  <c r="T249" i="58885" s="1"/>
  <c r="U249" i="58885" a="1"/>
  <c r="U249" i="58885" s="1"/>
  <c r="T141" i="58885" a="1"/>
  <c r="T141" i="58885" s="1"/>
  <c r="T201" i="58885" a="1"/>
  <c r="T201" i="58885" s="1"/>
  <c r="U201" i="58885" a="1"/>
  <c r="U201" i="58885" s="1"/>
  <c r="W186" i="10" a="1"/>
  <c r="W186" i="10" s="1"/>
  <c r="AS186" i="10"/>
  <c r="R132" i="10" a="1"/>
  <c r="R132" i="10" s="1"/>
  <c r="AS132" i="10"/>
  <c r="AC117" i="10" a="1"/>
  <c r="AC117" i="10" s="1"/>
  <c r="AS117" i="10"/>
  <c r="T116" i="58885" a="1"/>
  <c r="T116" i="58885" s="1"/>
  <c r="U116" i="58885" a="1"/>
  <c r="U116" i="58885" s="1"/>
  <c r="AS219" i="10"/>
  <c r="AF219" i="10" a="1"/>
  <c r="AF219" i="10" s="1"/>
  <c r="W219" i="10" a="1"/>
  <c r="W219" i="10" s="1"/>
  <c r="AE219" i="10" a="1"/>
  <c r="AE219" i="10" s="1"/>
  <c r="X219" i="10" a="1"/>
  <c r="X219" i="10" s="1"/>
  <c r="U219" i="10" a="1"/>
  <c r="U219" i="10" s="1"/>
  <c r="AO219" i="10" a="1"/>
  <c r="AO219" i="10" s="1"/>
  <c r="N219" i="10" a="1"/>
  <c r="N219" i="10" s="1"/>
  <c r="AI219" i="10" a="1"/>
  <c r="AI219" i="10" s="1"/>
  <c r="P219" i="10" a="1"/>
  <c r="P219" i="10" s="1"/>
  <c r="O219" i="10" a="1"/>
  <c r="O219" i="10" s="1"/>
  <c r="R219" i="10" a="1"/>
  <c r="R219" i="10" s="1"/>
  <c r="AD219" i="10" a="1"/>
  <c r="AD219" i="10" s="1"/>
  <c r="AN219" i="10" a="1"/>
  <c r="AN219" i="10" s="1"/>
  <c r="AP219" i="10" a="1"/>
  <c r="AP219" i="10" s="1"/>
  <c r="L219" i="10" a="1"/>
  <c r="L219" i="10" s="1"/>
  <c r="V219" i="10" a="1"/>
  <c r="V219" i="10" s="1"/>
  <c r="H219" i="10" a="1"/>
  <c r="H219" i="10" s="1"/>
  <c r="J219" i="10" a="1"/>
  <c r="J219" i="10" s="1"/>
  <c r="Q219" i="10" a="1"/>
  <c r="Q219" i="10" s="1"/>
  <c r="T219" i="10" a="1"/>
  <c r="T219" i="10" s="1"/>
  <c r="AB219" i="10" a="1"/>
  <c r="AB219" i="10" s="1"/>
  <c r="AL219" i="10" a="1"/>
  <c r="AL219" i="10" s="1"/>
  <c r="S219" i="10" a="1"/>
  <c r="S219" i="10" s="1"/>
  <c r="G219" i="10" a="1"/>
  <c r="G219" i="10" s="1"/>
  <c r="M219" i="10" a="1"/>
  <c r="M219" i="10" s="1"/>
  <c r="AM219" i="10" a="1"/>
  <c r="AM219" i="10" s="1"/>
  <c r="K219" i="10" a="1"/>
  <c r="K219" i="10" s="1"/>
  <c r="Z219" i="10" a="1"/>
  <c r="Z219" i="10" s="1"/>
  <c r="AG219" i="10" a="1"/>
  <c r="AG219" i="10" s="1"/>
  <c r="AH219" i="10" a="1"/>
  <c r="AH219" i="10" s="1"/>
  <c r="AK219" i="10" a="1"/>
  <c r="AK219" i="10" s="1"/>
  <c r="AC219" i="10" a="1"/>
  <c r="AC219" i="10" s="1"/>
  <c r="AJ219" i="10" a="1"/>
  <c r="AJ219" i="10" s="1"/>
  <c r="AA219" i="10" a="1"/>
  <c r="AA219" i="10" s="1"/>
  <c r="Y219" i="10" a="1"/>
  <c r="Y219" i="10" s="1"/>
  <c r="I219" i="10" a="1"/>
  <c r="I219" i="10" s="1"/>
  <c r="AC144" i="10" a="1"/>
  <c r="AC144" i="10" s="1"/>
  <c r="AS144" i="10"/>
  <c r="AS177" i="10"/>
  <c r="AD177" i="10" a="1"/>
  <c r="AD177" i="10" s="1"/>
  <c r="T177" i="10" a="1"/>
  <c r="T177" i="10" s="1"/>
  <c r="AJ150" i="10" a="1"/>
  <c r="AJ150" i="10" s="1"/>
  <c r="Z150" i="10" a="1"/>
  <c r="Z150" i="10" s="1"/>
  <c r="T150" i="10" a="1"/>
  <c r="T150" i="10" s="1"/>
  <c r="G150" i="10" a="1"/>
  <c r="G150" i="10" s="1"/>
  <c r="X138" i="10" a="1"/>
  <c r="X138" i="10" s="1"/>
  <c r="AF138" i="10" a="1"/>
  <c r="AF138" i="10" s="1"/>
  <c r="U239" i="58885" a="1"/>
  <c r="U239" i="58885" s="1"/>
  <c r="T254" i="58885" a="1"/>
  <c r="T254" i="58885" s="1"/>
  <c r="U254" i="58885" a="1"/>
  <c r="U254" i="58885" s="1"/>
  <c r="U108" i="58885" a="1"/>
  <c r="U108" i="58885" s="1"/>
  <c r="T108" i="58885" a="1"/>
  <c r="T108" i="58885" s="1"/>
  <c r="H195" i="10" a="1"/>
  <c r="H195" i="10" s="1"/>
  <c r="P195" i="10" a="1"/>
  <c r="P195" i="10" s="1"/>
  <c r="AB126" i="10" a="1"/>
  <c r="AB126" i="10" s="1"/>
  <c r="AS126" i="10"/>
  <c r="J159" i="10" a="1"/>
  <c r="J159" i="10" s="1"/>
  <c r="W159" i="10" a="1"/>
  <c r="W159" i="10" s="1"/>
  <c r="R159" i="10" a="1"/>
  <c r="R159" i="10" s="1"/>
  <c r="AH159" i="10" a="1"/>
  <c r="AH159" i="10" s="1"/>
  <c r="AN189" i="10" a="1"/>
  <c r="AN189" i="10" s="1"/>
  <c r="G189" i="10" a="1"/>
  <c r="G189" i="10" s="1"/>
  <c r="U189" i="10" a="1"/>
  <c r="U189" i="10" s="1"/>
  <c r="AJ189" i="10" a="1"/>
  <c r="AJ189" i="10" s="1"/>
  <c r="Z198" i="10" a="1"/>
  <c r="Z198" i="10" s="1"/>
  <c r="AD168" i="10" a="1"/>
  <c r="AD168" i="10" s="1"/>
  <c r="AO168" i="10" a="1"/>
  <c r="AO168" i="10" s="1"/>
  <c r="R168" i="10" a="1"/>
  <c r="R168" i="10" s="1"/>
  <c r="N183" i="10" a="1"/>
  <c r="N183" i="10" s="1"/>
  <c r="X183" i="10" a="1"/>
  <c r="X183" i="10" s="1"/>
  <c r="S183" i="10" a="1"/>
  <c r="S183" i="10" s="1"/>
  <c r="M36" i="58887"/>
  <c r="M62" i="58887"/>
  <c r="M92" i="58887"/>
  <c r="U215" i="58885" a="1"/>
  <c r="U215" i="58885" s="1"/>
  <c r="U132" i="58885" a="1"/>
  <c r="U132" i="58885" s="1"/>
  <c r="T132" i="58885" a="1"/>
  <c r="T132" i="58885" s="1"/>
  <c r="AS135" i="10"/>
  <c r="AO180" i="10" a="1"/>
  <c r="AO180" i="10" s="1"/>
  <c r="Y180" i="10" a="1"/>
  <c r="Y180" i="10" s="1"/>
  <c r="G180" i="10" a="1"/>
  <c r="G180" i="10" s="1"/>
  <c r="V180" i="10" a="1"/>
  <c r="V180" i="10" s="1"/>
  <c r="U195" i="58885" a="1"/>
  <c r="U195" i="58885" s="1"/>
  <c r="T195" i="58885" a="1"/>
  <c r="T195" i="58885" s="1"/>
  <c r="U118" i="58885" a="1"/>
  <c r="U118" i="58885" s="1"/>
  <c r="T118" i="58885" a="1"/>
  <c r="T118" i="58885" s="1"/>
  <c r="T121" i="58885" a="1"/>
  <c r="T121" i="58885" s="1"/>
  <c r="U121" i="58885" a="1"/>
  <c r="U121" i="58885" s="1"/>
  <c r="AS150" i="10"/>
  <c r="U101" i="58885" a="1"/>
  <c r="U101" i="58885" s="1"/>
  <c r="T101" i="58885" a="1"/>
  <c r="T101" i="58885" s="1"/>
  <c r="U98" i="58885" a="1"/>
  <c r="U98" i="58885" s="1"/>
  <c r="AD195" i="10" a="1"/>
  <c r="AD195" i="10" s="1"/>
  <c r="AF195" i="10" a="1"/>
  <c r="AF195" i="10" s="1"/>
  <c r="G159" i="10" a="1"/>
  <c r="G159" i="10" s="1"/>
  <c r="AO159" i="10" a="1"/>
  <c r="AO159" i="10" s="1"/>
  <c r="I159" i="10" a="1"/>
  <c r="I159" i="10" s="1"/>
  <c r="AM159" i="10" a="1"/>
  <c r="AM159" i="10" s="1"/>
  <c r="H189" i="10" a="1"/>
  <c r="H189" i="10" s="1"/>
  <c r="P189" i="10" a="1"/>
  <c r="P189" i="10" s="1"/>
  <c r="N189" i="10" a="1"/>
  <c r="N189" i="10" s="1"/>
  <c r="AS198" i="10"/>
  <c r="O168" i="10" a="1"/>
  <c r="O168" i="10" s="1"/>
  <c r="M168" i="10" a="1"/>
  <c r="M168" i="10" s="1"/>
  <c r="AB168" i="10" a="1"/>
  <c r="AB168" i="10" s="1"/>
  <c r="H183" i="10" a="1"/>
  <c r="H183" i="10" s="1"/>
  <c r="G183" i="10" a="1"/>
  <c r="G183" i="10" s="1"/>
  <c r="R228" i="10" a="1"/>
  <c r="R228" i="10" s="1"/>
  <c r="S228" i="10" a="1"/>
  <c r="S228" i="10" s="1"/>
  <c r="M228" i="10" a="1"/>
  <c r="M228" i="10" s="1"/>
  <c r="AF228" i="10" a="1"/>
  <c r="AF228" i="10" s="1"/>
  <c r="L228" i="10" a="1"/>
  <c r="L228" i="10" s="1"/>
  <c r="AC228" i="10" a="1"/>
  <c r="AC228" i="10" s="1"/>
  <c r="N228" i="10" a="1"/>
  <c r="N228" i="10" s="1"/>
  <c r="AE228" i="10" a="1"/>
  <c r="AE228" i="10" s="1"/>
  <c r="AN228" i="10" a="1"/>
  <c r="AN228" i="10" s="1"/>
  <c r="W228" i="10" a="1"/>
  <c r="W228" i="10" s="1"/>
  <c r="U228" i="10" a="1"/>
  <c r="U228" i="10" s="1"/>
  <c r="AO228" i="10" a="1"/>
  <c r="AO228" i="10" s="1"/>
  <c r="V228" i="10" a="1"/>
  <c r="V228" i="10" s="1"/>
  <c r="AD228" i="10" a="1"/>
  <c r="AD228" i="10" s="1"/>
  <c r="Q228" i="10" a="1"/>
  <c r="Q228" i="10" s="1"/>
  <c r="X228" i="10" a="1"/>
  <c r="X228" i="10" s="1"/>
  <c r="T228" i="10" a="1"/>
  <c r="T228" i="10" s="1"/>
  <c r="I228" i="10" a="1"/>
  <c r="I228" i="10" s="1"/>
  <c r="AA228" i="10" a="1"/>
  <c r="AA228" i="10" s="1"/>
  <c r="G228" i="10" a="1"/>
  <c r="G228" i="10" s="1"/>
  <c r="AS228" i="10"/>
  <c r="AB228" i="10" a="1"/>
  <c r="AB228" i="10" s="1"/>
  <c r="AI228" i="10" a="1"/>
  <c r="AI228" i="10" s="1"/>
  <c r="AP228" i="10" a="1"/>
  <c r="AP228" i="10" s="1"/>
  <c r="AM228" i="10" a="1"/>
  <c r="AM228" i="10" s="1"/>
  <c r="J228" i="10" a="1"/>
  <c r="J228" i="10" s="1"/>
  <c r="Z228" i="10" a="1"/>
  <c r="Z228" i="10" s="1"/>
  <c r="Y228" i="10" a="1"/>
  <c r="Y228" i="10" s="1"/>
  <c r="AH228" i="10" a="1"/>
  <c r="AH228" i="10" s="1"/>
  <c r="AG228" i="10" a="1"/>
  <c r="AG228" i="10" s="1"/>
  <c r="H228" i="10" a="1"/>
  <c r="H228" i="10" s="1"/>
  <c r="O228" i="10" a="1"/>
  <c r="O228" i="10" s="1"/>
  <c r="AL228" i="10" a="1"/>
  <c r="AL228" i="10" s="1"/>
  <c r="K228" i="10" a="1"/>
  <c r="K228" i="10" s="1"/>
  <c r="AK228" i="10" a="1"/>
  <c r="AK228" i="10" s="1"/>
  <c r="T126" i="58885" a="1"/>
  <c r="T126" i="58885" s="1"/>
  <c r="M154" i="58887"/>
  <c r="M101" i="58887"/>
  <c r="M63" i="58887"/>
  <c r="M123" i="58887"/>
  <c r="M8" i="58887"/>
  <c r="M136" i="58887"/>
  <c r="M96" i="58887"/>
  <c r="M37" i="58887"/>
  <c r="M135" i="58887"/>
  <c r="T187" i="58885" a="1"/>
  <c r="T187" i="58885" s="1"/>
  <c r="X120" i="10" a="1"/>
  <c r="X120" i="10" s="1"/>
  <c r="AS120" i="10"/>
  <c r="U244" i="58885" a="1"/>
  <c r="U244" i="58885" s="1"/>
  <c r="T244" i="58885" a="1"/>
  <c r="T244" i="58885" s="1"/>
  <c r="T217" i="58885" a="1"/>
  <c r="T217" i="58885" s="1"/>
  <c r="U217" i="58885" a="1"/>
  <c r="U217" i="58885" s="1"/>
  <c r="Q147" i="10" a="1"/>
  <c r="Q147" i="10" s="1"/>
  <c r="H147" i="10" a="1"/>
  <c r="H147" i="10" s="1"/>
  <c r="G147" i="10" a="1"/>
  <c r="G147" i="10" s="1"/>
  <c r="AO141" i="10" a="1"/>
  <c r="AO141" i="10" s="1"/>
  <c r="Y141" i="10" a="1"/>
  <c r="Y141" i="10" s="1"/>
  <c r="L141" i="10" a="1"/>
  <c r="L141" i="10" s="1"/>
  <c r="AH141" i="10" a="1"/>
  <c r="AH141" i="10" s="1"/>
  <c r="U224" i="58885" a="1"/>
  <c r="U224" i="58885" s="1"/>
  <c r="J135" i="10" a="1"/>
  <c r="J135" i="10" s="1"/>
  <c r="X135" i="10" a="1"/>
  <c r="X135" i="10" s="1"/>
  <c r="Y135" i="10" a="1"/>
  <c r="Y135" i="10" s="1"/>
  <c r="N135" i="10" a="1"/>
  <c r="N135" i="10" s="1"/>
  <c r="R123" i="10" a="1"/>
  <c r="R123" i="10" s="1"/>
  <c r="AJ123" i="10" a="1"/>
  <c r="AJ123" i="10" s="1"/>
  <c r="AE123" i="10" a="1"/>
  <c r="AE123" i="10" s="1"/>
  <c r="AN180" i="10" a="1"/>
  <c r="AN180" i="10" s="1"/>
  <c r="N180" i="10" a="1"/>
  <c r="N180" i="10" s="1"/>
  <c r="I180" i="10" a="1"/>
  <c r="I180" i="10" s="1"/>
  <c r="AF156" i="10" a="1"/>
  <c r="AF156" i="10" s="1"/>
  <c r="U110" i="58885" a="1"/>
  <c r="U110" i="58885" s="1"/>
  <c r="T110" i="58885" a="1"/>
  <c r="T110" i="58885" s="1"/>
  <c r="T236" i="58885" a="1"/>
  <c r="T236" i="58885" s="1"/>
  <c r="U236" i="58885" a="1"/>
  <c r="U236" i="58885" s="1"/>
  <c r="T234" i="58885" a="1"/>
  <c r="T234" i="58885" s="1"/>
  <c r="U234" i="58885" a="1"/>
  <c r="U234" i="58885" s="1"/>
  <c r="M186" i="10" a="1"/>
  <c r="M186" i="10" s="1"/>
  <c r="AA186" i="10" a="1"/>
  <c r="AA186" i="10" s="1"/>
  <c r="AF186" i="10" a="1"/>
  <c r="AF186" i="10" s="1"/>
  <c r="AH186" i="10" a="1"/>
  <c r="AH186" i="10" s="1"/>
  <c r="AO132" i="10" a="1"/>
  <c r="AO132" i="10" s="1"/>
  <c r="G117" i="10" a="1"/>
  <c r="G117" i="10" s="1"/>
  <c r="L174" i="10" a="1"/>
  <c r="L174" i="10" s="1"/>
  <c r="AK174" i="10" a="1"/>
  <c r="AK174" i="10" s="1"/>
  <c r="N174" i="10" a="1"/>
  <c r="N174" i="10" s="1"/>
  <c r="H174" i="10" a="1"/>
  <c r="H174" i="10" s="1"/>
  <c r="AS225" i="10"/>
  <c r="AC225" i="10" a="1"/>
  <c r="AC225" i="10" s="1"/>
  <c r="AI225" i="10" a="1"/>
  <c r="AI225" i="10" s="1"/>
  <c r="U225" i="10" a="1"/>
  <c r="U225" i="10" s="1"/>
  <c r="AH225" i="10" a="1"/>
  <c r="AH225" i="10" s="1"/>
  <c r="AP225" i="10" a="1"/>
  <c r="AP225" i="10" s="1"/>
  <c r="M225" i="10" a="1"/>
  <c r="M225" i="10" s="1"/>
  <c r="T225" i="10" a="1"/>
  <c r="T225" i="10" s="1"/>
  <c r="Z225" i="10" a="1"/>
  <c r="Z225" i="10" s="1"/>
  <c r="AM225" i="10" a="1"/>
  <c r="AM225" i="10" s="1"/>
  <c r="AB225" i="10" a="1"/>
  <c r="AB225" i="10" s="1"/>
  <c r="H225" i="10" a="1"/>
  <c r="H225" i="10" s="1"/>
  <c r="L225" i="10" a="1"/>
  <c r="L225" i="10" s="1"/>
  <c r="P225" i="10" a="1"/>
  <c r="P225" i="10" s="1"/>
  <c r="AJ225" i="10" a="1"/>
  <c r="AJ225" i="10" s="1"/>
  <c r="AK225" i="10" a="1"/>
  <c r="AK225" i="10" s="1"/>
  <c r="R225" i="10" a="1"/>
  <c r="R225" i="10" s="1"/>
  <c r="S225" i="10" a="1"/>
  <c r="S225" i="10" s="1"/>
  <c r="W225" i="10" a="1"/>
  <c r="W225" i="10" s="1"/>
  <c r="AD225" i="10" a="1"/>
  <c r="AD225" i="10" s="1"/>
  <c r="AF225" i="10" a="1"/>
  <c r="AF225" i="10" s="1"/>
  <c r="Y225" i="10" a="1"/>
  <c r="Y225" i="10" s="1"/>
  <c r="G225" i="10" a="1"/>
  <c r="G225" i="10" s="1"/>
  <c r="J225" i="10" a="1"/>
  <c r="J225" i="10" s="1"/>
  <c r="AE225" i="10" a="1"/>
  <c r="AE225" i="10" s="1"/>
  <c r="AN225" i="10" a="1"/>
  <c r="AN225" i="10" s="1"/>
  <c r="AA225" i="10" a="1"/>
  <c r="AA225" i="10" s="1"/>
  <c r="AG225" i="10" a="1"/>
  <c r="AG225" i="10" s="1"/>
  <c r="AO225" i="10" a="1"/>
  <c r="AO225" i="10" s="1"/>
  <c r="I225" i="10" a="1"/>
  <c r="I225" i="10" s="1"/>
  <c r="N225" i="10" a="1"/>
  <c r="N225" i="10" s="1"/>
  <c r="X225" i="10" a="1"/>
  <c r="X225" i="10" s="1"/>
  <c r="V225" i="10" a="1"/>
  <c r="V225" i="10" s="1"/>
  <c r="K225" i="10" a="1"/>
  <c r="K225" i="10" s="1"/>
  <c r="AL225" i="10" a="1"/>
  <c r="AL225" i="10" s="1"/>
  <c r="O225" i="10" a="1"/>
  <c r="O225" i="10" s="1"/>
  <c r="Q225" i="10" a="1"/>
  <c r="Q225" i="10" s="1"/>
  <c r="AE144" i="10" a="1"/>
  <c r="AE144" i="10" s="1"/>
  <c r="U144" i="10" a="1"/>
  <c r="U144" i="10" s="1"/>
  <c r="Q144" i="10" a="1"/>
  <c r="Q144" i="10" s="1"/>
  <c r="Z177" i="10" a="1"/>
  <c r="Z177" i="10" s="1"/>
  <c r="AM177" i="10" a="1"/>
  <c r="AM177" i="10" s="1"/>
  <c r="AK177" i="10" a="1"/>
  <c r="AK177" i="10" s="1"/>
  <c r="Q177" i="10" a="1"/>
  <c r="Q177" i="10" s="1"/>
  <c r="AH150" i="10" a="1"/>
  <c r="AH150" i="10" s="1"/>
  <c r="AM150" i="10" a="1"/>
  <c r="AM150" i="10" s="1"/>
  <c r="H150" i="10" a="1"/>
  <c r="H150" i="10" s="1"/>
  <c r="V150" i="10" a="1"/>
  <c r="V150" i="10" s="1"/>
  <c r="AP153" i="10" a="1"/>
  <c r="AP153" i="10" s="1"/>
  <c r="AS153" i="10"/>
  <c r="AF237" i="10" a="1"/>
  <c r="AF237" i="10" s="1"/>
  <c r="S237" i="10" a="1"/>
  <c r="S237" i="10" s="1"/>
  <c r="V237" i="10" a="1"/>
  <c r="V237" i="10" s="1"/>
  <c r="AE237" i="10" a="1"/>
  <c r="AE237" i="10" s="1"/>
  <c r="X237" i="10" a="1"/>
  <c r="X237" i="10" s="1"/>
  <c r="T237" i="10" a="1"/>
  <c r="T237" i="10" s="1"/>
  <c r="AB237" i="10" a="1"/>
  <c r="AB237" i="10" s="1"/>
  <c r="U237" i="10" a="1"/>
  <c r="U237" i="10" s="1"/>
  <c r="AD237" i="10" a="1"/>
  <c r="AD237" i="10" s="1"/>
  <c r="K237" i="10" a="1"/>
  <c r="K237" i="10" s="1"/>
  <c r="I237" i="10" a="1"/>
  <c r="I237" i="10" s="1"/>
  <c r="AO237" i="10" a="1"/>
  <c r="AO237" i="10" s="1"/>
  <c r="O237" i="10" a="1"/>
  <c r="O237" i="10" s="1"/>
  <c r="AA237" i="10" a="1"/>
  <c r="AA237" i="10" s="1"/>
  <c r="R237" i="10" a="1"/>
  <c r="R237" i="10" s="1"/>
  <c r="AL237" i="10" a="1"/>
  <c r="AL237" i="10" s="1"/>
  <c r="AG237" i="10" a="1"/>
  <c r="AG237" i="10" s="1"/>
  <c r="AP237" i="10" a="1"/>
  <c r="AP237" i="10" s="1"/>
  <c r="AC237" i="10" a="1"/>
  <c r="AC237" i="10" s="1"/>
  <c r="W237" i="10" a="1"/>
  <c r="W237" i="10" s="1"/>
  <c r="N237" i="10" a="1"/>
  <c r="N237" i="10" s="1"/>
  <c r="P237" i="10" a="1"/>
  <c r="P237" i="10" s="1"/>
  <c r="AJ237" i="10" a="1"/>
  <c r="AJ237" i="10" s="1"/>
  <c r="L237" i="10" a="1"/>
  <c r="L237" i="10" s="1"/>
  <c r="AS237" i="10"/>
  <c r="AH237" i="10" a="1"/>
  <c r="AH237" i="10" s="1"/>
  <c r="AN237" i="10" a="1"/>
  <c r="AN237" i="10" s="1"/>
  <c r="Z237" i="10" a="1"/>
  <c r="Z237" i="10" s="1"/>
  <c r="Q237" i="10" a="1"/>
  <c r="Q237" i="10" s="1"/>
  <c r="G237" i="10" a="1"/>
  <c r="G237" i="10" s="1"/>
  <c r="M237" i="10" a="1"/>
  <c r="M237" i="10" s="1"/>
  <c r="AK237" i="10" a="1"/>
  <c r="AK237" i="10" s="1"/>
  <c r="Y237" i="10" a="1"/>
  <c r="Y237" i="10" s="1"/>
  <c r="H237" i="10" a="1"/>
  <c r="H237" i="10" s="1"/>
  <c r="AM237" i="10" a="1"/>
  <c r="AM237" i="10" s="1"/>
  <c r="AI237" i="10" a="1"/>
  <c r="AI237" i="10" s="1"/>
  <c r="J237" i="10" a="1"/>
  <c r="J237" i="10" s="1"/>
  <c r="J138" i="10" a="1"/>
  <c r="J138" i="10" s="1"/>
  <c r="AE138" i="10" a="1"/>
  <c r="AE138" i="10" s="1"/>
  <c r="V243" i="10" a="1"/>
  <c r="V243" i="10" s="1"/>
  <c r="U243" i="10" a="1"/>
  <c r="U243" i="10" s="1"/>
  <c r="AN243" i="10" a="1"/>
  <c r="AN243" i="10" s="1"/>
  <c r="AL243" i="10" a="1"/>
  <c r="AL243" i="10" s="1"/>
  <c r="AJ243" i="10" a="1"/>
  <c r="AJ243" i="10" s="1"/>
  <c r="T243" i="10" a="1"/>
  <c r="T243" i="10" s="1"/>
  <c r="Q243" i="10" a="1"/>
  <c r="Q243" i="10" s="1"/>
  <c r="AP243" i="10" a="1"/>
  <c r="AP243" i="10" s="1"/>
  <c r="AG243" i="10" a="1"/>
  <c r="AG243" i="10" s="1"/>
  <c r="R243" i="10" a="1"/>
  <c r="R243" i="10" s="1"/>
  <c r="AH243" i="10" a="1"/>
  <c r="AH243" i="10" s="1"/>
  <c r="AM243" i="10" a="1"/>
  <c r="AM243" i="10" s="1"/>
  <c r="M243" i="10" a="1"/>
  <c r="M243" i="10" s="1"/>
  <c r="AE243" i="10" a="1"/>
  <c r="AE243" i="10" s="1"/>
  <c r="AI243" i="10" a="1"/>
  <c r="AI243" i="10" s="1"/>
  <c r="AA243" i="10" a="1"/>
  <c r="AA243" i="10" s="1"/>
  <c r="AO243" i="10" a="1"/>
  <c r="AO243" i="10" s="1"/>
  <c r="AS243" i="10"/>
  <c r="AK243" i="10" a="1"/>
  <c r="AK243" i="10" s="1"/>
  <c r="AD243" i="10" a="1"/>
  <c r="AD243" i="10" s="1"/>
  <c r="N243" i="10" a="1"/>
  <c r="N243" i="10" s="1"/>
  <c r="J243" i="10" a="1"/>
  <c r="J243" i="10" s="1"/>
  <c r="AB243" i="10" a="1"/>
  <c r="AB243" i="10" s="1"/>
  <c r="H243" i="10" a="1"/>
  <c r="H243" i="10" s="1"/>
  <c r="W243" i="10" a="1"/>
  <c r="W243" i="10" s="1"/>
  <c r="S243" i="10" a="1"/>
  <c r="S243" i="10" s="1"/>
  <c r="X243" i="10" a="1"/>
  <c r="X243" i="10" s="1"/>
  <c r="Z243" i="10" a="1"/>
  <c r="Z243" i="10" s="1"/>
  <c r="Y243" i="10" a="1"/>
  <c r="Y243" i="10" s="1"/>
  <c r="O243" i="10" a="1"/>
  <c r="O243" i="10" s="1"/>
  <c r="AF243" i="10" a="1"/>
  <c r="AF243" i="10" s="1"/>
  <c r="L243" i="10" a="1"/>
  <c r="L243" i="10" s="1"/>
  <c r="AC243" i="10" a="1"/>
  <c r="AC243" i="10" s="1"/>
  <c r="K243" i="10" a="1"/>
  <c r="K243" i="10" s="1"/>
  <c r="P243" i="10" a="1"/>
  <c r="P243" i="10" s="1"/>
  <c r="I243" i="10" a="1"/>
  <c r="I243" i="10" s="1"/>
  <c r="AM195" i="10" a="1"/>
  <c r="AM195" i="10" s="1"/>
  <c r="V195" i="10" a="1"/>
  <c r="V195" i="10" s="1"/>
  <c r="AG126" i="10" a="1"/>
  <c r="AG126" i="10" s="1"/>
  <c r="R126" i="10" a="1"/>
  <c r="R126" i="10" s="1"/>
  <c r="AC126" i="10" a="1"/>
  <c r="AC126" i="10" s="1"/>
  <c r="I126" i="10" a="1"/>
  <c r="I126" i="10" s="1"/>
  <c r="S159" i="10" a="1"/>
  <c r="S159" i="10" s="1"/>
  <c r="T159" i="10" a="1"/>
  <c r="T159" i="10" s="1"/>
  <c r="Q159" i="10" a="1"/>
  <c r="Q159" i="10" s="1"/>
  <c r="Z159" i="10" a="1"/>
  <c r="Z159" i="10" s="1"/>
  <c r="W168" i="10" a="1"/>
  <c r="W168" i="10" s="1"/>
  <c r="J168" i="10" a="1"/>
  <c r="J168" i="10" s="1"/>
  <c r="U168" i="10" a="1"/>
  <c r="U168" i="10" s="1"/>
  <c r="AL183" i="10" a="1"/>
  <c r="AL183" i="10" s="1"/>
  <c r="AS183" i="10"/>
  <c r="I213" i="10" a="1"/>
  <c r="I213" i="10" s="1"/>
  <c r="AI213" i="10" a="1"/>
  <c r="AI213" i="10" s="1"/>
  <c r="AE213" i="10" a="1"/>
  <c r="AE213" i="10" s="1"/>
  <c r="S213" i="10" a="1"/>
  <c r="S213" i="10" s="1"/>
  <c r="Y213" i="10" a="1"/>
  <c r="Y213" i="10" s="1"/>
  <c r="M213" i="10" a="1"/>
  <c r="M213" i="10" s="1"/>
  <c r="H213" i="10" a="1"/>
  <c r="H213" i="10" s="1"/>
  <c r="AH213" i="10" a="1"/>
  <c r="AH213" i="10" s="1"/>
  <c r="N213" i="10" a="1"/>
  <c r="N213" i="10" s="1"/>
  <c r="AS213" i="10"/>
  <c r="U213" i="10" a="1"/>
  <c r="U213" i="10" s="1"/>
  <c r="V213" i="10" a="1"/>
  <c r="V213" i="10" s="1"/>
  <c r="AP213" i="10" a="1"/>
  <c r="AP213" i="10" s="1"/>
  <c r="T213" i="10" a="1"/>
  <c r="T213" i="10" s="1"/>
  <c r="AJ213" i="10" a="1"/>
  <c r="AJ213" i="10" s="1"/>
  <c r="AF213" i="10" a="1"/>
  <c r="AF213" i="10" s="1"/>
  <c r="G213" i="10" a="1"/>
  <c r="G213" i="10" s="1"/>
  <c r="AO213" i="10" a="1"/>
  <c r="AO213" i="10" s="1"/>
  <c r="O213" i="10" a="1"/>
  <c r="O213" i="10" s="1"/>
  <c r="K213" i="10" a="1"/>
  <c r="K213" i="10" s="1"/>
  <c r="AK213" i="10" a="1"/>
  <c r="AK213" i="10" s="1"/>
  <c r="X213" i="10" a="1"/>
  <c r="X213" i="10" s="1"/>
  <c r="AA213" i="10" a="1"/>
  <c r="AA213" i="10" s="1"/>
  <c r="AC213" i="10" a="1"/>
  <c r="AC213" i="10" s="1"/>
  <c r="W213" i="10" a="1"/>
  <c r="W213" i="10" s="1"/>
  <c r="AM213" i="10" a="1"/>
  <c r="AM213" i="10" s="1"/>
  <c r="AD213" i="10" a="1"/>
  <c r="AD213" i="10" s="1"/>
  <c r="Q213" i="10" a="1"/>
  <c r="Q213" i="10" s="1"/>
  <c r="AB213" i="10" a="1"/>
  <c r="AB213" i="10" s="1"/>
  <c r="R213" i="10" a="1"/>
  <c r="R213" i="10" s="1"/>
  <c r="AG213" i="10" a="1"/>
  <c r="AG213" i="10" s="1"/>
  <c r="AN213" i="10" a="1"/>
  <c r="AN213" i="10" s="1"/>
  <c r="AL213" i="10" a="1"/>
  <c r="AL213" i="10" s="1"/>
  <c r="T207" i="58885" a="1"/>
  <c r="T207" i="58885" s="1"/>
  <c r="U223" i="58885" a="1"/>
  <c r="U223" i="58885" s="1"/>
  <c r="M80" i="58887"/>
  <c r="M130" i="58887"/>
  <c r="M39" i="58887"/>
  <c r="M78" i="58887"/>
  <c r="M10" i="58887"/>
  <c r="M9" i="58887"/>
  <c r="M88" i="58887"/>
  <c r="M54" i="58887"/>
  <c r="AA273" i="5" a="1"/>
  <c r="AA273" i="5" s="1"/>
  <c r="AA279" i="5" a="1"/>
  <c r="AA279" i="5" s="1"/>
  <c r="AA266" i="5" a="1"/>
  <c r="AA266" i="5" s="1"/>
  <c r="AA280" i="5" a="1"/>
  <c r="AA280" i="5" s="1"/>
  <c r="AA275" i="5" a="1"/>
  <c r="AA275" i="5" s="1"/>
  <c r="AA285" i="5" a="1"/>
  <c r="AA285" i="5" s="1"/>
  <c r="AA264" i="5" a="1"/>
  <c r="AA264" i="5" s="1"/>
  <c r="AA283" i="5" a="1"/>
  <c r="AA283" i="5" s="1"/>
  <c r="AA287" i="5" a="1"/>
  <c r="AA287" i="5" s="1"/>
  <c r="AA268" i="5" a="1"/>
  <c r="AA268" i="5" s="1"/>
  <c r="AA289" i="5" a="1"/>
  <c r="AA289" i="5" s="1"/>
  <c r="AA281" i="5" a="1"/>
  <c r="AA281" i="5" s="1"/>
  <c r="AA286" i="5" a="1"/>
  <c r="AA286" i="5" s="1"/>
  <c r="AA271" i="5" a="1"/>
  <c r="AA271" i="5" s="1"/>
  <c r="AA277" i="5" a="1"/>
  <c r="AA277" i="5" s="1"/>
  <c r="AA276" i="5" a="1"/>
  <c r="AA276" i="5" s="1"/>
  <c r="AA290" i="5" a="1"/>
  <c r="AA290" i="5" s="1"/>
  <c r="AA294" i="5" a="1"/>
  <c r="AA294" i="5" s="1"/>
  <c r="AA270" i="5" a="1"/>
  <c r="AA270" i="5" s="1"/>
  <c r="AA278" i="5" a="1"/>
  <c r="AA278" i="5" s="1"/>
  <c r="AA284" i="5" a="1"/>
  <c r="AA284" i="5" s="1"/>
  <c r="AA261" i="5" a="1"/>
  <c r="AA261" i="5" s="1"/>
  <c r="AA263" i="5" a="1"/>
  <c r="AA263" i="5" s="1"/>
  <c r="AA274" i="5" a="1"/>
  <c r="AA274" i="5" s="1"/>
  <c r="AA292" i="5" a="1"/>
  <c r="AA292" i="5" s="1"/>
  <c r="AA269" i="5" a="1"/>
  <c r="AA269" i="5" s="1"/>
  <c r="AA267" i="5" a="1"/>
  <c r="AA267" i="5" s="1"/>
  <c r="AA288" i="5" a="1"/>
  <c r="AA288" i="5" s="1"/>
  <c r="AA265" i="5" a="1"/>
  <c r="AA265" i="5" s="1"/>
  <c r="AA293" i="5" a="1"/>
  <c r="AA293" i="5" s="1"/>
  <c r="AA262" i="5" a="1"/>
  <c r="AA262" i="5" s="1"/>
  <c r="AA282" i="5" a="1"/>
  <c r="AA282" i="5" s="1"/>
  <c r="AA272" i="5" a="1"/>
  <c r="AA272" i="5" s="1"/>
  <c r="AA291" i="5" a="1"/>
  <c r="AA291" i="5" s="1"/>
  <c r="T103" i="58885" a="1"/>
  <c r="T103" i="58885" s="1"/>
  <c r="U103" i="58885" a="1"/>
  <c r="U103" i="58885" s="1"/>
  <c r="AS180" i="10"/>
  <c r="U127" i="58885" a="1"/>
  <c r="U127" i="58885" s="1"/>
  <c r="T127" i="58885" a="1"/>
  <c r="T127" i="58885" s="1"/>
  <c r="T112" i="58885" a="1"/>
  <c r="T112" i="58885" s="1"/>
  <c r="U112" i="58885" a="1"/>
  <c r="U112" i="58885" s="1"/>
  <c r="U198" i="58885" a="1"/>
  <c r="U198" i="58885" s="1"/>
  <c r="T198" i="58885" a="1"/>
  <c r="T198" i="58885" s="1"/>
  <c r="T211" i="58885" a="1"/>
  <c r="T211" i="58885" s="1"/>
  <c r="U245" i="58885" a="1"/>
  <c r="U245" i="58885" s="1"/>
  <c r="M99" i="58887"/>
  <c r="T124" i="58885" a="1"/>
  <c r="T124" i="58885" s="1"/>
  <c r="M35" i="58887"/>
  <c r="M124" i="58887"/>
  <c r="M89" i="58887"/>
  <c r="M48" i="58887"/>
  <c r="M110" i="58887"/>
  <c r="M20" i="58887"/>
  <c r="M149" i="58887"/>
  <c r="K120" i="10" a="1"/>
  <c r="K120" i="10" s="1"/>
  <c r="AC147" i="10" a="1"/>
  <c r="AC147" i="10" s="1"/>
  <c r="AI147" i="10" a="1"/>
  <c r="AI147" i="10" s="1"/>
  <c r="M147" i="10" a="1"/>
  <c r="M147" i="10" s="1"/>
  <c r="AK141" i="10" a="1"/>
  <c r="AK141" i="10" s="1"/>
  <c r="AA141" i="10" a="1"/>
  <c r="AA141" i="10" s="1"/>
  <c r="W141" i="10" a="1"/>
  <c r="W141" i="10" s="1"/>
  <c r="AF141" i="10" a="1"/>
  <c r="AF141" i="10" s="1"/>
  <c r="U102" i="58885" a="1"/>
  <c r="U102" i="58885" s="1"/>
  <c r="T102" i="58885" a="1"/>
  <c r="T102" i="58885" s="1"/>
  <c r="M135" i="10" a="1"/>
  <c r="M135" i="10" s="1"/>
  <c r="L135" i="10" a="1"/>
  <c r="L135" i="10" s="1"/>
  <c r="O135" i="10" a="1"/>
  <c r="O135" i="10" s="1"/>
  <c r="AD135" i="10" a="1"/>
  <c r="AD135" i="10" s="1"/>
  <c r="AA123" i="10" a="1"/>
  <c r="AA123" i="10" s="1"/>
  <c r="AG123" i="10" a="1"/>
  <c r="AG123" i="10" s="1"/>
  <c r="Q123" i="10" a="1"/>
  <c r="Q123" i="10" s="1"/>
  <c r="AK180" i="10" a="1"/>
  <c r="AK180" i="10" s="1"/>
  <c r="AL180" i="10" a="1"/>
  <c r="AL180" i="10" s="1"/>
  <c r="AD180" i="10" a="1"/>
  <c r="AD180" i="10" s="1"/>
  <c r="AF180" i="10" a="1"/>
  <c r="AF180" i="10" s="1"/>
  <c r="R180" i="10" a="1"/>
  <c r="R180" i="10" s="1"/>
  <c r="P156" i="10" a="1"/>
  <c r="P156" i="10" s="1"/>
  <c r="H231" i="10" a="1"/>
  <c r="H231" i="10" s="1"/>
  <c r="N231" i="10" a="1"/>
  <c r="N231" i="10" s="1"/>
  <c r="Q231" i="10" a="1"/>
  <c r="Q231" i="10" s="1"/>
  <c r="O231" i="10" a="1"/>
  <c r="O231" i="10" s="1"/>
  <c r="T231" i="10" a="1"/>
  <c r="T231" i="10" s="1"/>
  <c r="S231" i="10" a="1"/>
  <c r="S231" i="10" s="1"/>
  <c r="AE231" i="10" a="1"/>
  <c r="AE231" i="10" s="1"/>
  <c r="I231" i="10" a="1"/>
  <c r="I231" i="10" s="1"/>
  <c r="R231" i="10" a="1"/>
  <c r="R231" i="10" s="1"/>
  <c r="AP231" i="10" a="1"/>
  <c r="AP231" i="10" s="1"/>
  <c r="G231" i="10" a="1"/>
  <c r="G231" i="10" s="1"/>
  <c r="AH231" i="10" a="1"/>
  <c r="AH231" i="10" s="1"/>
  <c r="V231" i="10" a="1"/>
  <c r="V231" i="10" s="1"/>
  <c r="U231" i="10" a="1"/>
  <c r="U231" i="10" s="1"/>
  <c r="L231" i="10" a="1"/>
  <c r="L231" i="10" s="1"/>
  <c r="AC231" i="10" a="1"/>
  <c r="AC231" i="10" s="1"/>
  <c r="AB231" i="10" a="1"/>
  <c r="AB231" i="10" s="1"/>
  <c r="AA231" i="10" a="1"/>
  <c r="AA231" i="10" s="1"/>
  <c r="AM231" i="10" a="1"/>
  <c r="AM231" i="10" s="1"/>
  <c r="X231" i="10" a="1"/>
  <c r="X231" i="10" s="1"/>
  <c r="AK231" i="10" a="1"/>
  <c r="AK231" i="10" s="1"/>
  <c r="AO231" i="10" a="1"/>
  <c r="AO231" i="10" s="1"/>
  <c r="AS231" i="10"/>
  <c r="Z231" i="10" a="1"/>
  <c r="Z231" i="10" s="1"/>
  <c r="AG231" i="10" a="1"/>
  <c r="AG231" i="10" s="1"/>
  <c r="AI231" i="10" a="1"/>
  <c r="AI231" i="10" s="1"/>
  <c r="AF231" i="10" a="1"/>
  <c r="AF231" i="10" s="1"/>
  <c r="K231" i="10" a="1"/>
  <c r="K231" i="10" s="1"/>
  <c r="W231" i="10" a="1"/>
  <c r="W231" i="10" s="1"/>
  <c r="AJ231" i="10" a="1"/>
  <c r="AJ231" i="10" s="1"/>
  <c r="P231" i="10" a="1"/>
  <c r="P231" i="10" s="1"/>
  <c r="Y231" i="10" a="1"/>
  <c r="Y231" i="10" s="1"/>
  <c r="M231" i="10" a="1"/>
  <c r="M231" i="10" s="1"/>
  <c r="J231" i="10" a="1"/>
  <c r="J231" i="10" s="1"/>
  <c r="AD231" i="10" a="1"/>
  <c r="AD231" i="10" s="1"/>
  <c r="AL231" i="10" a="1"/>
  <c r="AL231" i="10" s="1"/>
  <c r="AN231" i="10" a="1"/>
  <c r="AN231" i="10" s="1"/>
  <c r="U125" i="58885" a="1"/>
  <c r="U125" i="58885" s="1"/>
  <c r="T125" i="58885" a="1"/>
  <c r="T125" i="58885" s="1"/>
  <c r="L186" i="10" a="1"/>
  <c r="L186" i="10" s="1"/>
  <c r="AK186" i="10" a="1"/>
  <c r="AK186" i="10" s="1"/>
  <c r="I186" i="10" a="1"/>
  <c r="I186" i="10" s="1"/>
  <c r="AB186" i="10" a="1"/>
  <c r="AB186" i="10" s="1"/>
  <c r="T202" i="58885" a="1"/>
  <c r="T202" i="58885" s="1"/>
  <c r="U202" i="58885" a="1"/>
  <c r="U202" i="58885" s="1"/>
  <c r="O132" i="10" a="1"/>
  <c r="O132" i="10" s="1"/>
  <c r="U132" i="10" a="1"/>
  <c r="U132" i="10" s="1"/>
  <c r="Y117" i="10" a="1"/>
  <c r="Y117" i="10" s="1"/>
  <c r="AF174" i="10" a="1"/>
  <c r="AF174" i="10" s="1"/>
  <c r="M174" i="10" a="1"/>
  <c r="M174" i="10" s="1"/>
  <c r="Y174" i="10" a="1"/>
  <c r="Y174" i="10" s="1"/>
  <c r="X174" i="10" a="1"/>
  <c r="X174" i="10" s="1"/>
  <c r="Z174" i="10" a="1"/>
  <c r="Z174" i="10" s="1"/>
  <c r="T216" i="58885" a="1"/>
  <c r="T216" i="58885" s="1"/>
  <c r="U193" i="58885" a="1"/>
  <c r="U193" i="58885" s="1"/>
  <c r="T193" i="58885" a="1"/>
  <c r="T193" i="58885" s="1"/>
  <c r="AP144" i="10" a="1"/>
  <c r="AP144" i="10" s="1"/>
  <c r="AI144" i="10" a="1"/>
  <c r="AI144" i="10" s="1"/>
  <c r="K144" i="10" a="1"/>
  <c r="K144" i="10" s="1"/>
  <c r="AO192" i="10" a="1"/>
  <c r="AO192" i="10" s="1"/>
  <c r="AS192" i="10"/>
  <c r="X192" i="10" a="1"/>
  <c r="X192" i="10" s="1"/>
  <c r="AJ192" i="10" a="1"/>
  <c r="AJ192" i="10" s="1"/>
  <c r="AL177" i="10" a="1"/>
  <c r="AL177" i="10" s="1"/>
  <c r="AA177" i="10" a="1"/>
  <c r="AA177" i="10" s="1"/>
  <c r="H177" i="10" a="1"/>
  <c r="H177" i="10" s="1"/>
  <c r="AB177" i="10" a="1"/>
  <c r="AB177" i="10" s="1"/>
  <c r="S150" i="10" a="1"/>
  <c r="S150" i="10" s="1"/>
  <c r="AA150" i="10" a="1"/>
  <c r="AA150" i="10" s="1"/>
  <c r="AB150" i="10" a="1"/>
  <c r="AB150" i="10" s="1"/>
  <c r="U150" i="10" a="1"/>
  <c r="U150" i="10" s="1"/>
  <c r="U153" i="10" a="1"/>
  <c r="U153" i="10" s="1"/>
  <c r="N138" i="10" a="1"/>
  <c r="N138" i="10" s="1"/>
  <c r="K138" i="10" a="1"/>
  <c r="K138" i="10" s="1"/>
  <c r="U109" i="58885" a="1"/>
  <c r="U109" i="58885" s="1"/>
  <c r="U182" i="58885" a="1"/>
  <c r="U182" i="58885" s="1"/>
  <c r="T182" i="58885" a="1"/>
  <c r="T182" i="58885" s="1"/>
  <c r="T209" i="58885" a="1"/>
  <c r="T209" i="58885" s="1"/>
  <c r="AN195" i="10" a="1"/>
  <c r="AN195" i="10" s="1"/>
  <c r="AA126" i="10" a="1"/>
  <c r="AA126" i="10" s="1"/>
  <c r="K126" i="10" a="1"/>
  <c r="K126" i="10" s="1"/>
  <c r="AM126" i="10" a="1"/>
  <c r="AM126" i="10" s="1"/>
  <c r="X126" i="10" a="1"/>
  <c r="X126" i="10" s="1"/>
  <c r="V159" i="10" a="1"/>
  <c r="V159" i="10" s="1"/>
  <c r="AA159" i="10" a="1"/>
  <c r="AA159" i="10" s="1"/>
  <c r="P159" i="10" a="1"/>
  <c r="P159" i="10" s="1"/>
  <c r="AG159" i="10" a="1"/>
  <c r="AG159" i="10" s="1"/>
  <c r="AS189" i="10"/>
  <c r="FR13" i="58885" a="1"/>
  <c r="FR13" i="58885" s="1"/>
  <c r="AF168" i="10" a="1"/>
  <c r="AF168" i="10" s="1"/>
  <c r="G168" i="10" a="1"/>
  <c r="G168" i="10" s="1"/>
  <c r="T241" i="58885" a="1"/>
  <c r="T241" i="58885" s="1"/>
  <c r="AD183" i="10" a="1"/>
  <c r="AD183" i="10" s="1"/>
  <c r="K183" i="10" a="1"/>
  <c r="K183" i="10" s="1"/>
  <c r="M58" i="58887"/>
  <c r="M79" i="58887"/>
  <c r="M53" i="58887"/>
  <c r="M83" i="58887"/>
  <c r="M86" i="58887"/>
  <c r="M24" i="58887"/>
  <c r="M119" i="58887"/>
  <c r="M31" i="58887"/>
  <c r="M140" i="58887"/>
  <c r="M145" i="58887"/>
  <c r="M114" i="58887"/>
  <c r="C11" i="33"/>
  <c r="AR249" i="10"/>
  <c r="AQ249" i="10"/>
  <c r="AQ216" i="10"/>
  <c r="AR216" i="10"/>
  <c r="D14" i="33"/>
  <c r="D15" i="33"/>
  <c r="AR207" i="10"/>
  <c r="AQ207" i="10"/>
  <c r="C5" i="33"/>
  <c r="AR234" i="10"/>
  <c r="AQ234" i="10"/>
  <c r="BM296" i="58883"/>
  <c r="G16" i="33"/>
  <c r="C21" i="33" s="1"/>
  <c r="G11" i="33"/>
  <c r="AR240" i="10"/>
  <c r="AQ240" i="10"/>
  <c r="U296" i="58884"/>
  <c r="G18" i="33"/>
  <c r="C20" i="33" s="1"/>
  <c r="V218" i="58885" a="1"/>
  <c r="V218" i="58885" s="1"/>
  <c r="W218" i="58885" a="1"/>
  <c r="W218" i="58885" s="1"/>
  <c r="X115" i="58885" a="1"/>
  <c r="X115" i="58885" s="1"/>
  <c r="V115" i="58885" a="1"/>
  <c r="V115" i="58885" s="1"/>
  <c r="Y115" i="58885" s="1" a="1"/>
  <c r="Y115" i="58885" s="1"/>
  <c r="W115" i="58885" a="1"/>
  <c r="W115" i="58885" s="1"/>
  <c r="Z115" i="58885" s="1" a="1"/>
  <c r="Z115" i="58885" s="1"/>
  <c r="Y229" i="10" a="1"/>
  <c r="Y229" i="10" s="1"/>
  <c r="AO229" i="10" a="1"/>
  <c r="AO229" i="10" s="1"/>
  <c r="AJ229" i="10" a="1"/>
  <c r="AJ229" i="10" s="1"/>
  <c r="R229" i="10" a="1"/>
  <c r="R229" i="10" s="1"/>
  <c r="V141" i="58885" a="1"/>
  <c r="V141" i="58885" s="1"/>
  <c r="X106" i="58885" a="1"/>
  <c r="X106" i="58885" s="1"/>
  <c r="W106" i="58885" a="1"/>
  <c r="W106" i="58885" s="1"/>
  <c r="Z106" i="58885" s="1" a="1"/>
  <c r="Z106" i="58885" s="1"/>
  <c r="V106" i="58885" a="1"/>
  <c r="V106" i="58885" s="1"/>
  <c r="W200" i="58885" a="1"/>
  <c r="W200" i="58885" s="1"/>
  <c r="V200" i="58885" a="1"/>
  <c r="V200" i="58885" s="1"/>
  <c r="W253" i="58885" a="1"/>
  <c r="W253" i="58885" s="1"/>
  <c r="V253" i="58885" a="1"/>
  <c r="V253" i="58885" s="1"/>
  <c r="W207" i="58885" a="1"/>
  <c r="W207" i="58885" s="1"/>
  <c r="V207" i="58885" a="1"/>
  <c r="V207" i="58885" s="1"/>
  <c r="V111" i="58885" a="1"/>
  <c r="V111" i="58885" s="1"/>
  <c r="W111" i="58885" a="1"/>
  <c r="W111" i="58885" s="1"/>
  <c r="V191" i="58885" a="1"/>
  <c r="V191" i="58885" s="1"/>
  <c r="W191" i="58885" a="1"/>
  <c r="W191" i="58885" s="1"/>
  <c r="W130" i="58885" a="1"/>
  <c r="W130" i="58885" s="1"/>
  <c r="V130" i="58885" a="1"/>
  <c r="V130" i="58885" s="1"/>
  <c r="V213" i="58885" a="1"/>
  <c r="V213" i="58885" s="1"/>
  <c r="W213" i="58885" a="1"/>
  <c r="W213" i="58885" s="1"/>
  <c r="V214" i="58885" a="1"/>
  <c r="V214" i="58885" s="1"/>
  <c r="W214" i="58885" a="1"/>
  <c r="W214" i="58885" s="1"/>
  <c r="V210" i="58885" a="1"/>
  <c r="V210" i="58885" s="1"/>
  <c r="W210" i="58885" a="1"/>
  <c r="W210" i="58885" s="1"/>
  <c r="AL166" i="10" a="1"/>
  <c r="AL166" i="10" s="1"/>
  <c r="L166" i="10" a="1"/>
  <c r="L166" i="10" s="1"/>
  <c r="AK130" i="10" a="1"/>
  <c r="AK130" i="10" s="1"/>
  <c r="L130" i="10" a="1"/>
  <c r="L130" i="10" s="1"/>
  <c r="S127" i="10" a="1"/>
  <c r="S127" i="10" s="1"/>
  <c r="X127" i="10" a="1"/>
  <c r="X127" i="10" s="1"/>
  <c r="G160" i="10" a="1"/>
  <c r="G160" i="10" s="1"/>
  <c r="AH160" i="10" a="1"/>
  <c r="AH160" i="10" s="1"/>
  <c r="S160" i="10" a="1"/>
  <c r="S160" i="10" s="1"/>
  <c r="V160" i="10" a="1"/>
  <c r="V160" i="10" s="1"/>
  <c r="AJ160" i="10" a="1"/>
  <c r="AJ160" i="10" s="1"/>
  <c r="AB145" i="10" a="1"/>
  <c r="AB145" i="10" s="1"/>
  <c r="Z145" i="10" a="1"/>
  <c r="Z145" i="10" s="1"/>
  <c r="Z187" i="10" a="1"/>
  <c r="Z187" i="10" s="1"/>
  <c r="Q151" i="10" a="1"/>
  <c r="Q151" i="10" s="1"/>
  <c r="W151" i="10" a="1"/>
  <c r="W151" i="10" s="1"/>
  <c r="L151" i="10" a="1"/>
  <c r="L151" i="10" s="1"/>
  <c r="N163" i="10" a="1"/>
  <c r="N163" i="10" s="1"/>
  <c r="O169" i="10" a="1"/>
  <c r="O169" i="10" s="1"/>
  <c r="AC169" i="10" a="1"/>
  <c r="AC169" i="10" s="1"/>
  <c r="K169" i="10" a="1"/>
  <c r="K169" i="10" s="1"/>
  <c r="AF169" i="10" a="1"/>
  <c r="AF169" i="10" s="1"/>
  <c r="M169" i="10" a="1"/>
  <c r="M169" i="10" s="1"/>
  <c r="Y199" i="10" a="1"/>
  <c r="Y199" i="10" s="1"/>
  <c r="U199" i="10" a="1"/>
  <c r="U199" i="10" s="1"/>
  <c r="AF196" i="10" a="1"/>
  <c r="AF196" i="10" s="1"/>
  <c r="M196" i="10" a="1"/>
  <c r="M196" i="10" s="1"/>
  <c r="AI196" i="10" a="1"/>
  <c r="AI196" i="10" s="1"/>
  <c r="J196" i="10" a="1"/>
  <c r="J196" i="10" s="1"/>
  <c r="I157" i="10" a="1"/>
  <c r="I157" i="10" s="1"/>
  <c r="O157" i="10" a="1"/>
  <c r="O157" i="10" s="1"/>
  <c r="AP157" i="10" a="1"/>
  <c r="AP157" i="10" s="1"/>
  <c r="AE136" i="10" a="1"/>
  <c r="AE136" i="10" s="1"/>
  <c r="Z136" i="10" a="1"/>
  <c r="Z136" i="10" s="1"/>
  <c r="AB136" i="10" a="1"/>
  <c r="AB136" i="10" s="1"/>
  <c r="R136" i="10" a="1"/>
  <c r="R136" i="10" s="1"/>
  <c r="T142" i="10" a="1"/>
  <c r="T142" i="10" s="1"/>
  <c r="AF142" i="10" a="1"/>
  <c r="AF142" i="10" s="1"/>
  <c r="AO142" i="10" a="1"/>
  <c r="AO142" i="10" s="1"/>
  <c r="AE142" i="10" a="1"/>
  <c r="AE142" i="10" s="1"/>
  <c r="J133" i="10" a="1"/>
  <c r="J133" i="10" s="1"/>
  <c r="AD133" i="10" a="1"/>
  <c r="AD133" i="10" s="1"/>
  <c r="T133" i="10" a="1"/>
  <c r="T133" i="10" s="1"/>
  <c r="AE172" i="10" a="1"/>
  <c r="AE172" i="10" s="1"/>
  <c r="AI172" i="10" a="1"/>
  <c r="AI172" i="10" s="1"/>
  <c r="O172" i="10" a="1"/>
  <c r="O172" i="10" s="1"/>
  <c r="AD172" i="10" a="1"/>
  <c r="AD172" i="10" s="1"/>
  <c r="W130" i="10" a="1"/>
  <c r="W130" i="10" s="1"/>
  <c r="AP130" i="10" a="1"/>
  <c r="AP130" i="10" s="1"/>
  <c r="N229" i="10" a="1"/>
  <c r="N229" i="10" s="1"/>
  <c r="T229" i="10" a="1"/>
  <c r="T229" i="10" s="1"/>
  <c r="X229" i="10" a="1"/>
  <c r="X229" i="10" s="1"/>
  <c r="V241" i="58885" a="1"/>
  <c r="V241" i="58885" s="1"/>
  <c r="W241" i="58885" a="1"/>
  <c r="W241" i="58885" s="1"/>
  <c r="W185" i="58885" a="1"/>
  <c r="W185" i="58885" s="1"/>
  <c r="V185" i="58885" a="1"/>
  <c r="V185" i="58885" s="1"/>
  <c r="W246" i="58885" a="1"/>
  <c r="W246" i="58885" s="1"/>
  <c r="V246" i="58885" a="1"/>
  <c r="V246" i="58885" s="1"/>
  <c r="V189" i="58885" a="1"/>
  <c r="V189" i="58885" s="1"/>
  <c r="W189" i="58885" a="1"/>
  <c r="W189" i="58885" s="1"/>
  <c r="W117" i="58885" a="1"/>
  <c r="W117" i="58885" s="1"/>
  <c r="Z117" i="58885" s="1" a="1"/>
  <c r="Z117" i="58885" s="1"/>
  <c r="V117" i="58885" a="1"/>
  <c r="V117" i="58885" s="1"/>
  <c r="X117" i="58885" a="1"/>
  <c r="X117" i="58885" s="1"/>
  <c r="O166" i="10" a="1"/>
  <c r="O166" i="10" s="1"/>
  <c r="R130" i="10" a="1"/>
  <c r="R130" i="10" s="1"/>
  <c r="N130" i="10" a="1"/>
  <c r="N130" i="10" s="1"/>
  <c r="AM160" i="10" a="1"/>
  <c r="AM160" i="10" s="1"/>
  <c r="Z160" i="10" a="1"/>
  <c r="Z160" i="10" s="1"/>
  <c r="AC160" i="10" a="1"/>
  <c r="AC160" i="10" s="1"/>
  <c r="Y160" i="10" a="1"/>
  <c r="Y160" i="10" s="1"/>
  <c r="J160" i="10" a="1"/>
  <c r="J160" i="10" s="1"/>
  <c r="AD145" i="10" a="1"/>
  <c r="AD145" i="10" s="1"/>
  <c r="AK145" i="10" a="1"/>
  <c r="AK145" i="10" s="1"/>
  <c r="I151" i="10" a="1"/>
  <c r="I151" i="10" s="1"/>
  <c r="AM151" i="10" a="1"/>
  <c r="AM151" i="10" s="1"/>
  <c r="AB151" i="10" a="1"/>
  <c r="AB151" i="10" s="1"/>
  <c r="AA169" i="10" a="1"/>
  <c r="AA169" i="10" s="1"/>
  <c r="Q169" i="10" a="1"/>
  <c r="Q169" i="10" s="1"/>
  <c r="U169" i="10" a="1"/>
  <c r="U169" i="10" s="1"/>
  <c r="I169" i="10" a="1"/>
  <c r="I169" i="10" s="1"/>
  <c r="S199" i="10" a="1"/>
  <c r="S199" i="10" s="1"/>
  <c r="AD157" i="10" a="1"/>
  <c r="AD157" i="10" s="1"/>
  <c r="AL157" i="10" a="1"/>
  <c r="AL157" i="10" s="1"/>
  <c r="Z157" i="10" a="1"/>
  <c r="Z157" i="10" s="1"/>
  <c r="U136" i="10" a="1"/>
  <c r="U136" i="10" s="1"/>
  <c r="AD136" i="10" a="1"/>
  <c r="AD136" i="10" s="1"/>
  <c r="V136" i="10" a="1"/>
  <c r="V136" i="10" s="1"/>
  <c r="AC142" i="10" a="1"/>
  <c r="AC142" i="10" s="1"/>
  <c r="L142" i="10" a="1"/>
  <c r="L142" i="10" s="1"/>
  <c r="I142" i="10" a="1"/>
  <c r="I142" i="10" s="1"/>
  <c r="Q142" i="10" a="1"/>
  <c r="Q142" i="10" s="1"/>
  <c r="Q133" i="10" a="1"/>
  <c r="Q133" i="10" s="1"/>
  <c r="AK133" i="10" a="1"/>
  <c r="AK133" i="10" s="1"/>
  <c r="M133" i="10" a="1"/>
  <c r="M133" i="10" s="1"/>
  <c r="AG172" i="10" a="1"/>
  <c r="AG172" i="10" s="1"/>
  <c r="AJ172" i="10" a="1"/>
  <c r="AJ172" i="10" s="1"/>
  <c r="U172" i="10" a="1"/>
  <c r="U172" i="10" s="1"/>
  <c r="I172" i="10" a="1"/>
  <c r="I172" i="10" s="1"/>
  <c r="W252" i="58885" a="1"/>
  <c r="W252" i="58885" s="1"/>
  <c r="V252" i="58885" a="1"/>
  <c r="V252" i="58885" s="1"/>
  <c r="V243" i="58885" a="1"/>
  <c r="V243" i="58885" s="1"/>
  <c r="W243" i="58885" a="1"/>
  <c r="W243" i="58885" s="1"/>
  <c r="V219" i="58885" a="1"/>
  <c r="V219" i="58885" s="1"/>
  <c r="W219" i="58885" a="1"/>
  <c r="W219" i="58885" s="1"/>
  <c r="K130" i="10" a="1"/>
  <c r="K130" i="10" s="1"/>
  <c r="H229" i="10" a="1"/>
  <c r="H229" i="10" s="1"/>
  <c r="V229" i="10" a="1"/>
  <c r="V229" i="10" s="1"/>
  <c r="AB229" i="10" a="1"/>
  <c r="AB229" i="10" s="1"/>
  <c r="K229" i="10" a="1"/>
  <c r="K229" i="10" s="1"/>
  <c r="AP229" i="10" a="1"/>
  <c r="AP229" i="10" s="1"/>
  <c r="AL151" i="10" a="1"/>
  <c r="AL151" i="10" s="1"/>
  <c r="Z172" i="10" a="1"/>
  <c r="Z172" i="10" s="1"/>
  <c r="AS172" i="10"/>
  <c r="T172" i="10" a="1"/>
  <c r="T172" i="10" s="1"/>
  <c r="AK172" i="10" a="1"/>
  <c r="AK172" i="10" s="1"/>
  <c r="S172" i="10" a="1"/>
  <c r="S172" i="10" s="1"/>
  <c r="X124" i="58885" a="1"/>
  <c r="X124" i="58885" s="1"/>
  <c r="W124" i="58885" a="1"/>
  <c r="W124" i="58885" s="1"/>
  <c r="Z124" i="58885" s="1" a="1"/>
  <c r="Z124" i="58885" s="1"/>
  <c r="V124" i="58885" a="1"/>
  <c r="V124" i="58885" s="1"/>
  <c r="Y124" i="58885" s="1" a="1"/>
  <c r="Y124" i="58885" s="1"/>
  <c r="V251" i="58885" a="1"/>
  <c r="V251" i="58885" s="1"/>
  <c r="W251" i="58885" a="1"/>
  <c r="W251" i="58885" s="1"/>
  <c r="W238" i="58885" a="1"/>
  <c r="W238" i="58885" s="1"/>
  <c r="V238" i="58885" a="1"/>
  <c r="V238" i="58885" s="1"/>
  <c r="W134" i="58885" a="1"/>
  <c r="W134" i="58885" s="1"/>
  <c r="Z134" i="58885" s="1" a="1"/>
  <c r="Z134" i="58885" s="1"/>
  <c r="V134" i="58885" a="1"/>
  <c r="V134" i="58885" s="1"/>
  <c r="Y134" i="58885" s="1" a="1"/>
  <c r="Y134" i="58885" s="1"/>
  <c r="X134" i="58885" a="1"/>
  <c r="X134" i="58885" s="1"/>
  <c r="X99" i="58885" a="1"/>
  <c r="X99" i="58885" s="1"/>
  <c r="W99" i="58885" a="1"/>
  <c r="W99" i="58885" s="1"/>
  <c r="V99" i="58885" a="1"/>
  <c r="V99" i="58885" s="1"/>
  <c r="V139" i="58885" a="1"/>
  <c r="V139" i="58885" s="1"/>
  <c r="W139" i="58885" a="1"/>
  <c r="W139" i="58885" s="1"/>
  <c r="V197" i="58885" a="1"/>
  <c r="V197" i="58885" s="1"/>
  <c r="W197" i="58885" a="1"/>
  <c r="W197" i="58885" s="1"/>
  <c r="W135" i="58885" a="1"/>
  <c r="W135" i="58885" s="1"/>
  <c r="V135" i="58885" a="1"/>
  <c r="V135" i="58885" s="1"/>
  <c r="Q130" i="10" a="1"/>
  <c r="Q130" i="10" s="1"/>
  <c r="J130" i="10" a="1"/>
  <c r="J130" i="10" s="1"/>
  <c r="AO130" i="10" a="1"/>
  <c r="AO130" i="10" s="1"/>
  <c r="AE160" i="10" a="1"/>
  <c r="AE160" i="10" s="1"/>
  <c r="AB160" i="10" a="1"/>
  <c r="AB160" i="10" s="1"/>
  <c r="Z151" i="10" a="1"/>
  <c r="Z151" i="10" s="1"/>
  <c r="P151" i="10" a="1"/>
  <c r="P151" i="10" s="1"/>
  <c r="AP151" i="10" a="1"/>
  <c r="AP151" i="10" s="1"/>
  <c r="R142" i="10" a="1"/>
  <c r="R142" i="10" s="1"/>
  <c r="N142" i="10" a="1"/>
  <c r="N142" i="10" s="1"/>
  <c r="G142" i="10" a="1"/>
  <c r="G142" i="10" s="1"/>
  <c r="AA142" i="10" a="1"/>
  <c r="AA142" i="10" s="1"/>
  <c r="R133" i="10" a="1"/>
  <c r="R133" i="10" s="1"/>
  <c r="U133" i="10" a="1"/>
  <c r="U133" i="10" s="1"/>
  <c r="AP172" i="10" a="1"/>
  <c r="AP172" i="10" s="1"/>
  <c r="AM172" i="10" a="1"/>
  <c r="AM172" i="10" s="1"/>
  <c r="AO172" i="10" a="1"/>
  <c r="AO172" i="10" s="1"/>
  <c r="Y172" i="10" a="1"/>
  <c r="Y172" i="10" s="1"/>
  <c r="X172" i="10" a="1"/>
  <c r="X172" i="10" s="1"/>
  <c r="W181" i="58885" a="1"/>
  <c r="W181" i="58885" s="1"/>
  <c r="G14" i="58837" a="1"/>
  <c r="G14" i="58837" s="1"/>
  <c r="V181" i="58885" a="1"/>
  <c r="V181" i="58885" s="1"/>
  <c r="V242" i="58885" a="1"/>
  <c r="V242" i="58885" s="1"/>
  <c r="W242" i="58885" a="1"/>
  <c r="W242" i="58885" s="1"/>
  <c r="V100" i="58885" a="1"/>
  <c r="V100" i="58885" s="1"/>
  <c r="Y100" i="58885" s="1" a="1"/>
  <c r="Y100" i="58885" s="1"/>
  <c r="X100" i="58885" a="1"/>
  <c r="X100" i="58885" s="1"/>
  <c r="W100" i="58885" a="1"/>
  <c r="W100" i="58885" s="1"/>
  <c r="V204" i="58885" a="1"/>
  <c r="V204" i="58885" s="1"/>
  <c r="W204" i="58885" a="1"/>
  <c r="W204" i="58885" s="1"/>
  <c r="W119" i="58885" a="1"/>
  <c r="W119" i="58885" s="1"/>
  <c r="V119" i="58885" a="1"/>
  <c r="V119" i="58885" s="1"/>
  <c r="V187" i="58885" a="1"/>
  <c r="V187" i="58885" s="1"/>
  <c r="W187" i="58885" a="1"/>
  <c r="W187" i="58885" s="1"/>
  <c r="V228" i="58885" a="1"/>
  <c r="V228" i="58885" s="1"/>
  <c r="W228" i="58885" a="1"/>
  <c r="W228" i="58885" s="1"/>
  <c r="AG130" i="10" a="1"/>
  <c r="AG130" i="10" s="1"/>
  <c r="Y130" i="10" a="1"/>
  <c r="Y130" i="10" s="1"/>
  <c r="AL130" i="10" a="1"/>
  <c r="AL130" i="10" s="1"/>
  <c r="H151" i="10" a="1"/>
  <c r="H151" i="10" s="1"/>
  <c r="AE151" i="10" a="1"/>
  <c r="AE151" i="10" s="1"/>
  <c r="AJ151" i="10" a="1"/>
  <c r="AJ151" i="10" s="1"/>
  <c r="AH142" i="10" a="1"/>
  <c r="AH142" i="10" s="1"/>
  <c r="P142" i="10" a="1"/>
  <c r="P142" i="10" s="1"/>
  <c r="Y142" i="10" a="1"/>
  <c r="Y142" i="10" s="1"/>
  <c r="AD142" i="10" a="1"/>
  <c r="AD142" i="10" s="1"/>
  <c r="W172" i="10" a="1"/>
  <c r="W172" i="10" s="1"/>
  <c r="Q172" i="10" a="1"/>
  <c r="Q172" i="10" s="1"/>
  <c r="L172" i="10" a="1"/>
  <c r="L172" i="10" s="1"/>
  <c r="AN172" i="10" a="1"/>
  <c r="AN172" i="10" s="1"/>
  <c r="W237" i="58885" a="1"/>
  <c r="W237" i="58885" s="1"/>
  <c r="V237" i="58885" a="1"/>
  <c r="V237" i="58885" s="1"/>
  <c r="V196" i="58885" a="1"/>
  <c r="V196" i="58885" s="1"/>
  <c r="W196" i="58885" a="1"/>
  <c r="W196" i="58885" s="1"/>
  <c r="W222" i="58885" a="1"/>
  <c r="W222" i="58885" s="1"/>
  <c r="V222" i="58885" a="1"/>
  <c r="V222" i="58885" s="1"/>
  <c r="V231" i="58885" a="1"/>
  <c r="V231" i="58885" s="1"/>
  <c r="W231" i="58885" a="1"/>
  <c r="W231" i="58885" s="1"/>
  <c r="W221" i="58885" a="1"/>
  <c r="W221" i="58885" s="1"/>
  <c r="V221" i="58885" a="1"/>
  <c r="V221" i="58885" s="1"/>
  <c r="V229" i="58885" a="1"/>
  <c r="V229" i="58885" s="1"/>
  <c r="W229" i="58885" a="1"/>
  <c r="W229" i="58885" s="1"/>
  <c r="V226" i="58885" a="1"/>
  <c r="V226" i="58885" s="1"/>
  <c r="W226" i="58885" a="1"/>
  <c r="W226" i="58885" s="1"/>
  <c r="W123" i="58885" a="1"/>
  <c r="W123" i="58885" s="1"/>
  <c r="Z123" i="58885" s="1" a="1"/>
  <c r="Z123" i="58885" s="1"/>
  <c r="V123" i="58885" a="1"/>
  <c r="V123" i="58885" s="1"/>
  <c r="Y123" i="58885" s="1" a="1"/>
  <c r="Y123" i="58885" s="1"/>
  <c r="X123" i="58885" a="1"/>
  <c r="X123" i="58885" s="1"/>
  <c r="W233" i="58885" a="1"/>
  <c r="W233" i="58885" s="1"/>
  <c r="V233" i="58885" a="1"/>
  <c r="V233" i="58885" s="1"/>
  <c r="W104" i="58885" a="1"/>
  <c r="W104" i="58885" s="1"/>
  <c r="V104" i="58885" a="1"/>
  <c r="V104" i="58885" s="1"/>
  <c r="V232" i="58885" a="1"/>
  <c r="V232" i="58885" s="1"/>
  <c r="W232" i="58885" a="1"/>
  <c r="W232" i="58885" s="1"/>
  <c r="AC130" i="10" a="1"/>
  <c r="AC130" i="10" s="1"/>
  <c r="AI130" i="10" a="1"/>
  <c r="AI130" i="10" s="1"/>
  <c r="X130" i="10" a="1"/>
  <c r="X130" i="10" s="1"/>
  <c r="X160" i="10" a="1"/>
  <c r="X160" i="10" s="1"/>
  <c r="AK160" i="10" a="1"/>
  <c r="AK160" i="10" s="1"/>
  <c r="R160" i="10" a="1"/>
  <c r="R160" i="10" s="1"/>
  <c r="AF160" i="10" a="1"/>
  <c r="AF160" i="10" s="1"/>
  <c r="AF145" i="10" a="1"/>
  <c r="AF145" i="10" s="1"/>
  <c r="U151" i="10" a="1"/>
  <c r="U151" i="10" s="1"/>
  <c r="V151" i="10" a="1"/>
  <c r="V151" i="10" s="1"/>
  <c r="Y151" i="10" a="1"/>
  <c r="Y151" i="10" s="1"/>
  <c r="AK151" i="10" a="1"/>
  <c r="AK151" i="10" s="1"/>
  <c r="G199" i="10" a="1"/>
  <c r="G199" i="10" s="1"/>
  <c r="AF199" i="10" a="1"/>
  <c r="AF199" i="10" s="1"/>
  <c r="S136" i="10" a="1"/>
  <c r="S136" i="10" s="1"/>
  <c r="AG136" i="10" a="1"/>
  <c r="AG136" i="10" s="1"/>
  <c r="N136" i="10" a="1"/>
  <c r="N136" i="10" s="1"/>
  <c r="T136" i="10" a="1"/>
  <c r="T136" i="10" s="1"/>
  <c r="V142" i="10" a="1"/>
  <c r="V142" i="10" s="1"/>
  <c r="AN142" i="10" a="1"/>
  <c r="AN142" i="10" s="1"/>
  <c r="O142" i="10" a="1"/>
  <c r="O142" i="10" s="1"/>
  <c r="U142" i="10" a="1"/>
  <c r="U142" i="10" s="1"/>
  <c r="O133" i="10" a="1"/>
  <c r="O133" i="10" s="1"/>
  <c r="P133" i="10" a="1"/>
  <c r="P133" i="10" s="1"/>
  <c r="K172" i="10" a="1"/>
  <c r="K172" i="10" s="1"/>
  <c r="R172" i="10" a="1"/>
  <c r="R172" i="10" s="1"/>
  <c r="AH172" i="10" a="1"/>
  <c r="AH172" i="10" s="1"/>
  <c r="AL172" i="10" a="1"/>
  <c r="AL172" i="10" s="1"/>
  <c r="U130" i="10" a="1"/>
  <c r="U130" i="10" s="1"/>
  <c r="AD229" i="10" a="1"/>
  <c r="AD229" i="10" s="1"/>
  <c r="M229" i="10" a="1"/>
  <c r="M229" i="10" s="1"/>
  <c r="AC229" i="10" a="1"/>
  <c r="AC229" i="10" s="1"/>
  <c r="G229" i="10" a="1"/>
  <c r="G229" i="10" s="1"/>
  <c r="Y238" i="10" a="1"/>
  <c r="Y238" i="10" s="1"/>
  <c r="AG238" i="10" a="1"/>
  <c r="AG238" i="10" s="1"/>
  <c r="AH238" i="10" a="1"/>
  <c r="AH238" i="10" s="1"/>
  <c r="AP238" i="10" a="1"/>
  <c r="AP238" i="10" s="1"/>
  <c r="V205" i="58885" a="1"/>
  <c r="V205" i="58885" s="1"/>
  <c r="V190" i="58885" a="1"/>
  <c r="V190" i="58885" s="1"/>
  <c r="W190" i="58885" a="1"/>
  <c r="W190" i="58885" s="1"/>
  <c r="W209" i="58885" a="1"/>
  <c r="W209" i="58885" s="1"/>
  <c r="V209" i="58885" a="1"/>
  <c r="V209" i="58885" s="1"/>
  <c r="W247" i="58885" a="1"/>
  <c r="W247" i="58885" s="1"/>
  <c r="V247" i="58885" a="1"/>
  <c r="V247" i="58885" s="1"/>
  <c r="W140" i="58885" a="1"/>
  <c r="W140" i="58885" s="1"/>
  <c r="V140" i="58885" a="1"/>
  <c r="V140" i="58885" s="1"/>
  <c r="X140" i="58885" a="1"/>
  <c r="X140" i="58885" s="1"/>
  <c r="W230" i="58885" a="1"/>
  <c r="W230" i="58885" s="1"/>
  <c r="V230" i="58885" a="1"/>
  <c r="V230" i="58885" s="1"/>
  <c r="W97" i="58885" a="1"/>
  <c r="W97" i="58885" s="1"/>
  <c r="V97" i="58885" a="1"/>
  <c r="V97" i="58885" s="1"/>
  <c r="W217" i="10" a="1"/>
  <c r="W217" i="10" s="1"/>
  <c r="T217" i="10" a="1"/>
  <c r="T217" i="10" s="1"/>
  <c r="H217" i="10" a="1"/>
  <c r="H217" i="10" s="1"/>
  <c r="AN217" i="10" a="1"/>
  <c r="AN217" i="10" s="1"/>
  <c r="AG166" i="10" a="1"/>
  <c r="AG166" i="10" s="1"/>
  <c r="AA130" i="10" a="1"/>
  <c r="AA130" i="10" s="1"/>
  <c r="AN130" i="10" a="1"/>
  <c r="AN130" i="10" s="1"/>
  <c r="I130" i="10" a="1"/>
  <c r="I130" i="10" s="1"/>
  <c r="Z127" i="10" a="1"/>
  <c r="Z127" i="10" s="1"/>
  <c r="AI127" i="10" a="1"/>
  <c r="AI127" i="10" s="1"/>
  <c r="R127" i="10" a="1"/>
  <c r="R127" i="10" s="1"/>
  <c r="U160" i="10" a="1"/>
  <c r="U160" i="10" s="1"/>
  <c r="AI160" i="10" a="1"/>
  <c r="AI160" i="10" s="1"/>
  <c r="O160" i="10" a="1"/>
  <c r="O160" i="10" s="1"/>
  <c r="AG160" i="10" a="1"/>
  <c r="AG160" i="10" s="1"/>
  <c r="R145" i="10" a="1"/>
  <c r="R145" i="10" s="1"/>
  <c r="T145" i="10" a="1"/>
  <c r="T145" i="10" s="1"/>
  <c r="S187" i="10" a="1"/>
  <c r="S187" i="10" s="1"/>
  <c r="I187" i="10" a="1"/>
  <c r="I187" i="10" s="1"/>
  <c r="J187" i="10" a="1"/>
  <c r="J187" i="10" s="1"/>
  <c r="U187" i="10" a="1"/>
  <c r="U187" i="10" s="1"/>
  <c r="N187" i="10" a="1"/>
  <c r="N187" i="10" s="1"/>
  <c r="AM190" i="10" a="1"/>
  <c r="AM190" i="10" s="1"/>
  <c r="AK190" i="10" a="1"/>
  <c r="AK190" i="10" s="1"/>
  <c r="N151" i="10" a="1"/>
  <c r="N151" i="10" s="1"/>
  <c r="S151" i="10" a="1"/>
  <c r="S151" i="10" s="1"/>
  <c r="AA151" i="10" a="1"/>
  <c r="AA151" i="10" s="1"/>
  <c r="O151" i="10" a="1"/>
  <c r="O151" i="10" s="1"/>
  <c r="X163" i="10" a="1"/>
  <c r="X163" i="10" s="1"/>
  <c r="Z163" i="10" a="1"/>
  <c r="Z163" i="10" s="1"/>
  <c r="AA178" i="10" a="1"/>
  <c r="AA178" i="10" s="1"/>
  <c r="AS178" i="10"/>
  <c r="V169" i="10" a="1"/>
  <c r="V169" i="10" s="1"/>
  <c r="L169" i="10" a="1"/>
  <c r="L169" i="10" s="1"/>
  <c r="AM169" i="10" a="1"/>
  <c r="AM169" i="10" s="1"/>
  <c r="S169" i="10" a="1"/>
  <c r="S169" i="10" s="1"/>
  <c r="P199" i="10" a="1"/>
  <c r="P199" i="10" s="1"/>
  <c r="R199" i="10" a="1"/>
  <c r="R199" i="10" s="1"/>
  <c r="U196" i="10" a="1"/>
  <c r="U196" i="10" s="1"/>
  <c r="K196" i="10" a="1"/>
  <c r="K196" i="10" s="1"/>
  <c r="N196" i="10" a="1"/>
  <c r="N196" i="10" s="1"/>
  <c r="M157" i="10" a="1"/>
  <c r="M157" i="10" s="1"/>
  <c r="G157" i="10" a="1"/>
  <c r="G157" i="10" s="1"/>
  <c r="N157" i="10" a="1"/>
  <c r="N157" i="10" s="1"/>
  <c r="K157" i="10" a="1"/>
  <c r="K157" i="10" s="1"/>
  <c r="AM193" i="10" a="1"/>
  <c r="AM193" i="10" s="1"/>
  <c r="AN124" i="10" a="1"/>
  <c r="AN124" i="10" s="1"/>
  <c r="AS124" i="10"/>
  <c r="I124" i="10" a="1"/>
  <c r="I124" i="10" s="1"/>
  <c r="T181" i="10" a="1"/>
  <c r="T181" i="10" s="1"/>
  <c r="AA136" i="10" a="1"/>
  <c r="AA136" i="10" s="1"/>
  <c r="K136" i="10" a="1"/>
  <c r="K136" i="10" s="1"/>
  <c r="P136" i="10" a="1"/>
  <c r="P136" i="10" s="1"/>
  <c r="AM136" i="10" a="1"/>
  <c r="AM136" i="10" s="1"/>
  <c r="AJ142" i="10" a="1"/>
  <c r="AJ142" i="10" s="1"/>
  <c r="AM142" i="10" a="1"/>
  <c r="AM142" i="10" s="1"/>
  <c r="X142" i="10" a="1"/>
  <c r="X142" i="10" s="1"/>
  <c r="AK142" i="10" a="1"/>
  <c r="AK142" i="10" s="1"/>
  <c r="AA133" i="10" a="1"/>
  <c r="AA133" i="10" s="1"/>
  <c r="AG133" i="10" a="1"/>
  <c r="AG133" i="10" s="1"/>
  <c r="AI133" i="10" a="1"/>
  <c r="AI133" i="10" s="1"/>
  <c r="K139" i="10" a="1"/>
  <c r="K139" i="10" s="1"/>
  <c r="AS139" i="10"/>
  <c r="W139" i="10" a="1"/>
  <c r="W139" i="10" s="1"/>
  <c r="X118" i="10" a="1"/>
  <c r="X118" i="10" s="1"/>
  <c r="M154" i="10" a="1"/>
  <c r="M154" i="10" s="1"/>
  <c r="AM154" i="10" a="1"/>
  <c r="AM154" i="10" s="1"/>
  <c r="V172" i="10" a="1"/>
  <c r="V172" i="10" s="1"/>
  <c r="AC172" i="10" a="1"/>
  <c r="AC172" i="10" s="1"/>
  <c r="N172" i="10" a="1"/>
  <c r="N172" i="10" s="1"/>
  <c r="G172" i="10" a="1"/>
  <c r="G172" i="10" s="1"/>
  <c r="AE121" i="10" a="1"/>
  <c r="AE121" i="10" s="1"/>
  <c r="U229" i="10" a="1"/>
  <c r="U229" i="10" s="1"/>
  <c r="S229" i="10" a="1"/>
  <c r="S229" i="10" s="1"/>
  <c r="P229" i="10" a="1"/>
  <c r="P229" i="10" s="1"/>
  <c r="AK229" i="10" a="1"/>
  <c r="AK229" i="10" s="1"/>
  <c r="W183" i="58885" a="1"/>
  <c r="W183" i="58885" s="1"/>
  <c r="V183" i="58885" a="1"/>
  <c r="V183" i="58885" s="1"/>
  <c r="V250" i="58885" a="1"/>
  <c r="V250" i="58885" s="1"/>
  <c r="W250" i="58885" a="1"/>
  <c r="W250" i="58885" s="1"/>
  <c r="V120" i="58885" a="1"/>
  <c r="V120" i="58885" s="1"/>
  <c r="Y120" i="58885" s="1" a="1"/>
  <c r="Y120" i="58885" s="1"/>
  <c r="W120" i="58885" a="1"/>
  <c r="W120" i="58885" s="1"/>
  <c r="Z120" i="58885" s="1" a="1"/>
  <c r="Z120" i="58885" s="1"/>
  <c r="X120" i="58885" a="1"/>
  <c r="X120" i="58885" s="1"/>
  <c r="W126" i="58885" a="1"/>
  <c r="W126" i="58885" s="1"/>
  <c r="Z126" i="58885" s="1" a="1"/>
  <c r="Z126" i="58885" s="1"/>
  <c r="V126" i="58885" a="1"/>
  <c r="V126" i="58885" s="1"/>
  <c r="Y126" i="58885" s="1" a="1"/>
  <c r="Y126" i="58885" s="1"/>
  <c r="X126" i="58885" a="1"/>
  <c r="X126" i="58885" s="1"/>
  <c r="W225" i="58885" a="1"/>
  <c r="W225" i="58885" s="1"/>
  <c r="V225" i="58885" a="1"/>
  <c r="V225" i="58885" s="1"/>
  <c r="W216" i="58885" a="1"/>
  <c r="W216" i="58885" s="1"/>
  <c r="V216" i="58885" a="1"/>
  <c r="V216" i="58885" s="1"/>
  <c r="W212" i="58885" a="1"/>
  <c r="W212" i="58885" s="1"/>
  <c r="V212" i="58885" a="1"/>
  <c r="V212" i="58885" s="1"/>
  <c r="V131" i="58885" a="1"/>
  <c r="V131" i="58885" s="1"/>
  <c r="Y131" i="58885" s="1" a="1"/>
  <c r="Y131" i="58885" s="1"/>
  <c r="W131" i="58885" a="1"/>
  <c r="W131" i="58885" s="1"/>
  <c r="Z131" i="58885" s="1" a="1"/>
  <c r="Z131" i="58885" s="1"/>
  <c r="X131" i="58885" a="1"/>
  <c r="X131" i="58885" s="1"/>
  <c r="O130" i="10" a="1"/>
  <c r="O130" i="10" s="1"/>
  <c r="Z130" i="10" a="1"/>
  <c r="Z130" i="10" s="1"/>
  <c r="AP160" i="10" a="1"/>
  <c r="AP160" i="10" s="1"/>
  <c r="W160" i="10" a="1"/>
  <c r="W160" i="10" s="1"/>
  <c r="H160" i="10" a="1"/>
  <c r="H160" i="10" s="1"/>
  <c r="T160" i="10" a="1"/>
  <c r="T160" i="10" s="1"/>
  <c r="L160" i="10" a="1"/>
  <c r="L160" i="10" s="1"/>
  <c r="AC145" i="10" a="1"/>
  <c r="AC145" i="10" s="1"/>
  <c r="T151" i="10" a="1"/>
  <c r="T151" i="10" s="1"/>
  <c r="AI151" i="10" a="1"/>
  <c r="AI151" i="10" s="1"/>
  <c r="G151" i="10" a="1"/>
  <c r="G151" i="10" s="1"/>
  <c r="AD151" i="10" a="1"/>
  <c r="AD151" i="10" s="1"/>
  <c r="X169" i="10" a="1"/>
  <c r="X169" i="10" s="1"/>
  <c r="AL169" i="10" a="1"/>
  <c r="AL169" i="10" s="1"/>
  <c r="G169" i="10" a="1"/>
  <c r="G169" i="10" s="1"/>
  <c r="Z169" i="10" a="1"/>
  <c r="Z169" i="10" s="1"/>
  <c r="AP169" i="10" a="1"/>
  <c r="AP169" i="10" s="1"/>
  <c r="AI199" i="10" a="1"/>
  <c r="AI199" i="10" s="1"/>
  <c r="AP199" i="10" a="1"/>
  <c r="AP199" i="10" s="1"/>
  <c r="AG142" i="10" a="1"/>
  <c r="AG142" i="10" s="1"/>
  <c r="Z142" i="10" a="1"/>
  <c r="Z142" i="10" s="1"/>
  <c r="W142" i="10" a="1"/>
  <c r="W142" i="10" s="1"/>
  <c r="AI142" i="10" a="1"/>
  <c r="AI142" i="10" s="1"/>
  <c r="X133" i="10" a="1"/>
  <c r="X133" i="10" s="1"/>
  <c r="Y133" i="10" a="1"/>
  <c r="Y133" i="10" s="1"/>
  <c r="G133" i="10" a="1"/>
  <c r="G133" i="10" s="1"/>
  <c r="H172" i="10" a="1"/>
  <c r="H172" i="10" s="1"/>
  <c r="J172" i="10" a="1"/>
  <c r="J172" i="10" s="1"/>
  <c r="P172" i="10" a="1"/>
  <c r="P172" i="10" s="1"/>
  <c r="M172" i="10" a="1"/>
  <c r="M172" i="10" s="1"/>
  <c r="BV56" i="58839"/>
  <c r="BW5" i="58839"/>
  <c r="X5" i="58839"/>
  <c r="W56" i="58839"/>
  <c r="DM121" i="58885" a="1"/>
  <c r="DM101" i="58885" a="1"/>
  <c r="DM119" i="58885" a="1"/>
  <c r="DM125" i="58885" a="1"/>
  <c r="DM109" i="58885" a="1"/>
  <c r="AR141" i="10" a="1"/>
  <c r="AQ141" i="10" a="1"/>
  <c r="AQ162" i="10" a="1"/>
  <c r="AR162" i="10" a="1"/>
  <c r="O289" i="5" a="1"/>
  <c r="X286" i="5" a="1"/>
  <c r="V294" i="5" a="1"/>
  <c r="M294" i="5" a="1"/>
  <c r="S267" i="5" a="1"/>
  <c r="N273" i="5" a="1"/>
  <c r="L283" i="5" a="1"/>
  <c r="DM129" i="58885" a="1"/>
  <c r="DM107" i="58885" a="1"/>
  <c r="DM183" i="58885" a="1"/>
  <c r="DM98" i="58885" a="1"/>
  <c r="DM99" i="58885" a="1"/>
  <c r="AR132" i="10" a="1"/>
  <c r="AQ132" i="10" a="1"/>
  <c r="AQ120" i="10" a="1"/>
  <c r="AR120" i="10" a="1"/>
  <c r="AQ225" i="10" a="1"/>
  <c r="AR225" i="10" a="1"/>
  <c r="S264" i="5" a="1"/>
  <c r="K266" i="5" a="1"/>
  <c r="X277" i="5" a="1"/>
  <c r="Q277" i="5" a="1"/>
  <c r="M266" i="5" a="1"/>
  <c r="N276" i="5" a="1"/>
  <c r="S273" i="5" a="1"/>
  <c r="Q273" i="5" a="1"/>
  <c r="O273" i="5" a="1"/>
  <c r="Y283" i="5" a="1"/>
  <c r="U266" i="5" a="1"/>
  <c r="DM113" i="58885" a="1"/>
  <c r="DM130" i="58885" a="1"/>
  <c r="DM128" i="58885" a="1"/>
  <c r="DM133" i="58885" a="1"/>
  <c r="DM111" i="58885" a="1"/>
  <c r="DM127" i="58885" a="1"/>
  <c r="DM102" i="58885" a="1"/>
  <c r="AQ123" i="10" a="1"/>
  <c r="AR123" i="10" a="1"/>
  <c r="AQ156" i="10" a="1"/>
  <c r="AR156" i="10" a="1"/>
  <c r="AR246" i="10" a="1"/>
  <c r="AQ246" i="10" a="1"/>
  <c r="AA177" i="58885" a="1"/>
  <c r="AA183" i="58885" a="1"/>
  <c r="AA162" i="58885" a="1"/>
  <c r="AA241" i="58885" a="1"/>
  <c r="AA178" i="58885" a="1"/>
  <c r="AA154" i="58885" a="1"/>
  <c r="AA180" i="58885" a="1"/>
  <c r="AA202" i="58885" a="1"/>
  <c r="AA172" i="58885" a="1"/>
  <c r="AA251" i="58885" a="1"/>
  <c r="AA247" i="58885" a="1"/>
  <c r="AA186" i="58885" a="1"/>
  <c r="AA198" i="58885" a="1"/>
  <c r="AA167" i="58885" a="1"/>
  <c r="AA228" i="58885" a="1"/>
  <c r="AA200" i="58885" a="1"/>
  <c r="AA242" i="58885" a="1"/>
  <c r="AA176" i="58885" a="1"/>
  <c r="AA174" i="58885" a="1"/>
  <c r="AA181" i="58885" a="1"/>
  <c r="AA210" i="58885" a="1"/>
  <c r="AA191" i="58885" a="1"/>
  <c r="AA218" i="58885" a="1"/>
  <c r="AA204" i="58885" a="1"/>
  <c r="AA156" i="58885" a="1"/>
  <c r="AA150" i="58885" a="1"/>
  <c r="AA185" i="58885" a="1"/>
  <c r="AA245" i="58885" a="1"/>
  <c r="AA233" i="58885" a="1"/>
  <c r="AA199" i="58885" a="1"/>
  <c r="AA153" i="58885" a="1"/>
  <c r="AA215" i="58885" a="1"/>
  <c r="AA227" i="58885" a="1"/>
  <c r="AA147" i="58885" a="1"/>
  <c r="AA223" i="58885" a="1"/>
  <c r="AA171" i="58885" a="1"/>
  <c r="AA179" i="58885" a="1"/>
  <c r="AA252" i="58885" a="1"/>
  <c r="AA190" i="58885" a="1"/>
  <c r="AA148" i="58885" a="1"/>
  <c r="AA239" i="58885" a="1"/>
  <c r="AA159" i="58885" a="1"/>
  <c r="AA145" i="58885" a="1"/>
  <c r="AA209" i="58885" a="1"/>
  <c r="AA149" i="58885" a="1"/>
  <c r="AA144" i="58885" a="1"/>
  <c r="AA161" i="58885" a="1"/>
  <c r="AA249" i="58885" a="1"/>
  <c r="AA163" i="58885" a="1"/>
  <c r="AA216" i="58885" a="1"/>
  <c r="AA231" i="58885" a="1"/>
  <c r="AA203" i="58885" a="1"/>
  <c r="AA243" i="58885" a="1"/>
  <c r="AA165" i="58885" a="1"/>
  <c r="AA196" i="58885" a="1"/>
  <c r="AA213" i="58885" a="1"/>
  <c r="AA212" i="58885" a="1"/>
  <c r="AA187" i="58885" a="1"/>
  <c r="AA240" i="58885" a="1"/>
  <c r="AA168" i="58885" a="1"/>
  <c r="AA189" i="58885" a="1"/>
  <c r="AA197" i="58885" a="1"/>
  <c r="AA253" i="58885" a="1"/>
  <c r="AA235" i="58885" a="1"/>
  <c r="AA221" i="58885" a="1"/>
  <c r="AA175" i="58885" a="1"/>
  <c r="AA208" i="58885" a="1"/>
  <c r="AA151" i="58885" a="1"/>
  <c r="AA173" i="58885" a="1"/>
  <c r="AA146" i="58885" a="1"/>
  <c r="AA217" i="58885" a="1"/>
  <c r="AA207" i="58885" a="1"/>
  <c r="AA229" i="58885" a="1"/>
  <c r="AA164" i="58885" a="1"/>
  <c r="AA158" i="58885" a="1"/>
  <c r="AA248" i="58885" a="1"/>
  <c r="AA237" i="58885" a="1"/>
  <c r="AA219" i="58885" a="1"/>
  <c r="AA184" i="58885" a="1"/>
  <c r="AA193" i="58885" a="1"/>
  <c r="AA220" i="58885" a="1"/>
  <c r="AA226" i="58885" a="1"/>
  <c r="AA206" i="58885" a="1"/>
  <c r="AA211" i="58885" a="1"/>
  <c r="AA192" i="58885" a="1"/>
  <c r="AA205" i="58885" a="1"/>
  <c r="AA250" i="58885" a="1"/>
  <c r="AA182" i="58885" a="1"/>
  <c r="AA244" i="58885" a="1"/>
  <c r="AA236" i="58885" a="1"/>
  <c r="AA157" i="58885" a="1"/>
  <c r="AA238" i="58885" a="1"/>
  <c r="AA166" i="58885" a="1"/>
  <c r="AA195" i="58885" a="1"/>
  <c r="AA234" i="58885" a="1"/>
  <c r="AA152" i="58885" a="1"/>
  <c r="AA222" i="58885" a="1"/>
  <c r="AA188" i="58885" a="1"/>
  <c r="AA160" i="58885" a="1"/>
  <c r="AA230" i="58885" a="1"/>
  <c r="AA143" i="58885" a="1"/>
  <c r="AA246" i="58885" a="1"/>
  <c r="AA254" i="58885" a="1"/>
  <c r="AA232" i="58885" a="1"/>
  <c r="AA169" i="58885" a="1"/>
  <c r="AA225" i="58885" a="1"/>
  <c r="AA224" i="58885" a="1"/>
  <c r="AA201" i="58885" a="1"/>
  <c r="AA194" i="58885" a="1"/>
  <c r="AA214" i="58885" a="1"/>
  <c r="AA170" i="58885" a="1"/>
  <c r="AA155" i="58885" a="1"/>
  <c r="AQ153" i="10" a="1"/>
  <c r="AR153" i="10" a="1"/>
  <c r="Q268" i="5" a="1"/>
  <c r="L287" i="5" a="1"/>
  <c r="X287" i="5" a="1"/>
  <c r="O268" i="5" a="1"/>
  <c r="W277" i="5" a="1"/>
  <c r="Y264" i="5" a="1"/>
  <c r="T262" i="5" a="1"/>
  <c r="T286" i="5" a="1"/>
  <c r="P271" i="5" a="1"/>
  <c r="L263" i="5" a="1"/>
  <c r="U285" i="5" a="1"/>
  <c r="I275" i="5" a="1"/>
  <c r="M261" i="5" a="1"/>
  <c r="O293" i="5" a="1"/>
  <c r="DM123" i="58885" a="1"/>
  <c r="DM142" i="58885" a="1"/>
  <c r="DM117" i="58885" a="1"/>
  <c r="DM122" i="58885" a="1"/>
  <c r="DM141" i="58885" a="1"/>
  <c r="AT299" i="10"/>
  <c r="DM110" i="58885" a="1"/>
  <c r="AT295" i="10"/>
  <c r="DM140" i="58885" a="1"/>
  <c r="AT293" i="10"/>
  <c r="DM182" i="58885" a="1"/>
  <c r="DM120" i="58885" a="1"/>
  <c r="AR195" i="10" a="1"/>
  <c r="AQ195" i="10" a="1"/>
  <c r="AQ168" i="10" a="1"/>
  <c r="AR168" i="10" a="1"/>
  <c r="AQ117" i="10" a="1"/>
  <c r="AR117" i="10" a="1"/>
  <c r="AQ237" i="10" a="1"/>
  <c r="AR237" i="10" a="1"/>
  <c r="AR243" i="10" a="1"/>
  <c r="AQ243" i="10" a="1"/>
  <c r="R262" i="5" a="1"/>
  <c r="DM136" i="58885" a="1"/>
  <c r="DM104" i="58885" a="1"/>
  <c r="DM134" i="58885" a="1"/>
  <c r="DM108" i="58885" a="1"/>
  <c r="DM118" i="58885" a="1"/>
  <c r="DM97" i="58885" a="1"/>
  <c r="DM112" i="58885" a="1"/>
  <c r="DM131" i="58885" a="1"/>
  <c r="AQ252" i="10" a="1"/>
  <c r="AR252" i="10" a="1"/>
  <c r="AQ144" i="10" a="1"/>
  <c r="AR144" i="10" a="1"/>
  <c r="AQ135" i="10" a="1"/>
  <c r="AR135" i="10" a="1"/>
  <c r="AR198" i="10" a="1"/>
  <c r="AQ198" i="10" a="1"/>
  <c r="AQ183" i="10" a="1"/>
  <c r="AR183" i="10" a="1"/>
  <c r="I271" i="5" a="1"/>
  <c r="U273" i="5" a="1"/>
  <c r="R268" i="5" a="1"/>
  <c r="L281" i="5" a="1"/>
  <c r="S272" i="5" a="1"/>
  <c r="U277" i="5" a="1"/>
  <c r="R264" i="5" a="1"/>
  <c r="V281" i="5" a="1"/>
  <c r="K287" i="5" a="1"/>
  <c r="Y262" i="5" a="1"/>
  <c r="AT301" i="10"/>
  <c r="DM138" i="58885" a="1"/>
  <c r="R305" i="10" a="1"/>
  <c r="AD81" i="10" a="1"/>
  <c r="R68" i="10" a="1"/>
  <c r="N72" i="10" a="1"/>
  <c r="AL74" i="10" a="1"/>
  <c r="AQ69" i="10" a="1"/>
  <c r="AB75" i="10" a="1"/>
  <c r="AE65" i="10" a="1"/>
  <c r="K68" i="10" a="1"/>
  <c r="W80" i="10" a="1"/>
  <c r="U70" i="10" a="1"/>
  <c r="AI71" i="10" a="1"/>
  <c r="AD77" i="10" a="1"/>
  <c r="AF81" i="10" a="1"/>
  <c r="AG63" i="10" a="1"/>
  <c r="AQ82" i="10" a="1"/>
  <c r="G62" i="10" a="1"/>
  <c r="K78" i="10" a="1"/>
  <c r="AN68" i="10" a="1"/>
  <c r="AG73" i="10" a="1"/>
  <c r="AL69" i="10" a="1"/>
  <c r="L60" i="10" a="1"/>
  <c r="AQ80" i="10" a="1"/>
  <c r="T60" i="10" a="1"/>
  <c r="AE302" i="10" a="1"/>
  <c r="AR80" i="10" a="1"/>
  <c r="V69" i="10" a="1"/>
  <c r="M61" i="10" a="1"/>
  <c r="I64" i="10" a="1"/>
  <c r="AD70" i="10" a="1"/>
  <c r="AK302" i="10" a="1"/>
  <c r="M73" i="10" a="1"/>
  <c r="AO62" i="10" a="1"/>
  <c r="P68" i="10" a="1"/>
  <c r="AM64" i="10" a="1"/>
  <c r="AH59" i="10" a="1"/>
  <c r="AE69" i="10" a="1"/>
  <c r="I302" i="10" a="1"/>
  <c r="AD67" i="10" a="1"/>
  <c r="W65" i="10" a="1"/>
  <c r="V60" i="10" a="1"/>
  <c r="K75" i="10" a="1"/>
  <c r="AM68" i="10" a="1"/>
  <c r="S67" i="10" a="1"/>
  <c r="L74" i="10" a="1"/>
  <c r="AN62" i="10" a="1"/>
  <c r="AD304" i="10" a="1"/>
  <c r="P76" i="10" a="1"/>
  <c r="AD66" i="10" a="1"/>
  <c r="G302" i="10" a="1"/>
  <c r="AP78" i="10" a="1"/>
  <c r="Q79" i="10" a="1"/>
  <c r="AK72" i="10" a="1"/>
  <c r="Z303" i="10" a="1"/>
  <c r="R81" i="10" a="1"/>
  <c r="AO73" i="10" a="1"/>
  <c r="AQ66" i="10" a="1"/>
  <c r="AE76" i="10" a="1"/>
  <c r="AA65" i="10" a="1"/>
  <c r="AG66" i="10" a="1"/>
  <c r="AG77" i="10" a="1"/>
  <c r="G76" i="10" a="1"/>
  <c r="J75" i="10" a="1"/>
  <c r="J78" i="10" a="1"/>
  <c r="AC306" i="10" a="1"/>
  <c r="Z77" i="10" a="1"/>
  <c r="AP303" i="10" a="1"/>
  <c r="AE77" i="10" a="1"/>
  <c r="AO64" i="10" a="1"/>
  <c r="AA68" i="10" a="1"/>
  <c r="T58" i="10" a="1"/>
  <c r="AK61" i="10" a="1"/>
  <c r="B89" i="10" a="1"/>
  <c r="Z63" i="10" a="1"/>
  <c r="AR71" i="10" a="1"/>
  <c r="AG62" i="10" a="1"/>
  <c r="AK74" i="10" a="1"/>
  <c r="AK303" i="10" a="1"/>
  <c r="H61" i="10" a="1"/>
  <c r="N304" i="10" a="1"/>
  <c r="AR60" i="10" a="1"/>
  <c r="Q304" i="10" a="1"/>
  <c r="L69" i="10" a="1"/>
  <c r="AB305" i="10" a="1"/>
  <c r="T66" i="10" a="1"/>
  <c r="AQ76" i="10" a="1"/>
  <c r="S305" i="10" a="1"/>
  <c r="J73" i="10" a="1"/>
  <c r="Z74" i="10" a="1"/>
  <c r="AR77" i="10" a="1"/>
  <c r="G66" i="10" a="1"/>
  <c r="AR61" i="10" a="1"/>
  <c r="AM74" i="10" a="1"/>
  <c r="V79" i="10" a="1"/>
  <c r="O60" i="10" a="1"/>
  <c r="AC71" i="10" a="1"/>
  <c r="T73" i="10" a="1"/>
  <c r="AI69" i="10" a="1"/>
  <c r="AJ61" i="10" a="1"/>
  <c r="S65" i="10" a="1"/>
  <c r="AJ75" i="10" a="1"/>
  <c r="AE78" i="10" a="1"/>
  <c r="AA73" i="10" a="1"/>
  <c r="AH78" i="10" a="1"/>
  <c r="T76" i="10" a="1"/>
  <c r="M304" i="10" a="1"/>
  <c r="X81" i="10" a="1"/>
  <c r="Y70" i="10" a="1"/>
  <c r="AO80" i="10" a="1"/>
  <c r="AL78" i="10" a="1"/>
  <c r="AP67" i="10" a="1"/>
  <c r="S73" i="10" a="1"/>
  <c r="AI78" i="10" a="1"/>
  <c r="N59" i="10" a="1"/>
  <c r="K304" i="10" a="1"/>
  <c r="AF80" i="10" a="1"/>
  <c r="J65" i="10" a="1"/>
  <c r="X69" i="10" a="1"/>
  <c r="AE67" i="10" a="1"/>
  <c r="AR74" i="10" a="1"/>
  <c r="Y304" i="10" a="1"/>
  <c r="AB82" i="10" a="1"/>
  <c r="AB65" i="10" a="1"/>
  <c r="T78" i="10" a="1"/>
  <c r="AQ73" i="10" a="1"/>
  <c r="P82" i="10" a="1"/>
  <c r="I69" i="10" a="1"/>
  <c r="P302" i="10" a="1"/>
  <c r="AC79" i="10" a="1"/>
  <c r="N74" i="10" a="1"/>
  <c r="AG78" i="10" a="1"/>
  <c r="S69" i="10" a="1"/>
  <c r="AH65" i="10" a="1"/>
  <c r="AH303" i="10" a="1"/>
  <c r="AM72" i="10" a="1"/>
  <c r="AC73" i="10" a="1"/>
  <c r="AG302" i="10" a="1"/>
  <c r="J59" i="10" a="1"/>
  <c r="L61" i="10" a="1"/>
  <c r="I70" i="10" a="1"/>
  <c r="U302" i="10" a="1"/>
  <c r="AQ63" i="10" a="1"/>
  <c r="AK305" i="10" a="1"/>
  <c r="AB306" i="10" a="1"/>
  <c r="I65" i="10" a="1"/>
  <c r="AQ75" i="10" a="1"/>
  <c r="J71" i="10" a="1"/>
  <c r="AG61" i="10" a="1"/>
  <c r="AK63" i="10" a="1"/>
  <c r="G303" i="10" a="1"/>
  <c r="AK67" i="10" a="1"/>
  <c r="AF66" i="10" a="1"/>
  <c r="AO74" i="10" a="1"/>
  <c r="AQ58" i="10" a="1"/>
  <c r="AK70" i="10" a="1"/>
  <c r="I79" i="10" a="1"/>
  <c r="AF302" i="10" a="1"/>
  <c r="M60" i="10" a="1"/>
  <c r="AJ79" i="10" a="1"/>
  <c r="K65" i="10" a="1"/>
  <c r="S302" i="10" a="1"/>
  <c r="AB76" i="10" a="1"/>
  <c r="AN78" i="10" a="1"/>
  <c r="AP79" i="10" a="1"/>
  <c r="AB70" i="10" a="1"/>
  <c r="Q61" i="10" a="1"/>
  <c r="H71" i="10" a="1"/>
  <c r="P60" i="10" a="1"/>
  <c r="W67" i="10" a="1"/>
  <c r="P69" i="10" a="1"/>
  <c r="AF305" i="10" a="1"/>
  <c r="T70" i="10" a="1"/>
  <c r="AB69" i="10" a="1"/>
  <c r="Z68" i="10" a="1"/>
  <c r="AN64" i="10" a="1"/>
  <c r="AK65" i="10" a="1"/>
  <c r="J68" i="10" a="1"/>
  <c r="AD73" i="10" a="1"/>
  <c r="AD71" i="10" a="1"/>
  <c r="AM73" i="10" a="1"/>
  <c r="V75" i="10" a="1"/>
  <c r="AN75" i="10" a="1"/>
  <c r="J60" i="10" a="1"/>
  <c r="AL75" i="10" a="1"/>
  <c r="AF70" i="10" a="1"/>
  <c r="AG305" i="10" a="1"/>
  <c r="AR59" i="10" a="1"/>
  <c r="P63" i="10" a="1"/>
  <c r="T75" i="10" a="1"/>
  <c r="AD76" i="10" a="1"/>
  <c r="G63" i="10" a="1"/>
  <c r="L304" i="10" a="1"/>
  <c r="U78" i="10" a="1"/>
  <c r="Q69" i="10" a="1"/>
  <c r="X79" i="10" a="1"/>
  <c r="AF61" i="10" a="1"/>
  <c r="T61" i="10" a="1"/>
  <c r="L66" i="10" a="1"/>
  <c r="AJ60" i="10" a="1"/>
  <c r="AE303" i="10" a="1"/>
  <c r="X75" i="10" a="1"/>
  <c r="AK58" i="10" a="1"/>
  <c r="W70" i="10" a="1"/>
  <c r="AR76" i="10" a="1"/>
  <c r="AC61" i="10" a="1"/>
  <c r="AI59" i="10" a="1"/>
  <c r="P59" i="10" a="1"/>
  <c r="H64" i="10" a="1"/>
  <c r="Y82" i="10" a="1"/>
  <c r="Z71" i="10" a="1"/>
  <c r="AF306" i="10" a="1"/>
  <c r="W69" i="10" a="1"/>
  <c r="H305" i="10" a="1"/>
  <c r="AA305" i="10" a="1"/>
  <c r="AL67" i="10" a="1"/>
  <c r="V76" i="10" a="1"/>
  <c r="J304" i="10" a="1"/>
  <c r="M69" i="10" a="1"/>
  <c r="AG72" i="10" a="1"/>
  <c r="AE64" i="10" a="1"/>
  <c r="I303" i="10" a="1"/>
  <c r="AO61" i="10" a="1"/>
  <c r="AC66" i="10" a="1"/>
  <c r="AJ66" i="10" a="1"/>
  <c r="V81" i="10" a="1"/>
  <c r="J70" i="10" a="1"/>
  <c r="P78" i="10" a="1"/>
  <c r="V302" i="10" a="1"/>
  <c r="K74" i="10" a="1"/>
  <c r="AP82" i="10" a="1"/>
  <c r="AN69" i="10" a="1"/>
  <c r="U82" i="10" a="1"/>
  <c r="AC76" i="10" a="1"/>
  <c r="AL305" i="10" a="1"/>
  <c r="V59" i="10" a="1"/>
  <c r="G70" i="10" a="1"/>
  <c r="AJ82" i="10" a="1"/>
  <c r="AO78" i="10" a="1"/>
  <c r="T71" i="10" a="1"/>
  <c r="AL60" i="10" a="1"/>
  <c r="X302" i="10" a="1"/>
  <c r="AN80" i="10" a="1"/>
  <c r="T64" i="10" a="1"/>
  <c r="AC305" i="10" a="1"/>
  <c r="AJ63" i="10" a="1"/>
  <c r="P77" i="10" a="1"/>
  <c r="Z304" i="10" a="1"/>
  <c r="AJ76" i="10" a="1"/>
  <c r="L76" i="10" a="1"/>
  <c r="AH73" i="10" a="1"/>
  <c r="AD60" i="10" a="1"/>
  <c r="AO76" i="10" a="1"/>
  <c r="V68" i="10" a="1"/>
  <c r="AF67" i="10" a="1"/>
  <c r="AJ67" i="10" a="1"/>
  <c r="N60" i="10" a="1"/>
  <c r="AO68" i="10" a="1"/>
  <c r="AQ64" i="10" a="1"/>
  <c r="Z81" i="10" a="1"/>
  <c r="AI70" i="10" a="1"/>
  <c r="AM61" i="10" a="1"/>
  <c r="AL63" i="10" a="1"/>
  <c r="R79" i="10" a="1"/>
  <c r="AN77" i="10" a="1"/>
  <c r="R58" i="10" a="1"/>
  <c r="AD305" i="10" a="1"/>
  <c r="AF303" i="10" a="1"/>
  <c r="I59" i="10" a="1"/>
  <c r="I76" i="10" a="1"/>
  <c r="M71" i="10" a="1"/>
  <c r="AC74" i="10" a="1"/>
  <c r="L78" i="10" a="1"/>
  <c r="AC58" i="10" a="1"/>
  <c r="AI65" i="10" a="1"/>
  <c r="AB64" i="10" a="1"/>
  <c r="Y77" i="10" a="1"/>
  <c r="J63" i="10" a="1"/>
  <c r="AR58" i="10" a="1"/>
  <c r="N305" i="10" a="1"/>
  <c r="Q65" i="10" a="1"/>
  <c r="AM82" i="10" a="1"/>
  <c r="AI72" i="10" a="1"/>
  <c r="AN74" i="10" a="1"/>
  <c r="U77" i="10" a="1"/>
  <c r="AA66" i="10" a="1"/>
  <c r="V58" i="10" a="1"/>
  <c r="L75" i="10" a="1"/>
  <c r="N80" i="10" a="1"/>
  <c r="O66" i="10" a="1"/>
  <c r="Q81" i="10" a="1"/>
  <c r="AE63" i="10" a="1"/>
  <c r="K58" i="10" a="1"/>
  <c r="AO70" i="10" a="1"/>
  <c r="AH63" i="10" a="1"/>
  <c r="K66" i="10" a="1"/>
  <c r="AO58" i="10" a="1"/>
  <c r="N76" i="10" a="1"/>
  <c r="Z61" i="10" a="1"/>
  <c r="AM80" i="10" a="1"/>
  <c r="H63" i="10" a="1"/>
  <c r="AF304" i="10" a="1"/>
  <c r="T59" i="10" a="1"/>
  <c r="AN304" i="10" a="1"/>
  <c r="O78" i="10" a="1"/>
  <c r="AI67" i="10" a="1"/>
  <c r="Z306" i="10" a="1"/>
  <c r="AG71" i="10" a="1"/>
  <c r="AQ74" i="10" a="1"/>
  <c r="W66" i="10" a="1"/>
  <c r="Q82" i="10" a="1"/>
  <c r="Q58" i="10" a="1"/>
  <c r="Y65" i="10" a="1"/>
  <c r="Y60" i="10" a="1"/>
  <c r="Y59" i="10" a="1"/>
  <c r="N79" i="10" a="1"/>
  <c r="L82" i="10" a="1"/>
  <c r="Y78" i="10" a="1"/>
  <c r="AH69" i="10" a="1"/>
  <c r="AR64" i="10" a="1"/>
  <c r="AE79" i="10" a="1"/>
  <c r="S63" i="10" a="1"/>
  <c r="AF76" i="10" a="1"/>
  <c r="AA64" i="10" a="1"/>
  <c r="U73" i="10" a="1"/>
  <c r="T80" i="10" a="1"/>
  <c r="P64" i="10" a="1"/>
  <c r="AN58" i="10" a="1"/>
  <c r="AL59" i="10" a="1"/>
  <c r="AJ69" i="10" a="1"/>
  <c r="V71" i="10" a="1"/>
  <c r="O64" i="10" a="1"/>
  <c r="N78" i="10" a="1"/>
  <c r="AK79" i="10" a="1"/>
  <c r="AH60" i="10" a="1"/>
  <c r="Y61" i="10" a="1"/>
  <c r="O58" i="10" a="1"/>
  <c r="W75" i="10" a="1"/>
  <c r="AI58" i="10" a="1"/>
  <c r="AJ305" i="10" a="1"/>
  <c r="AP76" i="10" a="1"/>
  <c r="M62" i="10" a="1"/>
  <c r="AL71" i="10" a="1"/>
  <c r="AA61" i="10" a="1"/>
  <c r="M58" i="10" a="1"/>
  <c r="M302" i="10" a="1"/>
  <c r="AO75" i="10" a="1"/>
  <c r="AN59" i="10" a="1"/>
  <c r="W63" i="10" a="1"/>
  <c r="AN67" i="10" a="1"/>
  <c r="O70" i="10" a="1"/>
  <c r="U64" i="10" a="1"/>
  <c r="H79" i="10" a="1"/>
  <c r="AO60" i="10" a="1"/>
  <c r="AP74" i="10" a="1"/>
  <c r="AJ65" i="10" a="1"/>
  <c r="AG74" i="10" a="1"/>
  <c r="Q62" i="10" a="1"/>
  <c r="AC68" i="10" a="1"/>
  <c r="M64" i="10" a="1"/>
  <c r="L59" i="10" a="1"/>
  <c r="AB60" i="10" a="1"/>
  <c r="AQ61" i="10" a="1"/>
  <c r="J305" i="10" a="1"/>
  <c r="AC81" i="10" a="1"/>
  <c r="M306" i="10" a="1"/>
  <c r="I63" i="10" a="1"/>
  <c r="AD59" i="10" a="1"/>
  <c r="U69" i="10" a="1"/>
  <c r="AB80" i="10" a="1"/>
  <c r="Z59" i="10" a="1"/>
  <c r="L68" i="10" a="1"/>
  <c r="AI62" i="10" a="1"/>
  <c r="N67" i="10" a="1"/>
  <c r="Y64" i="10" a="1"/>
  <c r="AL62" i="10" a="1"/>
  <c r="AJ303" i="10" a="1"/>
  <c r="AA76" i="10" a="1"/>
  <c r="AI63" i="10" a="1"/>
  <c r="X59" i="10" a="1"/>
  <c r="P305" i="10" a="1"/>
  <c r="AP58" i="10" a="1"/>
  <c r="Z62" i="10" a="1"/>
  <c r="Y63" i="10" a="1"/>
  <c r="J66" i="10" a="1"/>
  <c r="X78" i="10" a="1"/>
  <c r="AG65" i="10" a="1"/>
  <c r="G304" i="10" a="1"/>
  <c r="L67" i="10" a="1"/>
  <c r="AH82" i="10" a="1"/>
  <c r="AL82" i="10" a="1"/>
  <c r="AI306" i="10" a="1"/>
  <c r="AC59" i="10" a="1"/>
  <c r="H82" i="10" a="1"/>
  <c r="AO66" i="10" a="1"/>
  <c r="AH76" i="10" a="1"/>
  <c r="H304" i="10" a="1"/>
  <c r="AH74" i="10" a="1"/>
  <c r="X64" i="10" a="1"/>
  <c r="V67" i="10" a="1"/>
  <c r="H60" i="10" a="1"/>
  <c r="R64" i="10" a="1"/>
  <c r="H68" i="10" a="1"/>
  <c r="AI305" i="10" a="1"/>
  <c r="AF60" i="10" a="1"/>
  <c r="AI75" i="10" a="1"/>
  <c r="AP68" i="10" a="1"/>
  <c r="AD75" i="10" a="1"/>
  <c r="G61" i="10" a="1"/>
  <c r="R303" i="10" a="1"/>
  <c r="AI303" i="10" a="1"/>
  <c r="AJ302" i="10" a="1"/>
  <c r="AF74" i="10" a="1"/>
  <c r="AA303" i="10" a="1"/>
  <c r="R71" i="10" a="1"/>
  <c r="Z70" i="10" a="1"/>
  <c r="Y71" i="10" a="1"/>
  <c r="AG60" i="10" a="1"/>
  <c r="I306" i="10" a="1"/>
  <c r="AC64" i="10" a="1"/>
  <c r="U306" i="10" a="1"/>
  <c r="Q68" i="10" a="1"/>
  <c r="AB61" i="10" a="1"/>
  <c r="AN82" i="10" a="1"/>
  <c r="S70" i="10" a="1"/>
  <c r="AE62" i="10" a="1"/>
  <c r="N69" i="10" a="1"/>
  <c r="V72" i="10" a="1"/>
  <c r="Z76" i="10" a="1"/>
  <c r="AO302" i="10" a="1"/>
  <c r="Z80" i="10" a="1"/>
  <c r="AN61" i="10" a="1"/>
  <c r="T79" i="10" a="1"/>
  <c r="AM63" i="10" a="1"/>
  <c r="V64" i="10" a="1"/>
  <c r="AR67" i="10" a="1"/>
  <c r="AH77" i="10" a="1"/>
  <c r="AM60" i="10" a="1"/>
  <c r="AE74" i="10" a="1"/>
  <c r="V70" i="10" a="1"/>
  <c r="AK59" i="10" a="1"/>
  <c r="AB302" i="10" a="1"/>
  <c r="U61" i="10" a="1"/>
  <c r="AO59" i="10" a="1"/>
  <c r="J306" i="10" a="1"/>
  <c r="U68" i="10" a="1"/>
  <c r="R77" i="10" a="1"/>
  <c r="H58" i="10" a="1"/>
  <c r="Q78" i="10" a="1"/>
  <c r="AC75" i="10" a="1"/>
  <c r="K82" i="10" a="1"/>
  <c r="S59" i="10" a="1"/>
  <c r="AJ62" i="10" a="1"/>
  <c r="W82" i="10" a="1"/>
  <c r="U76" i="10" a="1"/>
  <c r="G78" i="10" a="1"/>
  <c r="Z66" i="10" a="1"/>
  <c r="AE80" i="10" a="1"/>
  <c r="AN65" i="10" a="1"/>
  <c r="AA306" i="10" a="1"/>
  <c r="K306" i="10" a="1"/>
  <c r="AR70" i="10" a="1"/>
  <c r="AE58" i="10" a="1"/>
  <c r="H77" i="10" a="1"/>
  <c r="Q76" i="10" a="1"/>
  <c r="AG59" i="10" a="1"/>
  <c r="AJ58" i="10" a="1"/>
  <c r="AN73" i="10" a="1"/>
  <c r="S74" i="10" a="1"/>
  <c r="AD82" i="10" a="1"/>
  <c r="G72" i="10" a="1"/>
  <c r="G59" i="10" a="1"/>
  <c r="J77" i="10" a="1"/>
  <c r="AC67" i="10" a="1"/>
  <c r="AP71" i="10" a="1"/>
  <c r="AH81" i="10" a="1"/>
  <c r="AG76" i="10" a="1"/>
  <c r="R304" i="10" a="1"/>
  <c r="AQ62" i="10" a="1"/>
  <c r="AM305" i="10" a="1"/>
  <c r="Z64" i="10" a="1"/>
  <c r="U304" i="10" a="1"/>
  <c r="AN76" i="10" a="1"/>
  <c r="R65" i="10" a="1"/>
  <c r="AC82" i="10" a="1"/>
  <c r="J76" i="10" a="1"/>
  <c r="I62" i="10" a="1"/>
  <c r="X61" i="10" a="1"/>
  <c r="N81" i="10" a="1"/>
  <c r="O73" i="10" a="1"/>
  <c r="J62" i="10" a="1"/>
  <c r="AM65" i="10" a="1"/>
  <c r="AQ71" i="10" a="1"/>
  <c r="AE81" i="10" a="1"/>
  <c r="K303" i="10" a="1"/>
  <c r="P61" i="10" a="1"/>
  <c r="I60" i="10" a="1"/>
  <c r="X68" i="10" a="1"/>
  <c r="AH64" i="10" a="1"/>
  <c r="M75" i="10" a="1"/>
  <c r="AM302" i="10" a="1"/>
  <c r="H73" i="10" a="1"/>
  <c r="V63" i="10" a="1"/>
  <c r="AO71" i="10" a="1"/>
  <c r="P62" i="10" a="1"/>
  <c r="AF73" i="10" a="1"/>
  <c r="I80" i="10" a="1"/>
  <c r="L58" i="10" a="1"/>
  <c r="AK64" i="10" a="1"/>
  <c r="AL77" i="10" a="1"/>
  <c r="AQ68" i="10" a="1"/>
  <c r="S79" i="10" a="1"/>
  <c r="L70" i="10" a="1"/>
  <c r="AD63" i="10" a="1"/>
  <c r="AH62" i="10" a="1"/>
  <c r="AG303" i="10" a="1"/>
  <c r="G77" i="10" a="1"/>
  <c r="AC72" i="10" a="1"/>
  <c r="AC62" i="10" a="1"/>
  <c r="P304" i="10" a="1"/>
  <c r="J74" i="10" a="1"/>
  <c r="J61" i="10" a="1"/>
  <c r="AN303" i="10" a="1"/>
  <c r="I78" i="10" a="1"/>
  <c r="U305" i="10" a="1"/>
  <c r="U63" i="10" a="1"/>
  <c r="AF69" i="10" a="1"/>
  <c r="Y73" i="10" a="1"/>
  <c r="P67" i="10" a="1"/>
  <c r="AL64" i="10" a="1"/>
  <c r="AB74" i="10" a="1"/>
  <c r="AB59" i="10" a="1"/>
  <c r="W68" i="10" a="1"/>
  <c r="AA79" i="10" a="1"/>
  <c r="W59" i="10" a="1"/>
  <c r="I81" i="10" a="1"/>
  <c r="R306" i="10" a="1"/>
  <c r="V77" i="10" a="1"/>
  <c r="M77" i="10" a="1"/>
  <c r="W60" i="10" a="1"/>
  <c r="R63" i="10" a="1"/>
  <c r="J303" i="10" a="1"/>
  <c r="AN72" i="10" a="1"/>
  <c r="N73" i="10" a="1"/>
  <c r="T62" i="10" a="1"/>
  <c r="R82" i="10" a="1"/>
  <c r="AD61" i="10" a="1"/>
  <c r="AI76" i="10" a="1"/>
  <c r="M65" i="10" a="1"/>
  <c r="L71" i="10" a="1"/>
  <c r="J79" i="10" a="1"/>
  <c r="W76" i="10" a="1"/>
  <c r="L77" i="10" a="1"/>
  <c r="V82" i="10" a="1"/>
  <c r="AB58" i="10" a="1"/>
  <c r="T303" i="10" a="1"/>
  <c r="S68" i="10" a="1"/>
  <c r="N61" i="10" a="1"/>
  <c r="I73" i="10" a="1"/>
  <c r="AJ73" i="10" a="1"/>
  <c r="N65" i="10" a="1"/>
  <c r="H65" i="10" a="1"/>
  <c r="AB77" i="10" a="1"/>
  <c r="H70" i="10" a="1"/>
  <c r="I74" i="10" a="1"/>
  <c r="S303" i="10" a="1"/>
  <c r="AO67" i="10" a="1"/>
  <c r="AI73" i="10" a="1"/>
  <c r="U81" i="10" a="1"/>
  <c r="AP302" i="10" a="1"/>
  <c r="N75" i="10" a="1"/>
  <c r="X70" i="10" a="1"/>
  <c r="AA75" i="10" a="1"/>
  <c r="AF64" i="10" a="1"/>
  <c r="G75" i="10" a="1"/>
  <c r="N77" i="10" a="1"/>
  <c r="W306" i="10" a="1"/>
  <c r="R59" i="10" a="1"/>
  <c r="AQ81" i="10" a="1"/>
  <c r="H59" i="10" a="1"/>
  <c r="AN81" i="10" a="1"/>
  <c r="AR78" i="10" a="1"/>
  <c r="S60" i="10" a="1"/>
  <c r="AM67" i="10" a="1"/>
  <c r="AI66" i="10" a="1"/>
  <c r="O82" i="10" a="1"/>
  <c r="M74" i="10" a="1"/>
  <c r="P66" i="10" a="1"/>
  <c r="AN302" i="10" a="1"/>
  <c r="H66" i="10" a="1"/>
  <c r="S58" i="10" a="1"/>
  <c r="O77" i="10" a="1"/>
  <c r="U71" i="10" a="1"/>
  <c r="L62" i="10" a="1"/>
  <c r="P303" i="10" a="1"/>
  <c r="AF79" i="10" a="1"/>
  <c r="N70" i="10" a="1"/>
  <c r="Y81" i="10" a="1"/>
  <c r="AP61" i="10" a="1"/>
  <c r="K302" i="10" a="1"/>
  <c r="R62" i="10" a="1"/>
  <c r="V61" i="10" a="1"/>
  <c r="AE305" i="10" a="1"/>
  <c r="AK60" i="10" a="1"/>
  <c r="O79" i="10" a="1"/>
  <c r="AD78" i="10" a="1"/>
  <c r="AE304" i="10" a="1"/>
  <c r="AG67" i="10" a="1"/>
  <c r="X72" i="10" a="1"/>
  <c r="AE66" i="10" a="1"/>
  <c r="AK78" i="10" a="1"/>
  <c r="AB63" i="10" a="1"/>
  <c r="AE70" i="10" a="1"/>
  <c r="AD68" i="10" a="1"/>
  <c r="K80" i="10" a="1"/>
  <c r="AR72" i="10" a="1"/>
  <c r="R302" i="10" a="1"/>
  <c r="X63" i="10" a="1"/>
  <c r="AA62" i="10" a="1"/>
  <c r="N306" i="10" a="1"/>
  <c r="AQ78" i="10" a="1"/>
  <c r="AB304" i="10" a="1"/>
  <c r="X305" i="10" a="1"/>
  <c r="AP63" i="10" a="1"/>
  <c r="AK62" i="10" a="1"/>
  <c r="O305" i="10" a="1"/>
  <c r="I75" i="10" a="1"/>
  <c r="Z305" i="10" a="1"/>
  <c r="N82" i="10" a="1"/>
  <c r="AL72" i="10" a="1"/>
  <c r="AO69" i="10" a="1"/>
  <c r="U67" i="10" a="1"/>
  <c r="L303" i="10" a="1"/>
  <c r="AH61" i="10" a="1"/>
  <c r="M80" i="10" a="1"/>
  <c r="G74" i="10" a="1"/>
  <c r="AI77" i="10" a="1"/>
  <c r="AH75" i="10" a="1"/>
  <c r="Q302" i="10" a="1"/>
  <c r="AM306" i="10" a="1"/>
  <c r="M68" i="10" a="1"/>
  <c r="K63" i="10" a="1"/>
  <c r="N58" i="10" a="1"/>
  <c r="AI81" i="10" a="1"/>
  <c r="I77" i="10" a="1"/>
  <c r="Q74" i="10" a="1"/>
  <c r="L79" i="10" a="1"/>
  <c r="AD80" i="10" a="1"/>
  <c r="T305" i="10" a="1"/>
  <c r="V74" i="10" a="1"/>
  <c r="AP72" i="10" a="1"/>
  <c r="Y79" i="10" a="1"/>
  <c r="G60" i="10" a="1"/>
  <c r="AD62" i="10" a="1"/>
  <c r="V303" i="10" a="1"/>
  <c r="N303" i="10" a="1"/>
  <c r="O72" i="10" a="1"/>
  <c r="M59" i="10" a="1"/>
  <c r="R61" i="10" a="1"/>
  <c r="M66" i="10" a="1"/>
  <c r="AC304" i="10" a="1"/>
  <c r="AQ67" i="10" a="1"/>
  <c r="AR68" i="10" a="1"/>
  <c r="X82" i="10" a="1"/>
  <c r="W74" i="10" a="1"/>
  <c r="U303" i="10" a="1"/>
  <c r="AR73" i="10" a="1"/>
  <c r="X67" i="10" a="1"/>
  <c r="R73" i="10" a="1"/>
  <c r="T65" i="10" a="1"/>
  <c r="AK75" i="10" a="1"/>
  <c r="K73" i="10" a="1"/>
  <c r="AP306" i="10" a="1"/>
  <c r="AP60" i="10" a="1"/>
  <c r="T302" i="10" a="1"/>
  <c r="AI60" i="10" a="1"/>
  <c r="L72" i="10" a="1"/>
  <c r="AP62" i="10" a="1"/>
  <c r="AM75" i="10" a="1"/>
  <c r="H306" i="10" a="1"/>
  <c r="AA60" i="10" a="1"/>
  <c r="AA78" i="10" a="1"/>
  <c r="P74" i="10" a="1"/>
  <c r="G69" i="10" a="1"/>
  <c r="M82" i="10" a="1"/>
  <c r="S304" i="10" a="1"/>
  <c r="U58" i="10" a="1"/>
  <c r="I68" i="10" a="1"/>
  <c r="AB303" i="10" a="1"/>
  <c r="AL70" i="10" a="1"/>
  <c r="J80" i="10" a="1"/>
  <c r="AP305" i="10" a="1"/>
  <c r="AL58" i="10" a="1"/>
  <c r="R70" i="10" a="1"/>
  <c r="AJ68" i="10" a="1"/>
  <c r="AP69" i="10" a="1"/>
  <c r="J67" i="10" a="1"/>
  <c r="N64" i="10" a="1"/>
  <c r="AM77" i="10" a="1"/>
  <c r="Z60" i="10" a="1"/>
  <c r="AC69" i="10" a="1"/>
  <c r="Z65" i="10" a="1"/>
  <c r="AF77" i="10" a="1"/>
  <c r="W58" i="10" a="1"/>
  <c r="P71" i="10" a="1"/>
  <c r="AF59" i="10" a="1"/>
  <c r="T304" i="10" a="1"/>
  <c r="H303" i="10" a="1"/>
  <c r="AJ304" i="10" a="1"/>
  <c r="AP81" i="10" a="1"/>
  <c r="AM76" i="10" a="1"/>
  <c r="AM58" i="10" a="1"/>
  <c r="AL80" i="10" a="1"/>
  <c r="K62" i="10" a="1"/>
  <c r="O80" i="10" a="1"/>
  <c r="AI82" i="10" a="1"/>
  <c r="AI80" i="10" a="1"/>
  <c r="AI302" i="10" a="1"/>
  <c r="L65" i="10" a="1"/>
  <c r="AL302" i="10" a="1"/>
  <c r="AP70" i="10" a="1"/>
  <c r="AA71" i="10" a="1"/>
  <c r="S64" i="10" a="1"/>
  <c r="S62" i="10" a="1"/>
  <c r="AR79" i="10" a="1"/>
  <c r="AG75" i="10" a="1"/>
  <c r="Z69" i="10" a="1"/>
  <c r="AP75" i="10" a="1"/>
  <c r="N302" i="10" a="1"/>
  <c r="T77" i="10" a="1"/>
  <c r="K76" i="10" a="1"/>
  <c r="AF65" i="10" a="1"/>
  <c r="AH58" i="10" a="1"/>
  <c r="AF75" i="10" a="1"/>
  <c r="V80" i="10" a="1"/>
  <c r="Q71" i="10" a="1"/>
  <c r="AA58" i="10" a="1"/>
  <c r="Y58" i="10" a="1"/>
  <c r="X306" i="10" a="1"/>
  <c r="W81" i="10" a="1"/>
  <c r="U75" i="10" a="1"/>
  <c r="AQ59" i="10" a="1"/>
  <c r="V305" i="10" a="1"/>
  <c r="W72" i="10" a="1"/>
  <c r="K71" i="10" a="1"/>
  <c r="AJ72" i="10" a="1"/>
  <c r="AC303" i="10" a="1"/>
  <c r="L302" i="10" a="1"/>
  <c r="AG82" i="10" a="1"/>
  <c r="T67" i="10" a="1"/>
  <c r="J64" i="10" a="1"/>
  <c r="W71" i="10" a="1"/>
  <c r="Z72" i="10" a="1"/>
  <c r="G80" i="10" a="1"/>
  <c r="AL81" i="10" a="1"/>
  <c r="AO81" i="10" a="1"/>
  <c r="R74" i="10" a="1"/>
  <c r="X58" i="10" a="1"/>
  <c r="Z75" i="10" a="1"/>
  <c r="Y62" i="10" a="1"/>
  <c r="AA63" i="10" a="1"/>
  <c r="P72" i="10" a="1"/>
  <c r="U66" i="10" a="1"/>
  <c r="AP77" i="10" a="1"/>
  <c r="S78" i="10" a="1"/>
  <c r="G305" i="10" a="1"/>
  <c r="W302" i="10" a="1"/>
  <c r="P79" i="10" a="1"/>
  <c r="H62" i="10" a="1"/>
  <c r="O303" i="10" a="1"/>
  <c r="H302" i="10" a="1"/>
  <c r="R67" i="10" a="1"/>
  <c r="T68" i="10" a="1"/>
  <c r="AH71" i="10" a="1"/>
  <c r="AF71" i="10" a="1"/>
  <c r="AL68" i="10" a="1"/>
  <c r="Z67" i="10" a="1"/>
  <c r="S306" i="10" a="1"/>
  <c r="S76" i="10" a="1"/>
  <c r="AD58" i="10" a="1"/>
  <c r="H69" i="10" a="1"/>
  <c r="AA59" i="10" a="1"/>
  <c r="AE71" i="10" a="1"/>
  <c r="G79" i="10" a="1"/>
  <c r="Q303" i="10" a="1"/>
  <c r="Q59" i="10" a="1"/>
  <c r="AI68" i="10" a="1"/>
  <c r="S66" i="10" a="1"/>
  <c r="AB73" i="10" a="1"/>
  <c r="K67" i="10" a="1"/>
  <c r="AB71" i="10" a="1"/>
  <c r="J58" i="10" a="1"/>
  <c r="AE306" i="10" a="1"/>
  <c r="AD302" i="10" a="1"/>
  <c r="S81" i="10" a="1"/>
  <c r="AJ80" i="10" a="1"/>
  <c r="Z79" i="10" a="1"/>
  <c r="AG80" i="10" a="1"/>
  <c r="H76" i="10" a="1"/>
  <c r="AF63" i="10" a="1"/>
  <c r="O75" i="10" a="1"/>
  <c r="P58" i="10" a="1"/>
  <c r="AC70" i="10" a="1"/>
  <c r="R75" i="10" a="1"/>
  <c r="AL304" i="10" a="1"/>
  <c r="AC80" i="10" a="1"/>
  <c r="AJ78" i="10" a="1"/>
  <c r="AC65" i="10" a="1"/>
  <c r="O69" i="10" a="1"/>
  <c r="M79" i="10" a="1"/>
  <c r="O65" i="10" a="1"/>
  <c r="Y75" i="10" a="1"/>
  <c r="P75" i="10" a="1"/>
  <c r="U80" i="10" a="1"/>
  <c r="AD64" i="10" a="1"/>
  <c r="AE61" i="10" a="1"/>
  <c r="I82" i="10" a="1"/>
  <c r="K60" i="10" a="1"/>
  <c r="J302" i="10" a="1"/>
  <c r="X76" i="10" a="1"/>
  <c r="T82" i="10" a="1"/>
  <c r="AC60" i="10" a="1"/>
  <c r="AO306" i="10" a="1"/>
  <c r="AM79" i="10" a="1"/>
  <c r="X71" i="10" a="1"/>
  <c r="Q77" i="10" a="1"/>
  <c r="AM304" i="10" a="1"/>
  <c r="AK71" i="10" a="1"/>
  <c r="AL76" i="10" a="1"/>
  <c r="I71" i="10" a="1"/>
  <c r="X60" i="10" a="1"/>
  <c r="P73" i="10" a="1"/>
  <c r="AE59" i="10" a="1"/>
  <c r="Q60" i="10" a="1"/>
  <c r="Z58" i="10" a="1"/>
  <c r="AN63" i="10" a="1"/>
  <c r="Y74" i="10" a="1"/>
  <c r="AA81" i="10" a="1"/>
  <c r="Y69" i="10" a="1"/>
  <c r="AR63" i="10" a="1"/>
  <c r="I61" i="10" a="1"/>
  <c r="H75" i="10" a="1"/>
  <c r="AO77" i="10" a="1"/>
  <c r="X77" i="10" a="1"/>
  <c r="Y305" i="10" a="1"/>
  <c r="AK73" i="10" a="1"/>
  <c r="AE60" i="10" a="1"/>
  <c r="W303" i="10" a="1"/>
  <c r="AH305" i="10" a="1"/>
  <c r="AB81" i="10" a="1"/>
  <c r="U65" i="10" a="1"/>
  <c r="AM69" i="10" a="1"/>
  <c r="AC302" i="10" a="1"/>
  <c r="Y306" i="10" a="1"/>
  <c r="M67" i="10" a="1"/>
  <c r="L64" i="10" a="1"/>
  <c r="O302" i="10" a="1"/>
  <c r="Y72" i="10" a="1"/>
  <c r="U79" i="10" a="1"/>
  <c r="H67" i="10" a="1"/>
  <c r="R66" i="10" a="1"/>
  <c r="H74" i="10" a="1"/>
  <c r="G73" i="10" a="1"/>
  <c r="AE73" i="10" a="1"/>
  <c r="H72" i="10" a="1"/>
  <c r="Q80" i="10" a="1"/>
  <c r="I304" i="10" a="1"/>
  <c r="X80" i="10" a="1"/>
  <c r="AB72" i="10" a="1"/>
  <c r="AN305" i="10" a="1"/>
  <c r="AF58" i="10" a="1"/>
  <c r="Q306" i="10" a="1"/>
  <c r="AL306" i="10" a="1"/>
  <c r="O71" i="10" a="1"/>
  <c r="AG58" i="10" a="1"/>
  <c r="AP59" i="10" a="1"/>
  <c r="J81" i="10" a="1"/>
  <c r="AL303" i="10" a="1"/>
  <c r="Y67" i="10" a="1"/>
  <c r="T72" i="10" a="1"/>
  <c r="L73" i="10" a="1"/>
  <c r="AG304" i="10" a="1"/>
  <c r="O63" i="10" a="1"/>
  <c r="M76" i="10" a="1"/>
  <c r="AN79" i="10" a="1"/>
  <c r="M72" i="10" a="1"/>
  <c r="Q73" i="10" a="1"/>
  <c r="AA74" i="10" a="1"/>
  <c r="I58" i="10" a="1"/>
  <c r="X303" i="10" a="1"/>
  <c r="AQ70" i="10" a="1"/>
  <c r="AP304" i="10" a="1"/>
  <c r="V65" i="10" a="1"/>
  <c r="AK80" i="10" a="1"/>
  <c r="K81" i="10" a="1"/>
  <c r="AJ74" i="10" a="1"/>
  <c r="AP64" i="10" a="1"/>
  <c r="L80" i="10" a="1"/>
  <c r="O61" i="10" a="1"/>
  <c r="AQ79" i="10" a="1"/>
  <c r="AA80" i="10" a="1"/>
  <c r="I66" i="10" a="1"/>
  <c r="AN71" i="10" a="1"/>
  <c r="P65" i="10" a="1"/>
  <c r="AE72" i="10" a="1"/>
  <c r="S82" i="10" a="1"/>
  <c r="AR66" i="10" a="1"/>
  <c r="T306" i="10" a="1"/>
  <c r="AF72" i="10" a="1"/>
  <c r="AR62" i="10" a="1"/>
  <c r="AK82" i="10" a="1"/>
  <c r="K77" i="10" a="1"/>
  <c r="K59" i="10" a="1"/>
  <c r="T63" i="10" a="1"/>
  <c r="AH66" i="10" a="1"/>
  <c r="O304" i="10" a="1"/>
  <c r="X65" i="10" a="1"/>
  <c r="L81" i="10" a="1"/>
  <c r="AQ77" i="10" a="1"/>
  <c r="G64" i="10" a="1"/>
  <c r="K61" i="10" a="1"/>
  <c r="AO82" i="10" a="1"/>
  <c r="K72" i="10" a="1"/>
  <c r="S61" i="10" a="1"/>
  <c r="AC77" i="10" a="1"/>
  <c r="M81" i="10" a="1"/>
  <c r="N71" i="10" a="1"/>
  <c r="AM78" i="10" a="1"/>
  <c r="O306" i="10" a="1"/>
  <c r="R72" i="10" a="1"/>
  <c r="L63" i="10" a="1"/>
  <c r="O59" i="10" a="1"/>
  <c r="AQ65" i="10" a="1"/>
  <c r="AO72" i="10" a="1"/>
  <c r="AR81" i="10" a="1"/>
  <c r="AH79" i="10" a="1"/>
  <c r="W61" i="10" a="1"/>
  <c r="AA72" i="10" a="1"/>
  <c r="AJ81" i="10" a="1"/>
  <c r="R80" i="10" a="1"/>
  <c r="U59" i="10" a="1"/>
  <c r="N68" i="10" a="1"/>
  <c r="O74" i="10" a="1"/>
  <c r="AO304" i="10" a="1"/>
  <c r="K64" i="10" a="1"/>
  <c r="W77" i="10" a="1"/>
  <c r="G81" i="10" a="1"/>
  <c r="W78" i="10" a="1"/>
  <c r="AG70" i="10" a="1"/>
  <c r="Q63" i="10" a="1"/>
  <c r="P80" i="10" a="1"/>
  <c r="B10" i="10" a="1"/>
  <c r="AD72" i="10" a="1"/>
  <c r="AH72" i="10" a="1"/>
  <c r="I67" i="10" a="1"/>
  <c r="AJ64" i="10" a="1"/>
  <c r="O76" i="10" a="1"/>
  <c r="AD79" i="10" a="1"/>
  <c r="AK66" i="10" a="1"/>
  <c r="AQ72" i="10" a="1"/>
  <c r="AN60" i="10" a="1"/>
  <c r="J69" i="10" a="1"/>
  <c r="AM70" i="10" a="1"/>
  <c r="AG306" i="10" a="1"/>
  <c r="AG69" i="10" a="1"/>
  <c r="AF68" i="10" a="1"/>
  <c r="U60" i="10" a="1"/>
  <c r="AJ71" i="10" a="1"/>
  <c r="AH302" i="10" a="1"/>
  <c r="L305" i="10" a="1"/>
  <c r="W64" i="10" a="1"/>
  <c r="AJ59" i="10" a="1"/>
  <c r="AD69" i="10" a="1"/>
  <c r="AL65" i="10" a="1"/>
  <c r="Z302" i="10" a="1"/>
  <c r="S71" i="10" a="1"/>
  <c r="Q305" i="10" a="1"/>
  <c r="AB67" i="10" a="1"/>
  <c r="N63" i="10" a="1"/>
  <c r="AE75" i="10" a="1"/>
  <c r="Q64" i="10" a="1"/>
  <c r="J82" i="10" a="1"/>
  <c r="AK81" i="10" a="1"/>
  <c r="AA82" i="10" a="1"/>
  <c r="S75" i="10" a="1"/>
  <c r="H81" i="10" a="1"/>
  <c r="V306" i="10" a="1"/>
  <c r="AQ60" i="10" a="1"/>
  <c r="K305" i="10" a="1"/>
  <c r="AI74" i="10" a="1"/>
  <c r="R60" i="10" a="1"/>
  <c r="AK304" i="10" a="1"/>
  <c r="S80" i="10" a="1"/>
  <c r="AJ306" i="10" a="1"/>
  <c r="T74" i="10" a="1"/>
  <c r="F113" i="10" a="1"/>
  <c r="AK68" i="10" a="1"/>
  <c r="I72" i="10" a="1"/>
  <c r="M303" i="10" a="1"/>
  <c r="AL61" i="10" a="1"/>
  <c r="T81" i="10" a="1"/>
  <c r="G65" i="10" a="1"/>
  <c r="AM303" i="10" a="1"/>
  <c r="AJ70" i="10" a="1"/>
  <c r="AO305" i="10" a="1"/>
  <c r="H80" i="10" a="1"/>
  <c r="M305" i="10" a="1"/>
  <c r="V78" i="10" a="1"/>
  <c r="AL66" i="10" a="1"/>
  <c r="AD65" i="10" a="1"/>
  <c r="AH67" i="10" a="1"/>
  <c r="X66" i="10" a="1"/>
  <c r="AB68" i="10" a="1"/>
  <c r="W304" i="10" a="1"/>
  <c r="AE82" i="10" a="1"/>
  <c r="AP65" i="10" a="1"/>
  <c r="N62" i="10" a="1"/>
  <c r="AH80" i="10" a="1"/>
  <c r="P306" i="10" a="1"/>
  <c r="X62" i="10" a="1"/>
  <c r="AA70" i="10" a="1"/>
  <c r="X73" i="10" a="1"/>
  <c r="G68" i="10" a="1"/>
  <c r="Y302" i="10" a="1"/>
  <c r="G58" i="10" a="1"/>
  <c r="AA302" i="10" a="1"/>
  <c r="Y68" i="10" a="1"/>
  <c r="M63" i="10" a="1"/>
  <c r="O67" i="10" a="1"/>
  <c r="V66" i="10" a="1"/>
  <c r="AM71" i="10" a="1"/>
  <c r="X304" i="10" a="1"/>
  <c r="Y80" i="10" a="1"/>
  <c r="AP66" i="10" a="1"/>
  <c r="K69" i="10" a="1"/>
  <c r="AD306" i="10" a="1"/>
  <c r="AB66" i="10" a="1"/>
  <c r="O62" i="10" a="1"/>
  <c r="AG81" i="10" a="1"/>
  <c r="AK76" i="10" a="1"/>
  <c r="AP73" i="10" a="1"/>
  <c r="Y303" i="10" a="1"/>
  <c r="AO79" i="10" a="1"/>
  <c r="AA69" i="10" a="1"/>
  <c r="M70" i="10" a="1"/>
  <c r="R76" i="10" a="1"/>
  <c r="AG64" i="10" a="1"/>
  <c r="Y66" i="10" a="1"/>
  <c r="Q67" i="10" a="1"/>
  <c r="AR82" i="10" a="1"/>
  <c r="Q72" i="10" a="1"/>
  <c r="H78" i="10" a="1"/>
  <c r="G67" i="10" a="1"/>
  <c r="P81" i="10" a="1"/>
  <c r="AG68" i="10" a="1"/>
  <c r="AF78" i="10" a="1"/>
  <c r="Q66" i="10" a="1"/>
  <c r="AL73" i="10" a="1"/>
  <c r="AE68" i="10" a="1"/>
  <c r="AA77" i="10" a="1"/>
  <c r="V73" i="10" a="1"/>
  <c r="AR65" i="10" a="1"/>
  <c r="N66" i="10" a="1"/>
  <c r="AM81" i="10" a="1"/>
  <c r="AI61" i="10" a="1"/>
  <c r="L306" i="10" a="1"/>
  <c r="Q75" i="10" a="1"/>
  <c r="AA304" i="10" a="1"/>
  <c r="S72" i="10" a="1"/>
  <c r="AH70" i="10" a="1"/>
  <c r="Y76" i="10" a="1"/>
  <c r="AO65" i="10" a="1"/>
  <c r="U72" i="10" a="1"/>
  <c r="AH304" i="10" a="1"/>
  <c r="AR69" i="10" a="1"/>
  <c r="AM59" i="10" a="1"/>
  <c r="K70" i="10" a="1"/>
  <c r="AN306" i="10" a="1"/>
  <c r="T69" i="10" a="1"/>
  <c r="W79" i="10" a="1"/>
  <c r="AK306" i="10" a="1"/>
  <c r="AI64" i="10" a="1"/>
  <c r="AO63" i="10" a="1"/>
  <c r="Z82" i="10" a="1"/>
  <c r="W62" i="10" a="1"/>
  <c r="AC63" i="10" a="1"/>
  <c r="AK77" i="10" a="1"/>
  <c r="K79" i="10" a="1"/>
  <c r="X74" i="10" a="1"/>
  <c r="O68" i="10" a="1"/>
  <c r="AH68" i="10" a="1"/>
  <c r="Z73" i="10" a="1"/>
  <c r="AK69" i="10" a="1"/>
  <c r="U74" i="10" a="1"/>
  <c r="AB62" i="10" a="1"/>
  <c r="AC78" i="10" a="1"/>
  <c r="AM62" i="10" a="1"/>
  <c r="W73" i="10" a="1"/>
  <c r="M78" i="10" a="1"/>
  <c r="Z78" i="10" a="1"/>
  <c r="AD303" i="10" a="1"/>
  <c r="G71" i="10" a="1"/>
  <c r="AN70" i="10" a="1"/>
  <c r="AD74" i="10" a="1"/>
  <c r="AN66" i="10" a="1"/>
  <c r="AO303" i="10" a="1"/>
  <c r="AG79" i="10" a="1"/>
  <c r="S77" i="10" a="1"/>
  <c r="P70" i="10" a="1"/>
  <c r="AA67" i="10" a="1"/>
  <c r="AB79" i="10" a="1"/>
  <c r="W305" i="10" a="1"/>
  <c r="AM66" i="10" a="1"/>
  <c r="R78" i="10" a="1"/>
  <c r="AH306" i="10" a="1"/>
  <c r="Q70" i="10" a="1"/>
  <c r="I305" i="10" a="1"/>
  <c r="J72" i="10" a="1"/>
  <c r="G82" i="10" a="1"/>
  <c r="AI79" i="10" a="1"/>
  <c r="AJ77" i="10" a="1"/>
  <c r="AI304" i="10" a="1"/>
  <c r="AR75" i="10" a="1"/>
  <c r="AF62" i="10" a="1"/>
  <c r="O81" i="10" a="1"/>
  <c r="AL79" i="10" a="1"/>
  <c r="AB78" i="10" a="1"/>
  <c r="AF82" i="10" a="1"/>
  <c r="AP80" i="10" a="1"/>
  <c r="V304" i="10" a="1"/>
  <c r="G306" i="10" a="1"/>
  <c r="R69" i="10" a="1"/>
  <c r="V62" i="10" a="1"/>
  <c r="U62" i="10" a="1"/>
  <c r="DM103" i="58885" a="1"/>
  <c r="DM181" i="58885" a="1"/>
  <c r="AT291" i="10"/>
  <c r="AQ171" i="10" a="1"/>
  <c r="AR171" i="10" a="1"/>
  <c r="AR159" i="10" a="1"/>
  <c r="AQ159" i="10" a="1"/>
  <c r="AQ210" i="10" a="1"/>
  <c r="AR210" i="10" a="1"/>
  <c r="AR204" i="10" a="1"/>
  <c r="AQ204" i="10" a="1"/>
  <c r="AR129" i="10" a="1"/>
  <c r="AQ129" i="10" a="1"/>
  <c r="AQ177" i="10" a="1"/>
  <c r="AR177" i="10" a="1"/>
  <c r="S268" i="5" a="1"/>
  <c r="Y286" i="5" a="1"/>
  <c r="X275" i="5" a="1"/>
  <c r="T275" i="5" a="1"/>
  <c r="R267" i="5" a="1"/>
  <c r="I287" i="5" a="1"/>
  <c r="P286" i="5" a="1"/>
  <c r="V271" i="5" a="1"/>
  <c r="X261" i="5" a="1"/>
  <c r="W267" i="5" a="1"/>
  <c r="I277" i="5" a="1"/>
  <c r="O287" i="5" a="1"/>
  <c r="K283" i="5" a="1"/>
  <c r="L273" i="5" a="1"/>
  <c r="V283" i="5" a="1"/>
  <c r="AQ231" i="10" a="1"/>
  <c r="AR231" i="10" a="1"/>
  <c r="DM105" i="58885" a="1"/>
  <c r="AT297" i="10"/>
  <c r="DM114" i="58885" a="1"/>
  <c r="DM139" i="58885" a="1"/>
  <c r="AQ222" i="10" a="1"/>
  <c r="AR222" i="10" a="1"/>
  <c r="AR219" i="10" a="1"/>
  <c r="AQ219" i="10" a="1"/>
  <c r="AR126" i="10" a="1"/>
  <c r="AQ126" i="10" a="1"/>
  <c r="AR228" i="10" a="1"/>
  <c r="AQ228" i="10" a="1"/>
  <c r="AQ213" i="10" a="1"/>
  <c r="AR213" i="10" a="1"/>
  <c r="X264" i="5" a="1"/>
  <c r="K275" i="5" a="1"/>
  <c r="O285" i="5" a="1"/>
  <c r="V268" i="5" a="1"/>
  <c r="P264" i="5" a="1"/>
  <c r="T264" i="5" a="1"/>
  <c r="S281" i="5" a="1"/>
  <c r="T268" i="5" a="1"/>
  <c r="T271" i="5" a="1"/>
  <c r="R263" i="5" a="1"/>
  <c r="X266" i="5" a="1"/>
  <c r="M283" i="5" a="1"/>
  <c r="AR180" i="10" a="1"/>
  <c r="AQ180" i="10" a="1"/>
  <c r="AR189" i="10" a="1"/>
  <c r="AQ189" i="10" a="1"/>
  <c r="DM135" i="58885" a="1"/>
  <c r="DM137" i="58885" a="1"/>
  <c r="DM100" i="58885" a="1"/>
  <c r="DM116" i="58885" a="1"/>
  <c r="DM132" i="58885" a="1"/>
  <c r="DM126" i="58885" a="1"/>
  <c r="DM115" i="58885" a="1"/>
  <c r="DM124" i="58885" a="1"/>
  <c r="DM106" i="58885" a="1"/>
  <c r="AQ201" i="10" a="1"/>
  <c r="AR201" i="10" a="1"/>
  <c r="AR174" i="10" a="1"/>
  <c r="AQ174" i="10" a="1"/>
  <c r="AR138" i="10" a="1"/>
  <c r="AQ138" i="10" a="1"/>
  <c r="AR147" i="10" a="1"/>
  <c r="AQ147" i="10" a="1"/>
  <c r="AR165" i="10" a="1"/>
  <c r="AQ165" i="10" a="1"/>
  <c r="AR186" i="10" a="1"/>
  <c r="AQ186" i="10" a="1"/>
  <c r="AQ150" i="10" a="1"/>
  <c r="AR150" i="10" a="1"/>
  <c r="S287" i="5" a="1"/>
  <c r="N268" i="5" a="1"/>
  <c r="R287" i="5" a="1"/>
  <c r="P294" i="5" a="1"/>
  <c r="J277" i="5" a="1"/>
  <c r="P273" i="5" a="1"/>
  <c r="U275" i="5" a="1"/>
  <c r="I291" i="5" a="1"/>
  <c r="X281" i="5" a="1"/>
  <c r="I283" i="5" a="1"/>
  <c r="J287" i="5" a="1"/>
  <c r="O272" i="5" a="1"/>
  <c r="Y275" i="5" a="1"/>
  <c r="L294" i="5" a="1"/>
  <c r="I279" i="5" a="1"/>
  <c r="W282" i="5" a="1"/>
  <c r="N294" i="5" a="1"/>
  <c r="R271" i="5" a="1"/>
  <c r="O267" i="5" a="1"/>
  <c r="R289" i="5" a="1"/>
  <c r="U276" i="5" a="1"/>
  <c r="T267" i="5" a="1"/>
  <c r="M272" i="5" a="1"/>
  <c r="Y281" i="5" a="1"/>
  <c r="P281" i="5" a="1"/>
  <c r="W268" i="5" a="1"/>
  <c r="AT249" i="10"/>
  <c r="M281" i="5" a="1"/>
  <c r="J267" i="5" a="1"/>
  <c r="S283" i="5" a="1"/>
  <c r="S277" i="5" a="1"/>
  <c r="O271" i="5" a="1"/>
  <c r="T293" i="5" a="1"/>
  <c r="R293" i="5" a="1"/>
  <c r="R283" i="5" a="1"/>
  <c r="Q291" i="5" a="1"/>
  <c r="X293" i="5" a="1"/>
  <c r="Q287" i="5" a="1"/>
  <c r="AR133" i="10" a="1"/>
  <c r="R273" i="5" a="1"/>
  <c r="Y287" i="5" a="1"/>
  <c r="Y277" i="5" a="1"/>
  <c r="Y268" i="5" a="1"/>
  <c r="U294" i="5" a="1"/>
  <c r="K290" i="5" a="1"/>
  <c r="L290" i="5" a="1"/>
  <c r="Y267" i="5" a="1"/>
  <c r="K280" i="5" a="1"/>
  <c r="W271" i="5" a="1"/>
  <c r="M293" i="5" a="1"/>
  <c r="J262" i="5" a="1"/>
  <c r="L277" i="5" a="1"/>
  <c r="V263" i="5" a="1"/>
  <c r="W281" i="5" a="1"/>
  <c r="X268" i="5" a="1"/>
  <c r="V277" i="5" a="1"/>
  <c r="M276" i="5" a="1"/>
  <c r="N280" i="5" a="1"/>
  <c r="V262" i="5" a="1"/>
  <c r="Y266" i="5" a="1"/>
  <c r="J282" i="5" a="1"/>
  <c r="I262" i="5" a="1"/>
  <c r="Y293" i="5" a="1"/>
  <c r="S280" i="5" a="1"/>
  <c r="O286" i="5" a="1"/>
  <c r="M280" i="5" a="1"/>
  <c r="M289" i="5" a="1"/>
  <c r="T277" i="5" a="1"/>
  <c r="R286" i="5" a="1"/>
  <c r="M279" i="5" a="1"/>
  <c r="V286" i="5" a="1"/>
  <c r="V290" i="5" a="1"/>
  <c r="L268" i="5" a="1"/>
  <c r="T263" i="5" a="1"/>
  <c r="AT207" i="10"/>
  <c r="N287" i="5" a="1"/>
  <c r="U263" i="5" a="1"/>
  <c r="R270" i="5" a="1"/>
  <c r="S294" i="5" a="1"/>
  <c r="P276" i="5" a="1"/>
  <c r="V287" i="5" a="1"/>
  <c r="U272" i="5" a="1"/>
  <c r="X283" i="5" a="1"/>
  <c r="U265" i="5" a="1"/>
  <c r="L282" i="5" a="1"/>
  <c r="AT216" i="10"/>
  <c r="O266" i="5" a="1"/>
  <c r="U287" i="5" a="1"/>
  <c r="N283" i="5" a="1"/>
  <c r="AT234" i="10"/>
  <c r="AQ133" i="10" a="1"/>
  <c r="K282" i="5" a="1"/>
  <c r="AR192" i="10" a="1"/>
  <c r="AQ192" i="10" a="1"/>
  <c r="AT240" i="10"/>
  <c r="N286" i="5" a="1"/>
  <c r="P290" i="5" a="1"/>
  <c r="R275" i="5" a="1"/>
  <c r="R285" i="5" a="1"/>
  <c r="M285" i="5" a="1"/>
  <c r="M287" i="5" a="1"/>
  <c r="O280" i="5" a="1"/>
  <c r="U268" i="5" a="1"/>
  <c r="Q267" i="5" a="1"/>
  <c r="L262" i="5" a="1"/>
  <c r="I267" i="5" a="1"/>
  <c r="I267" i="5" l="1"/>
  <c r="L262" i="5"/>
  <c r="Q267" i="5"/>
  <c r="U268" i="5"/>
  <c r="O280" i="5"/>
  <c r="M287" i="5"/>
  <c r="M285" i="5"/>
  <c r="R285" i="5"/>
  <c r="R275" i="5"/>
  <c r="P290" i="5"/>
  <c r="N286" i="5"/>
  <c r="AQ192" i="10"/>
  <c r="AR192" i="10"/>
  <c r="K282" i="5"/>
  <c r="N283" i="5"/>
  <c r="U287" i="5"/>
  <c r="O266" i="5"/>
  <c r="L282" i="5"/>
  <c r="U265" i="5"/>
  <c r="X283" i="5"/>
  <c r="U272" i="5"/>
  <c r="V287" i="5"/>
  <c r="P276" i="5"/>
  <c r="S294" i="5"/>
  <c r="R270" i="5"/>
  <c r="U263" i="5"/>
  <c r="N287" i="5"/>
  <c r="T263" i="5"/>
  <c r="L268" i="5"/>
  <c r="V290" i="5"/>
  <c r="V286" i="5"/>
  <c r="M279" i="5"/>
  <c r="R286" i="5"/>
  <c r="T277" i="5"/>
  <c r="M289" i="5"/>
  <c r="M280" i="5"/>
  <c r="O286" i="5"/>
  <c r="S280" i="5"/>
  <c r="Y293" i="5"/>
  <c r="I262" i="5"/>
  <c r="J282" i="5"/>
  <c r="Y266" i="5"/>
  <c r="V262" i="5"/>
  <c r="N280" i="5"/>
  <c r="M276" i="5"/>
  <c r="V277" i="5"/>
  <c r="X268" i="5"/>
  <c r="W281" i="5"/>
  <c r="V263" i="5"/>
  <c r="L277" i="5"/>
  <c r="J262" i="5"/>
  <c r="M293" i="5"/>
  <c r="W271" i="5"/>
  <c r="K280" i="5"/>
  <c r="Y267" i="5"/>
  <c r="L290" i="5"/>
  <c r="K290" i="5"/>
  <c r="U294" i="5"/>
  <c r="Y268" i="5"/>
  <c r="Y277" i="5"/>
  <c r="Y287" i="5"/>
  <c r="R273" i="5"/>
  <c r="Q287" i="5"/>
  <c r="X293" i="5"/>
  <c r="Q291" i="5"/>
  <c r="R283" i="5"/>
  <c r="R293" i="5"/>
  <c r="T293" i="5"/>
  <c r="O271" i="5"/>
  <c r="S277" i="5"/>
  <c r="S283" i="5"/>
  <c r="J267" i="5"/>
  <c r="M281" i="5"/>
  <c r="W268" i="5"/>
  <c r="P281" i="5"/>
  <c r="Y281" i="5"/>
  <c r="M272" i="5"/>
  <c r="T267" i="5"/>
  <c r="U276" i="5"/>
  <c r="R289" i="5"/>
  <c r="O267" i="5"/>
  <c r="R271" i="5"/>
  <c r="N294" i="5"/>
  <c r="W282" i="5"/>
  <c r="I279" i="5"/>
  <c r="L294" i="5"/>
  <c r="Y275" i="5"/>
  <c r="O272" i="5"/>
  <c r="J287" i="5"/>
  <c r="I283" i="5"/>
  <c r="X281" i="5"/>
  <c r="I291" i="5"/>
  <c r="U275" i="5"/>
  <c r="P273" i="5"/>
  <c r="J277" i="5"/>
  <c r="P294" i="5"/>
  <c r="R287" i="5"/>
  <c r="N268" i="5"/>
  <c r="S287" i="5"/>
  <c r="AR150" i="10"/>
  <c r="AQ150" i="10"/>
  <c r="AQ186" i="10"/>
  <c r="AR186" i="10"/>
  <c r="AQ165" i="10"/>
  <c r="AR165" i="10"/>
  <c r="AQ147" i="10"/>
  <c r="AR147" i="10"/>
  <c r="AQ138" i="10"/>
  <c r="AR138" i="10"/>
  <c r="AQ174" i="10"/>
  <c r="AR174" i="10"/>
  <c r="AR201" i="10"/>
  <c r="AQ201" i="10"/>
  <c r="DM106" i="58885"/>
  <c r="DM124" i="58885"/>
  <c r="DM115" i="58885"/>
  <c r="DM126" i="58885"/>
  <c r="DM132" i="58885"/>
  <c r="DM116" i="58885"/>
  <c r="DM100" i="58885"/>
  <c r="DM137" i="58885"/>
  <c r="DM135" i="58885"/>
  <c r="AQ189" i="10"/>
  <c r="AR189" i="10"/>
  <c r="AQ180" i="10"/>
  <c r="AR180" i="10"/>
  <c r="M283" i="5"/>
  <c r="X266" i="5"/>
  <c r="R263" i="5"/>
  <c r="T271" i="5"/>
  <c r="T268" i="5"/>
  <c r="S281" i="5"/>
  <c r="T264" i="5"/>
  <c r="P264" i="5"/>
  <c r="V268" i="5"/>
  <c r="O285" i="5"/>
  <c r="K275" i="5"/>
  <c r="X264" i="5"/>
  <c r="AR213" i="10"/>
  <c r="AQ213" i="10"/>
  <c r="AQ228" i="10"/>
  <c r="AR228" i="10"/>
  <c r="AQ126" i="10"/>
  <c r="AR126" i="10"/>
  <c r="AQ219" i="10"/>
  <c r="AR219" i="10"/>
  <c r="AR222" i="10"/>
  <c r="AQ222" i="10"/>
  <c r="DM139" i="58885"/>
  <c r="DM114" i="58885"/>
  <c r="DM105" i="58885"/>
  <c r="AR231" i="10"/>
  <c r="AQ231" i="10"/>
  <c r="V283" i="5"/>
  <c r="L273" i="5"/>
  <c r="K283" i="5"/>
  <c r="O287" i="5"/>
  <c r="I277" i="5"/>
  <c r="W267" i="5"/>
  <c r="X261" i="5"/>
  <c r="V271" i="5"/>
  <c r="P286" i="5"/>
  <c r="I287" i="5"/>
  <c r="R267" i="5"/>
  <c r="T275" i="5"/>
  <c r="X275" i="5"/>
  <c r="Y286" i="5"/>
  <c r="S268" i="5"/>
  <c r="AR177" i="10"/>
  <c r="AQ177" i="10"/>
  <c r="AQ129" i="10"/>
  <c r="AR129" i="10"/>
  <c r="AQ204" i="10"/>
  <c r="AR204" i="10"/>
  <c r="AR210" i="10"/>
  <c r="AQ210" i="10"/>
  <c r="AQ159" i="10"/>
  <c r="AR159" i="10"/>
  <c r="AR171" i="10"/>
  <c r="AQ171" i="10"/>
  <c r="DM181" i="58885"/>
  <c r="DM103" i="58885"/>
  <c r="U62" i="10"/>
  <c r="V62" i="10"/>
  <c r="R69" i="10"/>
  <c r="G306" i="10"/>
  <c r="V304" i="10"/>
  <c r="AP80" i="10"/>
  <c r="AF82" i="10"/>
  <c r="AB78" i="10"/>
  <c r="AL79" i="10"/>
  <c r="O81" i="10"/>
  <c r="AF62" i="10"/>
  <c r="AR75" i="10"/>
  <c r="AI304" i="10"/>
  <c r="AJ77" i="10"/>
  <c r="AI79" i="10"/>
  <c r="G82" i="10"/>
  <c r="J72" i="10"/>
  <c r="I305" i="10"/>
  <c r="Q70" i="10"/>
  <c r="AH306" i="10"/>
  <c r="R78" i="10"/>
  <c r="AM66" i="10"/>
  <c r="W305" i="10"/>
  <c r="AB79" i="10"/>
  <c r="AA67" i="10"/>
  <c r="P70" i="10"/>
  <c r="S77" i="10"/>
  <c r="AG79" i="10"/>
  <c r="AO303" i="10"/>
  <c r="AN66" i="10"/>
  <c r="AD74" i="10"/>
  <c r="AN70" i="10"/>
  <c r="G71" i="10"/>
  <c r="AD303" i="10"/>
  <c r="Z78" i="10"/>
  <c r="M78" i="10"/>
  <c r="W73" i="10"/>
  <c r="AM62" i="10"/>
  <c r="AC78" i="10"/>
  <c r="AB62" i="10"/>
  <c r="U74" i="10"/>
  <c r="AK69" i="10"/>
  <c r="Z73" i="10"/>
  <c r="AH68" i="10"/>
  <c r="O68" i="10"/>
  <c r="X74" i="10"/>
  <c r="K79" i="10"/>
  <c r="AK77" i="10"/>
  <c r="AC63" i="10"/>
  <c r="W62" i="10"/>
  <c r="Z82" i="10"/>
  <c r="AO63" i="10"/>
  <c r="AI64" i="10"/>
  <c r="AK306" i="10"/>
  <c r="W79" i="10"/>
  <c r="T69" i="10"/>
  <c r="AN306" i="10"/>
  <c r="K70" i="10"/>
  <c r="AM59" i="10"/>
  <c r="AR69" i="10"/>
  <c r="AH304" i="10"/>
  <c r="U72" i="10"/>
  <c r="AO65" i="10"/>
  <c r="Y76" i="10"/>
  <c r="AH70" i="10"/>
  <c r="S72" i="10"/>
  <c r="AA304" i="10"/>
  <c r="Q75" i="10"/>
  <c r="L306" i="10"/>
  <c r="AI61" i="10"/>
  <c r="AM81" i="10"/>
  <c r="N66" i="10"/>
  <c r="AR65" i="10"/>
  <c r="V73" i="10"/>
  <c r="AA77" i="10"/>
  <c r="AE68" i="10"/>
  <c r="AL73" i="10"/>
  <c r="Q66" i="10"/>
  <c r="AF78" i="10"/>
  <c r="AG68" i="10"/>
  <c r="P81" i="10"/>
  <c r="G67" i="10"/>
  <c r="H78" i="10"/>
  <c r="Q72" i="10"/>
  <c r="AR82" i="10"/>
  <c r="Q67" i="10"/>
  <c r="Y66" i="10"/>
  <c r="AG64" i="10"/>
  <c r="R76" i="10"/>
  <c r="M70" i="10"/>
  <c r="AA69" i="10"/>
  <c r="AO79" i="10"/>
  <c r="Y303" i="10"/>
  <c r="AP73" i="10"/>
  <c r="AK76" i="10"/>
  <c r="AG81" i="10"/>
  <c r="O62" i="10"/>
  <c r="AB66" i="10"/>
  <c r="AD306" i="10"/>
  <c r="K69" i="10"/>
  <c r="AP66" i="10"/>
  <c r="Y80" i="10"/>
  <c r="X304" i="10"/>
  <c r="AM71" i="10"/>
  <c r="V66" i="10"/>
  <c r="O67" i="10"/>
  <c r="M63" i="10"/>
  <c r="Y68" i="10"/>
  <c r="AA302" i="10"/>
  <c r="G58" i="10"/>
  <c r="Y302" i="10"/>
  <c r="G68" i="10"/>
  <c r="X73" i="10"/>
  <c r="AA70" i="10"/>
  <c r="X62" i="10"/>
  <c r="P306" i="10"/>
  <c r="AH80" i="10"/>
  <c r="N62" i="10"/>
  <c r="AP65" i="10"/>
  <c r="AE82" i="10"/>
  <c r="W304" i="10"/>
  <c r="AB68" i="10"/>
  <c r="X66" i="10"/>
  <c r="AH67" i="10"/>
  <c r="AD65" i="10"/>
  <c r="AL66" i="10"/>
  <c r="V78" i="10"/>
  <c r="M305" i="10"/>
  <c r="H80" i="10"/>
  <c r="AO305" i="10"/>
  <c r="AJ70" i="10"/>
  <c r="AM303" i="10"/>
  <c r="G65" i="10"/>
  <c r="T81" i="10"/>
  <c r="AL61" i="10"/>
  <c r="M303" i="10"/>
  <c r="I72" i="10"/>
  <c r="AK68" i="10"/>
  <c r="F113" i="10"/>
  <c r="T74" i="10"/>
  <c r="AJ306" i="10"/>
  <c r="S80" i="10"/>
  <c r="AK304" i="10"/>
  <c r="R60" i="10"/>
  <c r="AI74" i="10"/>
  <c r="K305" i="10"/>
  <c r="AQ60" i="10"/>
  <c r="V306" i="10"/>
  <c r="H81" i="10"/>
  <c r="S75" i="10"/>
  <c r="AA82" i="10"/>
  <c r="AK81" i="10"/>
  <c r="J82" i="10"/>
  <c r="Q64" i="10"/>
  <c r="AE75" i="10"/>
  <c r="N63" i="10"/>
  <c r="AB67" i="10"/>
  <c r="Q305" i="10"/>
  <c r="S71" i="10"/>
  <c r="Z302" i="10"/>
  <c r="AL65" i="10"/>
  <c r="AD69" i="10"/>
  <c r="AJ59" i="10"/>
  <c r="W64" i="10"/>
  <c r="L305" i="10"/>
  <c r="AH302" i="10"/>
  <c r="AJ71" i="10"/>
  <c r="U60" i="10"/>
  <c r="AF68" i="10"/>
  <c r="AG69" i="10"/>
  <c r="AG306" i="10"/>
  <c r="AM70" i="10"/>
  <c r="J69" i="10"/>
  <c r="AN60" i="10"/>
  <c r="AQ72" i="10"/>
  <c r="AK66" i="10"/>
  <c r="AD79" i="10"/>
  <c r="O76" i="10"/>
  <c r="AJ64" i="10"/>
  <c r="I67" i="10"/>
  <c r="AH72" i="10"/>
  <c r="AD72" i="10"/>
  <c r="AS28" i="10"/>
  <c r="AS44" i="10"/>
  <c r="AS53" i="10"/>
  <c r="AS29" i="10"/>
  <c r="AS46" i="10"/>
  <c r="AS36" i="10"/>
  <c r="AS37" i="10"/>
  <c r="AS51" i="10"/>
  <c r="B10" i="10"/>
  <c r="AS18" i="10"/>
  <c r="AS38" i="10"/>
  <c r="AS45" i="10"/>
  <c r="AS23" i="10"/>
  <c r="AS21" i="10"/>
  <c r="AS35" i="10"/>
  <c r="AS34" i="10"/>
  <c r="AS13" i="10"/>
  <c r="AS48" i="10"/>
  <c r="AS43" i="10"/>
  <c r="AS27" i="10"/>
  <c r="AS19" i="10"/>
  <c r="AS20" i="10"/>
  <c r="AS15" i="10"/>
  <c r="AS24" i="10"/>
  <c r="AS49" i="10"/>
  <c r="AS47" i="10"/>
  <c r="AS50" i="10"/>
  <c r="AS16" i="10"/>
  <c r="AS57" i="10"/>
  <c r="AS55" i="10"/>
  <c r="AS54" i="10"/>
  <c r="AS40" i="10"/>
  <c r="AS39" i="10"/>
  <c r="AS41" i="10"/>
  <c r="AS32" i="10"/>
  <c r="AS42" i="10"/>
  <c r="AS12" i="10"/>
  <c r="AS56" i="10"/>
  <c r="AS26" i="10"/>
  <c r="AS52" i="10"/>
  <c r="AS11" i="10"/>
  <c r="AS31" i="10"/>
  <c r="AS25" i="10"/>
  <c r="AS30" i="10"/>
  <c r="AS17" i="10"/>
  <c r="AS33" i="10"/>
  <c r="AS14" i="10"/>
  <c r="AS22" i="10"/>
  <c r="P80" i="10"/>
  <c r="Q63" i="10"/>
  <c r="AG70" i="10"/>
  <c r="W78" i="10"/>
  <c r="G81" i="10"/>
  <c r="W77" i="10"/>
  <c r="K64" i="10"/>
  <c r="AO304" i="10"/>
  <c r="O74" i="10"/>
  <c r="N68" i="10"/>
  <c r="U59" i="10"/>
  <c r="R80" i="10"/>
  <c r="AJ81" i="10"/>
  <c r="AA72" i="10"/>
  <c r="W61" i="10"/>
  <c r="AH79" i="10"/>
  <c r="AR81" i="10"/>
  <c r="AO72" i="10"/>
  <c r="AQ65" i="10"/>
  <c r="O59" i="10"/>
  <c r="L63" i="10"/>
  <c r="R72" i="10"/>
  <c r="O306" i="10"/>
  <c r="AM78" i="10"/>
  <c r="N71" i="10"/>
  <c r="M81" i="10"/>
  <c r="AC77" i="10"/>
  <c r="S61" i="10"/>
  <c r="K72" i="10"/>
  <c r="AO82" i="10"/>
  <c r="K61" i="10"/>
  <c r="G64" i="10"/>
  <c r="AQ77" i="10"/>
  <c r="L81" i="10"/>
  <c r="X65" i="10"/>
  <c r="O304" i="10"/>
  <c r="AH66" i="10"/>
  <c r="T63" i="10"/>
  <c r="K59" i="10"/>
  <c r="K77" i="10"/>
  <c r="AK82" i="10"/>
  <c r="AR62" i="10"/>
  <c r="AF72" i="10"/>
  <c r="T306" i="10"/>
  <c r="AR66" i="10"/>
  <c r="S82" i="10"/>
  <c r="AE72" i="10"/>
  <c r="P65" i="10"/>
  <c r="AN71" i="10"/>
  <c r="I66" i="10"/>
  <c r="AA80" i="10"/>
  <c r="AQ79" i="10"/>
  <c r="O61" i="10"/>
  <c r="L80" i="10"/>
  <c r="AP64" i="10"/>
  <c r="AJ74" i="10"/>
  <c r="K81" i="10"/>
  <c r="AK80" i="10"/>
  <c r="V65" i="10"/>
  <c r="AP304" i="10"/>
  <c r="AQ70" i="10"/>
  <c r="X303" i="10"/>
  <c r="I58" i="10"/>
  <c r="AA74" i="10"/>
  <c r="Q73" i="10"/>
  <c r="M72" i="10"/>
  <c r="AN79" i="10"/>
  <c r="M76" i="10"/>
  <c r="O63" i="10"/>
  <c r="AG304" i="10"/>
  <c r="L73" i="10"/>
  <c r="T72" i="10"/>
  <c r="Y67" i="10"/>
  <c r="AL303" i="10"/>
  <c r="J81" i="10"/>
  <c r="AP59" i="10"/>
  <c r="AG58" i="10"/>
  <c r="O71" i="10"/>
  <c r="AL306" i="10"/>
  <c r="Q306" i="10"/>
  <c r="AF58" i="10"/>
  <c r="AN305" i="10"/>
  <c r="AB72" i="10"/>
  <c r="X80" i="10"/>
  <c r="I304" i="10"/>
  <c r="Q80" i="10"/>
  <c r="H72" i="10"/>
  <c r="AE73" i="10"/>
  <c r="G73" i="10"/>
  <c r="H74" i="10"/>
  <c r="R66" i="10"/>
  <c r="H67" i="10"/>
  <c r="U79" i="10"/>
  <c r="Y72" i="10"/>
  <c r="O302" i="10"/>
  <c r="L64" i="10"/>
  <c r="M67" i="10"/>
  <c r="Y306" i="10"/>
  <c r="AC302" i="10"/>
  <c r="AM69" i="10"/>
  <c r="U65" i="10"/>
  <c r="AB81" i="10"/>
  <c r="AH305" i="10"/>
  <c r="W303" i="10"/>
  <c r="AE60" i="10"/>
  <c r="AK73" i="10"/>
  <c r="Y305" i="10"/>
  <c r="X77" i="10"/>
  <c r="AO77" i="10"/>
  <c r="H75" i="10"/>
  <c r="I61" i="10"/>
  <c r="AR63" i="10"/>
  <c r="Y69" i="10"/>
  <c r="AA81" i="10"/>
  <c r="Y74" i="10"/>
  <c r="AN63" i="10"/>
  <c r="Z58" i="10"/>
  <c r="Q60" i="10"/>
  <c r="AE59" i="10"/>
  <c r="P73" i="10"/>
  <c r="X60" i="10"/>
  <c r="I71" i="10"/>
  <c r="AL76" i="10"/>
  <c r="AK71" i="10"/>
  <c r="AM304" i="10"/>
  <c r="Q77" i="10"/>
  <c r="X71" i="10"/>
  <c r="AM79" i="10"/>
  <c r="AO306" i="10"/>
  <c r="AC60" i="10"/>
  <c r="T82" i="10"/>
  <c r="X76" i="10"/>
  <c r="J302" i="10"/>
  <c r="K60" i="10"/>
  <c r="I82" i="10"/>
  <c r="AE61" i="10"/>
  <c r="AD64" i="10"/>
  <c r="U80" i="10"/>
  <c r="P75" i="10"/>
  <c r="Y75" i="10"/>
  <c r="O65" i="10"/>
  <c r="M79" i="10"/>
  <c r="O69" i="10"/>
  <c r="AC65" i="10"/>
  <c r="AJ78" i="10"/>
  <c r="AC80" i="10"/>
  <c r="AL304" i="10"/>
  <c r="R75" i="10"/>
  <c r="AC70" i="10"/>
  <c r="P58" i="10"/>
  <c r="O75" i="10"/>
  <c r="AF63" i="10"/>
  <c r="H76" i="10"/>
  <c r="AG80" i="10"/>
  <c r="Z79" i="10"/>
  <c r="AJ80" i="10"/>
  <c r="S81" i="10"/>
  <c r="AD302" i="10"/>
  <c r="AE306" i="10"/>
  <c r="J58" i="10"/>
  <c r="AB71" i="10"/>
  <c r="K67" i="10"/>
  <c r="AB73" i="10"/>
  <c r="S66" i="10"/>
  <c r="AI68" i="10"/>
  <c r="Q59" i="10"/>
  <c r="Q303" i="10"/>
  <c r="G79" i="10"/>
  <c r="AE71" i="10"/>
  <c r="AA59" i="10"/>
  <c r="H69" i="10"/>
  <c r="AD58" i="10"/>
  <c r="S76" i="10"/>
  <c r="S306" i="10"/>
  <c r="Z67" i="10"/>
  <c r="AL68" i="10"/>
  <c r="AF71" i="10"/>
  <c r="AH71" i="10"/>
  <c r="T68" i="10"/>
  <c r="R67" i="10"/>
  <c r="H302" i="10"/>
  <c r="O303" i="10"/>
  <c r="H62" i="10"/>
  <c r="P79" i="10"/>
  <c r="W302" i="10"/>
  <c r="G305" i="10"/>
  <c r="S78" i="10"/>
  <c r="AP77" i="10"/>
  <c r="U66" i="10"/>
  <c r="P72" i="10"/>
  <c r="AA63" i="10"/>
  <c r="Y62" i="10"/>
  <c r="Z75" i="10"/>
  <c r="X58" i="10"/>
  <c r="R74" i="10"/>
  <c r="AO81" i="10"/>
  <c r="AL81" i="10"/>
  <c r="G80" i="10"/>
  <c r="Z72" i="10"/>
  <c r="W71" i="10"/>
  <c r="J64" i="10"/>
  <c r="T67" i="10"/>
  <c r="AG82" i="10"/>
  <c r="L302" i="10"/>
  <c r="AC303" i="10"/>
  <c r="AJ72" i="10"/>
  <c r="K71" i="10"/>
  <c r="W72" i="10"/>
  <c r="V305" i="10"/>
  <c r="AQ59" i="10"/>
  <c r="U75" i="10"/>
  <c r="W81" i="10"/>
  <c r="X306" i="10"/>
  <c r="Y58" i="10"/>
  <c r="AA58" i="10"/>
  <c r="Q71" i="10"/>
  <c r="V80" i="10"/>
  <c r="AF75" i="10"/>
  <c r="AH58" i="10"/>
  <c r="AF65" i="10"/>
  <c r="K76" i="10"/>
  <c r="T77" i="10"/>
  <c r="N302" i="10"/>
  <c r="AP75" i="10"/>
  <c r="Z69" i="10"/>
  <c r="AG75" i="10"/>
  <c r="AR79" i="10"/>
  <c r="S62" i="10"/>
  <c r="S64" i="10"/>
  <c r="AA71" i="10"/>
  <c r="AP70" i="10"/>
  <c r="AL302" i="10"/>
  <c r="L65" i="10"/>
  <c r="AI302" i="10"/>
  <c r="AI80" i="10"/>
  <c r="AI82" i="10"/>
  <c r="O80" i="10"/>
  <c r="K62" i="10"/>
  <c r="AL80" i="10"/>
  <c r="AM58" i="10"/>
  <c r="AM76" i="10"/>
  <c r="AP81" i="10"/>
  <c r="AJ304" i="10"/>
  <c r="H303" i="10"/>
  <c r="T304" i="10"/>
  <c r="AF59" i="10"/>
  <c r="P71" i="10"/>
  <c r="W58" i="10"/>
  <c r="AF77" i="10"/>
  <c r="Z65" i="10"/>
  <c r="AC69" i="10"/>
  <c r="Z60" i="10"/>
  <c r="AM77" i="10"/>
  <c r="N64" i="10"/>
  <c r="J67" i="10"/>
  <c r="AP69" i="10"/>
  <c r="AJ68" i="10"/>
  <c r="R70" i="10"/>
  <c r="AL58" i="10"/>
  <c r="AP305" i="10"/>
  <c r="J80" i="10"/>
  <c r="AL70" i="10"/>
  <c r="AB303" i="10"/>
  <c r="I68" i="10"/>
  <c r="U58" i="10"/>
  <c r="S304" i="10"/>
  <c r="M82" i="10"/>
  <c r="G69" i="10"/>
  <c r="P74" i="10"/>
  <c r="AA78" i="10"/>
  <c r="AA60" i="10"/>
  <c r="H306" i="10"/>
  <c r="AM75" i="10"/>
  <c r="AP62" i="10"/>
  <c r="L72" i="10"/>
  <c r="AI60" i="10"/>
  <c r="T302" i="10"/>
  <c r="AP60" i="10"/>
  <c r="AP306" i="10"/>
  <c r="K73" i="10"/>
  <c r="AK75" i="10"/>
  <c r="T65" i="10"/>
  <c r="R73" i="10"/>
  <c r="X67" i="10"/>
  <c r="AR73" i="10"/>
  <c r="U303" i="10"/>
  <c r="W74" i="10"/>
  <c r="X82" i="10"/>
  <c r="AR68" i="10"/>
  <c r="AQ67" i="10"/>
  <c r="AC304" i="10"/>
  <c r="M66" i="10"/>
  <c r="R61" i="10"/>
  <c r="M59" i="10"/>
  <c r="O72" i="10"/>
  <c r="N303" i="10"/>
  <c r="V303" i="10"/>
  <c r="AD62" i="10"/>
  <c r="G60" i="10"/>
  <c r="Y79" i="10"/>
  <c r="AP72" i="10"/>
  <c r="V74" i="10"/>
  <c r="T305" i="10"/>
  <c r="AD80" i="10"/>
  <c r="L79" i="10"/>
  <c r="Q74" i="10"/>
  <c r="I77" i="10"/>
  <c r="AI81" i="10"/>
  <c r="N58" i="10"/>
  <c r="K63" i="10"/>
  <c r="M68" i="10"/>
  <c r="AM306" i="10"/>
  <c r="Q302" i="10"/>
  <c r="AH75" i="10"/>
  <c r="AI77" i="10"/>
  <c r="G74" i="10"/>
  <c r="M80" i="10"/>
  <c r="AH61" i="10"/>
  <c r="L303" i="10"/>
  <c r="U67" i="10"/>
  <c r="AO69" i="10"/>
  <c r="AL72" i="10"/>
  <c r="N82" i="10"/>
  <c r="Z305" i="10"/>
  <c r="I75" i="10"/>
  <c r="O305" i="10"/>
  <c r="AK62" i="10"/>
  <c r="AP63" i="10"/>
  <c r="X305" i="10"/>
  <c r="AB304" i="10"/>
  <c r="AQ78" i="10"/>
  <c r="N306" i="10"/>
  <c r="AA62" i="10"/>
  <c r="X63" i="10"/>
  <c r="R302" i="10"/>
  <c r="AR72" i="10"/>
  <c r="K80" i="10"/>
  <c r="AD68" i="10"/>
  <c r="AE70" i="10"/>
  <c r="AB63" i="10"/>
  <c r="AK78" i="10"/>
  <c r="AE66" i="10"/>
  <c r="X72" i="10"/>
  <c r="AG67" i="10"/>
  <c r="AE304" i="10"/>
  <c r="AD78" i="10"/>
  <c r="O79" i="10"/>
  <c r="AK60" i="10"/>
  <c r="AE305" i="10"/>
  <c r="V61" i="10"/>
  <c r="R62" i="10"/>
  <c r="K302" i="10"/>
  <c r="AP61" i="10"/>
  <c r="Y81" i="10"/>
  <c r="N70" i="10"/>
  <c r="AF79" i="10"/>
  <c r="P303" i="10"/>
  <c r="L62" i="10"/>
  <c r="U71" i="10"/>
  <c r="O77" i="10"/>
  <c r="S58" i="10"/>
  <c r="H66" i="10"/>
  <c r="AN302" i="10"/>
  <c r="P66" i="10"/>
  <c r="M74" i="10"/>
  <c r="O82" i="10"/>
  <c r="AI66" i="10"/>
  <c r="AM67" i="10"/>
  <c r="S60" i="10"/>
  <c r="AR78" i="10"/>
  <c r="AN81" i="10"/>
  <c r="H59" i="10"/>
  <c r="AQ81" i="10"/>
  <c r="R59" i="10"/>
  <c r="W306" i="10"/>
  <c r="N77" i="10"/>
  <c r="G75" i="10"/>
  <c r="AF64" i="10"/>
  <c r="AA75" i="10"/>
  <c r="X70" i="10"/>
  <c r="N75" i="10"/>
  <c r="AP302" i="10"/>
  <c r="U81" i="10"/>
  <c r="AI73" i="10"/>
  <c r="AO67" i="10"/>
  <c r="S303" i="10"/>
  <c r="I74" i="10"/>
  <c r="H70" i="10"/>
  <c r="AB77" i="10"/>
  <c r="H65" i="10"/>
  <c r="N65" i="10"/>
  <c r="AJ73" i="10"/>
  <c r="I73" i="10"/>
  <c r="N61" i="10"/>
  <c r="S68" i="10"/>
  <c r="T303" i="10"/>
  <c r="AB58" i="10"/>
  <c r="V82" i="10"/>
  <c r="L77" i="10"/>
  <c r="W76" i="10"/>
  <c r="J79" i="10"/>
  <c r="L71" i="10"/>
  <c r="M65" i="10"/>
  <c r="AI76" i="10"/>
  <c r="AD61" i="10"/>
  <c r="R82" i="10"/>
  <c r="T62" i="10"/>
  <c r="N73" i="10"/>
  <c r="AN72" i="10"/>
  <c r="J303" i="10"/>
  <c r="R63" i="10"/>
  <c r="W60" i="10"/>
  <c r="M77" i="10"/>
  <c r="V77" i="10"/>
  <c r="R306" i="10"/>
  <c r="I81" i="10"/>
  <c r="W59" i="10"/>
  <c r="AA79" i="10"/>
  <c r="W68" i="10"/>
  <c r="AB59" i="10"/>
  <c r="AB74" i="10"/>
  <c r="AL64" i="10"/>
  <c r="P67" i="10"/>
  <c r="Y73" i="10"/>
  <c r="AF69" i="10"/>
  <c r="U63" i="10"/>
  <c r="U305" i="10"/>
  <c r="I78" i="10"/>
  <c r="AN303" i="10"/>
  <c r="J61" i="10"/>
  <c r="J74" i="10"/>
  <c r="P304" i="10"/>
  <c r="AC62" i="10"/>
  <c r="AC72" i="10"/>
  <c r="G77" i="10"/>
  <c r="AG303" i="10"/>
  <c r="AH62" i="10"/>
  <c r="AD63" i="10"/>
  <c r="L70" i="10"/>
  <c r="S79" i="10"/>
  <c r="AQ68" i="10"/>
  <c r="AL77" i="10"/>
  <c r="AK64" i="10"/>
  <c r="L58" i="10"/>
  <c r="I80" i="10"/>
  <c r="AF73" i="10"/>
  <c r="P62" i="10"/>
  <c r="AO71" i="10"/>
  <c r="V63" i="10"/>
  <c r="H73" i="10"/>
  <c r="AM302" i="10"/>
  <c r="M75" i="10"/>
  <c r="AH64" i="10"/>
  <c r="X68" i="10"/>
  <c r="I60" i="10"/>
  <c r="P61" i="10"/>
  <c r="K303" i="10"/>
  <c r="AE81" i="10"/>
  <c r="AQ71" i="10"/>
  <c r="AM65" i="10"/>
  <c r="J62" i="10"/>
  <c r="O73" i="10"/>
  <c r="N81" i="10"/>
  <c r="X61" i="10"/>
  <c r="I62" i="10"/>
  <c r="J76" i="10"/>
  <c r="AC82" i="10"/>
  <c r="R65" i="10"/>
  <c r="AN76" i="10"/>
  <c r="U304" i="10"/>
  <c r="Z64" i="10"/>
  <c r="AM305" i="10"/>
  <c r="AQ62" i="10"/>
  <c r="R304" i="10"/>
  <c r="AG76" i="10"/>
  <c r="AH81" i="10"/>
  <c r="AP71" i="10"/>
  <c r="AC67" i="10"/>
  <c r="J77" i="10"/>
  <c r="G59" i="10"/>
  <c r="G72" i="10"/>
  <c r="AD82" i="10"/>
  <c r="S74" i="10"/>
  <c r="AN73" i="10"/>
  <c r="AJ58" i="10"/>
  <c r="AG59" i="10"/>
  <c r="Q76" i="10"/>
  <c r="H77" i="10"/>
  <c r="AE58" i="10"/>
  <c r="AR70" i="10"/>
  <c r="K306" i="10"/>
  <c r="AA306" i="10"/>
  <c r="AN65" i="10"/>
  <c r="AE80" i="10"/>
  <c r="Z66" i="10"/>
  <c r="G78" i="10"/>
  <c r="U76" i="10"/>
  <c r="W82" i="10"/>
  <c r="AJ62" i="10"/>
  <c r="S59" i="10"/>
  <c r="K82" i="10"/>
  <c r="AC75" i="10"/>
  <c r="Q78" i="10"/>
  <c r="H58" i="10"/>
  <c r="R77" i="10"/>
  <c r="U68" i="10"/>
  <c r="J306" i="10"/>
  <c r="AO59" i="10"/>
  <c r="U61" i="10"/>
  <c r="AB302" i="10"/>
  <c r="AK59" i="10"/>
  <c r="V70" i="10"/>
  <c r="AE74" i="10"/>
  <c r="AM60" i="10"/>
  <c r="AH77" i="10"/>
  <c r="AR67" i="10"/>
  <c r="V64" i="10"/>
  <c r="AM63" i="10"/>
  <c r="T79" i="10"/>
  <c r="AN61" i="10"/>
  <c r="Z80" i="10"/>
  <c r="AO302" i="10"/>
  <c r="Z76" i="10"/>
  <c r="V72" i="10"/>
  <c r="N69" i="10"/>
  <c r="AE62" i="10"/>
  <c r="S70" i="10"/>
  <c r="AN82" i="10"/>
  <c r="AB61" i="10"/>
  <c r="Q68" i="10"/>
  <c r="U306" i="10"/>
  <c r="AC64" i="10"/>
  <c r="I306" i="10"/>
  <c r="AG60" i="10"/>
  <c r="Y71" i="10"/>
  <c r="Z70" i="10"/>
  <c r="R71" i="10"/>
  <c r="AA303" i="10"/>
  <c r="AF74" i="10"/>
  <c r="AJ302" i="10"/>
  <c r="AI303" i="10"/>
  <c r="R303" i="10"/>
  <c r="G61" i="10"/>
  <c r="AD75" i="10"/>
  <c r="AP68" i="10"/>
  <c r="AI75" i="10"/>
  <c r="AF60" i="10"/>
  <c r="AI305" i="10"/>
  <c r="H68" i="10"/>
  <c r="R64" i="10"/>
  <c r="H60" i="10"/>
  <c r="V67" i="10"/>
  <c r="X64" i="10"/>
  <c r="AH74" i="10"/>
  <c r="H304" i="10"/>
  <c r="AH76" i="10"/>
  <c r="AO66" i="10"/>
  <c r="H82" i="10"/>
  <c r="AC59" i="10"/>
  <c r="AI306" i="10"/>
  <c r="AL82" i="10"/>
  <c r="AH82" i="10"/>
  <c r="L67" i="10"/>
  <c r="G304" i="10"/>
  <c r="AG65" i="10"/>
  <c r="X78" i="10"/>
  <c r="J66" i="10"/>
  <c r="Y63" i="10"/>
  <c r="Z62" i="10"/>
  <c r="AP58" i="10"/>
  <c r="P305" i="10"/>
  <c r="X59" i="10"/>
  <c r="AI63" i="10"/>
  <c r="AA76" i="10"/>
  <c r="AJ303" i="10"/>
  <c r="AL62" i="10"/>
  <c r="Y64" i="10"/>
  <c r="N67" i="10"/>
  <c r="AI62" i="10"/>
  <c r="L68" i="10"/>
  <c r="Z59" i="10"/>
  <c r="AB80" i="10"/>
  <c r="U69" i="10"/>
  <c r="AD59" i="10"/>
  <c r="I63" i="10"/>
  <c r="M306" i="10"/>
  <c r="AC81" i="10"/>
  <c r="J305" i="10"/>
  <c r="AQ61" i="10"/>
  <c r="AB60" i="10"/>
  <c r="L59" i="10"/>
  <c r="M64" i="10"/>
  <c r="AC68" i="10"/>
  <c r="Q62" i="10"/>
  <c r="AG74" i="10"/>
  <c r="AJ65" i="10"/>
  <c r="AP74" i="10"/>
  <c r="AO60" i="10"/>
  <c r="H79" i="10"/>
  <c r="U64" i="10"/>
  <c r="O70" i="10"/>
  <c r="AN67" i="10"/>
  <c r="W63" i="10"/>
  <c r="AN59" i="10"/>
  <c r="AO75" i="10"/>
  <c r="M302" i="10"/>
  <c r="M58" i="10"/>
  <c r="AA61" i="10"/>
  <c r="AL71" i="10"/>
  <c r="M62" i="10"/>
  <c r="AP76" i="10"/>
  <c r="AJ305" i="10"/>
  <c r="AI58" i="10"/>
  <c r="W75" i="10"/>
  <c r="O58" i="10"/>
  <c r="Y61" i="10"/>
  <c r="AH60" i="10"/>
  <c r="AK79" i="10"/>
  <c r="N78" i="10"/>
  <c r="O64" i="10"/>
  <c r="V71" i="10"/>
  <c r="AJ69" i="10"/>
  <c r="AL59" i="10"/>
  <c r="AN58" i="10"/>
  <c r="P64" i="10"/>
  <c r="T80" i="10"/>
  <c r="U73" i="10"/>
  <c r="AA64" i="10"/>
  <c r="AF76" i="10"/>
  <c r="S63" i="10"/>
  <c r="AE79" i="10"/>
  <c r="AR64" i="10"/>
  <c r="AH69" i="10"/>
  <c r="Y78" i="10"/>
  <c r="L82" i="10"/>
  <c r="N79" i="10"/>
  <c r="Y59" i="10"/>
  <c r="Y60" i="10"/>
  <c r="Y65" i="10"/>
  <c r="Q58" i="10"/>
  <c r="Q82" i="10"/>
  <c r="W66" i="10"/>
  <c r="AQ74" i="10"/>
  <c r="AG71" i="10"/>
  <c r="Z306" i="10"/>
  <c r="AI67" i="10"/>
  <c r="O78" i="10"/>
  <c r="AN304" i="10"/>
  <c r="T59" i="10"/>
  <c r="AF304" i="10"/>
  <c r="H63" i="10"/>
  <c r="AM80" i="10"/>
  <c r="Z61" i="10"/>
  <c r="N76" i="10"/>
  <c r="AO58" i="10"/>
  <c r="K66" i="10"/>
  <c r="AH63" i="10"/>
  <c r="AO70" i="10"/>
  <c r="K58" i="10"/>
  <c r="AE63" i="10"/>
  <c r="Q81" i="10"/>
  <c r="O66" i="10"/>
  <c r="N80" i="10"/>
  <c r="L75" i="10"/>
  <c r="V58" i="10"/>
  <c r="AA66" i="10"/>
  <c r="U77" i="10"/>
  <c r="AN74" i="10"/>
  <c r="AI72" i="10"/>
  <c r="AM82" i="10"/>
  <c r="Q65" i="10"/>
  <c r="N305" i="10"/>
  <c r="AR58" i="10"/>
  <c r="J63" i="10"/>
  <c r="Y77" i="10"/>
  <c r="AB64" i="10"/>
  <c r="AI65" i="10"/>
  <c r="AC58" i="10"/>
  <c r="L78" i="10"/>
  <c r="AC74" i="10"/>
  <c r="M71" i="10"/>
  <c r="I76" i="10"/>
  <c r="I59" i="10"/>
  <c r="AF303" i="10"/>
  <c r="AD305" i="10"/>
  <c r="R58" i="10"/>
  <c r="AN77" i="10"/>
  <c r="R79" i="10"/>
  <c r="AL63" i="10"/>
  <c r="AM61" i="10"/>
  <c r="AI70" i="10"/>
  <c r="Z81" i="10"/>
  <c r="AQ64" i="10"/>
  <c r="AO68" i="10"/>
  <c r="N60" i="10"/>
  <c r="AJ67" i="10"/>
  <c r="AF67" i="10"/>
  <c r="V68" i="10"/>
  <c r="AO76" i="10"/>
  <c r="AD60" i="10"/>
  <c r="AH73" i="10"/>
  <c r="L76" i="10"/>
  <c r="AJ76" i="10"/>
  <c r="Z304" i="10"/>
  <c r="P77" i="10"/>
  <c r="AJ63" i="10"/>
  <c r="AC305" i="10"/>
  <c r="T64" i="10"/>
  <c r="AN80" i="10"/>
  <c r="X302" i="10"/>
  <c r="AL60" i="10"/>
  <c r="T71" i="10"/>
  <c r="AO78" i="10"/>
  <c r="AJ82" i="10"/>
  <c r="G70" i="10"/>
  <c r="V59" i="10"/>
  <c r="AL305" i="10"/>
  <c r="AC76" i="10"/>
  <c r="U82" i="10"/>
  <c r="AN69" i="10"/>
  <c r="AP82" i="10"/>
  <c r="K74" i="10"/>
  <c r="V302" i="10"/>
  <c r="P78" i="10"/>
  <c r="J70" i="10"/>
  <c r="V81" i="10"/>
  <c r="AJ66" i="10"/>
  <c r="AC66" i="10"/>
  <c r="AO61" i="10"/>
  <c r="I303" i="10"/>
  <c r="AE64" i="10"/>
  <c r="AG72" i="10"/>
  <c r="M69" i="10"/>
  <c r="J304" i="10"/>
  <c r="V76" i="10"/>
  <c r="AL67" i="10"/>
  <c r="AA305" i="10"/>
  <c r="H305" i="10"/>
  <c r="W69" i="10"/>
  <c r="AF306" i="10"/>
  <c r="Z71" i="10"/>
  <c r="Y82" i="10"/>
  <c r="H64" i="10"/>
  <c r="P59" i="10"/>
  <c r="AI59" i="10"/>
  <c r="AC61" i="10"/>
  <c r="AR76" i="10"/>
  <c r="W70" i="10"/>
  <c r="AK58" i="10"/>
  <c r="X75" i="10"/>
  <c r="AE303" i="10"/>
  <c r="AJ60" i="10"/>
  <c r="L66" i="10"/>
  <c r="T61" i="10"/>
  <c r="AF61" i="10"/>
  <c r="X79" i="10"/>
  <c r="Q69" i="10"/>
  <c r="U78" i="10"/>
  <c r="L304" i="10"/>
  <c r="G63" i="10"/>
  <c r="AD76" i="10"/>
  <c r="T75" i="10"/>
  <c r="P63" i="10"/>
  <c r="AR59" i="10"/>
  <c r="AG305" i="10"/>
  <c r="AF70" i="10"/>
  <c r="AL75" i="10"/>
  <c r="J60" i="10"/>
  <c r="AN75" i="10"/>
  <c r="V75" i="10"/>
  <c r="AM73" i="10"/>
  <c r="AD71" i="10"/>
  <c r="AD73" i="10"/>
  <c r="J68" i="10"/>
  <c r="AK65" i="10"/>
  <c r="AN64" i="10"/>
  <c r="Z68" i="10"/>
  <c r="AB69" i="10"/>
  <c r="T70" i="10"/>
  <c r="AF305" i="10"/>
  <c r="P69" i="10"/>
  <c r="W67" i="10"/>
  <c r="P60" i="10"/>
  <c r="H71" i="10"/>
  <c r="Q61" i="10"/>
  <c r="AB70" i="10"/>
  <c r="AP79" i="10"/>
  <c r="AN78" i="10"/>
  <c r="AB76" i="10"/>
  <c r="S302" i="10"/>
  <c r="K65" i="10"/>
  <c r="AJ79" i="10"/>
  <c r="M60" i="10"/>
  <c r="AF302" i="10"/>
  <c r="I79" i="10"/>
  <c r="AK70" i="10"/>
  <c r="AQ58" i="10"/>
  <c r="AO74" i="10"/>
  <c r="AF66" i="10"/>
  <c r="AK67" i="10"/>
  <c r="G303" i="10"/>
  <c r="AK63" i="10"/>
  <c r="AG61" i="10"/>
  <c r="J71" i="10"/>
  <c r="AQ75" i="10"/>
  <c r="I65" i="10"/>
  <c r="AB306" i="10"/>
  <c r="AK305" i="10"/>
  <c r="AQ63" i="10"/>
  <c r="U302" i="10"/>
  <c r="I70" i="10"/>
  <c r="L61" i="10"/>
  <c r="J59" i="10"/>
  <c r="AG302" i="10"/>
  <c r="AC73" i="10"/>
  <c r="AM72" i="10"/>
  <c r="AH303" i="10"/>
  <c r="AH65" i="10"/>
  <c r="S69" i="10"/>
  <c r="AG78" i="10"/>
  <c r="N74" i="10"/>
  <c r="AC79" i="10"/>
  <c r="P302" i="10"/>
  <c r="I69" i="10"/>
  <c r="P82" i="10"/>
  <c r="AQ73" i="10"/>
  <c r="T78" i="10"/>
  <c r="AB65" i="10"/>
  <c r="AB82" i="10"/>
  <c r="Y304" i="10"/>
  <c r="AR74" i="10"/>
  <c r="AE67" i="10"/>
  <c r="X69" i="10"/>
  <c r="J65" i="10"/>
  <c r="AF80" i="10"/>
  <c r="K304" i="10"/>
  <c r="N59" i="10"/>
  <c r="AI78" i="10"/>
  <c r="S73" i="10"/>
  <c r="AP67" i="10"/>
  <c r="AL78" i="10"/>
  <c r="AO80" i="10"/>
  <c r="Y70" i="10"/>
  <c r="X81" i="10"/>
  <c r="M304" i="10"/>
  <c r="T76" i="10"/>
  <c r="AH78" i="10"/>
  <c r="AA73" i="10"/>
  <c r="AE78" i="10"/>
  <c r="AJ75" i="10"/>
  <c r="S65" i="10"/>
  <c r="AJ61" i="10"/>
  <c r="AI69" i="10"/>
  <c r="T73" i="10"/>
  <c r="AC71" i="10"/>
  <c r="O60" i="10"/>
  <c r="V79" i="10"/>
  <c r="AM74" i="10"/>
  <c r="AR61" i="10"/>
  <c r="G66" i="10"/>
  <c r="AR77" i="10"/>
  <c r="Z74" i="10"/>
  <c r="J73" i="10"/>
  <c r="S305" i="10"/>
  <c r="AQ76" i="10"/>
  <c r="T66" i="10"/>
  <c r="AB305" i="10"/>
  <c r="L69" i="10"/>
  <c r="Q304" i="10"/>
  <c r="AR60" i="10"/>
  <c r="N304" i="10"/>
  <c r="H61" i="10"/>
  <c r="AK303" i="10"/>
  <c r="AK74" i="10"/>
  <c r="AG62" i="10"/>
  <c r="AR71" i="10"/>
  <c r="Z63" i="10"/>
  <c r="B89" i="10"/>
  <c r="AS91" i="10"/>
  <c r="AS90" i="10"/>
  <c r="E90" i="10"/>
  <c r="E91" i="10"/>
  <c r="AK61" i="10"/>
  <c r="T58" i="10"/>
  <c r="AA68" i="10"/>
  <c r="AO64" i="10"/>
  <c r="AE77" i="10"/>
  <c r="AP303" i="10"/>
  <c r="Z77" i="10"/>
  <c r="AC306" i="10"/>
  <c r="J78" i="10"/>
  <c r="J75" i="10"/>
  <c r="G76" i="10"/>
  <c r="AG77" i="10"/>
  <c r="AG66" i="10"/>
  <c r="AA65" i="10"/>
  <c r="AE76" i="10"/>
  <c r="AQ66" i="10"/>
  <c r="AO73" i="10"/>
  <c r="R81" i="10"/>
  <c r="Z303" i="10"/>
  <c r="AK72" i="10"/>
  <c r="Q79" i="10"/>
  <c r="AP78" i="10"/>
  <c r="G302" i="10"/>
  <c r="AD66" i="10"/>
  <c r="P76" i="10"/>
  <c r="AD304" i="10"/>
  <c r="AN62" i="10"/>
  <c r="L74" i="10"/>
  <c r="S67" i="10"/>
  <c r="AM68" i="10"/>
  <c r="K75" i="10"/>
  <c r="V60" i="10"/>
  <c r="W65" i="10"/>
  <c r="AD67" i="10"/>
  <c r="I302" i="10"/>
  <c r="AE69" i="10"/>
  <c r="AH59" i="10"/>
  <c r="AM64" i="10"/>
  <c r="P68" i="10"/>
  <c r="AO62" i="10"/>
  <c r="M73" i="10"/>
  <c r="AK302" i="10"/>
  <c r="AD70" i="10"/>
  <c r="I64" i="10"/>
  <c r="M61" i="10"/>
  <c r="V69" i="10"/>
  <c r="AR80" i="10"/>
  <c r="AE302" i="10"/>
  <c r="T60" i="10"/>
  <c r="AQ80" i="10"/>
  <c r="L60" i="10"/>
  <c r="AL69" i="10"/>
  <c r="AG73" i="10"/>
  <c r="AN68" i="10"/>
  <c r="K78" i="10"/>
  <c r="G62" i="10"/>
  <c r="AQ82" i="10"/>
  <c r="AG63" i="10"/>
  <c r="AF81" i="10"/>
  <c r="AD77" i="10"/>
  <c r="AI71" i="10"/>
  <c r="U70" i="10"/>
  <c r="W80" i="10"/>
  <c r="K68" i="10"/>
  <c r="AE65" i="10"/>
  <c r="AB75" i="10"/>
  <c r="AQ69" i="10"/>
  <c r="AL74" i="10"/>
  <c r="N72" i="10"/>
  <c r="R68" i="10"/>
  <c r="AD81" i="10"/>
  <c r="R305" i="10"/>
  <c r="DM138" i="58885"/>
  <c r="Y262" i="5"/>
  <c r="K287" i="5"/>
  <c r="V281" i="5"/>
  <c r="R264" i="5"/>
  <c r="U277" i="5"/>
  <c r="S272" i="5"/>
  <c r="L281" i="5"/>
  <c r="R268" i="5"/>
  <c r="U273" i="5"/>
  <c r="I271" i="5"/>
  <c r="AR183" i="10"/>
  <c r="AQ183" i="10"/>
  <c r="AQ198" i="10"/>
  <c r="AR198" i="10"/>
  <c r="AR135" i="10"/>
  <c r="AQ135" i="10"/>
  <c r="AR144" i="10"/>
  <c r="AQ144" i="10"/>
  <c r="AR252" i="10"/>
  <c r="AQ252" i="10"/>
  <c r="DM131" i="58885"/>
  <c r="DM112" i="58885"/>
  <c r="DM97" i="58885"/>
  <c r="DM118" i="58885"/>
  <c r="DM108" i="58885"/>
  <c r="DM134" i="58885"/>
  <c r="DM104" i="58885"/>
  <c r="DM136" i="58885"/>
  <c r="R262" i="5"/>
  <c r="AQ243" i="10"/>
  <c r="AR243" i="10"/>
  <c r="AR237" i="10"/>
  <c r="AQ237" i="10"/>
  <c r="AR117" i="10"/>
  <c r="AQ117" i="10"/>
  <c r="AR168" i="10"/>
  <c r="AQ168" i="10"/>
  <c r="AQ195" i="10"/>
  <c r="AR195" i="10"/>
  <c r="DM120" i="58885"/>
  <c r="DM182" i="58885"/>
  <c r="DM140" i="58885"/>
  <c r="DM110" i="58885"/>
  <c r="DM141" i="58885"/>
  <c r="DM122" i="58885"/>
  <c r="DM117" i="58885"/>
  <c r="DM142" i="58885"/>
  <c r="DM123" i="58885"/>
  <c r="O293" i="5"/>
  <c r="M261" i="5"/>
  <c r="I275" i="5"/>
  <c r="U285" i="5"/>
  <c r="L263" i="5"/>
  <c r="P271" i="5"/>
  <c r="T286" i="5"/>
  <c r="T262" i="5"/>
  <c r="Y264" i="5"/>
  <c r="W277" i="5"/>
  <c r="O268" i="5"/>
  <c r="X287" i="5"/>
  <c r="L287" i="5"/>
  <c r="Q268" i="5"/>
  <c r="AR153" i="10"/>
  <c r="AQ153" i="10"/>
  <c r="AA155" i="58885"/>
  <c r="AA170" i="58885"/>
  <c r="AA214" i="58885"/>
  <c r="AA194" i="58885"/>
  <c r="AA201" i="58885"/>
  <c r="AA224" i="58885"/>
  <c r="AA225" i="58885"/>
  <c r="AA169" i="58885"/>
  <c r="AA232" i="58885"/>
  <c r="AA254" i="58885"/>
  <c r="AA246" i="58885"/>
  <c r="AA143" i="58885"/>
  <c r="AA230" i="58885"/>
  <c r="AA160" i="58885"/>
  <c r="AA188" i="58885"/>
  <c r="AA222" i="58885"/>
  <c r="AA152" i="58885"/>
  <c r="AA234" i="58885"/>
  <c r="AA195" i="58885"/>
  <c r="AA166" i="58885"/>
  <c r="AA238" i="58885"/>
  <c r="AA157" i="58885"/>
  <c r="AA236" i="58885"/>
  <c r="AA244" i="58885"/>
  <c r="AA182" i="58885"/>
  <c r="AA250" i="58885"/>
  <c r="AA205" i="58885"/>
  <c r="AA192" i="58885"/>
  <c r="AA211" i="58885"/>
  <c r="AA206" i="58885"/>
  <c r="AA226" i="58885"/>
  <c r="AA220" i="58885"/>
  <c r="AA193" i="58885"/>
  <c r="AA184" i="58885"/>
  <c r="AA219" i="58885"/>
  <c r="AA237" i="58885"/>
  <c r="AA248" i="58885"/>
  <c r="AA158" i="58885"/>
  <c r="AA164" i="58885"/>
  <c r="AA229" i="58885"/>
  <c r="AA207" i="58885"/>
  <c r="AA217" i="58885"/>
  <c r="AA146" i="58885"/>
  <c r="AA173" i="58885"/>
  <c r="AA151" i="58885"/>
  <c r="AA208" i="58885"/>
  <c r="AA175" i="58885"/>
  <c r="AA221" i="58885"/>
  <c r="AA235" i="58885"/>
  <c r="AA253" i="58885"/>
  <c r="AA197" i="58885"/>
  <c r="AA189" i="58885"/>
  <c r="AA168" i="58885"/>
  <c r="AA240" i="58885"/>
  <c r="AA187" i="58885"/>
  <c r="AA212" i="58885"/>
  <c r="AA213" i="58885"/>
  <c r="AA196" i="58885"/>
  <c r="AA165" i="58885"/>
  <c r="AA243" i="58885"/>
  <c r="AA203" i="58885"/>
  <c r="AA231" i="58885"/>
  <c r="AA216" i="58885"/>
  <c r="AA163" i="58885"/>
  <c r="AA249" i="58885"/>
  <c r="AA161" i="58885"/>
  <c r="AA144" i="58885"/>
  <c r="AA149" i="58885"/>
  <c r="AA209" i="58885"/>
  <c r="AA145" i="58885"/>
  <c r="AA159" i="58885"/>
  <c r="AA239" i="58885"/>
  <c r="AA148" i="58885"/>
  <c r="AA190" i="58885"/>
  <c r="AA252" i="58885"/>
  <c r="AA179" i="58885"/>
  <c r="AA171" i="58885"/>
  <c r="AA223" i="58885"/>
  <c r="AA147" i="58885"/>
  <c r="AA227" i="58885"/>
  <c r="AA215" i="58885"/>
  <c r="AA153" i="58885"/>
  <c r="AA199" i="58885"/>
  <c r="AA233" i="58885"/>
  <c r="AA245" i="58885"/>
  <c r="AA185" i="58885"/>
  <c r="AA150" i="58885"/>
  <c r="AA156" i="58885"/>
  <c r="AA204" i="58885"/>
  <c r="AA218" i="58885"/>
  <c r="AA191" i="58885"/>
  <c r="AA210" i="58885"/>
  <c r="AA181" i="58885"/>
  <c r="AA174" i="58885"/>
  <c r="AA176" i="58885"/>
  <c r="AA242" i="58885"/>
  <c r="AA200" i="58885"/>
  <c r="AA228" i="58885"/>
  <c r="AA167" i="58885"/>
  <c r="AA198" i="58885"/>
  <c r="AA186" i="58885"/>
  <c r="AA247" i="58885"/>
  <c r="AA251" i="58885"/>
  <c r="AA172" i="58885"/>
  <c r="AA202" i="58885"/>
  <c r="AA180" i="58885"/>
  <c r="AA154" i="58885"/>
  <c r="AA178" i="58885"/>
  <c r="AA241" i="58885"/>
  <c r="AA162" i="58885"/>
  <c r="AA183" i="58885"/>
  <c r="AA177" i="58885"/>
  <c r="AQ246" i="10"/>
  <c r="AR246" i="10"/>
  <c r="AR156" i="10"/>
  <c r="AQ156" i="10"/>
  <c r="AR123" i="10"/>
  <c r="AQ123" i="10"/>
  <c r="DM102" i="58885"/>
  <c r="DM127" i="58885"/>
  <c r="DM111" i="58885"/>
  <c r="DM133" i="58885"/>
  <c r="DM128" i="58885"/>
  <c r="DM130" i="58885"/>
  <c r="DM113" i="58885"/>
  <c r="U266" i="5"/>
  <c r="Y283" i="5"/>
  <c r="O273" i="5"/>
  <c r="Q273" i="5"/>
  <c r="S273" i="5"/>
  <c r="N276" i="5"/>
  <c r="M266" i="5"/>
  <c r="Q277" i="5"/>
  <c r="X277" i="5"/>
  <c r="K266" i="5"/>
  <c r="S264" i="5"/>
  <c r="AR225" i="10"/>
  <c r="AQ225" i="10"/>
  <c r="AR120" i="10"/>
  <c r="AQ120" i="10"/>
  <c r="AQ132" i="10"/>
  <c r="AR132" i="10"/>
  <c r="DM99" i="58885"/>
  <c r="DM98" i="58885"/>
  <c r="DM183" i="58885"/>
  <c r="DM107" i="58885"/>
  <c r="DM129" i="58885"/>
  <c r="L283" i="5"/>
  <c r="N273" i="5"/>
  <c r="S267" i="5"/>
  <c r="M294" i="5"/>
  <c r="V294" i="5"/>
  <c r="X286" i="5"/>
  <c r="O289" i="5"/>
  <c r="AR162" i="10"/>
  <c r="AQ162" i="10"/>
  <c r="AQ141" i="10"/>
  <c r="AR141" i="10"/>
  <c r="DM109" i="58885"/>
  <c r="DM125" i="58885"/>
  <c r="DM119" i="58885"/>
  <c r="DM101" i="58885"/>
  <c r="DM121" i="58885"/>
  <c r="W202" i="58885" a="1"/>
  <c r="W202" i="58885" s="1"/>
  <c r="V202" i="58885" a="1"/>
  <c r="V202" i="58885" s="1"/>
  <c r="W102" i="58885" a="1"/>
  <c r="W102" i="58885" s="1"/>
  <c r="V102" i="58885" a="1"/>
  <c r="V102" i="58885" s="1"/>
  <c r="B6" i="33"/>
  <c r="C12" i="33" s="1"/>
  <c r="V198" i="58885" a="1"/>
  <c r="V198" i="58885" s="1"/>
  <c r="W198" i="58885" a="1"/>
  <c r="W198" i="58885" s="1"/>
  <c r="W127" i="58885" a="1"/>
  <c r="W127" i="58885" s="1"/>
  <c r="V127" i="58885" a="1"/>
  <c r="V127" i="58885" s="1"/>
  <c r="W125" i="58885" a="1"/>
  <c r="W125" i="58885" s="1"/>
  <c r="Z125" i="58885" s="1" a="1"/>
  <c r="Z125" i="58885" s="1"/>
  <c r="X125" i="58885" a="1"/>
  <c r="X125" i="58885" s="1"/>
  <c r="V125" i="58885" a="1"/>
  <c r="V125" i="58885" s="1"/>
  <c r="Y125" i="58885" s="1" a="1"/>
  <c r="Y125" i="58885" s="1"/>
  <c r="V223" i="58885" a="1"/>
  <c r="V223" i="58885" s="1"/>
  <c r="W223" i="58885" a="1"/>
  <c r="W223" i="58885" s="1"/>
  <c r="W206" i="58885" a="1"/>
  <c r="W206" i="58885" s="1"/>
  <c r="V206" i="58885" a="1"/>
  <c r="V206" i="58885" s="1"/>
  <c r="M184" i="10" a="1"/>
  <c r="M184" i="10" s="1"/>
  <c r="S184" i="10" a="1"/>
  <c r="S184" i="10" s="1"/>
  <c r="J184" i="10" a="1"/>
  <c r="J184" i="10" s="1"/>
  <c r="AO184" i="10" a="1"/>
  <c r="AO184" i="10" s="1"/>
  <c r="G184" i="10" a="1"/>
  <c r="G184" i="10" s="1"/>
  <c r="AB226" i="10" a="1"/>
  <c r="AB226" i="10" s="1"/>
  <c r="Z226" i="10" a="1"/>
  <c r="Z226" i="10" s="1"/>
  <c r="AG226" i="10" a="1"/>
  <c r="AG226" i="10" s="1"/>
  <c r="W226" i="10" a="1"/>
  <c r="W226" i="10" s="1"/>
  <c r="N226" i="10" a="1"/>
  <c r="N226" i="10" s="1"/>
  <c r="AE226" i="10" a="1"/>
  <c r="AE226" i="10" s="1"/>
  <c r="AS226" i="10"/>
  <c r="J226" i="10" a="1"/>
  <c r="J226" i="10" s="1"/>
  <c r="Q226" i="10" a="1"/>
  <c r="Q226" i="10" s="1"/>
  <c r="AC226" i="10" a="1"/>
  <c r="AC226" i="10" s="1"/>
  <c r="R226" i="10" a="1"/>
  <c r="R226" i="10" s="1"/>
  <c r="AH226" i="10" a="1"/>
  <c r="AH226" i="10" s="1"/>
  <c r="I226" i="10" a="1"/>
  <c r="I226" i="10" s="1"/>
  <c r="V226" i="10" a="1"/>
  <c r="V226" i="10" s="1"/>
  <c r="AD226" i="10" a="1"/>
  <c r="AD226" i="10" s="1"/>
  <c r="AA226" i="10" a="1"/>
  <c r="AA226" i="10" s="1"/>
  <c r="U226" i="10" a="1"/>
  <c r="U226" i="10" s="1"/>
  <c r="AI226" i="10" a="1"/>
  <c r="AI226" i="10" s="1"/>
  <c r="K226" i="10" a="1"/>
  <c r="K226" i="10" s="1"/>
  <c r="AP226" i="10" a="1"/>
  <c r="AP226" i="10" s="1"/>
  <c r="AN226" i="10" a="1"/>
  <c r="AN226" i="10" s="1"/>
  <c r="AK226" i="10" a="1"/>
  <c r="AK226" i="10" s="1"/>
  <c r="AL226" i="10" a="1"/>
  <c r="AL226" i="10" s="1"/>
  <c r="X226" i="10" a="1"/>
  <c r="X226" i="10" s="1"/>
  <c r="AF226" i="10" a="1"/>
  <c r="AF226" i="10" s="1"/>
  <c r="T226" i="10" a="1"/>
  <c r="T226" i="10" s="1"/>
  <c r="G226" i="10" a="1"/>
  <c r="G226" i="10" s="1"/>
  <c r="H226" i="10" a="1"/>
  <c r="H226" i="10" s="1"/>
  <c r="Y226" i="10" a="1"/>
  <c r="Y226" i="10" s="1"/>
  <c r="AO226" i="10" a="1"/>
  <c r="AO226" i="10" s="1"/>
  <c r="O226" i="10" a="1"/>
  <c r="O226" i="10" s="1"/>
  <c r="AM226" i="10" a="1"/>
  <c r="AM226" i="10" s="1"/>
  <c r="M226" i="10" a="1"/>
  <c r="M226" i="10" s="1"/>
  <c r="P226" i="10" a="1"/>
  <c r="P226" i="10" s="1"/>
  <c r="AJ226" i="10" a="1"/>
  <c r="AJ226" i="10" s="1"/>
  <c r="L226" i="10" a="1"/>
  <c r="L226" i="10" s="1"/>
  <c r="S226" i="10" a="1"/>
  <c r="S226" i="10" s="1"/>
  <c r="H136" i="10" a="1"/>
  <c r="H136" i="10" s="1"/>
  <c r="K178" i="10" a="1"/>
  <c r="K178" i="10" s="1"/>
  <c r="U178" i="10" a="1"/>
  <c r="U178" i="10" s="1"/>
  <c r="O178" i="10" a="1"/>
  <c r="O178" i="10" s="1"/>
  <c r="AE178" i="10" a="1"/>
  <c r="AE178" i="10" s="1"/>
  <c r="AJ178" i="10" a="1"/>
  <c r="AJ178" i="10" s="1"/>
  <c r="J118" i="10" a="1"/>
  <c r="J118" i="10" s="1"/>
  <c r="AG118" i="10" a="1"/>
  <c r="AG118" i="10" s="1"/>
  <c r="AM118" i="10" a="1"/>
  <c r="AM118" i="10" s="1"/>
  <c r="R118" i="10" a="1"/>
  <c r="R118" i="10" s="1"/>
  <c r="H130" i="10" a="1"/>
  <c r="H130" i="10" s="1"/>
  <c r="AB130" i="10" a="1"/>
  <c r="AB130" i="10" s="1"/>
  <c r="M163" i="10" a="1"/>
  <c r="M163" i="10" s="1"/>
  <c r="T163" i="10" a="1"/>
  <c r="T163" i="10" s="1"/>
  <c r="S163" i="10" a="1"/>
  <c r="S163" i="10" s="1"/>
  <c r="O163" i="10" a="1"/>
  <c r="O163" i="10" s="1"/>
  <c r="AH157" i="10" a="1"/>
  <c r="AH157" i="10" s="1"/>
  <c r="AG157" i="10" a="1"/>
  <c r="AG157" i="10" s="1"/>
  <c r="T157" i="10" a="1"/>
  <c r="T157" i="10" s="1"/>
  <c r="U157" i="10" a="1"/>
  <c r="U157" i="10" s="1"/>
  <c r="K124" i="10" a="1"/>
  <c r="K124" i="10" s="1"/>
  <c r="H124" i="10" a="1"/>
  <c r="H124" i="10" s="1"/>
  <c r="P124" i="10" a="1"/>
  <c r="P124" i="10" s="1"/>
  <c r="G124" i="10" a="1"/>
  <c r="G124" i="10" s="1"/>
  <c r="H142" i="10" a="1"/>
  <c r="H142" i="10" s="1"/>
  <c r="AS142" i="10"/>
  <c r="X148" i="10" a="1"/>
  <c r="X148" i="10" s="1"/>
  <c r="I148" i="10" a="1"/>
  <c r="I148" i="10" s="1"/>
  <c r="R148" i="10" a="1"/>
  <c r="R148" i="10" s="1"/>
  <c r="Z148" i="10" a="1"/>
  <c r="Z148" i="10" s="1"/>
  <c r="I196" i="10" a="1"/>
  <c r="I196" i="10" s="1"/>
  <c r="Q196" i="10" a="1"/>
  <c r="Q196" i="10" s="1"/>
  <c r="W196" i="10" a="1"/>
  <c r="W196" i="10" s="1"/>
  <c r="L196" i="10" a="1"/>
  <c r="L196" i="10" s="1"/>
  <c r="S139" i="10" a="1"/>
  <c r="S139" i="10" s="1"/>
  <c r="J139" i="10" a="1"/>
  <c r="J139" i="10" s="1"/>
  <c r="AN139" i="10" a="1"/>
  <c r="AN139" i="10" s="1"/>
  <c r="AJ139" i="10" a="1"/>
  <c r="AJ139" i="10" s="1"/>
  <c r="G175" i="10" a="1"/>
  <c r="G175" i="10" s="1"/>
  <c r="AG175" i="10" a="1"/>
  <c r="AG175" i="10" s="1"/>
  <c r="AO175" i="10" a="1"/>
  <c r="AO175" i="10" s="1"/>
  <c r="AP175" i="10" a="1"/>
  <c r="AP175" i="10" s="1"/>
  <c r="V245" i="58885" a="1"/>
  <c r="V245" i="58885" s="1"/>
  <c r="W245" i="58885" a="1"/>
  <c r="W245" i="58885" s="1"/>
  <c r="W234" i="58885" a="1"/>
  <c r="W234" i="58885" s="1"/>
  <c r="V234" i="58885" a="1"/>
  <c r="V234" i="58885" s="1"/>
  <c r="X121" i="58885" a="1"/>
  <c r="X121" i="58885" s="1"/>
  <c r="V121" i="58885" a="1"/>
  <c r="V121" i="58885" s="1"/>
  <c r="Y121" i="58885" s="1" a="1"/>
  <c r="Y121" i="58885" s="1"/>
  <c r="W121" i="58885" a="1"/>
  <c r="W121" i="58885" s="1"/>
  <c r="Z121" i="58885" s="1" a="1"/>
  <c r="Z121" i="58885" s="1"/>
  <c r="V239" i="58885" a="1"/>
  <c r="V239" i="58885" s="1"/>
  <c r="W239" i="58885" a="1"/>
  <c r="W239" i="58885" s="1"/>
  <c r="W188" i="58885" a="1"/>
  <c r="W188" i="58885" s="1"/>
  <c r="V188" i="58885" a="1"/>
  <c r="V188" i="58885" s="1"/>
  <c r="W235" i="58885" a="1"/>
  <c r="W235" i="58885" s="1"/>
  <c r="V235" i="58885" a="1"/>
  <c r="V235" i="58885" s="1"/>
  <c r="N190" i="10" a="1"/>
  <c r="N190" i="10" s="1"/>
  <c r="L190" i="10" a="1"/>
  <c r="L190" i="10" s="1"/>
  <c r="M190" i="10" a="1"/>
  <c r="M190" i="10" s="1"/>
  <c r="AN190" i="10" a="1"/>
  <c r="AN190" i="10" s="1"/>
  <c r="W193" i="10" a="1"/>
  <c r="W193" i="10" s="1"/>
  <c r="U193" i="10" a="1"/>
  <c r="U193" i="10" s="1"/>
  <c r="L193" i="10" a="1"/>
  <c r="L193" i="10" s="1"/>
  <c r="G193" i="10" a="1"/>
  <c r="G193" i="10" s="1"/>
  <c r="AD232" i="10" a="1"/>
  <c r="AD232" i="10" s="1"/>
  <c r="M232" i="10" a="1"/>
  <c r="M232" i="10" s="1"/>
  <c r="I232" i="10" a="1"/>
  <c r="I232" i="10" s="1"/>
  <c r="J232" i="10" a="1"/>
  <c r="J232" i="10" s="1"/>
  <c r="Q232" i="10" a="1"/>
  <c r="Q232" i="10" s="1"/>
  <c r="AF232" i="10" a="1"/>
  <c r="AF232" i="10" s="1"/>
  <c r="AM232" i="10" a="1"/>
  <c r="AM232" i="10" s="1"/>
  <c r="N232" i="10" a="1"/>
  <c r="N232" i="10" s="1"/>
  <c r="AE232" i="10" a="1"/>
  <c r="AE232" i="10" s="1"/>
  <c r="AL232" i="10" a="1"/>
  <c r="AL232" i="10" s="1"/>
  <c r="U232" i="10" a="1"/>
  <c r="U232" i="10" s="1"/>
  <c r="X232" i="10" a="1"/>
  <c r="X232" i="10" s="1"/>
  <c r="AJ232" i="10" a="1"/>
  <c r="AJ232" i="10" s="1"/>
  <c r="P232" i="10" a="1"/>
  <c r="P232" i="10" s="1"/>
  <c r="K232" i="10" a="1"/>
  <c r="K232" i="10" s="1"/>
  <c r="AS232" i="10"/>
  <c r="V232" i="10" a="1"/>
  <c r="V232" i="10" s="1"/>
  <c r="R232" i="10" a="1"/>
  <c r="R232" i="10" s="1"/>
  <c r="AP232" i="10" a="1"/>
  <c r="AP232" i="10" s="1"/>
  <c r="AK232" i="10" a="1"/>
  <c r="AK232" i="10" s="1"/>
  <c r="W232" i="10" a="1"/>
  <c r="W232" i="10" s="1"/>
  <c r="AA232" i="10" a="1"/>
  <c r="AA232" i="10" s="1"/>
  <c r="H232" i="10" a="1"/>
  <c r="H232" i="10" s="1"/>
  <c r="AN232" i="10" a="1"/>
  <c r="AN232" i="10" s="1"/>
  <c r="T232" i="10" a="1"/>
  <c r="T232" i="10" s="1"/>
  <c r="G232" i="10" a="1"/>
  <c r="G232" i="10" s="1"/>
  <c r="L232" i="10" a="1"/>
  <c r="L232" i="10" s="1"/>
  <c r="AO232" i="10" a="1"/>
  <c r="AO232" i="10" s="1"/>
  <c r="AH232" i="10" a="1"/>
  <c r="AH232" i="10" s="1"/>
  <c r="AG232" i="10" a="1"/>
  <c r="AG232" i="10" s="1"/>
  <c r="AC232" i="10" a="1"/>
  <c r="AC232" i="10" s="1"/>
  <c r="S232" i="10" a="1"/>
  <c r="S232" i="10" s="1"/>
  <c r="Y232" i="10" a="1"/>
  <c r="Y232" i="10" s="1"/>
  <c r="AI232" i="10" a="1"/>
  <c r="AI232" i="10" s="1"/>
  <c r="AB232" i="10" a="1"/>
  <c r="AB232" i="10" s="1"/>
  <c r="O232" i="10" a="1"/>
  <c r="O232" i="10" s="1"/>
  <c r="Z232" i="10" a="1"/>
  <c r="Z232" i="10" s="1"/>
  <c r="AJ181" i="10" a="1"/>
  <c r="AJ181" i="10" s="1"/>
  <c r="AI181" i="10" a="1"/>
  <c r="AI181" i="10" s="1"/>
  <c r="AA181" i="10" a="1"/>
  <c r="AA181" i="10" s="1"/>
  <c r="V181" i="10" a="1"/>
  <c r="V181" i="10" s="1"/>
  <c r="P181" i="10" a="1"/>
  <c r="P181" i="10" s="1"/>
  <c r="W184" i="10" a="1"/>
  <c r="W184" i="10" s="1"/>
  <c r="AB184" i="10" a="1"/>
  <c r="AB184" i="10" s="1"/>
  <c r="AH184" i="10" a="1"/>
  <c r="AH184" i="10" s="1"/>
  <c r="U184" i="10" a="1"/>
  <c r="U184" i="10" s="1"/>
  <c r="H184" i="10" a="1"/>
  <c r="H184" i="10" s="1"/>
  <c r="V241" i="10" a="1"/>
  <c r="V241" i="10" s="1"/>
  <c r="AF241" i="10" a="1"/>
  <c r="AF241" i="10" s="1"/>
  <c r="AL241" i="10" a="1"/>
  <c r="AL241" i="10" s="1"/>
  <c r="K241" i="10" a="1"/>
  <c r="K241" i="10" s="1"/>
  <c r="AI241" i="10" a="1"/>
  <c r="AI241" i="10" s="1"/>
  <c r="L241" i="10" a="1"/>
  <c r="L241" i="10" s="1"/>
  <c r="I241" i="10" a="1"/>
  <c r="I241" i="10" s="1"/>
  <c r="AD241" i="10" a="1"/>
  <c r="AD241" i="10" s="1"/>
  <c r="N241" i="10" a="1"/>
  <c r="N241" i="10" s="1"/>
  <c r="J241" i="10" a="1"/>
  <c r="J241" i="10" s="1"/>
  <c r="AS241" i="10"/>
  <c r="AO241" i="10" a="1"/>
  <c r="AO241" i="10" s="1"/>
  <c r="R241" i="10" a="1"/>
  <c r="R241" i="10" s="1"/>
  <c r="AA241" i="10" a="1"/>
  <c r="AA241" i="10" s="1"/>
  <c r="Y241" i="10" a="1"/>
  <c r="Y241" i="10" s="1"/>
  <c r="AP241" i="10" a="1"/>
  <c r="AP241" i="10" s="1"/>
  <c r="AH241" i="10" a="1"/>
  <c r="AH241" i="10" s="1"/>
  <c r="Z241" i="10" a="1"/>
  <c r="Z241" i="10" s="1"/>
  <c r="AN241" i="10" a="1"/>
  <c r="AN241" i="10" s="1"/>
  <c r="G241" i="10" a="1"/>
  <c r="G241" i="10" s="1"/>
  <c r="S241" i="10" a="1"/>
  <c r="S241" i="10" s="1"/>
  <c r="AG241" i="10" a="1"/>
  <c r="AG241" i="10" s="1"/>
  <c r="Q241" i="10" a="1"/>
  <c r="Q241" i="10" s="1"/>
  <c r="AM241" i="10" a="1"/>
  <c r="AM241" i="10" s="1"/>
  <c r="W241" i="10" a="1"/>
  <c r="W241" i="10" s="1"/>
  <c r="AJ241" i="10" a="1"/>
  <c r="AJ241" i="10" s="1"/>
  <c r="P241" i="10" a="1"/>
  <c r="P241" i="10" s="1"/>
  <c r="M241" i="10" a="1"/>
  <c r="M241" i="10" s="1"/>
  <c r="T241" i="10" a="1"/>
  <c r="T241" i="10" s="1"/>
  <c r="AC241" i="10" a="1"/>
  <c r="AC241" i="10" s="1"/>
  <c r="O241" i="10" a="1"/>
  <c r="O241" i="10" s="1"/>
  <c r="AB241" i="10" a="1"/>
  <c r="AB241" i="10" s="1"/>
  <c r="H241" i="10" a="1"/>
  <c r="H241" i="10" s="1"/>
  <c r="AE241" i="10" a="1"/>
  <c r="AE241" i="10" s="1"/>
  <c r="AK241" i="10" a="1"/>
  <c r="AK241" i="10" s="1"/>
  <c r="X241" i="10" a="1"/>
  <c r="X241" i="10" s="1"/>
  <c r="U241" i="10" a="1"/>
  <c r="U241" i="10" s="1"/>
  <c r="AF238" i="10" a="1"/>
  <c r="AF238" i="10" s="1"/>
  <c r="AK238" i="10" a="1"/>
  <c r="AK238" i="10" s="1"/>
  <c r="K238" i="10" a="1"/>
  <c r="K238" i="10" s="1"/>
  <c r="AM238" i="10" a="1"/>
  <c r="AM238" i="10" s="1"/>
  <c r="O238" i="10" a="1"/>
  <c r="O238" i="10" s="1"/>
  <c r="Q238" i="10" a="1"/>
  <c r="Q238" i="10" s="1"/>
  <c r="V238" i="10" a="1"/>
  <c r="V238" i="10" s="1"/>
  <c r="AJ238" i="10" a="1"/>
  <c r="AJ238" i="10" s="1"/>
  <c r="R238" i="10" a="1"/>
  <c r="R238" i="10" s="1"/>
  <c r="N238" i="10" a="1"/>
  <c r="N238" i="10" s="1"/>
  <c r="AO238" i="10" a="1"/>
  <c r="AO238" i="10" s="1"/>
  <c r="U238" i="10" a="1"/>
  <c r="U238" i="10" s="1"/>
  <c r="L238" i="10" a="1"/>
  <c r="L238" i="10" s="1"/>
  <c r="J238" i="10" a="1"/>
  <c r="J238" i="10" s="1"/>
  <c r="H238" i="10" a="1"/>
  <c r="H238" i="10" s="1"/>
  <c r="W238" i="10" a="1"/>
  <c r="W238" i="10" s="1"/>
  <c r="Z238" i="10" a="1"/>
  <c r="Z238" i="10" s="1"/>
  <c r="X238" i="10" a="1"/>
  <c r="X238" i="10" s="1"/>
  <c r="AL238" i="10" a="1"/>
  <c r="AL238" i="10" s="1"/>
  <c r="G238" i="10" a="1"/>
  <c r="G238" i="10" s="1"/>
  <c r="AE238" i="10" a="1"/>
  <c r="AE238" i="10" s="1"/>
  <c r="AI238" i="10" a="1"/>
  <c r="AI238" i="10" s="1"/>
  <c r="AC238" i="10" a="1"/>
  <c r="AC238" i="10" s="1"/>
  <c r="I238" i="10" a="1"/>
  <c r="I238" i="10" s="1"/>
  <c r="P238" i="10" a="1"/>
  <c r="P238" i="10" s="1"/>
  <c r="AD238" i="10" a="1"/>
  <c r="AD238" i="10" s="1"/>
  <c r="S238" i="10" a="1"/>
  <c r="S238" i="10" s="1"/>
  <c r="AS238" i="10"/>
  <c r="AN238" i="10" a="1"/>
  <c r="AN238" i="10" s="1"/>
  <c r="AA238" i="10" a="1"/>
  <c r="AA238" i="10" s="1"/>
  <c r="T238" i="10" a="1"/>
  <c r="T238" i="10" s="1"/>
  <c r="M238" i="10" a="1"/>
  <c r="M238" i="10" s="1"/>
  <c r="AB238" i="10" a="1"/>
  <c r="AB238" i="10" s="1"/>
  <c r="H154" i="10" a="1"/>
  <c r="H154" i="10" s="1"/>
  <c r="L154" i="10" a="1"/>
  <c r="L154" i="10" s="1"/>
  <c r="G154" i="10" a="1"/>
  <c r="G154" i="10" s="1"/>
  <c r="AA154" i="10" a="1"/>
  <c r="AA154" i="10" s="1"/>
  <c r="N121" i="10" a="1"/>
  <c r="N121" i="10" s="1"/>
  <c r="AD121" i="10" a="1"/>
  <c r="AD121" i="10" s="1"/>
  <c r="AG121" i="10" a="1"/>
  <c r="AG121" i="10" s="1"/>
  <c r="J121" i="10" a="1"/>
  <c r="J121" i="10" s="1"/>
  <c r="AI229" i="10" a="1"/>
  <c r="AI229" i="10" s="1"/>
  <c r="AN229" i="10" a="1"/>
  <c r="AN229" i="10" s="1"/>
  <c r="I229" i="10" a="1"/>
  <c r="I229" i="10" s="1"/>
  <c r="Q229" i="10" a="1"/>
  <c r="Q229" i="10" s="1"/>
  <c r="AF229" i="10" a="1"/>
  <c r="AF229" i="10" s="1"/>
  <c r="Z229" i="10" a="1"/>
  <c r="Z229" i="10" s="1"/>
  <c r="AH229" i="10" a="1"/>
  <c r="AH229" i="10" s="1"/>
  <c r="AM229" i="10" a="1"/>
  <c r="AM229" i="10" s="1"/>
  <c r="AA229" i="10" a="1"/>
  <c r="AA229" i="10" s="1"/>
  <c r="AL229" i="10" a="1"/>
  <c r="AL229" i="10" s="1"/>
  <c r="AS229" i="10"/>
  <c r="AG229" i="10" a="1"/>
  <c r="AG229" i="10" s="1"/>
  <c r="L229" i="10" a="1"/>
  <c r="L229" i="10" s="1"/>
  <c r="O229" i="10" a="1"/>
  <c r="O229" i="10" s="1"/>
  <c r="W229" i="10" a="1"/>
  <c r="W229" i="10" s="1"/>
  <c r="J229" i="10" a="1"/>
  <c r="J229" i="10" s="1"/>
  <c r="AE229" i="10" a="1"/>
  <c r="AE229" i="10" s="1"/>
  <c r="AH199" i="10" a="1"/>
  <c r="AH199" i="10" s="1"/>
  <c r="K199" i="10" a="1"/>
  <c r="K199" i="10" s="1"/>
  <c r="L199" i="10" a="1"/>
  <c r="L199" i="10" s="1"/>
  <c r="AO151" i="10" a="1"/>
  <c r="AO151" i="10" s="1"/>
  <c r="J136" i="10" a="1"/>
  <c r="J136" i="10" s="1"/>
  <c r="AO136" i="10" a="1"/>
  <c r="AO136" i="10" s="1"/>
  <c r="AF136" i="10" a="1"/>
  <c r="AF136" i="10" s="1"/>
  <c r="G127" i="10" a="1"/>
  <c r="G127" i="10" s="1"/>
  <c r="J127" i="10" a="1"/>
  <c r="J127" i="10" s="1"/>
  <c r="AO127" i="10" a="1"/>
  <c r="AO127" i="10" s="1"/>
  <c r="L127" i="10" a="1"/>
  <c r="L127" i="10" s="1"/>
  <c r="M178" i="10" a="1"/>
  <c r="M178" i="10" s="1"/>
  <c r="I178" i="10" a="1"/>
  <c r="I178" i="10" s="1"/>
  <c r="AI178" i="10" a="1"/>
  <c r="AI178" i="10" s="1"/>
  <c r="AF178" i="10" a="1"/>
  <c r="AF178" i="10" s="1"/>
  <c r="N178" i="10" a="1"/>
  <c r="N178" i="10" s="1"/>
  <c r="AM145" i="10" a="1"/>
  <c r="AM145" i="10" s="1"/>
  <c r="AN145" i="10" a="1"/>
  <c r="AN145" i="10" s="1"/>
  <c r="S145" i="10" a="1"/>
  <c r="S145" i="10" s="1"/>
  <c r="T118" i="10" a="1"/>
  <c r="T118" i="10" s="1"/>
  <c r="O118" i="10" a="1"/>
  <c r="O118" i="10" s="1"/>
  <c r="I118" i="10" a="1"/>
  <c r="I118" i="10" s="1"/>
  <c r="H118" i="10" a="1"/>
  <c r="H118" i="10" s="1"/>
  <c r="AO187" i="10" a="1"/>
  <c r="AO187" i="10" s="1"/>
  <c r="G130" i="10" a="1"/>
  <c r="G130" i="10" s="1"/>
  <c r="AE163" i="10" a="1"/>
  <c r="AE163" i="10" s="1"/>
  <c r="AC163" i="10" a="1"/>
  <c r="AC163" i="10" s="1"/>
  <c r="Y163" i="10" a="1"/>
  <c r="Y163" i="10" s="1"/>
  <c r="AI166" i="10" a="1"/>
  <c r="AI166" i="10" s="1"/>
  <c r="T166" i="10" a="1"/>
  <c r="T166" i="10" s="1"/>
  <c r="G166" i="10" a="1"/>
  <c r="G166" i="10" s="1"/>
  <c r="AN169" i="10" a="1"/>
  <c r="AN169" i="10" s="1"/>
  <c r="AB247" i="10" a="1"/>
  <c r="AB247" i="10" s="1"/>
  <c r="W247" i="10" a="1"/>
  <c r="W247" i="10" s="1"/>
  <c r="S247" i="10" a="1"/>
  <c r="S247" i="10" s="1"/>
  <c r="AK247" i="10" a="1"/>
  <c r="AK247" i="10" s="1"/>
  <c r="Q247" i="10" a="1"/>
  <c r="Q247" i="10" s="1"/>
  <c r="Z247" i="10" a="1"/>
  <c r="Z247" i="10" s="1"/>
  <c r="M247" i="10" a="1"/>
  <c r="M247" i="10" s="1"/>
  <c r="AM247" i="10" a="1"/>
  <c r="AM247" i="10" s="1"/>
  <c r="R247" i="10" a="1"/>
  <c r="R247" i="10" s="1"/>
  <c r="J247" i="10" a="1"/>
  <c r="J247" i="10" s="1"/>
  <c r="V247" i="10" a="1"/>
  <c r="V247" i="10" s="1"/>
  <c r="P247" i="10" a="1"/>
  <c r="P247" i="10" s="1"/>
  <c r="K247" i="10" a="1"/>
  <c r="K247" i="10" s="1"/>
  <c r="U247" i="10" a="1"/>
  <c r="U247" i="10" s="1"/>
  <c r="AD247" i="10" a="1"/>
  <c r="AD247" i="10" s="1"/>
  <c r="AC247" i="10" a="1"/>
  <c r="AC247" i="10" s="1"/>
  <c r="L247" i="10" a="1"/>
  <c r="L247" i="10" s="1"/>
  <c r="AJ247" i="10" a="1"/>
  <c r="AJ247" i="10" s="1"/>
  <c r="AA247" i="10" a="1"/>
  <c r="AA247" i="10" s="1"/>
  <c r="AS247" i="10"/>
  <c r="G247" i="10" a="1"/>
  <c r="G247" i="10" s="1"/>
  <c r="AF247" i="10" a="1"/>
  <c r="AF247" i="10" s="1"/>
  <c r="AE247" i="10" a="1"/>
  <c r="AE247" i="10" s="1"/>
  <c r="AG247" i="10" a="1"/>
  <c r="AG247" i="10" s="1"/>
  <c r="Y247" i="10" a="1"/>
  <c r="Y247" i="10" s="1"/>
  <c r="I247" i="10" a="1"/>
  <c r="I247" i="10" s="1"/>
  <c r="AO247" i="10" a="1"/>
  <c r="AO247" i="10" s="1"/>
  <c r="AP247" i="10" a="1"/>
  <c r="AP247" i="10" s="1"/>
  <c r="AL247" i="10" a="1"/>
  <c r="AL247" i="10" s="1"/>
  <c r="N247" i="10" a="1"/>
  <c r="N247" i="10" s="1"/>
  <c r="H247" i="10" a="1"/>
  <c r="H247" i="10" s="1"/>
  <c r="AH247" i="10" a="1"/>
  <c r="AH247" i="10" s="1"/>
  <c r="AI247" i="10" a="1"/>
  <c r="AI247" i="10" s="1"/>
  <c r="AN247" i="10" a="1"/>
  <c r="AN247" i="10" s="1"/>
  <c r="O247" i="10" a="1"/>
  <c r="O247" i="10" s="1"/>
  <c r="X247" i="10" a="1"/>
  <c r="X247" i="10" s="1"/>
  <c r="T247" i="10" a="1"/>
  <c r="T247" i="10" s="1"/>
  <c r="AC157" i="10" a="1"/>
  <c r="AC157" i="10" s="1"/>
  <c r="R157" i="10" a="1"/>
  <c r="R157" i="10" s="1"/>
  <c r="P157" i="10" a="1"/>
  <c r="P157" i="10" s="1"/>
  <c r="H157" i="10" a="1"/>
  <c r="H157" i="10" s="1"/>
  <c r="S124" i="10" a="1"/>
  <c r="S124" i="10" s="1"/>
  <c r="AM124" i="10" a="1"/>
  <c r="AM124" i="10" s="1"/>
  <c r="Z124" i="10" a="1"/>
  <c r="Z124" i="10" s="1"/>
  <c r="AC124" i="10" a="1"/>
  <c r="AC124" i="10" s="1"/>
  <c r="AP142" i="10" a="1"/>
  <c r="AP142" i="10" s="1"/>
  <c r="S148" i="10" a="1"/>
  <c r="S148" i="10" s="1"/>
  <c r="Y148" i="10" a="1"/>
  <c r="Y148" i="10" s="1"/>
  <c r="AG148" i="10" a="1"/>
  <c r="AG148" i="10" s="1"/>
  <c r="Q148" i="10" a="1"/>
  <c r="Q148" i="10" s="1"/>
  <c r="X196" i="10" a="1"/>
  <c r="X196" i="10" s="1"/>
  <c r="AL196" i="10" a="1"/>
  <c r="AL196" i="10" s="1"/>
  <c r="T196" i="10" a="1"/>
  <c r="T196" i="10" s="1"/>
  <c r="AO196" i="10" a="1"/>
  <c r="AO196" i="10" s="1"/>
  <c r="I139" i="10" a="1"/>
  <c r="I139" i="10" s="1"/>
  <c r="AL139" i="10" a="1"/>
  <c r="AL139" i="10" s="1"/>
  <c r="AG139" i="10" a="1"/>
  <c r="AG139" i="10" s="1"/>
  <c r="AM139" i="10" a="1"/>
  <c r="AM139" i="10" s="1"/>
  <c r="T175" i="10" a="1"/>
  <c r="T175" i="10" s="1"/>
  <c r="AD175" i="10" a="1"/>
  <c r="AD175" i="10" s="1"/>
  <c r="U175" i="10" a="1"/>
  <c r="U175" i="10" s="1"/>
  <c r="V175" i="10" a="1"/>
  <c r="V175" i="10" s="1"/>
  <c r="W193" i="58885" a="1"/>
  <c r="W193" i="58885" s="1"/>
  <c r="V193" i="58885" a="1"/>
  <c r="V193" i="58885" s="1"/>
  <c r="V103" i="58885" a="1"/>
  <c r="V103" i="58885" s="1"/>
  <c r="W103" i="58885" a="1"/>
  <c r="W103" i="58885" s="1"/>
  <c r="V224" i="58885" a="1"/>
  <c r="V224" i="58885" s="1"/>
  <c r="W224" i="58885" a="1"/>
  <c r="W224" i="58885" s="1"/>
  <c r="V217" i="58885" a="1"/>
  <c r="V217" i="58885" s="1"/>
  <c r="W217" i="58885" a="1"/>
  <c r="W217" i="58885" s="1"/>
  <c r="V116" i="58885" a="1"/>
  <c r="V116" i="58885" s="1"/>
  <c r="X116" i="58885" a="1"/>
  <c r="X116" i="58885" s="1"/>
  <c r="W116" i="58885" a="1"/>
  <c r="W116" i="58885" s="1"/>
  <c r="V201" i="58885" a="1"/>
  <c r="V201" i="58885" s="1"/>
  <c r="W201" i="58885" a="1"/>
  <c r="W201" i="58885" s="1"/>
  <c r="X122" i="58885" a="1"/>
  <c r="X122" i="58885" s="1"/>
  <c r="V122" i="58885" a="1"/>
  <c r="V122" i="58885" s="1"/>
  <c r="Y122" i="58885" s="1" a="1"/>
  <c r="Y122" i="58885" s="1"/>
  <c r="W122" i="58885" a="1"/>
  <c r="W122" i="58885" s="1"/>
  <c r="Z122" i="58885" s="1" a="1"/>
  <c r="Z122" i="58885" s="1"/>
  <c r="W107" i="58885" a="1"/>
  <c r="W107" i="58885" s="1"/>
  <c r="Z107" i="58885" s="1" a="1"/>
  <c r="Z107" i="58885" s="1"/>
  <c r="X107" i="58885" a="1"/>
  <c r="X107" i="58885" s="1"/>
  <c r="V107" i="58885" a="1"/>
  <c r="V107" i="58885" s="1"/>
  <c r="V113" i="58885" a="1"/>
  <c r="V113" i="58885" s="1"/>
  <c r="W113" i="58885" a="1"/>
  <c r="W113" i="58885" s="1"/>
  <c r="W199" i="58885" a="1"/>
  <c r="W199" i="58885" s="1"/>
  <c r="V199" i="58885" a="1"/>
  <c r="V199" i="58885" s="1"/>
  <c r="W137" i="58885" a="1"/>
  <c r="W137" i="58885" s="1"/>
  <c r="Z137" i="58885" s="1" a="1"/>
  <c r="Z137" i="58885" s="1"/>
  <c r="V137" i="58885" a="1"/>
  <c r="V137" i="58885" s="1"/>
  <c r="Y137" i="58885" s="1" a="1"/>
  <c r="Y137" i="58885" s="1"/>
  <c r="X137" i="58885" a="1"/>
  <c r="X137" i="58885" s="1"/>
  <c r="V193" i="10" a="1"/>
  <c r="V193" i="10" s="1"/>
  <c r="R193" i="10" a="1"/>
  <c r="R193" i="10" s="1"/>
  <c r="AF193" i="10" a="1"/>
  <c r="AF193" i="10" s="1"/>
  <c r="AC193" i="10" a="1"/>
  <c r="AC193" i="10" s="1"/>
  <c r="Y193" i="10" a="1"/>
  <c r="Y193" i="10" s="1"/>
  <c r="AI184" i="10" a="1"/>
  <c r="AI184" i="10" s="1"/>
  <c r="N184" i="10" a="1"/>
  <c r="N184" i="10" s="1"/>
  <c r="Y184" i="10" a="1"/>
  <c r="Y184" i="10" s="1"/>
  <c r="K184" i="10" a="1"/>
  <c r="K184" i="10" s="1"/>
  <c r="W136" i="10" a="1"/>
  <c r="W136" i="10" s="1"/>
  <c r="AP136" i="10" a="1"/>
  <c r="AP136" i="10" s="1"/>
  <c r="AL136" i="10" a="1"/>
  <c r="AL136" i="10" s="1"/>
  <c r="Z178" i="10" a="1"/>
  <c r="Z178" i="10" s="1"/>
  <c r="AM178" i="10" a="1"/>
  <c r="AM178" i="10" s="1"/>
  <c r="G178" i="10" a="1"/>
  <c r="G178" i="10" s="1"/>
  <c r="AS118" i="10"/>
  <c r="AO217" i="10" a="1"/>
  <c r="AO217" i="10" s="1"/>
  <c r="AS217" i="10"/>
  <c r="U217" i="10" a="1"/>
  <c r="U217" i="10" s="1"/>
  <c r="AD217" i="10" a="1"/>
  <c r="AD217" i="10" s="1"/>
  <c r="P217" i="10" a="1"/>
  <c r="P217" i="10" s="1"/>
  <c r="AE217" i="10" a="1"/>
  <c r="AE217" i="10" s="1"/>
  <c r="AI217" i="10" a="1"/>
  <c r="AI217" i="10" s="1"/>
  <c r="N217" i="10" a="1"/>
  <c r="N217" i="10" s="1"/>
  <c r="S217" i="10" a="1"/>
  <c r="S217" i="10" s="1"/>
  <c r="AP217" i="10" a="1"/>
  <c r="AP217" i="10" s="1"/>
  <c r="AG217" i="10" a="1"/>
  <c r="AG217" i="10" s="1"/>
  <c r="AC217" i="10" a="1"/>
  <c r="AC217" i="10" s="1"/>
  <c r="AL217" i="10" a="1"/>
  <c r="AL217" i="10" s="1"/>
  <c r="I217" i="10" a="1"/>
  <c r="I217" i="10" s="1"/>
  <c r="AH217" i="10" a="1"/>
  <c r="AH217" i="10" s="1"/>
  <c r="M217" i="10" a="1"/>
  <c r="M217" i="10" s="1"/>
  <c r="R217" i="10" a="1"/>
  <c r="R217" i="10" s="1"/>
  <c r="AB217" i="10" a="1"/>
  <c r="AB217" i="10" s="1"/>
  <c r="AM217" i="10" a="1"/>
  <c r="AM217" i="10" s="1"/>
  <c r="Y217" i="10" a="1"/>
  <c r="Y217" i="10" s="1"/>
  <c r="K217" i="10" a="1"/>
  <c r="K217" i="10" s="1"/>
  <c r="AA217" i="10" a="1"/>
  <c r="AA217" i="10" s="1"/>
  <c r="AK217" i="10" a="1"/>
  <c r="AK217" i="10" s="1"/>
  <c r="Q217" i="10" a="1"/>
  <c r="Q217" i="10" s="1"/>
  <c r="O217" i="10" a="1"/>
  <c r="O217" i="10" s="1"/>
  <c r="AJ217" i="10" a="1"/>
  <c r="AJ217" i="10" s="1"/>
  <c r="J217" i="10" a="1"/>
  <c r="J217" i="10" s="1"/>
  <c r="AF217" i="10" a="1"/>
  <c r="AF217" i="10" s="1"/>
  <c r="L217" i="10" a="1"/>
  <c r="L217" i="10" s="1"/>
  <c r="Z217" i="10" a="1"/>
  <c r="Z217" i="10" s="1"/>
  <c r="X217" i="10" a="1"/>
  <c r="X217" i="10" s="1"/>
  <c r="V217" i="10" a="1"/>
  <c r="V217" i="10" s="1"/>
  <c r="G217" i="10" a="1"/>
  <c r="G217" i="10" s="1"/>
  <c r="P130" i="10" a="1"/>
  <c r="P130" i="10" s="1"/>
  <c r="AS130" i="10"/>
  <c r="H163" i="10" a="1"/>
  <c r="H163" i="10" s="1"/>
  <c r="AS163" i="10"/>
  <c r="AF124" i="10" a="1"/>
  <c r="AF124" i="10" s="1"/>
  <c r="Z139" i="10" a="1"/>
  <c r="Z139" i="10" s="1"/>
  <c r="O139" i="10" a="1"/>
  <c r="O139" i="10" s="1"/>
  <c r="N139" i="10" a="1"/>
  <c r="N139" i="10" s="1"/>
  <c r="W236" i="58885" a="1"/>
  <c r="W236" i="58885" s="1"/>
  <c r="V236" i="58885" a="1"/>
  <c r="V236" i="58885" s="1"/>
  <c r="W227" i="58885" a="1"/>
  <c r="W227" i="58885" s="1"/>
  <c r="V227" i="58885" a="1"/>
  <c r="V227" i="58885" s="1"/>
  <c r="W128" i="58885" a="1"/>
  <c r="W128" i="58885" s="1"/>
  <c r="Z128" i="58885" s="1" a="1"/>
  <c r="Z128" i="58885" s="1"/>
  <c r="X128" i="58885" a="1"/>
  <c r="X128" i="58885" s="1"/>
  <c r="V128" i="58885" a="1"/>
  <c r="V128" i="58885" s="1"/>
  <c r="Y128" i="58885" s="1" a="1"/>
  <c r="Y128" i="58885" s="1"/>
  <c r="V184" i="58885" a="1"/>
  <c r="V184" i="58885" s="1"/>
  <c r="W184" i="58885" a="1"/>
  <c r="W184" i="58885" s="1"/>
  <c r="W142" i="58885" a="1"/>
  <c r="W142" i="58885" s="1"/>
  <c r="V142" i="58885" a="1"/>
  <c r="V142" i="58885" s="1"/>
  <c r="W105" i="58885" a="1"/>
  <c r="W105" i="58885" s="1"/>
  <c r="V105" i="58885" a="1"/>
  <c r="V105" i="58885" s="1"/>
  <c r="X136" i="58885" a="1"/>
  <c r="X136" i="58885" s="1"/>
  <c r="V136" i="58885" a="1"/>
  <c r="V136" i="58885" s="1"/>
  <c r="Y136" i="58885" s="1" a="1"/>
  <c r="Y136" i="58885" s="1"/>
  <c r="W136" i="58885" a="1"/>
  <c r="W136" i="58885" s="1"/>
  <c r="Z136" i="58885" s="1" a="1"/>
  <c r="Z136" i="58885" s="1"/>
  <c r="AI190" i="10" a="1"/>
  <c r="AI190" i="10" s="1"/>
  <c r="AA190" i="10" a="1"/>
  <c r="AA190" i="10" s="1"/>
  <c r="R190" i="10" a="1"/>
  <c r="R190" i="10" s="1"/>
  <c r="AL190" i="10" a="1"/>
  <c r="AL190" i="10" s="1"/>
  <c r="H193" i="10" a="1"/>
  <c r="H193" i="10" s="1"/>
  <c r="M193" i="10" a="1"/>
  <c r="M193" i="10" s="1"/>
  <c r="AN193" i="10" a="1"/>
  <c r="AN193" i="10" s="1"/>
  <c r="AI193" i="10" a="1"/>
  <c r="AI193" i="10" s="1"/>
  <c r="AD193" i="10" a="1"/>
  <c r="AD193" i="10" s="1"/>
  <c r="AB181" i="10" a="1"/>
  <c r="AB181" i="10" s="1"/>
  <c r="AP181" i="10" a="1"/>
  <c r="AP181" i="10" s="1"/>
  <c r="S181" i="10" a="1"/>
  <c r="S181" i="10" s="1"/>
  <c r="AL181" i="10" a="1"/>
  <c r="AL181" i="10" s="1"/>
  <c r="AP184" i="10" a="1"/>
  <c r="AP184" i="10" s="1"/>
  <c r="AK184" i="10" a="1"/>
  <c r="AK184" i="10" s="1"/>
  <c r="AN184" i="10" a="1"/>
  <c r="AN184" i="10" s="1"/>
  <c r="R184" i="10" a="1"/>
  <c r="R184" i="10" s="1"/>
  <c r="N154" i="10" a="1"/>
  <c r="N154" i="10" s="1"/>
  <c r="W154" i="10" a="1"/>
  <c r="W154" i="10" s="1"/>
  <c r="AG154" i="10" a="1"/>
  <c r="AG154" i="10" s="1"/>
  <c r="K154" i="10" a="1"/>
  <c r="K154" i="10" s="1"/>
  <c r="AD154" i="10" a="1"/>
  <c r="AD154" i="10" s="1"/>
  <c r="V121" i="10" a="1"/>
  <c r="V121" i="10" s="1"/>
  <c r="R121" i="10" a="1"/>
  <c r="R121" i="10" s="1"/>
  <c r="P121" i="10" a="1"/>
  <c r="P121" i="10" s="1"/>
  <c r="M121" i="10" a="1"/>
  <c r="M121" i="10" s="1"/>
  <c r="X121" i="10" a="1"/>
  <c r="X121" i="10" s="1"/>
  <c r="M136" i="10" a="1"/>
  <c r="M136" i="10" s="1"/>
  <c r="AK136" i="10" a="1"/>
  <c r="AK136" i="10" s="1"/>
  <c r="Q136" i="10" a="1"/>
  <c r="Q136" i="10" s="1"/>
  <c r="K127" i="10" a="1"/>
  <c r="K127" i="10" s="1"/>
  <c r="Q127" i="10" a="1"/>
  <c r="Q127" i="10" s="1"/>
  <c r="AD127" i="10" a="1"/>
  <c r="AD127" i="10" s="1"/>
  <c r="P127" i="10" a="1"/>
  <c r="P127" i="10" s="1"/>
  <c r="V178" i="10" a="1"/>
  <c r="V178" i="10" s="1"/>
  <c r="AG178" i="10" a="1"/>
  <c r="AG178" i="10" s="1"/>
  <c r="L178" i="10" a="1"/>
  <c r="L178" i="10" s="1"/>
  <c r="AH178" i="10" a="1"/>
  <c r="AH178" i="10" s="1"/>
  <c r="AE145" i="10" a="1"/>
  <c r="AE145" i="10" s="1"/>
  <c r="L145" i="10" a="1"/>
  <c r="L145" i="10" s="1"/>
  <c r="W145" i="10" a="1"/>
  <c r="W145" i="10" s="1"/>
  <c r="H145" i="10" a="1"/>
  <c r="H145" i="10" s="1"/>
  <c r="AB118" i="10" a="1"/>
  <c r="AB118" i="10" s="1"/>
  <c r="AF118" i="10" a="1"/>
  <c r="AF118" i="10" s="1"/>
  <c r="AK118" i="10" a="1"/>
  <c r="AK118" i="10" s="1"/>
  <c r="AE118" i="10" a="1"/>
  <c r="AE118" i="10" s="1"/>
  <c r="N118" i="10" a="1"/>
  <c r="N118" i="10" s="1"/>
  <c r="AJ130" i="10" a="1"/>
  <c r="AJ130" i="10" s="1"/>
  <c r="AL163" i="10" a="1"/>
  <c r="AL163" i="10" s="1"/>
  <c r="AH163" i="10" a="1"/>
  <c r="AH163" i="10" s="1"/>
  <c r="AA163" i="10" a="1"/>
  <c r="AA163" i="10" s="1"/>
  <c r="R163" i="10" a="1"/>
  <c r="R163" i="10" s="1"/>
  <c r="AP124" i="10" a="1"/>
  <c r="AP124" i="10" s="1"/>
  <c r="AJ124" i="10" a="1"/>
  <c r="AJ124" i="10" s="1"/>
  <c r="U124" i="10" a="1"/>
  <c r="U124" i="10" s="1"/>
  <c r="W124" i="10" a="1"/>
  <c r="W124" i="10" s="1"/>
  <c r="AL148" i="10" a="1"/>
  <c r="AL148" i="10" s="1"/>
  <c r="AH139" i="10" a="1"/>
  <c r="AH139" i="10" s="1"/>
  <c r="AB139" i="10" a="1"/>
  <c r="AB139" i="10" s="1"/>
  <c r="H139" i="10" a="1"/>
  <c r="H139" i="10" s="1"/>
  <c r="AK139" i="10" a="1"/>
  <c r="AK139" i="10" s="1"/>
  <c r="H175" i="10" a="1"/>
  <c r="H175" i="10" s="1"/>
  <c r="AA172" i="10" a="1"/>
  <c r="AA172" i="10" s="1"/>
  <c r="V118" i="58885" a="1"/>
  <c r="V118" i="58885" s="1"/>
  <c r="Y118" i="58885" s="1" a="1"/>
  <c r="Y118" i="58885" s="1"/>
  <c r="W118" i="58885" a="1"/>
  <c r="W118" i="58885" s="1"/>
  <c r="Z118" i="58885" s="1" a="1"/>
  <c r="Z118" i="58885" s="1"/>
  <c r="X118" i="58885" a="1"/>
  <c r="X118" i="58885" s="1"/>
  <c r="W194" i="58885" a="1"/>
  <c r="W194" i="58885" s="1"/>
  <c r="V194" i="58885" a="1"/>
  <c r="V194" i="58885" s="1"/>
  <c r="W220" i="58885" a="1"/>
  <c r="W220" i="58885" s="1"/>
  <c r="V220" i="58885" a="1"/>
  <c r="V220" i="58885" s="1"/>
  <c r="W214" i="10" a="1"/>
  <c r="W214" i="10" s="1"/>
  <c r="AE214" i="10" a="1"/>
  <c r="AE214" i="10" s="1"/>
  <c r="G214" i="10" a="1"/>
  <c r="G214" i="10" s="1"/>
  <c r="AJ214" i="10" a="1"/>
  <c r="AJ214" i="10" s="1"/>
  <c r="AN214" i="10" a="1"/>
  <c r="AN214" i="10" s="1"/>
  <c r="M214" i="10" a="1"/>
  <c r="M214" i="10" s="1"/>
  <c r="X214" i="10" a="1"/>
  <c r="X214" i="10" s="1"/>
  <c r="AI214" i="10" a="1"/>
  <c r="AI214" i="10" s="1"/>
  <c r="S214" i="10" a="1"/>
  <c r="S214" i="10" s="1"/>
  <c r="AS214" i="10"/>
  <c r="H214" i="10" a="1"/>
  <c r="H214" i="10" s="1"/>
  <c r="Z214" i="10" a="1"/>
  <c r="Z214" i="10" s="1"/>
  <c r="K214" i="10" a="1"/>
  <c r="K214" i="10" s="1"/>
  <c r="U214" i="10" a="1"/>
  <c r="U214" i="10" s="1"/>
  <c r="V214" i="10" a="1"/>
  <c r="V214" i="10" s="1"/>
  <c r="Q214" i="10" a="1"/>
  <c r="Q214" i="10" s="1"/>
  <c r="AG214" i="10" a="1"/>
  <c r="AG214" i="10" s="1"/>
  <c r="AF214" i="10" a="1"/>
  <c r="AF214" i="10" s="1"/>
  <c r="AB214" i="10" a="1"/>
  <c r="AB214" i="10" s="1"/>
  <c r="AH214" i="10" a="1"/>
  <c r="AH214" i="10" s="1"/>
  <c r="AK214" i="10" a="1"/>
  <c r="AK214" i="10" s="1"/>
  <c r="AD214" i="10" a="1"/>
  <c r="AD214" i="10" s="1"/>
  <c r="AC214" i="10" a="1"/>
  <c r="AC214" i="10" s="1"/>
  <c r="L214" i="10" a="1"/>
  <c r="L214" i="10" s="1"/>
  <c r="AL214" i="10" a="1"/>
  <c r="AL214" i="10" s="1"/>
  <c r="I214" i="10" a="1"/>
  <c r="I214" i="10" s="1"/>
  <c r="T214" i="10" a="1"/>
  <c r="T214" i="10" s="1"/>
  <c r="P214" i="10" a="1"/>
  <c r="P214" i="10" s="1"/>
  <c r="O214" i="10" a="1"/>
  <c r="O214" i="10" s="1"/>
  <c r="J214" i="10" a="1"/>
  <c r="J214" i="10" s="1"/>
  <c r="AP214" i="10" a="1"/>
  <c r="AP214" i="10" s="1"/>
  <c r="N214" i="10" a="1"/>
  <c r="N214" i="10" s="1"/>
  <c r="Y214" i="10" a="1"/>
  <c r="Y214" i="10" s="1"/>
  <c r="R214" i="10" a="1"/>
  <c r="R214" i="10" s="1"/>
  <c r="AO214" i="10" a="1"/>
  <c r="AO214" i="10" s="1"/>
  <c r="AA214" i="10" a="1"/>
  <c r="AA214" i="10" s="1"/>
  <c r="AM214" i="10" a="1"/>
  <c r="AM214" i="10" s="1"/>
  <c r="O235" i="10" a="1"/>
  <c r="O235" i="10" s="1"/>
  <c r="AM235" i="10" a="1"/>
  <c r="AM235" i="10" s="1"/>
  <c r="AK235" i="10" a="1"/>
  <c r="AK235" i="10" s="1"/>
  <c r="H235" i="10" a="1"/>
  <c r="H235" i="10" s="1"/>
  <c r="S235" i="10" a="1"/>
  <c r="S235" i="10" s="1"/>
  <c r="P235" i="10" a="1"/>
  <c r="P235" i="10" s="1"/>
  <c r="G235" i="10" a="1"/>
  <c r="G235" i="10" s="1"/>
  <c r="AO235" i="10" a="1"/>
  <c r="AO235" i="10" s="1"/>
  <c r="AP235" i="10" a="1"/>
  <c r="AP235" i="10" s="1"/>
  <c r="L235" i="10" a="1"/>
  <c r="L235" i="10" s="1"/>
  <c r="V235" i="10" a="1"/>
  <c r="V235" i="10" s="1"/>
  <c r="W235" i="10" a="1"/>
  <c r="W235" i="10" s="1"/>
  <c r="N235" i="10" a="1"/>
  <c r="N235" i="10" s="1"/>
  <c r="AA235" i="10" a="1"/>
  <c r="AA235" i="10" s="1"/>
  <c r="T235" i="10" a="1"/>
  <c r="T235" i="10" s="1"/>
  <c r="AG235" i="10" a="1"/>
  <c r="AG235" i="10" s="1"/>
  <c r="Q235" i="10" a="1"/>
  <c r="Q235" i="10" s="1"/>
  <c r="AB235" i="10" a="1"/>
  <c r="AB235" i="10" s="1"/>
  <c r="AN235" i="10" a="1"/>
  <c r="AN235" i="10" s="1"/>
  <c r="AL235" i="10" a="1"/>
  <c r="AL235" i="10" s="1"/>
  <c r="AH235" i="10" a="1"/>
  <c r="AH235" i="10" s="1"/>
  <c r="I235" i="10" a="1"/>
  <c r="I235" i="10" s="1"/>
  <c r="AC235" i="10" a="1"/>
  <c r="AC235" i="10" s="1"/>
  <c r="M235" i="10" a="1"/>
  <c r="M235" i="10" s="1"/>
  <c r="X235" i="10" a="1"/>
  <c r="X235" i="10" s="1"/>
  <c r="AS235" i="10"/>
  <c r="Y235" i="10" a="1"/>
  <c r="Y235" i="10" s="1"/>
  <c r="J235" i="10" a="1"/>
  <c r="J235" i="10" s="1"/>
  <c r="Z235" i="10" a="1"/>
  <c r="Z235" i="10" s="1"/>
  <c r="AD235" i="10" a="1"/>
  <c r="AD235" i="10" s="1"/>
  <c r="U235" i="10" a="1"/>
  <c r="U235" i="10" s="1"/>
  <c r="AE235" i="10" a="1"/>
  <c r="AE235" i="10" s="1"/>
  <c r="K235" i="10" a="1"/>
  <c r="K235" i="10" s="1"/>
  <c r="AJ235" i="10" a="1"/>
  <c r="AJ235" i="10" s="1"/>
  <c r="AF235" i="10" a="1"/>
  <c r="AF235" i="10" s="1"/>
  <c r="R235" i="10" a="1"/>
  <c r="R235" i="10" s="1"/>
  <c r="AI235" i="10" a="1"/>
  <c r="AI235" i="10" s="1"/>
  <c r="AJ244" i="10" a="1"/>
  <c r="AJ244" i="10" s="1"/>
  <c r="AL244" i="10" a="1"/>
  <c r="AL244" i="10" s="1"/>
  <c r="T244" i="10" a="1"/>
  <c r="T244" i="10" s="1"/>
  <c r="I244" i="10" a="1"/>
  <c r="I244" i="10" s="1"/>
  <c r="AS244" i="10"/>
  <c r="J244" i="10" a="1"/>
  <c r="J244" i="10" s="1"/>
  <c r="AI244" i="10" a="1"/>
  <c r="AI244" i="10" s="1"/>
  <c r="AO244" i="10" a="1"/>
  <c r="AO244" i="10" s="1"/>
  <c r="Y244" i="10" a="1"/>
  <c r="Y244" i="10" s="1"/>
  <c r="L244" i="10" a="1"/>
  <c r="L244" i="10" s="1"/>
  <c r="AD244" i="10" a="1"/>
  <c r="AD244" i="10" s="1"/>
  <c r="K244" i="10" a="1"/>
  <c r="K244" i="10" s="1"/>
  <c r="AP244" i="10" a="1"/>
  <c r="AP244" i="10" s="1"/>
  <c r="AE244" i="10" a="1"/>
  <c r="AE244" i="10" s="1"/>
  <c r="M244" i="10" a="1"/>
  <c r="M244" i="10" s="1"/>
  <c r="H244" i="10" a="1"/>
  <c r="H244" i="10" s="1"/>
  <c r="Q244" i="10" a="1"/>
  <c r="Q244" i="10" s="1"/>
  <c r="R244" i="10" a="1"/>
  <c r="R244" i="10" s="1"/>
  <c r="AB244" i="10" a="1"/>
  <c r="AB244" i="10" s="1"/>
  <c r="AC244" i="10" a="1"/>
  <c r="AC244" i="10" s="1"/>
  <c r="S244" i="10" a="1"/>
  <c r="S244" i="10" s="1"/>
  <c r="AN244" i="10" a="1"/>
  <c r="AN244" i="10" s="1"/>
  <c r="AA244" i="10" a="1"/>
  <c r="AA244" i="10" s="1"/>
  <c r="W244" i="10" a="1"/>
  <c r="W244" i="10" s="1"/>
  <c r="AF244" i="10" a="1"/>
  <c r="AF244" i="10" s="1"/>
  <c r="P244" i="10" a="1"/>
  <c r="P244" i="10" s="1"/>
  <c r="U244" i="10" a="1"/>
  <c r="U244" i="10" s="1"/>
  <c r="AK244" i="10" a="1"/>
  <c r="AK244" i="10" s="1"/>
  <c r="N244" i="10" a="1"/>
  <c r="N244" i="10" s="1"/>
  <c r="G244" i="10" a="1"/>
  <c r="G244" i="10" s="1"/>
  <c r="AG244" i="10" a="1"/>
  <c r="AG244" i="10" s="1"/>
  <c r="O244" i="10" a="1"/>
  <c r="O244" i="10" s="1"/>
  <c r="X244" i="10" a="1"/>
  <c r="X244" i="10" s="1"/>
  <c r="AH244" i="10" a="1"/>
  <c r="AH244" i="10" s="1"/>
  <c r="Z244" i="10" a="1"/>
  <c r="Z244" i="10" s="1"/>
  <c r="AM244" i="10" a="1"/>
  <c r="AM244" i="10" s="1"/>
  <c r="V244" i="10" a="1"/>
  <c r="V244" i="10" s="1"/>
  <c r="AN253" i="10" a="1"/>
  <c r="AN253" i="10" s="1"/>
  <c r="AE253" i="10" a="1"/>
  <c r="AE253" i="10" s="1"/>
  <c r="S253" i="10" a="1"/>
  <c r="S253" i="10" s="1"/>
  <c r="I253" i="10" a="1"/>
  <c r="I253" i="10" s="1"/>
  <c r="AO253" i="10" a="1"/>
  <c r="AO253" i="10" s="1"/>
  <c r="AB253" i="10" a="1"/>
  <c r="AB253" i="10" s="1"/>
  <c r="AJ253" i="10" a="1"/>
  <c r="AJ253" i="10" s="1"/>
  <c r="L253" i="10" a="1"/>
  <c r="L253" i="10" s="1"/>
  <c r="AA253" i="10" a="1"/>
  <c r="AA253" i="10" s="1"/>
  <c r="N253" i="10" a="1"/>
  <c r="N253" i="10" s="1"/>
  <c r="AL253" i="10" a="1"/>
  <c r="AL253" i="10" s="1"/>
  <c r="AI253" i="10" a="1"/>
  <c r="AI253" i="10" s="1"/>
  <c r="Q253" i="10" a="1"/>
  <c r="Q253" i="10" s="1"/>
  <c r="AC253" i="10" a="1"/>
  <c r="AC253" i="10" s="1"/>
  <c r="V253" i="10" a="1"/>
  <c r="V253" i="10" s="1"/>
  <c r="K253" i="10" a="1"/>
  <c r="K253" i="10" s="1"/>
  <c r="O253" i="10" a="1"/>
  <c r="O253" i="10" s="1"/>
  <c r="Z253" i="10" a="1"/>
  <c r="Z253" i="10" s="1"/>
  <c r="AH253" i="10" a="1"/>
  <c r="AH253" i="10" s="1"/>
  <c r="AK253" i="10" a="1"/>
  <c r="AK253" i="10" s="1"/>
  <c r="H253" i="10" a="1"/>
  <c r="H253" i="10" s="1"/>
  <c r="P253" i="10" a="1"/>
  <c r="P253" i="10" s="1"/>
  <c r="Y253" i="10" a="1"/>
  <c r="Y253" i="10" s="1"/>
  <c r="AG253" i="10" a="1"/>
  <c r="AG253" i="10" s="1"/>
  <c r="AF253" i="10" a="1"/>
  <c r="AF253" i="10" s="1"/>
  <c r="AP253" i="10" a="1"/>
  <c r="AP253" i="10" s="1"/>
  <c r="T253" i="10" a="1"/>
  <c r="T253" i="10" s="1"/>
  <c r="X253" i="10" a="1"/>
  <c r="X253" i="10" s="1"/>
  <c r="AM253" i="10" a="1"/>
  <c r="AM253" i="10" s="1"/>
  <c r="R253" i="10" a="1"/>
  <c r="R253" i="10" s="1"/>
  <c r="M253" i="10" a="1"/>
  <c r="M253" i="10" s="1"/>
  <c r="AS253" i="10"/>
  <c r="J253" i="10" a="1"/>
  <c r="J253" i="10" s="1"/>
  <c r="AD253" i="10" a="1"/>
  <c r="AD253" i="10" s="1"/>
  <c r="G253" i="10" a="1"/>
  <c r="G253" i="10" s="1"/>
  <c r="U253" i="10" a="1"/>
  <c r="U253" i="10" s="1"/>
  <c r="W253" i="10" a="1"/>
  <c r="W253" i="10" s="1"/>
  <c r="AF172" i="10" a="1"/>
  <c r="AF172" i="10" s="1"/>
  <c r="V182" i="58885" a="1"/>
  <c r="V182" i="58885" s="1"/>
  <c r="W182" i="58885" a="1"/>
  <c r="W182" i="58885" s="1"/>
  <c r="W112" i="58885" a="1"/>
  <c r="W112" i="58885" s="1"/>
  <c r="V112" i="58885" a="1"/>
  <c r="V112" i="58885" s="1"/>
  <c r="W244" i="58885" a="1"/>
  <c r="W244" i="58885" s="1"/>
  <c r="V244" i="58885" a="1"/>
  <c r="V244" i="58885" s="1"/>
  <c r="X98" i="58885" a="1"/>
  <c r="X98" i="58885" s="1"/>
  <c r="V98" i="58885" a="1"/>
  <c r="V98" i="58885" s="1"/>
  <c r="W98" i="58885" a="1"/>
  <c r="W98" i="58885" s="1"/>
  <c r="X132" i="58885" a="1"/>
  <c r="X132" i="58885" s="1"/>
  <c r="V132" i="58885" a="1"/>
  <c r="V132" i="58885" s="1"/>
  <c r="Y132" i="58885" s="1" a="1"/>
  <c r="Y132" i="58885" s="1"/>
  <c r="W132" i="58885" a="1"/>
  <c r="W132" i="58885" s="1"/>
  <c r="Z132" i="58885" s="1" a="1"/>
  <c r="Z132" i="58885" s="1"/>
  <c r="W249" i="58885" a="1"/>
  <c r="W249" i="58885" s="1"/>
  <c r="V249" i="58885" a="1"/>
  <c r="V249" i="58885" s="1"/>
  <c r="W186" i="58885" a="1"/>
  <c r="W186" i="58885" s="1"/>
  <c r="V186" i="58885" a="1"/>
  <c r="V186" i="58885" s="1"/>
  <c r="V203" i="58885" a="1"/>
  <c r="V203" i="58885" s="1"/>
  <c r="W203" i="58885" a="1"/>
  <c r="W203" i="58885" s="1"/>
  <c r="X129" i="58885" a="1"/>
  <c r="X129" i="58885" s="1"/>
  <c r="W129" i="58885" a="1"/>
  <c r="W129" i="58885" s="1"/>
  <c r="Z129" i="58885" s="1" a="1"/>
  <c r="Z129" i="58885" s="1"/>
  <c r="V129" i="58885" a="1"/>
  <c r="V129" i="58885" s="1"/>
  <c r="Y129" i="58885" s="1" a="1"/>
  <c r="Y129" i="58885" s="1"/>
  <c r="V240" i="58885" a="1"/>
  <c r="V240" i="58885" s="1"/>
  <c r="W240" i="58885" a="1"/>
  <c r="W240" i="58885" s="1"/>
  <c r="T193" i="10" a="1"/>
  <c r="T193" i="10" s="1"/>
  <c r="S193" i="10" a="1"/>
  <c r="S193" i="10" s="1"/>
  <c r="O193" i="10" a="1"/>
  <c r="O193" i="10" s="1"/>
  <c r="AA193" i="10" a="1"/>
  <c r="AA193" i="10" s="1"/>
  <c r="AJ193" i="10" a="1"/>
  <c r="AJ193" i="10" s="1"/>
  <c r="AO181" i="10" a="1"/>
  <c r="AO181" i="10" s="1"/>
  <c r="J181" i="10" a="1"/>
  <c r="J181" i="10" s="1"/>
  <c r="Z181" i="10" a="1"/>
  <c r="Z181" i="10" s="1"/>
  <c r="K181" i="10" a="1"/>
  <c r="K181" i="10" s="1"/>
  <c r="AC184" i="10" a="1"/>
  <c r="AC184" i="10" s="1"/>
  <c r="T184" i="10" a="1"/>
  <c r="T184" i="10" s="1"/>
  <c r="I184" i="10" a="1"/>
  <c r="I184" i="10" s="1"/>
  <c r="AL184" i="10" a="1"/>
  <c r="AL184" i="10" s="1"/>
  <c r="X184" i="10" a="1"/>
  <c r="X184" i="10" s="1"/>
  <c r="Y121" i="10" a="1"/>
  <c r="Y121" i="10" s="1"/>
  <c r="G136" i="10" a="1"/>
  <c r="G136" i="10" s="1"/>
  <c r="AI136" i="10" a="1"/>
  <c r="AI136" i="10" s="1"/>
  <c r="AK178" i="10" a="1"/>
  <c r="AK178" i="10" s="1"/>
  <c r="Y178" i="10" a="1"/>
  <c r="Y178" i="10" s="1"/>
  <c r="AP178" i="10" a="1"/>
  <c r="AP178" i="10" s="1"/>
  <c r="H178" i="10" a="1"/>
  <c r="H178" i="10" s="1"/>
  <c r="AN118" i="10" a="1"/>
  <c r="AN118" i="10" s="1"/>
  <c r="M118" i="10" a="1"/>
  <c r="M118" i="10" s="1"/>
  <c r="S118" i="10" a="1"/>
  <c r="S118" i="10" s="1"/>
  <c r="AH118" i="10" a="1"/>
  <c r="AH118" i="10" s="1"/>
  <c r="M130" i="10" a="1"/>
  <c r="M130" i="10" s="1"/>
  <c r="AE130" i="10" a="1"/>
  <c r="AE130" i="10" s="1"/>
  <c r="AP163" i="10" a="1"/>
  <c r="AP163" i="10" s="1"/>
  <c r="AG163" i="10" a="1"/>
  <c r="AG163" i="10" s="1"/>
  <c r="AF163" i="10" a="1"/>
  <c r="AF163" i="10" s="1"/>
  <c r="AO163" i="10" a="1"/>
  <c r="AO163" i="10" s="1"/>
  <c r="T124" i="10" a="1"/>
  <c r="T124" i="10" s="1"/>
  <c r="AK124" i="10" a="1"/>
  <c r="AK124" i="10" s="1"/>
  <c r="AD124" i="10" a="1"/>
  <c r="AD124" i="10" s="1"/>
  <c r="AG124" i="10" a="1"/>
  <c r="AG124" i="10" s="1"/>
  <c r="J124" i="10" a="1"/>
  <c r="J124" i="10" s="1"/>
  <c r="AC139" i="10" a="1"/>
  <c r="AC139" i="10" s="1"/>
  <c r="AD139" i="10" a="1"/>
  <c r="AD139" i="10" s="1"/>
  <c r="G139" i="10" a="1"/>
  <c r="G139" i="10" s="1"/>
  <c r="T139" i="10" a="1"/>
  <c r="T139" i="10" s="1"/>
  <c r="AE139" i="10" a="1"/>
  <c r="AE139" i="10" s="1"/>
  <c r="AC175" i="10" a="1"/>
  <c r="AC175" i="10" s="1"/>
  <c r="I175" i="10" a="1"/>
  <c r="I175" i="10" s="1"/>
  <c r="Z175" i="10" a="1"/>
  <c r="Z175" i="10" s="1"/>
  <c r="K175" i="10" a="1"/>
  <c r="K175" i="10" s="1"/>
  <c r="AA175" i="10" a="1"/>
  <c r="AA175" i="10" s="1"/>
  <c r="V109" i="58885" a="1"/>
  <c r="V109" i="58885" s="1"/>
  <c r="Y109" i="58885" s="1" a="1"/>
  <c r="Y109" i="58885" s="1"/>
  <c r="X109" i="58885" a="1"/>
  <c r="X109" i="58885" s="1"/>
  <c r="W109" i="58885" a="1"/>
  <c r="W109" i="58885" s="1"/>
  <c r="Z109" i="58885" s="1" a="1"/>
  <c r="Z109" i="58885" s="1"/>
  <c r="V110" i="58885" a="1"/>
  <c r="V110" i="58885" s="1"/>
  <c r="Y110" i="58885" s="1" a="1"/>
  <c r="Y110" i="58885" s="1"/>
  <c r="W110" i="58885" a="1"/>
  <c r="W110" i="58885" s="1"/>
  <c r="Z110" i="58885" s="1" a="1"/>
  <c r="Z110" i="58885" s="1"/>
  <c r="X110" i="58885" a="1"/>
  <c r="X110" i="58885" s="1"/>
  <c r="W195" i="58885" a="1"/>
  <c r="W195" i="58885" s="1"/>
  <c r="V195" i="58885" a="1"/>
  <c r="V195" i="58885" s="1"/>
  <c r="W215" i="58885" a="1"/>
  <c r="W215" i="58885" s="1"/>
  <c r="V215" i="58885" a="1"/>
  <c r="V215" i="58885" s="1"/>
  <c r="V108" i="58885" a="1"/>
  <c r="V108" i="58885" s="1"/>
  <c r="W108" i="58885" a="1"/>
  <c r="W108" i="58885" s="1"/>
  <c r="W248" i="58885" a="1"/>
  <c r="W248" i="58885" s="1"/>
  <c r="V248" i="58885" a="1"/>
  <c r="V248" i="58885" s="1"/>
  <c r="I190" i="10" a="1"/>
  <c r="I190" i="10" s="1"/>
  <c r="AB190" i="10" a="1"/>
  <c r="AB190" i="10" s="1"/>
  <c r="Y190" i="10" a="1"/>
  <c r="Y190" i="10" s="1"/>
  <c r="V190" i="10" a="1"/>
  <c r="V190" i="10" s="1"/>
  <c r="AP190" i="10" a="1"/>
  <c r="AP190" i="10" s="1"/>
  <c r="AE193" i="10" a="1"/>
  <c r="AE193" i="10" s="1"/>
  <c r="AP193" i="10" a="1"/>
  <c r="AP193" i="10" s="1"/>
  <c r="AG193" i="10" a="1"/>
  <c r="AG193" i="10" s="1"/>
  <c r="X193" i="10" a="1"/>
  <c r="X193" i="10" s="1"/>
  <c r="AG181" i="10" a="1"/>
  <c r="AG181" i="10" s="1"/>
  <c r="Q181" i="10" a="1"/>
  <c r="Q181" i="10" s="1"/>
  <c r="L181" i="10" a="1"/>
  <c r="L181" i="10" s="1"/>
  <c r="AF181" i="10" a="1"/>
  <c r="AF181" i="10" s="1"/>
  <c r="AK181" i="10" a="1"/>
  <c r="AK181" i="10" s="1"/>
  <c r="AD184" i="10" a="1"/>
  <c r="AD184" i="10" s="1"/>
  <c r="Q184" i="10" a="1"/>
  <c r="Q184" i="10" s="1"/>
  <c r="AA184" i="10" a="1"/>
  <c r="AA184" i="10" s="1"/>
  <c r="AM184" i="10" a="1"/>
  <c r="AM184" i="10" s="1"/>
  <c r="V184" i="10" a="1"/>
  <c r="V184" i="10" s="1"/>
  <c r="O154" i="10" a="1"/>
  <c r="O154" i="10" s="1"/>
  <c r="Q154" i="10" a="1"/>
  <c r="Q154" i="10" s="1"/>
  <c r="Y154" i="10" a="1"/>
  <c r="Y154" i="10" s="1"/>
  <c r="AK154" i="10" a="1"/>
  <c r="AK154" i="10" s="1"/>
  <c r="AO121" i="10" a="1"/>
  <c r="AO121" i="10" s="1"/>
  <c r="O121" i="10" a="1"/>
  <c r="O121" i="10" s="1"/>
  <c r="H121" i="10" a="1"/>
  <c r="H121" i="10" s="1"/>
  <c r="AI121" i="10" a="1"/>
  <c r="AI121" i="10" s="1"/>
  <c r="AB121" i="10" a="1"/>
  <c r="AB121" i="10" s="1"/>
  <c r="AJ199" i="10" a="1"/>
  <c r="AJ199" i="10" s="1"/>
  <c r="Q199" i="10" a="1"/>
  <c r="Q199" i="10" s="1"/>
  <c r="AC199" i="10" a="1"/>
  <c r="AC199" i="10" s="1"/>
  <c r="Y136" i="10" a="1"/>
  <c r="Y136" i="10" s="1"/>
  <c r="I136" i="10" a="1"/>
  <c r="I136" i="10" s="1"/>
  <c r="AN127" i="10" a="1"/>
  <c r="AN127" i="10" s="1"/>
  <c r="AL127" i="10" a="1"/>
  <c r="AL127" i="10" s="1"/>
  <c r="T127" i="10" a="1"/>
  <c r="T127" i="10" s="1"/>
  <c r="O127" i="10" a="1"/>
  <c r="O127" i="10" s="1"/>
  <c r="M208" i="10" a="1"/>
  <c r="M208" i="10" s="1"/>
  <c r="R208" i="10" a="1"/>
  <c r="R208" i="10" s="1"/>
  <c r="S208" i="10" a="1"/>
  <c r="S208" i="10" s="1"/>
  <c r="AP208" i="10" a="1"/>
  <c r="AP208" i="10" s="1"/>
  <c r="Q208" i="10" a="1"/>
  <c r="Q208" i="10" s="1"/>
  <c r="AD208" i="10" a="1"/>
  <c r="AD208" i="10" s="1"/>
  <c r="AI208" i="10" a="1"/>
  <c r="AI208" i="10" s="1"/>
  <c r="AC208" i="10" a="1"/>
  <c r="AC208" i="10" s="1"/>
  <c r="N208" i="10" a="1"/>
  <c r="N208" i="10" s="1"/>
  <c r="V208" i="10" a="1"/>
  <c r="V208" i="10" s="1"/>
  <c r="AH208" i="10" a="1"/>
  <c r="AH208" i="10" s="1"/>
  <c r="AB208" i="10" a="1"/>
  <c r="AB208" i="10" s="1"/>
  <c r="K208" i="10" a="1"/>
  <c r="K208" i="10" s="1"/>
  <c r="AG208" i="10" a="1"/>
  <c r="AG208" i="10" s="1"/>
  <c r="AN208" i="10" a="1"/>
  <c r="AN208" i="10" s="1"/>
  <c r="J208" i="10" a="1"/>
  <c r="J208" i="10" s="1"/>
  <c r="AM208" i="10" a="1"/>
  <c r="AM208" i="10" s="1"/>
  <c r="H208" i="10" a="1"/>
  <c r="H208" i="10" s="1"/>
  <c r="X208" i="10" a="1"/>
  <c r="X208" i="10" s="1"/>
  <c r="L208" i="10" a="1"/>
  <c r="L208" i="10" s="1"/>
  <c r="P208" i="10" a="1"/>
  <c r="P208" i="10" s="1"/>
  <c r="O208" i="10" a="1"/>
  <c r="O208" i="10" s="1"/>
  <c r="Y208" i="10" a="1"/>
  <c r="Y208" i="10" s="1"/>
  <c r="AO208" i="10" a="1"/>
  <c r="AO208" i="10" s="1"/>
  <c r="W208" i="10" a="1"/>
  <c r="W208" i="10" s="1"/>
  <c r="G208" i="10" a="1"/>
  <c r="G208" i="10" s="1"/>
  <c r="Z208" i="10" a="1"/>
  <c r="Z208" i="10" s="1"/>
  <c r="U208" i="10" a="1"/>
  <c r="U208" i="10" s="1"/>
  <c r="AL208" i="10" a="1"/>
  <c r="AL208" i="10" s="1"/>
  <c r="AS208" i="10"/>
  <c r="AA208" i="10" a="1"/>
  <c r="AA208" i="10" s="1"/>
  <c r="AF208" i="10" a="1"/>
  <c r="AF208" i="10" s="1"/>
  <c r="AE208" i="10" a="1"/>
  <c r="AE208" i="10" s="1"/>
  <c r="AK208" i="10" a="1"/>
  <c r="AK208" i="10" s="1"/>
  <c r="AJ208" i="10" a="1"/>
  <c r="AJ208" i="10" s="1"/>
  <c r="I208" i="10" a="1"/>
  <c r="I208" i="10" s="1"/>
  <c r="T208" i="10" a="1"/>
  <c r="T208" i="10" s="1"/>
  <c r="AD178" i="10" a="1"/>
  <c r="AD178" i="10" s="1"/>
  <c r="AB178" i="10" a="1"/>
  <c r="AB178" i="10" s="1"/>
  <c r="W178" i="10" a="1"/>
  <c r="W178" i="10" s="1"/>
  <c r="Q178" i="10" a="1"/>
  <c r="Q178" i="10" s="1"/>
  <c r="Q145" i="10" a="1"/>
  <c r="Q145" i="10" s="1"/>
  <c r="O145" i="10" a="1"/>
  <c r="O145" i="10" s="1"/>
  <c r="AP145" i="10" a="1"/>
  <c r="AP145" i="10" s="1"/>
  <c r="AJ118" i="10" a="1"/>
  <c r="AJ118" i="10" s="1"/>
  <c r="Q118" i="10" a="1"/>
  <c r="Q118" i="10" s="1"/>
  <c r="AI118" i="10" a="1"/>
  <c r="AI118" i="10" s="1"/>
  <c r="AP118" i="10" a="1"/>
  <c r="AP118" i="10" s="1"/>
  <c r="T130" i="10" a="1"/>
  <c r="T130" i="10" s="1"/>
  <c r="AF130" i="10" a="1"/>
  <c r="AF130" i="10" s="1"/>
  <c r="AI163" i="10" a="1"/>
  <c r="AI163" i="10" s="1"/>
  <c r="AJ163" i="10" a="1"/>
  <c r="AJ163" i="10" s="1"/>
  <c r="J163" i="10" a="1"/>
  <c r="J163" i="10" s="1"/>
  <c r="U163" i="10" a="1"/>
  <c r="U163" i="10" s="1"/>
  <c r="V163" i="10" a="1"/>
  <c r="V163" i="10" s="1"/>
  <c r="AI205" i="10" a="1"/>
  <c r="AI205" i="10" s="1"/>
  <c r="P205" i="10" a="1"/>
  <c r="P205" i="10" s="1"/>
  <c r="AB205" i="10" a="1"/>
  <c r="AB205" i="10" s="1"/>
  <c r="AN205" i="10" a="1"/>
  <c r="AN205" i="10" s="1"/>
  <c r="AH205" i="10" a="1"/>
  <c r="AH205" i="10" s="1"/>
  <c r="AD205" i="10" a="1"/>
  <c r="AD205" i="10" s="1"/>
  <c r="K205" i="10" a="1"/>
  <c r="K205" i="10" s="1"/>
  <c r="S205" i="10" a="1"/>
  <c r="S205" i="10" s="1"/>
  <c r="R205" i="10" a="1"/>
  <c r="R205" i="10" s="1"/>
  <c r="AE205" i="10" a="1"/>
  <c r="AE205" i="10" s="1"/>
  <c r="AJ205" i="10" a="1"/>
  <c r="AJ205" i="10" s="1"/>
  <c r="Q205" i="10" a="1"/>
  <c r="Q205" i="10" s="1"/>
  <c r="W205" i="10" a="1"/>
  <c r="W205" i="10" s="1"/>
  <c r="I205" i="10" a="1"/>
  <c r="I205" i="10" s="1"/>
  <c r="X205" i="10" a="1"/>
  <c r="X205" i="10" s="1"/>
  <c r="H205" i="10" a="1"/>
  <c r="H205" i="10" s="1"/>
  <c r="V205" i="10" a="1"/>
  <c r="V205" i="10" s="1"/>
  <c r="AG205" i="10" a="1"/>
  <c r="AG205" i="10" s="1"/>
  <c r="AP205" i="10" a="1"/>
  <c r="AP205" i="10" s="1"/>
  <c r="AC205" i="10" a="1"/>
  <c r="AC205" i="10" s="1"/>
  <c r="T205" i="10" a="1"/>
  <c r="T205" i="10" s="1"/>
  <c r="AA205" i="10" a="1"/>
  <c r="AA205" i="10" s="1"/>
  <c r="AK205" i="10" a="1"/>
  <c r="AK205" i="10" s="1"/>
  <c r="U205" i="10" a="1"/>
  <c r="U205" i="10" s="1"/>
  <c r="Y205" i="10" a="1"/>
  <c r="Y205" i="10" s="1"/>
  <c r="AL205" i="10" a="1"/>
  <c r="AL205" i="10" s="1"/>
  <c r="G205" i="10" a="1"/>
  <c r="G205" i="10" s="1"/>
  <c r="N205" i="10" a="1"/>
  <c r="N205" i="10" s="1"/>
  <c r="AO205" i="10" a="1"/>
  <c r="AO205" i="10" s="1"/>
  <c r="O205" i="10" a="1"/>
  <c r="O205" i="10" s="1"/>
  <c r="Z205" i="10" a="1"/>
  <c r="Z205" i="10" s="1"/>
  <c r="AM205" i="10" a="1"/>
  <c r="AM205" i="10" s="1"/>
  <c r="AF205" i="10" a="1"/>
  <c r="AF205" i="10" s="1"/>
  <c r="J205" i="10" a="1"/>
  <c r="J205" i="10" s="1"/>
  <c r="M205" i="10" a="1"/>
  <c r="M205" i="10" s="1"/>
  <c r="L205" i="10" a="1"/>
  <c r="L205" i="10" s="1"/>
  <c r="AS205" i="10"/>
  <c r="AL124" i="10" a="1"/>
  <c r="AL124" i="10" s="1"/>
  <c r="L124" i="10" a="1"/>
  <c r="L124" i="10" s="1"/>
  <c r="AH124" i="10" a="1"/>
  <c r="AH124" i="10" s="1"/>
  <c r="O124" i="10" a="1"/>
  <c r="O124" i="10" s="1"/>
  <c r="AI124" i="10" a="1"/>
  <c r="AI124" i="10" s="1"/>
  <c r="P148" i="10" a="1"/>
  <c r="P148" i="10" s="1"/>
  <c r="T148" i="10" a="1"/>
  <c r="T148" i="10" s="1"/>
  <c r="AN148" i="10" a="1"/>
  <c r="AN148" i="10" s="1"/>
  <c r="U148" i="10" a="1"/>
  <c r="U148" i="10" s="1"/>
  <c r="AF148" i="10" a="1"/>
  <c r="AF148" i="10" s="1"/>
  <c r="AF250" i="10" a="1"/>
  <c r="AF250" i="10" s="1"/>
  <c r="Z250" i="10" a="1"/>
  <c r="Z250" i="10" s="1"/>
  <c r="AB250" i="10" a="1"/>
  <c r="AB250" i="10" s="1"/>
  <c r="M250" i="10" a="1"/>
  <c r="M250" i="10" s="1"/>
  <c r="L250" i="10" a="1"/>
  <c r="L250" i="10" s="1"/>
  <c r="AC250" i="10" a="1"/>
  <c r="AC250" i="10" s="1"/>
  <c r="W250" i="10" a="1"/>
  <c r="W250" i="10" s="1"/>
  <c r="I250" i="10" a="1"/>
  <c r="I250" i="10" s="1"/>
  <c r="H250" i="10" a="1"/>
  <c r="H250" i="10" s="1"/>
  <c r="Y250" i="10" a="1"/>
  <c r="Y250" i="10" s="1"/>
  <c r="S250" i="10" a="1"/>
  <c r="S250" i="10" s="1"/>
  <c r="K250" i="10" a="1"/>
  <c r="K250" i="10" s="1"/>
  <c r="G250" i="10" a="1"/>
  <c r="G250" i="10" s="1"/>
  <c r="AN250" i="10" a="1"/>
  <c r="AN250" i="10" s="1"/>
  <c r="AA250" i="10" a="1"/>
  <c r="AA250" i="10" s="1"/>
  <c r="AH250" i="10" a="1"/>
  <c r="AH250" i="10" s="1"/>
  <c r="AM250" i="10" a="1"/>
  <c r="AM250" i="10" s="1"/>
  <c r="AG250" i="10" a="1"/>
  <c r="AG250" i="10" s="1"/>
  <c r="Q250" i="10" a="1"/>
  <c r="Q250" i="10" s="1"/>
  <c r="T250" i="10" a="1"/>
  <c r="T250" i="10" s="1"/>
  <c r="N250" i="10" a="1"/>
  <c r="N250" i="10" s="1"/>
  <c r="AE250" i="10" a="1"/>
  <c r="AE250" i="10" s="1"/>
  <c r="AL250" i="10" a="1"/>
  <c r="AL250" i="10" s="1"/>
  <c r="AD250" i="10" a="1"/>
  <c r="AD250" i="10" s="1"/>
  <c r="AS250" i="10"/>
  <c r="AJ250" i="10" a="1"/>
  <c r="AJ250" i="10" s="1"/>
  <c r="AI250" i="10" a="1"/>
  <c r="AI250" i="10" s="1"/>
  <c r="P250" i="10" a="1"/>
  <c r="P250" i="10" s="1"/>
  <c r="V250" i="10" a="1"/>
  <c r="V250" i="10" s="1"/>
  <c r="AP250" i="10" a="1"/>
  <c r="AP250" i="10" s="1"/>
  <c r="O250" i="10" a="1"/>
  <c r="O250" i="10" s="1"/>
  <c r="AO250" i="10" a="1"/>
  <c r="AO250" i="10" s="1"/>
  <c r="J250" i="10" a="1"/>
  <c r="J250" i="10" s="1"/>
  <c r="AK250" i="10" a="1"/>
  <c r="AK250" i="10" s="1"/>
  <c r="R250" i="10" a="1"/>
  <c r="R250" i="10" s="1"/>
  <c r="X250" i="10" a="1"/>
  <c r="X250" i="10" s="1"/>
  <c r="U250" i="10" a="1"/>
  <c r="U250" i="10" s="1"/>
  <c r="AB196" i="10" a="1"/>
  <c r="AB196" i="10" s="1"/>
  <c r="Q139" i="10" a="1"/>
  <c r="Q139" i="10" s="1"/>
  <c r="AI139" i="10" a="1"/>
  <c r="AI139" i="10" s="1"/>
  <c r="AA139" i="10" a="1"/>
  <c r="AA139" i="10" s="1"/>
  <c r="M139" i="10" a="1"/>
  <c r="M139" i="10" s="1"/>
  <c r="AF139" i="10" a="1"/>
  <c r="AF139" i="10" s="1"/>
  <c r="Y175" i="10" a="1"/>
  <c r="Y175" i="10" s="1"/>
  <c r="AN175" i="10" a="1"/>
  <c r="AN175" i="10" s="1"/>
  <c r="AJ175" i="10" a="1"/>
  <c r="AJ175" i="10" s="1"/>
  <c r="AL175" i="10" a="1"/>
  <c r="AL175" i="10" s="1"/>
  <c r="AH175" i="10" a="1"/>
  <c r="AH175" i="10" s="1"/>
  <c r="X202" i="10" a="1"/>
  <c r="X202" i="10" s="1"/>
  <c r="Y202" i="10" a="1"/>
  <c r="Y202" i="10" s="1"/>
  <c r="AH202" i="10" a="1"/>
  <c r="AH202" i="10" s="1"/>
  <c r="AA202" i="10" a="1"/>
  <c r="AA202" i="10" s="1"/>
  <c r="M202" i="10" a="1"/>
  <c r="M202" i="10" s="1"/>
  <c r="S202" i="10" a="1"/>
  <c r="S202" i="10" s="1"/>
  <c r="U202" i="10" a="1"/>
  <c r="U202" i="10" s="1"/>
  <c r="H202" i="10" a="1"/>
  <c r="H202" i="10" s="1"/>
  <c r="R202" i="10" a="1"/>
  <c r="R202" i="10" s="1"/>
  <c r="L202" i="10" a="1"/>
  <c r="L202" i="10" s="1"/>
  <c r="I202" i="10" a="1"/>
  <c r="I202" i="10" s="1"/>
  <c r="N202" i="10" a="1"/>
  <c r="N202" i="10" s="1"/>
  <c r="K202" i="10" a="1"/>
  <c r="K202" i="10" s="1"/>
  <c r="AS202" i="10"/>
  <c r="V202" i="10" a="1"/>
  <c r="V202" i="10" s="1"/>
  <c r="AN202" i="10" a="1"/>
  <c r="AN202" i="10" s="1"/>
  <c r="G202" i="10" a="1"/>
  <c r="G202" i="10" s="1"/>
  <c r="Z202" i="10" a="1"/>
  <c r="Z202" i="10" s="1"/>
  <c r="AI202" i="10" a="1"/>
  <c r="AI202" i="10" s="1"/>
  <c r="AE202" i="10" a="1"/>
  <c r="AE202" i="10" s="1"/>
  <c r="Q202" i="10" a="1"/>
  <c r="Q202" i="10" s="1"/>
  <c r="AM202" i="10" a="1"/>
  <c r="AM202" i="10" s="1"/>
  <c r="AK202" i="10" a="1"/>
  <c r="AK202" i="10" s="1"/>
  <c r="W202" i="10" a="1"/>
  <c r="W202" i="10" s="1"/>
  <c r="T202" i="10" a="1"/>
  <c r="T202" i="10" s="1"/>
  <c r="AG202" i="10" a="1"/>
  <c r="AG202" i="10" s="1"/>
  <c r="O202" i="10" a="1"/>
  <c r="O202" i="10" s="1"/>
  <c r="AO202" i="10" a="1"/>
  <c r="AO202" i="10" s="1"/>
  <c r="J202" i="10" a="1"/>
  <c r="J202" i="10" s="1"/>
  <c r="AL202" i="10" a="1"/>
  <c r="AL202" i="10" s="1"/>
  <c r="AP202" i="10" a="1"/>
  <c r="AP202" i="10" s="1"/>
  <c r="P202" i="10" a="1"/>
  <c r="P202" i="10" s="1"/>
  <c r="AC202" i="10" a="1"/>
  <c r="AC202" i="10" s="1"/>
  <c r="AJ202" i="10" a="1"/>
  <c r="AJ202" i="10" s="1"/>
  <c r="AF202" i="10" a="1"/>
  <c r="AF202" i="10" s="1"/>
  <c r="AD202" i="10" a="1"/>
  <c r="AD202" i="10" s="1"/>
  <c r="AB202" i="10" a="1"/>
  <c r="AB202" i="10" s="1"/>
  <c r="V101" i="58885" a="1"/>
  <c r="V101" i="58885" s="1"/>
  <c r="X101" i="58885" a="1"/>
  <c r="X101" i="58885" s="1"/>
  <c r="W101" i="58885" a="1"/>
  <c r="W101" i="58885" s="1"/>
  <c r="W254" i="58885" a="1"/>
  <c r="W254" i="58885" s="1"/>
  <c r="V254" i="58885" a="1"/>
  <c r="V254" i="58885" s="1"/>
  <c r="V133" i="58885" a="1"/>
  <c r="V133" i="58885" s="1"/>
  <c r="Y133" i="58885" s="1" a="1"/>
  <c r="Y133" i="58885" s="1"/>
  <c r="X133" i="58885" a="1"/>
  <c r="X133" i="58885" s="1"/>
  <c r="W133" i="58885" a="1"/>
  <c r="W133" i="58885" s="1"/>
  <c r="Z133" i="58885" s="1" a="1"/>
  <c r="Z133" i="58885" s="1"/>
  <c r="W114" i="58885" a="1"/>
  <c r="W114" i="58885" s="1"/>
  <c r="V114" i="58885" a="1"/>
  <c r="V114" i="58885" s="1"/>
  <c r="H13" i="58887" s="1" a="1"/>
  <c r="H13" i="58887" s="1"/>
  <c r="V208" i="58885" a="1"/>
  <c r="V208" i="58885" s="1"/>
  <c r="W208" i="58885" a="1"/>
  <c r="W208" i="58885" s="1"/>
  <c r="W192" i="58885" a="1"/>
  <c r="W192" i="58885" s="1"/>
  <c r="V192" i="58885" a="1"/>
  <c r="V192" i="58885" s="1"/>
  <c r="W190" i="10" a="1"/>
  <c r="W190" i="10" s="1"/>
  <c r="Z190" i="10" a="1"/>
  <c r="Z190" i="10" s="1"/>
  <c r="J190" i="10" a="1"/>
  <c r="J190" i="10" s="1"/>
  <c r="AD190" i="10" a="1"/>
  <c r="AD190" i="10" s="1"/>
  <c r="AB193" i="10" a="1"/>
  <c r="AB193" i="10" s="1"/>
  <c r="AL193" i="10" a="1"/>
  <c r="AL193" i="10" s="1"/>
  <c r="K193" i="10" a="1"/>
  <c r="K193" i="10" s="1"/>
  <c r="J193" i="10" a="1"/>
  <c r="J193" i="10" s="1"/>
  <c r="AE181" i="10" a="1"/>
  <c r="AE181" i="10" s="1"/>
  <c r="X181" i="10" a="1"/>
  <c r="X181" i="10" s="1"/>
  <c r="AM181" i="10" a="1"/>
  <c r="AM181" i="10" s="1"/>
  <c r="G181" i="10" a="1"/>
  <c r="G181" i="10" s="1"/>
  <c r="U181" i="10" a="1"/>
  <c r="U181" i="10" s="1"/>
  <c r="P184" i="10" a="1"/>
  <c r="P184" i="10" s="1"/>
  <c r="AF184" i="10" a="1"/>
  <c r="AF184" i="10" s="1"/>
  <c r="L184" i="10" a="1"/>
  <c r="L184" i="10" s="1"/>
  <c r="AE184" i="10" a="1"/>
  <c r="AE184" i="10" s="1"/>
  <c r="O184" i="10" a="1"/>
  <c r="O184" i="10" s="1"/>
  <c r="AF154" i="10" a="1"/>
  <c r="AF154" i="10" s="1"/>
  <c r="U154" i="10" a="1"/>
  <c r="U154" i="10" s="1"/>
  <c r="AL154" i="10" a="1"/>
  <c r="AL154" i="10" s="1"/>
  <c r="AH154" i="10" a="1"/>
  <c r="AH154" i="10" s="1"/>
  <c r="G121" i="10" a="1"/>
  <c r="G121" i="10" s="1"/>
  <c r="Z121" i="10" a="1"/>
  <c r="Z121" i="10" s="1"/>
  <c r="W121" i="10" a="1"/>
  <c r="W121" i="10" s="1"/>
  <c r="AJ121" i="10" a="1"/>
  <c r="AJ121" i="10" s="1"/>
  <c r="AH136" i="10" a="1"/>
  <c r="AH136" i="10" s="1"/>
  <c r="AN136" i="10" a="1"/>
  <c r="AN136" i="10" s="1"/>
  <c r="AJ136" i="10" a="1"/>
  <c r="AJ136" i="10" s="1"/>
  <c r="H127" i="10" a="1"/>
  <c r="H127" i="10" s="1"/>
  <c r="U127" i="10" a="1"/>
  <c r="U127" i="10" s="1"/>
  <c r="AM127" i="10" a="1"/>
  <c r="AM127" i="10" s="1"/>
  <c r="AH127" i="10" a="1"/>
  <c r="AH127" i="10" s="1"/>
  <c r="P178" i="10" a="1"/>
  <c r="P178" i="10" s="1"/>
  <c r="AO178" i="10" a="1"/>
  <c r="AO178" i="10" s="1"/>
  <c r="X178" i="10" a="1"/>
  <c r="X178" i="10" s="1"/>
  <c r="T178" i="10" a="1"/>
  <c r="T178" i="10" s="1"/>
  <c r="V145" i="10" a="1"/>
  <c r="V145" i="10" s="1"/>
  <c r="AS145" i="10"/>
  <c r="AK220" i="10" a="1"/>
  <c r="AK220" i="10" s="1"/>
  <c r="S220" i="10" a="1"/>
  <c r="S220" i="10" s="1"/>
  <c r="R220" i="10" a="1"/>
  <c r="R220" i="10" s="1"/>
  <c r="AH220" i="10" a="1"/>
  <c r="AH220" i="10" s="1"/>
  <c r="I220" i="10" a="1"/>
  <c r="I220" i="10" s="1"/>
  <c r="G220" i="10" a="1"/>
  <c r="G220" i="10" s="1"/>
  <c r="AO220" i="10" a="1"/>
  <c r="AO220" i="10" s="1"/>
  <c r="AN220" i="10" a="1"/>
  <c r="AN220" i="10" s="1"/>
  <c r="AI220" i="10" a="1"/>
  <c r="AI220" i="10" s="1"/>
  <c r="H220" i="10" a="1"/>
  <c r="H220" i="10" s="1"/>
  <c r="AF220" i="10" a="1"/>
  <c r="AF220" i="10" s="1"/>
  <c r="K220" i="10" a="1"/>
  <c r="K220" i="10" s="1"/>
  <c r="U220" i="10" a="1"/>
  <c r="U220" i="10" s="1"/>
  <c r="AS220" i="10"/>
  <c r="M220" i="10" a="1"/>
  <c r="M220" i="10" s="1"/>
  <c r="L220" i="10" a="1"/>
  <c r="L220" i="10" s="1"/>
  <c r="AA220" i="10" a="1"/>
  <c r="AA220" i="10" s="1"/>
  <c r="Y220" i="10" a="1"/>
  <c r="Y220" i="10" s="1"/>
  <c r="Q220" i="10" a="1"/>
  <c r="Q220" i="10" s="1"/>
  <c r="AM220" i="10" a="1"/>
  <c r="AM220" i="10" s="1"/>
  <c r="AC220" i="10" a="1"/>
  <c r="AC220" i="10" s="1"/>
  <c r="Z220" i="10" a="1"/>
  <c r="Z220" i="10" s="1"/>
  <c r="V220" i="10" a="1"/>
  <c r="V220" i="10" s="1"/>
  <c r="J220" i="10" a="1"/>
  <c r="J220" i="10" s="1"/>
  <c r="AG220" i="10" a="1"/>
  <c r="AG220" i="10" s="1"/>
  <c r="O220" i="10" a="1"/>
  <c r="O220" i="10" s="1"/>
  <c r="AJ220" i="10" a="1"/>
  <c r="AJ220" i="10" s="1"/>
  <c r="AP220" i="10" a="1"/>
  <c r="AP220" i="10" s="1"/>
  <c r="AB220" i="10" a="1"/>
  <c r="AB220" i="10" s="1"/>
  <c r="T220" i="10" a="1"/>
  <c r="T220" i="10" s="1"/>
  <c r="AE220" i="10" a="1"/>
  <c r="AE220" i="10" s="1"/>
  <c r="W220" i="10" a="1"/>
  <c r="W220" i="10" s="1"/>
  <c r="AL220" i="10" a="1"/>
  <c r="AL220" i="10" s="1"/>
  <c r="N220" i="10" a="1"/>
  <c r="N220" i="10" s="1"/>
  <c r="P220" i="10" a="1"/>
  <c r="P220" i="10" s="1"/>
  <c r="X220" i="10" a="1"/>
  <c r="X220" i="10" s="1"/>
  <c r="AD220" i="10" a="1"/>
  <c r="AD220" i="10" s="1"/>
  <c r="AO118" i="10" a="1"/>
  <c r="AO118" i="10" s="1"/>
  <c r="AD118" i="10" a="1"/>
  <c r="AD118" i="10" s="1"/>
  <c r="K118" i="10" a="1"/>
  <c r="K118" i="10" s="1"/>
  <c r="G118" i="10" a="1"/>
  <c r="G118" i="10" s="1"/>
  <c r="AM130" i="10" a="1"/>
  <c r="AM130" i="10" s="1"/>
  <c r="AD130" i="10" a="1"/>
  <c r="AD130" i="10" s="1"/>
  <c r="G163" i="10" a="1"/>
  <c r="G163" i="10" s="1"/>
  <c r="AD163" i="10" a="1"/>
  <c r="AD163" i="10" s="1"/>
  <c r="I163" i="10" a="1"/>
  <c r="I163" i="10" s="1"/>
  <c r="K163" i="10" a="1"/>
  <c r="K163" i="10" s="1"/>
  <c r="AK166" i="10" a="1"/>
  <c r="AK166" i="10" s="1"/>
  <c r="AS166" i="10"/>
  <c r="W169" i="10" a="1"/>
  <c r="W169" i="10" s="1"/>
  <c r="R169" i="10" a="1"/>
  <c r="R169" i="10" s="1"/>
  <c r="AS223" i="10"/>
  <c r="AK223" i="10" a="1"/>
  <c r="AK223" i="10" s="1"/>
  <c r="AN223" i="10" a="1"/>
  <c r="AN223" i="10" s="1"/>
  <c r="K223" i="10" a="1"/>
  <c r="K223" i="10" s="1"/>
  <c r="Q223" i="10" a="1"/>
  <c r="Q223" i="10" s="1"/>
  <c r="AD223" i="10" a="1"/>
  <c r="AD223" i="10" s="1"/>
  <c r="L223" i="10" a="1"/>
  <c r="L223" i="10" s="1"/>
  <c r="AJ223" i="10" a="1"/>
  <c r="AJ223" i="10" s="1"/>
  <c r="W223" i="10" a="1"/>
  <c r="W223" i="10" s="1"/>
  <c r="P223" i="10" a="1"/>
  <c r="P223" i="10" s="1"/>
  <c r="J223" i="10" a="1"/>
  <c r="J223" i="10" s="1"/>
  <c r="H223" i="10" a="1"/>
  <c r="H223" i="10" s="1"/>
  <c r="U223" i="10" a="1"/>
  <c r="U223" i="10" s="1"/>
  <c r="M223" i="10" a="1"/>
  <c r="M223" i="10" s="1"/>
  <c r="AF223" i="10" a="1"/>
  <c r="AF223" i="10" s="1"/>
  <c r="R223" i="10" a="1"/>
  <c r="R223" i="10" s="1"/>
  <c r="O223" i="10" a="1"/>
  <c r="O223" i="10" s="1"/>
  <c r="AP223" i="10" a="1"/>
  <c r="AP223" i="10" s="1"/>
  <c r="S223" i="10" a="1"/>
  <c r="S223" i="10" s="1"/>
  <c r="N223" i="10" a="1"/>
  <c r="N223" i="10" s="1"/>
  <c r="AB223" i="10" a="1"/>
  <c r="AB223" i="10" s="1"/>
  <c r="G223" i="10" a="1"/>
  <c r="G223" i="10" s="1"/>
  <c r="AL223" i="10" a="1"/>
  <c r="AL223" i="10" s="1"/>
  <c r="AH223" i="10" a="1"/>
  <c r="AH223" i="10" s="1"/>
  <c r="I223" i="10" a="1"/>
  <c r="I223" i="10" s="1"/>
  <c r="AA223" i="10" a="1"/>
  <c r="AA223" i="10" s="1"/>
  <c r="X223" i="10" a="1"/>
  <c r="X223" i="10" s="1"/>
  <c r="AE223" i="10" a="1"/>
  <c r="AE223" i="10" s="1"/>
  <c r="Y223" i="10" a="1"/>
  <c r="Y223" i="10" s="1"/>
  <c r="Z223" i="10" a="1"/>
  <c r="Z223" i="10" s="1"/>
  <c r="AM223" i="10" a="1"/>
  <c r="AM223" i="10" s="1"/>
  <c r="AC223" i="10" a="1"/>
  <c r="AC223" i="10" s="1"/>
  <c r="T223" i="10" a="1"/>
  <c r="T223" i="10" s="1"/>
  <c r="AG223" i="10" a="1"/>
  <c r="AG223" i="10" s="1"/>
  <c r="AO223" i="10" a="1"/>
  <c r="AO223" i="10" s="1"/>
  <c r="V223" i="10" a="1"/>
  <c r="V223" i="10" s="1"/>
  <c r="AI223" i="10" a="1"/>
  <c r="AI223" i="10" s="1"/>
  <c r="T211" i="10" a="1"/>
  <c r="T211" i="10" s="1"/>
  <c r="Z211" i="10" a="1"/>
  <c r="Z211" i="10" s="1"/>
  <c r="X211" i="10" a="1"/>
  <c r="X211" i="10" s="1"/>
  <c r="AA211" i="10" a="1"/>
  <c r="AA211" i="10" s="1"/>
  <c r="U211" i="10" a="1"/>
  <c r="U211" i="10" s="1"/>
  <c r="AB211" i="10" a="1"/>
  <c r="AB211" i="10" s="1"/>
  <c r="G211" i="10" a="1"/>
  <c r="G211" i="10" s="1"/>
  <c r="AS211" i="10"/>
  <c r="W211" i="10" a="1"/>
  <c r="W211" i="10" s="1"/>
  <c r="AM211" i="10" a="1"/>
  <c r="AM211" i="10" s="1"/>
  <c r="AO211" i="10" a="1"/>
  <c r="AO211" i="10" s="1"/>
  <c r="AP211" i="10" a="1"/>
  <c r="AP211" i="10" s="1"/>
  <c r="AH211" i="10" a="1"/>
  <c r="AH211" i="10" s="1"/>
  <c r="AC211" i="10" a="1"/>
  <c r="AC211" i="10" s="1"/>
  <c r="Q211" i="10" a="1"/>
  <c r="Q211" i="10" s="1"/>
  <c r="M211" i="10" a="1"/>
  <c r="M211" i="10" s="1"/>
  <c r="I211" i="10" a="1"/>
  <c r="I211" i="10" s="1"/>
  <c r="AD211" i="10" a="1"/>
  <c r="AD211" i="10" s="1"/>
  <c r="P211" i="10" a="1"/>
  <c r="P211" i="10" s="1"/>
  <c r="L211" i="10" a="1"/>
  <c r="L211" i="10" s="1"/>
  <c r="AJ211" i="10" a="1"/>
  <c r="AJ211" i="10" s="1"/>
  <c r="AG211" i="10" a="1"/>
  <c r="AG211" i="10" s="1"/>
  <c r="V211" i="10" a="1"/>
  <c r="V211" i="10" s="1"/>
  <c r="K211" i="10" a="1"/>
  <c r="K211" i="10" s="1"/>
  <c r="N211" i="10" a="1"/>
  <c r="N211" i="10" s="1"/>
  <c r="S211" i="10" a="1"/>
  <c r="S211" i="10" s="1"/>
  <c r="AF211" i="10" a="1"/>
  <c r="AF211" i="10" s="1"/>
  <c r="O211" i="10" a="1"/>
  <c r="O211" i="10" s="1"/>
  <c r="J211" i="10" a="1"/>
  <c r="J211" i="10" s="1"/>
  <c r="AN211" i="10" a="1"/>
  <c r="AN211" i="10" s="1"/>
  <c r="AI211" i="10" a="1"/>
  <c r="AI211" i="10" s="1"/>
  <c r="AL211" i="10" a="1"/>
  <c r="AL211" i="10" s="1"/>
  <c r="AK211" i="10" a="1"/>
  <c r="AK211" i="10" s="1"/>
  <c r="AE211" i="10" a="1"/>
  <c r="AE211" i="10" s="1"/>
  <c r="R211" i="10" a="1"/>
  <c r="R211" i="10" s="1"/>
  <c r="H211" i="10" a="1"/>
  <c r="H211" i="10" s="1"/>
  <c r="Y211" i="10" a="1"/>
  <c r="Y211" i="10" s="1"/>
  <c r="AE157" i="10" a="1"/>
  <c r="AE157" i="10" s="1"/>
  <c r="AN157" i="10" a="1"/>
  <c r="AN157" i="10" s="1"/>
  <c r="W157" i="10" a="1"/>
  <c r="W157" i="10" s="1"/>
  <c r="AB124" i="10" a="1"/>
  <c r="AB124" i="10" s="1"/>
  <c r="Y124" i="10" a="1"/>
  <c r="Y124" i="10" s="1"/>
  <c r="AE124" i="10" a="1"/>
  <c r="AE124" i="10" s="1"/>
  <c r="S142" i="10" a="1"/>
  <c r="S142" i="10" s="1"/>
  <c r="K148" i="10" a="1"/>
  <c r="K148" i="10" s="1"/>
  <c r="AB148" i="10" a="1"/>
  <c r="AB148" i="10" s="1"/>
  <c r="AC148" i="10" a="1"/>
  <c r="AC148" i="10" s="1"/>
  <c r="AJ148" i="10" a="1"/>
  <c r="AJ148" i="10" s="1"/>
  <c r="AA160" i="10" a="1"/>
  <c r="AA160" i="10" s="1"/>
  <c r="AJ196" i="10" a="1"/>
  <c r="AJ196" i="10" s="1"/>
  <c r="AK196" i="10" a="1"/>
  <c r="AK196" i="10" s="1"/>
  <c r="S196" i="10" a="1"/>
  <c r="S196" i="10" s="1"/>
  <c r="Z196" i="10" a="1"/>
  <c r="Z196" i="10" s="1"/>
  <c r="U139" i="10" a="1"/>
  <c r="U139" i="10" s="1"/>
  <c r="R139" i="10" a="1"/>
  <c r="R139" i="10" s="1"/>
  <c r="Y139" i="10" a="1"/>
  <c r="Y139" i="10" s="1"/>
  <c r="AF175" i="10" a="1"/>
  <c r="AF175" i="10" s="1"/>
  <c r="S175" i="10" a="1"/>
  <c r="S175" i="10" s="1"/>
  <c r="R175" i="10" a="1"/>
  <c r="R175" i="10" s="1"/>
  <c r="N175" i="10" a="1"/>
  <c r="N175" i="10" s="1"/>
  <c r="AQ133" i="10"/>
  <c r="AR133" i="10"/>
  <c r="Z140" i="58885" a="1"/>
  <c r="Z140" i="58885" s="1"/>
  <c r="G17" i="58837" a="1"/>
  <c r="G17" i="58837" s="1"/>
  <c r="G19" i="58837" s="1"/>
  <c r="F14" i="58837" a="1"/>
  <c r="F14" i="58837" s="1"/>
  <c r="AL146" i="10" a="1"/>
  <c r="AL146" i="10" s="1"/>
  <c r="D13" i="33"/>
  <c r="Z100" i="58885" a="1"/>
  <c r="Z100" i="58885" s="1"/>
  <c r="H16" i="58887" a="1"/>
  <c r="H16" i="58887" s="1"/>
  <c r="Y99" i="58885" a="1"/>
  <c r="Y99" i="58885" s="1"/>
  <c r="H116" i="58887" a="1"/>
  <c r="H116" i="58887" s="1"/>
  <c r="H126" i="58887" a="1"/>
  <c r="H126" i="58887" s="1"/>
  <c r="AK152" i="10" a="1"/>
  <c r="AK152" i="10" s="1"/>
  <c r="Z99" i="58885" a="1"/>
  <c r="Z99" i="58885" s="1"/>
  <c r="AL152" i="10" a="1"/>
  <c r="AL152" i="10" s="1"/>
  <c r="Y117" i="58885" a="1"/>
  <c r="Y117" i="58885" s="1"/>
  <c r="Y106" i="58885" a="1"/>
  <c r="Y106" i="58885" s="1"/>
  <c r="H12" i="58887" a="1"/>
  <c r="H12" i="58887" s="1"/>
  <c r="E89" i="10"/>
  <c r="AS89" i="10"/>
  <c r="D88" i="10"/>
  <c r="H26" i="58887" a="1"/>
  <c r="H26" i="58887" s="1"/>
  <c r="Y140" i="58885" a="1"/>
  <c r="Y140" i="58885" s="1"/>
  <c r="H113" i="58887" a="1"/>
  <c r="H113" i="58887" s="1"/>
  <c r="H5" i="58887" a="1"/>
  <c r="H5" i="58887" s="1"/>
  <c r="AK146" i="10" a="1"/>
  <c r="AK146" i="10" s="1"/>
  <c r="X56" i="58839"/>
  <c r="Y5" i="58839"/>
  <c r="BX5" i="58839"/>
  <c r="BW56" i="58839"/>
  <c r="AT201" i="10"/>
  <c r="AT219" i="10"/>
  <c r="AT231" i="10"/>
  <c r="AT159" i="10"/>
  <c r="AV113" i="10" a="1"/>
  <c r="AT60" i="10"/>
  <c r="AT70" i="10"/>
  <c r="AT81" i="10"/>
  <c r="AT61" i="10"/>
  <c r="AT64" i="10"/>
  <c r="AT58" i="10"/>
  <c r="AT75" i="10"/>
  <c r="AT69" i="10"/>
  <c r="AT144" i="10"/>
  <c r="AT225" i="10"/>
  <c r="Y274" i="5" a="1"/>
  <c r="L274" i="5" a="1"/>
  <c r="J290" i="5" a="1"/>
  <c r="T290" i="5" a="1"/>
  <c r="Y265" i="5" a="1"/>
  <c r="M265" i="5" a="1"/>
  <c r="Y284" i="5" a="1"/>
  <c r="V284" i="5" a="1"/>
  <c r="I278" i="5" a="1"/>
  <c r="J278" i="5" a="1"/>
  <c r="S282" i="5" a="1"/>
  <c r="I269" i="5" a="1"/>
  <c r="X269" i="5" a="1"/>
  <c r="J292" i="5" a="1"/>
  <c r="W292" i="5" a="1"/>
  <c r="T291" i="5" a="1"/>
  <c r="P262" i="5" a="1"/>
  <c r="M263" i="5" a="1"/>
  <c r="N263" i="5" a="1"/>
  <c r="S270" i="5" a="1"/>
  <c r="V270" i="5" a="1"/>
  <c r="L271" i="5" a="1"/>
  <c r="M262" i="5" a="1"/>
  <c r="L264" i="5" a="1"/>
  <c r="AT147" i="10"/>
  <c r="AT177" i="10"/>
  <c r="AQ306" i="10" a="1"/>
  <c r="AR306" i="10" a="1"/>
  <c r="B101" i="10" a="1"/>
  <c r="B108" i="10" a="1"/>
  <c r="AT117" i="10"/>
  <c r="V274" i="5" a="1"/>
  <c r="N274" i="5" a="1"/>
  <c r="I290" i="5" a="1"/>
  <c r="Y290" i="5" a="1"/>
  <c r="R265" i="5" a="1"/>
  <c r="T265" i="5" a="1"/>
  <c r="X284" i="5" a="1"/>
  <c r="I284" i="5" a="1"/>
  <c r="O278" i="5" a="1"/>
  <c r="M278" i="5" a="1"/>
  <c r="Q282" i="5" a="1"/>
  <c r="V282" i="5" a="1"/>
  <c r="J269" i="5" a="1"/>
  <c r="P269" i="5" a="1"/>
  <c r="Q292" i="5" a="1"/>
  <c r="K292" i="5" a="1"/>
  <c r="Q283" i="5" a="1"/>
  <c r="AQ196" i="10" a="1"/>
  <c r="AR196" i="10" a="1"/>
  <c r="AR175" i="10" a="1"/>
  <c r="AQ175" i="10" a="1"/>
  <c r="N262" i="5" a="1"/>
  <c r="S263" i="5" a="1"/>
  <c r="Q270" i="5" a="1"/>
  <c r="P270" i="5" a="1"/>
  <c r="Q294" i="5" a="1"/>
  <c r="X271" i="5" a="1"/>
  <c r="R281" i="5" a="1"/>
  <c r="I264" i="5" a="1"/>
  <c r="AQ241" i="10" a="1"/>
  <c r="AR241" i="10" a="1"/>
  <c r="AR151" i="10" a="1"/>
  <c r="AQ151" i="10" a="1"/>
  <c r="AQ247" i="10" a="1"/>
  <c r="AR247" i="10" a="1"/>
  <c r="N293" i="5" a="1"/>
  <c r="Y261" i="5" a="1"/>
  <c r="J261" i="5" a="1"/>
  <c r="U281" i="5" a="1"/>
  <c r="I294" i="5" a="1"/>
  <c r="W286" i="5" a="1"/>
  <c r="P285" i="5" a="1"/>
  <c r="AR130" i="10" a="1"/>
  <c r="AQ130" i="10" a="1"/>
  <c r="P275" i="5" a="1"/>
  <c r="J280" i="5" a="1"/>
  <c r="V291" i="5" a="1"/>
  <c r="M291" i="5" a="1"/>
  <c r="Y288" i="5" a="1"/>
  <c r="S288" i="5" a="1"/>
  <c r="Y276" i="5" a="1"/>
  <c r="R276" i="5" a="1"/>
  <c r="S289" i="5" a="1"/>
  <c r="I289" i="5" a="1"/>
  <c r="Q266" i="5" a="1"/>
  <c r="R266" i="5" a="1"/>
  <c r="X272" i="5" a="1"/>
  <c r="I272" i="5" a="1"/>
  <c r="X267" i="5" a="1"/>
  <c r="R277" i="5" a="1"/>
  <c r="P267" i="5" a="1"/>
  <c r="K268" i="5" a="1"/>
  <c r="L279" i="5" a="1"/>
  <c r="T273" i="5" a="1"/>
  <c r="AT189" i="10"/>
  <c r="AT129" i="10"/>
  <c r="AT183" i="10"/>
  <c r="AT252" i="10"/>
  <c r="AT156" i="10"/>
  <c r="AT120" i="10"/>
  <c r="AT162" i="10"/>
  <c r="R274" i="5" a="1"/>
  <c r="M274" i="5" a="1"/>
  <c r="M290" i="5" a="1"/>
  <c r="O290" i="5" a="1"/>
  <c r="V265" i="5" a="1"/>
  <c r="W284" i="5" a="1"/>
  <c r="N284" i="5" a="1"/>
  <c r="R278" i="5" a="1"/>
  <c r="U278" i="5" a="1"/>
  <c r="M282" i="5" a="1"/>
  <c r="O282" i="5" a="1"/>
  <c r="M269" i="5" a="1"/>
  <c r="W269" i="5" a="1"/>
  <c r="R292" i="5" a="1"/>
  <c r="P292" i="5" a="1"/>
  <c r="P283" i="5" a="1"/>
  <c r="AR124" i="10" a="1"/>
  <c r="AQ124" i="10" a="1"/>
  <c r="U280" i="5" a="1"/>
  <c r="Y263" i="5" a="1"/>
  <c r="I270" i="5" a="1"/>
  <c r="M270" i="5" a="1"/>
  <c r="T283" i="5" a="1"/>
  <c r="U271" i="5" a="1"/>
  <c r="W264" i="5" a="1"/>
  <c r="J264" i="5" a="1"/>
  <c r="AT192" i="10"/>
  <c r="AT138" i="10"/>
  <c r="AT213" i="10"/>
  <c r="AT222" i="10"/>
  <c r="AT171" i="10"/>
  <c r="AT198" i="10"/>
  <c r="AT168" i="10"/>
  <c r="AT132" i="10"/>
  <c r="AT141" i="10"/>
  <c r="W274" i="5" a="1"/>
  <c r="J274" i="5" a="1"/>
  <c r="S290" i="5" a="1"/>
  <c r="I265" i="5" a="1"/>
  <c r="O265" i="5" a="1"/>
  <c r="Q284" i="5" a="1"/>
  <c r="T284" i="5" a="1"/>
  <c r="R284" i="5" a="1"/>
  <c r="N278" i="5" a="1"/>
  <c r="V278" i="5" a="1"/>
  <c r="R282" i="5" a="1"/>
  <c r="N282" i="5" a="1"/>
  <c r="S269" i="5" a="1"/>
  <c r="V269" i="5" a="1"/>
  <c r="M292" i="5" a="1"/>
  <c r="T292" i="5" a="1"/>
  <c r="U283" i="5" a="1"/>
  <c r="R280" i="5" a="1"/>
  <c r="K263" i="5" a="1"/>
  <c r="O270" i="5" a="1"/>
  <c r="T270" i="5" a="1"/>
  <c r="O294" i="5" a="1"/>
  <c r="N271" i="5" a="1"/>
  <c r="K264" i="5" a="1"/>
  <c r="U264" i="5" a="1"/>
  <c r="AT150" i="10"/>
  <c r="AT180" i="10"/>
  <c r="AT228" i="10"/>
  <c r="AT204" i="10"/>
  <c r="AT72" i="10"/>
  <c r="AT77" i="10"/>
  <c r="AT68" i="10"/>
  <c r="AT62" i="10"/>
  <c r="AQ303" i="10" a="1"/>
  <c r="AR303" i="10" a="1"/>
  <c r="AT63" i="10"/>
  <c r="AT76" i="10"/>
  <c r="AR302" i="10" a="1"/>
  <c r="AQ302" i="10" a="1"/>
  <c r="AT243" i="10"/>
  <c r="AT195" i="10"/>
  <c r="AT123" i="10"/>
  <c r="P274" i="5" a="1"/>
  <c r="I274" i="5" a="1"/>
  <c r="N290" i="5" a="1"/>
  <c r="Q265" i="5" a="1"/>
  <c r="P265" i="5" a="1"/>
  <c r="L284" i="5" a="1"/>
  <c r="M284" i="5" a="1"/>
  <c r="X265" i="5" a="1"/>
  <c r="Y278" i="5" a="1"/>
  <c r="S278" i="5" a="1"/>
  <c r="T282" i="5" a="1"/>
  <c r="P282" i="5" a="1"/>
  <c r="K269" i="5" a="1"/>
  <c r="R269" i="5" a="1"/>
  <c r="V292" i="5" a="1"/>
  <c r="S292" i="5" a="1"/>
  <c r="O283" i="5" a="1"/>
  <c r="AQ226" i="10" a="1"/>
  <c r="AR226" i="10" a="1"/>
  <c r="AQ142" i="10" a="1"/>
  <c r="AR142" i="10" a="1"/>
  <c r="T280" i="5" a="1"/>
  <c r="J263" i="5" a="1"/>
  <c r="N270" i="5" a="1"/>
  <c r="W270" i="5" a="1"/>
  <c r="T287" i="5" a="1"/>
  <c r="Q271" i="5" a="1"/>
  <c r="V264" i="5" a="1"/>
  <c r="Q264" i="5" a="1"/>
  <c r="L293" i="5" a="1"/>
  <c r="K261" i="5" a="1"/>
  <c r="N261" i="5" a="1"/>
  <c r="J294" i="5" a="1"/>
  <c r="I286" i="5" a="1"/>
  <c r="Q285" i="5" a="1"/>
  <c r="T285" i="5" a="1"/>
  <c r="L275" i="5" a="1"/>
  <c r="W280" i="5" a="1"/>
  <c r="S41" i="58887" a="1"/>
  <c r="Y291" i="5" a="1"/>
  <c r="U288" i="5" a="1"/>
  <c r="W288" i="5" a="1"/>
  <c r="R288" i="5" a="1"/>
  <c r="K276" i="5" a="1"/>
  <c r="J281" i="5" a="1"/>
  <c r="U289" i="5" a="1"/>
  <c r="K289" i="5" a="1"/>
  <c r="T266" i="5" a="1"/>
  <c r="AQ136" i="10" a="1"/>
  <c r="AR136" i="10" a="1"/>
  <c r="L272" i="5" a="1"/>
  <c r="X262" i="5" a="1"/>
  <c r="I281" i="5" a="1"/>
  <c r="J275" i="5" a="1"/>
  <c r="J283" i="5" a="1"/>
  <c r="W279" i="5" a="1"/>
  <c r="N279" i="5" a="1"/>
  <c r="AQ190" i="10" a="1"/>
  <c r="AR190" i="10" a="1"/>
  <c r="AQ205" i="10" a="1"/>
  <c r="AR205" i="10" a="1"/>
  <c r="AQ202" i="10" a="1"/>
  <c r="AR202" i="10" a="1"/>
  <c r="T281" i="5" a="1"/>
  <c r="J273" i="5" a="1"/>
  <c r="AT186" i="10"/>
  <c r="AT174" i="10"/>
  <c r="AR305" i="10" a="1"/>
  <c r="AQ305" i="10" a="1"/>
  <c r="AT59" i="10"/>
  <c r="AT67" i="10"/>
  <c r="AT73" i="10"/>
  <c r="AT66" i="10"/>
  <c r="K274" i="5" a="1"/>
  <c r="T274" i="5" a="1"/>
  <c r="U274" i="5" a="1"/>
  <c r="Q290" i="5" a="1"/>
  <c r="K265" i="5" a="1"/>
  <c r="J265" i="5" a="1"/>
  <c r="S284" i="5" a="1"/>
  <c r="K284" i="5" a="1"/>
  <c r="Q278" i="5" a="1"/>
  <c r="T278" i="5" a="1"/>
  <c r="W278" i="5" a="1"/>
  <c r="U282" i="5" a="1"/>
  <c r="Q269" i="5" a="1"/>
  <c r="N269" i="5" a="1"/>
  <c r="O269" i="5" a="1"/>
  <c r="X292" i="5" a="1"/>
  <c r="Y292" i="5" a="1"/>
  <c r="AR184" i="10" a="1"/>
  <c r="AQ184" i="10" a="1"/>
  <c r="P263" i="5" a="1"/>
  <c r="Q263" i="5" a="1"/>
  <c r="U270" i="5" a="1"/>
  <c r="L270" i="5" a="1"/>
  <c r="Y271" i="5" a="1"/>
  <c r="M271" i="5" a="1"/>
  <c r="O264" i="5" a="1"/>
  <c r="AR127" i="10" a="1"/>
  <c r="AQ127" i="10" a="1"/>
  <c r="AQ187" i="10" a="1"/>
  <c r="AR187" i="10" a="1"/>
  <c r="U293" i="5" a="1"/>
  <c r="V261" i="5" a="1"/>
  <c r="P261" i="5" a="1"/>
  <c r="T294" i="5" a="1"/>
  <c r="K286" i="5" a="1"/>
  <c r="X285" i="5" a="1"/>
  <c r="Y285" i="5" a="1"/>
  <c r="AR178" i="10" a="1"/>
  <c r="AQ178" i="10" a="1"/>
  <c r="M275" i="5" a="1"/>
  <c r="V280" i="5" a="1"/>
  <c r="R291" i="5" a="1"/>
  <c r="X288" i="5" a="1"/>
  <c r="P288" i="5" a="1"/>
  <c r="O281" i="5" a="1"/>
  <c r="V276" i="5" a="1"/>
  <c r="O262" i="5" a="1"/>
  <c r="L289" i="5" a="1"/>
  <c r="X289" i="5" a="1"/>
  <c r="J266" i="5" a="1"/>
  <c r="AB219" i="58885" a="1"/>
  <c r="AB222" i="58885" a="1"/>
  <c r="AB210" i="58885" a="1"/>
  <c r="AB174" i="58885" a="1"/>
  <c r="AB216" i="58885" a="1"/>
  <c r="AB227" i="58885" a="1"/>
  <c r="AB151" i="58885" a="1"/>
  <c r="AB244" i="58885" a="1"/>
  <c r="AB164" i="58885" a="1"/>
  <c r="AB201" i="58885" a="1"/>
  <c r="AB200" i="58885" a="1"/>
  <c r="AB195" i="58885" a="1"/>
  <c r="AB250" i="58885" a="1"/>
  <c r="AB196" i="58885" a="1"/>
  <c r="AB212" i="58885" a="1"/>
  <c r="AB166" i="58885" a="1"/>
  <c r="AB221" i="58885" a="1"/>
  <c r="AB245" i="58885" a="1"/>
  <c r="AB160" i="58885" a="1"/>
  <c r="AB157" i="58885" a="1"/>
  <c r="AB163" i="58885" a="1"/>
  <c r="AB182" i="58885" a="1"/>
  <c r="AB205" i="58885" a="1"/>
  <c r="AB184" i="58885" a="1"/>
  <c r="AB207" i="58885" a="1"/>
  <c r="AB178" i="58885" a="1"/>
  <c r="AB220" i="58885" a="1"/>
  <c r="AB228" i="58885" a="1"/>
  <c r="AB242" i="58885" a="1"/>
  <c r="AB206" i="58885" a="1"/>
  <c r="AB156" i="58885" a="1"/>
  <c r="AB179" i="58885" a="1"/>
  <c r="AB226" i="58885" a="1"/>
  <c r="AB240" i="58885" a="1"/>
  <c r="AB146" i="58885" a="1"/>
  <c r="AB149" i="58885" a="1"/>
  <c r="AB171" i="58885" a="1"/>
  <c r="AB161" i="58885" a="1"/>
  <c r="AB162" i="58885" a="1"/>
  <c r="AB198" i="58885" a="1"/>
  <c r="AB165" i="58885" a="1"/>
  <c r="AB202" i="58885" a="1"/>
  <c r="AB214" i="58885" a="1"/>
  <c r="AB247" i="58885" a="1"/>
  <c r="AB238" i="58885" a="1"/>
  <c r="AB145" i="58885" a="1"/>
  <c r="AB185" i="58885" a="1"/>
  <c r="AB173" i="58885" a="1"/>
  <c r="AB204" i="58885" a="1"/>
  <c r="AB208" i="58885" a="1"/>
  <c r="AB239" i="58885" a="1"/>
  <c r="AB186" i="58885" a="1"/>
  <c r="AB176" i="58885" a="1"/>
  <c r="AB211" i="58885" a="1"/>
  <c r="AB213" i="58885" a="1"/>
  <c r="AB181" i="58885" a="1"/>
  <c r="AB183" i="58885" a="1"/>
  <c r="AB190" i="58885" a="1"/>
  <c r="AB251" i="58885" a="1"/>
  <c r="AB147" i="58885" a="1"/>
  <c r="AB199" i="58885" a="1"/>
  <c r="AB175" i="58885" a="1"/>
  <c r="AB197" i="58885" a="1"/>
  <c r="AB218" i="58885" a="1"/>
  <c r="AB253" i="58885" a="1"/>
  <c r="AB159" i="58885" a="1"/>
  <c r="AB215" i="58885" a="1"/>
  <c r="AB217" i="58885" a="1"/>
  <c r="AB231" i="58885" a="1"/>
  <c r="AB167" i="58885" a="1"/>
  <c r="AB192" i="58885" a="1"/>
  <c r="AB224" i="58885" a="1"/>
  <c r="AB180" i="58885" a="1"/>
  <c r="AB168" i="58885" a="1"/>
  <c r="AB158" i="58885" a="1"/>
  <c r="AB223" i="58885" a="1"/>
  <c r="AB249" i="58885" a="1"/>
  <c r="AB246" i="58885" a="1"/>
  <c r="AB144" i="58885" a="1"/>
  <c r="AB150" i="58885" a="1"/>
  <c r="AB243" i="58885" a="1"/>
  <c r="AB230" i="58885" a="1"/>
  <c r="AB187" i="58885" a="1"/>
  <c r="AB191" i="58885" a="1"/>
  <c r="AB148" i="58885" a="1"/>
  <c r="AB252" i="58885" a="1"/>
  <c r="AB154" i="58885" a="1"/>
  <c r="AB254" i="58885" a="1"/>
  <c r="AB232" i="58885" a="1"/>
  <c r="AB248" i="58885" a="1"/>
  <c r="AB152" i="58885" a="1"/>
  <c r="AB225" i="58885" a="1"/>
  <c r="AB177" i="58885" a="1"/>
  <c r="AB194" i="58885" a="1"/>
  <c r="AB237" i="58885" a="1"/>
  <c r="AB236" i="58885" a="1"/>
  <c r="AB169" i="58885" a="1"/>
  <c r="AB155" i="58885" a="1"/>
  <c r="AB143" i="58885" a="1"/>
  <c r="AB188" i="58885" a="1"/>
  <c r="AB203" i="58885" a="1"/>
  <c r="AB229" i="58885" a="1"/>
  <c r="AB209" i="58885" a="1"/>
  <c r="AB233" i="58885" a="1"/>
  <c r="AB170" i="58885" a="1"/>
  <c r="AB153" i="58885" a="1"/>
  <c r="AB193" i="58885" a="1"/>
  <c r="AB189" i="58885" a="1"/>
  <c r="AB172" i="58885" a="1"/>
  <c r="AB234" i="58885" a="1"/>
  <c r="AB241" i="58885" a="1"/>
  <c r="AB235" i="58885" a="1"/>
  <c r="Y272" i="5" a="1"/>
  <c r="L267" i="5" a="1"/>
  <c r="Q281" i="5" a="1"/>
  <c r="M277" i="5" a="1"/>
  <c r="P268" i="5" a="1"/>
  <c r="K279" i="5" a="1"/>
  <c r="Q279" i="5" a="1"/>
  <c r="X273" i="5" a="1"/>
  <c r="W273" i="5" a="1"/>
  <c r="AQ169" i="10" a="1"/>
  <c r="AR169" i="10" a="1"/>
  <c r="AT126" i="10"/>
  <c r="AT65" i="10"/>
  <c r="AT78" i="10"/>
  <c r="AT71" i="10"/>
  <c r="AT74" i="10"/>
  <c r="AT82" i="10"/>
  <c r="AT135" i="10"/>
  <c r="AT153" i="10"/>
  <c r="Q274" i="5" a="1"/>
  <c r="S274" i="5" a="1"/>
  <c r="U290" i="5" a="1"/>
  <c r="X290" i="5" a="1"/>
  <c r="N265" i="5" a="1"/>
  <c r="W265" i="5" a="1"/>
  <c r="O284" i="5" a="1"/>
  <c r="P284" i="5" a="1"/>
  <c r="P278" i="5" a="1"/>
  <c r="K278" i="5" a="1"/>
  <c r="I282" i="5" a="1"/>
  <c r="L269" i="5" a="1"/>
  <c r="T269" i="5" a="1"/>
  <c r="L292" i="5" a="1"/>
  <c r="O292" i="5" a="1"/>
  <c r="I292" i="5" a="1"/>
  <c r="AQ148" i="10" a="1"/>
  <c r="AR148" i="10" a="1"/>
  <c r="X263" i="5" a="1"/>
  <c r="W263" i="5" a="1"/>
  <c r="X270" i="5" a="1"/>
  <c r="J270" i="5" a="1"/>
  <c r="S271" i="5" a="1"/>
  <c r="K271" i="5" a="1"/>
  <c r="N264" i="5" a="1"/>
  <c r="AR157" i="10" a="1"/>
  <c r="AQ157" i="10" a="1"/>
  <c r="P293" i="5" a="1"/>
  <c r="O261" i="5" a="1"/>
  <c r="U261" i="5" a="1"/>
  <c r="R294" i="5" a="1"/>
  <c r="S286" i="5" a="1"/>
  <c r="I285" i="5" a="1"/>
  <c r="V285" i="5" a="1"/>
  <c r="AR118" i="10" a="1"/>
  <c r="AQ118" i="10" a="1"/>
  <c r="V275" i="5" a="1"/>
  <c r="AR214" i="10" a="1"/>
  <c r="AQ214" i="10" a="1"/>
  <c r="N291" i="5" a="1"/>
  <c r="O291" i="5" a="1"/>
  <c r="V288" i="5" a="1"/>
  <c r="M288" i="5" a="1"/>
  <c r="L276" i="5" a="1"/>
  <c r="X276" i="5" a="1"/>
  <c r="X280" i="5" a="1"/>
  <c r="N289" i="5" a="1"/>
  <c r="J289" i="5" a="1"/>
  <c r="W266" i="5" a="1"/>
  <c r="AC172" i="58885" a="1"/>
  <c r="AC177" i="58885" a="1"/>
  <c r="AC170" i="58885" a="1"/>
  <c r="AC241" i="58885" a="1"/>
  <c r="AC200" i="58885" a="1"/>
  <c r="AC167" i="58885" a="1"/>
  <c r="AC244" i="58885" a="1"/>
  <c r="AC182" i="58885" a="1"/>
  <c r="AC252" i="58885" a="1"/>
  <c r="AC176" i="58885" a="1"/>
  <c r="AC220" i="58885" a="1"/>
  <c r="AC171" i="58885" a="1"/>
  <c r="AC162" i="58885" a="1"/>
  <c r="AC199" i="58885" a="1"/>
  <c r="AC246" i="58885" a="1"/>
  <c r="AC212" i="58885" a="1"/>
  <c r="AC250" i="58885" a="1"/>
  <c r="AC160" i="58885" a="1"/>
  <c r="AC224" i="58885" a="1"/>
  <c r="AC219" i="58885" a="1"/>
  <c r="AC240" i="58885" a="1"/>
  <c r="AC231" i="58885" a="1"/>
  <c r="AC201" i="58885" a="1"/>
  <c r="AC213" i="58885" a="1"/>
  <c r="AC161" i="58885" a="1"/>
  <c r="AC166" i="58885" a="1"/>
  <c r="AC154" i="58885" a="1"/>
  <c r="AC202" i="58885" a="1"/>
  <c r="AC165" i="58885" a="1"/>
  <c r="AC198" i="58885" a="1"/>
  <c r="AC184" i="58885" a="1"/>
  <c r="AC187" i="58885" a="1"/>
  <c r="AC152" i="58885" a="1"/>
  <c r="AC193" i="58885" a="1"/>
  <c r="AC185" i="58885" a="1"/>
  <c r="AC211" i="58885" a="1"/>
  <c r="AC239" i="58885" a="1"/>
  <c r="AC163" i="58885" a="1"/>
  <c r="AC190" i="58885" a="1"/>
  <c r="AC144" i="58885" a="1"/>
  <c r="AC159" i="58885" a="1"/>
  <c r="AC158" i="58885" a="1"/>
  <c r="AC217" i="58885" a="1"/>
  <c r="AC145" i="58885" a="1"/>
  <c r="AC168" i="58885" a="1"/>
  <c r="AC175" i="58885" a="1"/>
  <c r="AC226" i="58885" a="1"/>
  <c r="AC253" i="58885" a="1"/>
  <c r="AC150" i="58885" a="1"/>
  <c r="AC191" i="58885" a="1"/>
  <c r="AC215" i="58885" a="1"/>
  <c r="AC181" i="58885" a="1"/>
  <c r="AC238" i="58885" a="1"/>
  <c r="AC208" i="58885" a="1"/>
  <c r="AC232" i="58885" a="1"/>
  <c r="AC221" i="58885" a="1"/>
  <c r="AC186" i="58885" a="1"/>
  <c r="AC146" i="58885" a="1"/>
  <c r="AC214" i="58885" a="1"/>
  <c r="AC218" i="58885" a="1"/>
  <c r="AC143" i="58885" a="1"/>
  <c r="AC228" i="58885" a="1"/>
  <c r="AC156" i="58885" a="1"/>
  <c r="AC147" i="58885" a="1"/>
  <c r="AC194" i="58885" a="1"/>
  <c r="AC183" i="58885" a="1"/>
  <c r="AC223" i="58885" a="1"/>
  <c r="AC195" i="58885" a="1"/>
  <c r="AC174" i="58885" a="1"/>
  <c r="AC203" i="58885" a="1"/>
  <c r="AC188" i="58885" a="1"/>
  <c r="AC248" i="58885" a="1"/>
  <c r="AC164" i="58885" a="1"/>
  <c r="AC233" i="58885" a="1"/>
  <c r="AC178" i="58885" a="1"/>
  <c r="AC245" i="58885" a="1"/>
  <c r="AC206" i="58885" a="1"/>
  <c r="AC222" i="58885" a="1"/>
  <c r="AC173" i="58885" a="1"/>
  <c r="AC153" i="58885" a="1"/>
  <c r="AC196" i="58885" a="1"/>
  <c r="AC249" i="58885" a="1"/>
  <c r="AC237" i="58885" a="1"/>
  <c r="AC235" i="58885" a="1"/>
  <c r="AC243" i="58885" a="1"/>
  <c r="AC251" i="58885" a="1"/>
  <c r="AC242" i="58885" a="1"/>
  <c r="AC230" i="58885" a="1"/>
  <c r="AC229" i="58885" a="1"/>
  <c r="AC234" i="58885" a="1"/>
  <c r="AC225" i="58885" a="1"/>
  <c r="AC179" i="58885" a="1"/>
  <c r="AC227" i="58885" a="1"/>
  <c r="AC210" i="58885" a="1"/>
  <c r="AC236" i="58885" a="1"/>
  <c r="AC216" i="58885" a="1"/>
  <c r="AC209" i="58885" a="1"/>
  <c r="AC192" i="58885" a="1"/>
  <c r="AC155" i="58885" a="1"/>
  <c r="AC247" i="58885" a="1"/>
  <c r="AC180" i="58885" a="1"/>
  <c r="AC197" i="58885" a="1"/>
  <c r="AC254" i="58885" a="1"/>
  <c r="AC157" i="58885" a="1"/>
  <c r="AC149" i="58885" a="1"/>
  <c r="AC151" i="58885" a="1"/>
  <c r="AC189" i="58885" a="1"/>
  <c r="AC207" i="58885" a="1"/>
  <c r="AC148" i="58885" a="1"/>
  <c r="AC204" i="58885" a="1"/>
  <c r="AC169" i="58885" a="1"/>
  <c r="AC205" i="58885" a="1"/>
  <c r="P272" i="5" a="1"/>
  <c r="T272" i="5" a="1"/>
  <c r="N267" i="5" a="1"/>
  <c r="Y280" i="5" a="1"/>
  <c r="W275" i="5" a="1"/>
  <c r="J268" i="5" a="1"/>
  <c r="J279" i="5" a="1"/>
  <c r="T279" i="5" a="1"/>
  <c r="AR208" i="10" a="1"/>
  <c r="AQ208" i="10" a="1"/>
  <c r="I273" i="5" a="1"/>
  <c r="AR223" i="10" a="1"/>
  <c r="AQ223" i="10" a="1"/>
  <c r="R5" i="58887" a="1"/>
  <c r="S12" i="58887" a="1"/>
  <c r="AT165" i="10"/>
  <c r="AT210" i="10"/>
  <c r="AT79" i="10"/>
  <c r="AQ304" i="10" a="1"/>
  <c r="AR304" i="10" a="1"/>
  <c r="AT80" i="10"/>
  <c r="AT237" i="10"/>
  <c r="AT246" i="10"/>
  <c r="X274" i="5" a="1"/>
  <c r="O274" i="5" a="1"/>
  <c r="R290" i="5" a="1"/>
  <c r="W290" i="5" a="1"/>
  <c r="S265" i="5" a="1"/>
  <c r="L265" i="5" a="1"/>
  <c r="U284" i="5" a="1"/>
  <c r="J284" i="5" a="1"/>
  <c r="X278" i="5" a="1"/>
  <c r="L278" i="5" a="1"/>
  <c r="X282" i="5" a="1"/>
  <c r="Y269" i="5" a="1"/>
  <c r="U269" i="5" a="1"/>
  <c r="U292" i="5" a="1"/>
  <c r="N292" i="5" a="1"/>
  <c r="Y282" i="5" a="1"/>
  <c r="S262" i="5" a="1"/>
  <c r="O263" i="5" a="1"/>
  <c r="I263" i="5" a="1"/>
  <c r="K270" i="5" a="1"/>
  <c r="Y270" i="5" a="1"/>
  <c r="J271" i="5" a="1"/>
  <c r="K262" i="5" a="1"/>
  <c r="M264" i="5" a="1"/>
  <c r="T261" i="5" a="1"/>
  <c r="K294" i="5" a="1"/>
  <c r="Q286" i="5" a="1"/>
  <c r="S275" i="5" a="1"/>
  <c r="W291" i="5" a="1"/>
  <c r="O288" i="5" a="1"/>
  <c r="I276" i="5" a="1"/>
  <c r="V289" i="5" a="1"/>
  <c r="P266" i="5" a="1"/>
  <c r="Q272" i="5" a="1"/>
  <c r="V267" i="5" a="1"/>
  <c r="W283" i="5" a="1"/>
  <c r="Y279" i="5" a="1"/>
  <c r="AQ146" i="10" a="1"/>
  <c r="R16" i="58887" a="1"/>
  <c r="S26" i="58887" a="1"/>
  <c r="S16" i="58887" a="1"/>
  <c r="AQ160" i="10" a="1"/>
  <c r="AR160" i="10" a="1"/>
  <c r="R12" i="58887" a="1"/>
  <c r="S126" i="58887" a="1"/>
  <c r="O277" i="5" a="1"/>
  <c r="W289" i="5" a="1"/>
  <c r="X279" i="5" a="1"/>
  <c r="W261" i="5" a="1"/>
  <c r="X294" i="5" a="1"/>
  <c r="W287" i="5" a="1"/>
  <c r="O275" i="5" a="1"/>
  <c r="L291" i="5" a="1"/>
  <c r="K288" i="5" a="1"/>
  <c r="W276" i="5" a="1"/>
  <c r="Y289" i="5" a="1"/>
  <c r="L266" i="5" a="1"/>
  <c r="K272" i="5" a="1"/>
  <c r="M267" i="5" a="1"/>
  <c r="L280" i="5" a="1"/>
  <c r="O279" i="5" a="1"/>
  <c r="Y273" i="5" a="1"/>
  <c r="AR121" i="10" a="1"/>
  <c r="AQ121" i="10" a="1"/>
  <c r="AR145" i="10" a="1"/>
  <c r="AQ145" i="10" a="1"/>
  <c r="AQ211" i="10" a="1"/>
  <c r="AR211" i="10" a="1"/>
  <c r="AR146" i="10" a="1"/>
  <c r="K273" i="5" a="1"/>
  <c r="AT133" i="10"/>
  <c r="AQ152" i="10" a="1"/>
  <c r="R15" i="58887" a="1"/>
  <c r="V272" i="5" a="1"/>
  <c r="F89" i="10" a="1"/>
  <c r="AR152" i="10" a="1"/>
  <c r="P279" i="5" a="1"/>
  <c r="AR181" i="10" a="1"/>
  <c r="AQ181" i="10" a="1"/>
  <c r="AQ193" i="10" a="1"/>
  <c r="AR193" i="10" a="1"/>
  <c r="AR232" i="10" a="1"/>
  <c r="AQ232" i="10" a="1"/>
  <c r="AR238" i="10" a="1"/>
  <c r="AQ238" i="10" a="1"/>
  <c r="AR154" i="10" a="1"/>
  <c r="AQ154" i="10" a="1"/>
  <c r="AQ229" i="10" a="1"/>
  <c r="AR229" i="10" a="1"/>
  <c r="AR199" i="10" a="1"/>
  <c r="AQ199" i="10" a="1"/>
  <c r="I261" i="5" a="1"/>
  <c r="Y294" i="5" a="1"/>
  <c r="N285" i="5" a="1"/>
  <c r="AR163" i="10" a="1"/>
  <c r="AQ163" i="10" a="1"/>
  <c r="N275" i="5" a="1"/>
  <c r="AR172" i="10" a="1"/>
  <c r="AQ172" i="10" a="1"/>
  <c r="X291" i="5" a="1"/>
  <c r="Q288" i="5" a="1"/>
  <c r="J276" i="5" a="1"/>
  <c r="Q289" i="5" a="1"/>
  <c r="N266" i="5" a="1"/>
  <c r="J272" i="5" a="1"/>
  <c r="K267" i="5" a="1"/>
  <c r="W262" i="5" a="1"/>
  <c r="U279" i="5" a="1"/>
  <c r="AQ166" i="10" a="1"/>
  <c r="AR166" i="10" a="1"/>
  <c r="R126" i="58887" a="1"/>
  <c r="S5" i="58887" a="1"/>
  <c r="R26" i="58887" a="1"/>
  <c r="V279" i="5" a="1"/>
  <c r="R113" i="58887" a="1"/>
  <c r="AR139" i="10" a="1"/>
  <c r="AQ139" i="10" a="1"/>
  <c r="K277" i="5" a="1"/>
  <c r="R272" i="5" a="1"/>
  <c r="W293" i="5" a="1"/>
  <c r="Q261" i="5" a="1"/>
  <c r="W294" i="5" a="1"/>
  <c r="K285" i="5" a="1"/>
  <c r="Q275" i="5" a="1"/>
  <c r="Q280" i="5" a="1"/>
  <c r="AQ235" i="10" a="1"/>
  <c r="AR235" i="10" a="1"/>
  <c r="AQ244" i="10" a="1"/>
  <c r="AR244" i="10" a="1"/>
  <c r="AQ253" i="10" a="1"/>
  <c r="AR253" i="10" a="1"/>
  <c r="P291" i="5" a="1"/>
  <c r="N288" i="5" a="1"/>
  <c r="T276" i="5" a="1"/>
  <c r="T289" i="5" a="1"/>
  <c r="V266" i="5" a="1"/>
  <c r="N272" i="5" a="1"/>
  <c r="U267" i="5" a="1"/>
  <c r="U262" i="5" a="1"/>
  <c r="S279" i="5" a="1"/>
  <c r="M273" i="5" a="1"/>
  <c r="S116" i="58887" a="1"/>
  <c r="S15" i="58887" a="1"/>
  <c r="I268" i="5" a="1"/>
  <c r="AR250" i="10" a="1"/>
  <c r="AQ250" i="10" a="1"/>
  <c r="V273" i="5" a="1"/>
  <c r="W272" i="5" a="1"/>
  <c r="N277" i="5" a="1"/>
  <c r="Q293" i="5" a="1"/>
  <c r="L261" i="5" a="1"/>
  <c r="L286" i="5" a="1"/>
  <c r="W285" i="5" a="1"/>
  <c r="I280" i="5" a="1"/>
  <c r="J291" i="5" a="1"/>
  <c r="J288" i="5" a="1"/>
  <c r="O276" i="5" a="1"/>
  <c r="P289" i="5" a="1"/>
  <c r="M268" i="5" a="1"/>
  <c r="J293" i="5" a="1"/>
  <c r="R261" i="5" a="1"/>
  <c r="J286" i="5" a="1"/>
  <c r="L285" i="5" a="1"/>
  <c r="P280" i="5" a="1"/>
  <c r="S291" i="5" a="1"/>
  <c r="I288" i="5" a="1"/>
  <c r="K281" i="5" a="1"/>
  <c r="S293" i="5" a="1"/>
  <c r="S261" i="5" a="1"/>
  <c r="M286" i="5" a="1"/>
  <c r="S285" i="5" a="1"/>
  <c r="U291" i="5" a="1"/>
  <c r="T288" i="5" a="1"/>
  <c r="S276" i="5" a="1"/>
  <c r="Q262" i="5" a="1"/>
  <c r="S266" i="5" a="1"/>
  <c r="K293" i="5" a="1"/>
  <c r="N281" i="5" a="1"/>
  <c r="U286" i="5" a="1"/>
  <c r="J285" i="5" a="1"/>
  <c r="AR217" i="10" a="1"/>
  <c r="AQ217" i="10" a="1"/>
  <c r="P287" i="5" a="1"/>
  <c r="K291" i="5" a="1"/>
  <c r="L288" i="5" a="1"/>
  <c r="Q276" i="5" a="1"/>
  <c r="V293" i="5" a="1"/>
  <c r="I266" i="5" a="1"/>
  <c r="I293" i="5" a="1"/>
  <c r="R116" i="58887" a="1"/>
  <c r="AW90" i="10" a="1"/>
  <c r="AR220" i="10" a="1"/>
  <c r="AQ220" i="10" a="1"/>
  <c r="S113" i="58887" a="1"/>
  <c r="P277" i="5" a="1"/>
  <c r="R279" i="5" a="1"/>
  <c r="S29" i="58887" a="1"/>
  <c r="AV91" i="10" a="1"/>
  <c r="AW91" i="10" a="1"/>
  <c r="AV90" i="10" a="1"/>
  <c r="R279" i="5" l="1"/>
  <c r="P277" i="5"/>
  <c r="AQ220" i="10"/>
  <c r="AR220" i="10"/>
  <c r="I293" i="5"/>
  <c r="I266" i="5"/>
  <c r="V293" i="5"/>
  <c r="Q276" i="5"/>
  <c r="L288" i="5"/>
  <c r="K291" i="5"/>
  <c r="P287" i="5"/>
  <c r="AQ217" i="10"/>
  <c r="AR217" i="10"/>
  <c r="J285" i="5"/>
  <c r="U286" i="5"/>
  <c r="N281" i="5"/>
  <c r="K293" i="5"/>
  <c r="S266" i="5"/>
  <c r="Q262" i="5"/>
  <c r="S276" i="5"/>
  <c r="T288" i="5"/>
  <c r="U291" i="5"/>
  <c r="S285" i="5"/>
  <c r="M286" i="5"/>
  <c r="S261" i="5"/>
  <c r="S293" i="5"/>
  <c r="K281" i="5"/>
  <c r="I288" i="5"/>
  <c r="S291" i="5"/>
  <c r="P280" i="5"/>
  <c r="L285" i="5"/>
  <c r="J286" i="5"/>
  <c r="R261" i="5"/>
  <c r="J293" i="5"/>
  <c r="M268" i="5"/>
  <c r="P289" i="5"/>
  <c r="O276" i="5"/>
  <c r="J288" i="5"/>
  <c r="J291" i="5"/>
  <c r="I280" i="5"/>
  <c r="W285" i="5"/>
  <c r="L286" i="5"/>
  <c r="L261" i="5"/>
  <c r="Q293" i="5"/>
  <c r="N277" i="5"/>
  <c r="W272" i="5"/>
  <c r="V273" i="5"/>
  <c r="AQ250" i="10"/>
  <c r="AR250" i="10"/>
  <c r="I268" i="5"/>
  <c r="M273" i="5"/>
  <c r="S279" i="5"/>
  <c r="U262" i="5"/>
  <c r="U267" i="5"/>
  <c r="N272" i="5"/>
  <c r="V266" i="5"/>
  <c r="T289" i="5"/>
  <c r="T276" i="5"/>
  <c r="N288" i="5"/>
  <c r="P291" i="5"/>
  <c r="AR253" i="10"/>
  <c r="AQ253" i="10"/>
  <c r="AR244" i="10"/>
  <c r="AQ244" i="10"/>
  <c r="AR235" i="10"/>
  <c r="AQ235" i="10"/>
  <c r="Q280" i="5"/>
  <c r="Q275" i="5"/>
  <c r="K285" i="5"/>
  <c r="W294" i="5"/>
  <c r="Q261" i="5"/>
  <c r="W293" i="5"/>
  <c r="R272" i="5"/>
  <c r="K277" i="5"/>
  <c r="AQ139" i="10"/>
  <c r="AR139" i="10"/>
  <c r="V279" i="5"/>
  <c r="AR166" i="10"/>
  <c r="AQ166" i="10"/>
  <c r="U279" i="5"/>
  <c r="W262" i="5"/>
  <c r="K267" i="5"/>
  <c r="J272" i="5"/>
  <c r="N266" i="5"/>
  <c r="Q289" i="5"/>
  <c r="J276" i="5"/>
  <c r="Q288" i="5"/>
  <c r="X291" i="5"/>
  <c r="AQ172" i="10"/>
  <c r="AR172" i="10"/>
  <c r="N275" i="5"/>
  <c r="AQ163" i="10"/>
  <c r="AR163" i="10"/>
  <c r="N285" i="5"/>
  <c r="Y294" i="5"/>
  <c r="I261" i="5"/>
  <c r="AQ199" i="10"/>
  <c r="AR199" i="10"/>
  <c r="AR229" i="10"/>
  <c r="AQ229" i="10"/>
  <c r="AQ154" i="10"/>
  <c r="AR154" i="10"/>
  <c r="AQ238" i="10"/>
  <c r="AR238" i="10"/>
  <c r="AQ232" i="10"/>
  <c r="AR232" i="10"/>
  <c r="AR193" i="10"/>
  <c r="AQ193" i="10"/>
  <c r="AQ181" i="10"/>
  <c r="AR181" i="10"/>
  <c r="P279" i="5"/>
  <c r="V272" i="5"/>
  <c r="K273" i="5"/>
  <c r="AR211" i="10"/>
  <c r="AQ211" i="10"/>
  <c r="AQ145" i="10"/>
  <c r="AR145" i="10"/>
  <c r="AQ121" i="10"/>
  <c r="AR121" i="10"/>
  <c r="Y273" i="5"/>
  <c r="O279" i="5"/>
  <c r="L280" i="5"/>
  <c r="M267" i="5"/>
  <c r="K272" i="5"/>
  <c r="L266" i="5"/>
  <c r="Y289" i="5"/>
  <c r="W276" i="5"/>
  <c r="K288" i="5"/>
  <c r="L291" i="5"/>
  <c r="O275" i="5"/>
  <c r="W287" i="5"/>
  <c r="X294" i="5"/>
  <c r="W261" i="5"/>
  <c r="X279" i="5"/>
  <c r="W289" i="5"/>
  <c r="O277" i="5"/>
  <c r="AR160" i="10"/>
  <c r="AQ160" i="10"/>
  <c r="Y279" i="5"/>
  <c r="W283" i="5"/>
  <c r="V267" i="5"/>
  <c r="Q272" i="5"/>
  <c r="P266" i="5"/>
  <c r="V289" i="5"/>
  <c r="I276" i="5"/>
  <c r="O288" i="5"/>
  <c r="W291" i="5"/>
  <c r="S275" i="5"/>
  <c r="Q286" i="5"/>
  <c r="K294" i="5"/>
  <c r="T261" i="5"/>
  <c r="M264" i="5"/>
  <c r="K262" i="5"/>
  <c r="J271" i="5"/>
  <c r="Y270" i="5"/>
  <c r="K270" i="5"/>
  <c r="I263" i="5"/>
  <c r="O263" i="5"/>
  <c r="S262" i="5"/>
  <c r="Y282" i="5"/>
  <c r="N292" i="5"/>
  <c r="U292" i="5"/>
  <c r="U269" i="5"/>
  <c r="Y269" i="5"/>
  <c r="X282" i="5"/>
  <c r="L278" i="5"/>
  <c r="X278" i="5"/>
  <c r="J284" i="5"/>
  <c r="U284" i="5"/>
  <c r="L265" i="5"/>
  <c r="S265" i="5"/>
  <c r="W290" i="5"/>
  <c r="R290" i="5"/>
  <c r="O274" i="5"/>
  <c r="X274" i="5"/>
  <c r="AR304" i="10"/>
  <c r="AQ304" i="10"/>
  <c r="AQ223" i="10"/>
  <c r="AR223" i="10"/>
  <c r="I273" i="5"/>
  <c r="AQ208" i="10"/>
  <c r="AR208" i="10"/>
  <c r="T279" i="5"/>
  <c r="J279" i="5"/>
  <c r="J268" i="5"/>
  <c r="W275" i="5"/>
  <c r="Y280" i="5"/>
  <c r="N267" i="5"/>
  <c r="T272" i="5"/>
  <c r="P272" i="5"/>
  <c r="AC205" i="58885"/>
  <c r="AC169" i="58885"/>
  <c r="AC204" i="58885"/>
  <c r="AC148" i="58885"/>
  <c r="AC207" i="58885"/>
  <c r="AC189" i="58885"/>
  <c r="AC151" i="58885"/>
  <c r="AC149" i="58885"/>
  <c r="AC157" i="58885"/>
  <c r="AC254" i="58885"/>
  <c r="AC197" i="58885"/>
  <c r="AC180" i="58885"/>
  <c r="AC247" i="58885"/>
  <c r="AC155" i="58885"/>
  <c r="AC192" i="58885"/>
  <c r="AC209" i="58885"/>
  <c r="AC216" i="58885"/>
  <c r="AC236" i="58885"/>
  <c r="AC210" i="58885"/>
  <c r="AC227" i="58885"/>
  <c r="AC179" i="58885"/>
  <c r="AC225" i="58885"/>
  <c r="AC234" i="58885"/>
  <c r="AC229" i="58885"/>
  <c r="AC230" i="58885"/>
  <c r="AC242" i="58885"/>
  <c r="AC251" i="58885"/>
  <c r="AC243" i="58885"/>
  <c r="AC235" i="58885"/>
  <c r="AC237" i="58885"/>
  <c r="AC249" i="58885"/>
  <c r="AC196" i="58885"/>
  <c r="AC153" i="58885"/>
  <c r="AC173" i="58885"/>
  <c r="AC222" i="58885"/>
  <c r="AC206" i="58885"/>
  <c r="AC245" i="58885"/>
  <c r="AC178" i="58885"/>
  <c r="AC233" i="58885"/>
  <c r="AC164" i="58885"/>
  <c r="AC248" i="58885"/>
  <c r="AC188" i="58885"/>
  <c r="AC203" i="58885"/>
  <c r="AC174" i="58885"/>
  <c r="AC195" i="58885"/>
  <c r="AC223" i="58885"/>
  <c r="AC183" i="58885"/>
  <c r="AC194" i="58885"/>
  <c r="AC147" i="58885"/>
  <c r="AC156" i="58885"/>
  <c r="AC228" i="58885"/>
  <c r="AC143" i="58885"/>
  <c r="AC218" i="58885"/>
  <c r="AC214" i="58885"/>
  <c r="AC146" i="58885"/>
  <c r="AC186" i="58885"/>
  <c r="AC221" i="58885"/>
  <c r="AC232" i="58885"/>
  <c r="AC208" i="58885"/>
  <c r="AC238" i="58885"/>
  <c r="AC181" i="58885"/>
  <c r="AC215" i="58885"/>
  <c r="AC191" i="58885"/>
  <c r="AC150" i="58885"/>
  <c r="AC253" i="58885"/>
  <c r="AC226" i="58885"/>
  <c r="AC175" i="58885"/>
  <c r="AC168" i="58885"/>
  <c r="AC145" i="58885"/>
  <c r="AC217" i="58885"/>
  <c r="AC158" i="58885"/>
  <c r="AC159" i="58885"/>
  <c r="AC144" i="58885"/>
  <c r="AC190" i="58885"/>
  <c r="AC163" i="58885"/>
  <c r="AC239" i="58885"/>
  <c r="AC211" i="58885"/>
  <c r="AC185" i="58885"/>
  <c r="AC193" i="58885"/>
  <c r="AC152" i="58885"/>
  <c r="AC187" i="58885"/>
  <c r="AC184" i="58885"/>
  <c r="AC198" i="58885"/>
  <c r="AC165" i="58885"/>
  <c r="AC202" i="58885"/>
  <c r="AC154" i="58885"/>
  <c r="AC166" i="58885"/>
  <c r="AC161" i="58885"/>
  <c r="AC213" i="58885"/>
  <c r="AC201" i="58885"/>
  <c r="AC231" i="58885"/>
  <c r="AC240" i="58885"/>
  <c r="AC219" i="58885"/>
  <c r="AC224" i="58885"/>
  <c r="AC160" i="58885"/>
  <c r="AC250" i="58885"/>
  <c r="AC212" i="58885"/>
  <c r="AC246" i="58885"/>
  <c r="AC199" i="58885"/>
  <c r="AC162" i="58885"/>
  <c r="AC171" i="58885"/>
  <c r="AC220" i="58885"/>
  <c r="AC176" i="58885"/>
  <c r="AC252" i="58885"/>
  <c r="AC182" i="58885"/>
  <c r="AC244" i="58885"/>
  <c r="AC167" i="58885"/>
  <c r="AC200" i="58885"/>
  <c r="AC241" i="58885"/>
  <c r="AC170" i="58885"/>
  <c r="AC177" i="58885"/>
  <c r="AC172" i="58885"/>
  <c r="W266" i="5"/>
  <c r="J289" i="5"/>
  <c r="N289" i="5"/>
  <c r="X280" i="5"/>
  <c r="X276" i="5"/>
  <c r="L276" i="5"/>
  <c r="M288" i="5"/>
  <c r="V288" i="5"/>
  <c r="O291" i="5"/>
  <c r="N291" i="5"/>
  <c r="AQ214" i="10"/>
  <c r="AR214" i="10"/>
  <c r="V275" i="5"/>
  <c r="AQ118" i="10"/>
  <c r="AR118" i="10"/>
  <c r="V285" i="5"/>
  <c r="I285" i="5"/>
  <c r="S286" i="5"/>
  <c r="R294" i="5"/>
  <c r="U261" i="5"/>
  <c r="O261" i="5"/>
  <c r="P293" i="5"/>
  <c r="AQ157" i="10"/>
  <c r="AR157" i="10"/>
  <c r="N264" i="5"/>
  <c r="K271" i="5"/>
  <c r="S271" i="5"/>
  <c r="J270" i="5"/>
  <c r="X270" i="5"/>
  <c r="W263" i="5"/>
  <c r="X263" i="5"/>
  <c r="AR148" i="10"/>
  <c r="AQ148" i="10"/>
  <c r="I292" i="5"/>
  <c r="O292" i="5"/>
  <c r="L292" i="5"/>
  <c r="T269" i="5"/>
  <c r="L269" i="5"/>
  <c r="I282" i="5"/>
  <c r="K278" i="5"/>
  <c r="P278" i="5"/>
  <c r="P284" i="5"/>
  <c r="O284" i="5"/>
  <c r="W265" i="5"/>
  <c r="N265" i="5"/>
  <c r="X290" i="5"/>
  <c r="U290" i="5"/>
  <c r="S274" i="5"/>
  <c r="Q274" i="5"/>
  <c r="AR169" i="10"/>
  <c r="AQ169" i="10"/>
  <c r="W273" i="5"/>
  <c r="X273" i="5"/>
  <c r="Q279" i="5"/>
  <c r="K279" i="5"/>
  <c r="P268" i="5"/>
  <c r="M277" i="5"/>
  <c r="Q281" i="5"/>
  <c r="L267" i="5"/>
  <c r="Y272" i="5"/>
  <c r="AB235" i="58885"/>
  <c r="AB241" i="58885"/>
  <c r="AB234" i="58885"/>
  <c r="AB172" i="58885"/>
  <c r="AB189" i="58885"/>
  <c r="AB193" i="58885"/>
  <c r="AB153" i="58885"/>
  <c r="AB170" i="58885"/>
  <c r="AB233" i="58885"/>
  <c r="AB209" i="58885"/>
  <c r="AB229" i="58885"/>
  <c r="AB203" i="58885"/>
  <c r="AB188" i="58885"/>
  <c r="AB143" i="58885"/>
  <c r="AB155" i="58885"/>
  <c r="AB169" i="58885"/>
  <c r="AB236" i="58885"/>
  <c r="AB237" i="58885"/>
  <c r="AB194" i="58885"/>
  <c r="AB177" i="58885"/>
  <c r="AB225" i="58885"/>
  <c r="AB152" i="58885"/>
  <c r="AB248" i="58885"/>
  <c r="AB232" i="58885"/>
  <c r="AB254" i="58885"/>
  <c r="AB154" i="58885"/>
  <c r="AB252" i="58885"/>
  <c r="AB148" i="58885"/>
  <c r="AB191" i="58885"/>
  <c r="AB187" i="58885"/>
  <c r="AB230" i="58885"/>
  <c r="AB243" i="58885"/>
  <c r="AB150" i="58885"/>
  <c r="AB144" i="58885"/>
  <c r="AB246" i="58885"/>
  <c r="AB249" i="58885"/>
  <c r="AB223" i="58885"/>
  <c r="AB158" i="58885"/>
  <c r="AB168" i="58885"/>
  <c r="AB180" i="58885"/>
  <c r="AB224" i="58885"/>
  <c r="AB192" i="58885"/>
  <c r="AB167" i="58885"/>
  <c r="AB231" i="58885"/>
  <c r="AB217" i="58885"/>
  <c r="AB215" i="58885"/>
  <c r="AB159" i="58885"/>
  <c r="AB253" i="58885"/>
  <c r="AB218" i="58885"/>
  <c r="AB197" i="58885"/>
  <c r="AB175" i="58885"/>
  <c r="AB199" i="58885"/>
  <c r="AB147" i="58885"/>
  <c r="AB251" i="58885"/>
  <c r="AB190" i="58885"/>
  <c r="AB183" i="58885"/>
  <c r="AB181" i="58885"/>
  <c r="AB213" i="58885"/>
  <c r="AB211" i="58885"/>
  <c r="AB176" i="58885"/>
  <c r="AB186" i="58885"/>
  <c r="AB239" i="58885"/>
  <c r="AB208" i="58885"/>
  <c r="AB204" i="58885"/>
  <c r="AB173" i="58885"/>
  <c r="AB185" i="58885"/>
  <c r="AB145" i="58885"/>
  <c r="AB238" i="58885"/>
  <c r="AB247" i="58885"/>
  <c r="AB214" i="58885"/>
  <c r="AB202" i="58885"/>
  <c r="AB165" i="58885"/>
  <c r="AB198" i="58885"/>
  <c r="AB162" i="58885"/>
  <c r="AB161" i="58885"/>
  <c r="AB171" i="58885"/>
  <c r="AB149" i="58885"/>
  <c r="AB146" i="58885"/>
  <c r="AB240" i="58885"/>
  <c r="AB226" i="58885"/>
  <c r="AB179" i="58885"/>
  <c r="AB156" i="58885"/>
  <c r="AB206" i="58885"/>
  <c r="AB242" i="58885"/>
  <c r="AB228" i="58885"/>
  <c r="AB220" i="58885"/>
  <c r="AB178" i="58885"/>
  <c r="AB207" i="58885"/>
  <c r="AB184" i="58885"/>
  <c r="AB205" i="58885"/>
  <c r="AB182" i="58885"/>
  <c r="AB163" i="58885"/>
  <c r="AB157" i="58885"/>
  <c r="AB160" i="58885"/>
  <c r="AB245" i="58885"/>
  <c r="AB221" i="58885"/>
  <c r="AB166" i="58885"/>
  <c r="AB212" i="58885"/>
  <c r="AB196" i="58885"/>
  <c r="AB250" i="58885"/>
  <c r="AB195" i="58885"/>
  <c r="AB200" i="58885"/>
  <c r="AB201" i="58885"/>
  <c r="AB164" i="58885"/>
  <c r="AB244" i="58885"/>
  <c r="AB151" i="58885"/>
  <c r="AB227" i="58885"/>
  <c r="AB216" i="58885"/>
  <c r="AB174" i="58885"/>
  <c r="AB210" i="58885"/>
  <c r="AB222" i="58885"/>
  <c r="AB219" i="58885"/>
  <c r="J266" i="5"/>
  <c r="X289" i="5"/>
  <c r="L289" i="5"/>
  <c r="O262" i="5"/>
  <c r="V276" i="5"/>
  <c r="O281" i="5"/>
  <c r="P288" i="5"/>
  <c r="X288" i="5"/>
  <c r="R291" i="5"/>
  <c r="V280" i="5"/>
  <c r="M275" i="5"/>
  <c r="AQ178" i="10"/>
  <c r="AR178" i="10"/>
  <c r="Y285" i="5"/>
  <c r="X285" i="5"/>
  <c r="K286" i="5"/>
  <c r="T294" i="5"/>
  <c r="P261" i="5"/>
  <c r="V261" i="5"/>
  <c r="U293" i="5"/>
  <c r="AR187" i="10"/>
  <c r="AQ187" i="10"/>
  <c r="AQ127" i="10"/>
  <c r="AR127" i="10"/>
  <c r="O264" i="5"/>
  <c r="M271" i="5"/>
  <c r="Y271" i="5"/>
  <c r="L270" i="5"/>
  <c r="U270" i="5"/>
  <c r="Q263" i="5"/>
  <c r="P263" i="5"/>
  <c r="AQ184" i="10"/>
  <c r="AR184" i="10"/>
  <c r="Y292" i="5"/>
  <c r="X292" i="5"/>
  <c r="O269" i="5"/>
  <c r="N269" i="5"/>
  <c r="Q269" i="5"/>
  <c r="U282" i="5"/>
  <c r="W278" i="5"/>
  <c r="T278" i="5"/>
  <c r="Q278" i="5"/>
  <c r="K284" i="5"/>
  <c r="S284" i="5"/>
  <c r="J265" i="5"/>
  <c r="K265" i="5"/>
  <c r="Q290" i="5"/>
  <c r="U274" i="5"/>
  <c r="T274" i="5"/>
  <c r="K274" i="5"/>
  <c r="AQ305" i="10"/>
  <c r="AR305" i="10"/>
  <c r="J273" i="5"/>
  <c r="T281" i="5"/>
  <c r="AR202" i="10"/>
  <c r="AQ202" i="10"/>
  <c r="AR205" i="10"/>
  <c r="AQ205" i="10"/>
  <c r="AR190" i="10"/>
  <c r="AQ190" i="10"/>
  <c r="N279" i="5"/>
  <c r="W279" i="5"/>
  <c r="J283" i="5"/>
  <c r="J275" i="5"/>
  <c r="I281" i="5"/>
  <c r="X262" i="5"/>
  <c r="L272" i="5"/>
  <c r="AR136" i="10"/>
  <c r="AQ136" i="10"/>
  <c r="T266" i="5"/>
  <c r="K289" i="5"/>
  <c r="U289" i="5"/>
  <c r="J281" i="5"/>
  <c r="K276" i="5"/>
  <c r="R288" i="5"/>
  <c r="W288" i="5"/>
  <c r="U288" i="5"/>
  <c r="Y291" i="5"/>
  <c r="S41" i="58887"/>
  <c r="W280" i="5"/>
  <c r="L275" i="5"/>
  <c r="T285" i="5"/>
  <c r="Q285" i="5"/>
  <c r="I286" i="5"/>
  <c r="J294" i="5"/>
  <c r="N261" i="5"/>
  <c r="K261" i="5"/>
  <c r="L293" i="5"/>
  <c r="Q264" i="5"/>
  <c r="V264" i="5"/>
  <c r="Q271" i="5"/>
  <c r="T287" i="5"/>
  <c r="W270" i="5"/>
  <c r="N270" i="5"/>
  <c r="J263" i="5"/>
  <c r="T280" i="5"/>
  <c r="AR142" i="10"/>
  <c r="AQ142" i="10"/>
  <c r="AR226" i="10"/>
  <c r="AQ226" i="10"/>
  <c r="O283" i="5"/>
  <c r="S292" i="5"/>
  <c r="V292" i="5"/>
  <c r="R269" i="5"/>
  <c r="K269" i="5"/>
  <c r="P282" i="5"/>
  <c r="T282" i="5"/>
  <c r="S278" i="5"/>
  <c r="Y278" i="5"/>
  <c r="X265" i="5"/>
  <c r="M284" i="5"/>
  <c r="L284" i="5"/>
  <c r="P265" i="5"/>
  <c r="Q265" i="5"/>
  <c r="N290" i="5"/>
  <c r="I274" i="5"/>
  <c r="P274" i="5"/>
  <c r="AQ302" i="10"/>
  <c r="AR302" i="10"/>
  <c r="AR303" i="10"/>
  <c r="AQ303" i="10"/>
  <c r="U264" i="5"/>
  <c r="K264" i="5"/>
  <c r="N271" i="5"/>
  <c r="O294" i="5"/>
  <c r="T270" i="5"/>
  <c r="O270" i="5"/>
  <c r="K263" i="5"/>
  <c r="R280" i="5"/>
  <c r="U283" i="5"/>
  <c r="T292" i="5"/>
  <c r="M292" i="5"/>
  <c r="V269" i="5"/>
  <c r="S269" i="5"/>
  <c r="N282" i="5"/>
  <c r="R282" i="5"/>
  <c r="V278" i="5"/>
  <c r="N278" i="5"/>
  <c r="R284" i="5"/>
  <c r="T284" i="5"/>
  <c r="Q284" i="5"/>
  <c r="O265" i="5"/>
  <c r="I265" i="5"/>
  <c r="S290" i="5"/>
  <c r="J274" i="5"/>
  <c r="W274" i="5"/>
  <c r="J264" i="5"/>
  <c r="W264" i="5"/>
  <c r="U271" i="5"/>
  <c r="T283" i="5"/>
  <c r="M270" i="5"/>
  <c r="I270" i="5"/>
  <c r="Y263" i="5"/>
  <c r="U280" i="5"/>
  <c r="AQ124" i="10"/>
  <c r="AR124" i="10"/>
  <c r="P283" i="5"/>
  <c r="P292" i="5"/>
  <c r="R292" i="5"/>
  <c r="W269" i="5"/>
  <c r="M269" i="5"/>
  <c r="O282" i="5"/>
  <c r="M282" i="5"/>
  <c r="U278" i="5"/>
  <c r="R278" i="5"/>
  <c r="N284" i="5"/>
  <c r="W284" i="5"/>
  <c r="V265" i="5"/>
  <c r="O290" i="5"/>
  <c r="M290" i="5"/>
  <c r="M274" i="5"/>
  <c r="R274" i="5"/>
  <c r="T273" i="5"/>
  <c r="L279" i="5"/>
  <c r="K268" i="5"/>
  <c r="P267" i="5"/>
  <c r="R277" i="5"/>
  <c r="X267" i="5"/>
  <c r="I272" i="5"/>
  <c r="X272" i="5"/>
  <c r="R266" i="5"/>
  <c r="Q266" i="5"/>
  <c r="I289" i="5"/>
  <c r="S289" i="5"/>
  <c r="R276" i="5"/>
  <c r="Y276" i="5"/>
  <c r="S288" i="5"/>
  <c r="Y288" i="5"/>
  <c r="M291" i="5"/>
  <c r="V291" i="5"/>
  <c r="J280" i="5"/>
  <c r="P275" i="5"/>
  <c r="AQ130" i="10"/>
  <c r="AR130" i="10"/>
  <c r="P285" i="5"/>
  <c r="W286" i="5"/>
  <c r="I294" i="5"/>
  <c r="U281" i="5"/>
  <c r="J261" i="5"/>
  <c r="Y261" i="5"/>
  <c r="N293" i="5"/>
  <c r="AR247" i="10"/>
  <c r="AQ247" i="10"/>
  <c r="AQ151" i="10"/>
  <c r="AR151" i="10"/>
  <c r="AR241" i="10"/>
  <c r="AQ241" i="10"/>
  <c r="I264" i="5"/>
  <c r="R281" i="5"/>
  <c r="X271" i="5"/>
  <c r="Q294" i="5"/>
  <c r="P270" i="5"/>
  <c r="Q270" i="5"/>
  <c r="S263" i="5"/>
  <c r="N262" i="5"/>
  <c r="AQ175" i="10"/>
  <c r="AR175" i="10"/>
  <c r="AR196" i="10"/>
  <c r="AQ196" i="10"/>
  <c r="Q283" i="5"/>
  <c r="K292" i="5"/>
  <c r="Q292" i="5"/>
  <c r="P269" i="5"/>
  <c r="J269" i="5"/>
  <c r="V282" i="5"/>
  <c r="Q282" i="5"/>
  <c r="M278" i="5"/>
  <c r="O278" i="5"/>
  <c r="I284" i="5"/>
  <c r="X284" i="5"/>
  <c r="T265" i="5"/>
  <c r="R265" i="5"/>
  <c r="Y290" i="5"/>
  <c r="I290" i="5"/>
  <c r="N274" i="5"/>
  <c r="V274" i="5"/>
  <c r="AS109" i="10"/>
  <c r="B108" i="10"/>
  <c r="AS108" i="10" s="1"/>
  <c r="B101" i="10"/>
  <c r="AS101" i="10" s="1"/>
  <c r="AS102" i="10"/>
  <c r="AR306" i="10"/>
  <c r="AQ306" i="10"/>
  <c r="L264" i="5"/>
  <c r="M262" i="5"/>
  <c r="L271" i="5"/>
  <c r="V270" i="5"/>
  <c r="S270" i="5"/>
  <c r="N263" i="5"/>
  <c r="M263" i="5"/>
  <c r="P262" i="5"/>
  <c r="T291" i="5"/>
  <c r="W292" i="5"/>
  <c r="J292" i="5"/>
  <c r="X269" i="5"/>
  <c r="I269" i="5"/>
  <c r="S282" i="5"/>
  <c r="J278" i="5"/>
  <c r="I278" i="5"/>
  <c r="V284" i="5"/>
  <c r="Y284" i="5"/>
  <c r="M265" i="5"/>
  <c r="Y265" i="5"/>
  <c r="T290" i="5"/>
  <c r="J290" i="5"/>
  <c r="L274" i="5"/>
  <c r="Y274" i="5"/>
  <c r="AV113" i="10"/>
  <c r="Z101" i="58885" a="1"/>
  <c r="Z101" i="58885" s="1"/>
  <c r="Y107" i="58885" a="1"/>
  <c r="Y107" i="58885" s="1"/>
  <c r="H15" i="58887" a="1"/>
  <c r="H15" i="58887" s="1"/>
  <c r="Z116" i="58885" a="1"/>
  <c r="Z116" i="58885" s="1"/>
  <c r="AP185" i="10" a="1"/>
  <c r="AP185" i="10" s="1"/>
  <c r="H60" i="58887" a="1"/>
  <c r="H60" i="58887" s="1"/>
  <c r="AO185" i="10" a="1"/>
  <c r="AO185" i="10" s="1"/>
  <c r="H152" i="58887" a="1"/>
  <c r="H152" i="58887" s="1"/>
  <c r="H29" i="58887" a="1"/>
  <c r="H29" i="58887" s="1"/>
  <c r="Y101" i="58885" a="1"/>
  <c r="Y101" i="58885" s="1"/>
  <c r="Z98" i="58885" a="1"/>
  <c r="Z98" i="58885" s="1"/>
  <c r="Y98" i="58885" a="1"/>
  <c r="Y98" i="58885" s="1"/>
  <c r="H41" i="58887" a="1"/>
  <c r="H41" i="58887" s="1"/>
  <c r="H17" i="58887" a="1"/>
  <c r="H17" i="58887" s="1"/>
  <c r="Y116" i="58885" a="1"/>
  <c r="Y116" i="58885" s="1"/>
  <c r="D9" i="10"/>
  <c r="AS10" i="10"/>
  <c r="C8" i="33" a="1"/>
  <c r="C8" i="33" s="1"/>
  <c r="H45" i="58887" a="1"/>
  <c r="H45" i="58887" s="1"/>
  <c r="AV91" i="10"/>
  <c r="AW91" i="10"/>
  <c r="AV90" i="10"/>
  <c r="AW90" i="10"/>
  <c r="R113" i="58887"/>
  <c r="S126" i="58887"/>
  <c r="S5" i="58887"/>
  <c r="R26" i="58887"/>
  <c r="R12" i="58887"/>
  <c r="S16" i="58887"/>
  <c r="R16" i="58887"/>
  <c r="M16" i="58887" s="1"/>
  <c r="S113" i="58887"/>
  <c r="R15" i="58887"/>
  <c r="R116" i="58887"/>
  <c r="M116" i="58887" s="1"/>
  <c r="S29" i="58887"/>
  <c r="AR152" i="10"/>
  <c r="AQ152" i="10"/>
  <c r="AR146" i="10"/>
  <c r="AQ146" i="10"/>
  <c r="F89" i="10"/>
  <c r="S15" i="58887"/>
  <c r="R126" i="58887"/>
  <c r="S26" i="58887"/>
  <c r="S12" i="58887"/>
  <c r="R5" i="58887"/>
  <c r="S116" i="58887"/>
  <c r="M26" i="58887"/>
  <c r="F19" i="58837"/>
  <c r="H14" i="58837"/>
  <c r="H19" i="58837" s="1"/>
  <c r="E14" i="58837" a="1"/>
  <c r="E14" i="58837" s="1"/>
  <c r="BY5" i="58839"/>
  <c r="BX56" i="58839"/>
  <c r="Y56" i="58839"/>
  <c r="Z5" i="58839"/>
  <c r="AT172" i="10"/>
  <c r="AT199" i="10"/>
  <c r="AT232" i="10"/>
  <c r="AT304" i="10"/>
  <c r="AT214" i="10"/>
  <c r="AT169" i="10"/>
  <c r="AT127" i="10"/>
  <c r="AT241" i="10"/>
  <c r="F10" i="10" a="1"/>
  <c r="D10" i="10" a="1"/>
  <c r="S13" i="58887" a="1"/>
  <c r="AQ31" i="10" a="1"/>
  <c r="AT235" i="10"/>
  <c r="AT160" i="10"/>
  <c r="AT223" i="10"/>
  <c r="AT184" i="10"/>
  <c r="AT202" i="10"/>
  <c r="AT175" i="10"/>
  <c r="R152" i="58887" a="1"/>
  <c r="AQ185" i="10" a="1"/>
  <c r="AR185" i="10" a="1"/>
  <c r="AT220" i="10"/>
  <c r="AT139" i="10"/>
  <c r="AT211" i="10"/>
  <c r="AT303" i="10"/>
  <c r="AT130" i="10"/>
  <c r="S17" i="58887" a="1"/>
  <c r="AT217" i="10"/>
  <c r="AT163" i="10"/>
  <c r="AT229" i="10"/>
  <c r="AT193" i="10"/>
  <c r="AT145" i="10"/>
  <c r="AT118" i="10"/>
  <c r="AT205" i="10"/>
  <c r="AT142" i="10"/>
  <c r="AT306" i="10"/>
  <c r="R29" i="58887" a="1"/>
  <c r="AT152" i="10"/>
  <c r="AT146" i="10"/>
  <c r="AV89" i="10" a="1"/>
  <c r="AT305" i="10"/>
  <c r="AT124" i="10"/>
  <c r="AT247" i="10"/>
  <c r="AT196" i="10"/>
  <c r="R41" i="58887" a="1"/>
  <c r="AT154" i="10"/>
  <c r="AT181" i="10"/>
  <c r="AT208" i="10"/>
  <c r="AT157" i="10"/>
  <c r="AT253" i="10"/>
  <c r="AT121" i="10"/>
  <c r="AT178" i="10"/>
  <c r="AT190" i="10"/>
  <c r="AT226" i="10"/>
  <c r="AT151" i="10"/>
  <c r="S60" i="58887" a="1"/>
  <c r="R13" i="58887" a="1"/>
  <c r="AT166" i="10"/>
  <c r="AT238" i="10"/>
  <c r="AT148" i="10"/>
  <c r="AT136" i="10"/>
  <c r="S45" i="58887" a="1"/>
  <c r="S152" i="58887" a="1"/>
  <c r="AR22" i="10" a="1"/>
  <c r="R60" i="58887" a="1"/>
  <c r="R17" i="58887" a="1"/>
  <c r="AQ22" i="10" a="1"/>
  <c r="AR31" i="10" a="1"/>
  <c r="AW89" i="10" a="1"/>
  <c r="AT250" i="10"/>
  <c r="AT244" i="10"/>
  <c r="AT187" i="10"/>
  <c r="AT302" i="10"/>
  <c r="R45" i="58887" a="1"/>
  <c r="AW28" i="10" a="1"/>
  <c r="AV46" i="10" a="1"/>
  <c r="AV25" i="10" a="1"/>
  <c r="AV15" i="10" a="1"/>
  <c r="AW32" i="10" a="1"/>
  <c r="AW25" i="10" a="1"/>
  <c r="AW31" i="10" a="1"/>
  <c r="AW20" i="10" a="1"/>
  <c r="AV13" i="10" a="1"/>
  <c r="AW38" i="10" a="1"/>
  <c r="AV32" i="10" a="1"/>
  <c r="AV18" i="10" a="1"/>
  <c r="AV53" i="10" a="1"/>
  <c r="AV14" i="10" a="1"/>
  <c r="AW48" i="10" a="1"/>
  <c r="AW29" i="10" a="1"/>
  <c r="AV41" i="10" a="1"/>
  <c r="AV29" i="10" a="1"/>
  <c r="AV16" i="10" a="1"/>
  <c r="AW12" i="10" a="1"/>
  <c r="AV57" i="10" a="1"/>
  <c r="AV40" i="10" a="1"/>
  <c r="AW15" i="10" a="1"/>
  <c r="AW26" i="10" a="1"/>
  <c r="AW57" i="10" a="1"/>
  <c r="AV44" i="10" a="1"/>
  <c r="AW36" i="10" a="1"/>
  <c r="AW21" i="10" a="1"/>
  <c r="AW46" i="10" a="1"/>
  <c r="AW27" i="10" a="1"/>
  <c r="AW39" i="10" a="1"/>
  <c r="AW51" i="10" a="1"/>
  <c r="AV54" i="10" a="1"/>
  <c r="AV31" i="10" a="1"/>
  <c r="AV52" i="10" a="1"/>
  <c r="AV22" i="10" a="1"/>
  <c r="AW42" i="10" a="1"/>
  <c r="AV17" i="10" a="1"/>
  <c r="AV51" i="10" a="1"/>
  <c r="AW13" i="10" a="1"/>
  <c r="AV45" i="10" a="1"/>
  <c r="AW50" i="10" a="1"/>
  <c r="AV21" i="10" a="1"/>
  <c r="AW34" i="10" a="1"/>
  <c r="AW47" i="10" a="1"/>
  <c r="AW17" i="10" a="1"/>
  <c r="AW24" i="10" a="1"/>
  <c r="AV30" i="10" a="1"/>
  <c r="AV55" i="10" a="1"/>
  <c r="AW44" i="10" a="1"/>
  <c r="AV33" i="10" a="1"/>
  <c r="AW30" i="10" a="1"/>
  <c r="AW54" i="10" a="1"/>
  <c r="AW19" i="10" a="1"/>
  <c r="AW11" i="10" a="1"/>
  <c r="AV48" i="10" a="1"/>
  <c r="AV27" i="10" a="1"/>
  <c r="AW56" i="10" a="1"/>
  <c r="AW53" i="10" a="1"/>
  <c r="AV23" i="10" a="1"/>
  <c r="AW41" i="10" a="1"/>
  <c r="AW18" i="10" a="1"/>
  <c r="AV19" i="10" a="1"/>
  <c r="AV34" i="10" a="1"/>
  <c r="AW55" i="10" a="1"/>
  <c r="AV26" i="10" a="1"/>
  <c r="AV56" i="10" a="1"/>
  <c r="AV36" i="10" a="1"/>
  <c r="AV50" i="10" a="1"/>
  <c r="AV39" i="10" a="1"/>
  <c r="AW52" i="10" a="1"/>
  <c r="AV28" i="10" a="1"/>
  <c r="AW45" i="10" a="1"/>
  <c r="AV42" i="10" a="1"/>
  <c r="AV20" i="10" a="1"/>
  <c r="AW23" i="10" a="1"/>
  <c r="AV38" i="10" a="1"/>
  <c r="AW35" i="10" a="1"/>
  <c r="AV37" i="10" a="1"/>
  <c r="AV43" i="10" a="1"/>
  <c r="AV11" i="10" a="1"/>
  <c r="AW40" i="10" a="1"/>
  <c r="AW16" i="10" a="1"/>
  <c r="AW22" i="10" a="1"/>
  <c r="AW49" i="10" a="1"/>
  <c r="AW43" i="10" a="1"/>
  <c r="AV35" i="10" a="1"/>
  <c r="AV49" i="10" a="1"/>
  <c r="AW33" i="10" a="1"/>
  <c r="AV12" i="10" a="1"/>
  <c r="AW37" i="10" a="1"/>
  <c r="AW14" i="10" a="1"/>
  <c r="AV47" i="10" a="1"/>
  <c r="AV24" i="10" a="1"/>
  <c r="AQ57" i="10" a="1"/>
  <c r="AQ42" i="10" a="1"/>
  <c r="AQ12" i="10" a="1"/>
  <c r="AR21" i="10" a="1"/>
  <c r="AQ33" i="10" a="1"/>
  <c r="AK31" i="10" a="1"/>
  <c r="AR36" i="10" a="1"/>
  <c r="AL31" i="10" a="1"/>
  <c r="AR15" i="10" a="1"/>
  <c r="AQ45" i="10" a="1"/>
  <c r="AL22" i="10" a="1"/>
  <c r="AR12" i="10" a="1"/>
  <c r="AQ27" i="10" a="1"/>
  <c r="AQ21" i="10" a="1"/>
  <c r="AQ51" i="10" a="1"/>
  <c r="AR18" i="10" a="1"/>
  <c r="AQ30" i="10" a="1"/>
  <c r="AR30" i="10" a="1"/>
  <c r="AR51" i="10" a="1"/>
  <c r="AQ36" i="10" a="1"/>
  <c r="AQ48" i="10" a="1"/>
  <c r="AK22" i="10" a="1"/>
  <c r="AQ15" i="10" a="1"/>
  <c r="AQ18" i="10" a="1"/>
  <c r="AR24" i="10" a="1"/>
  <c r="AQ24" i="10" a="1"/>
  <c r="AR39" i="10" a="1"/>
  <c r="AR27" i="10" a="1"/>
  <c r="AR48" i="10" a="1"/>
  <c r="AR45" i="10" a="1"/>
  <c r="AR33" i="10" a="1"/>
  <c r="AR57" i="10" a="1"/>
  <c r="AR42" i="10" a="1"/>
  <c r="AQ39" i="10" a="1"/>
  <c r="AM13" i="10" a="1"/>
  <c r="X42" i="10" a="1"/>
  <c r="AP21" i="10" a="1"/>
  <c r="AF51" i="10" a="1"/>
  <c r="Y37" i="10" a="1"/>
  <c r="S25" i="10" a="1"/>
  <c r="AO13" i="10" a="1"/>
  <c r="AL39" i="10" a="1"/>
  <c r="AI11" i="10" a="1"/>
  <c r="X22" i="10" a="1"/>
  <c r="Q37" i="10" a="1"/>
  <c r="AF21" i="10" a="1"/>
  <c r="AO44" i="10" a="1"/>
  <c r="AG13" i="10" a="1"/>
  <c r="Z55" i="10" a="1"/>
  <c r="AA57" i="10" a="1"/>
  <c r="AF40" i="10" a="1"/>
  <c r="R23" i="10" a="1"/>
  <c r="AH22" i="10" a="1"/>
  <c r="S12" i="10" a="1"/>
  <c r="P50" i="10" a="1"/>
  <c r="H54" i="10" a="1"/>
  <c r="T25" i="10" a="1"/>
  <c r="AN56" i="10" a="1"/>
  <c r="W13" i="10" a="1"/>
  <c r="W36" i="10" a="1"/>
  <c r="X28" i="10" a="1"/>
  <c r="AP19" i="10" a="1"/>
  <c r="S52" i="10" a="1"/>
  <c r="AD37" i="10" a="1"/>
  <c r="U46" i="10" a="1"/>
  <c r="AM39" i="10" a="1"/>
  <c r="X57" i="10" a="1"/>
  <c r="AA56" i="10" a="1"/>
  <c r="AK41" i="10" a="1"/>
  <c r="AI27" i="10" a="1"/>
  <c r="H44" i="10" a="1"/>
  <c r="AH21" i="10" a="1"/>
  <c r="K26" i="10" a="1"/>
  <c r="M27" i="10" a="1"/>
  <c r="AC42" i="10" a="1"/>
  <c r="R19" i="10" a="1"/>
  <c r="AK21" i="10" a="1"/>
  <c r="L14" i="10" a="1"/>
  <c r="AQ25" i="10" a="1"/>
  <c r="AM14" i="10" a="1"/>
  <c r="AG15" i="10" a="1"/>
  <c r="AG57" i="10" a="1"/>
  <c r="M32" i="10" a="1"/>
  <c r="K17" i="10" a="1"/>
  <c r="I39" i="10" a="1"/>
  <c r="Q52" i="10" a="1"/>
  <c r="N39" i="10" a="1"/>
  <c r="Z53" i="10" a="1"/>
  <c r="AM25" i="10" a="1"/>
  <c r="AH34" i="10" a="1"/>
  <c r="R18" i="10" a="1"/>
  <c r="AN17" i="10" a="1"/>
  <c r="O43" i="10" a="1"/>
  <c r="K13" i="10" a="1"/>
  <c r="O11" i="10" a="1"/>
  <c r="V15" i="10" a="1"/>
  <c r="AO51" i="10" a="1"/>
  <c r="AJ32" i="10" a="1"/>
  <c r="O12" i="10" a="1"/>
  <c r="AK25" i="10" a="1"/>
  <c r="AD48" i="10" a="1"/>
  <c r="AM19" i="10" a="1"/>
  <c r="AC53" i="10" a="1"/>
  <c r="Q15" i="10" a="1"/>
  <c r="AK14" i="10" a="1"/>
  <c r="H33" i="10" a="1"/>
  <c r="AE44" i="10" a="1"/>
  <c r="AL21" i="10" a="1"/>
  <c r="S23" i="10" a="1"/>
  <c r="AI15" i="10" a="1"/>
  <c r="O52" i="10" a="1"/>
  <c r="U16" i="10" a="1"/>
  <c r="AC41" i="10" a="1"/>
  <c r="AJ20" i="10" a="1"/>
  <c r="Y20" i="10" a="1"/>
  <c r="S42" i="10" a="1"/>
  <c r="AE16" i="10" a="1"/>
  <c r="M49" i="10" a="1"/>
  <c r="Z20" i="10" a="1"/>
  <c r="N53" i="10" a="1"/>
  <c r="AD20" i="10" a="1"/>
  <c r="U57" i="10" a="1"/>
  <c r="AN43" i="10" a="1"/>
  <c r="R32" i="10" a="1"/>
  <c r="AK46" i="10" a="1"/>
  <c r="AH11" i="10" a="1"/>
  <c r="N24" i="10" a="1"/>
  <c r="AP31" i="10" a="1"/>
  <c r="AB25" i="10" a="1"/>
  <c r="Z13" i="10" a="1"/>
  <c r="AK33" i="10" a="1"/>
  <c r="J31" i="10" a="1"/>
  <c r="AH30" i="10" a="1"/>
  <c r="P11" i="10" a="1"/>
  <c r="AP20" i="10" a="1"/>
  <c r="AE25" i="10" a="1"/>
  <c r="AQ35" i="10" a="1"/>
  <c r="X32" i="10" a="1"/>
  <c r="AB38" i="10" a="1"/>
  <c r="G40" i="10" a="1"/>
  <c r="AG46" i="10" a="1"/>
  <c r="I34" i="10" a="1"/>
  <c r="AE19" i="10" a="1"/>
  <c r="AJ37" i="10" a="1"/>
  <c r="G38" i="10" a="1"/>
  <c r="W46" i="10" a="1"/>
  <c r="Z40" i="10" a="1"/>
  <c r="AR23" i="10" a="1"/>
  <c r="G24" i="10" a="1"/>
  <c r="AI36" i="10" a="1"/>
  <c r="T34" i="10" a="1"/>
  <c r="AR14" i="10" a="1"/>
  <c r="M52" i="10" a="1"/>
  <c r="Q48" i="10" a="1"/>
  <c r="Y56" i="10" a="1"/>
  <c r="H28" i="10" a="1"/>
  <c r="U13" i="10" a="1"/>
  <c r="AR20" i="10" a="1"/>
  <c r="AN30" i="10" a="1"/>
  <c r="L23" i="10" a="1"/>
  <c r="AB30" i="10" a="1"/>
  <c r="AA46" i="10" a="1"/>
  <c r="AL57" i="10" a="1"/>
  <c r="AK11" i="10" a="1"/>
  <c r="K19" i="10" a="1"/>
  <c r="T21" i="10" a="1"/>
  <c r="AA47" i="10" a="1"/>
  <c r="W19" i="10" a="1"/>
  <c r="X54" i="10" a="1"/>
  <c r="T56" i="10" a="1"/>
  <c r="K20" i="10" a="1"/>
  <c r="N42" i="10" a="1"/>
  <c r="H25" i="10" a="1"/>
  <c r="G56" i="10" a="1"/>
  <c r="AI22" i="10" a="1"/>
  <c r="L21" i="10" a="1"/>
  <c r="H12" i="10" a="1"/>
  <c r="I49" i="10" a="1"/>
  <c r="L34" i="10" a="1"/>
  <c r="AP46" i="10" a="1"/>
  <c r="AH39" i="10" a="1"/>
  <c r="AG47" i="10" a="1"/>
  <c r="G51" i="10" a="1"/>
  <c r="N38" i="10" a="1"/>
  <c r="N20" i="10" a="1"/>
  <c r="W29" i="10" a="1"/>
  <c r="AI29" i="10" a="1"/>
  <c r="X50" i="10" a="1"/>
  <c r="AD41" i="10" a="1"/>
  <c r="AL34" i="10" a="1"/>
  <c r="T23" i="10" a="1"/>
  <c r="AK16" i="10" a="1"/>
  <c r="Q53" i="10" a="1"/>
  <c r="AE35" i="10" a="1"/>
  <c r="AM12" i="10" a="1"/>
  <c r="AH54" i="10" a="1"/>
  <c r="AM32" i="10" a="1"/>
  <c r="T49" i="10" a="1"/>
  <c r="U27" i="10" a="1"/>
  <c r="G19" i="10" a="1"/>
  <c r="AK12" i="10" a="1"/>
  <c r="U47" i="10" a="1"/>
  <c r="AR43" i="10" a="1"/>
  <c r="AK49" i="10" a="1"/>
  <c r="AA15" i="10" a="1"/>
  <c r="AR35" i="10" a="1"/>
  <c r="U19" i="10" a="1"/>
  <c r="V28" i="10" a="1"/>
  <c r="X17" i="10" a="1"/>
  <c r="AL48" i="10" a="1"/>
  <c r="AI19" i="10" a="1"/>
  <c r="AQ47" i="10" a="1"/>
  <c r="AO36" i="10" a="1"/>
  <c r="AH25" i="10" a="1"/>
  <c r="Z49" i="10" a="1"/>
  <c r="AJ40" i="10" a="1"/>
  <c r="AM31" i="10" a="1"/>
  <c r="AP53" i="10" a="1"/>
  <c r="U44" i="10" a="1"/>
  <c r="AI18" i="10" a="1"/>
  <c r="U35" i="10" a="1"/>
  <c r="AA21" i="10" a="1"/>
  <c r="X49" i="10" a="1"/>
  <c r="AC37" i="10" a="1"/>
  <c r="AK45" i="10" a="1"/>
  <c r="AR25" i="10" a="1"/>
  <c r="X14" i="10" a="1"/>
  <c r="X46" i="10" a="1"/>
  <c r="AF55" i="10" a="1"/>
  <c r="AA30" i="10" a="1"/>
  <c r="AE57" i="10" a="1"/>
  <c r="P37" i="10" a="1"/>
  <c r="V53" i="10" a="1"/>
  <c r="U52" i="10" a="1"/>
  <c r="O39" i="10" a="1"/>
  <c r="W48" i="10" a="1"/>
  <c r="R47" i="10" a="1"/>
  <c r="Z29" i="10" a="1"/>
  <c r="O15" i="10" a="1"/>
  <c r="Q29" i="10" a="1"/>
  <c r="AP47" i="10" a="1"/>
  <c r="AG35" i="10" a="1"/>
  <c r="AP54" i="10" a="1"/>
  <c r="H22" i="10" a="1"/>
  <c r="AE23" i="10" a="1"/>
  <c r="AQ16" i="10" a="1"/>
  <c r="AO24" i="10" a="1"/>
  <c r="AC15" i="10" a="1"/>
  <c r="AN20" i="10" a="1"/>
  <c r="S46" i="10" a="1"/>
  <c r="AO37" i="10" a="1"/>
  <c r="AG55" i="10" a="1"/>
  <c r="AI43" i="10" a="1"/>
  <c r="Y30" i="10" a="1"/>
  <c r="I54" i="10" a="1"/>
  <c r="N30" i="10" a="1"/>
  <c r="AD40" i="10" a="1"/>
  <c r="AC27" i="10" a="1"/>
  <c r="Q33" i="10" a="1"/>
  <c r="R30" i="10" a="1"/>
  <c r="AC23" i="10" a="1"/>
  <c r="Z26" i="10" a="1"/>
  <c r="AA14" i="10" a="1"/>
  <c r="AR29" i="10" a="1"/>
  <c r="M14" i="10" a="1"/>
  <c r="W17" i="10" a="1"/>
  <c r="AN31" i="10" a="1"/>
  <c r="Y12" i="10" a="1"/>
  <c r="AC20" i="10" a="1"/>
  <c r="AR49" i="10" a="1"/>
  <c r="AI33" i="10" a="1"/>
  <c r="R41" i="10" a="1"/>
  <c r="AF52" i="10" a="1"/>
  <c r="X27" i="10" a="1"/>
  <c r="H47" i="10" a="1"/>
  <c r="H15" i="10" a="1"/>
  <c r="U56" i="10" a="1"/>
  <c r="S27" i="10" a="1"/>
  <c r="AF49" i="10" a="1"/>
  <c r="H52" i="10" a="1"/>
  <c r="I18" i="10" a="1"/>
  <c r="AL42" i="10" a="1"/>
  <c r="I11" i="10" a="1"/>
  <c r="R26" i="10" a="1"/>
  <c r="M34" i="10" a="1"/>
  <c r="V25" i="10" a="1"/>
  <c r="AF53" i="10" a="1"/>
  <c r="AO26" i="10" a="1"/>
  <c r="AM30" i="10" a="1"/>
  <c r="I38" i="10" a="1"/>
  <c r="O56" i="10" a="1"/>
  <c r="O20" i="10" a="1"/>
  <c r="M11" i="10" a="1"/>
  <c r="AB37" i="10" a="1"/>
  <c r="AO21" i="10" a="1"/>
  <c r="S24" i="10" a="1"/>
  <c r="AP11" i="10" a="1"/>
  <c r="L17" i="10" a="1"/>
  <c r="G28" i="10" a="1"/>
  <c r="R45" i="10" a="1"/>
  <c r="AB19" i="10" a="1"/>
  <c r="AQ38" i="10" a="1"/>
  <c r="V12" i="10" a="1"/>
  <c r="P36" i="10" a="1"/>
  <c r="AK27" i="10" a="1"/>
  <c r="W40" i="10" a="1"/>
  <c r="Q26" i="10" a="1"/>
  <c r="AP24" i="10" a="1"/>
  <c r="AR40" i="10" a="1"/>
  <c r="AN51" i="10" a="1"/>
  <c r="K37" i="10" a="1"/>
  <c r="O51" i="10" a="1"/>
  <c r="AD54" i="10" a="1"/>
  <c r="P35" i="10" a="1"/>
  <c r="AH12" i="10" a="1"/>
  <c r="Z50" i="10" a="1"/>
  <c r="AH35" i="10" a="1"/>
  <c r="U31" i="10" a="1"/>
  <c r="O29" i="10" a="1"/>
  <c r="AO41" i="10" a="1"/>
  <c r="AG29" i="10" a="1"/>
  <c r="AF48" i="10" a="1"/>
  <c r="P27" i="10" a="1"/>
  <c r="AP52" i="10" a="1"/>
  <c r="R51" i="10" a="1"/>
  <c r="AB32" i="10" a="1"/>
  <c r="AG45" i="10" a="1"/>
  <c r="AJ45" i="10" a="1"/>
  <c r="AR28" i="10" a="1"/>
  <c r="Z46" i="10" a="1"/>
  <c r="O31" i="10" a="1"/>
  <c r="R12" i="10" a="1"/>
  <c r="G15" i="10" a="1"/>
  <c r="J57" i="10" a="1"/>
  <c r="AJ46" i="10" a="1"/>
  <c r="AH14" i="10" a="1"/>
  <c r="N12" i="10" a="1"/>
  <c r="AB39" i="10" a="1"/>
  <c r="AL32" i="10" a="1"/>
  <c r="L47" i="10" a="1"/>
  <c r="H30" i="10" a="1"/>
  <c r="AI37" i="10" a="1"/>
  <c r="I28" i="10" a="1"/>
  <c r="R27" i="10" a="1"/>
  <c r="Y15" i="10" a="1"/>
  <c r="I27" i="10" a="1"/>
  <c r="AR41" i="10" a="1"/>
  <c r="AK55" i="10" a="1"/>
  <c r="K41" i="10" a="1"/>
  <c r="M51" i="10" a="1"/>
  <c r="AJ14" i="10" a="1"/>
  <c r="AJ23" i="10" a="1"/>
  <c r="N54" i="10" a="1"/>
  <c r="Q57" i="10" a="1"/>
  <c r="AN37" i="10" a="1"/>
  <c r="Y26" i="10" a="1"/>
  <c r="Y18" i="10" a="1"/>
  <c r="I45" i="10" a="1"/>
  <c r="AO17" i="10" a="1"/>
  <c r="Z54" i="10" a="1"/>
  <c r="AA36" i="10" a="1"/>
  <c r="M21" i="10" a="1"/>
  <c r="T37" i="10" a="1"/>
  <c r="H49" i="10" a="1"/>
  <c r="AI48" i="10" a="1"/>
  <c r="O25" i="10" a="1"/>
  <c r="Q38" i="10" a="1"/>
  <c r="AD24" i="10" a="1"/>
  <c r="AN15" i="10" a="1"/>
  <c r="T27" i="10" a="1"/>
  <c r="AK18" i="10" a="1"/>
  <c r="AN22" i="10" a="1"/>
  <c r="V56" i="10" a="1"/>
  <c r="AI24" i="10" a="1"/>
  <c r="Z42" i="10" a="1"/>
  <c r="AJ22" i="10" a="1"/>
  <c r="AA35" i="10" a="1"/>
  <c r="AP50" i="10" a="1"/>
  <c r="N17" i="10" a="1"/>
  <c r="K53" i="10" a="1"/>
  <c r="U22" i="10" a="1"/>
  <c r="AG39" i="10" a="1"/>
  <c r="P17" i="10" a="1"/>
  <c r="M43" i="10" a="1"/>
  <c r="AE41" i="10" a="1"/>
  <c r="O50" i="10" a="1"/>
  <c r="AB24" i="10" a="1"/>
  <c r="AI57" i="10" a="1"/>
  <c r="W27" i="10" a="1"/>
  <c r="AM18" i="10" a="1"/>
  <c r="AQ54" i="10" a="1"/>
  <c r="AP22" i="10" a="1"/>
  <c r="AE14" i="10" a="1"/>
  <c r="AH47" i="10" a="1"/>
  <c r="AB55" i="10" a="1"/>
  <c r="O14" i="10" a="1"/>
  <c r="I53" i="10" a="1"/>
  <c r="V16" i="10" a="1"/>
  <c r="AB13" i="10" a="1"/>
  <c r="AC44" i="10" a="1"/>
  <c r="X44" i="10" a="1"/>
  <c r="AQ23" i="10" a="1"/>
  <c r="AM56" i="10" a="1"/>
  <c r="AH41" i="10" a="1"/>
  <c r="AP17" i="10" a="1"/>
  <c r="J35" i="10" a="1"/>
  <c r="H53" i="10" a="1"/>
  <c r="S56" i="10" a="1"/>
  <c r="V19" i="10" a="1"/>
  <c r="I36" i="10" a="1"/>
  <c r="K48" i="10" a="1"/>
  <c r="AG54" i="10" a="1"/>
  <c r="N13" i="10" a="1"/>
  <c r="AG37" i="10" a="1"/>
  <c r="X51" i="10" a="1"/>
  <c r="AL53" i="10" a="1"/>
  <c r="AG36" i="10" a="1"/>
  <c r="U21" i="10" a="1"/>
  <c r="Z33" i="10" a="1"/>
  <c r="T32" i="10" a="1"/>
  <c r="Y49" i="10" a="1"/>
  <c r="AD38" i="10" a="1"/>
  <c r="M15" i="10" a="1"/>
  <c r="AK42" i="10" a="1"/>
  <c r="AA54" i="10" a="1"/>
  <c r="AB49" i="10" a="1"/>
  <c r="AE54" i="10" a="1"/>
  <c r="AH52" i="10" a="1"/>
  <c r="N27" i="10" a="1"/>
  <c r="AM46" i="10" a="1"/>
  <c r="AB56" i="10" a="1"/>
  <c r="AI47" i="10" a="1"/>
  <c r="P38" i="10" a="1"/>
  <c r="AC36" i="10" a="1"/>
  <c r="AH42" i="10" a="1"/>
  <c r="I50" i="10" a="1"/>
  <c r="M13" i="10" a="1"/>
  <c r="K55" i="10" a="1"/>
  <c r="Y48" i="10" a="1"/>
  <c r="V18" i="10" a="1"/>
  <c r="Z17" i="10" a="1"/>
  <c r="AL37" i="10" a="1"/>
  <c r="AQ44" i="10" a="1"/>
  <c r="O55" i="10" a="1"/>
  <c r="AO28" i="10" a="1"/>
  <c r="AN54" i="10" a="1"/>
  <c r="AF34" i="10" a="1"/>
  <c r="Z30" i="10" a="1"/>
  <c r="V48" i="10" a="1"/>
  <c r="AD46" i="10" a="1"/>
  <c r="AB12" i="10" a="1"/>
  <c r="R48" i="10" a="1"/>
  <c r="U14" i="10" a="1"/>
  <c r="AI20" i="10" a="1"/>
  <c r="Q22" i="10" a="1"/>
  <c r="H41" i="10" a="1"/>
  <c r="AJ51" i="10" a="1"/>
  <c r="S19" i="10" a="1"/>
  <c r="AF20" i="10" a="1"/>
  <c r="N11" i="10" a="1"/>
  <c r="Y57" i="10" a="1"/>
  <c r="AF50" i="10" a="1"/>
  <c r="L52" i="10" a="1"/>
  <c r="V43" i="10" a="1"/>
  <c r="T39" i="10" a="1"/>
  <c r="H13" i="10" a="1"/>
  <c r="Q16" i="10" a="1"/>
  <c r="AL41" i="10" a="1"/>
  <c r="M22" i="10" a="1"/>
  <c r="H36" i="10" a="1"/>
  <c r="L18" i="10" a="1"/>
  <c r="J23" i="10" a="1"/>
  <c r="AB27" i="10" a="1"/>
  <c r="K36" i="10" a="1"/>
  <c r="AJ36" i="10" a="1"/>
  <c r="P16" i="10" a="1"/>
  <c r="AG43" i="10" a="1"/>
  <c r="AB41" i="10" a="1"/>
  <c r="Q27" i="10" a="1"/>
  <c r="U33" i="10" a="1"/>
  <c r="K12" i="10" a="1"/>
  <c r="AD43" i="10" a="1"/>
  <c r="K30" i="10" a="1"/>
  <c r="U23" i="10" a="1"/>
  <c r="AE38" i="10" a="1"/>
  <c r="L36" i="10" a="1"/>
  <c r="R35" i="10" a="1"/>
  <c r="AG21" i="10" a="1"/>
  <c r="N22" i="10" a="1"/>
  <c r="K44" i="10" a="1"/>
  <c r="AH13" i="10" a="1"/>
  <c r="O24" i="10" a="1"/>
  <c r="AJ42" i="10" a="1"/>
  <c r="L30" i="10" a="1"/>
  <c r="V21" i="10" a="1"/>
  <c r="AP23" i="10" a="1"/>
  <c r="AH24" i="10" a="1"/>
  <c r="AL45" i="10" a="1"/>
  <c r="AB18" i="10" a="1"/>
  <c r="W18" i="10" a="1"/>
  <c r="AO23" i="10" a="1"/>
  <c r="AJ54" i="10" a="1"/>
  <c r="K14" i="10" a="1"/>
  <c r="AB29" i="10" a="1"/>
  <c r="I46" i="10" a="1"/>
  <c r="AJ25" i="10" a="1"/>
  <c r="I42" i="10" a="1"/>
  <c r="AJ28" i="10" a="1"/>
  <c r="AF35" i="10" a="1"/>
  <c r="R31" i="10" a="1"/>
  <c r="W50" i="10" a="1"/>
  <c r="AF15" i="10" a="1"/>
  <c r="Q42" i="10" a="1"/>
  <c r="AM36" i="10" a="1"/>
  <c r="AH49" i="10" a="1"/>
  <c r="AA20" i="10" a="1"/>
  <c r="W30" i="10" a="1"/>
  <c r="AB40" i="10" a="1"/>
  <c r="P53" i="10" a="1"/>
  <c r="T42" i="10" a="1"/>
  <c r="I25" i="10" a="1"/>
  <c r="AC57" i="10" a="1"/>
  <c r="H43" i="10" a="1"/>
  <c r="AC24" i="10" a="1"/>
  <c r="X52" i="10" a="1"/>
  <c r="Y34" i="10" a="1"/>
  <c r="AG52" i="10" a="1"/>
  <c r="X47" i="10" a="1"/>
  <c r="P30" i="10" a="1"/>
  <c r="K47" i="10" a="1"/>
  <c r="N52" i="10" a="1"/>
  <c r="G39" i="10" a="1"/>
  <c r="Z21" i="10" a="1"/>
  <c r="AL44" i="10" a="1"/>
  <c r="Y21" i="10" a="1"/>
  <c r="AH46" i="10" a="1"/>
  <c r="H21" i="10" a="1"/>
  <c r="AG48" i="10" a="1"/>
  <c r="X56" i="10" a="1"/>
  <c r="AK57" i="10" a="1"/>
  <c r="J40" i="10" a="1"/>
  <c r="AB17" i="10" a="1"/>
  <c r="AA11" i="10" a="1"/>
  <c r="K40" i="10" a="1"/>
  <c r="P45" i="10" a="1"/>
  <c r="AA55" i="10" a="1"/>
  <c r="O34" i="10" a="1"/>
  <c r="I17" i="10" a="1"/>
  <c r="Z18" i="10" a="1"/>
  <c r="AH20" i="10" a="1"/>
  <c r="W44" i="10" a="1"/>
  <c r="S13" i="10" a="1"/>
  <c r="AO19" i="10" a="1"/>
  <c r="Q56" i="10" a="1"/>
  <c r="L56" i="10" a="1"/>
  <c r="Q34" i="10" a="1"/>
  <c r="Y39" i="10" a="1"/>
  <c r="J20" i="10" a="1"/>
  <c r="Q43" i="10" a="1"/>
  <c r="H40" i="10" a="1"/>
  <c r="G22" i="10" a="1"/>
  <c r="AC14" i="10" a="1"/>
  <c r="AD16" i="10" a="1"/>
  <c r="R43" i="10" a="1"/>
  <c r="AK43" i="10" a="1"/>
  <c r="Y25" i="10" a="1"/>
  <c r="N46" i="10" a="1"/>
  <c r="R46" i="10" a="1"/>
  <c r="V49" i="10" a="1"/>
  <c r="AB51" i="10" a="1"/>
  <c r="T22" i="10" a="1"/>
  <c r="Y16" i="10" a="1"/>
  <c r="AG40" i="10" a="1"/>
  <c r="X31" i="10" a="1"/>
  <c r="AC32" i="10" a="1"/>
  <c r="T33" i="10" a="1"/>
  <c r="AB26" i="10" a="1"/>
  <c r="AN26" i="10" a="1"/>
  <c r="AM53" i="10" a="1"/>
  <c r="R29" i="10" a="1"/>
  <c r="AL15" i="10" a="1"/>
  <c r="H35" i="10" a="1"/>
  <c r="AL23" i="10" a="1"/>
  <c r="AL20" i="10" a="1"/>
  <c r="M41" i="10" a="1"/>
  <c r="X12" i="10" a="1"/>
  <c r="O30" i="10" a="1"/>
  <c r="V39" i="10" a="1"/>
  <c r="U15" i="10" a="1"/>
  <c r="Q50" i="10" a="1"/>
  <c r="J45" i="10" a="1"/>
  <c r="AC25" i="10" a="1"/>
  <c r="AD11" i="10" a="1"/>
  <c r="AP12" i="10" a="1"/>
  <c r="R44" i="10" a="1"/>
  <c r="Z22" i="10" a="1"/>
  <c r="J37" i="10" a="1"/>
  <c r="AR56" i="10" a="1"/>
  <c r="AP43" i="10" a="1"/>
  <c r="Q30" i="10" a="1"/>
  <c r="V38" i="10" a="1"/>
  <c r="AN48" i="10" a="1"/>
  <c r="AF37" i="10" a="1"/>
  <c r="Z12" i="10" a="1"/>
  <c r="S57" i="10" a="1"/>
  <c r="T15" i="10" a="1"/>
  <c r="L41" i="10" a="1"/>
  <c r="AQ20" i="10" a="1"/>
  <c r="X16" i="10" a="1"/>
  <c r="AK32" i="10" a="1"/>
  <c r="AJ19" i="10" a="1"/>
  <c r="AP33" i="10" a="1"/>
  <c r="AH31" i="10" a="1"/>
  <c r="AO35" i="10" a="1"/>
  <c r="N57" i="10" a="1"/>
  <c r="AD50" i="10" a="1"/>
  <c r="AK35" i="10" a="1"/>
  <c r="Z51" i="10" a="1"/>
  <c r="AN18" i="10" a="1"/>
  <c r="AE53" i="10" a="1"/>
  <c r="T29" i="10" a="1"/>
  <c r="AJ43" i="10" a="1"/>
  <c r="S44" i="10" a="1"/>
  <c r="N35" i="10" a="1"/>
  <c r="AG22" i="10" a="1"/>
  <c r="AJ35" i="10" a="1"/>
  <c r="AP34" i="10" a="1"/>
  <c r="L27" i="10" a="1"/>
  <c r="AL14" i="10" a="1"/>
  <c r="K32" i="10" a="1"/>
  <c r="R49" i="10" a="1"/>
  <c r="L57" i="10" a="1"/>
  <c r="R37" i="10" a="1"/>
  <c r="AK37" i="10" a="1"/>
  <c r="V31" i="10" a="1"/>
  <c r="K39" i="10" a="1"/>
  <c r="R52" i="10" a="1"/>
  <c r="AC45" i="10" a="1"/>
  <c r="X53" i="10" a="1"/>
  <c r="W34" i="10" a="1"/>
  <c r="AD13" i="10" a="1"/>
  <c r="AG16" i="10" a="1"/>
  <c r="R17" i="10" a="1"/>
  <c r="AM51" i="10" a="1"/>
  <c r="AO47" i="10" a="1"/>
  <c r="P14" i="10" a="1"/>
  <c r="S18" i="10" a="1"/>
  <c r="P22" i="10" a="1"/>
  <c r="P41" i="10" a="1"/>
  <c r="AI31" i="10" a="1"/>
  <c r="Z56" i="10" a="1"/>
  <c r="AK44" i="10" a="1"/>
  <c r="AN46" i="10" a="1"/>
  <c r="J28" i="10" a="1"/>
  <c r="AB53" i="10" a="1"/>
  <c r="O19" i="10" a="1"/>
  <c r="I47" i="10" a="1"/>
  <c r="M37" i="10" a="1"/>
  <c r="AQ43" i="10" a="1"/>
  <c r="M35" i="10" a="1"/>
  <c r="H55" i="10" a="1"/>
  <c r="Q54" i="10" a="1"/>
  <c r="N19" i="10" a="1"/>
  <c r="U11" i="10" a="1"/>
  <c r="AL55" i="10" a="1"/>
  <c r="O13" i="10" a="1"/>
  <c r="Y24" i="10" a="1"/>
  <c r="AR53" i="10" a="1"/>
  <c r="L51" i="10" a="1"/>
  <c r="S38" i="10" a="1"/>
  <c r="AA37" i="10" a="1"/>
  <c r="V11" i="10" a="1"/>
  <c r="T19" i="10" a="1"/>
  <c r="AE55" i="10" a="1"/>
  <c r="L37" i="10" a="1"/>
  <c r="H29" i="10" a="1"/>
  <c r="G50" i="10" a="1"/>
  <c r="V27" i="10" a="1"/>
  <c r="M39" i="10" a="1"/>
  <c r="I23" i="10" a="1"/>
  <c r="Q49" i="10" a="1"/>
  <c r="H48" i="10" a="1"/>
  <c r="AB50" i="10" a="1"/>
  <c r="U45" i="10" a="1"/>
  <c r="AD29" i="10" a="1"/>
  <c r="AE46" i="10" a="1"/>
  <c r="AF42" i="10" a="1"/>
  <c r="AQ26" i="10" a="1"/>
  <c r="AF38" i="10" a="1"/>
  <c r="AK19" i="10" a="1"/>
  <c r="AM27" i="10" a="1"/>
  <c r="R20" i="10" a="1"/>
  <c r="J12" i="10" a="1"/>
  <c r="Y54" i="10" a="1"/>
  <c r="Q24" i="10" a="1"/>
  <c r="AJ48" i="10" a="1"/>
  <c r="AH28" i="10" a="1"/>
  <c r="AH17" i="10" a="1"/>
  <c r="W39" i="10" a="1"/>
  <c r="X37" i="10" a="1"/>
  <c r="L29" i="10" a="1"/>
  <c r="AN16" i="10" a="1"/>
  <c r="AI34" i="10" a="1"/>
  <c r="AL16" i="10" a="1"/>
  <c r="O38" i="10" a="1"/>
  <c r="G21" i="10" a="1"/>
  <c r="R57" i="10" a="1"/>
  <c r="AD19" i="10" a="1"/>
  <c r="T51" i="10" a="1"/>
  <c r="W35" i="10" a="1"/>
  <c r="AA43" i="10" a="1"/>
  <c r="AR44" i="10" a="1"/>
  <c r="W21" i="10" a="1"/>
  <c r="AI21" i="10" a="1"/>
  <c r="AJ49" i="10" a="1"/>
  <c r="N40" i="10" a="1"/>
  <c r="AM24" i="10" a="1"/>
  <c r="S16" i="10" a="1"/>
  <c r="AE40" i="10" a="1"/>
  <c r="K27" i="10" a="1"/>
  <c r="K23" i="10" a="1"/>
  <c r="AI38" i="10" a="1"/>
  <c r="V35" i="10" a="1"/>
  <c r="P54" i="10" a="1"/>
  <c r="U36" i="10" a="1"/>
  <c r="T52" i="10" a="1"/>
  <c r="AG11" i="10" a="1"/>
  <c r="AI56" i="10" a="1"/>
  <c r="Q11" i="10" a="1"/>
  <c r="Y45" i="10" a="1"/>
  <c r="AJ16" i="10" a="1"/>
  <c r="AA40" i="10" a="1"/>
  <c r="AE28" i="10" a="1"/>
  <c r="AP32" i="10" a="1"/>
  <c r="AN38" i="10" a="1"/>
  <c r="G13" i="10" a="1"/>
  <c r="J39" i="10" a="1"/>
  <c r="AK17" i="10" a="1"/>
  <c r="U34" i="10" a="1"/>
  <c r="AD26" i="10" a="1"/>
  <c r="L54" i="10" a="1"/>
  <c r="Y38" i="10" a="1"/>
  <c r="AO14" i="10" a="1"/>
  <c r="O44" i="10" a="1"/>
  <c r="AD57" i="10" a="1"/>
  <c r="AN52" i="10" a="1"/>
  <c r="AM47" i="10" a="1"/>
  <c r="AJ44" i="10" a="1"/>
  <c r="L31" i="10" a="1"/>
  <c r="M29" i="10" a="1"/>
  <c r="AC33" i="10" a="1"/>
  <c r="M28" i="10" a="1"/>
  <c r="T30" i="10" a="1"/>
  <c r="AL49" i="10" a="1"/>
  <c r="AN53" i="10" a="1"/>
  <c r="S21" i="10" a="1"/>
  <c r="J38" i="10" a="1"/>
  <c r="AP55" i="10" a="1"/>
  <c r="V47" i="10" a="1"/>
  <c r="AG32" i="10" a="1"/>
  <c r="W47" i="10" a="1"/>
  <c r="AH19" i="10" a="1"/>
  <c r="K35" i="10" a="1"/>
  <c r="AD28" i="10" a="1"/>
  <c r="AQ55" i="10" a="1"/>
  <c r="R24" i="10" a="1"/>
  <c r="U32" i="10" a="1"/>
  <c r="V36" i="10" a="1"/>
  <c r="AK56" i="10" a="1"/>
  <c r="Z25" i="10" a="1"/>
  <c r="M48" i="10" a="1"/>
  <c r="Y40" i="10" a="1"/>
  <c r="I16" i="10" a="1"/>
  <c r="J14" i="10" a="1"/>
  <c r="AD52" i="10" a="1"/>
  <c r="P46" i="10" a="1"/>
  <c r="H50" i="10" a="1"/>
  <c r="AK36" i="10" a="1"/>
  <c r="AA34" i="10" a="1"/>
  <c r="N50" i="10" a="1"/>
  <c r="AC38" i="10" a="1"/>
  <c r="O41" i="10" a="1"/>
  <c r="U40" i="10" a="1"/>
  <c r="AR19" i="10" a="1"/>
  <c r="Q45" i="10" a="1"/>
  <c r="Q44" i="10" a="1"/>
  <c r="H27" i="10" a="1"/>
  <c r="AO53" i="10" a="1"/>
  <c r="V52" i="10" a="1"/>
  <c r="AB54" i="10" a="1"/>
  <c r="AF33" i="10" a="1"/>
  <c r="X34" i="10" a="1"/>
  <c r="V54" i="10" a="1"/>
  <c r="AI16" i="10" a="1"/>
  <c r="AH37" i="10" a="1"/>
  <c r="AC12" i="10" a="1"/>
  <c r="M38" i="10" a="1"/>
  <c r="AC50" i="10" a="1"/>
  <c r="L35" i="10" a="1"/>
  <c r="J11" i="10" a="1"/>
  <c r="O27" i="10" a="1"/>
  <c r="M17" i="10" a="1"/>
  <c r="AC52" i="10" a="1"/>
  <c r="G23" i="10" a="1"/>
  <c r="Q13" i="10" a="1"/>
  <c r="S34" i="10" a="1"/>
  <c r="L12" i="10" a="1"/>
  <c r="L48" i="10" a="1"/>
  <c r="K52" i="10" a="1"/>
  <c r="AJ31" i="10" a="1"/>
  <c r="AG56" i="10" a="1"/>
  <c r="Z43" i="10" a="1"/>
  <c r="Q47" i="10" a="1"/>
  <c r="P34" i="10" a="1"/>
  <c r="AN41" i="10" a="1"/>
  <c r="AN28" i="10" a="1"/>
  <c r="AI53" i="10" a="1"/>
  <c r="T24" i="10" a="1"/>
  <c r="AO38" i="10" a="1"/>
  <c r="AF14" i="10" a="1"/>
  <c r="G43" i="10" a="1"/>
  <c r="AR17" i="10" a="1"/>
  <c r="S20" i="10" a="1"/>
  <c r="I32" i="10" a="1"/>
  <c r="J19" i="10" a="1"/>
  <c r="M12" i="10" a="1"/>
  <c r="M42" i="10" a="1"/>
  <c r="T53" i="10" a="1"/>
  <c r="AM26" i="10" a="1"/>
  <c r="G26" i="10" a="1"/>
  <c r="T44" i="10" a="1"/>
  <c r="AC55" i="10" a="1"/>
  <c r="R40" i="10" a="1"/>
  <c r="AD42" i="10" a="1"/>
  <c r="AD30" i="10" a="1"/>
  <c r="S48" i="10" a="1"/>
  <c r="J44" i="10" a="1"/>
  <c r="M20" i="10" a="1"/>
  <c r="R53" i="10" a="1"/>
  <c r="T28" i="10" a="1"/>
  <c r="AO46" i="10" a="1"/>
  <c r="AR32" i="10" a="1"/>
  <c r="Y13" i="10" a="1"/>
  <c r="Y14" i="10" a="1"/>
  <c r="K54" i="10" a="1"/>
  <c r="AE15" i="10" a="1"/>
  <c r="X24" i="10" a="1"/>
  <c r="AH26" i="10" a="1"/>
  <c r="L45" i="10" a="1"/>
  <c r="AP29" i="10" a="1"/>
  <c r="K28" i="10" a="1"/>
  <c r="AM29" i="10" a="1"/>
  <c r="AB42" i="10" a="1"/>
  <c r="V33" i="10" a="1"/>
  <c r="K18" i="10" a="1"/>
  <c r="AG17" i="10" a="1"/>
  <c r="AG20" i="10" a="1"/>
  <c r="W28" i="10" a="1"/>
  <c r="AJ57" i="10" a="1"/>
  <c r="Z37" i="10" a="1"/>
  <c r="G18" i="10" a="1"/>
  <c r="AF19" i="10" a="1"/>
  <c r="W56" i="10" a="1"/>
  <c r="AC40" i="10" a="1"/>
  <c r="AH48" i="10" a="1"/>
  <c r="X21" i="10" a="1"/>
  <c r="AE52" i="10" a="1"/>
  <c r="J13" i="10" a="1"/>
  <c r="AQ53" i="10" a="1"/>
  <c r="V32" i="10" a="1"/>
  <c r="AQ11" i="10" a="1"/>
  <c r="AC47" i="10" a="1"/>
  <c r="AQ50" i="10" a="1"/>
  <c r="AO33" i="10" a="1"/>
  <c r="AF28" i="10" a="1"/>
  <c r="O18" i="10" a="1"/>
  <c r="AJ29" i="10" a="1"/>
  <c r="Y50" i="10" a="1"/>
  <c r="AH32" i="10" a="1"/>
  <c r="M54" i="10" a="1"/>
  <c r="AJ26" i="10" a="1"/>
  <c r="AB44" i="10" a="1"/>
  <c r="O23" i="10" a="1"/>
  <c r="P43" i="10" a="1"/>
  <c r="N41" i="10" a="1"/>
  <c r="AR55" i="10" a="1"/>
  <c r="AL30" i="10" a="1"/>
  <c r="AE26" i="10" a="1"/>
  <c r="H57" i="10" a="1"/>
  <c r="S31" i="10" a="1"/>
  <c r="AJ30" i="10" a="1"/>
  <c r="AM16" i="10" a="1"/>
  <c r="AF44" i="10" a="1"/>
  <c r="Q41" i="10" a="1"/>
  <c r="G27" i="10" a="1"/>
  <c r="O46" i="10" a="1"/>
  <c r="O33" i="10" a="1"/>
  <c r="AD44" i="10" a="1"/>
  <c r="AA51" i="10" a="1"/>
  <c r="AJ55" i="10" a="1"/>
  <c r="AK23" i="10" a="1"/>
  <c r="X13" i="10" a="1"/>
  <c r="Y32" i="10" a="1"/>
  <c r="T54" i="10" a="1"/>
  <c r="AG27" i="10" a="1"/>
  <c r="AK40" i="10" a="1"/>
  <c r="AN21" i="10" a="1"/>
  <c r="AN40" i="10" a="1"/>
  <c r="AB16" i="10" a="1"/>
  <c r="AA17" i="10" a="1"/>
  <c r="AN42" i="10" a="1"/>
  <c r="W12" i="10" a="1"/>
  <c r="J34" i="10" a="1"/>
  <c r="N44" i="10" a="1"/>
  <c r="O53" i="10" a="1"/>
  <c r="Y23" i="10" a="1"/>
  <c r="AN33" i="10" a="1"/>
  <c r="AR37" i="10" a="1"/>
  <c r="H20" i="10" a="1"/>
  <c r="AN19" i="10" a="1"/>
  <c r="G36" i="10" a="1"/>
  <c r="S30" i="10" a="1"/>
  <c r="AP16" i="10" a="1"/>
  <c r="K38" i="10" a="1"/>
  <c r="X48" i="10" a="1"/>
  <c r="AE32" i="10" a="1"/>
  <c r="P15" i="10" a="1"/>
  <c r="L39" i="10" a="1"/>
  <c r="J22" i="10" a="1"/>
  <c r="P26" i="10" a="1"/>
  <c r="G12" i="10" a="1"/>
  <c r="AO34" i="10" a="1"/>
  <c r="U41" i="10" a="1"/>
  <c r="W54" i="10" a="1"/>
  <c r="AA33" i="10" a="1"/>
  <c r="AG26" i="10" a="1"/>
  <c r="AI14" i="10" a="1"/>
  <c r="X36" i="10" a="1"/>
  <c r="AA31" i="10" a="1"/>
  <c r="AF30" i="10" a="1"/>
  <c r="S49" i="10" a="1"/>
  <c r="G52" i="10" a="1"/>
  <c r="L46" i="10" a="1"/>
  <c r="AF32" i="10" a="1"/>
  <c r="AD23" i="10" a="1"/>
  <c r="AQ14" i="10" a="1"/>
  <c r="K56" i="10" a="1"/>
  <c r="G53" i="10" a="1"/>
  <c r="AI32" i="10" a="1"/>
  <c r="AE29" i="10" a="1"/>
  <c r="J49" i="10" a="1"/>
  <c r="W14" i="10" a="1"/>
  <c r="L26" i="10" a="1"/>
  <c r="J24" i="10" a="1"/>
  <c r="AC29" i="10" a="1"/>
  <c r="K31" i="10" a="1"/>
  <c r="AN55" i="10" a="1"/>
  <c r="AO32" i="10" a="1"/>
  <c r="AG51" i="10" a="1"/>
  <c r="AK34" i="10" a="1"/>
  <c r="N37" i="10" a="1"/>
  <c r="AE12" i="10" a="1"/>
  <c r="V14" i="10" a="1"/>
  <c r="AP44" i="10" a="1"/>
  <c r="AQ34" i="10" a="1"/>
  <c r="AI23" i="10" a="1"/>
  <c r="AJ53" i="10" a="1"/>
  <c r="K57" i="10" a="1"/>
  <c r="H42" i="10" a="1"/>
  <c r="AN27" i="10" a="1"/>
  <c r="Z28" i="10" a="1"/>
  <c r="AN39" i="10" a="1"/>
  <c r="AJ18" i="10" a="1"/>
  <c r="W38" i="10" a="1"/>
  <c r="X40" i="10" a="1"/>
  <c r="L44" i="10" a="1"/>
  <c r="W22" i="10" a="1"/>
  <c r="AJ12" i="10" a="1"/>
  <c r="AK29" i="10" a="1"/>
  <c r="AP41" i="10" a="1"/>
  <c r="S28" i="10" a="1"/>
  <c r="J51" i="10" a="1"/>
  <c r="AP13" i="10" a="1"/>
  <c r="AM45" i="10" a="1"/>
  <c r="W37" i="10" a="1"/>
  <c r="AP42" i="10" a="1"/>
  <c r="AL33" i="10" a="1"/>
  <c r="AD51" i="10" a="1"/>
  <c r="AO11" i="10" a="1"/>
  <c r="T13" i="10" a="1"/>
  <c r="U18" i="10" a="1"/>
  <c r="AO54" i="10" a="1"/>
  <c r="AM15" i="10" a="1"/>
  <c r="AL43" i="10" a="1"/>
  <c r="AB22" i="10" a="1"/>
  <c r="W32" i="10" a="1"/>
  <c r="I33" i="10" a="1"/>
  <c r="I30" i="10" a="1"/>
  <c r="T38" i="10" a="1"/>
  <c r="G20" i="10" a="1"/>
  <c r="AO57" i="10" a="1"/>
  <c r="I20" i="10" a="1"/>
  <c r="AO31" i="10" a="1"/>
  <c r="J18" i="10" a="1"/>
  <c r="AP45" i="10" a="1"/>
  <c r="AN29" i="10" a="1"/>
  <c r="AQ52" i="10" a="1"/>
  <c r="AB34" i="10" a="1"/>
  <c r="AF17" i="10" a="1"/>
  <c r="Y11" i="10" a="1"/>
  <c r="I51" i="10" a="1"/>
  <c r="X20" i="10" a="1"/>
  <c r="AC56" i="10" a="1"/>
  <c r="AE50" i="10" a="1"/>
  <c r="H19" i="10" a="1"/>
  <c r="AE13" i="10" a="1"/>
  <c r="H39" i="10" a="1"/>
  <c r="G54" i="10" a="1"/>
  <c r="AB43" i="10" a="1"/>
  <c r="V50" i="10" a="1"/>
  <c r="H32" i="10" a="1"/>
  <c r="V20" i="10" a="1"/>
  <c r="S17" i="10" a="1"/>
  <c r="AK24" i="10" a="1"/>
  <c r="AK38" i="10" a="1"/>
  <c r="G30" i="10" a="1"/>
  <c r="Y42" i="10" a="1"/>
  <c r="G17" i="10" a="1"/>
  <c r="AE37" i="10" a="1"/>
  <c r="V51" i="10" a="1"/>
  <c r="AL35" i="10" a="1"/>
  <c r="AM41" i="10" a="1"/>
  <c r="P51" i="10" a="1"/>
  <c r="U12" i="10" a="1"/>
  <c r="P20" i="10" a="1"/>
  <c r="T43" i="10" a="1"/>
  <c r="Z45" i="10" a="1"/>
  <c r="AN57" i="10" a="1"/>
  <c r="AH50" i="10" a="1"/>
  <c r="M53" i="10" a="1"/>
  <c r="AK20" i="10" a="1"/>
  <c r="Z39" i="10" a="1"/>
  <c r="G32" i="10" a="1"/>
  <c r="P52" i="10" a="1"/>
  <c r="Z19" i="10" a="1"/>
  <c r="AC46" i="10" a="1"/>
  <c r="S40" i="10" a="1"/>
  <c r="G55" i="10" a="1"/>
  <c r="AN23" i="10" a="1"/>
  <c r="O28" i="10" a="1"/>
  <c r="Z44" i="10" a="1"/>
  <c r="G42" i="10" a="1"/>
  <c r="H14" i="10" a="1"/>
  <c r="AL56" i="10" a="1"/>
  <c r="L40" i="10" a="1"/>
  <c r="V45" i="10" a="1"/>
  <c r="K22" i="10" a="1"/>
  <c r="Y41" i="10" a="1"/>
  <c r="N48" i="10" a="1"/>
  <c r="P12" i="10" a="1"/>
  <c r="AK26" i="10" a="1"/>
  <c r="S43" i="10" a="1"/>
  <c r="L20" i="10" a="1"/>
  <c r="AL17" i="10" a="1"/>
  <c r="AL12" i="10" a="1"/>
  <c r="AM11" i="10" a="1"/>
  <c r="AF27" i="10" a="1"/>
  <c r="AJ50" i="10" a="1"/>
  <c r="I19" i="10" a="1"/>
  <c r="Q28" i="10" a="1"/>
  <c r="H51" i="10" a="1"/>
  <c r="N47" i="10" a="1"/>
  <c r="AA27" i="10" a="1"/>
  <c r="N36" i="10" a="1"/>
  <c r="X15" i="10" a="1"/>
  <c r="P24" i="10" a="1"/>
  <c r="AM49" i="10" a="1"/>
  <c r="AD49" i="10" a="1"/>
  <c r="AM52" i="10" a="1"/>
  <c r="AC49" i="10" a="1"/>
  <c r="L11" i="10" a="1"/>
  <c r="X43" i="10" a="1"/>
  <c r="Z34" i="10" a="1"/>
  <c r="N55" i="10" a="1"/>
  <c r="U53" i="10" a="1"/>
  <c r="AI44" i="10" a="1"/>
  <c r="H17" i="10" a="1"/>
  <c r="AP37" i="10" a="1"/>
  <c r="M56" i="10" a="1"/>
  <c r="AO50" i="10" a="1"/>
  <c r="AM42" i="10" a="1"/>
  <c r="AR26" i="10" a="1"/>
  <c r="AG25" i="10" a="1"/>
  <c r="S14" i="10" a="1"/>
  <c r="W16" i="10" a="1"/>
  <c r="AE42" i="10" a="1"/>
  <c r="O35" i="10" a="1"/>
  <c r="AJ27" i="10" a="1"/>
  <c r="N18" i="10" a="1"/>
  <c r="AF41" i="10" a="1"/>
  <c r="AH18" i="10" a="1"/>
  <c r="V24" i="10" a="1"/>
  <c r="Z38" i="10" a="1"/>
  <c r="Y55" i="10" a="1"/>
  <c r="AN32" i="10" a="1"/>
  <c r="AP27" i="10" a="1"/>
  <c r="Y47" i="10" a="1"/>
  <c r="AA48" i="10" a="1"/>
  <c r="AP36" i="10" a="1"/>
  <c r="X30" i="10" a="1"/>
  <c r="H23" i="10" a="1"/>
  <c r="Y35" i="10" a="1"/>
  <c r="P13" i="10" a="1"/>
  <c r="U37" i="10" a="1"/>
  <c r="AI51" i="10" a="1"/>
  <c r="AP49" i="10" a="1"/>
  <c r="K42" i="10" a="1"/>
  <c r="AG49" i="10" a="1"/>
  <c r="H16" i="10" a="1"/>
  <c r="AF36" i="10" a="1"/>
  <c r="Z41" i="10" a="1"/>
  <c r="AE33" i="10" a="1"/>
  <c r="T11" i="10" a="1"/>
  <c r="P48" i="10" a="1"/>
  <c r="R42" i="10" a="1"/>
  <c r="AC21" i="10" a="1"/>
  <c r="AA53" i="10" a="1"/>
  <c r="AA38" i="10" a="1"/>
  <c r="S39" i="10" a="1"/>
  <c r="AI52" i="10" a="1"/>
  <c r="J54" i="10" a="1"/>
  <c r="T40" i="10" a="1"/>
  <c r="T35" i="10" a="1"/>
  <c r="T41" i="10" a="1"/>
  <c r="AH43" i="10" a="1"/>
  <c r="AP15" i="10" a="1"/>
  <c r="G16" i="10" a="1"/>
  <c r="AC54" i="10" a="1"/>
  <c r="I40" i="10" a="1"/>
  <c r="R16" i="10" a="1"/>
  <c r="Y43" i="10" a="1"/>
  <c r="U38" i="10" a="1"/>
  <c r="AD14" i="10" a="1"/>
  <c r="AC13" i="10" a="1"/>
  <c r="AC48" i="10" a="1"/>
  <c r="X11" i="10" a="1"/>
  <c r="Q25" i="10" a="1"/>
  <c r="V22" i="10" a="1"/>
  <c r="O16" i="10" a="1"/>
  <c r="M45" i="10" a="1"/>
  <c r="AN12" i="10" a="1"/>
  <c r="M55" i="10" a="1"/>
  <c r="AN11" i="10" a="1"/>
  <c r="AD27" i="10" a="1"/>
  <c r="AH29" i="10" a="1"/>
  <c r="M31" i="10" a="1"/>
  <c r="AB21" i="10" a="1"/>
  <c r="AF47" i="10" a="1"/>
  <c r="AM35" i="10" a="1"/>
  <c r="N45" i="10" a="1"/>
  <c r="T46" i="10" a="1"/>
  <c r="Y31" i="10" a="1"/>
  <c r="O57" i="10" a="1"/>
  <c r="Q36" i="10" a="1"/>
  <c r="AB20" i="10" a="1"/>
  <c r="AL46" i="10" a="1"/>
  <c r="AK52" i="10" a="1"/>
  <c r="K24" i="10" a="1"/>
  <c r="R21" i="10" a="1"/>
  <c r="AG18" i="10" a="1"/>
  <c r="AC19" i="10" a="1"/>
  <c r="O54" i="10" a="1"/>
  <c r="M46" i="10" a="1"/>
  <c r="L22" i="10" a="1"/>
  <c r="Q17" i="10" a="1"/>
  <c r="J50" i="10" a="1"/>
  <c r="Y28" i="10" a="1"/>
  <c r="AR13" i="10" a="1"/>
  <c r="U24" i="10" a="1"/>
  <c r="AD12" i="10" a="1"/>
  <c r="U30" i="10" a="1"/>
  <c r="W41" i="10" a="1"/>
  <c r="AC30" i="10" a="1"/>
  <c r="J46" i="10" a="1"/>
  <c r="AF46" i="10" a="1"/>
  <c r="U43" i="10" a="1"/>
  <c r="T57" i="10" a="1"/>
  <c r="J32" i="10" a="1"/>
  <c r="AG23" i="10" a="1"/>
  <c r="AF26" i="10" a="1"/>
  <c r="AB52" i="10" a="1"/>
  <c r="AC51" i="10" a="1"/>
  <c r="AA28" i="10" a="1"/>
  <c r="S35" i="10" a="1"/>
  <c r="AG33" i="10" a="1"/>
  <c r="AO25" i="10" a="1"/>
  <c r="S51" i="10" a="1"/>
  <c r="J30" i="10" a="1"/>
  <c r="AL19" i="10" a="1"/>
  <c r="AA29" i="10" a="1"/>
  <c r="AN25" i="10" a="1"/>
  <c r="H56" i="10" a="1"/>
  <c r="AM21" i="10" a="1"/>
  <c r="U28" i="10" a="1"/>
  <c r="Q40" i="10" a="1"/>
  <c r="AE47" i="10" a="1"/>
  <c r="AD45" i="10" a="1"/>
  <c r="AG24" i="10" a="1"/>
  <c r="AJ33" i="10" a="1"/>
  <c r="AH51" i="10" a="1"/>
  <c r="AM48" i="10" a="1"/>
  <c r="AO29" i="10" a="1"/>
  <c r="AO49" i="10" a="1"/>
  <c r="S32" i="10" a="1"/>
  <c r="AN13" i="10" a="1"/>
  <c r="AF57" i="10" a="1"/>
  <c r="M50" i="10" a="1"/>
  <c r="J53" i="10" a="1"/>
  <c r="S33" i="10" a="1"/>
  <c r="AP57" i="10" a="1"/>
  <c r="AA13" i="10" a="1"/>
  <c r="Z14" i="10" a="1"/>
  <c r="H18" i="10" a="1"/>
  <c r="AE49" i="10" a="1"/>
  <c r="O26" i="10" a="1"/>
  <c r="AH36" i="10" a="1"/>
  <c r="AK13" i="10" a="1"/>
  <c r="Z24" i="10" a="1"/>
  <c r="V37" i="10" a="1"/>
  <c r="P19" i="10" a="1"/>
  <c r="M57" i="10" a="1"/>
  <c r="AD56" i="10" a="1"/>
  <c r="V42" i="10" a="1"/>
  <c r="AL36" i="10" a="1"/>
  <c r="AD22" i="10" a="1"/>
  <c r="P25" i="10" a="1"/>
  <c r="W31" i="10" a="1"/>
  <c r="J27" i="10" a="1"/>
  <c r="AE27" i="10" a="1"/>
  <c r="AI42" i="10" a="1"/>
  <c r="Y52" i="10" a="1"/>
  <c r="N15" i="10" a="1"/>
  <c r="AP56" i="10" a="1"/>
  <c r="AH33" i="10" a="1"/>
  <c r="J21" i="10" a="1"/>
  <c r="AD18" i="10" a="1"/>
  <c r="V23" i="10" a="1"/>
  <c r="AI35" i="10" a="1"/>
  <c r="Y36" i="10" a="1"/>
  <c r="U20" i="10" a="1"/>
  <c r="AK39" i="10" a="1"/>
  <c r="AF18" i="10" a="1"/>
  <c r="Z27" i="10" a="1"/>
  <c r="I22" i="10" a="1"/>
  <c r="AF25" i="10" a="1"/>
  <c r="AH27" i="10" a="1"/>
  <c r="T47" i="10" a="1"/>
  <c r="G37" i="10" a="1"/>
  <c r="W33" i="10" a="1"/>
  <c r="N34" i="10" a="1"/>
  <c r="V26" i="10" a="1"/>
  <c r="AA52" i="10" a="1"/>
  <c r="Z32" i="10" a="1"/>
  <c r="AA44" i="10" a="1"/>
  <c r="Q31" i="10" a="1"/>
  <c r="AH38" i="10" a="1"/>
  <c r="AH53" i="10" a="1"/>
  <c r="X26" i="10" a="1"/>
  <c r="AF22" i="10" a="1"/>
  <c r="I14" i="10" a="1"/>
  <c r="AD36" i="10" a="1"/>
  <c r="R50" i="10" a="1"/>
  <c r="R13" i="10" a="1"/>
  <c r="V41" i="10" a="1"/>
  <c r="AA25" i="10" a="1"/>
  <c r="AA23" i="10" a="1"/>
  <c r="AI40" i="10" a="1"/>
  <c r="I56" i="10" a="1"/>
  <c r="G35" i="10" a="1"/>
  <c r="AL51" i="10" a="1"/>
  <c r="T26" i="10" a="1"/>
  <c r="K21" i="10" a="1"/>
  <c r="AP25" i="10" a="1"/>
  <c r="AG31" i="10" a="1"/>
  <c r="AI26" i="10" a="1"/>
  <c r="S36" i="10" a="1"/>
  <c r="AJ41" i="10" a="1"/>
  <c r="AA26" i="10" a="1"/>
  <c r="W24" i="10" a="1"/>
  <c r="M24" i="10" a="1"/>
  <c r="AP18" i="10" a="1"/>
  <c r="AL38" i="10" a="1"/>
  <c r="J48" i="10" a="1"/>
  <c r="W43" i="10" a="1"/>
  <c r="I12" i="10" a="1"/>
  <c r="N31" i="10" a="1"/>
  <c r="N29" i="10" a="1"/>
  <c r="AB47" i="10" a="1"/>
  <c r="X19" i="10" a="1"/>
  <c r="M23" i="10" a="1"/>
  <c r="R55" i="10" a="1"/>
  <c r="P23" i="10" a="1"/>
  <c r="AQ28" i="10" a="1"/>
  <c r="AO42" i="10" a="1"/>
  <c r="AL29" i="10" a="1"/>
  <c r="I37" i="10" a="1"/>
  <c r="K16" i="10" a="1"/>
  <c r="O17" i="10" a="1"/>
  <c r="W15" i="10" a="1"/>
  <c r="J43" i="10" a="1"/>
  <c r="AE36" i="10" a="1"/>
  <c r="M33" i="10" a="1"/>
  <c r="I44" i="10" a="1"/>
  <c r="AM43" i="10" a="1"/>
  <c r="AA39" i="10" a="1"/>
  <c r="I15" i="10" a="1"/>
  <c r="AQ32" i="10" a="1"/>
  <c r="AC18" i="10" a="1"/>
  <c r="N16" i="10" a="1"/>
  <c r="AB23" i="10" a="1"/>
  <c r="U49" i="10" a="1"/>
  <c r="O49" i="10" a="1"/>
  <c r="Y22" i="10" a="1"/>
  <c r="G57" i="10" a="1"/>
  <c r="G29" i="10" a="1"/>
  <c r="I43" i="10" a="1"/>
  <c r="AO39" i="10" a="1"/>
  <c r="AF31" i="10" a="1"/>
  <c r="J26" i="10" a="1"/>
  <c r="Z31" i="10" a="1"/>
  <c r="W49" i="10" a="1"/>
  <c r="AL24" i="10" a="1"/>
  <c r="Y33" i="10" a="1"/>
  <c r="P28" i="10" a="1"/>
  <c r="G46" i="10" a="1"/>
  <c r="AG28" i="10" a="1"/>
  <c r="AN34" i="10" a="1"/>
  <c r="L25" i="10" a="1"/>
  <c r="AR50" i="10" a="1"/>
  <c r="G31" i="10" a="1"/>
  <c r="Y44" i="10" a="1"/>
  <c r="AO56" i="10" a="1"/>
  <c r="AF56" i="10" a="1"/>
  <c r="L42" i="10" a="1"/>
  <c r="AO12" i="10" a="1"/>
  <c r="AQ19" i="10" a="1"/>
  <c r="AI46" i="10" a="1"/>
  <c r="W25" i="10" a="1"/>
  <c r="AJ21" i="10" a="1"/>
  <c r="AO22" i="10" a="1"/>
  <c r="Z52" i="10" a="1"/>
  <c r="AN50" i="10" a="1"/>
  <c r="AB33" i="10" a="1"/>
  <c r="Z15" i="10" a="1"/>
  <c r="AI41" i="10" a="1"/>
  <c r="R36" i="10" a="1"/>
  <c r="N33" i="10" a="1"/>
  <c r="I55" i="10" a="1"/>
  <c r="N28" i="10" a="1"/>
  <c r="AM23" i="10" a="1"/>
  <c r="AM55" i="10" a="1"/>
  <c r="Z47" i="10" a="1"/>
  <c r="AI25" i="10" a="1"/>
  <c r="M47" i="10" a="1"/>
  <c r="AR11" i="10" a="1"/>
  <c r="T48" i="10" a="1"/>
  <c r="W23" i="10" a="1"/>
  <c r="AC22" i="10" a="1"/>
  <c r="I35" i="10" a="1"/>
  <c r="AJ39" i="10" a="1"/>
  <c r="L33" i="10" a="1"/>
  <c r="AK50" i="10" a="1"/>
  <c r="AP14" i="10" a="1"/>
  <c r="I48" i="10" a="1"/>
  <c r="Z57" i="10" a="1"/>
  <c r="AE20" i="10" a="1"/>
  <c r="AM57" i="10" a="1"/>
  <c r="AR38" i="10" a="1"/>
  <c r="AA18" i="10" a="1"/>
  <c r="K50" i="10" a="1"/>
  <c r="AQ37" i="10" a="1"/>
  <c r="AR16" i="10" a="1"/>
  <c r="J52" i="10" a="1"/>
  <c r="G49" i="10" a="1"/>
  <c r="S41" i="10" a="1"/>
  <c r="AG19" i="10" a="1"/>
  <c r="AO43" i="10" a="1"/>
  <c r="Z11" i="10" a="1"/>
  <c r="Y29" i="10" a="1"/>
  <c r="W45" i="10" a="1"/>
  <c r="S53" i="10" a="1"/>
  <c r="AF13" i="10" a="1"/>
  <c r="P49" i="10" a="1"/>
  <c r="L19" i="10" a="1"/>
  <c r="AD47" i="10" a="1"/>
  <c r="Y27" i="10" a="1"/>
  <c r="AB46" i="10" a="1"/>
  <c r="AB14" i="10" a="1"/>
  <c r="AJ17" i="10" a="1"/>
  <c r="L16" i="10" a="1"/>
  <c r="I31" i="10" a="1"/>
  <c r="V57" i="10" a="1"/>
  <c r="AL47" i="10" a="1"/>
  <c r="N21" i="10" a="1"/>
  <c r="P29" i="10" a="1"/>
  <c r="J36" i="10" a="1"/>
  <c r="AO16" i="10" a="1"/>
  <c r="AQ41" i="10" a="1"/>
  <c r="AM44" i="10" a="1"/>
  <c r="H11" i="10" a="1"/>
  <c r="AB15" i="10" a="1"/>
  <c r="L13" i="10" a="1"/>
  <c r="R11" i="10" a="1"/>
  <c r="X18" i="10" a="1"/>
  <c r="X29" i="10" a="1"/>
  <c r="Z23" i="10" a="1"/>
  <c r="I57" i="10" a="1"/>
  <c r="AA32" i="10" a="1"/>
  <c r="Q12" i="10" a="1"/>
  <c r="M18" i="10" a="1"/>
  <c r="P33" i="10" a="1"/>
  <c r="K29" i="10" a="1"/>
  <c r="AH15" i="10" a="1"/>
  <c r="S22" i="10" a="1"/>
  <c r="AK54" i="10" a="1"/>
  <c r="AL25" i="10" a="1"/>
  <c r="S15" i="10" a="1"/>
  <c r="P47" i="10" a="1"/>
  <c r="T18" i="10" a="1"/>
  <c r="J16" i="10" a="1"/>
  <c r="AO40" i="10" a="1"/>
  <c r="X33" i="10" a="1"/>
  <c r="V40" i="10" a="1"/>
  <c r="AM40" i="10" a="1"/>
  <c r="AG34" i="10" a="1"/>
  <c r="AJ15" i="10" a="1"/>
  <c r="Z48" i="10" a="1"/>
  <c r="U50" i="10" a="1"/>
  <c r="AA50" i="10" a="1"/>
  <c r="X39" i="10" a="1"/>
  <c r="AB11" i="10" a="1"/>
  <c r="AL28" i="10" a="1"/>
  <c r="O32" i="10" a="1"/>
  <c r="AR47" i="10" a="1"/>
  <c r="R15" i="10" a="1"/>
  <c r="AO52" i="10" a="1"/>
  <c r="G44" i="10" a="1"/>
  <c r="T20" i="10" a="1"/>
  <c r="AQ56" i="10" a="1"/>
  <c r="O47" i="10" a="1"/>
  <c r="P39" i="10" a="1"/>
  <c r="V46" i="10" a="1"/>
  <c r="AF29" i="10" a="1"/>
  <c r="U17" i="10" a="1"/>
  <c r="AG42" i="10" a="1"/>
  <c r="G34" i="10" a="1"/>
  <c r="AB35" i="10" a="1"/>
  <c r="AE31" i="10" a="1"/>
  <c r="X38" i="10" a="1"/>
  <c r="AF39" i="10" a="1"/>
  <c r="L15" i="10" a="1"/>
  <c r="M25" i="10" a="1"/>
  <c r="P21" i="10" a="1"/>
  <c r="G14" i="10" a="1"/>
  <c r="R54" i="10" a="1"/>
  <c r="U26" i="10" a="1"/>
  <c r="AH45" i="10" a="1"/>
  <c r="S11" i="10" a="1"/>
  <c r="H38" i="10" a="1"/>
  <c r="W42" i="10" a="1"/>
  <c r="V55" i="10" a="1"/>
  <c r="Q20" i="10" a="1"/>
  <c r="G47" i="10" a="1"/>
  <c r="R22" i="10" a="1"/>
  <c r="AQ13" i="10" a="1"/>
  <c r="AE48" i="10" a="1"/>
  <c r="M44" i="10" a="1"/>
  <c r="AO48" i="10" a="1"/>
  <c r="AA22" i="10" a="1"/>
  <c r="AF11" i="10" a="1"/>
  <c r="N32" i="10" a="1"/>
  <c r="AN14" i="10" a="1"/>
  <c r="AL18" i="10" a="1"/>
  <c r="V29" i="10" a="1"/>
  <c r="Q21" i="10" a="1"/>
  <c r="M26" i="10" a="1"/>
  <c r="O22" i="10" a="1"/>
  <c r="AD34" i="10" a="1"/>
  <c r="J17" i="10" a="1"/>
  <c r="P57" i="10" a="1"/>
  <c r="AI13" i="10" a="1"/>
  <c r="AR52" i="10" a="1"/>
  <c r="AL50" i="10" a="1"/>
  <c r="H24" i="10" a="1"/>
  <c r="AB28" i="10" a="1"/>
  <c r="L53" i="10" a="1"/>
  <c r="Z35" i="10" a="1"/>
  <c r="AE17" i="10" a="1"/>
  <c r="J47" i="10" a="1"/>
  <c r="L55" i="10" a="1"/>
  <c r="O21" i="10" a="1"/>
  <c r="W57" i="10" a="1"/>
  <c r="AP26" i="10" a="1"/>
  <c r="K49" i="10" a="1"/>
  <c r="AA24" i="10" a="1"/>
  <c r="X55" i="10" a="1"/>
  <c r="AA42" i="10" a="1"/>
  <c r="AI55" i="10" a="1"/>
  <c r="M16" i="10" a="1"/>
  <c r="AN49" i="10" a="1"/>
  <c r="H37" i="10" a="1"/>
  <c r="AA12" i="10" a="1"/>
  <c r="AI49" i="10" a="1"/>
  <c r="AP48" i="10" a="1"/>
  <c r="AD35" i="10" a="1"/>
  <c r="AL11" i="10" a="1"/>
  <c r="AH57" i="10" a="1"/>
  <c r="AB31" i="10" a="1"/>
  <c r="V30" i="10" a="1"/>
  <c r="AA41" i="10" a="1"/>
  <c r="AA19" i="10" a="1"/>
  <c r="AE24" i="10" a="1"/>
  <c r="O48" i="10" a="1"/>
  <c r="AF45" i="10" a="1"/>
  <c r="AC28" i="10" a="1"/>
  <c r="R28" i="10" a="1"/>
  <c r="AE43" i="10" a="1"/>
  <c r="AM20" i="10" a="1"/>
  <c r="I21" i="10" a="1"/>
  <c r="J41" i="10" a="1"/>
  <c r="AM38" i="10" a="1"/>
  <c r="L24" i="10" a="1"/>
  <c r="U29" i="10" a="1"/>
  <c r="O40" i="10" a="1"/>
  <c r="Q55" i="10" a="1"/>
  <c r="K33" i="10" a="1"/>
  <c r="AE34" i="10" a="1"/>
  <c r="G48" i="10" a="1"/>
  <c r="AM22" i="10" a="1"/>
  <c r="W55" i="10" a="1"/>
  <c r="G45" i="10" a="1"/>
  <c r="U25" i="10" a="1"/>
  <c r="AG12" i="10" a="1"/>
  <c r="AG41" i="10" a="1"/>
  <c r="G41" i="10" a="1"/>
  <c r="T45" i="10" a="1"/>
  <c r="Y19" i="10" a="1"/>
  <c r="AI50" i="10" a="1"/>
  <c r="W51" i="10" a="1"/>
  <c r="V13" i="10" a="1"/>
  <c r="W20" i="10" a="1"/>
  <c r="AF54" i="10" a="1"/>
  <c r="AP30" i="10" a="1"/>
  <c r="T12" i="10" a="1"/>
  <c r="N51" i="10" a="1"/>
  <c r="Y46" i="10" a="1"/>
  <c r="AE51" i="10" a="1"/>
  <c r="AC34" i="10" a="1"/>
  <c r="M36" i="10" a="1"/>
  <c r="V44" i="10" a="1"/>
  <c r="AI39" i="10" a="1"/>
  <c r="AF16" i="10" a="1"/>
  <c r="AM37" i="10" a="1"/>
  <c r="AJ38" i="10" a="1"/>
  <c r="AP51" i="10" a="1"/>
  <c r="X41" i="10" a="1"/>
  <c r="AK51" i="10" a="1"/>
  <c r="S50" i="10" a="1"/>
  <c r="L50" i="10" a="1"/>
  <c r="AO27" i="10" a="1"/>
  <c r="AR34" i="10" a="1"/>
  <c r="Y51" i="10" a="1"/>
  <c r="AP35" i="10" a="1"/>
  <c r="AJ56" i="10" a="1"/>
  <c r="AM34" i="10" a="1"/>
  <c r="O45" i="10" a="1"/>
  <c r="J55" i="10" a="1"/>
  <c r="Q18" i="10" a="1"/>
  <c r="AD15" i="10" a="1"/>
  <c r="AE39" i="10" a="1"/>
  <c r="AO45" i="10" a="1"/>
  <c r="T14" i="10" a="1"/>
  <c r="AP28" i="10" a="1"/>
  <c r="AA45" i="10" a="1"/>
  <c r="AO55" i="10" a="1"/>
  <c r="I24" i="10" a="1"/>
  <c r="Q14" i="10" a="1"/>
  <c r="S55" i="10" a="1"/>
  <c r="AM17" i="10" a="1"/>
  <c r="AQ40" i="10" a="1"/>
  <c r="S47" i="10" a="1"/>
  <c r="AJ52" i="10" a="1"/>
  <c r="T50" i="10" a="1"/>
  <c r="K25" i="10" a="1"/>
  <c r="AN47" i="10" a="1"/>
  <c r="AO15" i="10" a="1"/>
  <c r="R14" i="10" a="1"/>
  <c r="N43" i="10" a="1"/>
  <c r="J15" i="10" a="1"/>
  <c r="AK48" i="10" a="1"/>
  <c r="Q51" i="10" a="1"/>
  <c r="W53" i="10" a="1"/>
  <c r="T16" i="10" a="1"/>
  <c r="Q46" i="10" a="1"/>
  <c r="AJ34" i="10" a="1"/>
  <c r="AK15" i="10" a="1"/>
  <c r="X25" i="10" a="1"/>
  <c r="G33" i="10" a="1"/>
  <c r="I13" i="10" a="1"/>
  <c r="R33" i="10" a="1"/>
  <c r="M19" i="10" a="1"/>
  <c r="S54" i="10" a="1"/>
  <c r="AL13" i="10" a="1"/>
  <c r="N26" i="10" a="1"/>
  <c r="AI54" i="10" a="1"/>
  <c r="I26" i="10" a="1"/>
  <c r="AE11" i="10" a="1"/>
  <c r="AC17" i="10" a="1"/>
  <c r="I41" i="10" a="1"/>
  <c r="N23" i="10" a="1"/>
  <c r="AJ13" i="10" a="1"/>
  <c r="AQ17" i="10" a="1"/>
  <c r="L38" i="10" a="1"/>
  <c r="AE18" i="10" a="1"/>
  <c r="AM54" i="10" a="1"/>
  <c r="AH56" i="10" a="1"/>
  <c r="AM33" i="10" a="1"/>
  <c r="AI30" i="10" a="1"/>
  <c r="K11" i="10" a="1"/>
  <c r="P18" i="10" a="1"/>
  <c r="R56" i="10" a="1"/>
  <c r="U48" i="10" a="1"/>
  <c r="AJ24" i="10" a="1"/>
  <c r="AO30" i="10" a="1"/>
  <c r="AG44" i="10" a="1"/>
  <c r="M30" i="10" a="1"/>
  <c r="AR54" i="10" a="1"/>
  <c r="K15" i="10" a="1"/>
  <c r="AJ11" i="10" a="1"/>
  <c r="U54" i="10" a="1"/>
  <c r="Q32" i="10" a="1"/>
  <c r="AL27" i="10" a="1"/>
  <c r="AC39" i="10" a="1"/>
  <c r="AB36" i="10" a="1"/>
  <c r="AB57" i="10" a="1"/>
  <c r="H31" i="10" a="1"/>
  <c r="K34" i="10" a="1"/>
  <c r="N25" i="10" a="1"/>
  <c r="AF24" i="10" a="1"/>
  <c r="AD17" i="10" a="1"/>
  <c r="X23" i="10" a="1"/>
  <c r="L28" i="10" a="1"/>
  <c r="AI12" i="10" a="1"/>
  <c r="J33" i="10" a="1"/>
  <c r="S29" i="10" a="1"/>
  <c r="AH40" i="10" a="1"/>
  <c r="S26" i="10" a="1"/>
  <c r="N14" i="10" a="1"/>
  <c r="R25" i="10" a="1"/>
  <c r="AP40" i="10" a="1"/>
  <c r="AN36" i="10" a="1"/>
  <c r="H46" i="10" a="1"/>
  <c r="AC26" i="10" a="1"/>
  <c r="P32" i="10" a="1"/>
  <c r="K45" i="10" a="1"/>
  <c r="U55" i="10" a="1"/>
  <c r="AK28" i="10" a="1"/>
  <c r="W11" i="10" a="1"/>
  <c r="AB48" i="10" a="1"/>
  <c r="AK30" i="10" a="1"/>
  <c r="AC35" i="10" a="1"/>
  <c r="R34" i="10" a="1"/>
  <c r="AM28" i="10" a="1"/>
  <c r="AQ29" i="10" a="1"/>
  <c r="AD32" i="10" a="1"/>
  <c r="H45" i="10" a="1"/>
  <c r="AC31" i="10" a="1"/>
  <c r="AH44" i="10" a="1"/>
  <c r="AN35" i="10" a="1"/>
  <c r="G25" i="10" a="1"/>
  <c r="Y53" i="10" a="1"/>
  <c r="AE45" i="10" a="1"/>
  <c r="W26" i="10" a="1"/>
  <c r="T31" i="10" a="1"/>
  <c r="K51" i="10" a="1"/>
  <c r="L43" i="10" a="1"/>
  <c r="T17" i="10" a="1"/>
  <c r="AG38" i="10" a="1"/>
  <c r="AN24" i="10" a="1"/>
  <c r="AO18" i="10" a="1"/>
  <c r="R38" i="10" a="1"/>
  <c r="J25" i="10" a="1"/>
  <c r="V34" i="10" a="1"/>
  <c r="AL54" i="10" a="1"/>
  <c r="S37" i="10" a="1"/>
  <c r="AQ49" i="10" a="1"/>
  <c r="Y17" i="10" a="1"/>
  <c r="J29" i="10" a="1"/>
  <c r="AD53" i="10" a="1"/>
  <c r="Z36" i="10" a="1"/>
  <c r="P55" i="10" a="1"/>
  <c r="K46" i="10" a="1"/>
  <c r="P56" i="10" a="1"/>
  <c r="Z16" i="10" a="1"/>
  <c r="W52" i="10" a="1"/>
  <c r="Q35" i="10" a="1"/>
  <c r="AI17" i="10" a="1"/>
  <c r="L49" i="10" a="1"/>
  <c r="AL52" i="10" a="1"/>
  <c r="AG50" i="10" a="1"/>
  <c r="R39" i="10" a="1"/>
  <c r="AF43" i="10" a="1"/>
  <c r="AP38" i="10" a="1"/>
  <c r="P42" i="10" a="1"/>
  <c r="AE30" i="10" a="1"/>
  <c r="O42" i="10" a="1"/>
  <c r="AI45" i="10" a="1"/>
  <c r="H34" i="10" a="1"/>
  <c r="H26" i="10" a="1"/>
  <c r="M40" i="10" a="1"/>
  <c r="AI28" i="10" a="1"/>
  <c r="AO20" i="10" a="1"/>
  <c r="AG14" i="10" a="1"/>
  <c r="AC43" i="10" a="1"/>
  <c r="AP39" i="10" a="1"/>
  <c r="K43" i="10" a="1"/>
  <c r="Q19" i="10" a="1"/>
  <c r="AJ47" i="10" a="1"/>
  <c r="J42" i="10" a="1"/>
  <c r="X35" i="10" a="1"/>
  <c r="AE56" i="10" a="1"/>
  <c r="P44" i="10" a="1"/>
  <c r="AL40" i="10" a="1"/>
  <c r="AD21" i="10" a="1"/>
  <c r="V17" i="10" a="1"/>
  <c r="AA49" i="10" a="1"/>
  <c r="P40" i="10" a="1"/>
  <c r="P31" i="10" a="1"/>
  <c r="Q39" i="10" a="1"/>
  <c r="I52" i="10" a="1"/>
  <c r="AE21" i="10" a="1"/>
  <c r="AA16" i="10" a="1"/>
  <c r="L32" i="10" a="1"/>
  <c r="AM50" i="10" a="1"/>
  <c r="S45" i="10" a="1"/>
  <c r="AE22" i="10" a="1"/>
  <c r="T55" i="10" a="1"/>
  <c r="T36" i="10" a="1"/>
  <c r="AN45" i="10" a="1"/>
  <c r="AD25" i="10" a="1"/>
  <c r="I29" i="10" a="1"/>
  <c r="N49" i="10" a="1"/>
  <c r="AC11" i="10" a="1"/>
  <c r="G11" i="10" a="1"/>
  <c r="AF23" i="10" a="1"/>
  <c r="O36" i="10" a="1"/>
  <c r="AD39" i="10" a="1"/>
  <c r="J56" i="10" a="1"/>
  <c r="N56" i="10" a="1"/>
  <c r="AL26" i="10" a="1"/>
  <c r="AK47" i="10" a="1"/>
  <c r="AD31" i="10" a="1"/>
  <c r="AG30" i="10" a="1"/>
  <c r="Q23" i="10" a="1"/>
  <c r="AK53" i="10" a="1"/>
  <c r="AH16" i="10" a="1"/>
  <c r="AD33" i="10" a="1"/>
  <c r="U42" i="10" a="1"/>
  <c r="AF12" i="10" a="1"/>
  <c r="AN44" i="10" a="1"/>
  <c r="O37" i="10" a="1"/>
  <c r="AH55" i="10" a="1"/>
  <c r="AC16" i="10" a="1"/>
  <c r="U39" i="10" a="1"/>
  <c r="U51" i="10" a="1"/>
  <c r="AD55" i="10" a="1"/>
  <c r="AG53" i="10" a="1"/>
  <c r="X45" i="10" a="1"/>
  <c r="AB45" i="10" a="1"/>
  <c r="AH23" i="10" a="1"/>
  <c r="AH23" i="10" l="1"/>
  <c r="AB45" i="10"/>
  <c r="X45" i="10"/>
  <c r="AG53" i="10"/>
  <c r="AD55" i="10"/>
  <c r="U51" i="10"/>
  <c r="U39" i="10"/>
  <c r="AC16" i="10"/>
  <c r="AH55" i="10"/>
  <c r="O37" i="10"/>
  <c r="AN44" i="10"/>
  <c r="AF12" i="10"/>
  <c r="U42" i="10"/>
  <c r="AD33" i="10"/>
  <c r="AH16" i="10"/>
  <c r="AK53" i="10"/>
  <c r="Q23" i="10"/>
  <c r="AG30" i="10"/>
  <c r="AD31" i="10"/>
  <c r="AK47" i="10"/>
  <c r="AL26" i="10"/>
  <c r="N56" i="10"/>
  <c r="J56" i="10"/>
  <c r="AD39" i="10"/>
  <c r="O36" i="10"/>
  <c r="AF23" i="10"/>
  <c r="G11" i="10"/>
  <c r="AC11" i="10"/>
  <c r="N49" i="10"/>
  <c r="I29" i="10"/>
  <c r="AD25" i="10"/>
  <c r="AN45" i="10"/>
  <c r="T36" i="10"/>
  <c r="T55" i="10"/>
  <c r="AE22" i="10"/>
  <c r="S45" i="10"/>
  <c r="AM50" i="10"/>
  <c r="L32" i="10"/>
  <c r="AA16" i="10"/>
  <c r="AE21" i="10"/>
  <c r="I52" i="10"/>
  <c r="Q39" i="10"/>
  <c r="P31" i="10"/>
  <c r="P40" i="10"/>
  <c r="AA49" i="10"/>
  <c r="V17" i="10"/>
  <c r="AD21" i="10"/>
  <c r="AL40" i="10"/>
  <c r="P44" i="10"/>
  <c r="AE56" i="10"/>
  <c r="X35" i="10"/>
  <c r="J42" i="10"/>
  <c r="AJ47" i="10"/>
  <c r="Q19" i="10"/>
  <c r="K43" i="10"/>
  <c r="AP39" i="10"/>
  <c r="AC43" i="10"/>
  <c r="AG14" i="10"/>
  <c r="AO20" i="10"/>
  <c r="AI28" i="10"/>
  <c r="M40" i="10"/>
  <c r="H26" i="10"/>
  <c r="H34" i="10"/>
  <c r="AI45" i="10"/>
  <c r="O42" i="10"/>
  <c r="AE30" i="10"/>
  <c r="P42" i="10"/>
  <c r="AP38" i="10"/>
  <c r="AF43" i="10"/>
  <c r="R39" i="10"/>
  <c r="AG50" i="10"/>
  <c r="AL52" i="10"/>
  <c r="L49" i="10"/>
  <c r="AI17" i="10"/>
  <c r="Q35" i="10"/>
  <c r="W52" i="10"/>
  <c r="Z16" i="10"/>
  <c r="P56" i="10"/>
  <c r="K46" i="10"/>
  <c r="P55" i="10"/>
  <c r="Z36" i="10"/>
  <c r="AD53" i="10"/>
  <c r="J29" i="10"/>
  <c r="Y17" i="10"/>
  <c r="AQ49" i="10"/>
  <c r="S37" i="10"/>
  <c r="AL54" i="10"/>
  <c r="V34" i="10"/>
  <c r="J25" i="10"/>
  <c r="R38" i="10"/>
  <c r="AO18" i="10"/>
  <c r="AN24" i="10"/>
  <c r="AG38" i="10"/>
  <c r="T17" i="10"/>
  <c r="L43" i="10"/>
  <c r="K51" i="10"/>
  <c r="T31" i="10"/>
  <c r="W26" i="10"/>
  <c r="AE45" i="10"/>
  <c r="Y53" i="10"/>
  <c r="G25" i="10"/>
  <c r="AN35" i="10"/>
  <c r="AH44" i="10"/>
  <c r="AC31" i="10"/>
  <c r="H45" i="10"/>
  <c r="AD32" i="10"/>
  <c r="AQ29" i="10"/>
  <c r="AM28" i="10"/>
  <c r="R34" i="10"/>
  <c r="AC35" i="10"/>
  <c r="AK30" i="10"/>
  <c r="AB48" i="10"/>
  <c r="W11" i="10"/>
  <c r="AK28" i="10"/>
  <c r="U55" i="10"/>
  <c r="K45" i="10"/>
  <c r="P32" i="10"/>
  <c r="AC26" i="10"/>
  <c r="H46" i="10"/>
  <c r="AN36" i="10"/>
  <c r="AP40" i="10"/>
  <c r="R25" i="10"/>
  <c r="N14" i="10"/>
  <c r="S26" i="10"/>
  <c r="AH40" i="10"/>
  <c r="S29" i="10"/>
  <c r="J33" i="10"/>
  <c r="AI12" i="10"/>
  <c r="L28" i="10"/>
  <c r="X23" i="10"/>
  <c r="AD17" i="10"/>
  <c r="AF24" i="10"/>
  <c r="N25" i="10"/>
  <c r="K34" i="10"/>
  <c r="H31" i="10"/>
  <c r="AB57" i="10"/>
  <c r="AB36" i="10"/>
  <c r="AC39" i="10"/>
  <c r="AL27" i="10"/>
  <c r="Q32" i="10"/>
  <c r="U54" i="10"/>
  <c r="AJ11" i="10"/>
  <c r="K15" i="10"/>
  <c r="AR54" i="10"/>
  <c r="M30" i="10"/>
  <c r="AG44" i="10"/>
  <c r="AO30" i="10"/>
  <c r="AJ24" i="10"/>
  <c r="U48" i="10"/>
  <c r="R56" i="10"/>
  <c r="P18" i="10"/>
  <c r="K11" i="10"/>
  <c r="AI30" i="10"/>
  <c r="AM33" i="10"/>
  <c r="AH56" i="10"/>
  <c r="AM54" i="10"/>
  <c r="AE18" i="10"/>
  <c r="L38" i="10"/>
  <c r="AQ17" i="10"/>
  <c r="AJ13" i="10"/>
  <c r="N23" i="10"/>
  <c r="I41" i="10"/>
  <c r="AC17" i="10"/>
  <c r="AE11" i="10"/>
  <c r="I26" i="10"/>
  <c r="AI54" i="10"/>
  <c r="N26" i="10"/>
  <c r="AL13" i="10"/>
  <c r="S54" i="10"/>
  <c r="M19" i="10"/>
  <c r="R33" i="10"/>
  <c r="I13" i="10"/>
  <c r="G33" i="10"/>
  <c r="X25" i="10"/>
  <c r="AK15" i="10"/>
  <c r="AJ34" i="10"/>
  <c r="Q46" i="10"/>
  <c r="T16" i="10"/>
  <c r="W53" i="10"/>
  <c r="Q51" i="10"/>
  <c r="AK48" i="10"/>
  <c r="J15" i="10"/>
  <c r="N43" i="10"/>
  <c r="R14" i="10"/>
  <c r="AO15" i="10"/>
  <c r="AN47" i="10"/>
  <c r="K25" i="10"/>
  <c r="T50" i="10"/>
  <c r="AJ52" i="10"/>
  <c r="S47" i="10"/>
  <c r="AQ40" i="10"/>
  <c r="AM17" i="10"/>
  <c r="S55" i="10"/>
  <c r="Q14" i="10"/>
  <c r="I24" i="10"/>
  <c r="AO55" i="10"/>
  <c r="AA45" i="10"/>
  <c r="AP28" i="10"/>
  <c r="T14" i="10"/>
  <c r="AO45" i="10"/>
  <c r="AE39" i="10"/>
  <c r="AD15" i="10"/>
  <c r="Q18" i="10"/>
  <c r="J55" i="10"/>
  <c r="O45" i="10"/>
  <c r="AM34" i="10"/>
  <c r="AJ56" i="10"/>
  <c r="AP35" i="10"/>
  <c r="Y51" i="10"/>
  <c r="AR34" i="10"/>
  <c r="AO27" i="10"/>
  <c r="L50" i="10"/>
  <c r="S50" i="10"/>
  <c r="AK51" i="10"/>
  <c r="X41" i="10"/>
  <c r="AP51" i="10"/>
  <c r="AJ38" i="10"/>
  <c r="AM37" i="10"/>
  <c r="AF16" i="10"/>
  <c r="AI39" i="10"/>
  <c r="V44" i="10"/>
  <c r="M36" i="10"/>
  <c r="AC34" i="10"/>
  <c r="AE51" i="10"/>
  <c r="Y46" i="10"/>
  <c r="N51" i="10"/>
  <c r="T12" i="10"/>
  <c r="AP30" i="10"/>
  <c r="AF54" i="10"/>
  <c r="W20" i="10"/>
  <c r="V13" i="10"/>
  <c r="W51" i="10"/>
  <c r="AI50" i="10"/>
  <c r="Y19" i="10"/>
  <c r="T45" i="10"/>
  <c r="G41" i="10"/>
  <c r="AG41" i="10"/>
  <c r="AG12" i="10"/>
  <c r="U25" i="10"/>
  <c r="G45" i="10"/>
  <c r="W55" i="10"/>
  <c r="AM22" i="10"/>
  <c r="G48" i="10"/>
  <c r="AE34" i="10"/>
  <c r="K33" i="10"/>
  <c r="Q55" i="10"/>
  <c r="O40" i="10"/>
  <c r="U29" i="10"/>
  <c r="L24" i="10"/>
  <c r="AM38" i="10"/>
  <c r="J41" i="10"/>
  <c r="I21" i="10"/>
  <c r="AM20" i="10"/>
  <c r="AE43" i="10"/>
  <c r="R28" i="10"/>
  <c r="AC28" i="10"/>
  <c r="AF45" i="10"/>
  <c r="O48" i="10"/>
  <c r="AE24" i="10"/>
  <c r="AA19" i="10"/>
  <c r="AA41" i="10"/>
  <c r="V30" i="10"/>
  <c r="AB31" i="10"/>
  <c r="AH57" i="10"/>
  <c r="AL11" i="10"/>
  <c r="AD35" i="10"/>
  <c r="AP48" i="10"/>
  <c r="AI49" i="10"/>
  <c r="AA12" i="10"/>
  <c r="H37" i="10"/>
  <c r="AN49" i="10"/>
  <c r="M16" i="10"/>
  <c r="AI55" i="10"/>
  <c r="AA42" i="10"/>
  <c r="X55" i="10"/>
  <c r="AA24" i="10"/>
  <c r="K49" i="10"/>
  <c r="AP26" i="10"/>
  <c r="W57" i="10"/>
  <c r="O21" i="10"/>
  <c r="L55" i="10"/>
  <c r="J47" i="10"/>
  <c r="AE17" i="10"/>
  <c r="Z35" i="10"/>
  <c r="L53" i="10"/>
  <c r="AB28" i="10"/>
  <c r="H24" i="10"/>
  <c r="AL50" i="10"/>
  <c r="AR52" i="10"/>
  <c r="AI13" i="10"/>
  <c r="P57" i="10"/>
  <c r="J17" i="10"/>
  <c r="AD34" i="10"/>
  <c r="O22" i="10"/>
  <c r="M26" i="10"/>
  <c r="Q21" i="10"/>
  <c r="V29" i="10"/>
  <c r="AL18" i="10"/>
  <c r="AN14" i="10"/>
  <c r="N32" i="10"/>
  <c r="AF11" i="10"/>
  <c r="AA22" i="10"/>
  <c r="AO48" i="10"/>
  <c r="M44" i="10"/>
  <c r="AE48" i="10"/>
  <c r="AQ13" i="10"/>
  <c r="R22" i="10"/>
  <c r="G47" i="10"/>
  <c r="Q20" i="10"/>
  <c r="V55" i="10"/>
  <c r="W42" i="10"/>
  <c r="H38" i="10"/>
  <c r="S11" i="10"/>
  <c r="AH45" i="10"/>
  <c r="U26" i="10"/>
  <c r="R54" i="10"/>
  <c r="G14" i="10"/>
  <c r="P21" i="10"/>
  <c r="M25" i="10"/>
  <c r="L15" i="10"/>
  <c r="AF39" i="10"/>
  <c r="X38" i="10"/>
  <c r="AE31" i="10"/>
  <c r="AB35" i="10"/>
  <c r="G34" i="10"/>
  <c r="AG42" i="10"/>
  <c r="U17" i="10"/>
  <c r="AF29" i="10"/>
  <c r="V46" i="10"/>
  <c r="P39" i="10"/>
  <c r="O47" i="10"/>
  <c r="AQ56" i="10"/>
  <c r="T20" i="10"/>
  <c r="G44" i="10"/>
  <c r="AO52" i="10"/>
  <c r="R15" i="10"/>
  <c r="AR47" i="10"/>
  <c r="O32" i="10"/>
  <c r="AL28" i="10"/>
  <c r="AB11" i="10"/>
  <c r="X39" i="10"/>
  <c r="AA50" i="10"/>
  <c r="U50" i="10"/>
  <c r="Z48" i="10"/>
  <c r="AJ15" i="10"/>
  <c r="AG34" i="10"/>
  <c r="AM40" i="10"/>
  <c r="V40" i="10"/>
  <c r="X33" i="10"/>
  <c r="AO40" i="10"/>
  <c r="J16" i="10"/>
  <c r="T18" i="10"/>
  <c r="P47" i="10"/>
  <c r="S15" i="10"/>
  <c r="AL25" i="10"/>
  <c r="AK54" i="10"/>
  <c r="S22" i="10"/>
  <c r="AH15" i="10"/>
  <c r="K29" i="10"/>
  <c r="P33" i="10"/>
  <c r="M18" i="10"/>
  <c r="Q12" i="10"/>
  <c r="AA32" i="10"/>
  <c r="I57" i="10"/>
  <c r="Z23" i="10"/>
  <c r="X29" i="10"/>
  <c r="X18" i="10"/>
  <c r="R11" i="10"/>
  <c r="L13" i="10"/>
  <c r="AB15" i="10"/>
  <c r="H11" i="10"/>
  <c r="AM44" i="10"/>
  <c r="AQ41" i="10"/>
  <c r="AO16" i="10"/>
  <c r="J36" i="10"/>
  <c r="P29" i="10"/>
  <c r="N21" i="10"/>
  <c r="AL47" i="10"/>
  <c r="V57" i="10"/>
  <c r="I31" i="10"/>
  <c r="L16" i="10"/>
  <c r="AJ17" i="10"/>
  <c r="AB14" i="10"/>
  <c r="AB46" i="10"/>
  <c r="Y27" i="10"/>
  <c r="AD47" i="10"/>
  <c r="L19" i="10"/>
  <c r="P49" i="10"/>
  <c r="AF13" i="10"/>
  <c r="S53" i="10"/>
  <c r="W45" i="10"/>
  <c r="Y29" i="10"/>
  <c r="Z11" i="10"/>
  <c r="AO43" i="10"/>
  <c r="AG19" i="10"/>
  <c r="S41" i="10"/>
  <c r="G49" i="10"/>
  <c r="J52" i="10"/>
  <c r="AR16" i="10"/>
  <c r="AQ37" i="10"/>
  <c r="K50" i="10"/>
  <c r="AA18" i="10"/>
  <c r="AR38" i="10"/>
  <c r="AM57" i="10"/>
  <c r="AE20" i="10"/>
  <c r="Z57" i="10"/>
  <c r="I48" i="10"/>
  <c r="AP14" i="10"/>
  <c r="AK50" i="10"/>
  <c r="L33" i="10"/>
  <c r="AJ39" i="10"/>
  <c r="I35" i="10"/>
  <c r="AC22" i="10"/>
  <c r="W23" i="10"/>
  <c r="T48" i="10"/>
  <c r="AR11" i="10"/>
  <c r="M47" i="10"/>
  <c r="AI25" i="10"/>
  <c r="Z47" i="10"/>
  <c r="AM55" i="10"/>
  <c r="AM23" i="10"/>
  <c r="N28" i="10"/>
  <c r="I55" i="10"/>
  <c r="N33" i="10"/>
  <c r="R36" i="10"/>
  <c r="AI41" i="10"/>
  <c r="Z15" i="10"/>
  <c r="AB33" i="10"/>
  <c r="AN50" i="10"/>
  <c r="Z52" i="10"/>
  <c r="AO22" i="10"/>
  <c r="AJ21" i="10"/>
  <c r="W25" i="10"/>
  <c r="AI46" i="10"/>
  <c r="AQ19" i="10"/>
  <c r="AO12" i="10"/>
  <c r="L42" i="10"/>
  <c r="AF56" i="10"/>
  <c r="AO56" i="10"/>
  <c r="Y44" i="10"/>
  <c r="G31" i="10"/>
  <c r="AR50" i="10"/>
  <c r="L25" i="10"/>
  <c r="AN34" i="10"/>
  <c r="AG28" i="10"/>
  <c r="G46" i="10"/>
  <c r="P28" i="10"/>
  <c r="Y33" i="10"/>
  <c r="AL24" i="10"/>
  <c r="W49" i="10"/>
  <c r="Z31" i="10"/>
  <c r="J26" i="10"/>
  <c r="AF31" i="10"/>
  <c r="AO39" i="10"/>
  <c r="I43" i="10"/>
  <c r="G29" i="10"/>
  <c r="G57" i="10"/>
  <c r="Y22" i="10"/>
  <c r="O49" i="10"/>
  <c r="U49" i="10"/>
  <c r="AB23" i="10"/>
  <c r="N16" i="10"/>
  <c r="AC18" i="10"/>
  <c r="AQ32" i="10"/>
  <c r="I15" i="10"/>
  <c r="AA39" i="10"/>
  <c r="AM43" i="10"/>
  <c r="I44" i="10"/>
  <c r="M33" i="10"/>
  <c r="AE36" i="10"/>
  <c r="J43" i="10"/>
  <c r="W15" i="10"/>
  <c r="O17" i="10"/>
  <c r="K16" i="10"/>
  <c r="I37" i="10"/>
  <c r="AL29" i="10"/>
  <c r="AO42" i="10"/>
  <c r="AQ28" i="10"/>
  <c r="P23" i="10"/>
  <c r="R55" i="10"/>
  <c r="M23" i="10"/>
  <c r="X19" i="10"/>
  <c r="AB47" i="10"/>
  <c r="N29" i="10"/>
  <c r="N31" i="10"/>
  <c r="I12" i="10"/>
  <c r="W43" i="10"/>
  <c r="J48" i="10"/>
  <c r="AL38" i="10"/>
  <c r="AP18" i="10"/>
  <c r="M24" i="10"/>
  <c r="W24" i="10"/>
  <c r="AA26" i="10"/>
  <c r="AJ41" i="10"/>
  <c r="S36" i="10"/>
  <c r="AI26" i="10"/>
  <c r="AG31" i="10"/>
  <c r="AP25" i="10"/>
  <c r="K21" i="10"/>
  <c r="T26" i="10"/>
  <c r="AL51" i="10"/>
  <c r="G35" i="10"/>
  <c r="I56" i="10"/>
  <c r="AI40" i="10"/>
  <c r="AA23" i="10"/>
  <c r="AA25" i="10"/>
  <c r="V41" i="10"/>
  <c r="R13" i="10"/>
  <c r="R50" i="10"/>
  <c r="AD36" i="10"/>
  <c r="I14" i="10"/>
  <c r="AF22" i="10"/>
  <c r="X26" i="10"/>
  <c r="AH53" i="10"/>
  <c r="AH38" i="10"/>
  <c r="Q31" i="10"/>
  <c r="AA44" i="10"/>
  <c r="Z32" i="10"/>
  <c r="AA52" i="10"/>
  <c r="V26" i="10"/>
  <c r="N34" i="10"/>
  <c r="W33" i="10"/>
  <c r="G37" i="10"/>
  <c r="T47" i="10"/>
  <c r="AH27" i="10"/>
  <c r="AF25" i="10"/>
  <c r="I22" i="10"/>
  <c r="Z27" i="10"/>
  <c r="AF18" i="10"/>
  <c r="AK39" i="10"/>
  <c r="U20" i="10"/>
  <c r="Y36" i="10"/>
  <c r="AI35" i="10"/>
  <c r="V23" i="10"/>
  <c r="AD18" i="10"/>
  <c r="J21" i="10"/>
  <c r="AH33" i="10"/>
  <c r="AP56" i="10"/>
  <c r="N15" i="10"/>
  <c r="Y52" i="10"/>
  <c r="AI42" i="10"/>
  <c r="AE27" i="10"/>
  <c r="J27" i="10"/>
  <c r="W31" i="10"/>
  <c r="P25" i="10"/>
  <c r="AD22" i="10"/>
  <c r="AL36" i="10"/>
  <c r="V42" i="10"/>
  <c r="AD56" i="10"/>
  <c r="M57" i="10"/>
  <c r="P19" i="10"/>
  <c r="V37" i="10"/>
  <c r="Z24" i="10"/>
  <c r="AK13" i="10"/>
  <c r="AH36" i="10"/>
  <c r="O26" i="10"/>
  <c r="AE49" i="10"/>
  <c r="H18" i="10"/>
  <c r="Z14" i="10"/>
  <c r="AA13" i="10"/>
  <c r="AP57" i="10"/>
  <c r="S33" i="10"/>
  <c r="J53" i="10"/>
  <c r="M50" i="10"/>
  <c r="AF57" i="10"/>
  <c r="AN13" i="10"/>
  <c r="S32" i="10"/>
  <c r="AO49" i="10"/>
  <c r="AO29" i="10"/>
  <c r="AM48" i="10"/>
  <c r="AH51" i="10"/>
  <c r="AJ33" i="10"/>
  <c r="AG24" i="10"/>
  <c r="AD45" i="10"/>
  <c r="AE47" i="10"/>
  <c r="Q40" i="10"/>
  <c r="U28" i="10"/>
  <c r="AM21" i="10"/>
  <c r="H56" i="10"/>
  <c r="AN25" i="10"/>
  <c r="AA29" i="10"/>
  <c r="AL19" i="10"/>
  <c r="J30" i="10"/>
  <c r="S51" i="10"/>
  <c r="AO25" i="10"/>
  <c r="AG33" i="10"/>
  <c r="S35" i="10"/>
  <c r="AA28" i="10"/>
  <c r="AC51" i="10"/>
  <c r="AB52" i="10"/>
  <c r="AF26" i="10"/>
  <c r="AG23" i="10"/>
  <c r="J32" i="10"/>
  <c r="T57" i="10"/>
  <c r="U43" i="10"/>
  <c r="AF46" i="10"/>
  <c r="J46" i="10"/>
  <c r="AC30" i="10"/>
  <c r="W41" i="10"/>
  <c r="U30" i="10"/>
  <c r="AD12" i="10"/>
  <c r="U24" i="10"/>
  <c r="AR13" i="10"/>
  <c r="Y28" i="10"/>
  <c r="J50" i="10"/>
  <c r="Q17" i="10"/>
  <c r="L22" i="10"/>
  <c r="M46" i="10"/>
  <c r="O54" i="10"/>
  <c r="AC19" i="10"/>
  <c r="AG18" i="10"/>
  <c r="R21" i="10"/>
  <c r="K24" i="10"/>
  <c r="AK52" i="10"/>
  <c r="AL46" i="10"/>
  <c r="AB20" i="10"/>
  <c r="Q36" i="10"/>
  <c r="O57" i="10"/>
  <c r="Y31" i="10"/>
  <c r="T46" i="10"/>
  <c r="N45" i="10"/>
  <c r="AM35" i="10"/>
  <c r="AF47" i="10"/>
  <c r="AB21" i="10"/>
  <c r="M31" i="10"/>
  <c r="AH29" i="10"/>
  <c r="AD27" i="10"/>
  <c r="AN11" i="10"/>
  <c r="M55" i="10"/>
  <c r="AN12" i="10"/>
  <c r="M45" i="10"/>
  <c r="O16" i="10"/>
  <c r="V22" i="10"/>
  <c r="Q25" i="10"/>
  <c r="X11" i="10"/>
  <c r="AC48" i="10"/>
  <c r="AC13" i="10"/>
  <c r="AD14" i="10"/>
  <c r="U38" i="10"/>
  <c r="Y43" i="10"/>
  <c r="R16" i="10"/>
  <c r="I40" i="10"/>
  <c r="AC54" i="10"/>
  <c r="G16" i="10"/>
  <c r="AP15" i="10"/>
  <c r="AH43" i="10"/>
  <c r="T41" i="10"/>
  <c r="T35" i="10"/>
  <c r="T40" i="10"/>
  <c r="J54" i="10"/>
  <c r="AI52" i="10"/>
  <c r="S39" i="10"/>
  <c r="AA38" i="10"/>
  <c r="AA53" i="10"/>
  <c r="AC21" i="10"/>
  <c r="R42" i="10"/>
  <c r="P48" i="10"/>
  <c r="T11" i="10"/>
  <c r="AE33" i="10"/>
  <c r="Z41" i="10"/>
  <c r="AF36" i="10"/>
  <c r="H16" i="10"/>
  <c r="AG49" i="10"/>
  <c r="K42" i="10"/>
  <c r="AP49" i="10"/>
  <c r="AI51" i="10"/>
  <c r="U37" i="10"/>
  <c r="P13" i="10"/>
  <c r="Y35" i="10"/>
  <c r="H23" i="10"/>
  <c r="X30" i="10"/>
  <c r="AP36" i="10"/>
  <c r="AA48" i="10"/>
  <c r="Y47" i="10"/>
  <c r="AP27" i="10"/>
  <c r="AN32" i="10"/>
  <c r="Y55" i="10"/>
  <c r="Z38" i="10"/>
  <c r="V24" i="10"/>
  <c r="AH18" i="10"/>
  <c r="AF41" i="10"/>
  <c r="N18" i="10"/>
  <c r="AJ27" i="10"/>
  <c r="O35" i="10"/>
  <c r="AE42" i="10"/>
  <c r="W16" i="10"/>
  <c r="S14" i="10"/>
  <c r="AG25" i="10"/>
  <c r="AR26" i="10"/>
  <c r="AM42" i="10"/>
  <c r="AO50" i="10"/>
  <c r="M56" i="10"/>
  <c r="AP37" i="10"/>
  <c r="H17" i="10"/>
  <c r="AI44" i="10"/>
  <c r="U53" i="10"/>
  <c r="N55" i="10"/>
  <c r="Z34" i="10"/>
  <c r="X43" i="10"/>
  <c r="L11" i="10"/>
  <c r="AC49" i="10"/>
  <c r="AM52" i="10"/>
  <c r="AD49" i="10"/>
  <c r="AM49" i="10"/>
  <c r="P24" i="10"/>
  <c r="X15" i="10"/>
  <c r="N36" i="10"/>
  <c r="AA27" i="10"/>
  <c r="N47" i="10"/>
  <c r="H51" i="10"/>
  <c r="Q28" i="10"/>
  <c r="I19" i="10"/>
  <c r="AJ50" i="10"/>
  <c r="AF27" i="10"/>
  <c r="AM11" i="10"/>
  <c r="AL12" i="10"/>
  <c r="AL17" i="10"/>
  <c r="L20" i="10"/>
  <c r="S43" i="10"/>
  <c r="AK26" i="10"/>
  <c r="P12" i="10"/>
  <c r="N48" i="10"/>
  <c r="Y41" i="10"/>
  <c r="K22" i="10"/>
  <c r="V45" i="10"/>
  <c r="L40" i="10"/>
  <c r="AL56" i="10"/>
  <c r="H14" i="10"/>
  <c r="G42" i="10"/>
  <c r="Z44" i="10"/>
  <c r="O28" i="10"/>
  <c r="AN23" i="10"/>
  <c r="G55" i="10"/>
  <c r="S40" i="10"/>
  <c r="AC46" i="10"/>
  <c r="Z19" i="10"/>
  <c r="P52" i="10"/>
  <c r="G32" i="10"/>
  <c r="Z39" i="10"/>
  <c r="AK20" i="10"/>
  <c r="M53" i="10"/>
  <c r="AH50" i="10"/>
  <c r="AN57" i="10"/>
  <c r="Z45" i="10"/>
  <c r="T43" i="10"/>
  <c r="P20" i="10"/>
  <c r="U12" i="10"/>
  <c r="P51" i="10"/>
  <c r="AM41" i="10"/>
  <c r="AL35" i="10"/>
  <c r="V51" i="10"/>
  <c r="AE37" i="10"/>
  <c r="G17" i="10"/>
  <c r="Y42" i="10"/>
  <c r="G30" i="10"/>
  <c r="AK38" i="10"/>
  <c r="AK24" i="10"/>
  <c r="S17" i="10"/>
  <c r="V20" i="10"/>
  <c r="H32" i="10"/>
  <c r="V50" i="10"/>
  <c r="AB43" i="10"/>
  <c r="G54" i="10"/>
  <c r="H39" i="10"/>
  <c r="AE13" i="10"/>
  <c r="H19" i="10"/>
  <c r="AE50" i="10"/>
  <c r="AC56" i="10"/>
  <c r="X20" i="10"/>
  <c r="I51" i="10"/>
  <c r="Y11" i="10"/>
  <c r="AF17" i="10"/>
  <c r="AB34" i="10"/>
  <c r="AQ52" i="10"/>
  <c r="AN29" i="10"/>
  <c r="AP45" i="10"/>
  <c r="J18" i="10"/>
  <c r="AO31" i="10"/>
  <c r="I20" i="10"/>
  <c r="AO57" i="10"/>
  <c r="G20" i="10"/>
  <c r="T38" i="10"/>
  <c r="I30" i="10"/>
  <c r="I33" i="10"/>
  <c r="W32" i="10"/>
  <c r="AB22" i="10"/>
  <c r="AL43" i="10"/>
  <c r="AM15" i="10"/>
  <c r="AO54" i="10"/>
  <c r="U18" i="10"/>
  <c r="T13" i="10"/>
  <c r="AO11" i="10"/>
  <c r="AD51" i="10"/>
  <c r="AL33" i="10"/>
  <c r="AP42" i="10"/>
  <c r="W37" i="10"/>
  <c r="AM45" i="10"/>
  <c r="AP13" i="10"/>
  <c r="J51" i="10"/>
  <c r="S28" i="10"/>
  <c r="AP41" i="10"/>
  <c r="AK29" i="10"/>
  <c r="AJ12" i="10"/>
  <c r="W22" i="10"/>
  <c r="L44" i="10"/>
  <c r="X40" i="10"/>
  <c r="W38" i="10"/>
  <c r="AJ18" i="10"/>
  <c r="AN39" i="10"/>
  <c r="Z28" i="10"/>
  <c r="AN27" i="10"/>
  <c r="H42" i="10"/>
  <c r="K57" i="10"/>
  <c r="AJ53" i="10"/>
  <c r="AI23" i="10"/>
  <c r="AQ34" i="10"/>
  <c r="AP44" i="10"/>
  <c r="V14" i="10"/>
  <c r="AE12" i="10"/>
  <c r="N37" i="10"/>
  <c r="AK34" i="10"/>
  <c r="AG51" i="10"/>
  <c r="AO32" i="10"/>
  <c r="AN55" i="10"/>
  <c r="K31" i="10"/>
  <c r="AC29" i="10"/>
  <c r="J24" i="10"/>
  <c r="L26" i="10"/>
  <c r="W14" i="10"/>
  <c r="J49" i="10"/>
  <c r="AE29" i="10"/>
  <c r="AI32" i="10"/>
  <c r="G53" i="10"/>
  <c r="K56" i="10"/>
  <c r="AQ14" i="10"/>
  <c r="AD23" i="10"/>
  <c r="AF32" i="10"/>
  <c r="L46" i="10"/>
  <c r="G52" i="10"/>
  <c r="S49" i="10"/>
  <c r="AF30" i="10"/>
  <c r="AA31" i="10"/>
  <c r="X36" i="10"/>
  <c r="AI14" i="10"/>
  <c r="AG26" i="10"/>
  <c r="AA33" i="10"/>
  <c r="W54" i="10"/>
  <c r="U41" i="10"/>
  <c r="AO34" i="10"/>
  <c r="G12" i="10"/>
  <c r="P26" i="10"/>
  <c r="J22" i="10"/>
  <c r="L39" i="10"/>
  <c r="P15" i="10"/>
  <c r="AE32" i="10"/>
  <c r="X48" i="10"/>
  <c r="K38" i="10"/>
  <c r="AP16" i="10"/>
  <c r="S30" i="10"/>
  <c r="G36" i="10"/>
  <c r="AN19" i="10"/>
  <c r="H20" i="10"/>
  <c r="AR37" i="10"/>
  <c r="AN33" i="10"/>
  <c r="Y23" i="10"/>
  <c r="O53" i="10"/>
  <c r="N44" i="10"/>
  <c r="J34" i="10"/>
  <c r="W12" i="10"/>
  <c r="AN42" i="10"/>
  <c r="AA17" i="10"/>
  <c r="AB16" i="10"/>
  <c r="AN40" i="10"/>
  <c r="AN21" i="10"/>
  <c r="AK40" i="10"/>
  <c r="AG27" i="10"/>
  <c r="T54" i="10"/>
  <c r="Y32" i="10"/>
  <c r="X13" i="10"/>
  <c r="AK23" i="10"/>
  <c r="AJ55" i="10"/>
  <c r="AA51" i="10"/>
  <c r="AD44" i="10"/>
  <c r="O33" i="10"/>
  <c r="O46" i="10"/>
  <c r="G27" i="10"/>
  <c r="Q41" i="10"/>
  <c r="AF44" i="10"/>
  <c r="AM16" i="10"/>
  <c r="AJ30" i="10"/>
  <c r="S31" i="10"/>
  <c r="H57" i="10"/>
  <c r="AE26" i="10"/>
  <c r="AL30" i="10"/>
  <c r="AR55" i="10"/>
  <c r="N41" i="10"/>
  <c r="P43" i="10"/>
  <c r="O23" i="10"/>
  <c r="AB44" i="10"/>
  <c r="AJ26" i="10"/>
  <c r="M54" i="10"/>
  <c r="AH32" i="10"/>
  <c r="Y50" i="10"/>
  <c r="AJ29" i="10"/>
  <c r="O18" i="10"/>
  <c r="AF28" i="10"/>
  <c r="AO33" i="10"/>
  <c r="AQ50" i="10"/>
  <c r="AC47" i="10"/>
  <c r="AQ11" i="10"/>
  <c r="V32" i="10"/>
  <c r="AQ53" i="10"/>
  <c r="J13" i="10"/>
  <c r="AE52" i="10"/>
  <c r="X21" i="10"/>
  <c r="AH48" i="10"/>
  <c r="AC40" i="10"/>
  <c r="W56" i="10"/>
  <c r="AF19" i="10"/>
  <c r="G18" i="10"/>
  <c r="Z37" i="10"/>
  <c r="AJ57" i="10"/>
  <c r="W28" i="10"/>
  <c r="AG20" i="10"/>
  <c r="AG17" i="10"/>
  <c r="K18" i="10"/>
  <c r="V33" i="10"/>
  <c r="AB42" i="10"/>
  <c r="AM29" i="10"/>
  <c r="K28" i="10"/>
  <c r="AP29" i="10"/>
  <c r="L45" i="10"/>
  <c r="AH26" i="10"/>
  <c r="X24" i="10"/>
  <c r="AE15" i="10"/>
  <c r="K54" i="10"/>
  <c r="Y14" i="10"/>
  <c r="Y13" i="10"/>
  <c r="AR32" i="10"/>
  <c r="AO46" i="10"/>
  <c r="T28" i="10"/>
  <c r="R53" i="10"/>
  <c r="M20" i="10"/>
  <c r="J44" i="10"/>
  <c r="S48" i="10"/>
  <c r="AD30" i="10"/>
  <c r="AD42" i="10"/>
  <c r="R40" i="10"/>
  <c r="AC55" i="10"/>
  <c r="T44" i="10"/>
  <c r="G26" i="10"/>
  <c r="AM26" i="10"/>
  <c r="T53" i="10"/>
  <c r="M42" i="10"/>
  <c r="M12" i="10"/>
  <c r="J19" i="10"/>
  <c r="I32" i="10"/>
  <c r="S20" i="10"/>
  <c r="AR17" i="10"/>
  <c r="G43" i="10"/>
  <c r="AF14" i="10"/>
  <c r="AO38" i="10"/>
  <c r="T24" i="10"/>
  <c r="AI53" i="10"/>
  <c r="AN28" i="10"/>
  <c r="AN41" i="10"/>
  <c r="P34" i="10"/>
  <c r="Q47" i="10"/>
  <c r="Z43" i="10"/>
  <c r="AG56" i="10"/>
  <c r="AJ31" i="10"/>
  <c r="K52" i="10"/>
  <c r="L48" i="10"/>
  <c r="L12" i="10"/>
  <c r="S34" i="10"/>
  <c r="Q13" i="10"/>
  <c r="G23" i="10"/>
  <c r="AC52" i="10"/>
  <c r="M17" i="10"/>
  <c r="O27" i="10"/>
  <c r="J11" i="10"/>
  <c r="L35" i="10"/>
  <c r="AC50" i="10"/>
  <c r="M38" i="10"/>
  <c r="AC12" i="10"/>
  <c r="AH37" i="10"/>
  <c r="AI16" i="10"/>
  <c r="V54" i="10"/>
  <c r="X34" i="10"/>
  <c r="AF33" i="10"/>
  <c r="AB54" i="10"/>
  <c r="V52" i="10"/>
  <c r="AO53" i="10"/>
  <c r="H27" i="10"/>
  <c r="Q44" i="10"/>
  <c r="Q45" i="10"/>
  <c r="AR19" i="10"/>
  <c r="U40" i="10"/>
  <c r="O41" i="10"/>
  <c r="AC38" i="10"/>
  <c r="N50" i="10"/>
  <c r="AA34" i="10"/>
  <c r="AK36" i="10"/>
  <c r="H50" i="10"/>
  <c r="P46" i="10"/>
  <c r="AD52" i="10"/>
  <c r="J14" i="10"/>
  <c r="I16" i="10"/>
  <c r="Y40" i="10"/>
  <c r="M48" i="10"/>
  <c r="Z25" i="10"/>
  <c r="AK56" i="10"/>
  <c r="V36" i="10"/>
  <c r="U32" i="10"/>
  <c r="R24" i="10"/>
  <c r="AQ55" i="10"/>
  <c r="AD28" i="10"/>
  <c r="K35" i="10"/>
  <c r="AH19" i="10"/>
  <c r="W47" i="10"/>
  <c r="AG32" i="10"/>
  <c r="V47" i="10"/>
  <c r="AP55" i="10"/>
  <c r="J38" i="10"/>
  <c r="S21" i="10"/>
  <c r="AN53" i="10"/>
  <c r="AL49" i="10"/>
  <c r="T30" i="10"/>
  <c r="M28" i="10"/>
  <c r="AC33" i="10"/>
  <c r="M29" i="10"/>
  <c r="L31" i="10"/>
  <c r="AJ44" i="10"/>
  <c r="AM47" i="10"/>
  <c r="AN52" i="10"/>
  <c r="AD57" i="10"/>
  <c r="O44" i="10"/>
  <c r="AO14" i="10"/>
  <c r="Y38" i="10"/>
  <c r="L54" i="10"/>
  <c r="AD26" i="10"/>
  <c r="U34" i="10"/>
  <c r="AK17" i="10"/>
  <c r="J39" i="10"/>
  <c r="G13" i="10"/>
  <c r="AN38" i="10"/>
  <c r="AP32" i="10"/>
  <c r="AE28" i="10"/>
  <c r="AA40" i="10"/>
  <c r="AJ16" i="10"/>
  <c r="Y45" i="10"/>
  <c r="Q11" i="10"/>
  <c r="AI56" i="10"/>
  <c r="AG11" i="10"/>
  <c r="T52" i="10"/>
  <c r="U36" i="10"/>
  <c r="P54" i="10"/>
  <c r="V35" i="10"/>
  <c r="AI38" i="10"/>
  <c r="K23" i="10"/>
  <c r="K27" i="10"/>
  <c r="AE40" i="10"/>
  <c r="S16" i="10"/>
  <c r="AM24" i="10"/>
  <c r="N40" i="10"/>
  <c r="AJ49" i="10"/>
  <c r="AI21" i="10"/>
  <c r="W21" i="10"/>
  <c r="AR44" i="10"/>
  <c r="AA43" i="10"/>
  <c r="W35" i="10"/>
  <c r="T51" i="10"/>
  <c r="AD19" i="10"/>
  <c r="R57" i="10"/>
  <c r="G21" i="10"/>
  <c r="O38" i="10"/>
  <c r="AL16" i="10"/>
  <c r="AI34" i="10"/>
  <c r="AN16" i="10"/>
  <c r="L29" i="10"/>
  <c r="X37" i="10"/>
  <c r="W39" i="10"/>
  <c r="AH17" i="10"/>
  <c r="AH28" i="10"/>
  <c r="AJ48" i="10"/>
  <c r="Q24" i="10"/>
  <c r="Y54" i="10"/>
  <c r="J12" i="10"/>
  <c r="R20" i="10"/>
  <c r="AM27" i="10"/>
  <c r="AK19" i="10"/>
  <c r="AF38" i="10"/>
  <c r="AQ26" i="10"/>
  <c r="AF42" i="10"/>
  <c r="AE46" i="10"/>
  <c r="AD29" i="10"/>
  <c r="U45" i="10"/>
  <c r="AB50" i="10"/>
  <c r="H48" i="10"/>
  <c r="Q49" i="10"/>
  <c r="I23" i="10"/>
  <c r="M39" i="10"/>
  <c r="V27" i="10"/>
  <c r="G50" i="10"/>
  <c r="H29" i="10"/>
  <c r="L37" i="10"/>
  <c r="AE55" i="10"/>
  <c r="T19" i="10"/>
  <c r="V11" i="10"/>
  <c r="AA37" i="10"/>
  <c r="S38" i="10"/>
  <c r="L51" i="10"/>
  <c r="AR53" i="10"/>
  <c r="Y24" i="10"/>
  <c r="O13" i="10"/>
  <c r="AL55" i="10"/>
  <c r="U11" i="10"/>
  <c r="N19" i="10"/>
  <c r="Q54" i="10"/>
  <c r="H55" i="10"/>
  <c r="M35" i="10"/>
  <c r="AQ43" i="10"/>
  <c r="M37" i="10"/>
  <c r="I47" i="10"/>
  <c r="O19" i="10"/>
  <c r="AB53" i="10"/>
  <c r="J28" i="10"/>
  <c r="AN46" i="10"/>
  <c r="AK44" i="10"/>
  <c r="Z56" i="10"/>
  <c r="AI31" i="10"/>
  <c r="P41" i="10"/>
  <c r="P22" i="10"/>
  <c r="S18" i="10"/>
  <c r="P14" i="10"/>
  <c r="AO47" i="10"/>
  <c r="AM51" i="10"/>
  <c r="R17" i="10"/>
  <c r="AG16" i="10"/>
  <c r="AD13" i="10"/>
  <c r="W34" i="10"/>
  <c r="X53" i="10"/>
  <c r="AC45" i="10"/>
  <c r="R52" i="10"/>
  <c r="K39" i="10"/>
  <c r="V31" i="10"/>
  <c r="AK37" i="10"/>
  <c r="R37" i="10"/>
  <c r="L57" i="10"/>
  <c r="R49" i="10"/>
  <c r="K32" i="10"/>
  <c r="AL14" i="10"/>
  <c r="L27" i="10"/>
  <c r="AP34" i="10"/>
  <c r="AJ35" i="10"/>
  <c r="AG22" i="10"/>
  <c r="N35" i="10"/>
  <c r="S44" i="10"/>
  <c r="AJ43" i="10"/>
  <c r="T29" i="10"/>
  <c r="AE53" i="10"/>
  <c r="AN18" i="10"/>
  <c r="Z51" i="10"/>
  <c r="AK35" i="10"/>
  <c r="AD50" i="10"/>
  <c r="N57" i="10"/>
  <c r="AO35" i="10"/>
  <c r="AH31" i="10"/>
  <c r="AP33" i="10"/>
  <c r="AJ19" i="10"/>
  <c r="AK32" i="10"/>
  <c r="X16" i="10"/>
  <c r="AQ20" i="10"/>
  <c r="L41" i="10"/>
  <c r="T15" i="10"/>
  <c r="S57" i="10"/>
  <c r="Z12" i="10"/>
  <c r="AF37" i="10"/>
  <c r="AN48" i="10"/>
  <c r="V38" i="10"/>
  <c r="Q30" i="10"/>
  <c r="AP43" i="10"/>
  <c r="AR56" i="10"/>
  <c r="J37" i="10"/>
  <c r="Z22" i="10"/>
  <c r="R44" i="10"/>
  <c r="AP12" i="10"/>
  <c r="AD11" i="10"/>
  <c r="AC25" i="10"/>
  <c r="J45" i="10"/>
  <c r="Q50" i="10"/>
  <c r="U15" i="10"/>
  <c r="V39" i="10"/>
  <c r="O30" i="10"/>
  <c r="X12" i="10"/>
  <c r="M41" i="10"/>
  <c r="AL20" i="10"/>
  <c r="AL23" i="10"/>
  <c r="H35" i="10"/>
  <c r="AL15" i="10"/>
  <c r="R29" i="10"/>
  <c r="AM53" i="10"/>
  <c r="AN26" i="10"/>
  <c r="AB26" i="10"/>
  <c r="T33" i="10"/>
  <c r="AC32" i="10"/>
  <c r="X31" i="10"/>
  <c r="AG40" i="10"/>
  <c r="Y16" i="10"/>
  <c r="T22" i="10"/>
  <c r="AB51" i="10"/>
  <c r="V49" i="10"/>
  <c r="R46" i="10"/>
  <c r="N46" i="10"/>
  <c r="Y25" i="10"/>
  <c r="AK43" i="10"/>
  <c r="R43" i="10"/>
  <c r="AD16" i="10"/>
  <c r="AC14" i="10"/>
  <c r="G22" i="10"/>
  <c r="H40" i="10"/>
  <c r="Q43" i="10"/>
  <c r="J20" i="10"/>
  <c r="Y39" i="10"/>
  <c r="Q34" i="10"/>
  <c r="L56" i="10"/>
  <c r="Q56" i="10"/>
  <c r="AO19" i="10"/>
  <c r="S13" i="10"/>
  <c r="W44" i="10"/>
  <c r="AH20" i="10"/>
  <c r="Z18" i="10"/>
  <c r="I17" i="10"/>
  <c r="O34" i="10"/>
  <c r="AA55" i="10"/>
  <c r="P45" i="10"/>
  <c r="K40" i="10"/>
  <c r="AA11" i="10"/>
  <c r="AB17" i="10"/>
  <c r="J40" i="10"/>
  <c r="AK57" i="10"/>
  <c r="X56" i="10"/>
  <c r="AG48" i="10"/>
  <c r="H21" i="10"/>
  <c r="AH46" i="10"/>
  <c r="Y21" i="10"/>
  <c r="AL44" i="10"/>
  <c r="Z21" i="10"/>
  <c r="G39" i="10"/>
  <c r="N52" i="10"/>
  <c r="K47" i="10"/>
  <c r="P30" i="10"/>
  <c r="X47" i="10"/>
  <c r="AG52" i="10"/>
  <c r="Y34" i="10"/>
  <c r="X52" i="10"/>
  <c r="AC24" i="10"/>
  <c r="H43" i="10"/>
  <c r="AC57" i="10"/>
  <c r="I25" i="10"/>
  <c r="T42" i="10"/>
  <c r="P53" i="10"/>
  <c r="AB40" i="10"/>
  <c r="W30" i="10"/>
  <c r="AA20" i="10"/>
  <c r="AH49" i="10"/>
  <c r="AM36" i="10"/>
  <c r="Q42" i="10"/>
  <c r="AF15" i="10"/>
  <c r="W50" i="10"/>
  <c r="R31" i="10"/>
  <c r="AF35" i="10"/>
  <c r="AJ28" i="10"/>
  <c r="I42" i="10"/>
  <c r="AJ25" i="10"/>
  <c r="I46" i="10"/>
  <c r="AB29" i="10"/>
  <c r="K14" i="10"/>
  <c r="AJ54" i="10"/>
  <c r="AO23" i="10"/>
  <c r="W18" i="10"/>
  <c r="AB18" i="10"/>
  <c r="AL45" i="10"/>
  <c r="AH24" i="10"/>
  <c r="AP23" i="10"/>
  <c r="V21" i="10"/>
  <c r="L30" i="10"/>
  <c r="AJ42" i="10"/>
  <c r="O24" i="10"/>
  <c r="AH13" i="10"/>
  <c r="K44" i="10"/>
  <c r="N22" i="10"/>
  <c r="AG21" i="10"/>
  <c r="R35" i="10"/>
  <c r="L36" i="10"/>
  <c r="AE38" i="10"/>
  <c r="U23" i="10"/>
  <c r="K30" i="10"/>
  <c r="AD43" i="10"/>
  <c r="K12" i="10"/>
  <c r="U33" i="10"/>
  <c r="Q27" i="10"/>
  <c r="AB41" i="10"/>
  <c r="AG43" i="10"/>
  <c r="P16" i="10"/>
  <c r="AJ36" i="10"/>
  <c r="K36" i="10"/>
  <c r="AB27" i="10"/>
  <c r="J23" i="10"/>
  <c r="L18" i="10"/>
  <c r="H36" i="10"/>
  <c r="M22" i="10"/>
  <c r="AL41" i="10"/>
  <c r="Q16" i="10"/>
  <c r="H13" i="10"/>
  <c r="T39" i="10"/>
  <c r="V43" i="10"/>
  <c r="L52" i="10"/>
  <c r="AF50" i="10"/>
  <c r="Y57" i="10"/>
  <c r="N11" i="10"/>
  <c r="AF20" i="10"/>
  <c r="S19" i="10"/>
  <c r="AJ51" i="10"/>
  <c r="H41" i="10"/>
  <c r="Q22" i="10"/>
  <c r="AI20" i="10"/>
  <c r="U14" i="10"/>
  <c r="R48" i="10"/>
  <c r="AB12" i="10"/>
  <c r="AD46" i="10"/>
  <c r="V48" i="10"/>
  <c r="Z30" i="10"/>
  <c r="AF34" i="10"/>
  <c r="AN54" i="10"/>
  <c r="AO28" i="10"/>
  <c r="O55" i="10"/>
  <c r="AQ44" i="10"/>
  <c r="AL37" i="10"/>
  <c r="Z17" i="10"/>
  <c r="V18" i="10"/>
  <c r="Y48" i="10"/>
  <c r="K55" i="10"/>
  <c r="M13" i="10"/>
  <c r="I50" i="10"/>
  <c r="AH42" i="10"/>
  <c r="AC36" i="10"/>
  <c r="P38" i="10"/>
  <c r="AI47" i="10"/>
  <c r="AB56" i="10"/>
  <c r="AM46" i="10"/>
  <c r="N27" i="10"/>
  <c r="AH52" i="10"/>
  <c r="AE54" i="10"/>
  <c r="AB49" i="10"/>
  <c r="AA54" i="10"/>
  <c r="AK42" i="10"/>
  <c r="M15" i="10"/>
  <c r="AD38" i="10"/>
  <c r="Y49" i="10"/>
  <c r="T32" i="10"/>
  <c r="Z33" i="10"/>
  <c r="U21" i="10"/>
  <c r="AG36" i="10"/>
  <c r="AL53" i="10"/>
  <c r="X51" i="10"/>
  <c r="AG37" i="10"/>
  <c r="N13" i="10"/>
  <c r="AG54" i="10"/>
  <c r="K48" i="10"/>
  <c r="I36" i="10"/>
  <c r="V19" i="10"/>
  <c r="S56" i="10"/>
  <c r="H53" i="10"/>
  <c r="J35" i="10"/>
  <c r="AP17" i="10"/>
  <c r="AH41" i="10"/>
  <c r="AM56" i="10"/>
  <c r="AQ23" i="10"/>
  <c r="X44" i="10"/>
  <c r="AC44" i="10"/>
  <c r="AB13" i="10"/>
  <c r="V16" i="10"/>
  <c r="I53" i="10"/>
  <c r="O14" i="10"/>
  <c r="AB55" i="10"/>
  <c r="AH47" i="10"/>
  <c r="AE14" i="10"/>
  <c r="AP22" i="10"/>
  <c r="AQ54" i="10"/>
  <c r="AM18" i="10"/>
  <c r="W27" i="10"/>
  <c r="AI57" i="10"/>
  <c r="AB24" i="10"/>
  <c r="O50" i="10"/>
  <c r="AE41" i="10"/>
  <c r="M43" i="10"/>
  <c r="P17" i="10"/>
  <c r="AG39" i="10"/>
  <c r="U22" i="10"/>
  <c r="K53" i="10"/>
  <c r="N17" i="10"/>
  <c r="AP50" i="10"/>
  <c r="AA35" i="10"/>
  <c r="AJ22" i="10"/>
  <c r="Z42" i="10"/>
  <c r="AI24" i="10"/>
  <c r="V56" i="10"/>
  <c r="AN22" i="10"/>
  <c r="AK18" i="10"/>
  <c r="T27" i="10"/>
  <c r="AN15" i="10"/>
  <c r="AD24" i="10"/>
  <c r="Q38" i="10"/>
  <c r="O25" i="10"/>
  <c r="AI48" i="10"/>
  <c r="H49" i="10"/>
  <c r="T37" i="10"/>
  <c r="M21" i="10"/>
  <c r="AA36" i="10"/>
  <c r="Z54" i="10"/>
  <c r="AO17" i="10"/>
  <c r="I45" i="10"/>
  <c r="Y18" i="10"/>
  <c r="Y26" i="10"/>
  <c r="AN37" i="10"/>
  <c r="Q57" i="10"/>
  <c r="N54" i="10"/>
  <c r="AJ23" i="10"/>
  <c r="AJ14" i="10"/>
  <c r="M51" i="10"/>
  <c r="K41" i="10"/>
  <c r="AK55" i="10"/>
  <c r="AR41" i="10"/>
  <c r="I27" i="10"/>
  <c r="Y15" i="10"/>
  <c r="R27" i="10"/>
  <c r="I28" i="10"/>
  <c r="AI37" i="10"/>
  <c r="H30" i="10"/>
  <c r="L47" i="10"/>
  <c r="AL32" i="10"/>
  <c r="AB39" i="10"/>
  <c r="N12" i="10"/>
  <c r="AH14" i="10"/>
  <c r="AJ46" i="10"/>
  <c r="J57" i="10"/>
  <c r="G15" i="10"/>
  <c r="R12" i="10"/>
  <c r="O31" i="10"/>
  <c r="Z46" i="10"/>
  <c r="AR28" i="10"/>
  <c r="AJ45" i="10"/>
  <c r="AG45" i="10"/>
  <c r="AB32" i="10"/>
  <c r="R51" i="10"/>
  <c r="AP52" i="10"/>
  <c r="P27" i="10"/>
  <c r="AF48" i="10"/>
  <c r="AG29" i="10"/>
  <c r="AO41" i="10"/>
  <c r="O29" i="10"/>
  <c r="U31" i="10"/>
  <c r="AH35" i="10"/>
  <c r="Z50" i="10"/>
  <c r="AH12" i="10"/>
  <c r="P35" i="10"/>
  <c r="AD54" i="10"/>
  <c r="O51" i="10"/>
  <c r="K37" i="10"/>
  <c r="AN51" i="10"/>
  <c r="AR40" i="10"/>
  <c r="AP24" i="10"/>
  <c r="Q26" i="10"/>
  <c r="W40" i="10"/>
  <c r="AK27" i="10"/>
  <c r="P36" i="10"/>
  <c r="V12" i="10"/>
  <c r="AQ38" i="10"/>
  <c r="AB19" i="10"/>
  <c r="R45" i="10"/>
  <c r="G28" i="10"/>
  <c r="L17" i="10"/>
  <c r="AP11" i="10"/>
  <c r="S24" i="10"/>
  <c r="AO21" i="10"/>
  <c r="AB37" i="10"/>
  <c r="M11" i="10"/>
  <c r="O20" i="10"/>
  <c r="O56" i="10"/>
  <c r="I38" i="10"/>
  <c r="AM30" i="10"/>
  <c r="AO26" i="10"/>
  <c r="AF53" i="10"/>
  <c r="V25" i="10"/>
  <c r="M34" i="10"/>
  <c r="R26" i="10"/>
  <c r="I11" i="10"/>
  <c r="AL42" i="10"/>
  <c r="I18" i="10"/>
  <c r="H52" i="10"/>
  <c r="AF49" i="10"/>
  <c r="S27" i="10"/>
  <c r="U56" i="10"/>
  <c r="H15" i="10"/>
  <c r="H47" i="10"/>
  <c r="X27" i="10"/>
  <c r="AF52" i="10"/>
  <c r="R41" i="10"/>
  <c r="AI33" i="10"/>
  <c r="AR49" i="10"/>
  <c r="AC20" i="10"/>
  <c r="Y12" i="10"/>
  <c r="AN31" i="10"/>
  <c r="W17" i="10"/>
  <c r="M14" i="10"/>
  <c r="AR29" i="10"/>
  <c r="AA14" i="10"/>
  <c r="Z26" i="10"/>
  <c r="AC23" i="10"/>
  <c r="R30" i="10"/>
  <c r="Q33" i="10"/>
  <c r="AC27" i="10"/>
  <c r="AD40" i="10"/>
  <c r="N30" i="10"/>
  <c r="I54" i="10"/>
  <c r="Y30" i="10"/>
  <c r="AI43" i="10"/>
  <c r="AG55" i="10"/>
  <c r="AO37" i="10"/>
  <c r="S46" i="10"/>
  <c r="AN20" i="10"/>
  <c r="AC15" i="10"/>
  <c r="AO24" i="10"/>
  <c r="AQ16" i="10"/>
  <c r="AE23" i="10"/>
  <c r="H22" i="10"/>
  <c r="AP54" i="10"/>
  <c r="AG35" i="10"/>
  <c r="AP47" i="10"/>
  <c r="Q29" i="10"/>
  <c r="O15" i="10"/>
  <c r="Z29" i="10"/>
  <c r="R47" i="10"/>
  <c r="W48" i="10"/>
  <c r="O39" i="10"/>
  <c r="U52" i="10"/>
  <c r="V53" i="10"/>
  <c r="P37" i="10"/>
  <c r="AE57" i="10"/>
  <c r="AA30" i="10"/>
  <c r="AF55" i="10"/>
  <c r="X46" i="10"/>
  <c r="X14" i="10"/>
  <c r="AR25" i="10"/>
  <c r="AK45" i="10"/>
  <c r="AC37" i="10"/>
  <c r="X49" i="10"/>
  <c r="AA21" i="10"/>
  <c r="U35" i="10"/>
  <c r="AI18" i="10"/>
  <c r="U44" i="10"/>
  <c r="AP53" i="10"/>
  <c r="AM31" i="10"/>
  <c r="AJ40" i="10"/>
  <c r="Z49" i="10"/>
  <c r="AH25" i="10"/>
  <c r="AO36" i="10"/>
  <c r="AQ47" i="10"/>
  <c r="AI19" i="10"/>
  <c r="AL48" i="10"/>
  <c r="X17" i="10"/>
  <c r="V28" i="10"/>
  <c r="U19" i="10"/>
  <c r="AR35" i="10"/>
  <c r="AA15" i="10"/>
  <c r="AK49" i="10"/>
  <c r="AR43" i="10"/>
  <c r="U47" i="10"/>
  <c r="AK12" i="10"/>
  <c r="G19" i="10"/>
  <c r="U27" i="10"/>
  <c r="T49" i="10"/>
  <c r="AM32" i="10"/>
  <c r="AH54" i="10"/>
  <c r="AM12" i="10"/>
  <c r="AE35" i="10"/>
  <c r="Q53" i="10"/>
  <c r="AK16" i="10"/>
  <c r="T23" i="10"/>
  <c r="AL34" i="10"/>
  <c r="AD41" i="10"/>
  <c r="X50" i="10"/>
  <c r="AI29" i="10"/>
  <c r="W29" i="10"/>
  <c r="N20" i="10"/>
  <c r="N38" i="10"/>
  <c r="G51" i="10"/>
  <c r="AG47" i="10"/>
  <c r="AH39" i="10"/>
  <c r="AP46" i="10"/>
  <c r="L34" i="10"/>
  <c r="I49" i="10"/>
  <c r="H12" i="10"/>
  <c r="L21" i="10"/>
  <c r="AI22" i="10"/>
  <c r="G56" i="10"/>
  <c r="H25" i="10"/>
  <c r="N42" i="10"/>
  <c r="K20" i="10"/>
  <c r="T56" i="10"/>
  <c r="X54" i="10"/>
  <c r="W19" i="10"/>
  <c r="AA47" i="10"/>
  <c r="T21" i="10"/>
  <c r="K19" i="10"/>
  <c r="AK11" i="10"/>
  <c r="AL57" i="10"/>
  <c r="AA46" i="10"/>
  <c r="AB30" i="10"/>
  <c r="L23" i="10"/>
  <c r="AN30" i="10"/>
  <c r="AR20" i="10"/>
  <c r="U13" i="10"/>
  <c r="H28" i="10"/>
  <c r="Y56" i="10"/>
  <c r="Q48" i="10"/>
  <c r="M52" i="10"/>
  <c r="AR14" i="10"/>
  <c r="T34" i="10"/>
  <c r="AI36" i="10"/>
  <c r="G24" i="10"/>
  <c r="AR23" i="10"/>
  <c r="Z40" i="10"/>
  <c r="W46" i="10"/>
  <c r="G38" i="10"/>
  <c r="AJ37" i="10"/>
  <c r="AE19" i="10"/>
  <c r="I34" i="10"/>
  <c r="AG46" i="10"/>
  <c r="G40" i="10"/>
  <c r="AB38" i="10"/>
  <c r="X32" i="10"/>
  <c r="AQ35" i="10"/>
  <c r="AE25" i="10"/>
  <c r="AP20" i="10"/>
  <c r="P11" i="10"/>
  <c r="AH30" i="10"/>
  <c r="J31" i="10"/>
  <c r="AK33" i="10"/>
  <c r="Z13" i="10"/>
  <c r="AB25" i="10"/>
  <c r="AP31" i="10"/>
  <c r="N24" i="10"/>
  <c r="AH11" i="10"/>
  <c r="AK46" i="10"/>
  <c r="R32" i="10"/>
  <c r="AN43" i="10"/>
  <c r="U57" i="10"/>
  <c r="AD20" i="10"/>
  <c r="N53" i="10"/>
  <c r="Z20" i="10"/>
  <c r="M49" i="10"/>
  <c r="AE16" i="10"/>
  <c r="S42" i="10"/>
  <c r="Y20" i="10"/>
  <c r="AJ20" i="10"/>
  <c r="AC41" i="10"/>
  <c r="U16" i="10"/>
  <c r="O52" i="10"/>
  <c r="AI15" i="10"/>
  <c r="S23" i="10"/>
  <c r="AL21" i="10"/>
  <c r="AE44" i="10"/>
  <c r="H33" i="10"/>
  <c r="AK14" i="10"/>
  <c r="Q15" i="10"/>
  <c r="AC53" i="10"/>
  <c r="AM19" i="10"/>
  <c r="AD48" i="10"/>
  <c r="AK25" i="10"/>
  <c r="O12" i="10"/>
  <c r="AJ32" i="10"/>
  <c r="AO51" i="10"/>
  <c r="V15" i="10"/>
  <c r="O11" i="10"/>
  <c r="K13" i="10"/>
  <c r="O43" i="10"/>
  <c r="AN17" i="10"/>
  <c r="R18" i="10"/>
  <c r="AH34" i="10"/>
  <c r="AM25" i="10"/>
  <c r="Z53" i="10"/>
  <c r="N39" i="10"/>
  <c r="Q52" i="10"/>
  <c r="I39" i="10"/>
  <c r="K17" i="10"/>
  <c r="M32" i="10"/>
  <c r="AG57" i="10"/>
  <c r="AG15" i="10"/>
  <c r="AM14" i="10"/>
  <c r="AQ25" i="10"/>
  <c r="L14" i="10"/>
  <c r="AK21" i="10"/>
  <c r="R19" i="10"/>
  <c r="AC42" i="10"/>
  <c r="M27" i="10"/>
  <c r="K26" i="10"/>
  <c r="AH21" i="10"/>
  <c r="H44" i="10"/>
  <c r="AI27" i="10"/>
  <c r="AK41" i="10"/>
  <c r="AA56" i="10"/>
  <c r="X57" i="10"/>
  <c r="AM39" i="10"/>
  <c r="U46" i="10"/>
  <c r="AD37" i="10"/>
  <c r="S52" i="10"/>
  <c r="AP19" i="10"/>
  <c r="X28" i="10"/>
  <c r="W36" i="10"/>
  <c r="W13" i="10"/>
  <c r="AN56" i="10"/>
  <c r="T25" i="10"/>
  <c r="H54" i="10"/>
  <c r="P50" i="10"/>
  <c r="S12" i="10"/>
  <c r="AH22" i="10"/>
  <c r="R23" i="10"/>
  <c r="AF40" i="10"/>
  <c r="AA57" i="10"/>
  <c r="Z55" i="10"/>
  <c r="AG13" i="10"/>
  <c r="AO44" i="10"/>
  <c r="AF21" i="10"/>
  <c r="Q37" i="10"/>
  <c r="X22" i="10"/>
  <c r="AI11" i="10"/>
  <c r="AL39" i="10"/>
  <c r="AO13" i="10"/>
  <c r="S25" i="10"/>
  <c r="Y37" i="10"/>
  <c r="AF51" i="10"/>
  <c r="AP21" i="10"/>
  <c r="X42" i="10"/>
  <c r="AM13" i="10"/>
  <c r="AQ39" i="10"/>
  <c r="AR42" i="10"/>
  <c r="AR57" i="10"/>
  <c r="AR33" i="10"/>
  <c r="AR45" i="10"/>
  <c r="AR48" i="10"/>
  <c r="AR27" i="10"/>
  <c r="AR39" i="10"/>
  <c r="AQ24" i="10"/>
  <c r="AR24" i="10"/>
  <c r="AQ18" i="10"/>
  <c r="AQ15" i="10"/>
  <c r="AK22" i="10"/>
  <c r="AQ48" i="10"/>
  <c r="AQ36" i="10"/>
  <c r="AR51" i="10"/>
  <c r="AR30" i="10"/>
  <c r="AQ30" i="10"/>
  <c r="AR18" i="10"/>
  <c r="AQ51" i="10"/>
  <c r="AQ21" i="10"/>
  <c r="AQ27" i="10"/>
  <c r="AR12" i="10"/>
  <c r="AL22" i="10"/>
  <c r="AQ45" i="10"/>
  <c r="AR15" i="10"/>
  <c r="AL31" i="10"/>
  <c r="AR36" i="10"/>
  <c r="AK31" i="10"/>
  <c r="AQ33" i="10"/>
  <c r="AR21" i="10"/>
  <c r="AQ12" i="10"/>
  <c r="AQ42" i="10"/>
  <c r="AQ57" i="10"/>
  <c r="AV24" i="10"/>
  <c r="AV47" i="10"/>
  <c r="AW14" i="10"/>
  <c r="AW37" i="10"/>
  <c r="AV12" i="10"/>
  <c r="AW33" i="10"/>
  <c r="AV49" i="10"/>
  <c r="AV35" i="10"/>
  <c r="AW43" i="10"/>
  <c r="AW49" i="10"/>
  <c r="AW22" i="10"/>
  <c r="AW16" i="10"/>
  <c r="AW40" i="10"/>
  <c r="AV11" i="10"/>
  <c r="AV43" i="10"/>
  <c r="AV37" i="10"/>
  <c r="AW35" i="10"/>
  <c r="AV38" i="10"/>
  <c r="AW23" i="10"/>
  <c r="AV20" i="10"/>
  <c r="AV42" i="10"/>
  <c r="AW45" i="10"/>
  <c r="AV28" i="10"/>
  <c r="AW52" i="10"/>
  <c r="AV39" i="10"/>
  <c r="AV50" i="10"/>
  <c r="AV36" i="10"/>
  <c r="AV56" i="10"/>
  <c r="AV26" i="10"/>
  <c r="AW55" i="10"/>
  <c r="AV34" i="10"/>
  <c r="AV19" i="10"/>
  <c r="AW18" i="10"/>
  <c r="AW41" i="10"/>
  <c r="AV23" i="10"/>
  <c r="AW53" i="10"/>
  <c r="AW56" i="10"/>
  <c r="AV27" i="10"/>
  <c r="AV48" i="10"/>
  <c r="AW11" i="10"/>
  <c r="AW19" i="10"/>
  <c r="AW54" i="10"/>
  <c r="AW30" i="10"/>
  <c r="AV33" i="10"/>
  <c r="AW44" i="10"/>
  <c r="AV55" i="10"/>
  <c r="AV30" i="10"/>
  <c r="AW24" i="10"/>
  <c r="AW17" i="10"/>
  <c r="AW47" i="10"/>
  <c r="AW34" i="10"/>
  <c r="AV21" i="10"/>
  <c r="AW50" i="10"/>
  <c r="AV45" i="10"/>
  <c r="AW13" i="10"/>
  <c r="AV51" i="10"/>
  <c r="AV17" i="10"/>
  <c r="AW42" i="10"/>
  <c r="AV22" i="10"/>
  <c r="AV52" i="10"/>
  <c r="AV31" i="10"/>
  <c r="AV54" i="10"/>
  <c r="AW51" i="10"/>
  <c r="AW39" i="10"/>
  <c r="AW27" i="10"/>
  <c r="AW46" i="10"/>
  <c r="AW21" i="10"/>
  <c r="AW36" i="10"/>
  <c r="AV44" i="10"/>
  <c r="AW57" i="10"/>
  <c r="AW26" i="10"/>
  <c r="AW15" i="10"/>
  <c r="AV40" i="10"/>
  <c r="AV57" i="10"/>
  <c r="AW12" i="10"/>
  <c r="AV16" i="10"/>
  <c r="AV29" i="10"/>
  <c r="AV41" i="10"/>
  <c r="AW29" i="10"/>
  <c r="AW48" i="10"/>
  <c r="AV14" i="10"/>
  <c r="AV53" i="10"/>
  <c r="AV18" i="10"/>
  <c r="AV32" i="10"/>
  <c r="AW38" i="10"/>
  <c r="AV13" i="10"/>
  <c r="AW20" i="10"/>
  <c r="AW31" i="10"/>
  <c r="AW25" i="10"/>
  <c r="AW32" i="10"/>
  <c r="AV15" i="10"/>
  <c r="AV25" i="10"/>
  <c r="AV46" i="10"/>
  <c r="AW28" i="10"/>
  <c r="R45" i="58887"/>
  <c r="R17" i="58887"/>
  <c r="R60" i="58887"/>
  <c r="M60" i="58887" s="1"/>
  <c r="S152" i="58887"/>
  <c r="S45" i="58887"/>
  <c r="M45" i="58887" s="1"/>
  <c r="R13" i="58887"/>
  <c r="M13" i="58887" s="1"/>
  <c r="S60" i="58887"/>
  <c r="R41" i="58887"/>
  <c r="M41" i="58887" s="1"/>
  <c r="R29" i="58887"/>
  <c r="S17" i="58887"/>
  <c r="AR185" i="10"/>
  <c r="AQ185" i="10"/>
  <c r="R152" i="58887"/>
  <c r="S13" i="58887"/>
  <c r="E21" i="10" a="1"/>
  <c r="E21" i="10" s="1"/>
  <c r="E25" i="10" a="1"/>
  <c r="E25" i="10" s="1"/>
  <c r="E30" i="10" a="1"/>
  <c r="E30" i="10" s="1"/>
  <c r="E55" i="10" a="1"/>
  <c r="E55" i="10" s="1"/>
  <c r="E12" i="10" a="1"/>
  <c r="E12" i="10" s="1"/>
  <c r="E15" i="10" a="1"/>
  <c r="E15" i="10" s="1"/>
  <c r="E53" i="10" a="1"/>
  <c r="E53" i="10" s="1"/>
  <c r="E13" i="10" a="1"/>
  <c r="E13" i="10" s="1"/>
  <c r="E14" i="10" a="1"/>
  <c r="E14" i="10" s="1"/>
  <c r="E37" i="10" a="1"/>
  <c r="E37" i="10" s="1"/>
  <c r="E50" i="10" a="1"/>
  <c r="E50" i="10" s="1"/>
  <c r="E44" i="10" a="1"/>
  <c r="E44" i="10" s="1"/>
  <c r="D10" i="10"/>
  <c r="E33" i="10" a="1"/>
  <c r="E33" i="10" s="1"/>
  <c r="E17" i="10" a="1"/>
  <c r="E17" i="10" s="1"/>
  <c r="E51" i="10" a="1"/>
  <c r="E51" i="10" s="1"/>
  <c r="E56" i="10" a="1"/>
  <c r="E56" i="10" s="1"/>
  <c r="E26" i="10" a="1"/>
  <c r="E26" i="10" s="1"/>
  <c r="E49" i="10" a="1"/>
  <c r="E49" i="10" s="1"/>
  <c r="E22" i="10" a="1"/>
  <c r="E22" i="10" s="1"/>
  <c r="E47" i="10" a="1"/>
  <c r="E47" i="10" s="1"/>
  <c r="E19" i="10" a="1"/>
  <c r="E19" i="10" s="1"/>
  <c r="E57" i="10" a="1"/>
  <c r="E57" i="10" s="1"/>
  <c r="E27" i="10" a="1"/>
  <c r="E27" i="10" s="1"/>
  <c r="E18" i="10" a="1"/>
  <c r="E18" i="10" s="1"/>
  <c r="E35" i="10" a="1"/>
  <c r="E35" i="10" s="1"/>
  <c r="E46" i="10" a="1"/>
  <c r="E46" i="10" s="1"/>
  <c r="E23" i="10" a="1"/>
  <c r="E23" i="10" s="1"/>
  <c r="E45" i="10" a="1"/>
  <c r="E45" i="10" s="1"/>
  <c r="E16" i="10" a="1"/>
  <c r="E16" i="10" s="1"/>
  <c r="E41" i="10" a="1"/>
  <c r="E41" i="10" s="1"/>
  <c r="E52" i="10" a="1"/>
  <c r="E52" i="10" s="1"/>
  <c r="E24" i="10" a="1"/>
  <c r="E24" i="10" s="1"/>
  <c r="E20" i="10" a="1"/>
  <c r="E20" i="10" s="1"/>
  <c r="E40" i="10" a="1"/>
  <c r="E40" i="10" s="1"/>
  <c r="E42" i="10" a="1"/>
  <c r="E42" i="10" s="1"/>
  <c r="E54" i="10" a="1"/>
  <c r="E54" i="10" s="1"/>
  <c r="E36" i="10" a="1"/>
  <c r="E36" i="10" s="1"/>
  <c r="E34" i="10" a="1"/>
  <c r="E34" i="10" s="1"/>
  <c r="E43" i="10" a="1"/>
  <c r="E43" i="10" s="1"/>
  <c r="E31" i="10" a="1"/>
  <c r="E31" i="10" s="1"/>
  <c r="E48" i="10" a="1"/>
  <c r="E48" i="10" s="1"/>
  <c r="E28" i="10" a="1"/>
  <c r="E28" i="10" s="1"/>
  <c r="E32" i="10" a="1"/>
  <c r="E32" i="10" s="1"/>
  <c r="E38" i="10" a="1"/>
  <c r="E38" i="10" s="1"/>
  <c r="E39" i="10" a="1"/>
  <c r="E39" i="10" s="1"/>
  <c r="E29" i="10" a="1"/>
  <c r="E29" i="10" s="1"/>
  <c r="E11" i="10" a="1"/>
  <c r="E11" i="10" s="1"/>
  <c r="F10" i="10"/>
  <c r="M12" i="58887"/>
  <c r="M29" i="58887"/>
  <c r="B5" i="33"/>
  <c r="D5" i="33" s="1"/>
  <c r="G14" i="33"/>
  <c r="G22" i="33" s="1"/>
  <c r="G24" i="33" s="1"/>
  <c r="M113" i="58887"/>
  <c r="AW89" i="10"/>
  <c r="AV89" i="10"/>
  <c r="AQ31" i="10"/>
  <c r="AR31" i="10"/>
  <c r="AQ22" i="10"/>
  <c r="AR22" i="10"/>
  <c r="M126" i="58887"/>
  <c r="M15" i="58887"/>
  <c r="M5" i="58887"/>
  <c r="Z56" i="58839"/>
  <c r="AA5" i="58839"/>
  <c r="BZ5" i="58839"/>
  <c r="BY56" i="58839"/>
  <c r="AT47" i="10"/>
  <c r="AT36" i="10"/>
  <c r="AQ91" i="10" a="1"/>
  <c r="AR91" i="10" a="1"/>
  <c r="W90" i="10" a="1"/>
  <c r="I90" i="10" a="1"/>
  <c r="I91" i="10" a="1"/>
  <c r="AF90" i="10" a="1"/>
  <c r="AA91" i="10" a="1"/>
  <c r="Q91" i="10" a="1"/>
  <c r="AD90" i="10" a="1"/>
  <c r="O90" i="10" a="1"/>
  <c r="AI90" i="10" a="1"/>
  <c r="AQ90" i="10" a="1"/>
  <c r="AG90" i="10" a="1"/>
  <c r="AO91" i="10" a="1"/>
  <c r="Z90" i="10" a="1"/>
  <c r="Q90" i="10" a="1"/>
  <c r="AE90" i="10" a="1"/>
  <c r="G90" i="10" a="1"/>
  <c r="J90" i="10" a="1"/>
  <c r="AG91" i="10" a="1"/>
  <c r="S91" i="10" a="1"/>
  <c r="U91" i="10" a="1"/>
  <c r="AP91" i="10" a="1"/>
  <c r="P90" i="10" a="1"/>
  <c r="AL91" i="10" a="1"/>
  <c r="AC90" i="10" a="1"/>
  <c r="AD91" i="10" a="1"/>
  <c r="Y90" i="10" a="1"/>
  <c r="X90" i="10" a="1"/>
  <c r="V91" i="10" a="1"/>
  <c r="AM90" i="10" a="1"/>
  <c r="G91" i="10" a="1"/>
  <c r="AL90" i="10" a="1"/>
  <c r="AE91" i="10" a="1"/>
  <c r="V90" i="10" a="1"/>
  <c r="Z91" i="10" a="1"/>
  <c r="AN90" i="10" a="1"/>
  <c r="AI91" i="10" a="1"/>
  <c r="M91" i="10" a="1"/>
  <c r="AN94" i="10" a="1"/>
  <c r="Q92" i="10" a="1"/>
  <c r="N92" i="10" a="1"/>
  <c r="G93" i="10" a="1"/>
  <c r="X92" i="10" a="1"/>
  <c r="AO90" i="10" a="1"/>
  <c r="M92" i="10" a="1"/>
  <c r="K91" i="10" a="1"/>
  <c r="U90" i="10" a="1"/>
  <c r="Z92" i="10" a="1"/>
  <c r="AB90" i="10" a="1"/>
  <c r="AA92" i="10" a="1"/>
  <c r="T91" i="10" a="1"/>
  <c r="AP94" i="10" a="1"/>
  <c r="H91" i="10" a="1"/>
  <c r="AQ93" i="10" a="1"/>
  <c r="Q93" i="10" a="1"/>
  <c r="M93" i="10" a="1"/>
  <c r="AA93" i="10" a="1"/>
  <c r="AP90" i="10" a="1"/>
  <c r="AL92" i="10" a="1"/>
  <c r="W91" i="10" a="1"/>
  <c r="AN91" i="10" a="1"/>
  <c r="L90" i="10" a="1"/>
  <c r="X91" i="10" a="1"/>
  <c r="R90" i="10" a="1"/>
  <c r="X93" i="10" a="1"/>
  <c r="J94" i="10" a="1"/>
  <c r="AK91" i="10" a="1"/>
  <c r="S90" i="10" a="1"/>
  <c r="O93" i="10" a="1"/>
  <c r="N90" i="10" a="1"/>
  <c r="K90" i="10" a="1"/>
  <c r="Y91" i="10" a="1"/>
  <c r="AQ94" i="10" a="1"/>
  <c r="J93" i="10" a="1"/>
  <c r="AA90" i="10" a="1"/>
  <c r="AB91" i="10" a="1"/>
  <c r="AK94" i="10" a="1"/>
  <c r="AJ92" i="10" a="1"/>
  <c r="AH94" i="10" a="1"/>
  <c r="S94" i="10" a="1"/>
  <c r="AJ91" i="10" a="1"/>
  <c r="AH91" i="10" a="1"/>
  <c r="AR92" i="10" a="1"/>
  <c r="Y94" i="10" a="1"/>
  <c r="AB94" i="10" a="1"/>
  <c r="R91" i="10" a="1"/>
  <c r="S92" i="10" a="1"/>
  <c r="AC91" i="10" a="1"/>
  <c r="T94" i="10" a="1"/>
  <c r="AF91" i="10" a="1"/>
  <c r="G94" i="10" a="1"/>
  <c r="K92" i="10" a="1"/>
  <c r="AH90" i="10" a="1"/>
  <c r="W93" i="10" a="1"/>
  <c r="U93" i="10" a="1"/>
  <c r="AF92" i="10" a="1"/>
  <c r="L91" i="10" a="1"/>
  <c r="AE93" i="10" a="1"/>
  <c r="L92" i="10" a="1"/>
  <c r="X94" i="10" a="1"/>
  <c r="G92" i="10" a="1"/>
  <c r="AR94" i="10" a="1"/>
  <c r="J91" i="10" a="1"/>
  <c r="AN92" i="10" a="1"/>
  <c r="Y92" i="10" a="1"/>
  <c r="N91" i="10" a="1"/>
  <c r="Z93" i="10" a="1"/>
  <c r="AI92" i="10" a="1"/>
  <c r="AJ90" i="10" a="1"/>
  <c r="V94" i="10" a="1"/>
  <c r="AH92" i="10" a="1"/>
  <c r="P92" i="10" a="1"/>
  <c r="AO94" i="10" a="1"/>
  <c r="AM94" i="10" a="1"/>
  <c r="AM91" i="10" a="1"/>
  <c r="O91" i="10" a="1"/>
  <c r="AG94" i="10" a="1"/>
  <c r="AK90" i="10" a="1"/>
  <c r="P91" i="10" a="1"/>
  <c r="AJ93" i="10" a="1"/>
  <c r="N94" i="10" a="1"/>
  <c r="V92" i="10" a="1"/>
  <c r="AC94" i="10" a="1"/>
  <c r="AF93" i="10" a="1"/>
  <c r="AB93" i="10" a="1"/>
  <c r="H90" i="10" a="1"/>
  <c r="O92" i="10" a="1"/>
  <c r="M90" i="10" a="1"/>
  <c r="AW10" i="10" a="1"/>
  <c r="AL94" i="10" a="1"/>
  <c r="AM92" i="10" a="1"/>
  <c r="T92" i="10" a="1"/>
  <c r="AR90" i="10" a="1"/>
  <c r="R93" i="10" a="1"/>
  <c r="AL93" i="10" a="1"/>
  <c r="T90" i="10" a="1"/>
  <c r="Z94" i="10" a="1"/>
  <c r="M94" i="10" a="1"/>
  <c r="P93" i="10" a="1"/>
  <c r="R92" i="10" a="1"/>
  <c r="N93" i="10" a="1"/>
  <c r="AP92" i="10" a="1"/>
  <c r="AI93" i="10" a="1"/>
  <c r="AB92" i="10" a="1"/>
  <c r="AF94" i="10" a="1"/>
  <c r="W92" i="10" a="1"/>
  <c r="V93" i="10" a="1"/>
  <c r="AM93" i="10" a="1"/>
  <c r="AN93" i="10" a="1"/>
  <c r="AJ94" i="10" a="1"/>
  <c r="T93" i="10" a="1"/>
  <c r="U94" i="10" a="1"/>
  <c r="AH93" i="10" a="1"/>
  <c r="K93" i="10" a="1"/>
  <c r="AR93" i="10" a="1"/>
  <c r="Y93" i="10" a="1"/>
  <c r="R94" i="10" a="1"/>
  <c r="Q94" i="10" a="1"/>
  <c r="I93" i="10" a="1"/>
  <c r="H92" i="10" a="1"/>
  <c r="AG92" i="10" a="1"/>
  <c r="AA94" i="10" a="1"/>
  <c r="AK93" i="10" a="1"/>
  <c r="AD92" i="10" a="1"/>
  <c r="AK92" i="10" a="1"/>
  <c r="L93" i="10" a="1"/>
  <c r="AD94" i="10" a="1"/>
  <c r="H94" i="10" a="1"/>
  <c r="AI94" i="10" a="1"/>
  <c r="O94" i="10" a="1"/>
  <c r="AQ92" i="10" a="1"/>
  <c r="J92" i="10" a="1"/>
  <c r="L94" i="10" a="1"/>
  <c r="K94" i="10" a="1"/>
  <c r="AC92" i="10" a="1"/>
  <c r="AC93" i="10" a="1"/>
  <c r="AO92" i="10" a="1"/>
  <c r="P94" i="10" a="1"/>
  <c r="U92" i="10" a="1"/>
  <c r="W94" i="10" a="1"/>
  <c r="H93" i="10" a="1"/>
  <c r="I92" i="10" a="1"/>
  <c r="AP93" i="10" a="1"/>
  <c r="AE92" i="10" a="1"/>
  <c r="AG93" i="10" a="1"/>
  <c r="AD93" i="10" a="1"/>
  <c r="AE94" i="10" a="1"/>
  <c r="I94" i="10" a="1"/>
  <c r="S93" i="10" a="1"/>
  <c r="AO93" i="10" a="1"/>
  <c r="AV10" i="10" a="1"/>
  <c r="AT13" i="10"/>
  <c r="AT43" i="10"/>
  <c r="AT44" i="10"/>
  <c r="AT12" i="10"/>
  <c r="AT20" i="10"/>
  <c r="AR46" i="10" a="1"/>
  <c r="AK264" i="10" a="1"/>
  <c r="AL276" i="10" a="1"/>
  <c r="AK276" i="10" a="1"/>
  <c r="AL264" i="10" a="1"/>
  <c r="L260" i="10" a="1"/>
  <c r="AD266" i="10" a="1"/>
  <c r="L286" i="10" a="1"/>
  <c r="K292" i="10" a="1"/>
  <c r="P300" i="10" a="1"/>
  <c r="U10" i="10" a="1"/>
  <c r="AP298" i="10" a="1"/>
  <c r="AP260" i="10" a="1"/>
  <c r="AN280" i="10" a="1"/>
  <c r="N282" i="10" a="1"/>
  <c r="AI278" i="10" a="1"/>
  <c r="X278" i="10" a="1"/>
  <c r="AB292" i="10" a="1"/>
  <c r="AF288" i="10" a="1"/>
  <c r="AI270" i="10" a="1"/>
  <c r="AI274" i="10" a="1"/>
  <c r="AD276" i="10" a="1"/>
  <c r="AF294" i="10" a="1"/>
  <c r="N296" i="10" a="1"/>
  <c r="AO280" i="10" a="1"/>
  <c r="S282" i="10" a="1"/>
  <c r="O260" i="10" a="1"/>
  <c r="AA270" i="10" a="1"/>
  <c r="K262" i="10" a="1"/>
  <c r="AM296" i="10" a="1"/>
  <c r="J278" i="10" a="1"/>
  <c r="I270" i="10" a="1"/>
  <c r="G276" i="10" a="1"/>
  <c r="AH282" i="10" a="1"/>
  <c r="W10" i="10" a="1"/>
  <c r="AG288" i="10" a="1"/>
  <c r="X298" i="10" a="1"/>
  <c r="AO276" i="10" a="1"/>
  <c r="AK290" i="10" a="1"/>
  <c r="AD274" i="10" a="1"/>
  <c r="O284" i="10" a="1"/>
  <c r="AP286" i="10" a="1"/>
  <c r="Y300" i="10" a="1"/>
  <c r="AO268" i="10" a="1"/>
  <c r="AI294" i="10" a="1"/>
  <c r="L300" i="10" a="1"/>
  <c r="AP282" i="10" a="1"/>
  <c r="R260" i="10" a="1"/>
  <c r="AC262" i="10" a="1"/>
  <c r="AE264" i="10" a="1"/>
  <c r="AJ288" i="10" a="1"/>
  <c r="T282" i="10" a="1"/>
  <c r="K282" i="10" a="1"/>
  <c r="S270" i="10" a="1"/>
  <c r="AN268" i="10" a="1"/>
  <c r="J266" i="10" a="1"/>
  <c r="AN290" i="10" a="1"/>
  <c r="AK260" i="10" a="1"/>
  <c r="K278" i="10" a="1"/>
  <c r="AN288" i="10" a="1"/>
  <c r="Z298" i="10" a="1"/>
  <c r="I264" i="10" a="1"/>
  <c r="Q282" i="10" a="1"/>
  <c r="AJ274" i="10" a="1"/>
  <c r="AP296" i="10" a="1"/>
  <c r="AE294" i="10" a="1"/>
  <c r="AE262" i="10" a="1"/>
  <c r="AG278" i="10" a="1"/>
  <c r="AG268" i="10" a="1"/>
  <c r="H276" i="10" a="1"/>
  <c r="AG264" i="10" a="1"/>
  <c r="AF280" i="10" a="1"/>
  <c r="AH284" i="10" a="1"/>
  <c r="R298" i="10" a="1"/>
  <c r="N294" i="10" a="1"/>
  <c r="AN278" i="10" a="1"/>
  <c r="AH270" i="10" a="1"/>
  <c r="Y280" i="10" a="1"/>
  <c r="Y298" i="10" a="1"/>
  <c r="R288" i="10" a="1"/>
  <c r="K300" i="10" a="1"/>
  <c r="Y268" i="10" a="1"/>
  <c r="AI282" i="10" a="1"/>
  <c r="AI298" i="10" a="1"/>
  <c r="AP300" i="10" a="1"/>
  <c r="AI292" i="10" a="1"/>
  <c r="K286" i="10" a="1"/>
  <c r="AN292" i="10" a="1"/>
  <c r="AO300" i="10" a="1"/>
  <c r="AM286" i="10" a="1"/>
  <c r="Y282" i="10" a="1"/>
  <c r="AA276" i="10" a="1"/>
  <c r="N280" i="10" a="1"/>
  <c r="AC268" i="10" a="1"/>
  <c r="L10" i="10" a="1"/>
  <c r="O274" i="10" a="1"/>
  <c r="AI280" i="10" a="1"/>
  <c r="AM284" i="10" a="1"/>
  <c r="K260" i="10" a="1"/>
  <c r="AH276" i="10" a="1"/>
  <c r="AH296" i="10" a="1"/>
  <c r="Y286" i="10" a="1"/>
  <c r="AN266" i="10" a="1"/>
  <c r="AM260" i="10" a="1"/>
  <c r="AL10" i="10" a="1"/>
  <c r="Y296" i="10" a="1"/>
  <c r="AA284" i="10" a="1"/>
  <c r="AL262" i="10" a="1"/>
  <c r="AN284" i="10" a="1"/>
  <c r="AD268" i="10" a="1"/>
  <c r="Q298" i="10" a="1"/>
  <c r="AE296" i="10" a="1"/>
  <c r="AL260" i="10" a="1"/>
  <c r="O296" i="10" a="1"/>
  <c r="AJ270" i="10" a="1"/>
  <c r="AA282" i="10" a="1"/>
  <c r="S266" i="10" a="1"/>
  <c r="J290" i="10" a="1"/>
  <c r="S286" i="10" a="1"/>
  <c r="X280" i="10" a="1"/>
  <c r="AO298" i="10" a="1"/>
  <c r="AC290" i="10" a="1"/>
  <c r="G266" i="10" a="1"/>
  <c r="Q300" i="10" a="1"/>
  <c r="Y260" i="10" a="1"/>
  <c r="G292" i="10" a="1"/>
  <c r="P294" i="10" a="1"/>
  <c r="AP10" i="10" a="1"/>
  <c r="M282" i="10" a="1"/>
  <c r="AH10" i="10" a="1"/>
  <c r="AP276" i="10" a="1"/>
  <c r="Q270" i="10" a="1"/>
  <c r="AI288" i="10" a="1"/>
  <c r="N274" i="10" a="1"/>
  <c r="AJ276" i="10" a="1"/>
  <c r="T296" i="10" a="1"/>
  <c r="S298" i="10" a="1"/>
  <c r="G278" i="10" a="1"/>
  <c r="AC260" i="10" a="1"/>
  <c r="M296" i="10" a="1"/>
  <c r="AD280" i="10" a="1"/>
  <c r="AN274" i="10" a="1"/>
  <c r="AF290" i="10" a="1"/>
  <c r="Z10" i="10" a="1"/>
  <c r="W276" i="10" a="1"/>
  <c r="T284" i="10" a="1"/>
  <c r="AL274" i="10" a="1"/>
  <c r="AM274" i="10" a="1"/>
  <c r="S262" i="10" a="1"/>
  <c r="L296" i="10" a="1"/>
  <c r="R294" i="10" a="1"/>
  <c r="AO274" i="10" a="1"/>
  <c r="N262" i="10" a="1"/>
  <c r="V266" i="10" a="1"/>
  <c r="H274" i="10" a="1"/>
  <c r="G268" i="10" a="1"/>
  <c r="J292" i="10" a="1"/>
  <c r="X288" i="10" a="1"/>
  <c r="Y284" i="10" a="1"/>
  <c r="AG276" i="10" a="1"/>
  <c r="AK268" i="10" a="1"/>
  <c r="Y290" i="10" a="1"/>
  <c r="AK300" i="10" a="1"/>
  <c r="AD284" i="10" a="1"/>
  <c r="AH268" i="10" a="1"/>
  <c r="M292" i="10" a="1"/>
  <c r="AK298" i="10" a="1"/>
  <c r="AA286" i="10" a="1"/>
  <c r="U284" i="10" a="1"/>
  <c r="AL278" i="10" a="1"/>
  <c r="AB266" i="10" a="1"/>
  <c r="AB294" i="10" a="1"/>
  <c r="H270" i="10" a="1"/>
  <c r="Y294" i="10" a="1"/>
  <c r="M300" i="10" a="1"/>
  <c r="H280" i="10" a="1"/>
  <c r="AA262" i="10" a="1"/>
  <c r="T274" i="10" a="1"/>
  <c r="Z276" i="10" a="1"/>
  <c r="H296" i="10" a="1"/>
  <c r="S280" i="10" a="1"/>
  <c r="S276" i="10" a="1"/>
  <c r="N270" i="10" a="1"/>
  <c r="I290" i="10" a="1"/>
  <c r="Y274" i="10" a="1"/>
  <c r="AF262" i="10" a="1"/>
  <c r="AG290" i="10" a="1"/>
  <c r="I298" i="10" a="1"/>
  <c r="H290" i="10" a="1"/>
  <c r="Q260" i="10" a="1"/>
  <c r="H300" i="10" a="1"/>
  <c r="P10" i="10" a="1"/>
  <c r="O262" i="10" a="1"/>
  <c r="AL300" i="10" a="1"/>
  <c r="AP266" i="10" a="1"/>
  <c r="N276" i="10" a="1"/>
  <c r="V268" i="10" a="1"/>
  <c r="AB300" i="10" a="1"/>
  <c r="U286" i="10" a="1"/>
  <c r="H10" i="10" a="1"/>
  <c r="AE298" i="10" a="1"/>
  <c r="Y10" i="10" a="1"/>
  <c r="H278" i="10" a="1"/>
  <c r="G262" i="10" a="1"/>
  <c r="AB10" i="10" a="1"/>
  <c r="AM278" i="10" a="1"/>
  <c r="AM262" i="10" a="1"/>
  <c r="AK274" i="10" a="1"/>
  <c r="L270" i="10" a="1"/>
  <c r="K266" i="10" a="1"/>
  <c r="M278" i="10" a="1"/>
  <c r="M266" i="10" a="1"/>
  <c r="L266" i="10" a="1"/>
  <c r="I266" i="10" a="1"/>
  <c r="J262" i="10" a="1"/>
  <c r="AP290" i="10" a="1"/>
  <c r="W298" i="10" a="1"/>
  <c r="AD270" i="10" a="1"/>
  <c r="AA10" i="10" a="1"/>
  <c r="AG260" i="10" a="1"/>
  <c r="AL266" i="10" a="1"/>
  <c r="AK10" i="10" a="1"/>
  <c r="AD286" i="10" a="1"/>
  <c r="AD294" i="10" a="1"/>
  <c r="S260" i="10" a="1"/>
  <c r="AL280" i="10" a="1"/>
  <c r="AA288" i="10" a="1"/>
  <c r="Z264" i="10" a="1"/>
  <c r="T276" i="10" a="1"/>
  <c r="P296" i="10" a="1"/>
  <c r="J270" i="10" a="1"/>
  <c r="AF278" i="10" a="1"/>
  <c r="T260" i="10" a="1"/>
  <c r="AK270" i="10" a="1"/>
  <c r="L274" i="10" a="1"/>
  <c r="AD260" i="10" a="1"/>
  <c r="G298" i="10" a="1"/>
  <c r="AL296" i="10" a="1"/>
  <c r="AO294" i="10" a="1"/>
  <c r="W288" i="10" a="1"/>
  <c r="AA280" i="10" a="1"/>
  <c r="AJ292" i="10" a="1"/>
  <c r="AG292" i="10" a="1"/>
  <c r="W274" i="10" a="1"/>
  <c r="K294" i="10" a="1"/>
  <c r="I286" i="10" a="1"/>
  <c r="H298" i="10" a="1"/>
  <c r="AL270" i="10" a="1"/>
  <c r="M260" i="10" a="1"/>
  <c r="J294" i="10" a="1"/>
  <c r="R296" i="10" a="1"/>
  <c r="S292" i="10" a="1"/>
  <c r="G10" i="10" a="1"/>
  <c r="AG296" i="10" a="1"/>
  <c r="AP270" i="10" a="1"/>
  <c r="AA294" i="10" a="1"/>
  <c r="M286" i="10" a="1"/>
  <c r="AN262" i="10" a="1"/>
  <c r="AB262" i="10" a="1"/>
  <c r="X294" i="10" a="1"/>
  <c r="AG286" i="10" a="1"/>
  <c r="W284" i="10" a="1"/>
  <c r="L262" i="10" a="1"/>
  <c r="AB284" i="10" a="1"/>
  <c r="X296" i="10" a="1"/>
  <c r="Z294" i="10" a="1"/>
  <c r="L264" i="10" a="1"/>
  <c r="AF10" i="10" a="1"/>
  <c r="AH266" i="10" a="1"/>
  <c r="AM10" i="10" a="1"/>
  <c r="O266" i="10" a="1"/>
  <c r="N292" i="10" a="1"/>
  <c r="K296" i="10" a="1"/>
  <c r="P270" i="10" a="1"/>
  <c r="AC282" i="10" a="1"/>
  <c r="O286" i="10" a="1"/>
  <c r="AH290" i="10" a="1"/>
  <c r="L282" i="10" a="1"/>
  <c r="O10" i="10" a="1"/>
  <c r="G260" i="10" a="1"/>
  <c r="I282" i="10" a="1"/>
  <c r="W264" i="10" a="1"/>
  <c r="T286" i="10" a="1"/>
  <c r="J276" i="10" a="1"/>
  <c r="AJ268" i="10" a="1"/>
  <c r="AN264" i="10" a="1"/>
  <c r="H262" i="10" a="1"/>
  <c r="AB288" i="10" a="1"/>
  <c r="AB280" i="10" a="1"/>
  <c r="P292" i="10" a="1"/>
  <c r="AA260" i="10" a="1"/>
  <c r="Q288" i="10" a="1"/>
  <c r="J282" i="10" a="1"/>
  <c r="T264" i="10" a="1"/>
  <c r="Z268" i="10" a="1"/>
  <c r="H260" i="10" a="1"/>
  <c r="AB286" i="10" a="1"/>
  <c r="AO290" i="10" a="1"/>
  <c r="AO296" i="10" a="1"/>
  <c r="AI10" i="10" a="1"/>
  <c r="P284" i="10" a="1"/>
  <c r="AA268" i="10" a="1"/>
  <c r="W282" i="10" a="1"/>
  <c r="K276" i="10" a="1"/>
  <c r="AB296" i="10" a="1"/>
  <c r="K270" i="10" a="1"/>
  <c r="H286" i="10" a="1"/>
  <c r="Y270" i="10" a="1"/>
  <c r="AM280" i="10" a="1"/>
  <c r="AN294" i="10" a="1"/>
  <c r="Q274" i="10" a="1"/>
  <c r="AE270" i="10" a="1"/>
  <c r="S274" i="10" a="1"/>
  <c r="H292" i="10" a="1"/>
  <c r="P260" i="10" a="1"/>
  <c r="Y264" i="10" a="1"/>
  <c r="X276" i="10" a="1"/>
  <c r="AJ266" i="10" a="1"/>
  <c r="I262" i="10" a="1"/>
  <c r="AN282" i="10" a="1"/>
  <c r="V290" i="10" a="1"/>
  <c r="AN276" i="10" a="1"/>
  <c r="AE276" i="10" a="1"/>
  <c r="Q262" i="10" a="1"/>
  <c r="AH288" i="10" a="1"/>
  <c r="AD300" i="10" a="1"/>
  <c r="AC284" i="10" a="1"/>
  <c r="P290" i="10" a="1"/>
  <c r="G264" i="10" a="1"/>
  <c r="X286" i="10" a="1"/>
  <c r="Y262" i="10" a="1"/>
  <c r="AC292" i="10" a="1"/>
  <c r="AJ10" i="10" a="1"/>
  <c r="AG300" i="10" a="1"/>
  <c r="AF260" i="10" a="1"/>
  <c r="AC280" i="10" a="1"/>
  <c r="L280" i="10" a="1"/>
  <c r="O276" i="10" a="1"/>
  <c r="AN286" i="10" a="1"/>
  <c r="M264" i="10" a="1"/>
  <c r="AE266" i="10" a="1"/>
  <c r="AJ284" i="10" a="1"/>
  <c r="Z288" i="10" a="1"/>
  <c r="J300" i="10" a="1"/>
  <c r="R300" i="10" a="1"/>
  <c r="W268" i="10" a="1"/>
  <c r="AA274" i="10" a="1"/>
  <c r="R286" i="10" a="1"/>
  <c r="U278" i="10" a="1"/>
  <c r="P282" i="10" a="1"/>
  <c r="J274" i="10" a="1"/>
  <c r="AL286" i="10" a="1"/>
  <c r="AH274" i="10" a="1"/>
  <c r="H266" i="10" a="1"/>
  <c r="AF276" i="10" a="1"/>
  <c r="AM266" i="10" a="1"/>
  <c r="R266" i="10" a="1"/>
  <c r="L284" i="10" a="1"/>
  <c r="AC300" i="10" a="1"/>
  <c r="AF274" i="10" a="1"/>
  <c r="N284" i="10" a="1"/>
  <c r="J268" i="10" a="1"/>
  <c r="I296" i="10" a="1"/>
  <c r="G270" i="10" a="1"/>
  <c r="R282" i="10" a="1"/>
  <c r="U296" i="10" a="1"/>
  <c r="AK296" i="10" a="1"/>
  <c r="N264" i="10" a="1"/>
  <c r="AI284" i="10" a="1"/>
  <c r="AP268" i="10" a="1"/>
  <c r="AF282" i="10" a="1"/>
  <c r="U290" i="10" a="1"/>
  <c r="U264" i="10" a="1"/>
  <c r="U266" i="10" a="1"/>
  <c r="AI276" i="10" a="1"/>
  <c r="AC286" i="10" a="1"/>
  <c r="Z300" i="10" a="1"/>
  <c r="J260" i="10" a="1"/>
  <c r="U262" i="10" a="1"/>
  <c r="I284" i="10" a="1"/>
  <c r="L298" i="10" a="1"/>
  <c r="AH264" i="10" a="1"/>
  <c r="AO260" i="10" a="1"/>
  <c r="AP292" i="10" a="1"/>
  <c r="I288" i="10" a="1"/>
  <c r="AM268" i="10" a="1"/>
  <c r="W296" i="10" a="1"/>
  <c r="T262" i="10" a="1"/>
  <c r="U268" i="10" a="1"/>
  <c r="I280" i="10" a="1"/>
  <c r="O300" i="10" a="1"/>
  <c r="AJ298" i="10" a="1"/>
  <c r="R292" i="10" a="1"/>
  <c r="G294" i="10" a="1"/>
  <c r="AN10" i="10" a="1"/>
  <c r="AL292" i="10" a="1"/>
  <c r="G274" i="10" a="1"/>
  <c r="U300" i="10" a="1"/>
  <c r="U280" i="10" a="1"/>
  <c r="P264" i="10" a="1"/>
  <c r="Z286" i="10" a="1"/>
  <c r="M262" i="10" a="1"/>
  <c r="AO278" i="10" a="1"/>
  <c r="H264" i="10" a="1"/>
  <c r="R276" i="10" a="1"/>
  <c r="AK282" i="10" a="1"/>
  <c r="Z266" i="10" a="1"/>
  <c r="AC274" i="10" a="1"/>
  <c r="K10" i="10" a="1"/>
  <c r="AK278" i="10" a="1"/>
  <c r="M290" i="10" a="1"/>
  <c r="AL294" i="10" a="1"/>
  <c r="AP294" i="10" a="1"/>
  <c r="M298" i="10" a="1"/>
  <c r="Z290" i="10" a="1"/>
  <c r="AH278" i="10" a="1"/>
  <c r="AD262" i="10" a="1"/>
  <c r="AN298" i="10" a="1"/>
  <c r="AF292" i="10" a="1"/>
  <c r="U276" i="10" a="1"/>
  <c r="AE284" i="10" a="1"/>
  <c r="AF266" i="10" a="1"/>
  <c r="O270" i="10" a="1"/>
  <c r="AA292" i="10" a="1"/>
  <c r="AF286" i="10" a="1"/>
  <c r="X10" i="10" a="1"/>
  <c r="AO286" i="10" a="1"/>
  <c r="U270" i="10" a="1"/>
  <c r="Y292" i="10" a="1"/>
  <c r="Q264" i="10" a="1"/>
  <c r="O268" i="10" a="1"/>
  <c r="T266" i="10" a="1"/>
  <c r="T268" i="10" a="1"/>
  <c r="AB290" i="10" a="1"/>
  <c r="AH292" i="10" a="1"/>
  <c r="AP278" i="10" a="1"/>
  <c r="AO264" i="10" a="1"/>
  <c r="AA298" i="10" a="1"/>
  <c r="T300" i="10" a="1"/>
  <c r="K290" i="10" a="1"/>
  <c r="AP262" i="10" a="1"/>
  <c r="M268" i="10" a="1"/>
  <c r="Z262" i="10" a="1"/>
  <c r="R278" i="10" a="1"/>
  <c r="S278" i="10" a="1"/>
  <c r="AD292" i="10" a="1"/>
  <c r="T298" i="10" a="1"/>
  <c r="AG266" i="10" a="1"/>
  <c r="AD288" i="10" a="1"/>
  <c r="S10" i="10" a="1"/>
  <c r="X290" i="10" a="1"/>
  <c r="W290" i="10" a="1"/>
  <c r="AM282" i="10" a="1"/>
  <c r="M294" i="10" a="1"/>
  <c r="Z292" i="10" a="1"/>
  <c r="G280" i="10" a="1"/>
  <c r="P280" i="10" a="1"/>
  <c r="V260" i="10" a="1"/>
  <c r="AI300" i="10" a="1"/>
  <c r="AC278" i="10" a="1"/>
  <c r="R280" i="10" a="1"/>
  <c r="N290" i="10" a="1"/>
  <c r="AG298" i="10" a="1"/>
  <c r="O282" i="10" a="1"/>
  <c r="AK266" i="10" a="1"/>
  <c r="V262" i="10" a="1"/>
  <c r="P274" i="10" a="1"/>
  <c r="AH280" i="10" a="1"/>
  <c r="V10" i="10" a="1"/>
  <c r="J10" i="10" a="1"/>
  <c r="Y288" i="10" a="1"/>
  <c r="Q10" i="10" a="1"/>
  <c r="AI262" i="10" a="1"/>
  <c r="I268" i="10" a="1"/>
  <c r="S290" i="10" a="1"/>
  <c r="X262" i="10" a="1"/>
  <c r="X270" i="10" a="1"/>
  <c r="AM290" i="10" a="1"/>
  <c r="AE280" i="10" a="1"/>
  <c r="M280" i="10" a="1"/>
  <c r="AM298" i="10" a="1"/>
  <c r="V274" i="10" a="1"/>
  <c r="S294" i="10" a="1"/>
  <c r="Z282" i="10" a="1"/>
  <c r="AN260" i="10" a="1"/>
  <c r="Q266" i="10" a="1"/>
  <c r="AO288" i="10" a="1"/>
  <c r="P266" i="10" a="1"/>
  <c r="AL268" i="10" a="1"/>
  <c r="AF298" i="10" a="1"/>
  <c r="AI264" i="10" a="1"/>
  <c r="H284" i="10" a="1"/>
  <c r="X266" i="10" a="1"/>
  <c r="AI268" i="10" a="1"/>
  <c r="Q276" i="10" a="1"/>
  <c r="L290" i="10" a="1"/>
  <c r="O294" i="10" a="1"/>
  <c r="R274" i="10" a="1"/>
  <c r="AA300" i="10" a="1"/>
  <c r="O288" i="10" a="1"/>
  <c r="AO270" i="10" a="1"/>
  <c r="AJ296" i="10" a="1"/>
  <c r="AB274" i="10" a="1"/>
  <c r="V294" i="10" a="1"/>
  <c r="X264" i="10" a="1"/>
  <c r="G296" i="10" a="1"/>
  <c r="AB282" i="10" a="1"/>
  <c r="N300" i="10" a="1"/>
  <c r="U288" i="10" a="1"/>
  <c r="I276" i="10" a="1"/>
  <c r="AJ280" i="10" a="1"/>
  <c r="AB270" i="10" a="1"/>
  <c r="AI290" i="10" a="1"/>
  <c r="AC276" i="10" a="1"/>
  <c r="AH298" i="10" a="1"/>
  <c r="H294" i="10" a="1"/>
  <c r="AO262" i="10" a="1"/>
  <c r="AM288" i="10" a="1"/>
  <c r="J280" i="10" a="1"/>
  <c r="K274" i="10" a="1"/>
  <c r="AE282" i="10" a="1"/>
  <c r="AH262" i="10" a="1"/>
  <c r="AD10" i="10" a="1"/>
  <c r="Z260" i="10" a="1"/>
  <c r="N298" i="10" a="1"/>
  <c r="AP264" i="10" a="1"/>
  <c r="U260" i="10" a="1"/>
  <c r="AC296" i="10" a="1"/>
  <c r="S264" i="10" a="1"/>
  <c r="AD290" i="10" a="1"/>
  <c r="V280" i="10" a="1"/>
  <c r="AE300" i="10" a="1"/>
  <c r="AK262" i="10" a="1"/>
  <c r="J296" i="10" a="1"/>
  <c r="G286" i="10" a="1"/>
  <c r="V286" i="10" a="1"/>
  <c r="AF264" i="10" a="1"/>
  <c r="X268" i="10" a="1"/>
  <c r="AB260" i="10" a="1"/>
  <c r="L268" i="10" a="1"/>
  <c r="W270" i="10" a="1"/>
  <c r="W278" i="10" a="1"/>
  <c r="AE10" i="10" a="1"/>
  <c r="N288" i="10" a="1"/>
  <c r="K264" i="10" a="1"/>
  <c r="AG294" i="10" a="1"/>
  <c r="Q294" i="10" a="1"/>
  <c r="T292" i="10" a="1"/>
  <c r="Q296" i="10" a="1"/>
  <c r="Y276" i="10" a="1"/>
  <c r="W260" i="10" a="1"/>
  <c r="AQ10" i="10" a="1"/>
  <c r="AM300" i="10" a="1"/>
  <c r="R10" i="10" a="1"/>
  <c r="W294" i="10" a="1"/>
  <c r="R284" i="10" a="1"/>
  <c r="AK292" i="10" a="1"/>
  <c r="AB276" i="10" a="1"/>
  <c r="AK286" i="10" a="1"/>
  <c r="AM292" i="10" a="1"/>
  <c r="N286" i="10" a="1"/>
  <c r="AG270" i="10" a="1"/>
  <c r="M274" i="10" a="1"/>
  <c r="AO284" i="10" a="1"/>
  <c r="AC264" i="10" a="1"/>
  <c r="X284" i="10" a="1"/>
  <c r="V282" i="10" a="1"/>
  <c r="T290" i="10" a="1"/>
  <c r="AA278" i="10" a="1"/>
  <c r="V292" i="10" a="1"/>
  <c r="Z274" i="10" a="1"/>
  <c r="S284" i="10" a="1"/>
  <c r="AB278" i="10" a="1"/>
  <c r="AA264" i="10" a="1"/>
  <c r="V300" i="10" a="1"/>
  <c r="AL282" i="10" a="1"/>
  <c r="I260" i="10" a="1"/>
  <c r="T270" i="10" a="1"/>
  <c r="W300" i="10" a="1"/>
  <c r="AI286" i="10" a="1"/>
  <c r="Z278" i="10" a="1"/>
  <c r="AC298" i="10" a="1"/>
  <c r="AG282" i="10" a="1"/>
  <c r="AB298" i="10" a="1"/>
  <c r="AL290" i="10" a="1"/>
  <c r="L288" i="10" a="1"/>
  <c r="AJ262" i="10" a="1"/>
  <c r="AB268" i="10" a="1"/>
  <c r="T280" i="10" a="1"/>
  <c r="AM264" i="10" a="1"/>
  <c r="K284" i="10" a="1"/>
  <c r="AN270" i="10" a="1"/>
  <c r="X282" i="10" a="1"/>
  <c r="P268" i="10" a="1"/>
  <c r="G300" i="10" a="1"/>
  <c r="K268" i="10" a="1"/>
  <c r="AP280" i="10" a="1"/>
  <c r="T288" i="10" a="1"/>
  <c r="AA266" i="10" a="1"/>
  <c r="Y266" i="10" a="1"/>
  <c r="L294" i="10" a="1"/>
  <c r="J284" i="10" a="1"/>
  <c r="O292" i="10" a="1"/>
  <c r="N10" i="10" a="1"/>
  <c r="AL284" i="10" a="1"/>
  <c r="N260" i="10" a="1"/>
  <c r="AO266" i="10" a="1"/>
  <c r="R268" i="10" a="1"/>
  <c r="R264" i="10" a="1"/>
  <c r="V298" i="10" a="1"/>
  <c r="L278" i="10" a="1"/>
  <c r="AK294" i="10" a="1"/>
  <c r="AA290" i="10" a="1"/>
  <c r="I274" i="10" a="1"/>
  <c r="AJ282" i="10" a="1"/>
  <c r="AJ260" i="10" a="1"/>
  <c r="Q292" i="10" a="1"/>
  <c r="S268" i="10" a="1"/>
  <c r="AE286" i="10" a="1"/>
  <c r="Z284" i="10" a="1"/>
  <c r="S296" i="10" a="1"/>
  <c r="AP288" i="10" a="1"/>
  <c r="P262" i="10" a="1"/>
  <c r="O298" i="10" a="1"/>
  <c r="AI260" i="10" a="1"/>
  <c r="Z270" i="10" a="1"/>
  <c r="AH286" i="10" a="1"/>
  <c r="I300" i="10" a="1"/>
  <c r="AE268" i="10" a="1"/>
  <c r="W280" i="10" a="1"/>
  <c r="V278" i="10" a="1"/>
  <c r="V288" i="10" a="1"/>
  <c r="P276" i="10" a="1"/>
  <c r="J288" i="10" a="1"/>
  <c r="AG262" i="10" a="1"/>
  <c r="I292" i="10" a="1"/>
  <c r="AE260" i="10" a="1"/>
  <c r="K280" i="10" a="1"/>
  <c r="AF296" i="10" a="1"/>
  <c r="Y278" i="10" a="1"/>
  <c r="AJ300" i="10" a="1"/>
  <c r="AI266" i="10" a="1"/>
  <c r="V296" i="10" a="1"/>
  <c r="AF268" i="10" a="1"/>
  <c r="AK280" i="10" a="1"/>
  <c r="W262" i="10" a="1"/>
  <c r="AE274" i="10" a="1"/>
  <c r="K288" i="10" a="1"/>
  <c r="AD298" i="10" a="1"/>
  <c r="H288" i="10" a="1"/>
  <c r="U274" i="10" a="1"/>
  <c r="AO10" i="10" a="1"/>
  <c r="V276" i="10" a="1"/>
  <c r="AD282" i="10" a="1"/>
  <c r="V264" i="10" a="1"/>
  <c r="AH294" i="10" a="1"/>
  <c r="AJ290" i="10" a="1"/>
  <c r="O280" i="10" a="1"/>
  <c r="U292" i="10" a="1"/>
  <c r="T10" i="10" a="1"/>
  <c r="X292" i="10" a="1"/>
  <c r="H282" i="10" a="1"/>
  <c r="G282" i="10" a="1"/>
  <c r="AI296" i="10" a="1"/>
  <c r="R262" i="10" a="1"/>
  <c r="AK284" i="10" a="1"/>
  <c r="AK288" i="10" a="1"/>
  <c r="Z296" i="10" a="1"/>
  <c r="U282" i="10" a="1"/>
  <c r="O290" i="10" a="1"/>
  <c r="P278" i="10" a="1"/>
  <c r="AF270" i="10" a="1"/>
  <c r="AG284" i="10" a="1"/>
  <c r="AO292" i="10" a="1"/>
  <c r="AJ294" i="10" a="1"/>
  <c r="N266" i="10" a="1"/>
  <c r="Q290" i="10" a="1"/>
  <c r="U298" i="10" a="1"/>
  <c r="N268" i="10" a="1"/>
  <c r="AC10" i="10" a="1"/>
  <c r="M10" i="10" a="1"/>
  <c r="P286" i="10" a="1"/>
  <c r="P288" i="10" a="1"/>
  <c r="AG274" i="10" a="1"/>
  <c r="U294" i="10" a="1"/>
  <c r="Q284" i="10" a="1"/>
  <c r="AC270" i="10" a="1"/>
  <c r="S300" i="10" a="1"/>
  <c r="AE292" i="10" a="1"/>
  <c r="AL288" i="10" a="1"/>
  <c r="K298" i="10" a="1"/>
  <c r="G284" i="10" a="1"/>
  <c r="O264" i="10" a="1"/>
  <c r="S288" i="10" a="1"/>
  <c r="O278" i="10" a="1"/>
  <c r="J298" i="10" a="1"/>
  <c r="I10" i="10" a="1"/>
  <c r="M288" i="10" a="1"/>
  <c r="T278" i="10" a="1"/>
  <c r="G288" i="10" a="1"/>
  <c r="AN296" i="10" a="1"/>
  <c r="AM276" i="10" a="1"/>
  <c r="P298" i="10" a="1"/>
  <c r="AG280" i="10" a="1"/>
  <c r="W292" i="10" a="1"/>
  <c r="R290" i="10" a="1"/>
  <c r="J264" i="10" a="1"/>
  <c r="AB264" i="10" a="1"/>
  <c r="AJ278" i="10" a="1"/>
  <c r="W286" i="10" a="1"/>
  <c r="AA296" i="10" a="1"/>
  <c r="AF284" i="10" a="1"/>
  <c r="AM270" i="10" a="1"/>
  <c r="AC294" i="10" a="1"/>
  <c r="Q268" i="10" a="1"/>
  <c r="G290" i="10" a="1"/>
  <c r="X274" i="10" a="1"/>
  <c r="AE278" i="10" a="1"/>
  <c r="AP284" i="10" a="1"/>
  <c r="AC266" i="10" a="1"/>
  <c r="M276" i="10" a="1"/>
  <c r="T294" i="10" a="1"/>
  <c r="M270" i="10" a="1"/>
  <c r="M284" i="10" a="1"/>
  <c r="L292" i="10" a="1"/>
  <c r="I294" i="10" a="1"/>
  <c r="AD278" i="10" a="1"/>
  <c r="AE290" i="10" a="1"/>
  <c r="X300" i="10" a="1"/>
  <c r="AL298" i="10" a="1"/>
  <c r="X260" i="10" a="1"/>
  <c r="AM294" i="10" a="1"/>
  <c r="V270" i="10" a="1"/>
  <c r="AE288" i="10" a="1"/>
  <c r="AC288" i="10" a="1"/>
  <c r="H268" i="10" a="1"/>
  <c r="Q286" i="10" a="1"/>
  <c r="I278" i="10" a="1"/>
  <c r="AJ286" i="10" a="1"/>
  <c r="Z280" i="10" a="1"/>
  <c r="AR10" i="10" a="1"/>
  <c r="AH260" i="10" a="1"/>
  <c r="AP274" i="10" a="1"/>
  <c r="AN300" i="10" a="1"/>
  <c r="AO282" i="10" a="1"/>
  <c r="J286" i="10" a="1"/>
  <c r="AJ264" i="10" a="1"/>
  <c r="AD264" i="10" a="1"/>
  <c r="AG10" i="10" a="1"/>
  <c r="L276" i="10" a="1"/>
  <c r="V284" i="10" a="1"/>
  <c r="N278" i="10" a="1"/>
  <c r="W266" i="10" a="1"/>
  <c r="AF300" i="10" a="1"/>
  <c r="AH300" i="10" a="1"/>
  <c r="R270" i="10" a="1"/>
  <c r="AD296" i="10" a="1"/>
  <c r="Q278" i="10" a="1"/>
  <c r="Q280" i="10" a="1"/>
  <c r="AT29" i="10"/>
  <c r="AT19" i="10"/>
  <c r="AT14" i="10"/>
  <c r="AT23" i="10"/>
  <c r="AT39" i="10"/>
  <c r="AT24" i="10"/>
  <c r="AT45" i="10"/>
  <c r="AT42" i="10"/>
  <c r="AT26" i="10"/>
  <c r="AT18" i="10"/>
  <c r="AT56" i="10"/>
  <c r="AT50" i="10"/>
  <c r="AT35" i="10"/>
  <c r="AT30" i="10"/>
  <c r="AT57" i="10"/>
  <c r="AT49" i="10"/>
  <c r="AT41" i="10"/>
  <c r="AT28" i="10"/>
  <c r="AT52" i="10"/>
  <c r="AT11" i="10"/>
  <c r="AT54" i="10"/>
  <c r="AT25" i="10"/>
  <c r="AT15" i="10"/>
  <c r="AT51" i="10"/>
  <c r="AQ46" i="10" a="1"/>
  <c r="AT185" i="10"/>
  <c r="AT17" i="10"/>
  <c r="AT40" i="10"/>
  <c r="AT38" i="10"/>
  <c r="AT16" i="10"/>
  <c r="AT21" i="10"/>
  <c r="AT22" i="10"/>
  <c r="AT37" i="10"/>
  <c r="AT32" i="10"/>
  <c r="AT34" i="10"/>
  <c r="AT53" i="10"/>
  <c r="AT55" i="10"/>
  <c r="AT48" i="10"/>
  <c r="AT27" i="10"/>
  <c r="AT33" i="10"/>
  <c r="AT31" i="10"/>
  <c r="AQ46" i="10" l="1"/>
  <c r="Q280" i="10"/>
  <c r="Q278" i="10"/>
  <c r="AD296" i="10"/>
  <c r="R270" i="10"/>
  <c r="AH300" i="10"/>
  <c r="AF300" i="10"/>
  <c r="W266" i="10"/>
  <c r="N278" i="10"/>
  <c r="V284" i="10"/>
  <c r="L276" i="10"/>
  <c r="AG10" i="10"/>
  <c r="AD264" i="10"/>
  <c r="AJ264" i="10"/>
  <c r="J286" i="10"/>
  <c r="AO282" i="10"/>
  <c r="AN300" i="10"/>
  <c r="AP274" i="10"/>
  <c r="AH260" i="10"/>
  <c r="AR10" i="10"/>
  <c r="Z280" i="10"/>
  <c r="AJ286" i="10"/>
  <c r="I278" i="10"/>
  <c r="Q286" i="10"/>
  <c r="H268" i="10"/>
  <c r="AC288" i="10"/>
  <c r="AE288" i="10"/>
  <c r="V270" i="10"/>
  <c r="AM294" i="10"/>
  <c r="X260" i="10"/>
  <c r="AL298" i="10"/>
  <c r="X300" i="10"/>
  <c r="AE290" i="10"/>
  <c r="AD278" i="10"/>
  <c r="I294" i="10"/>
  <c r="L292" i="10"/>
  <c r="M284" i="10"/>
  <c r="M270" i="10"/>
  <c r="T294" i="10"/>
  <c r="M276" i="10"/>
  <c r="AC266" i="10"/>
  <c r="AP284" i="10"/>
  <c r="AE278" i="10"/>
  <c r="X274" i="10"/>
  <c r="G290" i="10"/>
  <c r="Q268" i="10"/>
  <c r="AC294" i="10"/>
  <c r="AM270" i="10"/>
  <c r="AF284" i="10"/>
  <c r="AA296" i="10"/>
  <c r="W286" i="10"/>
  <c r="AJ278" i="10"/>
  <c r="AB264" i="10"/>
  <c r="J264" i="10"/>
  <c r="R290" i="10"/>
  <c r="W292" i="10"/>
  <c r="AG280" i="10"/>
  <c r="P298" i="10"/>
  <c r="AM276" i="10"/>
  <c r="AN296" i="10"/>
  <c r="G288" i="10"/>
  <c r="T278" i="10"/>
  <c r="M288" i="10"/>
  <c r="I10" i="10"/>
  <c r="J298" i="10"/>
  <c r="O278" i="10"/>
  <c r="S288" i="10"/>
  <c r="O264" i="10"/>
  <c r="G284" i="10"/>
  <c r="K298" i="10"/>
  <c r="AL288" i="10"/>
  <c r="AE292" i="10"/>
  <c r="S300" i="10"/>
  <c r="AC270" i="10"/>
  <c r="Q284" i="10"/>
  <c r="U294" i="10"/>
  <c r="AG274" i="10"/>
  <c r="P288" i="10"/>
  <c r="P286" i="10"/>
  <c r="M10" i="10"/>
  <c r="AC10" i="10"/>
  <c r="N268" i="10"/>
  <c r="U298" i="10"/>
  <c r="Q290" i="10"/>
  <c r="N266" i="10"/>
  <c r="AJ294" i="10"/>
  <c r="AO292" i="10"/>
  <c r="AG284" i="10"/>
  <c r="AF270" i="10"/>
  <c r="P278" i="10"/>
  <c r="O290" i="10"/>
  <c r="U282" i="10"/>
  <c r="Z296" i="10"/>
  <c r="AK288" i="10"/>
  <c r="AK284" i="10"/>
  <c r="R262" i="10"/>
  <c r="AI296" i="10"/>
  <c r="G282" i="10"/>
  <c r="H282" i="10"/>
  <c r="X292" i="10"/>
  <c r="T10" i="10"/>
  <c r="U292" i="10"/>
  <c r="O280" i="10"/>
  <c r="AJ290" i="10"/>
  <c r="AH294" i="10"/>
  <c r="V264" i="10"/>
  <c r="AD282" i="10"/>
  <c r="V276" i="10"/>
  <c r="AO10" i="10"/>
  <c r="U274" i="10"/>
  <c r="H288" i="10"/>
  <c r="AD298" i="10"/>
  <c r="K288" i="10"/>
  <c r="AE274" i="10"/>
  <c r="W262" i="10"/>
  <c r="AK280" i="10"/>
  <c r="AF268" i="10"/>
  <c r="V296" i="10"/>
  <c r="AI266" i="10"/>
  <c r="AJ300" i="10"/>
  <c r="Y278" i="10"/>
  <c r="AF296" i="10"/>
  <c r="K280" i="10"/>
  <c r="AE260" i="10"/>
  <c r="I292" i="10"/>
  <c r="AG262" i="10"/>
  <c r="J288" i="10"/>
  <c r="P276" i="10"/>
  <c r="V288" i="10"/>
  <c r="V278" i="10"/>
  <c r="W280" i="10"/>
  <c r="AE268" i="10"/>
  <c r="I300" i="10"/>
  <c r="AH286" i="10"/>
  <c r="Z270" i="10"/>
  <c r="AI260" i="10"/>
  <c r="O298" i="10"/>
  <c r="P262" i="10"/>
  <c r="AP288" i="10"/>
  <c r="S296" i="10"/>
  <c r="Z284" i="10"/>
  <c r="AE286" i="10"/>
  <c r="S268" i="10"/>
  <c r="Q292" i="10"/>
  <c r="AJ260" i="10"/>
  <c r="AJ282" i="10"/>
  <c r="I274" i="10"/>
  <c r="AA290" i="10"/>
  <c r="AK294" i="10"/>
  <c r="L278" i="10"/>
  <c r="V298" i="10"/>
  <c r="R264" i="10"/>
  <c r="R268" i="10"/>
  <c r="AO266" i="10"/>
  <c r="N260" i="10"/>
  <c r="AL284" i="10"/>
  <c r="N10" i="10"/>
  <c r="O292" i="10"/>
  <c r="J284" i="10"/>
  <c r="L294" i="10"/>
  <c r="Y266" i="10"/>
  <c r="AA266" i="10"/>
  <c r="T288" i="10"/>
  <c r="AP280" i="10"/>
  <c r="K268" i="10"/>
  <c r="G300" i="10"/>
  <c r="P268" i="10"/>
  <c r="X282" i="10"/>
  <c r="AN270" i="10"/>
  <c r="K284" i="10"/>
  <c r="AM264" i="10"/>
  <c r="T280" i="10"/>
  <c r="AB268" i="10"/>
  <c r="AJ262" i="10"/>
  <c r="L288" i="10"/>
  <c r="AL290" i="10"/>
  <c r="AB298" i="10"/>
  <c r="AG282" i="10"/>
  <c r="AC298" i="10"/>
  <c r="Z278" i="10"/>
  <c r="AI286" i="10"/>
  <c r="W300" i="10"/>
  <c r="T270" i="10"/>
  <c r="I260" i="10"/>
  <c r="AL282" i="10"/>
  <c r="V300" i="10"/>
  <c r="AA264" i="10"/>
  <c r="AB278" i="10"/>
  <c r="S284" i="10"/>
  <c r="Z274" i="10"/>
  <c r="V292" i="10"/>
  <c r="AA278" i="10"/>
  <c r="T290" i="10"/>
  <c r="V282" i="10"/>
  <c r="X284" i="10"/>
  <c r="AC264" i="10"/>
  <c r="AO284" i="10"/>
  <c r="M274" i="10"/>
  <c r="AG270" i="10"/>
  <c r="N286" i="10"/>
  <c r="AM292" i="10"/>
  <c r="AK286" i="10"/>
  <c r="AB276" i="10"/>
  <c r="AK292" i="10"/>
  <c r="R284" i="10"/>
  <c r="W294" i="10"/>
  <c r="R10" i="10"/>
  <c r="AM300" i="10"/>
  <c r="AQ10" i="10"/>
  <c r="W260" i="10"/>
  <c r="Y276" i="10"/>
  <c r="Q296" i="10"/>
  <c r="T292" i="10"/>
  <c r="Q294" i="10"/>
  <c r="AG294" i="10"/>
  <c r="K264" i="10"/>
  <c r="N288" i="10"/>
  <c r="AE10" i="10"/>
  <c r="W278" i="10"/>
  <c r="W270" i="10"/>
  <c r="L268" i="10"/>
  <c r="AB260" i="10"/>
  <c r="X268" i="10"/>
  <c r="AF264" i="10"/>
  <c r="V286" i="10"/>
  <c r="G286" i="10"/>
  <c r="J296" i="10"/>
  <c r="AK262" i="10"/>
  <c r="AE300" i="10"/>
  <c r="V280" i="10"/>
  <c r="AD290" i="10"/>
  <c r="S264" i="10"/>
  <c r="AC296" i="10"/>
  <c r="U260" i="10"/>
  <c r="AP264" i="10"/>
  <c r="N298" i="10"/>
  <c r="Z260" i="10"/>
  <c r="AD10" i="10"/>
  <c r="AH262" i="10"/>
  <c r="AE282" i="10"/>
  <c r="K274" i="10"/>
  <c r="J280" i="10"/>
  <c r="AM288" i="10"/>
  <c r="AO262" i="10"/>
  <c r="H294" i="10"/>
  <c r="AH298" i="10"/>
  <c r="AC276" i="10"/>
  <c r="AI290" i="10"/>
  <c r="AB270" i="10"/>
  <c r="AJ280" i="10"/>
  <c r="I276" i="10"/>
  <c r="U288" i="10"/>
  <c r="N300" i="10"/>
  <c r="AB282" i="10"/>
  <c r="G296" i="10"/>
  <c r="X264" i="10"/>
  <c r="V294" i="10"/>
  <c r="AB274" i="10"/>
  <c r="AJ296" i="10"/>
  <c r="AO270" i="10"/>
  <c r="O288" i="10"/>
  <c r="AA300" i="10"/>
  <c r="R274" i="10"/>
  <c r="O294" i="10"/>
  <c r="L290" i="10"/>
  <c r="Q276" i="10"/>
  <c r="AI268" i="10"/>
  <c r="X266" i="10"/>
  <c r="H284" i="10"/>
  <c r="AI264" i="10"/>
  <c r="AF298" i="10"/>
  <c r="AL268" i="10"/>
  <c r="P266" i="10"/>
  <c r="AO288" i="10"/>
  <c r="Q266" i="10"/>
  <c r="AN260" i="10"/>
  <c r="Z282" i="10"/>
  <c r="S294" i="10"/>
  <c r="V274" i="10"/>
  <c r="AM298" i="10"/>
  <c r="M280" i="10"/>
  <c r="AE280" i="10"/>
  <c r="AM290" i="10"/>
  <c r="X270" i="10"/>
  <c r="X262" i="10"/>
  <c r="S290" i="10"/>
  <c r="I268" i="10"/>
  <c r="AI262" i="10"/>
  <c r="Q10" i="10"/>
  <c r="Y288" i="10"/>
  <c r="J10" i="10"/>
  <c r="V10" i="10"/>
  <c r="AH280" i="10"/>
  <c r="P274" i="10"/>
  <c r="V262" i="10"/>
  <c r="AK266" i="10"/>
  <c r="O282" i="10"/>
  <c r="AG298" i="10"/>
  <c r="N290" i="10"/>
  <c r="R280" i="10"/>
  <c r="AC278" i="10"/>
  <c r="AI300" i="10"/>
  <c r="V260" i="10"/>
  <c r="P280" i="10"/>
  <c r="G280" i="10"/>
  <c r="Z292" i="10"/>
  <c r="M294" i="10"/>
  <c r="AM282" i="10"/>
  <c r="W290" i="10"/>
  <c r="X290" i="10"/>
  <c r="S10" i="10"/>
  <c r="AD288" i="10"/>
  <c r="AG266" i="10"/>
  <c r="T298" i="10"/>
  <c r="AD292" i="10"/>
  <c r="S278" i="10"/>
  <c r="R278" i="10"/>
  <c r="Z262" i="10"/>
  <c r="M268" i="10"/>
  <c r="AP262" i="10"/>
  <c r="K290" i="10"/>
  <c r="T300" i="10"/>
  <c r="AA298" i="10"/>
  <c r="AO264" i="10"/>
  <c r="AP278" i="10"/>
  <c r="AH292" i="10"/>
  <c r="AB290" i="10"/>
  <c r="T268" i="10"/>
  <c r="T266" i="10"/>
  <c r="O268" i="10"/>
  <c r="Q264" i="10"/>
  <c r="Y292" i="10"/>
  <c r="U270" i="10"/>
  <c r="AO286" i="10"/>
  <c r="X10" i="10"/>
  <c r="AF286" i="10"/>
  <c r="AA292" i="10"/>
  <c r="O270" i="10"/>
  <c r="AF266" i="10"/>
  <c r="AE284" i="10"/>
  <c r="U276" i="10"/>
  <c r="AF292" i="10"/>
  <c r="AN298" i="10"/>
  <c r="AD262" i="10"/>
  <c r="AH278" i="10"/>
  <c r="Z290" i="10"/>
  <c r="M298" i="10"/>
  <c r="AP294" i="10"/>
  <c r="AL294" i="10"/>
  <c r="M290" i="10"/>
  <c r="AK278" i="10"/>
  <c r="K10" i="10"/>
  <c r="AC274" i="10"/>
  <c r="Z266" i="10"/>
  <c r="AK282" i="10"/>
  <c r="R276" i="10"/>
  <c r="H264" i="10"/>
  <c r="AO278" i="10"/>
  <c r="M262" i="10"/>
  <c r="Z286" i="10"/>
  <c r="P264" i="10"/>
  <c r="U280" i="10"/>
  <c r="U300" i="10"/>
  <c r="G274" i="10"/>
  <c r="AL292" i="10"/>
  <c r="AN10" i="10"/>
  <c r="G294" i="10"/>
  <c r="R292" i="10"/>
  <c r="AJ298" i="10"/>
  <c r="O300" i="10"/>
  <c r="I280" i="10"/>
  <c r="U268" i="10"/>
  <c r="T262" i="10"/>
  <c r="W296" i="10"/>
  <c r="AM268" i="10"/>
  <c r="I288" i="10"/>
  <c r="AP292" i="10"/>
  <c r="AO260" i="10"/>
  <c r="AH264" i="10"/>
  <c r="L298" i="10"/>
  <c r="I284" i="10"/>
  <c r="U262" i="10"/>
  <c r="J260" i="10"/>
  <c r="Z300" i="10"/>
  <c r="AC286" i="10"/>
  <c r="AI276" i="10"/>
  <c r="U266" i="10"/>
  <c r="U264" i="10"/>
  <c r="U290" i="10"/>
  <c r="AF282" i="10"/>
  <c r="AP268" i="10"/>
  <c r="AI284" i="10"/>
  <c r="N264" i="10"/>
  <c r="AK296" i="10"/>
  <c r="U296" i="10"/>
  <c r="R282" i="10"/>
  <c r="G270" i="10"/>
  <c r="I296" i="10"/>
  <c r="J268" i="10"/>
  <c r="N284" i="10"/>
  <c r="AF274" i="10"/>
  <c r="AC300" i="10"/>
  <c r="L284" i="10"/>
  <c r="R266" i="10"/>
  <c r="AM266" i="10"/>
  <c r="AF276" i="10"/>
  <c r="H266" i="10"/>
  <c r="AH274" i="10"/>
  <c r="AL286" i="10"/>
  <c r="J274" i="10"/>
  <c r="P282" i="10"/>
  <c r="U278" i="10"/>
  <c r="R286" i="10"/>
  <c r="AA274" i="10"/>
  <c r="W268" i="10"/>
  <c r="R300" i="10"/>
  <c r="J300" i="10"/>
  <c r="Z288" i="10"/>
  <c r="AJ284" i="10"/>
  <c r="AE266" i="10"/>
  <c r="M264" i="10"/>
  <c r="AN286" i="10"/>
  <c r="O276" i="10"/>
  <c r="L280" i="10"/>
  <c r="AC280" i="10"/>
  <c r="AF260" i="10"/>
  <c r="AG300" i="10"/>
  <c r="AJ10" i="10"/>
  <c r="AC292" i="10"/>
  <c r="Y262" i="10"/>
  <c r="X286" i="10"/>
  <c r="G264" i="10"/>
  <c r="P290" i="10"/>
  <c r="AC284" i="10"/>
  <c r="AD300" i="10"/>
  <c r="AH288" i="10"/>
  <c r="Q262" i="10"/>
  <c r="AE276" i="10"/>
  <c r="AN276" i="10"/>
  <c r="V290" i="10"/>
  <c r="AN282" i="10"/>
  <c r="I262" i="10"/>
  <c r="AJ266" i="10"/>
  <c r="X276" i="10"/>
  <c r="Y264" i="10"/>
  <c r="P260" i="10"/>
  <c r="H292" i="10"/>
  <c r="S274" i="10"/>
  <c r="AE270" i="10"/>
  <c r="Q274" i="10"/>
  <c r="AN294" i="10"/>
  <c r="AM280" i="10"/>
  <c r="Y270" i="10"/>
  <c r="H286" i="10"/>
  <c r="K270" i="10"/>
  <c r="AB296" i="10"/>
  <c r="K276" i="10"/>
  <c r="W282" i="10"/>
  <c r="AA268" i="10"/>
  <c r="P284" i="10"/>
  <c r="AI10" i="10"/>
  <c r="AO296" i="10"/>
  <c r="AO290" i="10"/>
  <c r="AB286" i="10"/>
  <c r="H260" i="10"/>
  <c r="Z268" i="10"/>
  <c r="T264" i="10"/>
  <c r="J282" i="10"/>
  <c r="Q288" i="10"/>
  <c r="AA260" i="10"/>
  <c r="P292" i="10"/>
  <c r="AB280" i="10"/>
  <c r="AB288" i="10"/>
  <c r="H262" i="10"/>
  <c r="AN264" i="10"/>
  <c r="AJ268" i="10"/>
  <c r="J276" i="10"/>
  <c r="T286" i="10"/>
  <c r="W264" i="10"/>
  <c r="I282" i="10"/>
  <c r="G260" i="10"/>
  <c r="O10" i="10"/>
  <c r="L282" i="10"/>
  <c r="AH290" i="10"/>
  <c r="O286" i="10"/>
  <c r="AC282" i="10"/>
  <c r="P270" i="10"/>
  <c r="K296" i="10"/>
  <c r="N292" i="10"/>
  <c r="O266" i="10"/>
  <c r="AM10" i="10"/>
  <c r="AH266" i="10"/>
  <c r="AF10" i="10"/>
  <c r="L264" i="10"/>
  <c r="Z294" i="10"/>
  <c r="X296" i="10"/>
  <c r="AB284" i="10"/>
  <c r="L262" i="10"/>
  <c r="W284" i="10"/>
  <c r="AG286" i="10"/>
  <c r="X294" i="10"/>
  <c r="AB262" i="10"/>
  <c r="AN262" i="10"/>
  <c r="M286" i="10"/>
  <c r="AA294" i="10"/>
  <c r="AP270" i="10"/>
  <c r="AG296" i="10"/>
  <c r="G10" i="10"/>
  <c r="S292" i="10"/>
  <c r="R296" i="10"/>
  <c r="J294" i="10"/>
  <c r="M260" i="10"/>
  <c r="AL270" i="10"/>
  <c r="H298" i="10"/>
  <c r="I286" i="10"/>
  <c r="K294" i="10"/>
  <c r="W274" i="10"/>
  <c r="AG292" i="10"/>
  <c r="AJ292" i="10"/>
  <c r="AA280" i="10"/>
  <c r="W288" i="10"/>
  <c r="AO294" i="10"/>
  <c r="AL296" i="10"/>
  <c r="G298" i="10"/>
  <c r="AD260" i="10"/>
  <c r="L274" i="10"/>
  <c r="AK270" i="10"/>
  <c r="T260" i="10"/>
  <c r="AF278" i="10"/>
  <c r="J270" i="10"/>
  <c r="P296" i="10"/>
  <c r="T276" i="10"/>
  <c r="Z264" i="10"/>
  <c r="AA288" i="10"/>
  <c r="AL280" i="10"/>
  <c r="S260" i="10"/>
  <c r="AD294" i="10"/>
  <c r="AD286" i="10"/>
  <c r="AK10" i="10"/>
  <c r="AL266" i="10"/>
  <c r="AG260" i="10"/>
  <c r="AA10" i="10"/>
  <c r="AD270" i="10"/>
  <c r="W298" i="10"/>
  <c r="AP290" i="10"/>
  <c r="J262" i="10"/>
  <c r="I266" i="10"/>
  <c r="L266" i="10"/>
  <c r="M266" i="10"/>
  <c r="M278" i="10"/>
  <c r="K266" i="10"/>
  <c r="L270" i="10"/>
  <c r="AK274" i="10"/>
  <c r="AM262" i="10"/>
  <c r="AM278" i="10"/>
  <c r="AB10" i="10"/>
  <c r="G262" i="10"/>
  <c r="H278" i="10"/>
  <c r="Y10" i="10"/>
  <c r="AE298" i="10"/>
  <c r="H10" i="10"/>
  <c r="U286" i="10"/>
  <c r="AB300" i="10"/>
  <c r="V268" i="10"/>
  <c r="N276" i="10"/>
  <c r="AP266" i="10"/>
  <c r="AL300" i="10"/>
  <c r="O262" i="10"/>
  <c r="P10" i="10"/>
  <c r="H300" i="10"/>
  <c r="Q260" i="10"/>
  <c r="H290" i="10"/>
  <c r="I298" i="10"/>
  <c r="AG290" i="10"/>
  <c r="AF262" i="10"/>
  <c r="Y274" i="10"/>
  <c r="I290" i="10"/>
  <c r="N270" i="10"/>
  <c r="S276" i="10"/>
  <c r="S280" i="10"/>
  <c r="H296" i="10"/>
  <c r="Z276" i="10"/>
  <c r="T274" i="10"/>
  <c r="AA262" i="10"/>
  <c r="H280" i="10"/>
  <c r="M300" i="10"/>
  <c r="Y294" i="10"/>
  <c r="H270" i="10"/>
  <c r="AB294" i="10"/>
  <c r="AB266" i="10"/>
  <c r="AL278" i="10"/>
  <c r="U284" i="10"/>
  <c r="AA286" i="10"/>
  <c r="AK298" i="10"/>
  <c r="M292" i="10"/>
  <c r="AH268" i="10"/>
  <c r="AD284" i="10"/>
  <c r="AK300" i="10"/>
  <c r="Y290" i="10"/>
  <c r="AK268" i="10"/>
  <c r="AG276" i="10"/>
  <c r="Y284" i="10"/>
  <c r="X288" i="10"/>
  <c r="J292" i="10"/>
  <c r="G268" i="10"/>
  <c r="H274" i="10"/>
  <c r="V266" i="10"/>
  <c r="N262" i="10"/>
  <c r="AO274" i="10"/>
  <c r="R294" i="10"/>
  <c r="L296" i="10"/>
  <c r="S262" i="10"/>
  <c r="AM274" i="10"/>
  <c r="AL274" i="10"/>
  <c r="T284" i="10"/>
  <c r="W276" i="10"/>
  <c r="Z10" i="10"/>
  <c r="AF290" i="10"/>
  <c r="AN274" i="10"/>
  <c r="AD280" i="10"/>
  <c r="M296" i="10"/>
  <c r="AC260" i="10"/>
  <c r="G278" i="10"/>
  <c r="S298" i="10"/>
  <c r="T296" i="10"/>
  <c r="AJ276" i="10"/>
  <c r="N274" i="10"/>
  <c r="AI288" i="10"/>
  <c r="Q270" i="10"/>
  <c r="AP276" i="10"/>
  <c r="AH10" i="10"/>
  <c r="M282" i="10"/>
  <c r="AP10" i="10"/>
  <c r="P294" i="10"/>
  <c r="G292" i="10"/>
  <c r="Y260" i="10"/>
  <c r="Q300" i="10"/>
  <c r="G266" i="10"/>
  <c r="AC290" i="10"/>
  <c r="AO298" i="10"/>
  <c r="X280" i="10"/>
  <c r="S286" i="10"/>
  <c r="J290" i="10"/>
  <c r="S266" i="10"/>
  <c r="AA282" i="10"/>
  <c r="AJ270" i="10"/>
  <c r="O296" i="10"/>
  <c r="AL260" i="10"/>
  <c r="AE296" i="10"/>
  <c r="Q298" i="10"/>
  <c r="AD268" i="10"/>
  <c r="AN284" i="10"/>
  <c r="AL262" i="10"/>
  <c r="AA284" i="10"/>
  <c r="Y296" i="10"/>
  <c r="AL10" i="10"/>
  <c r="AM260" i="10"/>
  <c r="AN266" i="10"/>
  <c r="Y286" i="10"/>
  <c r="AH296" i="10"/>
  <c r="AH276" i="10"/>
  <c r="K260" i="10"/>
  <c r="AM284" i="10"/>
  <c r="AI280" i="10"/>
  <c r="O274" i="10"/>
  <c r="L10" i="10"/>
  <c r="AC268" i="10"/>
  <c r="N280" i="10"/>
  <c r="AA276" i="10"/>
  <c r="Y282" i="10"/>
  <c r="AM286" i="10"/>
  <c r="AO300" i="10"/>
  <c r="AN292" i="10"/>
  <c r="K286" i="10"/>
  <c r="AI292" i="10"/>
  <c r="AP300" i="10"/>
  <c r="AI298" i="10"/>
  <c r="AI282" i="10"/>
  <c r="Y268" i="10"/>
  <c r="K300" i="10"/>
  <c r="R288" i="10"/>
  <c r="Y298" i="10"/>
  <c r="Y280" i="10"/>
  <c r="AH270" i="10"/>
  <c r="AN278" i="10"/>
  <c r="N294" i="10"/>
  <c r="R298" i="10"/>
  <c r="AH284" i="10"/>
  <c r="AF280" i="10"/>
  <c r="AG264" i="10"/>
  <c r="H276" i="10"/>
  <c r="AG268" i="10"/>
  <c r="AG278" i="10"/>
  <c r="AE262" i="10"/>
  <c r="AE294" i="10"/>
  <c r="AP296" i="10"/>
  <c r="AJ274" i="10"/>
  <c r="Q282" i="10"/>
  <c r="I264" i="10"/>
  <c r="Z298" i="10"/>
  <c r="AN288" i="10"/>
  <c r="K278" i="10"/>
  <c r="AK260" i="10"/>
  <c r="AN290" i="10"/>
  <c r="J266" i="10"/>
  <c r="AN268" i="10"/>
  <c r="S270" i="10"/>
  <c r="K282" i="10"/>
  <c r="T282" i="10"/>
  <c r="AJ288" i="10"/>
  <c r="AE264" i="10"/>
  <c r="AC262" i="10"/>
  <c r="R260" i="10"/>
  <c r="AP282" i="10"/>
  <c r="L300" i="10"/>
  <c r="AI294" i="10"/>
  <c r="AO268" i="10"/>
  <c r="Y300" i="10"/>
  <c r="AP286" i="10"/>
  <c r="O284" i="10"/>
  <c r="AD274" i="10"/>
  <c r="AK290" i="10"/>
  <c r="AO276" i="10"/>
  <c r="X298" i="10"/>
  <c r="AG288" i="10"/>
  <c r="W10" i="10"/>
  <c r="AH282" i="10"/>
  <c r="G276" i="10"/>
  <c r="I270" i="10"/>
  <c r="J278" i="10"/>
  <c r="AM296" i="10"/>
  <c r="K262" i="10"/>
  <c r="AA270" i="10"/>
  <c r="O260" i="10"/>
  <c r="S282" i="10"/>
  <c r="AO280" i="10"/>
  <c r="N296" i="10"/>
  <c r="AF294" i="10"/>
  <c r="AD276" i="10"/>
  <c r="AI274" i="10"/>
  <c r="AI270" i="10"/>
  <c r="AF288" i="10"/>
  <c r="AB292" i="10"/>
  <c r="X278" i="10"/>
  <c r="AI278" i="10"/>
  <c r="N282" i="10"/>
  <c r="AN280" i="10"/>
  <c r="AP260" i="10"/>
  <c r="AP298" i="10"/>
  <c r="U10" i="10"/>
  <c r="P300" i="10"/>
  <c r="K292" i="10"/>
  <c r="L286" i="10"/>
  <c r="AD266" i="10"/>
  <c r="L260" i="10"/>
  <c r="AL264" i="10"/>
  <c r="AK276" i="10"/>
  <c r="AL276" i="10"/>
  <c r="AK264" i="10"/>
  <c r="AR46" i="10"/>
  <c r="AV10" i="10"/>
  <c r="AO93" i="10"/>
  <c r="S93" i="10"/>
  <c r="I94" i="10"/>
  <c r="AE94" i="10"/>
  <c r="AD93" i="10"/>
  <c r="AG93" i="10"/>
  <c r="AE92" i="10"/>
  <c r="AP93" i="10"/>
  <c r="I92" i="10"/>
  <c r="H93" i="10"/>
  <c r="W94" i="10"/>
  <c r="U92" i="10"/>
  <c r="P94" i="10"/>
  <c r="AO92" i="10"/>
  <c r="AC93" i="10"/>
  <c r="AC92" i="10"/>
  <c r="K94" i="10"/>
  <c r="L94" i="10"/>
  <c r="J92" i="10"/>
  <c r="AQ92" i="10"/>
  <c r="O94" i="10"/>
  <c r="AI94" i="10"/>
  <c r="H94" i="10"/>
  <c r="AD94" i="10"/>
  <c r="L93" i="10"/>
  <c r="AK92" i="10"/>
  <c r="AD92" i="10"/>
  <c r="AK93" i="10"/>
  <c r="AA94" i="10"/>
  <c r="AG92" i="10"/>
  <c r="H92" i="10"/>
  <c r="I93" i="10"/>
  <c r="Q94" i="10"/>
  <c r="R94" i="10"/>
  <c r="Y93" i="10"/>
  <c r="AR93" i="10"/>
  <c r="K93" i="10"/>
  <c r="AH93" i="10"/>
  <c r="U94" i="10"/>
  <c r="T93" i="10"/>
  <c r="AJ94" i="10"/>
  <c r="AN93" i="10"/>
  <c r="AM93" i="10"/>
  <c r="V93" i="10"/>
  <c r="W92" i="10"/>
  <c r="AF94" i="10"/>
  <c r="AB92" i="10"/>
  <c r="AI93" i="10"/>
  <c r="AP92" i="10"/>
  <c r="N93" i="10"/>
  <c r="R92" i="10"/>
  <c r="P93" i="10"/>
  <c r="M94" i="10"/>
  <c r="Z94" i="10"/>
  <c r="T90" i="10"/>
  <c r="AL93" i="10"/>
  <c r="R93" i="10"/>
  <c r="AR90" i="10"/>
  <c r="T92" i="10"/>
  <c r="AM92" i="10"/>
  <c r="AL94" i="10"/>
  <c r="AW10" i="10"/>
  <c r="M90" i="10"/>
  <c r="O92" i="10"/>
  <c r="H90" i="10"/>
  <c r="AB93" i="10"/>
  <c r="AF93" i="10"/>
  <c r="AC94" i="10"/>
  <c r="V92" i="10"/>
  <c r="N94" i="10"/>
  <c r="AJ93" i="10"/>
  <c r="P91" i="10"/>
  <c r="AK90" i="10"/>
  <c r="AG94" i="10"/>
  <c r="O91" i="10"/>
  <c r="AM91" i="10"/>
  <c r="AM94" i="10"/>
  <c r="AO94" i="10"/>
  <c r="P92" i="10"/>
  <c r="AH92" i="10"/>
  <c r="V94" i="10"/>
  <c r="AJ90" i="10"/>
  <c r="AI92" i="10"/>
  <c r="Z93" i="10"/>
  <c r="N91" i="10"/>
  <c r="Y92" i="10"/>
  <c r="AN92" i="10"/>
  <c r="J91" i="10"/>
  <c r="AR94" i="10"/>
  <c r="G92" i="10"/>
  <c r="X94" i="10"/>
  <c r="L92" i="10"/>
  <c r="AE93" i="10"/>
  <c r="L91" i="10"/>
  <c r="AF92" i="10"/>
  <c r="U93" i="10"/>
  <c r="W93" i="10"/>
  <c r="AH90" i="10"/>
  <c r="K92" i="10"/>
  <c r="G94" i="10"/>
  <c r="AF91" i="10"/>
  <c r="T94" i="10"/>
  <c r="AC91" i="10"/>
  <c r="S92" i="10"/>
  <c r="R91" i="10"/>
  <c r="AB94" i="10"/>
  <c r="Y94" i="10"/>
  <c r="AR92" i="10"/>
  <c r="AH91" i="10"/>
  <c r="AJ91" i="10"/>
  <c r="S94" i="10"/>
  <c r="AH94" i="10"/>
  <c r="AJ92" i="10"/>
  <c r="AK94" i="10"/>
  <c r="AB91" i="10"/>
  <c r="AA90" i="10"/>
  <c r="J93" i="10"/>
  <c r="AQ94" i="10"/>
  <c r="Y91" i="10"/>
  <c r="K90" i="10"/>
  <c r="N90" i="10"/>
  <c r="O93" i="10"/>
  <c r="S90" i="10"/>
  <c r="AK91" i="10"/>
  <c r="J94" i="10"/>
  <c r="X93" i="10"/>
  <c r="R90" i="10"/>
  <c r="X91" i="10"/>
  <c r="L90" i="10"/>
  <c r="AN91" i="10"/>
  <c r="W91" i="10"/>
  <c r="AL92" i="10"/>
  <c r="AP90" i="10"/>
  <c r="AA93" i="10"/>
  <c r="M93" i="10"/>
  <c r="Q93" i="10"/>
  <c r="AQ93" i="10"/>
  <c r="H91" i="10"/>
  <c r="AP94" i="10"/>
  <c r="T91" i="10"/>
  <c r="AA92" i="10"/>
  <c r="AB90" i="10"/>
  <c r="Z92" i="10"/>
  <c r="U90" i="10"/>
  <c r="K91" i="10"/>
  <c r="M92" i="10"/>
  <c r="AO90" i="10"/>
  <c r="X92" i="10"/>
  <c r="G93" i="10"/>
  <c r="N92" i="10"/>
  <c r="Q92" i="10"/>
  <c r="AN94" i="10"/>
  <c r="M91" i="10"/>
  <c r="AI91" i="10"/>
  <c r="AN90" i="10"/>
  <c r="Z91" i="10"/>
  <c r="V90" i="10"/>
  <c r="AE91" i="10"/>
  <c r="AL90" i="10"/>
  <c r="G91" i="10"/>
  <c r="AM90" i="10"/>
  <c r="V91" i="10"/>
  <c r="X90" i="10"/>
  <c r="Y90" i="10"/>
  <c r="AD91" i="10"/>
  <c r="AC90" i="10"/>
  <c r="AL91" i="10"/>
  <c r="P90" i="10"/>
  <c r="AP91" i="10"/>
  <c r="U91" i="10"/>
  <c r="S91" i="10"/>
  <c r="AG91" i="10"/>
  <c r="J90" i="10"/>
  <c r="G90" i="10"/>
  <c r="AE90" i="10"/>
  <c r="Q90" i="10"/>
  <c r="Z90" i="10"/>
  <c r="AO91" i="10"/>
  <c r="AG90" i="10"/>
  <c r="AQ90" i="10"/>
  <c r="AI90" i="10"/>
  <c r="O90" i="10"/>
  <c r="AD90" i="10"/>
  <c r="Q91" i="10"/>
  <c r="AA91" i="10"/>
  <c r="AF90" i="10"/>
  <c r="I91" i="10"/>
  <c r="I90" i="10"/>
  <c r="W90" i="10"/>
  <c r="AR91" i="10"/>
  <c r="AQ91" i="10"/>
  <c r="M152" i="58887"/>
  <c r="M17" i="58887"/>
  <c r="O16" i="33"/>
  <c r="E10" i="10" a="1"/>
  <c r="E10" i="10" s="1"/>
  <c r="CA5" i="58839"/>
  <c r="BZ56" i="58839"/>
  <c r="AB5" i="58839"/>
  <c r="AA56" i="58839"/>
  <c r="AT46" i="10"/>
  <c r="AD267" i="10" a="1"/>
  <c r="AH281" i="10" a="1"/>
  <c r="AC272" i="10" a="1"/>
  <c r="AC89" i="10" a="1"/>
  <c r="L289" i="10" a="1"/>
  <c r="Z279" i="10" a="1"/>
  <c r="Z267" i="10" a="1"/>
  <c r="AQ89" i="10" a="1"/>
  <c r="AT10" i="10"/>
  <c r="L275" i="10" a="1"/>
  <c r="N281" i="10" a="1"/>
  <c r="Q272" i="10" a="1"/>
  <c r="Q89" i="10" a="1"/>
  <c r="P283" i="10" a="1"/>
  <c r="H281" i="10" a="1"/>
  <c r="AR280" i="10" a="1"/>
  <c r="AQ280" i="10" a="1"/>
  <c r="AH267" i="10" a="1"/>
  <c r="AD275" i="10" a="1"/>
  <c r="AD287" i="10" a="1"/>
  <c r="AD281" i="10" a="1"/>
  <c r="AF271" i="10" a="1"/>
  <c r="L277" i="10" a="1"/>
  <c r="H261" i="10" a="1"/>
  <c r="AR260" i="10" a="1"/>
  <c r="AQ260" i="10" a="1"/>
  <c r="X289" i="10" a="1"/>
  <c r="AL275" i="10" a="1"/>
  <c r="H272" i="10" a="1"/>
  <c r="H89" i="10" a="1"/>
  <c r="P272" i="10" a="1"/>
  <c r="P89" i="10" a="1"/>
  <c r="AB287" i="10" a="1"/>
  <c r="AH277" i="10" a="1"/>
  <c r="AP275" i="10" a="1"/>
  <c r="Z272" i="10" a="1"/>
  <c r="Z89" i="10" a="1"/>
  <c r="AP272" i="10" a="1"/>
  <c r="AP89" i="10" a="1"/>
  <c r="AN261" i="10" a="1"/>
  <c r="P275" i="10" a="1"/>
  <c r="J271" i="10" a="1"/>
  <c r="AJ279" i="10" a="1"/>
  <c r="AF277" i="10" a="1"/>
  <c r="AD283" i="10" a="1"/>
  <c r="AQ266" i="10" a="1"/>
  <c r="H267" i="10" a="1"/>
  <c r="AR266" i="10" a="1"/>
  <c r="Z283" i="10" a="1"/>
  <c r="R272" i="10" a="1"/>
  <c r="R89" i="10" a="1"/>
  <c r="AR296" i="10" a="1"/>
  <c r="AQ296" i="10" a="1"/>
  <c r="AL279" i="10" a="1"/>
  <c r="AL271" i="10" a="1"/>
  <c r="L267" i="10" a="1"/>
  <c r="Y272" i="10" a="1"/>
  <c r="Y89" i="10" a="1"/>
  <c r="AH272" i="10" a="1"/>
  <c r="AH89" i="10" a="1"/>
  <c r="Z269" i="10" a="1"/>
  <c r="AL261" i="10" a="1"/>
  <c r="AL265" i="10" a="1"/>
  <c r="R281" i="10" a="1"/>
  <c r="AD289" i="10" a="1"/>
  <c r="P279" i="10" a="1"/>
  <c r="AD271" i="10" a="1"/>
  <c r="AR282" i="10" a="1"/>
  <c r="AQ282" i="10" a="1"/>
  <c r="H283" i="10" a="1"/>
  <c r="AF275" i="10" a="1"/>
  <c r="AP267" i="10" a="1"/>
  <c r="AB267" i="10" a="1"/>
  <c r="L285" i="10" a="1"/>
  <c r="AH283" i="10" a="1"/>
  <c r="AL287" i="10" a="1"/>
  <c r="X261" i="10" a="1"/>
  <c r="AE272" i="10" a="1"/>
  <c r="AE89" i="10" a="1"/>
  <c r="H287" i="10" a="1"/>
  <c r="AQ286" i="10" a="1"/>
  <c r="AR286" i="10" a="1"/>
  <c r="V261" i="10" a="1"/>
  <c r="R277" i="10" a="1"/>
  <c r="AP289" i="10" a="1"/>
  <c r="AF281" i="10" a="1"/>
  <c r="Z289" i="10" a="1"/>
  <c r="P269" i="10" a="1"/>
  <c r="P271" i="10" a="1"/>
  <c r="V281" i="10" a="1"/>
  <c r="AP261" i="10" a="1"/>
  <c r="AJ277" i="10" a="1"/>
  <c r="AD285" i="10" a="1"/>
  <c r="J263" i="10" a="1"/>
  <c r="R275" i="10" a="1"/>
  <c r="X283" i="10" a="1"/>
  <c r="O272" i="10" a="1"/>
  <c r="O89" i="10" a="1"/>
  <c r="P267" i="10" a="1"/>
  <c r="AN263" i="10" a="1"/>
  <c r="V287" i="10" a="1"/>
  <c r="Z285" i="10" a="1"/>
  <c r="T287" i="10" a="1"/>
  <c r="L272" i="10" a="1"/>
  <c r="L89" i="10" a="1"/>
  <c r="L287" i="10" a="1"/>
  <c r="AH265" i="10" a="1"/>
  <c r="R283" i="10" a="1"/>
  <c r="AT93" i="10"/>
  <c r="AP287" i="10" a="1"/>
  <c r="N279" i="10" a="1"/>
  <c r="L261" i="10" a="1"/>
  <c r="AF263" i="10" a="1"/>
  <c r="P261" i="10" a="1"/>
  <c r="AH271" i="10" a="1"/>
  <c r="AD277" i="10" a="1"/>
  <c r="J269" i="10" a="1"/>
  <c r="S272" i="10" a="1"/>
  <c r="S89" i="10" a="1"/>
  <c r="X272" i="10" a="1"/>
  <c r="X89" i="10" a="1"/>
  <c r="AQ294" i="10" a="1"/>
  <c r="AR294" i="10" a="1"/>
  <c r="AN269" i="10" a="1"/>
  <c r="P277" i="10" a="1"/>
  <c r="AQ278" i="10" a="1"/>
  <c r="H279" i="10" a="1"/>
  <c r="AR278" i="10" a="1"/>
  <c r="AN285" i="10" a="1"/>
  <c r="R279" i="10" a="1"/>
  <c r="AF289" i="10" a="1"/>
  <c r="AF279" i="10" a="1"/>
  <c r="X287" i="10" a="1"/>
  <c r="AN277" i="10" a="1"/>
  <c r="T289" i="10" a="1"/>
  <c r="R285" i="10" a="1"/>
  <c r="X263" i="10" a="1"/>
  <c r="L281" i="10" a="1"/>
  <c r="X281" i="10" a="1"/>
  <c r="J275" i="10" a="1"/>
  <c r="AN265" i="10" a="1"/>
  <c r="AB265" i="10" a="1"/>
  <c r="Z277" i="10" a="1"/>
  <c r="X279" i="10" a="1"/>
  <c r="AN289" i="10" a="1"/>
  <c r="J277" i="10" a="1"/>
  <c r="AJ269" i="10" a="1"/>
  <c r="R267" i="10" a="1"/>
  <c r="J272" i="10" a="1"/>
  <c r="J89" i="10" a="1"/>
  <c r="R265" i="10" a="1"/>
  <c r="AL283" i="10" a="1"/>
  <c r="J281" i="10" a="1"/>
  <c r="V267" i="10" a="1"/>
  <c r="AB269" i="10" a="1"/>
  <c r="AM272" i="10" a="1"/>
  <c r="AM89" i="10" a="1"/>
  <c r="X285" i="10" a="1"/>
  <c r="J287" i="10" a="1"/>
  <c r="AK272" i="10" a="1"/>
  <c r="AK89" i="10" a="1"/>
  <c r="J267" i="10" a="1"/>
  <c r="AN279" i="10" a="1"/>
  <c r="R261" i="10" a="1"/>
  <c r="T277" i="10" a="1"/>
  <c r="AQ292" i="10" a="1"/>
  <c r="AR292" i="10" a="1"/>
  <c r="Z287" i="10" a="1"/>
  <c r="AD269" i="10" a="1"/>
  <c r="Z281" i="10" a="1"/>
  <c r="J265" i="10" a="1"/>
  <c r="T271" i="10" a="1"/>
  <c r="AP277" i="10" a="1"/>
  <c r="AG272" i="10" a="1"/>
  <c r="AG89" i="10" a="1"/>
  <c r="AR89" i="10" a="1"/>
  <c r="P265" i="10" a="1"/>
  <c r="V283" i="10" a="1"/>
  <c r="AL281" i="10" a="1"/>
  <c r="AF261" i="10" a="1"/>
  <c r="AF269" i="10" a="1"/>
  <c r="AD265" i="10" a="1"/>
  <c r="X271" i="10" a="1"/>
  <c r="AL263" i="10" a="1"/>
  <c r="AP263" i="10" a="1"/>
  <c r="V289" i="10" a="1"/>
  <c r="AP271" i="10" a="1"/>
  <c r="V272" i="10" a="1"/>
  <c r="V89" i="10" a="1"/>
  <c r="AN283" i="10" a="1"/>
  <c r="T279" i="10" a="1"/>
  <c r="AP265" i="10" a="1"/>
  <c r="AF285" i="10" a="1"/>
  <c r="AQ274" i="10" a="1"/>
  <c r="H275" i="10" a="1"/>
  <c r="AR274" i="10" a="1"/>
  <c r="V269" i="10" a="1"/>
  <c r="V265" i="10" a="1"/>
  <c r="V279" i="10" a="1"/>
  <c r="AF267" i="10" a="1"/>
  <c r="AJ272" i="10" a="1"/>
  <c r="AJ89" i="10" a="1"/>
  <c r="AN281" i="10" a="1"/>
  <c r="AH287" i="10" a="1"/>
  <c r="G272" i="10" a="1"/>
  <c r="G89" i="10" a="1"/>
  <c r="AQ298" i="10" a="1"/>
  <c r="AR298" i="10" a="1"/>
  <c r="AB272" i="10" a="1"/>
  <c r="AB89" i="10" a="1"/>
  <c r="T281" i="10" a="1"/>
  <c r="T263" i="10" a="1"/>
  <c r="AJ289" i="10" a="1"/>
  <c r="Z261" i="10" a="1"/>
  <c r="T267" i="10" a="1"/>
  <c r="AH269" i="10" a="1"/>
  <c r="L283" i="10" a="1"/>
  <c r="L263" i="10" a="1"/>
  <c r="AJ275" i="10" a="1"/>
  <c r="N285" i="10" a="1"/>
  <c r="AQ290" i="10" a="1"/>
  <c r="AR290" i="10" a="1"/>
  <c r="AQ288" i="10" a="1"/>
  <c r="H289" i="10" a="1"/>
  <c r="AR288" i="10" a="1"/>
  <c r="AR284" i="10" a="1"/>
  <c r="H285" i="10" a="1"/>
  <c r="AQ284" i="10" a="1"/>
  <c r="AH275" i="10" a="1"/>
  <c r="T272" i="10" a="1"/>
  <c r="T89" i="10" a="1"/>
  <c r="AO272" i="10" a="1"/>
  <c r="AO89" i="10" a="1"/>
  <c r="N272" i="10" a="1"/>
  <c r="N89" i="10" a="1"/>
  <c r="L269" i="10" a="1"/>
  <c r="AJ287" i="10" a="1"/>
  <c r="T285" i="10" a="1"/>
  <c r="AP285" i="10" a="1"/>
  <c r="P289" i="10" a="1"/>
  <c r="AD279" i="10" a="1"/>
  <c r="V271" i="10" a="1"/>
  <c r="V277" i="10" a="1"/>
  <c r="J285" i="10" a="1"/>
  <c r="AR270" i="10" a="1"/>
  <c r="AQ270" i="10" a="1"/>
  <c r="H271" i="10" a="1"/>
  <c r="AN267" i="10" a="1"/>
  <c r="N265" i="10" a="1"/>
  <c r="R263" i="10" a="1"/>
  <c r="Z265" i="10" a="1"/>
  <c r="Z271" i="10" a="1"/>
  <c r="AI272" i="10" a="1"/>
  <c r="AI89" i="10" a="1"/>
  <c r="R289" i="10" a="1"/>
  <c r="P287" i="10" a="1"/>
  <c r="AF272" i="10" a="1"/>
  <c r="AF89" i="10" a="1"/>
  <c r="X275" i="10" a="1"/>
  <c r="AH261" i="10" a="1"/>
  <c r="N267" i="10" a="1"/>
  <c r="AR262" i="10" a="1"/>
  <c r="AQ262" i="10" a="1"/>
  <c r="H263" i="10" a="1"/>
  <c r="AQ268" i="10" a="1"/>
  <c r="AR268" i="10" a="1"/>
  <c r="H269" i="10" a="1"/>
  <c r="AN275" i="10" a="1"/>
  <c r="R271" i="10" a="1"/>
  <c r="AB283" i="10" a="1"/>
  <c r="AB277" i="10" a="1"/>
  <c r="AH279" i="10" a="1"/>
  <c r="AP269" i="10" a="1"/>
  <c r="AH289" i="10" a="1"/>
  <c r="AB271" i="10" a="1"/>
  <c r="AJ271" i="10" a="1"/>
  <c r="AL277" i="10" a="1"/>
  <c r="AT92" i="10"/>
  <c r="AT90" i="10"/>
  <c r="N271" i="10" a="1"/>
  <c r="R269" i="10" a="1"/>
  <c r="AL289" i="10" a="1"/>
  <c r="V275" i="10" a="1"/>
  <c r="AH263" i="10" a="1"/>
  <c r="AF287" i="10" a="1"/>
  <c r="AQ300" i="10" a="1"/>
  <c r="AR300" i="10" a="1"/>
  <c r="N275" i="10" a="1"/>
  <c r="AD272" i="10" a="1"/>
  <c r="AD89" i="10" a="1"/>
  <c r="AJ265" i="10" a="1"/>
  <c r="AN272" i="10" a="1"/>
  <c r="AN89" i="10" a="1"/>
  <c r="V263" i="10" a="1"/>
  <c r="AB275" i="10" a="1"/>
  <c r="Z263" i="10" a="1"/>
  <c r="AB261" i="10" a="1"/>
  <c r="AB289" i="10" a="1"/>
  <c r="AD261" i="10" a="1"/>
  <c r="AB285" i="10" a="1"/>
  <c r="AJ283" i="10" a="1"/>
  <c r="L279" i="10" a="1"/>
  <c r="W272" i="10" a="1"/>
  <c r="W89" i="10" a="1"/>
  <c r="U272" i="10" a="1"/>
  <c r="U89" i="10" a="1"/>
  <c r="T269" i="10" a="1"/>
  <c r="N269" i="10" a="1"/>
  <c r="L271" i="10" a="1"/>
  <c r="X265" i="10" a="1"/>
  <c r="AN287" i="10" a="1"/>
  <c r="T283" i="10" a="1"/>
  <c r="J279" i="10" a="1"/>
  <c r="N289" i="10" a="1"/>
  <c r="AL285" i="10" a="1"/>
  <c r="P281" i="10" a="1"/>
  <c r="AJ267" i="10" a="1"/>
  <c r="X267" i="10" a="1"/>
  <c r="AP283" i="10" a="1"/>
  <c r="R287" i="10" a="1"/>
  <c r="N277" i="10" a="1"/>
  <c r="AN271" i="10" a="1"/>
  <c r="I272" i="10" a="1"/>
  <c r="I89" i="10" a="1"/>
  <c r="M272" i="10" a="1"/>
  <c r="M89" i="10" a="1"/>
  <c r="AH285" i="10" a="1"/>
  <c r="AJ261" i="10" a="1"/>
  <c r="J261" i="10" a="1"/>
  <c r="AB279" i="10" a="1"/>
  <c r="L265" i="10" a="1"/>
  <c r="T265" i="10" a="1"/>
  <c r="AF283" i="10" a="1"/>
  <c r="AJ263" i="10" a="1"/>
  <c r="AL267" i="10" a="1"/>
  <c r="K272" i="10" a="1"/>
  <c r="K89" i="10" a="1"/>
  <c r="J289" i="10" a="1"/>
  <c r="AJ285" i="10" a="1"/>
  <c r="AQ264" i="10" a="1"/>
  <c r="AR264" i="10" a="1"/>
  <c r="H265" i="10" a="1"/>
  <c r="T275" i="10" a="1"/>
  <c r="J283" i="10" a="1"/>
  <c r="N287" i="10" a="1"/>
  <c r="N261" i="10" a="1"/>
  <c r="AB281" i="10" a="1"/>
  <c r="T261" i="10" a="1"/>
  <c r="P263" i="10" a="1"/>
  <c r="Z275" i="10" a="1"/>
  <c r="AB263" i="10" a="1"/>
  <c r="V285" i="10" a="1"/>
  <c r="AL269" i="10" a="1"/>
  <c r="X277" i="10" a="1"/>
  <c r="N283" i="10" a="1"/>
  <c r="AL272" i="10" a="1"/>
  <c r="AL89" i="10" a="1"/>
  <c r="AJ281" i="10" a="1"/>
  <c r="AD263" i="10" a="1"/>
  <c r="P285" i="10" a="1"/>
  <c r="AR276" i="10" a="1"/>
  <c r="AQ276" i="10" a="1"/>
  <c r="H277" i="10" a="1"/>
  <c r="AP281" i="10" a="1"/>
  <c r="AT91" i="10"/>
  <c r="AP279" i="10" a="1"/>
  <c r="AA272" i="10" a="1"/>
  <c r="AA89" i="10" a="1"/>
  <c r="N263" i="10" a="1"/>
  <c r="X269" i="10" a="1"/>
  <c r="AF265" i="10" a="1"/>
  <c r="AT94" i="10"/>
  <c r="AF265" i="10" l="1"/>
  <c r="X269" i="10"/>
  <c r="N263" i="10"/>
  <c r="AA89" i="10"/>
  <c r="AA272" i="10"/>
  <c r="AP279" i="10"/>
  <c r="AP281" i="10"/>
  <c r="H277" i="10"/>
  <c r="AQ276" i="10"/>
  <c r="AR276" i="10"/>
  <c r="P285" i="10"/>
  <c r="AD263" i="10"/>
  <c r="AJ281" i="10"/>
  <c r="AL89" i="10"/>
  <c r="AL272" i="10"/>
  <c r="N283" i="10"/>
  <c r="X277" i="10"/>
  <c r="AL269" i="10"/>
  <c r="V285" i="10"/>
  <c r="AB263" i="10"/>
  <c r="Z275" i="10"/>
  <c r="P263" i="10"/>
  <c r="T261" i="10"/>
  <c r="AB281" i="10"/>
  <c r="N261" i="10"/>
  <c r="N287" i="10"/>
  <c r="J283" i="10"/>
  <c r="T275" i="10"/>
  <c r="H265" i="10"/>
  <c r="AR264" i="10"/>
  <c r="AQ264" i="10"/>
  <c r="AJ285" i="10"/>
  <c r="J289" i="10"/>
  <c r="K89" i="10"/>
  <c r="K272" i="10"/>
  <c r="AL267" i="10"/>
  <c r="AJ263" i="10"/>
  <c r="AF283" i="10"/>
  <c r="T265" i="10"/>
  <c r="L265" i="10"/>
  <c r="AB279" i="10"/>
  <c r="J261" i="10"/>
  <c r="AJ261" i="10"/>
  <c r="AH285" i="10"/>
  <c r="M89" i="10"/>
  <c r="M272" i="10"/>
  <c r="I89" i="10"/>
  <c r="I272" i="10"/>
  <c r="AN271" i="10"/>
  <c r="N277" i="10"/>
  <c r="R287" i="10"/>
  <c r="AP283" i="10"/>
  <c r="X267" i="10"/>
  <c r="AJ267" i="10"/>
  <c r="P281" i="10"/>
  <c r="AL285" i="10"/>
  <c r="N289" i="10"/>
  <c r="J279" i="10"/>
  <c r="T283" i="10"/>
  <c r="AN287" i="10"/>
  <c r="X265" i="10"/>
  <c r="L271" i="10"/>
  <c r="N269" i="10"/>
  <c r="T269" i="10"/>
  <c r="U89" i="10"/>
  <c r="U272" i="10"/>
  <c r="W89" i="10"/>
  <c r="W272" i="10"/>
  <c r="L279" i="10"/>
  <c r="AJ283" i="10"/>
  <c r="AB285" i="10"/>
  <c r="AD261" i="10"/>
  <c r="AB289" i="10"/>
  <c r="AB261" i="10"/>
  <c r="Z263" i="10"/>
  <c r="AB275" i="10"/>
  <c r="V263" i="10"/>
  <c r="AN89" i="10"/>
  <c r="AN272" i="10"/>
  <c r="AJ265" i="10"/>
  <c r="AD89" i="10"/>
  <c r="AD272" i="10"/>
  <c r="N275" i="10"/>
  <c r="AR300" i="10"/>
  <c r="AQ300" i="10"/>
  <c r="AF287" i="10"/>
  <c r="AH263" i="10"/>
  <c r="V275" i="10"/>
  <c r="AL289" i="10"/>
  <c r="R269" i="10"/>
  <c r="N271" i="10"/>
  <c r="AL277" i="10"/>
  <c r="AJ271" i="10"/>
  <c r="AB271" i="10"/>
  <c r="AH289" i="10"/>
  <c r="AP269" i="10"/>
  <c r="AH279" i="10"/>
  <c r="AB277" i="10"/>
  <c r="AB283" i="10"/>
  <c r="R271" i="10"/>
  <c r="AN275" i="10"/>
  <c r="H269" i="10"/>
  <c r="AR268" i="10"/>
  <c r="AQ268" i="10"/>
  <c r="H263" i="10"/>
  <c r="AQ262" i="10"/>
  <c r="AR262" i="10"/>
  <c r="N267" i="10"/>
  <c r="AH261" i="10"/>
  <c r="X275" i="10"/>
  <c r="AF89" i="10"/>
  <c r="AF272" i="10"/>
  <c r="P287" i="10"/>
  <c r="R289" i="10"/>
  <c r="AI89" i="10"/>
  <c r="AI272" i="10"/>
  <c r="Z271" i="10"/>
  <c r="Z265" i="10"/>
  <c r="R263" i="10"/>
  <c r="N265" i="10"/>
  <c r="AN267" i="10"/>
  <c r="H271" i="10"/>
  <c r="AQ270" i="10"/>
  <c r="AR270" i="10"/>
  <c r="J285" i="10"/>
  <c r="V277" i="10"/>
  <c r="V271" i="10"/>
  <c r="AD279" i="10"/>
  <c r="P289" i="10"/>
  <c r="AP285" i="10"/>
  <c r="T285" i="10"/>
  <c r="AJ287" i="10"/>
  <c r="L269" i="10"/>
  <c r="N89" i="10"/>
  <c r="N272" i="10"/>
  <c r="AO89" i="10"/>
  <c r="AO272" i="10"/>
  <c r="T89" i="10"/>
  <c r="T272" i="10"/>
  <c r="AH275" i="10"/>
  <c r="AQ284" i="10"/>
  <c r="H285" i="10"/>
  <c r="AR284" i="10"/>
  <c r="AR288" i="10"/>
  <c r="H289" i="10"/>
  <c r="AQ288" i="10"/>
  <c r="AR290" i="10"/>
  <c r="AQ290" i="10"/>
  <c r="N285" i="10"/>
  <c r="AJ275" i="10"/>
  <c r="L263" i="10"/>
  <c r="L283" i="10"/>
  <c r="AH269" i="10"/>
  <c r="T267" i="10"/>
  <c r="Z261" i="10"/>
  <c r="AJ289" i="10"/>
  <c r="T263" i="10"/>
  <c r="T281" i="10"/>
  <c r="AB89" i="10"/>
  <c r="AB272" i="10"/>
  <c r="AR298" i="10"/>
  <c r="AQ298" i="10"/>
  <c r="G89" i="10"/>
  <c r="G272" i="10"/>
  <c r="AH287" i="10"/>
  <c r="AN281" i="10"/>
  <c r="AJ89" i="10"/>
  <c r="AJ272" i="10"/>
  <c r="AF267" i="10"/>
  <c r="V279" i="10"/>
  <c r="V265" i="10"/>
  <c r="V269" i="10"/>
  <c r="AR274" i="10"/>
  <c r="H275" i="10"/>
  <c r="AQ274" i="10"/>
  <c r="AF285" i="10"/>
  <c r="AP265" i="10"/>
  <c r="T279" i="10"/>
  <c r="AN283" i="10"/>
  <c r="V89" i="10"/>
  <c r="V272" i="10"/>
  <c r="AP271" i="10"/>
  <c r="V289" i="10"/>
  <c r="AP263" i="10"/>
  <c r="AL263" i="10"/>
  <c r="X271" i="10"/>
  <c r="AD265" i="10"/>
  <c r="AF269" i="10"/>
  <c r="AF261" i="10"/>
  <c r="AL281" i="10"/>
  <c r="V283" i="10"/>
  <c r="P265" i="10"/>
  <c r="AR89" i="10"/>
  <c r="AG89" i="10"/>
  <c r="AG272" i="10"/>
  <c r="AP277" i="10"/>
  <c r="T271" i="10"/>
  <c r="J265" i="10"/>
  <c r="Z281" i="10"/>
  <c r="AD269" i="10"/>
  <c r="Z287" i="10"/>
  <c r="AR292" i="10"/>
  <c r="AQ292" i="10"/>
  <c r="T277" i="10"/>
  <c r="R261" i="10"/>
  <c r="AN279" i="10"/>
  <c r="J267" i="10"/>
  <c r="AK89" i="10"/>
  <c r="AK272" i="10"/>
  <c r="J287" i="10"/>
  <c r="X285" i="10"/>
  <c r="AM89" i="10"/>
  <c r="AM272" i="10"/>
  <c r="AB269" i="10"/>
  <c r="V267" i="10"/>
  <c r="J281" i="10"/>
  <c r="AL283" i="10"/>
  <c r="R265" i="10"/>
  <c r="J89" i="10"/>
  <c r="J272" i="10"/>
  <c r="R267" i="10"/>
  <c r="AJ269" i="10"/>
  <c r="J277" i="10"/>
  <c r="AN289" i="10"/>
  <c r="X279" i="10"/>
  <c r="Z277" i="10"/>
  <c r="AB265" i="10"/>
  <c r="AN265" i="10"/>
  <c r="J275" i="10"/>
  <c r="X281" i="10"/>
  <c r="L281" i="10"/>
  <c r="X263" i="10"/>
  <c r="R285" i="10"/>
  <c r="T289" i="10"/>
  <c r="AN277" i="10"/>
  <c r="X287" i="10"/>
  <c r="AF279" i="10"/>
  <c r="AF289" i="10"/>
  <c r="R279" i="10"/>
  <c r="AN285" i="10"/>
  <c r="AR278" i="10"/>
  <c r="H279" i="10"/>
  <c r="AQ278" i="10"/>
  <c r="P277" i="10"/>
  <c r="AN269" i="10"/>
  <c r="AR294" i="10"/>
  <c r="AQ294" i="10"/>
  <c r="X89" i="10"/>
  <c r="X272" i="10"/>
  <c r="S89" i="10"/>
  <c r="S272" i="10"/>
  <c r="J269" i="10"/>
  <c r="AD277" i="10"/>
  <c r="AH271" i="10"/>
  <c r="P261" i="10"/>
  <c r="AF263" i="10"/>
  <c r="L261" i="10"/>
  <c r="N279" i="10"/>
  <c r="AP287" i="10"/>
  <c r="R283" i="10"/>
  <c r="AH265" i="10"/>
  <c r="L287" i="10"/>
  <c r="L89" i="10"/>
  <c r="L272" i="10"/>
  <c r="T287" i="10"/>
  <c r="Z285" i="10"/>
  <c r="V287" i="10"/>
  <c r="AN263" i="10"/>
  <c r="P267" i="10"/>
  <c r="O89" i="10"/>
  <c r="O272" i="10"/>
  <c r="X283" i="10"/>
  <c r="R275" i="10"/>
  <c r="J263" i="10"/>
  <c r="AD285" i="10"/>
  <c r="AJ277" i="10"/>
  <c r="AP261" i="10"/>
  <c r="V281" i="10"/>
  <c r="P271" i="10"/>
  <c r="P269" i="10"/>
  <c r="Z289" i="10"/>
  <c r="AF281" i="10"/>
  <c r="AP289" i="10"/>
  <c r="R277" i="10"/>
  <c r="V261" i="10"/>
  <c r="AR286" i="10"/>
  <c r="AQ286" i="10"/>
  <c r="H287" i="10"/>
  <c r="AE89" i="10"/>
  <c r="AE272" i="10"/>
  <c r="X261" i="10"/>
  <c r="AL287" i="10"/>
  <c r="AH283" i="10"/>
  <c r="L285" i="10"/>
  <c r="AB267" i="10"/>
  <c r="AP267" i="10"/>
  <c r="AF275" i="10"/>
  <c r="H283" i="10"/>
  <c r="AQ282" i="10"/>
  <c r="AR282" i="10"/>
  <c r="AD271" i="10"/>
  <c r="P279" i="10"/>
  <c r="AD289" i="10"/>
  <c r="R281" i="10"/>
  <c r="AL265" i="10"/>
  <c r="AL261" i="10"/>
  <c r="Z269" i="10"/>
  <c r="AH89" i="10"/>
  <c r="AH272" i="10"/>
  <c r="Y89" i="10"/>
  <c r="Y272" i="10"/>
  <c r="L267" i="10"/>
  <c r="AL271" i="10"/>
  <c r="AL279" i="10"/>
  <c r="AQ296" i="10"/>
  <c r="AR296" i="10"/>
  <c r="R89" i="10"/>
  <c r="R272" i="10"/>
  <c r="Z283" i="10"/>
  <c r="AR266" i="10"/>
  <c r="H267" i="10"/>
  <c r="AQ266" i="10"/>
  <c r="AD283" i="10"/>
  <c r="AF277" i="10"/>
  <c r="AJ279" i="10"/>
  <c r="J271" i="10"/>
  <c r="P275" i="10"/>
  <c r="AN261" i="10"/>
  <c r="AP89" i="10"/>
  <c r="AP272" i="10"/>
  <c r="Z89" i="10"/>
  <c r="Z272" i="10"/>
  <c r="AP275" i="10"/>
  <c r="AH277" i="10"/>
  <c r="AB287" i="10"/>
  <c r="P89" i="10"/>
  <c r="P272" i="10"/>
  <c r="H89" i="10"/>
  <c r="H272" i="10"/>
  <c r="AL275" i="10"/>
  <c r="X289" i="10"/>
  <c r="AQ260" i="10"/>
  <c r="AR260" i="10"/>
  <c r="H261" i="10"/>
  <c r="L277" i="10"/>
  <c r="AF271" i="10"/>
  <c r="AD281" i="10"/>
  <c r="AD287" i="10"/>
  <c r="AD275" i="10"/>
  <c r="AH267" i="10"/>
  <c r="AQ280" i="10"/>
  <c r="AR280" i="10"/>
  <c r="H281" i="10"/>
  <c r="P283" i="10"/>
  <c r="Q89" i="10"/>
  <c r="Q272" i="10"/>
  <c r="N281" i="10"/>
  <c r="L275" i="10"/>
  <c r="AQ89" i="10"/>
  <c r="Z267" i="10"/>
  <c r="Z279" i="10"/>
  <c r="L289" i="10"/>
  <c r="AC89" i="10"/>
  <c r="AC272" i="10"/>
  <c r="AH281" i="10"/>
  <c r="AD267" i="10"/>
  <c r="N10" i="33"/>
  <c r="AC5" i="58839"/>
  <c r="AB56" i="58839"/>
  <c r="CB5" i="58839"/>
  <c r="CA56" i="58839"/>
  <c r="AT276" i="10"/>
  <c r="U102" i="10" a="1"/>
  <c r="V109" i="10" a="1"/>
  <c r="U109" i="10" a="1"/>
  <c r="U108" i="10" a="1"/>
  <c r="U101" i="10" a="1"/>
  <c r="AQ263" i="10" a="1"/>
  <c r="AO312" i="10" a="1"/>
  <c r="AP273" i="10" a="1"/>
  <c r="AQ289" i="10" a="1"/>
  <c r="AK312" i="10" a="1"/>
  <c r="AL273" i="10" a="1"/>
  <c r="X312" i="10" a="1"/>
  <c r="AE109" i="10" a="1"/>
  <c r="AE108" i="10" a="1"/>
  <c r="AF109" i="10" a="1"/>
  <c r="AE102" i="10" a="1"/>
  <c r="AE101" i="10" a="1"/>
  <c r="AQ267" i="10" a="1"/>
  <c r="P312" i="10" a="1"/>
  <c r="AQ281" i="10" a="1"/>
  <c r="J312" i="10" a="1"/>
  <c r="AQ265" i="10" a="1"/>
  <c r="AT300" i="10"/>
  <c r="AQ269" i="10" a="1"/>
  <c r="AQ275" i="10" a="1"/>
  <c r="Y102" i="10" a="1"/>
  <c r="Z109" i="10" a="1"/>
  <c r="Y109" i="10" a="1"/>
  <c r="Y108" i="10" a="1"/>
  <c r="Y101" i="10" a="1"/>
  <c r="K101" i="10" a="1"/>
  <c r="K109" i="10" a="1"/>
  <c r="K108" i="10" a="1"/>
  <c r="K102" i="10" a="1"/>
  <c r="L109" i="10" a="1"/>
  <c r="U312" i="10" a="1"/>
  <c r="V273" i="10" a="1"/>
  <c r="AD312" i="10" a="1"/>
  <c r="AT262" i="10"/>
  <c r="AQ271" i="10" a="1"/>
  <c r="AT288" i="10"/>
  <c r="AT298" i="10"/>
  <c r="AH109" i="10" a="1"/>
  <c r="AH101" i="10" a="1"/>
  <c r="AG101" i="10" a="1"/>
  <c r="AG108" i="10" a="1"/>
  <c r="AG102" i="10" a="1"/>
  <c r="AH108" i="10" a="1"/>
  <c r="AG109" i="10" a="1"/>
  <c r="AQ279" i="10" a="1"/>
  <c r="S102" i="10" a="1"/>
  <c r="S108" i="10" a="1"/>
  <c r="T109" i="10" a="1"/>
  <c r="S109" i="10" a="1"/>
  <c r="S101" i="10" a="1"/>
  <c r="AE312" i="10" a="1"/>
  <c r="AF273" i="10" a="1"/>
  <c r="AQ283" i="10" a="1"/>
  <c r="AT266" i="10"/>
  <c r="AP312" i="10" a="1"/>
  <c r="AA108" i="10" a="1"/>
  <c r="AA109" i="10" a="1"/>
  <c r="AA102" i="10" a="1"/>
  <c r="AB101" i="10" a="1"/>
  <c r="AA101" i="10" a="1"/>
  <c r="AB109" i="10" a="1"/>
  <c r="AB108" i="10" a="1"/>
  <c r="AM101" i="10" a="1"/>
  <c r="AM102" i="10" a="1"/>
  <c r="AN109" i="10" a="1"/>
  <c r="AM109" i="10" a="1"/>
  <c r="AM108" i="10" a="1"/>
  <c r="Q312" i="10" a="1"/>
  <c r="R273" i="10" a="1"/>
  <c r="AA312" i="10" a="1"/>
  <c r="AB273" i="10" a="1"/>
  <c r="M101" i="10" a="1"/>
  <c r="M109" i="10" a="1"/>
  <c r="N109" i="10" a="1"/>
  <c r="M102" i="10" a="1"/>
  <c r="M108" i="10" a="1"/>
  <c r="V312" i="10" a="1"/>
  <c r="AM312" i="10" a="1"/>
  <c r="AN273" i="10" a="1"/>
  <c r="AQ285" i="10" a="1"/>
  <c r="O101" i="10" a="1"/>
  <c r="O109" i="10" a="1"/>
  <c r="O108" i="10" a="1"/>
  <c r="P109" i="10" a="1"/>
  <c r="O102" i="10" a="1"/>
  <c r="K312" i="10" a="1"/>
  <c r="L273" i="10" a="1"/>
  <c r="X109" i="10" a="1"/>
  <c r="W109" i="10" a="1"/>
  <c r="W108" i="10" a="1"/>
  <c r="W101" i="10" a="1"/>
  <c r="W102" i="10" a="1"/>
  <c r="AI101" i="10" a="1"/>
  <c r="AI102" i="10" a="1"/>
  <c r="AJ109" i="10" a="1"/>
  <c r="AI109" i="10" a="1"/>
  <c r="AI108" i="10" a="1"/>
  <c r="AT270" i="10"/>
  <c r="T312" i="10" a="1"/>
  <c r="G101" i="10" a="1"/>
  <c r="H109" i="10" a="1"/>
  <c r="G109" i="10" a="1"/>
  <c r="G108" i="10" a="1"/>
  <c r="G102" i="10" a="1"/>
  <c r="AG312" i="10" a="1"/>
  <c r="AH273" i="10" a="1"/>
  <c r="AT292" i="10"/>
  <c r="AT278" i="10"/>
  <c r="S312" i="10" a="1"/>
  <c r="T273" i="10" a="1"/>
  <c r="AT282" i="10"/>
  <c r="AT296" i="10"/>
  <c r="H312" i="10" a="1"/>
  <c r="Q109" i="10" a="1"/>
  <c r="Q101" i="10" a="1"/>
  <c r="Q108" i="10" a="1"/>
  <c r="R109" i="10" a="1"/>
  <c r="Q102" i="10" a="1"/>
  <c r="AD109" i="10" a="1"/>
  <c r="AC101" i="10" a="1"/>
  <c r="AC108" i="10" a="1"/>
  <c r="AC109" i="10" a="1"/>
  <c r="AC102" i="10" a="1"/>
  <c r="M312" i="10" a="1"/>
  <c r="N273" i="10" a="1"/>
  <c r="R312" i="10" a="1"/>
  <c r="AL312" i="10" a="1"/>
  <c r="AT264" i="10"/>
  <c r="J109" i="10" a="1"/>
  <c r="I102" i="10" a="1"/>
  <c r="I108" i="10" a="1"/>
  <c r="I109" i="10" a="1"/>
  <c r="I101" i="10" a="1"/>
  <c r="AN312" i="10" a="1"/>
  <c r="AT274" i="10"/>
  <c r="AT294" i="10"/>
  <c r="O312" i="10" a="1"/>
  <c r="P273" i="10" a="1"/>
  <c r="AT286" i="10"/>
  <c r="Y312" i="10" a="1"/>
  <c r="Z273" i="10" a="1"/>
  <c r="AT280" i="10"/>
  <c r="AQ277" i="10" a="1"/>
  <c r="I312" i="10" a="1"/>
  <c r="J273" i="10" a="1"/>
  <c r="AT268" i="10"/>
  <c r="AF312" i="10" a="1"/>
  <c r="AO108" i="10" a="1"/>
  <c r="AP109" i="10" a="1"/>
  <c r="AO109" i="10" a="1"/>
  <c r="AO102" i="10" a="1"/>
  <c r="AO101" i="10" a="1"/>
  <c r="AB312" i="10" a="1"/>
  <c r="AJ312" i="10" a="1"/>
  <c r="AK108" i="10" a="1"/>
  <c r="AL109" i="10" a="1"/>
  <c r="AK101" i="10" a="1"/>
  <c r="AK102" i="10" a="1"/>
  <c r="AK109" i="10" a="1"/>
  <c r="L312" i="10" a="1"/>
  <c r="AQ287" i="10" a="1"/>
  <c r="AQ261" i="10" a="1"/>
  <c r="W312" i="10" a="1"/>
  <c r="X273" i="10" a="1"/>
  <c r="AI312" i="10" a="1"/>
  <c r="AJ273" i="10" a="1"/>
  <c r="AT290" i="10"/>
  <c r="G312" i="10" a="1"/>
  <c r="H273" i="10" a="1"/>
  <c r="AR272" i="10" a="1"/>
  <c r="AQ272" i="10" a="1"/>
  <c r="Z312" i="10" a="1"/>
  <c r="AC312" i="10" a="1"/>
  <c r="AD273" i="10" a="1"/>
  <c r="AT284" i="10"/>
  <c r="AH312" i="10" a="1"/>
  <c r="AT260" i="10"/>
  <c r="N312" i="10" a="1"/>
  <c r="AQ101" i="10" a="1"/>
  <c r="AT89" i="10"/>
  <c r="AR109" i="10" a="1"/>
  <c r="AQ108" i="10" a="1"/>
  <c r="AQ102" i="10" a="1"/>
  <c r="AQ109" i="10" a="1"/>
  <c r="AQ109" i="10" l="1"/>
  <c r="AQ102" i="10"/>
  <c r="AQ108" i="10"/>
  <c r="AR109" i="10"/>
  <c r="AQ101" i="10"/>
  <c r="N312" i="10"/>
  <c r="AH312" i="10"/>
  <c r="AD273" i="10"/>
  <c r="AC312" i="10"/>
  <c r="Z312" i="10"/>
  <c r="AQ272" i="10"/>
  <c r="AR272" i="10"/>
  <c r="H273" i="10"/>
  <c r="G312" i="10"/>
  <c r="AJ273" i="10"/>
  <c r="AI312" i="10"/>
  <c r="X273" i="10"/>
  <c r="W312" i="10"/>
  <c r="AQ261" i="10"/>
  <c r="AQ287" i="10"/>
  <c r="L312" i="10"/>
  <c r="AK109" i="10"/>
  <c r="AK102" i="10"/>
  <c r="AK101" i="10"/>
  <c r="AL109" i="10"/>
  <c r="AK108" i="10"/>
  <c r="AJ312" i="10"/>
  <c r="AB312" i="10"/>
  <c r="AO101" i="10"/>
  <c r="AO102" i="10"/>
  <c r="AO109" i="10"/>
  <c r="AP109" i="10"/>
  <c r="AO108" i="10"/>
  <c r="AF312" i="10"/>
  <c r="J273" i="10"/>
  <c r="I312" i="10"/>
  <c r="AQ277" i="10"/>
  <c r="Z273" i="10"/>
  <c r="Y312" i="10"/>
  <c r="P273" i="10"/>
  <c r="O312" i="10"/>
  <c r="AN312" i="10"/>
  <c r="I101" i="10"/>
  <c r="I109" i="10"/>
  <c r="I108" i="10"/>
  <c r="I102" i="10"/>
  <c r="J109" i="10"/>
  <c r="AL312" i="10"/>
  <c r="R312" i="10"/>
  <c r="N273" i="10"/>
  <c r="M312" i="10"/>
  <c r="AC102" i="10"/>
  <c r="AC109" i="10"/>
  <c r="AC108" i="10"/>
  <c r="AC101" i="10"/>
  <c r="AD109" i="10"/>
  <c r="Q102" i="10"/>
  <c r="R109" i="10"/>
  <c r="Q108" i="10"/>
  <c r="Q101" i="10"/>
  <c r="Q109" i="10"/>
  <c r="H312" i="10"/>
  <c r="T273" i="10"/>
  <c r="S312" i="10"/>
  <c r="AH273" i="10"/>
  <c r="AG312" i="10"/>
  <c r="G102" i="10"/>
  <c r="G108" i="10"/>
  <c r="G109" i="10"/>
  <c r="H109" i="10"/>
  <c r="G101" i="10"/>
  <c r="T312" i="10"/>
  <c r="AI108" i="10"/>
  <c r="AI109" i="10"/>
  <c r="AJ109" i="10"/>
  <c r="AI102" i="10"/>
  <c r="AI101" i="10"/>
  <c r="W102" i="10"/>
  <c r="W101" i="10"/>
  <c r="W108" i="10"/>
  <c r="W109" i="10"/>
  <c r="X109" i="10"/>
  <c r="L273" i="10"/>
  <c r="K312" i="10"/>
  <c r="O102" i="10"/>
  <c r="P109" i="10"/>
  <c r="O108" i="10"/>
  <c r="O109" i="10"/>
  <c r="O101" i="10"/>
  <c r="AQ285" i="10"/>
  <c r="AN273" i="10"/>
  <c r="AM312" i="10"/>
  <c r="V312" i="10"/>
  <c r="M108" i="10"/>
  <c r="M102" i="10"/>
  <c r="N109" i="10"/>
  <c r="M109" i="10"/>
  <c r="M101" i="10"/>
  <c r="AB273" i="10"/>
  <c r="AA312" i="10"/>
  <c r="R273" i="10"/>
  <c r="Q312" i="10"/>
  <c r="AM108" i="10"/>
  <c r="AM109" i="10"/>
  <c r="AN109" i="10"/>
  <c r="AM102" i="10"/>
  <c r="AM101" i="10"/>
  <c r="AB108" i="10"/>
  <c r="AB109" i="10"/>
  <c r="AA101" i="10"/>
  <c r="AB101" i="10"/>
  <c r="AA102" i="10"/>
  <c r="AA109" i="10"/>
  <c r="AA108" i="10"/>
  <c r="AP312" i="10"/>
  <c r="AQ283" i="10"/>
  <c r="AF273" i="10"/>
  <c r="AE312" i="10"/>
  <c r="S101" i="10"/>
  <c r="S109" i="10"/>
  <c r="T109" i="10"/>
  <c r="S108" i="10"/>
  <c r="S102" i="10"/>
  <c r="AQ279" i="10"/>
  <c r="AG109" i="10"/>
  <c r="AH108" i="10"/>
  <c r="AG102" i="10"/>
  <c r="AG108" i="10"/>
  <c r="AG101" i="10"/>
  <c r="AH101" i="10"/>
  <c r="AH109" i="10"/>
  <c r="AQ271" i="10"/>
  <c r="AD312" i="10"/>
  <c r="V273" i="10"/>
  <c r="U312" i="10"/>
  <c r="L109" i="10"/>
  <c r="K102" i="10"/>
  <c r="K108" i="10"/>
  <c r="K109" i="10"/>
  <c r="K101" i="10"/>
  <c r="Y101" i="10"/>
  <c r="Y108" i="10"/>
  <c r="Y109" i="10"/>
  <c r="Z109" i="10"/>
  <c r="Y102" i="10"/>
  <c r="AQ275" i="10"/>
  <c r="AQ269" i="10"/>
  <c r="AQ265" i="10"/>
  <c r="J312" i="10"/>
  <c r="AQ281" i="10"/>
  <c r="P312" i="10"/>
  <c r="AQ267" i="10"/>
  <c r="AE101" i="10"/>
  <c r="AE102" i="10"/>
  <c r="AF109" i="10"/>
  <c r="AE108" i="10"/>
  <c r="AE109" i="10"/>
  <c r="X312" i="10"/>
  <c r="AL273" i="10"/>
  <c r="AK312" i="10"/>
  <c r="AQ289" i="10"/>
  <c r="AP273" i="10"/>
  <c r="AO312" i="10"/>
  <c r="AQ263" i="10"/>
  <c r="U101" i="10"/>
  <c r="U108" i="10"/>
  <c r="U109" i="10"/>
  <c r="V109" i="10"/>
  <c r="U102" i="10"/>
  <c r="CC5" i="58839"/>
  <c r="CB56" i="58839"/>
  <c r="AD5" i="58839"/>
  <c r="AC56" i="58839"/>
  <c r="AT109" i="10"/>
  <c r="X313" i="10" a="1"/>
  <c r="AP108" i="10" a="1"/>
  <c r="R102" i="10" a="1"/>
  <c r="AH313" i="10" a="1"/>
  <c r="AJ108" i="10" a="1"/>
  <c r="P101" i="10" a="1"/>
  <c r="L102" i="10" a="1"/>
  <c r="Z102" i="10" a="1"/>
  <c r="AF101" i="10" a="1"/>
  <c r="AR289" i="10" a="1"/>
  <c r="AT289" i="10"/>
  <c r="V102" i="10" a="1"/>
  <c r="AR281" i="10" a="1"/>
  <c r="AT281" i="10"/>
  <c r="AR102" i="10" a="1"/>
  <c r="AL108" i="10" a="1"/>
  <c r="N313" i="10" a="1"/>
  <c r="AR285" i="10" a="1"/>
  <c r="AT285" i="10"/>
  <c r="N101" i="10" a="1"/>
  <c r="AN102" i="10" a="1"/>
  <c r="T108" i="10" a="1"/>
  <c r="L108" i="10" a="1"/>
  <c r="AR275" i="10" a="1"/>
  <c r="AT275" i="10"/>
  <c r="AF102" i="10" a="1"/>
  <c r="AP313" i="10" a="1"/>
  <c r="AN101" i="10" a="1"/>
  <c r="AR287" i="10" a="1"/>
  <c r="AT287" i="10"/>
  <c r="AD102" i="10" a="1"/>
  <c r="R101" i="10" a="1"/>
  <c r="H108" i="10" a="1"/>
  <c r="AJ102" i="10" a="1"/>
  <c r="AR279" i="10" a="1"/>
  <c r="AT279" i="10"/>
  <c r="AR271" i="10" a="1"/>
  <c r="AT271" i="10"/>
  <c r="L101" i="10" a="1"/>
  <c r="AR265" i="10" a="1"/>
  <c r="AT265" i="10"/>
  <c r="AF108" i="10" a="1"/>
  <c r="AR101" i="10" a="1"/>
  <c r="AR277" i="10" a="1"/>
  <c r="AT277" i="10"/>
  <c r="P102" i="10" a="1"/>
  <c r="R313" i="10" a="1"/>
  <c r="AP102" i="10" a="1"/>
  <c r="X102" i="10" a="1"/>
  <c r="Z108" i="10" a="1"/>
  <c r="AR108" i="10" a="1"/>
  <c r="AT272" i="10"/>
  <c r="AR261" i="10" a="1"/>
  <c r="AT261" i="10"/>
  <c r="J313" i="10" a="1"/>
  <c r="J101" i="10" a="1"/>
  <c r="R108" i="10" a="1"/>
  <c r="H102" i="10" a="1"/>
  <c r="L313" i="10" a="1"/>
  <c r="AN313" i="10" a="1"/>
  <c r="AB313" i="10" a="1"/>
  <c r="T102" i="10" a="1"/>
  <c r="AR269" i="10" a="1"/>
  <c r="AT269" i="10"/>
  <c r="AR283" i="10" a="1"/>
  <c r="AT283" i="10"/>
  <c r="AR263" i="10" a="1"/>
  <c r="AT263" i="10"/>
  <c r="H313" i="10" a="1"/>
  <c r="AQ273" i="10" a="1"/>
  <c r="AP101" i="10" a="1"/>
  <c r="J108" i="10" a="1"/>
  <c r="AJ101" i="10" a="1"/>
  <c r="AF313" i="10" a="1"/>
  <c r="Z101" i="10" a="1"/>
  <c r="V101" i="10" a="1"/>
  <c r="AQ312" i="10" a="1"/>
  <c r="AR312" i="10" a="1"/>
  <c r="Z313" i="10" a="1"/>
  <c r="J102" i="10" a="1"/>
  <c r="AD108" i="10" a="1"/>
  <c r="V313" i="10" a="1"/>
  <c r="V108" i="10" a="1"/>
  <c r="AJ313" i="10" a="1"/>
  <c r="AL102" i="10" a="1"/>
  <c r="AD101" i="10" a="1"/>
  <c r="T313" i="10" a="1"/>
  <c r="H101" i="10" a="1"/>
  <c r="X101" i="10" a="1"/>
  <c r="P108" i="10" a="1"/>
  <c r="N102" i="10" a="1"/>
  <c r="AN108" i="10" a="1"/>
  <c r="T101" i="10" a="1"/>
  <c r="AH102" i="10" a="1"/>
  <c r="AL313" i="10" a="1"/>
  <c r="AD313" i="10" a="1"/>
  <c r="AL101" i="10" a="1"/>
  <c r="P313" i="10" a="1"/>
  <c r="X108" i="10" a="1"/>
  <c r="AB102" i="10" a="1"/>
  <c r="AR267" i="10" a="1"/>
  <c r="AT267" i="10"/>
  <c r="N108" i="10" a="1"/>
  <c r="N108" i="10" l="1"/>
  <c r="AR267" i="10"/>
  <c r="AB102" i="10"/>
  <c r="X108" i="10"/>
  <c r="P313" i="10"/>
  <c r="AL101" i="10"/>
  <c r="AD313" i="10"/>
  <c r="AL313" i="10"/>
  <c r="AH102" i="10"/>
  <c r="T101" i="10"/>
  <c r="AN108" i="10"/>
  <c r="N102" i="10"/>
  <c r="P108" i="10"/>
  <c r="X101" i="10"/>
  <c r="H101" i="10"/>
  <c r="T313" i="10"/>
  <c r="AD101" i="10"/>
  <c r="AL102" i="10"/>
  <c r="AJ313" i="10"/>
  <c r="V108" i="10"/>
  <c r="V313" i="10"/>
  <c r="AD108" i="10"/>
  <c r="J102" i="10"/>
  <c r="Z313" i="10"/>
  <c r="AR312" i="10"/>
  <c r="AQ312" i="10"/>
  <c r="V101" i="10"/>
  <c r="Z101" i="10"/>
  <c r="AF313" i="10"/>
  <c r="AJ101" i="10"/>
  <c r="J108" i="10"/>
  <c r="AP101" i="10"/>
  <c r="AQ273" i="10"/>
  <c r="H313" i="10"/>
  <c r="AR263" i="10"/>
  <c r="AR283" i="10"/>
  <c r="AR269" i="10"/>
  <c r="T102" i="10"/>
  <c r="AB313" i="10"/>
  <c r="AN313" i="10"/>
  <c r="L313" i="10"/>
  <c r="H102" i="10"/>
  <c r="R108" i="10"/>
  <c r="J101" i="10"/>
  <c r="J313" i="10"/>
  <c r="AR261" i="10"/>
  <c r="AR108" i="10"/>
  <c r="Z108" i="10"/>
  <c r="X102" i="10"/>
  <c r="AP102" i="10"/>
  <c r="R313" i="10"/>
  <c r="P102" i="10"/>
  <c r="AR277" i="10"/>
  <c r="AR101" i="10"/>
  <c r="AF108" i="10"/>
  <c r="AR265" i="10"/>
  <c r="L101" i="10"/>
  <c r="AR271" i="10"/>
  <c r="AR279" i="10"/>
  <c r="AJ102" i="10"/>
  <c r="H108" i="10"/>
  <c r="R101" i="10"/>
  <c r="AD102" i="10"/>
  <c r="AR287" i="10"/>
  <c r="AN101" i="10"/>
  <c r="AP313" i="10"/>
  <c r="AF102" i="10"/>
  <c r="AR275" i="10"/>
  <c r="L108" i="10"/>
  <c r="T108" i="10"/>
  <c r="AN102" i="10"/>
  <c r="N101" i="10"/>
  <c r="AR285" i="10"/>
  <c r="N313" i="10"/>
  <c r="AL108" i="10"/>
  <c r="AR102" i="10"/>
  <c r="AR281" i="10"/>
  <c r="V102" i="10"/>
  <c r="AR289" i="10"/>
  <c r="AF101" i="10"/>
  <c r="Z102" i="10"/>
  <c r="L102" i="10"/>
  <c r="P101" i="10"/>
  <c r="AJ108" i="10"/>
  <c r="AH313" i="10"/>
  <c r="R102" i="10"/>
  <c r="AP108" i="10"/>
  <c r="X313" i="10"/>
  <c r="AE5" i="58839"/>
  <c r="AD56" i="58839"/>
  <c r="CC56" i="58839"/>
  <c r="CD5" i="58839"/>
  <c r="AR273" i="10" a="1"/>
  <c r="AT273" i="10"/>
  <c r="K314" i="10" a="1"/>
  <c r="AE314" i="10" a="1"/>
  <c r="AT108" i="10"/>
  <c r="AM314" i="10" a="1"/>
  <c r="AT312" i="10"/>
  <c r="G314" i="10" a="1"/>
  <c r="AR313" i="10" a="1"/>
  <c r="AQ313" i="10" a="1"/>
  <c r="AO314" i="10" a="1"/>
  <c r="M314" i="10" a="1"/>
  <c r="Q314" i="10" a="1"/>
  <c r="AT102" i="10"/>
  <c r="O314" i="10" a="1"/>
  <c r="U314" i="10" a="1"/>
  <c r="AG314" i="10" a="1"/>
  <c r="AA314" i="10" a="1"/>
  <c r="Y314" i="10" a="1"/>
  <c r="AI314" i="10" a="1"/>
  <c r="I314" i="10" a="1"/>
  <c r="AK314" i="10" a="1"/>
  <c r="W314" i="10" a="1"/>
  <c r="AT101" i="10"/>
  <c r="AC314" i="10" a="1"/>
  <c r="S314" i="10" a="1"/>
  <c r="S314" i="10" l="1"/>
  <c r="AC314" i="10"/>
  <c r="W314" i="10"/>
  <c r="AK314" i="10"/>
  <c r="I314" i="10"/>
  <c r="AI314" i="10"/>
  <c r="Y314" i="10"/>
  <c r="AA314" i="10"/>
  <c r="AG314" i="10"/>
  <c r="U314" i="10"/>
  <c r="O314" i="10"/>
  <c r="Q314" i="10"/>
  <c r="M314" i="10"/>
  <c r="AO314" i="10"/>
  <c r="AQ313" i="10"/>
  <c r="AR313" i="10"/>
  <c r="G314" i="10"/>
  <c r="AM314" i="10"/>
  <c r="AE314" i="10"/>
  <c r="K314" i="10"/>
  <c r="AR273" i="10"/>
  <c r="CD56" i="58839"/>
  <c r="CE5" i="58839"/>
  <c r="AF5" i="58839"/>
  <c r="AE56" i="58839"/>
  <c r="T314" i="10" a="1"/>
  <c r="AH314" i="10" a="1"/>
  <c r="H314" i="10" a="1"/>
  <c r="R314" i="10" a="1"/>
  <c r="J314" i="10" a="1"/>
  <c r="AP314" i="10" a="1"/>
  <c r="AQ314" i="10" a="1"/>
  <c r="AT313" i="10"/>
  <c r="AB314" i="10" a="1"/>
  <c r="AD314" i="10" a="1"/>
  <c r="V314" i="10" a="1"/>
  <c r="AN314" i="10" a="1"/>
  <c r="AL314" i="10" a="1"/>
  <c r="L314" i="10" a="1"/>
  <c r="Z314" i="10" a="1"/>
  <c r="X314" i="10" a="1"/>
  <c r="P314" i="10" a="1"/>
  <c r="AF314" i="10" a="1"/>
  <c r="N314" i="10" a="1"/>
  <c r="AJ314" i="10" a="1"/>
  <c r="AJ314" i="10" l="1"/>
  <c r="N314" i="10"/>
  <c r="AF314" i="10"/>
  <c r="P314" i="10"/>
  <c r="X314" i="10"/>
  <c r="Z314" i="10"/>
  <c r="L314" i="10"/>
  <c r="AL314" i="10"/>
  <c r="AN314" i="10"/>
  <c r="V314" i="10"/>
  <c r="AD314" i="10"/>
  <c r="AB314" i="10"/>
  <c r="AT314" i="10"/>
  <c r="AQ314" i="10"/>
  <c r="AP314" i="10"/>
  <c r="J314" i="10"/>
  <c r="R314" i="10"/>
  <c r="H314" i="10"/>
  <c r="AH314" i="10"/>
  <c r="T314" i="10"/>
  <c r="AF56" i="58839"/>
  <c r="AG5" i="58839"/>
  <c r="CF5" i="58839"/>
  <c r="CE56" i="58839"/>
  <c r="AR314" i="10" a="1"/>
  <c r="AR314" i="10" l="1"/>
  <c r="CG5" i="58839"/>
  <c r="CF56" i="58839"/>
  <c r="AG56" i="58839"/>
  <c r="AH5" i="58839"/>
  <c r="AH56" i="58839" l="1"/>
  <c r="AI5" i="58839"/>
  <c r="CH5" i="58839"/>
  <c r="CG56" i="58839"/>
  <c r="CI5" i="58839" l="1"/>
  <c r="CH56" i="58839"/>
  <c r="AJ5" i="58839"/>
  <c r="AI56" i="58839"/>
  <c r="AK5" i="58839" l="1"/>
  <c r="AJ56" i="58839"/>
  <c r="CJ5" i="58839"/>
  <c r="CI56" i="58839"/>
  <c r="CK5" i="58839" l="1"/>
  <c r="CJ56" i="58839"/>
  <c r="AL5" i="58839"/>
  <c r="AK56" i="58839"/>
  <c r="AM5" i="58839" l="1"/>
  <c r="AL56" i="58839"/>
  <c r="CK56" i="58839"/>
  <c r="CL5" i="58839"/>
  <c r="CL56" i="58839" l="1"/>
  <c r="CM5" i="58839"/>
  <c r="AN5" i="58839"/>
  <c r="AM56" i="58839"/>
  <c r="AN56" i="58839" l="1"/>
  <c r="AO5" i="58839"/>
  <c r="CN5" i="58839"/>
  <c r="CM56" i="58839"/>
  <c r="CO5" i="58839" l="1"/>
  <c r="CN56" i="58839"/>
  <c r="AO56" i="58839"/>
  <c r="AP5" i="58839"/>
  <c r="AP56" i="58839" l="1"/>
  <c r="AQ5" i="58839"/>
  <c r="CP5" i="58839"/>
  <c r="CO56" i="58839"/>
  <c r="CQ5" i="58839" l="1"/>
  <c r="CP56" i="58839"/>
  <c r="AR5" i="58839"/>
  <c r="AQ56" i="58839"/>
  <c r="AS5" i="58839" l="1"/>
  <c r="AR56" i="58839"/>
  <c r="CR5" i="58839"/>
  <c r="CQ56" i="58839"/>
  <c r="CS5" i="58839" l="1"/>
  <c r="CR56" i="58839"/>
  <c r="AT5" i="58839"/>
  <c r="AS56" i="58839"/>
  <c r="AU5" i="58839" l="1"/>
  <c r="AT56" i="58839"/>
  <c r="CS56" i="58839"/>
  <c r="CT5" i="58839"/>
  <c r="CT56" i="58839" l="1"/>
  <c r="CU5" i="58839"/>
  <c r="AV5" i="58839"/>
  <c r="AU56" i="58839"/>
  <c r="AV56" i="58839" l="1"/>
  <c r="AW5" i="58839"/>
  <c r="CV5" i="58839"/>
  <c r="CU56" i="58839"/>
  <c r="CW5" i="58839" l="1"/>
  <c r="CV56" i="58839"/>
  <c r="AW56" i="58839"/>
  <c r="AX5" i="58839"/>
  <c r="AX56" i="58839" l="1"/>
  <c r="AY5" i="58839"/>
  <c r="CX5" i="58839"/>
  <c r="CW56" i="58839"/>
  <c r="CY5" i="58839" l="1"/>
  <c r="CX56" i="58839"/>
  <c r="AZ5" i="58839"/>
  <c r="AY56" i="58839"/>
  <c r="BA5" i="58839" l="1"/>
  <c r="BA56" i="58839" s="1"/>
  <c r="AZ56" i="58839"/>
  <c r="CZ5" i="58839"/>
  <c r="CY56" i="58839"/>
  <c r="DA5" i="58839" l="1"/>
  <c r="DA56" i="58839" s="1"/>
  <c r="CZ56" i="588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PEREZ GIL, DIEGO</author>
  </authors>
  <commentList>
    <comment ref="AK22" authorId="0" shapeId="0" xr:uid="{800923C3-1A9F-4DAE-9F1C-1E8E407540B0}">
      <text/>
    </comment>
    <comment ref="G116" authorId="0" shapeId="0" xr:uid="{4A9D93CF-B42A-47DC-87F4-E7DC86839647}">
      <text/>
    </comment>
    <comment ref="I116" authorId="0" shapeId="0" xr:uid="{B28DAA2D-B109-4FEF-8733-E4B097896F63}">
      <text/>
    </comment>
    <comment ref="O122" authorId="0" shapeId="0" xr:uid="{7021ECB8-53B0-4ABA-99C4-E9E173AD9EBE}">
      <text/>
    </comment>
    <comment ref="S122" authorId="0" shapeId="0" xr:uid="{0BBA219A-26B8-4E7E-BB33-59EE379F5A8D}">
      <text/>
    </comment>
    <comment ref="M125" authorId="0" shapeId="0" xr:uid="{B038CFDE-159A-46CF-97A8-28EDDD854755}">
      <text/>
    </comment>
    <comment ref="O128" authorId="0" shapeId="0" xr:uid="{BCC4A0D9-4748-4F31-A2E4-AF4577F972B5}">
      <text/>
    </comment>
    <comment ref="S128" authorId="0" shapeId="0" xr:uid="{454CA81B-1600-4E13-B43B-2324C71172B0}">
      <text/>
    </comment>
    <comment ref="O134" authorId="0" shapeId="0" xr:uid="{63F50E84-324B-466D-A4EE-466A07470FCB}">
      <text/>
    </comment>
    <comment ref="AI143" authorId="0" shapeId="0" xr:uid="{6F9EC31E-B913-4E23-BCA9-92B8A3541AB3}">
      <text/>
    </comment>
    <comment ref="U149" authorId="0" shapeId="0" xr:uid="{A8BEC4A3-64CE-4FC9-B393-219EB7658724}">
      <text/>
    </comment>
    <comment ref="AI149" authorId="0" shapeId="0" xr:uid="{7E65B1D4-39EE-416A-BB8F-2A15E3279766}">
      <text/>
    </comment>
    <comment ref="U161" authorId="0" shapeId="0" xr:uid="{E591996D-AB00-4B88-8750-424A2D18EEBF}">
      <text>
        <r>
          <rPr>
            <sz val="9"/>
            <color indexed="81"/>
            <rFont val="Tahoma"/>
            <family val="2"/>
          </rPr>
          <t xml:space="preserve">
</t>
        </r>
      </text>
    </comment>
    <comment ref="AI161" authorId="0" shapeId="0" xr:uid="{4729DD2D-C7DA-4F83-9400-D03ED38C28B0}">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6A3C5B7-496C-064E-88F7-AAAB9DC65851}" keepAlive="1" name="Query - _IsoToDay" description="Connection to the '_IsoToDay' query in the workbook." type="5" refreshedVersion="0" background="1">
    <dbPr connection="Provider=Microsoft.Mashup.OleDb.1;Data Source=$Workbook$;Location=_IsoToDay;Extended Properties=&quot;&quot;" command="SELECT * FROM [_IsoToDay]"/>
  </connection>
  <connection id="2" xr16:uid="{D667D0CB-80F0-4FA6-A053-6960B0190464}" keepAlive="1" name="Query - _IsoWeek" description="Connection to the '_IsoWeek' query in the workbook." type="5" refreshedVersion="0" background="1">
    <dbPr connection="Provider=Microsoft.Mashup.OleDb.1;Data Source=$Workbook$;Location=_IsoWeek;Extended Properties=&quot;&quot;" command="SELECT * FROM [_IsoWeek]"/>
  </connection>
  <connection id="3" xr16:uid="{482BE8EC-BB88-4447-8CB5-398CAA143E75}" keepAlive="1" name="Query - AecAsgn" description="Connection to the 'AecAsgn' query in the workbook." type="5" refreshedVersion="0" background="1">
    <dbPr connection="Provider=Microsoft.Mashup.OleDb.1;Data Source=$Workbook$;Location=AecAsgn;Extended Properties=&quot;&quot;" command="SELECT * FROM [AecAsgn]"/>
  </connection>
  <connection id="4" xr16:uid="{368ADCA5-6C94-4ADF-BCA6-9C40A3E6116F}" keepAlive="1" name="Query - BdD1" description="Connection to the 'BdD1' query in the workbook." type="5" refreshedVersion="0" background="1">
    <dbPr connection="Provider=Microsoft.Mashup.OleDb.1;Data Source=$Workbook$;Location=BdD1;Extended Properties=&quot;&quot;" command="SELECT * FROM [BdD1]"/>
  </connection>
  <connection id="5" xr16:uid="{50B97C57-2296-48C3-A4CF-267FC847344F}" keepAlive="1" name="Query - CDc_Blc0" description="Connection to the 'CDc_Blc0' query in the workbook." type="5" refreshedVersion="0" background="1">
    <dbPr connection="Provider=Microsoft.Mashup.OleDb.1;Data Source=$Workbook$;Location=CDc_Blc0;Extended Properties=&quot;&quot;" command="SELECT * FROM [CDc_Blc0]"/>
  </connection>
  <connection id="6" xr16:uid="{BCF91179-AEFC-417E-832E-D64245F40570}" keepAlive="1" name="Query - Cnt0_XPE" description="Connection to the 'Cnt0_XPE' query in the workbook." type="5" refreshedVersion="0" background="1">
    <dbPr connection="Provider=Microsoft.Mashup.OleDb.1;Data Source=$Workbook$;Location=Cnt0_XPE;Extended Properties=&quot;&quot;" command="SELECT * FROM [Cnt0_XPE]"/>
  </connection>
  <connection id="7" xr16:uid="{EA9AF71A-B999-4366-BF98-4A04FE85039F}" keepAlive="1" name="Query - CstClcCur" description="Connection to the 'CstClcCur' query in the workbook." type="5" refreshedVersion="8" background="1" saveData="1">
    <dbPr connection="Provider=Microsoft.Mashup.OleDb.1;Data Source=$Workbook$;Location=CstClcCur;Extended Properties=&quot;&quot;" command="SELECT * FROM [CstClcCur]"/>
  </connection>
  <connection id="8" xr16:uid="{1A896D81-F20C-4877-B117-F2C00E03F91A}" keepAlive="1" name="Query - CstClcData" description="Connection to the 'CstClcData' query in the workbook." type="5" refreshedVersion="8" background="1" saveData="1">
    <dbPr connection="Provider=Microsoft.Mashup.OleDb.1;Data Source=$Workbook$;Location=CstClcData;Extended Properties=&quot;&quot;" command="SELECT * FROM [CstClcData]"/>
  </connection>
  <connection id="9" xr16:uid="{71D27A56-639E-46C8-A8BE-3D9EA4B0C1DF}" keepAlive="1" name="Query - CstClcTot" description="Connection to the 'CstClcTot' query in the workbook." type="5" refreshedVersion="0" background="1" saveData="1">
    <dbPr connection="Provider=Microsoft.Mashup.OleDb.1;Data Source=$Workbook$;Location=CstClcTot;Extended Properties=&quot;&quot;" command="SELECT * FROM [CstClcTot]"/>
  </connection>
  <connection id="10" xr16:uid="{EC796A77-700D-4909-8D65-15F99DC01F9B}" keepAlive="1" name="Query - CstGrpS" description="Connection to the 'CstGrpS' query in the workbook." type="5" refreshedVersion="8" background="1" saveData="1">
    <dbPr connection="Provider=Microsoft.Mashup.OleDb.1;Data Source=$Workbook$;Location=CstGrpS;Extended Properties=&quot;&quot;" command="SELECT * FROM [CstGrpS]"/>
  </connection>
  <connection id="11" xr16:uid="{799D21A3-4974-4772-94F5-5D79D763830B}" keepAlive="1" name="Query - CstS" description="Connection to the 'CstS' query in the workbook." type="5" refreshedVersion="0" background="1">
    <dbPr connection="Provider=Microsoft.Mashup.OleDb.1;Data Source=$Workbook$;Location=CstS;Extended Properties=&quot;&quot;" command="SELECT * FROM [CstS]"/>
  </connection>
  <connection id="12" xr16:uid="{FC15B922-2029-42C3-A9C5-E8D5AC5A14F4}" keepAlive="1" name="Query - CstTrkFil" description="Connection to the 'CstTrkFil' query in the workbook." type="5" refreshedVersion="8" background="1" saveData="1">
    <dbPr connection="Provider=Microsoft.Mashup.OleDb.1;Data Source=$Workbook$;Location=CstTrkFil;Extended Properties=&quot;&quot;" command="SELECT * FROM [CstTrkFil]"/>
  </connection>
  <connection id="13" xr16:uid="{1953F1C0-2A9E-477E-A15F-F9F691D01CC2}" name="Query - DetailsCst0" description="Connection to the 'DetailsCst0' query in the workbook." type="100" refreshedVersion="8" minRefreshableVersion="5">
    <extLst>
      <ext xmlns:x15="http://schemas.microsoft.com/office/spreadsheetml/2010/11/main" uri="{DE250136-89BD-433C-8126-D09CA5730AF9}">
        <x15:connection id="454afe33-d8dc-43ba-9012-e158fdc8e01a">
          <x15:oledbPr connection="Provider=Microsoft.Mashup.OleDb.1;Data Source=$Workbook$;Location=DetailsCst0;Extended Properties=&quot;&quot;">
            <x15:dbTables>
              <x15:dbTable name="DetailsCst0"/>
            </x15:dbTables>
          </x15:oledbPr>
        </x15:connection>
      </ext>
    </extLst>
  </connection>
  <connection id="14" xr16:uid="{4A03D748-29BF-4E32-A5C4-4FCA38A8A67A}" name="Query - DetailsCst1" description="Connection to the 'DetailsCst1' query in the workbook." type="100" refreshedVersion="8" minRefreshableVersion="5">
    <extLst>
      <ext xmlns:x15="http://schemas.microsoft.com/office/spreadsheetml/2010/11/main" uri="{DE250136-89BD-433C-8126-D09CA5730AF9}">
        <x15:connection id="da929cfd-c9ac-4318-bca9-06ebd9b815f2">
          <x15:oledbPr connection="Provider=Microsoft.Mashup.OleDb.1;Data Source=$Workbook$;Location=DetailsCst1;Extended Properties=&quot;&quot;">
            <x15:dbTables>
              <x15:dbTable name="DetailsCst1"/>
            </x15:dbTables>
          </x15:oledbPr>
        </x15:connection>
      </ext>
    </extLst>
  </connection>
  <connection id="15" xr16:uid="{62D5356F-229E-43D5-A110-F7076735CB72}" keepAlive="1" name="Query - DhB7" description="Connection to the 'DhB7' query in the workbook." type="5" refreshedVersion="8" background="1" saveData="1">
    <dbPr connection="Provider=Microsoft.Mashup.OleDb.1;Data Source=$Workbook$;Location=DhB7;Extended Properties=&quot;&quot;" command="SELECT * FROM [DhB7]"/>
  </connection>
  <connection id="16" xr16:uid="{3CE71B54-3E57-4105-AB09-3516E4436BBF}" keepAlive="1" name="Query - Exchg" description="Connection to the 'Exchg' query in the workbook." type="5" refreshedVersion="8" background="1" saveData="1">
    <dbPr connection="Provider=Microsoft.Mashup.OleDb.1;Data Source=$Workbook$;Location=Exchg;Extended Properties=&quot;&quot;" command="SELECT * FROM [Exchg]"/>
  </connection>
  <connection id="17" xr16:uid="{41D50C74-3FC4-43F8-84C5-D5E893A6F0B0}" keepAlive="1" name="Query - F_AD1" description="Connection to the 'F_AD1' query in the workbook." type="5" refreshedVersion="0" background="1" saveData="1">
    <dbPr connection="Provider=Microsoft.Mashup.OleDb.1;Data Source=$Workbook$;Location=F_AD1;Extended Properties=&quot;&quot;" command="SELECT * FROM [F_AD1]"/>
  </connection>
  <connection id="18" xr16:uid="{CD3B6814-B8AF-42AF-8430-4C0516FB2A07}" keepAlive="1" name="Query - F_AllDay" description="Connection to the 'F_AllDay' query in the workbook." type="5" refreshedVersion="0" background="1">
    <dbPr connection="Provider=Microsoft.Mashup.OleDb.1;Data Source=$Workbook$;Location=F_AllDay;Extended Properties=&quot;&quot;" command="SELECT * FROM [F_AllDay]"/>
  </connection>
  <connection id="19" xr16:uid="{476914A4-F25B-424F-B6EC-D413D0F236AC}" keepAlive="1" name="Query - F_AllDiff" description="Connection to the 'F_AllDiff' query in the workbook." type="5" refreshedVersion="8" background="1" saveData="1">
    <dbPr connection="Provider=Microsoft.Mashup.OleDb.1;Data Source=$Workbook$;Location=F_AllDiff;Extended Properties=&quot;&quot;" command="SELECT * FROM [F_AllDiff]"/>
  </connection>
  <connection id="20" xr16:uid="{E47398CB-DCF7-429E-822B-95132ED5A306}" keepAlive="1" name="Query - F_AllOFb" description="Connection to the 'F_AllOFb' query in the workbook." type="5" refreshedVersion="8" background="1" saveData="1">
    <dbPr connection="Provider=Microsoft.Mashup.OleDb.1;Data Source=$Workbook$;Location=F_AllOFb;Extended Properties=&quot;&quot;" command="SELECT * FROM [F_AllOFb]"/>
  </connection>
  <connection id="21" xr16:uid="{11FAA97A-1767-43C0-8421-BE402D20B2D9}" keepAlive="1" name="Query - F_AllOFb1" description="Connection to the 'F_AllOFb1' query in the workbook." type="5" refreshedVersion="8" background="1" saveData="1">
    <dbPr connection="Provider=Microsoft.Mashup.OleDb.1;Data Source=$Workbook$;Location=F_AllOFb1;Extended Properties=&quot;&quot;" command="SELECT * FROM [F_AllOFb1]"/>
  </connection>
  <connection id="22" xr16:uid="{99B718E2-E648-4B51-B8B8-85F6A8D3992D}" keepAlive="1" name="Query - F_AllPrj" description="Connection to the 'F_AllPrj' query in the workbook." type="5" refreshedVersion="0" background="1">
    <dbPr connection="Provider=Microsoft.Mashup.OleDb.1;Data Source=$Workbook$;Location=F_AllPrj;Extended Properties=&quot;&quot;" command="SELECT * FROM [F_AllPrj]"/>
  </connection>
  <connection id="23" xr16:uid="{FB0A0496-2DE6-401F-9833-F893542BF58B}" keepAlive="1" name="Query - F_AllQries" description="Connection to the 'F_AllQries' query in the workbook." type="5" refreshedVersion="8" background="1" saveData="1">
    <dbPr connection="Provider=Microsoft.Mashup.OleDb.1;Data Source=$Workbook$;Location=F_AllQries;Extended Properties=&quot;&quot;" command="SELECT * FROM [F_AllQries]"/>
  </connection>
  <connection id="24" xr16:uid="{80EB5CD2-73D9-4567-838A-20BA963EE14E}" keepAlive="1" name="Query - F_BN0" description="Connection to the 'F_BN0' query in the workbook." type="5" refreshedVersion="8" background="1" saveData="1">
    <dbPr connection="Provider=Microsoft.Mashup.OleDb.1;Data Source=$Workbook$;Location=F_BN0;Extended Properties=&quot;&quot;" command="SELECT * FROM [F_BN0]"/>
  </connection>
  <connection id="25" xr16:uid="{83150C5C-D6A8-4370-82C7-F5822BFCC8EA}" keepAlive="1" name="Query - F_BN09" description="Connection to the 'F_BN09' query in the workbook." type="5" refreshedVersion="8" background="1" saveData="1">
    <dbPr connection="Provider=Microsoft.Mashup.OleDb.1;Data Source=$Workbook$;Location=F_BN09;Extended Properties=&quot;&quot;" command="SELECT * FROM [F_BN09]"/>
  </connection>
  <connection id="26" xr16:uid="{A18B7114-7B28-1843-A843-6AEE38F2072E}" keepAlive="1" name="Query - F_BN1" description="Connection to the 'F_BN1' query in the workbook." type="5" refreshedVersion="8" background="1" saveData="1">
    <dbPr connection="Provider=Microsoft.Mashup.OleDb.1;Data Source=$Workbook$;Location=F_BN1;Extended Properties=&quot;&quot;" command="SELECT * FROM [F_BN1]"/>
  </connection>
  <connection id="27" xr16:uid="{5162908A-CAA3-44F6-A967-D114ABFFC169}" keepAlive="1" name="Query - F_BN2" description="Connection to the 'F_BN2' query in the workbook." type="5" refreshedVersion="8" background="1" saveData="1">
    <dbPr connection="Provider=Microsoft.Mashup.OleDb.1;Data Source=$Workbook$;Location=F_BN2;Extended Properties=&quot;&quot;" command="SELECT * FROM [F_BN2]"/>
  </connection>
  <connection id="28" xr16:uid="{2FF3EFBC-38F0-4B03-B2AB-1C06EB3F8204}" keepAlive="1" name="Query - F_BN3" description="Connection to the 'F_BN3' query in the workbook." type="5" refreshedVersion="0" background="1" saveData="1">
    <dbPr connection="Provider=Microsoft.Mashup.OleDb.1;Data Source=$Workbook$;Location=F_BN3;Extended Properties=&quot;&quot;" command="SELECT * FROM [F_BN3]"/>
  </connection>
  <connection id="29" xr16:uid="{DB64BD36-FF3B-4610-908C-23CC1F8AFD38}" keepAlive="1" name="Query - F_BN4" description="Connection to the 'F_BN4' query in the workbook." type="5" refreshedVersion="8" background="1" saveData="1">
    <dbPr connection="Provider=Microsoft.Mashup.OleDb.1;Data Source=$Workbook$;Location=F_BN4;Extended Properties=&quot;&quot;" command="SELECT * FROM [F_BN4]"/>
  </connection>
  <connection id="30" xr16:uid="{AA4310FB-02A6-4C64-9F89-53A66CB24C0C}" keepAlive="1" name="Query - F_BN5" description="Connection to the 'F_BN5' query in the workbook." type="5" refreshedVersion="0" background="1" saveData="1">
    <dbPr connection="Provider=Microsoft.Mashup.OleDb.1;Data Source=$Workbook$;Location=F_BN5;Extended Properties=&quot;&quot;" command="SELECT * FROM [F_BN5]"/>
  </connection>
  <connection id="31" xr16:uid="{D0798C75-4131-4B1A-8A40-2AABE21AFC69}" keepAlive="1" name="Query - F_BN6" description="Connection to the 'F_BN6' query in the workbook." type="5" refreshedVersion="8" background="1" saveData="1">
    <dbPr connection="Provider=Microsoft.Mashup.OleDb.1;Data Source=$Workbook$;Location=F_BN6;Extended Properties=&quot;&quot;" command="SELECT * FROM [F_BN6]"/>
  </connection>
  <connection id="32" xr16:uid="{9655C472-61DF-4C2A-AA9A-96332C7C87E5}" keepAlive="1" name="Query - F_BN7" description="Connection to the 'F_BN7' query in the workbook." type="5" refreshedVersion="0" background="1" saveData="1">
    <dbPr connection="Provider=Microsoft.Mashup.OleDb.1;Data Source=$Workbook$;Location=F_BN7;Extended Properties=&quot;&quot;" command="SELECT * FROM [F_BN7]"/>
  </connection>
  <connection id="33" xr16:uid="{7E996905-A2CB-7449-9F0F-88BFD634C662}" keepAlive="1" name="Query - F_BN8" description="Connection to the 'F_BN8' query in the workbook." type="5" refreshedVersion="8" background="1" saveData="1">
    <dbPr connection="Provider=Microsoft.Mashup.OleDb.1;Data Source=$Workbook$;Location=F_BN8;Extended Properties=&quot;&quot;" command="SELECT * FROM [F_BN8]"/>
  </connection>
  <connection id="34" xr16:uid="{97166583-42A8-404F-8C22-AF8458E7A319}" keepAlive="1" name="Query - F_ED0" description="Connection to the 'F_ED0' query in the workbook." type="5" refreshedVersion="8" background="1" saveData="1">
    <dbPr connection="Provider=Microsoft.Mashup.OleDb.1;Data Source=$Workbook$;Location=F_ED0;Extended Properties=&quot;&quot;" command="SELECT * FROM [F_ED0]"/>
  </connection>
  <connection id="35" xr16:uid="{C1D9670F-7894-485E-B396-658343D7A2D4}" keepAlive="1" name="Query - F_OFbDates" description="Connection to the 'F_OFbDates' query in the workbook." type="5" refreshedVersion="8" background="1" saveData="1">
    <dbPr connection="Provider=Microsoft.Mashup.OleDb.1;Data Source=$Workbook$;Location=F_OFbDates;Extended Properties=&quot;&quot;" command="SELECT * FROM [F_OFbDates]"/>
  </connection>
  <connection id="36" xr16:uid="{8D604FB9-68DD-4773-9215-87E4660C34D3}" keepAlive="1" name="Query - F_PI0" description="Connection to the 'F_PI0' query in the workbook." type="5" refreshedVersion="0" background="1">
    <dbPr connection="Provider=Microsoft.Mashup.OleDb.1;Data Source=$Workbook$;Location=F_PI0;Extended Properties=&quot;&quot;" command="SELECT * FROM [F_PI0]"/>
  </connection>
  <connection id="37" xr16:uid="{84ACA185-8CD6-4A70-8A36-6519AC3081AF}" keepAlive="1" name="Query - F_PI1" description="Connection to the 'F_PI1' query in the workbook." type="5" refreshedVersion="0" background="1">
    <dbPr connection="Provider=Microsoft.Mashup.OleDb.1;Data Source=$Workbook$;Location=F_PI1;Extended Properties=&quot;&quot;" command="SELECT * FROM [F_PI1]"/>
  </connection>
  <connection id="38" xr16:uid="{B7E96903-6D66-4F35-A464-998920FDB897}" keepAlive="1" name="Query - F_PI2" description="Connection to the 'F_PI2' query in the workbook." type="5" refreshedVersion="8" background="1" saveData="1">
    <dbPr connection="Provider=Microsoft.Mashup.OleDb.1;Data Source=$Workbook$;Location=F_PI2;Extended Properties=&quot;&quot;" command="SELECT * FROM [F_PI2]"/>
  </connection>
  <connection id="39" xr16:uid="{1864324D-043B-4EF8-BC4A-AFA6BA887EA7}" keepAlive="1" name="Query - F_PrtMax" description="Connection to the 'F_PrtMax' query in the workbook." type="5" refreshedVersion="0" background="1">
    <dbPr connection="Provider=Microsoft.Mashup.OleDb.1;Data Source=$Workbook$;Location=F_PrtMax;Extended Properties=&quot;&quot;" command="SELECT * FROM [F_PrtMax]"/>
  </connection>
  <connection id="40" xr16:uid="{694DF986-A0C6-4CCA-B010-7DABDD560A3A}" keepAlive="1" name="Query - F_RT00" description="Connection to the 'F_RT00' query in the workbook." type="5" refreshedVersion="0" background="1">
    <dbPr connection="Provider=Microsoft.Mashup.OleDb.1;Data Source=$Workbook$;Location=F_RT00;Extended Properties=&quot;&quot;" command="SELECT * FROM [F_RT00]"/>
  </connection>
  <connection id="41" xr16:uid="{D1FC78B9-2F89-475F-9EC5-A6F476D83565}" keepAlive="1" name="Query - F_RT01" description="Connection to the 'F_RT01' query in the workbook." type="5" refreshedVersion="0" background="1">
    <dbPr connection="Provider=Microsoft.Mashup.OleDb.1;Data Source=$Workbook$;Location=F_RT01;Extended Properties=&quot;&quot;" command="SELECT * FROM [F_RT01]"/>
  </connection>
  <connection id="42" xr16:uid="{5F19A5C0-0E50-41E9-8461-34C26062FD67}" keepAlive="1" name="Query - F_RT02" description="Connection to the 'F_RT02' query in the workbook." type="5" refreshedVersion="0" background="1">
    <dbPr connection="Provider=Microsoft.Mashup.OleDb.1;Data Source=$Workbook$;Location=F_RT02;Extended Properties=&quot;&quot;" command="SELECT * FROM [F_RT02]"/>
  </connection>
  <connection id="43" xr16:uid="{15E2C079-B87C-47C6-B078-A1150A0A38F7}" keepAlive="1" name="Query - F_RT03" description="Connection to the 'F_RT03' query in the workbook." type="5" refreshedVersion="0" background="1">
    <dbPr connection="Provider=Microsoft.Mashup.OleDb.1;Data Source=$Workbook$;Location=F_RT03;Extended Properties=&quot;&quot;" command="SELECT * FROM [F_RT03]"/>
  </connection>
  <connection id="44" xr16:uid="{B9D58978-782E-4190-A030-0D3B5E8C739A}" keepAlive="1" name="Query - F_RT04" description="Connection to the 'F_RT04' query in the workbook." type="5" refreshedVersion="8" background="1" saveData="1">
    <dbPr connection="Provider=Microsoft.Mashup.OleDb.1;Data Source=$Workbook$;Location=F_RT04;Extended Properties=&quot;&quot;" command="SELECT * FROM [F_RT04]"/>
  </connection>
  <connection id="45" xr16:uid="{9A3667BB-37A5-4002-B587-EF4546AA9F75}" keepAlive="1" name="Query - F_RT05" description="Connection to the 'F_RT05' query in the workbook." type="5" refreshedVersion="0" background="1">
    <dbPr connection="Provider=Microsoft.Mashup.OleDb.1;Data Source=$Workbook$;Location=F_RT05;Extended Properties=&quot;&quot;" command="SELECT * FROM [F_RT05]"/>
  </connection>
  <connection id="46" xr16:uid="{D4238E31-7D85-4F80-A10D-2B0D4BFA510F}" keepAlive="1" name="Query - F_RT06" description="Connection to the 'F_RT06' query in the workbook." type="5" refreshedVersion="8" background="1" saveData="1">
    <dbPr connection="Provider=Microsoft.Mashup.OleDb.1;Data Source=$Workbook$;Location=F_RT06;Extended Properties=&quot;&quot;" command="SELECT * FROM [F_RT06]"/>
  </connection>
  <connection id="47" xr16:uid="{0C0931E4-F528-42E1-B243-92ADD31315EE}" keepAlive="1" name="Query - F_RT07" description="Connection to the 'F_RT07' query in the workbook." type="5" refreshedVersion="0" background="1">
    <dbPr connection="Provider=Microsoft.Mashup.OleDb.1;Data Source=$Workbook$;Location=F_RT07;Extended Properties=&quot;&quot;" command="SELECT * FROM [F_RT07]"/>
  </connection>
  <connection id="48" xr16:uid="{B6389495-3A83-4EF5-851D-D988658C39AB}" keepAlive="1" name="Query - F_RT08" description="Connection to the 'F_RT08' query in the workbook." type="5" refreshedVersion="0" background="1" saveData="1">
    <dbPr connection="Provider=Microsoft.Mashup.OleDb.1;Data Source=$Workbook$;Location=F_RT08;Extended Properties=&quot;&quot;" command="SELECT * FROM [F_RT08]"/>
  </connection>
  <connection id="49" xr16:uid="{AD3D888C-216E-4D36-8D00-99746CDF9F3F}" keepAlive="1" name="Query - F_RT09" description="Connection to the 'F_RT09' query in the workbook." type="5" refreshedVersion="8" background="1" saveData="1">
    <dbPr connection="Provider=Microsoft.Mashup.OleDb.1;Data Source=$Workbook$;Location=F_RT09;Extended Properties=&quot;&quot;" command="SELECT * FROM [F_RT09]"/>
  </connection>
  <connection id="50" xr16:uid="{9AD86E5A-A773-4A1E-B4F4-FA66441E088D}" keepAlive="1" name="Query - F_RT10" description="Connection to the 'F_RT10' query in the workbook." type="5" refreshedVersion="8" background="1" saveData="1">
    <dbPr connection="Provider=Microsoft.Mashup.OleDb.1;Data Source=$Workbook$;Location=F_RT10;Extended Properties=&quot;&quot;" command="SELECT * FROM [F_RT10]"/>
  </connection>
  <connection id="51" xr16:uid="{13552DF9-1617-447C-9006-17682307F265}" keepAlive="1" name="Query - F_RT11" description="Connection to the 'F_RT11' query in the workbook." type="5" refreshedVersion="0" background="1">
    <dbPr connection="Provider=Microsoft.Mashup.OleDb.1;Data Source=$Workbook$;Location=F_RT11;Extended Properties=&quot;&quot;" command="SELECT * FROM [F_RT11]"/>
  </connection>
  <connection id="52" xr16:uid="{11D4FD57-CDBF-4A63-9777-0BEDA1E2A46F}" keepAlive="1" name="Query - F_RT13" description="Connection to the 'F_RT13' query in the workbook." type="5" refreshedVersion="8" background="1" saveData="1">
    <dbPr connection="Provider=Microsoft.Mashup.OleDb.1;Data Source=$Workbook$;Location=F_RT13;Extended Properties=&quot;&quot;" command="SELECT * FROM [F_RT13]"/>
  </connection>
  <connection id="53" xr16:uid="{F6CF48D8-C050-4269-854C-0FA60A60B3AF}" keepAlive="1" name="Query - F_RT14" description="Connection to the 'F_RT14' query in the workbook." type="5" refreshedVersion="8" background="1" saveData="1">
    <dbPr connection="Provider=Microsoft.Mashup.OleDb.1;Data Source=$Workbook$;Location=F_RT14;Extended Properties=&quot;&quot;" command="SELECT * FROM [F_RT14]"/>
  </connection>
  <connection id="54" xr16:uid="{21EA2C25-08E7-4031-BA81-0B62E208543B}" keepAlive="1" name="Query - F_RT15" description="Connection to the 'F_RT15' query in the workbook." type="5" refreshedVersion="8" background="1" saveData="1">
    <dbPr connection="Provider=Microsoft.Mashup.OleDb.1;Data Source=$Workbook$;Location=F_RT15;Extended Properties=&quot;&quot;" command="SELECT * FROM [F_RT15]"/>
  </connection>
  <connection id="55" xr16:uid="{29B44186-5217-4E2B-AFFE-74EF51D8BCEB}" keepAlive="1" name="Query - FiLOFb1" description="Connection to the 'FiLOFb1' query in the workbook." type="5" refreshedVersion="0" background="1">
    <dbPr connection="Provider=Microsoft.Mashup.OleDb.1;Data Source=$Workbook$;Location=FiLOFb1;Extended Properties=&quot;&quot;" command="SELECT * FROM [FiLOFb1]"/>
  </connection>
  <connection id="56" xr16:uid="{BB8C64A5-E95F-42CB-909C-82FB88691A7B}" keepAlive="1" name="Query - FiLOFb5" description="Connection to the 'FiLOFb5' query in the workbook." type="5" refreshedVersion="8" background="1" saveData="1">
    <dbPr connection="Provider=Microsoft.Mashup.OleDb.1;Data Source=$Workbook$;Location=FiLOFb5;Extended Properties=&quot;&quot;" command="SELECT * FROM [FiLOFb5]"/>
  </connection>
  <connection id="57" xr16:uid="{11D4FD57-CDBF-4A63-9777-0BEDA1E2A46F}" keepAlive="1" name="Query - FilRT11" description="Connection to the 'FilRT11' query in the workbook." type="5" refreshedVersion="8" background="1" saveData="1">
    <dbPr connection="Provider=Microsoft.Mashup.OleDb.1;Data Source=$Workbook$;Location=FilRT11;Extended Properties=&quot;&quot;" command="SELECT * FROM [FilRT11]"/>
  </connection>
  <connection id="58" xr16:uid="{ED15B482-B0C2-462B-99C1-F7C0A5C7F5F0}" keepAlive="1" name="Query - FrmAll" description="Connection to the 'FrmAll' query in the workbook." type="5" refreshedVersion="8" background="1" saveData="1">
    <dbPr connection="Provider=Microsoft.Mashup.OleDb.1;Data Source=$Workbook$;Location=FrmAll;Extended Properties=&quot;&quot;" command="SELECT * FROM [FrmAll]"/>
  </connection>
  <connection id="59" xr16:uid="{0E240DA4-4CE5-4F09-AE62-3BD790966826}" keepAlive="1" name="Query - FrmBB_2" description="Connection to the 'FrmBB_2' query in the workbook." type="5" refreshedVersion="8" background="1" saveData="1">
    <dbPr connection="Provider=Microsoft.Mashup.OleDb.1;Data Source=$Workbook$;Location=FrmBB_2;Extended Properties=&quot;&quot;" command="SELECT * FROM [FrmBB_2]"/>
  </connection>
  <connection id="60" xr16:uid="{0E454909-A805-4F82-85EB-3B3EF53667B2}" keepAlive="1" name="Query - FrmBB0" description="Connection to the 'FrmBB0' query in the workbook." type="5" refreshedVersion="0" background="1">
    <dbPr connection="Provider=Microsoft.Mashup.OleDb.1;Data Source=$Workbook$;Location=FrmBB0;Extended Properties=&quot;&quot;" command="SELECT * FROM [FrmBB0]"/>
  </connection>
  <connection id="61" xr16:uid="{4D6A83FE-028A-4104-B906-3FEF2BD1E431}" keepAlive="1" name="Query - FrmBB1" description="Connection to the 'FrmBB1' query in the workbook." type="5" refreshedVersion="8" background="1" saveData="1">
    <dbPr connection="Provider=Microsoft.Mashup.OleDb.1;Data Source=$Workbook$;Location=FrmBB1;Extended Properties=&quot;&quot;" command="SELECT * FROM [FrmBB1]"/>
  </connection>
  <connection id="62" xr16:uid="{B6739E0D-FD15-40BB-85EB-B3C2AD18B7BA}" keepAlive="1" name="Query - FrmBH0" description="Connection to the 'FrmBH0' query in the workbook." type="5" refreshedVersion="8" background="1" saveData="1">
    <dbPr connection="Provider=Microsoft.Mashup.OleDb.1;Data Source=$Workbook$;Location=FrmBH0;Extended Properties=&quot;&quot;" command="SELECT * FROM [FrmBH0]"/>
  </connection>
  <connection id="63" xr16:uid="{14AE9895-D5E6-465F-8D50-8DF4CC9149C2}" keepAlive="1" name="Query - FrmBH1(1)" description="Connection to the 'FrmBH1' query in the workbook." type="5" refreshedVersion="0" background="1">
    <dbPr connection="Provider=Microsoft.Mashup.OleDb.1;Data Source=$Workbook$;Location=FrmBH1;Extended Properties=&quot;&quot;" command="SELECT * FROM [FrmBH1]"/>
  </connection>
  <connection id="64" xr16:uid="{EAE86227-B02C-48B8-97A9-C35477849B22}" keepAlive="1" name="Query - FrmBH2" description="Connection to the 'FrmBH2' query in the workbook." type="5" refreshedVersion="0" background="1">
    <dbPr connection="Provider=Microsoft.Mashup.OleDb.1;Data Source=$Workbook$;Location=FrmBH2;Extended Properties=&quot;&quot;" command="SELECT * FROM [FrmBH2]"/>
  </connection>
  <connection id="65" xr16:uid="{CB992DCF-25C0-4412-B84C-250CB9216DFE}" keepAlive="1" name="Query - FrmBH3" description="Connection to the 'FrmBH3' query in the workbook." type="5" refreshedVersion="8" background="1" saveData="1">
    <dbPr connection="Provider=Microsoft.Mashup.OleDb.1;Data Source=$Workbook$;Location=FrmBH3;Extended Properties=&quot;&quot;" command="SELECT * FROM [FrmBH3]"/>
  </connection>
  <connection id="66" xr16:uid="{0132D799-98E0-449D-B13C-C62F59DE892A}" keepAlive="1" name="Query - GEn_Exp0" description="Connection to the 'GEn_Exp0' query in the workbook." type="5" refreshedVersion="0" background="1">
    <dbPr connection="Provider=Microsoft.Mashup.OleDb.1;Data Source=$Workbook$;Location=GEn_Exp0;Extended Properties=&quot;&quot;" command="SELECT * FROM [GEn_Exp0]"/>
  </connection>
  <connection id="67" xr16:uid="{B39DBB29-2BE6-4B5B-9FA1-6676339FA518}" keepAlive="1" name="Query - GtmpRates" description="Connection to the 'GtmpRates' query in the workbook." type="5" refreshedVersion="8" background="1" saveData="1">
    <dbPr connection="Provider=Microsoft.Mashup.OleDb.1;Data Source=$Workbook$;Location=GtmpRates;Extended Properties=&quot;&quot;" command="SELECT * FROM [GtmpRates]"/>
  </connection>
  <connection id="68" xr16:uid="{C9928132-2460-4909-AAFF-9CB5BB5C8BFA}" keepAlive="1" name="Query - GtoCua" description="Connection to the 'GtoCua' query in the workbook." type="5" refreshedVersion="0" background="1">
    <dbPr connection="Provider=Microsoft.Mashup.OleDb.1;Data Source=$Workbook$;Location=GtoCua;Extended Properties=&quot;&quot;" command="SELECT * FROM [GtoCua]"/>
  </connection>
  <connection id="69" xr16:uid="{6ACC9421-AA16-0142-8DDF-0E99AAE8BFB9}" keepAlive="1" name="Query - Limits(1)" description="Connection to the 'Limits' query in the workbook." type="5" refreshedVersion="8" background="1" saveData="1">
    <dbPr connection="Provider=Microsoft.Mashup.OleDb.1;Data Source=$Workbook$;Location=Limits;Extended Properties=&quot;&quot;" command="SELECT * FROM [Limits]"/>
  </connection>
  <connection id="70" xr16:uid="{90116E05-EA2A-4183-8555-D85F6E2CC7FF}" keepAlive="1" name="Query - NFbNst0" description="Connection to the 'NFbNst0' query in the workbook." type="5" refreshedVersion="0" background="1">
    <dbPr connection="Provider=Microsoft.Mashup.OleDb.1;Data Source=$Workbook$;Location=NFbNst0;Extended Properties=&quot;&quot;" command="SELECT * FROM [NFbNst0]"/>
  </connection>
  <connection id="71" xr16:uid="{248AA9E2-52F0-4BF0-B71A-3CC8653749D9}" keepAlive="1" name="Query - OFb_Cst0" description="Connection to the 'OFb_Cst0' query in the workbook." type="5" refreshedVersion="0" background="1">
    <dbPr connection="Provider=Microsoft.Mashup.OleDb.1;Data Source=$Workbook$;Location=OFb_Cst0;Extended Properties=&quot;&quot;" command="SELECT * FROM [OFb_Cst0]"/>
  </connection>
  <connection id="72" xr16:uid="{0BD9F1EA-D69C-4E35-B7B1-87EC639D27D2}" keepAlive="1" name="Query - OFb_Cst1" description="Connection to the 'OFb_Cst1' query in the workbook." type="5" refreshedVersion="0" background="1">
    <dbPr connection="Provider=Microsoft.Mashup.OleDb.1;Data Source=$Workbook$;Location=OFb_Cst1;Extended Properties=&quot;&quot;" command="SELECT * FROM [OFb_Cst1]"/>
  </connection>
  <connection id="73" xr16:uid="{7AAC8CC1-C0A1-4E4B-AE11-84F253EBF63F}" keepAlive="1" name="Query - OFb_Xpe0" description="Connection to the 'OFb_Xpe0' query in the workbook." type="5" refreshedVersion="0" background="1">
    <dbPr connection="Provider=Microsoft.Mashup.OleDb.1;Data Source=$Workbook$;Location=OFb_Xpe0;Extended Properties=&quot;&quot;" command="SELECT * FROM [OFb_Xpe0]"/>
  </connection>
  <connection id="74" xr16:uid="{C4176FBE-0814-48DA-9299-F1847F0588DF}" keepAlive="1" name="Query - OFb_Xpe1" description="Connection to the 'OFb_Xpe1' query in the workbook." type="5" refreshedVersion="8" background="1" saveData="1">
    <dbPr connection="Provider=Microsoft.Mashup.OleDb.1;Data Source=$Workbook$;Location=OFb_Xpe1;Extended Properties=&quot;&quot;" command="SELECT * FROM [OFb_Xpe1]"/>
  </connection>
  <connection id="75" xr16:uid="{0E57BD3E-D827-3C48-9162-E9ABFEFF442B}" keepAlive="1" name="Query - OFb_Xpe2" description="Connection to the 'OFb_Xpe2' query in the workbook." type="5" refreshedVersion="0" background="1">
    <dbPr connection="Provider=Microsoft.Mashup.OleDb.1;Data Source=$Workbook$;Location=OFb_Xpe2;Extended Properties=&quot;&quot;" command="SELECT * FROM [OFb_Xpe2]"/>
  </connection>
  <connection id="76" xr16:uid="{A226AE77-E036-48E6-BCC1-90580616D96C}" keepAlive="1" name="Query - P_Sel0" description="Connection to the 'P_Sel0' query in the workbook." type="5" refreshedVersion="0" background="1">
    <dbPr connection="Provider=Microsoft.Mashup.OleDb.1;Data Source=$Workbook$;Location=P_Sel0;Extended Properties=&quot;&quot;" command="SELECT * FROM [P_Sel0]"/>
  </connection>
  <connection id="77" xr16:uid="{FB9E9984-90CF-4631-AF28-3A89D5AD2AB1}" keepAlive="1" name="Query - P_SelDate" description="Connection to the 'P_SelDate' query in the workbook." type="5" refreshedVersion="8" background="1" saveData="1">
    <dbPr connection="Provider=Microsoft.Mashup.OleDb.1;Data Source=$Workbook$;Location=P_SelDate;Extended Properties=&quot;&quot;" command="SELECT * FROM [P_SelDate]"/>
  </connection>
  <connection id="78" xr16:uid="{85E1787B-8031-40CC-BAE5-3CF1258C24D2}" keepAlive="1" name="Query - P_SelPrj" description="Connection to the 'P_SelPrj' query in the workbook." type="5" refreshedVersion="8" background="1" saveData="1">
    <dbPr connection="Provider=Microsoft.Mashup.OleDb.1;Data Source=$Workbook$;Location=P_SelPrj;Extended Properties=&quot;&quot;" command="SELECT * FROM [P_SelPrj]"/>
  </connection>
  <connection id="79" xr16:uid="{298DC523-7C64-41B0-BB45-7ADDADDF548D}" keepAlive="1" name="Query - P_Txt" description="Connection to the 'P_Txt' query in the workbook." type="5" refreshedVersion="0" background="1">
    <dbPr connection="Provider=Microsoft.Mashup.OleDb.1;Data Source=$Workbook$;Location=P_Txt;Extended Properties=&quot;&quot;" command="SELECT * FROM [P_Txt]"/>
  </connection>
  <connection id="80" xr16:uid="{2A58B69A-AB7A-4947-9BBD-0692907D1F0E}" keepAlive="1" name="Query - P_Xlsx" description="Connection to the 'P_Xlsx' query in the workbook." type="5" refreshedVersion="0" background="1">
    <dbPr connection="Provider=Microsoft.Mashup.OleDb.1;Data Source=$Workbook$;Location=P_Xlsx;Extended Properties=&quot;&quot;" command="SELECT * FROM [P_Xlsx]"/>
  </connection>
  <connection id="81" xr16:uid="{05CB18D4-6D2C-403C-9D7D-1550E439BCDF}" keepAlive="1" name="Query - PInt2" description="Connection to the 'PInt2' query in the workbook." type="5" refreshedVersion="8" background="1" saveData="1">
    <dbPr connection="Provider=Microsoft.Mashup.OleDb.1;Data Source=$Workbook$;Location=PInt2;Extended Properties=&quot;&quot;" command="SELECT * FROM [PInt2]"/>
  </connection>
  <connection id="82" xr16:uid="{0C70C391-C724-45D2-8407-E341961C3387}" keepAlive="1" name="Query - S_Txt" description="Connection to the 'S_Txt' query in the workbook." type="5" refreshedVersion="0" background="1">
    <dbPr connection="Provider=Microsoft.Mashup.OleDb.1;Data Source=$Workbook$;Location=S_Txt;Extended Properties=&quot;&quot;" command="SELECT * FROM [S_Txt]"/>
  </connection>
  <connection id="83" xr16:uid="{3FB29BA4-4CCF-4544-999F-AE4113245A6F}" keepAlive="1" name="Query - S_Xlsx" description="Connection to the 'S_Xlsx' query in the workbook." type="5" refreshedVersion="0" background="1">
    <dbPr connection="Provider=Microsoft.Mashup.OleDb.1;Data Source=$Workbook$;Location=S_Xlsx;Extended Properties=&quot;&quot;" command="SELECT * FROM [S_Xlsx]"/>
  </connection>
  <connection id="84" xr16:uid="{579096A5-0FE4-4B49-A26D-2626B602D23B}" keepAlive="1" name="Query - SchPdt0" description="Connection to the 'SchPdt0' query in the workbook." type="5" refreshedVersion="8" background="1" saveData="1">
    <dbPr connection="Provider=Microsoft.Mashup.OleDb.1;Data Source=$Workbook$;Location=SchPdt0;Extended Properties=&quot;&quot;" command="SELECT * FROM [SchPdt0]"/>
  </connection>
  <connection id="85" xr16:uid="{07A45DF8-57BB-4EF6-9EB4-4022A415B33C}" keepAlive="1" name="Query - SchPdt1" description="Connection to the 'SchPdt1' query in the workbook." type="5" refreshedVersion="8" background="1" saveData="1">
    <dbPr connection="Provider=Microsoft.Mashup.OleDb.1;Data Source=$Workbook$;Location=SchPdt1;Extended Properties=&quot;&quot;" command="SELECT * FROM [SchPdt1]"/>
  </connection>
  <connection id="86" xr16:uid="{D03F2DC4-9990-45B9-87EE-1D9FC5F2D38F}" keepAlive="1" name="Query - SchPdt2(1)" description="Connection to the 'SchPdt2' query in the workbook." type="5" refreshedVersion="8" background="1" saveData="1">
    <dbPr connection="Provider=Microsoft.Mashup.OleDb.1;Data Source=$Workbook$;Location=SchPdt2;Extended Properties=&quot;&quot;" command="SELECT * FROM [SchPdt2]"/>
  </connection>
  <connection id="87" xr16:uid="{7DE844B7-E524-4E9B-8C8E-28C133A7D576}" keepAlive="1" name="Query - SchPdt3" description="Connection to the 'SchPdt3' query in the workbook." type="5" refreshedVersion="8" background="1" saveData="1">
    <dbPr connection="Provider=Microsoft.Mashup.OleDb.1;Data Source=$Workbook$;Location=SchPdt3;Extended Properties=&quot;&quot;" command="SELECT * FROM [SchPdt3]"/>
  </connection>
  <connection id="88" xr16:uid="{383EBDBD-7CE1-4DAC-B506-78D366000C6A}" keepAlive="1" name="Query - T_Txt" description="Connection to the 'T_Txt' query in the workbook." type="5" refreshedVersion="0" background="1">
    <dbPr connection="Provider=Microsoft.Mashup.OleDb.1;Data Source=$Workbook$;Location=T_Txt;Extended Properties=&quot;&quot;" command="SELECT * FROM [T_Txt]"/>
  </connection>
  <connection id="89" xr16:uid="{6EBB0336-3472-42C6-B84B-B5C9B0729921}" keepAlive="1" name="Query - T_Xlsx" description="Connection to the 'T_Xlsx' query in the workbook." type="5" refreshedVersion="0" background="1">
    <dbPr connection="Provider=Microsoft.Mashup.OleDb.1;Data Source=$Workbook$;Location=T_Xlsx;Extended Properties=&quot;&quot;" command="SELECT * FROM [T_Xlsx]"/>
  </connection>
  <connection id="90" xr16:uid="{92C83F96-2403-488F-BCAA-3C01477B3257}" keepAlive="1" name="Query - TbAsg0" description="Connection to the 'TbAsg0' query in the workbook." type="5" refreshedVersion="0" background="1">
    <dbPr connection="Provider=Microsoft.Mashup.OleDb.1;Data Source=$Workbook$;Location=TbAsg0;Extended Properties=&quot;&quot;" command="SELECT * FROM [TbAsg0]"/>
  </connection>
  <connection id="91" xr16:uid="{070806A5-AE72-49A4-ABA3-E869530F43D7}" keepAlive="1" name="Query - TbAsg1" description="Connection to the 'TbAsg1' query in the workbook." type="5" refreshedVersion="8" background="1" saveData="1">
    <dbPr connection="Provider=Microsoft.Mashup.OleDb.1;Data Source=$Workbook$;Location=TbAsg1;Extended Properties=&quot;&quot;" command="SELECT * FROM [TbAsg1]"/>
  </connection>
  <connection id="92" xr16:uid="{5E3849B4-229D-4364-BBFC-0C78952C79BB}" keepAlive="1" name="Query - TbAsg2" description="Connection to the 'TbAsg2' query in the workbook." type="5" refreshedVersion="0" background="1">
    <dbPr connection="Provider=Microsoft.Mashup.OleDb.1;Data Source=$Workbook$;Location=TbAsg2;Extended Properties=&quot;&quot;" command="SELECT * FROM [TbAsg2]"/>
  </connection>
  <connection id="93" xr16:uid="{D4870F47-A5FD-4D76-A411-B00A45B4C124}" keepAlive="1" name="Query - TbAssign" description="Connection to the 'TbAssign' query in the workbook." type="5" refreshedVersion="0" background="1">
    <dbPr connection="Provider=Microsoft.Mashup.OleDb.1;Data Source=$Workbook$;Location=TbAssign;Extended Properties=&quot;&quot;" command="SELECT * FROM [TbAssign]"/>
  </connection>
  <connection id="94" xr16:uid="{446A493F-0C81-4D1A-B877-5F9558728A8B}" keepAlive="1" name="Query - TbGraph5 (2)" description="Connection to the 'TbGraph5 (2)' query in the workbook." type="5" refreshedVersion="8" background="1" saveData="1">
    <dbPr connection="Provider=Microsoft.Mashup.OleDb.1;Data Source=$Workbook$;Location=&quot;TbGraph5 (2)&quot;;Extended Properties=&quot;&quot;" command="SELECT * FROM [TbGraph5 (2)]"/>
  </connection>
  <connection id="95" xr16:uid="{8E349E2C-27C1-4C98-B3E5-1B6A4FCA3156}" keepAlive="1" name="Query - TbMacro" description="Connection to the 'TbMacro' query in the workbook." type="5" refreshedVersion="0" background="1">
    <dbPr connection="Provider=Microsoft.Mashup.OleDb.1;Data Source=$Workbook$;Location=TbMacro;Extended Properties=&quot;&quot;" command="SELECT * FROM [TbMacro]"/>
  </connection>
  <connection id="96" xr16:uid="{A37D1635-BD11-4E3A-AF57-EB345C4F1CC5}" keepAlive="1" name="Query - TbPpto" description="Connection to the 'TbPpto' query in the workbook." type="5" refreshedVersion="0" background="1">
    <dbPr connection="Provider=Microsoft.Mashup.OleDb.1;Data Source=$Workbook$;Location=TbPpto;Extended Properties=&quot;&quot;" command="SELECT * FROM [TbPpto]"/>
  </connection>
  <connection id="97" xr16:uid="{2CB0B249-8BD2-0A48-A6C3-B76F552E11F8}" keepAlive="1" name="Query - TbPPtoPrev(1)" description="Connection to the 'TbPPtoPrev' query in the workbook." type="5" refreshedVersion="8" background="1" saveData="1">
    <dbPr connection="Provider=Microsoft.Mashup.OleDb.1;Data Source=$Workbook$;Location=TbPPtoPrev;Extended Properties=&quot;&quot;" command="SELECT * FROM [TbPPtoPrev]"/>
  </connection>
  <connection id="98" xr16:uid="{6FD84F9D-733E-41A5-B062-0D1F65382A26}" keepAlive="1" name="Query - TbPrv" description="Connection to the 'TbPrv' query in the workbook." type="5" refreshedVersion="0" background="1">
    <dbPr connection="Provider=Microsoft.Mashup.OleDb.1;Data Source=$Workbook$;Location=TbPrv;Extended Properties=&quot;&quot;" command="SELECT * FROM [TbPrv]"/>
  </connection>
  <connection id="99" xr16:uid="{26567E92-9107-415F-851D-5155144CFB84}" keepAlive="1" name="Query - TbRsmIn" description="Connection to the 'TbRsmIn' query in the workbook." type="5" refreshedVersion="8" background="1" saveData="1">
    <dbPr connection="Provider=Microsoft.Mashup.OleDb.1;Data Source=$Workbook$;Location=TbRsmIn;Extended Properties=&quot;&quot;" command="SELECT * FROM [TbRsmIn]"/>
  </connection>
  <connection id="100" xr16:uid="{F817C3DB-7775-A04F-9C09-85602BA8CE1E}" keepAlive="1" name="Query - TbStd" description="Connection to the 'TbStd' query in the workbook." type="5" refreshedVersion="8" background="1" saveData="1">
    <dbPr connection="Provider=Microsoft.Mashup.OleDb.1;Data Source=$Workbook$;Location=TbStd;Extended Properties=&quot;&quot;" command="SELECT * FROM [TbStd]"/>
  </connection>
  <connection id="101" xr16:uid="{AD739868-371F-4261-B4CF-9BE67D34F85D}" keepAlive="1" name="Query - Transform SampleCD2" description="Connection to the 'Transform SampleCD2' query in the workbook." type="5" refreshedVersion="0" background="1">
    <dbPr connection="Provider=Microsoft.Mashup.OleDb.1;Data Source=$Workbook$;Location=&quot;Transform SampleCD2&quot;;Extended Properties=&quot;&quot;" command="SELECT * FROM [Transform SampleCD2]"/>
  </connection>
  <connection id="102" xr16:uid="{CE2ADCBE-60F6-4B62-B7AC-23E74055D4B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3"/>
        </ext>
      </extLst>
    </bk>
  </futureMetadata>
  <cellMetadata count="1">
    <bk>
      <rc t="1" v="0"/>
    </bk>
  </cellMetadata>
  <valueMetadata count="3">
    <bk>
      <rc t="2" v="0"/>
    </bk>
    <bk>
      <rc t="2" v="1"/>
    </bk>
    <bk>
      <rc t="2" v="2"/>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print("Hola")</code>
    </pythonScript>
  </pythonScripts>
</python>
</file>

<file path=xl/sharedStrings.xml><?xml version="1.0" encoding="utf-8"?>
<sst xmlns="http://schemas.openxmlformats.org/spreadsheetml/2006/main" count="48259" uniqueCount="2272">
  <si>
    <t/>
  </si>
  <si>
    <t>Metrología</t>
  </si>
  <si>
    <t>Montaje Mecánico</t>
  </si>
  <si>
    <t>Robcad</t>
  </si>
  <si>
    <t>Robótica</t>
  </si>
  <si>
    <t>Diseño Eléctrico</t>
  </si>
  <si>
    <t>Fabricación Mecánica</t>
  </si>
  <si>
    <t>C.D.2</t>
  </si>
  <si>
    <t>Fabricación Eléctrica</t>
  </si>
  <si>
    <t>Instalación Eléctrica</t>
  </si>
  <si>
    <t>Instalación NR</t>
  </si>
  <si>
    <t>Puesto</t>
  </si>
  <si>
    <t>Módulo</t>
  </si>
  <si>
    <t>Procesos</t>
  </si>
  <si>
    <t>Gestión Mecánica</t>
  </si>
  <si>
    <t>Diseño  Mecánico</t>
  </si>
  <si>
    <t>Diseño NR</t>
  </si>
  <si>
    <t>Asist. Técnica</t>
  </si>
  <si>
    <t>Material  Mecánico +%</t>
  </si>
  <si>
    <t>Material  Eléctrico +%</t>
  </si>
  <si>
    <t>Material Fluidos +%</t>
  </si>
  <si>
    <t>Transp. &amp; Desplaz.</t>
  </si>
  <si>
    <t>Robots</t>
  </si>
  <si>
    <t>TOTAL</t>
  </si>
  <si>
    <t>Gestión de Proyectos</t>
  </si>
  <si>
    <t>Instalación E.N.R.</t>
  </si>
  <si>
    <t>P11</t>
  </si>
  <si>
    <t>P12</t>
  </si>
  <si>
    <t>SERRA</t>
  </si>
  <si>
    <t>Precio venta inicial</t>
  </si>
  <si>
    <t>CD-2 Pendientes</t>
  </si>
  <si>
    <t>CD-2 Ampliaciones</t>
  </si>
  <si>
    <t>Ficha nº</t>
  </si>
  <si>
    <t>Origen</t>
  </si>
  <si>
    <t xml:space="preserve"> Descripción</t>
  </si>
  <si>
    <t>Valor Ofertado</t>
  </si>
  <si>
    <t>Valor Negociado</t>
  </si>
  <si>
    <t>Pedido Int.</t>
  </si>
  <si>
    <t>Mecanización</t>
  </si>
  <si>
    <t>Taller ENR</t>
  </si>
  <si>
    <t>A.T.</t>
  </si>
  <si>
    <t>Adicionales</t>
  </si>
  <si>
    <t>Transp + Dieta</t>
  </si>
  <si>
    <t>OTM (Diseño)</t>
  </si>
  <si>
    <t>OTROS</t>
  </si>
  <si>
    <t>GP</t>
  </si>
  <si>
    <t>Ampliaciones negociadas</t>
  </si>
  <si>
    <t>P.V. Pendiente de negociar</t>
  </si>
  <si>
    <t>Precio venta total previsto</t>
  </si>
  <si>
    <t>Introducir valores manualmente</t>
  </si>
  <si>
    <t>ENR</t>
  </si>
  <si>
    <t>Precio venta total negociado</t>
  </si>
  <si>
    <t>OTM (Gestión)</t>
  </si>
  <si>
    <t>OT Eléctrica</t>
  </si>
  <si>
    <t>OT N.R.</t>
  </si>
  <si>
    <t>Montaje Mec.</t>
  </si>
  <si>
    <t>MAT. MEC</t>
  </si>
  <si>
    <t>MAT. ELEC</t>
  </si>
  <si>
    <t>MAT. N.R.</t>
  </si>
  <si>
    <t>CD-2 Opciones</t>
  </si>
  <si>
    <t>P.V. Opciones</t>
  </si>
  <si>
    <t>Precio venta total + opciones</t>
  </si>
  <si>
    <t>Opciones</t>
  </si>
  <si>
    <t>PDTE OBLIG.</t>
  </si>
  <si>
    <t>O.F.</t>
  </si>
  <si>
    <t>Material  Eléctrico</t>
  </si>
  <si>
    <t>Fabricación Mecánica Ext.</t>
  </si>
  <si>
    <t>Montaje Mecánico Ext.</t>
  </si>
  <si>
    <t>Gestión Mecánica Ext.</t>
  </si>
  <si>
    <t>Diseño Eléctrico Ext.</t>
  </si>
  <si>
    <t>Robótica Ext.</t>
  </si>
  <si>
    <t>Asist. Técnica Ext.</t>
  </si>
  <si>
    <t>Instalación E.N.R. Ext.</t>
  </si>
  <si>
    <t>Metrología Ext.</t>
  </si>
  <si>
    <t>Fabricación Eléctrica Ext.</t>
  </si>
  <si>
    <t>Material Fluidos</t>
  </si>
  <si>
    <t>M10</t>
  </si>
  <si>
    <t>10</t>
  </si>
  <si>
    <t>11</t>
  </si>
  <si>
    <t>12</t>
  </si>
  <si>
    <t>13</t>
  </si>
  <si>
    <t>15</t>
  </si>
  <si>
    <t>16</t>
  </si>
  <si>
    <t>111</t>
  </si>
  <si>
    <t>121</t>
  </si>
  <si>
    <t>131</t>
  </si>
  <si>
    <t>133</t>
  </si>
  <si>
    <t>141</t>
  </si>
  <si>
    <t>211</t>
  </si>
  <si>
    <t>213</t>
  </si>
  <si>
    <t>221</t>
  </si>
  <si>
    <t>223</t>
  </si>
  <si>
    <t>231</t>
  </si>
  <si>
    <t>241</t>
  </si>
  <si>
    <t>311</t>
  </si>
  <si>
    <t>421</t>
  </si>
  <si>
    <t>423</t>
  </si>
  <si>
    <t>431</t>
  </si>
  <si>
    <t>433</t>
  </si>
  <si>
    <t>441</t>
  </si>
  <si>
    <t>443</t>
  </si>
  <si>
    <t>451</t>
  </si>
  <si>
    <t>453</t>
  </si>
  <si>
    <t>461</t>
  </si>
  <si>
    <t>471</t>
  </si>
  <si>
    <t>473</t>
  </si>
  <si>
    <t>491</t>
  </si>
  <si>
    <t>511</t>
  </si>
  <si>
    <t>521</t>
  </si>
  <si>
    <t>523</t>
  </si>
  <si>
    <t>531</t>
  </si>
  <si>
    <t>533</t>
  </si>
  <si>
    <t>541</t>
  </si>
  <si>
    <t>543</t>
  </si>
  <si>
    <t>553</t>
  </si>
  <si>
    <t>561</t>
  </si>
  <si>
    <t>563</t>
  </si>
  <si>
    <t>571</t>
  </si>
  <si>
    <t>573</t>
  </si>
  <si>
    <t>583</t>
  </si>
  <si>
    <t>711</t>
  </si>
  <si>
    <t>713</t>
  </si>
  <si>
    <t>721</t>
  </si>
  <si>
    <t>723</t>
  </si>
  <si>
    <t>724</t>
  </si>
  <si>
    <t>731</t>
  </si>
  <si>
    <t>733</t>
  </si>
  <si>
    <t>734</t>
  </si>
  <si>
    <t>741</t>
  </si>
  <si>
    <t>743</t>
  </si>
  <si>
    <t>744</t>
  </si>
  <si>
    <t>751</t>
  </si>
  <si>
    <t>753</t>
  </si>
  <si>
    <t>761</t>
  </si>
  <si>
    <t>763</t>
  </si>
  <si>
    <t>771</t>
  </si>
  <si>
    <t>773</t>
  </si>
  <si>
    <t>781</t>
  </si>
  <si>
    <t>5A1</t>
  </si>
  <si>
    <t>5B3</t>
  </si>
  <si>
    <t>5C3</t>
  </si>
  <si>
    <t>5B1</t>
  </si>
  <si>
    <t>5C1</t>
  </si>
  <si>
    <t>5D1</t>
  </si>
  <si>
    <t>5D3</t>
  </si>
  <si>
    <t>A10</t>
  </si>
  <si>
    <t>M20</t>
  </si>
  <si>
    <t>M30</t>
  </si>
  <si>
    <t>E10</t>
  </si>
  <si>
    <t>5E2</t>
  </si>
  <si>
    <t>5E3</t>
  </si>
  <si>
    <t>5E4</t>
  </si>
  <si>
    <t>5E1</t>
  </si>
  <si>
    <t>5D2</t>
  </si>
  <si>
    <t>5D4</t>
  </si>
  <si>
    <t>5B2</t>
  </si>
  <si>
    <t>5B4</t>
  </si>
  <si>
    <t>5A2</t>
  </si>
  <si>
    <t>5A3</t>
  </si>
  <si>
    <t>5A4</t>
  </si>
  <si>
    <t>5C2</t>
  </si>
  <si>
    <t>5C4</t>
  </si>
  <si>
    <t>5ZZ</t>
  </si>
  <si>
    <t>A40</t>
  </si>
  <si>
    <t>Controles STD</t>
  </si>
  <si>
    <t>242</t>
  </si>
  <si>
    <t>243</t>
  </si>
  <si>
    <t>244</t>
  </si>
  <si>
    <t>782</t>
  </si>
  <si>
    <t>783</t>
  </si>
  <si>
    <t>784</t>
  </si>
  <si>
    <t>E50</t>
  </si>
  <si>
    <t>Garras</t>
  </si>
  <si>
    <t>E30</t>
  </si>
  <si>
    <t>A60</t>
  </si>
  <si>
    <t>PMS</t>
  </si>
  <si>
    <t>492</t>
  </si>
  <si>
    <t>493</t>
  </si>
  <si>
    <t>494</t>
  </si>
  <si>
    <t>P00</t>
  </si>
  <si>
    <t>Puestos</t>
  </si>
  <si>
    <t>E40</t>
  </si>
  <si>
    <t>A22</t>
  </si>
  <si>
    <t>Subconjuntos Eléctricos</t>
  </si>
  <si>
    <t>A21</t>
  </si>
  <si>
    <t>Subconjuntos Mecánicos</t>
  </si>
  <si>
    <t>A23</t>
  </si>
  <si>
    <t>Subconjuntos NR</t>
  </si>
  <si>
    <t>A30</t>
  </si>
  <si>
    <t>Subcontratación completa</t>
  </si>
  <si>
    <t>591</t>
  </si>
  <si>
    <t>592</t>
  </si>
  <si>
    <t>593</t>
  </si>
  <si>
    <t>594</t>
  </si>
  <si>
    <t>A50</t>
  </si>
  <si>
    <t>Transformadores STD</t>
  </si>
  <si>
    <t>E20</t>
  </si>
  <si>
    <t>A42</t>
  </si>
  <si>
    <t>A45</t>
  </si>
  <si>
    <t>Máquinas STD</t>
  </si>
  <si>
    <t>A46</t>
  </si>
  <si>
    <t>Pinzas de soldadura STD</t>
  </si>
  <si>
    <t>A47</t>
  </si>
  <si>
    <t>Alimentadores STD</t>
  </si>
  <si>
    <t>100</t>
  </si>
  <si>
    <t>472</t>
  </si>
  <si>
    <t>474</t>
  </si>
  <si>
    <t>462</t>
  </si>
  <si>
    <t>463</t>
  </si>
  <si>
    <t>464</t>
  </si>
  <si>
    <t>481</t>
  </si>
  <si>
    <t>482</t>
  </si>
  <si>
    <t>483</t>
  </si>
  <si>
    <t>484</t>
  </si>
  <si>
    <t>200</t>
  </si>
  <si>
    <t>212</t>
  </si>
  <si>
    <t>214</t>
  </si>
  <si>
    <t>232</t>
  </si>
  <si>
    <t>233</t>
  </si>
  <si>
    <t>234</t>
  </si>
  <si>
    <t>222</t>
  </si>
  <si>
    <t>224</t>
  </si>
  <si>
    <t>752</t>
  </si>
  <si>
    <t>754</t>
  </si>
  <si>
    <t>722</t>
  </si>
  <si>
    <t>142</t>
  </si>
  <si>
    <t>143</t>
  </si>
  <si>
    <t>144</t>
  </si>
  <si>
    <t>132</t>
  </si>
  <si>
    <t>134</t>
  </si>
  <si>
    <t>113</t>
  </si>
  <si>
    <t>112</t>
  </si>
  <si>
    <t>114</t>
  </si>
  <si>
    <t>123</t>
  </si>
  <si>
    <t>122</t>
  </si>
  <si>
    <t>124</t>
  </si>
  <si>
    <t>712</t>
  </si>
  <si>
    <t>714</t>
  </si>
  <si>
    <t>762</t>
  </si>
  <si>
    <t>764</t>
  </si>
  <si>
    <t>772</t>
  </si>
  <si>
    <t>774</t>
  </si>
  <si>
    <t>742</t>
  </si>
  <si>
    <t>732</t>
  </si>
  <si>
    <t>400</t>
  </si>
  <si>
    <t>452</t>
  </si>
  <si>
    <t>454</t>
  </si>
  <si>
    <t>422</t>
  </si>
  <si>
    <t>424</t>
  </si>
  <si>
    <t>442</t>
  </si>
  <si>
    <t>444</t>
  </si>
  <si>
    <t>411</t>
  </si>
  <si>
    <t>412</t>
  </si>
  <si>
    <t>413</t>
  </si>
  <si>
    <t>414</t>
  </si>
  <si>
    <t>432</t>
  </si>
  <si>
    <t>434</t>
  </si>
  <si>
    <t>572</t>
  </si>
  <si>
    <t>574</t>
  </si>
  <si>
    <t>562</t>
  </si>
  <si>
    <t>564</t>
  </si>
  <si>
    <t>581</t>
  </si>
  <si>
    <t>582</t>
  </si>
  <si>
    <t>584</t>
  </si>
  <si>
    <t>300</t>
  </si>
  <si>
    <t>313</t>
  </si>
  <si>
    <t>554</t>
  </si>
  <si>
    <t>551</t>
  </si>
  <si>
    <t>552</t>
  </si>
  <si>
    <t>542</t>
  </si>
  <si>
    <t>544</t>
  </si>
  <si>
    <t>522</t>
  </si>
  <si>
    <t>524</t>
  </si>
  <si>
    <t>512</t>
  </si>
  <si>
    <t>513</t>
  </si>
  <si>
    <t>514</t>
  </si>
  <si>
    <t>532</t>
  </si>
  <si>
    <t>534</t>
  </si>
  <si>
    <t>500</t>
  </si>
  <si>
    <t>261</t>
  </si>
  <si>
    <t>Robcad EXT.</t>
  </si>
  <si>
    <t>14</t>
  </si>
  <si>
    <t>RESUMEN DE SITUACION ECONOMICA</t>
  </si>
  <si>
    <t>CD2 Inicial+ampliaciones</t>
  </si>
  <si>
    <t>CD2 negoc. final prevista</t>
  </si>
  <si>
    <t>Ampliaciones pdtes. de negociar</t>
  </si>
  <si>
    <t>CD2 comprometido</t>
  </si>
  <si>
    <t>Pdte.  de incurrir</t>
  </si>
  <si>
    <t>COSTES EVITABLES</t>
  </si>
  <si>
    <t xml:space="preserve">Horas </t>
  </si>
  <si>
    <t>Total</t>
  </si>
  <si>
    <t>GRANDES COMPRAS</t>
  </si>
  <si>
    <t>SUBCONTRATACION COMPLETA</t>
  </si>
  <si>
    <t>Subcontratación Completa</t>
  </si>
  <si>
    <t>Fabricación Mecánica (INCLUYE MATERIAS PRIMAS)</t>
  </si>
  <si>
    <t>Material  Mecánico (SOLO COMERCIO)</t>
  </si>
  <si>
    <t>CD2 Presupuesto interno inicial</t>
  </si>
  <si>
    <t>Materia Prima</t>
  </si>
  <si>
    <t>RECEPCION UTILES</t>
  </si>
  <si>
    <t>€</t>
  </si>
  <si>
    <t>TRANSPORTES Y EMBALAJES</t>
  </si>
  <si>
    <t>GASTOS DE DESPLAZAMIENTO</t>
  </si>
  <si>
    <t>MES</t>
  </si>
  <si>
    <t>SEMANA DE PROYECTO</t>
  </si>
  <si>
    <t>SEMANA DEL AÑO</t>
  </si>
  <si>
    <t>Mesas Giratorias</t>
  </si>
  <si>
    <t>Puertas Albany</t>
  </si>
  <si>
    <t>Pinzas</t>
  </si>
  <si>
    <t>Barreras fototeléctricas</t>
  </si>
  <si>
    <t>Equipos de Masilla / Pernos /Atornilladores</t>
  </si>
  <si>
    <t>Conveyors</t>
  </si>
  <si>
    <t>Fresadores /limpiadores / cambios de cap</t>
  </si>
  <si>
    <t>Comercio de utillajes: bridas, cilindros, sensores</t>
  </si>
  <si>
    <t>Marcadoras / Cámaras</t>
  </si>
  <si>
    <t>++ (copiar fila y pegar para añadir "GRANDES COMPRAS"</t>
  </si>
  <si>
    <t>OTA</t>
  </si>
  <si>
    <t>Contratación diseño hardware</t>
  </si>
  <si>
    <t>Contratación PLC</t>
  </si>
  <si>
    <t>Contratación Robótica</t>
  </si>
  <si>
    <t>Contratación Armarios</t>
  </si>
  <si>
    <t>Contratación ENR Útiles y Garras</t>
  </si>
  <si>
    <t>Contratación ENR Instalación</t>
  </si>
  <si>
    <t>++ (copiar fila y pegar para añadir "OTA")</t>
  </si>
  <si>
    <t>++ (copiar fila y pegar para añadir "ENR")</t>
  </si>
  <si>
    <t>Lanzamiento material armarios</t>
  </si>
  <si>
    <t>Lanzamiento material ENR instalación</t>
  </si>
  <si>
    <t>Lanzamiento material ENR útiles</t>
  </si>
  <si>
    <t>OTM</t>
  </si>
  <si>
    <t>FABRICACIÓN</t>
  </si>
  <si>
    <t>Contratación útiles</t>
  </si>
  <si>
    <t>Contratación garras</t>
  </si>
  <si>
    <t>Contratación plataformas</t>
  </si>
  <si>
    <t>Contratación vallados</t>
  </si>
  <si>
    <t>++ (copiar fila y pegar para añadir "FABRICACIÓN")</t>
  </si>
  <si>
    <t>MONTAJE</t>
  </si>
  <si>
    <t>Contratación implantación en SERRA</t>
  </si>
  <si>
    <t>Contratación TRASLADO</t>
  </si>
  <si>
    <t>Contratación Trabajos en planta</t>
  </si>
  <si>
    <t>++ (copiar fila y pegar para añadir "MONTAJE")</t>
  </si>
  <si>
    <t>Cerrojos (Euchner, FORTRESS, …)</t>
  </si>
  <si>
    <t>Contratación palets para conveyors</t>
  </si>
  <si>
    <t>Armarios/Controles de soldadura</t>
  </si>
  <si>
    <t>Alimentadores automáticos</t>
  </si>
  <si>
    <t>Contratación diseño 3D</t>
  </si>
  <si>
    <t>Contratación Simulación ROBCAD</t>
  </si>
  <si>
    <t>TOTAL PLAN ACUMULADO</t>
  </si>
  <si>
    <t xml:space="preserve">EVOLUCION COSTE EXTERNO REAL </t>
  </si>
  <si>
    <t>Diseño NR Ext.</t>
  </si>
  <si>
    <t>Gestión de Proyectos Ext.</t>
  </si>
  <si>
    <t>251</t>
  </si>
  <si>
    <t>7D1</t>
  </si>
  <si>
    <t>7C1</t>
  </si>
  <si>
    <t>Nº Horas</t>
  </si>
  <si>
    <t>Ingeniería Definición</t>
  </si>
  <si>
    <t>Desplazamientos</t>
  </si>
  <si>
    <t>Materiales Generales</t>
  </si>
  <si>
    <t>Imprevistos</t>
  </si>
  <si>
    <t>Implantación general</t>
  </si>
  <si>
    <t>GESTION Y COORDINACION</t>
  </si>
  <si>
    <t>TRASLADO</t>
  </si>
  <si>
    <t>ROBCAD</t>
  </si>
  <si>
    <t>DISEÑO HARD</t>
  </si>
  <si>
    <t>ARMARIOS ELECTRICOS</t>
  </si>
  <si>
    <t>COST.EVIT.PROVEE</t>
  </si>
  <si>
    <t>DIS.EL.IMPLANTAC</t>
  </si>
  <si>
    <t>ENR UTILES/GARRA</t>
  </si>
  <si>
    <t>FAB. UTIL/GARRAS</t>
  </si>
  <si>
    <t>FAB.EL.IMPLANTAC</t>
  </si>
  <si>
    <t>FABRICACION ELEMENTOS IMPLANTA</t>
  </si>
  <si>
    <t>PROG.PLC SIEMENS</t>
  </si>
  <si>
    <t>CTS</t>
  </si>
  <si>
    <t>SOT</t>
  </si>
  <si>
    <t>ROBÓTICA</t>
  </si>
  <si>
    <t>METROLOGÍA</t>
  </si>
  <si>
    <t>ADICIONALES</t>
  </si>
  <si>
    <t>X</t>
  </si>
  <si>
    <t>GESTIÓN MECÁNICA</t>
  </si>
  <si>
    <t>DISEÑO ELÉCTRICO</t>
  </si>
  <si>
    <t>DISEÑO NR</t>
  </si>
  <si>
    <t>FABRICACIÓN MECÁNICA</t>
  </si>
  <si>
    <t>MONTAJE MECÁNICO</t>
  </si>
  <si>
    <t>FABRICACIÓN ELÉCTRICA</t>
  </si>
  <si>
    <t>INSTALACIÓN ELÉCTRICA</t>
  </si>
  <si>
    <t>INSTALACIÓN NR</t>
  </si>
  <si>
    <t>ASIST. TÉCNICA</t>
  </si>
  <si>
    <t>MATERIAL FLUIDOS</t>
  </si>
  <si>
    <t>TRANSP. &amp; DESPLAZ.</t>
  </si>
  <si>
    <t>GESTIÓN DE PROYECTOS</t>
  </si>
  <si>
    <t>SUBCONTRATACIÓN COMPLETA</t>
  </si>
  <si>
    <t>INSTALACIÓN E.N.R.</t>
  </si>
  <si>
    <t>SOR</t>
  </si>
  <si>
    <t>Date</t>
  </si>
  <si>
    <t>Row</t>
  </si>
  <si>
    <t>Column</t>
  </si>
  <si>
    <t>Ppto</t>
  </si>
  <si>
    <t>Real:SERRA</t>
  </si>
  <si>
    <t>Real:EXT.</t>
  </si>
  <si>
    <t>PPTO</t>
  </si>
  <si>
    <t>DATE</t>
  </si>
  <si>
    <t>Nature</t>
  </si>
  <si>
    <t>PptoVsRow</t>
  </si>
  <si>
    <t>PptoVsColumn</t>
  </si>
  <si>
    <t>Sign</t>
  </si>
  <si>
    <t>+</t>
  </si>
  <si>
    <t>TRANSPORTES &amp; EMBALAJES</t>
  </si>
  <si>
    <t>DIETAS, DESPLAZAMIENTOS Y HOSPEDAJE</t>
  </si>
  <si>
    <t>EOR</t>
  </si>
  <si>
    <t>ADR</t>
  </si>
  <si>
    <t>P40</t>
  </si>
  <si>
    <t>P41</t>
  </si>
  <si>
    <t>GDG</t>
  </si>
  <si>
    <t>GDA</t>
  </si>
  <si>
    <t>GDT</t>
  </si>
  <si>
    <t>GDD</t>
  </si>
  <si>
    <t>En curso (fecha comienzo)</t>
  </si>
  <si>
    <t>Realizado (fecha finalización)</t>
  </si>
  <si>
    <t>Origin</t>
  </si>
  <si>
    <t>DESMONTAJE</t>
  </si>
  <si>
    <t>REMONTAJE</t>
  </si>
  <si>
    <t>DsvAbs:SERRA</t>
  </si>
  <si>
    <t>DsvAbs:EXT.</t>
  </si>
  <si>
    <t>DesAvg:Real</t>
  </si>
  <si>
    <t>DsvValue:SERRA</t>
  </si>
  <si>
    <t>DsvValue:EXT.</t>
  </si>
  <si>
    <t>GESTION</t>
  </si>
  <si>
    <t>Gestión Procesos INT.</t>
  </si>
  <si>
    <t>Gestión Ing. Mec. INT.</t>
  </si>
  <si>
    <t>Gestión Ing. Aut. INT.</t>
  </si>
  <si>
    <t>DISEÑO HARDWARE</t>
  </si>
  <si>
    <t>Diseño NR INT.</t>
  </si>
  <si>
    <t>DISEÑO SOFTWARE</t>
  </si>
  <si>
    <t>Diseño Robótica INT.</t>
  </si>
  <si>
    <t>Robcad INT.</t>
  </si>
  <si>
    <t>MATERIAL UNP</t>
  </si>
  <si>
    <t>003</t>
  </si>
  <si>
    <t>Subconjuntos</t>
  </si>
  <si>
    <t>DIS.UTIL/GARRAS</t>
  </si>
  <si>
    <t>Ing. Mecánica-Diseño INT.</t>
  </si>
  <si>
    <t>Ing. Mecánica-Diseño EXT.</t>
  </si>
  <si>
    <t>ARMARIOS</t>
  </si>
  <si>
    <t>Material mecánico</t>
  </si>
  <si>
    <t>Material eléctrico</t>
  </si>
  <si>
    <t>Material fluidos</t>
  </si>
  <si>
    <t>Diseño Software INT.</t>
  </si>
  <si>
    <t>PrjId</t>
  </si>
  <si>
    <t>CstId</t>
  </si>
  <si>
    <t>CPE</t>
  </si>
  <si>
    <t>CDC</t>
  </si>
  <si>
    <t>Cur</t>
  </si>
  <si>
    <t>041</t>
  </si>
  <si>
    <t>045</t>
  </si>
  <si>
    <t>081</t>
  </si>
  <si>
    <t>040</t>
  </si>
  <si>
    <t>035</t>
  </si>
  <si>
    <t>099</t>
  </si>
  <si>
    <t>008</t>
  </si>
  <si>
    <t>PathName</t>
  </si>
  <si>
    <t>RowId</t>
  </si>
  <si>
    <t>Material Eléctrico +%</t>
  </si>
  <si>
    <t>Assign</t>
  </si>
  <si>
    <t>CstS</t>
  </si>
  <si>
    <t>CstNam</t>
  </si>
  <si>
    <t>GrpInE</t>
  </si>
  <si>
    <t>CstTyp</t>
  </si>
  <si>
    <t>CstGrpS</t>
  </si>
  <si>
    <t>CstGrpId</t>
  </si>
  <si>
    <t>Order</t>
  </si>
  <si>
    <t>OTAOffer</t>
  </si>
  <si>
    <t>TskS</t>
  </si>
  <si>
    <t>TskId</t>
  </si>
  <si>
    <t>TskNam</t>
  </si>
  <si>
    <t>TskNmo</t>
  </si>
  <si>
    <t>TskTyp</t>
  </si>
  <si>
    <t>CtrS</t>
  </si>
  <si>
    <t>CtrId</t>
  </si>
  <si>
    <t>ADI</t>
  </si>
  <si>
    <t>001</t>
  </si>
  <si>
    <t>Materiales</t>
  </si>
  <si>
    <t>Material</t>
  </si>
  <si>
    <t>GPR</t>
  </si>
  <si>
    <t>01</t>
  </si>
  <si>
    <t>Gestión Ing. Procesos (ESP)</t>
  </si>
  <si>
    <t>GESTIÓN ING. PRO</t>
  </si>
  <si>
    <t>Op.No Mec.</t>
  </si>
  <si>
    <t>2DA</t>
  </si>
  <si>
    <t xml:space="preserve"> 10</t>
  </si>
  <si>
    <t>Windows System</t>
  </si>
  <si>
    <t>002</t>
  </si>
  <si>
    <t>Materiales alto valor</t>
  </si>
  <si>
    <t>Gestión Ing. Procesos (PNS)</t>
  </si>
  <si>
    <t>ING.PROCESOS PNS</t>
  </si>
  <si>
    <t>FAB</t>
  </si>
  <si>
    <t xml:space="preserve"> 20</t>
  </si>
  <si>
    <t>English Version</t>
  </si>
  <si>
    <t>CELL</t>
  </si>
  <si>
    <t>02</t>
  </si>
  <si>
    <t>Gestión Ing. Procesos (AERO)</t>
  </si>
  <si>
    <t>3DA</t>
  </si>
  <si>
    <t xml:space="preserve"> 11</t>
  </si>
  <si>
    <t>TOOL</t>
  </si>
  <si>
    <t>004</t>
  </si>
  <si>
    <t>Gestión Ing. Procesos (STD)</t>
  </si>
  <si>
    <t>ATA</t>
  </si>
  <si>
    <t xml:space="preserve"> 26</t>
  </si>
  <si>
    <t>005</t>
  </si>
  <si>
    <t>Controles Serra</t>
  </si>
  <si>
    <t>Diseño Mecánico</t>
  </si>
  <si>
    <t>03</t>
  </si>
  <si>
    <t>Planificación / Producción STD</t>
  </si>
  <si>
    <t>PLANIFICACIÓN /</t>
  </si>
  <si>
    <t>IEA</t>
  </si>
  <si>
    <t xml:space="preserve"> 13</t>
  </si>
  <si>
    <t>DISEÑO ROBÓTICA</t>
  </si>
  <si>
    <t>P.MARCHA SERRA</t>
  </si>
  <si>
    <t>006</t>
  </si>
  <si>
    <t>Transformadores Serra</t>
  </si>
  <si>
    <t>Proyecto mecánico (ESP)</t>
  </si>
  <si>
    <t>PROYECTO MECÁNIC</t>
  </si>
  <si>
    <t>MEA</t>
  </si>
  <si>
    <t xml:space="preserve"> 24</t>
  </si>
  <si>
    <t>007</t>
  </si>
  <si>
    <t>Materiales subcontratados</t>
  </si>
  <si>
    <t>Operación</t>
  </si>
  <si>
    <t>04</t>
  </si>
  <si>
    <t>Proyecto mecánico (PNS)</t>
  </si>
  <si>
    <t>PROYECTO MEC.PNS</t>
  </si>
  <si>
    <t>MMA</t>
  </si>
  <si>
    <t xml:space="preserve"> 22</t>
  </si>
  <si>
    <t>P.MARCHA PLANTA</t>
  </si>
  <si>
    <t>General</t>
  </si>
  <si>
    <t>Proyecto mecánico (STD)</t>
  </si>
  <si>
    <t>PROYECTO MEC.STD</t>
  </si>
  <si>
    <t>RBA</t>
  </si>
  <si>
    <t xml:space="preserve"> 50</t>
  </si>
  <si>
    <t>009</t>
  </si>
  <si>
    <t>05</t>
  </si>
  <si>
    <t>Gestion Ing.Mecánica (ESP)</t>
  </si>
  <si>
    <t>GESTION ING.MECÁ</t>
  </si>
  <si>
    <t>XI1</t>
  </si>
  <si>
    <t>010</t>
  </si>
  <si>
    <t>Gestion Ing.Mecánica (AERO)</t>
  </si>
  <si>
    <t>XI2</t>
  </si>
  <si>
    <t>011</t>
  </si>
  <si>
    <t>Horas Robcad Serra</t>
  </si>
  <si>
    <t>06</t>
  </si>
  <si>
    <t>DN</t>
  </si>
  <si>
    <t>Diseño 2D mecánico (ESP)</t>
  </si>
  <si>
    <t>DISEÑO 2D MECÁNI</t>
  </si>
  <si>
    <t>XI3</t>
  </si>
  <si>
    <t>012</t>
  </si>
  <si>
    <t>Horas OTM E.T.T.</t>
  </si>
  <si>
    <t>Diseño 2D mecánico (PNS)</t>
  </si>
  <si>
    <t>DISEÑO 2D PNS</t>
  </si>
  <si>
    <t>XI4</t>
  </si>
  <si>
    <t>013</t>
  </si>
  <si>
    <t>Horas OTA Serra</t>
  </si>
  <si>
    <t>Diseño 2D mecánico (STD)</t>
  </si>
  <si>
    <t>DISEÑO 2D STD</t>
  </si>
  <si>
    <t>XT1</t>
  </si>
  <si>
    <t>014</t>
  </si>
  <si>
    <t>Horas OTA E.T.T.</t>
  </si>
  <si>
    <t>Diseño 3D mecánico (ESP)</t>
  </si>
  <si>
    <t>DISEÑO 3D MECÁNI</t>
  </si>
  <si>
    <t>XT2</t>
  </si>
  <si>
    <t>MONTAJE SERRA</t>
  </si>
  <si>
    <t>015</t>
  </si>
  <si>
    <t>Horas Procesos+Produc.+Planif.</t>
  </si>
  <si>
    <t>08</t>
  </si>
  <si>
    <t>Diseño 3D mecánico (PNS)</t>
  </si>
  <si>
    <t>DISEÑO 3D PNS</t>
  </si>
  <si>
    <t>XT3</t>
  </si>
  <si>
    <t>016</t>
  </si>
  <si>
    <t>Horas OTM EXTERIOR</t>
  </si>
  <si>
    <t>XT4</t>
  </si>
  <si>
    <t>017</t>
  </si>
  <si>
    <t>Horas OTA EXTERIOR</t>
  </si>
  <si>
    <t>09</t>
  </si>
  <si>
    <t>Diseño 3D mecánico (AERO)</t>
  </si>
  <si>
    <t>A11</t>
  </si>
  <si>
    <t>018</t>
  </si>
  <si>
    <t>Horas OTM AUXILIAR</t>
  </si>
  <si>
    <t>Diseño Hardware (ESP)</t>
  </si>
  <si>
    <t>A12</t>
  </si>
  <si>
    <t>019</t>
  </si>
  <si>
    <t>Horas OTA AUXILIAR</t>
  </si>
  <si>
    <t>Diseño NR (ESP)</t>
  </si>
  <si>
    <t>DISEÑO NR (ESP)</t>
  </si>
  <si>
    <t>A1T</t>
  </si>
  <si>
    <t>020</t>
  </si>
  <si>
    <t>Horas Fabricación SERRA</t>
  </si>
  <si>
    <t>Diseño Software (ESP)</t>
  </si>
  <si>
    <t>021</t>
  </si>
  <si>
    <t>Horas Fabricación AUXILIAR</t>
  </si>
  <si>
    <t>Gestión Ing.Automatismos(STD)</t>
  </si>
  <si>
    <t>GESTIÓN ING.AUTO</t>
  </si>
  <si>
    <t>022</t>
  </si>
  <si>
    <t>Horas Montaje mec. SERRA</t>
  </si>
  <si>
    <t>TF</t>
  </si>
  <si>
    <t>Diseño Hardware (AERO)</t>
  </si>
  <si>
    <t>A2T</t>
  </si>
  <si>
    <t>023</t>
  </si>
  <si>
    <t>Horas Montaje mec. AUXILIAR</t>
  </si>
  <si>
    <t>Diseño NR (AERO)</t>
  </si>
  <si>
    <t>DISEÑO NR (AERO)</t>
  </si>
  <si>
    <t>A31</t>
  </si>
  <si>
    <t>024</t>
  </si>
  <si>
    <t>Horas Mont. eléctr./ENR SERRA</t>
  </si>
  <si>
    <t>TI</t>
  </si>
  <si>
    <t>Diseño Software (AERO)</t>
  </si>
  <si>
    <t>A32</t>
  </si>
  <si>
    <t>025</t>
  </si>
  <si>
    <t>Horas Mont. eléctr./ENR AUX.</t>
  </si>
  <si>
    <t>Gestión Ing.Automatismos(AERO)</t>
  </si>
  <si>
    <t>A3T</t>
  </si>
  <si>
    <t>026</t>
  </si>
  <si>
    <t>Horas AT SERRA</t>
  </si>
  <si>
    <t>TIN</t>
  </si>
  <si>
    <t>Proyecto eléctrico (PNS)</t>
  </si>
  <si>
    <t>PROYECTO ELÉCTRI</t>
  </si>
  <si>
    <t>A41</t>
  </si>
  <si>
    <t>027</t>
  </si>
  <si>
    <t>Horas AT AUXILIAR</t>
  </si>
  <si>
    <t>Programación automatas  (PNS)</t>
  </si>
  <si>
    <t>PROGRAMACIÓN AUT</t>
  </si>
  <si>
    <t>028</t>
  </si>
  <si>
    <t>Horas Fabricación EXTERIOR</t>
  </si>
  <si>
    <t>Proyecto N/R (PNS)</t>
  </si>
  <si>
    <t>PROYECTO N/R (PN</t>
  </si>
  <si>
    <t>B11</t>
  </si>
  <si>
    <t>029</t>
  </si>
  <si>
    <t>Horas Montaje mec. EXTERIOR</t>
  </si>
  <si>
    <t>Proyecto eléctrico (STD)</t>
  </si>
  <si>
    <t>C11</t>
  </si>
  <si>
    <t>030</t>
  </si>
  <si>
    <t>Horas Mont. eléctr./ENR EXT.</t>
  </si>
  <si>
    <t>Material Mecánico +%</t>
  </si>
  <si>
    <t>Laboratorio I+D</t>
  </si>
  <si>
    <t>LABORATORIO I+D</t>
  </si>
  <si>
    <t>C21</t>
  </si>
  <si>
    <t>031</t>
  </si>
  <si>
    <t>Horas AT EXTERIOR</t>
  </si>
  <si>
    <t>Calderería</t>
  </si>
  <si>
    <t>CALDERERÍA</t>
  </si>
  <si>
    <t>C31</t>
  </si>
  <si>
    <t>032</t>
  </si>
  <si>
    <t>Horas Fabricacion E.T.T.</t>
  </si>
  <si>
    <t>Mecanización general</t>
  </si>
  <si>
    <t>MECANIZACIÓN GEN</t>
  </si>
  <si>
    <t>C41</t>
  </si>
  <si>
    <t>033</t>
  </si>
  <si>
    <t>Horas Montaje mec. E.T.T.</t>
  </si>
  <si>
    <t>17</t>
  </si>
  <si>
    <t>Mecanizazión CNC</t>
  </si>
  <si>
    <t>MECANIZAZIÓN CNC</t>
  </si>
  <si>
    <t>C51</t>
  </si>
  <si>
    <t>034</t>
  </si>
  <si>
    <t>Gastos Facturas AEUS</t>
  </si>
  <si>
    <t>18</t>
  </si>
  <si>
    <t>Programación CAM</t>
  </si>
  <si>
    <t>PROGRAMACIÓN CAM</t>
  </si>
  <si>
    <t>C61</t>
  </si>
  <si>
    <t>Compensación Hrs Taller E.T.T.</t>
  </si>
  <si>
    <t>Fabric. eléctrica STANDARD</t>
  </si>
  <si>
    <t>FABRIC. ELÉCTRIC</t>
  </si>
  <si>
    <t>C71</t>
  </si>
  <si>
    <t>036</t>
  </si>
  <si>
    <t>Horas Mont. eléctr./ENR E.T.T.</t>
  </si>
  <si>
    <t>Ing. Fabricación eléctrica</t>
  </si>
  <si>
    <t>ING. FABR. ELEC.</t>
  </si>
  <si>
    <t>E13</t>
  </si>
  <si>
    <t>037</t>
  </si>
  <si>
    <t>Horas AT E.T.T.</t>
  </si>
  <si>
    <t>Montaje Transformadores</t>
  </si>
  <si>
    <t>MONTAJE TRANSFOR</t>
  </si>
  <si>
    <t>E23</t>
  </si>
  <si>
    <t>038</t>
  </si>
  <si>
    <t>Desplazam. Talleres Aux.</t>
  </si>
  <si>
    <t>Transp. &amp; Desplaz. Ext.</t>
  </si>
  <si>
    <t>Montaje mecánico STD</t>
  </si>
  <si>
    <t>MONTAJE MEC. STD</t>
  </si>
  <si>
    <t>E33</t>
  </si>
  <si>
    <t>039</t>
  </si>
  <si>
    <t>Robcad EXTERIOR</t>
  </si>
  <si>
    <t>Robcad Ext.</t>
  </si>
  <si>
    <t>Montaje mecánico (ESP)</t>
  </si>
  <si>
    <t>E43</t>
  </si>
  <si>
    <t>Dietas y desplazamientos</t>
  </si>
  <si>
    <t>Montaje mecánico (PNS)</t>
  </si>
  <si>
    <t>E53</t>
  </si>
  <si>
    <t>Transportes de Compra</t>
  </si>
  <si>
    <t>Montaje eléctrico (PNS)</t>
  </si>
  <si>
    <t>MONTAJE ELÉCTRIC</t>
  </si>
  <si>
    <t>E63</t>
  </si>
  <si>
    <t>042</t>
  </si>
  <si>
    <t>Otros Gastos de venta</t>
  </si>
  <si>
    <t>ASISTENCIA PHARMA</t>
  </si>
  <si>
    <t>ASISTENCIA PHARM</t>
  </si>
  <si>
    <t>E73</t>
  </si>
  <si>
    <t>043</t>
  </si>
  <si>
    <t>Comisiones</t>
  </si>
  <si>
    <t>Metrología 3D</t>
  </si>
  <si>
    <t>METROLOGÍA 3D</t>
  </si>
  <si>
    <t>F11</t>
  </si>
  <si>
    <t>044</t>
  </si>
  <si>
    <t>Gastos financieros</t>
  </si>
  <si>
    <t>Instalaciones E.N.R.</t>
  </si>
  <si>
    <t>INSTALACIONES E.</t>
  </si>
  <si>
    <t>M11</t>
  </si>
  <si>
    <t>Transportes de Venta</t>
  </si>
  <si>
    <t>A.T. y Postventa</t>
  </si>
  <si>
    <t>A.T. Y POSTVENTA</t>
  </si>
  <si>
    <t>M21</t>
  </si>
  <si>
    <t>046</t>
  </si>
  <si>
    <t>Embalajes</t>
  </si>
  <si>
    <t>Diseño Robótica</t>
  </si>
  <si>
    <t>M31</t>
  </si>
  <si>
    <t>050</t>
  </si>
  <si>
    <t>Horas Robótica SERRA</t>
  </si>
  <si>
    <t>Coste Calidad Ing.Mec.(AUTO)</t>
  </si>
  <si>
    <t>COSTE CALIDAD IN</t>
  </si>
  <si>
    <t>M41</t>
  </si>
  <si>
    <t>051</t>
  </si>
  <si>
    <t>Horas Robótica E.T.T.</t>
  </si>
  <si>
    <t>Coste Calidad Ing.Aut.(AUTO)</t>
  </si>
  <si>
    <t>M51</t>
  </si>
  <si>
    <t>052</t>
  </si>
  <si>
    <t>Horas Robótica AUXILIAR</t>
  </si>
  <si>
    <t>Coste Calidad Ing.Pro.(AUTO)</t>
  </si>
  <si>
    <t>M61</t>
  </si>
  <si>
    <t>053</t>
  </si>
  <si>
    <t>Horas Robótica EXTERIOR</t>
  </si>
  <si>
    <t>Coste Calidad ROBCAD AUTO</t>
  </si>
  <si>
    <t>COSTE CALIDAD RO</t>
  </si>
  <si>
    <t>M71</t>
  </si>
  <si>
    <t>068</t>
  </si>
  <si>
    <t>Desplaz. Exteriores NO CALIDAD</t>
  </si>
  <si>
    <t>Coste Calidad Ing.Aut.(PNS)</t>
  </si>
  <si>
    <t>P1A</t>
  </si>
  <si>
    <t>070</t>
  </si>
  <si>
    <t>Dietas y desplaz. NO CALIDAD</t>
  </si>
  <si>
    <t>Coste Calidad Ing.Pro.(PNS)</t>
  </si>
  <si>
    <t>R11</t>
  </si>
  <si>
    <t>071</t>
  </si>
  <si>
    <t>Transportes Compra NO CALIDAD</t>
  </si>
  <si>
    <t>Coste Calidad Ing.Mec.(STD)</t>
  </si>
  <si>
    <t>R21</t>
  </si>
  <si>
    <t>075</t>
  </si>
  <si>
    <t>Transportes Ventas NO CALIDAD</t>
  </si>
  <si>
    <t>Coste Calidad Ing.Elec.(STD)</t>
  </si>
  <si>
    <t>R31</t>
  </si>
  <si>
    <t>076</t>
  </si>
  <si>
    <t>Embalajes NO CALIDAD</t>
  </si>
  <si>
    <t>Coste Calidad Ing.Elec.(FAB)</t>
  </si>
  <si>
    <t>R41</t>
  </si>
  <si>
    <t>080</t>
  </si>
  <si>
    <t>Corrección por dif. de coste</t>
  </si>
  <si>
    <t>Coste Calidad Fab.Elec.(FAB)</t>
  </si>
  <si>
    <t>COSTE CALIDAD FA</t>
  </si>
  <si>
    <t>CNC</t>
  </si>
  <si>
    <t>Gastos aduanales</t>
  </si>
  <si>
    <t>Coste Calidad Transformadores</t>
  </si>
  <si>
    <t>COSTE CALIDAD TR</t>
  </si>
  <si>
    <t>TRD</t>
  </si>
  <si>
    <t>082</t>
  </si>
  <si>
    <t>Impuestos aduanales</t>
  </si>
  <si>
    <t>Coste Calidad Mon.Mec.(AUTO)</t>
  </si>
  <si>
    <t>COSTE CALIDAD MO</t>
  </si>
  <si>
    <t>I+D</t>
  </si>
  <si>
    <t>Costos generales</t>
  </si>
  <si>
    <t>Coste Calidad Mon.(STD)</t>
  </si>
  <si>
    <t>M12</t>
  </si>
  <si>
    <t>ANT</t>
  </si>
  <si>
    <t>ANTICIPOS</t>
  </si>
  <si>
    <t>Coste Calidad Mon.(PNS)</t>
  </si>
  <si>
    <t>A15</t>
  </si>
  <si>
    <t>Coste Calidad Metrologia AUTO</t>
  </si>
  <si>
    <t>COSTE CALIDAD ME</t>
  </si>
  <si>
    <t>999</t>
  </si>
  <si>
    <t xml:space="preserve"> 07</t>
  </si>
  <si>
    <t>A20</t>
  </si>
  <si>
    <t>Subconjuntos Completos</t>
  </si>
  <si>
    <t>Coste Calidad Inst.ENR (AUTO)</t>
  </si>
  <si>
    <t>M22</t>
  </si>
  <si>
    <t>7E1</t>
  </si>
  <si>
    <t>Conjunto</t>
  </si>
  <si>
    <t>Coste Calidad Asist.Tec.AUTO</t>
  </si>
  <si>
    <t>COSTE CALIDAD AS</t>
  </si>
  <si>
    <t>Coste Calidad Robotica AUTO</t>
  </si>
  <si>
    <t>C13</t>
  </si>
  <si>
    <t>Coste Calidad Planif.AUTO</t>
  </si>
  <si>
    <t>COSTE CALIDAD PL</t>
  </si>
  <si>
    <t>Coste Calidad Caldereria</t>
  </si>
  <si>
    <t>COSTE CALIDAD CA</t>
  </si>
  <si>
    <t>E21</t>
  </si>
  <si>
    <t>Coste Calidad Mecanizacion</t>
  </si>
  <si>
    <t>Armarios STD</t>
  </si>
  <si>
    <t>Coste Calidad Verif. Dim.AUTO</t>
  </si>
  <si>
    <t>COSTE CALIDAD VE</t>
  </si>
  <si>
    <t>Coste Calidad Gestión AERO</t>
  </si>
  <si>
    <t>COSTE CALIDAD GE</t>
  </si>
  <si>
    <t>Coste Calidad Ing.Aut.(AERO)</t>
  </si>
  <si>
    <t>Coste Calidad Ing.Mec.(AERO)</t>
  </si>
  <si>
    <t>Coste Calidad Ing.Pro.(AERO)</t>
  </si>
  <si>
    <t>Materiales Exterior (M,E,NR)</t>
  </si>
  <si>
    <t>Coste Calidad Calidad(AERO)</t>
  </si>
  <si>
    <t>A98</t>
  </si>
  <si>
    <t>Taller Auxiliares 1998</t>
  </si>
  <si>
    <t>Coste Calidad Mon.Mec.(AERO)</t>
  </si>
  <si>
    <t>Armarios Eléctricos</t>
  </si>
  <si>
    <t>Coste Calidad Metrologia AERO</t>
  </si>
  <si>
    <t>Vallados y seguridades</t>
  </si>
  <si>
    <t>Coste Calidad Inst.ENR (AERO)</t>
  </si>
  <si>
    <t>Coste Calidad Asist.Tec.AERO</t>
  </si>
  <si>
    <t>Coste Calidad Robotica AERO</t>
  </si>
  <si>
    <t>Coste Calidad Planif.AERO</t>
  </si>
  <si>
    <t>G98</t>
  </si>
  <si>
    <t>Gastos Obras 1998</t>
  </si>
  <si>
    <t>Coste Calidad Verif. Dim.AERO</t>
  </si>
  <si>
    <t>H98</t>
  </si>
  <si>
    <t>Horas Oficina Tecnica 1998</t>
  </si>
  <si>
    <t>Coste Calidad Materiales Subco</t>
  </si>
  <si>
    <t>COSTE CALIDAD MA</t>
  </si>
  <si>
    <t>Material subcontratado</t>
  </si>
  <si>
    <t>MATERIAL SUBCONT</t>
  </si>
  <si>
    <t>Gestion de Proyectos AUTO</t>
  </si>
  <si>
    <t>GESTION DE PROYE</t>
  </si>
  <si>
    <t>Gestion de Proyectos (AERO)</t>
  </si>
  <si>
    <t>M98</t>
  </si>
  <si>
    <t>Material Obras 1998</t>
  </si>
  <si>
    <t>Gestion Planif./Produc.AUTO</t>
  </si>
  <si>
    <t>GESTION PLANIF./</t>
  </si>
  <si>
    <t>O98</t>
  </si>
  <si>
    <t>Horas Oficina Tec. exterior 98</t>
  </si>
  <si>
    <t>Gestion Planif./Produc.AERO</t>
  </si>
  <si>
    <t>Gestion Compras AERO</t>
  </si>
  <si>
    <t>GESTION COMPRAS</t>
  </si>
  <si>
    <t>P03</t>
  </si>
  <si>
    <t>Materiales alto valor3 (Pres.)</t>
  </si>
  <si>
    <t>Gestion de Calidad AUTO</t>
  </si>
  <si>
    <t>GESTION DE CALID</t>
  </si>
  <si>
    <t>Dietas y Desplazam.(Presup.)</t>
  </si>
  <si>
    <t>Gestion de Calidad (AERO)</t>
  </si>
  <si>
    <t>Tptes. y Embalajes (Presup.)</t>
  </si>
  <si>
    <t>Definicion de Ing.Mec.AUTO</t>
  </si>
  <si>
    <t>DEFINICION DE IN</t>
  </si>
  <si>
    <t>T98</t>
  </si>
  <si>
    <t>Horas Taller 1998</t>
  </si>
  <si>
    <t>Layout y simulaciones</t>
  </si>
  <si>
    <t>LAYOUT Y SIMULAC</t>
  </si>
  <si>
    <t>Coordinación y Gestión</t>
  </si>
  <si>
    <t>Definicion de Ing.Mec.(AERO)</t>
  </si>
  <si>
    <t>Gestion de Ing.Autom.auto</t>
  </si>
  <si>
    <t>GESTION DE ING.A</t>
  </si>
  <si>
    <t>Gestión Procesos ETT.</t>
  </si>
  <si>
    <t>Gestion de Ing.Autom.AERO</t>
  </si>
  <si>
    <t>Gestion Procesos EXT.</t>
  </si>
  <si>
    <t>Gestion Montaje mecánico AUTO</t>
  </si>
  <si>
    <t>GESTION MONTAJE</t>
  </si>
  <si>
    <t>Gestión Procesos AUX.</t>
  </si>
  <si>
    <t>Gestion Metrologia AUTO</t>
  </si>
  <si>
    <t>GESTION METROLOG</t>
  </si>
  <si>
    <t>Gestión Producción INT.</t>
  </si>
  <si>
    <t>Gestion Montaje mecánico AERO</t>
  </si>
  <si>
    <t>Gestión Producción ETT.</t>
  </si>
  <si>
    <t>Gestion Metrologia AERO</t>
  </si>
  <si>
    <t>Gestión Producción EXT.</t>
  </si>
  <si>
    <t>Gestion Instalacion ENR AUTO</t>
  </si>
  <si>
    <t>GESTION INSTALAC</t>
  </si>
  <si>
    <t>Gestión Producción AUX.</t>
  </si>
  <si>
    <t>Gestion Instalacion ENR AERO</t>
  </si>
  <si>
    <t>Gestion Robotica AUTO</t>
  </si>
  <si>
    <t>GESTION ROBOTICA</t>
  </si>
  <si>
    <t>Gestión Ing. Mec. ETT.</t>
  </si>
  <si>
    <t>Gestion Robotica AERO</t>
  </si>
  <si>
    <t>Gestión Ing. Mec. EXT.</t>
  </si>
  <si>
    <t>Jefes equipo Mecanizacion</t>
  </si>
  <si>
    <t>JEFES EQUIPO MEC</t>
  </si>
  <si>
    <t>Gestión Ing. Mec. AUX.</t>
  </si>
  <si>
    <t>Gestion de Cálculo Mec.AUTO</t>
  </si>
  <si>
    <t>GESTION DE CÁLCU</t>
  </si>
  <si>
    <t>Gestion de Cálculo Mec.AERO</t>
  </si>
  <si>
    <t>Gestión Ing. Aut. ETT.</t>
  </si>
  <si>
    <t>Diseño Hardware AUTO</t>
  </si>
  <si>
    <t>Gestión Ing. Aut. EXT.</t>
  </si>
  <si>
    <t>Diseño Hardware AERO</t>
  </si>
  <si>
    <t>Gestión Ing. Aut. AUX.</t>
  </si>
  <si>
    <t>Diseño Software AUTO</t>
  </si>
  <si>
    <t>Diseño Automatismos</t>
  </si>
  <si>
    <t>Diseño Software AERO</t>
  </si>
  <si>
    <t>Diseño Hardware INT.</t>
  </si>
  <si>
    <t>Diseño NR AUTO</t>
  </si>
  <si>
    <t>DISEÑO NR AUTO</t>
  </si>
  <si>
    <t>Diseño Hardware ETT.</t>
  </si>
  <si>
    <t>Diseño NR AERO</t>
  </si>
  <si>
    <t>DISEÑO NR AERO</t>
  </si>
  <si>
    <t>Diseño Hardware EXT.</t>
  </si>
  <si>
    <t>Diseño Robótica AUTO</t>
  </si>
  <si>
    <t>Diseño Hardware AUX.</t>
  </si>
  <si>
    <t>Diseño Robótica AERO</t>
  </si>
  <si>
    <t>Ingenieria mecánica (STD)</t>
  </si>
  <si>
    <t>INGENIERIA MECÁN</t>
  </si>
  <si>
    <t>Diseño Software ETT.</t>
  </si>
  <si>
    <t>Ingenieria electrica (STD)</t>
  </si>
  <si>
    <t>INGENIERIA ELECT</t>
  </si>
  <si>
    <t>Diseño Software EXT.</t>
  </si>
  <si>
    <t>Robcad Preestudios Basic.AUTO</t>
  </si>
  <si>
    <t>ROBCAD PREESTUDI</t>
  </si>
  <si>
    <t>Diseño Software AUX.</t>
  </si>
  <si>
    <t>Robcad Preestudios Basic.AERO</t>
  </si>
  <si>
    <t>Robcad Verif.Tray.por zona AUT</t>
  </si>
  <si>
    <t>ROBCAD VERIF.TRA</t>
  </si>
  <si>
    <t>Diseño NR ETT.</t>
  </si>
  <si>
    <t>Robcad Prog.Offline AUTO</t>
  </si>
  <si>
    <t>ROBCAD PROG.OFFL</t>
  </si>
  <si>
    <t>Diseño NR EXT.</t>
  </si>
  <si>
    <t>Robcad Est.viab.Layout AUTO</t>
  </si>
  <si>
    <t>ROBCAD EST.VIAB.</t>
  </si>
  <si>
    <t>Diseño NR AUX.</t>
  </si>
  <si>
    <t>PMS Gestion Proyectos AUTO</t>
  </si>
  <si>
    <t>PMS GESTION PROY</t>
  </si>
  <si>
    <t>PMS Gestion Proyectos AERO</t>
  </si>
  <si>
    <t>Diseño Robótica ETT.</t>
  </si>
  <si>
    <t>PMS Ing.Automatismos AUTO</t>
  </si>
  <si>
    <t>PMS ING.AUTOMATI</t>
  </si>
  <si>
    <t>Diseño Robótica EXT.</t>
  </si>
  <si>
    <t>PMS Ing.Automatismos AERO</t>
  </si>
  <si>
    <t>Diseño Robótica AUX.</t>
  </si>
  <si>
    <t>PMS Robotica AUTO</t>
  </si>
  <si>
    <t>PMS ROBOTICA AUT</t>
  </si>
  <si>
    <t>Ingeniería mecánica STD INT.</t>
  </si>
  <si>
    <t>PMS Robotica AERO</t>
  </si>
  <si>
    <t>PMS ROBOTICA AER</t>
  </si>
  <si>
    <t>252</t>
  </si>
  <si>
    <t>Ingeniería mecánica STD ETT.</t>
  </si>
  <si>
    <t>PMS Montaje Mecanico AUTO</t>
  </si>
  <si>
    <t>PMS MONTAJE MECA</t>
  </si>
  <si>
    <t>253</t>
  </si>
  <si>
    <t>Ingeniería mecánica STD EXT.</t>
  </si>
  <si>
    <t>PMS Montaje Mecanico AERO</t>
  </si>
  <si>
    <t>254</t>
  </si>
  <si>
    <t>Ingeniería mecánica STD AUX.</t>
  </si>
  <si>
    <t>METALOGRAFIA</t>
  </si>
  <si>
    <t>Ingeniería eléctrica STD INT.</t>
  </si>
  <si>
    <t>PMS Asistencia Tecnica AUTO</t>
  </si>
  <si>
    <t>PMS ASISTENCIA T</t>
  </si>
  <si>
    <t>262</t>
  </si>
  <si>
    <t>Ingeniería eléctrica STD ETT.</t>
  </si>
  <si>
    <t>PMS Asistencia Tecnica AERO</t>
  </si>
  <si>
    <t>263</t>
  </si>
  <si>
    <t>Ingeniería eléctrica STD EXT.</t>
  </si>
  <si>
    <t>Desmontaje mecanico AUTO</t>
  </si>
  <si>
    <t>DESMONTAJE MECAN</t>
  </si>
  <si>
    <t>264</t>
  </si>
  <si>
    <t>Ingeniería eléctrica STD AUX.</t>
  </si>
  <si>
    <t>Desmontaje mecanico AERO</t>
  </si>
  <si>
    <t>271</t>
  </si>
  <si>
    <t>Ingeniería electrónica STD INT</t>
  </si>
  <si>
    <t>Desmontaje electrico AUTO</t>
  </si>
  <si>
    <t>DESMONTAJE ELECT</t>
  </si>
  <si>
    <t>272</t>
  </si>
  <si>
    <t>Ingeniería electrónica STD ETT</t>
  </si>
  <si>
    <t>Desmontaje electrico AERO</t>
  </si>
  <si>
    <t>273</t>
  </si>
  <si>
    <t>Ingeniería electrónica STD EXT</t>
  </si>
  <si>
    <t>Desmontaje NR AUTO</t>
  </si>
  <si>
    <t>DESMONTAJE NR AU</t>
  </si>
  <si>
    <t>274</t>
  </si>
  <si>
    <t>Ingeniería electrónica STD AUX</t>
  </si>
  <si>
    <t>Desmontaje NR AERO</t>
  </si>
  <si>
    <t>DESMONTAJE NR AE</t>
  </si>
  <si>
    <t>PMS Ing.Mecanica AUTO</t>
  </si>
  <si>
    <t>PMS ING.MECANICA</t>
  </si>
  <si>
    <t>PMS Ing.Mecanica AERO</t>
  </si>
  <si>
    <t>312</t>
  </si>
  <si>
    <t>Robcad ETT.</t>
  </si>
  <si>
    <t>Tr.Planta Gestion Proy.AUTO</t>
  </si>
  <si>
    <t>TR.PLANTA GESTIO</t>
  </si>
  <si>
    <t>Desplazamientos Ges.Proy.AUTO</t>
  </si>
  <si>
    <t>DESPLAZAMIENTOS</t>
  </si>
  <si>
    <t>314</t>
  </si>
  <si>
    <t>Robcad AUX.</t>
  </si>
  <si>
    <t>Tr.Planta Gestion Proy.AERO</t>
  </si>
  <si>
    <t>Trabajos Planta Ing.Autom.AUTO</t>
  </si>
  <si>
    <t>TRABAJOS PLANTA</t>
  </si>
  <si>
    <t>PMS Procesos INT.</t>
  </si>
  <si>
    <t>Desplaz.Ing.Automatism AUTO</t>
  </si>
  <si>
    <t>DESPLAZ.ING.AUTO</t>
  </si>
  <si>
    <t>PMS Procesos ETT.</t>
  </si>
  <si>
    <t>Trabajos Planta Ing.Autom.AERO</t>
  </si>
  <si>
    <t>PMS Procesos EXT.</t>
  </si>
  <si>
    <t>Trabajos Planta Robotica AUTO</t>
  </si>
  <si>
    <t>PMS Procesos AUX.</t>
  </si>
  <si>
    <t>Desplazamientos Robotica AUTO</t>
  </si>
  <si>
    <t>PMS Automatismos INT.</t>
  </si>
  <si>
    <t>Trabajos Planta Robotica AERO</t>
  </si>
  <si>
    <t>PMS Automatismos ETT.</t>
  </si>
  <si>
    <t>Trabajos Planta Mon.Mec.AUTO</t>
  </si>
  <si>
    <t>PMS Automatismos EXT.</t>
  </si>
  <si>
    <t>Desplazamientos Mon.Mec.AUTO</t>
  </si>
  <si>
    <t>PMS Automatismos AUX.</t>
  </si>
  <si>
    <t>Trabajos Planta Mon.Mec.AERO</t>
  </si>
  <si>
    <t>PMS Robótica INT.</t>
  </si>
  <si>
    <t>Trabajos Planta Asis.Tec.AUTO</t>
  </si>
  <si>
    <t>PMS Robótica ETT.</t>
  </si>
  <si>
    <t>Desplazamientos Asis.Tec.AUTO</t>
  </si>
  <si>
    <t>PMS Robótica EXT.</t>
  </si>
  <si>
    <t>Trabajos Planta Asis.Tec.AERO</t>
  </si>
  <si>
    <t>PMS Robótica AUX.</t>
  </si>
  <si>
    <t>Remontaje mecanico AUTO</t>
  </si>
  <si>
    <t>REMONTAJE MECANI</t>
  </si>
  <si>
    <t>PMS Montaje Mec. INT.</t>
  </si>
  <si>
    <t>Remontaje mecanico AERO</t>
  </si>
  <si>
    <t>PMS Montaje Mec. ETT.</t>
  </si>
  <si>
    <t>Remontaje electrico AUTO</t>
  </si>
  <si>
    <t>REMONTAJE ELECTR</t>
  </si>
  <si>
    <t>PMS Montaje Mec. EXT.</t>
  </si>
  <si>
    <t>Desplazamientos ENR AUTO</t>
  </si>
  <si>
    <t>PMS Montaje Mec. AUX.</t>
  </si>
  <si>
    <t>Remontaje electrico AERO</t>
  </si>
  <si>
    <t>PMS A.T. INT.</t>
  </si>
  <si>
    <t>Remontaje NR AUTO</t>
  </si>
  <si>
    <t>REMONTAJE NR AUT</t>
  </si>
  <si>
    <t>PMS A.T. ETT.</t>
  </si>
  <si>
    <t>Remontaje NR AERO</t>
  </si>
  <si>
    <t>REMONTAJE NR AER</t>
  </si>
  <si>
    <t>PMS A.T. EXT.</t>
  </si>
  <si>
    <t>Trabajos Planta Ing.Mec.AUTO</t>
  </si>
  <si>
    <t>PMS A.T. AUX.</t>
  </si>
  <si>
    <t>Desplazamientos Ing.Mec.AUTO</t>
  </si>
  <si>
    <t>Desmontaje Mecánico INT.</t>
  </si>
  <si>
    <t>Trabajos Planta Ing.Mec.AERO</t>
  </si>
  <si>
    <t>Desmontaje Mecánico ETT.</t>
  </si>
  <si>
    <t>Asist.Planta Ges.Proy.AUTO</t>
  </si>
  <si>
    <t>ASIST.PLANTA GES</t>
  </si>
  <si>
    <t>Desmontaje Mecánico EXT.</t>
  </si>
  <si>
    <t>Asist.Planta Ges.Proy.AERO</t>
  </si>
  <si>
    <t>Desmontaje Mecánico AUX.</t>
  </si>
  <si>
    <t>Asistencia Planta Ing.Aut.AUTO</t>
  </si>
  <si>
    <t>ASISTENCIA PLANT</t>
  </si>
  <si>
    <t>Desmontaje Eléctrico INT.</t>
  </si>
  <si>
    <t>Asistencia Planta Ing.Aut.AERO</t>
  </si>
  <si>
    <t>Desmontaje Eléctrico ETT.</t>
  </si>
  <si>
    <t>Asistencia Planta Robotica AUT</t>
  </si>
  <si>
    <t>Desmontaje Eléctrico EXT.</t>
  </si>
  <si>
    <t>Asistencia Planta Robotica AER</t>
  </si>
  <si>
    <t>Desmontaje Eléctrico AUX.</t>
  </si>
  <si>
    <t>Asistencia Planta Mon.Mec.AUTO</t>
  </si>
  <si>
    <t>Desmontaje NR INT.</t>
  </si>
  <si>
    <t>Asistencia Planta Mon.Mec.AERO</t>
  </si>
  <si>
    <t>Desmontaje NR ETT.</t>
  </si>
  <si>
    <t>Asistencia Planta Asis.Tec.AUT</t>
  </si>
  <si>
    <t>Desmontaje NR EXT.</t>
  </si>
  <si>
    <t>Asistencia Planta Asis.Tec.AER</t>
  </si>
  <si>
    <t>Desmontaje NR AUX.</t>
  </si>
  <si>
    <t>Asistencia Planta Inst.ENR AUT</t>
  </si>
  <si>
    <t>PMS Ing. Mec. INT.</t>
  </si>
  <si>
    <t>Asistencia Planta Inst.ENR AER</t>
  </si>
  <si>
    <t>PMS Ing. Mec. ETT.</t>
  </si>
  <si>
    <t>Diseño Ing.Mecanica AUTO</t>
  </si>
  <si>
    <t>DISEÑO ING.MECAN</t>
  </si>
  <si>
    <t>PMS Ing. Mec. EXT.</t>
  </si>
  <si>
    <t>Diseño Ing.Mecanica (AERO)</t>
  </si>
  <si>
    <t>PMS Ing. Mec. AUX.</t>
  </si>
  <si>
    <t>Cálculo Mecánico AUTO</t>
  </si>
  <si>
    <t>CÁLCULO MECÁNICO</t>
  </si>
  <si>
    <t>Asist. planta Procesos INT.</t>
  </si>
  <si>
    <t>Cálculo Mecánico AERO</t>
  </si>
  <si>
    <t>Asist. planta Procesos ETT.</t>
  </si>
  <si>
    <t>Asist. planta Procesos EXT.</t>
  </si>
  <si>
    <t>Asist. planta Procesos AUX.</t>
  </si>
  <si>
    <t>Ajuste</t>
  </si>
  <si>
    <t>AJUSTE</t>
  </si>
  <si>
    <t>Asist. planta OTE/Aut. INT.</t>
  </si>
  <si>
    <t>Mecanización CAM</t>
  </si>
  <si>
    <t>MECANIZACIÓN CAM</t>
  </si>
  <si>
    <t>Asist. planta OTE/Aut. ETT.</t>
  </si>
  <si>
    <t>Pintura</t>
  </si>
  <si>
    <t>PINTURA</t>
  </si>
  <si>
    <t>Asist. planta OTE/Aut. EXT.</t>
  </si>
  <si>
    <t>Montaje mecánico AUTO</t>
  </si>
  <si>
    <t>Asist. planta OTE/Aut. AUX.</t>
  </si>
  <si>
    <t>Montaje mecánico AERO</t>
  </si>
  <si>
    <t>Asist. planta Robótica INT.</t>
  </si>
  <si>
    <t>Metrología 3D AUTO</t>
  </si>
  <si>
    <t>METROLOGÍA 3D AU</t>
  </si>
  <si>
    <t>Asist. planta Robótica ETT.</t>
  </si>
  <si>
    <t>Metrología 3D AERO</t>
  </si>
  <si>
    <t>METROLOGÍA 3D AE</t>
  </si>
  <si>
    <t>Asist. planta Robótica EXT.</t>
  </si>
  <si>
    <t>Fabric.Elec.Armarios AUTO</t>
  </si>
  <si>
    <t>FABRIC.ELEC.ARMA</t>
  </si>
  <si>
    <t>Asist. planta Robótica AUX.</t>
  </si>
  <si>
    <t>Fabric.Elec.Armarios AERO</t>
  </si>
  <si>
    <t>Asist. planta Mont. Mec. INT.</t>
  </si>
  <si>
    <t>Instalacion Electrica AUTO</t>
  </si>
  <si>
    <t>INSTALACION ELEC</t>
  </si>
  <si>
    <t>Asist. planta Mont. Mec. ETT.</t>
  </si>
  <si>
    <t>Instalacion Electrica AERO</t>
  </si>
  <si>
    <t>Asist. planta Mont. Mec. EXT.</t>
  </si>
  <si>
    <t>Instalacion NR AUTO</t>
  </si>
  <si>
    <t>INSTALACION NR A</t>
  </si>
  <si>
    <t>Asist. planta Mont. Mec. AUX.</t>
  </si>
  <si>
    <t>Instalacion NR AERO</t>
  </si>
  <si>
    <t>Asist. planta A.T. INT.</t>
  </si>
  <si>
    <t>Programacion CAM</t>
  </si>
  <si>
    <t>PROGRAMACION CAM</t>
  </si>
  <si>
    <t>Asist. planta A.T. ETT.</t>
  </si>
  <si>
    <t>Verificación Dimensional AUTO</t>
  </si>
  <si>
    <t>VERIFICACIÓN DIM</t>
  </si>
  <si>
    <t>Asist. planta A.T. EXT.</t>
  </si>
  <si>
    <t>Verificación Dimensional AERO</t>
  </si>
  <si>
    <t>Asist. planta A.T. AUX.</t>
  </si>
  <si>
    <t>Montaje mecanico STD</t>
  </si>
  <si>
    <t>MONTAJE MECANICO</t>
  </si>
  <si>
    <t>Asistencia en planta</t>
  </si>
  <si>
    <t>Verificacion Maquinas STD</t>
  </si>
  <si>
    <t>VERIFICACION MAQ</t>
  </si>
  <si>
    <t>Trabajos en Planta</t>
  </si>
  <si>
    <t>Verificacion Electronica</t>
  </si>
  <si>
    <t>VERIFICACION ELE</t>
  </si>
  <si>
    <t>Trab. Planta Procesos INT.</t>
  </si>
  <si>
    <t>ASUNTOS SINDICALES</t>
  </si>
  <si>
    <t>ASUNTOS SINDICAL</t>
  </si>
  <si>
    <t>Trab. Planta Procesos ETT.</t>
  </si>
  <si>
    <t>Horas directas improductivas</t>
  </si>
  <si>
    <t>HORAS DIRECTAS I</t>
  </si>
  <si>
    <t>Trab. Planta Procesos EXT.</t>
  </si>
  <si>
    <t>VACACIONES</t>
  </si>
  <si>
    <t>Ausencia</t>
  </si>
  <si>
    <t>Trab. Planta Procesos AUX.</t>
  </si>
  <si>
    <t>BAJA TEMPORAL</t>
  </si>
  <si>
    <t>Trab. Planta OTE/Auto. INT.</t>
  </si>
  <si>
    <t>ASUNTOS PARTICULARES</t>
  </si>
  <si>
    <t>ASUNTOS PARTICUL</t>
  </si>
  <si>
    <t>Trab. Planta OTE/Auto. ETT.</t>
  </si>
  <si>
    <t>VISITA AL MEDICO</t>
  </si>
  <si>
    <t>Trab. Planta OTE/Auto. EXT.</t>
  </si>
  <si>
    <t>CURSILLOS EXTERIORES</t>
  </si>
  <si>
    <t>CURSILLOS EXTERI</t>
  </si>
  <si>
    <t>Trab. Planta OTE/Auto. AUX.</t>
  </si>
  <si>
    <t>Trab. Planta Robótica INT.</t>
  </si>
  <si>
    <t>REGULACIÓN DE EMPLEO</t>
  </si>
  <si>
    <t>REGULACIÓN EMPL</t>
  </si>
  <si>
    <t>Trab. Planta Robótica ETT.</t>
  </si>
  <si>
    <t>Trab. Planta Robótica EXT.</t>
  </si>
  <si>
    <t>Trab. Planta Robótica AUX.</t>
  </si>
  <si>
    <t>Trab. Planta Mont. Mec. INT.</t>
  </si>
  <si>
    <t>Trab. Planta Mont. Mec. ETT.</t>
  </si>
  <si>
    <t>Trab. Planta Mont. Mec. EXT.</t>
  </si>
  <si>
    <t>Trab. Planta Mont. Mec. AUX.</t>
  </si>
  <si>
    <t>Trab. Planta A.T. INT.</t>
  </si>
  <si>
    <t>Trab. Planta A.T. ETT.</t>
  </si>
  <si>
    <t>Trab. Planta A.T. EXT.</t>
  </si>
  <si>
    <t>Trab. Planta A.T. AUX.</t>
  </si>
  <si>
    <t>Remontaje Mecánico INT.</t>
  </si>
  <si>
    <t>Remontaje Mecánico ETT.</t>
  </si>
  <si>
    <t>Remontaje Mecánico EXT.</t>
  </si>
  <si>
    <t>Remontaje Mecánico AUX.</t>
  </si>
  <si>
    <t>Remontaje Eléctrico INT.</t>
  </si>
  <si>
    <t>Remontaje Eléctrico ETT.</t>
  </si>
  <si>
    <t>Remontaje Eléctrico EXT.</t>
  </si>
  <si>
    <t>Remontaje Eléctrico AUX.</t>
  </si>
  <si>
    <t>Remontaje NR INT.</t>
  </si>
  <si>
    <t>Remontaje NR ETT.</t>
  </si>
  <si>
    <t>Remontaje NR EXT.</t>
  </si>
  <si>
    <t>Remontaje NR AUX.</t>
  </si>
  <si>
    <t>Trab. planta Ing. Mec. INT</t>
  </si>
  <si>
    <t>Trab. planta Ing. Mec. ETT</t>
  </si>
  <si>
    <t>Trab. planta Ing. Mec. EXT</t>
  </si>
  <si>
    <t>Trab. planta Ing. Mec. AUX</t>
  </si>
  <si>
    <t>7A1</t>
  </si>
  <si>
    <t>Fabricación eléctrica STD INT.</t>
  </si>
  <si>
    <t>7A2</t>
  </si>
  <si>
    <t>Fabricación eléctrica STD ETT.</t>
  </si>
  <si>
    <t>7A3</t>
  </si>
  <si>
    <t>Fabricación eléctrica STD EXT.</t>
  </si>
  <si>
    <t>7A4</t>
  </si>
  <si>
    <t>Fabricación eléctrica STD AUX.</t>
  </si>
  <si>
    <t>7B1</t>
  </si>
  <si>
    <t>Montaje trafos STD INT.</t>
  </si>
  <si>
    <t>7B2</t>
  </si>
  <si>
    <t>Montaje trafos STD ETT.</t>
  </si>
  <si>
    <t>7B3</t>
  </si>
  <si>
    <t>Montaje trafos STD EXT.</t>
  </si>
  <si>
    <t>7B4</t>
  </si>
  <si>
    <t>Montaje trafos STD AUX.</t>
  </si>
  <si>
    <t>Montaje mecánico STD INT.</t>
  </si>
  <si>
    <t>7C2</t>
  </si>
  <si>
    <t>Montaje mecánico STD ETT.</t>
  </si>
  <si>
    <t>7C3</t>
  </si>
  <si>
    <t>Montaje mecánico STD EXT.</t>
  </si>
  <si>
    <t>7C4</t>
  </si>
  <si>
    <t>Montaje mecánico STD AUX.</t>
  </si>
  <si>
    <t>7C5</t>
  </si>
  <si>
    <t>Montaje mecánico STD Comun</t>
  </si>
  <si>
    <t>Instalación eléctrica STD INT.</t>
  </si>
  <si>
    <t>7D2</t>
  </si>
  <si>
    <t>Instalación eléctrica STD ETT.</t>
  </si>
  <si>
    <t>7D3</t>
  </si>
  <si>
    <t>Instalación eléctrica STD EXT.</t>
  </si>
  <si>
    <t>7D4</t>
  </si>
  <si>
    <t>Instalación eléctrica STD AUX.</t>
  </si>
  <si>
    <t>Verificación máquinas STD INT.</t>
  </si>
  <si>
    <t>7E2</t>
  </si>
  <si>
    <t>Verificación máquinas STD ETT.</t>
  </si>
  <si>
    <t>7E3</t>
  </si>
  <si>
    <t>Verificación máquinas STD EXT.</t>
  </si>
  <si>
    <t>7E4</t>
  </si>
  <si>
    <t>Verificación máquinas STD AUX.</t>
  </si>
  <si>
    <t>Ing. Mecánica-Diseño ETT.</t>
  </si>
  <si>
    <t>Ing. Mecánica-Diseño AUX.</t>
  </si>
  <si>
    <t>Fabricación Mecánica INT.</t>
  </si>
  <si>
    <t>Fabricación Mecánica ETT.</t>
  </si>
  <si>
    <t>Fabricación Mecánica EXT.</t>
  </si>
  <si>
    <t>Fabricación Mecánica AUX.</t>
  </si>
  <si>
    <t>Montaje Mecánico INT.</t>
  </si>
  <si>
    <t>Montaje Mecánico ETT.</t>
  </si>
  <si>
    <t>Montaje Mecánico EXT.</t>
  </si>
  <si>
    <t>Montaje Mecánico AUX.</t>
  </si>
  <si>
    <t>740</t>
  </si>
  <si>
    <t>Metrología INT.</t>
  </si>
  <si>
    <t>Metrología ETT.</t>
  </si>
  <si>
    <t>Metrología EXT.</t>
  </si>
  <si>
    <t>Metrología AUX.</t>
  </si>
  <si>
    <t>Fabric. Elétr. Armarios INT.</t>
  </si>
  <si>
    <t>Fabric. Elétr. Armarios ETT.</t>
  </si>
  <si>
    <t>Fabric. Elétr. Armarios EXT.</t>
  </si>
  <si>
    <t>Fabric. Elétr. Armarios AUX.</t>
  </si>
  <si>
    <t>Instalación Eléctrica INT.</t>
  </si>
  <si>
    <t>Instalación Eléctrica ETT.</t>
  </si>
  <si>
    <t>Instalación Eléctrica EXT.</t>
  </si>
  <si>
    <t>Instalación Eléctrica AUX.</t>
  </si>
  <si>
    <t>Instalación NR INT.</t>
  </si>
  <si>
    <t>Instalación NR ETT.</t>
  </si>
  <si>
    <t>Instalación NR EXT.</t>
  </si>
  <si>
    <t>Instalación NR AUX.</t>
  </si>
  <si>
    <t>Fabricación CNC INT.</t>
  </si>
  <si>
    <t>Fabricación CNC ETT.</t>
  </si>
  <si>
    <t>Fabricación CNC EXT.</t>
  </si>
  <si>
    <t>Fabricación CNC AUX.</t>
  </si>
  <si>
    <t>TRANSP. &amp; DESPLAZ. EXT.</t>
  </si>
  <si>
    <t>FABRICACIÓN MECÁNICA EXT.</t>
  </si>
  <si>
    <t>GASTOS GENERALES</t>
  </si>
  <si>
    <t>GASTOS ADUANALES</t>
  </si>
  <si>
    <t>CUADRANTES CD2</t>
  </si>
  <si>
    <t>CUADRANTE ESTRUCTURADO</t>
  </si>
  <si>
    <t>GtoCuaId</t>
  </si>
  <si>
    <t>GtoCuaNam</t>
  </si>
  <si>
    <t>07</t>
  </si>
  <si>
    <t>Material Fluidos Ext.</t>
  </si>
  <si>
    <t>Subcontratación Completa Ext.</t>
  </si>
  <si>
    <t>Transp. &amp; Desplaz. Serra</t>
  </si>
  <si>
    <t>Robcad Serra</t>
  </si>
  <si>
    <t>Diseño Eléctrico Serra</t>
  </si>
  <si>
    <t>Gestión de Proyectos Serra</t>
  </si>
  <si>
    <t>Fabricación Mecánica Serra</t>
  </si>
  <si>
    <t>Instalación E.N.R. Serra</t>
  </si>
  <si>
    <t>Asist. Técnica Serra</t>
  </si>
  <si>
    <t>Diseño NR Serra</t>
  </si>
  <si>
    <t>Fabricación Eléctrica Serra</t>
  </si>
  <si>
    <t>Gestión Mecánica Serra</t>
  </si>
  <si>
    <t>Metrología Serra</t>
  </si>
  <si>
    <t>Robótica Serra</t>
  </si>
  <si>
    <t>TRANSP. &amp; DESPLAZ. SERRA</t>
  </si>
  <si>
    <t>MATERIAL FLUIDOS EXT.</t>
  </si>
  <si>
    <t>GESTIÓN DE PROYECTOS SERRA</t>
  </si>
  <si>
    <t>GESTIÓN MECÁNICA SERRA</t>
  </si>
  <si>
    <t>DISEÑO ELÉCTRICO SERRA</t>
  </si>
  <si>
    <t>DISEÑO NR SERRA</t>
  </si>
  <si>
    <t>ROBÓTICA SERRA</t>
  </si>
  <si>
    <t>ROBCAD SERRA</t>
  </si>
  <si>
    <t>Material Mecánico Ext.</t>
  </si>
  <si>
    <t>MATERIAL MECÁNICO EXT.</t>
  </si>
  <si>
    <t>Montaje Mecánico Serra</t>
  </si>
  <si>
    <t>DISEÑO MECÁNICO</t>
  </si>
  <si>
    <t>MATERIAL ELÉCTRICO</t>
  </si>
  <si>
    <t>O.F.Name</t>
  </si>
  <si>
    <t>Material Eléctrico Ext.</t>
  </si>
  <si>
    <t>Diseño Mecánico Serra</t>
  </si>
  <si>
    <t>Diseño Mecánico Ext.</t>
  </si>
  <si>
    <t>MATERIAL ELÉCTRICO EXT.</t>
  </si>
  <si>
    <t>DISEÑO MECÁNICO SERRA</t>
  </si>
  <si>
    <t>DISEÑO MECÁNICO EXT.</t>
  </si>
  <si>
    <t>Division</t>
  </si>
  <si>
    <t>PUESTA EN MARCHA EN SERRA</t>
  </si>
  <si>
    <t>COSTES EVITABLES PROVEEDORES</t>
  </si>
  <si>
    <t>DISEÑO ELEMENTOS IMPLANTACION</t>
  </si>
  <si>
    <t>GESTIÓN MECÁNICA EXT.</t>
  </si>
  <si>
    <t>DISEÑO ELÉCTRICO EXT.</t>
  </si>
  <si>
    <t>MONTAJE MECÁNICO SERRA</t>
  </si>
  <si>
    <t>ROBCAD EXT.</t>
  </si>
  <si>
    <t>MONTAJE MECÁNICO EXT.</t>
  </si>
  <si>
    <t>INSTALACIÓN E.N.R. EXT.</t>
  </si>
  <si>
    <t>METROLOGÍA SERRA</t>
  </si>
  <si>
    <t>FABRICACIÓN ELÉCTRICA SERRA</t>
  </si>
  <si>
    <t>FABRICACIÓN ELÉCTRICA EXT.</t>
  </si>
  <si>
    <t>INSTALACIÓN E.N.R. SERRA</t>
  </si>
  <si>
    <t>DSS</t>
  </si>
  <si>
    <t>DSE</t>
  </si>
  <si>
    <t>Project</t>
  </si>
  <si>
    <t>A</t>
  </si>
  <si>
    <t>B</t>
  </si>
  <si>
    <t>OrdCur</t>
  </si>
  <si>
    <t>OfrDate</t>
  </si>
  <si>
    <t>Causality</t>
  </si>
  <si>
    <t>DEFINICION</t>
  </si>
  <si>
    <t>PROCESO</t>
  </si>
  <si>
    <t>ERRORES</t>
  </si>
  <si>
    <t>NORMATIVA</t>
  </si>
  <si>
    <t>O</t>
  </si>
  <si>
    <t>MinOrdDate</t>
  </si>
  <si>
    <t>MaxInvDate</t>
  </si>
  <si>
    <t>Paid</t>
  </si>
  <si>
    <t>Fecha Realizada
Fecha Enviada
Fecha Negociada</t>
  </si>
  <si>
    <t>SOC</t>
  </si>
  <si>
    <t>EOC</t>
  </si>
  <si>
    <t>Amortization</t>
  </si>
  <si>
    <t>Sub Line</t>
  </si>
  <si>
    <t>Limit</t>
  </si>
  <si>
    <t>TARIFA</t>
  </si>
  <si>
    <t>Componente Coste</t>
  </si>
  <si>
    <t>Name</t>
  </si>
  <si>
    <t>Attribute</t>
  </si>
  <si>
    <t>Value</t>
  </si>
  <si>
    <t>Hours Rate</t>
  </si>
  <si>
    <t>Proyecto</t>
  </si>
  <si>
    <t>CstClcCur</t>
  </si>
  <si>
    <t>Valor Pedido</t>
  </si>
  <si>
    <t>HBaaN</t>
  </si>
  <si>
    <t>EOT</t>
  </si>
  <si>
    <t>GESTIÓN DE PROYECTOS:</t>
  </si>
  <si>
    <t>GESTIÓN MECÁNICA:</t>
  </si>
  <si>
    <t>DISEÑO MECÁNICO:</t>
  </si>
  <si>
    <t>ROBCAD:</t>
  </si>
  <si>
    <t>DISEÑO NR:</t>
  </si>
  <si>
    <t>ROBÓTICA:</t>
  </si>
  <si>
    <t>FABRICACIÓN MECÁNICA:</t>
  </si>
  <si>
    <t>MONTAJE MECÁNICO:</t>
  </si>
  <si>
    <t>METROLOGÍA:</t>
  </si>
  <si>
    <t>FABRICACIÓN ELÉCTRICA:</t>
  </si>
  <si>
    <t>INSTALACIÓN E.N.R.:</t>
  </si>
  <si>
    <t>ASIST. TÉCNICA:</t>
  </si>
  <si>
    <t>Alternative</t>
  </si>
  <si>
    <t>GESTIÓN MECÁNICA:DISEÑO MECÁNICO:</t>
  </si>
  <si>
    <t>DISEÑO ELÉCTRICO:DISEÑO NR:</t>
  </si>
  <si>
    <t>FABRICACIÓN ELÉCTRICA:INSTALACIÓN E.N.R.:</t>
  </si>
  <si>
    <t>Enquiry No</t>
  </si>
  <si>
    <t>Remarks</t>
  </si>
  <si>
    <t>Ongoing</t>
  </si>
  <si>
    <t>Offered</t>
  </si>
  <si>
    <t>Negotiated</t>
  </si>
  <si>
    <t>Ordered</t>
  </si>
  <si>
    <t>Version</t>
  </si>
  <si>
    <t>Concept</t>
  </si>
  <si>
    <t>Offer valid until</t>
  </si>
  <si>
    <t>Delivery date from PO</t>
  </si>
  <si>
    <t>Payment conditions</t>
  </si>
  <si>
    <t>Total Price</t>
  </si>
  <si>
    <t>Negotiated Price</t>
  </si>
  <si>
    <t>100% after delivery, 30 days nett</t>
  </si>
  <si>
    <t>MgHrs</t>
  </si>
  <si>
    <t>Expense</t>
  </si>
  <si>
    <t>Hotel</t>
  </si>
  <si>
    <t>Coche DE</t>
  </si>
  <si>
    <t>Fly Go/Back</t>
  </si>
  <si>
    <t>Parking/d</t>
  </si>
  <si>
    <t>People/Car</t>
  </si>
  <si>
    <t>FlyHrs Go/back</t>
  </si>
  <si>
    <t>Hrs/d</t>
  </si>
  <si>
    <t>Days/w</t>
  </si>
  <si>
    <t>CstClcData</t>
  </si>
  <si>
    <t>Volum</t>
  </si>
  <si>
    <t>Start</t>
  </si>
  <si>
    <t>Today</t>
  </si>
  <si>
    <t>Final</t>
  </si>
  <si>
    <t>Pedido</t>
  </si>
  <si>
    <t>Fecha Origen</t>
  </si>
  <si>
    <t>TbAssign</t>
  </si>
  <si>
    <t>OFb</t>
  </si>
  <si>
    <t>GEn</t>
  </si>
  <si>
    <t>CDc</t>
  </si>
  <si>
    <t>GtoCua</t>
  </si>
  <si>
    <t>PREV</t>
  </si>
  <si>
    <t>REAL</t>
  </si>
  <si>
    <t>EXT.</t>
  </si>
  <si>
    <t>ROW</t>
  </si>
  <si>
    <t>COL</t>
  </si>
  <si>
    <t>PRJ</t>
  </si>
  <si>
    <t>PDNT</t>
  </si>
  <si>
    <t>DESV</t>
  </si>
  <si>
    <t>PENDIENTE INCURRIR</t>
  </si>
  <si>
    <t>DESVIO PRESUPUESTO</t>
  </si>
  <si>
    <t>Group</t>
  </si>
  <si>
    <t>MATERIAL MECÁNICO:MATERIAL ELÉCTRICO:MATERIAL FLUIDOS:</t>
  </si>
  <si>
    <t>GtoCuaPrt</t>
  </si>
  <si>
    <t>VtaId</t>
  </si>
  <si>
    <t>InvCur</t>
  </si>
  <si>
    <t>OrdMin</t>
  </si>
  <si>
    <t>InvMin</t>
  </si>
  <si>
    <t>TaxCur</t>
  </si>
  <si>
    <t>PayMax</t>
  </si>
  <si>
    <t>PayCur</t>
  </si>
  <si>
    <t>CusOrdId</t>
  </si>
  <si>
    <t>PInt2</t>
  </si>
  <si>
    <t>624323</t>
  </si>
  <si>
    <t>624327</t>
  </si>
  <si>
    <t>624328</t>
  </si>
  <si>
    <t>624329</t>
  </si>
  <si>
    <t>DISEÑO SOFT</t>
  </si>
  <si>
    <t>634342</t>
  </si>
  <si>
    <t>MONTAJE EN SERRA</t>
  </si>
  <si>
    <t>634346</t>
  </si>
  <si>
    <t>PROGRAMA STD PLC SIEMENS</t>
  </si>
  <si>
    <t>634343</t>
  </si>
  <si>
    <t>651844</t>
  </si>
  <si>
    <t>31200</t>
  </si>
  <si>
    <t>31199</t>
  </si>
  <si>
    <t>COORDINACIÓN DEL PROYECTO</t>
  </si>
  <si>
    <t>INGENIERÍA GESTIÓN DISEÑO</t>
  </si>
  <si>
    <t>PUESTA EN MARCHA EN PLANTA CLIENTE</t>
  </si>
  <si>
    <t>PROYECTO ELÉCTRICO HARD</t>
  </si>
  <si>
    <t>OFF LINE PLC &amp; ROBOTICA</t>
  </si>
  <si>
    <t>MUEBLES ACÚMULO TÜNKERS, CINTAS SALIDA NIKAI</t>
  </si>
  <si>
    <t>MARCADO LÁSER PANASONIC + MARCADO TECHNIFOR</t>
  </si>
  <si>
    <t>OP-10.1/2 GEO</t>
  </si>
  <si>
    <t>OP-20.1/2 GEO</t>
  </si>
  <si>
    <t>OP-25 MARKING FIXTURE</t>
  </si>
  <si>
    <t>OP-30.1/2 GEO</t>
  </si>
  <si>
    <t>OP-40.1/2 GEO</t>
  </si>
  <si>
    <t>OP-50.1/2 GEO</t>
  </si>
  <si>
    <t>OP-55.1/2 REWELD</t>
  </si>
  <si>
    <t>OP-60.1/2 GEO</t>
  </si>
  <si>
    <t>OP-70.1/2 GEO</t>
  </si>
  <si>
    <t>OP-75.1 REWELD</t>
  </si>
  <si>
    <t>OP-80.1/2 GEO</t>
  </si>
  <si>
    <t>OP-85.1 REWELD</t>
  </si>
  <si>
    <t>OP-95.1 REWELD</t>
  </si>
  <si>
    <t>OP-125 MARKING FIXTURE</t>
  </si>
  <si>
    <t>PLATAFORMAS</t>
  </si>
  <si>
    <t>ESCUADRAS ACOPLAMIENTO ÚTILES</t>
  </si>
  <si>
    <t>SOPORTE ESTANTERIAS KLT</t>
  </si>
  <si>
    <t>OP-15 INSPECTION FIXTURE</t>
  </si>
  <si>
    <t>FIXTURE OP-110 / 210 SIDE RAIL SUB-ASSY I</t>
  </si>
  <si>
    <t>FIXTURE OP-120 / 220 SIDE RAIL SUB-ASSY II</t>
  </si>
  <si>
    <t>FIXTURE OP-130 / 230 SIDE RAIL REWELD</t>
  </si>
  <si>
    <t>FIXTURE OP-310 XMBR SUB-ASSY I</t>
  </si>
  <si>
    <t>FIXTURE OP-320 XMBR SUB-ASSY II</t>
  </si>
  <si>
    <t>FIXTURE OP-330 XMBR REWELD I</t>
  </si>
  <si>
    <t>FIXTURE OP-420 REWELD</t>
  </si>
  <si>
    <t>FIXTURE OP-430 GEO II</t>
  </si>
  <si>
    <t>FIXTURE OP-510 GEO III</t>
  </si>
  <si>
    <t>FIXTURE OP-520 GEO IV</t>
  </si>
  <si>
    <t>FIXTURE OP-530 REWELD</t>
  </si>
  <si>
    <t>FIXTURE OP-610 TOWERS SUB-ASSY I</t>
  </si>
  <si>
    <t>FIXTURE OP-620 TOWERS SUB-ASSY II</t>
  </si>
  <si>
    <t>OP-735 NEST</t>
  </si>
  <si>
    <t>OP-710 MACHINING</t>
  </si>
  <si>
    <t>OP-810 PIERCING</t>
  </si>
  <si>
    <t>ASISTENCIA EN PLANTA CLIENTE</t>
  </si>
  <si>
    <t>VALLADOS &amp; SEGURIDADES</t>
  </si>
  <si>
    <t>IMPLANTACIÓN GENERAL</t>
  </si>
  <si>
    <t>ROBOTS</t>
  </si>
  <si>
    <t>GARRAS ROBOT</t>
  </si>
  <si>
    <t>FABRICACIÓN PALETAS PARA CONVEYORS</t>
  </si>
  <si>
    <t>624324</t>
  </si>
  <si>
    <t>624325</t>
  </si>
  <si>
    <t>624326</t>
  </si>
  <si>
    <t>PUESTA EN MARCHA EN PLANTA</t>
  </si>
  <si>
    <t>DISEÑO UTILES/GARRAS</t>
  </si>
  <si>
    <t>634341</t>
  </si>
  <si>
    <t>634344</t>
  </si>
  <si>
    <t>634345</t>
  </si>
  <si>
    <t>651843</t>
  </si>
  <si>
    <t>FABRICACION UTILES/GARRAS</t>
  </si>
  <si>
    <t>634347</t>
  </si>
  <si>
    <t>ENR. UTILES/GARRAS</t>
  </si>
  <si>
    <t>634348</t>
  </si>
  <si>
    <t>634349</t>
  </si>
  <si>
    <t>MATERIAL SERRA UNP</t>
  </si>
  <si>
    <t>624331</t>
  </si>
  <si>
    <t>634367</t>
  </si>
  <si>
    <t>624317</t>
  </si>
  <si>
    <t>624318</t>
  </si>
  <si>
    <t>624319</t>
  </si>
  <si>
    <t>624320</t>
  </si>
  <si>
    <t>DIS.UTILES/GARRA</t>
  </si>
  <si>
    <t>DISEÑO MECANICO UTILES/GARRAS</t>
  </si>
  <si>
    <t>634332</t>
  </si>
  <si>
    <t>FAB.UTILES/GARRA</t>
  </si>
  <si>
    <t>634333</t>
  </si>
  <si>
    <t>ENR UTILES/GARRAS</t>
  </si>
  <si>
    <t>634334</t>
  </si>
  <si>
    <t>634335</t>
  </si>
  <si>
    <t>651835</t>
  </si>
  <si>
    <t>651836</t>
  </si>
  <si>
    <t>Site</t>
  </si>
  <si>
    <t>0CT001</t>
  </si>
  <si>
    <t>PW offline according Gestamp EUR standard</t>
  </si>
  <si>
    <t>0CT002</t>
  </si>
  <si>
    <t>EMA RR EOL auto unload AGV rack (pending AGV concept). Email 26/09/23.</t>
  </si>
  <si>
    <t>0CT003</t>
  </si>
  <si>
    <t>Electrical hardware components free issue Barcelona. Email 27/09/23.</t>
  </si>
  <si>
    <t>0CT004</t>
  </si>
  <si>
    <t>0CT006</t>
  </si>
  <si>
    <t>EMA RR EOL auto unload AGV rack (Revisited). Email 04/12/23.  V14 file included.</t>
  </si>
  <si>
    <t>0CT007</t>
  </si>
  <si>
    <t>EMA RR EOL Change product and Layout Process. Email 16/12/23.  V14 file included.</t>
  </si>
  <si>
    <t>0CT008</t>
  </si>
  <si>
    <t>Change of pneumatic components to SANDFIELD from DESTACO (just manual double bar slide guided)</t>
  </si>
  <si>
    <t>0CT009</t>
  </si>
  <si>
    <t>Support cost for payment Temporal Import Taxes and Management</t>
  </si>
  <si>
    <t>0CT010</t>
  </si>
  <si>
    <t>EMA RR EOL Change product isolated impact PW5 removed from PO.</t>
  </si>
  <si>
    <t>0CT011</t>
  </si>
  <si>
    <t>Out of scope welding Wire conduit purchased by SERRA</t>
  </si>
  <si>
    <t>2CT001</t>
  </si>
  <si>
    <t>2CT002</t>
  </si>
  <si>
    <t>20 units of Manual tack-welding sub-car sets 200's and 300's to be manfactured at SERRA.</t>
  </si>
  <si>
    <t>2CT003</t>
  </si>
  <si>
    <t>Op600 Gravity Ramp to be installed moving out finished parts</t>
  </si>
  <si>
    <t>&lt;6</t>
  </si>
  <si>
    <t>2CT004</t>
  </si>
  <si>
    <t>Op500 External Laser sensors on cell structure</t>
  </si>
  <si>
    <t>2CT005</t>
  </si>
  <si>
    <t>Op300 Poka-Yoke template for crossmember nut previous to fixture load.</t>
  </si>
  <si>
    <t>2CT006</t>
  </si>
  <si>
    <t xml:space="preserve">Arc Welding Robot Plinth and accessories supply (x1)+ Handling robot Op600 Plinth (x1). </t>
  </si>
  <si>
    <t>2CT007</t>
  </si>
  <si>
    <t>2CT008</t>
  </si>
  <si>
    <t>2CT009</t>
  </si>
  <si>
    <t>2 units Handling Robot Plinths supply for robots 180+280. Half cost due to delay on design change.</t>
  </si>
  <si>
    <t>2CT010</t>
  </si>
  <si>
    <t>10 pallets to be delivered for recovered floor conveyor for PHASE 1 EOL</t>
  </si>
  <si>
    <t>2CT011</t>
  </si>
  <si>
    <t>2CT012</t>
  </si>
  <si>
    <t>2CT013</t>
  </si>
  <si>
    <t>Rate246</t>
  </si>
  <si>
    <t>InvDiv</t>
  </si>
  <si>
    <t>OrdMax</t>
  </si>
  <si>
    <t>OrdIds</t>
  </si>
  <si>
    <t>InvMax</t>
  </si>
  <si>
    <t>PayMin</t>
  </si>
  <si>
    <t>InvIds</t>
  </si>
  <si>
    <t>InvIrr</t>
  </si>
  <si>
    <t>OrdIrr</t>
  </si>
  <si>
    <t>PInNxm</t>
  </si>
  <si>
    <t>GBP</t>
  </si>
  <si>
    <t>PO-001/ORIG: EMA FRONT - CAPITAL</t>
  </si>
  <si>
    <t>PO-002/ORIG: EMA FRONT - TOOLING</t>
  </si>
  <si>
    <t>CT-005/MODS: OP 300 POKA YOKE CROSSMEMBER STAND</t>
  </si>
  <si>
    <t>CT-003/MODS: OP 600 GRAVITY RAMP, OP 500 LASER SENSORS CELL STRUCTURE, ARC WELDING ROBOT PLINTHS</t>
  </si>
  <si>
    <t>333731/5
333731/10
333731/15
333731/20
333731/25</t>
  </si>
  <si>
    <t>500/7100013886</t>
  </si>
  <si>
    <t>PO-001/ORIG: CAPITAL + 900H SUPPORT</t>
  </si>
  <si>
    <t>333771/5</t>
  </si>
  <si>
    <t>500/7100013891</t>
  </si>
  <si>
    <t>333732/5
333732/10</t>
  </si>
  <si>
    <t>500/7400013858</t>
  </si>
  <si>
    <t>PO-003/ORIG: TOOLING</t>
  </si>
  <si>
    <t>333890/5</t>
  </si>
  <si>
    <t>3704153618</t>
  </si>
  <si>
    <t>Exchg</t>
  </si>
  <si>
    <t>PrjNam</t>
  </si>
  <si>
    <t>FREE ISSUE</t>
  </si>
  <si>
    <t>Oferta de Venta</t>
  </si>
  <si>
    <t>Vrs</t>
  </si>
  <si>
    <t>MATERIAL UNP SERRA PR-31200:15</t>
  </si>
  <si>
    <t>TRANSPORTE LINEAL PR-31200:15</t>
  </si>
  <si>
    <t>TRAZABILIDAD PR-31200:15</t>
  </si>
  <si>
    <t>Amortz.</t>
  </si>
  <si>
    <t>FIXTURE OP-410 REWELD</t>
  </si>
  <si>
    <t>FIXTURE OP-415 GEO I</t>
  </si>
  <si>
    <t>EOL</t>
  </si>
  <si>
    <t>Software development PLC, excl. Sicar &gt; Omron to Siemens</t>
  </si>
  <si>
    <t>To include Marker station on PHASE 1 EOL supply.  Option 1 (New)</t>
  </si>
  <si>
    <t>To include Marker station on PHASE 1 EOL supply.  Option 2 (Recovered)</t>
  </si>
  <si>
    <t>Cost engineering, manufacturing, pre-mounting and shipment related to ECR5883</t>
  </si>
  <si>
    <t>TOTS</t>
  </si>
  <si>
    <t>MATERIAL UNP SERRA</t>
  </si>
  <si>
    <t>DISEÑO PALETAS</t>
  </si>
  <si>
    <t>GrpPpto</t>
  </si>
  <si>
    <t>GrpPrv</t>
  </si>
  <si>
    <t>Hrs</t>
  </si>
  <si>
    <t>Mat</t>
  </si>
  <si>
    <t>Gto</t>
  </si>
  <si>
    <t>Diseño Fluidos</t>
  </si>
  <si>
    <t>Gestión Proyectos</t>
  </si>
  <si>
    <t>Definición</t>
  </si>
  <si>
    <t>Automatismos</t>
  </si>
  <si>
    <t>Instalación ENR</t>
  </si>
  <si>
    <t>1:GESTIÓN PROYECTOS</t>
  </si>
  <si>
    <t>2:DEFINICIÓN</t>
  </si>
  <si>
    <t>3:DISEÑO MECÁNICO</t>
  </si>
  <si>
    <t>4:ROBCAD</t>
  </si>
  <si>
    <t>5:AUTOMATISMOS</t>
  </si>
  <si>
    <t>6:DISEÑO FLUIDOS</t>
  </si>
  <si>
    <t>7:ROBÓTICA</t>
  </si>
  <si>
    <t>8:FABRICACIÓN MECÁNICA</t>
  </si>
  <si>
    <t>9:MONTAJE MECÁNICO</t>
  </si>
  <si>
    <t>10:METROLOGÍA</t>
  </si>
  <si>
    <t>11:FABRICACIÓN ELÉCTRICA</t>
  </si>
  <si>
    <t>12:INSTALACIÓN ENR</t>
  </si>
  <si>
    <t>15:MATERIAL MECÁNICO +%</t>
  </si>
  <si>
    <t>16:MATERIAL ELÉCTRICO +%</t>
  </si>
  <si>
    <t>17:MATERIAL FLUIDOS +%</t>
  </si>
  <si>
    <t>18:TRANSP. &amp; DESPLAZ.</t>
  </si>
  <si>
    <t>OP-230.1 MIG WELD (GEO)</t>
  </si>
  <si>
    <t>OP-210.1 MIG WELD (GEO)</t>
  </si>
  <si>
    <t>OP-220.1 WELDING (GEO)</t>
  </si>
  <si>
    <t>OP-310.1+2 WELDING (GEO)</t>
  </si>
  <si>
    <t>OP-320.1+2 WELDING (GEO)</t>
  </si>
  <si>
    <t>OP-420.1 WELDING (REWELD)</t>
  </si>
  <si>
    <t>OP-410.1+2 WELDING (GEO)</t>
  </si>
  <si>
    <t>OP-510.1+2 WELDING (GEO)</t>
  </si>
  <si>
    <t>OP-520.1 WELDING (REWELD)</t>
  </si>
  <si>
    <t>OP-610.1+2 WELDING (GEO)</t>
  </si>
  <si>
    <t>OP-620 WELDING (REWELD)</t>
  </si>
  <si>
    <t>OP-630.1 WELDING (REWELD)</t>
  </si>
  <si>
    <t>OP-740 MARKING</t>
  </si>
  <si>
    <t>PLATFORMS PR-31200:15</t>
  </si>
  <si>
    <t>FIXATIONS TOOLS PR-31200:15</t>
  </si>
  <si>
    <t>KTL SHELVES PR-31200:15</t>
  </si>
  <si>
    <t>OP-115 INSPECTION</t>
  </si>
  <si>
    <t>OP-405.1+2 WELDING (GEO)</t>
  </si>
  <si>
    <t>OP-920.1+2 INSPECTION</t>
  </si>
  <si>
    <t>TURN TABLE REWORKS PR-31200:15</t>
  </si>
  <si>
    <t>OP-950 AGV DOCKING</t>
  </si>
  <si>
    <t>OP-205.1 MIG WELD (GEO)</t>
  </si>
  <si>
    <t>SUBGROUP CELL</t>
  </si>
  <si>
    <t>SUBGROUP TOOL</t>
  </si>
  <si>
    <t>PLATFORMS PR-31200:11</t>
  </si>
  <si>
    <t>FIXATIONS TOOLS PR-31200:11</t>
  </si>
  <si>
    <t>KTL SHELVES PR-31200:11</t>
  </si>
  <si>
    <t>OP-395 PALLET MOD AERIALS</t>
  </si>
  <si>
    <t>PiRow</t>
  </si>
  <si>
    <t>PiColumn</t>
  </si>
  <si>
    <t>SO1</t>
  </si>
  <si>
    <t>SO2</t>
  </si>
  <si>
    <t>INGENIERÍA DEFINICIÓN</t>
  </si>
  <si>
    <t>MATERIAL MECÁNICO +%</t>
  </si>
  <si>
    <t>GrpRates</t>
  </si>
  <si>
    <t>GESTIÓN PROYECTOS</t>
  </si>
  <si>
    <t>DEFINICIÓN</t>
  </si>
  <si>
    <t>AUTOMATISMOS</t>
  </si>
  <si>
    <t>DISEÑO FLUIDOS</t>
  </si>
  <si>
    <t>INSTALACIÓN ENR</t>
  </si>
  <si>
    <t>MATERIAL ELÉCTRICO +%</t>
  </si>
  <si>
    <t>MATERIAL FLUIDOS +%</t>
  </si>
  <si>
    <t>ActGrp</t>
  </si>
  <si>
    <t>X002:SUBGROUP CELL</t>
  </si>
  <si>
    <t>SO3</t>
  </si>
  <si>
    <t>GprDest</t>
  </si>
  <si>
    <t>ADT</t>
  </si>
  <si>
    <t>RowStd</t>
  </si>
  <si>
    <t>COORDINACIÓN PROYECTO</t>
  </si>
  <si>
    <t>GESTION MECANICA</t>
  </si>
  <si>
    <t>GESTION AUTOMATISMOS</t>
  </si>
  <si>
    <t>RowIdCnt</t>
  </si>
  <si>
    <t>OP-105 MARKING</t>
  </si>
  <si>
    <t>OP-401 MARKING</t>
  </si>
  <si>
    <t>AGV STILLAGE PROTOTYPE PR-31200:11</t>
  </si>
  <si>
    <t>OP-410.1 WELDING (REWELD)</t>
  </si>
  <si>
    <t>OP-415.1+2 WELDING (GEO)</t>
  </si>
  <si>
    <t>OP-420.1+2 WELDING (GEO)</t>
  </si>
  <si>
    <t>RowGrp</t>
  </si>
  <si>
    <t>Material Mecánico (SOLO COMERCIO)</t>
  </si>
  <si>
    <t>Material Eléctrico</t>
  </si>
  <si>
    <t>FABRICACIÓN MECÁNICA (INCLUYE MATERIAS PRIMAS)</t>
  </si>
  <si>
    <t>VRS</t>
  </si>
  <si>
    <t>PIR</t>
  </si>
  <si>
    <t>MATERIAL MECÁNICO (SOLO COMERCIO)</t>
  </si>
  <si>
    <t>-</t>
  </si>
  <si>
    <t>SelPrj</t>
  </si>
  <si>
    <t>Sheet Name</t>
  </si>
  <si>
    <t>SUBGROUP DISI</t>
  </si>
  <si>
    <t>SUBGROUP GSDF</t>
  </si>
  <si>
    <t>SUBGROUP PEMX</t>
  </si>
  <si>
    <t>SUBGROUP TOTS</t>
  </si>
  <si>
    <t>SUBGROUP TRSL</t>
  </si>
  <si>
    <t>TRSL</t>
  </si>
  <si>
    <t>GSDF</t>
  </si>
  <si>
    <t>PEMX</t>
  </si>
  <si>
    <t>DISI</t>
  </si>
  <si>
    <t>X003:SUBGROUP TRSL</t>
  </si>
  <si>
    <t>RowIdEqu</t>
  </si>
  <si>
    <t>XA</t>
  </si>
  <si>
    <t>XH</t>
  </si>
  <si>
    <t>XB</t>
  </si>
  <si>
    <t>XC</t>
  </si>
  <si>
    <t>XD</t>
  </si>
  <si>
    <t>XE</t>
  </si>
  <si>
    <t>(C)ell
(T)ool</t>
  </si>
  <si>
    <t>(@S)erra
(@P)lant</t>
  </si>
  <si>
    <t>(I)nternal
(E)xternal</t>
  </si>
  <si>
    <t>S</t>
  </si>
  <si>
    <t>I</t>
  </si>
  <si>
    <t>M</t>
  </si>
  <si>
    <t>P</t>
  </si>
  <si>
    <t>E</t>
  </si>
  <si>
    <t>C</t>
  </si>
  <si>
    <t>T</t>
  </si>
  <si>
    <t>XF</t>
  </si>
  <si>
    <t>LngS</t>
  </si>
  <si>
    <t>Dptm</t>
  </si>
  <si>
    <t>CstOrig</t>
  </si>
  <si>
    <t>OFbNames</t>
  </si>
  <si>
    <t>(M)echanic
(A)utomation</t>
  </si>
  <si>
    <t>TbStd</t>
  </si>
  <si>
    <t>POvsCT</t>
  </si>
  <si>
    <t>Num</t>
  </si>
  <si>
    <t>PO</t>
  </si>
  <si>
    <t>CT</t>
  </si>
  <si>
    <t>SO4</t>
  </si>
  <si>
    <t>SO5</t>
  </si>
  <si>
    <t>GrpCTs</t>
  </si>
  <si>
    <t>PJS</t>
  </si>
  <si>
    <t>Enquery</t>
  </si>
  <si>
    <t>Alive</t>
  </si>
  <si>
    <t>R</t>
  </si>
  <si>
    <t>TbRsmIn</t>
  </si>
  <si>
    <t>ADM</t>
  </si>
  <si>
    <t>SOM</t>
  </si>
  <si>
    <t>EOM</t>
  </si>
  <si>
    <t>PCT</t>
  </si>
  <si>
    <t>PCN</t>
  </si>
  <si>
    <t>RWG</t>
  </si>
  <si>
    <t>CD2</t>
  </si>
  <si>
    <t>Resource</t>
  </si>
  <si>
    <t>SCD</t>
  </si>
  <si>
    <t>ECD</t>
  </si>
  <si>
    <t>SOS</t>
  </si>
  <si>
    <t>EOS</t>
  </si>
  <si>
    <t>ADS</t>
  </si>
  <si>
    <t>COLUMN</t>
  </si>
  <si>
    <t>PTO</t>
  </si>
  <si>
    <t>RES</t>
  </si>
  <si>
    <t>REX</t>
  </si>
  <si>
    <t>RemImpv</t>
  </si>
  <si>
    <t>DesvTyp</t>
  </si>
  <si>
    <t>Abs</t>
  </si>
  <si>
    <t>EOD</t>
  </si>
  <si>
    <t>SOD</t>
  </si>
  <si>
    <t>EOI</t>
  </si>
  <si>
    <t>SOI</t>
  </si>
  <si>
    <t>PPTO+PREV-REAL</t>
  </si>
  <si>
    <t>DETAIL</t>
  </si>
  <si>
    <t>DESVIATION BUDGET</t>
  </si>
  <si>
    <t>PREVIEW PENDING</t>
  </si>
  <si>
    <t>GRAND TOTALS</t>
  </si>
  <si>
    <t>SUBGROUPS TOTALS</t>
  </si>
  <si>
    <t>TOTALS</t>
  </si>
  <si>
    <t>NEGOTIATED</t>
  </si>
  <si>
    <t>OFFERED</t>
  </si>
  <si>
    <t>PURCHASED</t>
  </si>
  <si>
    <t>Finished</t>
  </si>
  <si>
    <t>Valor Facturado</t>
  </si>
  <si>
    <t>Paid Status</t>
  </si>
  <si>
    <t>Nº Pedido Cliente</t>
  </si>
  <si>
    <t>SOV</t>
  </si>
  <si>
    <t>EOV</t>
  </si>
  <si>
    <t>Dir€/H</t>
  </si>
  <si>
    <t>PREVISION</t>
  </si>
  <si>
    <t>PRESUPUESTO</t>
  </si>
  <si>
    <t>PENDIENTE</t>
  </si>
  <si>
    <t>ADD</t>
  </si>
  <si>
    <t>TRANSPORTES Y EMBALAJES:TRANSP. &amp; DESPLAZ.</t>
  </si>
  <si>
    <t>GASTOS DE DESPLAZAMIENTO:TRANSP. &amp; DESPLAZ.</t>
  </si>
  <si>
    <t>PRESUPUESTO IMPREVISTOS</t>
  </si>
  <si>
    <t>REAL: CD2 COMPROMETIDO</t>
  </si>
  <si>
    <t>DESVIO</t>
  </si>
  <si>
    <t>PPTO CT</t>
  </si>
  <si>
    <t>PPTO PO</t>
  </si>
  <si>
    <t>PNDT</t>
  </si>
  <si>
    <t>IMPR</t>
  </si>
  <si>
    <t>N</t>
  </si>
  <si>
    <t>VtaVsCst</t>
  </si>
  <si>
    <t>Cst</t>
  </si>
  <si>
    <t>Vta</t>
  </si>
  <si>
    <t>CT
Ofrecido</t>
  </si>
  <si>
    <t>PO
Original</t>
  </si>
  <si>
    <t>CT
Negociado</t>
  </si>
  <si>
    <t>CT
Pedido</t>
  </si>
  <si>
    <t>CT
Facturado</t>
  </si>
  <si>
    <t>CT
Pagado</t>
  </si>
  <si>
    <t>Actual Vta</t>
  </si>
  <si>
    <t>Actual Cst</t>
  </si>
  <si>
    <t>Futuro Vta/Cst</t>
  </si>
  <si>
    <t>H</t>
  </si>
  <si>
    <t>(H)ours
(M)aterial
(E)xpenses</t>
  </si>
  <si>
    <t>GSMT</t>
  </si>
  <si>
    <t>GDHR</t>
  </si>
  <si>
    <t>GSGT</t>
  </si>
  <si>
    <t>TRMT</t>
  </si>
  <si>
    <t>TRHR</t>
  </si>
  <si>
    <t>CTCT</t>
  </si>
  <si>
    <t>CTBA</t>
  </si>
  <si>
    <t>DISC</t>
  </si>
  <si>
    <t>DIST</t>
  </si>
  <si>
    <t>FABC</t>
  </si>
  <si>
    <t>FABT</t>
  </si>
  <si>
    <t>IMCS</t>
  </si>
  <si>
    <t>IMTS</t>
  </si>
  <si>
    <t>PMCS</t>
  </si>
  <si>
    <t>PMTS</t>
  </si>
  <si>
    <t>PMXP</t>
  </si>
  <si>
    <t>RowPI</t>
  </si>
  <si>
    <t>RowPpto</t>
  </si>
  <si>
    <t>G003</t>
  </si>
  <si>
    <t>G004</t>
  </si>
  <si>
    <t>G009</t>
  </si>
  <si>
    <t>G008</t>
  </si>
  <si>
    <t>G006</t>
  </si>
  <si>
    <t>G007</t>
  </si>
  <si>
    <t>G011</t>
  </si>
  <si>
    <t>E001</t>
  </si>
  <si>
    <t>G010</t>
  </si>
  <si>
    <t>G005</t>
  </si>
  <si>
    <t>E011</t>
  </si>
  <si>
    <t>E003</t>
  </si>
  <si>
    <t>G001</t>
  </si>
  <si>
    <t>G002</t>
  </si>
  <si>
    <t>G012</t>
  </si>
  <si>
    <t>E005</t>
  </si>
  <si>
    <t>E002</t>
  </si>
  <si>
    <t>E004</t>
  </si>
  <si>
    <t>A00X</t>
  </si>
  <si>
    <t>PEXX</t>
  </si>
  <si>
    <t>WSM</t>
  </si>
  <si>
    <t>WSA</t>
  </si>
  <si>
    <t>MTM</t>
  </si>
  <si>
    <t>MTA</t>
  </si>
  <si>
    <t>Attribute2</t>
  </si>
  <si>
    <t>HrsPpto</t>
  </si>
  <si>
    <t>AEC</t>
  </si>
  <si>
    <t>AssignCst</t>
  </si>
  <si>
    <t>AecAsgn</t>
  </si>
  <si>
    <t>(C) ell
(T) ool</t>
  </si>
  <si>
    <t>624321</t>
  </si>
  <si>
    <t>Compo</t>
  </si>
  <si>
    <t>IntExt</t>
  </si>
  <si>
    <t>Custom</t>
  </si>
  <si>
    <t>Measure</t>
  </si>
  <si>
    <t>PLANT</t>
  </si>
  <si>
    <t>CurPpto</t>
  </si>
  <si>
    <t>DISEÑO PALETAS PARA CONVEYORS</t>
  </si>
  <si>
    <t>=INDEX(Append4,MATCH($B$3&amp;":"&amp;"HrsPpto"&amp;":"&amp;"SUBGROUP TOTS",Append4[PrjId]&amp;":"&amp;Append4[Measure]&amp;":"&amp;TEXTAFTER(Append4[ActGrp],":"),0),MATCH(SUBSTITUTE(INDEX(TEXTSPLIT($B4,":"),1),"DE ",""),IFERROR(TEXTAFTER(Append4[#Headers],":"),"X"),0))</t>
  </si>
  <si>
    <t>CurExt</t>
  </si>
  <si>
    <t>X001:SUBGROUP TOOL</t>
  </si>
  <si>
    <t>CurInt</t>
  </si>
  <si>
    <t>HrsExt</t>
  </si>
  <si>
    <t>HrsInt</t>
  </si>
  <si>
    <t>X004:SUBGROUP GSDF</t>
  </si>
  <si>
    <t>X005:SUBGROUP PEMX</t>
  </si>
  <si>
    <t>X006:SUBGROUP DISI</t>
  </si>
  <si>
    <t>X100:SUBGROUP TOTS</t>
  </si>
  <si>
    <t>SEL</t>
  </si>
  <si>
    <t>IntCur</t>
  </si>
  <si>
    <t>ExtCur</t>
  </si>
  <si>
    <t>CT-001/MODS: CHANGE TO SANDFIELD FROM DESTACO (JUST MANUAL DOUBLE BAR SLIDE GUIDED)</t>
  </si>
  <si>
    <t>0CT005</t>
  </si>
  <si>
    <t>Merged</t>
  </si>
  <si>
    <t>PptoSty</t>
  </si>
  <si>
    <t>G001:TRANSPORTES &amp; EMBALAJES</t>
  </si>
  <si>
    <t>G002:DIETAS, DESPLAZAMIENTOS Y HOSPEDAJE</t>
  </si>
  <si>
    <t>G003:COORDINACIÓN DEL PROYECTO</t>
  </si>
  <si>
    <t>G004:INGENIERÍA GESTIÓN DISEÑO</t>
  </si>
  <si>
    <t>G005:PUESTA EN MARCHA EN SERRA</t>
  </si>
  <si>
    <t>G006:DESMONTAJE</t>
  </si>
  <si>
    <t>G007:REMONTAJE</t>
  </si>
  <si>
    <t>G008:PUESTA EN MARCHA EN PLANTA CLIENTE</t>
  </si>
  <si>
    <t>G009:ASISTENCIA EN PLANTA CLIENTE</t>
  </si>
  <si>
    <t>G010:ROBCAD</t>
  </si>
  <si>
    <t>G011:PROYECTO ELÉCTRICO HARD</t>
  </si>
  <si>
    <t>G012:OFF LINE PLC &amp; ROBOTICA</t>
  </si>
  <si>
    <t>E001:ARMARIOS ELECTRICOS</t>
  </si>
  <si>
    <t>E002:VALLADOS &amp; SEGURIDADES</t>
  </si>
  <si>
    <t>E003:IMPLANTACIÓN GENERAL</t>
  </si>
  <si>
    <t>E004:ROBOTS</t>
  </si>
  <si>
    <t>E005:GARRAS ROBOT</t>
  </si>
  <si>
    <t>P001:OP-230.1 MIG WELD (GEO)</t>
  </si>
  <si>
    <t>P002:OP-210.1 MIG WELD (GEO)</t>
  </si>
  <si>
    <t>P003:OP-105 MARKING</t>
  </si>
  <si>
    <t>P004:OP-220.1 WELDING (GEO)</t>
  </si>
  <si>
    <t>P005:OP-310.1+2 WELDING (GEO)</t>
  </si>
  <si>
    <t>P006:OP-320.1+2 WELDING (GEO)</t>
  </si>
  <si>
    <t>P007:OP-420.1 WELDING (REWELD)</t>
  </si>
  <si>
    <t>P008:OP-410.1+2 WELDING (GEO)</t>
  </si>
  <si>
    <t>P009:OP-510.1+2 WELDING (GEO)</t>
  </si>
  <si>
    <t>P010:OP-520.1 WELDING (REWELD)</t>
  </si>
  <si>
    <t>P011:OP-610.1+2 WELDING (GEO)</t>
  </si>
  <si>
    <t>P012:OP-620 WELDING (REWELD)</t>
  </si>
  <si>
    <t>P013:OP-630.1 WELDING (REWELD)</t>
  </si>
  <si>
    <t>P017:OP-740 MARKING</t>
  </si>
  <si>
    <t>P018:PLATFORMS PR-31200:15</t>
  </si>
  <si>
    <t>P019:FIXATIONS TOOLS PR-31200:15</t>
  </si>
  <si>
    <t>P020:KTL SHELVES PR-31200:15</t>
  </si>
  <si>
    <t>P021:OP-115 INSPECTION</t>
  </si>
  <si>
    <t>P022:OP-405.1+2 WELDING (GEO)</t>
  </si>
  <si>
    <t>P023:OP-401 MARKING</t>
  </si>
  <si>
    <t>P024:OP-920.1+2 INSPECTION</t>
  </si>
  <si>
    <t>P025:TURN TABLE REWORKS PR-31200:15</t>
  </si>
  <si>
    <t>P029:OP-950 AGV DOCKING</t>
  </si>
  <si>
    <t>P031:OP-205.1 MIG WELD (GEO)</t>
  </si>
  <si>
    <t>A001:MATERIAL UNP SERRA PR-31200:15</t>
  </si>
  <si>
    <t>A002:TRANSPORTE LINEAL PR-31200:15</t>
  </si>
  <si>
    <t>A003:TRAZABILIDAD PR-31200:15</t>
  </si>
  <si>
    <t>P007:OP-410.1 WELDING (REWELD)</t>
  </si>
  <si>
    <t>P008:OP-420.1+2 WELDING (GEO)</t>
  </si>
  <si>
    <t>P018:PLATFORMS PR-31200:11</t>
  </si>
  <si>
    <t>P019:FIXATIONS TOOLS PR-31200:11</t>
  </si>
  <si>
    <t>P020:KTL SHELVES PR-31200:11</t>
  </si>
  <si>
    <t>P022:OP-415.1+2 WELDING (GEO)</t>
  </si>
  <si>
    <t>P027:OP-395 PALLET MOD AERIALS</t>
  </si>
  <si>
    <t>P030:AGV STILLAGE PROTOTYPE PR-31200:11</t>
  </si>
  <si>
    <t>P001:OP-10.1/2 GEO</t>
  </si>
  <si>
    <t>P002:OP-20.1/2 GEO</t>
  </si>
  <si>
    <t>P003:OP-25 MARKING FIXTURE</t>
  </si>
  <si>
    <t>P004:OP-30.1/2 GEO</t>
  </si>
  <si>
    <t>P005:OP-40.1/2 GEO</t>
  </si>
  <si>
    <t>P006:OP-50.1/2 GEO</t>
  </si>
  <si>
    <t>P007:OP-55.1/2 REWELD</t>
  </si>
  <si>
    <t>P008:OP-60.1/2 GEO</t>
  </si>
  <si>
    <t>P009:OP-70.1/2 GEO</t>
  </si>
  <si>
    <t>P010:OP-75.1 REWELD</t>
  </si>
  <si>
    <t>P011:OP-80.1/2 GEO</t>
  </si>
  <si>
    <t>P012:OP-85.1 REWELD</t>
  </si>
  <si>
    <t>P013:OP-95.1 REWELD</t>
  </si>
  <si>
    <t>P017:OP-125 MARKING FIXTURE</t>
  </si>
  <si>
    <t>P018:PLATAFORMAS</t>
  </si>
  <si>
    <t>P019:ESCUADRAS ACOPLAMIENTO ÚTILES</t>
  </si>
  <si>
    <t>P020:SOPORTE ESTANTERIAS KLT</t>
  </si>
  <si>
    <t>P021:OP-15 INSPECTION FIXTURE</t>
  </si>
  <si>
    <t>A001:MATERIAL UNP SERRA</t>
  </si>
  <si>
    <t>A002:MUEBLES ACÚMULO TÜNKERS, CINTAS SALIDA NIKAI</t>
  </si>
  <si>
    <t>A003:MARCADO LÁSER PANASONIC + MARCADO TECHNIFOR</t>
  </si>
  <si>
    <t>A005:DISEÑO PALETAS</t>
  </si>
  <si>
    <t>P001:FIXTURE OP-110 / 210 SIDE RAIL SUB-ASSY I</t>
  </si>
  <si>
    <t>P002:FIXTURE OP-120 / 220 SIDE RAIL SUB-ASSY II</t>
  </si>
  <si>
    <t>P003:FIXTURE OP-130 / 230 SIDE RAIL REWELD</t>
  </si>
  <si>
    <t>P004:FIXTURE OP-310 XMBR SUB-ASSY I</t>
  </si>
  <si>
    <t>P005:FIXTURE OP-320 XMBR SUB-ASSY II</t>
  </si>
  <si>
    <t>P006:FIXTURE OP-330 XMBR REWELD I</t>
  </si>
  <si>
    <t>P007:FIXTURE OP-410 REWELD</t>
  </si>
  <si>
    <t>P008:FIXTURE OP-415 GEO I</t>
  </si>
  <si>
    <t>P009:FIXTURE OP-420 REWELD</t>
  </si>
  <si>
    <t>P010:FIXTURE OP-430 GEO II</t>
  </si>
  <si>
    <t>P011:FIXTURE OP-510 GEO III</t>
  </si>
  <si>
    <t>P012:FIXTURE OP-520 GEO IV</t>
  </si>
  <si>
    <t>P013:FIXTURE OP-530 REWELD</t>
  </si>
  <si>
    <t>P014:FIXTURE OP-610 TOWERS SUB-ASSY I</t>
  </si>
  <si>
    <t>P015:FIXTURE OP-620 TOWERS SUB-ASSY II</t>
  </si>
  <si>
    <t>P016:OP-735 NEST</t>
  </si>
  <si>
    <t>P017:OP-710 MACHINING</t>
  </si>
  <si>
    <t>P018:OP-810 PIERCING</t>
  </si>
  <si>
    <t>P020:ESCUADRAS ACOPLAMIENTO ÚTILES</t>
  </si>
  <si>
    <t>A001:DISEÑO PALETAS PARA CONVEYORS</t>
  </si>
  <si>
    <t>A002:FABRICACIÓN PALETAS PARA CONVEYORS</t>
  </si>
  <si>
    <t>CurOpt</t>
  </si>
  <si>
    <t>HrsOpt</t>
  </si>
  <si>
    <t>Prf_31200</t>
  </si>
  <si>
    <t>mechanical design</t>
  </si>
  <si>
    <t>mechanical work</t>
  </si>
  <si>
    <t>mechanical commisioning</t>
  </si>
  <si>
    <t>large machinery work</t>
  </si>
  <si>
    <t>small machinery work</t>
  </si>
  <si>
    <t>electrical design</t>
  </si>
  <si>
    <t>electrical work</t>
  </si>
  <si>
    <t>robot programming</t>
  </si>
  <si>
    <t>controls programming</t>
  </si>
  <si>
    <t>ROBCAD / simulation</t>
  </si>
  <si>
    <t>Project management</t>
  </si>
  <si>
    <t>3D-Measurement</t>
  </si>
  <si>
    <t>AvgPpto</t>
  </si>
  <si>
    <t>AvgInE</t>
  </si>
  <si>
    <t>AvgCur</t>
  </si>
  <si>
    <t>GtmpRates</t>
  </si>
  <si>
    <t>FromBaaN</t>
  </si>
  <si>
    <t>FromAsign</t>
  </si>
  <si>
    <t>ADX</t>
  </si>
  <si>
    <t>RowGrp:PiRow</t>
  </si>
  <si>
    <t>FABRICACIÓN ELÉCTRICA:INSTALACIÓN ENR</t>
  </si>
  <si>
    <t>MeaSure</t>
  </si>
  <si>
    <t>PROJ:</t>
  </si>
  <si>
    <t>MEAS:</t>
  </si>
  <si>
    <t>Wks</t>
  </si>
  <si>
    <t>FrmSch</t>
  </si>
  <si>
    <t>RootCause</t>
  </si>
  <si>
    <t>Sobrecoste UNP en pi</t>
  </si>
  <si>
    <t>Coste BizLink en PI</t>
  </si>
  <si>
    <t>Coste Asist. 900h</t>
  </si>
  <si>
    <t>0CT012</t>
  </si>
  <si>
    <t>Dates</t>
  </si>
  <si>
    <t>Prj</t>
  </si>
  <si>
    <t>Max</t>
  </si>
  <si>
    <t>Source</t>
  </si>
  <si>
    <t>Pinterior</t>
  </si>
  <si>
    <t>Payments</t>
  </si>
  <si>
    <t>Prev</t>
  </si>
  <si>
    <t>Real</t>
  </si>
  <si>
    <t>DlyWks</t>
  </si>
  <si>
    <t>Asig.CompoCst mala</t>
  </si>
  <si>
    <t>0</t>
  </si>
  <si>
    <t>FilPrj4</t>
  </si>
  <si>
    <t>22400575/4FA
22400106/4FA</t>
  </si>
  <si>
    <t>22400614/4FA
22400107/4FA</t>
  </si>
  <si>
    <t>22400576/4FA
22400108/4FA</t>
  </si>
  <si>
    <t>22400110/4FA
22400578/4FA</t>
  </si>
  <si>
    <t>22400615/4FA</t>
  </si>
  <si>
    <t>Hours of Assistence 900 from PO Original</t>
  </si>
  <si>
    <t>Exceso conocido PI16</t>
  </si>
  <si>
    <t>Compensa NO NECESIDAD</t>
  </si>
  <si>
    <t>Compensa Mala IMPUTACIÓN</t>
  </si>
  <si>
    <t>PREV/PPTO</t>
  </si>
  <si>
    <t>Compensa AUTOMATICA</t>
  </si>
  <si>
    <t>Compensa DESVIACIÓN</t>
  </si>
  <si>
    <t>OFbStd</t>
  </si>
  <si>
    <t>Management &amp; Definition Hours</t>
  </si>
  <si>
    <t>Management &amp; Definition Materials</t>
  </si>
  <si>
    <t>Management &amp; Definition Expenses</t>
  </si>
  <si>
    <t>Design &amp; Simulation Cells</t>
  </si>
  <si>
    <t>Design &amp; Simulation Tools</t>
  </si>
  <si>
    <t>Manufacturing Cells</t>
  </si>
  <si>
    <t>Manufacturing Tools</t>
  </si>
  <si>
    <t>Installation Cells @SERRA</t>
  </si>
  <si>
    <t>Installation Tools @SERRA</t>
  </si>
  <si>
    <t>Start-Up Cells @SERRA</t>
  </si>
  <si>
    <t>Start-Up Tools @SERRA</t>
  </si>
  <si>
    <t>Start-Up Cells @PLANT</t>
  </si>
  <si>
    <t>IMCP</t>
  </si>
  <si>
    <t>Installation Cells @PLANT</t>
  </si>
  <si>
    <t>Expenses Material</t>
  </si>
  <si>
    <t>Expenses Hours</t>
  </si>
  <si>
    <t>Errors Cost</t>
  </si>
  <si>
    <t>BaaN Cost</t>
  </si>
  <si>
    <t>HrsPrv:SERRA</t>
  </si>
  <si>
    <t>HrsPrv:EXT.</t>
  </si>
  <si>
    <t>TIT</t>
  </si>
  <si>
    <t>DISI:PROJ:SERRA</t>
  </si>
  <si>
    <t>DISI:CELL:SERRA</t>
  </si>
  <si>
    <t>IMPL:TOOL:SERRA</t>
  </si>
  <si>
    <t>DISI:TOOL:SERRA</t>
  </si>
  <si>
    <t>PMEX:CELL:SERRA</t>
  </si>
  <si>
    <t>IMPL:CELL:SERRA</t>
  </si>
  <si>
    <t>PEXX:TOOL:SERRA</t>
  </si>
  <si>
    <t>PMEX:TOOL:SERRA</t>
  </si>
  <si>
    <t>SchPdt1</t>
  </si>
  <si>
    <t>SO0</t>
  </si>
  <si>
    <t>SCH</t>
  </si>
  <si>
    <t>GSDF:CELL:SERRA, GSDF:PROJ:SERRA, GSDF:TOOL:SERRA</t>
  </si>
  <si>
    <t>IMPL:CELL:PLANT</t>
  </si>
  <si>
    <t>SchPdt3</t>
  </si>
  <si>
    <t>ASISTENCIA PRODUCCIÓN</t>
  </si>
  <si>
    <t>PMEX:TOOL:PLANT, PMEX:CELL:PLANT</t>
  </si>
  <si>
    <t>RWS</t>
  </si>
  <si>
    <t>Montaje Mecánico (solo útiles)</t>
  </si>
  <si>
    <t>SCHD</t>
  </si>
  <si>
    <t>Compensa Recepción Utiles</t>
  </si>
  <si>
    <t>Medición Grupo 610</t>
  </si>
  <si>
    <t>RowSchSng</t>
  </si>
  <si>
    <t>ValidateCnt</t>
  </si>
  <si>
    <t>GESH</t>
  </si>
  <si>
    <t>GESM</t>
  </si>
  <si>
    <t>GESG</t>
  </si>
  <si>
    <t>IMPC</t>
  </si>
  <si>
    <t>IMPT</t>
  </si>
  <si>
    <t>PEMC</t>
  </si>
  <si>
    <t>PEMT</t>
  </si>
  <si>
    <t>GESC</t>
  </si>
  <si>
    <t>Nature3</t>
  </si>
  <si>
    <t>Row5</t>
  </si>
  <si>
    <t>ADP</t>
  </si>
  <si>
    <t>SOP</t>
  </si>
  <si>
    <t>EOP</t>
  </si>
  <si>
    <t>PENDING</t>
  </si>
  <si>
    <t>PDTE</t>
  </si>
  <si>
    <t>RowMcroId</t>
  </si>
  <si>
    <t>RowMacroName</t>
  </si>
  <si>
    <t>RMG</t>
  </si>
  <si>
    <t>TbRowMacro</t>
  </si>
  <si>
    <t>MOD</t>
  </si>
  <si>
    <t>DISEÑO TOOL/SOFTWARE</t>
  </si>
  <si>
    <t>DISEÑO CELL/HARDWARE</t>
  </si>
  <si>
    <t>GRAN COMPRA/GEST.MATERIALES</t>
  </si>
  <si>
    <t>GASTOS GRAL/EN PLANTA</t>
  </si>
  <si>
    <t>FABRICACION CELL/ARM.ENR</t>
  </si>
  <si>
    <t>IMPLANTACION CELDA/MONTAJE SERRA</t>
  </si>
  <si>
    <t>GESTION/COORDINACION</t>
  </si>
  <si>
    <t>FABRICACION TOOL</t>
  </si>
  <si>
    <t>IMPLANTACION TOOL/ENR</t>
  </si>
  <si>
    <t>PUESTA EN MARCHA CELDA/PROCESO</t>
  </si>
  <si>
    <t>PUESTA EN MARCHA TOOL/RECEPCION</t>
  </si>
  <si>
    <t>GESTION COSTES EVIT./DESCUADRES</t>
  </si>
  <si>
    <t>TIP</t>
  </si>
  <si>
    <t>TAP</t>
  </si>
  <si>
    <t>PID</t>
  </si>
  <si>
    <t>ADE</t>
  </si>
  <si>
    <t>SOE</t>
  </si>
  <si>
    <t>DCP</t>
  </si>
  <si>
    <t>EOE</t>
  </si>
  <si>
    <t>DIFF</t>
  </si>
  <si>
    <t>GRAND PENDING</t>
  </si>
  <si>
    <t>Intercambio PeM SERRA</t>
  </si>
  <si>
    <t>Intercambio PeM PLANTA</t>
  </si>
  <si>
    <t>CdM Align</t>
  </si>
  <si>
    <t>Mala imputación</t>
  </si>
  <si>
    <t>Coste evitable</t>
  </si>
  <si>
    <t>FLC</t>
  </si>
  <si>
    <t>FLR</t>
  </si>
  <si>
    <t>FLG</t>
  </si>
  <si>
    <t>$1:$1048576</t>
  </si>
  <si>
    <t>Mala imputación Desmontaje</t>
  </si>
  <si>
    <t>CdM Evolution</t>
  </si>
  <si>
    <t>CdM Compensa Gastos</t>
  </si>
  <si>
    <t>Compensa Semi-AUTOMATICA</t>
  </si>
  <si>
    <t>Sp</t>
  </si>
  <si>
    <t>DateSp</t>
  </si>
  <si>
    <t>PInt1</t>
  </si>
  <si>
    <t>PInt3</t>
  </si>
  <si>
    <t>Prj1</t>
  </si>
  <si>
    <t>Prj2</t>
  </si>
  <si>
    <t>Prj3</t>
  </si>
  <si>
    <t>GtoCuaNem</t>
  </si>
  <si>
    <t>TRANSP.&amp;ENVELOPE</t>
  </si>
  <si>
    <t>TRAVEL EXPENSE</t>
  </si>
  <si>
    <t>GENERAL EXPENSE</t>
  </si>
  <si>
    <t>CUSTOM EXPENSE</t>
  </si>
  <si>
    <t>CUADRANTE NO ESTRUCTURADO</t>
  </si>
  <si>
    <t>BAAN BALANCE</t>
  </si>
  <si>
    <t>BAAN NOT BALANCE</t>
  </si>
  <si>
    <t>Cia</t>
  </si>
  <si>
    <t>F_Prj3</t>
  </si>
  <si>
    <t>F_ED0</t>
  </si>
  <si>
    <t>OFbId</t>
  </si>
  <si>
    <t>OFbNam</t>
  </si>
  <si>
    <t>OFbNem</t>
  </si>
  <si>
    <t>FrmBB1</t>
  </si>
  <si>
    <t>FrmBH3</t>
  </si>
  <si>
    <t>Xplode</t>
  </si>
  <si>
    <t>Tchart</t>
  </si>
  <si>
    <t>F_RT13</t>
  </si>
  <si>
    <t>F_RT14</t>
  </si>
  <si>
    <t>F_RT15</t>
  </si>
  <si>
    <t>PrjOrd</t>
  </si>
  <si>
    <t>PIntVrs</t>
  </si>
  <si>
    <t>PIntOrd</t>
  </si>
  <si>
    <t>ExpCur</t>
  </si>
  <si>
    <t>F_RT9</t>
  </si>
  <si>
    <t>IMPREVISTOS</t>
  </si>
  <si>
    <t>F_BN9</t>
  </si>
  <si>
    <t>Modificación en obra</t>
  </si>
  <si>
    <t>F_BN8</t>
  </si>
  <si>
    <t>0CT013</t>
  </si>
  <si>
    <t>PRODUCTO</t>
  </si>
  <si>
    <t>0CT014</t>
  </si>
  <si>
    <t>0CT015</t>
  </si>
  <si>
    <t>0CT016</t>
  </si>
  <si>
    <t>Impact on Marker supply from Product changes 20241216</t>
  </si>
  <si>
    <t>Impact on Projection Welder supply from Product changes 20241216</t>
  </si>
  <si>
    <t>Impact on Mig Welding process from Product changes 20241216</t>
  </si>
  <si>
    <t>22400018/4FC</t>
  </si>
  <si>
    <t>22400109/4FA
22400577/4FA</t>
  </si>
  <si>
    <t>22400703/4FA</t>
  </si>
  <si>
    <t>22400752/4FA</t>
  </si>
  <si>
    <t>PO-004/ORIG: ECR5681 CAD REV LEVELS 10.1/8.1</t>
  </si>
  <si>
    <t>MATERIAL MECÁNICO</t>
  </si>
  <si>
    <t>Exceso de descuento</t>
  </si>
  <si>
    <t>Trabajo en curso</t>
  </si>
  <si>
    <t>Debería estar en presupuesto</t>
  </si>
  <si>
    <t>Mala imputación en MontajeSERR</t>
  </si>
  <si>
    <t>PrvSty</t>
  </si>
  <si>
    <t>AcuCurPpto</t>
  </si>
  <si>
    <t>AcuCurInt</t>
  </si>
  <si>
    <t>AcuCurExt</t>
  </si>
  <si>
    <t>CPO</t>
  </si>
  <si>
    <t>CIT</t>
  </si>
  <si>
    <t>COT</t>
  </si>
  <si>
    <t>APO</t>
  </si>
  <si>
    <t>AIT</t>
  </si>
  <si>
    <t>AOT</t>
  </si>
  <si>
    <t>AcumInt</t>
  </si>
  <si>
    <t>AcumExt</t>
  </si>
  <si>
    <t>AIS</t>
  </si>
  <si>
    <t>AOE</t>
  </si>
  <si>
    <t>0CT017</t>
  </si>
  <si>
    <t>I4.0 additional performance to take feedback info from quality inspection operator at EOL cell</t>
  </si>
  <si>
    <t>0CT018</t>
  </si>
  <si>
    <t>SOJ</t>
  </si>
  <si>
    <t>MaxDate</t>
  </si>
  <si>
    <t>CstTrk</t>
  </si>
  <si>
    <t>CstClc</t>
  </si>
  <si>
    <t>Pts</t>
  </si>
  <si>
    <t>Lup</t>
  </si>
  <si>
    <t>F_All4</t>
  </si>
  <si>
    <t>0CT019</t>
  </si>
  <si>
    <t>0CT020</t>
  </si>
  <si>
    <t>0CT021</t>
  </si>
  <si>
    <t>2CT014</t>
  </si>
  <si>
    <t>P_Sel1</t>
  </si>
  <si>
    <t>Extension</t>
  </si>
  <si>
    <t>INV</t>
  </si>
  <si>
    <t>.xlsx</t>
  </si>
  <si>
    <t>.txt</t>
  </si>
  <si>
    <t>STW</t>
  </si>
  <si>
    <t>ST2</t>
  </si>
  <si>
    <t>PAY</t>
  </si>
  <si>
    <t>GEN</t>
  </si>
  <si>
    <t>OFB</t>
  </si>
  <si>
    <t>ASG</t>
  </si>
  <si>
    <t>ITM</t>
  </si>
  <si>
    <t>OFR</t>
  </si>
  <si>
    <t>ST1</t>
  </si>
  <si>
    <t>Query</t>
  </si>
  <si>
    <t>b2win2025-03-20_13-58-34</t>
  </si>
  <si>
    <t>b2win2025-03-20_14-35-00</t>
  </si>
  <si>
    <t>b2win2025-03-20_14-12-18</t>
  </si>
  <si>
    <t>excel2025-03-20_14-49-09</t>
  </si>
  <si>
    <t>excel2025-03-20_15-02-04</t>
  </si>
  <si>
    <t>excel2025-03-20_15-00-02</t>
  </si>
  <si>
    <t>22400037/4FA
22500070/4FA</t>
  </si>
  <si>
    <t>CT-051/MODS: OP 300 POKA YOKE CROSSMEMBER STAND</t>
  </si>
  <si>
    <t>22400038/4FA
22500096/4FA</t>
  </si>
  <si>
    <t>CT-010/MODS: 10 PALLETS TO BE INSTALLED ON RECOVERED FLOOR CONVEYOR FOR PHASE 1 EOL</t>
  </si>
  <si>
    <t>CT-013/MODS: ECR 5883</t>
  </si>
  <si>
    <t>22400039/4FA
22500071/4FA</t>
  </si>
  <si>
    <t>PO-002/ORIG: CAPITAL (ROLL DOORS)</t>
  </si>
  <si>
    <t>CT-052/MODS: OP 300 POKA YOKE CROSSMEMBER STAND</t>
  </si>
  <si>
    <t>22500016/4FA
22500097/4FA</t>
  </si>
  <si>
    <t>Impact on Programe and commissioning from Product changes 20241216 ECR 5883</t>
  </si>
  <si>
    <t>Miscellaneous logistic support to customer for stamping first batch delivery (2nd batch included)</t>
  </si>
  <si>
    <t>Cost by delay stamping's for 4WA (2nd release because geo+1st weld will not be @SERRA site)</t>
  </si>
  <si>
    <t>ECR 7137 Impacts Geo units for Straps at Op610 and Emhard tucker application at Op780</t>
  </si>
  <si>
    <t>ECR 7137 Strap change for Stamping Datum and Bolt to Stuck</t>
  </si>
  <si>
    <t>Cost engineering, manufacturing, pre-mounting and shipment related to CAD CHANGE AD &gt; AE</t>
  </si>
  <si>
    <t>excel2025-03-20_14-44-00</t>
  </si>
  <si>
    <t>Osy</t>
  </si>
  <si>
    <t>excel2025-03-20_15-04-05</t>
  </si>
  <si>
    <t>b2win2025-03-20_13-55-30</t>
  </si>
  <si>
    <t>b2win2025-03-20_14-03-44</t>
  </si>
  <si>
    <t>b2win2025-03-20_13-57-59</t>
  </si>
  <si>
    <t>b2win2025-03-20_13-49-05</t>
  </si>
  <si>
    <t>b2win2025-03-20_14-06-00</t>
  </si>
  <si>
    <t>excel2025-03-20_14-45-00</t>
  </si>
  <si>
    <t>b2win2025-03-20_14-25-25</t>
  </si>
  <si>
    <t>excel2025-03-20_15-10-00</t>
  </si>
  <si>
    <t>b2win2025-03-20_13-56-54</t>
  </si>
  <si>
    <t>b2win2025-03-20_14-04-19</t>
  </si>
  <si>
    <t>b2win2025-03-20_13-49-51</t>
  </si>
  <si>
    <t>excel2025-03-20_14-07-02</t>
  </si>
  <si>
    <t>b2win2025-03-20_14-36-01</t>
  </si>
  <si>
    <t>b2win2025-03-20_14-09-40</t>
  </si>
  <si>
    <t>QryId</t>
  </si>
  <si>
    <t>SelDate</t>
  </si>
  <si>
    <t>Limits</t>
  </si>
  <si>
    <t>LimId</t>
  </si>
  <si>
    <t>Página:1</t>
  </si>
  <si>
    <t>OFS</t>
  </si>
  <si>
    <t>ArtículossinPartedeProyectodefinida.</t>
  </si>
  <si>
    <t>ASP</t>
  </si>
  <si>
    <t>Fabricacionespendientesdeestructurar(StockFís.+StockBP&gt;Reservado)(+coste)</t>
  </si>
  <si>
    <t>FPE</t>
  </si>
  <si>
    <t>Compraspendientesdeestructurar(StockFís.+StockBP&gt;Reservado)(+coste)</t>
  </si>
  <si>
    <t>CarenciasdeCompra(StockFís.+StockBP&lt;Reservado)(-coste)</t>
  </si>
  <si>
    <t>excel2025-03-21_08-42-00</t>
  </si>
  <si>
    <t>b2win2025-03-20_14-59-00</t>
  </si>
  <si>
    <t>PickData</t>
  </si>
  <si>
    <t>TbPPtoPrev</t>
  </si>
  <si>
    <t>Position</t>
  </si>
  <si>
    <t>DashBoard</t>
  </si>
  <si>
    <t>VERSIONS</t>
  </si>
  <si>
    <t>Column1</t>
  </si>
  <si>
    <t>GrpId</t>
  </si>
  <si>
    <t>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</si>
</sst>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0\ &quot;€&quot;;[Red]\-#,##0\ &quot;€&quot;"/>
    <numFmt numFmtId="165" formatCode="#,##0\ &quot;€&quot;"/>
    <numFmt numFmtId="166" formatCode="0.0%"/>
    <numFmt numFmtId="167" formatCode="0.0"/>
    <numFmt numFmtId="168" formatCode="_-* #,##0.00\ [$€]_-;\-* #,##0.00\ [$€]_-;_-* &quot;-&quot;??\ [$€]_-;_-@_-"/>
    <numFmt numFmtId="169" formatCode="#,##0\ &quot;h&quot;"/>
    <numFmt numFmtId="170" formatCode="dd/mm/yy"/>
    <numFmt numFmtId="171" formatCode="_-* #,##0.00\ [$€-C0A]_-;\-* #,##0.00\ [$€-C0A]_-;_-* &quot;-&quot;??\ [$€-C0A]_-;_-@_-"/>
    <numFmt numFmtId="172" formatCode="dd/mm/yy\ hh:mm:ss"/>
    <numFmt numFmtId="173" formatCode="_-* #,##0\ [$€-C0A]_-;\-* #,##0\ [$€-C0A]_-;_-* &quot;-&quot;??\ [$€-C0A]_-;_-@_-"/>
    <numFmt numFmtId="174" formatCode="_-[$£-809]* #,##0.00_-;\-[$£-809]* #,##0.00_-;_-[$£-809]* &quot;-&quot;??_-;_-@_-"/>
    <numFmt numFmtId="175" formatCode="#,##0.00\ [$€-1]"/>
    <numFmt numFmtId="176" formatCode="[$-F800]dddd\,\ mmmm\ dd\,\ yyyy"/>
    <numFmt numFmtId="177" formatCode="0\ &quot;h&quot;"/>
    <numFmt numFmtId="178" formatCode="0&quot;h&quot;"/>
    <numFmt numFmtId="179" formatCode="dd/mm/yy\ hh:mm"/>
  </numFmts>
  <fonts count="82">
    <font>
      <sz val="10"/>
      <name val="Arial"/>
    </font>
    <font>
      <sz val="8"/>
      <color theme="1"/>
      <name val="Arial Nova Cond Light"/>
      <family val="2"/>
    </font>
    <font>
      <sz val="8"/>
      <color theme="1"/>
      <name val="Arial Nova Cond Light"/>
      <family val="2"/>
    </font>
    <font>
      <sz val="8"/>
      <color theme="1"/>
      <name val="Arial Nova Cond Light"/>
      <family val="2"/>
    </font>
    <font>
      <sz val="8"/>
      <color theme="1"/>
      <name val="Arial Nova Cond Light"/>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36"/>
      <name val="Arial"/>
      <family val="2"/>
    </font>
    <font>
      <sz val="12"/>
      <color indexed="24"/>
      <name val="Times New Roman"/>
      <family val="1"/>
    </font>
    <font>
      <b/>
      <sz val="10"/>
      <name val="Arial"/>
      <family val="2"/>
    </font>
    <font>
      <sz val="8"/>
      <name val="Arial"/>
      <family val="2"/>
    </font>
    <font>
      <sz val="12"/>
      <name val="Arial"/>
      <family val="2"/>
    </font>
    <font>
      <b/>
      <sz val="14"/>
      <name val="Arial"/>
      <family val="2"/>
    </font>
    <font>
      <sz val="8"/>
      <name val="Arial"/>
      <family val="2"/>
    </font>
    <font>
      <b/>
      <sz val="11"/>
      <color theme="1"/>
      <name val="Calibri"/>
      <family val="2"/>
      <scheme val="minor"/>
    </font>
    <font>
      <sz val="14"/>
      <color theme="1"/>
      <name val="Calibri"/>
      <family val="2"/>
      <scheme val="minor"/>
    </font>
    <font>
      <b/>
      <sz val="10"/>
      <color rgb="FF0070C0"/>
      <name val="Arial"/>
      <family val="2"/>
    </font>
    <font>
      <sz val="10"/>
      <color rgb="FF0070C0"/>
      <name val="Arial"/>
      <family val="2"/>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name val="Arial Nova Cond Light"/>
      <family val="2"/>
    </font>
    <font>
      <sz val="8"/>
      <name val="Arial Nova Cond Light"/>
      <family val="2"/>
    </font>
    <font>
      <sz val="8"/>
      <color theme="0"/>
      <name val="Arial Nova Cond Light"/>
      <family val="2"/>
    </font>
    <font>
      <sz val="4"/>
      <name val="Arial Nova Cond Light"/>
      <family val="2"/>
    </font>
    <font>
      <sz val="8"/>
      <color indexed="24"/>
      <name val="Arial Nova Cond Light"/>
      <family val="2"/>
    </font>
    <font>
      <sz val="10"/>
      <color indexed="8"/>
      <name val="Arial Nova Cond Light"/>
      <family val="2"/>
    </font>
    <font>
      <sz val="8"/>
      <color indexed="8"/>
      <name val="Arial Nova Cond Light"/>
      <family val="2"/>
    </font>
    <font>
      <sz val="12"/>
      <name val="Arial Nova Cond Light"/>
      <family val="2"/>
    </font>
    <font>
      <sz val="8"/>
      <color rgb="FFFF0000"/>
      <name val="Arial Nova Cond Light"/>
      <family val="2"/>
    </font>
    <font>
      <b/>
      <sz val="11"/>
      <color theme="2" tint="-0.89999084444715716"/>
      <name val="Arial Nova Cond Light"/>
      <family val="2"/>
    </font>
    <font>
      <sz val="8"/>
      <name val="Arial"/>
      <family val="2"/>
    </font>
    <font>
      <b/>
      <sz val="8"/>
      <name val="Arial Nova Cond Light"/>
      <family val="2"/>
    </font>
    <font>
      <b/>
      <sz val="8"/>
      <color indexed="8"/>
      <name val="Arial Nova Cond Light"/>
      <family val="2"/>
    </font>
    <font>
      <i/>
      <sz val="8"/>
      <color indexed="23"/>
      <name val="Arial Nova Cond Light"/>
      <family val="2"/>
    </font>
    <font>
      <sz val="8"/>
      <color indexed="8"/>
      <name val="Arial Nova Cond"/>
      <family val="2"/>
    </font>
    <font>
      <sz val="8"/>
      <name val="Arial Nova Cond"/>
      <family val="2"/>
    </font>
    <font>
      <sz val="8"/>
      <color rgb="FFFF0000"/>
      <name val="Arial Nova Cond"/>
      <family val="2"/>
    </font>
    <font>
      <sz val="4"/>
      <name val="Arial Nova Cond"/>
      <family val="2"/>
    </font>
    <font>
      <sz val="6"/>
      <name val="Arial Nova Cond Light"/>
      <family val="2"/>
    </font>
    <font>
      <sz val="10"/>
      <name val="Arial Nova Cond"/>
      <family val="2"/>
    </font>
    <font>
      <b/>
      <sz val="8"/>
      <color theme="0"/>
      <name val="Arial Nova Cond Light"/>
      <family val="2"/>
    </font>
    <font>
      <sz val="6"/>
      <name val="Arial"/>
      <family val="2"/>
    </font>
    <font>
      <sz val="1"/>
      <name val="Arial Nova Cond Light"/>
      <family val="2"/>
    </font>
    <font>
      <sz val="1"/>
      <name val="Arial"/>
      <family val="2"/>
    </font>
    <font>
      <sz val="4"/>
      <color theme="1"/>
      <name val="Arial Nova Cond Light"/>
      <family val="2"/>
    </font>
    <font>
      <sz val="4"/>
      <name val="Arial"/>
      <family val="2"/>
    </font>
    <font>
      <sz val="4"/>
      <color indexed="8"/>
      <name val="Arial Nova Cond Light"/>
      <family val="2"/>
    </font>
    <font>
      <sz val="6"/>
      <color theme="0"/>
      <name val="Arial Nova Cond Light"/>
      <family val="2"/>
    </font>
    <font>
      <sz val="8"/>
      <name val="Arial"/>
      <family val="2"/>
    </font>
    <font>
      <sz val="4"/>
      <color indexed="8"/>
      <name val="Arial Nova Cond"/>
      <family val="2"/>
    </font>
    <font>
      <u/>
      <sz val="4"/>
      <color indexed="36"/>
      <name val="Arial Nova Cond"/>
      <family val="2"/>
    </font>
    <font>
      <sz val="12"/>
      <color theme="0"/>
      <name val="Arial Nova Cond Light"/>
      <family val="2"/>
    </font>
    <font>
      <sz val="10"/>
      <color theme="0"/>
      <name val="Arial"/>
      <family val="2"/>
    </font>
    <font>
      <sz val="11"/>
      <color indexed="8"/>
      <name val="Arial Nova Cond Light"/>
      <family val="2"/>
    </font>
    <font>
      <b/>
      <sz val="8"/>
      <color theme="2" tint="-0.89999084444715716"/>
      <name val="Arial Nova Cond Light"/>
      <family val="2"/>
    </font>
    <font>
      <sz val="8"/>
      <color rgb="FF00B050"/>
      <name val="Arial Nova Cond Light"/>
      <family val="2"/>
    </font>
    <font>
      <sz val="9"/>
      <name val="Arial Nova Cond Light"/>
      <family val="2"/>
    </font>
    <font>
      <sz val="6"/>
      <color rgb="FF0070C0"/>
      <name val="Arial Nova Cond Light"/>
      <family val="2"/>
    </font>
    <font>
      <b/>
      <sz val="4"/>
      <name val="Arial Nova Cond Light"/>
      <family val="2"/>
    </font>
    <font>
      <sz val="9"/>
      <color indexed="81"/>
      <name val="Tahoma"/>
      <family val="2"/>
    </font>
    <font>
      <sz val="4"/>
      <color theme="1"/>
      <name val="Arial Nova Cond Light"/>
    </font>
    <font>
      <sz val="4"/>
      <name val="Arial Nova Cond Light"/>
    </font>
    <font>
      <b/>
      <sz val="4"/>
      <color theme="0"/>
      <name val="Arial Nova Cond Light"/>
    </font>
    <font>
      <sz val="4"/>
      <color theme="0"/>
      <name val="Arial Nova Cond Light"/>
    </font>
    <font>
      <sz val="8"/>
      <color theme="0"/>
      <name val="Avenir Next Condensed Regular"/>
    </font>
  </fonts>
  <fills count="66">
    <fill>
      <patternFill patternType="none"/>
    </fill>
    <fill>
      <patternFill patternType="gray125"/>
    </fill>
    <fill>
      <patternFill patternType="solid">
        <fgColor indexed="13"/>
        <bgColor indexed="64"/>
      </patternFill>
    </fill>
    <fill>
      <patternFill patternType="solid">
        <fgColor indexed="47"/>
        <bgColor indexed="64"/>
      </patternFill>
    </fill>
    <fill>
      <patternFill patternType="solid">
        <fgColor indexed="63"/>
        <bgColor indexed="64"/>
      </patternFill>
    </fill>
    <fill>
      <patternFill patternType="solid">
        <fgColor indexed="43"/>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rgb="FFFFFFCC"/>
        <bgColor indexed="64"/>
      </patternFill>
    </fill>
    <fill>
      <patternFill patternType="solid">
        <fgColor rgb="FF00B0F0"/>
        <bgColor indexed="64"/>
      </patternFill>
    </fill>
    <fill>
      <patternFill patternType="solid">
        <fgColor theme="3" tint="0.79998168889431442"/>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1" tint="0.499984740745262"/>
        <bgColor indexed="64"/>
      </patternFill>
    </fill>
    <fill>
      <patternFill patternType="solid">
        <fgColor theme="0" tint="-0.34998626667073579"/>
        <bgColor indexed="64"/>
      </patternFill>
    </fill>
    <fill>
      <patternFill patternType="solid">
        <fgColor rgb="FF7030A0"/>
        <bgColor indexed="64"/>
      </patternFill>
    </fill>
    <fill>
      <patternFill patternType="solid">
        <fgColor theme="6" tint="0.59999389629810485"/>
        <bgColor theme="6" tint="0.59999389629810485"/>
      </patternFill>
    </fill>
    <fill>
      <patternFill patternType="solid">
        <fgColor theme="0" tint="-0.499984740745262"/>
        <bgColor indexed="64"/>
      </patternFill>
    </fill>
    <fill>
      <patternFill patternType="solid">
        <fgColor theme="1"/>
        <bgColor indexed="64"/>
      </patternFill>
    </fill>
    <fill>
      <patternFill patternType="solid">
        <fgColor rgb="FF0070C0"/>
        <bgColor indexed="64"/>
      </patternFill>
    </fill>
    <fill>
      <patternFill patternType="solid">
        <fgColor theme="3"/>
        <bgColor indexed="64"/>
      </patternFill>
    </fill>
    <fill>
      <patternFill patternType="solid">
        <fgColor theme="7"/>
        <bgColor theme="7"/>
      </patternFill>
    </fill>
    <fill>
      <patternFill patternType="solid">
        <fgColor theme="6" tint="0.79998168889431442"/>
        <bgColor theme="6" tint="0.79998168889431442"/>
      </patternFill>
    </fill>
    <fill>
      <patternFill patternType="solid">
        <fgColor rgb="FF66FF66"/>
        <bgColor indexed="64"/>
      </patternFill>
    </fill>
    <fill>
      <patternFill patternType="solid">
        <fgColor rgb="FFFFFF00"/>
        <bgColor theme="4"/>
      </patternFill>
    </fill>
    <fill>
      <patternFill patternType="solid">
        <fgColor theme="9"/>
        <bgColor theme="9"/>
      </patternFill>
    </fill>
    <fill>
      <patternFill patternType="solid">
        <fgColor theme="0" tint="-0.14999847407452621"/>
        <bgColor theme="0" tint="-0.14999847407452621"/>
      </patternFill>
    </fill>
    <fill>
      <patternFill patternType="solid">
        <fgColor rgb="FFFFCCCC"/>
        <bgColor indexed="64"/>
      </patternFill>
    </fill>
    <fill>
      <patternFill patternType="solid">
        <fgColor rgb="FFFFC000"/>
        <bgColor indexed="64"/>
      </patternFill>
    </fill>
    <fill>
      <patternFill patternType="solid">
        <fgColor rgb="FFA50021"/>
        <bgColor indexed="64"/>
      </patternFill>
    </fill>
    <fill>
      <patternFill patternType="solid">
        <fgColor theme="4"/>
        <bgColor theme="4"/>
      </patternFill>
    </fill>
  </fills>
  <borders count="37">
    <border>
      <left/>
      <right/>
      <top/>
      <bottom/>
      <diagonal/>
    </border>
    <border>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left>
      <right/>
      <top/>
      <bottom style="thick">
        <color theme="0"/>
      </bottom>
      <diagonal/>
    </border>
    <border>
      <left style="medium">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indexed="64"/>
      </left>
      <right style="hair">
        <color indexed="64"/>
      </right>
      <top style="hair">
        <color indexed="64"/>
      </top>
      <bottom style="hair">
        <color indexed="64"/>
      </bottom>
      <diagonal/>
    </border>
    <border>
      <left style="thin">
        <color theme="0"/>
      </left>
      <right style="thin">
        <color theme="0"/>
      </right>
      <top/>
      <bottom style="thick">
        <color theme="0"/>
      </bottom>
      <diagonal/>
    </border>
    <border>
      <left/>
      <right/>
      <top style="medium">
        <color indexed="64"/>
      </top>
      <bottom/>
      <diagonal/>
    </border>
    <border>
      <left/>
      <right/>
      <top/>
      <bottom style="hair">
        <color indexed="64"/>
      </bottom>
      <diagonal/>
    </border>
    <border>
      <left style="thin">
        <color theme="0"/>
      </left>
      <right/>
      <top style="thin">
        <color theme="0"/>
      </top>
      <bottom/>
      <diagonal/>
    </border>
    <border>
      <left/>
      <right/>
      <top style="thin">
        <color theme="0"/>
      </top>
      <bottom/>
      <diagonal/>
    </border>
    <border>
      <left style="medium">
        <color auto="1"/>
      </left>
      <right style="hair">
        <color auto="1"/>
      </right>
      <top style="hair">
        <color auto="1"/>
      </top>
      <bottom/>
      <diagonal/>
    </border>
    <border>
      <left style="hair">
        <color auto="1"/>
      </left>
      <right style="medium">
        <color auto="1"/>
      </right>
      <top style="hair">
        <color auto="1"/>
      </top>
      <bottom/>
      <diagonal/>
    </border>
    <border>
      <left style="thin">
        <color indexed="8"/>
      </left>
      <right style="thin">
        <color indexed="8"/>
      </right>
      <top/>
      <bottom style="thin">
        <color indexed="8"/>
      </bottom>
      <diagonal/>
    </border>
    <border>
      <left/>
      <right/>
      <top/>
      <bottom style="medium">
        <color theme="1"/>
      </bottom>
      <diagonal/>
    </border>
    <border>
      <left style="thin">
        <color theme="0"/>
      </left>
      <right/>
      <top/>
      <bottom/>
      <diagonal/>
    </border>
    <border>
      <left style="medium">
        <color auto="1"/>
      </left>
      <right style="hair">
        <color auto="1"/>
      </right>
      <top/>
      <bottom style="hair">
        <color auto="1"/>
      </bottom>
      <diagonal/>
    </border>
    <border>
      <left style="hair">
        <color auto="1"/>
      </left>
      <right style="medium">
        <color auto="1"/>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14">
    <xf numFmtId="0" fontId="0" fillId="0" borderId="0"/>
    <xf numFmtId="168" fontId="10" fillId="0" borderId="0" applyFont="0" applyFill="0" applyBorder="0" applyAlignment="0" applyProtection="0"/>
    <xf numFmtId="0" fontId="11" fillId="0" borderId="0" applyNumberFormat="0" applyFill="0" applyBorder="0" applyAlignment="0" applyProtection="0">
      <alignment vertical="top"/>
      <protection locked="0"/>
    </xf>
    <xf numFmtId="0" fontId="10" fillId="0" borderId="0"/>
    <xf numFmtId="0" fontId="12" fillId="0" borderId="0"/>
    <xf numFmtId="9" fontId="10" fillId="0" borderId="0" applyFont="0" applyFill="0" applyBorder="0" applyAlignment="0" applyProtection="0"/>
    <xf numFmtId="0" fontId="14" fillId="0" borderId="0"/>
    <xf numFmtId="0" fontId="10" fillId="0" borderId="0"/>
    <xf numFmtId="0" fontId="22" fillId="0" borderId="0" applyNumberFormat="0" applyFill="0" applyBorder="0" applyAlignment="0" applyProtection="0"/>
    <xf numFmtId="0" fontId="23" fillId="0" borderId="9" applyNumberFormat="0" applyFill="0" applyAlignment="0" applyProtection="0"/>
    <xf numFmtId="0" fontId="24" fillId="0" borderId="10" applyNumberFormat="0" applyFill="0" applyAlignment="0" applyProtection="0"/>
    <xf numFmtId="0" fontId="25" fillId="0" borderId="11" applyNumberFormat="0" applyFill="0" applyAlignment="0" applyProtection="0"/>
    <xf numFmtId="0" fontId="25" fillId="0" borderId="0" applyNumberFormat="0" applyFill="0" applyBorder="0" applyAlignment="0" applyProtection="0"/>
    <xf numFmtId="0" fontId="26" fillId="7" borderId="0" applyNumberFormat="0" applyBorder="0" applyAlignment="0" applyProtection="0"/>
    <xf numFmtId="0" fontId="27" fillId="8" borderId="0" applyNumberFormat="0" applyBorder="0" applyAlignment="0" applyProtection="0"/>
    <xf numFmtId="0" fontId="28" fillId="9" borderId="0" applyNumberFormat="0" applyBorder="0" applyAlignment="0" applyProtection="0"/>
    <xf numFmtId="0" fontId="29" fillId="10" borderId="12" applyNumberFormat="0" applyAlignment="0" applyProtection="0"/>
    <xf numFmtId="0" fontId="30" fillId="11" borderId="13" applyNumberFormat="0" applyAlignment="0" applyProtection="0"/>
    <xf numFmtId="0" fontId="31" fillId="11" borderId="12" applyNumberFormat="0" applyAlignment="0" applyProtection="0"/>
    <xf numFmtId="0" fontId="32" fillId="0" borderId="14" applyNumberFormat="0" applyFill="0" applyAlignment="0" applyProtection="0"/>
    <xf numFmtId="0" fontId="33" fillId="12" borderId="15" applyNumberFormat="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18" fillId="0" borderId="17" applyNumberFormat="0" applyFill="0" applyAlignment="0" applyProtection="0"/>
    <xf numFmtId="0" fontId="36"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36"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36"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36"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36"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36"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9" fontId="14" fillId="0" borderId="0" applyFont="0" applyFill="0" applyBorder="0" applyAlignment="0" applyProtection="0"/>
    <xf numFmtId="0" fontId="9" fillId="0" borderId="0"/>
    <xf numFmtId="0" fontId="9" fillId="13" borderId="16" applyNumberFormat="0" applyFont="0" applyAlignment="0" applyProtection="0"/>
    <xf numFmtId="0" fontId="8" fillId="0" borderId="0"/>
    <xf numFmtId="0" fontId="8" fillId="13" borderId="16" applyNumberFormat="0" applyFont="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8" fillId="27" borderId="0" applyNumberFormat="0" applyBorder="0" applyAlignment="0" applyProtection="0"/>
    <xf numFmtId="0" fontId="8" fillId="28" borderId="0" applyNumberFormat="0" applyBorder="0" applyAlignment="0" applyProtection="0"/>
    <xf numFmtId="0" fontId="8" fillId="29"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7" fillId="0" borderId="0"/>
    <xf numFmtId="0" fontId="7" fillId="13" borderId="16" applyNumberFormat="0" applyFont="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9" borderId="0" applyNumberFormat="0" applyBorder="0" applyAlignment="0" applyProtection="0"/>
    <xf numFmtId="0" fontId="7" fillId="20" borderId="0" applyNumberFormat="0" applyBorder="0" applyAlignment="0" applyProtection="0"/>
    <xf numFmtId="0" fontId="7" fillId="21" borderId="0" applyNumberFormat="0" applyBorder="0" applyAlignment="0" applyProtection="0"/>
    <xf numFmtId="0" fontId="7" fillId="23" borderId="0" applyNumberFormat="0" applyBorder="0" applyAlignment="0" applyProtection="0"/>
    <xf numFmtId="0" fontId="7" fillId="24" borderId="0" applyNumberFormat="0" applyBorder="0" applyAlignment="0" applyProtection="0"/>
    <xf numFmtId="0" fontId="7" fillId="25" borderId="0" applyNumberFormat="0" applyBorder="0" applyAlignment="0" applyProtection="0"/>
    <xf numFmtId="0" fontId="7" fillId="27" borderId="0" applyNumberFormat="0" applyBorder="0" applyAlignment="0" applyProtection="0"/>
    <xf numFmtId="0" fontId="7" fillId="28" borderId="0" applyNumberFormat="0" applyBorder="0" applyAlignment="0" applyProtection="0"/>
    <xf numFmtId="0" fontId="7" fillId="29" borderId="0" applyNumberFormat="0" applyBorder="0" applyAlignment="0" applyProtection="0"/>
    <xf numFmtId="0" fontId="7" fillId="31" borderId="0" applyNumberFormat="0" applyBorder="0" applyAlignment="0" applyProtection="0"/>
    <xf numFmtId="0" fontId="7" fillId="32" borderId="0" applyNumberFormat="0" applyBorder="0" applyAlignment="0" applyProtection="0"/>
    <xf numFmtId="0" fontId="7" fillId="33" borderId="0" applyNumberFormat="0" applyBorder="0" applyAlignment="0" applyProtection="0"/>
    <xf numFmtId="0" fontId="7" fillId="35" borderId="0" applyNumberFormat="0" applyBorder="0" applyAlignment="0" applyProtection="0"/>
    <xf numFmtId="0" fontId="7" fillId="36" borderId="0" applyNumberFormat="0" applyBorder="0" applyAlignment="0" applyProtection="0"/>
    <xf numFmtId="0" fontId="7" fillId="37" borderId="0" applyNumberFormat="0" applyBorder="0" applyAlignment="0" applyProtection="0"/>
    <xf numFmtId="0" fontId="6" fillId="0" borderId="0"/>
    <xf numFmtId="0" fontId="6" fillId="13" borderId="16" applyNumberFormat="0" applyFont="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6"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12" fillId="0" borderId="0"/>
    <xf numFmtId="0" fontId="5" fillId="0" borderId="0"/>
    <xf numFmtId="0" fontId="15" fillId="0" borderId="0"/>
  </cellStyleXfs>
  <cellXfs count="496">
    <xf numFmtId="0" fontId="0" fillId="0" borderId="0" xfId="0"/>
    <xf numFmtId="3" fontId="0" fillId="0" borderId="0" xfId="0" applyNumberFormat="1"/>
    <xf numFmtId="167" fontId="0" fillId="0" borderId="0" xfId="0" applyNumberFormat="1"/>
    <xf numFmtId="0" fontId="0" fillId="2" borderId="0" xfId="0" applyFill="1"/>
    <xf numFmtId="0" fontId="13" fillId="0" borderId="0" xfId="0" applyFont="1"/>
    <xf numFmtId="0" fontId="16" fillId="0" borderId="0" xfId="0" applyFont="1"/>
    <xf numFmtId="3" fontId="16" fillId="0" borderId="0" xfId="0" applyNumberFormat="1" applyFont="1"/>
    <xf numFmtId="0" fontId="19" fillId="0" borderId="3" xfId="0" applyFont="1" applyBorder="1" applyAlignment="1">
      <alignment horizontal="center" textRotation="90"/>
    </xf>
    <xf numFmtId="0" fontId="19" fillId="0" borderId="3" xfId="0" applyFont="1" applyBorder="1"/>
    <xf numFmtId="0" fontId="0" fillId="0" borderId="0" xfId="0" applyAlignment="1">
      <alignment vertical="justify" wrapText="1"/>
    </xf>
    <xf numFmtId="0" fontId="0" fillId="0" borderId="3" xfId="0" applyBorder="1" applyAlignment="1">
      <alignment horizontal="right" vertical="center" wrapText="1"/>
    </xf>
    <xf numFmtId="0" fontId="10" fillId="0" borderId="3" xfId="0" applyFont="1" applyBorder="1" applyAlignment="1">
      <alignment horizontal="right" vertical="center" wrapText="1"/>
    </xf>
    <xf numFmtId="0" fontId="13" fillId="0" borderId="0" xfId="0" applyFont="1" applyAlignment="1">
      <alignment vertical="justify" wrapText="1"/>
    </xf>
    <xf numFmtId="0" fontId="0" fillId="0" borderId="0" xfId="0" applyAlignment="1">
      <alignment horizontal="right" vertical="justify" wrapText="1"/>
    </xf>
    <xf numFmtId="0" fontId="10" fillId="0" borderId="0" xfId="0" applyFont="1" applyAlignment="1">
      <alignment horizontal="right" vertical="justify" wrapText="1"/>
    </xf>
    <xf numFmtId="0" fontId="10" fillId="0" borderId="0" xfId="0" quotePrefix="1" applyFont="1" applyAlignment="1">
      <alignment horizontal="right" vertical="justify" wrapText="1"/>
    </xf>
    <xf numFmtId="3" fontId="13" fillId="0" borderId="0" xfId="0" applyNumberFormat="1" applyFont="1"/>
    <xf numFmtId="0" fontId="10" fillId="0" borderId="0" xfId="0" applyFont="1" applyAlignment="1">
      <alignment vertical="justify" wrapText="1"/>
    </xf>
    <xf numFmtId="0" fontId="20" fillId="0" borderId="0" xfId="0" applyFont="1" applyAlignment="1">
      <alignment vertical="justify" wrapText="1"/>
    </xf>
    <xf numFmtId="3" fontId="20" fillId="0" borderId="0" xfId="0" applyNumberFormat="1" applyFont="1"/>
    <xf numFmtId="0" fontId="21" fillId="0" borderId="0" xfId="0" applyFont="1"/>
    <xf numFmtId="0" fontId="37" fillId="0" borderId="0" xfId="7" applyFont="1"/>
    <xf numFmtId="170" fontId="37" fillId="0" borderId="0" xfId="7" applyNumberFormat="1" applyFont="1"/>
    <xf numFmtId="0" fontId="38" fillId="0" borderId="0" xfId="7" applyFont="1"/>
    <xf numFmtId="0" fontId="38" fillId="0" borderId="0" xfId="7" applyFont="1" applyAlignment="1">
      <alignment vertical="center"/>
    </xf>
    <xf numFmtId="3" fontId="41" fillId="0" borderId="0" xfId="111" applyNumberFormat="1" applyFont="1"/>
    <xf numFmtId="0" fontId="38" fillId="0" borderId="0" xfId="7" applyFont="1" applyAlignment="1">
      <alignment horizontal="left" vertical="top" textRotation="90"/>
    </xf>
    <xf numFmtId="9" fontId="38" fillId="0" borderId="0" xfId="5" applyFont="1" applyAlignment="1">
      <alignment horizontal="left" vertical="top" textRotation="90"/>
    </xf>
    <xf numFmtId="9" fontId="37" fillId="0" borderId="0" xfId="5" applyFont="1"/>
    <xf numFmtId="0" fontId="42" fillId="0" borderId="0" xfId="4" applyFont="1" applyAlignment="1" applyProtection="1">
      <alignment horizontal="left"/>
      <protection locked="0"/>
    </xf>
    <xf numFmtId="0" fontId="42" fillId="0" borderId="0" xfId="4" applyFont="1" applyAlignment="1" applyProtection="1">
      <alignment horizontal="right"/>
      <protection locked="0"/>
    </xf>
    <xf numFmtId="0" fontId="42" fillId="0" borderId="0" xfId="4" applyFont="1" applyAlignment="1" applyProtection="1">
      <alignment horizontal="center"/>
      <protection locked="0"/>
    </xf>
    <xf numFmtId="14" fontId="42" fillId="0" borderId="0" xfId="4" applyNumberFormat="1" applyFont="1" applyAlignment="1" applyProtection="1">
      <alignment horizontal="center"/>
      <protection locked="0"/>
    </xf>
    <xf numFmtId="0" fontId="42" fillId="0" borderId="0" xfId="4" applyFont="1" applyProtection="1">
      <protection locked="0"/>
    </xf>
    <xf numFmtId="0" fontId="37" fillId="0" borderId="0" xfId="3" applyFont="1" applyAlignment="1" applyProtection="1">
      <alignment horizontal="center" vertical="center"/>
      <protection locked="0"/>
    </xf>
    <xf numFmtId="165" fontId="37" fillId="0" borderId="0" xfId="3" applyNumberFormat="1" applyFont="1" applyAlignment="1" applyProtection="1">
      <alignment horizontal="center" vertical="center" wrapText="1"/>
      <protection locked="0"/>
    </xf>
    <xf numFmtId="0" fontId="37" fillId="0" borderId="0" xfId="3" applyFont="1" applyAlignment="1" applyProtection="1">
      <alignment horizontal="center"/>
      <protection locked="0"/>
    </xf>
    <xf numFmtId="0" fontId="37" fillId="0" borderId="0" xfId="3" applyFont="1" applyProtection="1">
      <protection locked="0"/>
    </xf>
    <xf numFmtId="1" fontId="37" fillId="0" borderId="0" xfId="3" applyNumberFormat="1" applyFont="1" applyProtection="1">
      <protection locked="0"/>
    </xf>
    <xf numFmtId="169" fontId="37" fillId="0" borderId="0" xfId="3" applyNumberFormat="1" applyFont="1" applyProtection="1">
      <protection locked="0"/>
    </xf>
    <xf numFmtId="165" fontId="37" fillId="0" borderId="0" xfId="3" applyNumberFormat="1" applyFont="1" applyProtection="1">
      <protection locked="0"/>
    </xf>
    <xf numFmtId="0" fontId="38" fillId="0" borderId="0" xfId="0" applyFont="1" applyAlignment="1">
      <alignment horizontal="center" vertical="center" textRotation="90"/>
    </xf>
    <xf numFmtId="170" fontId="38" fillId="43" borderId="0" xfId="7" applyNumberFormat="1" applyFont="1" applyFill="1" applyAlignment="1">
      <alignment horizontal="left" vertical="top" textRotation="90"/>
    </xf>
    <xf numFmtId="0" fontId="38" fillId="43" borderId="0" xfId="7" applyFont="1" applyFill="1" applyAlignment="1">
      <alignment horizontal="left" vertical="top" textRotation="90"/>
    </xf>
    <xf numFmtId="0" fontId="38" fillId="0" borderId="0" xfId="0" applyFont="1"/>
    <xf numFmtId="0" fontId="38" fillId="0" borderId="0" xfId="112" applyFont="1"/>
    <xf numFmtId="0" fontId="43" fillId="0" borderId="0" xfId="113" applyFont="1" applyAlignment="1" applyProtection="1">
      <alignment horizontal="center" vertical="top" textRotation="90"/>
      <protection locked="0"/>
    </xf>
    <xf numFmtId="49" fontId="49" fillId="0" borderId="0" xfId="113" applyNumberFormat="1" applyFont="1" applyAlignment="1">
      <alignment horizontal="center" vertical="top" textRotation="90"/>
    </xf>
    <xf numFmtId="0" fontId="43" fillId="0" borderId="0" xfId="113" applyFont="1" applyAlignment="1" applyProtection="1">
      <alignment horizontal="center" vertical="top" textRotation="90" wrapText="1"/>
      <protection locked="0"/>
    </xf>
    <xf numFmtId="0" fontId="38" fillId="0" borderId="0" xfId="112" applyFont="1" applyAlignment="1">
      <alignment horizontal="left" vertical="top" textRotation="90"/>
    </xf>
    <xf numFmtId="0" fontId="43" fillId="0" borderId="0" xfId="113" applyFont="1" applyAlignment="1" applyProtection="1">
      <alignment horizontal="left" vertical="top"/>
      <protection locked="0"/>
    </xf>
    <xf numFmtId="49" fontId="45" fillId="0" borderId="0" xfId="113" applyNumberFormat="1" applyFont="1" applyAlignment="1" applyProtection="1">
      <alignment horizontal="left" vertical="top"/>
      <protection locked="0"/>
    </xf>
    <xf numFmtId="0" fontId="43" fillId="0" borderId="0" xfId="113" applyFont="1" applyAlignment="1" applyProtection="1">
      <alignment horizontal="center" vertical="top"/>
      <protection locked="0"/>
    </xf>
    <xf numFmtId="165" fontId="38" fillId="0" borderId="0" xfId="3" applyNumberFormat="1" applyFont="1" applyAlignment="1">
      <alignment horizontal="left" vertical="top"/>
    </xf>
    <xf numFmtId="165" fontId="50" fillId="0" borderId="0" xfId="3" applyNumberFormat="1" applyFont="1" applyAlignment="1">
      <alignment horizontal="left" vertical="top"/>
    </xf>
    <xf numFmtId="1" fontId="43" fillId="0" borderId="0" xfId="112" applyNumberFormat="1" applyFont="1"/>
    <xf numFmtId="0" fontId="43" fillId="0" borderId="0" xfId="112" applyFont="1"/>
    <xf numFmtId="49" fontId="43" fillId="0" borderId="0" xfId="112" applyNumberFormat="1" applyFont="1"/>
    <xf numFmtId="49" fontId="43" fillId="0" borderId="0" xfId="113" applyNumberFormat="1" applyFont="1" applyAlignment="1" applyProtection="1">
      <alignment horizontal="left" vertical="top"/>
      <protection locked="0"/>
    </xf>
    <xf numFmtId="165" fontId="50" fillId="0" borderId="0" xfId="3" quotePrefix="1" applyNumberFormat="1" applyFont="1" applyAlignment="1">
      <alignment horizontal="left" vertical="top"/>
    </xf>
    <xf numFmtId="169" fontId="38" fillId="0" borderId="0" xfId="3" applyNumberFormat="1" applyFont="1" applyAlignment="1">
      <alignment horizontal="left" vertical="top"/>
    </xf>
    <xf numFmtId="165" fontId="38" fillId="0" borderId="0" xfId="3" applyNumberFormat="1" applyFont="1" applyAlignment="1" applyProtection="1">
      <alignment horizontal="left" vertical="top"/>
      <protection locked="0"/>
    </xf>
    <xf numFmtId="164" fontId="38" fillId="0" borderId="0" xfId="3" applyNumberFormat="1" applyFont="1" applyAlignment="1" applyProtection="1">
      <alignment horizontal="left" vertical="top"/>
      <protection locked="0"/>
    </xf>
    <xf numFmtId="165" fontId="38" fillId="0" borderId="0" xfId="112" applyNumberFormat="1" applyFont="1" applyAlignment="1">
      <alignment horizontal="left" vertical="top"/>
    </xf>
    <xf numFmtId="0" fontId="38" fillId="0" borderId="0" xfId="112" applyFont="1" applyAlignment="1">
      <alignment horizontal="left" vertical="top"/>
    </xf>
    <xf numFmtId="0" fontId="38" fillId="0" borderId="0" xfId="113" applyFont="1"/>
    <xf numFmtId="49" fontId="38" fillId="0" borderId="0" xfId="113" applyNumberFormat="1" applyFont="1"/>
    <xf numFmtId="49" fontId="38" fillId="0" borderId="0" xfId="113" applyNumberFormat="1" applyFont="1" applyAlignment="1" applyProtection="1">
      <alignment horizontal="left" vertical="top"/>
      <protection locked="0"/>
    </xf>
    <xf numFmtId="49" fontId="38" fillId="6" borderId="0" xfId="113" applyNumberFormat="1" applyFont="1" applyFill="1" applyAlignment="1" applyProtection="1">
      <alignment horizontal="left" vertical="top"/>
      <protection locked="0"/>
    </xf>
    <xf numFmtId="0" fontId="37" fillId="0" borderId="0" xfId="7" applyFont="1" applyAlignment="1">
      <alignment shrinkToFit="1"/>
    </xf>
    <xf numFmtId="0" fontId="38" fillId="43" borderId="0" xfId="7" applyFont="1" applyFill="1" applyAlignment="1">
      <alignment horizontal="left" vertical="top" textRotation="90" shrinkToFit="1"/>
    </xf>
    <xf numFmtId="165" fontId="38" fillId="0" borderId="0" xfId="7" applyNumberFormat="1" applyFont="1" applyAlignment="1">
      <alignment horizontal="right"/>
    </xf>
    <xf numFmtId="0" fontId="38" fillId="0" borderId="0" xfId="7" applyFont="1" applyAlignment="1">
      <alignment horizontal="left" vertical="top" textRotation="90" shrinkToFit="1"/>
    </xf>
    <xf numFmtId="165" fontId="38" fillId="0" borderId="0" xfId="7" applyNumberFormat="1" applyFont="1" applyAlignment="1">
      <alignment horizontal="left" vertical="top" textRotation="90"/>
    </xf>
    <xf numFmtId="0" fontId="42" fillId="0" borderId="0" xfId="4" applyFont="1" applyAlignment="1" applyProtection="1">
      <alignment horizontal="center" vertical="center"/>
      <protection locked="0"/>
    </xf>
    <xf numFmtId="0" fontId="38" fillId="0" borderId="0" xfId="0" applyFont="1" applyAlignment="1">
      <alignment horizontal="left" vertical="top" textRotation="90"/>
    </xf>
    <xf numFmtId="0" fontId="44" fillId="0" borderId="0" xfId="0" applyFont="1"/>
    <xf numFmtId="0" fontId="44" fillId="0" borderId="0" xfId="0" applyFont="1" applyAlignment="1">
      <alignment horizontal="center" vertical="center"/>
    </xf>
    <xf numFmtId="0" fontId="44" fillId="0" borderId="2" xfId="0" applyFont="1" applyBorder="1" applyAlignment="1">
      <alignment horizontal="center" vertical="center"/>
    </xf>
    <xf numFmtId="0" fontId="44" fillId="0" borderId="0" xfId="0" applyFont="1" applyAlignment="1">
      <alignment horizontal="left"/>
    </xf>
    <xf numFmtId="0" fontId="44" fillId="0" borderId="0" xfId="0" applyFont="1" applyAlignment="1">
      <alignment horizontal="center"/>
    </xf>
    <xf numFmtId="0" fontId="0" fillId="0" borderId="22" xfId="0" applyBorder="1"/>
    <xf numFmtId="3" fontId="0" fillId="0" borderId="22" xfId="0" applyNumberFormat="1" applyBorder="1" applyAlignment="1">
      <alignment horizontal="center" vertical="justify" wrapText="1"/>
    </xf>
    <xf numFmtId="3" fontId="0" fillId="0" borderId="22" xfId="0" applyNumberFormat="1" applyBorder="1"/>
    <xf numFmtId="0" fontId="0" fillId="2" borderId="22" xfId="0" applyFill="1" applyBorder="1"/>
    <xf numFmtId="3" fontId="0" fillId="4" borderId="22" xfId="0" applyNumberFormat="1" applyFill="1" applyBorder="1"/>
    <xf numFmtId="167" fontId="0" fillId="2" borderId="22" xfId="0" applyNumberFormat="1" applyFill="1" applyBorder="1"/>
    <xf numFmtId="2" fontId="0" fillId="0" borderId="22" xfId="0" applyNumberFormat="1" applyBorder="1"/>
    <xf numFmtId="9" fontId="0" fillId="0" borderId="0" xfId="5" applyFont="1"/>
    <xf numFmtId="0" fontId="37" fillId="0" borderId="0" xfId="0" applyFont="1" applyAlignment="1">
      <alignment horizontal="center"/>
    </xf>
    <xf numFmtId="171" fontId="37" fillId="0" borderId="0" xfId="0" applyNumberFormat="1" applyFont="1"/>
    <xf numFmtId="173" fontId="0" fillId="2" borderId="22" xfId="0" applyNumberFormat="1" applyFill="1" applyBorder="1"/>
    <xf numFmtId="173" fontId="0" fillId="0" borderId="22" xfId="0" applyNumberFormat="1" applyBorder="1" applyAlignment="1">
      <alignment horizontal="center" vertical="justify" wrapText="1"/>
    </xf>
    <xf numFmtId="173" fontId="0" fillId="0" borderId="22" xfId="0" applyNumberFormat="1" applyBorder="1"/>
    <xf numFmtId="173" fontId="0" fillId="4" borderId="22" xfId="0" applyNumberFormat="1" applyFill="1" applyBorder="1"/>
    <xf numFmtId="173" fontId="0" fillId="0" borderId="22" xfId="0" applyNumberFormat="1" applyBorder="1" applyAlignment="1">
      <alignment horizontal="right"/>
    </xf>
    <xf numFmtId="0" fontId="38" fillId="0" borderId="0" xfId="7" applyFont="1" applyAlignment="1">
      <alignment horizontal="left" vertical="top" shrinkToFit="1"/>
    </xf>
    <xf numFmtId="0" fontId="38" fillId="0" borderId="0" xfId="112" applyFont="1" applyAlignment="1">
      <alignment horizontal="right" vertical="top" textRotation="90"/>
    </xf>
    <xf numFmtId="0" fontId="10" fillId="0" borderId="0" xfId="0" applyFont="1"/>
    <xf numFmtId="0" fontId="39" fillId="0" borderId="0" xfId="112" applyFont="1" applyAlignment="1">
      <alignment horizontal="center" vertical="top" textRotation="90"/>
    </xf>
    <xf numFmtId="49" fontId="39" fillId="0" borderId="0" xfId="112" applyNumberFormat="1" applyFont="1" applyAlignment="1">
      <alignment horizontal="center" vertical="top" textRotation="90"/>
    </xf>
    <xf numFmtId="0" fontId="39" fillId="38" borderId="0" xfId="7" applyFont="1" applyFill="1" applyAlignment="1">
      <alignment horizontal="center" vertical="top" textRotation="90"/>
    </xf>
    <xf numFmtId="0" fontId="0" fillId="6" borderId="22" xfId="0" applyFill="1" applyBorder="1"/>
    <xf numFmtId="3" fontId="44" fillId="0" borderId="2" xfId="0" applyNumberFormat="1" applyFont="1" applyBorder="1" applyAlignment="1">
      <alignment horizontal="right" vertical="center"/>
    </xf>
    <xf numFmtId="2" fontId="38" fillId="0" borderId="0" xfId="0" applyNumberFormat="1" applyFont="1" applyAlignment="1">
      <alignment horizontal="left" vertical="top" textRotation="90"/>
    </xf>
    <xf numFmtId="0" fontId="55" fillId="47" borderId="0" xfId="0" applyFont="1" applyFill="1" applyAlignment="1">
      <alignment horizontal="left" vertical="top" textRotation="90"/>
    </xf>
    <xf numFmtId="0" fontId="55" fillId="47" borderId="0" xfId="7" applyFont="1" applyFill="1"/>
    <xf numFmtId="0" fontId="55" fillId="0" borderId="0" xfId="7" applyFont="1"/>
    <xf numFmtId="0" fontId="55" fillId="0" borderId="0" xfId="7" applyFont="1" applyAlignment="1">
      <alignment wrapText="1"/>
    </xf>
    <xf numFmtId="0" fontId="58" fillId="0" borderId="0" xfId="0" applyFont="1" applyAlignment="1">
      <alignment wrapText="1"/>
    </xf>
    <xf numFmtId="0" fontId="55" fillId="41" borderId="0" xfId="7" applyFont="1" applyFill="1"/>
    <xf numFmtId="0" fontId="60" fillId="48" borderId="0" xfId="0" applyFont="1" applyFill="1" applyAlignment="1">
      <alignment wrapText="1"/>
    </xf>
    <xf numFmtId="0" fontId="59" fillId="48" borderId="0" xfId="7" applyFont="1" applyFill="1" applyAlignment="1">
      <alignment wrapText="1"/>
    </xf>
    <xf numFmtId="0" fontId="62" fillId="0" borderId="0" xfId="0" applyFont="1"/>
    <xf numFmtId="0" fontId="38" fillId="0" borderId="0" xfId="0" applyFont="1" applyAlignment="1">
      <alignment horizontal="left" vertical="top" textRotation="90" shrinkToFit="1"/>
    </xf>
    <xf numFmtId="0" fontId="38" fillId="0" borderId="0" xfId="0" applyFont="1" applyAlignment="1">
      <alignment vertical="top"/>
    </xf>
    <xf numFmtId="0" fontId="38" fillId="0" borderId="0" xfId="0" applyFont="1" applyAlignment="1">
      <alignment horizontal="left" vertical="top" textRotation="90" wrapText="1"/>
    </xf>
    <xf numFmtId="0" fontId="38" fillId="0" borderId="0" xfId="0" applyFont="1" applyAlignment="1">
      <alignment vertical="top" wrapText="1"/>
    </xf>
    <xf numFmtId="170" fontId="38" fillId="0" borderId="0" xfId="0" applyNumberFormat="1" applyFont="1" applyAlignment="1">
      <alignment horizontal="left" vertical="top" textRotation="90"/>
    </xf>
    <xf numFmtId="170" fontId="38" fillId="0" borderId="0" xfId="0" applyNumberFormat="1" applyFont="1" applyAlignment="1">
      <alignment vertical="top"/>
    </xf>
    <xf numFmtId="174" fontId="38" fillId="0" borderId="0" xfId="0" applyNumberFormat="1" applyFont="1" applyAlignment="1">
      <alignment horizontal="left" vertical="top" textRotation="90"/>
    </xf>
    <xf numFmtId="174" fontId="38" fillId="0" borderId="0" xfId="0" applyNumberFormat="1" applyFont="1" applyAlignment="1">
      <alignment vertical="top"/>
    </xf>
    <xf numFmtId="9" fontId="52" fillId="0" borderId="0" xfId="5" applyFont="1" applyFill="1" applyAlignment="1" applyProtection="1">
      <alignment horizontal="center" vertical="top" wrapText="1"/>
      <protection locked="0"/>
    </xf>
    <xf numFmtId="0" fontId="63" fillId="41" borderId="0" xfId="4" applyFont="1" applyFill="1" applyAlignment="1" applyProtection="1">
      <alignment textRotation="90"/>
      <protection locked="0"/>
    </xf>
    <xf numFmtId="0" fontId="63" fillId="41" borderId="0" xfId="4" applyFont="1" applyFill="1" applyAlignment="1">
      <alignment horizontal="left" textRotation="90"/>
    </xf>
    <xf numFmtId="0" fontId="63" fillId="41" borderId="0" xfId="4" applyFont="1" applyFill="1" applyAlignment="1" applyProtection="1">
      <alignment horizontal="center" vertical="center" textRotation="90"/>
      <protection locked="0"/>
    </xf>
    <xf numFmtId="0" fontId="40" fillId="41" borderId="0" xfId="3" applyFont="1" applyFill="1" applyAlignment="1" applyProtection="1">
      <alignment horizontal="center" vertical="center" textRotation="90"/>
      <protection locked="0"/>
    </xf>
    <xf numFmtId="0" fontId="40" fillId="41" borderId="0" xfId="3" applyFont="1" applyFill="1" applyAlignment="1" applyProtection="1">
      <alignment textRotation="90"/>
      <protection locked="0"/>
    </xf>
    <xf numFmtId="0" fontId="52" fillId="41" borderId="0" xfId="0" applyFont="1" applyFill="1" applyAlignment="1" applyProtection="1">
      <alignment horizontal="center" vertical="center"/>
      <protection locked="0"/>
    </xf>
    <xf numFmtId="173" fontId="38" fillId="0" borderId="0" xfId="0" applyNumberFormat="1" applyFont="1" applyAlignment="1">
      <alignment horizontal="left" vertical="top" textRotation="90"/>
    </xf>
    <xf numFmtId="173" fontId="38" fillId="0" borderId="0" xfId="0" applyNumberFormat="1" applyFont="1" applyAlignment="1">
      <alignment vertical="top"/>
    </xf>
    <xf numFmtId="0" fontId="38" fillId="0" borderId="0" xfId="7" applyFont="1" applyAlignment="1">
      <alignment horizontal="left"/>
    </xf>
    <xf numFmtId="49" fontId="38" fillId="0" borderId="0" xfId="7" applyNumberFormat="1" applyFont="1" applyAlignment="1">
      <alignment horizontal="left"/>
    </xf>
    <xf numFmtId="165" fontId="46" fillId="0" borderId="0" xfId="7" applyNumberFormat="1" applyFont="1" applyAlignment="1">
      <alignment horizontal="left" vertical="top" textRotation="90"/>
    </xf>
    <xf numFmtId="10" fontId="55" fillId="47" borderId="0" xfId="7" applyNumberFormat="1" applyFont="1" applyFill="1"/>
    <xf numFmtId="0" fontId="40" fillId="41" borderId="0" xfId="0" applyFont="1" applyFill="1" applyAlignment="1">
      <alignment horizontal="center" vertical="center" textRotation="90"/>
    </xf>
    <xf numFmtId="0" fontId="40" fillId="41" borderId="0" xfId="7" applyFont="1" applyFill="1" applyAlignment="1">
      <alignment horizontal="center" vertical="center" textRotation="90"/>
    </xf>
    <xf numFmtId="0" fontId="40" fillId="41" borderId="0" xfId="7" applyFont="1" applyFill="1" applyAlignment="1">
      <alignment horizontal="center" vertical="center" textRotation="90" wrapText="1"/>
    </xf>
    <xf numFmtId="0" fontId="40" fillId="41" borderId="0" xfId="0" applyFont="1" applyFill="1" applyAlignment="1">
      <alignment horizontal="center" vertical="center" textRotation="90" wrapText="1"/>
    </xf>
    <xf numFmtId="0" fontId="52" fillId="41" borderId="0" xfId="0" applyFont="1" applyFill="1" applyAlignment="1" applyProtection="1">
      <alignment horizontal="left" vertical="center"/>
      <protection locked="0"/>
    </xf>
    <xf numFmtId="0" fontId="52" fillId="41" borderId="0" xfId="0" quotePrefix="1" applyFont="1" applyFill="1" applyAlignment="1" applyProtection="1">
      <alignment horizontal="center" vertical="center"/>
      <protection locked="0"/>
    </xf>
    <xf numFmtId="0" fontId="63" fillId="41" borderId="0" xfId="4" applyFont="1" applyFill="1" applyAlignment="1">
      <alignment vertical="top" textRotation="90"/>
    </xf>
    <xf numFmtId="0" fontId="63" fillId="41" borderId="0" xfId="4" applyFont="1" applyFill="1" applyAlignment="1">
      <alignment horizontal="center" vertical="top" textRotation="90"/>
    </xf>
    <xf numFmtId="0" fontId="63" fillId="41" borderId="0" xfId="4" applyFont="1" applyFill="1" applyAlignment="1">
      <alignment horizontal="left" vertical="top" textRotation="90"/>
    </xf>
    <xf numFmtId="0" fontId="63" fillId="41" borderId="0" xfId="4" applyFont="1" applyFill="1" applyAlignment="1" applyProtection="1">
      <alignment horizontal="left" vertical="top" textRotation="90"/>
      <protection locked="0"/>
    </xf>
    <xf numFmtId="0" fontId="63" fillId="41" borderId="0" xfId="4" applyFont="1" applyFill="1" applyAlignment="1" applyProtection="1">
      <alignment horizontal="right" vertical="top" textRotation="90"/>
      <protection locked="0"/>
    </xf>
    <xf numFmtId="14" fontId="63" fillId="41" borderId="0" xfId="4" applyNumberFormat="1" applyFont="1" applyFill="1" applyAlignment="1" applyProtection="1">
      <alignment horizontal="center" vertical="top" textRotation="90"/>
      <protection locked="0"/>
    </xf>
    <xf numFmtId="0" fontId="43" fillId="0" borderId="0" xfId="4" applyFont="1" applyAlignment="1">
      <alignment horizontal="left" vertical="top"/>
    </xf>
    <xf numFmtId="0" fontId="38" fillId="0" borderId="0" xfId="3" applyFont="1" applyAlignment="1">
      <alignment horizontal="left" vertical="top"/>
    </xf>
    <xf numFmtId="0" fontId="43" fillId="0" borderId="0" xfId="4" applyFont="1" applyAlignment="1">
      <alignment vertical="top"/>
    </xf>
    <xf numFmtId="0" fontId="43" fillId="0" borderId="0" xfId="4" applyFont="1" applyAlignment="1">
      <alignment horizontal="center" vertical="top"/>
    </xf>
    <xf numFmtId="14" fontId="43" fillId="0" borderId="0" xfId="4" applyNumberFormat="1" applyFont="1" applyAlignment="1" applyProtection="1">
      <alignment horizontal="center" vertical="top"/>
      <protection locked="0"/>
    </xf>
    <xf numFmtId="0" fontId="40" fillId="41" borderId="0" xfId="3" applyFont="1" applyFill="1" applyAlignment="1">
      <alignment horizontal="center" vertical="top" textRotation="90"/>
    </xf>
    <xf numFmtId="0" fontId="38" fillId="0" borderId="0" xfId="3" applyFont="1" applyAlignment="1">
      <alignment horizontal="center" vertical="top"/>
    </xf>
    <xf numFmtId="0" fontId="38" fillId="0" borderId="0" xfId="3" applyFont="1" applyAlignment="1">
      <alignment vertical="top"/>
    </xf>
    <xf numFmtId="0" fontId="40" fillId="41" borderId="0" xfId="3" applyFont="1" applyFill="1" applyAlignment="1">
      <alignment vertical="top" textRotation="90"/>
    </xf>
    <xf numFmtId="1" fontId="38" fillId="0" borderId="0" xfId="3" applyNumberFormat="1" applyFont="1" applyAlignment="1" applyProtection="1">
      <alignment vertical="top"/>
      <protection locked="0"/>
    </xf>
    <xf numFmtId="3" fontId="38" fillId="0" borderId="0" xfId="3" applyNumberFormat="1" applyFont="1" applyAlignment="1">
      <alignment horizontal="right" vertical="top"/>
    </xf>
    <xf numFmtId="3" fontId="38" fillId="0" borderId="0" xfId="3" applyNumberFormat="1" applyFont="1" applyAlignment="1" applyProtection="1">
      <alignment horizontal="right" vertical="top"/>
      <protection locked="0"/>
    </xf>
    <xf numFmtId="1" fontId="38" fillId="0" borderId="0" xfId="3" applyNumberFormat="1" applyFont="1" applyAlignment="1" applyProtection="1">
      <alignment horizontal="left" vertical="top"/>
      <protection locked="0"/>
    </xf>
    <xf numFmtId="9" fontId="38" fillId="0" borderId="0" xfId="0" applyNumberFormat="1" applyFont="1" applyAlignment="1">
      <alignment horizontal="center" vertical="top"/>
    </xf>
    <xf numFmtId="169" fontId="38" fillId="0" borderId="0" xfId="3" applyNumberFormat="1" applyFont="1" applyAlignment="1">
      <alignment vertical="top"/>
    </xf>
    <xf numFmtId="165" fontId="38" fillId="0" borderId="0" xfId="3" applyNumberFormat="1" applyFont="1" applyAlignment="1">
      <alignment vertical="top"/>
    </xf>
    <xf numFmtId="169" fontId="38" fillId="0" borderId="0" xfId="3" applyNumberFormat="1" applyFont="1" applyAlignment="1" applyProtection="1">
      <alignment vertical="top"/>
      <protection locked="0"/>
    </xf>
    <xf numFmtId="0" fontId="38" fillId="0" borderId="0" xfId="3" applyFont="1" applyAlignment="1" applyProtection="1">
      <alignment vertical="top"/>
      <protection locked="0"/>
    </xf>
    <xf numFmtId="0" fontId="4" fillId="0" borderId="0" xfId="112" applyFont="1" applyAlignment="1">
      <alignment horizontal="left" vertical="top" textRotation="90"/>
    </xf>
    <xf numFmtId="0" fontId="4" fillId="0" borderId="0" xfId="112" applyFont="1"/>
    <xf numFmtId="49" fontId="4" fillId="0" borderId="0" xfId="112" applyNumberFormat="1" applyFont="1"/>
    <xf numFmtId="165" fontId="38" fillId="0" borderId="0" xfId="3" applyNumberFormat="1" applyFont="1" applyAlignment="1">
      <alignment horizontal="left" vertical="center"/>
    </xf>
    <xf numFmtId="169" fontId="38" fillId="0" borderId="0" xfId="3" applyNumberFormat="1" applyFont="1" applyAlignment="1">
      <alignment horizontal="left" vertical="center"/>
    </xf>
    <xf numFmtId="165" fontId="38" fillId="0" borderId="0" xfId="3" applyNumberFormat="1" applyFont="1" applyAlignment="1" applyProtection="1">
      <alignment horizontal="left" vertical="center"/>
      <protection locked="0"/>
    </xf>
    <xf numFmtId="165" fontId="57" fillId="0" borderId="18" xfId="7" applyNumberFormat="1" applyFont="1" applyBorder="1" applyAlignment="1">
      <alignment horizontal="left" vertical="top" textRotation="90"/>
    </xf>
    <xf numFmtId="165" fontId="48" fillId="50" borderId="23" xfId="7" applyNumberFormat="1" applyFont="1" applyFill="1" applyBorder="1" applyAlignment="1">
      <alignment horizontal="left" vertical="top" textRotation="90"/>
    </xf>
    <xf numFmtId="0" fontId="55" fillId="47" borderId="0" xfId="7" applyFont="1" applyFill="1" applyAlignment="1">
      <alignment horizontal="left" vertical="top"/>
    </xf>
    <xf numFmtId="165" fontId="40" fillId="41" borderId="0" xfId="7" applyNumberFormat="1" applyFont="1" applyFill="1" applyAlignment="1">
      <alignment horizontal="center" vertical="center" textRotation="90"/>
    </xf>
    <xf numFmtId="0" fontId="40" fillId="0" borderId="0" xfId="7" applyFont="1"/>
    <xf numFmtId="0" fontId="40" fillId="0" borderId="0" xfId="7" applyFont="1" applyAlignment="1">
      <alignment wrapText="1"/>
    </xf>
    <xf numFmtId="0" fontId="40" fillId="48" borderId="0" xfId="7" applyFont="1" applyFill="1" applyAlignment="1">
      <alignment textRotation="90" wrapText="1"/>
    </xf>
    <xf numFmtId="0" fontId="62" fillId="48" borderId="0" xfId="0" applyFont="1" applyFill="1" applyAlignment="1">
      <alignment textRotation="90" wrapText="1"/>
    </xf>
    <xf numFmtId="0" fontId="62" fillId="0" borderId="0" xfId="0" applyFont="1" applyAlignment="1">
      <alignment wrapText="1"/>
    </xf>
    <xf numFmtId="49" fontId="40" fillId="41" borderId="0" xfId="7" applyNumberFormat="1" applyFont="1" applyFill="1" applyAlignment="1">
      <alignment horizontal="left" vertical="center" textRotation="90"/>
    </xf>
    <xf numFmtId="49" fontId="38" fillId="0" borderId="0" xfId="7" applyNumberFormat="1" applyFont="1" applyAlignment="1">
      <alignment horizontal="left" vertical="top" textRotation="90"/>
    </xf>
    <xf numFmtId="14" fontId="38" fillId="0" borderId="0" xfId="0" applyNumberFormat="1" applyFont="1" applyAlignment="1">
      <alignment vertical="top"/>
    </xf>
    <xf numFmtId="0" fontId="38" fillId="0" borderId="0" xfId="0" applyFont="1" applyAlignment="1">
      <alignment vertical="top" shrinkToFit="1"/>
    </xf>
    <xf numFmtId="2" fontId="38" fillId="0" borderId="0" xfId="0" applyNumberFormat="1" applyFont="1" applyAlignment="1">
      <alignment vertical="top"/>
    </xf>
    <xf numFmtId="0" fontId="38" fillId="6" borderId="0" xfId="0" applyFont="1" applyFill="1" applyAlignment="1">
      <alignment horizontal="left" vertical="top" textRotation="90" shrinkToFit="1"/>
    </xf>
    <xf numFmtId="0" fontId="38" fillId="6" borderId="0" xfId="0" applyFont="1" applyFill="1" applyAlignment="1">
      <alignment horizontal="left" vertical="top" shrinkToFit="1"/>
    </xf>
    <xf numFmtId="9" fontId="38" fillId="0" borderId="0" xfId="5" applyFont="1" applyAlignment="1">
      <alignment vertical="top"/>
    </xf>
    <xf numFmtId="0" fontId="40" fillId="41" borderId="0" xfId="7" applyFont="1" applyFill="1"/>
    <xf numFmtId="0" fontId="40" fillId="41" borderId="0" xfId="7" applyFont="1" applyFill="1" applyAlignment="1">
      <alignment wrapText="1"/>
    </xf>
    <xf numFmtId="0" fontId="40" fillId="47" borderId="0" xfId="0" applyFont="1" applyFill="1" applyAlignment="1">
      <alignment horizontal="left" vertical="top" textRotation="90"/>
    </xf>
    <xf numFmtId="0" fontId="38" fillId="6" borderId="0" xfId="0" applyFont="1" applyFill="1" applyAlignment="1">
      <alignment horizontal="left" shrinkToFit="1"/>
    </xf>
    <xf numFmtId="0" fontId="37" fillId="41" borderId="0" xfId="3" applyFont="1" applyFill="1" applyAlignment="1" applyProtection="1">
      <alignment horizontal="center" vertical="center"/>
      <protection locked="0"/>
    </xf>
    <xf numFmtId="165" fontId="55" fillId="41" borderId="0" xfId="3" applyNumberFormat="1" applyFont="1" applyFill="1" applyAlignment="1" applyProtection="1">
      <alignment horizontal="center" vertical="center" wrapText="1"/>
      <protection locked="0"/>
    </xf>
    <xf numFmtId="169" fontId="55" fillId="41" borderId="0" xfId="3" applyNumberFormat="1" applyFont="1" applyFill="1" applyAlignment="1" applyProtection="1">
      <alignment horizontal="center" vertical="center" wrapText="1"/>
      <protection locked="0"/>
    </xf>
    <xf numFmtId="165" fontId="64" fillId="41" borderId="0" xfId="3" applyNumberFormat="1" applyFont="1" applyFill="1" applyAlignment="1">
      <alignment horizontal="center" vertical="center" wrapText="1"/>
    </xf>
    <xf numFmtId="169" fontId="64" fillId="41" borderId="0" xfId="3" applyNumberFormat="1" applyFont="1" applyFill="1" applyAlignment="1">
      <alignment horizontal="center" vertical="center" wrapText="1"/>
    </xf>
    <xf numFmtId="0" fontId="42" fillId="51" borderId="0" xfId="4" applyFont="1" applyFill="1" applyAlignment="1">
      <alignment horizontal="center" vertical="center"/>
    </xf>
    <xf numFmtId="0" fontId="63" fillId="52" borderId="0" xfId="4" applyFont="1" applyFill="1" applyProtection="1">
      <protection locked="0"/>
    </xf>
    <xf numFmtId="9" fontId="42" fillId="0" borderId="0" xfId="5" applyFont="1" applyAlignment="1" applyProtection="1">
      <alignment horizontal="center" vertical="center"/>
      <protection locked="0"/>
    </xf>
    <xf numFmtId="170" fontId="38" fillId="0" borderId="0" xfId="7" applyNumberFormat="1" applyFont="1" applyAlignment="1">
      <alignment horizontal="left" vertical="top" wrapText="1"/>
    </xf>
    <xf numFmtId="49" fontId="38" fillId="0" borderId="0" xfId="7" applyNumberFormat="1" applyFont="1" applyAlignment="1">
      <alignment horizontal="left" vertical="top" wrapText="1"/>
    </xf>
    <xf numFmtId="0" fontId="38" fillId="0" borderId="0" xfId="7" applyFont="1" applyAlignment="1">
      <alignment horizontal="right" vertical="top" wrapText="1"/>
    </xf>
    <xf numFmtId="0" fontId="38" fillId="0" borderId="0" xfId="7" applyFont="1" applyAlignment="1">
      <alignment horizontal="left" vertical="top" wrapText="1"/>
    </xf>
    <xf numFmtId="0" fontId="38" fillId="0" borderId="0" xfId="7" applyFont="1" applyAlignment="1">
      <alignment horizontal="center" vertical="top" wrapText="1"/>
    </xf>
    <xf numFmtId="9" fontId="37" fillId="0" borderId="0" xfId="5" applyFont="1" applyAlignment="1" applyProtection="1">
      <alignment horizontal="center" vertical="center"/>
      <protection locked="0"/>
    </xf>
    <xf numFmtId="165" fontId="38" fillId="0" borderId="0" xfId="7" quotePrefix="1" applyNumberFormat="1" applyFont="1" applyAlignment="1">
      <alignment horizontal="right" vertical="top" wrapText="1"/>
    </xf>
    <xf numFmtId="0" fontId="38" fillId="41" borderId="0" xfId="0" applyFont="1" applyFill="1" applyAlignment="1">
      <alignment horizontal="center" vertical="center" textRotation="90"/>
    </xf>
    <xf numFmtId="0" fontId="14" fillId="0" borderId="0" xfId="0" applyFont="1"/>
    <xf numFmtId="0" fontId="38" fillId="41" borderId="0" xfId="7" applyFont="1" applyFill="1"/>
    <xf numFmtId="0" fontId="38" fillId="0" borderId="0" xfId="0" applyFont="1" applyAlignment="1">
      <alignment horizontal="left" shrinkToFit="1"/>
    </xf>
    <xf numFmtId="0" fontId="40" fillId="6" borderId="0" xfId="0" applyFont="1" applyFill="1" applyAlignment="1">
      <alignment horizontal="left" vertical="top" textRotation="90" shrinkToFit="1"/>
    </xf>
    <xf numFmtId="0" fontId="40" fillId="6" borderId="0" xfId="0" applyFont="1" applyFill="1" applyAlignment="1">
      <alignment horizontal="left" shrinkToFit="1"/>
    </xf>
    <xf numFmtId="170" fontId="38" fillId="39" borderId="0" xfId="7" applyNumberFormat="1" applyFont="1" applyFill="1" applyAlignment="1">
      <alignment horizontal="left" vertical="top" wrapText="1"/>
    </xf>
    <xf numFmtId="0" fontId="61" fillId="0" borderId="0" xfId="112" applyFont="1" applyAlignment="1">
      <alignment vertical="top"/>
    </xf>
    <xf numFmtId="172" fontId="61" fillId="0" borderId="0" xfId="112" applyNumberFormat="1" applyFont="1" applyAlignment="1">
      <alignment horizontal="left" vertical="top"/>
    </xf>
    <xf numFmtId="0" fontId="61" fillId="0" borderId="0" xfId="112" applyFont="1" applyAlignment="1">
      <alignment horizontal="left" vertical="top"/>
    </xf>
    <xf numFmtId="0" fontId="3" fillId="0" borderId="0" xfId="112" applyFont="1" applyAlignment="1">
      <alignment vertical="top"/>
    </xf>
    <xf numFmtId="0" fontId="40" fillId="41" borderId="0" xfId="0" applyFont="1" applyFill="1" applyAlignment="1">
      <alignment horizontal="center" vertical="top" textRotation="90"/>
    </xf>
    <xf numFmtId="1" fontId="38" fillId="39" borderId="0" xfId="7" applyNumberFormat="1" applyFont="1" applyFill="1" applyAlignment="1">
      <alignment horizontal="center" vertical="top" wrapText="1"/>
    </xf>
    <xf numFmtId="1" fontId="38" fillId="0" borderId="0" xfId="7" applyNumberFormat="1" applyFont="1" applyAlignment="1">
      <alignment horizontal="center" vertical="top" wrapText="1"/>
    </xf>
    <xf numFmtId="1" fontId="38" fillId="0" borderId="0" xfId="7" applyNumberFormat="1" applyFont="1" applyAlignment="1">
      <alignment horizontal="center"/>
    </xf>
    <xf numFmtId="4" fontId="54" fillId="41" borderId="0" xfId="0" applyNumberFormat="1" applyFont="1" applyFill="1" applyAlignment="1" applyProtection="1">
      <alignment horizontal="left" vertical="top" textRotation="90"/>
      <protection locked="0"/>
    </xf>
    <xf numFmtId="1" fontId="54" fillId="41" borderId="0" xfId="0" applyNumberFormat="1" applyFont="1" applyFill="1" applyAlignment="1" applyProtection="1">
      <alignment horizontal="left" vertical="top" textRotation="90"/>
      <protection locked="0"/>
    </xf>
    <xf numFmtId="0" fontId="54" fillId="41" borderId="0" xfId="3" applyFont="1" applyFill="1" applyAlignment="1" applyProtection="1">
      <alignment horizontal="left" vertical="top" textRotation="90"/>
      <protection locked="0"/>
    </xf>
    <xf numFmtId="0" fontId="66" fillId="41" borderId="0" xfId="4" applyFont="1" applyFill="1" applyAlignment="1">
      <alignment horizontal="left" vertical="top" textRotation="90"/>
    </xf>
    <xf numFmtId="0" fontId="54" fillId="41" borderId="0" xfId="0" applyFont="1" applyFill="1" applyAlignment="1">
      <alignment horizontal="left" vertical="top" textRotation="90"/>
    </xf>
    <xf numFmtId="170" fontId="67" fillId="41" borderId="0" xfId="2" applyNumberFormat="1" applyFont="1" applyFill="1" applyBorder="1" applyAlignment="1" applyProtection="1">
      <alignment horizontal="left" vertical="top" textRotation="90"/>
      <protection locked="0"/>
    </xf>
    <xf numFmtId="17" fontId="54" fillId="41" borderId="0" xfId="2" applyNumberFormat="1" applyFont="1" applyFill="1" applyBorder="1" applyAlignment="1" applyProtection="1">
      <alignment horizontal="left" vertical="top" textRotation="90"/>
      <protection locked="0"/>
    </xf>
    <xf numFmtId="0" fontId="54" fillId="41" borderId="0" xfId="0" applyFont="1" applyFill="1" applyAlignment="1" applyProtection="1">
      <alignment horizontal="left" vertical="top" textRotation="90"/>
      <protection locked="0"/>
    </xf>
    <xf numFmtId="4" fontId="54" fillId="41" borderId="0" xfId="0" applyNumberFormat="1" applyFont="1" applyFill="1" applyAlignment="1">
      <alignment horizontal="left" vertical="top" textRotation="90"/>
    </xf>
    <xf numFmtId="1" fontId="53" fillId="0" borderId="0" xfId="3" applyNumberFormat="1" applyFont="1" applyAlignment="1" applyProtection="1">
      <alignment horizontal="left" vertical="top"/>
      <protection locked="0"/>
    </xf>
    <xf numFmtId="0" fontId="51" fillId="0" borderId="0" xfId="4" applyFont="1" applyAlignment="1">
      <alignment horizontal="left" vertical="top"/>
    </xf>
    <xf numFmtId="1" fontId="52" fillId="0" borderId="0" xfId="0" applyNumberFormat="1" applyFont="1" applyAlignment="1" applyProtection="1">
      <alignment horizontal="left" vertical="top" wrapText="1"/>
      <protection locked="0"/>
    </xf>
    <xf numFmtId="170" fontId="52" fillId="0" borderId="0" xfId="0" applyNumberFormat="1" applyFont="1" applyAlignment="1" applyProtection="1">
      <alignment horizontal="center" vertical="top"/>
      <protection locked="0"/>
    </xf>
    <xf numFmtId="1" fontId="52" fillId="0" borderId="0" xfId="0" applyNumberFormat="1" applyFont="1" applyAlignment="1" applyProtection="1">
      <alignment horizontal="center" vertical="top"/>
      <protection locked="0"/>
    </xf>
    <xf numFmtId="1" fontId="52" fillId="0" borderId="0" xfId="0" applyNumberFormat="1" applyFont="1" applyAlignment="1" applyProtection="1">
      <alignment vertical="top"/>
      <protection locked="0"/>
    </xf>
    <xf numFmtId="1" fontId="52" fillId="0" borderId="0" xfId="0" applyNumberFormat="1" applyFont="1" applyAlignment="1" applyProtection="1">
      <alignment horizontal="left" vertical="top"/>
      <protection locked="0"/>
    </xf>
    <xf numFmtId="9" fontId="56" fillId="0" borderId="0" xfId="5" applyFont="1" applyAlignment="1" applyProtection="1">
      <alignment horizontal="center" vertical="top"/>
      <protection locked="0"/>
    </xf>
    <xf numFmtId="1" fontId="51" fillId="0" borderId="0" xfId="0" applyNumberFormat="1" applyFont="1" applyAlignment="1">
      <alignment horizontal="center" vertical="top" wrapText="1"/>
    </xf>
    <xf numFmtId="4" fontId="52" fillId="41" borderId="0" xfId="0" applyNumberFormat="1" applyFont="1" applyFill="1" applyAlignment="1" applyProtection="1">
      <alignment horizontal="left" vertical="top" wrapText="1"/>
      <protection locked="0"/>
    </xf>
    <xf numFmtId="170" fontId="52" fillId="41" borderId="0" xfId="0" applyNumberFormat="1" applyFont="1" applyFill="1" applyAlignment="1" applyProtection="1">
      <alignment horizontal="center" vertical="top"/>
      <protection locked="0"/>
    </xf>
    <xf numFmtId="17" fontId="52" fillId="41" borderId="0" xfId="0" applyNumberFormat="1" applyFont="1" applyFill="1" applyAlignment="1" applyProtection="1">
      <alignment horizontal="center" vertical="top"/>
      <protection locked="0"/>
    </xf>
    <xf numFmtId="14" fontId="52" fillId="41" borderId="0" xfId="0" applyNumberFormat="1" applyFont="1" applyFill="1" applyAlignment="1" applyProtection="1">
      <alignment horizontal="center" vertical="top"/>
      <protection locked="0"/>
    </xf>
    <xf numFmtId="1" fontId="52" fillId="41" borderId="0" xfId="0" applyNumberFormat="1" applyFont="1" applyFill="1" applyAlignment="1" applyProtection="1">
      <alignment horizontal="left" vertical="top"/>
      <protection locked="0"/>
    </xf>
    <xf numFmtId="4" fontId="52" fillId="41" borderId="0" xfId="0" applyNumberFormat="1" applyFont="1" applyFill="1" applyAlignment="1" applyProtection="1">
      <alignment vertical="top"/>
      <protection locked="0"/>
    </xf>
    <xf numFmtId="4" fontId="52" fillId="41" borderId="0" xfId="0" applyNumberFormat="1" applyFont="1" applyFill="1" applyAlignment="1" applyProtection="1">
      <alignment horizontal="center" vertical="top"/>
      <protection locked="0"/>
    </xf>
    <xf numFmtId="0" fontId="52" fillId="41" borderId="0" xfId="0" applyFont="1" applyFill="1" applyAlignment="1" applyProtection="1">
      <alignment horizontal="center" vertical="top"/>
      <protection locked="0"/>
    </xf>
    <xf numFmtId="4" fontId="51" fillId="41" borderId="0" xfId="0" applyNumberFormat="1" applyFont="1" applyFill="1" applyAlignment="1">
      <alignment horizontal="center" vertical="top" wrapText="1"/>
    </xf>
    <xf numFmtId="4" fontId="52" fillId="0" borderId="0" xfId="0" applyNumberFormat="1" applyFont="1" applyAlignment="1" applyProtection="1">
      <alignment vertical="top"/>
      <protection locked="0"/>
    </xf>
    <xf numFmtId="0" fontId="54" fillId="41" borderId="0" xfId="3" applyFont="1" applyFill="1" applyAlignment="1">
      <alignment horizontal="left" vertical="top"/>
    </xf>
    <xf numFmtId="170" fontId="54" fillId="41" borderId="0" xfId="3" applyNumberFormat="1" applyFont="1" applyFill="1" applyAlignment="1">
      <alignment horizontal="left" vertical="top"/>
    </xf>
    <xf numFmtId="17" fontId="54" fillId="41" borderId="0" xfId="3" applyNumberFormat="1" applyFont="1" applyFill="1" applyAlignment="1">
      <alignment horizontal="left" vertical="top"/>
    </xf>
    <xf numFmtId="1" fontId="54" fillId="41" borderId="0" xfId="3" applyNumberFormat="1" applyFont="1" applyFill="1" applyAlignment="1">
      <alignment horizontal="left" vertical="top"/>
    </xf>
    <xf numFmtId="0" fontId="52" fillId="0" borderId="0" xfId="3" applyFont="1" applyAlignment="1" applyProtection="1">
      <alignment horizontal="center" vertical="top"/>
      <protection locked="0"/>
    </xf>
    <xf numFmtId="4" fontId="52" fillId="3" borderId="0" xfId="0" applyNumberFormat="1" applyFont="1" applyFill="1" applyAlignment="1" applyProtection="1">
      <alignment horizontal="center" vertical="top"/>
      <protection locked="0"/>
    </xf>
    <xf numFmtId="4" fontId="52" fillId="3" borderId="0" xfId="0" applyNumberFormat="1" applyFont="1" applyFill="1" applyAlignment="1" applyProtection="1">
      <alignment horizontal="left" vertical="top" wrapText="1"/>
      <protection locked="0"/>
    </xf>
    <xf numFmtId="170" fontId="52" fillId="3" borderId="0" xfId="0" applyNumberFormat="1" applyFont="1" applyFill="1" applyAlignment="1" applyProtection="1">
      <alignment horizontal="center" vertical="top" wrapText="1"/>
      <protection locked="0"/>
    </xf>
    <xf numFmtId="17" fontId="52" fillId="3" borderId="0" xfId="0" applyNumberFormat="1" applyFont="1" applyFill="1" applyAlignment="1" applyProtection="1">
      <alignment horizontal="center" vertical="top" wrapText="1"/>
      <protection locked="0"/>
    </xf>
    <xf numFmtId="4" fontId="52" fillId="3" borderId="0" xfId="0" applyNumberFormat="1" applyFont="1" applyFill="1" applyAlignment="1" applyProtection="1">
      <alignment vertical="top"/>
      <protection locked="0"/>
    </xf>
    <xf numFmtId="1" fontId="52" fillId="3" borderId="0" xfId="0" applyNumberFormat="1" applyFont="1" applyFill="1" applyAlignment="1" applyProtection="1">
      <alignment horizontal="center" vertical="top" wrapText="1"/>
      <protection locked="0"/>
    </xf>
    <xf numFmtId="4" fontId="52" fillId="3" borderId="0" xfId="0" applyNumberFormat="1" applyFont="1" applyFill="1" applyAlignment="1" applyProtection="1">
      <alignment horizontal="center" vertical="top" wrapText="1"/>
      <protection locked="0"/>
    </xf>
    <xf numFmtId="49" fontId="52" fillId="3" borderId="0" xfId="0" applyNumberFormat="1" applyFont="1" applyFill="1" applyAlignment="1" applyProtection="1">
      <alignment horizontal="center" vertical="top" wrapText="1"/>
      <protection locked="0"/>
    </xf>
    <xf numFmtId="4" fontId="52" fillId="3" borderId="0" xfId="0" applyNumberFormat="1" applyFont="1" applyFill="1" applyAlignment="1">
      <alignment horizontal="center" vertical="top"/>
    </xf>
    <xf numFmtId="4" fontId="54" fillId="41" borderId="0" xfId="0" applyNumberFormat="1" applyFont="1" applyFill="1" applyAlignment="1" applyProtection="1">
      <alignment vertical="top"/>
      <protection locked="0"/>
    </xf>
    <xf numFmtId="0" fontId="52" fillId="0" borderId="0" xfId="0" applyFont="1" applyAlignment="1" applyProtection="1">
      <alignment horizontal="center" vertical="top"/>
      <protection locked="0"/>
    </xf>
    <xf numFmtId="0" fontId="52" fillId="0" borderId="0" xfId="0" applyFont="1" applyAlignment="1" applyProtection="1">
      <alignment horizontal="left" vertical="top" shrinkToFit="1"/>
      <protection locked="0"/>
    </xf>
    <xf numFmtId="170" fontId="52" fillId="0" borderId="0" xfId="0" applyNumberFormat="1" applyFont="1" applyAlignment="1" applyProtection="1">
      <alignment horizontal="left" vertical="top" wrapText="1"/>
      <protection locked="0"/>
    </xf>
    <xf numFmtId="171" fontId="52" fillId="0" borderId="0" xfId="0" applyNumberFormat="1" applyFont="1" applyAlignment="1" applyProtection="1">
      <alignment horizontal="left" vertical="top" wrapText="1"/>
      <protection locked="0"/>
    </xf>
    <xf numFmtId="1" fontId="52" fillId="0" borderId="0" xfId="0" quotePrefix="1" applyNumberFormat="1" applyFont="1" applyAlignment="1" applyProtection="1">
      <alignment horizontal="left" vertical="top" wrapText="1"/>
      <protection locked="0"/>
    </xf>
    <xf numFmtId="4" fontId="52" fillId="0" borderId="0" xfId="0" applyNumberFormat="1" applyFont="1" applyAlignment="1" applyProtection="1">
      <alignment horizontal="right" vertical="top"/>
      <protection locked="0"/>
    </xf>
    <xf numFmtId="0" fontId="51" fillId="0" borderId="0" xfId="0" applyFont="1" applyAlignment="1" applyProtection="1">
      <alignment horizontal="left" vertical="top" shrinkToFit="1"/>
      <protection locked="0"/>
    </xf>
    <xf numFmtId="170" fontId="51" fillId="0" borderId="0" xfId="0" applyNumberFormat="1" applyFont="1" applyAlignment="1" applyProtection="1">
      <alignment horizontal="center" vertical="top"/>
      <protection locked="0"/>
    </xf>
    <xf numFmtId="0" fontId="51" fillId="0" borderId="0" xfId="0" applyFont="1" applyAlignment="1" applyProtection="1">
      <alignment horizontal="center" vertical="top"/>
      <protection locked="0"/>
    </xf>
    <xf numFmtId="171" fontId="51" fillId="0" borderId="0" xfId="0" applyNumberFormat="1" applyFont="1" applyAlignment="1" applyProtection="1">
      <alignment horizontal="left" vertical="top" wrapText="1"/>
      <protection locked="0"/>
    </xf>
    <xf numFmtId="1" fontId="51" fillId="0" borderId="0" xfId="0" applyNumberFormat="1" applyFont="1" applyAlignment="1" applyProtection="1">
      <alignment horizontal="left" vertical="top" wrapText="1"/>
      <protection locked="0"/>
    </xf>
    <xf numFmtId="1" fontId="51" fillId="0" borderId="0" xfId="0" quotePrefix="1" applyNumberFormat="1" applyFont="1" applyAlignment="1" applyProtection="1">
      <alignment horizontal="left" vertical="top" wrapText="1"/>
      <protection locked="0"/>
    </xf>
    <xf numFmtId="4" fontId="51" fillId="0" borderId="0" xfId="0" applyNumberFormat="1" applyFont="1" applyAlignment="1" applyProtection="1">
      <alignment horizontal="right" vertical="top"/>
      <protection locked="0"/>
    </xf>
    <xf numFmtId="0" fontId="0" fillId="0" borderId="0" xfId="0" applyAlignment="1">
      <alignment vertical="top"/>
    </xf>
    <xf numFmtId="0" fontId="42" fillId="52" borderId="0" xfId="4" applyFont="1" applyFill="1" applyAlignment="1" applyProtection="1">
      <alignment shrinkToFit="1"/>
      <protection locked="0"/>
    </xf>
    <xf numFmtId="0" fontId="63" fillId="52" borderId="0" xfId="4" applyFont="1" applyFill="1" applyAlignment="1" applyProtection="1">
      <alignment vertical="top"/>
      <protection locked="0"/>
    </xf>
    <xf numFmtId="0" fontId="52" fillId="41" borderId="0" xfId="0" applyFont="1" applyFill="1" applyAlignment="1" applyProtection="1">
      <alignment horizontal="left" vertical="top" shrinkToFit="1"/>
      <protection locked="0"/>
    </xf>
    <xf numFmtId="9" fontId="42" fillId="0" borderId="0" xfId="5" quotePrefix="1" applyFont="1" applyAlignment="1" applyProtection="1">
      <alignment horizontal="center" vertical="top"/>
      <protection locked="0"/>
    </xf>
    <xf numFmtId="170" fontId="40" fillId="41" borderId="0" xfId="7" applyNumberFormat="1" applyFont="1" applyFill="1" applyAlignment="1">
      <alignment horizontal="center" vertical="top" textRotation="90"/>
    </xf>
    <xf numFmtId="0" fontId="40" fillId="41" borderId="0" xfId="7" applyFont="1" applyFill="1" applyAlignment="1">
      <alignment horizontal="center" vertical="top" textRotation="90"/>
    </xf>
    <xf numFmtId="0" fontId="40" fillId="41" borderId="0" xfId="7" applyFont="1" applyFill="1" applyAlignment="1">
      <alignment horizontal="center" vertical="top" textRotation="90" shrinkToFit="1"/>
    </xf>
    <xf numFmtId="0" fontId="40" fillId="41" borderId="0" xfId="3" applyFont="1" applyFill="1" applyAlignment="1">
      <alignment horizontal="left" vertical="top"/>
    </xf>
    <xf numFmtId="0" fontId="42" fillId="52" borderId="0" xfId="4" applyFont="1" applyFill="1" applyProtection="1">
      <protection locked="0"/>
    </xf>
    <xf numFmtId="1" fontId="38" fillId="52" borderId="0" xfId="3" applyNumberFormat="1" applyFont="1" applyFill="1" applyAlignment="1" applyProtection="1">
      <alignment horizontal="left" vertical="top"/>
      <protection locked="0"/>
    </xf>
    <xf numFmtId="0" fontId="39" fillId="54" borderId="0" xfId="3" applyFont="1" applyFill="1" applyAlignment="1">
      <alignment horizontal="center" vertical="top"/>
    </xf>
    <xf numFmtId="0" fontId="39" fillId="54" borderId="0" xfId="3" applyFont="1" applyFill="1" applyAlignment="1">
      <alignment horizontal="left" vertical="top"/>
    </xf>
    <xf numFmtId="165" fontId="39" fillId="54" borderId="0" xfId="3" applyNumberFormat="1" applyFont="1" applyFill="1" applyAlignment="1">
      <alignment horizontal="center" vertical="top" wrapText="1"/>
    </xf>
    <xf numFmtId="4" fontId="52" fillId="49" borderId="0" xfId="0" applyNumberFormat="1" applyFont="1" applyFill="1" applyAlignment="1" applyProtection="1">
      <alignment vertical="top"/>
      <protection locked="0"/>
    </xf>
    <xf numFmtId="4" fontId="51" fillId="49" borderId="0" xfId="0" applyNumberFormat="1" applyFont="1" applyFill="1" applyAlignment="1" applyProtection="1">
      <alignment vertical="top"/>
      <protection locked="0"/>
    </xf>
    <xf numFmtId="2" fontId="44" fillId="44" borderId="4" xfId="0" applyNumberFormat="1" applyFont="1" applyFill="1" applyBorder="1" applyAlignment="1">
      <alignment horizontal="left" vertical="center" indent="1"/>
    </xf>
    <xf numFmtId="0" fontId="44" fillId="44" borderId="4" xfId="0" applyFont="1" applyFill="1" applyBorder="1" applyAlignment="1">
      <alignment horizontal="left" vertical="center" indent="1"/>
    </xf>
    <xf numFmtId="0" fontId="44" fillId="44" borderId="1" xfId="0" applyFont="1" applyFill="1" applyBorder="1" applyAlignment="1">
      <alignment vertical="center"/>
    </xf>
    <xf numFmtId="0" fontId="68" fillId="55" borderId="7" xfId="0" applyFont="1" applyFill="1" applyBorder="1" applyAlignment="1">
      <alignment vertical="center"/>
    </xf>
    <xf numFmtId="0" fontId="68" fillId="55" borderId="2" xfId="0" applyFont="1" applyFill="1" applyBorder="1" applyAlignment="1">
      <alignment horizontal="center" vertical="center"/>
    </xf>
    <xf numFmtId="0" fontId="68" fillId="55" borderId="0" xfId="0" applyFont="1" applyFill="1" applyAlignment="1">
      <alignment horizontal="center" vertical="center"/>
    </xf>
    <xf numFmtId="3" fontId="44" fillId="0" borderId="0" xfId="0" applyNumberFormat="1" applyFont="1" applyAlignment="1">
      <alignment horizontal="right" vertical="center"/>
    </xf>
    <xf numFmtId="171" fontId="44" fillId="0" borderId="0" xfId="0" applyNumberFormat="1" applyFont="1" applyAlignment="1">
      <alignment horizontal="center" vertical="center"/>
    </xf>
    <xf numFmtId="0" fontId="44" fillId="44" borderId="0" xfId="0" applyFont="1" applyFill="1" applyAlignment="1">
      <alignment horizontal="center" vertical="center"/>
    </xf>
    <xf numFmtId="0" fontId="44" fillId="44" borderId="8" xfId="0" applyFont="1" applyFill="1" applyBorder="1" applyAlignment="1">
      <alignment vertical="center"/>
    </xf>
    <xf numFmtId="3" fontId="44" fillId="42" borderId="1" xfId="0" applyNumberFormat="1" applyFont="1" applyFill="1" applyBorder="1" applyAlignment="1">
      <alignment horizontal="right" vertical="center"/>
    </xf>
    <xf numFmtId="3" fontId="44" fillId="5" borderId="1" xfId="0" applyNumberFormat="1" applyFont="1" applyFill="1" applyBorder="1" applyAlignment="1">
      <alignment horizontal="right" vertical="center"/>
    </xf>
    <xf numFmtId="3" fontId="44" fillId="5" borderId="6" xfId="0" applyNumberFormat="1" applyFont="1" applyFill="1" applyBorder="1" applyAlignment="1">
      <alignment horizontal="right" vertical="center"/>
    </xf>
    <xf numFmtId="176" fontId="44" fillId="0" borderId="7" xfId="0" applyNumberFormat="1" applyFont="1" applyBorder="1" applyAlignment="1">
      <alignment horizontal="center" vertical="top"/>
    </xf>
    <xf numFmtId="0" fontId="44" fillId="44" borderId="24" xfId="0" applyFont="1" applyFill="1" applyBorder="1" applyAlignment="1">
      <alignment vertical="top"/>
    </xf>
    <xf numFmtId="0" fontId="44" fillId="44" borderId="24" xfId="0" applyFont="1" applyFill="1" applyBorder="1" applyAlignment="1">
      <alignment horizontal="center" vertical="top"/>
    </xf>
    <xf numFmtId="14" fontId="44" fillId="44" borderId="24" xfId="0" applyNumberFormat="1" applyFont="1" applyFill="1" applyBorder="1" applyAlignment="1">
      <alignment horizontal="center" vertical="top" wrapText="1"/>
    </xf>
    <xf numFmtId="0" fontId="44" fillId="44" borderId="5" xfId="0" applyFont="1" applyFill="1" applyBorder="1" applyAlignment="1">
      <alignment horizontal="center" vertical="top" wrapText="1"/>
    </xf>
    <xf numFmtId="0" fontId="44" fillId="0" borderId="0" xfId="0" applyFont="1" applyAlignment="1">
      <alignment horizontal="center" vertical="top"/>
    </xf>
    <xf numFmtId="0" fontId="10" fillId="0" borderId="0" xfId="0" applyFont="1" applyAlignment="1">
      <alignment horizontal="left"/>
    </xf>
    <xf numFmtId="0" fontId="0" fillId="0" borderId="0" xfId="0" applyAlignment="1">
      <alignment horizontal="left"/>
    </xf>
    <xf numFmtId="0" fontId="69" fillId="56" borderId="0" xfId="0" applyFont="1" applyFill="1"/>
    <xf numFmtId="0" fontId="10" fillId="51" borderId="0" xfId="0" applyFont="1" applyFill="1"/>
    <xf numFmtId="3" fontId="0" fillId="51" borderId="0" xfId="0" applyNumberFormat="1" applyFill="1" applyAlignment="1">
      <alignment horizontal="left"/>
    </xf>
    <xf numFmtId="3" fontId="0" fillId="51" borderId="0" xfId="0" applyNumberFormat="1" applyFill="1" applyAlignment="1">
      <alignment horizontal="right"/>
    </xf>
    <xf numFmtId="0" fontId="10" fillId="57" borderId="0" xfId="0" applyFont="1" applyFill="1"/>
    <xf numFmtId="3" fontId="0" fillId="57" borderId="0" xfId="0" applyNumberFormat="1" applyFill="1" applyAlignment="1">
      <alignment horizontal="left"/>
    </xf>
    <xf numFmtId="3" fontId="0" fillId="57" borderId="0" xfId="0" applyNumberFormat="1" applyFill="1" applyAlignment="1">
      <alignment horizontal="right"/>
    </xf>
    <xf numFmtId="3" fontId="0" fillId="0" borderId="0" xfId="0" applyNumberFormat="1" applyAlignment="1">
      <alignment horizontal="left"/>
    </xf>
    <xf numFmtId="3" fontId="0" fillId="0" borderId="0" xfId="0" applyNumberFormat="1" applyAlignment="1">
      <alignment horizontal="right"/>
    </xf>
    <xf numFmtId="0" fontId="69" fillId="56" borderId="0" xfId="0" applyFont="1" applyFill="1" applyAlignment="1">
      <alignment wrapText="1"/>
    </xf>
    <xf numFmtId="0" fontId="45" fillId="0" borderId="0" xfId="7" applyFont="1"/>
    <xf numFmtId="165" fontId="57" fillId="0" borderId="23" xfId="7" applyNumberFormat="1" applyFont="1" applyBorder="1" applyAlignment="1">
      <alignment horizontal="left" vertical="top" textRotation="90" wrapText="1"/>
    </xf>
    <xf numFmtId="165" fontId="48" fillId="50" borderId="23" xfId="7" applyNumberFormat="1" applyFont="1" applyFill="1" applyBorder="1" applyAlignment="1">
      <alignment horizontal="left" vertical="top" textRotation="90" wrapText="1"/>
    </xf>
    <xf numFmtId="0" fontId="43" fillId="0" borderId="0" xfId="6" applyFont="1" applyAlignment="1" applyProtection="1">
      <alignment horizontal="left" vertical="top"/>
      <protection locked="0"/>
    </xf>
    <xf numFmtId="0" fontId="43" fillId="0" borderId="30" xfId="6" applyFont="1" applyBorder="1" applyAlignment="1" applyProtection="1">
      <alignment horizontal="center" vertical="top" textRotation="90"/>
      <protection locked="0"/>
    </xf>
    <xf numFmtId="171" fontId="38" fillId="0" borderId="0" xfId="0" applyNumberFormat="1" applyFont="1" applyAlignment="1">
      <alignment vertical="top"/>
    </xf>
    <xf numFmtId="171" fontId="38" fillId="0" borderId="0" xfId="0" applyNumberFormat="1" applyFont="1" applyAlignment="1">
      <alignment horizontal="left" vertical="top" textRotation="90"/>
    </xf>
    <xf numFmtId="49" fontId="38" fillId="0" borderId="0" xfId="7" applyNumberFormat="1" applyFont="1"/>
    <xf numFmtId="49" fontId="38" fillId="0" borderId="0" xfId="7" applyNumberFormat="1" applyFont="1" applyAlignment="1">
      <alignment horizontal="left" vertical="top" textRotation="90" wrapText="1"/>
    </xf>
    <xf numFmtId="175" fontId="38" fillId="0" borderId="0" xfId="0" applyNumberFormat="1" applyFont="1" applyAlignment="1">
      <alignment vertical="top"/>
    </xf>
    <xf numFmtId="3" fontId="44" fillId="0" borderId="0" xfId="0" quotePrefix="1" applyNumberFormat="1" applyFont="1" applyAlignment="1">
      <alignment horizontal="right" vertical="center"/>
    </xf>
    <xf numFmtId="0" fontId="38" fillId="6" borderId="0" xfId="0" applyFont="1" applyFill="1" applyAlignment="1">
      <alignment vertical="top"/>
    </xf>
    <xf numFmtId="0" fontId="48" fillId="6" borderId="0" xfId="0" applyFont="1" applyFill="1" applyAlignment="1">
      <alignment horizontal="left" vertical="top" textRotation="90"/>
    </xf>
    <xf numFmtId="177" fontId="38" fillId="0" borderId="0" xfId="7" quotePrefix="1" applyNumberFormat="1" applyFont="1" applyAlignment="1">
      <alignment horizontal="right" vertical="top" wrapText="1"/>
    </xf>
    <xf numFmtId="0" fontId="38" fillId="0" borderId="0" xfId="7" quotePrefix="1" applyFont="1" applyAlignment="1">
      <alignment horizontal="left" vertical="top" wrapText="1"/>
    </xf>
    <xf numFmtId="0" fontId="38" fillId="41" borderId="0" xfId="7" applyFont="1" applyFill="1" applyAlignment="1">
      <alignment horizontal="center" vertical="center" textRotation="90"/>
    </xf>
    <xf numFmtId="165" fontId="71" fillId="6" borderId="0" xfId="7" applyNumberFormat="1" applyFont="1" applyFill="1" applyAlignment="1">
      <alignment horizontal="left" vertical="top" textRotation="90"/>
    </xf>
    <xf numFmtId="0" fontId="38" fillId="6" borderId="0" xfId="7" applyFont="1" applyFill="1"/>
    <xf numFmtId="0" fontId="38" fillId="6" borderId="0" xfId="7" applyFont="1" applyFill="1" applyAlignment="1">
      <alignment horizontal="left"/>
    </xf>
    <xf numFmtId="0" fontId="63" fillId="53" borderId="0" xfId="4" applyFont="1" applyFill="1" applyAlignment="1">
      <alignment vertical="top" textRotation="90"/>
    </xf>
    <xf numFmtId="0" fontId="70" fillId="6" borderId="0" xfId="4" applyFont="1" applyFill="1" applyAlignment="1">
      <alignment horizontal="left" vertical="top" wrapText="1"/>
    </xf>
    <xf numFmtId="0" fontId="63" fillId="41" borderId="0" xfId="4" applyFont="1" applyFill="1" applyAlignment="1">
      <alignment vertical="top" textRotation="90" shrinkToFit="1"/>
    </xf>
    <xf numFmtId="0" fontId="70" fillId="6" borderId="0" xfId="4" applyFont="1" applyFill="1" applyAlignment="1">
      <alignment horizontal="left" vertical="top" shrinkToFit="1"/>
    </xf>
    <xf numFmtId="0" fontId="63" fillId="52" borderId="0" xfId="4" applyFont="1" applyFill="1" applyAlignment="1" applyProtection="1">
      <alignment shrinkToFit="1"/>
      <protection locked="0"/>
    </xf>
    <xf numFmtId="0" fontId="39" fillId="54" borderId="0" xfId="3" applyFont="1" applyFill="1" applyAlignment="1">
      <alignment vertical="top" shrinkToFit="1"/>
    </xf>
    <xf numFmtId="0" fontId="38" fillId="0" borderId="0" xfId="3" applyFont="1" applyAlignment="1">
      <alignment vertical="top" shrinkToFit="1"/>
    </xf>
    <xf numFmtId="0" fontId="43" fillId="0" borderId="0" xfId="4" applyFont="1" applyAlignment="1">
      <alignment vertical="top" shrinkToFit="1"/>
    </xf>
    <xf numFmtId="1" fontId="38" fillId="0" borderId="0" xfId="3" applyNumberFormat="1" applyFont="1" applyAlignment="1" applyProtection="1">
      <alignment vertical="top" shrinkToFit="1"/>
      <protection locked="0"/>
    </xf>
    <xf numFmtId="165" fontId="42" fillId="52" borderId="0" xfId="4" applyNumberFormat="1" applyFont="1" applyFill="1" applyAlignment="1" applyProtection="1">
      <alignment shrinkToFit="1"/>
      <protection locked="0"/>
    </xf>
    <xf numFmtId="0" fontId="57" fillId="53" borderId="0" xfId="4" applyFont="1" applyFill="1" applyAlignment="1">
      <alignment vertical="top" shrinkToFit="1"/>
    </xf>
    <xf numFmtId="1" fontId="72" fillId="45" borderId="0" xfId="3" applyNumberFormat="1" applyFont="1" applyFill="1" applyAlignment="1">
      <alignment vertical="top"/>
    </xf>
    <xf numFmtId="170" fontId="38" fillId="43" borderId="0" xfId="7" applyNumberFormat="1" applyFont="1" applyFill="1" applyAlignment="1">
      <alignment horizontal="left" vertical="top" wrapText="1"/>
    </xf>
    <xf numFmtId="170" fontId="73" fillId="0" borderId="0" xfId="7" applyNumberFormat="1" applyFont="1"/>
    <xf numFmtId="1" fontId="73" fillId="0" borderId="0" xfId="7" applyNumberFormat="1" applyFont="1"/>
    <xf numFmtId="0" fontId="73" fillId="0" borderId="0" xfId="7" applyFont="1" applyAlignment="1">
      <alignment shrinkToFit="1"/>
    </xf>
    <xf numFmtId="0" fontId="73" fillId="0" borderId="0" xfId="7" applyFont="1"/>
    <xf numFmtId="9" fontId="73" fillId="0" borderId="0" xfId="5" applyFont="1"/>
    <xf numFmtId="9" fontId="73" fillId="0" borderId="0" xfId="7" applyNumberFormat="1" applyFont="1"/>
    <xf numFmtId="1" fontId="73" fillId="0" borderId="0" xfId="7" quotePrefix="1" applyNumberFormat="1" applyFont="1"/>
    <xf numFmtId="170" fontId="73" fillId="58" borderId="0" xfId="7" applyNumberFormat="1" applyFont="1" applyFill="1"/>
    <xf numFmtId="1" fontId="73" fillId="58" borderId="0" xfId="7" applyNumberFormat="1" applyFont="1" applyFill="1"/>
    <xf numFmtId="0" fontId="74" fillId="41" borderId="0" xfId="7" applyFont="1" applyFill="1"/>
    <xf numFmtId="178" fontId="73" fillId="0" borderId="0" xfId="7" quotePrefix="1" applyNumberFormat="1" applyFont="1"/>
    <xf numFmtId="0" fontId="38" fillId="0" borderId="0" xfId="0" applyFont="1" applyAlignment="1">
      <alignment shrinkToFit="1"/>
    </xf>
    <xf numFmtId="0" fontId="40" fillId="0" borderId="0" xfId="0" applyFont="1" applyAlignment="1">
      <alignment vertical="top"/>
    </xf>
    <xf numFmtId="170" fontId="73" fillId="6" borderId="0" xfId="7" applyNumberFormat="1" applyFont="1" applyFill="1"/>
    <xf numFmtId="1" fontId="73" fillId="6" borderId="0" xfId="7" applyNumberFormat="1" applyFont="1" applyFill="1"/>
    <xf numFmtId="0" fontId="48" fillId="59" borderId="23" xfId="0" applyFont="1" applyFill="1" applyBorder="1" applyAlignment="1">
      <alignment horizontal="left" vertical="top" textRotation="90"/>
    </xf>
    <xf numFmtId="0" fontId="75" fillId="59" borderId="23" xfId="0" applyFont="1" applyFill="1" applyBorder="1" applyAlignment="1">
      <alignment horizontal="left" vertical="top" textRotation="90"/>
    </xf>
    <xf numFmtId="0" fontId="2" fillId="61" borderId="0" xfId="0" applyFont="1" applyFill="1"/>
    <xf numFmtId="0" fontId="2" fillId="0" borderId="0" xfId="0" applyFont="1"/>
    <xf numFmtId="0" fontId="57" fillId="60" borderId="31" xfId="0" applyFont="1" applyFill="1" applyBorder="1" applyAlignment="1">
      <alignment horizontal="left" vertical="top" textRotation="90"/>
    </xf>
    <xf numFmtId="1" fontId="38" fillId="45" borderId="0" xfId="3" applyNumberFormat="1" applyFont="1" applyFill="1" applyAlignment="1">
      <alignment vertical="top"/>
    </xf>
    <xf numFmtId="9" fontId="38" fillId="45" borderId="0" xfId="5" applyFont="1" applyFill="1" applyAlignment="1">
      <alignment vertical="top"/>
    </xf>
    <xf numFmtId="170" fontId="73" fillId="62" borderId="0" xfId="7" applyNumberFormat="1" applyFont="1" applyFill="1"/>
    <xf numFmtId="1" fontId="73" fillId="62" borderId="0" xfId="7" applyNumberFormat="1" applyFont="1" applyFill="1"/>
    <xf numFmtId="49" fontId="39" fillId="38" borderId="0" xfId="113" applyNumberFormat="1" applyFont="1" applyFill="1" applyAlignment="1" applyProtection="1">
      <alignment horizontal="left" vertical="top"/>
      <protection locked="0"/>
    </xf>
    <xf numFmtId="0" fontId="63" fillId="41" borderId="0" xfId="4" quotePrefix="1" applyFont="1" applyFill="1" applyAlignment="1">
      <alignment vertical="top" textRotation="90"/>
    </xf>
    <xf numFmtId="170" fontId="73" fillId="63" borderId="0" xfId="7" applyNumberFormat="1" applyFont="1" applyFill="1"/>
    <xf numFmtId="1" fontId="73" fillId="63" borderId="0" xfId="7" applyNumberFormat="1" applyFont="1" applyFill="1"/>
    <xf numFmtId="0" fontId="10" fillId="0" borderId="0" xfId="0" applyFont="1" applyAlignment="1">
      <alignment horizontal="left" vertical="top" textRotation="90"/>
    </xf>
    <xf numFmtId="0" fontId="0" fillId="0" borderId="0" xfId="112" applyFont="1" applyAlignment="1">
      <alignment horizontal="left" vertical="top" textRotation="90"/>
    </xf>
    <xf numFmtId="0" fontId="0" fillId="0" borderId="0" xfId="0" applyAlignment="1">
      <alignment horizontal="left" vertical="top" textRotation="90"/>
    </xf>
    <xf numFmtId="0" fontId="38" fillId="41" borderId="0" xfId="0" applyFont="1" applyFill="1" applyAlignment="1">
      <alignment horizontal="left" vertical="top" textRotation="90"/>
    </xf>
    <xf numFmtId="0" fontId="38" fillId="41" borderId="0" xfId="0" applyFont="1" applyFill="1" applyAlignment="1">
      <alignment vertical="top"/>
    </xf>
    <xf numFmtId="0" fontId="38" fillId="41" borderId="0" xfId="7" applyFont="1" applyFill="1" applyAlignment="1">
      <alignment vertical="top"/>
    </xf>
    <xf numFmtId="165" fontId="48" fillId="50" borderId="18" xfId="7" applyNumberFormat="1" applyFont="1" applyFill="1" applyBorder="1" applyAlignment="1">
      <alignment horizontal="left" vertical="top" textRotation="90"/>
    </xf>
    <xf numFmtId="170" fontId="73" fillId="42" borderId="0" xfId="7" applyNumberFormat="1" applyFont="1" applyFill="1"/>
    <xf numFmtId="1" fontId="73" fillId="42" borderId="0" xfId="7" quotePrefix="1" applyNumberFormat="1" applyFont="1" applyFill="1"/>
    <xf numFmtId="0" fontId="55" fillId="47" borderId="0" xfId="7" applyFont="1" applyFill="1" applyAlignment="1">
      <alignment horizontal="left"/>
    </xf>
    <xf numFmtId="0" fontId="10" fillId="0" borderId="0" xfId="7"/>
    <xf numFmtId="0" fontId="48" fillId="0" borderId="0" xfId="0" applyFont="1" applyAlignment="1">
      <alignment horizontal="left" vertical="top" textRotation="90"/>
    </xf>
    <xf numFmtId="0" fontId="38" fillId="0" borderId="0" xfId="7" applyFont="1" applyAlignment="1">
      <alignment vertical="top"/>
    </xf>
    <xf numFmtId="0" fontId="38" fillId="0" borderId="0" xfId="0" applyFont="1" applyAlignment="1">
      <alignment horizontal="left" vertical="top" shrinkToFit="1"/>
    </xf>
    <xf numFmtId="170" fontId="73" fillId="64" borderId="0" xfId="7" applyNumberFormat="1" applyFont="1" applyFill="1"/>
    <xf numFmtId="1" fontId="73" fillId="64" borderId="0" xfId="7" quotePrefix="1" applyNumberFormat="1" applyFont="1" applyFill="1"/>
    <xf numFmtId="0" fontId="1" fillId="45" borderId="0" xfId="3" applyFont="1" applyFill="1" applyAlignment="1">
      <alignment vertical="top"/>
    </xf>
    <xf numFmtId="0" fontId="1" fillId="45" borderId="0" xfId="3" applyFont="1" applyFill="1" applyAlignment="1">
      <alignment horizontal="left" vertical="top"/>
    </xf>
    <xf numFmtId="1" fontId="1" fillId="45" borderId="0" xfId="3" applyNumberFormat="1" applyFont="1" applyFill="1" applyAlignment="1">
      <alignment vertical="top"/>
    </xf>
    <xf numFmtId="14" fontId="1" fillId="45" borderId="0" xfId="3" applyNumberFormat="1" applyFont="1" applyFill="1" applyAlignment="1">
      <alignment horizontal="left" vertical="top"/>
    </xf>
    <xf numFmtId="0" fontId="1" fillId="45" borderId="0" xfId="3" applyFont="1" applyFill="1" applyAlignment="1">
      <alignment vertical="top" shrinkToFit="1"/>
    </xf>
    <xf numFmtId="0" fontId="1" fillId="46" borderId="26" xfId="3" applyFont="1" applyFill="1" applyBorder="1" applyAlignment="1">
      <alignment vertical="top"/>
    </xf>
    <xf numFmtId="0" fontId="1" fillId="46" borderId="27" xfId="3" applyFont="1" applyFill="1" applyBorder="1" applyAlignment="1">
      <alignment horizontal="left" vertical="top"/>
    </xf>
    <xf numFmtId="0" fontId="1" fillId="46" borderId="26" xfId="3" applyFont="1" applyFill="1" applyBorder="1" applyAlignment="1">
      <alignment horizontal="left" vertical="top" shrinkToFit="1"/>
    </xf>
    <xf numFmtId="0" fontId="1" fillId="46" borderId="26" xfId="3" applyFont="1" applyFill="1" applyBorder="1" applyAlignment="1">
      <alignment horizontal="left" vertical="top"/>
    </xf>
    <xf numFmtId="166" fontId="1" fillId="46" borderId="26" xfId="0" applyNumberFormat="1" applyFont="1" applyFill="1" applyBorder="1" applyAlignment="1">
      <alignment vertical="top"/>
    </xf>
    <xf numFmtId="9" fontId="1" fillId="45" borderId="0" xfId="5" applyFont="1" applyFill="1" applyAlignment="1">
      <alignment vertical="top"/>
    </xf>
    <xf numFmtId="0" fontId="10" fillId="0" borderId="0" xfId="7" quotePrefix="1"/>
    <xf numFmtId="0" fontId="52" fillId="41" borderId="0" xfId="0" applyFont="1" applyFill="1" applyAlignment="1" applyProtection="1">
      <alignment horizontal="left" vertical="top"/>
      <protection locked="0"/>
    </xf>
    <xf numFmtId="0" fontId="77" fillId="41" borderId="0" xfId="112" applyFont="1" applyFill="1" applyAlignment="1">
      <alignment horizontal="center" vertical="top" textRotation="90"/>
    </xf>
    <xf numFmtId="0" fontId="78" fillId="41" borderId="0" xfId="0" applyFont="1" applyFill="1" applyAlignment="1">
      <alignment horizontal="center" vertical="top" textRotation="90"/>
    </xf>
    <xf numFmtId="0" fontId="78" fillId="41" borderId="0" xfId="112" applyFont="1" applyFill="1" applyAlignment="1">
      <alignment horizontal="center" vertical="top" textRotation="90"/>
    </xf>
    <xf numFmtId="9" fontId="77" fillId="41" borderId="0" xfId="5" applyFont="1" applyFill="1" applyAlignment="1">
      <alignment horizontal="center" vertical="top" textRotation="90"/>
    </xf>
    <xf numFmtId="0" fontId="77" fillId="49" borderId="0" xfId="112" applyFont="1" applyFill="1" applyAlignment="1">
      <alignment vertical="top"/>
    </xf>
    <xf numFmtId="0" fontId="77" fillId="0" borderId="0" xfId="112" applyFont="1" applyAlignment="1">
      <alignment horizontal="left" vertical="top" textRotation="90"/>
    </xf>
    <xf numFmtId="179" fontId="77" fillId="6" borderId="0" xfId="112" applyNumberFormat="1" applyFont="1" applyFill="1" applyAlignment="1">
      <alignment horizontal="left" vertical="top"/>
    </xf>
    <xf numFmtId="172" fontId="77" fillId="0" borderId="0" xfId="112" applyNumberFormat="1" applyFont="1" applyAlignment="1">
      <alignment horizontal="left" vertical="top"/>
    </xf>
    <xf numFmtId="0" fontId="77" fillId="0" borderId="0" xfId="112" applyFont="1" applyAlignment="1">
      <alignment horizontal="left" vertical="top"/>
    </xf>
    <xf numFmtId="170" fontId="77" fillId="6" borderId="0" xfId="112" applyNumberFormat="1" applyFont="1" applyFill="1" applyAlignment="1">
      <alignment horizontal="left" vertical="top"/>
    </xf>
    <xf numFmtId="0" fontId="77" fillId="0" borderId="0" xfId="112" applyFont="1" applyAlignment="1">
      <alignment vertical="top"/>
    </xf>
    <xf numFmtId="0" fontId="77" fillId="6" borderId="19" xfId="112" applyFont="1" applyFill="1" applyBorder="1" applyAlignment="1">
      <alignment horizontal="left" vertical="top" textRotation="90"/>
    </xf>
    <xf numFmtId="0" fontId="77" fillId="40" borderId="20" xfId="112" applyFont="1" applyFill="1" applyBorder="1" applyAlignment="1">
      <alignment horizontal="left" vertical="top" textRotation="90" wrapText="1"/>
    </xf>
    <xf numFmtId="0" fontId="78" fillId="0" borderId="0" xfId="0" applyFont="1" applyAlignment="1">
      <alignment vertical="top"/>
    </xf>
    <xf numFmtId="0" fontId="78" fillId="0" borderId="0" xfId="112" applyFont="1" applyAlignment="1">
      <alignment vertical="top"/>
    </xf>
    <xf numFmtId="0" fontId="77" fillId="43" borderId="0" xfId="112" applyFont="1" applyFill="1" applyAlignment="1">
      <alignment horizontal="left" vertical="top" textRotation="90"/>
    </xf>
    <xf numFmtId="0" fontId="78" fillId="0" borderId="0" xfId="0" applyFont="1" applyAlignment="1">
      <alignment horizontal="left" vertical="top" textRotation="90"/>
    </xf>
    <xf numFmtId="0" fontId="78" fillId="0" borderId="0" xfId="0" applyFont="1" applyAlignment="1">
      <alignment horizontal="left" vertical="top" textRotation="90" wrapText="1"/>
    </xf>
    <xf numFmtId="1" fontId="78" fillId="0" borderId="0" xfId="0" applyNumberFormat="1" applyFont="1" applyAlignment="1">
      <alignment horizontal="left" vertical="top" textRotation="90"/>
    </xf>
    <xf numFmtId="2" fontId="78" fillId="0" borderId="0" xfId="0" applyNumberFormat="1" applyFont="1" applyAlignment="1">
      <alignment horizontal="left" vertical="top" textRotation="90"/>
    </xf>
    <xf numFmtId="171" fontId="78" fillId="0" borderId="0" xfId="0" applyNumberFormat="1" applyFont="1" applyAlignment="1">
      <alignment horizontal="left" vertical="top" textRotation="90"/>
    </xf>
    <xf numFmtId="0" fontId="79" fillId="65" borderId="0" xfId="0" applyFont="1" applyFill="1" applyAlignment="1">
      <alignment horizontal="left" vertical="top" textRotation="90"/>
    </xf>
    <xf numFmtId="0" fontId="79" fillId="65" borderId="32" xfId="0" applyFont="1" applyFill="1" applyBorder="1" applyAlignment="1">
      <alignment horizontal="left" vertical="top" textRotation="90"/>
    </xf>
    <xf numFmtId="9" fontId="78" fillId="0" borderId="0" xfId="5" applyFont="1" applyAlignment="1">
      <alignment horizontal="left" vertical="top" textRotation="90"/>
    </xf>
    <xf numFmtId="0" fontId="78" fillId="0" borderId="0" xfId="0" applyFont="1"/>
    <xf numFmtId="0" fontId="77" fillId="6" borderId="21" xfId="112" applyFont="1" applyFill="1" applyBorder="1" applyAlignment="1">
      <alignment vertical="top"/>
    </xf>
    <xf numFmtId="0" fontId="77" fillId="6" borderId="0" xfId="112" applyFont="1" applyFill="1" applyAlignment="1">
      <alignment horizontal="left" vertical="top"/>
    </xf>
    <xf numFmtId="10" fontId="78" fillId="0" borderId="0" xfId="5" applyNumberFormat="1" applyFont="1" applyAlignment="1">
      <alignment vertical="top"/>
    </xf>
    <xf numFmtId="14" fontId="78" fillId="0" borderId="0" xfId="0" applyNumberFormat="1" applyFont="1" applyAlignment="1">
      <alignment vertical="top"/>
    </xf>
    <xf numFmtId="1" fontId="78" fillId="0" borderId="0" xfId="0" applyNumberFormat="1" applyFont="1" applyAlignment="1">
      <alignment vertical="top"/>
    </xf>
    <xf numFmtId="2" fontId="78" fillId="0" borderId="0" xfId="0" applyNumberFormat="1" applyFont="1" applyAlignment="1">
      <alignment horizontal="left" vertical="top"/>
    </xf>
    <xf numFmtId="2" fontId="78" fillId="0" borderId="0" xfId="0" applyNumberFormat="1" applyFont="1" applyAlignment="1">
      <alignment vertical="top"/>
    </xf>
    <xf numFmtId="171" fontId="78" fillId="0" borderId="0" xfId="0" applyNumberFormat="1" applyFont="1" applyAlignment="1">
      <alignment vertical="top"/>
    </xf>
    <xf numFmtId="9" fontId="78" fillId="0" borderId="0" xfId="5" applyFont="1" applyAlignment="1">
      <alignment vertical="top"/>
    </xf>
    <xf numFmtId="0" fontId="77" fillId="6" borderId="28" xfId="112" applyFont="1" applyFill="1" applyBorder="1" applyAlignment="1">
      <alignment vertical="top"/>
    </xf>
    <xf numFmtId="0" fontId="77" fillId="40" borderId="29" xfId="112" applyFont="1" applyFill="1" applyBorder="1" applyAlignment="1">
      <alignment horizontal="left" vertical="top"/>
    </xf>
    <xf numFmtId="0" fontId="77" fillId="46" borderId="27" xfId="0" applyFont="1" applyFill="1" applyBorder="1" applyAlignment="1">
      <alignment vertical="top"/>
    </xf>
    <xf numFmtId="0" fontId="77" fillId="46" borderId="26" xfId="0" applyFont="1" applyFill="1" applyBorder="1" applyAlignment="1">
      <alignment vertical="top"/>
    </xf>
    <xf numFmtId="0" fontId="77" fillId="45" borderId="27" xfId="0" applyFont="1" applyFill="1" applyBorder="1" applyAlignment="1">
      <alignment vertical="top"/>
    </xf>
    <xf numFmtId="0" fontId="77" fillId="45" borderId="26" xfId="0" applyFont="1" applyFill="1" applyBorder="1" applyAlignment="1">
      <alignment vertical="top"/>
    </xf>
    <xf numFmtId="14" fontId="77" fillId="45" borderId="26" xfId="112" applyNumberFormat="1" applyFont="1" applyFill="1" applyBorder="1" applyAlignment="1">
      <alignment vertical="top"/>
    </xf>
    <xf numFmtId="0" fontId="78" fillId="0" borderId="0" xfId="112" applyFont="1" applyAlignment="1">
      <alignment horizontal="center" vertical="top"/>
    </xf>
    <xf numFmtId="0" fontId="78" fillId="0" borderId="0" xfId="112" applyFont="1" applyAlignment="1">
      <alignment horizontal="left" vertical="top"/>
    </xf>
    <xf numFmtId="0" fontId="77" fillId="0" borderId="0" xfId="112" applyFont="1"/>
    <xf numFmtId="10" fontId="78" fillId="0" borderId="0" xfId="5" applyNumberFormat="1" applyFont="1" applyAlignment="1" applyProtection="1">
      <alignment horizontal="right" vertical="top" shrinkToFit="1"/>
      <protection locked="0"/>
    </xf>
    <xf numFmtId="0" fontId="78" fillId="0" borderId="0" xfId="0" applyFont="1" applyAlignment="1">
      <alignment horizontal="left" vertical="top"/>
    </xf>
    <xf numFmtId="10" fontId="78" fillId="0" borderId="0" xfId="5" applyNumberFormat="1" applyFont="1" applyAlignment="1" applyProtection="1">
      <alignment horizontal="right" vertical="top"/>
      <protection locked="0"/>
    </xf>
    <xf numFmtId="0" fontId="80" fillId="0" borderId="0" xfId="112" applyFont="1" applyAlignment="1">
      <alignment vertical="top"/>
    </xf>
    <xf numFmtId="0" fontId="80" fillId="0" borderId="0" xfId="112" applyFont="1" applyAlignment="1">
      <alignment horizontal="left" vertical="top"/>
    </xf>
    <xf numFmtId="2" fontId="78" fillId="0" borderId="0" xfId="0" applyNumberFormat="1" applyFont="1" applyAlignment="1" applyProtection="1">
      <alignment vertical="top"/>
      <protection locked="0"/>
    </xf>
    <xf numFmtId="170" fontId="78" fillId="0" borderId="0" xfId="0" applyNumberFormat="1" applyFont="1" applyAlignment="1">
      <alignment vertical="top"/>
    </xf>
    <xf numFmtId="170" fontId="77" fillId="0" borderId="0" xfId="112" applyNumberFormat="1" applyFont="1" applyAlignment="1">
      <alignment horizontal="right" vertical="top"/>
    </xf>
    <xf numFmtId="170" fontId="77" fillId="0" borderId="0" xfId="112" applyNumberFormat="1" applyFont="1" applyAlignment="1">
      <alignment horizontal="left" vertical="top"/>
    </xf>
    <xf numFmtId="0" fontId="77" fillId="46" borderId="0" xfId="0" applyFont="1" applyFill="1" applyAlignment="1">
      <alignment vertical="top"/>
    </xf>
    <xf numFmtId="0" fontId="77" fillId="46" borderId="32" xfId="0" applyFont="1" applyFill="1" applyBorder="1" applyAlignment="1">
      <alignment vertical="top"/>
    </xf>
    <xf numFmtId="22" fontId="77" fillId="46" borderId="32" xfId="112" applyNumberFormat="1" applyFont="1" applyFill="1" applyBorder="1" applyAlignment="1">
      <alignment vertical="top"/>
    </xf>
    <xf numFmtId="0" fontId="77" fillId="46" borderId="32" xfId="112" applyFont="1" applyFill="1" applyBorder="1" applyAlignment="1">
      <alignment vertical="top"/>
    </xf>
    <xf numFmtId="22" fontId="77" fillId="45" borderId="26" xfId="112" applyNumberFormat="1" applyFont="1" applyFill="1" applyBorder="1" applyAlignment="1">
      <alignment vertical="top"/>
    </xf>
    <xf numFmtId="0" fontId="77" fillId="45" borderId="26" xfId="112" applyFont="1" applyFill="1" applyBorder="1" applyAlignment="1">
      <alignment vertical="top"/>
    </xf>
    <xf numFmtId="22" fontId="77" fillId="46" borderId="26" xfId="112" applyNumberFormat="1" applyFont="1" applyFill="1" applyBorder="1" applyAlignment="1">
      <alignment vertical="top"/>
    </xf>
    <xf numFmtId="0" fontId="77" fillId="46" borderId="26" xfId="112" applyFont="1" applyFill="1" applyBorder="1" applyAlignment="1">
      <alignment vertical="top"/>
    </xf>
    <xf numFmtId="0" fontId="77" fillId="45" borderId="0" xfId="0" applyFont="1" applyFill="1" applyAlignment="1">
      <alignment vertical="top"/>
    </xf>
    <xf numFmtId="0" fontId="77" fillId="45" borderId="32" xfId="0" applyFont="1" applyFill="1" applyBorder="1" applyAlignment="1">
      <alignment vertical="top"/>
    </xf>
    <xf numFmtId="14" fontId="77" fillId="45" borderId="32" xfId="112" applyNumberFormat="1" applyFont="1" applyFill="1" applyBorder="1" applyAlignment="1">
      <alignment vertical="top"/>
    </xf>
    <xf numFmtId="0" fontId="38" fillId="0" borderId="0" xfId="6" applyFont="1" applyAlignment="1">
      <alignment horizontal="left" vertical="top" textRotation="90"/>
    </xf>
    <xf numFmtId="0" fontId="77" fillId="6" borderId="33" xfId="112" applyFont="1" applyFill="1" applyBorder="1" applyAlignment="1">
      <alignment vertical="top"/>
    </xf>
    <xf numFmtId="0" fontId="77" fillId="40" borderId="34" xfId="112" applyFont="1" applyFill="1" applyBorder="1" applyAlignment="1">
      <alignment horizontal="left" vertical="top"/>
    </xf>
    <xf numFmtId="0" fontId="81" fillId="38" borderId="0" xfId="7" applyFont="1" applyFill="1" applyAlignment="1">
      <alignment horizontal="center" vertical="top"/>
    </xf>
    <xf numFmtId="0" fontId="77" fillId="41" borderId="0" xfId="112" applyFont="1" applyFill="1" applyAlignment="1">
      <alignment horizontal="center" vertical="top" textRotation="90" wrapText="1"/>
    </xf>
    <xf numFmtId="0" fontId="77" fillId="6" borderId="35" xfId="112" applyFont="1" applyFill="1" applyBorder="1" applyAlignment="1">
      <alignment horizontal="center" vertical="top"/>
    </xf>
    <xf numFmtId="0" fontId="77" fillId="6" borderId="36" xfId="112" applyFont="1" applyFill="1" applyBorder="1" applyAlignment="1">
      <alignment horizontal="center" vertical="top"/>
    </xf>
    <xf numFmtId="1" fontId="39" fillId="53" borderId="0" xfId="3" applyNumberFormat="1" applyFont="1" applyFill="1" applyAlignment="1" applyProtection="1">
      <alignment horizontal="center" vertical="top"/>
      <protection locked="0"/>
    </xf>
    <xf numFmtId="165" fontId="39" fillId="54" borderId="0" xfId="3" applyNumberFormat="1" applyFont="1" applyFill="1" applyAlignment="1">
      <alignment horizontal="center" vertical="top" wrapText="1"/>
    </xf>
    <xf numFmtId="165" fontId="39" fillId="54" borderId="0" xfId="3" applyNumberFormat="1" applyFont="1" applyFill="1" applyAlignment="1" applyProtection="1">
      <alignment horizontal="center" vertical="top" wrapText="1"/>
      <protection locked="0"/>
    </xf>
    <xf numFmtId="164" fontId="39" fillId="54" borderId="0" xfId="3" applyNumberFormat="1" applyFont="1" applyFill="1" applyAlignment="1" applyProtection="1">
      <alignment horizontal="center" vertical="top" wrapText="1"/>
      <protection locked="0"/>
    </xf>
    <xf numFmtId="169" fontId="39" fillId="54" borderId="0" xfId="3" applyNumberFormat="1" applyFont="1" applyFill="1" applyAlignment="1">
      <alignment horizontal="center" vertical="top" wrapText="1"/>
    </xf>
    <xf numFmtId="0" fontId="63" fillId="41" borderId="0" xfId="4" applyFont="1" applyFill="1" applyAlignment="1" applyProtection="1">
      <alignment horizontal="center" vertical="top" textRotation="90"/>
      <protection locked="0"/>
    </xf>
    <xf numFmtId="14" fontId="63" fillId="41" borderId="0" xfId="4" applyNumberFormat="1" applyFont="1" applyFill="1" applyAlignment="1" applyProtection="1">
      <alignment horizontal="center" vertical="top" textRotation="90"/>
      <protection locked="0"/>
    </xf>
    <xf numFmtId="3" fontId="0" fillId="0" borderId="25" xfId="0" applyNumberFormat="1" applyBorder="1" applyAlignment="1">
      <alignment horizontal="center"/>
    </xf>
    <xf numFmtId="173" fontId="0" fillId="0" borderId="22" xfId="0" applyNumberFormat="1" applyBorder="1" applyAlignment="1">
      <alignment horizontal="center" vertical="justify" wrapText="1"/>
    </xf>
    <xf numFmtId="17" fontId="19" fillId="0" borderId="3" xfId="0" applyNumberFormat="1" applyFont="1" applyBorder="1" applyAlignment="1">
      <alignment horizontal="center"/>
    </xf>
    <xf numFmtId="0" fontId="19" fillId="0" borderId="3" xfId="0" applyFont="1" applyBorder="1" applyAlignment="1">
      <alignment horizontal="center"/>
    </xf>
  </cellXfs>
  <cellStyles count="114">
    <cellStyle name="20% - Accent1" xfId="25" builtinId="30" customBuiltin="1"/>
    <cellStyle name="20% - Accent2" xfId="29" builtinId="34" customBuiltin="1"/>
    <cellStyle name="20% - Accent3" xfId="33" builtinId="38" customBuiltin="1"/>
    <cellStyle name="20% - Accent4" xfId="37" builtinId="42" customBuiltin="1"/>
    <cellStyle name="20% - Accent5" xfId="41" builtinId="46" customBuiltin="1"/>
    <cellStyle name="20% - Accent6" xfId="45" builtinId="50" customBuiltin="1"/>
    <cellStyle name="20% - Énfasis1 2" xfId="53" xr:uid="{0D9DBB27-4DF9-4AF6-8042-01987225CAC5}"/>
    <cellStyle name="20% - Énfasis1 3" xfId="73" xr:uid="{1FB492D9-B366-4F28-8789-9D058D9F41E8}"/>
    <cellStyle name="20% - Énfasis1 4" xfId="93" xr:uid="{52D9910A-9522-48E1-A26C-8029AE37406D}"/>
    <cellStyle name="20% - Énfasis2 2" xfId="56" xr:uid="{2CFBADF5-6C04-4CEB-A869-FD8BF3512F8B}"/>
    <cellStyle name="20% - Énfasis2 3" xfId="76" xr:uid="{A3AB0B9B-92C4-4399-9240-D5EDC29EA05A}"/>
    <cellStyle name="20% - Énfasis2 4" xfId="96" xr:uid="{F8A749BF-FCAD-4C50-B912-F12A2AD54330}"/>
    <cellStyle name="20% - Énfasis3 2" xfId="59" xr:uid="{6A24A474-C00A-4A07-A172-B7D4FF761CCB}"/>
    <cellStyle name="20% - Énfasis3 3" xfId="79" xr:uid="{55EEDA42-7830-4C5A-956D-C9F1CF63AFDF}"/>
    <cellStyle name="20% - Énfasis3 4" xfId="99" xr:uid="{DD7AEFAC-DBCE-41FB-B775-09E8AA1523FB}"/>
    <cellStyle name="20% - Énfasis4 2" xfId="62" xr:uid="{1586EEC7-5DE1-4308-B919-A85DDB1B8D13}"/>
    <cellStyle name="20% - Énfasis4 3" xfId="82" xr:uid="{AD6490E7-5DEA-4CC0-BEE6-70A53C6DEC15}"/>
    <cellStyle name="20% - Énfasis4 4" xfId="102" xr:uid="{CE8E71D9-311B-4658-A3CC-3611644E7627}"/>
    <cellStyle name="20% - Énfasis5 2" xfId="65" xr:uid="{4642760D-793B-4886-BB1F-114094497D5D}"/>
    <cellStyle name="20% - Énfasis5 3" xfId="85" xr:uid="{3880F4AC-8267-45B7-8379-DB8681A11400}"/>
    <cellStyle name="20% - Énfasis5 4" xfId="105" xr:uid="{4DD8A540-E1B6-47A6-8358-3897B043105A}"/>
    <cellStyle name="20% - Énfasis6 2" xfId="68" xr:uid="{D4D09DFD-CA0A-470C-B308-6091B085A681}"/>
    <cellStyle name="20% - Énfasis6 3" xfId="88" xr:uid="{B10F02AB-D2B9-4734-A077-D6AAAE5B4F1D}"/>
    <cellStyle name="20% - Énfasis6 4" xfId="108" xr:uid="{ABF7E058-D4AC-4A44-8F68-E4D42BB55A2C}"/>
    <cellStyle name="40% - Accent1" xfId="26" builtinId="31" customBuiltin="1"/>
    <cellStyle name="40% - Accent2" xfId="30" builtinId="35" customBuiltin="1"/>
    <cellStyle name="40% - Accent3" xfId="34" builtinId="39" customBuiltin="1"/>
    <cellStyle name="40% - Accent4" xfId="38" builtinId="43" customBuiltin="1"/>
    <cellStyle name="40% - Accent5" xfId="42" builtinId="47" customBuiltin="1"/>
    <cellStyle name="40% - Accent6" xfId="46" builtinId="51" customBuiltin="1"/>
    <cellStyle name="40% - Énfasis1 2" xfId="54" xr:uid="{09C15F0F-7A10-417E-9667-9D8C8ADA7C25}"/>
    <cellStyle name="40% - Énfasis1 3" xfId="74" xr:uid="{84B7F22F-66DC-4C49-8C8C-FB21E3CF5242}"/>
    <cellStyle name="40% - Énfasis1 4" xfId="94" xr:uid="{48D4B0C4-70E7-43D3-A4A8-BBB772148BF3}"/>
    <cellStyle name="40% - Énfasis2 2" xfId="57" xr:uid="{2031771D-28BA-45A9-9C01-39E9D577A2B0}"/>
    <cellStyle name="40% - Énfasis2 3" xfId="77" xr:uid="{B409DCF3-1E4E-428E-85CA-6DFE4B31D51E}"/>
    <cellStyle name="40% - Énfasis2 4" xfId="97" xr:uid="{9358D899-703D-468F-BC63-DD6149F67275}"/>
    <cellStyle name="40% - Énfasis3 2" xfId="60" xr:uid="{C1E50A40-8942-4C3B-99E4-DBAA145FDEF6}"/>
    <cellStyle name="40% - Énfasis3 3" xfId="80" xr:uid="{2D78E89B-CF30-4E61-A75C-FE57B9DBDBDB}"/>
    <cellStyle name="40% - Énfasis3 4" xfId="100" xr:uid="{42C0727A-FEA3-4ECD-BEEE-26ACA7A847C4}"/>
    <cellStyle name="40% - Énfasis4 2" xfId="63" xr:uid="{FFE2EB2B-C4B4-495F-907B-FAE4E04B67DB}"/>
    <cellStyle name="40% - Énfasis4 3" xfId="83" xr:uid="{65C55C7C-86E7-4F2A-9E56-438A1655F371}"/>
    <cellStyle name="40% - Énfasis4 4" xfId="103" xr:uid="{7BBDD919-6455-400F-AD18-753737295F06}"/>
    <cellStyle name="40% - Énfasis5 2" xfId="66" xr:uid="{943D7F8A-1854-4A27-9AD0-22C8583243F1}"/>
    <cellStyle name="40% - Énfasis5 3" xfId="86" xr:uid="{DCCE716A-6B86-4503-B46D-206275A5C77E}"/>
    <cellStyle name="40% - Énfasis5 4" xfId="106" xr:uid="{52603E35-C490-42C2-9131-49D7A20A393A}"/>
    <cellStyle name="40% - Énfasis6 2" xfId="69" xr:uid="{76F523A0-724F-4405-BF39-5E4B9EBDADB9}"/>
    <cellStyle name="40% - Énfasis6 3" xfId="89" xr:uid="{B99A5F32-AB86-47B7-92F8-E0DD7CE77488}"/>
    <cellStyle name="40% - Énfasis6 4" xfId="109" xr:uid="{0F18FBD3-4117-4ED6-92F4-6B9E3AE040F4}"/>
    <cellStyle name="60% - Accent1" xfId="27" builtinId="32" customBuiltin="1"/>
    <cellStyle name="60% - Accent2" xfId="31" builtinId="36" customBuiltin="1"/>
    <cellStyle name="60% - Accent3" xfId="35" builtinId="40" customBuiltin="1"/>
    <cellStyle name="60% - Accent4" xfId="39" builtinId="44" customBuiltin="1"/>
    <cellStyle name="60% - Accent5" xfId="43" builtinId="48" customBuiltin="1"/>
    <cellStyle name="60% - Accent6" xfId="47" builtinId="52" customBuiltin="1"/>
    <cellStyle name="60% - Énfasis1 2" xfId="55" xr:uid="{00835684-DF7A-4D88-994E-996C0BD3AEC8}"/>
    <cellStyle name="60% - Énfasis1 3" xfId="75" xr:uid="{D03A3CD4-FB8A-4311-A0D8-D90AB2BA9B07}"/>
    <cellStyle name="60% - Énfasis1 4" xfId="95" xr:uid="{F66110F4-AF82-4A40-9742-506618D1F10C}"/>
    <cellStyle name="60% - Énfasis2 2" xfId="58" xr:uid="{BFC748B1-2435-4645-9D9A-F600844BC445}"/>
    <cellStyle name="60% - Énfasis2 3" xfId="78" xr:uid="{F8A9B66D-65CD-4939-93BA-0BEDA6C3ABFF}"/>
    <cellStyle name="60% - Énfasis2 4" xfId="98" xr:uid="{F4E26853-8800-40A8-9292-F25AE44BE1A3}"/>
    <cellStyle name="60% - Énfasis3 2" xfId="61" xr:uid="{2B5DCDFE-8196-45AC-B2E3-26F1CE2450B8}"/>
    <cellStyle name="60% - Énfasis3 3" xfId="81" xr:uid="{6D42DF25-F822-45AC-9F90-2BABF47171A5}"/>
    <cellStyle name="60% - Énfasis3 4" xfId="101" xr:uid="{E0966AEC-CDD0-4149-8FE5-B7F0F9C3DCF2}"/>
    <cellStyle name="60% - Énfasis4 2" xfId="64" xr:uid="{3344A915-6D07-461C-AB93-629956F0F7B0}"/>
    <cellStyle name="60% - Énfasis4 3" xfId="84" xr:uid="{203EC5E1-DB3F-4784-BACE-367AF314D884}"/>
    <cellStyle name="60% - Énfasis4 4" xfId="104" xr:uid="{FDA0EC78-F475-4D3F-B571-F07196634EF5}"/>
    <cellStyle name="60% - Énfasis5 2" xfId="67" xr:uid="{6B854227-C5DF-4E70-85C1-A44A919CACF1}"/>
    <cellStyle name="60% - Énfasis5 3" xfId="87" xr:uid="{B8BFE219-F846-4DD1-B65A-51F37CAAEC3A}"/>
    <cellStyle name="60% - Énfasis5 4" xfId="107" xr:uid="{7084BF62-A6EC-418D-BA7C-FD8507C3A4FE}"/>
    <cellStyle name="60% - Énfasis6 2" xfId="70" xr:uid="{4910269A-2A25-4299-AEBB-12535AB4369B}"/>
    <cellStyle name="60% - Énfasis6 3" xfId="90" xr:uid="{B25A026D-8782-4CAC-B62D-2486E4F97CD1}"/>
    <cellStyle name="60% - Énfasis6 4" xfId="110" xr:uid="{136AE63F-FB37-4B14-95D1-A89030689654}"/>
    <cellStyle name="Accent1" xfId="24" builtinId="29" customBuiltin="1"/>
    <cellStyle name="Accent2" xfId="28" builtinId="33" customBuiltin="1"/>
    <cellStyle name="Accent3" xfId="32" builtinId="37" customBuiltin="1"/>
    <cellStyle name="Accent4" xfId="36" builtinId="41" customBuiltin="1"/>
    <cellStyle name="Accent5" xfId="40" builtinId="45" customBuiltin="1"/>
    <cellStyle name="Accent6" xfId="44" builtinId="49" customBuiltin="1"/>
    <cellStyle name="Bad" xfId="14" builtinId="27" customBuiltin="1"/>
    <cellStyle name="Calculation" xfId="18" builtinId="22" customBuiltin="1"/>
    <cellStyle name="Check Cell" xfId="20" builtinId="23" customBuiltin="1"/>
    <cellStyle name="Euro" xfId="1" xr:uid="{00000000-0005-0000-0000-000000000000}"/>
    <cellStyle name="Explanatory Text" xfId="22" builtinId="53" customBuiltin="1"/>
    <cellStyle name="Followed Hyperlink" xfId="2" builtinId="9"/>
    <cellStyle name="Good" xfId="13" builtinId="26" customBuiltin="1"/>
    <cellStyle name="Heading 1" xfId="9" builtinId="16" customBuiltin="1"/>
    <cellStyle name="Heading 2" xfId="10" builtinId="17" customBuiltin="1"/>
    <cellStyle name="Heading 3" xfId="11" builtinId="18" customBuiltin="1"/>
    <cellStyle name="Heading 4" xfId="12" builtinId="19" customBuiltin="1"/>
    <cellStyle name="Input" xfId="16" builtinId="20" customBuiltin="1"/>
    <cellStyle name="Linked Cell" xfId="19" builtinId="24" customBuiltin="1"/>
    <cellStyle name="Neutral" xfId="15" builtinId="28" customBuiltin="1"/>
    <cellStyle name="Normal" xfId="0" builtinId="0"/>
    <cellStyle name="Normal 2" xfId="6" xr:uid="{00000000-0005-0000-0000-000004000000}"/>
    <cellStyle name="Normal 2 2" xfId="113" xr:uid="{27452548-C02E-4356-A5D2-C3AE69CAEE2D}"/>
    <cellStyle name="Normal 3" xfId="7" xr:uid="{00000000-0005-0000-0000-000005000000}"/>
    <cellStyle name="Normal 4" xfId="49" xr:uid="{F4E07F3D-A046-49B3-8382-356E4DB1B18B}"/>
    <cellStyle name="Normal 5" xfId="51" xr:uid="{263968E7-A1E0-4F79-B4E7-FC480516CF24}"/>
    <cellStyle name="Normal 6" xfId="71" xr:uid="{6ABA2028-45E9-4DBF-A451-C5C54C9142D6}"/>
    <cellStyle name="Normal 7" xfId="91" xr:uid="{B374D0FE-0D6E-4EE7-9219-A669045F561C}"/>
    <cellStyle name="Normal 8" xfId="112" xr:uid="{1670FD44-4E89-4889-8330-24DB8EDC5B2B}"/>
    <cellStyle name="Normal_ED0D" xfId="111" xr:uid="{FD123B24-5A15-4BED-9960-70D035E18AB5}"/>
    <cellStyle name="Normal_Libro1" xfId="3" xr:uid="{00000000-0005-0000-0000-000009000000}"/>
    <cellStyle name="Normal_RR0D" xfId="4" xr:uid="{00000000-0005-0000-0000-00000B000000}"/>
    <cellStyle name="Notas 2" xfId="50" xr:uid="{9063289B-580B-4C99-97E2-48A6AEBF46D7}"/>
    <cellStyle name="Notas 3" xfId="52" xr:uid="{828DA343-9072-4C0E-9216-18108674F557}"/>
    <cellStyle name="Notas 4" xfId="72" xr:uid="{F9756A97-A7EF-4BCE-8336-226AFD8D2871}"/>
    <cellStyle name="Notas 5" xfId="92" xr:uid="{42F3177A-EA66-42F5-8FE9-C397A66503CC}"/>
    <cellStyle name="Output" xfId="17" builtinId="21" customBuiltin="1"/>
    <cellStyle name="Percent" xfId="5" builtinId="5"/>
    <cellStyle name="Porcentual 2" xfId="48" xr:uid="{D7AE5EE5-90BD-4D25-9090-EAC36B510BD8}"/>
    <cellStyle name="Title" xfId="8" builtinId="15" customBuiltin="1"/>
    <cellStyle name="Total" xfId="23" builtinId="25" customBuiltin="1"/>
    <cellStyle name="Warning Text" xfId="21" builtinId="11" customBuiltin="1"/>
  </cellStyles>
  <dxfs count="242">
    <dxf>
      <font>
        <b/>
        <i val="0"/>
        <strike val="0"/>
        <condense val="0"/>
        <extend val="0"/>
        <color indexed="10"/>
      </font>
    </dxf>
    <dxf>
      <font>
        <condense val="0"/>
        <extend val="0"/>
        <color auto="1"/>
      </font>
    </dxf>
    <dxf>
      <font>
        <condense val="0"/>
        <extend val="0"/>
        <color indexed="57"/>
      </font>
    </dxf>
    <dxf>
      <font>
        <strike val="0"/>
        <condense val="0"/>
        <extend val="0"/>
        <color indexed="10"/>
      </font>
    </dxf>
    <dxf>
      <font>
        <color theme="0" tint="-0.499984740745262"/>
      </font>
      <fill>
        <patternFill>
          <bgColor theme="0" tint="-0.14996795556505021"/>
        </patternFill>
      </fill>
      <border>
        <vertical/>
        <horizontal/>
      </border>
    </dxf>
    <dxf>
      <font>
        <strike/>
      </font>
    </dxf>
    <dxf>
      <font>
        <b/>
        <i val="0"/>
        <color theme="0"/>
      </font>
      <fill>
        <patternFill>
          <bgColor rgb="FFFF0000"/>
        </patternFill>
      </fill>
    </dxf>
    <dxf>
      <fill>
        <patternFill>
          <bgColor theme="0" tint="-0.24994659260841701"/>
        </patternFill>
      </fill>
    </dxf>
    <dxf>
      <fill>
        <patternFill>
          <bgColor theme="9" tint="0.79998168889431442"/>
        </patternFill>
      </fill>
    </dxf>
    <dxf>
      <fill>
        <patternFill>
          <bgColor theme="6" tint="0.79998168889431442"/>
        </patternFill>
      </fill>
    </dxf>
    <dxf>
      <fill>
        <patternFill>
          <bgColor theme="3" tint="0.79998168889431442"/>
        </patternFill>
      </fill>
      <border>
        <top style="thin">
          <color rgb="FF000000"/>
        </top>
      </border>
    </dxf>
    <dxf>
      <font>
        <color theme="1"/>
      </font>
      <fill>
        <patternFill>
          <bgColor rgb="FF00B050"/>
        </patternFill>
      </fill>
    </dxf>
    <dxf>
      <font>
        <color theme="1"/>
      </font>
      <fill>
        <patternFill>
          <bgColor rgb="FF00B0F0"/>
        </patternFill>
      </fill>
    </dxf>
    <dxf>
      <font>
        <color theme="1"/>
      </font>
      <fill>
        <patternFill>
          <bgColor rgb="FFFFFF00"/>
        </patternFill>
      </fill>
    </dxf>
    <dxf>
      <font>
        <color theme="0"/>
      </font>
      <fill>
        <patternFill>
          <bgColor rgb="FFFF0000"/>
        </patternFill>
      </fill>
    </dxf>
    <dxf>
      <fill>
        <patternFill>
          <bgColor rgb="FFA6A6A6"/>
        </patternFill>
      </fill>
    </dxf>
    <dxf>
      <border>
        <left style="thin">
          <color rgb="FF000000"/>
        </left>
      </border>
    </dxf>
    <dxf>
      <font>
        <color rgb="FFA50021"/>
      </font>
      <fill>
        <patternFill>
          <bgColor rgb="FFFFCCCC"/>
        </patternFill>
      </fill>
    </dxf>
    <dxf>
      <font>
        <color rgb="FF4F6228"/>
      </font>
      <fill>
        <patternFill>
          <bgColor rgb="FFEBF1DE"/>
        </patternFill>
      </fill>
    </dxf>
    <dxf>
      <font>
        <color rgb="FF663300"/>
      </font>
      <fill>
        <patternFill>
          <bgColor rgb="FFFFFFCC"/>
        </patternFill>
      </fill>
    </dxf>
    <dxf>
      <font>
        <strike val="0"/>
        <color theme="5" tint="-0.499984740745262"/>
      </font>
      <fill>
        <patternFill>
          <bgColor theme="5" tint="0.79998168889431442"/>
        </patternFill>
      </fill>
    </dxf>
    <dxf>
      <font>
        <strike val="0"/>
        <color theme="6" tint="-0.499984740745262"/>
      </font>
      <fill>
        <patternFill>
          <bgColor theme="6" tint="0.79998168889431442"/>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b val="0"/>
        <i val="0"/>
        <strike val="0"/>
        <condense val="0"/>
        <extend val="0"/>
        <outline val="0"/>
        <shadow val="0"/>
        <u val="none"/>
        <vertAlign val="baseline"/>
        <sz val="9"/>
        <color auto="1"/>
        <name val="Arial Nova Cond Light"/>
        <family val="2"/>
        <scheme val="none"/>
      </font>
      <numFmt numFmtId="1" formatCode="0"/>
    </dxf>
    <dxf>
      <font>
        <strike val="0"/>
        <outline val="0"/>
        <shadow val="0"/>
        <u val="none"/>
        <vertAlign val="baseline"/>
        <sz val="9"/>
        <color auto="1"/>
        <name val="Arial Nova Cond Light"/>
        <family val="2"/>
        <scheme val="none"/>
      </font>
    </dxf>
    <dxf>
      <font>
        <strike val="0"/>
        <outline val="0"/>
        <shadow val="0"/>
        <u val="none"/>
        <vertAlign val="baseline"/>
        <sz val="9"/>
        <color auto="1"/>
        <name val="Arial Nova Cond Light"/>
        <family val="2"/>
        <scheme val="none"/>
      </font>
    </dxf>
    <dxf>
      <font>
        <color theme="0" tint="-0.14996795556505021"/>
      </font>
      <fill>
        <patternFill>
          <bgColor theme="0" tint="-0.14996795556505021"/>
        </patternFill>
      </fill>
    </dxf>
    <dxf>
      <font>
        <b val="0"/>
        <i val="0"/>
        <strike val="0"/>
        <condense val="0"/>
        <extend val="0"/>
        <outline val="0"/>
        <shadow val="0"/>
        <u val="none"/>
        <vertAlign val="baseline"/>
        <sz val="8"/>
        <color auto="1"/>
        <name val="Arial Nova Cond Light"/>
        <family val="2"/>
        <scheme val="none"/>
      </font>
    </dxf>
    <dxf>
      <font>
        <color rgb="FF9C0006"/>
      </font>
      <fill>
        <patternFill>
          <bgColor rgb="FFFFC7CE"/>
        </patternFill>
      </fill>
    </dxf>
    <dxf>
      <font>
        <color theme="6" tint="-0.499984740745262"/>
      </font>
      <fill>
        <patternFill>
          <bgColor theme="6" tint="0.79998168889431442"/>
        </patternFill>
      </fill>
    </dxf>
    <dxf>
      <font>
        <color theme="5" tint="-0.499984740745262"/>
      </font>
      <fill>
        <patternFill>
          <bgColor theme="5" tint="0.79998168889431442"/>
        </patternFill>
      </fill>
    </dxf>
    <dxf>
      <font>
        <color theme="6" tint="-0.499984740745262"/>
      </font>
      <fill>
        <patternFill>
          <bgColor theme="6" tint="0.79998168889431442"/>
        </patternFill>
      </fill>
    </dxf>
    <dxf>
      <font>
        <b val="0"/>
        <i val="0"/>
        <strike val="0"/>
        <condense val="0"/>
        <extend val="0"/>
        <outline val="0"/>
        <shadow val="0"/>
        <u val="none"/>
        <vertAlign val="baseline"/>
        <sz val="8"/>
        <color auto="1"/>
        <name val="Arial Nova Cond Light"/>
        <family val="2"/>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left" vertical="top" textRotation="90" wrapText="0" indent="0" justifyLastLine="0" shrinkToFit="0" readingOrder="0"/>
    </dxf>
    <dxf>
      <font>
        <b val="0"/>
        <i val="0"/>
        <strike val="0"/>
        <condense val="0"/>
        <extend val="0"/>
        <outline val="0"/>
        <shadow val="0"/>
        <u val="none"/>
        <vertAlign val="baseline"/>
        <sz val="8"/>
        <color auto="1"/>
        <name val="Arial Nova Cond Light"/>
        <family val="2"/>
        <scheme val="none"/>
      </font>
      <numFmt numFmtId="175" formatCode="#,##0.00\ [$€-1]"/>
      <alignment horizontal="general" vertical="top" textRotation="0" wrapText="0" indent="0" justifyLastLine="0" shrinkToFit="0" readingOrder="0"/>
    </dxf>
    <dxf>
      <font>
        <sz val="8"/>
        <name val="Arial Nova Cond Light"/>
        <family val="2"/>
      </font>
      <numFmt numFmtId="175" formatCode="#,##0.00\ [$€-1]"/>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numFmt numFmtId="175" formatCode="#,##0.00\ [$€-1]"/>
      <alignment horizontal="general" vertical="top" textRotation="0" wrapText="0" indent="0" justifyLastLine="0" shrinkToFit="0" readingOrder="0"/>
    </dxf>
    <dxf>
      <font>
        <sz val="8"/>
        <name val="Arial Nova Cond Light"/>
        <family val="2"/>
      </font>
      <numFmt numFmtId="175" formatCode="#,##0.00\ [$€-1]"/>
      <alignment horizontal="general" vertical="top" textRotation="0" wrapText="0" indent="0" justifyLastLine="0" shrinkToFit="0" readingOrder="0"/>
    </dxf>
    <dxf>
      <font>
        <sz val="8"/>
        <name val="Arial Nova Cond Light"/>
        <family val="2"/>
      </font>
      <numFmt numFmtId="175" formatCode="#,##0.00\ [$€-1]"/>
      <alignment horizontal="general" vertical="top" textRotation="0" wrapText="0" indent="0" justifyLastLine="0" shrinkToFit="0" readingOrder="0"/>
    </dxf>
    <dxf>
      <font>
        <sz val="8"/>
        <name val="Arial Nova Cond Light"/>
        <family val="2"/>
      </font>
      <numFmt numFmtId="175" formatCode="#,##0.00\ [$€-1]"/>
      <alignment horizontal="general" vertical="top" textRotation="0" wrapText="0" indent="0" justifyLastLine="0" shrinkToFit="0" readingOrder="0"/>
    </dxf>
    <dxf>
      <font>
        <sz val="8"/>
        <name val="Arial Nova Cond Light"/>
        <family val="2"/>
      </font>
      <numFmt numFmtId="175" formatCode="#,##0.00\ [$€-1]"/>
      <alignment horizontal="general" vertical="top" textRotation="0" wrapText="0" indent="0" justifyLastLine="0" shrinkToFit="0" readingOrder="0"/>
    </dxf>
    <dxf>
      <font>
        <strike val="0"/>
        <outline val="0"/>
        <shadow val="0"/>
        <u val="none"/>
        <vertAlign val="baseline"/>
        <sz val="8"/>
        <color auto="1"/>
        <name val="Arial Nova Cond Light"/>
        <family val="2"/>
        <scheme val="none"/>
      </font>
      <alignment horizontal="general" vertical="top" textRotation="0" wrapText="0" indent="0" justifyLastLine="0" shrinkToFit="0" readingOrder="0"/>
    </dxf>
    <dxf>
      <font>
        <strike val="0"/>
        <outline val="0"/>
        <shadow val="0"/>
        <u val="none"/>
        <vertAlign val="baseline"/>
        <sz val="8"/>
        <color auto="1"/>
        <name val="Arial Nova Cond Light"/>
        <family val="2"/>
        <scheme val="none"/>
      </font>
      <alignment horizontal="general" vertical="top" textRotation="0" wrapText="0" indent="0" justifyLastLine="0" shrinkToFit="0" readingOrder="0"/>
    </dxf>
    <dxf>
      <font>
        <strike val="0"/>
        <outline val="0"/>
        <shadow val="0"/>
        <u val="none"/>
        <vertAlign val="baseline"/>
        <sz val="8"/>
        <color auto="1"/>
        <name val="Arial Nova Cond Light"/>
        <family val="2"/>
        <scheme val="none"/>
      </font>
      <alignment horizontal="general" vertical="top" textRotation="0" wrapText="0" indent="0" justifyLastLine="0" shrinkToFit="0" readingOrder="0"/>
    </dxf>
    <dxf>
      <font>
        <strike val="0"/>
        <outline val="0"/>
        <shadow val="0"/>
        <u val="none"/>
        <vertAlign val="baseline"/>
        <sz val="8"/>
        <color auto="1"/>
        <name val="Arial Nova Cond Light"/>
        <family val="2"/>
        <scheme val="none"/>
      </font>
      <alignment horizontal="general" vertical="top" textRotation="0" wrapText="0" indent="0" justifyLastLine="0" shrinkToFit="0" readingOrder="0"/>
    </dxf>
    <dxf>
      <font>
        <strike val="0"/>
        <outline val="0"/>
        <shadow val="0"/>
        <u val="none"/>
        <vertAlign val="baseline"/>
        <sz val="8"/>
        <color auto="1"/>
        <name val="Arial Nova Cond Light"/>
        <family val="2"/>
        <scheme val="none"/>
      </font>
      <alignment horizontal="general" vertical="top" textRotation="0" wrapText="0" indent="0" justifyLastLine="0" shrinkToFit="0" readingOrder="0"/>
    </dxf>
    <dxf>
      <font>
        <strike val="0"/>
        <outline val="0"/>
        <shadow val="0"/>
        <u val="none"/>
        <vertAlign val="baseline"/>
        <sz val="8"/>
        <color auto="1"/>
        <name val="Arial Nova Cond Light"/>
        <family val="2"/>
        <scheme val="none"/>
      </font>
      <numFmt numFmtId="171" formatCode="_-* #,##0.00\ [$€-C0A]_-;\-* #,##0.00\ [$€-C0A]_-;_-* &quot;-&quot;??\ [$€-C0A]_-;_-@_-"/>
      <alignment horizontal="general" vertical="top" textRotation="0" wrapText="0" indent="0" justifyLastLine="0" shrinkToFit="0" readingOrder="0"/>
    </dxf>
    <dxf>
      <font>
        <strike val="0"/>
        <outline val="0"/>
        <shadow val="0"/>
        <u val="none"/>
        <vertAlign val="baseline"/>
        <sz val="8"/>
        <color auto="1"/>
        <name val="Arial Nova Cond Light"/>
        <family val="2"/>
        <scheme val="none"/>
      </font>
      <numFmt numFmtId="171" formatCode="_-* #,##0.00\ [$€-C0A]_-;\-* #,##0.00\ [$€-C0A]_-;_-* &quot;-&quot;??\ [$€-C0A]_-;_-@_-"/>
      <alignment horizontal="general" vertical="top" textRotation="0" wrapText="0" indent="0" justifyLastLine="0" shrinkToFit="0" readingOrder="0"/>
    </dxf>
    <dxf>
      <font>
        <strike val="0"/>
        <outline val="0"/>
        <shadow val="0"/>
        <u val="none"/>
        <vertAlign val="baseline"/>
        <sz val="8"/>
        <color auto="1"/>
        <name val="Arial Nova Cond Light"/>
        <family val="2"/>
        <scheme val="none"/>
      </font>
      <alignment horizontal="general" vertical="top" textRotation="0" wrapText="0" indent="0" justifyLastLine="0" shrinkToFit="0" readingOrder="0"/>
    </dxf>
    <dxf>
      <font>
        <strike val="0"/>
        <outline val="0"/>
        <shadow val="0"/>
        <u val="none"/>
        <vertAlign val="baseline"/>
        <sz val="8"/>
        <color auto="1"/>
        <name val="Arial Nova Cond Light"/>
        <family val="2"/>
        <scheme val="none"/>
      </font>
      <alignment horizontal="general" vertical="top" textRotation="0" wrapText="0" indent="0" justifyLastLine="0" shrinkToFit="0" readingOrder="0"/>
    </dxf>
    <dxf>
      <font>
        <strike val="0"/>
        <outline val="0"/>
        <shadow val="0"/>
        <u val="none"/>
        <vertAlign val="baseline"/>
        <sz val="8"/>
        <color auto="1"/>
        <name val="Arial Nova Cond Light"/>
        <family val="2"/>
        <scheme val="none"/>
      </font>
      <alignment horizontal="general" vertical="top" textRotation="0" wrapText="0" indent="0" justifyLastLine="0" shrinkToFit="0" readingOrder="0"/>
    </dxf>
    <dxf>
      <font>
        <strike val="0"/>
        <outline val="0"/>
        <shadow val="0"/>
        <u val="none"/>
        <vertAlign val="baseline"/>
        <sz val="8"/>
        <color auto="1"/>
        <name val="Arial Nova Cond Light"/>
        <family val="2"/>
        <scheme val="none"/>
      </font>
      <alignment horizontal="general" vertical="top" textRotation="0" wrapText="0" indent="0" justifyLastLine="0" shrinkToFit="0" readingOrder="0"/>
    </dxf>
    <dxf>
      <font>
        <sz val="8"/>
        <name val="Arial Nova Cond Light"/>
        <family val="2"/>
      </font>
      <numFmt numFmtId="0" formatCode="General"/>
      <alignment horizontal="general" vertical="top" textRotation="0" wrapText="0" indent="0" justifyLastLine="0" shrinkToFit="0" readingOrder="0"/>
    </dxf>
    <dxf>
      <font>
        <strike val="0"/>
        <outline val="0"/>
        <shadow val="0"/>
        <u val="none"/>
        <vertAlign val="baseline"/>
        <sz val="8"/>
        <color auto="1"/>
        <name val="Arial Nova Cond Light"/>
        <family val="2"/>
        <scheme val="none"/>
      </font>
      <alignment horizontal="general" vertical="top" textRotation="0" wrapText="0" indent="0" justifyLastLine="0" shrinkToFit="0" readingOrder="0"/>
    </dxf>
    <dxf>
      <font>
        <strike val="0"/>
        <outline val="0"/>
        <shadow val="0"/>
        <u val="none"/>
        <vertAlign val="baseline"/>
        <sz val="8"/>
        <color auto="1"/>
        <name val="Arial Nova Cond Light"/>
        <family val="2"/>
        <scheme val="none"/>
      </font>
      <alignment vertical="top" indent="0" justifyLastLine="0" readingOrder="0"/>
    </dxf>
    <dxf>
      <font>
        <strike val="0"/>
        <outline val="0"/>
        <shadow val="0"/>
        <u val="none"/>
        <vertAlign val="baseline"/>
        <sz val="8"/>
        <color auto="1"/>
        <name val="Arial Nova Cond Light"/>
        <family val="2"/>
        <scheme val="none"/>
      </font>
      <alignment vertical="top" indent="0" justifyLastLine="0" readingOrder="0"/>
    </dxf>
    <dxf>
      <font>
        <sz val="8"/>
        <name val="Arial Nova Cond Light"/>
        <family val="2"/>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sz val="8"/>
        <name val="Arial Nova Cond Light"/>
        <family val="2"/>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left" vertical="top" textRotation="9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numFmt numFmtId="171" formatCode="_-* #,##0.00\ [$€-C0A]_-;\-* #,##0.00\ [$€-C0A]_-;_-* &quot;-&quot;??\ [$€-C0A]_-;_-@_-"/>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numFmt numFmtId="171" formatCode="_-* #,##0.00\ [$€-C0A]_-;\-* #,##0.00\ [$€-C0A]_-;_-* &quot;-&quot;??\ [$€-C0A]_-;_-@_-"/>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numFmt numFmtId="2" formatCode="0.00"/>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numFmt numFmtId="2" formatCode="0.00"/>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numFmt numFmtId="2" formatCode="0.00"/>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numFmt numFmtId="2" formatCode="0.00"/>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numFmt numFmtId="171" formatCode="_-* #,##0.00\ [$€-C0A]_-;\-* #,##0.00\ [$€-C0A]_-;_-* &quot;-&quot;??\ [$€-C0A]_-;_-@_-"/>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numFmt numFmtId="171" formatCode="_-* #,##0.00\ [$€-C0A]_-;\-* #,##0.00\ [$€-C0A]_-;_-* &quot;-&quot;??\ [$€-C0A]_-;_-@_-"/>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numFmt numFmtId="171" formatCode="_-* #,##0.00\ [$€-C0A]_-;\-* #,##0.00\ [$€-C0A]_-;_-* &quot;-&quot;??\ [$€-C0A]_-;_-@_-"/>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numFmt numFmtId="171" formatCode="_-* #,##0.00\ [$€-C0A]_-;\-* #,##0.00\ [$€-C0A]_-;_-* &quot;-&quot;??\ [$€-C0A]_-;_-@_-"/>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strike val="0"/>
        <outline val="0"/>
        <shadow val="0"/>
        <u val="none"/>
        <vertAlign val="baseline"/>
        <sz val="8"/>
        <color auto="1"/>
        <name val="Arial Nova Cond Light"/>
        <family val="2"/>
        <scheme val="none"/>
      </font>
      <alignment horizontal="general" vertical="top" textRotation="0" wrapText="0" indent="0" justifyLastLine="0" shrinkToFit="0" readingOrder="0"/>
    </dxf>
    <dxf>
      <font>
        <strike val="0"/>
        <outline val="0"/>
        <shadow val="0"/>
        <u val="none"/>
        <vertAlign val="baseline"/>
        <sz val="8"/>
        <color auto="1"/>
        <name val="Arial Nova Cond Light"/>
        <family val="2"/>
        <scheme val="none"/>
      </font>
      <alignment horizontal="general" vertical="top" textRotation="0" wrapText="0" indent="0" justifyLastLine="0" shrinkToFit="0" readingOrder="0"/>
    </dxf>
    <dxf>
      <font>
        <strike val="0"/>
        <outline val="0"/>
        <shadow val="0"/>
        <u val="none"/>
        <vertAlign val="baseline"/>
        <sz val="8"/>
        <color auto="1"/>
        <name val="Arial Nova Cond Light"/>
        <family val="2"/>
        <scheme val="none"/>
      </font>
      <alignment horizontal="general" vertical="top" textRotation="0" wrapText="0" indent="0" justifyLastLine="0" shrinkToFit="0" readingOrder="0"/>
    </dxf>
    <dxf>
      <font>
        <sz val="8"/>
        <name val="Arial Nova Cond Light"/>
        <family val="2"/>
      </font>
      <numFmt numFmtId="0" formatCode="General"/>
      <alignment horizontal="general" vertical="top" textRotation="0" wrapText="0" indent="0" justifyLastLine="0" shrinkToFit="0" readingOrder="0"/>
    </dxf>
    <dxf>
      <font>
        <strike val="0"/>
        <outline val="0"/>
        <shadow val="0"/>
        <u val="none"/>
        <vertAlign val="baseline"/>
        <sz val="8"/>
        <color auto="1"/>
        <name val="Arial Nova Cond Light"/>
        <family val="2"/>
        <scheme val="none"/>
      </font>
      <alignment horizontal="general" vertical="top" textRotation="0" wrapText="0" indent="0" justifyLastLine="0" shrinkToFit="0" readingOrder="0"/>
    </dxf>
    <dxf>
      <font>
        <strike val="0"/>
        <outline val="0"/>
        <shadow val="0"/>
        <u val="none"/>
        <vertAlign val="baseline"/>
        <sz val="8"/>
        <color auto="1"/>
        <name val="Arial Nova Cond Light"/>
        <family val="2"/>
        <scheme val="none"/>
      </font>
      <alignment horizontal="general" vertical="top" textRotation="0" wrapText="0" indent="0" justifyLastLine="0" shrinkToFit="0" readingOrder="0"/>
    </dxf>
    <dxf>
      <font>
        <strike val="0"/>
        <outline val="0"/>
        <shadow val="0"/>
        <u val="none"/>
        <vertAlign val="baseline"/>
        <sz val="8"/>
        <color auto="1"/>
        <name val="Arial Nova Cond Light"/>
        <family val="2"/>
        <scheme val="none"/>
      </font>
      <alignment horizontal="general" vertical="top" textRotation="0" wrapText="0" indent="0" justifyLastLine="0" shrinkToFit="0" readingOrder="0"/>
    </dxf>
    <dxf>
      <font>
        <sz val="8"/>
        <name val="Arial Nova Cond Light"/>
        <family val="2"/>
      </font>
      <numFmt numFmtId="0" formatCode="General"/>
      <alignment horizontal="general" vertical="top" textRotation="0" wrapText="0" indent="0" justifyLastLine="0" shrinkToFit="0" readingOrder="0"/>
    </dxf>
    <dxf>
      <font>
        <sz val="8"/>
        <name val="Arial Nova Cond Light"/>
        <family val="2"/>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1"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numFmt numFmtId="170" formatCode="dd/mm/yy"/>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numFmt numFmtId="170" formatCode="dd/mm/yy"/>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numFmt numFmtId="170" formatCode="dd/mm/yy"/>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numFmt numFmtId="170" formatCode="dd/mm/yy"/>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numFmt numFmtId="174" formatCode="_-[$£-809]* #,##0.00_-;\-[$£-809]* #,##0.00_-;_-[$£-809]* &quot;-&quot;??_-;_-@_-"/>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numFmt numFmtId="174" formatCode="_-[$£-809]* #,##0.00_-;\-[$£-809]* #,##0.00_-;_-[$£-809]* &quot;-&quot;??_-;_-@_-"/>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numFmt numFmtId="170" formatCode="dd/mm/yy"/>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numFmt numFmtId="170" formatCode="dd/mm/yy"/>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numFmt numFmtId="174" formatCode="_-[$£-809]* #,##0.00_-;\-[$£-809]* #,##0.00_-;_-[$£-809]* &quot;-&quot;??_-;_-@_-"/>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numFmt numFmtId="180" formatCode="dd/mm/yyyy"/>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Arial Nova Cond Light"/>
        <family val="2"/>
        <scheme val="none"/>
      </font>
      <alignment horizontal="general" vertical="top" textRotation="0" wrapText="0" indent="0" justifyLastLine="0" shrinkToFit="0" readingOrder="0"/>
    </dxf>
    <dxf>
      <font>
        <strike val="0"/>
        <outline val="0"/>
        <shadow val="0"/>
        <u val="none"/>
        <vertAlign val="baseline"/>
        <sz val="4"/>
        <name val="Arial Nova Cond Light"/>
        <scheme val="none"/>
      </font>
      <numFmt numFmtId="0" formatCode="General"/>
      <alignment horizontal="general" vertical="top" textRotation="0" wrapText="0" indent="0" justifyLastLine="0" shrinkToFit="0" readingOrder="0"/>
    </dxf>
    <dxf>
      <font>
        <strike val="0"/>
        <outline val="0"/>
        <shadow val="0"/>
        <u val="none"/>
        <vertAlign val="baseline"/>
        <sz val="4"/>
        <name val="Arial Nova Cond Light"/>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4"/>
        <color auto="1"/>
        <name val="Arial Nova Cond Light"/>
        <scheme val="none"/>
      </font>
      <alignment horizontal="general" vertical="top" textRotation="0" wrapText="0" indent="0" justifyLastLine="0" shrinkToFit="0" readingOrder="0"/>
    </dxf>
    <dxf>
      <font>
        <sz val="4"/>
        <name val="Arial Nova Cond Light"/>
      </font>
      <numFmt numFmtId="0" formatCode="General"/>
      <alignment horizontal="general" vertical="top" textRotation="0" wrapText="0" indent="0" justifyLastLine="0" shrinkToFit="0" readingOrder="0"/>
    </dxf>
    <dxf>
      <font>
        <strike val="0"/>
        <outline val="0"/>
        <shadow val="0"/>
        <u val="none"/>
        <vertAlign val="baseline"/>
        <sz val="4"/>
        <name val="Arial Nova Cond Light"/>
        <scheme val="none"/>
      </font>
      <numFmt numFmtId="0" formatCode="General"/>
      <alignment horizontal="general" vertical="top" textRotation="0" wrapText="0" indent="0" justifyLastLine="0" shrinkToFit="0" readingOrder="0"/>
    </dxf>
    <dxf>
      <font>
        <strike val="0"/>
        <outline val="0"/>
        <shadow val="0"/>
        <u val="none"/>
        <vertAlign val="baseline"/>
        <sz val="4"/>
        <name val="Arial Nova Cond Light"/>
        <scheme val="none"/>
      </font>
      <numFmt numFmtId="0" formatCode="General"/>
      <alignment horizontal="general" vertical="top" textRotation="0" wrapText="0" indent="0" justifyLastLine="0" shrinkToFit="0" readingOrder="0"/>
    </dxf>
    <dxf>
      <font>
        <strike val="0"/>
        <outline val="0"/>
        <shadow val="0"/>
        <u val="none"/>
        <vertAlign val="baseline"/>
        <sz val="4"/>
        <name val="Arial Nova Cond Light"/>
        <scheme val="none"/>
      </font>
      <alignment vertical="top" wrapText="0" indent="0" justifyLastLine="0" shrinkToFit="0" readingOrder="0"/>
    </dxf>
    <dxf>
      <font>
        <strike val="0"/>
        <outline val="0"/>
        <shadow val="0"/>
        <u val="none"/>
        <vertAlign val="baseline"/>
        <sz val="4"/>
        <name val="Arial Nova Cond Light"/>
        <scheme val="none"/>
      </font>
      <alignment horizontal="left" vertical="top" textRotation="90" wrapText="0" indent="0" justifyLastLine="0" shrinkToFit="0" readingOrder="0"/>
    </dxf>
    <dxf>
      <font>
        <b val="0"/>
        <i val="0"/>
        <strike val="0"/>
        <condense val="0"/>
        <extend val="0"/>
        <outline val="0"/>
        <shadow val="0"/>
        <u val="none"/>
        <vertAlign val="baseline"/>
        <sz val="4"/>
        <color theme="1"/>
        <name val="Arial Nova Cond Light"/>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4"/>
        <color theme="1"/>
        <name val="Arial Nova Cond Light"/>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4"/>
        <color theme="1"/>
        <name val="Arial Nova Cond Light"/>
        <scheme val="none"/>
      </font>
      <alignment horizontal="general" vertical="top" textRotation="0" wrapText="0" indent="0" justifyLastLine="0" shrinkToFit="0" readingOrder="0"/>
    </dxf>
    <dxf>
      <font>
        <strike val="0"/>
        <outline val="0"/>
        <shadow val="0"/>
        <u val="none"/>
        <vertAlign val="baseline"/>
        <sz val="4"/>
        <name val="Arial Nova Cond Light"/>
        <scheme val="none"/>
      </font>
    </dxf>
    <dxf>
      <font>
        <b val="0"/>
        <i val="0"/>
        <strike val="0"/>
        <condense val="0"/>
        <extend val="0"/>
        <outline val="0"/>
        <shadow val="0"/>
        <u val="none"/>
        <vertAlign val="baseline"/>
        <sz val="4"/>
        <color auto="1"/>
        <name val="Arial Nova Cond Light"/>
        <scheme val="none"/>
      </font>
      <alignment horizontal="left" vertical="top" textRotation="90" wrapText="0" indent="0" justifyLastLine="0" shrinkToFit="0" readingOrder="0"/>
    </dxf>
    <dxf>
      <font>
        <b val="0"/>
        <i val="0"/>
        <strike val="0"/>
        <condense val="0"/>
        <extend val="0"/>
        <outline val="0"/>
        <shadow val="0"/>
        <u val="none"/>
        <vertAlign val="baseline"/>
        <sz val="4"/>
        <color theme="1"/>
        <name val="Arial Nova Cond Light"/>
        <scheme val="none"/>
      </font>
      <numFmt numFmtId="19" formatCode="m/d/yy"/>
      <fill>
        <patternFill patternType="solid">
          <fgColor theme="4" tint="0.59999389629810485"/>
          <bgColor theme="4" tint="0.59999389629810485"/>
        </patternFill>
      </fill>
      <alignment horizontal="general" vertical="top" textRotation="0" wrapText="0" indent="0" justifyLastLine="0" shrinkToFit="0" readingOrder="0"/>
      <border diagonalUp="0" diagonalDown="0">
        <left style="thin">
          <color theme="0"/>
        </left>
        <right/>
        <top style="thin">
          <color theme="0"/>
        </top>
        <bottom/>
        <vertical/>
        <horizontal/>
      </border>
    </dxf>
    <dxf>
      <font>
        <b val="0"/>
        <i val="0"/>
        <strike val="0"/>
        <condense val="0"/>
        <extend val="0"/>
        <outline val="0"/>
        <shadow val="0"/>
        <u val="none"/>
        <vertAlign val="baseline"/>
        <sz val="4"/>
        <color theme="1"/>
        <name val="Arial Nova Cond Light"/>
        <scheme val="none"/>
      </font>
      <numFmt numFmtId="19" formatCode="m/d/yy"/>
      <fill>
        <patternFill patternType="solid">
          <fgColor theme="4" tint="0.59999389629810485"/>
          <bgColor theme="4" tint="0.59999389629810485"/>
        </patternFill>
      </fill>
      <alignment horizontal="general" vertical="top" textRotation="0" wrapText="0" indent="0" justifyLastLine="0" shrinkToFit="0" readingOrder="0"/>
      <border diagonalUp="0" diagonalDown="0">
        <left style="thin">
          <color theme="0"/>
        </left>
        <right/>
        <top style="thin">
          <color theme="0"/>
        </top>
        <bottom/>
        <vertical/>
        <horizontal/>
      </border>
    </dxf>
    <dxf>
      <font>
        <b val="0"/>
        <i val="0"/>
        <strike val="0"/>
        <condense val="0"/>
        <extend val="0"/>
        <outline val="0"/>
        <shadow val="0"/>
        <u val="none"/>
        <vertAlign val="baseline"/>
        <sz val="4"/>
        <color theme="1"/>
        <name val="Arial Nova Cond Light"/>
        <scheme val="none"/>
      </font>
      <numFmt numFmtId="0" formatCode="General"/>
      <fill>
        <patternFill patternType="solid">
          <fgColor theme="4" tint="0.59999389629810485"/>
          <bgColor theme="4" tint="0.59999389629810485"/>
        </patternFill>
      </fill>
      <alignment horizontal="general" vertical="top" textRotation="0" wrapText="0" indent="0" justifyLastLine="0" shrinkToFit="0" readingOrder="0"/>
      <border diagonalUp="0" diagonalDown="0">
        <left style="thin">
          <color theme="0"/>
        </left>
        <right/>
        <top style="thin">
          <color theme="0"/>
        </top>
        <bottom/>
        <vertical/>
        <horizontal/>
      </border>
    </dxf>
    <dxf>
      <font>
        <b val="0"/>
        <i val="0"/>
        <strike val="0"/>
        <condense val="0"/>
        <extend val="0"/>
        <outline val="0"/>
        <shadow val="0"/>
        <u val="none"/>
        <vertAlign val="baseline"/>
        <sz val="4"/>
        <color theme="1"/>
        <name val="Arial Nova Cond Light"/>
        <scheme val="none"/>
      </font>
      <numFmt numFmtId="0" formatCode="General"/>
      <fill>
        <patternFill patternType="solid">
          <fgColor theme="4" tint="0.59999389629810485"/>
          <bgColor theme="4" tint="0.59999389629810485"/>
        </patternFill>
      </fill>
      <alignment horizontal="general" vertical="top" textRotation="0" wrapText="0" indent="0" justifyLastLine="0" shrinkToFit="0" readingOrder="0"/>
      <border diagonalUp="0" diagonalDown="0">
        <left/>
        <right/>
        <top style="thin">
          <color theme="0"/>
        </top>
        <bottom/>
        <vertical/>
        <horizontal/>
      </border>
    </dxf>
    <dxf>
      <border outline="0">
        <bottom style="thin">
          <color theme="0"/>
        </bottom>
      </border>
    </dxf>
    <dxf>
      <font>
        <strike val="0"/>
        <outline val="0"/>
        <shadow val="0"/>
        <u val="none"/>
        <vertAlign val="baseline"/>
        <sz val="4"/>
        <name val="Arial Nova Cond Light"/>
        <scheme val="none"/>
      </font>
    </dxf>
    <dxf>
      <font>
        <b/>
        <i val="0"/>
        <strike val="0"/>
        <condense val="0"/>
        <extend val="0"/>
        <outline val="0"/>
        <shadow val="0"/>
        <u val="none"/>
        <vertAlign val="baseline"/>
        <sz val="4"/>
        <color theme="0"/>
        <name val="Arial Nova Cond Light"/>
        <scheme val="none"/>
      </font>
      <fill>
        <patternFill patternType="solid">
          <fgColor theme="4"/>
          <bgColor theme="4"/>
        </patternFill>
      </fill>
      <alignment horizontal="left" vertical="top" textRotation="90" wrapText="0" indent="0" justifyLastLine="0" shrinkToFit="0" readingOrder="0"/>
    </dxf>
    <dxf>
      <font>
        <b val="0"/>
        <i val="0"/>
        <strike val="0"/>
        <condense val="0"/>
        <extend val="0"/>
        <outline val="0"/>
        <shadow val="0"/>
        <u val="none"/>
        <vertAlign val="baseline"/>
        <sz val="4"/>
        <color auto="1"/>
        <name val="Arial Nova Cond Light"/>
        <scheme val="none"/>
      </font>
      <alignment horizontal="general" vertical="top" textRotation="0" wrapText="0" indent="0" justifyLastLine="0" shrinkToFit="0" readingOrder="0"/>
    </dxf>
    <dxf>
      <font>
        <b val="0"/>
        <i val="0"/>
        <strike val="0"/>
        <condense val="0"/>
        <extend val="0"/>
        <outline val="0"/>
        <shadow val="0"/>
        <u val="none"/>
        <vertAlign val="baseline"/>
        <sz val="4"/>
        <color auto="1"/>
        <name val="Arial Nova Cond Light"/>
        <scheme val="none"/>
      </font>
      <alignment horizontal="general" vertical="top" textRotation="0" wrapText="0" indent="0" justifyLastLine="0" shrinkToFit="0" readingOrder="0"/>
    </dxf>
    <dxf>
      <font>
        <b val="0"/>
        <i val="0"/>
        <strike val="0"/>
        <condense val="0"/>
        <extend val="0"/>
        <outline val="0"/>
        <shadow val="0"/>
        <u val="none"/>
        <vertAlign val="baseline"/>
        <sz val="4"/>
        <color auto="1"/>
        <name val="Arial Nova Cond Light"/>
        <scheme val="none"/>
      </font>
      <alignment horizontal="general" vertical="top" textRotation="0" wrapText="0" indent="0" justifyLastLine="0" shrinkToFit="0" readingOrder="0"/>
    </dxf>
    <dxf>
      <font>
        <b val="0"/>
        <i val="0"/>
        <strike val="0"/>
        <condense val="0"/>
        <extend val="0"/>
        <outline val="0"/>
        <shadow val="0"/>
        <u val="none"/>
        <vertAlign val="baseline"/>
        <sz val="4"/>
        <color auto="1"/>
        <name val="Arial Nova Cond Light"/>
        <scheme val="none"/>
      </font>
      <alignment horizontal="general" vertical="top" textRotation="0" wrapText="0" indent="0" justifyLastLine="0" shrinkToFit="0" readingOrder="0"/>
    </dxf>
    <dxf>
      <font>
        <b val="0"/>
        <i val="0"/>
        <strike val="0"/>
        <condense val="0"/>
        <extend val="0"/>
        <outline val="0"/>
        <shadow val="0"/>
        <u val="none"/>
        <vertAlign val="baseline"/>
        <sz val="4"/>
        <color auto="1"/>
        <name val="Arial Nova Cond Light"/>
        <scheme val="none"/>
      </font>
      <alignment horizontal="general" vertical="top" textRotation="0" wrapText="0" indent="0" justifyLastLine="0" shrinkToFit="0" readingOrder="0"/>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b val="0"/>
        <i val="0"/>
        <strike val="0"/>
        <condense val="0"/>
        <extend val="0"/>
        <outline val="0"/>
        <shadow val="0"/>
        <u val="none"/>
        <vertAlign val="baseline"/>
        <sz val="4"/>
        <color theme="1"/>
        <name val="Arial Nova Cond Light"/>
        <scheme val="none"/>
      </font>
      <alignment horizontal="general" vertical="top" textRotation="0" wrapText="0" indent="0" justifyLastLine="0" shrinkToFit="0" readingOrder="0"/>
    </dxf>
    <dxf>
      <font>
        <b val="0"/>
        <i val="0"/>
        <strike val="0"/>
        <condense val="0"/>
        <extend val="0"/>
        <outline val="0"/>
        <shadow val="0"/>
        <u val="none"/>
        <vertAlign val="baseline"/>
        <sz val="4"/>
        <color theme="1"/>
        <name val="Arial Nova Cond Light"/>
        <scheme val="none"/>
      </font>
      <alignment horizontal="general" vertical="top" textRotation="0" wrapText="0" indent="0" justifyLastLine="0" shrinkToFit="0" readingOrder="0"/>
    </dxf>
    <dxf>
      <font>
        <b val="0"/>
        <i val="0"/>
        <strike val="0"/>
        <condense val="0"/>
        <extend val="0"/>
        <outline val="0"/>
        <shadow val="0"/>
        <u val="none"/>
        <vertAlign val="baseline"/>
        <sz val="4"/>
        <color theme="1"/>
        <name val="Arial Nova Cond Light"/>
        <scheme val="none"/>
      </font>
      <alignment horizontal="general" vertical="top" textRotation="0" wrapText="0" indent="0" justifyLastLine="0" shrinkToFit="0" readingOrder="0"/>
    </dxf>
    <dxf>
      <font>
        <b val="0"/>
        <i val="0"/>
        <strike val="0"/>
        <condense val="0"/>
        <extend val="0"/>
        <outline val="0"/>
        <shadow val="0"/>
        <u val="none"/>
        <vertAlign val="baseline"/>
        <sz val="4"/>
        <color theme="1"/>
        <name val="Arial Nova Cond Light"/>
        <scheme val="none"/>
      </font>
      <alignment horizontal="general" vertical="top" textRotation="0" wrapText="0" indent="0" justifyLastLine="0" shrinkToFit="0" readingOrder="0"/>
    </dxf>
    <dxf>
      <font>
        <b val="0"/>
        <i val="0"/>
        <strike val="0"/>
        <condense val="0"/>
        <extend val="0"/>
        <outline val="0"/>
        <shadow val="0"/>
        <u val="none"/>
        <vertAlign val="baseline"/>
        <sz val="4"/>
        <color theme="1"/>
        <name val="Arial Nova Cond Light"/>
        <scheme val="none"/>
      </font>
      <alignment horizontal="general" vertical="top" textRotation="0" wrapText="0" indent="0" justifyLastLine="0" shrinkToFit="0" readingOrder="0"/>
    </dxf>
    <dxf>
      <font>
        <b val="0"/>
        <i val="0"/>
        <strike val="0"/>
        <condense val="0"/>
        <extend val="0"/>
        <outline val="0"/>
        <shadow val="0"/>
        <u val="none"/>
        <vertAlign val="baseline"/>
        <sz val="4"/>
        <color theme="1"/>
        <name val="Arial Nova Cond Light"/>
        <scheme val="none"/>
      </font>
      <alignment horizontal="general" vertical="top" textRotation="0" wrapText="0" indent="0" justifyLastLine="0" shrinkToFit="0" readingOrder="0"/>
    </dxf>
    <dxf>
      <font>
        <b val="0"/>
        <i val="0"/>
        <strike val="0"/>
        <condense val="0"/>
        <extend val="0"/>
        <outline val="0"/>
        <shadow val="0"/>
        <u val="none"/>
        <vertAlign val="baseline"/>
        <sz val="4"/>
        <color theme="1"/>
        <name val="Arial Nova Cond Light"/>
        <scheme val="none"/>
      </font>
      <alignment horizontal="general" vertical="top" textRotation="0" wrapText="0" indent="0" justifyLastLine="0" shrinkToFit="0" readingOrder="0"/>
    </dxf>
    <dxf>
      <font>
        <b val="0"/>
        <i val="0"/>
        <strike val="0"/>
        <condense val="0"/>
        <extend val="0"/>
        <outline val="0"/>
        <shadow val="0"/>
        <u val="none"/>
        <vertAlign val="baseline"/>
        <sz val="4"/>
        <color theme="1"/>
        <name val="Arial Nova Cond Light"/>
        <scheme val="none"/>
      </font>
      <alignment horizontal="general" vertical="top" textRotation="0" wrapText="0" indent="0" justifyLastLine="0" shrinkToFit="0" readingOrder="0"/>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b val="0"/>
        <i val="0"/>
        <strike val="0"/>
        <condense val="0"/>
        <extend val="0"/>
        <outline val="0"/>
        <shadow val="0"/>
        <u val="none"/>
        <vertAlign val="baseline"/>
        <sz val="4"/>
        <color auto="1"/>
        <name val="Arial Nova Cond Light"/>
        <scheme val="none"/>
      </font>
      <numFmt numFmtId="171" formatCode="_-* #,##0.00\ [$€-C0A]_-;\-* #,##0.00\ [$€-C0A]_-;_-* &quot;-&quot;??\ [$€-C0A]_-;_-@_-"/>
      <alignment horizontal="general" vertical="top" textRotation="0" wrapText="0" indent="0" justifyLastLine="0" shrinkToFit="0" readingOrder="0"/>
    </dxf>
    <dxf>
      <font>
        <b val="0"/>
        <i val="0"/>
        <strike val="0"/>
        <condense val="0"/>
        <extend val="0"/>
        <outline val="0"/>
        <shadow val="0"/>
        <u val="none"/>
        <vertAlign val="baseline"/>
        <sz val="4"/>
        <color auto="1"/>
        <name val="Arial Nova Cond Light"/>
        <scheme val="none"/>
      </font>
      <numFmt numFmtId="171" formatCode="_-* #,##0.00\ [$€-C0A]_-;\-* #,##0.00\ [$€-C0A]_-;_-* &quot;-&quot;??\ [$€-C0A]_-;_-@_-"/>
      <alignment horizontal="general" vertical="top" textRotation="0" wrapText="0" indent="0" justifyLastLine="0" shrinkToFit="0" readingOrder="0"/>
    </dxf>
    <dxf>
      <font>
        <b val="0"/>
        <i val="0"/>
        <strike val="0"/>
        <condense val="0"/>
        <extend val="0"/>
        <outline val="0"/>
        <shadow val="0"/>
        <u val="none"/>
        <vertAlign val="baseline"/>
        <sz val="4"/>
        <color auto="1"/>
        <name val="Arial Nova Cond Light"/>
        <scheme val="none"/>
      </font>
      <alignment horizontal="general" vertical="top" textRotation="0" wrapText="0" indent="0" justifyLastLine="0" shrinkToFit="0" readingOrder="0"/>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b val="0"/>
        <i val="0"/>
        <strike val="0"/>
        <condense val="0"/>
        <extend val="0"/>
        <outline val="0"/>
        <shadow val="0"/>
        <u val="none"/>
        <vertAlign val="baseline"/>
        <sz val="4"/>
        <color auto="1"/>
        <name val="Arial Nova Cond Light"/>
        <scheme val="none"/>
      </font>
      <numFmt numFmtId="19" formatCode="m/d/yy"/>
      <alignment horizontal="general" vertical="top" textRotation="0" wrapText="0" indent="0" justifyLastLine="0" shrinkToFit="0" readingOrder="0"/>
    </dxf>
    <dxf>
      <font>
        <b val="0"/>
        <i val="0"/>
        <strike val="0"/>
        <condense val="0"/>
        <extend val="0"/>
        <outline val="0"/>
        <shadow val="0"/>
        <u val="none"/>
        <vertAlign val="baseline"/>
        <sz val="4"/>
        <color auto="1"/>
        <name val="Arial Nova Cond Light"/>
        <scheme val="none"/>
      </font>
      <alignment horizontal="general" vertical="top" textRotation="0" wrapText="0" indent="0" justifyLastLine="0" shrinkToFit="0" readingOrder="0"/>
    </dxf>
    <dxf>
      <font>
        <b val="0"/>
        <i val="0"/>
        <strike val="0"/>
        <condense val="0"/>
        <extend val="0"/>
        <outline val="0"/>
        <shadow val="0"/>
        <u val="none"/>
        <vertAlign val="baseline"/>
        <sz val="4"/>
        <color auto="1"/>
        <name val="Arial Nova Cond Light"/>
        <scheme val="none"/>
      </font>
      <alignment horizontal="general" vertical="top" textRotation="0" wrapText="0" indent="0" justifyLastLine="0" shrinkToFit="0" readingOrder="0"/>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b val="0"/>
        <i val="0"/>
        <strike val="0"/>
        <condense val="0"/>
        <extend val="0"/>
        <outline val="0"/>
        <shadow val="0"/>
        <u val="none"/>
        <vertAlign val="baseline"/>
        <sz val="4"/>
        <color auto="1"/>
        <name val="Arial Nova Cond Light"/>
        <scheme val="none"/>
      </font>
      <numFmt numFmtId="14" formatCode="0.00%"/>
      <alignment horizontal="general" vertical="top" textRotation="0" wrapText="0" indent="0" justifyLastLine="0" shrinkToFit="0" readingOrder="0"/>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b val="0"/>
        <i val="0"/>
        <strike val="0"/>
        <condense val="0"/>
        <extend val="0"/>
        <outline val="0"/>
        <shadow val="0"/>
        <u val="none"/>
        <vertAlign val="baseline"/>
        <sz val="4"/>
        <color auto="1"/>
        <name val="Arial Nova Cond Light"/>
        <scheme val="none"/>
      </font>
      <alignment horizontal="general" vertical="top" textRotation="0" wrapText="0" indent="0" justifyLastLine="0" shrinkToFit="0" readingOrder="0"/>
    </dxf>
    <dxf>
      <font>
        <b val="0"/>
        <i val="0"/>
        <strike val="0"/>
        <condense val="0"/>
        <extend val="0"/>
        <outline val="0"/>
        <shadow val="0"/>
        <u val="none"/>
        <vertAlign val="baseline"/>
        <sz val="4"/>
        <color theme="1"/>
        <name val="Arial Nova Cond Light"/>
        <scheme val="none"/>
      </font>
      <alignment horizontal="general" vertical="top" textRotation="0" wrapText="0" indent="0" justifyLastLine="0" shrinkToFit="0" readingOrder="0"/>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trike val="0"/>
        <outline val="0"/>
        <shadow val="0"/>
        <u val="none"/>
        <vertAlign val="baseline"/>
        <sz val="4"/>
        <name val="Arial Nova Cond Light"/>
        <scheme val="none"/>
      </font>
    </dxf>
    <dxf>
      <font>
        <sz val="8"/>
        <color theme="1"/>
        <name val="Arial Nova Cond Light"/>
        <family val="2"/>
      </font>
      <numFmt numFmtId="0" formatCode="General"/>
      <fill>
        <patternFill patternType="none">
          <fgColor indexed="64"/>
          <bgColor indexed="65"/>
        </patternFill>
      </fill>
    </dxf>
    <dxf>
      <font>
        <sz val="8"/>
        <color theme="1"/>
        <name val="Arial Nova Cond Light"/>
        <family val="2"/>
      </font>
      <numFmt numFmtId="0" formatCode="General"/>
      <fill>
        <patternFill patternType="none">
          <fgColor indexed="64"/>
          <bgColor auto="1"/>
        </patternFill>
      </fill>
    </dxf>
  </dxfs>
  <tableStyles count="0" defaultTableStyle="TableStyleMedium9" defaultPivotStyle="PivotStyleLight16"/>
  <colors>
    <mruColors>
      <color rgb="FFA50021"/>
      <color rgb="FFFFFFCC"/>
      <color rgb="FF663300"/>
      <color rgb="FFFFEB84"/>
      <color rgb="FFFFCCCC"/>
      <color rgb="FFFFFFFF"/>
      <color rgb="FF66FF66"/>
      <color rgb="FFF8696B"/>
      <color rgb="FF63BE7B"/>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06/relationships/rdRichValue" Target="richData/rdrichvalue.xml"/><Relationship Id="rId26" Type="http://schemas.openxmlformats.org/officeDocument/2006/relationships/customXml" Target="../customXml/item1.xml"/><Relationship Id="rId3" Type="http://schemas.openxmlformats.org/officeDocument/2006/relationships/worksheet" Target="worksheets/sheet3.xml"/><Relationship Id="rId21"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owerPivotData" Target="model/item.data"/><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17/06/relationships/rdRichValueTypes" Target="richData/rdRichValueType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 Id="rId22" Type="http://schemas.microsoft.com/office/2017/06/relationships/rdSupportingPropertyBag" Target="richData/rdsupportingpropertybag.xml"/><Relationship Id="rId27" Type="http://schemas.microsoft.com/office/2023/09/relationships/Python" Target="pytho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9.jpeg"/><Relationship Id="rId13" Type="http://schemas.openxmlformats.org/officeDocument/2006/relationships/image" Target="../media/image14.jpeg"/><Relationship Id="rId3" Type="http://schemas.openxmlformats.org/officeDocument/2006/relationships/image" Target="../media/image4.jpeg"/><Relationship Id="rId7" Type="http://schemas.openxmlformats.org/officeDocument/2006/relationships/image" Target="../media/image8.jpeg"/><Relationship Id="rId12" Type="http://schemas.openxmlformats.org/officeDocument/2006/relationships/image" Target="../media/image13.jpeg"/><Relationship Id="rId2" Type="http://schemas.openxmlformats.org/officeDocument/2006/relationships/image" Target="../media/image3.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0" Type="http://schemas.openxmlformats.org/officeDocument/2006/relationships/image" Target="../media/image11.jpeg"/><Relationship Id="rId4" Type="http://schemas.openxmlformats.org/officeDocument/2006/relationships/image" Target="../media/image5.jpeg"/><Relationship Id="rId9" Type="http://schemas.openxmlformats.org/officeDocument/2006/relationships/image" Target="../media/image10.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2</xdr:col>
      <xdr:colOff>209550</xdr:colOff>
      <xdr:row>0</xdr:row>
      <xdr:rowOff>0</xdr:rowOff>
    </xdr:from>
    <xdr:to>
      <xdr:col>3</xdr:col>
      <xdr:colOff>1390650</xdr:colOff>
      <xdr:row>0</xdr:row>
      <xdr:rowOff>0</xdr:rowOff>
    </xdr:to>
    <xdr:pic>
      <xdr:nvPicPr>
        <xdr:cNvPr id="7255" name="Imagen 2">
          <a:extLst>
            <a:ext uri="{FF2B5EF4-FFF2-40B4-BE49-F238E27FC236}">
              <a16:creationId xmlns:a16="http://schemas.microsoft.com/office/drawing/2014/main" id="{00000000-0008-0000-0600-000057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9550" y="0"/>
          <a:ext cx="1600200" cy="0"/>
        </a:xfrm>
        <a:prstGeom prst="rect">
          <a:avLst/>
        </a:prstGeom>
        <a:solidFill>
          <a:srgbClr val="FFFFFF"/>
        </a:solidFill>
        <a:ln w="1">
          <a:noFill/>
          <a:miter lim="800000"/>
          <a:headEnd/>
          <a:tailEnd/>
        </a:ln>
      </xdr:spPr>
    </xdr:pic>
    <xdr:clientData/>
  </xdr:twoCellAnchor>
  <xdr:twoCellAnchor>
    <xdr:from>
      <xdr:col>2</xdr:col>
      <xdr:colOff>209550</xdr:colOff>
      <xdr:row>0</xdr:row>
      <xdr:rowOff>0</xdr:rowOff>
    </xdr:from>
    <xdr:to>
      <xdr:col>3</xdr:col>
      <xdr:colOff>1390650</xdr:colOff>
      <xdr:row>0</xdr:row>
      <xdr:rowOff>0</xdr:rowOff>
    </xdr:to>
    <xdr:pic>
      <xdr:nvPicPr>
        <xdr:cNvPr id="7256" name="Imagen 2">
          <a:extLst>
            <a:ext uri="{FF2B5EF4-FFF2-40B4-BE49-F238E27FC236}">
              <a16:creationId xmlns:a16="http://schemas.microsoft.com/office/drawing/2014/main" id="{00000000-0008-0000-0600-000058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9550" y="0"/>
          <a:ext cx="1600200" cy="0"/>
        </a:xfrm>
        <a:prstGeom prst="rect">
          <a:avLst/>
        </a:prstGeom>
        <a:solidFill>
          <a:srgbClr val="FFFFFF"/>
        </a:solidFill>
        <a:ln w="1">
          <a:noFill/>
          <a:miter lim="800000"/>
          <a:headEnd/>
          <a:tailEnd/>
        </a:ln>
      </xdr:spPr>
    </xdr:pic>
    <xdr:clientData/>
  </xdr:twoCellAnchor>
  <xdr:twoCellAnchor>
    <xdr:from>
      <xdr:col>2</xdr:col>
      <xdr:colOff>209550</xdr:colOff>
      <xdr:row>0</xdr:row>
      <xdr:rowOff>0</xdr:rowOff>
    </xdr:from>
    <xdr:to>
      <xdr:col>3</xdr:col>
      <xdr:colOff>1390650</xdr:colOff>
      <xdr:row>0</xdr:row>
      <xdr:rowOff>0</xdr:rowOff>
    </xdr:to>
    <xdr:pic>
      <xdr:nvPicPr>
        <xdr:cNvPr id="7257" name="Imagen 2">
          <a:extLst>
            <a:ext uri="{FF2B5EF4-FFF2-40B4-BE49-F238E27FC236}">
              <a16:creationId xmlns:a16="http://schemas.microsoft.com/office/drawing/2014/main" id="{00000000-0008-0000-0600-000059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9550" y="0"/>
          <a:ext cx="1600200" cy="0"/>
        </a:xfrm>
        <a:prstGeom prst="rect">
          <a:avLst/>
        </a:prstGeom>
        <a:solidFill>
          <a:srgbClr val="FFFFFF"/>
        </a:solidFill>
        <a:ln w="1">
          <a:noFill/>
          <a:miter lim="800000"/>
          <a:headEnd/>
          <a:tailEnd/>
        </a:ln>
      </xdr:spPr>
    </xdr:pic>
    <xdr:clientData/>
  </xdr:twoCellAnchor>
  <xdr:twoCellAnchor>
    <xdr:from>
      <xdr:col>2</xdr:col>
      <xdr:colOff>209550</xdr:colOff>
      <xdr:row>0</xdr:row>
      <xdr:rowOff>0</xdr:rowOff>
    </xdr:from>
    <xdr:to>
      <xdr:col>3</xdr:col>
      <xdr:colOff>1390650</xdr:colOff>
      <xdr:row>0</xdr:row>
      <xdr:rowOff>0</xdr:rowOff>
    </xdr:to>
    <xdr:pic>
      <xdr:nvPicPr>
        <xdr:cNvPr id="7258" name="Imagen 2">
          <a:extLst>
            <a:ext uri="{FF2B5EF4-FFF2-40B4-BE49-F238E27FC236}">
              <a16:creationId xmlns:a16="http://schemas.microsoft.com/office/drawing/2014/main" id="{00000000-0008-0000-0600-00005A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9550" y="0"/>
          <a:ext cx="1600200" cy="0"/>
        </a:xfrm>
        <a:prstGeom prst="rect">
          <a:avLst/>
        </a:prstGeom>
        <a:solidFill>
          <a:srgbClr val="FFFFFF"/>
        </a:solidFill>
        <a:ln w="1">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1104900</xdr:colOff>
          <xdr:row>2</xdr:row>
          <xdr:rowOff>215900</xdr:rowOff>
        </xdr:from>
        <xdr:to>
          <xdr:col>4</xdr:col>
          <xdr:colOff>2844800</xdr:colOff>
          <xdr:row>3</xdr:row>
          <xdr:rowOff>0</xdr:rowOff>
        </xdr:to>
        <xdr:sp macro="" textlink="">
          <xdr:nvSpPr>
            <xdr:cNvPr id="29698" name="Object 2" hidden="1">
              <a:extLst>
                <a:ext uri="{63B3BB69-23CF-44E3-9099-C40C66FF867C}">
                  <a14:compatExt spid="_x0000_s29698"/>
                </a:ext>
                <a:ext uri="{FF2B5EF4-FFF2-40B4-BE49-F238E27FC236}">
                  <a16:creationId xmlns:a16="http://schemas.microsoft.com/office/drawing/2014/main" id="{00000000-0008-0000-0800-00000274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5" connectionId="69" xr16:uid="{61A2C724-FA1B-B541-98F0-76A24D0494E0}" autoFormatId="16" applyNumberFormats="0" applyBorderFormats="0" applyFontFormats="0" applyPatternFormats="0" applyAlignmentFormats="0" applyWidthHeightFormats="0">
  <queryTableRefresh nextId="3">
    <queryTableFields count="2">
      <queryTableField id="1" name="Limits" tableColumnId="1"/>
      <queryTableField id="2" name="LimId"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85" xr16:uid="{C93F05A5-6C6C-4982-94AD-8B634AAFC59B}" autoFormatId="16" applyNumberFormats="0" applyBorderFormats="0" applyFontFormats="0" applyPatternFormats="0" applyAlignmentFormats="0" applyWidthHeightFormats="0">
  <queryTableRefresh nextId="7">
    <queryTableFields count="2">
      <queryTableField id="1" name="PrjId" tableColumnId="1"/>
      <queryTableField id="6" name="Row"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8" connectionId="16" xr16:uid="{3C5EFE71-8340-41BA-B763-CF48461560E6}" autoFormatId="16" applyNumberFormats="0" applyBorderFormats="0" applyFontFormats="0" applyPatternFormats="0" applyAlignmentFormats="0" applyWidthHeightFormats="0">
  <queryTableRefresh nextId="2">
    <queryTableFields count="1">
      <queryTableField id="1" name="Exchg"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3" connectionId="34" xr16:uid="{327496F9-3198-4CA6-AB18-127B22591ABE}" autoFormatId="16" applyNumberFormats="0" applyBorderFormats="0" applyFontFormats="0" applyPatternFormats="0" applyAlignmentFormats="0" applyWidthHeightFormats="0">
  <queryTableRefresh nextId="4">
    <queryTableFields count="3">
      <queryTableField id="1" name="PrjNam" tableColumnId="1"/>
      <queryTableField id="2" name="Vrs" tableColumnId="2"/>
      <queryTableField id="3" name="Date"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0" connectionId="67" xr16:uid="{C8952950-7B1B-4DE9-B9CB-E3685FA606EE}" autoFormatId="16" applyNumberFormats="0" applyBorderFormats="0" applyFontFormats="0" applyPatternFormats="0" applyAlignmentFormats="0" applyWidthHeightFormats="0">
  <queryTableRefresh nextId="7">
    <queryTableFields count="3">
      <queryTableField id="2" name="Prf_31200" tableColumnId="2"/>
      <queryTableField id="5" name="SERRA" tableColumnId="5"/>
      <queryTableField id="6" name="PLANT" tableColumnId="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0" connectionId="49" xr16:uid="{E08BB17C-2962-4D87-B477-51FDA6C35DB0}" autoFormatId="16" applyNumberFormats="0" applyBorderFormats="0" applyFontFormats="0" applyPatternFormats="0" applyAlignmentFormats="0" applyWidthHeightFormats="0">
  <queryTableRefresh nextId="9">
    <queryTableFields count="8">
      <queryTableField id="1" name="PrjId" tableColumnId="1"/>
      <queryTableField id="2" name="Vrs" tableColumnId="2"/>
      <queryTableField id="3" name="CurExt" tableColumnId="3"/>
      <queryTableField id="4" name="CurPpto" tableColumnId="4"/>
      <queryTableField id="5" name="HrsExt" tableColumnId="5"/>
      <queryTableField id="6" name="HrsInt" tableColumnId="6"/>
      <queryTableField id="7" name="HrsPpto" tableColumnId="7"/>
      <queryTableField id="8" name="ExpCur"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41" connectionId="25" xr16:uid="{9DF9C935-220F-4263-8C7A-B7475F8B1D81}" autoFormatId="16" applyNumberFormats="0" applyBorderFormats="0" applyFontFormats="0" applyPatternFormats="0" applyAlignmentFormats="0" applyWidthHeightFormats="0">
  <queryTableRefresh nextId="6">
    <queryTableFields count="5">
      <queryTableField id="1" name="PrjNam" tableColumnId="1"/>
      <queryTableField id="2" name="Vrs" tableColumnId="2"/>
      <queryTableField id="3" name="Attribute" tableColumnId="3"/>
      <queryTableField id="4" name="Value" tableColumnId="4"/>
      <queryTableField id="5" name="Custom"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42" connectionId="35" xr16:uid="{2D8BB071-B996-4360-B65F-531D280FAF98}" autoFormatId="16" applyNumberFormats="0" applyBorderFormats="0" applyFontFormats="0" applyPatternFormats="0" applyAlignmentFormats="0" applyWidthHeightFormats="0">
  <queryTableRefresh nextId="5">
    <queryTableFields count="4">
      <queryTableField id="1" name="PrjId" tableColumnId="1"/>
      <queryTableField id="2" name="Cia" tableColumnId="2"/>
      <queryTableField id="3" name="MaxDate" tableColumnId="3"/>
      <queryTableField id="4" name="Date" tableColumnId="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43" connectionId="78" xr16:uid="{D9DBFFD8-16C1-41BD-9BD7-7E28A733BABB}" autoFormatId="16" applyNumberFormats="0" applyBorderFormats="0" applyFontFormats="0" applyPatternFormats="0" applyAlignmentFormats="0" applyWidthHeightFormats="0">
  <queryTableRefresh nextId="4">
    <queryTableFields count="3">
      <queryTableField id="1" name="Attribute" tableColumnId="1"/>
      <queryTableField id="2" name="PrjId" tableColumnId="2"/>
      <queryTableField id="3" name="Cia"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7" connectionId="7" xr16:uid="{D18F302D-6656-40B3-B76C-E6DFA487AC4B}" autoFormatId="16" applyNumberFormats="0" applyBorderFormats="0" applyFontFormats="0" applyPatternFormats="0" applyAlignmentFormats="0" applyWidthHeightFormats="0">
  <queryTableRefresh nextId="4">
    <queryTableFields count="3">
      <queryTableField id="1" name="Name" tableColumnId="1"/>
      <queryTableField id="2" name="Attribute" tableColumnId="2"/>
      <queryTableField id="3" name="Valu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1" connectionId="99" xr16:uid="{AEAF0304-F6DC-452C-9D6F-6B6C72C81E2C}" autoFormatId="16" applyNumberFormats="0" applyBorderFormats="0" applyFontFormats="0" applyPatternFormats="0" applyAlignmentFormats="0" applyWidthHeightFormats="0">
  <queryTableRefresh nextId="18">
    <queryTableFields count="11">
      <queryTableField id="1" name="Enquiry No" tableColumnId="1"/>
      <queryTableField id="2" name="Remarks" tableColumnId="2"/>
      <queryTableField id="3" name="Causality" tableColumnId="3"/>
      <queryTableField id="4" name="Date" tableColumnId="4"/>
      <queryTableField id="5" name="Hours Rate" tableColumnId="5"/>
      <queryTableField id="7" name="Offered" tableColumnId="7"/>
      <queryTableField id="8" name="Negotiated" tableColumnId="8"/>
      <queryTableField id="9" name="Ordered" tableColumnId="9"/>
      <queryTableField id="10" name="Version" tableColumnId="10"/>
      <queryTableField id="12" name="Alive" tableColumnId="11"/>
      <queryTableField id="6" name="Ongoing" tableColumnId="6"/>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2" connectionId="8" xr16:uid="{20E131D7-951B-4424-88BC-E0AF24D471B9}" autoFormatId="16" applyNumberFormats="0" applyBorderFormats="0" applyFontFormats="0" applyPatternFormats="0" applyAlignmentFormats="0" applyWidthHeightFormats="0">
  <queryTableRefresh nextId="4">
    <queryTableFields count="3">
      <queryTableField id="1" name="Name" tableColumnId="1"/>
      <queryTableField id="2" name="Attribute" tableColumnId="2"/>
      <queryTableField id="3" name="Value"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3" connectionId="81" xr16:uid="{7826BA24-26B8-4BEB-9415-AE971450E5F0}" autoFormatId="16" applyNumberFormats="0" applyBorderFormats="0" applyFontFormats="0" applyPatternFormats="0" applyAlignmentFormats="0" applyWidthHeightFormats="0">
  <queryTableRefresh nextId="30">
    <queryTableFields count="19">
      <queryTableField id="10" name="PrjId" tableColumnId="5"/>
      <queryTableField id="1" name="VtaId" tableColumnId="1"/>
      <queryTableField id="11" name="InvDiv" tableColumnId="10"/>
      <queryTableField id="2" name="OrdCur" tableColumnId="2"/>
      <queryTableField id="4" name="OrdMin" tableColumnId="4"/>
      <queryTableField id="12" name="OrdMax" tableColumnId="11"/>
      <queryTableField id="13" name="OrdIds" tableColumnId="12"/>
      <queryTableField id="3" name="InvCur" tableColumnId="3"/>
      <queryTableField id="9" name="PayCur" tableColumnId="9"/>
      <queryTableField id="7" name="TaxCur" tableColumnId="7"/>
      <queryTableField id="6" name="InvMin" tableColumnId="6"/>
      <queryTableField id="14" name="InvMax" tableColumnId="13"/>
      <queryTableField id="15" name="PayMin" tableColumnId="14"/>
      <queryTableField id="8" name="PayMax" tableColumnId="8"/>
      <queryTableField id="16" name="InvIds" tableColumnId="15"/>
      <queryTableField id="17" name="InvIrr" tableColumnId="16"/>
      <queryTableField id="18" name="OrdIrr" tableColumnId="17"/>
      <queryTableField id="19" name="CusOrdId" tableColumnId="18"/>
      <queryTableField id="20" name="PInNxm" tableColumnId="1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4" connectionId="53" xr16:uid="{D0E73690-F234-41DF-A474-2B5FF8C3141F}" autoFormatId="16" applyNumberFormats="0" applyBorderFormats="0" applyFontFormats="0" applyPatternFormats="0" applyAlignmentFormats="0" applyWidthHeightFormats="0">
  <queryTableRefresh nextId="37">
    <queryTableFields count="23">
      <queryTableField id="1" name="PrjId" tableColumnId="1"/>
      <queryTableField id="35" name="Cia" tableColumnId="7"/>
      <queryTableField id="2" name="Vrs" tableColumnId="2"/>
      <queryTableField id="5" name="Amortz." tableColumnId="5"/>
      <queryTableField id="31" name="Site" tableColumnId="3"/>
      <queryTableField id="32" name="Measure" tableColumnId="4"/>
      <queryTableField id="29" name="ActGrp" tableColumnId="6"/>
      <queryTableField id="10" name="1:GESTIÓN PROYECTOS" tableColumnId="8"/>
      <queryTableField id="11" name="2:DEFINICIÓN" tableColumnId="9"/>
      <queryTableField id="12" name="3:DISEÑO MECÁNICO" tableColumnId="10"/>
      <queryTableField id="13" name="4:ROBCAD" tableColumnId="11"/>
      <queryTableField id="14" name="5:AUTOMATISMOS" tableColumnId="12"/>
      <queryTableField id="15" name="6:DISEÑO FLUIDOS" tableColumnId="13"/>
      <queryTableField id="16" name="7:ROBÓTICA" tableColumnId="14"/>
      <queryTableField id="17" name="8:FABRICACIÓN MECÁNICA" tableColumnId="15"/>
      <queryTableField id="18" name="9:MONTAJE MECÁNICO" tableColumnId="16"/>
      <queryTableField id="19" name="10:METROLOGÍA" tableColumnId="17"/>
      <queryTableField id="20" name="11:FABRICACIÓN ELÉCTRICA" tableColumnId="18"/>
      <queryTableField id="22" name="12:INSTALACIÓN ENR" tableColumnId="20"/>
      <queryTableField id="25" name="15:MATERIAL MECÁNICO +%" tableColumnId="23"/>
      <queryTableField id="26" name="16:MATERIAL ELÉCTRICO +%" tableColumnId="24"/>
      <queryTableField id="27" name="17:MATERIAL FLUIDOS +%" tableColumnId="25"/>
      <queryTableField id="28" name="18:TRANSP. &amp; DESPLAZ." tableColumnId="26"/>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0" connectionId="54" xr16:uid="{C453D410-D5F4-4B81-B6D0-3B4CE7281A21}" autoFormatId="16" applyNumberFormats="0" applyBorderFormats="0" applyFontFormats="0" applyPatternFormats="0" applyAlignmentFormats="0" applyWidthHeightFormats="0">
  <queryTableRefresh nextId="11">
    <queryTableFields count="7">
      <queryTableField id="1" name="PrjId" tableColumnId="1"/>
      <queryTableField id="9" name="Cia" tableColumnId="7"/>
      <queryTableField id="2" name="Vrs" tableColumnId="2"/>
      <queryTableField id="5" name="Site" tableColumnId="5"/>
      <queryTableField id="6" name="Measure" tableColumnId="6"/>
      <queryTableField id="3" name="Módulo" tableColumnId="3"/>
      <queryTableField id="4" name="Attribu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31" connectionId="52" xr16:uid="{451940DA-6DED-4ED0-B42F-44B4C637D07D}" autoFormatId="16" applyNumberFormats="0" applyBorderFormats="0" applyFontFormats="0" applyPatternFormats="0" applyAlignmentFormats="0" applyWidthHeightFormats="0">
  <queryTableRefresh nextId="15">
    <queryTableFields count="14">
      <queryTableField id="1" name="PrjId" tableColumnId="1"/>
      <queryTableField id="2" name="Vrs" tableColumnId="2"/>
      <queryTableField id="3" name="CurOpt" tableColumnId="3"/>
      <queryTableField id="4" name="CurPpto" tableColumnId="4"/>
      <queryTableField id="5" name="CurInt" tableColumnId="5"/>
      <queryTableField id="6" name="CurExt" tableColumnId="6"/>
      <queryTableField id="7" name="HrsOpt" tableColumnId="7"/>
      <queryTableField id="8" name="HrsPpto" tableColumnId="8"/>
      <queryTableField id="9" name="HrsInt" tableColumnId="9"/>
      <queryTableField id="10" name="HrsExt" tableColumnId="10"/>
      <queryTableField id="11" name="AvgPpto" tableColumnId="11"/>
      <queryTableField id="12" name="AvgInE" tableColumnId="12"/>
      <queryTableField id="13" name="AvgCur" tableColumnId="13"/>
      <queryTableField id="14" name="Merged"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37" connectionId="87" xr16:uid="{DF736DAC-D2A8-4245-9CAB-3D66EAB503E2}" autoFormatId="16" applyNumberFormats="0" applyBorderFormats="0" applyFontFormats="0" applyPatternFormats="0" applyAlignmentFormats="0" applyWidthHeightFormats="0">
  <queryTableRefresh nextId="31">
    <queryTableFields count="5">
      <queryTableField id="10" name="Wks" tableColumnId="10"/>
      <queryTableField id="12" name="PrjId" tableColumnId="12"/>
      <queryTableField id="11" name="Column" tableColumnId="11"/>
      <queryTableField id="13" name="Row" tableColumnId="13"/>
      <queryTableField id="25" name="Value" tableColumnId="1"/>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38" connectionId="61" xr16:uid="{279A6355-8F2D-4957-8D80-4204AC9B8816}" autoFormatId="16" applyNumberFormats="0" applyBorderFormats="0" applyFontFormats="0" applyPatternFormats="0" applyAlignmentFormats="0" applyWidthHeightFormats="0">
  <queryTableRefresh nextId="6">
    <queryTableFields count="5">
      <queryTableField id="1" name="PrjId" tableColumnId="1"/>
      <queryTableField id="2" name="Cia" tableColumnId="2"/>
      <queryTableField id="3" name="Row" tableColumnId="3"/>
      <queryTableField id="4" name="Column" tableColumnId="4"/>
      <queryTableField id="5" name="Cu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connectionId="65" xr16:uid="{4064909D-828E-49C7-8E85-63AF993C62E4}" autoFormatId="16" applyNumberFormats="0" applyBorderFormats="0" applyFontFormats="0" applyPatternFormats="0" applyAlignmentFormats="0" applyWidthHeightFormats="0">
  <queryTableRefresh nextId="8">
    <queryTableFields count="7">
      <queryTableField id="1" name="PrjId" tableColumnId="1"/>
      <queryTableField id="2" name="Cia" tableColumnId="2"/>
      <queryTableField id="3" name="OFbId" tableColumnId="3"/>
      <queryTableField id="4" name="OFbNam" tableColumnId="4"/>
      <queryTableField id="5" name="OFbNem" tableColumnId="5"/>
      <queryTableField id="6" name="RowId" tableColumnId="6"/>
      <queryTableField id="7" name="Custom" tableColumnId="7"/>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3" connectionId="38" xr16:uid="{0F75E052-F9A0-4F87-B5B5-F8615760CCF8}" autoFormatId="16" applyNumberFormats="0" applyBorderFormats="0" applyFontFormats="0" applyPatternFormats="0" applyAlignmentFormats="0" applyWidthHeightFormats="0">
  <queryTableRefresh nextId="14">
    <queryTableFields count="5">
      <queryTableField id="5" name="PrjOrd" tableColumnId="1"/>
      <queryTableField id="6" name="PrjId" tableColumnId="3"/>
      <queryTableField id="7" name="PIntVrs" tableColumnId="4"/>
      <queryTableField id="8" name="PIntOrd" tableColumnId="5"/>
      <queryTableField id="13" name="Cia" tableColumnId="2"/>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23" connectionId="33" xr16:uid="{5A7A698E-2607-E843-8A79-CEA3050E8A98}" autoFormatId="16" applyNumberFormats="0" applyBorderFormats="0" applyFontFormats="0" applyPatternFormats="0" applyAlignmentFormats="0" applyWidthHeightFormats="0">
  <queryTableRefresh nextId="39">
    <queryTableFields count="13">
      <queryTableField id="16" name="PrjId" tableColumnId="2"/>
      <queryTableField id="37" name="Cia" tableColumnId="7"/>
      <queryTableField id="3" name="Vrs" tableColumnId="3"/>
      <queryTableField id="17" name="Compo" tableColumnId="10"/>
      <queryTableField id="13" name="Amortz." tableColumnId="8"/>
      <queryTableField id="18" name="IntExt" tableColumnId="11"/>
      <queryTableField id="31" name="IntCur" tableColumnId="4"/>
      <queryTableField id="32" name="ExtCur" tableColumnId="5"/>
      <queryTableField id="19" name="GrpInE" tableColumnId="12"/>
      <queryTableField id="8" name="RowPI" tableColumnId="1"/>
      <queryTableField id="20" name="RowPpto" tableColumnId="13"/>
      <queryTableField id="6" name="Assign" tableColumnId="6"/>
      <queryTableField id="14" name="Attribute2" tableColumnId="9"/>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45" connectionId="97" xr16:uid="{9BD08D73-E75B-9D4F-B4A5-5AE4A4FBAA48}" autoFormatId="16" applyNumberFormats="0" applyBorderFormats="0" applyFontFormats="0" applyPatternFormats="0" applyAlignmentFormats="0" applyWidthHeightFormats="0">
  <queryTableRefresh nextId="10">
    <queryTableFields count="7">
      <queryTableField id="6" name="PrjId" tableColumnId="6"/>
      <queryTableField id="7" name="Cia" tableColumnId="7"/>
      <queryTableField id="1" name="Row" tableColumnId="1"/>
      <queryTableField id="2" name="Column" tableColumnId="2"/>
      <queryTableField id="3" name="Wks" tableColumnId="3"/>
      <queryTableField id="4" name="Origin" tableColumnId="4"/>
      <queryTableField id="5" name="Value" tableColumnId="5"/>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46" connectionId="15" xr16:uid="{C1084A20-2769-4590-8A1E-ACC142F72287}" autoFormatId="16" applyNumberFormats="0" applyBorderFormats="0" applyFontFormats="0" applyPatternFormats="0" applyAlignmentFormats="0" applyWidthHeightFormats="0">
  <queryTableRefresh nextId="3">
    <queryTableFields count="2">
      <queryTableField id="1" name="GrpId" tableColumnId="1"/>
      <queryTableField id="2" name="Index" tableColumnId="2"/>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
  <rv s="0">
    <v>13</v>
    <v>3</v>
  </rv>
  <rv s="1">
    <v>13</v>
    <v>1</v>
  </rv>
  <rv s="2">
    <fb>0</fb>
    <v>0</v>
  </rv>
  <rv s="3">
    <fb>0</fb>
    <v>&lt;class 'NoneType'&gt;</v>
    <v>NoneType</v>
    <v>None</v>
    <v>2</v>
    <v>1</v>
  </rv>
</rvData>
</file>

<file path=xl/richData/rdrichvaluestructure.xml><?xml version="1.0" encoding="utf-8"?>
<rvStructures xmlns="http://schemas.microsoft.com/office/spreadsheetml/2017/richdata" count="4">
  <s t="_error">
    <k n="errorType" t="i"/>
    <k n="subType" t="i"/>
  </s>
  <s t="_error">
    <k n="errorType" t="i"/>
    <k n="propagated" t="b"/>
  </s>
  <s t="_formattednumber">
    <k n="_Format" t="spb"/>
  </s>
  <s t="_python">
    <k n="Python_type" t="s"/>
    <k n="Python_typeName" t="s"/>
    <k n="Python_str" t="s"/>
    <k n="preview" t="r"/>
    <k n="_Provider" t="spb"/>
  </s>
</rvStructures>
</file>

<file path=xl/richData/rdsupportingpropertybag.xml><?xml version="1.0" encoding="utf-8"?>
<supportingPropertyBags xmlns="http://schemas.microsoft.com/office/spreadsheetml/2017/richdata2">
  <spbData count="2">
    <spb s="0">
      <v>1</v>
    </spb>
    <spb s="1">
      <v>https://www.anaconda.com/excel</v>
      <v>https://res.cdn.office.net/officepysvc/prod-service/anacondalogo.png</v>
      <v>Python provided by Anaconda</v>
    </spb>
  </spbData>
</supportingPropertyBags>
</file>

<file path=xl/richData/rdsupportingpropertybagstructure.xml><?xml version="1.0" encoding="utf-8"?>
<spbStructures xmlns="http://schemas.microsoft.com/office/spreadsheetml/2017/richdata2" count="2">
  <s>
    <k n="_Self" t="i"/>
  </s>
  <s>
    <k n="link" t="s"/>
    <k n="logo" t="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ichProperties>
  <richStyles>
    <rSty dxfid="0">
      <rpv i="0">0;-0;"None"</rpv>
    </rSty>
  </richStyles>
</richStyleSheet>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BBF8BAB-9090-4365-A744-F4FD08D5B747}" name="CstGrpS" displayName="CstGrpS" ref="K2:U40" totalsRowShown="0">
  <autoFilter ref="K2:U40" xr:uid="{17D93A45-6AE1-4F12-A2A5-7C4FC99CE586}"/>
  <tableColumns count="11">
    <tableColumn id="1" xr3:uid="{A5128458-4DDD-438D-8BF8-A16C5C439DDC}" name="CstGrpId" dataCellStyle="Normal_Libro1"/>
    <tableColumn id="2" xr3:uid="{5EA35CF5-CFCC-4BB0-8D48-FD25FD07A456}" name="GrpInE" dataCellStyle="Normal_Libro1"/>
    <tableColumn id="6" xr3:uid="{7FCE666A-F6D3-4EBB-BC15-1F71E747FAFE}" name="GrpPpto" dataCellStyle="Normal_Libro1"/>
    <tableColumn id="7" xr3:uid="{23BA3CA3-579C-48D9-B0DC-B289DC5B83ED}" name="GrpPrv" dataCellStyle="Normal_Libro1"/>
    <tableColumn id="9" xr3:uid="{E49EB47C-7E23-4AA1-8299-492EB5584D24}" name="GrpRates" dataCellStyle="Normal_Libro1"/>
    <tableColumn id="10" xr3:uid="{809476D4-C6E2-4B1E-8EB9-BC325108ED01}" name="GprDest" dataCellStyle="Normal_Libro1"/>
    <tableColumn id="11" xr3:uid="{645172AD-88BB-D943-BD84-43CE525C2C3A}" name="GrpCTs" dataCellStyle="Normal_Libro1"/>
    <tableColumn id="3" xr3:uid="{592CBBE7-5D10-405C-BE37-45E639AAD1F1}" name="Assign"/>
    <tableColumn id="5" xr3:uid="{1F8DF22A-B817-4D9A-98B8-D4A1FD2562F7}" name="Order" dataCellStyle="Normal_Libro1"/>
    <tableColumn id="8" xr3:uid="{8C12645A-89CE-4B18-B4AB-0F654FD77859}" name="Nature" dataCellStyle="Normal_Libro1"/>
    <tableColumn id="4" xr3:uid="{83904787-A4B3-405F-87B5-F34388AC92DC}" name="OTAOffer"/>
  </tableColumns>
  <tableStyleInfo name="TableStyleMedium1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7B71C11-36E0-49BB-AAEE-701BEAB131A2}" name="TskS" displayName="TskS" ref="X2:AA212" totalsRowShown="0">
  <autoFilter ref="X2:AA212" xr:uid="{64C201B2-EA4A-4FEB-BDCD-7E42B00052E3}"/>
  <tableColumns count="4">
    <tableColumn id="1" xr3:uid="{E5D6DEFD-513D-4ED8-8761-B6322F8546FE}" name="TskId"/>
    <tableColumn id="2" xr3:uid="{29D132A0-27B5-4F05-9027-D0F66DACC994}" name="TskNam"/>
    <tableColumn id="3" xr3:uid="{02C2512C-BD30-4A36-8A1E-96F175EC5971}" name="TskNmo"/>
    <tableColumn id="4" xr3:uid="{2B942F44-BF55-47B6-A5BC-2B922404DBC0}" name="TskTyp"/>
  </tableColumns>
  <tableStyleInfo name="TableStyleDark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5B7753F-CA63-444D-9491-1F1264D586C4}" name="CtrS" displayName="CtrS" ref="AD2:AE68" totalsRowShown="0">
  <autoFilter ref="AD2:AE68" xr:uid="{4BE0ADE7-CE60-41DC-B408-7891073006C0}"/>
  <tableColumns count="2">
    <tableColumn id="1" xr3:uid="{8EC3E778-A6B0-41B1-B8C2-458BF8506B06}" name="CtrId"/>
    <tableColumn id="2" xr3:uid="{6C2C9E38-E94D-4271-BBC9-EEC70C7FDBFE}" name="CstId"/>
  </tableColumns>
  <tableStyleInfo name="TableStyleDark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3FE4105-BB3A-4A97-8EB6-32B1137F662F}" name="CstS" displayName="CstS" ref="C2:H293" totalsRowShown="0" headerRowCellStyle="Normal 2">
  <autoFilter ref="C2:H293" xr:uid="{9E0C4C47-F4C2-4CBF-A246-97995D071449}"/>
  <tableColumns count="6">
    <tableColumn id="1" xr3:uid="{EDCB6BBA-0BE6-4667-A5AB-168236DB4A36}" name="CstId" dataCellStyle="Normal 2"/>
    <tableColumn id="2" xr3:uid="{69B5BE3F-DD4C-4062-B829-F18DE61107E2}" name="CstNam" dataCellStyle="Normal 2"/>
    <tableColumn id="4" xr3:uid="{B78A04C7-30A5-40EB-85A3-18D9D7DBDA8A}" name="GrpInE" dataCellStyle="Normal 2"/>
    <tableColumn id="3" xr3:uid="{E853B5DA-DACD-47FC-8D20-66BF1B23865D}" name="CstTyp" dataCellStyle="Normal 2"/>
    <tableColumn id="11" xr3:uid="{8C67C848-3214-458E-A21D-BF87789201D2}" name="RowPI" dataCellStyle="Normal 2"/>
    <tableColumn id="5" xr3:uid="{860E491D-553B-487F-83A0-FE84D562DAC2}" name="RowPpto" dataCellStyle="Normal 2"/>
  </tableColumns>
  <tableStyleInfo name="TableStyleMedium2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85FC5AD-02DC-45D4-8BC2-17D886A3042E}" name="TbGtoCua" displayName="TbGtoCua" ref="AH2:AL8" totalsRowShown="0" headerRowCellStyle="Normal 3" dataCellStyle="Normal 3">
  <autoFilter ref="AH2:AL8" xr:uid="{F85FC5AD-02DC-45D4-8BC2-17D886A3042E}"/>
  <tableColumns count="5">
    <tableColumn id="1" xr3:uid="{DEF042C8-8AB8-41CB-97A1-F05743A58B41}" name="GtoCuaId" dataCellStyle="Normal 3"/>
    <tableColumn id="3" xr3:uid="{C25EBD14-8829-4F10-A71D-6CC76225C999}" name="Origin" dataCellStyle="Normal 3"/>
    <tableColumn id="2" xr3:uid="{883CD1D3-C40D-4C7E-B8DE-12C09695A095}" name="GtoCuaNam" dataCellStyle="Normal 3"/>
    <tableColumn id="4" xr3:uid="{83F06492-DAC4-473B-8113-5E55AB1ED9E7}" name="GtoCuaPrt" dataCellStyle="Normal 3"/>
    <tableColumn id="5" xr3:uid="{6B3DA94D-B6CE-4BDF-A8ED-8781C98104E0}" name="GtoCuaNem" dataCellStyle="Normal 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3A26448-D3B3-2C44-AC61-3B81CFB44A50}" name="TbStd" displayName="TbStd" ref="AR2:BB32" totalsRowShown="0">
  <autoFilter ref="AR2:BB32" xr:uid="{03A26448-D3B3-2C44-AC61-3B81CFB44A50}"/>
  <sortState xmlns:xlrd2="http://schemas.microsoft.com/office/spreadsheetml/2017/richdata2" ref="AR3:BB32">
    <sortCondition ref="AR3:AR32"/>
  </sortState>
  <tableColumns count="11">
    <tableColumn id="1" xr3:uid="{12D62E82-BC8C-C347-8A10-3B32141A27A0}" name="RowId"/>
    <tableColumn id="2" xr3:uid="{D41A9165-F646-8E4A-8832-4F32CDABF86C}" name="RowGrp"/>
    <tableColumn id="3" xr3:uid="{0AB80DA1-8511-3A40-9A80-A38DC1FDFE69}" name="Amortz."/>
    <tableColumn id="4" xr3:uid="{B4E3C949-B612-F74D-8D05-274A05123DEE}" name="Dptm"/>
    <tableColumn id="5" xr3:uid="{7D07B8A0-EE36-674B-87F9-30A8036CFBBC}" name="Site"/>
    <tableColumn id="6" xr3:uid="{00721DE2-5352-DE40-9EEB-A41313AAD169}" name="CstOrig"/>
    <tableColumn id="17" xr3:uid="{ED0402F7-3F53-4F89-AB18-02F29E9A2F05}" name="Nature"/>
    <tableColumn id="16" xr3:uid="{8F0C7595-B6B8-4D47-B3B1-A07EBCA88284}" name="OFbStd"/>
    <tableColumn id="8" xr3:uid="{826FB5EA-5425-4668-A1C1-238F9541DBB9}" name="Nature3"/>
    <tableColumn id="7" xr3:uid="{55E48879-D7F6-0D47-B469-75D3A85643B0}" name="OFbNames"/>
    <tableColumn id="10" xr3:uid="{F8945DCC-5590-46EC-9D24-8C75E8C1078D}" name="Row5"/>
  </tableColumns>
  <tableStyleInfo name="TableStyleMedium2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50AC577A-49E7-44C1-B7F4-D33E94FF5966}" name="AecAsgn" displayName="AecAsgn" ref="BE2:BG5" totalsRowShown="0" headerRowCellStyle="Normal 3" dataCellStyle="Normal 3">
  <autoFilter ref="BE2:BG5" xr:uid="{50AC577A-49E7-44C1-B7F4-D33E94FF5966}"/>
  <tableColumns count="3">
    <tableColumn id="1" xr3:uid="{34BC1992-F6AC-46A4-8021-D569BC1154ED}" name="AEC" dataCellStyle="Normal 3"/>
    <tableColumn id="3" xr3:uid="{BB47C541-C578-45B9-94A4-3580531F25F3}" name="(C) ell_x000a_(T) ool" dataCellStyle="Normal 3"/>
    <tableColumn id="2" xr3:uid="{A7A65420-4A43-48DD-889F-812DA63BE021}" name="AssignCst" dataCellStyle="Normal 3"/>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A7666C8-EEB5-4829-A54A-570385BE6DBF}" name="TbRowMacro" displayName="TbRowMacro" ref="BJ2:BK14" totalsRowShown="0">
  <autoFilter ref="BJ2:BK14" xr:uid="{5A7666C8-EEB5-4829-A54A-570385BE6DBF}"/>
  <tableColumns count="2">
    <tableColumn id="1" xr3:uid="{508ADD99-5870-45B7-95B6-A4CF757FECF3}" name="RowMcroId"/>
    <tableColumn id="2" xr3:uid="{E9954209-657F-4F3D-897D-029BDABAB07E}" name="RowMacroNa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D71F2F9C-586A-3440-9DFD-530B0B2617BA}" name="Limits" displayName="Limits" ref="BP2:BQ7" tableType="queryTable" totalsRowShown="0">
  <autoFilter ref="BP2:BQ7" xr:uid="{D71F2F9C-586A-3440-9DFD-530B0B2617BA}"/>
  <tableColumns count="2">
    <tableColumn id="1" xr3:uid="{B25EB886-5DB8-664B-8CAB-F6D0CD2D8F76}" uniqueName="1" name="Limits" queryTableFieldId="1" dataDxfId="241"/>
    <tableColumn id="2" xr3:uid="{836A65E2-CA4F-C447-96FD-FF8D0213DED8}" uniqueName="2" name="LimId" queryTableFieldId="2" dataDxfId="2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08533D-FF39-41E3-AB10-6E02C80A58F9}" name="FilData" displayName="FilData" ref="B23:H26" totalsRowShown="0" headerRowDxfId="239" dataDxfId="238">
  <autoFilter ref="B23:H26" xr:uid="{7208533D-FF39-41E3-AB10-6E02C80A58F9}"/>
  <tableColumns count="7">
    <tableColumn id="1" xr3:uid="{F77BB3BF-5DD1-47AB-868A-E4B81AECCC15}" name="Attribute" dataDxfId="237" dataCellStyle="Normal 8"/>
    <tableColumn id="2" xr3:uid="{489876C0-D883-47D6-9FBD-3E4DDF711A50}" name="PrjId" dataDxfId="236" dataCellStyle="Normal 8"/>
    <tableColumn id="3" xr3:uid="{C9442833-CA3F-4AD1-AF81-738AC7A177FE}" name="DateSp" dataDxfId="235"/>
    <tableColumn id="4" xr3:uid="{A933EABD-6AAC-43BC-97EA-D2DC2EA54905}" name="Column1" dataDxfId="234" dataCellStyle="Normal 8"/>
    <tableColumn id="5" xr3:uid="{B9766F6D-6C9E-40D6-9B49-D1AAA8F44296}" name="PInt1" dataDxfId="233" dataCellStyle="Normal 8"/>
    <tableColumn id="6" xr3:uid="{6DEC46FA-69BA-4D9B-987A-C13A64300615}" name="PInt2" dataDxfId="232" dataCellStyle="Normal 8"/>
    <tableColumn id="7" xr3:uid="{C7201363-F4DF-44BF-B4E2-C13508C32517}" name="PInt3" dataDxfId="231" dataCellStyle="Normal 8"/>
  </tableColumns>
  <tableStyleInfo name="TableStyleMedium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FC0A56CD-B8F6-41CF-9F39-BF2D6FBB4D6D}" name="Table39" displayName="Table39" ref="B28:G39" totalsRowShown="0" headerRowDxfId="230" dataDxfId="229">
  <autoFilter ref="B28:G39" xr:uid="{FC0A56CD-B8F6-41CF-9F39-BF2D6FBB4D6D}"/>
  <tableColumns count="6">
    <tableColumn id="1" xr3:uid="{4AB6ADDC-10AE-4888-91FC-62488FD2B77D}" name="Dates" dataDxfId="228" dataCellStyle="Normal 8"/>
    <tableColumn id="2" xr3:uid="{6DFBF2A7-2039-4C0D-9F44-15AD31B0CE1D}" name="Prj" dataDxfId="227" dataCellStyle="Normal 8"/>
    <tableColumn id="3" xr3:uid="{F8940468-63D3-4014-92DF-185D28D107A8}" name="Source" dataDxfId="226"/>
    <tableColumn id="4" xr3:uid="{F4A9EF7B-B44B-4F77-BB73-1FA4FE8EAA64}" name="Column1" dataDxfId="225"/>
    <tableColumn id="5" xr3:uid="{28DD1405-2198-4337-9460-3A3A552E7DE8}" name="Max" dataDxfId="224"/>
    <tableColumn id="6" xr3:uid="{1E85B633-A51D-43DC-94A6-F803FE5C6F9C}" name="DlyWks" dataDxfId="223">
      <calculatedColumnFormula>ROUNDDOWN((F29-TODAY())/7,0)</calculatedColumnFormula>
    </tableColumn>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BE3CB0AD-3CFF-4A3C-9D91-2030D0680970}" name="SchPdt1" displayName="SchPdt1" ref="AC2:AD10" tableType="queryTable" totalsRowShown="0" headerRowDxfId="222" dataDxfId="221" dataCellStyle="Normal 8">
  <autoFilter ref="AC2:AD10" xr:uid="{BE3CB0AD-3CFF-4A3C-9D91-2030D0680970}"/>
  <tableColumns count="2">
    <tableColumn id="1" xr3:uid="{5B9A2CE2-660F-483D-B88E-CA3440434502}" uniqueName="1" name="PrjId" queryTableFieldId="1" dataDxfId="220" dataCellStyle="Normal 8"/>
    <tableColumn id="2" xr3:uid="{6AD41C44-4190-42A7-93EE-059CE45E76C4}" uniqueName="2" name="Row" queryTableFieldId="6" dataDxfId="219" dataCellStyle="Normal 8"/>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D252303-6171-42F5-9CAE-619F3F057E65}" name="Exchg" displayName="Exchg" ref="AG2:AG3" tableType="queryTable" totalsRowShown="0" headerRowDxfId="218" dataDxfId="217" dataCellStyle="Percent">
  <autoFilter ref="AG2:AG3" xr:uid="{9D252303-6171-42F5-9CAE-619F3F057E65}"/>
  <tableColumns count="1">
    <tableColumn id="1" xr3:uid="{6AFA8C42-A13C-42C3-B112-C8DD6F12DB48}" uniqueName="1" name="Exchg" queryTableFieldId="1" dataDxfId="216" dataCellStyle="Percent"/>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AD16B21-C93B-4CFA-AA47-E300304585DB}" name="F_ED0" displayName="F_ED0" ref="AJ2:AL6" tableType="queryTable" totalsRowShown="0" headerRowDxfId="215" dataDxfId="214">
  <autoFilter ref="AJ2:AL6" xr:uid="{2AD16B21-C93B-4CFA-AA47-E300304585DB}"/>
  <tableColumns count="3">
    <tableColumn id="1" xr3:uid="{E7D8AFBC-D92B-4DB5-A159-69B1B0EAD08B}" uniqueName="1" name="PrjNam" queryTableFieldId="1" dataDxfId="213"/>
    <tableColumn id="2" xr3:uid="{777533F9-A19C-46C8-AE3D-63BB482E347E}" uniqueName="2" name="Vrs" queryTableFieldId="2" dataDxfId="212"/>
    <tableColumn id="3" xr3:uid="{5F641EE2-3BD5-471F-9CF7-1534BBB7B8B8}" uniqueName="3" name="Date" queryTableFieldId="3" dataDxfId="211"/>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BE42CFB8-48B5-462B-A51B-7254672D31E2}" name="FilPrj4" displayName="FilPrj4" ref="AO2:AQ4" totalsRowShown="0" headerRowDxfId="210" dataDxfId="209">
  <autoFilter ref="AO2:AQ4" xr:uid="{BE42CFB8-48B5-462B-A51B-7254672D31E2}"/>
  <tableColumns count="3">
    <tableColumn id="1" xr3:uid="{EACE43D2-A8A4-4EE3-AD7D-25D2A17BEFF2}" name="PrjNam" dataDxfId="208"/>
    <tableColumn id="2" xr3:uid="{38CB067F-F0B9-425A-8C05-2B9FEE7EB67E}" name="Vrs" dataDxfId="207"/>
    <tableColumn id="3" xr3:uid="{11A0DECB-F0E9-42DE-8D2D-99741DC48C2E}" name="PrjId" dataDxfId="206"/>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91411A5-4DEB-4747-9538-A785C2E68C11}" name="HBaaN" displayName="HBaaN" ref="AT2:AW17" totalsRowShown="0" headerRowDxfId="205" dataDxfId="204">
  <autoFilter ref="AT2:AW17" xr:uid="{891411A5-4DEB-4747-9538-A785C2E68C11}"/>
  <tableColumns count="4">
    <tableColumn id="1" xr3:uid="{4272E41C-B5C7-4130-A930-FB4E04CA5783}" name="Componente Coste" dataDxfId="203"/>
    <tableColumn id="3" xr3:uid="{E596090B-3EFE-401A-900E-67871A774153}" name="Alternative" dataDxfId="202"/>
    <tableColumn id="2" xr3:uid="{F3ECBCF3-7D3D-40FC-AC48-4AA623FA9E53}" name="TARIFA" dataDxfId="201"/>
    <tableColumn id="4" xr3:uid="{C83FA5D8-F4EB-40E9-8ADA-19A300A2BF85}" name="Nº Horas" dataDxfId="200"/>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82A7748A-9349-4460-A706-7275B9DD86C6}" name="GtmpRates" displayName="GtmpRates" ref="AZ2:BB14" tableType="queryTable" totalsRowShown="0" headerRowDxfId="199" dataDxfId="198">
  <autoFilter ref="AZ2:BB14" xr:uid="{82A7748A-9349-4460-A706-7275B9DD86C6}"/>
  <tableColumns count="3">
    <tableColumn id="2" xr3:uid="{38526302-76C6-4908-81E6-EAB8A8863BBD}" uniqueName="2" name="Prf_31200" queryTableFieldId="2" dataDxfId="197"/>
    <tableColumn id="5" xr3:uid="{809C6323-B462-476B-8147-2C571F2CEFDA}" uniqueName="5" name="SERRA" queryTableFieldId="5" dataDxfId="196"/>
    <tableColumn id="6" xr3:uid="{B8AD24D6-9C10-4B28-93F5-340B9D0C8C7B}" uniqueName="6" name="PLANT" queryTableFieldId="6" dataDxfId="195"/>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CE90E92-2353-4648-9259-3E9B1AF88D91}" name="F_RT09" displayName="F_RT09" ref="S2:Z5" tableType="queryTable" totalsRowShown="0" headerRowDxfId="194" dataDxfId="193" dataCellStyle="Normal 8">
  <autoFilter ref="S2:Z5" xr:uid="{CCE90E92-2353-4648-9259-3E9B1AF88D91}"/>
  <tableColumns count="8">
    <tableColumn id="1" xr3:uid="{2DE09DA0-04F2-4C8D-94C2-401760253E73}" uniqueName="1" name="PrjId" queryTableFieldId="1" dataDxfId="192" dataCellStyle="Normal 8"/>
    <tableColumn id="2" xr3:uid="{5B7B8DCD-F776-4FF2-961E-C93F72D11C71}" uniqueName="2" name="Vrs" queryTableFieldId="2" dataDxfId="191" dataCellStyle="Normal 8"/>
    <tableColumn id="3" xr3:uid="{3A99A515-B3E0-4DEA-8C7C-EA379A77F170}" uniqueName="3" name="CurExt" queryTableFieldId="3" dataDxfId="190" dataCellStyle="Normal 8"/>
    <tableColumn id="4" xr3:uid="{9E6CD6AF-B529-4049-94AC-38FB7DC5AAF8}" uniqueName="4" name="CurPpto" queryTableFieldId="4" dataDxfId="189" dataCellStyle="Normal 8"/>
    <tableColumn id="5" xr3:uid="{13427C2B-67FF-4DC5-A603-9DD4B76B1816}" uniqueName="5" name="HrsExt" queryTableFieldId="5" dataDxfId="188" dataCellStyle="Normal 8"/>
    <tableColumn id="6" xr3:uid="{A88755B1-2FE9-4AE0-997C-BEAE0A91F3DA}" uniqueName="6" name="HrsInt" queryTableFieldId="6" dataDxfId="187" dataCellStyle="Normal 8"/>
    <tableColumn id="7" xr3:uid="{E9934CE1-6A67-4A59-99D2-56E63902244C}" uniqueName="7" name="HrsPpto" queryTableFieldId="7" dataDxfId="186" dataCellStyle="Normal 8"/>
    <tableColumn id="8" xr3:uid="{CAAC72A3-2D93-4507-AB1C-5069ED38F09B}" uniqueName="8" name="ExpCur" queryTableFieldId="8" dataDxfId="185" dataCellStyle="Normal 8"/>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EF7291F5-639A-4605-AAB1-3739E64FC0DC}" name="F_BN09" displayName="F_BN09" ref="BK2:BO10" tableType="queryTable" totalsRowShown="0" headerRowDxfId="184" dataDxfId="183" headerRowCellStyle="Normal 8" dataCellStyle="Normal 8">
  <autoFilter ref="BK2:BO10" xr:uid="{EF7291F5-639A-4605-AAB1-3739E64FC0DC}"/>
  <tableColumns count="5">
    <tableColumn id="1" xr3:uid="{D257FF8B-05B7-4C8B-8630-55FBF60A17C6}" uniqueName="1" name="PrjNam" queryTableFieldId="1" dataDxfId="182" dataCellStyle="Normal 8"/>
    <tableColumn id="2" xr3:uid="{2E630CE6-6A21-480D-A8D7-CC75615011AD}" uniqueName="2" name="Vrs" queryTableFieldId="2" dataDxfId="181" dataCellStyle="Normal 8"/>
    <tableColumn id="3" xr3:uid="{BC387A95-D3B3-4EB1-9CD4-B7AB56AFF9C1}" uniqueName="3" name="Attribute" queryTableFieldId="3" dataDxfId="180" dataCellStyle="Normal 8"/>
    <tableColumn id="4" xr3:uid="{CB948A6C-C743-462C-9FAA-1199E7672744}" uniqueName="4" name="Value" queryTableFieldId="4" dataDxfId="179" dataCellStyle="Percent"/>
    <tableColumn id="5" xr3:uid="{CC7195BE-EAB2-4E5D-98D9-8EF6D7AF0B16}" uniqueName="5" name="Custom" queryTableFieldId="5" dataDxfId="178" dataCellStyle="Normal 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FB87151-8F93-4A7F-898B-9C854AFC8664}" name="F_OFbDates" displayName="F_OFbDates" ref="BE2:BH63" tableType="queryTable" totalsRowShown="0" headerRowDxfId="177" dataDxfId="176" tableBorderDxfId="175">
  <autoFilter ref="BE2:BH63" xr:uid="{9FB87151-8F93-4A7F-898B-9C854AFC8664}"/>
  <tableColumns count="4">
    <tableColumn id="1" xr3:uid="{65967108-0BC2-4D24-8866-18C847810947}" uniqueName="1" name="PrjId" queryTableFieldId="1" dataDxfId="174"/>
    <tableColumn id="2" xr3:uid="{36628530-1361-49BF-865B-0C72BF12B40F}" uniqueName="2" name="Cia" queryTableFieldId="2" dataDxfId="173"/>
    <tableColumn id="3" xr3:uid="{1A9FE49C-1796-48DF-BF33-6ABF8A3C19B3}" uniqueName="3" name="MaxDate" queryTableFieldId="3" dataDxfId="172" dataCellStyle="Normal 8"/>
    <tableColumn id="4" xr3:uid="{DEB10CA9-4379-40B9-AE98-1CE2CF0988CC}" uniqueName="4" name="Date" queryTableFieldId="4" dataDxfId="171" dataCellStyle="Normal 8"/>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A63F00E-BB93-48F1-9990-30B1DFBBC06B}" name="P_SelPrj" displayName="P_SelPrj" ref="BR2:BT4" tableType="queryTable" totalsRowShown="0" headerRowDxfId="170" dataDxfId="169">
  <autoFilter ref="BR2:BT4" xr:uid="{5A63F00E-BB93-48F1-9990-30B1DFBBC06B}"/>
  <tableColumns count="3">
    <tableColumn id="1" xr3:uid="{EB759B3B-F3F7-451A-9A24-D3F60BC7AA12}" uniqueName="1" name="Attribute" queryTableFieldId="1" dataDxfId="168" dataCellStyle="Normal 8"/>
    <tableColumn id="2" xr3:uid="{CA753FD1-7718-4106-AB0C-B4DAF50F0F3F}" uniqueName="2" name="PrjId" queryTableFieldId="2" dataDxfId="167" dataCellStyle="Normal 8"/>
    <tableColumn id="3" xr3:uid="{4F5A077E-E270-4E95-9D79-1340A81AB367}" uniqueName="3" name="Cia" queryTableFieldId="3" dataDxfId="166" dataCellStyle="Normal 8"/>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E6E7D188-31D4-AF4A-875C-8FBE62410E5C}" name="Query" displayName="Query" ref="BW2:CB26" totalsRowShown="0" headerRowDxfId="165" dataDxfId="164">
  <autoFilter ref="BW2:CB26" xr:uid="{E6E7D188-31D4-AF4A-875C-8FBE62410E5C}"/>
  <tableColumns count="6">
    <tableColumn id="2" xr3:uid="{5233D2F8-028F-FC4A-9F17-EACF8E347971}" name="PrjId" dataDxfId="163"/>
    <tableColumn id="3" xr3:uid="{464CB553-4FF2-784B-AA02-1B3C5D1298D3}" name="Cia" dataDxfId="162"/>
    <tableColumn id="1" xr3:uid="{E571CA81-3BF1-1A47-872C-75EEE7F00B02}" name="QryId" dataDxfId="161"/>
    <tableColumn id="4" xr3:uid="{ADF2CBAF-B84E-E241-9BCB-A5326B72F765}" name="SelDate" dataDxfId="160"/>
    <tableColumn id="6" xr3:uid="{3C1F88F8-7813-7840-B79C-7B04D0A027F2}" name="Name" dataDxfId="159"/>
    <tableColumn id="7" xr3:uid="{8493613B-6771-4442-9135-9450FE1C2B57}" name="Extension" dataDxfId="158"/>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F94947-0E34-4222-9AA3-3F2588EEB656}" name="CstClcCur" displayName="CstClcCur" ref="D2:F181" tableType="queryTable" totalsRowShown="0">
  <autoFilter ref="D2:F181" xr:uid="{D4F94947-0E34-4222-9AA3-3F2588EEB656}"/>
  <tableColumns count="3">
    <tableColumn id="1" xr3:uid="{F145ADF8-A7B9-432D-A0C3-95EC9D967286}" uniqueName="1" name="Name" queryTableFieldId="1"/>
    <tableColumn id="2" xr3:uid="{6A1B8018-5DAB-4A1C-9ED9-6E9240C9606A}" uniqueName="2" name="Attribute" queryTableFieldId="2"/>
    <tableColumn id="3" xr3:uid="{40234AFE-D059-4548-9BB3-F15F0E15108D}" uniqueName="3" name="Value" queryTableFieldId="3"/>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BA6B425-1165-4429-A66E-62768D67C37C}" name="TbRsmIn" displayName="TbRsmIn" ref="BS2:CC37" tableType="queryTable" totalsRowShown="0">
  <tableColumns count="11">
    <tableColumn id="1" xr3:uid="{D5BDD02D-3EB3-4A64-BD6F-31E45974E36C}" uniqueName="1" name="Enquiry No" queryTableFieldId="1" dataDxfId="157"/>
    <tableColumn id="2" xr3:uid="{C3B04FC9-022E-42C4-940A-4FA620640051}" uniqueName="2" name="Remarks" queryTableFieldId="2" dataDxfId="156"/>
    <tableColumn id="3" xr3:uid="{54362ACC-B27D-4B3E-B9EF-B12DE9E31A32}" uniqueName="3" name="Causality" queryTableFieldId="3" dataDxfId="155"/>
    <tableColumn id="4" xr3:uid="{379EED8F-06DC-4DC3-A446-A7633B03DF6D}" uniqueName="4" name="Date" queryTableFieldId="4" dataDxfId="154"/>
    <tableColumn id="5" xr3:uid="{3AE2AB36-0043-4C84-97DD-CD00CD4FFA99}" uniqueName="5" name="Hours Rate" queryTableFieldId="5" dataDxfId="153"/>
    <tableColumn id="7" xr3:uid="{FA3528DB-897E-4F2A-9FA3-6805EE2F6900}" uniqueName="7" name="Offered" queryTableFieldId="7" dataDxfId="152"/>
    <tableColumn id="8" xr3:uid="{F8946CDC-0F8B-4BC3-9D6A-B3B586B7F41C}" uniqueName="8" name="Negotiated" queryTableFieldId="8" dataDxfId="151"/>
    <tableColumn id="9" xr3:uid="{7F2EDD6C-30E3-478E-8ACC-4A4D29A9E823}" uniqueName="9" name="Ordered" queryTableFieldId="9" dataDxfId="150"/>
    <tableColumn id="10" xr3:uid="{5867297C-DC3E-4A48-B1D7-DBC7A4E371DE}" uniqueName="10" name="Version" queryTableFieldId="10" dataDxfId="149"/>
    <tableColumn id="11" xr3:uid="{FF53FA7B-088E-4B4F-B79F-F75C81C87993}" uniqueName="11" name="Alive" queryTableFieldId="12" dataDxfId="148"/>
    <tableColumn id="6" xr3:uid="{265C912B-180E-47D6-BB88-2BBFAFF4D745}" uniqueName="6" name="Ongoing" queryTableFieldId="6" dataDxfId="147"/>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34646B6-3797-40D2-AE13-4F29A6C97765}" name="CstClcData" displayName="CstClcData" ref="I2:K530" tableType="queryTable" totalsRowShown="0">
  <autoFilter ref="I2:K530" xr:uid="{134646B6-3797-40D2-AE13-4F29A6C97765}"/>
  <tableColumns count="3">
    <tableColumn id="1" xr3:uid="{CBEE664A-EFCF-40E5-B2E1-D8B30E86EB81}" uniqueName="1" name="Name" queryTableFieldId="1"/>
    <tableColumn id="2" xr3:uid="{417D6573-3FDB-42B5-A0CB-36383E776EB9}" uniqueName="2" name="Attribute" queryTableFieldId="2"/>
    <tableColumn id="3" xr3:uid="{3A935565-E74F-4A4B-A5FC-1329957B6300}" uniqueName="3" name="Value" queryTableFieldId="3"/>
  </tableColumns>
  <tableStyleInfo name="TableStyleMedium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1276451-9A5A-4159-B2E1-6AB39469C7C2}" name="PInt2" displayName="PInt2" ref="N2:AF15" tableType="queryTable" totalsRowShown="0">
  <autoFilter ref="N2:AF15" xr:uid="{A1276451-9A5A-4159-B2E1-6AB39469C7C2}"/>
  <tableColumns count="19">
    <tableColumn id="5" xr3:uid="{D6A950F3-629D-4290-9B65-B0954FEE87A3}" uniqueName="5" name="PrjId" queryTableFieldId="10" dataDxfId="146"/>
    <tableColumn id="1" xr3:uid="{156DBDD3-A456-4682-8D08-435FCAC0D472}" uniqueName="1" name="VtaId" queryTableFieldId="1" dataDxfId="145"/>
    <tableColumn id="10" xr3:uid="{4B155C82-248B-4BE5-8781-3E34E59C962E}" uniqueName="10" name="InvDiv" queryTableFieldId="11" dataDxfId="144"/>
    <tableColumn id="2" xr3:uid="{8E8F4140-DCD9-4886-9ABB-64C41F6C7F4A}" uniqueName="2" name="OrdCur" queryTableFieldId="2" dataDxfId="143"/>
    <tableColumn id="4" xr3:uid="{9AA51729-B859-42A5-A781-0B5577CEF366}" uniqueName="4" name="OrdMin" queryTableFieldId="4" dataDxfId="142"/>
    <tableColumn id="11" xr3:uid="{96D91DE0-2B87-4C86-8EB7-CEA18EACF89F}" uniqueName="11" name="OrdMax" queryTableFieldId="12" dataDxfId="141"/>
    <tableColumn id="12" xr3:uid="{FDBD02C2-B2FB-4286-9BD4-2496BB4E5A04}" uniqueName="12" name="OrdIds" queryTableFieldId="13" dataDxfId="140"/>
    <tableColumn id="3" xr3:uid="{AD357951-370D-4AB4-A9F4-B78F6B27679C}" uniqueName="3" name="InvCur" queryTableFieldId="3" dataDxfId="139"/>
    <tableColumn id="9" xr3:uid="{81DBB821-7026-4841-83AC-2C00976E944A}" uniqueName="9" name="PayCur" queryTableFieldId="9" dataDxfId="138"/>
    <tableColumn id="7" xr3:uid="{7EA4AD55-F154-4B26-88DF-C30715B9247B}" uniqueName="7" name="TaxCur" queryTableFieldId="7" dataDxfId="137"/>
    <tableColumn id="6" xr3:uid="{4494C051-790E-4075-9B2F-6ABD64E92463}" uniqueName="6" name="InvMin" queryTableFieldId="6" dataDxfId="136"/>
    <tableColumn id="13" xr3:uid="{A6AF27B9-37D0-4B00-A1D3-4AC95D2FDCFA}" uniqueName="13" name="InvMax" queryTableFieldId="14" dataDxfId="135"/>
    <tableColumn id="14" xr3:uid="{183BD68A-3B74-4FE8-9024-E7339DA56976}" uniqueName="14" name="PayMin" queryTableFieldId="15" dataDxfId="134"/>
    <tableColumn id="8" xr3:uid="{CEADEA3D-DA00-4BE3-85DC-10997279F17B}" uniqueName="8" name="PayMax" queryTableFieldId="8" dataDxfId="133"/>
    <tableColumn id="15" xr3:uid="{C99A4196-73E1-40E1-A201-621F1CC74DB0}" uniqueName="15" name="InvIds" queryTableFieldId="16" dataDxfId="132"/>
    <tableColumn id="16" xr3:uid="{05708082-A9C7-4A32-AB90-83F753EAA3B5}" uniqueName="16" name="InvIrr" queryTableFieldId="17" dataDxfId="131"/>
    <tableColumn id="17" xr3:uid="{0FDF5F49-546B-4FAC-B1D8-4D5EED000E7B}" uniqueName="17" name="OrdIrr" queryTableFieldId="18" dataDxfId="130"/>
    <tableColumn id="18" xr3:uid="{A578C277-A99B-4EED-BA2D-36F784B6A7CD}" uniqueName="18" name="CusOrdId" queryTableFieldId="19" dataDxfId="129"/>
    <tableColumn id="19" xr3:uid="{9876A1DB-9847-4A1A-AADD-1F1C4F4063D4}" uniqueName="19" name="PInNxm" queryTableFieldId="20" dataDxfId="128"/>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289CBAF9-3618-47F7-9B16-2BE4BB92B41A}" name="F_RT14" displayName="F_RT14" ref="AT2:BP990" tableType="queryTable" totalsRowShown="0">
  <autoFilter ref="AT2:BP990" xr:uid="{289CBAF9-3618-47F7-9B16-2BE4BB92B41A}"/>
  <tableColumns count="23">
    <tableColumn id="1" xr3:uid="{D00EB1CD-BDE4-481E-9C3E-4F641557F38D}" uniqueName="1" name="PrjId" queryTableFieldId="1" dataDxfId="127"/>
    <tableColumn id="7" xr3:uid="{812804FE-E822-4C5F-9018-09AAD35B9B89}" uniqueName="7" name="Cia" queryTableFieldId="35" dataDxfId="126"/>
    <tableColumn id="2" xr3:uid="{49A852D2-C151-49D5-A6AA-48BDCAC9F2DC}" uniqueName="2" name="Vrs" queryTableFieldId="2" dataDxfId="125"/>
    <tableColumn id="5" xr3:uid="{018124F7-C36A-4153-A1CA-19C127EF21E6}" uniqueName="5" name="Amortz." queryTableFieldId="5" dataDxfId="124"/>
    <tableColumn id="3" xr3:uid="{5F939FC5-F073-4C72-AA76-B50C86A1B0DB}" uniqueName="3" name="Site" queryTableFieldId="31" dataDxfId="123"/>
    <tableColumn id="4" xr3:uid="{DAF336A7-AE47-4AC0-9937-6642EFC5F7C1}" uniqueName="4" name="Measure" queryTableFieldId="32" dataDxfId="122"/>
    <tableColumn id="6" xr3:uid="{3B35CBC5-22AC-43F0-904F-F1BE272738A0}" uniqueName="6" name="ActGrp" queryTableFieldId="29" dataDxfId="121"/>
    <tableColumn id="8" xr3:uid="{30BF3441-4BFD-42B8-A006-9F3BD45BCDC8}" uniqueName="8" name="1:GESTIÓN PROYECTOS" queryTableFieldId="10" dataDxfId="120"/>
    <tableColumn id="9" xr3:uid="{853FF938-5B23-48AC-82E0-070F71D0EE4D}" uniqueName="9" name="2:DEFINICIÓN" queryTableFieldId="11" dataDxfId="119"/>
    <tableColumn id="10" xr3:uid="{E42A1421-DA59-4E62-B7F6-8FE0D2601B0F}" uniqueName="10" name="3:DISEÑO MECÁNICO" queryTableFieldId="12" dataDxfId="118"/>
    <tableColumn id="11" xr3:uid="{CBD29BD3-5CFE-498A-988F-A24552046F8B}" uniqueName="11" name="4:ROBCAD" queryTableFieldId="13" dataDxfId="117"/>
    <tableColumn id="12" xr3:uid="{8058E6BF-D53D-4D4B-BFCB-062A02716746}" uniqueName="12" name="5:AUTOMATISMOS" queryTableFieldId="14" dataDxfId="116"/>
    <tableColumn id="13" xr3:uid="{51E660C8-2037-4FCC-9A56-4FAA24E0FDC6}" uniqueName="13" name="6:DISEÑO FLUIDOS" queryTableFieldId="15" dataDxfId="115"/>
    <tableColumn id="14" xr3:uid="{D4AF25EF-8D76-4E2B-B415-8C2FFDBDD64D}" uniqueName="14" name="7:ROBÓTICA" queryTableFieldId="16" dataDxfId="114"/>
    <tableColumn id="15" xr3:uid="{DA8A7925-5C18-4847-A260-4D1F5417BC18}" uniqueName="15" name="8:FABRICACIÓN MECÁNICA" queryTableFieldId="17" dataDxfId="113"/>
    <tableColumn id="16" xr3:uid="{22800AF4-E39A-4148-AFA9-ACCC983A1C05}" uniqueName="16" name="9:MONTAJE MECÁNICO" queryTableFieldId="18" dataDxfId="112"/>
    <tableColumn id="17" xr3:uid="{497ABA91-A334-4BE6-B638-06505CADA6BC}" uniqueName="17" name="10:METROLOGÍA" queryTableFieldId="19" dataDxfId="111"/>
    <tableColumn id="18" xr3:uid="{B08016FA-EBA5-49A9-B870-315E14FB4428}" uniqueName="18" name="11:FABRICACIÓN ELÉCTRICA" queryTableFieldId="20" dataDxfId="110"/>
    <tableColumn id="20" xr3:uid="{74B78259-7D2B-48AC-8729-98B3EA32C17E}" uniqueName="20" name="12:INSTALACIÓN ENR" queryTableFieldId="22" dataDxfId="109"/>
    <tableColumn id="23" xr3:uid="{F99DBD38-A03D-4867-A422-B3E52C605BC7}" uniqueName="23" name="15:MATERIAL MECÁNICO +%" queryTableFieldId="25" dataDxfId="108"/>
    <tableColumn id="24" xr3:uid="{C9EC28C1-8DC3-4C9F-84DC-AB1F47DB049A}" uniqueName="24" name="16:MATERIAL ELÉCTRICO +%" queryTableFieldId="26" dataDxfId="107"/>
    <tableColumn id="25" xr3:uid="{D7E3B08B-4482-4AE2-8680-AE3B730594DF}" uniqueName="25" name="17:MATERIAL FLUIDOS +%" queryTableFieldId="27" dataDxfId="106"/>
    <tableColumn id="26" xr3:uid="{49298E9F-CEA6-4D6C-B564-AB823786234A}" uniqueName="26" name="18:TRANSP. &amp; DESPLAZ." queryTableFieldId="28" dataDxfId="105"/>
  </tableColumns>
  <tableStyleInfo name="TableStyleMedium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ECD40F5-61D2-4D1D-856F-FE2067DE8A5B}" name="F_RT15" displayName="F_RT15" ref="AI2:AO4530" tableType="queryTable" totalsRowShown="0">
  <autoFilter ref="AI2:AO4530" xr:uid="{0ECD40F5-61D2-4D1D-856F-FE2067DE8A5B}"/>
  <tableColumns count="7">
    <tableColumn id="1" xr3:uid="{1AF269A6-79C2-46B9-A891-86D691D2BFF4}" uniqueName="1" name="PrjId" queryTableFieldId="1" dataDxfId="104"/>
    <tableColumn id="7" xr3:uid="{BF5A46F6-7331-4815-9497-59491033EEAE}" uniqueName="7" name="Cia" queryTableFieldId="9"/>
    <tableColumn id="2" xr3:uid="{8796C934-89C8-40C7-A081-CE500C2ECDF2}" uniqueName="2" name="Vrs" queryTableFieldId="2" dataDxfId="103"/>
    <tableColumn id="5" xr3:uid="{9C88F43B-F00D-4B0D-B59D-4915682F64ED}" uniqueName="5" name="Site" queryTableFieldId="5" dataDxfId="102"/>
    <tableColumn id="6" xr3:uid="{724C8CE1-A1E4-44BC-9B05-333AF6F16F3C}" uniqueName="6" name="Measure" queryTableFieldId="6" dataDxfId="101"/>
    <tableColumn id="3" xr3:uid="{672E340E-DC94-4529-B368-E76E019B7556}" uniqueName="3" name="Módulo" queryTableFieldId="3" dataDxfId="100"/>
    <tableColumn id="4" xr3:uid="{2E936D37-6F2F-41B4-B46B-DD2E7D053FE9}" uniqueName="4" name="Attribute" queryTableFieldId="4" dataDxfId="99"/>
  </tableColumns>
  <tableStyleInfo name="TableStyleMedium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F59DDA4-5BFC-4928-AB76-4E470A0BE306}" name="F_RT13" displayName="F_RT13" ref="CF2:CS69" tableType="queryTable" totalsRowShown="0">
  <autoFilter ref="CF2:CS69" xr:uid="{EF59DDA4-5BFC-4928-AB76-4E470A0BE306}"/>
  <tableColumns count="14">
    <tableColumn id="1" xr3:uid="{FBA19D3C-F505-43B7-99E4-33CD350591C1}" uniqueName="1" name="PrjId" queryTableFieldId="1" dataDxfId="98"/>
    <tableColumn id="2" xr3:uid="{2156E956-CD3D-4FB9-9752-7ABBB129421F}" uniqueName="2" name="Vrs" queryTableFieldId="2" dataDxfId="97"/>
    <tableColumn id="3" xr3:uid="{7691DFB8-E3F7-4A9C-B1AA-B7E0C5C1A6A7}" uniqueName="3" name="CurOpt" queryTableFieldId="3" dataDxfId="96"/>
    <tableColumn id="4" xr3:uid="{FC888575-7C06-4489-9CDB-C0523F1DD609}" uniqueName="4" name="CurPpto" queryTableFieldId="4" dataDxfId="95"/>
    <tableColumn id="5" xr3:uid="{C9C84262-69DA-43F7-BE66-961EA055C2F7}" uniqueName="5" name="CurInt" queryTableFieldId="5" dataDxfId="94"/>
    <tableColumn id="6" xr3:uid="{AE6F4838-DDF7-468F-A5D6-62A18417AFC3}" uniqueName="6" name="CurExt" queryTableFieldId="6" dataDxfId="93"/>
    <tableColumn id="7" xr3:uid="{14CA596C-FE43-40A0-BF70-37E0D1F3055D}" uniqueName="7" name="HrsOpt" queryTableFieldId="7" dataDxfId="92"/>
    <tableColumn id="8" xr3:uid="{26DC4A6B-B780-4751-9EDC-D84A2330211E}" uniqueName="8" name="HrsPpto" queryTableFieldId="8" dataDxfId="91"/>
    <tableColumn id="9" xr3:uid="{33E3619B-79A3-4599-B8A4-51C5BF78FF69}" uniqueName="9" name="HrsInt" queryTableFieldId="9" dataDxfId="90"/>
    <tableColumn id="10" xr3:uid="{DB997485-FE9F-4F10-86B3-F8A7BD9639D7}" uniqueName="10" name="HrsExt" queryTableFieldId="10" dataDxfId="89"/>
    <tableColumn id="11" xr3:uid="{036AF509-062B-42FE-A801-60CCD4C2F1F0}" uniqueName="11" name="AvgPpto" queryTableFieldId="11" dataDxfId="88"/>
    <tableColumn id="12" xr3:uid="{B7CF58FD-EB17-41D7-B85E-66EE1BAFEC61}" uniqueName="12" name="AvgInE" queryTableFieldId="12" dataDxfId="87" dataCellStyle="Percent"/>
    <tableColumn id="13" xr3:uid="{744B8052-CFD0-49A2-AC78-937AF9A5EEF8}" uniqueName="13" name="AvgCur" queryTableFieldId="13" dataDxfId="86" dataCellStyle="Percent"/>
    <tableColumn id="14" xr3:uid="{84DFA2F9-3218-442C-8B9E-FEE13429827A}" uniqueName="14" name="Merged" queryTableFieldId="14" dataDxfId="85"/>
  </tableColumns>
  <tableStyleInfo name="TableStyleMedium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C1952941-A388-43E7-9669-63688EF2F641}" name="SchPdt3" displayName="SchPdt3" ref="CV2:CZ267" tableType="queryTable" totalsRowShown="0">
  <autoFilter ref="CV2:CZ267" xr:uid="{C1952941-A388-43E7-9669-63688EF2F641}"/>
  <tableColumns count="5">
    <tableColumn id="10" xr3:uid="{A12B1009-7014-4DD7-A25C-4837FA55386C}" uniqueName="10" name="Wks" queryTableFieldId="10" dataDxfId="84"/>
    <tableColumn id="12" xr3:uid="{FEAD7531-0057-4D4B-A829-D714AF103F15}" uniqueName="12" name="PrjId" queryTableFieldId="12" dataDxfId="83"/>
    <tableColumn id="11" xr3:uid="{99837167-8072-49FF-A448-EC00C4328A7F}" uniqueName="11" name="Column" queryTableFieldId="11" dataDxfId="82"/>
    <tableColumn id="13" xr3:uid="{29D560F5-B0EC-4AE3-B293-C5E3F80AFDB1}" uniqueName="13" name="Row" queryTableFieldId="13" dataDxfId="81"/>
    <tableColumn id="1" xr3:uid="{756C8590-BCA5-4C29-9B6E-1C7838146864}" uniqueName="1" name="Value" queryTableFieldId="25" dataDxfId="80"/>
  </tableColumns>
  <tableStyleInfo name="TableStyleMedium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7598AAA-957A-4D5B-8282-680A4AC37700}" name="FrmBB1" displayName="FrmBB1" ref="DC2:DG135" tableType="queryTable" totalsRowShown="0">
  <autoFilter ref="DC2:DG135" xr:uid="{87598AAA-957A-4D5B-8282-680A4AC37700}"/>
  <tableColumns count="5">
    <tableColumn id="1" xr3:uid="{E476ED9D-03DA-428F-87D1-739BDDFF237E}" uniqueName="1" name="PrjId" queryTableFieldId="1" dataDxfId="79"/>
    <tableColumn id="2" xr3:uid="{1E732B25-A588-4734-9FD2-A69BEB78A5AC}" uniqueName="2" name="Cia" queryTableFieldId="2" dataDxfId="78"/>
    <tableColumn id="3" xr3:uid="{F29DE7F9-62AA-4581-B4E6-35C09D4402EF}" uniqueName="3" name="Row" queryTableFieldId="3" dataDxfId="77"/>
    <tableColumn id="4" xr3:uid="{EFB32457-3093-4588-ACAA-BDA448862745}" uniqueName="4" name="Column" queryTableFieldId="4" dataDxfId="76"/>
    <tableColumn id="5" xr3:uid="{2F601B89-1F3B-4337-9A06-C19CB9771FF3}" uniqueName="5" name="Cur" queryTableFieldId="5" dataDxfId="75"/>
  </tableColumns>
  <tableStyleInfo name="TableStyleMedium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30268DE-7EF8-42E1-85F9-F711CA8C9725}" name="FrmBH3" displayName="FrmBH3" ref="DJ2:DP45" tableType="queryTable" totalsRowShown="0">
  <autoFilter ref="DJ2:DP45" xr:uid="{D30268DE-7EF8-42E1-85F9-F711CA8C9725}"/>
  <tableColumns count="7">
    <tableColumn id="1" xr3:uid="{B29EABCF-B61F-4582-8A76-5619A687E6ED}" uniqueName="1" name="PrjId" queryTableFieldId="1" dataDxfId="74"/>
    <tableColumn id="2" xr3:uid="{4B9C2FC8-06D5-48B8-9269-421C24270B17}" uniqueName="2" name="Cia" queryTableFieldId="2" dataDxfId="73"/>
    <tableColumn id="3" xr3:uid="{2DCCDB6F-E66A-45B6-A79F-33124CAC3BDF}" uniqueName="3" name="OFbId" queryTableFieldId="3" dataDxfId="72"/>
    <tableColumn id="4" xr3:uid="{4D324B69-EB38-42A0-B694-88500E67B4E8}" uniqueName="4" name="OFbNam" queryTableFieldId="4" dataDxfId="71"/>
    <tableColumn id="5" xr3:uid="{2DFCB8A1-9275-44BB-85C9-2979D710A4C1}" uniqueName="5" name="OFbNem" queryTableFieldId="5" dataDxfId="70"/>
    <tableColumn id="6" xr3:uid="{8018EB3C-944B-4BB1-815E-B8255ECB10FB}" uniqueName="6" name="RowId" queryTableFieldId="6" dataDxfId="69"/>
    <tableColumn id="7" xr3:uid="{248E97E1-BE2D-4666-B61D-7D0B6F09C259}" uniqueName="7" name="Custom" queryTableFieldId="7" dataDxfId="68"/>
  </tableColumns>
  <tableStyleInfo name="TableStyleMedium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CC9DACC6-F14E-4422-B65D-8AB9B2EE2BE9}" name="F_PI2" displayName="F_PI2" ref="DS2:DW6" tableType="queryTable" totalsRowShown="0" headerRowDxfId="67" dataDxfId="66" dataCellStyle="Normal 8">
  <autoFilter ref="DS2:DW6" xr:uid="{CC9DACC6-F14E-4422-B65D-8AB9B2EE2BE9}"/>
  <tableColumns count="5">
    <tableColumn id="1" xr3:uid="{C84FA149-A5E1-4BB1-AC38-193FA7CC140F}" uniqueName="1" name="PrjOrd" queryTableFieldId="5" dataDxfId="65" dataCellStyle="Normal 8"/>
    <tableColumn id="3" xr3:uid="{E2A9A3A1-0C6D-4D2E-BEE0-A697BC5AEC08}" uniqueName="3" name="PrjId" queryTableFieldId="6" dataDxfId="64" dataCellStyle="Normal 8"/>
    <tableColumn id="4" xr3:uid="{167B7C94-04B2-49D7-B8CE-0D8C19FF1263}" uniqueName="4" name="PIntVrs" queryTableFieldId="7" dataDxfId="63" dataCellStyle="Normal 8"/>
    <tableColumn id="5" xr3:uid="{19431B22-3C24-4777-B89B-9F71095925BB}" uniqueName="5" name="PIntOrd" queryTableFieldId="8" dataDxfId="62" dataCellStyle="Normal 8"/>
    <tableColumn id="2" xr3:uid="{E5191F71-A2C7-4B84-900A-DA1C20F48C9E}" uniqueName="2" name="Cia" queryTableFieldId="13" dataDxfId="61" dataCellStyle="Normal 8"/>
  </tableColumns>
  <tableStyleInfo name="TableStyleMedium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2CD0D40-1E74-B140-99B0-92094EF99920}" name="F_BN8" displayName="F_BN8" ref="DZ2:EL158" tableType="queryTable" totalsRowShown="0" headerRowDxfId="60" dataDxfId="59">
  <autoFilter ref="DZ2:EL158" xr:uid="{42CD0D40-1E74-B140-99B0-92094EF99920}"/>
  <tableColumns count="13">
    <tableColumn id="2" xr3:uid="{974F1483-B11A-4E4D-9CA2-852E97BAFADF}" uniqueName="2" name="PrjId" queryTableFieldId="16" dataDxfId="58"/>
    <tableColumn id="7" xr3:uid="{738AB4F2-A55B-42F6-AA53-99B925F54ED8}" uniqueName="7" name="Cia" queryTableFieldId="37" dataDxfId="57"/>
    <tableColumn id="3" xr3:uid="{146BA2A5-05D4-364C-80FE-F8C3CFC5E5D8}" uniqueName="3" name="Vrs" queryTableFieldId="3" dataDxfId="56"/>
    <tableColumn id="10" xr3:uid="{E867362F-AC3C-45EA-8F74-FFA5338288B4}" uniqueName="10" name="Compo" queryTableFieldId="17" dataDxfId="55"/>
    <tableColumn id="8" xr3:uid="{6F29FB0D-D1B6-4787-BAE1-025224FAC10A}" uniqueName="8" name="Amortz." queryTableFieldId="13" dataDxfId="54"/>
    <tableColumn id="11" xr3:uid="{51B49526-6CDA-4925-99CA-0FACC417146E}" uniqueName="11" name="IntExt" queryTableFieldId="18" dataDxfId="53" dataCellStyle="Percent"/>
    <tableColumn id="4" xr3:uid="{1EF2F7A8-0F3A-4B57-BEE1-8C09A619276D}" uniqueName="4" name="IntCur" queryTableFieldId="31" dataDxfId="52" dataCellStyle="Percent"/>
    <tableColumn id="5" xr3:uid="{B4FAA669-5CC9-4DFF-A343-47ECFD951336}" uniqueName="5" name="ExtCur" queryTableFieldId="32" dataDxfId="51"/>
    <tableColumn id="12" xr3:uid="{580C11F8-814F-4FF2-86FB-1CFCE50B8554}" uniqueName="12" name="GrpInE" queryTableFieldId="19" dataDxfId="50"/>
    <tableColumn id="1" xr3:uid="{8FACF2F8-799F-4408-BA81-1A384B1C9E49}" uniqueName="1" name="RowPI" queryTableFieldId="8" dataDxfId="49"/>
    <tableColumn id="13" xr3:uid="{E738F0A0-2942-4DF8-8D6F-7053E89DDA34}" uniqueName="13" name="RowPpto" queryTableFieldId="20" dataDxfId="48"/>
    <tableColumn id="6" xr3:uid="{D6BC7279-F1BC-1148-BB28-FA4BB8578FA7}" uniqueName="6" name="Assign" queryTableFieldId="6" dataDxfId="47"/>
    <tableColumn id="9" xr3:uid="{3EA560D4-29DD-44F9-9BF3-C4269AC65C23}" uniqueName="9" name="Attribute2" queryTableFieldId="14" dataDxfId="46"/>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4C4C443-D463-1045-B91B-6634C493261E}" name="TbPPtoPrev" displayName="TbPPtoPrev" ref="EP2:EV456" tableType="queryTable" totalsRowShown="0">
  <autoFilter ref="EP2:EV456" xr:uid="{44C4C443-D463-1045-B91B-6634C493261E}"/>
  <tableColumns count="7">
    <tableColumn id="6" xr3:uid="{5D20CFB1-F47E-DB45-AEB4-1FBD6564D840}" uniqueName="6" name="PrjId" queryTableFieldId="6" dataDxfId="45"/>
    <tableColumn id="7" xr3:uid="{B404F1C4-4D65-4F4A-A3A3-5E7A3DE39B22}" uniqueName="7" name="Cia" queryTableFieldId="7" dataDxfId="44"/>
    <tableColumn id="1" xr3:uid="{9B13D3E2-9D66-E34A-93DC-0B41CEFBB15E}" uniqueName="1" name="Row" queryTableFieldId="1" dataDxfId="43"/>
    <tableColumn id="2" xr3:uid="{62F2D62B-8A72-E447-B43B-985918E62DFB}" uniqueName="2" name="Column" queryTableFieldId="2" dataDxfId="42"/>
    <tableColumn id="3" xr3:uid="{44F6E0C5-0292-0745-BC8B-BDEE9DBCD7C6}" uniqueName="3" name="Wks" queryTableFieldId="3" dataDxfId="41"/>
    <tableColumn id="4" xr3:uid="{D0E5E5B2-6034-C348-9840-BFE3BDA5F47E}" uniqueName="4" name="Origin" queryTableFieldId="4" dataDxfId="40"/>
    <tableColumn id="5" xr3:uid="{1CC09065-6A90-3247-8AD5-4E5EB1E82545}" uniqueName="5" name="Value" queryTableFieldId="5" dataDxfId="39"/>
  </tableColumns>
  <tableStyleInfo name="TableStyleMedium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B9510E0-B616-42EA-9010-AE38BDF4FD76}" name="DhB7_" displayName="DhB7_" ref="EY2:EZ19" tableType="queryTable" totalsRowShown="0" headerRowDxfId="38" dataDxfId="37">
  <autoFilter ref="EY2:EZ19" xr:uid="{4B9510E0-B616-42EA-9010-AE38BDF4FD76}"/>
  <tableColumns count="2">
    <tableColumn id="1" xr3:uid="{0AF8BAF0-666E-462A-9446-3EDC927DE06F}" uniqueName="1" name="GrpId" queryTableFieldId="1" dataDxfId="36"/>
    <tableColumn id="2" xr3:uid="{68A0C3EE-38F0-4A03-A488-2FD00D6AC2D5}" uniqueName="2" name="Index" queryTableFieldId="2" dataDxfId="35"/>
  </tableColumns>
  <tableStyleInfo name="TableStyleMedium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35BEFC4-F6CF-43E3-92AE-5BBBDB826507}" name="TbAssign" displayName="TbAssign" ref="C3:P49" totalsRowShown="0" headerRowCellStyle="Normal 3">
  <autoFilter ref="C3:P49" xr:uid="{535BEFC4-F6CF-43E3-92AE-5BBBDB826507}"/>
  <tableColumns count="14">
    <tableColumn id="6" xr3:uid="{BFA992A6-D2D2-4FB2-A0CB-47139BCD9F2B}" name="Project" dataCellStyle="Normal 3"/>
    <tableColumn id="4" xr3:uid="{3CCE95D9-AE01-014C-BC34-275287EC784B}" name="RowId"/>
    <tableColumn id="1" xr3:uid="{B0C9230D-F330-495A-AABE-269FBFFA3E41}" name="Puesto" dataCellStyle="Normal 3"/>
    <tableColumn id="2" xr3:uid="{3D39C49F-2B5D-4BD2-9220-9A6DE22BAF19}" name="Módulo" dataCellStyle="Normal 3"/>
    <tableColumn id="3" xr3:uid="{C60612B0-AC63-4808-8C29-270733462D4C}" name="O.F." dataCellStyle="Normal 3">
      <calculatedColumnFormula array="1">_xlfn._xlws.FILTER(#REF!,(#REF!=TbAssign[[#This Row],[Project]])*(#REF!=TbAssign[[#This Row],[O.F.Name]]),"X")</calculatedColumnFormula>
    </tableColumn>
    <tableColumn id="5" xr3:uid="{ABD3FAEB-A13F-4BBB-B836-02737A57E799}" name="O.F.Name" dataCellStyle="Normal 3"/>
    <tableColumn id="13" xr3:uid="{C2383625-1DA4-4E81-BC10-49083EA17B3F}" name="Cia"/>
    <tableColumn id="14" xr3:uid="{B6D25649-A236-464F-87C3-F04FD32053B9}" name="Position" dataDxfId="30"/>
    <tableColumn id="7" xr3:uid="{8E68F36E-FF2A-1547-BA05-B71A76D66048}" name="(C)ell_x000a_(T)ool"/>
    <tableColumn id="8" xr3:uid="{945DF8E9-06CC-B94E-9FD6-C748673FBFF8}" name="(M)echanic_x000a_(A)utomation"/>
    <tableColumn id="9" xr3:uid="{225B2D75-AED6-514A-8195-C497D82BB6D5}" name="(@S)erra_x000a_(@P)lant"/>
    <tableColumn id="10" xr3:uid="{7C10D7A2-9618-254A-9F4E-509CCDE26D09}" name="(I)nternal_x000a_(E)xternal"/>
    <tableColumn id="11" xr3:uid="{8E12104A-EB03-4177-A5A0-8AAAA3FDF241}" name="(H)ours_x000a_(M)aterial_x000a_(E)xpenses"/>
    <tableColumn id="12" xr3:uid="{C6BD9AE0-985A-43B6-B3C6-746E20F8AB76}" name="FrmSch"/>
  </tableColumns>
  <tableStyleInfo name="TableStyleMedium9"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1EF3FB-BFCD-42B6-88F7-C2BE0EBEE68C}" name="PptoSty" displayName="PptoSty" ref="C4:AC254" totalsRowShown="0">
  <autoFilter ref="C4:AC254" xr:uid="{68286251-D8EE-4488-9CE9-4B6FBE3D4272}"/>
  <tableColumns count="27">
    <tableColumn id="1" xr3:uid="{EC58B326-90D4-49A4-AACE-017AC53D403A}" name="DATE"/>
    <tableColumn id="5" xr3:uid="{57F67ED4-CB6A-4187-978F-098B91F2313A}" name="Cia" dataCellStyle="Normal 3"/>
    <tableColumn id="18" xr3:uid="{61F20CE3-EDD7-CC44-B2C8-49A05576EE7F}" name="POvsCT" dataCellStyle="Normal 3"/>
    <tableColumn id="19" xr3:uid="{5483011D-AE5E-4843-A329-EBEADFD33ED4}" name="Num" dataCellStyle="Normal 3"/>
    <tableColumn id="12" xr3:uid="{15829E7B-626E-441E-964A-FE5C7AA40DD3}" name="Project" dataCellStyle="Normal 3"/>
    <tableColumn id="16" xr3:uid="{C4332E8E-D133-4409-BE9F-FC510A719F95}" name="Vrs" dataCellStyle="Normal 3"/>
    <tableColumn id="2" xr3:uid="{E37B55C4-1D57-4777-B590-490153586924}" name="RowGrp">
      <calculatedColumnFormula array="1">IFERROR(_xlfn.UNIQUE(_xlfn.TEXTBEFORE(_xlfn._xlws.FILTER(F_RT14[ActGrp],(F_RT14[Measure]="CurPpto")*(F_RT14[Vrs]=PptoSty[[#This Row],[Vrs]])*(_xlfn.TEXTAFTER(F_RT14[ActGrp],":")=PptoSty[[#This Row],[PiRow]]),"X"),":")),"X")</calculatedColumnFormula>
    </tableColumn>
    <tableColumn id="10" xr3:uid="{AE5F4A18-3D39-4FAF-876C-B9CECC0D27DA}" name="Nature" dataCellStyle="Normal 3">
      <calculatedColumnFormula array="1">IF(OR(PptoSty[[#This Row],[Project]]="",PptoSty[[#This Row],[Project]]="X"),"X",_xlfn.UNIQUE(_xlfn._xlws.FILTER(CstGrpS[Nature],ISNUMBER(FIND(SUBSTITUTE(PptoSty[[#This Row],[PiColumn]]," +%",""),UPPER(SUBSTITUTE(CstGrpS[GrpPrv],"  "," ")))),"X")))</calculatedColumnFormula>
    </tableColumn>
    <tableColumn id="3" xr3:uid="{3996B59A-D323-480D-B874-4893DA63CBDC}" name="PiRow"/>
    <tableColumn id="4" xr3:uid="{527B6145-C19D-492E-9A95-D8A5E49249C7}" name="PiColumn"/>
    <tableColumn id="25" xr3:uid="{FB813D04-0896-4684-8BDD-2C8662CFEA41}" name="Site" dataCellStyle="Normal 3"/>
    <tableColumn id="14" xr3:uid="{DE9BB75C-84B7-480E-B04D-B8511A7D930E}" name="Sub Line" dataCellStyle="Normal 3">
      <calculatedColumnFormula>IFERROR(_xlfn.TEXTAFTER(PptoSty[[#This Row],[PiRow]],":",IF(LEFT(PptoSty[[#This Row],[PiRow]],LEN("SUB TOTAL"))="SUB TOTAL",2,1),,,"X"),"X")</calculatedColumnFormula>
    </tableColumn>
    <tableColumn id="13" xr3:uid="{16F7E5A8-95C5-47CC-BE67-A719EAA19F0A}" name="Amortization" dataCellStyle="Normal 3">
      <calculatedColumnFormula array="1">IF(OR(PptoSty[[#This Row],[Project]]="",PptoSty[[#This Row],[Project]]="X"),"X",_xlfn.UNIQUE(_xlfn._xlws.FILTER(F_RT14[Amortz.],(F_RT14[Measure]="CurPpto")*(F_RT14[PrjId]=PptoSty[[#This Row],[Project]])*(F_RT14[Vrs]=PptoSty[[#This Row],[Vrs]])*(_xlfn.TEXTAFTER(F_RT14[ActGrp],":")=PptoSty[[#This Row],[PiRow]]),"X")))</calculatedColumnFormula>
    </tableColumn>
    <tableColumn id="6" xr3:uid="{7948F591-5F34-4DA4-B33C-8E9654E79426}" name="PptoVsRow"/>
    <tableColumn id="8" xr3:uid="{E14FB28E-5500-4C78-9A62-73159EB488A6}" name="PptoVsColumn"/>
    <tableColumn id="9" xr3:uid="{E9081814-8A58-43E2-A604-934A3477A78B}" name="Sign"/>
    <tableColumn id="11" xr3:uid="{730DE9F5-E2CE-4198-8BEA-223F66B73103}" name="Division" dataCellStyle="Normal 3"/>
    <tableColumn id="15" xr3:uid="{EEF673AC-2318-4062-9EAB-036485CC5219}" name="Limit" dataCellStyle="Percent">
      <calculatedColumnFormula array="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calculatedColumnFormula>
    </tableColumn>
    <tableColumn id="7" xr3:uid="{D31FA8BB-F589-4E8E-80EA-66BDF23E54C7}" name="CurPpto">
      <calculatedColumnFormula array="1">IFERROR((1/PptoSty[[#This Row],[Division]])*IF(PptoSty[[#This Row],[Sign]]="+",1,-1)*(IF(PptoSty[[#This Row],[POvsCT]]="PO",SUM(_xlfn.CHOOSECOLS(_xlfn._xlws.FILTER(F_RT14[],(IF($M5="X",TRUE,F_RT14[Site]=$M5))*(F_RT14[Measure]=U$4)*(F_RT14[PrjId]=PptoSty[[#This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calculatedColumnFormula>
    </tableColumn>
    <tableColumn id="20" xr3:uid="{97481D0C-8B94-41CD-AA2E-8186D70F73DF}" name="CurInt" dataCellStyle="Normal 3">
      <calculatedColumnFormula array="1">IFERROR((1/PptoSty[[#This Row],[Division]])*IF(PptoSty[[#This Row],[Sign]]="+",1,-1)*(IF(PptoSty[[#This Row],[POvsCT]]="PO",SUM(_xlfn.CHOOSECOLS(_xlfn._xlws.FILTER(F_RT14[],(IF($M5="X",TRUE,F_RT14[Site]=$M5))*(F_RT14[Measure]=V$4)*(F_RT14[PrjId]=PptoSty[[#This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calculatedColumnFormula>
    </tableColumn>
    <tableColumn id="24" xr3:uid="{048FEF46-4E83-4994-B156-DFBEF837C272}" name="CurExt" dataCellStyle="Normal 3">
      <calculatedColumnFormula array="1">IFERROR((1/PptoSty[[#This Row],[Division]])*IF(PptoSty[[#This Row],[Sign]]="+",1,-1)*(IF(PptoSty[[#This Row],[POvsCT]]="PO",SUM(_xlfn.CHOOSECOLS(_xlfn._xlws.FILTER(F_RT14[],(IF($M5="X",TRUE,F_RT14[Site]=$M5))*(F_RT14[Measure]=W$4)*(F_RT14[PrjId]=PptoSty[[#This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calculatedColumnFormula>
    </tableColumn>
    <tableColumn id="23" xr3:uid="{7068A460-CD73-41E2-8DE5-26F7E1CB0C76}" name="HrsPpto" dataCellStyle="Normal 3">
      <calculatedColumnFormula array="1">IFERROR(IF(PptoSty[[#This Row],[Nature]]&lt;&gt;"Hrs",0,(1/PptoSty[[#This Row],[Division]])*IF(PptoSty[[#This Row],[Sign]]="+",1,-1)*(IF(PptoSty[[#This Row],[POvsCT]]="PO",SUM(_xlfn.CHOOSECOLS(_xlfn._xlws.FILTER(F_RT14[],(IF($M5="X",TRUE,F_RT14[Site]=$M5))*(F_RT14[Measure]=X$4)*(F_RT14[PrjId]=PptoSty[[#This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calculatedColumnFormula>
    </tableColumn>
    <tableColumn id="22" xr3:uid="{C653B736-A2A6-41F4-95B3-813F3B3F3AC8}" name="HrsInt" dataCellStyle="Normal 3">
      <calculatedColumnFormula array="1">IFERROR(IF(PptoSty[[#This Row],[Nature]]&lt;&gt;"Hrs",0,(1/PptoSty[[#This Row],[Division]])*IF(PptoSty[[#This Row],[Sign]]="+",1,-1)*(IF(PptoSty[[#This Row],[POvsCT]]="PO",SUM(_xlfn.CHOOSECOLS(_xlfn._xlws.FILTER(F_RT14[],(IF($M5="X",TRUE,F_RT14[Site]=$M5))*(F_RT14[Measure]=Y$4)*(F_RT14[PrjId]=PptoSty[[#This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calculatedColumnFormula>
    </tableColumn>
    <tableColumn id="21" xr3:uid="{F0E78025-9AAA-40F0-95FE-E14C47706D91}" name="HrsExt" dataCellStyle="Normal 3">
      <calculatedColumnFormula array="1">IFERROR(IF(PptoSty[[#This Row],[Nature]]&lt;&gt;"Hrs",0,(1/PptoSty[[#This Row],[Division]])*IF(PptoSty[[#This Row],[Sign]]="+",1,-1)*(IF(PptoSty[[#This Row],[POvsCT]]="PO",SUM(_xlfn.CHOOSECOLS(_xlfn._xlws.FILTER(F_RT14[],(IF($M5="X",TRUE,F_RT14[Site]=$M5))*(F_RT14[Measure]=Z$4)*(F_RT14[PrjId]=PptoSty[[#This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calculatedColumnFormula>
    </tableColumn>
    <tableColumn id="17" xr3:uid="{E0E1F78C-02F1-4198-9506-BF66D5D1F8B7}" name="AcuCurPpto" dataCellStyle="Normal 3"/>
    <tableColumn id="26" xr3:uid="{EC0BE45E-7FEC-41A6-A632-869428F519BE}" name="AcuCurInt" dataCellStyle="Normal 3"/>
    <tableColumn id="27" xr3:uid="{2D5A3DDF-61BB-4342-A18E-A028ACB185AD}" name="AcuCurExt" dataCellStyle="Normal 3"/>
  </tableColumns>
  <tableStyleInfo name="TableStyleMedium10"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68266C-DEF7-4550-BCAD-549C4EF46ECF}" name="PrvSty" displayName="PrvSty" ref="C4:V166" totalsRowShown="0">
  <autoFilter ref="C4:V166" xr:uid="{81C33FB2-538D-451A-8CC3-157670530299}"/>
  <tableColumns count="20">
    <tableColumn id="1" xr3:uid="{DD64C3A2-E6A3-470A-B5B8-2365C7DBC671}" name="Date"/>
    <tableColumn id="15" xr3:uid="{170B99FA-FC51-4685-B205-DEB9F03F7489}" name="Cia" dataCellStyle="Normal 3"/>
    <tableColumn id="7" xr3:uid="{CA58239B-B879-224D-913C-7DDB466BA906}" name="Project" dataCellStyle="Normal 3"/>
    <tableColumn id="2" xr3:uid="{173442A2-06DA-4F3D-BB81-7B5884676EE5}" name="Row"/>
    <tableColumn id="3" xr3:uid="{70FB7AD3-823A-44A4-BEE4-B5837AD05CB9}" name="Column"/>
    <tableColumn id="4" xr3:uid="{B64FD06C-726A-49A5-999C-2FE3828531CE}" name="Ppto">
      <calculatedColumnFormula array="1">IFERROR(INDIRECT(ADDRESS(MATCH($F5,INDIRECT("'"&amp;#REF!&amp;"'!C"&amp;MATCH("MÓDULO:",INDIRECT("'"&amp;#REF!&amp;"'!"&amp;LngS&amp;MATCH("PUESTO:",INDIRECT("'"&amp;#REF!&amp;"'!C1",FALSE),0),FALSE),0),FALSE),0),MATCH($G5&amp;":",INDIRECT("'"&amp;#REF!&amp;"'!"&amp;LngS&amp;MATCH("PUESTO:",INDIRECT("'"&amp;#REF!&amp;"'!C1",FALSE),0),FALSE),0),4,1,#REF!))-SUM(#REF!),"X")</calculatedColumnFormula>
    </tableColumn>
    <tableColumn id="8" xr3:uid="{97AD7CA6-AB92-4440-B943-D4174EE7EB22}" name="Real:SERRA">
      <calculatedColumnFormula array="1">IFERROR(SUM(_xlfn._xlws.FILTER(#REF!,(#REF!=TEXT($E5,"@"))*(#REF!=$F5)*(#REF!=_xlfn.LET(_xlpm.x,_xlfn.TEXTBEFORE($G5," ("),IFERROR(_xlpm.x,$G5))&amp;" SERRA"),0)),"X")</calculatedColumnFormula>
    </tableColumn>
    <tableColumn id="5" xr3:uid="{EC5B6E95-E88D-43DA-AC6D-7387035043F6}" name="Real:EXT.">
      <calculatedColumnFormula array="1">IFERROR(SUM(_xlfn._xlws.FILTER(#REF!,(#REF!=TEXT($E5,"@"))*(#REF!=$F5)*(#REF!=_xlfn.LET(_xlpm.x,_xlfn.TEXTBEFORE($G5," ("),IFERROR(_xlpm.x,$G5))&amp;" EXT."),0)),"X")</calculatedColumnFormula>
    </tableColumn>
    <tableColumn id="9" xr3:uid="{FC54F6C4-1521-44EA-B436-38CB9A2AA39C}" name="DsvAbs:SERRA" dataDxfId="28"/>
    <tableColumn id="6" xr3:uid="{ADA62B41-2951-4DDE-9F6C-E4E55A7CF4E1}" name="DsvAbs:EXT." dataDxfId="27"/>
    <tableColumn id="12" xr3:uid="{3C0C1522-1687-413A-B0B6-DFD9CD4CCFE4}" name="DesAvg:Real" dataCellStyle="Percent">
      <calculatedColumnFormula>IF(SUM(H5,K5,L5)=0,IF(SUM(I5,J5)&gt;0,1,0),1-SUM(PrvSty[[#This Row],[Real:SERRA]],PrvSty[[#This Row],[Real:EXT.]])/SUM(PrvSty[[#This Row],[Ppto]],#REF!,PrvSty[[#This Row],[DsvAbs:SERRA]],PrvSty[[#This Row],[DsvAbs:EXT.]]))</calculatedColumnFormula>
    </tableColumn>
    <tableColumn id="10" xr3:uid="{68ACD4C6-2516-47CA-973E-065C369DF35E}" name="DesvTyp"/>
    <tableColumn id="16" xr3:uid="{09077BA0-BF4C-4F6B-B7BC-4D8B4D75493B}" name="DsvValue:SERRA" dataCellStyle="Normal 3">
      <calculatedColumnFormula>IF(PrvSty[[#This Row],[Date]]&gt;#REF!,"X",SUM(PrvSty[[#This Row],[DsvAbs:SERRA]],IF(SUM(PrvSty[[#This Row],[DesvTyp]])=0,0,SUM(PrvSty[[#This Row],[Real:SERRA]:[Real:EXT.]])*(PrvSty[[#This Row],[DesvTyp]])*IF(SUM(#REF!)=0,IFERROR(SUM(PrvSty[[#This Row],[Real:SERRA]])/SUM(PrvSty[[#This Row],[Real:SERRA]:[Real:EXT.]]),IF(SUM(PrvSty[[#This Row],[Real:SERRA]])=0,0,1)),#REF!))))</calculatedColumnFormula>
    </tableColumn>
    <tableColumn id="17" xr3:uid="{497D4E92-A273-4BFE-809A-75358A7CE8FC}" name="DsvValue:EXT." dataCellStyle="Normal 3">
      <calculatedColumnFormula>IF(PrvSty[[#This Row],[Date]]&gt;#REF!,"X",SUM(PrvSty[[#This Row],[DsvAbs:EXT.]],IF(SUM(PrvSty[[#This Row],[DesvTyp]])=0,0,SUM(PrvSty[[#This Row],[Real:SERRA]:[Real:EXT.]])*(PrvSty[[#This Row],[DesvTyp]])*(1-IF(SUM(#REF!)=0,IFERROR(SUM(PrvSty[[#This Row],[Real:SERRA]])/SUM(PrvSty[[#This Row],[Real:SERRA]:[Real:EXT.]]),IF(SUM(PrvSty[[#This Row],[Real:SERRA]])=0,0,1)),#REF!)))))</calculatedColumnFormula>
    </tableColumn>
    <tableColumn id="18" xr3:uid="{4FAD1E62-B1BF-4B26-A25C-8A6B9B0581C6}" name="RemImpv"/>
    <tableColumn id="23" xr3:uid="{838D398A-E013-46D4-BFB5-D5576BEB53A4}" name="AcumInt" dataCellStyle="Normal 3"/>
    <tableColumn id="19" xr3:uid="{A8682850-33FF-4850-8F82-B6419CAB1040}" name="AcumExt" dataDxfId="26" dataCellStyle="Normal 3"/>
    <tableColumn id="13" xr3:uid="{79903084-78A5-4797-9DC3-754006D3E3A5}" name="HrsPrv:SERRA" dataCellStyle="Normal 3"/>
    <tableColumn id="14" xr3:uid="{DAC58787-58CE-466C-8FBE-C89AF3AB6E0A}" name="HrsPrv:EXT." dataCellStyle="Normal 3"/>
    <tableColumn id="11" xr3:uid="{3F88E566-B047-40B1-82C4-08F51ED779BC}" name="RootCause" dataCellStyle="Normal 3"/>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6.xml"/><Relationship Id="rId13" Type="http://schemas.openxmlformats.org/officeDocument/2006/relationships/table" Target="../tables/table21.xml"/><Relationship Id="rId3" Type="http://schemas.openxmlformats.org/officeDocument/2006/relationships/table" Target="../tables/table11.xml"/><Relationship Id="rId7" Type="http://schemas.openxmlformats.org/officeDocument/2006/relationships/table" Target="../tables/table15.xml"/><Relationship Id="rId12" Type="http://schemas.openxmlformats.org/officeDocument/2006/relationships/table" Target="../tables/table20.xml"/><Relationship Id="rId2" Type="http://schemas.openxmlformats.org/officeDocument/2006/relationships/table" Target="../tables/table10.xml"/><Relationship Id="rId1" Type="http://schemas.openxmlformats.org/officeDocument/2006/relationships/printerSettings" Target="../printerSettings/printerSettings1.bin"/><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0" Type="http://schemas.openxmlformats.org/officeDocument/2006/relationships/table" Target="../tables/table18.xml"/><Relationship Id="rId4" Type="http://schemas.openxmlformats.org/officeDocument/2006/relationships/table" Target="../tables/table12.xml"/><Relationship Id="rId9" Type="http://schemas.openxmlformats.org/officeDocument/2006/relationships/table" Target="../tables/table17.xml"/><Relationship Id="rId14" Type="http://schemas.openxmlformats.org/officeDocument/2006/relationships/table" Target="../tables/table2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2.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7.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8.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5" Type="http://schemas.openxmlformats.org/officeDocument/2006/relationships/image" Target="../media/image15.emf"/><Relationship Id="rId4" Type="http://schemas.openxmlformats.org/officeDocument/2006/relationships/oleObject" Target="../embeddings/oleObject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BEB89-063F-4D53-9092-F37E7112FCDE}">
  <sheetPr codeName="Sheet2"/>
  <dimension ref="A1:BQ296"/>
  <sheetViews>
    <sheetView topLeftCell="BG1" zoomScale="115" zoomScaleNormal="115" workbookViewId="0">
      <selection activeCell="BS2" sqref="BS2"/>
    </sheetView>
  </sheetViews>
  <sheetFormatPr baseColWidth="10" defaultColWidth="9.1640625" defaultRowHeight="11"/>
  <cols>
    <col min="1" max="1" width="3.5" style="44" bestFit="1" customWidth="1"/>
    <col min="2" max="2" width="3.5" style="45" bestFit="1" customWidth="1"/>
    <col min="3" max="3" width="4.33203125" style="65" customWidth="1"/>
    <col min="4" max="4" width="19.6640625" style="65" customWidth="1"/>
    <col min="5" max="5" width="18.6640625" style="66" customWidth="1"/>
    <col min="6" max="6" width="9.5" style="65" bestFit="1" customWidth="1"/>
    <col min="7" max="8" width="5" style="65" customWidth="1"/>
    <col min="9" max="9" width="4.5" style="65" customWidth="1"/>
    <col min="10" max="10" width="3.5" style="45" bestFit="1" customWidth="1"/>
    <col min="11" max="11" width="15.6640625" style="64" customWidth="1"/>
    <col min="12" max="17" width="19.1640625" style="64" customWidth="1"/>
    <col min="18" max="18" width="4.5" style="64" customWidth="1"/>
    <col min="19" max="21" width="3.5" style="64" customWidth="1"/>
    <col min="22" max="22" width="5.83203125" style="64" customWidth="1"/>
    <col min="23" max="23" width="3.5" style="45" bestFit="1" customWidth="1"/>
    <col min="24" max="24" width="4.33203125" style="166" customWidth="1"/>
    <col min="25" max="25" width="21.5" style="166" bestFit="1" customWidth="1"/>
    <col min="26" max="26" width="13.83203125" style="166" bestFit="1" customWidth="1"/>
    <col min="27" max="27" width="8.83203125" style="166" bestFit="1" customWidth="1"/>
    <col min="28" max="28" width="8.83203125" style="166" customWidth="1"/>
    <col min="29" max="29" width="3.5" style="45" bestFit="1" customWidth="1"/>
    <col min="30" max="31" width="6" style="167" customWidth="1"/>
    <col min="32" max="32" width="9.1640625" style="44"/>
    <col min="33" max="33" width="3" style="165" bestFit="1" customWidth="1"/>
    <col min="34" max="35" width="5.5" style="23" bestFit="1" customWidth="1"/>
    <col min="36" max="36" width="22.83203125" style="23" bestFit="1" customWidth="1"/>
    <col min="37" max="37" width="5.5" style="23" bestFit="1" customWidth="1"/>
    <col min="38" max="38" width="17.5" style="23" customWidth="1"/>
    <col min="39" max="39" width="5.5" style="23" customWidth="1"/>
    <col min="40" max="40" width="2.33203125" style="44" bestFit="1" customWidth="1"/>
    <col min="41" max="41" width="2.33203125" style="23" bestFit="1" customWidth="1"/>
    <col min="42" max="42" width="9.1640625" style="44"/>
    <col min="43" max="43" width="2.33203125" style="44" bestFit="1" customWidth="1"/>
    <col min="44" max="50" width="5" style="44" bestFit="1" customWidth="1"/>
    <col min="51" max="51" width="21.33203125" style="44" bestFit="1" customWidth="1"/>
    <col min="52" max="52" width="5" style="44" bestFit="1" customWidth="1"/>
    <col min="53" max="53" width="23.83203125" style="44" bestFit="1" customWidth="1"/>
    <col min="54" max="54" width="5" style="44" bestFit="1" customWidth="1"/>
    <col min="55" max="55" width="8.6640625" style="44" customWidth="1"/>
    <col min="56" max="56" width="2.33203125" style="44" bestFit="1" customWidth="1"/>
    <col min="57" max="57" width="5.5" style="332" bestFit="1" customWidth="1"/>
    <col min="58" max="58" width="5.5" style="332" customWidth="1"/>
    <col min="59" max="59" width="22.83203125" style="23" bestFit="1" customWidth="1"/>
    <col min="60" max="60" width="7.83203125" style="23" customWidth="1"/>
    <col min="61" max="61" width="3" style="44" bestFit="1" customWidth="1"/>
    <col min="62" max="62" width="9.1640625" style="44"/>
    <col min="63" max="63" width="26.5" style="44" customWidth="1"/>
    <col min="64" max="64" width="9.1640625" style="44"/>
    <col min="65" max="65" width="8.83203125" style="208"/>
    <col min="66" max="66" width="9.1640625" style="44"/>
    <col min="67" max="67" width="2.33203125" style="44" bestFit="1" customWidth="1"/>
    <col min="68" max="68" width="44.83203125" style="44" bestFit="1" customWidth="1"/>
    <col min="69" max="69" width="5" style="44" bestFit="1" customWidth="1"/>
    <col min="70" max="16384" width="9.1640625" style="44"/>
  </cols>
  <sheetData>
    <row r="1" spans="1:69" ht="19">
      <c r="BM1" s="207" t="s">
        <v>2077</v>
      </c>
    </row>
    <row r="2" spans="1:69" s="75" customFormat="1" ht="54" thickBot="1">
      <c r="A2" s="75" t="s">
        <v>390</v>
      </c>
      <c r="B2" s="97" t="s">
        <v>460</v>
      </c>
      <c r="C2" s="46" t="s">
        <v>445</v>
      </c>
      <c r="D2" s="46" t="s">
        <v>461</v>
      </c>
      <c r="E2" s="47" t="s">
        <v>462</v>
      </c>
      <c r="F2" s="46" t="s">
        <v>463</v>
      </c>
      <c r="G2" s="46" t="s">
        <v>1805</v>
      </c>
      <c r="H2" s="329" t="s">
        <v>1806</v>
      </c>
      <c r="I2" s="48"/>
      <c r="J2" s="97" t="s">
        <v>464</v>
      </c>
      <c r="K2" s="49" t="s">
        <v>465</v>
      </c>
      <c r="L2" s="49" t="s">
        <v>462</v>
      </c>
      <c r="M2" s="49" t="s">
        <v>1580</v>
      </c>
      <c r="N2" s="49" t="s">
        <v>1581</v>
      </c>
      <c r="O2" s="49" t="s">
        <v>1640</v>
      </c>
      <c r="P2" s="49" t="s">
        <v>1651</v>
      </c>
      <c r="Q2" s="49" t="s">
        <v>1714</v>
      </c>
      <c r="R2" s="49" t="s">
        <v>459</v>
      </c>
      <c r="S2" s="49" t="s">
        <v>466</v>
      </c>
      <c r="T2" s="49" t="s">
        <v>399</v>
      </c>
      <c r="U2" s="49" t="s">
        <v>467</v>
      </c>
      <c r="V2" s="49"/>
      <c r="W2" s="97" t="s">
        <v>468</v>
      </c>
      <c r="X2" s="99" t="s">
        <v>469</v>
      </c>
      <c r="Y2" s="99" t="s">
        <v>470</v>
      </c>
      <c r="Z2" s="99" t="s">
        <v>471</v>
      </c>
      <c r="AA2" s="99" t="s">
        <v>472</v>
      </c>
      <c r="AB2" s="99"/>
      <c r="AC2" s="97" t="s">
        <v>473</v>
      </c>
      <c r="AD2" s="100" t="s">
        <v>474</v>
      </c>
      <c r="AE2" s="100" t="s">
        <v>445</v>
      </c>
      <c r="AG2" s="165" t="s">
        <v>1381</v>
      </c>
      <c r="AH2" s="26" t="s">
        <v>1246</v>
      </c>
      <c r="AI2" s="26" t="s">
        <v>416</v>
      </c>
      <c r="AJ2" s="26" t="s">
        <v>1247</v>
      </c>
      <c r="AK2" s="26" t="s">
        <v>1394</v>
      </c>
      <c r="AL2" s="26" t="s">
        <v>2121</v>
      </c>
      <c r="AM2" s="26"/>
      <c r="AO2" s="101" t="str">
        <f>IF(TRUE,"LNG","LNG")</f>
        <v>LNG</v>
      </c>
      <c r="AQ2" s="75" t="s">
        <v>1707</v>
      </c>
      <c r="AR2" s="75" t="s">
        <v>457</v>
      </c>
      <c r="AS2" s="75" t="s">
        <v>1664</v>
      </c>
      <c r="AT2" s="75" t="s">
        <v>1569</v>
      </c>
      <c r="AU2" s="75" t="s">
        <v>1703</v>
      </c>
      <c r="AV2" s="75" t="s">
        <v>1495</v>
      </c>
      <c r="AW2" s="75" t="s">
        <v>1704</v>
      </c>
      <c r="AX2" s="75" t="s">
        <v>399</v>
      </c>
      <c r="AY2" s="75" t="s">
        <v>2015</v>
      </c>
      <c r="AZ2" s="75" t="s">
        <v>2068</v>
      </c>
      <c r="BA2" s="75" t="s">
        <v>1705</v>
      </c>
      <c r="BB2" s="75" t="s">
        <v>2069</v>
      </c>
      <c r="BD2" s="75" t="s">
        <v>1835</v>
      </c>
      <c r="BE2" s="181" t="s">
        <v>1833</v>
      </c>
      <c r="BF2" s="333" t="s">
        <v>1836</v>
      </c>
      <c r="BG2" s="26" t="s">
        <v>1834</v>
      </c>
      <c r="BH2" s="26"/>
      <c r="BI2" s="75" t="s">
        <v>2078</v>
      </c>
      <c r="BJ2" s="376" t="s">
        <v>2075</v>
      </c>
      <c r="BK2" s="376" t="s">
        <v>2076</v>
      </c>
      <c r="BM2" s="185" t="s">
        <v>2075</v>
      </c>
      <c r="BO2" s="75" t="s">
        <v>2252</v>
      </c>
      <c r="BP2" s="376" t="s">
        <v>2252</v>
      </c>
      <c r="BQ2" s="376" t="s">
        <v>2253</v>
      </c>
    </row>
    <row r="3" spans="1:69" ht="21">
      <c r="A3" s="44" t="s">
        <v>407</v>
      </c>
      <c r="C3" s="50" t="s">
        <v>476</v>
      </c>
      <c r="D3" s="50" t="s">
        <v>477</v>
      </c>
      <c r="E3" s="67" t="s">
        <v>1271</v>
      </c>
      <c r="F3" s="50" t="s">
        <v>478</v>
      </c>
      <c r="G3" s="50" t="s">
        <v>1826</v>
      </c>
      <c r="H3" s="328"/>
      <c r="I3" s="52"/>
      <c r="K3" s="53" t="s">
        <v>24</v>
      </c>
      <c r="L3" s="54" t="str">
        <f>K3&amp;" SERRA"</f>
        <v>Gestión de Proyectos SERRA</v>
      </c>
      <c r="M3" s="54" t="s">
        <v>13</v>
      </c>
      <c r="N3" s="54" t="s">
        <v>1586</v>
      </c>
      <c r="O3" s="54" t="s">
        <v>387</v>
      </c>
      <c r="P3" s="54" t="s">
        <v>24</v>
      </c>
      <c r="Q3" s="54" t="s">
        <v>45</v>
      </c>
      <c r="R3" s="54" t="s">
        <v>479</v>
      </c>
      <c r="S3" s="54" t="s">
        <v>480</v>
      </c>
      <c r="T3" s="54" t="s">
        <v>1582</v>
      </c>
      <c r="U3" s="54" t="s">
        <v>0</v>
      </c>
      <c r="V3" s="54"/>
      <c r="X3" s="55">
        <v>100</v>
      </c>
      <c r="Y3" s="56" t="s">
        <v>481</v>
      </c>
      <c r="Z3" s="56" t="s">
        <v>482</v>
      </c>
      <c r="AA3" s="56" t="s">
        <v>483</v>
      </c>
      <c r="AB3" s="56"/>
      <c r="AD3" s="57" t="s">
        <v>484</v>
      </c>
      <c r="AE3" s="57" t="s">
        <v>485</v>
      </c>
      <c r="AH3" s="23" t="s">
        <v>412</v>
      </c>
      <c r="AI3" s="23" t="s">
        <v>1379</v>
      </c>
      <c r="AJ3" s="23" t="s">
        <v>300</v>
      </c>
      <c r="AK3" s="23">
        <v>1</v>
      </c>
      <c r="AL3" s="23" t="s">
        <v>2122</v>
      </c>
      <c r="AN3" s="478" t="s">
        <v>1702</v>
      </c>
      <c r="AR3" s="44" t="s">
        <v>1685</v>
      </c>
      <c r="AS3" s="44" t="s">
        <v>1790</v>
      </c>
      <c r="AT3" s="44" t="s">
        <v>375</v>
      </c>
      <c r="AU3" s="44" t="s">
        <v>375</v>
      </c>
      <c r="AV3" s="44" t="s">
        <v>1694</v>
      </c>
      <c r="AW3" s="44" t="s">
        <v>1695</v>
      </c>
      <c r="AX3" s="44" t="s">
        <v>1787</v>
      </c>
      <c r="AY3" s="44" t="s">
        <v>2016</v>
      </c>
      <c r="AZ3" s="44" t="s">
        <v>1787</v>
      </c>
      <c r="BA3" s="44" t="s">
        <v>358</v>
      </c>
      <c r="BB3" s="44" t="s">
        <v>2060</v>
      </c>
      <c r="BE3" s="332">
        <v>721</v>
      </c>
      <c r="BF3" s="332" t="s">
        <v>1697</v>
      </c>
      <c r="BG3" s="23" t="s">
        <v>6</v>
      </c>
      <c r="BJ3" s="374" t="s">
        <v>2060</v>
      </c>
      <c r="BK3" s="374" t="s">
        <v>2086</v>
      </c>
      <c r="BM3" s="209" t="str" cm="1">
        <f t="array" ref="BM3">_xlfn.LET(_xlpm.x,MATCH("SOR",$A:$A,0),_xlpm.y,SUM(COLUMN()),ADDRESS(2+_xlpm.x,_xlpm.y,4)&amp;":"&amp;ADDRESS(2+_xlpm.x+COUNT(CODE(_xlfn._xlws.FILTER(_xlfn.ANCHORARRAY(BM5),_xlfn.ANCHORARRAY(BM5)&lt;&gt;"X","X"))),_xlpm.y,4))</f>
        <v>BM4:BM16</v>
      </c>
      <c r="BP3" s="375" t="s">
        <v>2254</v>
      </c>
      <c r="BQ3" s="375" t="s">
        <v>2255</v>
      </c>
    </row>
    <row r="4" spans="1:69" ht="15">
      <c r="C4" s="50" t="s">
        <v>487</v>
      </c>
      <c r="D4" s="50" t="s">
        <v>488</v>
      </c>
      <c r="E4" s="67" t="s">
        <v>1271</v>
      </c>
      <c r="F4" s="50" t="s">
        <v>478</v>
      </c>
      <c r="G4" s="50" t="s">
        <v>1825</v>
      </c>
      <c r="H4" s="328"/>
      <c r="I4" s="50"/>
      <c r="K4" s="53"/>
      <c r="L4" s="54" t="str">
        <f>CONCATENATE(K3," Ext.")</f>
        <v>Gestión de Proyectos Ext.</v>
      </c>
      <c r="M4" s="54"/>
      <c r="N4" s="54"/>
      <c r="O4" s="54"/>
      <c r="P4" s="54"/>
      <c r="R4" s="54"/>
      <c r="S4" s="54"/>
      <c r="T4" s="54"/>
      <c r="U4" s="54"/>
      <c r="V4" s="54"/>
      <c r="X4" s="55">
        <v>101</v>
      </c>
      <c r="Y4" s="56" t="s">
        <v>489</v>
      </c>
      <c r="Z4" s="56" t="s">
        <v>490</v>
      </c>
      <c r="AA4" s="56" t="s">
        <v>483</v>
      </c>
      <c r="AB4" s="56"/>
      <c r="AD4" s="57" t="s">
        <v>491</v>
      </c>
      <c r="AE4" s="57" t="s">
        <v>492</v>
      </c>
      <c r="AH4" s="23" t="s">
        <v>413</v>
      </c>
      <c r="AI4" s="23" t="s">
        <v>1379</v>
      </c>
      <c r="AJ4" s="23" t="s">
        <v>301</v>
      </c>
      <c r="AK4" s="23">
        <v>2</v>
      </c>
      <c r="AL4" s="23" t="s">
        <v>2123</v>
      </c>
      <c r="AN4" s="478" t="s">
        <v>2234</v>
      </c>
      <c r="AR4" s="44" t="s">
        <v>1685</v>
      </c>
      <c r="AS4" s="44" t="s">
        <v>1790</v>
      </c>
      <c r="AT4" s="44" t="s">
        <v>375</v>
      </c>
      <c r="AU4" s="44" t="s">
        <v>1696</v>
      </c>
      <c r="AV4" s="44" t="s">
        <v>1694</v>
      </c>
      <c r="AW4" s="44" t="s">
        <v>1695</v>
      </c>
      <c r="AX4" s="44" t="s">
        <v>1787</v>
      </c>
      <c r="AY4" s="44" t="s">
        <v>2016</v>
      </c>
      <c r="AZ4" s="44" t="s">
        <v>1787</v>
      </c>
      <c r="BA4" s="44" t="s">
        <v>1655</v>
      </c>
      <c r="BB4" s="44" t="s">
        <v>2060</v>
      </c>
      <c r="BE4" s="332">
        <v>731</v>
      </c>
      <c r="BF4" s="332" t="s">
        <v>1700</v>
      </c>
      <c r="BG4" s="23" t="s">
        <v>2054</v>
      </c>
      <c r="BJ4" s="374" t="s">
        <v>2061</v>
      </c>
      <c r="BK4" s="374" t="s">
        <v>2082</v>
      </c>
      <c r="BM4" s="191" t="s">
        <v>375</v>
      </c>
      <c r="BP4" s="375" t="s">
        <v>2256</v>
      </c>
      <c r="BQ4" s="375" t="s">
        <v>2257</v>
      </c>
    </row>
    <row r="5" spans="1:69" ht="10">
      <c r="C5" s="50" t="s">
        <v>434</v>
      </c>
      <c r="D5" s="50" t="s">
        <v>435</v>
      </c>
      <c r="E5" s="67" t="s">
        <v>1271</v>
      </c>
      <c r="F5" s="50" t="s">
        <v>478</v>
      </c>
      <c r="G5" s="50" t="s">
        <v>1826</v>
      </c>
      <c r="H5" s="328"/>
      <c r="I5" s="50"/>
      <c r="K5" s="53" t="s">
        <v>14</v>
      </c>
      <c r="L5" s="54" t="str">
        <f>K5&amp;" SERRA"</f>
        <v>Gestión Mecánica SERRA</v>
      </c>
      <c r="M5" s="54" t="s">
        <v>14</v>
      </c>
      <c r="N5" s="54" t="s">
        <v>1587</v>
      </c>
      <c r="O5" s="54" t="s">
        <v>1638</v>
      </c>
      <c r="P5" s="54" t="s">
        <v>14</v>
      </c>
      <c r="Q5" s="54" t="s">
        <v>52</v>
      </c>
      <c r="R5" s="54" t="s">
        <v>327</v>
      </c>
      <c r="S5" s="54" t="s">
        <v>495</v>
      </c>
      <c r="T5" s="54" t="s">
        <v>1582</v>
      </c>
      <c r="U5" s="54" t="s">
        <v>0</v>
      </c>
      <c r="V5" s="54"/>
      <c r="X5" s="55">
        <v>102</v>
      </c>
      <c r="Y5" s="56" t="s">
        <v>496</v>
      </c>
      <c r="Z5" s="56" t="s">
        <v>482</v>
      </c>
      <c r="AA5" s="56" t="s">
        <v>483</v>
      </c>
      <c r="AB5" s="56"/>
      <c r="AD5" s="57" t="s">
        <v>497</v>
      </c>
      <c r="AE5" s="57" t="s">
        <v>498</v>
      </c>
      <c r="AH5" s="23" t="s">
        <v>410</v>
      </c>
      <c r="AI5" s="23" t="s">
        <v>1379</v>
      </c>
      <c r="AJ5" s="23" t="s">
        <v>1242</v>
      </c>
      <c r="AK5" s="23">
        <v>3</v>
      </c>
      <c r="AL5" s="23" t="s">
        <v>2124</v>
      </c>
      <c r="AO5" s="24"/>
      <c r="AR5" s="44" t="s">
        <v>1685</v>
      </c>
      <c r="AS5" s="44" t="s">
        <v>1790</v>
      </c>
      <c r="AT5" s="44" t="s">
        <v>375</v>
      </c>
      <c r="AU5" s="44" t="s">
        <v>1300</v>
      </c>
      <c r="AV5" s="44" t="s">
        <v>1694</v>
      </c>
      <c r="AW5" s="44" t="s">
        <v>1695</v>
      </c>
      <c r="AX5" s="44" t="s">
        <v>1787</v>
      </c>
      <c r="AY5" s="44" t="s">
        <v>2016</v>
      </c>
      <c r="AZ5" s="44" t="s">
        <v>1787</v>
      </c>
      <c r="BA5" s="44" t="s">
        <v>1656</v>
      </c>
      <c r="BB5" s="44" t="s">
        <v>2060</v>
      </c>
      <c r="BE5" s="332">
        <v>741</v>
      </c>
      <c r="BF5" s="332" t="s">
        <v>1700</v>
      </c>
      <c r="BG5" s="23" t="s">
        <v>1</v>
      </c>
      <c r="BJ5" s="374" t="s">
        <v>2062</v>
      </c>
      <c r="BK5" s="374" t="s">
        <v>2083</v>
      </c>
      <c r="BM5" s="191" t="str" cm="1">
        <f t="array" ref="BM5:BM16">_xlfn._xlws.SORT(_xlfn.UNIQUE(_xlfn._xlws.FILTER(TbRowMacro[RowMcroId],TbRowMacro[RowMcroId]&lt;&gt;"X","X")))</f>
        <v>DISC</v>
      </c>
      <c r="BP5" s="375" t="s">
        <v>2258</v>
      </c>
      <c r="BQ5" s="375" t="s">
        <v>2259</v>
      </c>
    </row>
    <row r="6" spans="1:69" ht="10">
      <c r="C6" s="50" t="s">
        <v>500</v>
      </c>
      <c r="D6" s="50" t="s">
        <v>189</v>
      </c>
      <c r="E6" s="67" t="s">
        <v>1250</v>
      </c>
      <c r="F6" s="50" t="s">
        <v>478</v>
      </c>
      <c r="G6" s="50" t="s">
        <v>1826</v>
      </c>
      <c r="H6" s="328"/>
      <c r="I6" s="50"/>
      <c r="K6" s="53"/>
      <c r="L6" s="54" t="str">
        <f>CONCATENATE(K5," Ext.")</f>
        <v>Gestión Mecánica Ext.</v>
      </c>
      <c r="M6" s="54"/>
      <c r="N6" s="54"/>
      <c r="O6" s="54"/>
      <c r="P6" s="54"/>
      <c r="R6" s="54"/>
      <c r="S6" s="54"/>
      <c r="T6" s="54"/>
      <c r="U6" s="54"/>
      <c r="V6" s="54"/>
      <c r="X6" s="55">
        <v>103</v>
      </c>
      <c r="Y6" s="56" t="s">
        <v>501</v>
      </c>
      <c r="Z6" s="56" t="s">
        <v>482</v>
      </c>
      <c r="AA6" s="56" t="s">
        <v>483</v>
      </c>
      <c r="AB6" s="56"/>
      <c r="AD6" s="57" t="s">
        <v>502</v>
      </c>
      <c r="AE6" s="57" t="s">
        <v>503</v>
      </c>
      <c r="AH6" s="23" t="s">
        <v>411</v>
      </c>
      <c r="AI6" s="23" t="s">
        <v>1379</v>
      </c>
      <c r="AJ6" s="23" t="s">
        <v>1243</v>
      </c>
      <c r="AK6" s="23">
        <v>4</v>
      </c>
      <c r="AL6" s="23" t="s">
        <v>2125</v>
      </c>
      <c r="AO6" s="24"/>
      <c r="AR6" s="44" t="s">
        <v>1685</v>
      </c>
      <c r="AS6" s="44" t="s">
        <v>1790</v>
      </c>
      <c r="AT6" s="44" t="s">
        <v>375</v>
      </c>
      <c r="AU6" s="44" t="s">
        <v>1697</v>
      </c>
      <c r="AV6" s="44" t="s">
        <v>1694</v>
      </c>
      <c r="AW6" s="44" t="s">
        <v>1695</v>
      </c>
      <c r="AX6" s="44" t="s">
        <v>1787</v>
      </c>
      <c r="AY6" s="44" t="s">
        <v>2016</v>
      </c>
      <c r="AZ6" s="44" t="s">
        <v>1787</v>
      </c>
      <c r="BA6" s="44" t="s">
        <v>1654</v>
      </c>
      <c r="BB6" s="44" t="s">
        <v>2060</v>
      </c>
      <c r="BJ6" s="374" t="s">
        <v>1796</v>
      </c>
      <c r="BK6" s="374" t="s">
        <v>2081</v>
      </c>
      <c r="BM6" s="191" t="str">
        <v>DIST</v>
      </c>
      <c r="BP6" s="375" t="s">
        <v>2260</v>
      </c>
      <c r="BQ6" s="375" t="s">
        <v>446</v>
      </c>
    </row>
    <row r="7" spans="1:69" ht="10">
      <c r="C7" s="50" t="s">
        <v>504</v>
      </c>
      <c r="D7" s="50" t="s">
        <v>505</v>
      </c>
      <c r="E7" s="67" t="s">
        <v>1277</v>
      </c>
      <c r="F7" s="50" t="s">
        <v>478</v>
      </c>
      <c r="G7" s="50" t="s">
        <v>1825</v>
      </c>
      <c r="H7" s="328"/>
      <c r="I7" s="50"/>
      <c r="K7" s="53" t="s">
        <v>506</v>
      </c>
      <c r="L7" s="54" t="str">
        <f>K7&amp;" SERRA"</f>
        <v>Diseño Mecánico SERRA</v>
      </c>
      <c r="M7" s="54" t="s">
        <v>15</v>
      </c>
      <c r="N7" s="54" t="s">
        <v>15</v>
      </c>
      <c r="O7" s="54" t="s">
        <v>1274</v>
      </c>
      <c r="P7" s="54" t="s">
        <v>506</v>
      </c>
      <c r="Q7" s="54" t="s">
        <v>43</v>
      </c>
      <c r="R7" s="54" t="s">
        <v>327</v>
      </c>
      <c r="S7" s="54" t="s">
        <v>507</v>
      </c>
      <c r="T7" s="54" t="s">
        <v>1582</v>
      </c>
      <c r="U7" s="54" t="s">
        <v>0</v>
      </c>
      <c r="V7" s="54"/>
      <c r="X7" s="55">
        <v>105</v>
      </c>
      <c r="Y7" s="56" t="s">
        <v>508</v>
      </c>
      <c r="Z7" s="56" t="s">
        <v>509</v>
      </c>
      <c r="AA7" s="56" t="s">
        <v>483</v>
      </c>
      <c r="AB7" s="56"/>
      <c r="AD7" s="57" t="s">
        <v>510</v>
      </c>
      <c r="AE7" s="57" t="s">
        <v>511</v>
      </c>
      <c r="AH7" s="23" t="s">
        <v>447</v>
      </c>
      <c r="AI7" s="23" t="s">
        <v>1380</v>
      </c>
      <c r="AJ7" s="23" t="s">
        <v>1244</v>
      </c>
      <c r="AK7" s="23">
        <v>5</v>
      </c>
      <c r="AL7" s="23" t="s">
        <v>2127</v>
      </c>
      <c r="AO7" s="24"/>
      <c r="AR7" s="44" t="s">
        <v>1685</v>
      </c>
      <c r="AS7" s="44" t="s">
        <v>1789</v>
      </c>
      <c r="AT7" s="44" t="s">
        <v>375</v>
      </c>
      <c r="AU7" s="44" t="s">
        <v>375</v>
      </c>
      <c r="AV7" s="44" t="s">
        <v>1694</v>
      </c>
      <c r="AW7" s="44" t="s">
        <v>1698</v>
      </c>
      <c r="AX7" s="44" t="s">
        <v>1696</v>
      </c>
      <c r="AY7" s="44" t="s">
        <v>2017</v>
      </c>
      <c r="AZ7" s="44" t="s">
        <v>1696</v>
      </c>
      <c r="BA7" s="44" t="s">
        <v>291</v>
      </c>
      <c r="BB7" s="44" t="s">
        <v>2061</v>
      </c>
      <c r="BJ7" s="375" t="s">
        <v>1797</v>
      </c>
      <c r="BK7" s="375" t="s">
        <v>2080</v>
      </c>
      <c r="BM7" s="191" t="str">
        <v>FABC</v>
      </c>
      <c r="BP7" s="375" t="s">
        <v>2261</v>
      </c>
      <c r="BQ7" s="375" t="s">
        <v>447</v>
      </c>
    </row>
    <row r="8" spans="1:69" ht="10">
      <c r="C8" s="50" t="s">
        <v>514</v>
      </c>
      <c r="D8" s="50" t="s">
        <v>515</v>
      </c>
      <c r="E8" s="67" t="s">
        <v>1277</v>
      </c>
      <c r="F8" s="50" t="s">
        <v>478</v>
      </c>
      <c r="G8" s="50" t="s">
        <v>1825</v>
      </c>
      <c r="H8" s="328"/>
      <c r="I8" s="50"/>
      <c r="K8" s="53"/>
      <c r="L8" s="54" t="str">
        <f>CONCATENATE(K7," Ext.")</f>
        <v>Diseño Mecánico Ext.</v>
      </c>
      <c r="M8" s="54"/>
      <c r="N8" s="54"/>
      <c r="O8" s="54"/>
      <c r="P8" s="54"/>
      <c r="R8" s="54"/>
      <c r="S8" s="54"/>
      <c r="T8" s="54"/>
      <c r="U8" s="54"/>
      <c r="V8" s="54"/>
      <c r="X8" s="55">
        <v>110</v>
      </c>
      <c r="Y8" s="56" t="s">
        <v>516</v>
      </c>
      <c r="Z8" s="56" t="s">
        <v>517</v>
      </c>
      <c r="AA8" s="56" t="s">
        <v>483</v>
      </c>
      <c r="AB8" s="56"/>
      <c r="AD8" s="57" t="s">
        <v>518</v>
      </c>
      <c r="AE8" s="57" t="s">
        <v>519</v>
      </c>
      <c r="AH8" s="23" t="s">
        <v>446</v>
      </c>
      <c r="AI8" s="23" t="s">
        <v>1378</v>
      </c>
      <c r="AJ8" s="23" t="s">
        <v>2126</v>
      </c>
      <c r="AK8" s="23">
        <v>6</v>
      </c>
      <c r="AL8" s="23" t="s">
        <v>2128</v>
      </c>
      <c r="AO8" s="25"/>
      <c r="AR8" s="44" t="s">
        <v>1685</v>
      </c>
      <c r="AS8" s="44" t="s">
        <v>1789</v>
      </c>
      <c r="AT8" s="44" t="s">
        <v>375</v>
      </c>
      <c r="AU8" s="44" t="s">
        <v>375</v>
      </c>
      <c r="AV8" s="44" t="s">
        <v>1694</v>
      </c>
      <c r="AW8" s="44" t="s">
        <v>1698</v>
      </c>
      <c r="AX8" s="44" t="s">
        <v>1696</v>
      </c>
      <c r="AY8" s="44" t="s">
        <v>2017</v>
      </c>
      <c r="AZ8" s="44" t="s">
        <v>1696</v>
      </c>
      <c r="BA8" s="44" t="s">
        <v>1478</v>
      </c>
      <c r="BB8" s="44" t="s">
        <v>2061</v>
      </c>
      <c r="BJ8" s="374" t="s">
        <v>1798</v>
      </c>
      <c r="BK8" s="374" t="s">
        <v>2084</v>
      </c>
      <c r="BM8" s="191" t="str">
        <v>FABT</v>
      </c>
      <c r="BP8" s="375"/>
      <c r="BQ8" s="375"/>
    </row>
    <row r="9" spans="1:69" ht="10">
      <c r="C9" s="50" t="s">
        <v>520</v>
      </c>
      <c r="D9" s="50" t="s">
        <v>521</v>
      </c>
      <c r="E9" s="67" t="s">
        <v>1271</v>
      </c>
      <c r="F9" s="50" t="s">
        <v>522</v>
      </c>
      <c r="G9" s="50" t="s">
        <v>1826</v>
      </c>
      <c r="H9" s="328"/>
      <c r="I9" s="50"/>
      <c r="K9" s="53" t="s">
        <v>3</v>
      </c>
      <c r="L9" s="54" t="str">
        <f>K9&amp;" SERRA"</f>
        <v>Robcad SERRA</v>
      </c>
      <c r="M9" s="54" t="s">
        <v>3</v>
      </c>
      <c r="N9" s="54" t="s">
        <v>3</v>
      </c>
      <c r="O9" s="54" t="s">
        <v>360</v>
      </c>
      <c r="P9" s="54" t="s">
        <v>3</v>
      </c>
      <c r="Q9" s="54" t="s">
        <v>3</v>
      </c>
      <c r="R9" s="54" t="s">
        <v>327</v>
      </c>
      <c r="S9" s="54" t="s">
        <v>523</v>
      </c>
      <c r="T9" s="54" t="s">
        <v>1582</v>
      </c>
      <c r="U9" s="54" t="s">
        <v>0</v>
      </c>
      <c r="V9" s="54"/>
      <c r="X9" s="55">
        <v>111</v>
      </c>
      <c r="Y9" s="56" t="s">
        <v>524</v>
      </c>
      <c r="Z9" s="56" t="s">
        <v>525</v>
      </c>
      <c r="AA9" s="56" t="s">
        <v>483</v>
      </c>
      <c r="AB9" s="56"/>
      <c r="AD9" s="57" t="s">
        <v>526</v>
      </c>
      <c r="AE9" s="57" t="s">
        <v>527</v>
      </c>
      <c r="AO9" s="25"/>
      <c r="AR9" s="44" t="s">
        <v>1685</v>
      </c>
      <c r="AS9" s="44" t="s">
        <v>1791</v>
      </c>
      <c r="AT9" s="44" t="s">
        <v>375</v>
      </c>
      <c r="AU9" s="44" t="s">
        <v>375</v>
      </c>
      <c r="AV9" s="44" t="s">
        <v>1694</v>
      </c>
      <c r="AW9" s="44" t="s">
        <v>1695</v>
      </c>
      <c r="AX9" s="44" t="s">
        <v>1698</v>
      </c>
      <c r="AY9" s="44" t="s">
        <v>2018</v>
      </c>
      <c r="AZ9" s="44" t="s">
        <v>1698</v>
      </c>
      <c r="BA9" s="44" t="s">
        <v>1242</v>
      </c>
      <c r="BB9" s="44" t="s">
        <v>2062</v>
      </c>
      <c r="BJ9" s="374" t="s">
        <v>1799</v>
      </c>
      <c r="BK9" s="374" t="s">
        <v>2087</v>
      </c>
      <c r="BM9" s="191" t="str">
        <v>GESC</v>
      </c>
      <c r="BP9" s="375"/>
      <c r="BQ9" s="375"/>
    </row>
    <row r="10" spans="1:69" ht="10">
      <c r="C10" s="50" t="s">
        <v>455</v>
      </c>
      <c r="D10" s="50" t="str">
        <f>E9&amp;" OFb"</f>
        <v>Material Mecánico Ext. OFb</v>
      </c>
      <c r="E10" s="68" t="s">
        <v>1251</v>
      </c>
      <c r="F10" s="50" t="s">
        <v>529</v>
      </c>
      <c r="G10" s="50" t="s">
        <v>1819</v>
      </c>
      <c r="H10" s="328" t="s">
        <v>410</v>
      </c>
      <c r="I10" s="50"/>
      <c r="K10" s="53"/>
      <c r="L10" s="54" t="str">
        <f>CONCATENATE(K9," Ext.")</f>
        <v>Robcad Ext.</v>
      </c>
      <c r="M10" s="54"/>
      <c r="N10" s="54"/>
      <c r="O10" s="54"/>
      <c r="P10" s="54"/>
      <c r="R10" s="54"/>
      <c r="S10" s="54"/>
      <c r="T10" s="54"/>
      <c r="U10" s="54"/>
      <c r="V10" s="54"/>
      <c r="X10" s="55">
        <v>112</v>
      </c>
      <c r="Y10" s="56" t="s">
        <v>530</v>
      </c>
      <c r="Z10" s="56" t="s">
        <v>531</v>
      </c>
      <c r="AA10" s="56" t="s">
        <v>483</v>
      </c>
      <c r="AB10" s="56"/>
      <c r="AD10" s="57" t="s">
        <v>532</v>
      </c>
      <c r="AE10" s="57" t="s">
        <v>533</v>
      </c>
      <c r="AO10" s="25"/>
      <c r="AR10" s="44" t="s">
        <v>1685</v>
      </c>
      <c r="AS10" s="44" t="s">
        <v>1791</v>
      </c>
      <c r="AT10" s="44" t="s">
        <v>375</v>
      </c>
      <c r="AU10" s="44" t="s">
        <v>375</v>
      </c>
      <c r="AV10" s="44" t="s">
        <v>1694</v>
      </c>
      <c r="AW10" s="44" t="s">
        <v>1698</v>
      </c>
      <c r="AX10" s="44" t="s">
        <v>1698</v>
      </c>
      <c r="AY10" s="44" t="s">
        <v>2018</v>
      </c>
      <c r="AZ10" s="44" t="s">
        <v>1698</v>
      </c>
      <c r="BA10" s="44" t="s">
        <v>1243</v>
      </c>
      <c r="BB10" s="44" t="s">
        <v>2062</v>
      </c>
      <c r="BJ10" s="375" t="s">
        <v>2063</v>
      </c>
      <c r="BK10" s="375" t="s">
        <v>2085</v>
      </c>
      <c r="BM10" s="191" t="str">
        <v>GESG</v>
      </c>
      <c r="BP10" s="375"/>
      <c r="BQ10" s="375"/>
    </row>
    <row r="11" spans="1:69" ht="10">
      <c r="C11" s="50" t="s">
        <v>534</v>
      </c>
      <c r="D11" s="50" t="str">
        <f>E9&amp;" GEn"</f>
        <v>Material Mecánico Ext. GEn</v>
      </c>
      <c r="E11" s="67" t="s">
        <v>1271</v>
      </c>
      <c r="F11" s="50" t="s">
        <v>478</v>
      </c>
      <c r="G11" s="50" t="s">
        <v>1826</v>
      </c>
      <c r="H11" s="328"/>
      <c r="I11" s="50"/>
      <c r="K11" s="53" t="s">
        <v>5</v>
      </c>
      <c r="L11" s="54" t="str">
        <f>K11&amp;" SERRA"</f>
        <v>Diseño Eléctrico SERRA</v>
      </c>
      <c r="M11" s="54" t="s">
        <v>5</v>
      </c>
      <c r="N11" s="54" t="s">
        <v>1588</v>
      </c>
      <c r="O11" s="54" t="s">
        <v>377</v>
      </c>
      <c r="P11" s="54" t="s">
        <v>5</v>
      </c>
      <c r="Q11" s="54" t="s">
        <v>53</v>
      </c>
      <c r="R11" s="54" t="s">
        <v>315</v>
      </c>
      <c r="S11" s="54" t="s">
        <v>535</v>
      </c>
      <c r="T11" s="54" t="s">
        <v>1582</v>
      </c>
      <c r="U11" s="54" t="s">
        <v>0</v>
      </c>
      <c r="V11" s="54"/>
      <c r="X11" s="55">
        <v>113</v>
      </c>
      <c r="Y11" s="56" t="s">
        <v>536</v>
      </c>
      <c r="Z11" s="56" t="s">
        <v>537</v>
      </c>
      <c r="AA11" s="56" t="s">
        <v>483</v>
      </c>
      <c r="AB11" s="56"/>
      <c r="AD11" s="57" t="s">
        <v>538</v>
      </c>
      <c r="AE11" s="57" t="s">
        <v>498</v>
      </c>
      <c r="AR11" s="44" t="s">
        <v>1687</v>
      </c>
      <c r="AS11" s="44" t="s">
        <v>1796</v>
      </c>
      <c r="AT11" s="44" t="s">
        <v>1699</v>
      </c>
      <c r="AU11" s="44" t="s">
        <v>1300</v>
      </c>
      <c r="AV11" s="44" t="s">
        <v>1694</v>
      </c>
      <c r="AW11" s="44" t="s">
        <v>375</v>
      </c>
      <c r="AX11" s="44" t="s">
        <v>1787</v>
      </c>
      <c r="AY11" s="44" t="s">
        <v>2019</v>
      </c>
      <c r="AZ11" s="44" t="s">
        <v>1787</v>
      </c>
      <c r="BA11" s="44" t="s">
        <v>428</v>
      </c>
      <c r="BB11" s="44" t="str">
        <f>TbStd[[#This Row],[RowGrp]]</f>
        <v>DISC</v>
      </c>
      <c r="BJ11" s="374" t="s">
        <v>2064</v>
      </c>
      <c r="BK11" s="375" t="s">
        <v>2088</v>
      </c>
      <c r="BM11" s="191" t="str">
        <v>GESH</v>
      </c>
      <c r="BP11" s="375"/>
      <c r="BQ11" s="375"/>
    </row>
    <row r="12" spans="1:69" ht="10">
      <c r="C12" s="50" t="s">
        <v>539</v>
      </c>
      <c r="D12" s="50" t="str">
        <f>E9&amp;" CDc"</f>
        <v>Material Mecánico Ext. CDc</v>
      </c>
      <c r="E12" s="67" t="s">
        <v>1278</v>
      </c>
      <c r="F12" s="50" t="s">
        <v>522</v>
      </c>
      <c r="G12" s="50" t="s">
        <v>1826</v>
      </c>
      <c r="H12" s="328"/>
      <c r="I12" s="50"/>
      <c r="K12" s="53"/>
      <c r="L12" s="54" t="str">
        <f>CONCATENATE(K11," Ext.")</f>
        <v>Diseño Eléctrico Ext.</v>
      </c>
      <c r="M12" s="54"/>
      <c r="N12" s="54"/>
      <c r="O12" s="54"/>
      <c r="P12" s="54"/>
      <c r="R12" s="54"/>
      <c r="S12" s="54"/>
      <c r="T12" s="54"/>
      <c r="U12" s="54"/>
      <c r="V12" s="54"/>
      <c r="X12" s="55">
        <v>114</v>
      </c>
      <c r="Y12" s="56" t="s">
        <v>540</v>
      </c>
      <c r="Z12" s="56" t="s">
        <v>537</v>
      </c>
      <c r="AA12" s="56" t="s">
        <v>483</v>
      </c>
      <c r="AB12" s="56"/>
      <c r="AD12" s="57" t="s">
        <v>541</v>
      </c>
      <c r="AE12" s="57" t="s">
        <v>485</v>
      </c>
      <c r="AR12" s="44" t="s">
        <v>1687</v>
      </c>
      <c r="AS12" s="44" t="s">
        <v>1797</v>
      </c>
      <c r="AT12" s="44" t="s">
        <v>1700</v>
      </c>
      <c r="AU12" s="44" t="s">
        <v>1300</v>
      </c>
      <c r="AV12" s="44" t="s">
        <v>1694</v>
      </c>
      <c r="AW12" s="44" t="s">
        <v>375</v>
      </c>
      <c r="AX12" s="44" t="s">
        <v>1787</v>
      </c>
      <c r="AY12" s="44" t="s">
        <v>2020</v>
      </c>
      <c r="AZ12" s="44" t="s">
        <v>1787</v>
      </c>
      <c r="BA12" s="44" t="s">
        <v>430</v>
      </c>
      <c r="BB12" s="44" t="str">
        <f>TbStd[[#This Row],[RowGrp]]</f>
        <v>DIST</v>
      </c>
      <c r="BJ12" s="374" t="s">
        <v>2065</v>
      </c>
      <c r="BK12" s="374" t="s">
        <v>2089</v>
      </c>
      <c r="BM12" s="191" t="str">
        <v>GESM</v>
      </c>
      <c r="BP12" s="375"/>
      <c r="BQ12" s="375"/>
    </row>
    <row r="13" spans="1:69" ht="10">
      <c r="C13" s="50" t="s">
        <v>542</v>
      </c>
      <c r="D13" s="50" t="s">
        <v>543</v>
      </c>
      <c r="E13" s="67" t="s">
        <v>1252</v>
      </c>
      <c r="F13" s="50" t="s">
        <v>522</v>
      </c>
      <c r="G13" s="50" t="s">
        <v>1815</v>
      </c>
      <c r="H13" s="328"/>
      <c r="I13" s="50"/>
      <c r="K13" s="53" t="s">
        <v>16</v>
      </c>
      <c r="L13" s="54" t="str">
        <f>K13&amp;" SERRA"</f>
        <v>Diseño NR SERRA</v>
      </c>
      <c r="M13" s="54" t="s">
        <v>16</v>
      </c>
      <c r="N13" s="54" t="s">
        <v>1585</v>
      </c>
      <c r="O13" s="54" t="s">
        <v>378</v>
      </c>
      <c r="P13" s="54" t="s">
        <v>16</v>
      </c>
      <c r="Q13" s="54" t="s">
        <v>54</v>
      </c>
      <c r="R13" s="54" t="s">
        <v>315</v>
      </c>
      <c r="S13" s="54" t="s">
        <v>544</v>
      </c>
      <c r="T13" s="54" t="s">
        <v>1582</v>
      </c>
      <c r="U13" s="54" t="s">
        <v>545</v>
      </c>
      <c r="V13" s="54"/>
      <c r="X13" s="55">
        <v>120</v>
      </c>
      <c r="Y13" s="56" t="s">
        <v>546</v>
      </c>
      <c r="Z13" s="56" t="s">
        <v>547</v>
      </c>
      <c r="AA13" s="56" t="s">
        <v>483</v>
      </c>
      <c r="AB13" s="56"/>
      <c r="AD13" s="57" t="s">
        <v>548</v>
      </c>
      <c r="AE13" s="57" t="s">
        <v>511</v>
      </c>
      <c r="AR13" s="44" t="s">
        <v>1687</v>
      </c>
      <c r="AS13" s="44" t="s">
        <v>1796</v>
      </c>
      <c r="AT13" s="44" t="s">
        <v>1699</v>
      </c>
      <c r="AU13" s="44" t="s">
        <v>1300</v>
      </c>
      <c r="AV13" s="44" t="s">
        <v>1694</v>
      </c>
      <c r="AW13" s="44" t="s">
        <v>375</v>
      </c>
      <c r="AX13" s="44" t="s">
        <v>1787</v>
      </c>
      <c r="AY13" s="44" t="s">
        <v>2019</v>
      </c>
      <c r="AZ13" s="44" t="s">
        <v>1787</v>
      </c>
      <c r="BA13" s="44" t="s">
        <v>1412</v>
      </c>
      <c r="BB13" s="44" t="str">
        <f>TbStd[[#This Row],[RowGrp]]</f>
        <v>DISC</v>
      </c>
      <c r="BJ13" s="375" t="s">
        <v>2066</v>
      </c>
      <c r="BK13" s="374" t="s">
        <v>2090</v>
      </c>
      <c r="BM13" s="191" t="str">
        <v>IMPC</v>
      </c>
      <c r="BP13" s="375"/>
      <c r="BQ13" s="375"/>
    </row>
    <row r="14" spans="1:69" ht="10">
      <c r="C14" s="50" t="s">
        <v>549</v>
      </c>
      <c r="D14" s="50" t="s">
        <v>550</v>
      </c>
      <c r="E14" s="67" t="s">
        <v>1278</v>
      </c>
      <c r="F14" s="50" t="s">
        <v>522</v>
      </c>
      <c r="G14" s="50" t="s">
        <v>1826</v>
      </c>
      <c r="H14" s="328"/>
      <c r="I14" s="50"/>
      <c r="K14" s="53"/>
      <c r="L14" s="54" t="str">
        <f>CONCATENATE(K13," Ext.")</f>
        <v>Diseño NR Ext.</v>
      </c>
      <c r="M14" s="54"/>
      <c r="N14" s="54"/>
      <c r="O14" s="54"/>
      <c r="P14" s="54"/>
      <c r="R14" s="54"/>
      <c r="S14" s="54"/>
      <c r="T14" s="54"/>
      <c r="U14" s="54"/>
      <c r="V14" s="54"/>
      <c r="X14" s="55">
        <v>121</v>
      </c>
      <c r="Y14" s="56" t="s">
        <v>551</v>
      </c>
      <c r="Z14" s="56" t="s">
        <v>552</v>
      </c>
      <c r="AA14" s="56" t="s">
        <v>483</v>
      </c>
      <c r="AB14" s="56"/>
      <c r="AD14" s="57" t="s">
        <v>553</v>
      </c>
      <c r="AE14" s="57" t="s">
        <v>533</v>
      </c>
      <c r="AR14" s="44" t="s">
        <v>1687</v>
      </c>
      <c r="AS14" s="44" t="s">
        <v>1796</v>
      </c>
      <c r="AT14" s="44" t="s">
        <v>1699</v>
      </c>
      <c r="AU14" s="44" t="s">
        <v>1696</v>
      </c>
      <c r="AV14" s="44" t="s">
        <v>1694</v>
      </c>
      <c r="AW14" s="44" t="s">
        <v>375</v>
      </c>
      <c r="AX14" s="44" t="s">
        <v>1787</v>
      </c>
      <c r="AY14" s="44" t="s">
        <v>2019</v>
      </c>
      <c r="AZ14" s="44" t="s">
        <v>1787</v>
      </c>
      <c r="BA14" s="44" t="s">
        <v>360</v>
      </c>
      <c r="BB14" s="44" t="str">
        <f>TbStd[[#This Row],[RowGrp]]</f>
        <v>DISC</v>
      </c>
      <c r="BJ14" s="374" t="s">
        <v>2067</v>
      </c>
      <c r="BK14" s="374" t="s">
        <v>2091</v>
      </c>
      <c r="BM14" s="191" t="str">
        <v>IMPT</v>
      </c>
      <c r="BP14" s="375"/>
      <c r="BQ14" s="375"/>
    </row>
    <row r="15" spans="1:69" ht="13">
      <c r="C15" s="50" t="s">
        <v>554</v>
      </c>
      <c r="D15" s="50" t="s">
        <v>555</v>
      </c>
      <c r="E15" s="67" t="s">
        <v>1253</v>
      </c>
      <c r="F15" s="50" t="s">
        <v>522</v>
      </c>
      <c r="G15" s="50" t="s">
        <v>1813</v>
      </c>
      <c r="H15" s="328"/>
      <c r="I15" s="50"/>
      <c r="K15" s="53" t="s">
        <v>4</v>
      </c>
      <c r="L15" s="54" t="str">
        <f>K15&amp;" SERRA"</f>
        <v>Robótica SERRA</v>
      </c>
      <c r="M15" s="54" t="s">
        <v>4</v>
      </c>
      <c r="N15" s="54" t="s">
        <v>4</v>
      </c>
      <c r="O15" s="54" t="s">
        <v>372</v>
      </c>
      <c r="P15" s="54" t="s">
        <v>4</v>
      </c>
      <c r="Q15" s="54" t="s">
        <v>4</v>
      </c>
      <c r="R15" s="54" t="s">
        <v>315</v>
      </c>
      <c r="S15" s="59" t="s">
        <v>1248</v>
      </c>
      <c r="T15" s="59" t="s">
        <v>1582</v>
      </c>
      <c r="U15" s="54"/>
      <c r="V15" s="54"/>
      <c r="X15" s="55">
        <v>122</v>
      </c>
      <c r="Y15" s="56" t="s">
        <v>556</v>
      </c>
      <c r="Z15" s="56" t="s">
        <v>557</v>
      </c>
      <c r="AA15" s="56" t="s">
        <v>483</v>
      </c>
      <c r="AB15" s="56"/>
      <c r="AD15" s="57" t="s">
        <v>558</v>
      </c>
      <c r="AE15" s="57" t="s">
        <v>492</v>
      </c>
      <c r="AR15" s="44" t="s">
        <v>1687</v>
      </c>
      <c r="AS15" s="44" t="s">
        <v>1797</v>
      </c>
      <c r="AT15" s="44" t="s">
        <v>1700</v>
      </c>
      <c r="AU15" s="44" t="s">
        <v>1696</v>
      </c>
      <c r="AV15" s="44" t="s">
        <v>1694</v>
      </c>
      <c r="AW15" s="44" t="s">
        <v>375</v>
      </c>
      <c r="AX15" s="44" t="s">
        <v>1787</v>
      </c>
      <c r="AY15" s="44" t="s">
        <v>2020</v>
      </c>
      <c r="AZ15" s="44" t="s">
        <v>1787</v>
      </c>
      <c r="BA15" s="44" t="s">
        <v>1468</v>
      </c>
      <c r="BB15" s="44" t="str">
        <f>TbStd[[#This Row],[RowGrp]]</f>
        <v>DIST</v>
      </c>
      <c r="BJ15"/>
      <c r="BK15"/>
      <c r="BM15" s="191" t="str">
        <v>PEMC</v>
      </c>
      <c r="BP15"/>
      <c r="BQ15"/>
    </row>
    <row r="16" spans="1:69" ht="13">
      <c r="C16" s="50" t="s">
        <v>559</v>
      </c>
      <c r="D16" s="50" t="s">
        <v>560</v>
      </c>
      <c r="E16" s="67" t="s">
        <v>1253</v>
      </c>
      <c r="F16" s="50" t="s">
        <v>522</v>
      </c>
      <c r="G16" s="50" t="s">
        <v>1813</v>
      </c>
      <c r="H16" s="328"/>
      <c r="I16" s="50"/>
      <c r="K16" s="53"/>
      <c r="L16" s="54" t="str">
        <f>CONCATENATE(K15," Ext.")</f>
        <v>Robótica Ext.</v>
      </c>
      <c r="M16" s="54"/>
      <c r="N16" s="54"/>
      <c r="O16" s="54"/>
      <c r="P16" s="54"/>
      <c r="R16" s="54"/>
      <c r="S16" s="54"/>
      <c r="T16" s="54"/>
      <c r="U16" s="54"/>
      <c r="V16" s="54"/>
      <c r="X16" s="55">
        <v>125</v>
      </c>
      <c r="Y16" s="56" t="s">
        <v>561</v>
      </c>
      <c r="Z16" s="56" t="s">
        <v>562</v>
      </c>
      <c r="AA16" s="56" t="s">
        <v>483</v>
      </c>
      <c r="AB16" s="56"/>
      <c r="AD16" s="57" t="s">
        <v>563</v>
      </c>
      <c r="AE16" s="57" t="s">
        <v>527</v>
      </c>
      <c r="AO16" s="25"/>
      <c r="AR16" s="44" t="s">
        <v>1687</v>
      </c>
      <c r="AS16" s="44" t="s">
        <v>1796</v>
      </c>
      <c r="AT16" s="44" t="s">
        <v>1699</v>
      </c>
      <c r="AU16" s="44" t="s">
        <v>1696</v>
      </c>
      <c r="AV16" s="44" t="s">
        <v>1694</v>
      </c>
      <c r="AW16" s="44" t="s">
        <v>375</v>
      </c>
      <c r="AX16" s="44" t="s">
        <v>1787</v>
      </c>
      <c r="AY16" s="44" t="s">
        <v>2019</v>
      </c>
      <c r="AZ16" s="44" t="s">
        <v>1787</v>
      </c>
      <c r="BA16" s="44" t="s">
        <v>1286</v>
      </c>
      <c r="BB16" s="44" t="str">
        <f>TbStd[[#This Row],[RowGrp]]</f>
        <v>DISC</v>
      </c>
      <c r="BJ16"/>
      <c r="BK16"/>
      <c r="BM16" s="191" t="str">
        <v>PEMT</v>
      </c>
      <c r="BP16"/>
      <c r="BQ16"/>
    </row>
    <row r="17" spans="3:54">
      <c r="C17" s="50" t="s">
        <v>565</v>
      </c>
      <c r="D17" s="50" t="s">
        <v>566</v>
      </c>
      <c r="E17" s="67" t="s">
        <v>1254</v>
      </c>
      <c r="F17" s="50" t="s">
        <v>522</v>
      </c>
      <c r="G17" s="50" t="s">
        <v>1807</v>
      </c>
      <c r="H17" s="328"/>
      <c r="I17" s="50"/>
      <c r="K17" s="60" t="s">
        <v>6</v>
      </c>
      <c r="L17" s="54" t="str">
        <f>K17&amp;" SERRA"</f>
        <v>Fabricación Mecánica SERRA</v>
      </c>
      <c r="M17" s="54" t="s">
        <v>6</v>
      </c>
      <c r="N17" s="54" t="s">
        <v>294</v>
      </c>
      <c r="O17" s="54" t="s">
        <v>379</v>
      </c>
      <c r="P17" s="54" t="s">
        <v>294</v>
      </c>
      <c r="Q17" s="54" t="s">
        <v>38</v>
      </c>
      <c r="R17" s="54" t="s">
        <v>1827</v>
      </c>
      <c r="S17" s="54" t="s">
        <v>567</v>
      </c>
      <c r="T17" s="54" t="s">
        <v>1582</v>
      </c>
      <c r="U17" s="54" t="s">
        <v>0</v>
      </c>
      <c r="V17" s="54"/>
      <c r="X17" s="55">
        <v>126</v>
      </c>
      <c r="Y17" s="56" t="s">
        <v>568</v>
      </c>
      <c r="Z17" s="56" t="s">
        <v>569</v>
      </c>
      <c r="AA17" s="56" t="s">
        <v>483</v>
      </c>
      <c r="AB17" s="56"/>
      <c r="AD17" s="57" t="s">
        <v>570</v>
      </c>
      <c r="AE17" s="57" t="s">
        <v>519</v>
      </c>
      <c r="AO17" s="25"/>
      <c r="AR17" s="44" t="s">
        <v>1688</v>
      </c>
      <c r="AS17" s="44" t="s">
        <v>1798</v>
      </c>
      <c r="AT17" s="44" t="s">
        <v>1699</v>
      </c>
      <c r="AU17" s="44" t="s">
        <v>1300</v>
      </c>
      <c r="AV17" s="44" t="s">
        <v>1694</v>
      </c>
      <c r="AW17" s="44" t="s">
        <v>1698</v>
      </c>
      <c r="AX17" s="44" t="s">
        <v>375</v>
      </c>
      <c r="AY17" s="44" t="s">
        <v>2021</v>
      </c>
      <c r="AZ17" s="44" t="s">
        <v>375</v>
      </c>
      <c r="BA17" s="44" t="s">
        <v>362</v>
      </c>
      <c r="BB17" s="44" t="str">
        <f>TbStd[[#This Row],[RowGrp]]</f>
        <v>FABC</v>
      </c>
    </row>
    <row r="18" spans="3:54">
      <c r="C18" s="50" t="s">
        <v>571</v>
      </c>
      <c r="D18" s="50" t="s">
        <v>572</v>
      </c>
      <c r="E18" s="67" t="s">
        <v>1279</v>
      </c>
      <c r="F18" s="50" t="s">
        <v>478</v>
      </c>
      <c r="G18" s="50" t="s">
        <v>1826</v>
      </c>
      <c r="H18" s="328"/>
      <c r="I18" s="50"/>
      <c r="K18" s="60"/>
      <c r="L18" s="54" t="str">
        <f>CONCATENATE(K17," Ext.")</f>
        <v>Fabricación Mecánica Ext.</v>
      </c>
      <c r="M18" s="54"/>
      <c r="N18" s="54"/>
      <c r="O18" s="54"/>
      <c r="P18" s="54"/>
      <c r="R18" s="54"/>
      <c r="S18" s="54"/>
      <c r="T18" s="54"/>
      <c r="U18" s="54"/>
      <c r="V18" s="54"/>
      <c r="X18" s="55">
        <v>127</v>
      </c>
      <c r="Y18" s="56" t="s">
        <v>3</v>
      </c>
      <c r="Z18" s="56" t="s">
        <v>360</v>
      </c>
      <c r="AA18" s="56" t="s">
        <v>483</v>
      </c>
      <c r="AB18" s="56"/>
      <c r="AD18" s="57" t="s">
        <v>573</v>
      </c>
      <c r="AE18" s="57" t="s">
        <v>503</v>
      </c>
      <c r="AR18" s="44" t="s">
        <v>1688</v>
      </c>
      <c r="AS18" s="44" t="s">
        <v>1798</v>
      </c>
      <c r="AT18" s="44" t="s">
        <v>1699</v>
      </c>
      <c r="AU18" s="44" t="s">
        <v>1696</v>
      </c>
      <c r="AV18" s="44" t="s">
        <v>1694</v>
      </c>
      <c r="AW18" s="44" t="s">
        <v>375</v>
      </c>
      <c r="AX18" s="44" t="s">
        <v>375</v>
      </c>
      <c r="AY18" s="44" t="s">
        <v>2021</v>
      </c>
      <c r="AZ18" s="44" t="s">
        <v>375</v>
      </c>
      <c r="BA18" s="44" t="s">
        <v>368</v>
      </c>
      <c r="BB18" s="44" t="str">
        <f>TbStd[[#This Row],[RowGrp]]</f>
        <v>FABC</v>
      </c>
    </row>
    <row r="19" spans="3:54">
      <c r="C19" s="50" t="s">
        <v>574</v>
      </c>
      <c r="D19" s="50" t="s">
        <v>575</v>
      </c>
      <c r="E19" s="67" t="s">
        <v>69</v>
      </c>
      <c r="F19" s="50" t="s">
        <v>478</v>
      </c>
      <c r="G19" s="50" t="s">
        <v>1813</v>
      </c>
      <c r="H19" s="328"/>
      <c r="I19" s="50"/>
      <c r="K19" s="60" t="s">
        <v>2</v>
      </c>
      <c r="L19" s="54" t="str">
        <f>K19&amp;" SERRA"</f>
        <v>Montaje Mecánico SERRA</v>
      </c>
      <c r="M19" s="54" t="s">
        <v>2</v>
      </c>
      <c r="N19" s="54" t="s">
        <v>2</v>
      </c>
      <c r="O19" s="54" t="s">
        <v>380</v>
      </c>
      <c r="P19" s="54" t="s">
        <v>2</v>
      </c>
      <c r="Q19" s="54" t="s">
        <v>55</v>
      </c>
      <c r="R19" s="54" t="s">
        <v>1827</v>
      </c>
      <c r="S19" s="54" t="s">
        <v>576</v>
      </c>
      <c r="T19" s="54" t="s">
        <v>1582</v>
      </c>
      <c r="U19" s="54" t="s">
        <v>0</v>
      </c>
      <c r="V19" s="54"/>
      <c r="X19" s="55">
        <v>128</v>
      </c>
      <c r="Y19" s="56" t="s">
        <v>577</v>
      </c>
      <c r="Z19" s="56" t="s">
        <v>562</v>
      </c>
      <c r="AA19" s="56" t="s">
        <v>483</v>
      </c>
      <c r="AB19" s="56"/>
      <c r="AD19" s="57" t="s">
        <v>578</v>
      </c>
      <c r="AE19" s="57" t="s">
        <v>83</v>
      </c>
      <c r="AR19" s="44" t="s">
        <v>1688</v>
      </c>
      <c r="AS19" s="44" t="s">
        <v>1799</v>
      </c>
      <c r="AT19" s="44" t="s">
        <v>1700</v>
      </c>
      <c r="AU19" s="44" t="s">
        <v>1696</v>
      </c>
      <c r="AV19" s="44" t="s">
        <v>1694</v>
      </c>
      <c r="AW19" s="44" t="s">
        <v>375</v>
      </c>
      <c r="AX19" s="44" t="s">
        <v>375</v>
      </c>
      <c r="AY19" s="44" t="s">
        <v>2022</v>
      </c>
      <c r="AZ19" s="44" t="s">
        <v>375</v>
      </c>
      <c r="BA19" s="44" t="s">
        <v>1473</v>
      </c>
      <c r="BB19" s="44" t="str">
        <f>TbStd[[#This Row],[RowGrp]]</f>
        <v>FABT</v>
      </c>
    </row>
    <row r="20" spans="3:54">
      <c r="C20" s="50" t="s">
        <v>579</v>
      </c>
      <c r="D20" s="50" t="s">
        <v>580</v>
      </c>
      <c r="E20" s="67" t="s">
        <v>1279</v>
      </c>
      <c r="F20" s="50" t="s">
        <v>522</v>
      </c>
      <c r="G20" s="50" t="s">
        <v>1826</v>
      </c>
      <c r="H20" s="328"/>
      <c r="I20" s="50"/>
      <c r="K20" s="60"/>
      <c r="L20" s="54" t="str">
        <f>CONCATENATE(K19," Ext.")</f>
        <v>Montaje Mecánico Ext.</v>
      </c>
      <c r="M20" s="54"/>
      <c r="N20" s="54"/>
      <c r="O20" s="54"/>
      <c r="P20" s="54"/>
      <c r="R20" s="54"/>
      <c r="S20" s="54"/>
      <c r="T20" s="54"/>
      <c r="U20" s="54"/>
      <c r="V20" s="54"/>
      <c r="X20" s="55">
        <v>130</v>
      </c>
      <c r="Y20" s="56" t="s">
        <v>581</v>
      </c>
      <c r="Z20" s="56" t="s">
        <v>428</v>
      </c>
      <c r="AA20" s="56" t="s">
        <v>483</v>
      </c>
      <c r="AB20" s="56"/>
      <c r="AD20" s="57" t="s">
        <v>582</v>
      </c>
      <c r="AE20" s="57" t="s">
        <v>85</v>
      </c>
      <c r="AR20" s="44" t="s">
        <v>1689</v>
      </c>
      <c r="AS20" s="44" t="s">
        <v>1800</v>
      </c>
      <c r="AT20" s="44" t="s">
        <v>1699</v>
      </c>
      <c r="AU20" s="44" t="s">
        <v>375</v>
      </c>
      <c r="AV20" s="44" t="s">
        <v>1694</v>
      </c>
      <c r="AW20" s="44" t="s">
        <v>375</v>
      </c>
      <c r="AX20" s="44" t="s">
        <v>1787</v>
      </c>
      <c r="AY20" s="44" t="s">
        <v>2023</v>
      </c>
      <c r="AZ20" s="44" t="s">
        <v>1787</v>
      </c>
      <c r="BA20" s="44" t="s">
        <v>1410</v>
      </c>
      <c r="BB20" s="44" t="s">
        <v>2063</v>
      </c>
    </row>
    <row r="21" spans="3:54">
      <c r="C21" s="50" t="s">
        <v>583</v>
      </c>
      <c r="D21" s="50" t="s">
        <v>584</v>
      </c>
      <c r="E21" s="67" t="s">
        <v>69</v>
      </c>
      <c r="F21" s="50" t="s">
        <v>522</v>
      </c>
      <c r="G21" s="50" t="s">
        <v>1813</v>
      </c>
      <c r="H21" s="328"/>
      <c r="I21" s="50"/>
      <c r="K21" s="60" t="s">
        <v>1</v>
      </c>
      <c r="L21" s="54" t="str">
        <f>K21&amp;" SERRA"</f>
        <v>Metrología SERRA</v>
      </c>
      <c r="M21" s="54" t="s">
        <v>1</v>
      </c>
      <c r="N21" s="54" t="s">
        <v>1</v>
      </c>
      <c r="O21" s="54" t="s">
        <v>373</v>
      </c>
      <c r="P21" s="54" t="s">
        <v>1</v>
      </c>
      <c r="Q21" s="54" t="s">
        <v>1</v>
      </c>
      <c r="R21" s="54" t="s">
        <v>1827</v>
      </c>
      <c r="S21" s="54" t="s">
        <v>77</v>
      </c>
      <c r="T21" s="54" t="s">
        <v>1582</v>
      </c>
      <c r="U21" s="54" t="s">
        <v>0</v>
      </c>
      <c r="V21" s="54"/>
      <c r="X21" s="55">
        <v>131</v>
      </c>
      <c r="Y21" s="56" t="s">
        <v>585</v>
      </c>
      <c r="Z21" s="56" t="s">
        <v>586</v>
      </c>
      <c r="AA21" s="56" t="s">
        <v>483</v>
      </c>
      <c r="AB21" s="56"/>
      <c r="AD21" s="57" t="s">
        <v>587</v>
      </c>
      <c r="AE21" s="57" t="s">
        <v>101</v>
      </c>
      <c r="AR21" s="44" t="s">
        <v>1689</v>
      </c>
      <c r="AS21" s="44" t="s">
        <v>1801</v>
      </c>
      <c r="AT21" s="44" t="s">
        <v>1700</v>
      </c>
      <c r="AU21" s="44" t="s">
        <v>1300</v>
      </c>
      <c r="AV21" s="44" t="s">
        <v>1694</v>
      </c>
      <c r="AW21" s="44" t="s">
        <v>375</v>
      </c>
      <c r="AX21" s="44" t="s">
        <v>1787</v>
      </c>
      <c r="AY21" s="44" t="s">
        <v>2024</v>
      </c>
      <c r="AZ21" s="44" t="s">
        <v>1787</v>
      </c>
      <c r="BA21" s="44" t="s">
        <v>1475</v>
      </c>
      <c r="BB21" s="44" t="s">
        <v>2064</v>
      </c>
    </row>
    <row r="22" spans="3:54">
      <c r="C22" s="50" t="s">
        <v>588</v>
      </c>
      <c r="D22" s="50" t="s">
        <v>589</v>
      </c>
      <c r="E22" s="67" t="s">
        <v>1255</v>
      </c>
      <c r="F22" s="50" t="s">
        <v>522</v>
      </c>
      <c r="G22" s="50" t="s">
        <v>1826</v>
      </c>
      <c r="H22" s="328"/>
      <c r="I22" s="50"/>
      <c r="K22" s="60"/>
      <c r="L22" s="54" t="str">
        <f>CONCATENATE(K21," Ext.")</f>
        <v>Metrología Ext.</v>
      </c>
      <c r="M22" s="54"/>
      <c r="N22" s="54"/>
      <c r="O22" s="54"/>
      <c r="P22" s="54"/>
      <c r="R22" s="54"/>
      <c r="S22" s="54"/>
      <c r="T22" s="54"/>
      <c r="U22" s="54"/>
      <c r="V22" s="54"/>
      <c r="X22" s="55">
        <v>132</v>
      </c>
      <c r="Y22" s="56" t="s">
        <v>590</v>
      </c>
      <c r="Z22" s="56" t="s">
        <v>430</v>
      </c>
      <c r="AA22" s="56" t="s">
        <v>483</v>
      </c>
      <c r="AB22" s="56"/>
      <c r="AD22" s="57" t="s">
        <v>184</v>
      </c>
      <c r="AE22" s="57" t="s">
        <v>251</v>
      </c>
      <c r="AR22" s="44" t="s">
        <v>1689</v>
      </c>
      <c r="AS22" s="44" t="s">
        <v>1800</v>
      </c>
      <c r="AT22" s="44" t="s">
        <v>1699</v>
      </c>
      <c r="AU22" s="44" t="s">
        <v>375</v>
      </c>
      <c r="AV22" s="44" t="s">
        <v>1694</v>
      </c>
      <c r="AW22" s="44" t="s">
        <v>375</v>
      </c>
      <c r="AX22" s="44" t="s">
        <v>1787</v>
      </c>
      <c r="AY22" s="44" t="s">
        <v>2023</v>
      </c>
      <c r="AZ22" s="44" t="s">
        <v>1787</v>
      </c>
      <c r="BA22" s="44" t="s">
        <v>417</v>
      </c>
      <c r="BB22" s="44" t="s">
        <v>2063</v>
      </c>
    </row>
    <row r="23" spans="3:54">
      <c r="C23" s="50" t="s">
        <v>591</v>
      </c>
      <c r="D23" s="50" t="s">
        <v>592</v>
      </c>
      <c r="E23" s="67" t="s">
        <v>66</v>
      </c>
      <c r="F23" s="50" t="s">
        <v>522</v>
      </c>
      <c r="G23" s="50" t="s">
        <v>1826</v>
      </c>
      <c r="H23" s="328"/>
      <c r="I23" s="50"/>
      <c r="K23" s="60" t="s">
        <v>293</v>
      </c>
      <c r="L23" s="54" t="str">
        <f>K23&amp;" Ext."</f>
        <v>Subcontratación Completa Ext.</v>
      </c>
      <c r="M23" s="54"/>
      <c r="N23" s="54" t="s">
        <v>293</v>
      </c>
      <c r="O23" s="54" t="s">
        <v>375</v>
      </c>
      <c r="P23" s="54" t="s">
        <v>388</v>
      </c>
      <c r="Q23" s="54" t="s">
        <v>292</v>
      </c>
      <c r="R23" s="54" t="s">
        <v>375</v>
      </c>
      <c r="S23" s="54"/>
      <c r="T23" s="54" t="s">
        <v>1583</v>
      </c>
      <c r="U23" s="54"/>
      <c r="V23" s="54"/>
      <c r="X23" s="55">
        <v>133</v>
      </c>
      <c r="Y23" s="56" t="s">
        <v>593</v>
      </c>
      <c r="Z23" s="56" t="s">
        <v>594</v>
      </c>
      <c r="AA23" s="56" t="s">
        <v>483</v>
      </c>
      <c r="AB23" s="56"/>
      <c r="AD23" s="57" t="s">
        <v>182</v>
      </c>
      <c r="AE23" s="57" t="s">
        <v>106</v>
      </c>
      <c r="AR23" s="44" t="s">
        <v>1690</v>
      </c>
      <c r="AS23" s="44" t="s">
        <v>1802</v>
      </c>
      <c r="AT23" s="44" t="s">
        <v>1699</v>
      </c>
      <c r="AU23" s="44" t="s">
        <v>375</v>
      </c>
      <c r="AV23" s="44" t="s">
        <v>1694</v>
      </c>
      <c r="AW23" s="44" t="s">
        <v>375</v>
      </c>
      <c r="AX23" s="44" t="s">
        <v>1787</v>
      </c>
      <c r="AY23" s="44" t="s">
        <v>2025</v>
      </c>
      <c r="AZ23" s="44" t="s">
        <v>1787</v>
      </c>
      <c r="BA23" s="44" t="s">
        <v>1284</v>
      </c>
      <c r="BB23" s="44" t="s">
        <v>2065</v>
      </c>
    </row>
    <row r="24" spans="3:54">
      <c r="C24" s="50" t="s">
        <v>595</v>
      </c>
      <c r="D24" s="50" t="s">
        <v>596</v>
      </c>
      <c r="E24" s="67" t="s">
        <v>1273</v>
      </c>
      <c r="F24" s="50" t="s">
        <v>522</v>
      </c>
      <c r="G24" s="50" t="s">
        <v>1826</v>
      </c>
      <c r="H24" s="328"/>
      <c r="I24" s="50"/>
      <c r="K24" s="53"/>
      <c r="L24" s="54"/>
      <c r="M24" s="54"/>
      <c r="N24" s="54"/>
      <c r="O24" s="54"/>
      <c r="P24" s="54"/>
      <c r="R24" s="54"/>
      <c r="S24" s="54"/>
      <c r="T24" s="54"/>
      <c r="U24" s="54"/>
      <c r="V24" s="54"/>
      <c r="X24" s="55">
        <v>134</v>
      </c>
      <c r="Y24" s="56" t="s">
        <v>598</v>
      </c>
      <c r="Z24" s="56" t="s">
        <v>428</v>
      </c>
      <c r="AA24" s="56" t="s">
        <v>483</v>
      </c>
      <c r="AB24" s="56"/>
      <c r="AD24" s="57" t="s">
        <v>599</v>
      </c>
      <c r="AE24" s="57" t="s">
        <v>267</v>
      </c>
      <c r="AR24" s="44" t="s">
        <v>1690</v>
      </c>
      <c r="AS24" s="44" t="s">
        <v>1803</v>
      </c>
      <c r="AT24" s="44" t="s">
        <v>1700</v>
      </c>
      <c r="AU24" s="44" t="s">
        <v>375</v>
      </c>
      <c r="AV24" s="44" t="s">
        <v>1694</v>
      </c>
      <c r="AW24" s="44" t="s">
        <v>375</v>
      </c>
      <c r="AX24" s="44" t="s">
        <v>1787</v>
      </c>
      <c r="AY24" s="44" t="s">
        <v>2026</v>
      </c>
      <c r="AZ24" s="44" t="s">
        <v>1787</v>
      </c>
      <c r="BA24" s="44" t="s">
        <v>298</v>
      </c>
      <c r="BB24" s="44" t="s">
        <v>2066</v>
      </c>
    </row>
    <row r="25" spans="3:54">
      <c r="C25" s="50" t="s">
        <v>600</v>
      </c>
      <c r="D25" s="50" t="s">
        <v>601</v>
      </c>
      <c r="E25" s="67" t="s">
        <v>67</v>
      </c>
      <c r="F25" s="50" t="s">
        <v>522</v>
      </c>
      <c r="G25" s="50" t="s">
        <v>1826</v>
      </c>
      <c r="H25" s="328"/>
      <c r="I25" s="50"/>
      <c r="K25" s="60" t="s">
        <v>8</v>
      </c>
      <c r="L25" s="54" t="str">
        <f>K25&amp;" SERRA"</f>
        <v>Fabricación Eléctrica SERRA</v>
      </c>
      <c r="M25" s="54" t="s">
        <v>8</v>
      </c>
      <c r="N25" s="54" t="s">
        <v>8</v>
      </c>
      <c r="O25" s="54" t="s">
        <v>381</v>
      </c>
      <c r="P25" s="54" t="s">
        <v>8</v>
      </c>
      <c r="Q25" s="54" t="s">
        <v>39</v>
      </c>
      <c r="R25" s="54" t="s">
        <v>1828</v>
      </c>
      <c r="S25" s="54" t="s">
        <v>78</v>
      </c>
      <c r="T25" s="54" t="s">
        <v>1582</v>
      </c>
      <c r="U25" s="54" t="s">
        <v>597</v>
      </c>
      <c r="V25" s="54"/>
      <c r="X25" s="55">
        <v>135</v>
      </c>
      <c r="Y25" s="56" t="s">
        <v>602</v>
      </c>
      <c r="Z25" s="56" t="s">
        <v>603</v>
      </c>
      <c r="AA25" s="56" t="s">
        <v>483</v>
      </c>
      <c r="AB25" s="56"/>
      <c r="AD25" s="57" t="s">
        <v>604</v>
      </c>
      <c r="AE25" s="57" t="s">
        <v>107</v>
      </c>
      <c r="AR25" s="44" t="s">
        <v>1690</v>
      </c>
      <c r="AS25" s="44" t="s">
        <v>1804</v>
      </c>
      <c r="AT25" s="44" t="s">
        <v>375</v>
      </c>
      <c r="AU25" s="44" t="s">
        <v>375</v>
      </c>
      <c r="AV25" s="44" t="s">
        <v>1697</v>
      </c>
      <c r="AW25" s="44" t="s">
        <v>375</v>
      </c>
      <c r="AX25" s="44" t="s">
        <v>1787</v>
      </c>
      <c r="AY25" s="44" t="s">
        <v>2027</v>
      </c>
      <c r="AZ25" s="44" t="s">
        <v>1787</v>
      </c>
      <c r="BA25" s="44" t="s">
        <v>1467</v>
      </c>
      <c r="BB25" s="44" t="s">
        <v>2065</v>
      </c>
    </row>
    <row r="26" spans="3:54">
      <c r="C26" s="50" t="s">
        <v>605</v>
      </c>
      <c r="D26" s="50" t="s">
        <v>606</v>
      </c>
      <c r="E26" s="67" t="s">
        <v>1256</v>
      </c>
      <c r="F26" s="50" t="s">
        <v>522</v>
      </c>
      <c r="G26" s="50" t="s">
        <v>1826</v>
      </c>
      <c r="H26" s="328"/>
      <c r="I26" s="50"/>
      <c r="K26" s="60"/>
      <c r="L26" s="54" t="str">
        <f>CONCATENATE(K25," Ext.")</f>
        <v>Fabricación Eléctrica Ext.</v>
      </c>
      <c r="M26" s="54"/>
      <c r="N26" s="54"/>
      <c r="O26" s="54"/>
      <c r="P26" s="54"/>
      <c r="Q26" s="54"/>
      <c r="R26" s="54"/>
      <c r="S26" s="54"/>
      <c r="T26" s="54"/>
      <c r="U26" s="54"/>
      <c r="V26" s="54"/>
      <c r="X26" s="55">
        <v>136</v>
      </c>
      <c r="Y26" s="56" t="s">
        <v>608</v>
      </c>
      <c r="Z26" s="56" t="s">
        <v>430</v>
      </c>
      <c r="AA26" s="56" t="s">
        <v>483</v>
      </c>
      <c r="AB26" s="56"/>
      <c r="AD26" s="57" t="s">
        <v>609</v>
      </c>
      <c r="AE26" s="57" t="s">
        <v>190</v>
      </c>
      <c r="AR26" s="44" t="s">
        <v>1701</v>
      </c>
      <c r="AS26" s="44" t="s">
        <v>2028</v>
      </c>
      <c r="AT26" s="44" t="s">
        <v>1699</v>
      </c>
      <c r="AU26" s="44" t="s">
        <v>375</v>
      </c>
      <c r="AV26" s="44" t="s">
        <v>1697</v>
      </c>
      <c r="AW26" s="44" t="s">
        <v>375</v>
      </c>
      <c r="AX26" s="44" t="s">
        <v>1787</v>
      </c>
      <c r="AY26" s="44" t="s">
        <v>2029</v>
      </c>
      <c r="AZ26" s="44" t="s">
        <v>1787</v>
      </c>
      <c r="BA26" s="44" t="s">
        <v>418</v>
      </c>
      <c r="BB26" s="44" t="s">
        <v>2063</v>
      </c>
    </row>
    <row r="27" spans="3:54">
      <c r="C27" s="50" t="s">
        <v>610</v>
      </c>
      <c r="D27" s="50" t="s">
        <v>611</v>
      </c>
      <c r="E27" s="67" t="s">
        <v>72</v>
      </c>
      <c r="F27" s="50" t="s">
        <v>522</v>
      </c>
      <c r="G27" s="50" t="s">
        <v>1826</v>
      </c>
      <c r="H27" s="328"/>
      <c r="I27" s="50"/>
      <c r="K27" s="60" t="s">
        <v>9</v>
      </c>
      <c r="L27" s="54" t="str">
        <f>K27&amp;" SERRA"</f>
        <v>Instalación Eléctrica SERRA</v>
      </c>
      <c r="M27" s="54" t="s">
        <v>9</v>
      </c>
      <c r="N27" s="54" t="s">
        <v>1589</v>
      </c>
      <c r="O27" s="54" t="s">
        <v>382</v>
      </c>
      <c r="P27" s="54" t="s">
        <v>25</v>
      </c>
      <c r="Q27" s="54" t="s">
        <v>39</v>
      </c>
      <c r="R27" s="54" t="s">
        <v>1828</v>
      </c>
      <c r="S27" s="54" t="s">
        <v>79</v>
      </c>
      <c r="T27" s="54" t="s">
        <v>1582</v>
      </c>
      <c r="U27" s="54" t="s">
        <v>607</v>
      </c>
      <c r="V27" s="54"/>
      <c r="X27" s="55">
        <v>137</v>
      </c>
      <c r="Y27" s="56" t="s">
        <v>612</v>
      </c>
      <c r="Z27" s="56" t="s">
        <v>594</v>
      </c>
      <c r="AA27" s="56" t="s">
        <v>483</v>
      </c>
      <c r="AB27" s="56"/>
      <c r="AD27" s="57" t="s">
        <v>613</v>
      </c>
      <c r="AE27" s="57" t="s">
        <v>152</v>
      </c>
      <c r="AR27" s="44" t="s">
        <v>1701</v>
      </c>
      <c r="AS27" s="44" t="s">
        <v>1792</v>
      </c>
      <c r="AT27" s="44" t="s">
        <v>375</v>
      </c>
      <c r="AU27" s="44" t="s">
        <v>375</v>
      </c>
      <c r="AV27" s="44" t="s">
        <v>1694</v>
      </c>
      <c r="AW27" s="44" t="s">
        <v>1695</v>
      </c>
      <c r="AX27" s="44" t="s">
        <v>1698</v>
      </c>
      <c r="AY27" s="44" t="s">
        <v>2030</v>
      </c>
      <c r="AZ27" s="44" t="s">
        <v>1698</v>
      </c>
      <c r="BA27" s="44" t="s">
        <v>300</v>
      </c>
      <c r="BB27" s="44" t="s">
        <v>2062</v>
      </c>
    </row>
    <row r="28" spans="3:54">
      <c r="C28" s="50" t="s">
        <v>614</v>
      </c>
      <c r="D28" s="50" t="s">
        <v>615</v>
      </c>
      <c r="E28" s="67" t="s">
        <v>1257</v>
      </c>
      <c r="F28" s="50" t="s">
        <v>522</v>
      </c>
      <c r="G28" s="50" t="s">
        <v>1816</v>
      </c>
      <c r="H28" s="328"/>
      <c r="I28" s="50"/>
      <c r="K28" s="60"/>
      <c r="L28" s="54" t="str">
        <f>CONCATENATE(K27," Ext.")</f>
        <v>Instalación Eléctrica Ext.</v>
      </c>
      <c r="M28" s="54"/>
      <c r="N28" s="54"/>
      <c r="O28" s="54"/>
      <c r="P28" s="54"/>
      <c r="Q28" s="54"/>
      <c r="R28" s="54"/>
      <c r="S28" s="54"/>
      <c r="T28" s="54"/>
      <c r="U28" s="54"/>
      <c r="V28" s="54"/>
      <c r="X28" s="55">
        <v>140</v>
      </c>
      <c r="Y28" s="56" t="s">
        <v>617</v>
      </c>
      <c r="Z28" s="56" t="s">
        <v>618</v>
      </c>
      <c r="AA28" s="56" t="s">
        <v>483</v>
      </c>
      <c r="AB28" s="56"/>
      <c r="AD28" s="57" t="s">
        <v>619</v>
      </c>
      <c r="AE28" s="57" t="s">
        <v>138</v>
      </c>
      <c r="AR28" s="44" t="s">
        <v>1701</v>
      </c>
      <c r="AS28" s="44" t="s">
        <v>1793</v>
      </c>
      <c r="AT28" s="44" t="s">
        <v>375</v>
      </c>
      <c r="AU28" s="44" t="s">
        <v>375</v>
      </c>
      <c r="AV28" s="44" t="s">
        <v>1697</v>
      </c>
      <c r="AW28" s="44" t="s">
        <v>375</v>
      </c>
      <c r="AX28" s="44" t="s">
        <v>1698</v>
      </c>
      <c r="AY28" s="44" t="s">
        <v>2031</v>
      </c>
      <c r="AZ28" s="44" t="s">
        <v>1698</v>
      </c>
      <c r="BA28" s="44" t="s">
        <v>301</v>
      </c>
      <c r="BB28" s="44" t="s">
        <v>2062</v>
      </c>
    </row>
    <row r="29" spans="3:54">
      <c r="C29" s="50" t="s">
        <v>620</v>
      </c>
      <c r="D29" s="50" t="s">
        <v>621</v>
      </c>
      <c r="E29" s="67" t="s">
        <v>71</v>
      </c>
      <c r="F29" s="50" t="s">
        <v>522</v>
      </c>
      <c r="G29" s="50" t="s">
        <v>1816</v>
      </c>
      <c r="H29" s="328"/>
      <c r="I29" s="50"/>
      <c r="K29" s="60" t="s">
        <v>10</v>
      </c>
      <c r="L29" s="54" t="str">
        <f>K29&amp;" SERRA"</f>
        <v>Instalación NR SERRA</v>
      </c>
      <c r="M29" s="54" t="s">
        <v>10</v>
      </c>
      <c r="N29" s="54" t="str">
        <f>N27</f>
        <v>Instalación ENR</v>
      </c>
      <c r="O29" s="54" t="s">
        <v>383</v>
      </c>
      <c r="P29" s="54" t="s">
        <v>25</v>
      </c>
      <c r="Q29" s="54" t="s">
        <v>39</v>
      </c>
      <c r="R29" s="54" t="s">
        <v>1828</v>
      </c>
      <c r="S29" s="54" t="s">
        <v>80</v>
      </c>
      <c r="T29" s="54" t="s">
        <v>1582</v>
      </c>
      <c r="U29" s="54" t="s">
        <v>616</v>
      </c>
      <c r="V29" s="54"/>
      <c r="X29" s="55">
        <v>141</v>
      </c>
      <c r="Y29" s="56" t="s">
        <v>622</v>
      </c>
      <c r="Z29" s="56" t="s">
        <v>623</v>
      </c>
      <c r="AA29" s="56" t="s">
        <v>483</v>
      </c>
      <c r="AB29" s="56"/>
      <c r="AD29" s="57" t="s">
        <v>197</v>
      </c>
      <c r="AE29" s="57" t="s">
        <v>120</v>
      </c>
      <c r="AR29" s="44" t="s">
        <v>1686</v>
      </c>
      <c r="AS29" s="44" t="s">
        <v>1794</v>
      </c>
      <c r="AT29" s="44" t="s">
        <v>375</v>
      </c>
      <c r="AU29" s="44" t="s">
        <v>375</v>
      </c>
      <c r="AV29" s="44" t="s">
        <v>375</v>
      </c>
      <c r="AW29" s="44" t="s">
        <v>375</v>
      </c>
      <c r="AX29" s="44" t="s">
        <v>375</v>
      </c>
      <c r="AY29" s="44" t="s">
        <v>2032</v>
      </c>
      <c r="AZ29" s="44" t="s">
        <v>375</v>
      </c>
      <c r="BA29" s="44" t="s">
        <v>288</v>
      </c>
      <c r="BB29" s="44" t="s">
        <v>2067</v>
      </c>
    </row>
    <row r="30" spans="3:54">
      <c r="C30" s="50" t="s">
        <v>624</v>
      </c>
      <c r="D30" s="50" t="s">
        <v>625</v>
      </c>
      <c r="E30" s="67" t="s">
        <v>66</v>
      </c>
      <c r="F30" s="50" t="s">
        <v>478</v>
      </c>
      <c r="G30" s="50" t="s">
        <v>1826</v>
      </c>
      <c r="H30" s="328"/>
      <c r="I30" s="50"/>
      <c r="K30" s="60"/>
      <c r="L30" s="54" t="str">
        <f>CONCATENATE(K29," Ext.")</f>
        <v>Instalación NR Ext.</v>
      </c>
      <c r="M30" s="54"/>
      <c r="N30" s="54"/>
      <c r="O30" s="54"/>
      <c r="P30" s="54"/>
      <c r="Q30" s="54"/>
      <c r="R30" s="54"/>
      <c r="S30" s="54"/>
      <c r="T30" s="54"/>
      <c r="U30" s="54"/>
      <c r="V30" s="54"/>
      <c r="X30" s="55">
        <v>142</v>
      </c>
      <c r="Y30" s="56" t="s">
        <v>626</v>
      </c>
      <c r="Z30" s="56" t="s">
        <v>627</v>
      </c>
      <c r="AA30" s="56" t="s">
        <v>483</v>
      </c>
      <c r="AB30" s="56"/>
      <c r="AD30" s="57" t="s">
        <v>628</v>
      </c>
      <c r="AE30" s="57" t="s">
        <v>94</v>
      </c>
      <c r="AR30" s="44" t="s">
        <v>1686</v>
      </c>
      <c r="AS30" s="44" t="s">
        <v>1794</v>
      </c>
      <c r="AT30" s="44" t="s">
        <v>375</v>
      </c>
      <c r="AU30" s="44" t="s">
        <v>375</v>
      </c>
      <c r="AV30" s="44" t="s">
        <v>375</v>
      </c>
      <c r="AW30" s="44" t="s">
        <v>1698</v>
      </c>
      <c r="AX30" s="44" t="s">
        <v>375</v>
      </c>
      <c r="AY30" s="44" t="s">
        <v>2032</v>
      </c>
      <c r="AZ30" s="44" t="s">
        <v>375</v>
      </c>
      <c r="BA30" s="44" t="s">
        <v>1285</v>
      </c>
      <c r="BB30" s="44" t="s">
        <v>2067</v>
      </c>
    </row>
    <row r="31" spans="3:54">
      <c r="C31" s="50" t="s">
        <v>629</v>
      </c>
      <c r="D31" s="50" t="s">
        <v>630</v>
      </c>
      <c r="E31" s="67" t="s">
        <v>67</v>
      </c>
      <c r="F31" s="50" t="s">
        <v>478</v>
      </c>
      <c r="G31" s="50" t="s">
        <v>1826</v>
      </c>
      <c r="H31" s="328"/>
      <c r="I31" s="50"/>
      <c r="K31" s="53" t="s">
        <v>17</v>
      </c>
      <c r="L31" s="54" t="str">
        <f>K31&amp;" SERRA"</f>
        <v>Asist. Técnica SERRA</v>
      </c>
      <c r="M31" s="54" t="s">
        <v>17</v>
      </c>
      <c r="N31" s="54" t="s">
        <v>17</v>
      </c>
      <c r="O31" s="54" t="s">
        <v>384</v>
      </c>
      <c r="P31" s="54" t="s">
        <v>17</v>
      </c>
      <c r="Q31" s="54" t="s">
        <v>40</v>
      </c>
      <c r="R31" s="54" t="s">
        <v>315</v>
      </c>
      <c r="S31" s="54" t="s">
        <v>281</v>
      </c>
      <c r="T31" s="54" t="s">
        <v>1582</v>
      </c>
      <c r="U31" s="54" t="s">
        <v>0</v>
      </c>
      <c r="V31" s="54"/>
      <c r="X31" s="55">
        <v>145</v>
      </c>
      <c r="Y31" s="56" t="s">
        <v>631</v>
      </c>
      <c r="Z31" s="56" t="s">
        <v>618</v>
      </c>
      <c r="AA31" s="56" t="s">
        <v>483</v>
      </c>
      <c r="AB31" s="56"/>
      <c r="AD31" s="57" t="s">
        <v>632</v>
      </c>
      <c r="AE31" s="57" t="s">
        <v>87</v>
      </c>
      <c r="AR31" s="44" t="s">
        <v>1686</v>
      </c>
      <c r="AS31" s="44" t="s">
        <v>1795</v>
      </c>
      <c r="AT31" s="44" t="s">
        <v>375</v>
      </c>
      <c r="AU31" s="44" t="s">
        <v>375</v>
      </c>
      <c r="AV31" s="44" t="s">
        <v>1694</v>
      </c>
      <c r="AW31" s="44" t="s">
        <v>1698</v>
      </c>
      <c r="AX31" s="44" t="s">
        <v>375</v>
      </c>
      <c r="AY31" s="44" t="s">
        <v>2033</v>
      </c>
      <c r="AZ31" s="44" t="s">
        <v>375</v>
      </c>
      <c r="BA31" s="44" t="s">
        <v>1245</v>
      </c>
      <c r="BB31" s="44" t="s">
        <v>2067</v>
      </c>
    </row>
    <row r="32" spans="3:54">
      <c r="C32" s="50" t="s">
        <v>633</v>
      </c>
      <c r="D32" s="50" t="s">
        <v>634</v>
      </c>
      <c r="E32" s="67" t="s">
        <v>74</v>
      </c>
      <c r="F32" s="50" t="s">
        <v>478</v>
      </c>
      <c r="G32" s="50" t="s">
        <v>1826</v>
      </c>
      <c r="H32" s="328"/>
      <c r="I32" s="50"/>
      <c r="K32" s="53"/>
      <c r="L32" s="54" t="str">
        <f>CONCATENATE(K31," Ext.")</f>
        <v>Asist. Técnica Ext.</v>
      </c>
      <c r="M32" s="54"/>
      <c r="N32" s="54"/>
      <c r="O32" s="54"/>
      <c r="P32" s="54"/>
      <c r="Q32" s="54"/>
      <c r="R32" s="54"/>
      <c r="S32" s="54"/>
      <c r="T32" s="54"/>
      <c r="U32" s="54"/>
      <c r="V32" s="54"/>
      <c r="X32" s="55">
        <v>150</v>
      </c>
      <c r="Y32" s="56" t="s">
        <v>636</v>
      </c>
      <c r="Z32" s="56" t="s">
        <v>637</v>
      </c>
      <c r="AA32" s="56" t="s">
        <v>483</v>
      </c>
      <c r="AB32" s="56"/>
      <c r="AD32" s="57" t="s">
        <v>638</v>
      </c>
      <c r="AE32" s="57" t="s">
        <v>88</v>
      </c>
      <c r="AR32" s="44" t="s">
        <v>1686</v>
      </c>
      <c r="AS32" s="44" t="s">
        <v>1795</v>
      </c>
      <c r="AT32" s="44" t="s">
        <v>375</v>
      </c>
      <c r="AU32" s="44" t="s">
        <v>375</v>
      </c>
      <c r="AV32" s="44" t="s">
        <v>1694</v>
      </c>
      <c r="AW32" s="44" t="s">
        <v>375</v>
      </c>
      <c r="AX32" s="44" t="s">
        <v>375</v>
      </c>
      <c r="AY32" s="44" t="s">
        <v>2033</v>
      </c>
      <c r="AZ32" s="44" t="s">
        <v>375</v>
      </c>
      <c r="BA32" s="44" t="s">
        <v>1244</v>
      </c>
      <c r="BB32" s="44" t="s">
        <v>2067</v>
      </c>
    </row>
    <row r="33" spans="3:31">
      <c r="C33" s="50" t="s">
        <v>639</v>
      </c>
      <c r="D33" s="50" t="s">
        <v>640</v>
      </c>
      <c r="E33" s="67" t="s">
        <v>71</v>
      </c>
      <c r="F33" s="50" t="s">
        <v>478</v>
      </c>
      <c r="G33" s="50" t="s">
        <v>1809</v>
      </c>
      <c r="H33" s="328"/>
      <c r="I33" s="50"/>
      <c r="K33" s="53" t="s">
        <v>635</v>
      </c>
      <c r="L33" s="54" t="str">
        <f>CstGrpS[[#This Row],[CstGrpId]]</f>
        <v>Material Mecánico +%</v>
      </c>
      <c r="M33" s="54" t="s">
        <v>18</v>
      </c>
      <c r="N33" s="54" t="s">
        <v>295</v>
      </c>
      <c r="O33" s="54" t="s">
        <v>1639</v>
      </c>
      <c r="P33" s="54" t="s">
        <v>1665</v>
      </c>
      <c r="Q33" s="54" t="s">
        <v>56</v>
      </c>
      <c r="R33" s="54" t="s">
        <v>1829</v>
      </c>
      <c r="S33" s="54" t="s">
        <v>81</v>
      </c>
      <c r="T33" s="54" t="s">
        <v>1583</v>
      </c>
      <c r="U33" s="54" t="s">
        <v>0</v>
      </c>
      <c r="V33" s="54"/>
      <c r="X33" s="55">
        <v>200</v>
      </c>
      <c r="Y33" s="56" t="s">
        <v>641</v>
      </c>
      <c r="Z33" s="56" t="s">
        <v>642</v>
      </c>
      <c r="AA33" s="56" t="s">
        <v>483</v>
      </c>
      <c r="AB33" s="56"/>
      <c r="AD33" s="57" t="s">
        <v>643</v>
      </c>
      <c r="AE33" s="57" t="s">
        <v>90</v>
      </c>
    </row>
    <row r="34" spans="3:31">
      <c r="C34" s="50" t="s">
        <v>644</v>
      </c>
      <c r="D34" s="50" t="s">
        <v>645</v>
      </c>
      <c r="E34" s="67" t="s">
        <v>1255</v>
      </c>
      <c r="F34" s="50" t="s">
        <v>522</v>
      </c>
      <c r="G34" s="50" t="s">
        <v>1826</v>
      </c>
      <c r="H34" s="328"/>
      <c r="I34" s="50"/>
      <c r="K34" s="53"/>
      <c r="L34" s="54" t="s">
        <v>297</v>
      </c>
      <c r="M34" s="54"/>
      <c r="N34" s="54"/>
      <c r="O34" s="54"/>
      <c r="P34" s="54"/>
      <c r="Q34" s="54" t="s">
        <v>41</v>
      </c>
      <c r="R34" s="54"/>
      <c r="S34" s="54"/>
      <c r="T34" s="54"/>
      <c r="U34" s="54"/>
      <c r="V34" s="54"/>
      <c r="X34" s="55">
        <v>210</v>
      </c>
      <c r="Y34" s="56" t="s">
        <v>646</v>
      </c>
      <c r="Z34" s="56" t="s">
        <v>647</v>
      </c>
      <c r="AA34" s="56" t="s">
        <v>483</v>
      </c>
      <c r="AB34" s="56"/>
      <c r="AD34" s="57" t="s">
        <v>648</v>
      </c>
      <c r="AE34" s="57" t="s">
        <v>92</v>
      </c>
    </row>
    <row r="35" spans="3:31">
      <c r="C35" s="50" t="s">
        <v>649</v>
      </c>
      <c r="D35" s="50" t="s">
        <v>650</v>
      </c>
      <c r="E35" s="67" t="s">
        <v>1273</v>
      </c>
      <c r="F35" s="50" t="s">
        <v>522</v>
      </c>
      <c r="G35" s="50" t="s">
        <v>1826</v>
      </c>
      <c r="H35" s="328"/>
      <c r="I35" s="50"/>
      <c r="K35" s="61" t="s">
        <v>458</v>
      </c>
      <c r="L35" s="54" t="str">
        <f>CstGrpS[[#This Row],[CstGrpId]]</f>
        <v>Material Eléctrico +%</v>
      </c>
      <c r="M35" s="54" t="s">
        <v>19</v>
      </c>
      <c r="N35" s="54" t="s">
        <v>65</v>
      </c>
      <c r="O35" s="54" t="s">
        <v>1639</v>
      </c>
      <c r="P35" s="54" t="s">
        <v>1666</v>
      </c>
      <c r="Q35" s="54" t="s">
        <v>57</v>
      </c>
      <c r="R35" s="54" t="s">
        <v>1830</v>
      </c>
      <c r="S35" s="54" t="s">
        <v>82</v>
      </c>
      <c r="T35" s="54" t="s">
        <v>1583</v>
      </c>
      <c r="U35" s="54" t="s">
        <v>0</v>
      </c>
      <c r="V35" s="54"/>
      <c r="X35" s="55">
        <v>220</v>
      </c>
      <c r="Y35" s="56" t="s">
        <v>652</v>
      </c>
      <c r="Z35" s="56" t="s">
        <v>653</v>
      </c>
      <c r="AA35" s="56" t="s">
        <v>483</v>
      </c>
      <c r="AB35" s="56"/>
      <c r="AD35" s="57" t="s">
        <v>654</v>
      </c>
      <c r="AE35" s="57" t="s">
        <v>95</v>
      </c>
    </row>
    <row r="36" spans="3:31">
      <c r="C36" s="50" t="s">
        <v>655</v>
      </c>
      <c r="D36" s="50" t="s">
        <v>656</v>
      </c>
      <c r="E36" s="67" t="s">
        <v>1251</v>
      </c>
      <c r="F36" s="50" t="s">
        <v>529</v>
      </c>
      <c r="G36" s="50" t="s">
        <v>1819</v>
      </c>
      <c r="H36" s="328" t="s">
        <v>410</v>
      </c>
      <c r="I36" s="50"/>
      <c r="K36" s="53"/>
      <c r="L36" s="54"/>
      <c r="M36" s="54"/>
      <c r="N36" s="54"/>
      <c r="O36" s="54"/>
      <c r="P36" s="54"/>
      <c r="Q36" s="54"/>
      <c r="R36" s="54"/>
      <c r="S36" s="54"/>
      <c r="T36" s="54"/>
      <c r="U36" s="54"/>
      <c r="V36" s="62"/>
      <c r="X36" s="55">
        <v>225</v>
      </c>
      <c r="Y36" s="56" t="s">
        <v>658</v>
      </c>
      <c r="Z36" s="56" t="s">
        <v>659</v>
      </c>
      <c r="AA36" s="56" t="s">
        <v>483</v>
      </c>
      <c r="AB36" s="56"/>
      <c r="AD36" s="57" t="s">
        <v>660</v>
      </c>
      <c r="AE36" s="57" t="s">
        <v>108</v>
      </c>
    </row>
    <row r="37" spans="3:31">
      <c r="C37" s="50" t="s">
        <v>453</v>
      </c>
      <c r="D37" s="50" t="s">
        <v>661</v>
      </c>
      <c r="E37" s="67" t="s">
        <v>1251</v>
      </c>
      <c r="F37" s="50" t="s">
        <v>529</v>
      </c>
      <c r="G37" s="50" t="s">
        <v>1820</v>
      </c>
      <c r="H37" s="328" t="s">
        <v>413</v>
      </c>
      <c r="I37" s="50"/>
      <c r="K37" s="61" t="s">
        <v>20</v>
      </c>
      <c r="L37" s="54" t="str">
        <f>CstGrpS[[#This Row],[CstGrpId]]</f>
        <v>Material Fluidos +%</v>
      </c>
      <c r="M37" s="54" t="s">
        <v>20</v>
      </c>
      <c r="N37" s="54" t="s">
        <v>75</v>
      </c>
      <c r="O37" s="54" t="s">
        <v>1639</v>
      </c>
      <c r="P37" s="54" t="s">
        <v>75</v>
      </c>
      <c r="Q37" s="54" t="s">
        <v>58</v>
      </c>
      <c r="R37" s="54" t="s">
        <v>1830</v>
      </c>
      <c r="S37" s="54" t="s">
        <v>651</v>
      </c>
      <c r="T37" s="54" t="s">
        <v>1583</v>
      </c>
      <c r="U37" s="54" t="s">
        <v>0</v>
      </c>
      <c r="V37" s="63"/>
      <c r="X37" s="55">
        <v>300</v>
      </c>
      <c r="Y37" s="56" t="s">
        <v>662</v>
      </c>
      <c r="Z37" s="56" t="s">
        <v>663</v>
      </c>
      <c r="AA37" s="56" t="s">
        <v>483</v>
      </c>
      <c r="AB37" s="56"/>
      <c r="AD37" s="57" t="s">
        <v>664</v>
      </c>
      <c r="AE37" s="57" t="s">
        <v>141</v>
      </c>
    </row>
    <row r="38" spans="3:31">
      <c r="C38" s="50" t="s">
        <v>665</v>
      </c>
      <c r="D38" s="50" t="s">
        <v>666</v>
      </c>
      <c r="E38" s="67" t="s">
        <v>1256</v>
      </c>
      <c r="F38" s="50" t="s">
        <v>522</v>
      </c>
      <c r="G38" s="50" t="s">
        <v>1826</v>
      </c>
      <c r="H38" s="328"/>
      <c r="I38" s="50"/>
      <c r="K38" s="53"/>
      <c r="L38" s="54"/>
      <c r="M38" s="54"/>
      <c r="N38" s="54"/>
      <c r="O38" s="54"/>
      <c r="P38" s="54"/>
      <c r="R38" s="54"/>
      <c r="S38" s="54"/>
      <c r="T38" s="54"/>
      <c r="U38" s="54"/>
      <c r="X38" s="55">
        <v>301</v>
      </c>
      <c r="Y38" s="56" t="s">
        <v>667</v>
      </c>
      <c r="Z38" s="56" t="s">
        <v>668</v>
      </c>
      <c r="AA38" s="56" t="s">
        <v>483</v>
      </c>
      <c r="AB38" s="56"/>
      <c r="AD38" s="57" t="s">
        <v>669</v>
      </c>
      <c r="AE38" s="57" t="s">
        <v>104</v>
      </c>
    </row>
    <row r="39" spans="3:31">
      <c r="C39" s="50" t="s">
        <v>670</v>
      </c>
      <c r="D39" s="50" t="s">
        <v>671</v>
      </c>
      <c r="E39" s="67" t="s">
        <v>1257</v>
      </c>
      <c r="F39" s="50" t="s">
        <v>522</v>
      </c>
      <c r="G39" s="50" t="s">
        <v>1816</v>
      </c>
      <c r="H39" s="328"/>
      <c r="I39" s="50"/>
      <c r="K39" s="53" t="s">
        <v>21</v>
      </c>
      <c r="L39" s="54" t="str">
        <f>K39&amp;" SERRA"</f>
        <v>Transp. &amp; Desplaz. SERRA</v>
      </c>
      <c r="M39" s="54" t="s">
        <v>21</v>
      </c>
      <c r="N39" s="54" t="s">
        <v>21</v>
      </c>
      <c r="O39" s="54" t="s">
        <v>375</v>
      </c>
      <c r="P39" s="54" t="s">
        <v>21</v>
      </c>
      <c r="Q39" s="54" t="s">
        <v>42</v>
      </c>
      <c r="R39" s="54" t="s">
        <v>479</v>
      </c>
      <c r="S39" s="54" t="s">
        <v>657</v>
      </c>
      <c r="T39" s="54" t="s">
        <v>1584</v>
      </c>
      <c r="U39" s="62" t="s">
        <v>0</v>
      </c>
      <c r="X39" s="55">
        <v>302</v>
      </c>
      <c r="Y39" s="56" t="s">
        <v>672</v>
      </c>
      <c r="Z39" s="56" t="s">
        <v>673</v>
      </c>
      <c r="AA39" s="56" t="s">
        <v>483</v>
      </c>
      <c r="AB39" s="56"/>
      <c r="AD39" s="57" t="s">
        <v>674</v>
      </c>
      <c r="AE39" s="57" t="s">
        <v>210</v>
      </c>
    </row>
    <row r="40" spans="3:31">
      <c r="C40" s="50" t="s">
        <v>675</v>
      </c>
      <c r="D40" s="50" t="s">
        <v>676</v>
      </c>
      <c r="E40" s="67" t="s">
        <v>677</v>
      </c>
      <c r="F40" s="50" t="s">
        <v>529</v>
      </c>
      <c r="G40" s="50" t="s">
        <v>1820</v>
      </c>
      <c r="H40" s="328" t="s">
        <v>413</v>
      </c>
      <c r="I40" s="50"/>
      <c r="K40" s="53"/>
      <c r="L40" s="54" t="str">
        <f>CONCATENATE(K39," Ext.")</f>
        <v>Transp. &amp; Desplaz. Ext.</v>
      </c>
      <c r="M40" s="54"/>
      <c r="N40" s="54"/>
      <c r="O40" s="54"/>
      <c r="P40" s="54"/>
      <c r="Q40" s="54"/>
      <c r="R40" s="63"/>
      <c r="S40" s="54"/>
      <c r="T40" s="54"/>
      <c r="U40" s="63"/>
      <c r="X40" s="55">
        <v>350</v>
      </c>
      <c r="Y40" s="56" t="s">
        <v>678</v>
      </c>
      <c r="Z40" s="56" t="s">
        <v>679</v>
      </c>
      <c r="AA40" s="56" t="s">
        <v>483</v>
      </c>
      <c r="AB40" s="56"/>
      <c r="AD40" s="57" t="s">
        <v>680</v>
      </c>
      <c r="AE40" s="57" t="s">
        <v>117</v>
      </c>
    </row>
    <row r="41" spans="3:31">
      <c r="C41" s="50" t="s">
        <v>681</v>
      </c>
      <c r="D41" s="50" t="s">
        <v>682</v>
      </c>
      <c r="E41" s="67" t="s">
        <v>683</v>
      </c>
      <c r="F41" s="50" t="s">
        <v>478</v>
      </c>
      <c r="G41" s="50" t="s">
        <v>1815</v>
      </c>
      <c r="H41" s="328"/>
      <c r="I41" s="50"/>
      <c r="X41" s="55">
        <v>400</v>
      </c>
      <c r="Y41" s="56" t="s">
        <v>684</v>
      </c>
      <c r="Z41" s="56" t="s">
        <v>380</v>
      </c>
      <c r="AA41" s="56" t="s">
        <v>483</v>
      </c>
      <c r="AB41" s="56"/>
      <c r="AD41" s="57" t="s">
        <v>685</v>
      </c>
      <c r="AE41" s="57" t="s">
        <v>261</v>
      </c>
    </row>
    <row r="42" spans="3:31">
      <c r="C42" s="50" t="s">
        <v>452</v>
      </c>
      <c r="D42" s="50" t="s">
        <v>686</v>
      </c>
      <c r="E42" s="67" t="s">
        <v>1251</v>
      </c>
      <c r="F42" s="50" t="s">
        <v>529</v>
      </c>
      <c r="G42" s="50" t="s">
        <v>1820</v>
      </c>
      <c r="H42" s="328" t="s">
        <v>413</v>
      </c>
      <c r="I42" s="50"/>
      <c r="M42" s="168"/>
      <c r="N42" s="168"/>
      <c r="O42" s="168"/>
      <c r="P42" s="168"/>
      <c r="Q42" s="168"/>
      <c r="X42" s="55">
        <v>410</v>
      </c>
      <c r="Y42" s="56" t="s">
        <v>687</v>
      </c>
      <c r="Z42" s="56" t="s">
        <v>380</v>
      </c>
      <c r="AA42" s="56" t="s">
        <v>483</v>
      </c>
      <c r="AB42" s="56"/>
      <c r="AD42" s="57" t="s">
        <v>688</v>
      </c>
      <c r="AE42" s="57" t="s">
        <v>131</v>
      </c>
    </row>
    <row r="43" spans="3:31">
      <c r="C43" s="50" t="s">
        <v>449</v>
      </c>
      <c r="D43" s="50" t="s">
        <v>689</v>
      </c>
      <c r="E43" s="67" t="s">
        <v>677</v>
      </c>
      <c r="F43" s="50" t="s">
        <v>529</v>
      </c>
      <c r="G43" s="50" t="s">
        <v>1819</v>
      </c>
      <c r="H43" s="328" t="s">
        <v>412</v>
      </c>
      <c r="I43" s="50"/>
      <c r="M43" s="168"/>
      <c r="N43" s="168"/>
      <c r="O43" s="168"/>
      <c r="P43" s="168"/>
      <c r="Q43" s="168"/>
      <c r="X43" s="55">
        <v>411</v>
      </c>
      <c r="Y43" s="56" t="s">
        <v>690</v>
      </c>
      <c r="Z43" s="56" t="s">
        <v>691</v>
      </c>
      <c r="AA43" s="56" t="s">
        <v>483</v>
      </c>
      <c r="AB43" s="56"/>
      <c r="AD43" s="57" t="s">
        <v>692</v>
      </c>
      <c r="AE43" s="57" t="s">
        <v>133</v>
      </c>
    </row>
    <row r="44" spans="3:31">
      <c r="C44" s="50" t="s">
        <v>693</v>
      </c>
      <c r="D44" s="50" t="s">
        <v>694</v>
      </c>
      <c r="E44" s="67" t="s">
        <v>1251</v>
      </c>
      <c r="F44" s="50" t="s">
        <v>529</v>
      </c>
      <c r="G44" s="50" t="s">
        <v>1819</v>
      </c>
      <c r="H44" s="328" t="s">
        <v>410</v>
      </c>
      <c r="I44" s="50"/>
      <c r="M44" s="169"/>
      <c r="N44" s="169"/>
      <c r="O44" s="169"/>
      <c r="P44" s="169"/>
      <c r="Q44" s="169"/>
      <c r="X44" s="55">
        <v>412</v>
      </c>
      <c r="Y44" s="56" t="s">
        <v>695</v>
      </c>
      <c r="Z44" s="56" t="s">
        <v>696</v>
      </c>
      <c r="AA44" s="56" t="s">
        <v>483</v>
      </c>
      <c r="AB44" s="56"/>
      <c r="AD44" s="57" t="s">
        <v>697</v>
      </c>
      <c r="AE44" s="57" t="s">
        <v>135</v>
      </c>
    </row>
    <row r="45" spans="3:31">
      <c r="C45" s="50" t="s">
        <v>698</v>
      </c>
      <c r="D45" s="50" t="s">
        <v>699</v>
      </c>
      <c r="E45" s="67" t="s">
        <v>1251</v>
      </c>
      <c r="F45" s="50" t="s">
        <v>529</v>
      </c>
      <c r="G45" s="50" t="s">
        <v>1819</v>
      </c>
      <c r="H45" s="328" t="s">
        <v>410</v>
      </c>
      <c r="I45" s="50"/>
      <c r="M45" s="169"/>
      <c r="N45" s="169"/>
      <c r="O45" s="169"/>
      <c r="P45" s="169"/>
      <c r="Q45" s="169"/>
      <c r="X45" s="55">
        <v>420</v>
      </c>
      <c r="Y45" s="56" t="s">
        <v>700</v>
      </c>
      <c r="Z45" s="56" t="s">
        <v>701</v>
      </c>
      <c r="AA45" s="56" t="s">
        <v>483</v>
      </c>
      <c r="AB45" s="56"/>
      <c r="AD45" s="57" t="s">
        <v>702</v>
      </c>
      <c r="AE45" s="57" t="s">
        <v>122</v>
      </c>
    </row>
    <row r="46" spans="3:31">
      <c r="C46" s="50" t="s">
        <v>703</v>
      </c>
      <c r="D46" s="50" t="s">
        <v>704</v>
      </c>
      <c r="E46" s="67" t="s">
        <v>1251</v>
      </c>
      <c r="F46" s="50" t="s">
        <v>529</v>
      </c>
      <c r="G46" s="50" t="s">
        <v>1819</v>
      </c>
      <c r="H46" s="328" t="s">
        <v>410</v>
      </c>
      <c r="I46" s="50"/>
      <c r="M46" s="169"/>
      <c r="N46" s="169"/>
      <c r="O46" s="169"/>
      <c r="P46" s="169"/>
      <c r="Q46" s="169"/>
      <c r="X46" s="55">
        <v>500</v>
      </c>
      <c r="Y46" s="56" t="s">
        <v>705</v>
      </c>
      <c r="Z46" s="56" t="s">
        <v>706</v>
      </c>
      <c r="AA46" s="56" t="s">
        <v>483</v>
      </c>
      <c r="AB46" s="56"/>
      <c r="AD46" s="57" t="s">
        <v>707</v>
      </c>
      <c r="AE46" s="57" t="s">
        <v>99</v>
      </c>
    </row>
    <row r="47" spans="3:31">
      <c r="C47" s="50" t="s">
        <v>450</v>
      </c>
      <c r="D47" s="50" t="s">
        <v>708</v>
      </c>
      <c r="E47" s="67" t="s">
        <v>677</v>
      </c>
      <c r="F47" s="50" t="s">
        <v>529</v>
      </c>
      <c r="G47" s="50" t="s">
        <v>1819</v>
      </c>
      <c r="H47" s="328" t="s">
        <v>412</v>
      </c>
      <c r="I47" s="50"/>
      <c r="M47" s="169"/>
      <c r="N47" s="169"/>
      <c r="O47" s="169"/>
      <c r="P47" s="169"/>
      <c r="Q47" s="169"/>
      <c r="X47" s="55">
        <v>550</v>
      </c>
      <c r="Y47" s="56" t="s">
        <v>709</v>
      </c>
      <c r="Z47" s="56" t="s">
        <v>710</v>
      </c>
      <c r="AA47" s="56" t="s">
        <v>483</v>
      </c>
      <c r="AB47" s="56"/>
      <c r="AD47" s="57" t="s">
        <v>711</v>
      </c>
      <c r="AE47" s="57" t="s">
        <v>103</v>
      </c>
    </row>
    <row r="48" spans="3:31">
      <c r="C48" s="50" t="s">
        <v>712</v>
      </c>
      <c r="D48" s="50" t="s">
        <v>713</v>
      </c>
      <c r="E48" s="67" t="s">
        <v>677</v>
      </c>
      <c r="F48" s="50" t="s">
        <v>529</v>
      </c>
      <c r="G48" s="50" t="s">
        <v>1819</v>
      </c>
      <c r="H48" s="328" t="s">
        <v>412</v>
      </c>
      <c r="I48" s="50"/>
      <c r="M48" s="168"/>
      <c r="N48" s="168"/>
      <c r="O48" s="168"/>
      <c r="P48" s="168"/>
      <c r="Q48" s="168"/>
      <c r="X48" s="55">
        <v>560</v>
      </c>
      <c r="Y48" s="56" t="s">
        <v>714</v>
      </c>
      <c r="Z48" s="56" t="s">
        <v>512</v>
      </c>
      <c r="AA48" s="56" t="s">
        <v>483</v>
      </c>
      <c r="AB48" s="56"/>
      <c r="AD48" s="57" t="s">
        <v>715</v>
      </c>
      <c r="AE48" s="57" t="s">
        <v>112</v>
      </c>
    </row>
    <row r="49" spans="3:31">
      <c r="C49" s="50" t="s">
        <v>716</v>
      </c>
      <c r="D49" s="50" t="s">
        <v>717</v>
      </c>
      <c r="E49" s="67" t="s">
        <v>1262</v>
      </c>
      <c r="F49" s="50" t="s">
        <v>522</v>
      </c>
      <c r="G49" s="50" t="s">
        <v>1821</v>
      </c>
      <c r="H49" s="328"/>
      <c r="I49" s="50"/>
      <c r="M49" s="168"/>
      <c r="N49" s="168"/>
      <c r="O49" s="168"/>
      <c r="P49" s="168"/>
      <c r="Q49" s="168"/>
      <c r="X49" s="55">
        <v>600</v>
      </c>
      <c r="Y49" s="56" t="s">
        <v>718</v>
      </c>
      <c r="Z49" s="56" t="s">
        <v>719</v>
      </c>
      <c r="AA49" s="56" t="s">
        <v>483</v>
      </c>
      <c r="AB49" s="56"/>
      <c r="AD49" s="57" t="s">
        <v>720</v>
      </c>
      <c r="AE49" s="57" t="s">
        <v>115</v>
      </c>
    </row>
    <row r="50" spans="3:31">
      <c r="C50" s="50" t="s">
        <v>721</v>
      </c>
      <c r="D50" s="50" t="s">
        <v>722</v>
      </c>
      <c r="E50" s="67" t="s">
        <v>1262</v>
      </c>
      <c r="F50" s="50" t="s">
        <v>522</v>
      </c>
      <c r="G50" s="50" t="s">
        <v>1821</v>
      </c>
      <c r="H50" s="328"/>
      <c r="I50" s="50"/>
      <c r="M50" s="169"/>
      <c r="N50" s="169"/>
      <c r="O50" s="169"/>
      <c r="P50" s="169"/>
      <c r="Q50" s="169"/>
      <c r="X50" s="55">
        <v>601</v>
      </c>
      <c r="Y50" s="56" t="s">
        <v>723</v>
      </c>
      <c r="Z50" s="56" t="s">
        <v>719</v>
      </c>
      <c r="AA50" s="56" t="s">
        <v>483</v>
      </c>
      <c r="AB50" s="56"/>
      <c r="AD50" s="57" t="s">
        <v>724</v>
      </c>
      <c r="AE50" s="57" t="s">
        <v>125</v>
      </c>
    </row>
    <row r="51" spans="3:31">
      <c r="C51" s="50" t="s">
        <v>725</v>
      </c>
      <c r="D51" s="50" t="s">
        <v>726</v>
      </c>
      <c r="E51" s="67" t="s">
        <v>70</v>
      </c>
      <c r="F51" s="50" t="s">
        <v>522</v>
      </c>
      <c r="G51" s="50" t="s">
        <v>1821</v>
      </c>
      <c r="H51" s="328"/>
      <c r="I51" s="50"/>
      <c r="M51" s="169"/>
      <c r="N51" s="169"/>
      <c r="O51" s="169"/>
      <c r="P51" s="169"/>
      <c r="Q51" s="169"/>
      <c r="X51" s="55">
        <v>602</v>
      </c>
      <c r="Y51" s="56" t="s">
        <v>727</v>
      </c>
      <c r="Z51" s="56" t="s">
        <v>719</v>
      </c>
      <c r="AA51" s="56" t="s">
        <v>483</v>
      </c>
      <c r="AB51" s="56"/>
      <c r="AD51" s="57" t="s">
        <v>728</v>
      </c>
      <c r="AE51" s="57" t="s">
        <v>143</v>
      </c>
    </row>
    <row r="52" spans="3:31">
      <c r="C52" s="50" t="s">
        <v>729</v>
      </c>
      <c r="D52" s="50" t="s">
        <v>730</v>
      </c>
      <c r="E52" s="67" t="s">
        <v>70</v>
      </c>
      <c r="F52" s="50" t="s">
        <v>478</v>
      </c>
      <c r="G52" s="50" t="s">
        <v>1821</v>
      </c>
      <c r="H52" s="328"/>
      <c r="I52" s="50"/>
      <c r="M52" s="169"/>
      <c r="N52" s="169"/>
      <c r="O52" s="169"/>
      <c r="P52" s="169"/>
      <c r="Q52" s="169"/>
      <c r="X52" s="55">
        <v>603</v>
      </c>
      <c r="Y52" s="56" t="s">
        <v>731</v>
      </c>
      <c r="Z52" s="56" t="s">
        <v>732</v>
      </c>
      <c r="AA52" s="56" t="s">
        <v>483</v>
      </c>
      <c r="AB52" s="56"/>
      <c r="AD52" s="57" t="s">
        <v>733</v>
      </c>
      <c r="AE52" s="57" t="s">
        <v>128</v>
      </c>
    </row>
    <row r="53" spans="3:31" ht="12.75" customHeight="1">
      <c r="C53" s="50" t="s">
        <v>734</v>
      </c>
      <c r="D53" s="50" t="s">
        <v>735</v>
      </c>
      <c r="E53" s="67" t="s">
        <v>677</v>
      </c>
      <c r="F53" s="50" t="s">
        <v>529</v>
      </c>
      <c r="G53" s="50" t="s">
        <v>1820</v>
      </c>
      <c r="H53" s="328" t="s">
        <v>413</v>
      </c>
      <c r="I53" s="50"/>
      <c r="M53" s="169"/>
      <c r="N53" s="169"/>
      <c r="O53" s="169"/>
      <c r="P53" s="169"/>
      <c r="Q53" s="169"/>
      <c r="X53" s="55">
        <v>604</v>
      </c>
      <c r="Y53" s="56" t="s">
        <v>736</v>
      </c>
      <c r="Z53" s="56" t="s">
        <v>719</v>
      </c>
      <c r="AA53" s="56" t="s">
        <v>483</v>
      </c>
      <c r="AB53" s="56"/>
      <c r="AD53" s="57" t="s">
        <v>737</v>
      </c>
      <c r="AE53" s="57" t="s">
        <v>84</v>
      </c>
    </row>
    <row r="54" spans="3:31">
      <c r="C54" s="50" t="s">
        <v>738</v>
      </c>
      <c r="D54" s="50" t="s">
        <v>739</v>
      </c>
      <c r="E54" s="67" t="s">
        <v>1251</v>
      </c>
      <c r="F54" s="50" t="s">
        <v>529</v>
      </c>
      <c r="G54" s="50" t="s">
        <v>1820</v>
      </c>
      <c r="H54" s="328" t="s">
        <v>413</v>
      </c>
      <c r="I54" s="50"/>
      <c r="M54" s="168"/>
      <c r="N54" s="168"/>
      <c r="O54" s="168"/>
      <c r="P54" s="168"/>
      <c r="Q54" s="168"/>
      <c r="X54" s="55">
        <v>605</v>
      </c>
      <c r="Y54" s="56" t="s">
        <v>740</v>
      </c>
      <c r="Z54" s="56" t="s">
        <v>719</v>
      </c>
      <c r="AA54" s="56" t="s">
        <v>483</v>
      </c>
      <c r="AB54" s="56"/>
      <c r="AD54" s="57" t="s">
        <v>741</v>
      </c>
      <c r="AE54" s="57" t="s">
        <v>93</v>
      </c>
    </row>
    <row r="55" spans="3:31">
      <c r="C55" s="50" t="s">
        <v>742</v>
      </c>
      <c r="D55" s="50" t="s">
        <v>743</v>
      </c>
      <c r="E55" s="67" t="s">
        <v>677</v>
      </c>
      <c r="F55" s="50" t="s">
        <v>529</v>
      </c>
      <c r="G55" s="50" t="s">
        <v>1819</v>
      </c>
      <c r="H55" s="328" t="s">
        <v>412</v>
      </c>
      <c r="I55" s="50"/>
      <c r="M55" s="168"/>
      <c r="N55" s="168"/>
      <c r="O55" s="168"/>
      <c r="P55" s="168"/>
      <c r="Q55" s="168"/>
      <c r="X55" s="55">
        <v>606</v>
      </c>
      <c r="Y55" s="56" t="s">
        <v>744</v>
      </c>
      <c r="Z55" s="56" t="s">
        <v>719</v>
      </c>
      <c r="AA55" s="56" t="s">
        <v>483</v>
      </c>
      <c r="AB55" s="56"/>
      <c r="AD55" s="57" t="s">
        <v>745</v>
      </c>
      <c r="AE55" s="57" t="s">
        <v>97</v>
      </c>
    </row>
    <row r="56" spans="3:31">
      <c r="C56" s="50" t="s">
        <v>746</v>
      </c>
      <c r="D56" s="50" t="s">
        <v>747</v>
      </c>
      <c r="E56" s="67" t="s">
        <v>677</v>
      </c>
      <c r="F56" s="50" t="s">
        <v>529</v>
      </c>
      <c r="G56" s="50" t="s">
        <v>1819</v>
      </c>
      <c r="H56" s="328" t="s">
        <v>412</v>
      </c>
      <c r="I56" s="50"/>
      <c r="M56" s="169"/>
      <c r="N56" s="169"/>
      <c r="O56" s="169"/>
      <c r="P56" s="169"/>
      <c r="Q56" s="169"/>
      <c r="X56" s="55">
        <v>607</v>
      </c>
      <c r="Y56" s="56" t="s">
        <v>748</v>
      </c>
      <c r="Z56" s="56" t="s">
        <v>719</v>
      </c>
      <c r="AA56" s="56" t="s">
        <v>483</v>
      </c>
      <c r="AB56" s="56"/>
      <c r="AD56" s="57" t="s">
        <v>749</v>
      </c>
      <c r="AE56" s="57" t="s">
        <v>110</v>
      </c>
    </row>
    <row r="57" spans="3:31">
      <c r="C57" s="50" t="s">
        <v>750</v>
      </c>
      <c r="D57" s="50" t="s">
        <v>751</v>
      </c>
      <c r="E57" s="67" t="s">
        <v>1251</v>
      </c>
      <c r="F57" s="50" t="s">
        <v>529</v>
      </c>
      <c r="G57" s="50" t="s">
        <v>1819</v>
      </c>
      <c r="H57" s="328" t="s">
        <v>412</v>
      </c>
      <c r="I57" s="50"/>
      <c r="M57" s="169"/>
      <c r="N57" s="169"/>
      <c r="O57" s="169"/>
      <c r="P57" s="169"/>
      <c r="Q57" s="169"/>
      <c r="X57" s="55">
        <v>608</v>
      </c>
      <c r="Y57" s="56" t="s">
        <v>752</v>
      </c>
      <c r="Z57" s="56" t="s">
        <v>719</v>
      </c>
      <c r="AA57" s="56" t="s">
        <v>483</v>
      </c>
      <c r="AB57" s="56"/>
      <c r="AD57" s="57" t="s">
        <v>753</v>
      </c>
      <c r="AE57" s="57" t="s">
        <v>142</v>
      </c>
    </row>
    <row r="58" spans="3:31">
      <c r="C58" s="50" t="s">
        <v>754</v>
      </c>
      <c r="D58" s="50" t="s">
        <v>755</v>
      </c>
      <c r="E58" s="67" t="s">
        <v>1251</v>
      </c>
      <c r="F58" s="50" t="s">
        <v>529</v>
      </c>
      <c r="G58" s="50" t="s">
        <v>1819</v>
      </c>
      <c r="H58" s="328" t="s">
        <v>447</v>
      </c>
      <c r="I58" s="50"/>
      <c r="M58" s="169"/>
      <c r="N58" s="169"/>
      <c r="O58" s="169"/>
      <c r="P58" s="169"/>
      <c r="Q58" s="169"/>
      <c r="X58" s="55">
        <v>609</v>
      </c>
      <c r="Y58" s="56" t="s">
        <v>756</v>
      </c>
      <c r="Z58" s="56" t="s">
        <v>757</v>
      </c>
      <c r="AA58" s="56" t="s">
        <v>483</v>
      </c>
      <c r="AB58" s="56"/>
      <c r="AD58" s="57" t="s">
        <v>758</v>
      </c>
      <c r="AE58" s="57" t="s">
        <v>492</v>
      </c>
    </row>
    <row r="59" spans="3:31" ht="12.75" customHeight="1">
      <c r="C59" s="50" t="s">
        <v>451</v>
      </c>
      <c r="D59" s="50" t="s">
        <v>759</v>
      </c>
      <c r="E59" s="67" t="s">
        <v>1251</v>
      </c>
      <c r="F59" s="50" t="s">
        <v>529</v>
      </c>
      <c r="G59" s="50" t="s">
        <v>1819</v>
      </c>
      <c r="H59" s="328" t="s">
        <v>411</v>
      </c>
      <c r="I59" s="50"/>
      <c r="M59" s="169"/>
      <c r="N59" s="169"/>
      <c r="O59" s="169"/>
      <c r="P59" s="169"/>
      <c r="Q59" s="169"/>
      <c r="X59" s="55">
        <v>610</v>
      </c>
      <c r="Y59" s="56" t="s">
        <v>760</v>
      </c>
      <c r="Z59" s="56" t="s">
        <v>761</v>
      </c>
      <c r="AA59" s="56" t="s">
        <v>483</v>
      </c>
      <c r="AB59" s="56"/>
      <c r="AD59" s="57" t="s">
        <v>762</v>
      </c>
      <c r="AE59" s="57" t="s">
        <v>527</v>
      </c>
    </row>
    <row r="60" spans="3:31">
      <c r="C60" s="50" t="s">
        <v>763</v>
      </c>
      <c r="D60" s="50" t="s">
        <v>764</v>
      </c>
      <c r="E60" s="67" t="s">
        <v>1251</v>
      </c>
      <c r="F60" s="50" t="s">
        <v>529</v>
      </c>
      <c r="G60" s="50" t="s">
        <v>1819</v>
      </c>
      <c r="H60" s="328" t="s">
        <v>411</v>
      </c>
      <c r="I60" s="50"/>
      <c r="M60" s="169"/>
      <c r="N60" s="169"/>
      <c r="O60" s="169"/>
      <c r="P60" s="169"/>
      <c r="Q60" s="169"/>
      <c r="X60" s="55">
        <v>611</v>
      </c>
      <c r="Y60" s="56" t="s">
        <v>765</v>
      </c>
      <c r="Z60" s="56" t="s">
        <v>766</v>
      </c>
      <c r="AA60" s="56" t="s">
        <v>483</v>
      </c>
      <c r="AB60" s="56"/>
      <c r="AD60" s="57" t="s">
        <v>767</v>
      </c>
      <c r="AE60" s="57" t="s">
        <v>511</v>
      </c>
    </row>
    <row r="61" spans="3:31" ht="13">
      <c r="C61" s="50" t="s">
        <v>454</v>
      </c>
      <c r="D61" s="50" t="s">
        <v>768</v>
      </c>
      <c r="E61" s="67" t="s">
        <v>1251</v>
      </c>
      <c r="F61" s="50" t="s">
        <v>529</v>
      </c>
      <c r="G61" s="50" t="s">
        <v>1819</v>
      </c>
      <c r="H61" s="328" t="s">
        <v>410</v>
      </c>
      <c r="I61" s="50"/>
      <c r="M61" s="169"/>
      <c r="N61"/>
      <c r="O61"/>
      <c r="P61"/>
      <c r="Q61"/>
      <c r="X61" s="55">
        <v>612</v>
      </c>
      <c r="Y61" s="56" t="s">
        <v>769</v>
      </c>
      <c r="Z61" s="56" t="s">
        <v>766</v>
      </c>
      <c r="AA61" s="56" t="s">
        <v>483</v>
      </c>
      <c r="AB61" s="56"/>
      <c r="AD61" s="57" t="s">
        <v>770</v>
      </c>
      <c r="AE61" s="57" t="s">
        <v>351</v>
      </c>
    </row>
    <row r="62" spans="3:31" ht="13">
      <c r="C62" s="50" t="s">
        <v>771</v>
      </c>
      <c r="D62" s="50" t="s">
        <v>772</v>
      </c>
      <c r="E62" s="67" t="s">
        <v>1251</v>
      </c>
      <c r="F62" s="50" t="s">
        <v>529</v>
      </c>
      <c r="G62" s="50" t="s">
        <v>1820</v>
      </c>
      <c r="H62" s="328" t="s">
        <v>413</v>
      </c>
      <c r="I62" s="50"/>
      <c r="M62" s="169"/>
      <c r="N62"/>
      <c r="O62"/>
      <c r="P62"/>
      <c r="Q62"/>
      <c r="X62" s="55">
        <v>613</v>
      </c>
      <c r="Y62" s="56" t="s">
        <v>773</v>
      </c>
      <c r="Z62" s="56" t="s">
        <v>766</v>
      </c>
      <c r="AA62" s="56" t="s">
        <v>483</v>
      </c>
      <c r="AB62" s="56"/>
      <c r="AD62" s="57" t="s">
        <v>774</v>
      </c>
      <c r="AE62" s="57" t="s">
        <v>349</v>
      </c>
    </row>
    <row r="63" spans="3:31" ht="13">
      <c r="C63" s="50" t="s">
        <v>145</v>
      </c>
      <c r="D63" s="50" t="s">
        <v>488</v>
      </c>
      <c r="E63" s="67" t="s">
        <v>1271</v>
      </c>
      <c r="F63" s="50" t="s">
        <v>478</v>
      </c>
      <c r="G63" s="50" t="s">
        <v>1825</v>
      </c>
      <c r="H63" s="328"/>
      <c r="I63" s="50"/>
      <c r="M63" s="169"/>
      <c r="N63"/>
      <c r="O63"/>
      <c r="P63"/>
      <c r="Q63"/>
      <c r="X63" s="55">
        <v>614</v>
      </c>
      <c r="Y63" s="56" t="s">
        <v>775</v>
      </c>
      <c r="Z63" s="56" t="s">
        <v>776</v>
      </c>
      <c r="AA63" s="56" t="s">
        <v>483</v>
      </c>
      <c r="AB63" s="56"/>
      <c r="AD63" s="57" t="s">
        <v>777</v>
      </c>
      <c r="AE63" s="57" t="s">
        <v>778</v>
      </c>
    </row>
    <row r="64" spans="3:31" ht="13">
      <c r="C64" s="50" t="s">
        <v>779</v>
      </c>
      <c r="D64" s="50" t="s">
        <v>780</v>
      </c>
      <c r="E64" s="381" t="s">
        <v>66</v>
      </c>
      <c r="F64" s="50" t="s">
        <v>478</v>
      </c>
      <c r="G64" s="50" t="s">
        <v>1825</v>
      </c>
      <c r="H64" s="328"/>
      <c r="I64" s="50"/>
      <c r="M64" s="169"/>
      <c r="N64"/>
      <c r="O64"/>
      <c r="P64"/>
      <c r="Q64"/>
      <c r="X64" s="55">
        <v>615</v>
      </c>
      <c r="Y64" s="56" t="s">
        <v>781</v>
      </c>
      <c r="Z64" s="56" t="s">
        <v>719</v>
      </c>
      <c r="AA64" s="56" t="s">
        <v>483</v>
      </c>
      <c r="AB64" s="56"/>
      <c r="AD64" s="57" t="s">
        <v>782</v>
      </c>
      <c r="AE64" s="57" t="s">
        <v>783</v>
      </c>
    </row>
    <row r="65" spans="3:31" ht="13">
      <c r="C65" s="50" t="s">
        <v>184</v>
      </c>
      <c r="D65" s="50" t="s">
        <v>185</v>
      </c>
      <c r="E65" s="67" t="s">
        <v>67</v>
      </c>
      <c r="F65" s="50" t="s">
        <v>784</v>
      </c>
      <c r="G65" s="50" t="s">
        <v>1825</v>
      </c>
      <c r="H65" s="328"/>
      <c r="I65" s="50"/>
      <c r="M65" s="169"/>
      <c r="N65"/>
      <c r="O65"/>
      <c r="P65"/>
      <c r="Q65"/>
      <c r="X65" s="55">
        <v>616</v>
      </c>
      <c r="Y65" s="56" t="s">
        <v>785</v>
      </c>
      <c r="Z65" s="56" t="s">
        <v>786</v>
      </c>
      <c r="AA65" s="56" t="s">
        <v>483</v>
      </c>
      <c r="AB65" s="56"/>
      <c r="AD65" s="57" t="s">
        <v>26</v>
      </c>
      <c r="AE65" s="57" t="s">
        <v>83</v>
      </c>
    </row>
    <row r="66" spans="3:31" ht="13">
      <c r="C66" s="50" t="s">
        <v>182</v>
      </c>
      <c r="D66" s="50" t="s">
        <v>183</v>
      </c>
      <c r="E66" s="67" t="s">
        <v>1277</v>
      </c>
      <c r="F66" s="50" t="s">
        <v>478</v>
      </c>
      <c r="G66" s="50" t="s">
        <v>1825</v>
      </c>
      <c r="H66" s="328"/>
      <c r="I66" s="50"/>
      <c r="M66" s="169"/>
      <c r="N66"/>
      <c r="O66"/>
      <c r="P66"/>
      <c r="Q66"/>
      <c r="X66" s="55">
        <v>617</v>
      </c>
      <c r="Y66" s="56" t="s">
        <v>787</v>
      </c>
      <c r="Z66" s="56" t="s">
        <v>732</v>
      </c>
      <c r="AA66" s="56" t="s">
        <v>483</v>
      </c>
      <c r="AB66" s="56"/>
      <c r="AD66" s="57" t="s">
        <v>788</v>
      </c>
      <c r="AE66" s="57" t="s">
        <v>279</v>
      </c>
    </row>
    <row r="67" spans="3:31" ht="12.75" customHeight="1">
      <c r="C67" s="50" t="s">
        <v>186</v>
      </c>
      <c r="D67" s="50" t="s">
        <v>187</v>
      </c>
      <c r="E67" s="67" t="s">
        <v>1249</v>
      </c>
      <c r="F67" s="50" t="s">
        <v>478</v>
      </c>
      <c r="G67" s="50" t="s">
        <v>1825</v>
      </c>
      <c r="H67" s="328"/>
      <c r="I67" s="50"/>
      <c r="M67" s="169"/>
      <c r="N67"/>
      <c r="O67"/>
      <c r="P67"/>
      <c r="Q67"/>
      <c r="X67" s="55">
        <v>618</v>
      </c>
      <c r="Y67" s="56" t="s">
        <v>789</v>
      </c>
      <c r="Z67" s="56" t="s">
        <v>790</v>
      </c>
      <c r="AA67" s="56" t="s">
        <v>483</v>
      </c>
      <c r="AB67" s="56"/>
      <c r="AD67" s="57" t="s">
        <v>27</v>
      </c>
      <c r="AE67" s="57" t="s">
        <v>125</v>
      </c>
    </row>
    <row r="68" spans="3:31" ht="13">
      <c r="C68" s="50" t="s">
        <v>188</v>
      </c>
      <c r="D68" s="50" t="s">
        <v>293</v>
      </c>
      <c r="E68" s="67" t="s">
        <v>66</v>
      </c>
      <c r="F68" s="50" t="s">
        <v>784</v>
      </c>
      <c r="G68" s="50" t="s">
        <v>1825</v>
      </c>
      <c r="H68" s="328"/>
      <c r="I68" s="50"/>
      <c r="M68" s="168"/>
      <c r="N68"/>
      <c r="O68"/>
      <c r="P68"/>
      <c r="Q68"/>
      <c r="X68" s="55">
        <v>619</v>
      </c>
      <c r="Y68" s="56" t="s">
        <v>791</v>
      </c>
      <c r="Z68" s="56" t="s">
        <v>792</v>
      </c>
      <c r="AA68" s="56" t="s">
        <v>483</v>
      </c>
      <c r="AB68" s="56"/>
      <c r="AD68" s="57" t="s">
        <v>793</v>
      </c>
      <c r="AE68" s="57" t="s">
        <v>350</v>
      </c>
    </row>
    <row r="69" spans="3:31" ht="13">
      <c r="C69" s="50" t="s">
        <v>163</v>
      </c>
      <c r="D69" s="50" t="s">
        <v>164</v>
      </c>
      <c r="E69" s="67" t="s">
        <v>1277</v>
      </c>
      <c r="F69" s="50" t="s">
        <v>478</v>
      </c>
      <c r="G69" s="50" t="s">
        <v>1825</v>
      </c>
      <c r="H69" s="328"/>
      <c r="I69" s="50"/>
      <c r="M69" s="168"/>
      <c r="N69"/>
      <c r="O69"/>
      <c r="P69"/>
      <c r="Q69"/>
      <c r="X69" s="55">
        <v>620</v>
      </c>
      <c r="Y69" s="56" t="s">
        <v>794</v>
      </c>
      <c r="Z69" s="56" t="s">
        <v>776</v>
      </c>
      <c r="AA69" s="56" t="s">
        <v>483</v>
      </c>
      <c r="AB69" s="56"/>
    </row>
    <row r="70" spans="3:31" ht="13">
      <c r="C70" s="50" t="s">
        <v>197</v>
      </c>
      <c r="D70" s="50" t="s">
        <v>795</v>
      </c>
      <c r="E70" s="67" t="s">
        <v>1277</v>
      </c>
      <c r="F70" s="50" t="s">
        <v>478</v>
      </c>
      <c r="G70" s="50" t="s">
        <v>1814</v>
      </c>
      <c r="H70" s="328"/>
      <c r="I70" s="50"/>
      <c r="M70" s="168"/>
      <c r="N70"/>
      <c r="O70"/>
      <c r="P70"/>
      <c r="Q70"/>
      <c r="X70" s="55">
        <v>621</v>
      </c>
      <c r="Y70" s="56" t="s">
        <v>796</v>
      </c>
      <c r="Z70" s="56" t="s">
        <v>797</v>
      </c>
      <c r="AA70" s="56" t="s">
        <v>483</v>
      </c>
      <c r="AB70" s="56"/>
    </row>
    <row r="71" spans="3:31" ht="13">
      <c r="C71" s="50" t="s">
        <v>198</v>
      </c>
      <c r="D71" s="50" t="s">
        <v>199</v>
      </c>
      <c r="E71" s="381" t="s">
        <v>1271</v>
      </c>
      <c r="F71" s="50" t="s">
        <v>478</v>
      </c>
      <c r="G71" s="50" t="s">
        <v>1825</v>
      </c>
      <c r="H71" s="328"/>
      <c r="I71" s="50"/>
      <c r="M71" s="168"/>
      <c r="N71"/>
      <c r="O71"/>
      <c r="P71"/>
      <c r="Q71"/>
      <c r="X71" s="55">
        <v>622</v>
      </c>
      <c r="Y71" s="56" t="s">
        <v>798</v>
      </c>
      <c r="Z71" s="56" t="s">
        <v>799</v>
      </c>
      <c r="AA71" s="56" t="s">
        <v>483</v>
      </c>
      <c r="AB71" s="56"/>
    </row>
    <row r="72" spans="3:31" ht="13">
      <c r="C72" s="50" t="s">
        <v>200</v>
      </c>
      <c r="D72" s="50" t="s">
        <v>201</v>
      </c>
      <c r="E72" s="381" t="s">
        <v>1271</v>
      </c>
      <c r="F72" s="50" t="s">
        <v>478</v>
      </c>
      <c r="G72" s="50" t="s">
        <v>1825</v>
      </c>
      <c r="H72" s="328"/>
      <c r="I72" s="50"/>
      <c r="M72" s="168"/>
      <c r="N72"/>
      <c r="O72"/>
      <c r="P72" s="98"/>
      <c r="Q72" s="98"/>
      <c r="X72" s="55">
        <v>623</v>
      </c>
      <c r="Y72" s="56" t="s">
        <v>800</v>
      </c>
      <c r="Z72" s="56" t="s">
        <v>719</v>
      </c>
      <c r="AA72" s="56" t="s">
        <v>483</v>
      </c>
      <c r="AB72" s="56"/>
    </row>
    <row r="73" spans="3:31" ht="13">
      <c r="C73" s="50" t="s">
        <v>202</v>
      </c>
      <c r="D73" s="50" t="s">
        <v>203</v>
      </c>
      <c r="E73" s="381" t="s">
        <v>1271</v>
      </c>
      <c r="F73" s="50" t="s">
        <v>478</v>
      </c>
      <c r="G73" s="50" t="s">
        <v>1825</v>
      </c>
      <c r="H73" s="328"/>
      <c r="I73" s="50"/>
      <c r="M73" s="168"/>
      <c r="N73"/>
      <c r="O73"/>
      <c r="P73"/>
      <c r="Q73"/>
      <c r="X73" s="55">
        <v>624</v>
      </c>
      <c r="Y73" s="56" t="s">
        <v>801</v>
      </c>
      <c r="Z73" s="56" t="s">
        <v>719</v>
      </c>
      <c r="AA73" s="56" t="s">
        <v>483</v>
      </c>
      <c r="AB73" s="56"/>
    </row>
    <row r="74" spans="3:31" ht="13">
      <c r="C74" s="50" t="s">
        <v>194</v>
      </c>
      <c r="D74" s="50" t="s">
        <v>195</v>
      </c>
      <c r="E74" s="67" t="s">
        <v>1277</v>
      </c>
      <c r="F74" s="50" t="s">
        <v>478</v>
      </c>
      <c r="G74" s="50" t="s">
        <v>1825</v>
      </c>
      <c r="H74" s="328"/>
      <c r="I74" s="50"/>
      <c r="M74" s="168"/>
      <c r="N74"/>
      <c r="O74"/>
      <c r="P74"/>
      <c r="Q74"/>
      <c r="X74" s="55">
        <v>625</v>
      </c>
      <c r="Y74" s="56" t="s">
        <v>802</v>
      </c>
      <c r="Z74" s="56" t="s">
        <v>719</v>
      </c>
      <c r="AA74" s="56" t="s">
        <v>483</v>
      </c>
      <c r="AB74" s="56"/>
    </row>
    <row r="75" spans="3:31" ht="13">
      <c r="C75" s="50" t="s">
        <v>174</v>
      </c>
      <c r="D75" s="50" t="s">
        <v>803</v>
      </c>
      <c r="E75" s="67" t="s">
        <v>1271</v>
      </c>
      <c r="F75" s="50" t="s">
        <v>478</v>
      </c>
      <c r="G75" s="50" t="s">
        <v>1825</v>
      </c>
      <c r="H75" s="328"/>
      <c r="I75" s="50"/>
      <c r="M75" s="168"/>
      <c r="N75"/>
      <c r="O75"/>
      <c r="P75"/>
      <c r="Q75"/>
      <c r="X75" s="55">
        <v>626</v>
      </c>
      <c r="Y75" s="56" t="s">
        <v>804</v>
      </c>
      <c r="Z75" s="56" t="s">
        <v>792</v>
      </c>
      <c r="AA75" s="56" t="s">
        <v>483</v>
      </c>
      <c r="AB75" s="56"/>
    </row>
    <row r="76" spans="3:31" ht="13">
      <c r="C76" s="50" t="s">
        <v>805</v>
      </c>
      <c r="D76" s="50" t="s">
        <v>806</v>
      </c>
      <c r="E76" s="67" t="s">
        <v>66</v>
      </c>
      <c r="F76" s="50" t="s">
        <v>529</v>
      </c>
      <c r="G76" s="50" t="s">
        <v>1819</v>
      </c>
      <c r="H76" s="328" t="s">
        <v>410</v>
      </c>
      <c r="I76" s="50"/>
      <c r="M76" s="170"/>
      <c r="N76"/>
      <c r="O76"/>
      <c r="P76"/>
      <c r="Q76"/>
      <c r="X76" s="55">
        <v>627</v>
      </c>
      <c r="Y76" s="56" t="s">
        <v>807</v>
      </c>
      <c r="Z76" s="56" t="s">
        <v>766</v>
      </c>
      <c r="AA76" s="56" t="s">
        <v>483</v>
      </c>
      <c r="AB76" s="56"/>
    </row>
    <row r="77" spans="3:31" ht="13">
      <c r="C77" s="50" t="s">
        <v>148</v>
      </c>
      <c r="D77" s="50" t="s">
        <v>808</v>
      </c>
      <c r="E77" s="67" t="s">
        <v>1277</v>
      </c>
      <c r="F77" s="50" t="s">
        <v>478</v>
      </c>
      <c r="G77" s="50" t="s">
        <v>1817</v>
      </c>
      <c r="H77" s="328"/>
      <c r="I77" s="50"/>
      <c r="M77" s="170"/>
      <c r="N77"/>
      <c r="O77"/>
      <c r="P77"/>
      <c r="Q77"/>
      <c r="X77" s="55">
        <v>628</v>
      </c>
      <c r="Y77" s="56" t="s">
        <v>809</v>
      </c>
      <c r="Z77" s="56" t="s">
        <v>776</v>
      </c>
      <c r="AA77" s="56" t="s">
        <v>483</v>
      </c>
      <c r="AB77" s="56"/>
    </row>
    <row r="78" spans="3:31" ht="13">
      <c r="C78" s="50" t="s">
        <v>196</v>
      </c>
      <c r="D78" s="50" t="s">
        <v>810</v>
      </c>
      <c r="E78" s="381" t="s">
        <v>1271</v>
      </c>
      <c r="F78" s="50" t="s">
        <v>478</v>
      </c>
      <c r="G78" s="50" t="s">
        <v>1823</v>
      </c>
      <c r="H78" s="328"/>
      <c r="I78" s="50"/>
      <c r="N78"/>
      <c r="O78"/>
      <c r="P78"/>
      <c r="Q78"/>
      <c r="X78" s="55">
        <v>629</v>
      </c>
      <c r="Y78" s="56" t="s">
        <v>811</v>
      </c>
      <c r="Z78" s="56" t="s">
        <v>719</v>
      </c>
      <c r="AA78" s="56" t="s">
        <v>483</v>
      </c>
      <c r="AB78" s="56"/>
    </row>
    <row r="79" spans="3:31" ht="13">
      <c r="C79" s="50" t="s">
        <v>173</v>
      </c>
      <c r="D79" s="50" t="s">
        <v>357</v>
      </c>
      <c r="E79" s="67" t="s">
        <v>1250</v>
      </c>
      <c r="F79" s="50" t="s">
        <v>478</v>
      </c>
      <c r="G79" s="50" t="s">
        <v>1818</v>
      </c>
      <c r="H79" s="328"/>
      <c r="I79" s="50"/>
      <c r="N79"/>
      <c r="O79"/>
      <c r="P79"/>
      <c r="Q79"/>
      <c r="X79" s="55">
        <v>630</v>
      </c>
      <c r="Y79" s="56" t="s">
        <v>812</v>
      </c>
      <c r="Z79" s="56" t="s">
        <v>786</v>
      </c>
      <c r="AA79" s="56" t="s">
        <v>483</v>
      </c>
      <c r="AB79" s="56"/>
    </row>
    <row r="80" spans="3:31" ht="13">
      <c r="C80" s="50" t="s">
        <v>181</v>
      </c>
      <c r="D80" s="50" t="s">
        <v>22</v>
      </c>
      <c r="E80" s="67" t="s">
        <v>1250</v>
      </c>
      <c r="F80" s="50" t="s">
        <v>478</v>
      </c>
      <c r="G80" s="50" t="s">
        <v>1824</v>
      </c>
      <c r="H80" s="328"/>
      <c r="I80" s="50"/>
      <c r="N80"/>
      <c r="O80"/>
      <c r="P80"/>
      <c r="Q80"/>
      <c r="X80" s="55">
        <v>631</v>
      </c>
      <c r="Y80" s="56" t="s">
        <v>813</v>
      </c>
      <c r="Z80" s="56" t="s">
        <v>732</v>
      </c>
      <c r="AA80" s="56" t="s">
        <v>483</v>
      </c>
      <c r="AB80" s="56"/>
    </row>
    <row r="81" spans="3:27" ht="13">
      <c r="C81" s="50" t="s">
        <v>171</v>
      </c>
      <c r="D81" s="50" t="s">
        <v>172</v>
      </c>
      <c r="E81" s="381" t="s">
        <v>1271</v>
      </c>
      <c r="F81" s="50" t="s">
        <v>478</v>
      </c>
      <c r="G81" s="50" t="s">
        <v>1822</v>
      </c>
      <c r="H81" s="328"/>
      <c r="I81" s="50"/>
      <c r="N81"/>
      <c r="O81"/>
      <c r="P81"/>
      <c r="Q81"/>
      <c r="X81" s="55">
        <v>632</v>
      </c>
      <c r="Y81" s="56" t="s">
        <v>814</v>
      </c>
      <c r="Z81" s="56" t="s">
        <v>790</v>
      </c>
      <c r="AA81" s="56" t="s">
        <v>483</v>
      </c>
    </row>
    <row r="82" spans="3:27" ht="13">
      <c r="C82" s="50" t="s">
        <v>815</v>
      </c>
      <c r="D82" s="50" t="s">
        <v>816</v>
      </c>
      <c r="E82" s="67" t="s">
        <v>1251</v>
      </c>
      <c r="F82" s="50" t="s">
        <v>529</v>
      </c>
      <c r="G82" s="50" t="s">
        <v>1819</v>
      </c>
      <c r="H82" s="328" t="s">
        <v>410</v>
      </c>
      <c r="I82" s="50"/>
      <c r="N82"/>
      <c r="O82"/>
      <c r="P82"/>
      <c r="Q82"/>
      <c r="X82" s="55">
        <v>633</v>
      </c>
      <c r="Y82" s="56" t="s">
        <v>817</v>
      </c>
      <c r="Z82" s="56" t="s">
        <v>797</v>
      </c>
      <c r="AA82" s="56" t="s">
        <v>483</v>
      </c>
    </row>
    <row r="83" spans="3:27" ht="13">
      <c r="C83" s="50" t="s">
        <v>818</v>
      </c>
      <c r="D83" s="50" t="s">
        <v>819</v>
      </c>
      <c r="E83" s="67" t="s">
        <v>1260</v>
      </c>
      <c r="F83" s="50" t="s">
        <v>529</v>
      </c>
      <c r="G83" s="50" t="s">
        <v>1819</v>
      </c>
      <c r="H83" s="328" t="s">
        <v>410</v>
      </c>
      <c r="I83" s="50"/>
      <c r="N83"/>
      <c r="O83"/>
      <c r="P83"/>
      <c r="Q83"/>
      <c r="X83" s="55">
        <v>699</v>
      </c>
      <c r="Y83" s="56" t="s">
        <v>820</v>
      </c>
      <c r="Z83" s="56" t="s">
        <v>821</v>
      </c>
      <c r="AA83" s="56" t="s">
        <v>483</v>
      </c>
    </row>
    <row r="84" spans="3:27" ht="13">
      <c r="C84" s="50" t="s">
        <v>76</v>
      </c>
      <c r="D84" s="50" t="s">
        <v>440</v>
      </c>
      <c r="E84" s="67" t="s">
        <v>1271</v>
      </c>
      <c r="F84" s="50" t="s">
        <v>478</v>
      </c>
      <c r="G84" s="50" t="s">
        <v>1826</v>
      </c>
      <c r="H84" s="328" t="s">
        <v>446</v>
      </c>
      <c r="I84" s="50"/>
      <c r="N84"/>
      <c r="O84"/>
      <c r="P84"/>
      <c r="Q84"/>
      <c r="X84" s="55">
        <v>999</v>
      </c>
      <c r="Y84" s="56" t="s">
        <v>822</v>
      </c>
      <c r="Z84" s="56" t="s">
        <v>823</v>
      </c>
      <c r="AA84" s="56" t="s">
        <v>483</v>
      </c>
    </row>
    <row r="85" spans="3:27" ht="13">
      <c r="C85" s="50" t="s">
        <v>146</v>
      </c>
      <c r="D85" s="50" t="s">
        <v>441</v>
      </c>
      <c r="E85" s="67" t="s">
        <v>1277</v>
      </c>
      <c r="F85" s="50" t="s">
        <v>478</v>
      </c>
      <c r="G85" s="50" t="s">
        <v>1826</v>
      </c>
      <c r="H85" s="328" t="s">
        <v>446</v>
      </c>
      <c r="I85" s="50"/>
      <c r="N85"/>
      <c r="O85"/>
      <c r="P85"/>
      <c r="Q85"/>
      <c r="X85" s="55">
        <v>1010</v>
      </c>
      <c r="Y85" s="56" t="s">
        <v>824</v>
      </c>
      <c r="Z85" s="56" t="s">
        <v>825</v>
      </c>
      <c r="AA85" s="56" t="s">
        <v>483</v>
      </c>
    </row>
    <row r="86" spans="3:27" ht="13">
      <c r="C86" s="50" t="s">
        <v>147</v>
      </c>
      <c r="D86" s="50" t="s">
        <v>442</v>
      </c>
      <c r="E86" s="67" t="s">
        <v>1249</v>
      </c>
      <c r="F86" s="50" t="s">
        <v>478</v>
      </c>
      <c r="G86" s="50" t="s">
        <v>1826</v>
      </c>
      <c r="H86" s="328" t="s">
        <v>446</v>
      </c>
      <c r="I86" s="50"/>
      <c r="N86"/>
      <c r="O86"/>
      <c r="P86"/>
      <c r="Q86"/>
      <c r="X86" s="55">
        <v>1011</v>
      </c>
      <c r="Y86" s="56" t="s">
        <v>826</v>
      </c>
      <c r="Z86" s="56" t="s">
        <v>825</v>
      </c>
      <c r="AA86" s="56" t="s">
        <v>483</v>
      </c>
    </row>
    <row r="87" spans="3:27" ht="13">
      <c r="C87" s="50" t="s">
        <v>827</v>
      </c>
      <c r="D87" s="50" t="s">
        <v>828</v>
      </c>
      <c r="E87" s="67" t="s">
        <v>1271</v>
      </c>
      <c r="F87" s="50" t="s">
        <v>529</v>
      </c>
      <c r="G87" s="50" t="s">
        <v>1819</v>
      </c>
      <c r="H87" s="328" t="s">
        <v>410</v>
      </c>
      <c r="I87" s="50"/>
      <c r="N87"/>
      <c r="O87"/>
      <c r="P87"/>
      <c r="Q87"/>
      <c r="X87" s="55">
        <v>1020</v>
      </c>
      <c r="Y87" s="56" t="s">
        <v>829</v>
      </c>
      <c r="Z87" s="56" t="s">
        <v>830</v>
      </c>
      <c r="AA87" s="56" t="s">
        <v>483</v>
      </c>
    </row>
    <row r="88" spans="3:27" ht="13">
      <c r="C88" s="50" t="s">
        <v>831</v>
      </c>
      <c r="D88" s="50" t="s">
        <v>832</v>
      </c>
      <c r="E88" s="67" t="s">
        <v>68</v>
      </c>
      <c r="F88" s="50" t="s">
        <v>529</v>
      </c>
      <c r="G88" s="50" t="s">
        <v>1819</v>
      </c>
      <c r="H88" s="328" t="s">
        <v>410</v>
      </c>
      <c r="I88" s="50"/>
      <c r="N88"/>
      <c r="O88"/>
      <c r="P88"/>
      <c r="Q88"/>
      <c r="X88" s="55">
        <v>1021</v>
      </c>
      <c r="Y88" s="56" t="s">
        <v>833</v>
      </c>
      <c r="Z88" s="56" t="s">
        <v>830</v>
      </c>
      <c r="AA88" s="56" t="s">
        <v>483</v>
      </c>
    </row>
    <row r="89" spans="3:27" ht="13">
      <c r="C89" s="50" t="s">
        <v>179</v>
      </c>
      <c r="D89" s="50" t="s">
        <v>180</v>
      </c>
      <c r="E89" s="67" t="s">
        <v>1250</v>
      </c>
      <c r="F89" s="50" t="s">
        <v>478</v>
      </c>
      <c r="G89" s="50" t="s">
        <v>1826</v>
      </c>
      <c r="H89" s="328"/>
      <c r="I89" s="50"/>
      <c r="N89"/>
      <c r="O89"/>
      <c r="P89"/>
      <c r="Q89"/>
      <c r="X89" s="55">
        <v>1022</v>
      </c>
      <c r="Y89" s="56" t="s">
        <v>834</v>
      </c>
      <c r="Z89" s="56" t="s">
        <v>835</v>
      </c>
      <c r="AA89" s="56" t="s">
        <v>483</v>
      </c>
    </row>
    <row r="90" spans="3:27" ht="13">
      <c r="C90" s="50" t="s">
        <v>836</v>
      </c>
      <c r="D90" s="50" t="s">
        <v>837</v>
      </c>
      <c r="E90" s="67" t="s">
        <v>1271</v>
      </c>
      <c r="F90" s="50" t="s">
        <v>478</v>
      </c>
      <c r="G90" s="50" t="s">
        <v>1825</v>
      </c>
      <c r="H90" s="328"/>
      <c r="I90" s="50"/>
      <c r="N90"/>
      <c r="O90"/>
      <c r="P90"/>
      <c r="Q90"/>
      <c r="X90" s="55">
        <v>1025</v>
      </c>
      <c r="Y90" s="56" t="s">
        <v>838</v>
      </c>
      <c r="Z90" s="56" t="s">
        <v>839</v>
      </c>
      <c r="AA90" s="56" t="s">
        <v>483</v>
      </c>
    </row>
    <row r="91" spans="3:27" ht="13">
      <c r="C91" s="50" t="s">
        <v>408</v>
      </c>
      <c r="D91" s="50" t="s">
        <v>840</v>
      </c>
      <c r="E91" s="67" t="s">
        <v>1251</v>
      </c>
      <c r="F91" s="50" t="s">
        <v>478</v>
      </c>
      <c r="G91" s="50" t="s">
        <v>1820</v>
      </c>
      <c r="H91" s="328"/>
      <c r="I91" s="50"/>
      <c r="N91"/>
      <c r="O91"/>
      <c r="P91"/>
      <c r="Q91"/>
      <c r="X91" s="55">
        <v>1026</v>
      </c>
      <c r="Y91" s="56" t="s">
        <v>841</v>
      </c>
      <c r="Z91" s="56" t="s">
        <v>839</v>
      </c>
      <c r="AA91" s="56" t="s">
        <v>483</v>
      </c>
    </row>
    <row r="92" spans="3:27" ht="13">
      <c r="C92" s="50" t="s">
        <v>409</v>
      </c>
      <c r="D92" s="50" t="s">
        <v>842</v>
      </c>
      <c r="E92" s="67" t="s">
        <v>677</v>
      </c>
      <c r="F92" s="50" t="s">
        <v>478</v>
      </c>
      <c r="G92" s="50" t="s">
        <v>1819</v>
      </c>
      <c r="H92" s="328"/>
      <c r="I92" s="50"/>
      <c r="N92"/>
      <c r="O92"/>
      <c r="P92"/>
      <c r="Q92"/>
      <c r="X92" s="55">
        <v>1030</v>
      </c>
      <c r="Y92" s="56" t="s">
        <v>843</v>
      </c>
      <c r="Z92" s="56" t="s">
        <v>844</v>
      </c>
      <c r="AA92" s="56" t="s">
        <v>483</v>
      </c>
    </row>
    <row r="93" spans="3:27" ht="13">
      <c r="C93" s="50" t="s">
        <v>845</v>
      </c>
      <c r="D93" s="50" t="s">
        <v>846</v>
      </c>
      <c r="E93" s="67" t="s">
        <v>1255</v>
      </c>
      <c r="F93" s="50" t="s">
        <v>529</v>
      </c>
      <c r="G93" s="50" t="s">
        <v>1819</v>
      </c>
      <c r="H93" s="328" t="s">
        <v>410</v>
      </c>
      <c r="I93" s="50"/>
      <c r="N93"/>
      <c r="O93"/>
      <c r="P93"/>
      <c r="Q93"/>
      <c r="X93" s="55">
        <v>1031</v>
      </c>
      <c r="Y93" s="56" t="s">
        <v>847</v>
      </c>
      <c r="Z93" s="56" t="s">
        <v>848</v>
      </c>
      <c r="AA93" s="56" t="s">
        <v>483</v>
      </c>
    </row>
    <row r="94" spans="3:27" ht="13">
      <c r="C94" s="50" t="s">
        <v>204</v>
      </c>
      <c r="D94" s="50" t="s">
        <v>849</v>
      </c>
      <c r="E94" s="67" t="s">
        <v>1254</v>
      </c>
      <c r="F94" s="50" t="s">
        <v>478</v>
      </c>
      <c r="G94" s="50" t="s">
        <v>1807</v>
      </c>
      <c r="H94" s="328"/>
      <c r="I94" s="50"/>
      <c r="N94"/>
      <c r="O94"/>
      <c r="P94"/>
      <c r="Q94"/>
      <c r="X94" s="55">
        <v>1032</v>
      </c>
      <c r="Y94" s="56" t="s">
        <v>850</v>
      </c>
      <c r="Z94" s="56" t="s">
        <v>844</v>
      </c>
      <c r="AA94" s="56" t="s">
        <v>483</v>
      </c>
    </row>
    <row r="95" spans="3:27" ht="13">
      <c r="C95" s="50" t="s">
        <v>83</v>
      </c>
      <c r="D95" s="50" t="s">
        <v>425</v>
      </c>
      <c r="E95" s="67" t="s">
        <v>1254</v>
      </c>
      <c r="F95" s="50" t="s">
        <v>522</v>
      </c>
      <c r="G95" s="50" t="s">
        <v>1807</v>
      </c>
      <c r="H95" s="328"/>
      <c r="I95" s="50"/>
      <c r="N95"/>
      <c r="O95"/>
      <c r="P95"/>
      <c r="Q95"/>
      <c r="X95" s="55">
        <v>1040</v>
      </c>
      <c r="Y95" s="56" t="s">
        <v>851</v>
      </c>
      <c r="Z95" s="56" t="s">
        <v>852</v>
      </c>
      <c r="AA95" s="56" t="s">
        <v>483</v>
      </c>
    </row>
    <row r="96" spans="3:27" ht="13">
      <c r="C96" s="50" t="s">
        <v>231</v>
      </c>
      <c r="D96" s="50" t="s">
        <v>853</v>
      </c>
      <c r="E96" s="67" t="s">
        <v>1254</v>
      </c>
      <c r="F96" s="50" t="s">
        <v>522</v>
      </c>
      <c r="G96" s="50" t="s">
        <v>1807</v>
      </c>
      <c r="H96" s="328"/>
      <c r="I96" s="50"/>
      <c r="N96"/>
      <c r="O96"/>
      <c r="P96"/>
      <c r="Q96"/>
      <c r="X96" s="55">
        <v>1041</v>
      </c>
      <c r="Y96" s="56" t="s">
        <v>854</v>
      </c>
      <c r="Z96" s="56" t="s">
        <v>852</v>
      </c>
      <c r="AA96" s="56" t="s">
        <v>483</v>
      </c>
    </row>
    <row r="97" spans="3:27" ht="13">
      <c r="C97" s="50" t="s">
        <v>230</v>
      </c>
      <c r="D97" s="50" t="s">
        <v>855</v>
      </c>
      <c r="E97" s="67" t="s">
        <v>348</v>
      </c>
      <c r="F97" s="50" t="s">
        <v>478</v>
      </c>
      <c r="G97" s="50" t="s">
        <v>1807</v>
      </c>
      <c r="H97" s="328"/>
      <c r="I97" s="50"/>
      <c r="N97"/>
      <c r="O97"/>
      <c r="P97"/>
      <c r="Q97"/>
      <c r="X97" s="55">
        <v>1050</v>
      </c>
      <c r="Y97" s="56" t="s">
        <v>856</v>
      </c>
      <c r="Z97" s="56" t="s">
        <v>857</v>
      </c>
      <c r="AA97" s="56" t="s">
        <v>483</v>
      </c>
    </row>
    <row r="98" spans="3:27" ht="13">
      <c r="C98" s="50" t="s">
        <v>232</v>
      </c>
      <c r="D98" s="50" t="s">
        <v>858</v>
      </c>
      <c r="E98" s="67" t="s">
        <v>348</v>
      </c>
      <c r="F98" s="50" t="s">
        <v>522</v>
      </c>
      <c r="G98" s="50" t="s">
        <v>1807</v>
      </c>
      <c r="H98" s="328"/>
      <c r="I98" s="50"/>
      <c r="N98"/>
      <c r="O98"/>
      <c r="P98"/>
      <c r="Q98"/>
      <c r="X98" s="55">
        <v>1051</v>
      </c>
      <c r="Y98" s="56" t="s">
        <v>859</v>
      </c>
      <c r="Z98" s="56" t="s">
        <v>860</v>
      </c>
      <c r="AA98" s="56" t="s">
        <v>483</v>
      </c>
    </row>
    <row r="99" spans="3:27" ht="13">
      <c r="C99" s="50" t="s">
        <v>84</v>
      </c>
      <c r="D99" s="50" t="s">
        <v>861</v>
      </c>
      <c r="E99" s="67" t="s">
        <v>1254</v>
      </c>
      <c r="F99" s="50" t="s">
        <v>522</v>
      </c>
      <c r="G99" s="50" t="s">
        <v>1807</v>
      </c>
      <c r="H99" s="328"/>
      <c r="I99" s="50"/>
      <c r="N99"/>
      <c r="O99"/>
      <c r="P99"/>
      <c r="Q99"/>
      <c r="X99" s="55">
        <v>1052</v>
      </c>
      <c r="Y99" s="56" t="s">
        <v>862</v>
      </c>
      <c r="Z99" s="56" t="s">
        <v>857</v>
      </c>
      <c r="AA99" s="56" t="s">
        <v>483</v>
      </c>
    </row>
    <row r="100" spans="3:27" ht="13">
      <c r="C100" s="50" t="s">
        <v>234</v>
      </c>
      <c r="D100" s="50" t="s">
        <v>863</v>
      </c>
      <c r="E100" s="67" t="s">
        <v>1254</v>
      </c>
      <c r="F100" s="50" t="s">
        <v>522</v>
      </c>
      <c r="G100" s="50" t="s">
        <v>1807</v>
      </c>
      <c r="H100" s="328"/>
      <c r="I100" s="50"/>
      <c r="N100"/>
      <c r="O100"/>
      <c r="P100"/>
      <c r="Q100"/>
      <c r="X100" s="55">
        <v>1053</v>
      </c>
      <c r="Y100" s="56" t="s">
        <v>864</v>
      </c>
      <c r="Z100" s="56" t="s">
        <v>860</v>
      </c>
      <c r="AA100" s="56" t="s">
        <v>483</v>
      </c>
    </row>
    <row r="101" spans="3:27" ht="13">
      <c r="C101" s="50" t="s">
        <v>233</v>
      </c>
      <c r="D101" s="50" t="s">
        <v>865</v>
      </c>
      <c r="E101" s="67" t="s">
        <v>348</v>
      </c>
      <c r="F101" s="50" t="s">
        <v>478</v>
      </c>
      <c r="G101" s="50" t="s">
        <v>1807</v>
      </c>
      <c r="H101" s="328"/>
      <c r="I101" s="50"/>
      <c r="N101"/>
      <c r="O101"/>
      <c r="P101"/>
      <c r="Q101"/>
      <c r="X101" s="55">
        <v>1060</v>
      </c>
      <c r="Y101" s="56" t="s">
        <v>866</v>
      </c>
      <c r="Z101" s="56" t="s">
        <v>867</v>
      </c>
      <c r="AA101" s="56" t="s">
        <v>483</v>
      </c>
    </row>
    <row r="102" spans="3:27" ht="13">
      <c r="C102" s="50" t="s">
        <v>235</v>
      </c>
      <c r="D102" s="50" t="s">
        <v>868</v>
      </c>
      <c r="E102" s="67" t="s">
        <v>1254</v>
      </c>
      <c r="F102" s="50" t="s">
        <v>522</v>
      </c>
      <c r="G102" s="50" t="s">
        <v>1807</v>
      </c>
      <c r="H102" s="328"/>
      <c r="I102" s="50"/>
      <c r="N102"/>
      <c r="O102"/>
      <c r="P102"/>
      <c r="Q102"/>
      <c r="X102" s="55">
        <v>1061</v>
      </c>
      <c r="Y102" s="56" t="s">
        <v>869</v>
      </c>
      <c r="Z102" s="56" t="s">
        <v>867</v>
      </c>
      <c r="AA102" s="56" t="s">
        <v>483</v>
      </c>
    </row>
    <row r="103" spans="3:27" ht="13">
      <c r="C103" s="50" t="s">
        <v>85</v>
      </c>
      <c r="D103" s="50" t="s">
        <v>426</v>
      </c>
      <c r="E103" s="67" t="s">
        <v>1260</v>
      </c>
      <c r="F103" s="50" t="s">
        <v>522</v>
      </c>
      <c r="G103" s="50" t="s">
        <v>1808</v>
      </c>
      <c r="H103" s="328"/>
      <c r="I103" s="50"/>
      <c r="N103"/>
      <c r="O103"/>
      <c r="P103"/>
      <c r="Q103"/>
      <c r="X103" s="55">
        <v>1070</v>
      </c>
      <c r="Y103" s="56" t="s">
        <v>870</v>
      </c>
      <c r="Z103" s="56" t="s">
        <v>871</v>
      </c>
      <c r="AA103" s="56" t="s">
        <v>483</v>
      </c>
    </row>
    <row r="104" spans="3:27" ht="13">
      <c r="C104" s="50" t="s">
        <v>228</v>
      </c>
      <c r="D104" s="50" t="s">
        <v>872</v>
      </c>
      <c r="E104" s="67" t="s">
        <v>1260</v>
      </c>
      <c r="F104" s="50" t="s">
        <v>522</v>
      </c>
      <c r="G104" s="50" t="s">
        <v>1808</v>
      </c>
      <c r="H104" s="328"/>
      <c r="I104" s="50"/>
      <c r="N104"/>
      <c r="O104"/>
      <c r="P104"/>
      <c r="Q104"/>
      <c r="X104" s="55">
        <v>1071</v>
      </c>
      <c r="Y104" s="56" t="s">
        <v>873</v>
      </c>
      <c r="Z104" s="56" t="s">
        <v>871</v>
      </c>
      <c r="AA104" s="56" t="s">
        <v>483</v>
      </c>
    </row>
    <row r="105" spans="3:27" ht="13">
      <c r="C105" s="50" t="s">
        <v>86</v>
      </c>
      <c r="D105" s="50" t="s">
        <v>874</v>
      </c>
      <c r="E105" s="67" t="s">
        <v>68</v>
      </c>
      <c r="F105" s="50" t="s">
        <v>522</v>
      </c>
      <c r="G105" s="50" t="s">
        <v>1808</v>
      </c>
      <c r="H105" s="328"/>
      <c r="I105" s="50"/>
      <c r="N105"/>
      <c r="O105"/>
      <c r="P105"/>
      <c r="Q105"/>
      <c r="X105" s="55">
        <v>1080</v>
      </c>
      <c r="Y105" s="56" t="s">
        <v>875</v>
      </c>
      <c r="Z105" s="56" t="s">
        <v>876</v>
      </c>
      <c r="AA105" s="56" t="s">
        <v>483</v>
      </c>
    </row>
    <row r="106" spans="3:27" ht="13">
      <c r="C106" s="50" t="s">
        <v>229</v>
      </c>
      <c r="D106" s="50" t="s">
        <v>877</v>
      </c>
      <c r="E106" s="67" t="s">
        <v>1260</v>
      </c>
      <c r="F106" s="50" t="s">
        <v>522</v>
      </c>
      <c r="G106" s="50" t="s">
        <v>1808</v>
      </c>
      <c r="H106" s="328"/>
      <c r="I106" s="50"/>
      <c r="N106"/>
      <c r="O106"/>
      <c r="P106"/>
      <c r="Q106"/>
      <c r="X106" s="55">
        <v>1090</v>
      </c>
      <c r="Y106" s="56" t="s">
        <v>878</v>
      </c>
      <c r="Z106" s="56" t="s">
        <v>879</v>
      </c>
      <c r="AA106" s="56" t="s">
        <v>483</v>
      </c>
    </row>
    <row r="107" spans="3:27" ht="13">
      <c r="C107" s="50" t="s">
        <v>87</v>
      </c>
      <c r="D107" s="50" t="s">
        <v>427</v>
      </c>
      <c r="E107" s="67" t="s">
        <v>1253</v>
      </c>
      <c r="F107" s="50" t="s">
        <v>522</v>
      </c>
      <c r="G107" s="50" t="s">
        <v>1808</v>
      </c>
      <c r="H107" s="328"/>
      <c r="I107" s="50"/>
      <c r="N107"/>
      <c r="O107"/>
      <c r="P107"/>
      <c r="Q107"/>
      <c r="X107" s="55">
        <v>1091</v>
      </c>
      <c r="Y107" s="56" t="s">
        <v>880</v>
      </c>
      <c r="Z107" s="56" t="s">
        <v>879</v>
      </c>
      <c r="AA107" s="56" t="s">
        <v>483</v>
      </c>
    </row>
    <row r="108" spans="3:27" ht="13">
      <c r="C108" s="50" t="s">
        <v>225</v>
      </c>
      <c r="D108" s="50" t="s">
        <v>881</v>
      </c>
      <c r="E108" s="67" t="s">
        <v>1253</v>
      </c>
      <c r="F108" s="50" t="s">
        <v>522</v>
      </c>
      <c r="G108" s="50" t="s">
        <v>1808</v>
      </c>
      <c r="H108" s="328"/>
      <c r="I108" s="50"/>
      <c r="N108"/>
      <c r="O108"/>
      <c r="P108"/>
      <c r="Q108"/>
      <c r="X108" s="55">
        <v>2010</v>
      </c>
      <c r="Y108" s="56" t="s">
        <v>882</v>
      </c>
      <c r="Z108" s="56" t="s">
        <v>428</v>
      </c>
      <c r="AA108" s="56" t="s">
        <v>483</v>
      </c>
    </row>
    <row r="109" spans="3:27">
      <c r="C109" s="50" t="s">
        <v>226</v>
      </c>
      <c r="D109" s="50" t="s">
        <v>883</v>
      </c>
      <c r="E109" s="67" t="s">
        <v>69</v>
      </c>
      <c r="F109" s="50" t="s">
        <v>478</v>
      </c>
      <c r="G109" s="50" t="s">
        <v>1808</v>
      </c>
      <c r="H109" s="328"/>
      <c r="I109" s="50"/>
      <c r="X109" s="55">
        <v>2011</v>
      </c>
      <c r="Y109" s="56" t="s">
        <v>884</v>
      </c>
      <c r="Z109" s="56" t="s">
        <v>428</v>
      </c>
      <c r="AA109" s="56" t="s">
        <v>483</v>
      </c>
    </row>
    <row r="110" spans="3:27">
      <c r="C110" s="50" t="s">
        <v>227</v>
      </c>
      <c r="D110" s="50" t="s">
        <v>885</v>
      </c>
      <c r="E110" s="67" t="s">
        <v>69</v>
      </c>
      <c r="F110" s="50" t="s">
        <v>522</v>
      </c>
      <c r="G110" s="50" t="s">
        <v>1808</v>
      </c>
      <c r="H110" s="328"/>
      <c r="I110" s="50"/>
      <c r="X110" s="55">
        <v>2020</v>
      </c>
      <c r="Y110" s="56" t="s">
        <v>886</v>
      </c>
      <c r="Z110" s="56" t="s">
        <v>430</v>
      </c>
      <c r="AA110" s="56" t="s">
        <v>483</v>
      </c>
    </row>
    <row r="111" spans="3:27">
      <c r="C111" s="50" t="s">
        <v>214</v>
      </c>
      <c r="D111" s="50" t="s">
        <v>887</v>
      </c>
      <c r="E111" s="67" t="s">
        <v>1253</v>
      </c>
      <c r="F111" s="50" t="s">
        <v>478</v>
      </c>
      <c r="G111" s="50" t="s">
        <v>1821</v>
      </c>
      <c r="H111" s="328"/>
      <c r="I111" s="50"/>
      <c r="X111" s="55">
        <v>2021</v>
      </c>
      <c r="Y111" s="56" t="s">
        <v>888</v>
      </c>
      <c r="Z111" s="56" t="s">
        <v>430</v>
      </c>
      <c r="AA111" s="56" t="s">
        <v>483</v>
      </c>
    </row>
    <row r="112" spans="3:27">
      <c r="C112" s="50" t="s">
        <v>88</v>
      </c>
      <c r="D112" s="50" t="s">
        <v>889</v>
      </c>
      <c r="E112" s="67" t="s">
        <v>1253</v>
      </c>
      <c r="F112" s="50" t="s">
        <v>522</v>
      </c>
      <c r="G112" s="50" t="s">
        <v>1813</v>
      </c>
      <c r="H112" s="328"/>
      <c r="I112" s="50"/>
      <c r="X112" s="55">
        <v>2030</v>
      </c>
      <c r="Y112" s="56" t="s">
        <v>890</v>
      </c>
      <c r="Z112" s="56" t="s">
        <v>891</v>
      </c>
      <c r="AA112" s="56" t="s">
        <v>483</v>
      </c>
    </row>
    <row r="113" spans="3:27">
      <c r="C113" s="50" t="s">
        <v>215</v>
      </c>
      <c r="D113" s="50" t="s">
        <v>892</v>
      </c>
      <c r="E113" s="67" t="s">
        <v>1253</v>
      </c>
      <c r="F113" s="50" t="s">
        <v>522</v>
      </c>
      <c r="G113" s="50" t="s">
        <v>1813</v>
      </c>
      <c r="H113" s="328"/>
      <c r="I113" s="50"/>
      <c r="X113" s="55">
        <v>2031</v>
      </c>
      <c r="Y113" s="56" t="s">
        <v>893</v>
      </c>
      <c r="Z113" s="56" t="s">
        <v>894</v>
      </c>
      <c r="AA113" s="56" t="s">
        <v>483</v>
      </c>
    </row>
    <row r="114" spans="3:27">
      <c r="C114" s="50" t="s">
        <v>89</v>
      </c>
      <c r="D114" s="50" t="s">
        <v>895</v>
      </c>
      <c r="E114" s="67" t="s">
        <v>69</v>
      </c>
      <c r="F114" s="50" t="s">
        <v>478</v>
      </c>
      <c r="G114" s="50" t="s">
        <v>1813</v>
      </c>
      <c r="H114" s="328"/>
      <c r="I114" s="50"/>
      <c r="X114" s="55">
        <v>2040</v>
      </c>
      <c r="Y114" s="56" t="s">
        <v>896</v>
      </c>
      <c r="Z114" s="56" t="s">
        <v>512</v>
      </c>
      <c r="AA114" s="56" t="s">
        <v>483</v>
      </c>
    </row>
    <row r="115" spans="3:27">
      <c r="C115" s="50" t="s">
        <v>216</v>
      </c>
      <c r="D115" s="50" t="s">
        <v>897</v>
      </c>
      <c r="E115" s="67" t="s">
        <v>69</v>
      </c>
      <c r="F115" s="50" t="s">
        <v>522</v>
      </c>
      <c r="G115" s="50" t="s">
        <v>1813</v>
      </c>
      <c r="H115" s="328"/>
      <c r="I115" s="50"/>
      <c r="X115" s="55">
        <v>2041</v>
      </c>
      <c r="Y115" s="56" t="s">
        <v>898</v>
      </c>
      <c r="Z115" s="56" t="s">
        <v>512</v>
      </c>
      <c r="AA115" s="56" t="s">
        <v>483</v>
      </c>
    </row>
    <row r="116" spans="3:27">
      <c r="C116" s="50" t="s">
        <v>90</v>
      </c>
      <c r="D116" s="50" t="s">
        <v>443</v>
      </c>
      <c r="E116" s="67" t="s">
        <v>1253</v>
      </c>
      <c r="F116" s="50" t="s">
        <v>522</v>
      </c>
      <c r="G116" s="50" t="s">
        <v>1821</v>
      </c>
      <c r="H116" s="328"/>
      <c r="I116" s="50"/>
      <c r="X116" s="55">
        <v>2050</v>
      </c>
      <c r="Y116" s="56" t="s">
        <v>899</v>
      </c>
      <c r="Z116" s="56" t="s">
        <v>900</v>
      </c>
      <c r="AA116" s="56" t="s">
        <v>483</v>
      </c>
    </row>
    <row r="117" spans="3:27">
      <c r="C117" s="50" t="s">
        <v>220</v>
      </c>
      <c r="D117" s="50" t="s">
        <v>901</v>
      </c>
      <c r="E117" s="67" t="s">
        <v>1253</v>
      </c>
      <c r="F117" s="50" t="s">
        <v>522</v>
      </c>
      <c r="G117" s="50" t="s">
        <v>1821</v>
      </c>
      <c r="H117" s="328"/>
      <c r="I117" s="50"/>
      <c r="X117" s="55">
        <v>2060</v>
      </c>
      <c r="Y117" s="56" t="s">
        <v>902</v>
      </c>
      <c r="Z117" s="56" t="s">
        <v>903</v>
      </c>
      <c r="AA117" s="56" t="s">
        <v>483</v>
      </c>
    </row>
    <row r="118" spans="3:27">
      <c r="C118" s="50" t="s">
        <v>91</v>
      </c>
      <c r="D118" s="50" t="s">
        <v>904</v>
      </c>
      <c r="E118" s="67" t="s">
        <v>69</v>
      </c>
      <c r="F118" s="50" t="s">
        <v>478</v>
      </c>
      <c r="G118" s="50" t="s">
        <v>1821</v>
      </c>
      <c r="H118" s="328"/>
      <c r="I118" s="50"/>
      <c r="X118" s="55">
        <v>3010</v>
      </c>
      <c r="Y118" s="56" t="s">
        <v>905</v>
      </c>
      <c r="Z118" s="56" t="s">
        <v>906</v>
      </c>
      <c r="AA118" s="56" t="s">
        <v>483</v>
      </c>
    </row>
    <row r="119" spans="3:27">
      <c r="C119" s="50" t="s">
        <v>221</v>
      </c>
      <c r="D119" s="50" t="s">
        <v>907</v>
      </c>
      <c r="E119" s="67" t="s">
        <v>69</v>
      </c>
      <c r="F119" s="50" t="s">
        <v>522</v>
      </c>
      <c r="G119" s="50" t="s">
        <v>1821</v>
      </c>
      <c r="H119" s="328"/>
      <c r="I119" s="50"/>
      <c r="X119" s="55">
        <v>3011</v>
      </c>
      <c r="Y119" s="56" t="s">
        <v>908</v>
      </c>
      <c r="Z119" s="56" t="s">
        <v>906</v>
      </c>
      <c r="AA119" s="56" t="s">
        <v>483</v>
      </c>
    </row>
    <row r="120" spans="3:27">
      <c r="C120" s="50" t="s">
        <v>92</v>
      </c>
      <c r="D120" s="50" t="s">
        <v>429</v>
      </c>
      <c r="E120" s="67" t="s">
        <v>1258</v>
      </c>
      <c r="F120" s="50" t="s">
        <v>522</v>
      </c>
      <c r="G120" s="50" t="s">
        <v>1826</v>
      </c>
      <c r="H120" s="328"/>
      <c r="I120" s="50"/>
      <c r="X120" s="55">
        <v>3020</v>
      </c>
      <c r="Y120" s="56" t="s">
        <v>909</v>
      </c>
      <c r="Z120" s="56" t="s">
        <v>910</v>
      </c>
      <c r="AA120" s="56" t="s">
        <v>483</v>
      </c>
    </row>
    <row r="121" spans="3:27">
      <c r="C121" s="50" t="s">
        <v>217</v>
      </c>
      <c r="D121" s="50" t="s">
        <v>911</v>
      </c>
      <c r="E121" s="67" t="s">
        <v>1258</v>
      </c>
      <c r="F121" s="50" t="s">
        <v>522</v>
      </c>
      <c r="G121" s="50" t="s">
        <v>1826</v>
      </c>
      <c r="H121" s="328"/>
      <c r="I121" s="50"/>
      <c r="X121" s="55">
        <v>3030</v>
      </c>
      <c r="Y121" s="56" t="s">
        <v>912</v>
      </c>
      <c r="Z121" s="56" t="s">
        <v>913</v>
      </c>
      <c r="AA121" s="56" t="s">
        <v>483</v>
      </c>
    </row>
    <row r="122" spans="3:27">
      <c r="C122" s="50" t="s">
        <v>218</v>
      </c>
      <c r="D122" s="50" t="s">
        <v>914</v>
      </c>
      <c r="E122" s="67" t="s">
        <v>347</v>
      </c>
      <c r="F122" s="50" t="s">
        <v>478</v>
      </c>
      <c r="G122" s="50" t="s">
        <v>1826</v>
      </c>
      <c r="H122" s="328"/>
      <c r="I122" s="50"/>
      <c r="X122" s="55">
        <v>3040</v>
      </c>
      <c r="Y122" s="56" t="s">
        <v>915</v>
      </c>
      <c r="Z122" s="56" t="s">
        <v>916</v>
      </c>
      <c r="AA122" s="56" t="s">
        <v>483</v>
      </c>
    </row>
    <row r="123" spans="3:27">
      <c r="C123" s="50" t="s">
        <v>219</v>
      </c>
      <c r="D123" s="50" t="s">
        <v>917</v>
      </c>
      <c r="E123" s="67" t="s">
        <v>347</v>
      </c>
      <c r="F123" s="50" t="s">
        <v>522</v>
      </c>
      <c r="G123" s="50" t="s">
        <v>1826</v>
      </c>
      <c r="H123" s="328"/>
      <c r="I123" s="50"/>
      <c r="X123" s="55">
        <v>4010</v>
      </c>
      <c r="Y123" s="56" t="s">
        <v>918</v>
      </c>
      <c r="Z123" s="56" t="s">
        <v>919</v>
      </c>
      <c r="AA123" s="56" t="s">
        <v>483</v>
      </c>
    </row>
    <row r="124" spans="3:27">
      <c r="C124" s="50" t="s">
        <v>93</v>
      </c>
      <c r="D124" s="50" t="s">
        <v>431</v>
      </c>
      <c r="E124" s="67" t="s">
        <v>1262</v>
      </c>
      <c r="F124" s="50" t="s">
        <v>522</v>
      </c>
      <c r="G124" s="50" t="s">
        <v>1821</v>
      </c>
      <c r="H124" s="328"/>
      <c r="I124" s="50"/>
      <c r="X124" s="55">
        <v>4011</v>
      </c>
      <c r="Y124" s="56" t="s">
        <v>920</v>
      </c>
      <c r="Z124" s="56" t="s">
        <v>919</v>
      </c>
      <c r="AA124" s="56" t="s">
        <v>483</v>
      </c>
    </row>
    <row r="125" spans="3:27">
      <c r="C125" s="50" t="s">
        <v>165</v>
      </c>
      <c r="D125" s="50" t="s">
        <v>921</v>
      </c>
      <c r="E125" s="67" t="s">
        <v>1262</v>
      </c>
      <c r="F125" s="50" t="s">
        <v>522</v>
      </c>
      <c r="G125" s="50" t="s">
        <v>1821</v>
      </c>
      <c r="H125" s="328"/>
      <c r="I125" s="50"/>
      <c r="X125" s="55">
        <v>4020</v>
      </c>
      <c r="Y125" s="56" t="s">
        <v>922</v>
      </c>
      <c r="Z125" s="56" t="s">
        <v>923</v>
      </c>
      <c r="AA125" s="56" t="s">
        <v>483</v>
      </c>
    </row>
    <row r="126" spans="3:27">
      <c r="C126" s="50" t="s">
        <v>166</v>
      </c>
      <c r="D126" s="50" t="s">
        <v>924</v>
      </c>
      <c r="E126" s="67" t="s">
        <v>70</v>
      </c>
      <c r="F126" s="50" t="s">
        <v>478</v>
      </c>
      <c r="G126" s="50" t="s">
        <v>1821</v>
      </c>
      <c r="H126" s="328"/>
      <c r="I126" s="50"/>
      <c r="X126" s="55">
        <v>4021</v>
      </c>
      <c r="Y126" s="56" t="s">
        <v>925</v>
      </c>
      <c r="Z126" s="56" t="s">
        <v>923</v>
      </c>
      <c r="AA126" s="56" t="s">
        <v>483</v>
      </c>
    </row>
    <row r="127" spans="3:27">
      <c r="C127" s="50" t="s">
        <v>167</v>
      </c>
      <c r="D127" s="50" t="s">
        <v>926</v>
      </c>
      <c r="E127" s="67" t="s">
        <v>1262</v>
      </c>
      <c r="F127" s="50" t="s">
        <v>522</v>
      </c>
      <c r="G127" s="50" t="s">
        <v>1821</v>
      </c>
      <c r="H127" s="328"/>
      <c r="I127" s="50"/>
      <c r="X127" s="55">
        <v>4030</v>
      </c>
      <c r="Y127" s="56" t="s">
        <v>927</v>
      </c>
      <c r="Z127" s="56" t="s">
        <v>928</v>
      </c>
      <c r="AA127" s="56" t="s">
        <v>483</v>
      </c>
    </row>
    <row r="128" spans="3:27">
      <c r="C128" s="50" t="s">
        <v>349</v>
      </c>
      <c r="D128" s="50" t="s">
        <v>929</v>
      </c>
      <c r="E128" s="67" t="s">
        <v>1257</v>
      </c>
      <c r="F128" s="50" t="s">
        <v>522</v>
      </c>
      <c r="G128" s="50" t="s">
        <v>1826</v>
      </c>
      <c r="H128" s="328"/>
      <c r="I128" s="50"/>
      <c r="X128" s="55">
        <v>4031</v>
      </c>
      <c r="Y128" s="56" t="s">
        <v>930</v>
      </c>
      <c r="Z128" s="56" t="s">
        <v>931</v>
      </c>
      <c r="AA128" s="56" t="s">
        <v>483</v>
      </c>
    </row>
    <row r="129" spans="3:27">
      <c r="C129" s="50" t="s">
        <v>932</v>
      </c>
      <c r="D129" s="50" t="s">
        <v>933</v>
      </c>
      <c r="E129" s="67" t="s">
        <v>1257</v>
      </c>
      <c r="F129" s="50" t="s">
        <v>522</v>
      </c>
      <c r="G129" s="50" t="s">
        <v>1826</v>
      </c>
      <c r="H129" s="328"/>
      <c r="I129" s="50"/>
      <c r="X129" s="55">
        <v>4040</v>
      </c>
      <c r="Y129" s="56" t="s">
        <v>934</v>
      </c>
      <c r="Z129" s="56" t="s">
        <v>935</v>
      </c>
      <c r="AA129" s="56" t="s">
        <v>483</v>
      </c>
    </row>
    <row r="130" spans="3:27">
      <c r="C130" s="50" t="s">
        <v>936</v>
      </c>
      <c r="D130" s="50" t="s">
        <v>937</v>
      </c>
      <c r="E130" s="67" t="s">
        <v>71</v>
      </c>
      <c r="F130" s="50" t="s">
        <v>478</v>
      </c>
      <c r="G130" s="50" t="s">
        <v>1809</v>
      </c>
      <c r="H130" s="328"/>
      <c r="I130" s="50"/>
      <c r="X130" s="55">
        <v>4041</v>
      </c>
      <c r="Y130" s="56" t="s">
        <v>938</v>
      </c>
      <c r="Z130" s="56" t="s">
        <v>935</v>
      </c>
      <c r="AA130" s="56" t="s">
        <v>483</v>
      </c>
    </row>
    <row r="131" spans="3:27">
      <c r="C131" s="50" t="s">
        <v>939</v>
      </c>
      <c r="D131" s="50" t="s">
        <v>940</v>
      </c>
      <c r="E131" s="67" t="s">
        <v>71</v>
      </c>
      <c r="F131" s="50" t="s">
        <v>522</v>
      </c>
      <c r="G131" s="50" t="s">
        <v>1826</v>
      </c>
      <c r="H131" s="328"/>
      <c r="I131" s="50"/>
      <c r="X131" s="55">
        <v>4042</v>
      </c>
      <c r="Y131" s="56" t="s">
        <v>941</v>
      </c>
      <c r="Z131" s="56" t="s">
        <v>941</v>
      </c>
      <c r="AA131" s="56" t="s">
        <v>483</v>
      </c>
    </row>
    <row r="132" spans="3:27">
      <c r="C132" s="50" t="s">
        <v>279</v>
      </c>
      <c r="D132" s="50" t="s">
        <v>942</v>
      </c>
      <c r="E132" s="67" t="s">
        <v>1257</v>
      </c>
      <c r="F132" s="50" t="s">
        <v>522</v>
      </c>
      <c r="G132" s="50" t="s">
        <v>1821</v>
      </c>
      <c r="H132" s="328"/>
      <c r="I132" s="50"/>
      <c r="X132" s="55">
        <v>4050</v>
      </c>
      <c r="Y132" s="56" t="s">
        <v>943</v>
      </c>
      <c r="Z132" s="56" t="s">
        <v>944</v>
      </c>
      <c r="AA132" s="56" t="s">
        <v>483</v>
      </c>
    </row>
    <row r="133" spans="3:27">
      <c r="C133" s="50" t="s">
        <v>945</v>
      </c>
      <c r="D133" s="50" t="s">
        <v>946</v>
      </c>
      <c r="E133" s="67" t="s">
        <v>1257</v>
      </c>
      <c r="F133" s="50" t="s">
        <v>522</v>
      </c>
      <c r="G133" s="50" t="s">
        <v>1821</v>
      </c>
      <c r="H133" s="328"/>
      <c r="I133" s="50"/>
      <c r="X133" s="55">
        <v>4051</v>
      </c>
      <c r="Y133" s="56" t="s">
        <v>947</v>
      </c>
      <c r="Z133" s="56" t="s">
        <v>944</v>
      </c>
      <c r="AA133" s="56" t="s">
        <v>483</v>
      </c>
    </row>
    <row r="134" spans="3:27">
      <c r="C134" s="50" t="s">
        <v>948</v>
      </c>
      <c r="D134" s="50" t="s">
        <v>949</v>
      </c>
      <c r="E134" s="67" t="s">
        <v>71</v>
      </c>
      <c r="F134" s="50" t="s">
        <v>478</v>
      </c>
      <c r="G134" s="50" t="s">
        <v>1809</v>
      </c>
      <c r="H134" s="328"/>
      <c r="I134" s="50"/>
      <c r="X134" s="55">
        <v>4060</v>
      </c>
      <c r="Y134" s="56" t="s">
        <v>950</v>
      </c>
      <c r="Z134" s="56" t="s">
        <v>951</v>
      </c>
      <c r="AA134" s="56" t="s">
        <v>483</v>
      </c>
    </row>
    <row r="135" spans="3:27">
      <c r="C135" s="50" t="s">
        <v>952</v>
      </c>
      <c r="D135" s="50" t="s">
        <v>953</v>
      </c>
      <c r="E135" s="67" t="s">
        <v>71</v>
      </c>
      <c r="F135" s="50" t="s">
        <v>522</v>
      </c>
      <c r="G135" s="50" t="s">
        <v>1821</v>
      </c>
      <c r="H135" s="328"/>
      <c r="I135" s="50"/>
      <c r="X135" s="55">
        <v>4061</v>
      </c>
      <c r="Y135" s="56" t="s">
        <v>954</v>
      </c>
      <c r="Z135" s="56" t="s">
        <v>951</v>
      </c>
      <c r="AA135" s="56" t="s">
        <v>483</v>
      </c>
    </row>
    <row r="136" spans="3:27">
      <c r="C136" s="50" t="s">
        <v>955</v>
      </c>
      <c r="D136" s="50" t="s">
        <v>956</v>
      </c>
      <c r="E136" s="67" t="s">
        <v>1257</v>
      </c>
      <c r="F136" s="50" t="s">
        <v>522</v>
      </c>
      <c r="G136" s="50" t="s">
        <v>1813</v>
      </c>
      <c r="H136" s="328"/>
      <c r="I136" s="50"/>
      <c r="X136" s="55">
        <v>4070</v>
      </c>
      <c r="Y136" s="56" t="s">
        <v>957</v>
      </c>
      <c r="Z136" s="56" t="s">
        <v>958</v>
      </c>
      <c r="AA136" s="56" t="s">
        <v>483</v>
      </c>
    </row>
    <row r="137" spans="3:27">
      <c r="C137" s="50" t="s">
        <v>959</v>
      </c>
      <c r="D137" s="50" t="s">
        <v>960</v>
      </c>
      <c r="E137" s="67" t="s">
        <v>1257</v>
      </c>
      <c r="F137" s="50" t="s">
        <v>522</v>
      </c>
      <c r="G137" s="50" t="s">
        <v>1813</v>
      </c>
      <c r="H137" s="328"/>
      <c r="I137" s="50"/>
      <c r="X137" s="55">
        <v>4071</v>
      </c>
      <c r="Y137" s="56" t="s">
        <v>961</v>
      </c>
      <c r="Z137" s="56" t="s">
        <v>958</v>
      </c>
      <c r="AA137" s="56" t="s">
        <v>483</v>
      </c>
    </row>
    <row r="138" spans="3:27">
      <c r="C138" s="50" t="s">
        <v>962</v>
      </c>
      <c r="D138" s="50" t="s">
        <v>963</v>
      </c>
      <c r="E138" s="67" t="s">
        <v>71</v>
      </c>
      <c r="F138" s="50" t="s">
        <v>478</v>
      </c>
      <c r="G138" s="50" t="s">
        <v>1809</v>
      </c>
      <c r="H138" s="328"/>
      <c r="I138" s="50"/>
      <c r="X138" s="55">
        <v>4080</v>
      </c>
      <c r="Y138" s="56" t="s">
        <v>964</v>
      </c>
      <c r="Z138" s="56" t="s">
        <v>965</v>
      </c>
      <c r="AA138" s="56" t="s">
        <v>483</v>
      </c>
    </row>
    <row r="139" spans="3:27">
      <c r="C139" s="50" t="s">
        <v>966</v>
      </c>
      <c r="D139" s="50" t="s">
        <v>967</v>
      </c>
      <c r="E139" s="67" t="s">
        <v>71</v>
      </c>
      <c r="F139" s="50" t="s">
        <v>522</v>
      </c>
      <c r="G139" s="50" t="s">
        <v>1813</v>
      </c>
      <c r="H139" s="328"/>
      <c r="I139" s="50"/>
      <c r="X139" s="55">
        <v>4081</v>
      </c>
      <c r="Y139" s="56" t="s">
        <v>968</v>
      </c>
      <c r="Z139" s="56" t="s">
        <v>969</v>
      </c>
      <c r="AA139" s="56" t="s">
        <v>483</v>
      </c>
    </row>
    <row r="140" spans="3:27">
      <c r="C140" s="50" t="s">
        <v>264</v>
      </c>
      <c r="D140" s="50" t="s">
        <v>3</v>
      </c>
      <c r="E140" s="67" t="s">
        <v>1252</v>
      </c>
      <c r="F140" s="50" t="s">
        <v>478</v>
      </c>
      <c r="G140" s="50" t="s">
        <v>1815</v>
      </c>
      <c r="H140" s="328"/>
      <c r="I140" s="50"/>
      <c r="X140" s="55">
        <v>4090</v>
      </c>
      <c r="Y140" s="56" t="s">
        <v>970</v>
      </c>
      <c r="Z140" s="56" t="s">
        <v>971</v>
      </c>
      <c r="AA140" s="56" t="s">
        <v>483</v>
      </c>
    </row>
    <row r="141" spans="3:27">
      <c r="C141" s="50" t="s">
        <v>94</v>
      </c>
      <c r="D141" s="50" t="s">
        <v>432</v>
      </c>
      <c r="E141" s="67" t="s">
        <v>1252</v>
      </c>
      <c r="F141" s="50" t="s">
        <v>522</v>
      </c>
      <c r="G141" s="50" t="s">
        <v>1815</v>
      </c>
      <c r="H141" s="328"/>
      <c r="I141" s="50"/>
      <c r="X141" s="55">
        <v>4091</v>
      </c>
      <c r="Y141" s="56" t="s">
        <v>972</v>
      </c>
      <c r="Z141" s="56" t="s">
        <v>971</v>
      </c>
      <c r="AA141" s="56" t="s">
        <v>483</v>
      </c>
    </row>
    <row r="142" spans="3:27">
      <c r="C142" s="50" t="s">
        <v>973</v>
      </c>
      <c r="D142" s="50" t="s">
        <v>974</v>
      </c>
      <c r="E142" s="67" t="s">
        <v>280</v>
      </c>
      <c r="F142" s="50" t="s">
        <v>522</v>
      </c>
      <c r="G142" s="50" t="s">
        <v>1815</v>
      </c>
      <c r="H142" s="328"/>
      <c r="I142" s="50"/>
      <c r="X142" s="55">
        <v>5010</v>
      </c>
      <c r="Y142" s="56" t="s">
        <v>975</v>
      </c>
      <c r="Z142" s="56" t="s">
        <v>976</v>
      </c>
      <c r="AA142" s="56" t="s">
        <v>483</v>
      </c>
    </row>
    <row r="143" spans="3:27">
      <c r="C143" s="50" t="s">
        <v>265</v>
      </c>
      <c r="D143" s="50" t="s">
        <v>280</v>
      </c>
      <c r="E143" s="67" t="s">
        <v>683</v>
      </c>
      <c r="F143" s="50" t="s">
        <v>478</v>
      </c>
      <c r="G143" s="50" t="s">
        <v>1815</v>
      </c>
      <c r="H143" s="328"/>
      <c r="I143" s="50"/>
      <c r="X143" s="55">
        <v>5011</v>
      </c>
      <c r="Y143" s="56" t="s">
        <v>977</v>
      </c>
      <c r="Z143" s="56" t="s">
        <v>978</v>
      </c>
      <c r="AA143" s="56" t="s">
        <v>483</v>
      </c>
    </row>
    <row r="144" spans="3:27">
      <c r="C144" s="50" t="s">
        <v>979</v>
      </c>
      <c r="D144" s="50" t="s">
        <v>980</v>
      </c>
      <c r="E144" s="67" t="s">
        <v>683</v>
      </c>
      <c r="F144" s="50" t="s">
        <v>522</v>
      </c>
      <c r="G144" s="50" t="s">
        <v>1815</v>
      </c>
      <c r="H144" s="328"/>
      <c r="I144" s="50"/>
      <c r="X144" s="55">
        <v>5012</v>
      </c>
      <c r="Y144" s="56" t="s">
        <v>981</v>
      </c>
      <c r="Z144" s="56" t="s">
        <v>976</v>
      </c>
      <c r="AA144" s="56" t="s">
        <v>483</v>
      </c>
    </row>
    <row r="145" spans="3:27">
      <c r="C145" s="50" t="s">
        <v>244</v>
      </c>
      <c r="D145" s="50" t="s">
        <v>175</v>
      </c>
      <c r="E145" s="67" t="s">
        <v>67</v>
      </c>
      <c r="F145" s="50" t="s">
        <v>784</v>
      </c>
      <c r="G145" s="50" t="s">
        <v>1816</v>
      </c>
      <c r="H145" s="328"/>
      <c r="I145" s="50"/>
      <c r="X145" s="55">
        <v>5020</v>
      </c>
      <c r="Y145" s="56" t="s">
        <v>982</v>
      </c>
      <c r="Z145" s="56" t="s">
        <v>983</v>
      </c>
      <c r="AA145" s="56" t="s">
        <v>483</v>
      </c>
    </row>
    <row r="146" spans="3:27">
      <c r="C146" s="50" t="s">
        <v>251</v>
      </c>
      <c r="D146" s="50" t="s">
        <v>984</v>
      </c>
      <c r="E146" s="67" t="s">
        <v>1254</v>
      </c>
      <c r="F146" s="50" t="s">
        <v>522</v>
      </c>
      <c r="G146" s="50" t="s">
        <v>1816</v>
      </c>
      <c r="H146" s="328"/>
      <c r="I146" s="50"/>
      <c r="X146" s="55">
        <v>5021</v>
      </c>
      <c r="Y146" s="56" t="s">
        <v>985</v>
      </c>
      <c r="Z146" s="56" t="s">
        <v>986</v>
      </c>
      <c r="AA146" s="56" t="s">
        <v>483</v>
      </c>
    </row>
    <row r="147" spans="3:27">
      <c r="C147" s="50" t="s">
        <v>252</v>
      </c>
      <c r="D147" s="50" t="s">
        <v>987</v>
      </c>
      <c r="E147" s="67" t="s">
        <v>1254</v>
      </c>
      <c r="F147" s="50" t="s">
        <v>522</v>
      </c>
      <c r="G147" s="50" t="s">
        <v>1816</v>
      </c>
      <c r="H147" s="328"/>
      <c r="I147" s="50"/>
      <c r="X147" s="55">
        <v>5022</v>
      </c>
      <c r="Y147" s="56" t="s">
        <v>988</v>
      </c>
      <c r="Z147" s="56" t="s">
        <v>983</v>
      </c>
      <c r="AA147" s="56" t="s">
        <v>483</v>
      </c>
    </row>
    <row r="148" spans="3:27">
      <c r="C148" s="50" t="s">
        <v>253</v>
      </c>
      <c r="D148" s="50" t="s">
        <v>989</v>
      </c>
      <c r="E148" s="67" t="s">
        <v>348</v>
      </c>
      <c r="F148" s="50" t="s">
        <v>478</v>
      </c>
      <c r="G148" s="50" t="s">
        <v>1816</v>
      </c>
      <c r="H148" s="328"/>
      <c r="I148" s="50"/>
      <c r="X148" s="55">
        <v>5030</v>
      </c>
      <c r="Y148" s="56" t="s">
        <v>990</v>
      </c>
      <c r="Z148" s="56" t="s">
        <v>983</v>
      </c>
      <c r="AA148" s="56" t="s">
        <v>483</v>
      </c>
    </row>
    <row r="149" spans="3:27">
      <c r="C149" s="50" t="s">
        <v>254</v>
      </c>
      <c r="D149" s="50" t="s">
        <v>991</v>
      </c>
      <c r="E149" s="67" t="s">
        <v>1254</v>
      </c>
      <c r="F149" s="50" t="s">
        <v>522</v>
      </c>
      <c r="G149" s="50" t="s">
        <v>1816</v>
      </c>
      <c r="H149" s="328"/>
      <c r="I149" s="50"/>
      <c r="X149" s="55">
        <v>5031</v>
      </c>
      <c r="Y149" s="56" t="s">
        <v>992</v>
      </c>
      <c r="Z149" s="56" t="s">
        <v>978</v>
      </c>
      <c r="AA149" s="56" t="s">
        <v>483</v>
      </c>
    </row>
    <row r="150" spans="3:27">
      <c r="C150" s="50" t="s">
        <v>95</v>
      </c>
      <c r="D150" s="50" t="s">
        <v>993</v>
      </c>
      <c r="E150" s="67" t="s">
        <v>1253</v>
      </c>
      <c r="F150" s="50" t="s">
        <v>522</v>
      </c>
      <c r="G150" s="50" t="s">
        <v>1816</v>
      </c>
      <c r="H150" s="328"/>
      <c r="I150" s="50"/>
      <c r="X150" s="55">
        <v>5032</v>
      </c>
      <c r="Y150" s="56" t="s">
        <v>994</v>
      </c>
      <c r="Z150" s="56" t="s">
        <v>983</v>
      </c>
      <c r="AA150" s="56" t="s">
        <v>483</v>
      </c>
    </row>
    <row r="151" spans="3:27">
      <c r="C151" s="50" t="s">
        <v>247</v>
      </c>
      <c r="D151" s="50" t="s">
        <v>995</v>
      </c>
      <c r="E151" s="67" t="s">
        <v>1253</v>
      </c>
      <c r="F151" s="50" t="s">
        <v>522</v>
      </c>
      <c r="G151" s="50" t="s">
        <v>1816</v>
      </c>
      <c r="H151" s="328"/>
      <c r="I151" s="50"/>
      <c r="X151" s="55">
        <v>5040</v>
      </c>
      <c r="Y151" s="56" t="s">
        <v>996</v>
      </c>
      <c r="Z151" s="56" t="s">
        <v>983</v>
      </c>
      <c r="AA151" s="56" t="s">
        <v>483</v>
      </c>
    </row>
    <row r="152" spans="3:27">
      <c r="C152" s="50" t="s">
        <v>96</v>
      </c>
      <c r="D152" s="50" t="s">
        <v>997</v>
      </c>
      <c r="E152" s="67" t="s">
        <v>69</v>
      </c>
      <c r="F152" s="50" t="s">
        <v>478</v>
      </c>
      <c r="G152" s="50" t="s">
        <v>1816</v>
      </c>
      <c r="H152" s="328"/>
      <c r="I152" s="50"/>
      <c r="X152" s="55">
        <v>5041</v>
      </c>
      <c r="Y152" s="56" t="s">
        <v>998</v>
      </c>
      <c r="Z152" s="56" t="s">
        <v>978</v>
      </c>
      <c r="AA152" s="56" t="s">
        <v>483</v>
      </c>
    </row>
    <row r="153" spans="3:27">
      <c r="C153" s="50" t="s">
        <v>248</v>
      </c>
      <c r="D153" s="50" t="s">
        <v>999</v>
      </c>
      <c r="E153" s="67" t="s">
        <v>69</v>
      </c>
      <c r="F153" s="50" t="s">
        <v>522</v>
      </c>
      <c r="G153" s="50" t="s">
        <v>1816</v>
      </c>
      <c r="H153" s="328"/>
      <c r="I153" s="50"/>
      <c r="X153" s="55">
        <v>5042</v>
      </c>
      <c r="Y153" s="56" t="s">
        <v>1000</v>
      </c>
      <c r="Z153" s="56" t="s">
        <v>983</v>
      </c>
      <c r="AA153" s="56" t="s">
        <v>483</v>
      </c>
    </row>
    <row r="154" spans="3:27">
      <c r="C154" s="50" t="s">
        <v>97</v>
      </c>
      <c r="D154" s="50" t="s">
        <v>1001</v>
      </c>
      <c r="E154" s="67" t="s">
        <v>1262</v>
      </c>
      <c r="F154" s="50" t="s">
        <v>522</v>
      </c>
      <c r="G154" s="50" t="s">
        <v>1816</v>
      </c>
      <c r="H154" s="328"/>
      <c r="I154" s="50"/>
      <c r="X154" s="55">
        <v>5050</v>
      </c>
      <c r="Y154" s="56" t="s">
        <v>1002</v>
      </c>
      <c r="Z154" s="56" t="s">
        <v>983</v>
      </c>
      <c r="AA154" s="56" t="s">
        <v>483</v>
      </c>
    </row>
    <row r="155" spans="3:27">
      <c r="C155" s="50" t="s">
        <v>255</v>
      </c>
      <c r="D155" s="50" t="s">
        <v>1003</v>
      </c>
      <c r="E155" s="67" t="s">
        <v>1262</v>
      </c>
      <c r="F155" s="50" t="s">
        <v>522</v>
      </c>
      <c r="G155" s="50" t="s">
        <v>1816</v>
      </c>
      <c r="H155" s="328"/>
      <c r="I155" s="50"/>
      <c r="X155" s="55">
        <v>5051</v>
      </c>
      <c r="Y155" s="56" t="s">
        <v>1004</v>
      </c>
      <c r="Z155" s="56" t="s">
        <v>978</v>
      </c>
      <c r="AA155" s="56" t="s">
        <v>483</v>
      </c>
    </row>
    <row r="156" spans="3:27">
      <c r="C156" s="50" t="s">
        <v>98</v>
      </c>
      <c r="D156" s="50" t="s">
        <v>1005</v>
      </c>
      <c r="E156" s="67" t="s">
        <v>70</v>
      </c>
      <c r="F156" s="50" t="s">
        <v>478</v>
      </c>
      <c r="G156" s="50" t="s">
        <v>1816</v>
      </c>
      <c r="H156" s="328"/>
      <c r="I156" s="50"/>
      <c r="X156" s="55">
        <v>5052</v>
      </c>
      <c r="Y156" s="56" t="s">
        <v>1006</v>
      </c>
      <c r="Z156" s="56" t="s">
        <v>983</v>
      </c>
      <c r="AA156" s="56" t="s">
        <v>483</v>
      </c>
    </row>
    <row r="157" spans="3:27">
      <c r="C157" s="50" t="s">
        <v>256</v>
      </c>
      <c r="D157" s="50" t="s">
        <v>1007</v>
      </c>
      <c r="E157" s="67" t="s">
        <v>70</v>
      </c>
      <c r="F157" s="50" t="s">
        <v>522</v>
      </c>
      <c r="G157" s="50" t="s">
        <v>1816</v>
      </c>
      <c r="H157" s="328"/>
      <c r="I157" s="50"/>
      <c r="X157" s="55">
        <v>5060</v>
      </c>
      <c r="Y157" s="56" t="s">
        <v>1008</v>
      </c>
      <c r="Z157" s="56" t="s">
        <v>1009</v>
      </c>
      <c r="AA157" s="56" t="s">
        <v>483</v>
      </c>
    </row>
    <row r="158" spans="3:27">
      <c r="C158" s="50" t="s">
        <v>99</v>
      </c>
      <c r="D158" s="50" t="s">
        <v>1010</v>
      </c>
      <c r="E158" s="67" t="s">
        <v>1273</v>
      </c>
      <c r="F158" s="50" t="s">
        <v>522</v>
      </c>
      <c r="G158" s="50" t="s">
        <v>1816</v>
      </c>
      <c r="H158" s="328"/>
      <c r="I158" s="50"/>
      <c r="X158" s="55">
        <v>5061</v>
      </c>
      <c r="Y158" s="56" t="s">
        <v>1011</v>
      </c>
      <c r="Z158" s="56" t="s">
        <v>1009</v>
      </c>
      <c r="AA158" s="56" t="s">
        <v>483</v>
      </c>
    </row>
    <row r="159" spans="3:27">
      <c r="C159" s="50" t="s">
        <v>249</v>
      </c>
      <c r="D159" s="50" t="s">
        <v>1012</v>
      </c>
      <c r="E159" s="67" t="s">
        <v>67</v>
      </c>
      <c r="F159" s="50" t="s">
        <v>522</v>
      </c>
      <c r="G159" s="50" t="s">
        <v>1816</v>
      </c>
      <c r="H159" s="328"/>
      <c r="I159" s="50"/>
      <c r="X159" s="55">
        <v>5070</v>
      </c>
      <c r="Y159" s="56" t="s">
        <v>1013</v>
      </c>
      <c r="Z159" s="56" t="s">
        <v>1014</v>
      </c>
      <c r="AA159" s="56" t="s">
        <v>483</v>
      </c>
    </row>
    <row r="160" spans="3:27">
      <c r="C160" s="50" t="s">
        <v>100</v>
      </c>
      <c r="D160" s="50" t="s">
        <v>1015</v>
      </c>
      <c r="E160" s="67" t="s">
        <v>1271</v>
      </c>
      <c r="F160" s="50" t="s">
        <v>478</v>
      </c>
      <c r="G160" s="50" t="s">
        <v>1816</v>
      </c>
      <c r="H160" s="328"/>
      <c r="I160" s="50"/>
      <c r="X160" s="55">
        <v>5071</v>
      </c>
      <c r="Y160" s="56" t="s">
        <v>1016</v>
      </c>
      <c r="Z160" s="56" t="s">
        <v>978</v>
      </c>
      <c r="AA160" s="56" t="s">
        <v>483</v>
      </c>
    </row>
    <row r="161" spans="3:27">
      <c r="C161" s="50" t="s">
        <v>250</v>
      </c>
      <c r="D161" s="50" t="s">
        <v>1017</v>
      </c>
      <c r="E161" s="67" t="s">
        <v>67</v>
      </c>
      <c r="F161" s="50" t="s">
        <v>522</v>
      </c>
      <c r="G161" s="50" t="s">
        <v>1816</v>
      </c>
      <c r="H161" s="328"/>
      <c r="I161" s="50"/>
      <c r="X161" s="55">
        <v>5072</v>
      </c>
      <c r="Y161" s="56" t="s">
        <v>1018</v>
      </c>
      <c r="Z161" s="56" t="s">
        <v>1014</v>
      </c>
      <c r="AA161" s="56" t="s">
        <v>483</v>
      </c>
    </row>
    <row r="162" spans="3:27">
      <c r="C162" s="50" t="s">
        <v>101</v>
      </c>
      <c r="D162" s="50" t="s">
        <v>1019</v>
      </c>
      <c r="E162" s="67" t="s">
        <v>1257</v>
      </c>
      <c r="F162" s="50" t="s">
        <v>522</v>
      </c>
      <c r="G162" s="50" t="s">
        <v>1816</v>
      </c>
      <c r="H162" s="328"/>
      <c r="I162" s="50"/>
      <c r="X162" s="55">
        <v>5080</v>
      </c>
      <c r="Y162" s="56" t="s">
        <v>1020</v>
      </c>
      <c r="Z162" s="56" t="s">
        <v>1021</v>
      </c>
      <c r="AA162" s="56" t="s">
        <v>483</v>
      </c>
    </row>
    <row r="163" spans="3:27">
      <c r="C163" s="50" t="s">
        <v>245</v>
      </c>
      <c r="D163" s="50" t="s">
        <v>1022</v>
      </c>
      <c r="E163" s="67" t="s">
        <v>1257</v>
      </c>
      <c r="F163" s="50" t="s">
        <v>522</v>
      </c>
      <c r="G163" s="50" t="s">
        <v>1816</v>
      </c>
      <c r="H163" s="328"/>
      <c r="I163" s="50"/>
      <c r="X163" s="55">
        <v>5081</v>
      </c>
      <c r="Y163" s="56" t="s">
        <v>1023</v>
      </c>
      <c r="Z163" s="56" t="s">
        <v>1024</v>
      </c>
      <c r="AA163" s="56" t="s">
        <v>483</v>
      </c>
    </row>
    <row r="164" spans="3:27">
      <c r="C164" s="50" t="s">
        <v>102</v>
      </c>
      <c r="D164" s="50" t="s">
        <v>1025</v>
      </c>
      <c r="E164" s="67" t="s">
        <v>71</v>
      </c>
      <c r="F164" s="50" t="s">
        <v>478</v>
      </c>
      <c r="G164" s="50" t="s">
        <v>1816</v>
      </c>
      <c r="H164" s="328"/>
      <c r="I164" s="50"/>
      <c r="X164" s="55">
        <v>5090</v>
      </c>
      <c r="Y164" s="56" t="s">
        <v>1026</v>
      </c>
      <c r="Z164" s="56" t="s">
        <v>983</v>
      </c>
      <c r="AA164" s="56" t="s">
        <v>483</v>
      </c>
    </row>
    <row r="165" spans="3:27">
      <c r="C165" s="50" t="s">
        <v>246</v>
      </c>
      <c r="D165" s="50" t="s">
        <v>1027</v>
      </c>
      <c r="E165" s="67" t="s">
        <v>71</v>
      </c>
      <c r="F165" s="50" t="s">
        <v>522</v>
      </c>
      <c r="G165" s="50" t="s">
        <v>1816</v>
      </c>
      <c r="H165" s="328"/>
      <c r="I165" s="50"/>
      <c r="X165" s="55">
        <v>5091</v>
      </c>
      <c r="Y165" s="56" t="s">
        <v>1028</v>
      </c>
      <c r="Z165" s="56" t="s">
        <v>978</v>
      </c>
      <c r="AA165" s="56" t="s">
        <v>483</v>
      </c>
    </row>
    <row r="166" spans="3:27">
      <c r="C166" s="50" t="s">
        <v>103</v>
      </c>
      <c r="D166" s="50" t="s">
        <v>1029</v>
      </c>
      <c r="E166" s="67" t="s">
        <v>1273</v>
      </c>
      <c r="F166" s="50" t="s">
        <v>522</v>
      </c>
      <c r="G166" s="50" t="s">
        <v>1811</v>
      </c>
      <c r="H166" s="328"/>
      <c r="I166" s="50"/>
      <c r="X166" s="55">
        <v>5092</v>
      </c>
      <c r="Y166" s="56" t="s">
        <v>1030</v>
      </c>
      <c r="Z166" s="56" t="s">
        <v>983</v>
      </c>
      <c r="AA166" s="56" t="s">
        <v>483</v>
      </c>
    </row>
    <row r="167" spans="3:27">
      <c r="C167" s="50" t="s">
        <v>207</v>
      </c>
      <c r="D167" s="50" t="s">
        <v>1031</v>
      </c>
      <c r="E167" s="67" t="s">
        <v>1273</v>
      </c>
      <c r="F167" s="50" t="s">
        <v>522</v>
      </c>
      <c r="G167" s="50" t="s">
        <v>1811</v>
      </c>
      <c r="H167" s="328"/>
      <c r="I167" s="50"/>
      <c r="X167" s="55">
        <v>5100</v>
      </c>
      <c r="Y167" s="56" t="s">
        <v>1032</v>
      </c>
      <c r="Z167" s="56" t="s">
        <v>1033</v>
      </c>
      <c r="AA167" s="56" t="s">
        <v>483</v>
      </c>
    </row>
    <row r="168" spans="3:27">
      <c r="C168" s="50" t="s">
        <v>208</v>
      </c>
      <c r="D168" s="50" t="s">
        <v>1034</v>
      </c>
      <c r="E168" s="67" t="s">
        <v>67</v>
      </c>
      <c r="F168" s="50" t="s">
        <v>478</v>
      </c>
      <c r="G168" s="50" t="s">
        <v>1811</v>
      </c>
      <c r="H168" s="328"/>
      <c r="I168" s="50"/>
      <c r="X168" s="55">
        <v>5101</v>
      </c>
      <c r="Y168" s="56" t="s">
        <v>1035</v>
      </c>
      <c r="Z168" s="56" t="s">
        <v>1033</v>
      </c>
      <c r="AA168" s="56" t="s">
        <v>483</v>
      </c>
    </row>
    <row r="169" spans="3:27">
      <c r="C169" s="50" t="s">
        <v>209</v>
      </c>
      <c r="D169" s="50" t="s">
        <v>1036</v>
      </c>
      <c r="E169" s="67" t="s">
        <v>67</v>
      </c>
      <c r="F169" s="50" t="s">
        <v>522</v>
      </c>
      <c r="G169" s="50" t="s">
        <v>1811</v>
      </c>
      <c r="H169" s="328"/>
      <c r="I169" s="50"/>
      <c r="X169" s="55">
        <v>5110</v>
      </c>
      <c r="Y169" s="56" t="s">
        <v>1037</v>
      </c>
      <c r="Z169" s="56" t="s">
        <v>1038</v>
      </c>
      <c r="AA169" s="56" t="s">
        <v>483</v>
      </c>
    </row>
    <row r="170" spans="3:27">
      <c r="C170" s="50" t="s">
        <v>104</v>
      </c>
      <c r="D170" s="50" t="s">
        <v>1039</v>
      </c>
      <c r="E170" s="67" t="s">
        <v>1256</v>
      </c>
      <c r="F170" s="50" t="s">
        <v>522</v>
      </c>
      <c r="G170" s="50" t="s">
        <v>1811</v>
      </c>
      <c r="H170" s="328"/>
      <c r="I170" s="50"/>
      <c r="X170" s="55">
        <v>5111</v>
      </c>
      <c r="Y170" s="56" t="s">
        <v>1040</v>
      </c>
      <c r="Z170" s="56" t="s">
        <v>1038</v>
      </c>
      <c r="AA170" s="56" t="s">
        <v>483</v>
      </c>
    </row>
    <row r="171" spans="3:27">
      <c r="C171" s="50" t="s">
        <v>205</v>
      </c>
      <c r="D171" s="50" t="s">
        <v>1041</v>
      </c>
      <c r="E171" s="67" t="s">
        <v>1256</v>
      </c>
      <c r="F171" s="50" t="s">
        <v>522</v>
      </c>
      <c r="G171" s="50" t="s">
        <v>1811</v>
      </c>
      <c r="H171" s="328"/>
      <c r="I171" s="50"/>
      <c r="X171" s="55">
        <v>5120</v>
      </c>
      <c r="Y171" s="56" t="s">
        <v>1042</v>
      </c>
      <c r="Z171" s="56" t="s">
        <v>1038</v>
      </c>
      <c r="AA171" s="56" t="s">
        <v>483</v>
      </c>
    </row>
    <row r="172" spans="3:27">
      <c r="C172" s="50" t="s">
        <v>105</v>
      </c>
      <c r="D172" s="50" t="s">
        <v>1043</v>
      </c>
      <c r="E172" s="67" t="s">
        <v>72</v>
      </c>
      <c r="F172" s="50" t="s">
        <v>478</v>
      </c>
      <c r="G172" s="50" t="s">
        <v>1811</v>
      </c>
      <c r="H172" s="328"/>
      <c r="I172" s="50"/>
      <c r="X172" s="55">
        <v>5121</v>
      </c>
      <c r="Y172" s="56" t="s">
        <v>1044</v>
      </c>
      <c r="Z172" s="56" t="s">
        <v>1038</v>
      </c>
      <c r="AA172" s="56" t="s">
        <v>483</v>
      </c>
    </row>
    <row r="173" spans="3:27">
      <c r="C173" s="50" t="s">
        <v>206</v>
      </c>
      <c r="D173" s="50" t="s">
        <v>1045</v>
      </c>
      <c r="E173" s="67" t="s">
        <v>72</v>
      </c>
      <c r="F173" s="50" t="s">
        <v>522</v>
      </c>
      <c r="G173" s="50" t="s">
        <v>1811</v>
      </c>
      <c r="H173" s="328"/>
      <c r="I173" s="50"/>
      <c r="X173" s="55">
        <v>5130</v>
      </c>
      <c r="Y173" s="56" t="s">
        <v>1046</v>
      </c>
      <c r="Z173" s="56" t="s">
        <v>1038</v>
      </c>
      <c r="AA173" s="56" t="s">
        <v>483</v>
      </c>
    </row>
    <row r="174" spans="3:27">
      <c r="C174" s="50" t="s">
        <v>210</v>
      </c>
      <c r="D174" s="50" t="s">
        <v>1047</v>
      </c>
      <c r="E174" s="67" t="s">
        <v>1256</v>
      </c>
      <c r="F174" s="50" t="s">
        <v>522</v>
      </c>
      <c r="G174" s="50" t="s">
        <v>1811</v>
      </c>
      <c r="H174" s="328"/>
      <c r="I174" s="50"/>
      <c r="X174" s="55">
        <v>5131</v>
      </c>
      <c r="Y174" s="56" t="s">
        <v>1048</v>
      </c>
      <c r="Z174" s="56" t="s">
        <v>1038</v>
      </c>
      <c r="AA174" s="56" t="s">
        <v>483</v>
      </c>
    </row>
    <row r="175" spans="3:27">
      <c r="C175" s="50" t="s">
        <v>211</v>
      </c>
      <c r="D175" s="50" t="s">
        <v>1049</v>
      </c>
      <c r="E175" s="67" t="s">
        <v>1256</v>
      </c>
      <c r="F175" s="50" t="s">
        <v>522</v>
      </c>
      <c r="G175" s="50" t="s">
        <v>1811</v>
      </c>
      <c r="H175" s="328"/>
      <c r="I175" s="50"/>
      <c r="X175" s="55">
        <v>5140</v>
      </c>
      <c r="Y175" s="56" t="s">
        <v>1050</v>
      </c>
      <c r="Z175" s="56" t="s">
        <v>1038</v>
      </c>
      <c r="AA175" s="56" t="s">
        <v>483</v>
      </c>
    </row>
    <row r="176" spans="3:27">
      <c r="C176" s="50" t="s">
        <v>212</v>
      </c>
      <c r="D176" s="50" t="s">
        <v>1051</v>
      </c>
      <c r="E176" s="67" t="s">
        <v>72</v>
      </c>
      <c r="F176" s="50" t="s">
        <v>478</v>
      </c>
      <c r="G176" s="50" t="s">
        <v>1811</v>
      </c>
      <c r="H176" s="328"/>
      <c r="I176" s="50"/>
      <c r="X176" s="55">
        <v>5141</v>
      </c>
      <c r="Y176" s="56" t="s">
        <v>1052</v>
      </c>
      <c r="Z176" s="56" t="s">
        <v>1038</v>
      </c>
      <c r="AA176" s="56" t="s">
        <v>483</v>
      </c>
    </row>
    <row r="177" spans="3:27">
      <c r="C177" s="50" t="s">
        <v>213</v>
      </c>
      <c r="D177" s="50" t="s">
        <v>1053</v>
      </c>
      <c r="E177" s="67" t="s">
        <v>72</v>
      </c>
      <c r="F177" s="50" t="s">
        <v>522</v>
      </c>
      <c r="G177" s="50" t="s">
        <v>1811</v>
      </c>
      <c r="H177" s="328"/>
      <c r="I177" s="50"/>
      <c r="X177" s="55">
        <v>5150</v>
      </c>
      <c r="Y177" s="56" t="s">
        <v>1054</v>
      </c>
      <c r="Z177" s="56" t="s">
        <v>1038</v>
      </c>
      <c r="AA177" s="56" t="s">
        <v>483</v>
      </c>
    </row>
    <row r="178" spans="3:27">
      <c r="C178" s="50" t="s">
        <v>106</v>
      </c>
      <c r="D178" s="50" t="s">
        <v>1055</v>
      </c>
      <c r="E178" s="67" t="s">
        <v>1278</v>
      </c>
      <c r="F178" s="50" t="s">
        <v>522</v>
      </c>
      <c r="G178" s="50" t="s">
        <v>1816</v>
      </c>
      <c r="H178" s="328"/>
      <c r="I178" s="50"/>
      <c r="X178" s="55">
        <v>5151</v>
      </c>
      <c r="Y178" s="56" t="s">
        <v>1056</v>
      </c>
      <c r="Z178" s="56" t="s">
        <v>1038</v>
      </c>
      <c r="AA178" s="56" t="s">
        <v>483</v>
      </c>
    </row>
    <row r="179" spans="3:27">
      <c r="C179" s="50" t="s">
        <v>176</v>
      </c>
      <c r="D179" s="50" t="s">
        <v>1057</v>
      </c>
      <c r="E179" s="67" t="s">
        <v>1278</v>
      </c>
      <c r="F179" s="50" t="s">
        <v>522</v>
      </c>
      <c r="G179" s="50" t="s">
        <v>1816</v>
      </c>
      <c r="H179" s="328"/>
      <c r="I179" s="50"/>
      <c r="X179" s="55">
        <v>7010</v>
      </c>
      <c r="Y179" s="56" t="s">
        <v>1058</v>
      </c>
      <c r="Z179" s="56" t="s">
        <v>1059</v>
      </c>
      <c r="AA179" s="56" t="s">
        <v>483</v>
      </c>
    </row>
    <row r="180" spans="3:27">
      <c r="C180" s="50" t="s">
        <v>177</v>
      </c>
      <c r="D180" s="50" t="s">
        <v>1060</v>
      </c>
      <c r="E180" s="67" t="s">
        <v>1279</v>
      </c>
      <c r="F180" s="50" t="s">
        <v>478</v>
      </c>
      <c r="G180" s="50" t="s">
        <v>1816</v>
      </c>
      <c r="H180" s="328"/>
      <c r="I180" s="50"/>
      <c r="X180" s="55">
        <v>7011</v>
      </c>
      <c r="Y180" s="56" t="s">
        <v>1061</v>
      </c>
      <c r="Z180" s="56" t="s">
        <v>1059</v>
      </c>
      <c r="AA180" s="56" t="s">
        <v>483</v>
      </c>
    </row>
    <row r="181" spans="3:27">
      <c r="C181" s="50" t="s">
        <v>178</v>
      </c>
      <c r="D181" s="50" t="s">
        <v>1062</v>
      </c>
      <c r="E181" s="67" t="s">
        <v>1279</v>
      </c>
      <c r="F181" s="50" t="s">
        <v>522</v>
      </c>
      <c r="G181" s="50" t="s">
        <v>1816</v>
      </c>
      <c r="H181" s="328"/>
      <c r="I181" s="50"/>
      <c r="X181" s="55">
        <v>7012</v>
      </c>
      <c r="Y181" s="56" t="s">
        <v>1063</v>
      </c>
      <c r="Z181" s="56" t="s">
        <v>1064</v>
      </c>
      <c r="AA181" s="56" t="s">
        <v>483</v>
      </c>
    </row>
    <row r="182" spans="3:27">
      <c r="C182" s="50" t="s">
        <v>138</v>
      </c>
      <c r="D182" s="50" t="s">
        <v>1065</v>
      </c>
      <c r="E182" s="67" t="s">
        <v>1254</v>
      </c>
      <c r="F182" s="50" t="s">
        <v>522</v>
      </c>
      <c r="G182" s="50" t="s">
        <v>1809</v>
      </c>
      <c r="H182" s="328"/>
      <c r="I182" s="50"/>
      <c r="X182" s="55">
        <v>7013</v>
      </c>
      <c r="Y182" s="56" t="s">
        <v>1066</v>
      </c>
      <c r="Z182" s="56" t="s">
        <v>1064</v>
      </c>
      <c r="AA182" s="56" t="s">
        <v>483</v>
      </c>
    </row>
    <row r="183" spans="3:27">
      <c r="C183" s="50" t="s">
        <v>157</v>
      </c>
      <c r="D183" s="50" t="s">
        <v>1067</v>
      </c>
      <c r="E183" s="67" t="s">
        <v>1254</v>
      </c>
      <c r="F183" s="50" t="s">
        <v>522</v>
      </c>
      <c r="G183" s="50" t="s">
        <v>1809</v>
      </c>
      <c r="H183" s="328"/>
      <c r="I183" s="50"/>
      <c r="X183" s="55">
        <v>7015</v>
      </c>
      <c r="Y183" s="56" t="s">
        <v>641</v>
      </c>
      <c r="Z183" s="56" t="s">
        <v>642</v>
      </c>
      <c r="AA183" s="56" t="s">
        <v>483</v>
      </c>
    </row>
    <row r="184" spans="3:27">
      <c r="C184" s="50" t="s">
        <v>158</v>
      </c>
      <c r="D184" s="50" t="s">
        <v>1068</v>
      </c>
      <c r="E184" s="67" t="s">
        <v>348</v>
      </c>
      <c r="F184" s="50" t="s">
        <v>478</v>
      </c>
      <c r="G184" s="50" t="s">
        <v>1809</v>
      </c>
      <c r="H184" s="328"/>
      <c r="I184" s="50"/>
      <c r="X184" s="55">
        <v>7020</v>
      </c>
      <c r="Y184" s="56" t="s">
        <v>646</v>
      </c>
      <c r="Z184" s="56" t="s">
        <v>647</v>
      </c>
      <c r="AA184" s="56" t="s">
        <v>483</v>
      </c>
    </row>
    <row r="185" spans="3:27">
      <c r="C185" s="50" t="s">
        <v>159</v>
      </c>
      <c r="D185" s="50" t="s">
        <v>1069</v>
      </c>
      <c r="E185" s="67" t="s">
        <v>348</v>
      </c>
      <c r="F185" s="50" t="s">
        <v>522</v>
      </c>
      <c r="G185" s="50" t="s">
        <v>1809</v>
      </c>
      <c r="H185" s="328"/>
      <c r="I185" s="50"/>
      <c r="X185" s="55">
        <v>7021</v>
      </c>
      <c r="Y185" s="56" t="s">
        <v>1070</v>
      </c>
      <c r="Z185" s="56" t="s">
        <v>1071</v>
      </c>
      <c r="AA185" s="56" t="s">
        <v>483</v>
      </c>
    </row>
    <row r="186" spans="3:27">
      <c r="C186" s="50" t="s">
        <v>141</v>
      </c>
      <c r="D186" s="50" t="s">
        <v>1072</v>
      </c>
      <c r="E186" s="67" t="s">
        <v>1253</v>
      </c>
      <c r="F186" s="50" t="s">
        <v>522</v>
      </c>
      <c r="G186" s="50" t="s">
        <v>1809</v>
      </c>
      <c r="H186" s="328"/>
      <c r="I186" s="50"/>
      <c r="X186" s="55">
        <v>7022</v>
      </c>
      <c r="Y186" s="56" t="s">
        <v>1073</v>
      </c>
      <c r="Z186" s="56" t="s">
        <v>1074</v>
      </c>
      <c r="AA186" s="56" t="s">
        <v>483</v>
      </c>
    </row>
    <row r="187" spans="3:27">
      <c r="C187" s="50" t="s">
        <v>155</v>
      </c>
      <c r="D187" s="50" t="s">
        <v>1075</v>
      </c>
      <c r="E187" s="67" t="s">
        <v>1253</v>
      </c>
      <c r="F187" s="50" t="s">
        <v>522</v>
      </c>
      <c r="G187" s="50" t="s">
        <v>1809</v>
      </c>
      <c r="H187" s="328"/>
      <c r="I187" s="50"/>
      <c r="X187" s="55">
        <v>7025</v>
      </c>
      <c r="Y187" s="56" t="s">
        <v>1076</v>
      </c>
      <c r="Z187" s="56" t="s">
        <v>1077</v>
      </c>
      <c r="AA187" s="56" t="s">
        <v>483</v>
      </c>
    </row>
    <row r="188" spans="3:27">
      <c r="C188" s="50" t="s">
        <v>139</v>
      </c>
      <c r="D188" s="50" t="s">
        <v>1078</v>
      </c>
      <c r="E188" s="67" t="s">
        <v>69</v>
      </c>
      <c r="F188" s="50" t="s">
        <v>478</v>
      </c>
      <c r="G188" s="50" t="s">
        <v>1809</v>
      </c>
      <c r="H188" s="328"/>
      <c r="I188" s="50"/>
      <c r="X188" s="55">
        <v>7030</v>
      </c>
      <c r="Y188" s="56" t="s">
        <v>1079</v>
      </c>
      <c r="Z188" s="56" t="s">
        <v>380</v>
      </c>
      <c r="AA188" s="56" t="s">
        <v>483</v>
      </c>
    </row>
    <row r="189" spans="3:27">
      <c r="C189" s="50" t="s">
        <v>156</v>
      </c>
      <c r="D189" s="50" t="s">
        <v>1080</v>
      </c>
      <c r="E189" s="67" t="s">
        <v>69</v>
      </c>
      <c r="F189" s="50" t="s">
        <v>522</v>
      </c>
      <c r="G189" s="50" t="s">
        <v>1809</v>
      </c>
      <c r="H189" s="328"/>
      <c r="I189" s="50"/>
      <c r="X189" s="55">
        <v>7031</v>
      </c>
      <c r="Y189" s="56" t="s">
        <v>1081</v>
      </c>
      <c r="Z189" s="56" t="s">
        <v>380</v>
      </c>
      <c r="AA189" s="56" t="s">
        <v>483</v>
      </c>
    </row>
    <row r="190" spans="3:27">
      <c r="C190" s="50" t="s">
        <v>142</v>
      </c>
      <c r="D190" s="50" t="s">
        <v>1082</v>
      </c>
      <c r="E190" s="67" t="s">
        <v>1262</v>
      </c>
      <c r="F190" s="50" t="s">
        <v>522</v>
      </c>
      <c r="G190" s="50" t="s">
        <v>1809</v>
      </c>
      <c r="H190" s="328"/>
      <c r="I190" s="50"/>
      <c r="X190" s="55">
        <v>7040</v>
      </c>
      <c r="Y190" s="56" t="s">
        <v>1083</v>
      </c>
      <c r="Z190" s="56" t="s">
        <v>1084</v>
      </c>
      <c r="AA190" s="56" t="s">
        <v>483</v>
      </c>
    </row>
    <row r="191" spans="3:27">
      <c r="C191" s="50" t="s">
        <v>160</v>
      </c>
      <c r="D191" s="50" t="s">
        <v>1085</v>
      </c>
      <c r="E191" s="67" t="s">
        <v>1262</v>
      </c>
      <c r="F191" s="50" t="s">
        <v>522</v>
      </c>
      <c r="G191" s="50" t="s">
        <v>1809</v>
      </c>
      <c r="H191" s="328"/>
      <c r="I191" s="50"/>
      <c r="X191" s="55">
        <v>7041</v>
      </c>
      <c r="Y191" s="56" t="s">
        <v>1086</v>
      </c>
      <c r="Z191" s="56" t="s">
        <v>1087</v>
      </c>
      <c r="AA191" s="56" t="s">
        <v>483</v>
      </c>
    </row>
    <row r="192" spans="3:27">
      <c r="C192" s="50" t="s">
        <v>140</v>
      </c>
      <c r="D192" s="50" t="s">
        <v>1088</v>
      </c>
      <c r="E192" s="67" t="s">
        <v>70</v>
      </c>
      <c r="F192" s="50" t="s">
        <v>478</v>
      </c>
      <c r="G192" s="50" t="s">
        <v>1809</v>
      </c>
      <c r="H192" s="328"/>
      <c r="I192" s="50"/>
      <c r="X192" s="55">
        <v>7050</v>
      </c>
      <c r="Y192" s="56" t="s">
        <v>1089</v>
      </c>
      <c r="Z192" s="56" t="s">
        <v>1090</v>
      </c>
      <c r="AA192" s="56" t="s">
        <v>483</v>
      </c>
    </row>
    <row r="193" spans="3:27">
      <c r="C193" s="50" t="s">
        <v>161</v>
      </c>
      <c r="D193" s="50" t="s">
        <v>1091</v>
      </c>
      <c r="E193" s="67" t="s">
        <v>70</v>
      </c>
      <c r="F193" s="50" t="s">
        <v>522</v>
      </c>
      <c r="G193" s="50" t="s">
        <v>1809</v>
      </c>
      <c r="H193" s="328"/>
      <c r="I193" s="50"/>
      <c r="X193" s="55">
        <v>7051</v>
      </c>
      <c r="Y193" s="56" t="s">
        <v>1092</v>
      </c>
      <c r="Z193" s="56" t="s">
        <v>1090</v>
      </c>
      <c r="AA193" s="56" t="s">
        <v>483</v>
      </c>
    </row>
    <row r="194" spans="3:27">
      <c r="C194" s="50" t="s">
        <v>143</v>
      </c>
      <c r="D194" s="50" t="s">
        <v>1093</v>
      </c>
      <c r="E194" s="67" t="s">
        <v>1273</v>
      </c>
      <c r="F194" s="50" t="s">
        <v>522</v>
      </c>
      <c r="G194" s="50" t="s">
        <v>1809</v>
      </c>
      <c r="H194" s="328"/>
      <c r="I194" s="50"/>
      <c r="X194" s="55">
        <v>7060</v>
      </c>
      <c r="Y194" s="56" t="s">
        <v>1094</v>
      </c>
      <c r="Z194" s="56" t="s">
        <v>1095</v>
      </c>
      <c r="AA194" s="56" t="s">
        <v>483</v>
      </c>
    </row>
    <row r="195" spans="3:27">
      <c r="C195" s="50" t="s">
        <v>153</v>
      </c>
      <c r="D195" s="50" t="s">
        <v>1096</v>
      </c>
      <c r="E195" s="67" t="s">
        <v>1273</v>
      </c>
      <c r="F195" s="50" t="s">
        <v>522</v>
      </c>
      <c r="G195" s="50" t="s">
        <v>1809</v>
      </c>
      <c r="H195" s="328"/>
      <c r="I195" s="50"/>
      <c r="X195" s="55">
        <v>7061</v>
      </c>
      <c r="Y195" s="56" t="s">
        <v>1097</v>
      </c>
      <c r="Z195" s="56" t="s">
        <v>1095</v>
      </c>
      <c r="AA195" s="56" t="s">
        <v>483</v>
      </c>
    </row>
    <row r="196" spans="3:27">
      <c r="C196" s="50" t="s">
        <v>144</v>
      </c>
      <c r="D196" s="50" t="s">
        <v>1098</v>
      </c>
      <c r="E196" s="67" t="s">
        <v>67</v>
      </c>
      <c r="F196" s="50" t="s">
        <v>478</v>
      </c>
      <c r="G196" s="50" t="s">
        <v>1809</v>
      </c>
      <c r="H196" s="328"/>
      <c r="I196" s="50"/>
      <c r="X196" s="55">
        <v>7070</v>
      </c>
      <c r="Y196" s="56" t="s">
        <v>1099</v>
      </c>
      <c r="Z196" s="56" t="s">
        <v>1100</v>
      </c>
      <c r="AA196" s="56" t="s">
        <v>483</v>
      </c>
    </row>
    <row r="197" spans="3:27">
      <c r="C197" s="50" t="s">
        <v>154</v>
      </c>
      <c r="D197" s="50" t="s">
        <v>1101</v>
      </c>
      <c r="E197" s="67" t="s">
        <v>67</v>
      </c>
      <c r="F197" s="50" t="s">
        <v>522</v>
      </c>
      <c r="G197" s="50" t="s">
        <v>1809</v>
      </c>
      <c r="H197" s="328"/>
      <c r="I197" s="50"/>
      <c r="X197" s="55">
        <v>7071</v>
      </c>
      <c r="Y197" s="56" t="s">
        <v>1102</v>
      </c>
      <c r="Z197" s="56" t="s">
        <v>1100</v>
      </c>
      <c r="AA197" s="56" t="s">
        <v>483</v>
      </c>
    </row>
    <row r="198" spans="3:27">
      <c r="C198" s="50" t="s">
        <v>152</v>
      </c>
      <c r="D198" s="50" t="s">
        <v>1103</v>
      </c>
      <c r="E198" s="67" t="s">
        <v>1257</v>
      </c>
      <c r="F198" s="50" t="s">
        <v>522</v>
      </c>
      <c r="G198" s="50" t="s">
        <v>1809</v>
      </c>
      <c r="H198" s="328"/>
      <c r="I198" s="50"/>
      <c r="X198" s="55">
        <v>7080</v>
      </c>
      <c r="Y198" s="56" t="s">
        <v>1104</v>
      </c>
      <c r="Z198" s="56" t="s">
        <v>1105</v>
      </c>
      <c r="AA198" s="56" t="s">
        <v>483</v>
      </c>
    </row>
    <row r="199" spans="3:27">
      <c r="C199" s="50" t="s">
        <v>149</v>
      </c>
      <c r="D199" s="50" t="s">
        <v>1106</v>
      </c>
      <c r="E199" s="67" t="s">
        <v>1257</v>
      </c>
      <c r="F199" s="50" t="s">
        <v>522</v>
      </c>
      <c r="G199" s="50" t="s">
        <v>1809</v>
      </c>
      <c r="H199" s="328"/>
      <c r="I199" s="50"/>
      <c r="X199" s="55">
        <v>7090</v>
      </c>
      <c r="Y199" s="56" t="s">
        <v>1107</v>
      </c>
      <c r="Z199" s="56" t="s">
        <v>1108</v>
      </c>
      <c r="AA199" s="56" t="s">
        <v>483</v>
      </c>
    </row>
    <row r="200" spans="3:27">
      <c r="C200" s="50" t="s">
        <v>150</v>
      </c>
      <c r="D200" s="50" t="s">
        <v>1109</v>
      </c>
      <c r="E200" s="67" t="s">
        <v>71</v>
      </c>
      <c r="F200" s="50" t="s">
        <v>478</v>
      </c>
      <c r="G200" s="50" t="s">
        <v>1809</v>
      </c>
      <c r="H200" s="328"/>
      <c r="I200" s="50"/>
      <c r="X200" s="55">
        <v>7091</v>
      </c>
      <c r="Y200" s="56" t="s">
        <v>1110</v>
      </c>
      <c r="Z200" s="56" t="s">
        <v>1108</v>
      </c>
      <c r="AA200" s="56" t="s">
        <v>483</v>
      </c>
    </row>
    <row r="201" spans="3:27">
      <c r="C201" s="50" t="s">
        <v>151</v>
      </c>
      <c r="D201" s="50" t="s">
        <v>1111</v>
      </c>
      <c r="E201" s="67" t="s">
        <v>71</v>
      </c>
      <c r="F201" s="50" t="s">
        <v>522</v>
      </c>
      <c r="G201" s="50" t="s">
        <v>1809</v>
      </c>
      <c r="H201" s="328"/>
      <c r="I201" s="50"/>
      <c r="X201" s="55">
        <v>7120</v>
      </c>
      <c r="Y201" s="56" t="s">
        <v>1112</v>
      </c>
      <c r="Z201" s="56" t="s">
        <v>1113</v>
      </c>
      <c r="AA201" s="56" t="s">
        <v>483</v>
      </c>
    </row>
    <row r="202" spans="3:27">
      <c r="C202" s="50" t="s">
        <v>162</v>
      </c>
      <c r="D202" s="50" t="s">
        <v>1114</v>
      </c>
      <c r="E202" s="67" t="s">
        <v>1257</v>
      </c>
      <c r="F202" s="50" t="s">
        <v>478</v>
      </c>
      <c r="G202" s="50" t="s">
        <v>1809</v>
      </c>
      <c r="H202" s="328"/>
      <c r="I202" s="50"/>
      <c r="X202" s="55">
        <v>7140</v>
      </c>
      <c r="Y202" s="56" t="s">
        <v>1115</v>
      </c>
      <c r="Z202" s="56" t="s">
        <v>1116</v>
      </c>
      <c r="AA202" s="56" t="s">
        <v>483</v>
      </c>
    </row>
    <row r="203" spans="3:27">
      <c r="C203" s="50" t="s">
        <v>278</v>
      </c>
      <c r="D203" s="50" t="s">
        <v>1117</v>
      </c>
      <c r="E203" s="67" t="s">
        <v>1250</v>
      </c>
      <c r="F203" s="50" t="s">
        <v>478</v>
      </c>
      <c r="G203" s="50" t="s">
        <v>1810</v>
      </c>
      <c r="H203" s="328"/>
      <c r="I203" s="50"/>
      <c r="X203" s="55">
        <v>7141</v>
      </c>
      <c r="Y203" s="56" t="s">
        <v>1118</v>
      </c>
      <c r="Z203" s="56" t="s">
        <v>1119</v>
      </c>
      <c r="AA203" s="56" t="s">
        <v>483</v>
      </c>
    </row>
    <row r="204" spans="3:27">
      <c r="C204" s="50" t="s">
        <v>107</v>
      </c>
      <c r="D204" s="50" t="s">
        <v>1120</v>
      </c>
      <c r="E204" s="67" t="s">
        <v>1254</v>
      </c>
      <c r="F204" s="50" t="s">
        <v>522</v>
      </c>
      <c r="G204" s="50" t="s">
        <v>1810</v>
      </c>
      <c r="H204" s="328"/>
      <c r="I204" s="50"/>
      <c r="X204" s="55">
        <v>9001</v>
      </c>
      <c r="Y204" s="56" t="s">
        <v>1121</v>
      </c>
      <c r="Z204" s="56" t="s">
        <v>1122</v>
      </c>
      <c r="AA204" s="56" t="s">
        <v>483</v>
      </c>
    </row>
    <row r="205" spans="3:27">
      <c r="C205" s="50" t="s">
        <v>273</v>
      </c>
      <c r="D205" s="50" t="s">
        <v>1123</v>
      </c>
      <c r="E205" s="67" t="s">
        <v>1254</v>
      </c>
      <c r="F205" s="50" t="s">
        <v>522</v>
      </c>
      <c r="G205" s="50" t="s">
        <v>1810</v>
      </c>
      <c r="H205" s="328"/>
      <c r="I205" s="50"/>
      <c r="X205" s="55">
        <v>9999</v>
      </c>
      <c r="Y205" s="56" t="s">
        <v>1124</v>
      </c>
      <c r="Z205" s="56" t="s">
        <v>1125</v>
      </c>
      <c r="AA205" s="56" t="s">
        <v>483</v>
      </c>
    </row>
    <row r="206" spans="3:27">
      <c r="C206" s="50" t="s">
        <v>274</v>
      </c>
      <c r="D206" s="50" t="s">
        <v>1126</v>
      </c>
      <c r="E206" s="67" t="s">
        <v>348</v>
      </c>
      <c r="F206" s="50" t="s">
        <v>478</v>
      </c>
      <c r="G206" s="50" t="s">
        <v>1810</v>
      </c>
      <c r="H206" s="328"/>
      <c r="I206" s="50"/>
      <c r="X206" s="55">
        <v>8000</v>
      </c>
      <c r="Y206" s="56" t="s">
        <v>1127</v>
      </c>
      <c r="Z206" s="56" t="s">
        <v>1127</v>
      </c>
      <c r="AA206" s="56" t="s">
        <v>1128</v>
      </c>
    </row>
    <row r="207" spans="3:27">
      <c r="C207" s="50" t="s">
        <v>275</v>
      </c>
      <c r="D207" s="50" t="s">
        <v>1129</v>
      </c>
      <c r="E207" s="67" t="s">
        <v>348</v>
      </c>
      <c r="F207" s="50" t="s">
        <v>522</v>
      </c>
      <c r="G207" s="50" t="s">
        <v>1810</v>
      </c>
      <c r="H207" s="328"/>
      <c r="I207" s="50"/>
      <c r="X207" s="55">
        <v>8001</v>
      </c>
      <c r="Y207" s="56" t="s">
        <v>1130</v>
      </c>
      <c r="Z207" s="56" t="s">
        <v>1130</v>
      </c>
      <c r="AA207" s="56" t="s">
        <v>1128</v>
      </c>
    </row>
    <row r="208" spans="3:27">
      <c r="C208" s="50" t="s">
        <v>108</v>
      </c>
      <c r="D208" s="50" t="s">
        <v>1131</v>
      </c>
      <c r="E208" s="67" t="s">
        <v>1253</v>
      </c>
      <c r="F208" s="50" t="s">
        <v>522</v>
      </c>
      <c r="G208" s="50" t="s">
        <v>1810</v>
      </c>
      <c r="H208" s="328"/>
      <c r="I208" s="50"/>
      <c r="X208" s="55">
        <v>8002</v>
      </c>
      <c r="Y208" s="56" t="s">
        <v>1132</v>
      </c>
      <c r="Z208" s="56" t="s">
        <v>1133</v>
      </c>
      <c r="AA208" s="56" t="s">
        <v>1128</v>
      </c>
    </row>
    <row r="209" spans="3:27">
      <c r="C209" s="50" t="s">
        <v>271</v>
      </c>
      <c r="D209" s="50" t="s">
        <v>1134</v>
      </c>
      <c r="E209" s="67" t="s">
        <v>1253</v>
      </c>
      <c r="F209" s="50" t="s">
        <v>522</v>
      </c>
      <c r="G209" s="50" t="s">
        <v>1810</v>
      </c>
      <c r="H209" s="328"/>
      <c r="I209" s="50"/>
      <c r="X209" s="55">
        <v>8003</v>
      </c>
      <c r="Y209" s="56" t="s">
        <v>1135</v>
      </c>
      <c r="Z209" s="56" t="s">
        <v>1135</v>
      </c>
      <c r="AA209" s="56" t="s">
        <v>1128</v>
      </c>
    </row>
    <row r="210" spans="3:27">
      <c r="C210" s="50" t="s">
        <v>109</v>
      </c>
      <c r="D210" s="50" t="s">
        <v>1136</v>
      </c>
      <c r="E210" s="67" t="s">
        <v>69</v>
      </c>
      <c r="F210" s="50" t="s">
        <v>478</v>
      </c>
      <c r="G210" s="50" t="s">
        <v>1810</v>
      </c>
      <c r="H210" s="328"/>
      <c r="I210" s="50"/>
      <c r="X210" s="55">
        <v>8004</v>
      </c>
      <c r="Y210" s="56" t="s">
        <v>1137</v>
      </c>
      <c r="Z210" s="56" t="s">
        <v>1138</v>
      </c>
      <c r="AA210" s="56" t="s">
        <v>1128</v>
      </c>
    </row>
    <row r="211" spans="3:27">
      <c r="C211" s="50" t="s">
        <v>272</v>
      </c>
      <c r="D211" s="50" t="s">
        <v>1139</v>
      </c>
      <c r="E211" s="67" t="s">
        <v>69</v>
      </c>
      <c r="F211" s="50" t="s">
        <v>522</v>
      </c>
      <c r="G211" s="50" t="s">
        <v>1810</v>
      </c>
      <c r="H211" s="328"/>
      <c r="I211" s="50"/>
      <c r="X211" s="55">
        <v>8005</v>
      </c>
      <c r="Y211" s="56" t="s">
        <v>1121</v>
      </c>
      <c r="Z211" s="56" t="s">
        <v>1122</v>
      </c>
      <c r="AA211" s="56" t="s">
        <v>1128</v>
      </c>
    </row>
    <row r="212" spans="3:27">
      <c r="C212" s="50" t="s">
        <v>110</v>
      </c>
      <c r="D212" s="50" t="s">
        <v>1140</v>
      </c>
      <c r="E212" s="67" t="s">
        <v>1262</v>
      </c>
      <c r="F212" s="50" t="s">
        <v>522</v>
      </c>
      <c r="G212" s="50" t="s">
        <v>1810</v>
      </c>
      <c r="H212" s="328"/>
      <c r="I212" s="50"/>
      <c r="X212" s="55">
        <v>8006</v>
      </c>
      <c r="Y212" s="56" t="s">
        <v>1141</v>
      </c>
      <c r="Z212" s="56" t="s">
        <v>1142</v>
      </c>
      <c r="AA212" s="56" t="s">
        <v>1128</v>
      </c>
    </row>
    <row r="213" spans="3:27">
      <c r="C213" s="50" t="s">
        <v>276</v>
      </c>
      <c r="D213" s="50" t="s">
        <v>1143</v>
      </c>
      <c r="E213" s="67" t="s">
        <v>1262</v>
      </c>
      <c r="F213" s="50" t="s">
        <v>522</v>
      </c>
      <c r="G213" s="50" t="s">
        <v>1810</v>
      </c>
      <c r="H213" s="328"/>
      <c r="I213" s="50"/>
    </row>
    <row r="214" spans="3:27">
      <c r="C214" s="50" t="s">
        <v>111</v>
      </c>
      <c r="D214" s="50" t="s">
        <v>1144</v>
      </c>
      <c r="E214" s="67" t="s">
        <v>70</v>
      </c>
      <c r="F214" s="50" t="s">
        <v>478</v>
      </c>
      <c r="G214" s="50" t="s">
        <v>1810</v>
      </c>
      <c r="H214" s="328"/>
      <c r="I214" s="50"/>
    </row>
    <row r="215" spans="3:27">
      <c r="C215" s="50" t="s">
        <v>277</v>
      </c>
      <c r="D215" s="50" t="s">
        <v>1145</v>
      </c>
      <c r="E215" s="67" t="s">
        <v>70</v>
      </c>
      <c r="F215" s="50" t="s">
        <v>522</v>
      </c>
      <c r="G215" s="50" t="s">
        <v>1810</v>
      </c>
      <c r="H215" s="328"/>
      <c r="I215" s="50"/>
    </row>
    <row r="216" spans="3:27">
      <c r="C216" s="50" t="s">
        <v>112</v>
      </c>
      <c r="D216" s="50" t="s">
        <v>1146</v>
      </c>
      <c r="E216" s="67" t="s">
        <v>1273</v>
      </c>
      <c r="F216" s="50" t="s">
        <v>522</v>
      </c>
      <c r="G216" s="50" t="s">
        <v>1810</v>
      </c>
      <c r="H216" s="328"/>
      <c r="I216" s="50"/>
    </row>
    <row r="217" spans="3:27">
      <c r="C217" s="50" t="s">
        <v>269</v>
      </c>
      <c r="D217" s="50" t="s">
        <v>1147</v>
      </c>
      <c r="E217" s="67" t="s">
        <v>1273</v>
      </c>
      <c r="F217" s="50" t="s">
        <v>522</v>
      </c>
      <c r="G217" s="50" t="s">
        <v>1810</v>
      </c>
      <c r="H217" s="328"/>
      <c r="I217" s="50"/>
    </row>
    <row r="218" spans="3:27">
      <c r="C218" s="50" t="s">
        <v>113</v>
      </c>
      <c r="D218" s="50" t="s">
        <v>1148</v>
      </c>
      <c r="E218" s="67" t="s">
        <v>67</v>
      </c>
      <c r="F218" s="50" t="s">
        <v>478</v>
      </c>
      <c r="G218" s="50" t="s">
        <v>1810</v>
      </c>
      <c r="H218" s="328"/>
      <c r="I218" s="50"/>
    </row>
    <row r="219" spans="3:27">
      <c r="C219" s="50" t="s">
        <v>270</v>
      </c>
      <c r="D219" s="50" t="s">
        <v>1149</v>
      </c>
      <c r="E219" s="67" t="s">
        <v>67</v>
      </c>
      <c r="F219" s="50" t="s">
        <v>522</v>
      </c>
      <c r="G219" s="50" t="s">
        <v>1810</v>
      </c>
      <c r="H219" s="328"/>
      <c r="I219" s="50"/>
    </row>
    <row r="220" spans="3:27">
      <c r="C220" s="50" t="s">
        <v>267</v>
      </c>
      <c r="D220" s="50" t="s">
        <v>1150</v>
      </c>
      <c r="E220" s="67" t="s">
        <v>1257</v>
      </c>
      <c r="F220" s="50" t="s">
        <v>522</v>
      </c>
      <c r="G220" s="50" t="s">
        <v>1810</v>
      </c>
      <c r="H220" s="328"/>
      <c r="I220" s="50"/>
    </row>
    <row r="221" spans="3:27">
      <c r="C221" s="50" t="s">
        <v>268</v>
      </c>
      <c r="D221" s="50" t="s">
        <v>1151</v>
      </c>
      <c r="E221" s="67" t="s">
        <v>1257</v>
      </c>
      <c r="F221" s="50" t="s">
        <v>522</v>
      </c>
      <c r="G221" s="50" t="s">
        <v>1810</v>
      </c>
      <c r="H221" s="328"/>
      <c r="I221" s="50"/>
    </row>
    <row r="222" spans="3:27">
      <c r="C222" s="50" t="s">
        <v>114</v>
      </c>
      <c r="D222" s="50" t="s">
        <v>1152</v>
      </c>
      <c r="E222" s="67" t="s">
        <v>71</v>
      </c>
      <c r="F222" s="50" t="s">
        <v>478</v>
      </c>
      <c r="G222" s="50" t="s">
        <v>1810</v>
      </c>
      <c r="H222" s="328"/>
      <c r="I222" s="50"/>
    </row>
    <row r="223" spans="3:27">
      <c r="C223" s="50" t="s">
        <v>266</v>
      </c>
      <c r="D223" s="50" t="s">
        <v>1153</v>
      </c>
      <c r="E223" s="67" t="s">
        <v>71</v>
      </c>
      <c r="F223" s="50" t="s">
        <v>522</v>
      </c>
      <c r="G223" s="50" t="s">
        <v>1810</v>
      </c>
      <c r="H223" s="328"/>
      <c r="I223" s="50"/>
    </row>
    <row r="224" spans="3:27">
      <c r="C224" s="50" t="s">
        <v>115</v>
      </c>
      <c r="D224" s="50" t="s">
        <v>1154</v>
      </c>
      <c r="E224" s="67" t="s">
        <v>1273</v>
      </c>
      <c r="F224" s="50" t="s">
        <v>522</v>
      </c>
      <c r="G224" s="50" t="s">
        <v>1812</v>
      </c>
      <c r="H224" s="328"/>
      <c r="I224" s="50"/>
    </row>
    <row r="225" spans="3:8">
      <c r="C225" s="50" t="s">
        <v>259</v>
      </c>
      <c r="D225" s="50" t="s">
        <v>1155</v>
      </c>
      <c r="E225" s="67" t="s">
        <v>1273</v>
      </c>
      <c r="F225" s="50" t="s">
        <v>522</v>
      </c>
      <c r="G225" s="50" t="s">
        <v>1812</v>
      </c>
      <c r="H225" s="328"/>
    </row>
    <row r="226" spans="3:8">
      <c r="C226" s="50" t="s">
        <v>116</v>
      </c>
      <c r="D226" s="50" t="s">
        <v>1156</v>
      </c>
      <c r="E226" s="67" t="s">
        <v>67</v>
      </c>
      <c r="F226" s="50" t="s">
        <v>478</v>
      </c>
      <c r="G226" s="50" t="s">
        <v>1812</v>
      </c>
      <c r="H226" s="328"/>
    </row>
    <row r="227" spans="3:8">
      <c r="C227" s="50" t="s">
        <v>260</v>
      </c>
      <c r="D227" s="50" t="s">
        <v>1157</v>
      </c>
      <c r="E227" s="67" t="s">
        <v>67</v>
      </c>
      <c r="F227" s="50" t="s">
        <v>522</v>
      </c>
      <c r="G227" s="50" t="s">
        <v>1812</v>
      </c>
      <c r="H227" s="328"/>
    </row>
    <row r="228" spans="3:8">
      <c r="C228" s="50" t="s">
        <v>117</v>
      </c>
      <c r="D228" s="50" t="s">
        <v>1158</v>
      </c>
      <c r="E228" s="67" t="s">
        <v>1256</v>
      </c>
      <c r="F228" s="50" t="s">
        <v>522</v>
      </c>
      <c r="G228" s="50" t="s">
        <v>1812</v>
      </c>
      <c r="H228" s="328"/>
    </row>
    <row r="229" spans="3:8">
      <c r="C229" s="50" t="s">
        <v>257</v>
      </c>
      <c r="D229" s="50" t="s">
        <v>1159</v>
      </c>
      <c r="E229" s="67" t="s">
        <v>1256</v>
      </c>
      <c r="F229" s="50" t="s">
        <v>522</v>
      </c>
      <c r="G229" s="50" t="s">
        <v>1812</v>
      </c>
      <c r="H229" s="328"/>
    </row>
    <row r="230" spans="3:8">
      <c r="C230" s="50" t="s">
        <v>118</v>
      </c>
      <c r="D230" s="50" t="s">
        <v>1160</v>
      </c>
      <c r="E230" s="67" t="s">
        <v>72</v>
      </c>
      <c r="F230" s="50" t="s">
        <v>478</v>
      </c>
      <c r="G230" s="50" t="s">
        <v>1812</v>
      </c>
      <c r="H230" s="328"/>
    </row>
    <row r="231" spans="3:8">
      <c r="C231" s="50" t="s">
        <v>258</v>
      </c>
      <c r="D231" s="50" t="s">
        <v>1161</v>
      </c>
      <c r="E231" s="67" t="s">
        <v>1256</v>
      </c>
      <c r="F231" s="50" t="s">
        <v>522</v>
      </c>
      <c r="G231" s="50" t="s">
        <v>1812</v>
      </c>
      <c r="H231" s="328"/>
    </row>
    <row r="232" spans="3:8">
      <c r="C232" s="50" t="s">
        <v>261</v>
      </c>
      <c r="D232" s="50" t="s">
        <v>1162</v>
      </c>
      <c r="E232" s="67" t="s">
        <v>1256</v>
      </c>
      <c r="F232" s="50" t="s">
        <v>522</v>
      </c>
      <c r="G232" s="50" t="s">
        <v>1812</v>
      </c>
      <c r="H232" s="328"/>
    </row>
    <row r="233" spans="3:8">
      <c r="C233" s="50" t="s">
        <v>262</v>
      </c>
      <c r="D233" s="50" t="s">
        <v>1163</v>
      </c>
      <c r="E233" s="67" t="s">
        <v>1256</v>
      </c>
      <c r="F233" s="50" t="s">
        <v>522</v>
      </c>
      <c r="G233" s="50" t="s">
        <v>1812</v>
      </c>
      <c r="H233" s="328"/>
    </row>
    <row r="234" spans="3:8">
      <c r="C234" s="50" t="s">
        <v>119</v>
      </c>
      <c r="D234" s="50" t="s">
        <v>1164</v>
      </c>
      <c r="E234" s="67" t="s">
        <v>72</v>
      </c>
      <c r="F234" s="50" t="s">
        <v>478</v>
      </c>
      <c r="G234" s="50" t="s">
        <v>1812</v>
      </c>
      <c r="H234" s="328"/>
    </row>
    <row r="235" spans="3:8">
      <c r="C235" s="50" t="s">
        <v>263</v>
      </c>
      <c r="D235" s="50" t="s">
        <v>1165</v>
      </c>
      <c r="E235" s="67" t="s">
        <v>1256</v>
      </c>
      <c r="F235" s="50" t="s">
        <v>522</v>
      </c>
      <c r="G235" s="50" t="s">
        <v>1812</v>
      </c>
      <c r="H235" s="328"/>
    </row>
    <row r="236" spans="3:8">
      <c r="C236" s="50" t="s">
        <v>190</v>
      </c>
      <c r="D236" s="50" t="s">
        <v>1166</v>
      </c>
      <c r="E236" s="67" t="s">
        <v>1278</v>
      </c>
      <c r="F236" s="50" t="s">
        <v>522</v>
      </c>
      <c r="G236" s="50" t="s">
        <v>1810</v>
      </c>
      <c r="H236" s="328"/>
    </row>
    <row r="237" spans="3:8">
      <c r="C237" s="50" t="s">
        <v>191</v>
      </c>
      <c r="D237" s="50" t="s">
        <v>1167</v>
      </c>
      <c r="E237" s="67" t="s">
        <v>1278</v>
      </c>
      <c r="F237" s="50" t="s">
        <v>522</v>
      </c>
      <c r="G237" s="50" t="s">
        <v>1810</v>
      </c>
      <c r="H237" s="328"/>
    </row>
    <row r="238" spans="3:8">
      <c r="C238" s="50" t="s">
        <v>192</v>
      </c>
      <c r="D238" s="50" t="s">
        <v>1168</v>
      </c>
      <c r="E238" s="67" t="s">
        <v>1279</v>
      </c>
      <c r="F238" s="50" t="s">
        <v>478</v>
      </c>
      <c r="G238" s="50" t="s">
        <v>1810</v>
      </c>
      <c r="H238" s="328"/>
    </row>
    <row r="239" spans="3:8">
      <c r="C239" s="50" t="s">
        <v>193</v>
      </c>
      <c r="D239" s="50" t="s">
        <v>1169</v>
      </c>
      <c r="E239" s="67" t="s">
        <v>1278</v>
      </c>
      <c r="F239" s="50" t="s">
        <v>522</v>
      </c>
      <c r="G239" s="50" t="s">
        <v>1810</v>
      </c>
      <c r="H239" s="328"/>
    </row>
    <row r="240" spans="3:8">
      <c r="C240" s="50" t="s">
        <v>1170</v>
      </c>
      <c r="D240" s="50" t="s">
        <v>1171</v>
      </c>
      <c r="E240" s="67" t="s">
        <v>1257</v>
      </c>
      <c r="F240" s="50" t="s">
        <v>522</v>
      </c>
      <c r="G240" s="50" t="s">
        <v>1814</v>
      </c>
      <c r="H240" s="328"/>
    </row>
    <row r="241" spans="3:8">
      <c r="C241" s="50" t="s">
        <v>1172</v>
      </c>
      <c r="D241" s="50" t="s">
        <v>1173</v>
      </c>
      <c r="E241" s="67" t="s">
        <v>1257</v>
      </c>
      <c r="F241" s="50" t="s">
        <v>522</v>
      </c>
      <c r="G241" s="50" t="s">
        <v>1814</v>
      </c>
      <c r="H241" s="328"/>
    </row>
    <row r="242" spans="3:8">
      <c r="C242" s="50" t="s">
        <v>1174</v>
      </c>
      <c r="D242" s="50" t="s">
        <v>1175</v>
      </c>
      <c r="E242" s="67" t="s">
        <v>71</v>
      </c>
      <c r="F242" s="50" t="s">
        <v>478</v>
      </c>
      <c r="G242" s="50" t="s">
        <v>1814</v>
      </c>
      <c r="H242" s="328"/>
    </row>
    <row r="243" spans="3:8">
      <c r="C243" s="50" t="s">
        <v>1176</v>
      </c>
      <c r="D243" s="50" t="s">
        <v>1177</v>
      </c>
      <c r="E243" s="67" t="s">
        <v>71</v>
      </c>
      <c r="F243" s="50" t="s">
        <v>522</v>
      </c>
      <c r="G243" s="50" t="s">
        <v>1814</v>
      </c>
      <c r="H243" s="328"/>
    </row>
    <row r="244" spans="3:8">
      <c r="C244" s="50" t="s">
        <v>1178</v>
      </c>
      <c r="D244" s="50" t="s">
        <v>1179</v>
      </c>
      <c r="E244" s="67" t="s">
        <v>1257</v>
      </c>
      <c r="F244" s="50" t="s">
        <v>522</v>
      </c>
      <c r="G244" s="50" t="s">
        <v>1814</v>
      </c>
      <c r="H244" s="328"/>
    </row>
    <row r="245" spans="3:8">
      <c r="C245" s="50" t="s">
        <v>1180</v>
      </c>
      <c r="D245" s="50" t="s">
        <v>1181</v>
      </c>
      <c r="E245" s="67" t="s">
        <v>1257</v>
      </c>
      <c r="F245" s="50" t="s">
        <v>522</v>
      </c>
      <c r="G245" s="50" t="s">
        <v>1814</v>
      </c>
      <c r="H245" s="328"/>
    </row>
    <row r="246" spans="3:8">
      <c r="C246" s="50" t="s">
        <v>1182</v>
      </c>
      <c r="D246" s="50" t="s">
        <v>1183</v>
      </c>
      <c r="E246" s="67" t="s">
        <v>71</v>
      </c>
      <c r="F246" s="50" t="s">
        <v>478</v>
      </c>
      <c r="G246" s="50" t="s">
        <v>1809</v>
      </c>
      <c r="H246" s="328"/>
    </row>
    <row r="247" spans="3:8">
      <c r="C247" s="50" t="s">
        <v>1184</v>
      </c>
      <c r="D247" s="50" t="s">
        <v>1185</v>
      </c>
      <c r="E247" s="67" t="s">
        <v>71</v>
      </c>
      <c r="F247" s="50" t="s">
        <v>522</v>
      </c>
      <c r="G247" s="50" t="s">
        <v>1814</v>
      </c>
      <c r="H247" s="328"/>
    </row>
    <row r="248" spans="3:8">
      <c r="C248" s="50" t="s">
        <v>351</v>
      </c>
      <c r="D248" s="50" t="s">
        <v>1186</v>
      </c>
      <c r="E248" s="67" t="s">
        <v>1257</v>
      </c>
      <c r="F248" s="50" t="s">
        <v>522</v>
      </c>
      <c r="G248" s="50" t="s">
        <v>1826</v>
      </c>
      <c r="H248" s="328"/>
    </row>
    <row r="249" spans="3:8">
      <c r="C249" s="50" t="s">
        <v>1187</v>
      </c>
      <c r="D249" s="50" t="s">
        <v>1188</v>
      </c>
      <c r="E249" s="67" t="s">
        <v>1257</v>
      </c>
      <c r="F249" s="50" t="s">
        <v>522</v>
      </c>
      <c r="G249" s="50" t="s">
        <v>1826</v>
      </c>
      <c r="H249" s="328"/>
    </row>
    <row r="250" spans="3:8">
      <c r="C250" s="50" t="s">
        <v>1189</v>
      </c>
      <c r="D250" s="50" t="s">
        <v>1190</v>
      </c>
      <c r="E250" s="67" t="s">
        <v>71</v>
      </c>
      <c r="F250" s="50" t="s">
        <v>478</v>
      </c>
      <c r="G250" s="50" t="s">
        <v>1809</v>
      </c>
      <c r="H250" s="328"/>
    </row>
    <row r="251" spans="3:8">
      <c r="C251" s="50" t="s">
        <v>1191</v>
      </c>
      <c r="D251" s="50" t="s">
        <v>1192</v>
      </c>
      <c r="E251" s="67" t="s">
        <v>71</v>
      </c>
      <c r="F251" s="50" t="s">
        <v>522</v>
      </c>
      <c r="G251" s="50" t="s">
        <v>1826</v>
      </c>
      <c r="H251" s="328"/>
    </row>
    <row r="252" spans="3:8">
      <c r="C252" s="50" t="s">
        <v>1193</v>
      </c>
      <c r="D252" s="50" t="s">
        <v>1194</v>
      </c>
      <c r="E252" s="67" t="s">
        <v>1257</v>
      </c>
      <c r="F252" s="50" t="s">
        <v>478</v>
      </c>
      <c r="G252" s="50" t="s">
        <v>1809</v>
      </c>
      <c r="H252" s="328"/>
    </row>
    <row r="253" spans="3:8">
      <c r="C253" s="50" t="s">
        <v>350</v>
      </c>
      <c r="D253" s="50" t="s">
        <v>1195</v>
      </c>
      <c r="E253" s="67" t="s">
        <v>1257</v>
      </c>
      <c r="F253" s="50" t="s">
        <v>522</v>
      </c>
      <c r="G253" s="50" t="s">
        <v>1826</v>
      </c>
      <c r="H253" s="328"/>
    </row>
    <row r="254" spans="3:8">
      <c r="C254" s="50" t="s">
        <v>1196</v>
      </c>
      <c r="D254" s="50" t="s">
        <v>1197</v>
      </c>
      <c r="E254" s="67" t="s">
        <v>1257</v>
      </c>
      <c r="F254" s="50" t="s">
        <v>522</v>
      </c>
      <c r="G254" s="50" t="s">
        <v>1826</v>
      </c>
      <c r="H254" s="328"/>
    </row>
    <row r="255" spans="3:8">
      <c r="C255" s="50" t="s">
        <v>1198</v>
      </c>
      <c r="D255" s="50" t="s">
        <v>1199</v>
      </c>
      <c r="E255" s="67" t="s">
        <v>71</v>
      </c>
      <c r="F255" s="50" t="s">
        <v>478</v>
      </c>
      <c r="G255" s="50" t="s">
        <v>1809</v>
      </c>
      <c r="H255" s="328"/>
    </row>
    <row r="256" spans="3:8">
      <c r="C256" s="50" t="s">
        <v>1200</v>
      </c>
      <c r="D256" s="50" t="s">
        <v>1201</v>
      </c>
      <c r="E256" s="67" t="s">
        <v>71</v>
      </c>
      <c r="F256" s="50" t="s">
        <v>522</v>
      </c>
      <c r="G256" s="50" t="s">
        <v>1826</v>
      </c>
      <c r="H256" s="328"/>
    </row>
    <row r="257" spans="3:8">
      <c r="C257" s="50" t="s">
        <v>783</v>
      </c>
      <c r="D257" s="50" t="s">
        <v>1202</v>
      </c>
      <c r="E257" s="67" t="s">
        <v>1257</v>
      </c>
      <c r="F257" s="50" t="s">
        <v>522</v>
      </c>
      <c r="G257" s="50" t="s">
        <v>1816</v>
      </c>
      <c r="H257" s="328"/>
    </row>
    <row r="258" spans="3:8">
      <c r="C258" s="50" t="s">
        <v>1203</v>
      </c>
      <c r="D258" s="50" t="s">
        <v>1204</v>
      </c>
      <c r="E258" s="67" t="s">
        <v>1257</v>
      </c>
      <c r="F258" s="50" t="s">
        <v>522</v>
      </c>
      <c r="G258" s="50" t="s">
        <v>1816</v>
      </c>
      <c r="H258" s="328"/>
    </row>
    <row r="259" spans="3:8">
      <c r="C259" s="50" t="s">
        <v>1205</v>
      </c>
      <c r="D259" s="50" t="s">
        <v>1206</v>
      </c>
      <c r="E259" s="67" t="s">
        <v>71</v>
      </c>
      <c r="F259" s="50" t="s">
        <v>478</v>
      </c>
      <c r="G259" s="50" t="s">
        <v>1809</v>
      </c>
      <c r="H259" s="328"/>
    </row>
    <row r="260" spans="3:8">
      <c r="C260" s="50" t="s">
        <v>1207</v>
      </c>
      <c r="D260" s="50" t="s">
        <v>1208</v>
      </c>
      <c r="E260" s="67" t="s">
        <v>71</v>
      </c>
      <c r="F260" s="50" t="s">
        <v>522</v>
      </c>
      <c r="G260" s="50" t="s">
        <v>1816</v>
      </c>
      <c r="H260" s="328"/>
    </row>
    <row r="261" spans="3:8">
      <c r="C261" s="50" t="s">
        <v>120</v>
      </c>
      <c r="D261" s="50" t="s">
        <v>437</v>
      </c>
      <c r="E261" s="67" t="s">
        <v>1278</v>
      </c>
      <c r="F261" s="50" t="s">
        <v>522</v>
      </c>
      <c r="G261" s="50" t="s">
        <v>1826</v>
      </c>
      <c r="H261" s="328"/>
    </row>
    <row r="262" spans="3:8">
      <c r="C262" s="50" t="s">
        <v>236</v>
      </c>
      <c r="D262" s="50" t="s">
        <v>1209</v>
      </c>
      <c r="E262" s="67" t="s">
        <v>1278</v>
      </c>
      <c r="F262" s="50" t="s">
        <v>522</v>
      </c>
      <c r="G262" s="50" t="s">
        <v>1826</v>
      </c>
      <c r="H262" s="328"/>
    </row>
    <row r="263" spans="3:8">
      <c r="C263" s="50" t="s">
        <v>121</v>
      </c>
      <c r="D263" s="50" t="s">
        <v>438</v>
      </c>
      <c r="E263" s="67" t="s">
        <v>1279</v>
      </c>
      <c r="F263" s="50" t="s">
        <v>478</v>
      </c>
      <c r="G263" s="50" t="s">
        <v>1826</v>
      </c>
      <c r="H263" s="328"/>
    </row>
    <row r="264" spans="3:8">
      <c r="C264" s="50" t="s">
        <v>237</v>
      </c>
      <c r="D264" s="50" t="s">
        <v>1210</v>
      </c>
      <c r="E264" s="67" t="s">
        <v>1279</v>
      </c>
      <c r="F264" s="50" t="s">
        <v>522</v>
      </c>
      <c r="G264" s="50" t="s">
        <v>1826</v>
      </c>
      <c r="H264" s="328"/>
    </row>
    <row r="265" spans="3:8">
      <c r="C265" s="50" t="s">
        <v>122</v>
      </c>
      <c r="D265" s="50" t="s">
        <v>1211</v>
      </c>
      <c r="E265" s="67" t="s">
        <v>1255</v>
      </c>
      <c r="F265" s="50" t="s">
        <v>522</v>
      </c>
      <c r="G265" s="50" t="s">
        <v>1826</v>
      </c>
      <c r="H265" s="328"/>
    </row>
    <row r="266" spans="3:8">
      <c r="C266" s="50" t="s">
        <v>224</v>
      </c>
      <c r="D266" s="50" t="s">
        <v>1212</v>
      </c>
      <c r="E266" s="67" t="s">
        <v>1255</v>
      </c>
      <c r="F266" s="50" t="s">
        <v>522</v>
      </c>
      <c r="G266" s="50" t="s">
        <v>1826</v>
      </c>
      <c r="H266" s="328"/>
    </row>
    <row r="267" spans="3:8">
      <c r="C267" s="50" t="s">
        <v>123</v>
      </c>
      <c r="D267" s="50" t="s">
        <v>1213</v>
      </c>
      <c r="E267" s="67" t="s">
        <v>66</v>
      </c>
      <c r="F267" s="50" t="s">
        <v>478</v>
      </c>
      <c r="G267" s="50" t="s">
        <v>1826</v>
      </c>
      <c r="H267" s="328"/>
    </row>
    <row r="268" spans="3:8">
      <c r="C268" s="50" t="s">
        <v>124</v>
      </c>
      <c r="D268" s="50" t="s">
        <v>1214</v>
      </c>
      <c r="E268" s="67" t="s">
        <v>66</v>
      </c>
      <c r="F268" s="50" t="s">
        <v>522</v>
      </c>
      <c r="G268" s="50" t="s">
        <v>1826</v>
      </c>
      <c r="H268" s="328"/>
    </row>
    <row r="269" spans="3:8">
      <c r="C269" s="50" t="s">
        <v>125</v>
      </c>
      <c r="D269" s="50" t="s">
        <v>1215</v>
      </c>
      <c r="E269" s="67" t="s">
        <v>1273</v>
      </c>
      <c r="F269" s="50" t="s">
        <v>522</v>
      </c>
      <c r="G269" s="50" t="s">
        <v>1826</v>
      </c>
      <c r="H269" s="328"/>
    </row>
    <row r="270" spans="3:8">
      <c r="C270" s="50" t="s">
        <v>243</v>
      </c>
      <c r="D270" s="50" t="s">
        <v>1216</v>
      </c>
      <c r="E270" s="67" t="s">
        <v>1273</v>
      </c>
      <c r="F270" s="50" t="s">
        <v>522</v>
      </c>
      <c r="G270" s="50" t="s">
        <v>1826</v>
      </c>
      <c r="H270" s="328"/>
    </row>
    <row r="271" spans="3:8">
      <c r="C271" s="50" t="s">
        <v>126</v>
      </c>
      <c r="D271" s="50" t="s">
        <v>1217</v>
      </c>
      <c r="E271" s="67" t="s">
        <v>67</v>
      </c>
      <c r="F271" s="50" t="s">
        <v>478</v>
      </c>
      <c r="G271" s="50" t="s">
        <v>1826</v>
      </c>
      <c r="H271" s="328"/>
    </row>
    <row r="272" spans="3:8">
      <c r="C272" s="50" t="s">
        <v>127</v>
      </c>
      <c r="D272" s="50" t="s">
        <v>1218</v>
      </c>
      <c r="E272" s="67" t="s">
        <v>67</v>
      </c>
      <c r="F272" s="50" t="s">
        <v>522</v>
      </c>
      <c r="G272" s="50" t="s">
        <v>1826</v>
      </c>
      <c r="H272" s="328"/>
    </row>
    <row r="273" spans="3:8">
      <c r="C273" s="50" t="s">
        <v>1219</v>
      </c>
      <c r="D273" s="50" t="s">
        <v>1</v>
      </c>
      <c r="E273" s="67" t="s">
        <v>1261</v>
      </c>
      <c r="F273" s="50" t="s">
        <v>522</v>
      </c>
      <c r="G273" s="50" t="s">
        <v>1826</v>
      </c>
      <c r="H273" s="328"/>
    </row>
    <row r="274" spans="3:8">
      <c r="C274" s="50" t="s">
        <v>128</v>
      </c>
      <c r="D274" s="50" t="s">
        <v>1220</v>
      </c>
      <c r="E274" s="51" t="s">
        <v>1261</v>
      </c>
      <c r="F274" s="50" t="s">
        <v>522</v>
      </c>
      <c r="G274" s="50" t="s">
        <v>1826</v>
      </c>
      <c r="H274" s="328"/>
    </row>
    <row r="275" spans="3:8">
      <c r="C275" s="50" t="s">
        <v>242</v>
      </c>
      <c r="D275" s="50" t="s">
        <v>1221</v>
      </c>
      <c r="E275" s="51" t="s">
        <v>1261</v>
      </c>
      <c r="F275" s="50" t="s">
        <v>522</v>
      </c>
      <c r="G275" s="50" t="s">
        <v>1826</v>
      </c>
      <c r="H275" s="328"/>
    </row>
    <row r="276" spans="3:8">
      <c r="C276" s="50" t="s">
        <v>129</v>
      </c>
      <c r="D276" s="50" t="s">
        <v>1222</v>
      </c>
      <c r="E276" s="58" t="s">
        <v>73</v>
      </c>
      <c r="F276" s="50" t="s">
        <v>478</v>
      </c>
      <c r="G276" s="50" t="s">
        <v>1826</v>
      </c>
      <c r="H276" s="328"/>
    </row>
    <row r="277" spans="3:8">
      <c r="C277" s="50" t="s">
        <v>130</v>
      </c>
      <c r="D277" s="50" t="s">
        <v>1223</v>
      </c>
      <c r="E277" s="58" t="s">
        <v>73</v>
      </c>
      <c r="F277" s="50" t="s">
        <v>522</v>
      </c>
      <c r="G277" s="50" t="s">
        <v>1826</v>
      </c>
      <c r="H277" s="328"/>
    </row>
    <row r="278" spans="3:8">
      <c r="C278" s="50" t="s">
        <v>131</v>
      </c>
      <c r="D278" s="50" t="s">
        <v>1224</v>
      </c>
      <c r="E278" s="58" t="s">
        <v>1259</v>
      </c>
      <c r="F278" s="50" t="s">
        <v>522</v>
      </c>
      <c r="G278" s="50" t="s">
        <v>1826</v>
      </c>
      <c r="H278" s="328"/>
    </row>
    <row r="279" spans="3:8">
      <c r="C279" s="50" t="s">
        <v>222</v>
      </c>
      <c r="D279" s="50" t="s">
        <v>1225</v>
      </c>
      <c r="E279" s="58" t="s">
        <v>1259</v>
      </c>
      <c r="F279" s="50" t="s">
        <v>522</v>
      </c>
      <c r="G279" s="50" t="s">
        <v>1826</v>
      </c>
      <c r="H279" s="328"/>
    </row>
    <row r="280" spans="3:8">
      <c r="C280" s="50" t="s">
        <v>132</v>
      </c>
      <c r="D280" s="50" t="s">
        <v>1226</v>
      </c>
      <c r="E280" s="58" t="s">
        <v>74</v>
      </c>
      <c r="F280" s="50" t="s">
        <v>478</v>
      </c>
      <c r="G280" s="50" t="s">
        <v>1826</v>
      </c>
      <c r="H280" s="328"/>
    </row>
    <row r="281" spans="3:8">
      <c r="C281" s="50" t="s">
        <v>223</v>
      </c>
      <c r="D281" s="50" t="s">
        <v>1227</v>
      </c>
      <c r="E281" s="58" t="s">
        <v>74</v>
      </c>
      <c r="F281" s="50" t="s">
        <v>522</v>
      </c>
      <c r="G281" s="50" t="s">
        <v>1826</v>
      </c>
      <c r="H281" s="328"/>
    </row>
    <row r="282" spans="3:8">
      <c r="C282" s="50" t="s">
        <v>133</v>
      </c>
      <c r="D282" s="50" t="s">
        <v>1228</v>
      </c>
      <c r="E282" s="58" t="s">
        <v>1256</v>
      </c>
      <c r="F282" s="50" t="s">
        <v>522</v>
      </c>
      <c r="G282" s="50" t="s">
        <v>1826</v>
      </c>
      <c r="H282" s="328"/>
    </row>
    <row r="283" spans="3:8">
      <c r="C283" s="50" t="s">
        <v>238</v>
      </c>
      <c r="D283" s="50" t="s">
        <v>1229</v>
      </c>
      <c r="E283" s="58" t="s">
        <v>1256</v>
      </c>
      <c r="F283" s="50" t="s">
        <v>522</v>
      </c>
      <c r="G283" s="50" t="s">
        <v>1826</v>
      </c>
      <c r="H283" s="328"/>
    </row>
    <row r="284" spans="3:8">
      <c r="C284" s="50" t="s">
        <v>134</v>
      </c>
      <c r="D284" s="50" t="s">
        <v>1230</v>
      </c>
      <c r="E284" s="58" t="s">
        <v>72</v>
      </c>
      <c r="F284" s="50" t="s">
        <v>478</v>
      </c>
      <c r="G284" s="50" t="s">
        <v>1826</v>
      </c>
      <c r="H284" s="328"/>
    </row>
    <row r="285" spans="3:8">
      <c r="C285" s="50" t="s">
        <v>239</v>
      </c>
      <c r="D285" s="50" t="s">
        <v>1231</v>
      </c>
      <c r="E285" s="58" t="s">
        <v>72</v>
      </c>
      <c r="F285" s="50" t="s">
        <v>522</v>
      </c>
      <c r="G285" s="50" t="s">
        <v>1826</v>
      </c>
      <c r="H285" s="328"/>
    </row>
    <row r="286" spans="3:8">
      <c r="C286" s="50" t="s">
        <v>135</v>
      </c>
      <c r="D286" s="50" t="s">
        <v>1232</v>
      </c>
      <c r="E286" s="58" t="s">
        <v>1256</v>
      </c>
      <c r="F286" s="50" t="s">
        <v>522</v>
      </c>
      <c r="G286" s="50" t="s">
        <v>1826</v>
      </c>
      <c r="H286" s="328"/>
    </row>
    <row r="287" spans="3:8">
      <c r="C287" s="50" t="s">
        <v>240</v>
      </c>
      <c r="D287" s="50" t="s">
        <v>1233</v>
      </c>
      <c r="E287" s="58" t="s">
        <v>1256</v>
      </c>
      <c r="F287" s="50" t="s">
        <v>522</v>
      </c>
      <c r="G287" s="50" t="s">
        <v>1826</v>
      </c>
      <c r="H287" s="328"/>
    </row>
    <row r="288" spans="3:8">
      <c r="C288" s="50" t="s">
        <v>136</v>
      </c>
      <c r="D288" s="50" t="s">
        <v>1234</v>
      </c>
      <c r="E288" s="58" t="s">
        <v>72</v>
      </c>
      <c r="F288" s="50" t="s">
        <v>478</v>
      </c>
      <c r="G288" s="50" t="s">
        <v>1826</v>
      </c>
      <c r="H288" s="328"/>
    </row>
    <row r="289" spans="3:65">
      <c r="C289" s="50" t="s">
        <v>241</v>
      </c>
      <c r="D289" s="50" t="s">
        <v>1235</v>
      </c>
      <c r="E289" s="58" t="s">
        <v>72</v>
      </c>
      <c r="F289" s="50" t="s">
        <v>522</v>
      </c>
      <c r="G289" s="50" t="s">
        <v>1826</v>
      </c>
      <c r="H289" s="328"/>
    </row>
    <row r="290" spans="3:65">
      <c r="C290" s="50" t="s">
        <v>137</v>
      </c>
      <c r="D290" s="50" t="s">
        <v>1236</v>
      </c>
      <c r="E290" s="58" t="s">
        <v>1255</v>
      </c>
      <c r="F290" s="50" t="s">
        <v>522</v>
      </c>
      <c r="G290" s="50" t="s">
        <v>1808</v>
      </c>
      <c r="H290" s="328"/>
    </row>
    <row r="291" spans="3:65">
      <c r="C291" s="50" t="s">
        <v>168</v>
      </c>
      <c r="D291" s="50" t="s">
        <v>1237</v>
      </c>
      <c r="E291" s="58" t="s">
        <v>1255</v>
      </c>
      <c r="F291" s="50" t="s">
        <v>522</v>
      </c>
      <c r="G291" s="50" t="s">
        <v>1808</v>
      </c>
      <c r="H291" s="328"/>
    </row>
    <row r="292" spans="3:65">
      <c r="C292" s="50" t="s">
        <v>169</v>
      </c>
      <c r="D292" s="50" t="s">
        <v>1238</v>
      </c>
      <c r="E292" s="58" t="s">
        <v>66</v>
      </c>
      <c r="F292" s="50" t="s">
        <v>478</v>
      </c>
      <c r="G292" s="50" t="s">
        <v>1808</v>
      </c>
      <c r="H292" s="328"/>
    </row>
    <row r="293" spans="3:65">
      <c r="C293" s="50" t="s">
        <v>170</v>
      </c>
      <c r="D293" s="50" t="s">
        <v>1239</v>
      </c>
      <c r="E293" s="58" t="s">
        <v>66</v>
      </c>
      <c r="F293" s="50" t="s">
        <v>522</v>
      </c>
      <c r="G293" s="50" t="s">
        <v>1808</v>
      </c>
      <c r="H293" s="328"/>
    </row>
    <row r="296" spans="3:65">
      <c r="BM296" s="208" t="e" cm="1">
        <f t="array" aca="1" ref="BM296" ca="1">INDIRECT(INDEX(INDIRECT(AsgnBaaN!$BJ$3),MATCH(#REF!,INDIRECT(AsgnBaaN!$AB$3),0)))</f>
        <v>#REF!</v>
      </c>
    </row>
  </sheetData>
  <phoneticPr fontId="65" type="noConversion"/>
  <dataValidations disablePrompts="1" count="3">
    <dataValidation type="list" allowBlank="1" showInputMessage="1" showErrorMessage="1" sqref="I3" xr:uid="{7DD87BFB-FB0E-42F8-BECF-098A006D4BB3}">
      <formula1>"M,D,W,S,C,B,N"</formula1>
    </dataValidation>
    <dataValidation type="list" allowBlank="1" showInputMessage="1" showErrorMessage="1" sqref="E983043:E983333 E65539:E65829 E131075:E131365 E196611:E196901 E262147:E262437 E327683:E327973 E393219:E393509 E458755:E459045 E524291:E524581 E589827:E590117 E655363:E655653 E720899:E721189 E786435:E786725 E851971:E852261 E917507:E917797" xr:uid="{2ECB5A95-E260-44D9-A46F-7A51D41114DE}">
      <formula1>INDIRECT("Table5[GrpInO]")</formula1>
    </dataValidation>
    <dataValidation type="list" allowBlank="1" showInputMessage="1" showErrorMessage="1" sqref="BB3:BB32" xr:uid="{CB7258A3-ED1E-45C8-9213-3FC1DB94A3CC}">
      <formula1>INDIRECT(INDIRECT("r"&amp;MATCH("ADR",$A:$A,0)&amp;"c"&amp;MATCH("RMG",$1:$1,0),FALSE))</formula1>
    </dataValidation>
  </dataValidations>
  <pageMargins left="0.7" right="0.7" top="0.75" bottom="0.75" header="0.3" footer="0.3"/>
  <tableParts count="9">
    <tablePart r:id="rId1"/>
    <tablePart r:id="rId2"/>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33367-E41E-46DE-9B7F-788E528A3B9C}">
  <sheetPr codeName="Sheet12"/>
  <dimension ref="A1:CB127"/>
  <sheetViews>
    <sheetView topLeftCell="A3" zoomScale="297" zoomScaleNormal="100" workbookViewId="0">
      <selection activeCell="C5" sqref="C5"/>
    </sheetView>
  </sheetViews>
  <sheetFormatPr baseColWidth="10" defaultColWidth="11.5" defaultRowHeight="8"/>
  <cols>
    <col min="1" max="1" width="2" style="414" bestFit="1" customWidth="1"/>
    <col min="2" max="2" width="9" style="424" bestFit="1" customWidth="1"/>
    <col min="3" max="3" width="6.83203125" style="422" customWidth="1"/>
    <col min="4" max="5" width="4.6640625" style="427" customWidth="1"/>
    <col min="6" max="6" width="7.5" style="422" bestFit="1" customWidth="1"/>
    <col min="7" max="7" width="5.83203125" style="427" customWidth="1"/>
    <col min="8" max="8" width="4.33203125" style="428" bestFit="1" customWidth="1"/>
    <col min="9" max="9" width="4.33203125" style="428" customWidth="1"/>
    <col min="10" max="10" width="5.83203125" style="428" bestFit="1" customWidth="1"/>
    <col min="11" max="11" width="5.5" style="424" bestFit="1" customWidth="1"/>
    <col min="12" max="12" width="5.1640625" style="424" bestFit="1" customWidth="1"/>
    <col min="13" max="13" width="5.33203125" style="424" bestFit="1" customWidth="1"/>
    <col min="14" max="16" width="5" style="424" bestFit="1" customWidth="1"/>
    <col min="17" max="17" width="11.5" style="424"/>
    <col min="18" max="18" width="1.83203125" style="424" bestFit="1" customWidth="1"/>
    <col min="19" max="20" width="4.5" style="424" bestFit="1" customWidth="1"/>
    <col min="21" max="22" width="4.6640625" style="424" bestFit="1" customWidth="1"/>
    <col min="23" max="24" width="4.5" style="424" bestFit="1" customWidth="1"/>
    <col min="25" max="26" width="4.6640625" style="424" bestFit="1" customWidth="1"/>
    <col min="27" max="27" width="12.5" style="424" customWidth="1"/>
    <col min="28" max="28" width="1.83203125" style="424" bestFit="1" customWidth="1"/>
    <col min="29" max="30" width="4.5" style="424" bestFit="1" customWidth="1"/>
    <col min="31" max="31" width="12.5" style="424" bestFit="1" customWidth="1"/>
    <col min="32" max="32" width="3" style="427" bestFit="1" customWidth="1"/>
    <col min="33" max="33" width="4.5" style="427" bestFit="1" customWidth="1"/>
    <col min="34" max="34" width="4.33203125" style="427" customWidth="1"/>
    <col min="35" max="35" width="3" style="427" bestFit="1" customWidth="1"/>
    <col min="36" max="38" width="4.5" style="427" bestFit="1" customWidth="1"/>
    <col min="39" max="39" width="9.1640625" style="427"/>
    <col min="40" max="40" width="3" style="427" bestFit="1" customWidth="1"/>
    <col min="41" max="42" width="5" style="427" bestFit="1" customWidth="1"/>
    <col min="43" max="43" width="5" style="443" bestFit="1" customWidth="1"/>
    <col min="44" max="44" width="11.5" style="424"/>
    <col min="45" max="45" width="3" style="427" bestFit="1" customWidth="1"/>
    <col min="46" max="46" width="12.6640625" style="419" bestFit="1" customWidth="1"/>
    <col min="47" max="47" width="16.5" style="463" bestFit="1" customWidth="1"/>
    <col min="48" max="48" width="4.5" style="463" bestFit="1" customWidth="1"/>
    <col min="49" max="49" width="8.6640625" style="463" customWidth="1"/>
    <col min="50" max="50" width="3.6640625" style="424" customWidth="1"/>
    <col min="51" max="51" width="3" style="427" bestFit="1" customWidth="1"/>
    <col min="52" max="52" width="8" style="427" bestFit="1" customWidth="1"/>
    <col min="53" max="54" width="4.5" style="447" bestFit="1" customWidth="1"/>
    <col min="55" max="55" width="5.83203125" style="424" customWidth="1"/>
    <col min="56" max="56" width="3" style="427" bestFit="1" customWidth="1"/>
    <col min="57" max="58" width="4.5" style="427" bestFit="1" customWidth="1"/>
    <col min="59" max="59" width="4.5" style="424" bestFit="1" customWidth="1"/>
    <col min="60" max="60" width="4.5" style="427" bestFit="1" customWidth="1"/>
    <col min="61" max="61" width="4.83203125" style="424" customWidth="1"/>
    <col min="62" max="62" width="3" style="427" bestFit="1" customWidth="1"/>
    <col min="63" max="64" width="4.5" style="427" bestFit="1" customWidth="1"/>
    <col min="65" max="65" width="9.33203125" style="427" bestFit="1" customWidth="1"/>
    <col min="66" max="66" width="4.5" style="447" bestFit="1" customWidth="1"/>
    <col min="67" max="67" width="9.33203125" style="427" bestFit="1" customWidth="1"/>
    <col min="68" max="68" width="3.6640625" style="424" customWidth="1"/>
    <col min="69" max="69" width="2.1640625" style="427" customWidth="1"/>
    <col min="70" max="72" width="4.5" style="427" bestFit="1" customWidth="1"/>
    <col min="73" max="73" width="2.6640625" style="424" customWidth="1"/>
    <col min="74" max="74" width="2.1640625" style="427" customWidth="1"/>
    <col min="75" max="78" width="4.5" style="424" bestFit="1" customWidth="1"/>
    <col min="79" max="79" width="8.5" style="424" bestFit="1" customWidth="1"/>
    <col min="80" max="80" width="4.5" style="424" bestFit="1" customWidth="1"/>
    <col min="81" max="81" width="7.33203125" style="424" customWidth="1"/>
    <col min="82" max="82" width="2.5" style="424" customWidth="1"/>
    <col min="83" max="83" width="6.5" style="424" bestFit="1" customWidth="1"/>
    <col min="84" max="16384" width="11.5" style="424"/>
  </cols>
  <sheetData>
    <row r="1" spans="1:80" s="414" customFormat="1" ht="27" customHeight="1" thickBot="1">
      <c r="B1" s="482" t="str" cm="1">
        <f t="array" aca="1" ref="B1" ca="1">CELL("filename",INDIRECT("A1"))</f>
        <v>/Users/didac/Downloads/StoryMac/DashBTracker/[PrjDB_31200_4.xlsm]InData</v>
      </c>
      <c r="D1" s="415"/>
      <c r="E1" s="415"/>
      <c r="G1" s="415"/>
      <c r="H1" s="416"/>
      <c r="I1" s="416"/>
      <c r="J1" s="416" t="s">
        <v>1314</v>
      </c>
      <c r="Q1" s="414" t="s">
        <v>1315</v>
      </c>
      <c r="BN1" s="417"/>
    </row>
    <row r="2" spans="1:80" ht="40" customHeight="1">
      <c r="B2" s="425" t="s">
        <v>456</v>
      </c>
      <c r="C2" s="426" t="str">
        <f ca="1">LEFT($B$1,FIND("[",$B$1)-1)</f>
        <v>/Users/didac/Downloads/StoryMac/DashBTracker/</v>
      </c>
      <c r="F2" s="424"/>
      <c r="G2" s="425" t="s">
        <v>1672</v>
      </c>
      <c r="J2" s="418" t="str">
        <f ca="1">ADDRESS(SUM(ROW()),MATCH("SOC",$1:$1,0)+1,4,1,$C$5)&amp;":"&amp;ADDRESS(SUM(ROW()),MATCH("EOC",$1:$1,0)-1,4)</f>
        <v>InData!K2:P2</v>
      </c>
      <c r="K2" s="429" t="str" cm="1">
        <f t="array" ref="K2:L2">TRANSPOSE(P_SelPrj[PrjId]&amp;":"&amp;P_SelPrj[Cia])</f>
        <v>31200:Sp</v>
      </c>
      <c r="L2" s="429" t="str">
        <v>31199:Sp</v>
      </c>
      <c r="M2" s="429"/>
      <c r="N2" s="429"/>
      <c r="O2" s="429"/>
      <c r="P2" s="429"/>
      <c r="R2" s="419" t="s">
        <v>2146</v>
      </c>
      <c r="S2" s="430" t="s">
        <v>444</v>
      </c>
      <c r="T2" s="430" t="s">
        <v>1565</v>
      </c>
      <c r="U2" s="430" t="s">
        <v>1846</v>
      </c>
      <c r="V2" s="430" t="s">
        <v>1843</v>
      </c>
      <c r="W2" s="430" t="s">
        <v>1849</v>
      </c>
      <c r="X2" s="430" t="s">
        <v>1850</v>
      </c>
      <c r="Y2" s="430" t="s">
        <v>1832</v>
      </c>
      <c r="Z2" s="430" t="s">
        <v>2145</v>
      </c>
      <c r="AB2" s="419" t="s">
        <v>2045</v>
      </c>
      <c r="AC2" s="430" t="s">
        <v>444</v>
      </c>
      <c r="AD2" s="430" t="s">
        <v>392</v>
      </c>
      <c r="AF2" s="430" t="s">
        <v>1561</v>
      </c>
      <c r="AG2" s="431" t="s">
        <v>1561</v>
      </c>
      <c r="AH2" s="430"/>
      <c r="AI2" s="430" t="s">
        <v>2131</v>
      </c>
      <c r="AJ2" s="430" t="s">
        <v>1562</v>
      </c>
      <c r="AK2" s="430" t="s">
        <v>1565</v>
      </c>
      <c r="AL2" s="430" t="s">
        <v>391</v>
      </c>
      <c r="AM2" s="430"/>
      <c r="AN2" s="430" t="s">
        <v>2002</v>
      </c>
      <c r="AO2" s="430" t="s">
        <v>1562</v>
      </c>
      <c r="AP2" s="430" t="s">
        <v>1565</v>
      </c>
      <c r="AQ2" s="432" t="s">
        <v>444</v>
      </c>
      <c r="AS2" s="419" t="s">
        <v>1328</v>
      </c>
      <c r="AT2" s="433" t="s">
        <v>1320</v>
      </c>
      <c r="AU2" s="433" t="s">
        <v>1342</v>
      </c>
      <c r="AV2" s="433" t="s">
        <v>1319</v>
      </c>
      <c r="AW2" s="433" t="s">
        <v>352</v>
      </c>
      <c r="AY2" s="430" t="s">
        <v>1975</v>
      </c>
      <c r="AZ2" s="430" t="s">
        <v>1959</v>
      </c>
      <c r="BA2" s="434" t="s">
        <v>28</v>
      </c>
      <c r="BB2" s="434" t="s">
        <v>1842</v>
      </c>
      <c r="BD2" s="430" t="s">
        <v>2192</v>
      </c>
      <c r="BE2" s="435" t="s">
        <v>444</v>
      </c>
      <c r="BF2" s="436" t="s">
        <v>2129</v>
      </c>
      <c r="BG2" s="436" t="s">
        <v>2187</v>
      </c>
      <c r="BH2" s="436" t="s">
        <v>391</v>
      </c>
      <c r="BJ2" s="430" t="s">
        <v>2148</v>
      </c>
      <c r="BK2" s="430" t="s">
        <v>1562</v>
      </c>
      <c r="BL2" s="430" t="s">
        <v>1565</v>
      </c>
      <c r="BM2" s="430" t="s">
        <v>1322</v>
      </c>
      <c r="BN2" s="437" t="s">
        <v>1323</v>
      </c>
      <c r="BO2" s="430" t="s">
        <v>1840</v>
      </c>
      <c r="BQ2" s="430" t="s">
        <v>2197</v>
      </c>
      <c r="BR2" s="430" t="s">
        <v>1322</v>
      </c>
      <c r="BS2" s="430" t="s">
        <v>444</v>
      </c>
      <c r="BT2" s="430" t="s">
        <v>2129</v>
      </c>
      <c r="BV2" s="430" t="s">
        <v>2211</v>
      </c>
      <c r="BW2" s="430" t="s">
        <v>444</v>
      </c>
      <c r="BX2" s="430" t="s">
        <v>2129</v>
      </c>
      <c r="BY2" s="430" t="s">
        <v>2250</v>
      </c>
      <c r="BZ2" s="430" t="s">
        <v>2251</v>
      </c>
      <c r="CA2" s="430" t="s">
        <v>1321</v>
      </c>
      <c r="CB2" s="430" t="s">
        <v>2198</v>
      </c>
    </row>
    <row r="3" spans="1:80" ht="13">
      <c r="A3" s="414" t="s">
        <v>390</v>
      </c>
      <c r="B3" s="439" t="s">
        <v>486</v>
      </c>
      <c r="C3" s="481" t="str" cm="1">
        <f t="array" ref="C3">GetOperatingSystem()</f>
        <v>/</v>
      </c>
      <c r="F3" s="424"/>
      <c r="G3" s="440" cm="1">
        <f t="array" aca="1" ref="G3:G5" ca="1">_xlfn._xlws.SORT(_xlfn.UNIQUE(FilData[PrjId]))</f>
        <v>31199</v>
      </c>
      <c r="J3" s="418" t="str">
        <f ca="1">ADDRESS(SUM(ROW()),MATCH("SOC",$1:$1,0)+1,4,1,$C$5)&amp;":"&amp;ADDRESS(SUM(ROW()),MATCH("EOC",$1:$1,0)-1,4)</f>
        <v>InData!K3:P3</v>
      </c>
      <c r="K3" s="418" t="str" cm="1">
        <f t="array" aca="1" ref="K3" ca="1">ADDRESS(MATCH("SOR",$A:$A,0)+1,SUM(COLUMN()),4,1,$C$5)&amp;":"&amp;ADDRESS(SUM(MATCH("SOR",$A:$A,0)+1,COUNT(CODE(_xlfn.ANCHORARRAY(K$6)))),SUM(COLUMN()),4)</f>
        <v>InData!K4:K38</v>
      </c>
      <c r="L3" s="418" t="str" cm="1">
        <f t="array" aca="1" ref="L3" ca="1">ADDRESS(MATCH("SOR",$A:$A,0)+1,SUM(COLUMN()),4,1,$C$5)&amp;":"&amp;ADDRESS(SUM(MATCH("SOR",$A:$A,0)+1,COUNT(CODE(_xlfn.ANCHORARRAY(L$6)))),SUM(COLUMN()),4)</f>
        <v>InData!L4:L31</v>
      </c>
      <c r="M3" s="418" t="str" cm="1">
        <f t="array" aca="1" ref="M3" ca="1">ADDRESS(MATCH("SOR",$A:$A,0)+1,SUM(COLUMN()),4,1,$C$5)&amp;":"&amp;ADDRESS(SUM(MATCH("SOR",$A:$A,0)+1,COUNT(CODE(_xlfn.ANCHORARRAY(M$6)))),SUM(COLUMN()),4)</f>
        <v>InData!M4:M5</v>
      </c>
      <c r="N3" s="418" t="str" cm="1">
        <f t="array" aca="1" ref="N3" ca="1">ADDRESS(MATCH("SOR",$A:$A,0)+1,SUM(COLUMN()),4,1,$C$5)&amp;":"&amp;ADDRESS(SUM(MATCH("SOR",$A:$A,0)+1,COUNT(CODE(_xlfn.ANCHORARRAY(N$6)))),SUM(COLUMN()),4)</f>
        <v>InData!N4:N5</v>
      </c>
      <c r="O3" s="418" t="str" cm="1">
        <f t="array" aca="1" ref="O3" ca="1">ADDRESS(MATCH("SOR",$A:$A,0)+1,SUM(COLUMN()),4,1,$C$5)&amp;":"&amp;ADDRESS(SUM(MATCH("SOR",$A:$A,0)+1,COUNT(CODE(_xlfn.ANCHORARRAY(O$6)))),SUM(COLUMN()),4)</f>
        <v>InData!O4:O5</v>
      </c>
      <c r="P3" s="418" t="str" cm="1">
        <f t="array" aca="1" ref="P3" ca="1">ADDRESS(MATCH("SOR",$A:$A,0)+1,SUM(COLUMN()),4,1,$C$5)&amp;":"&amp;ADDRESS(SUM(MATCH("SOR",$A:$A,0)+1,COUNT(CODE(_xlfn.ANCHORARRAY(P$6)))),SUM(COLUMN()),4)</f>
        <v>InData!P4:P5</v>
      </c>
      <c r="S3" s="424" t="s">
        <v>1416</v>
      </c>
      <c r="T3" s="424">
        <v>0</v>
      </c>
      <c r="U3" s="424">
        <v>7019.4058999999997</v>
      </c>
      <c r="V3" s="424">
        <v>7019.4058999999997</v>
      </c>
      <c r="W3" s="424">
        <v>58.199999999999996</v>
      </c>
      <c r="X3" s="424">
        <v>38.800000000000004</v>
      </c>
      <c r="Y3" s="424">
        <v>100</v>
      </c>
      <c r="Z3" s="424">
        <v>70.194058999999996</v>
      </c>
      <c r="AA3" s="438"/>
      <c r="AC3" s="424" t="s">
        <v>1415</v>
      </c>
      <c r="AD3" s="427" t="s">
        <v>2060</v>
      </c>
      <c r="AG3" s="441">
        <v>1.1849508888888889</v>
      </c>
      <c r="AJ3" s="427" t="s">
        <v>1415</v>
      </c>
      <c r="AK3" s="427">
        <v>15</v>
      </c>
      <c r="AL3" s="442">
        <v>45596</v>
      </c>
      <c r="AO3" s="427" t="s">
        <v>1415</v>
      </c>
      <c r="AP3" s="427" t="s">
        <v>81</v>
      </c>
      <c r="AQ3" s="443">
        <v>0</v>
      </c>
      <c r="AS3" s="419"/>
      <c r="AT3" s="444" t="s">
        <v>24</v>
      </c>
      <c r="AU3" s="444" t="s">
        <v>1330</v>
      </c>
      <c r="AV3" s="445">
        <v>43.485797250000005</v>
      </c>
      <c r="AW3" s="445">
        <v>2645.6749999999997</v>
      </c>
      <c r="AZ3" s="427" t="s">
        <v>1971</v>
      </c>
      <c r="BA3" s="446">
        <v>111.89254253599999</v>
      </c>
      <c r="BB3" s="446">
        <v>138.34775608133299</v>
      </c>
      <c r="BE3" s="475" t="s">
        <v>1416</v>
      </c>
      <c r="BF3" s="476" t="s">
        <v>2114</v>
      </c>
      <c r="BG3" s="477">
        <v>45736</v>
      </c>
      <c r="BH3" s="477">
        <v>45282</v>
      </c>
      <c r="BK3" s="427" t="s">
        <v>1415</v>
      </c>
      <c r="BL3" s="427">
        <v>15</v>
      </c>
      <c r="BM3" s="427" t="s">
        <v>1639</v>
      </c>
      <c r="BN3" s="447">
        <v>0</v>
      </c>
      <c r="BO3" s="427" t="s">
        <v>1639</v>
      </c>
      <c r="BR3" s="427">
        <v>0</v>
      </c>
      <c r="BS3" s="427" t="s">
        <v>1415</v>
      </c>
      <c r="BT3" s="427" t="s">
        <v>2114</v>
      </c>
      <c r="BW3" s="427" t="s">
        <v>1416</v>
      </c>
      <c r="BX3" s="427" t="s">
        <v>2114</v>
      </c>
      <c r="BY3" s="427" t="s">
        <v>2207</v>
      </c>
      <c r="BZ3" s="427">
        <v>45736</v>
      </c>
      <c r="CA3" s="427" t="s">
        <v>2263</v>
      </c>
      <c r="CB3" s="427" t="s">
        <v>2200</v>
      </c>
    </row>
    <row r="4" spans="1:80" ht="12">
      <c r="B4" s="448" t="s">
        <v>493</v>
      </c>
      <c r="C4" s="481" t="str" cm="1">
        <f t="array" ref="C4">GetLanguage()</f>
        <v>r</v>
      </c>
      <c r="D4" s="428"/>
      <c r="E4" s="428"/>
      <c r="F4" s="424"/>
      <c r="G4" s="440" t="str">
        <f ca="1"/>
        <v>31200</v>
      </c>
      <c r="K4" s="420" t="s">
        <v>375</v>
      </c>
      <c r="L4" s="420" t="s">
        <v>375</v>
      </c>
      <c r="M4" s="420" t="s">
        <v>375</v>
      </c>
      <c r="N4" s="420" t="s">
        <v>375</v>
      </c>
      <c r="O4" s="420" t="s">
        <v>375</v>
      </c>
      <c r="P4" s="420" t="s">
        <v>375</v>
      </c>
      <c r="R4" s="421"/>
      <c r="S4" s="424" t="s">
        <v>1415</v>
      </c>
      <c r="T4" s="424">
        <v>0</v>
      </c>
      <c r="U4" s="424">
        <v>189740.78510000001</v>
      </c>
      <c r="V4" s="424">
        <v>189740.78510000001</v>
      </c>
      <c r="W4" s="424">
        <v>5491.2464999999993</v>
      </c>
      <c r="X4" s="424">
        <v>3056.7635</v>
      </c>
      <c r="Y4" s="424">
        <v>8812.3814432989693</v>
      </c>
      <c r="Z4" s="424">
        <v>21.5311588951113</v>
      </c>
      <c r="AA4" s="438"/>
      <c r="AB4" s="421"/>
      <c r="AC4" s="424" t="s">
        <v>1415</v>
      </c>
      <c r="AD4" s="427" t="s">
        <v>1796</v>
      </c>
      <c r="AJ4" s="427" t="s">
        <v>1416</v>
      </c>
      <c r="AK4" s="427">
        <v>0</v>
      </c>
      <c r="AL4" s="442">
        <v>45077</v>
      </c>
      <c r="AO4" s="427" t="s">
        <v>1416</v>
      </c>
      <c r="AP4" s="427" t="s">
        <v>2001</v>
      </c>
      <c r="AQ4" s="443">
        <v>2</v>
      </c>
      <c r="AS4" s="419"/>
      <c r="AT4" s="444" t="s">
        <v>353</v>
      </c>
      <c r="AU4" s="444" t="s">
        <v>1331</v>
      </c>
      <c r="AV4" s="445">
        <v>35.748807499999998</v>
      </c>
      <c r="AW4" s="445">
        <v>2034.0899999999997</v>
      </c>
      <c r="AZ4" s="427" t="s">
        <v>1970</v>
      </c>
      <c r="BA4" s="446">
        <v>72.860260256000004</v>
      </c>
      <c r="BB4" s="446">
        <v>99.315473801333297</v>
      </c>
      <c r="BE4" s="452" t="s">
        <v>1416</v>
      </c>
      <c r="BF4" s="453" t="s">
        <v>2114</v>
      </c>
      <c r="BG4" s="454">
        <v>45736</v>
      </c>
      <c r="BH4" s="454">
        <v>45328</v>
      </c>
      <c r="BK4" s="427" t="s">
        <v>1415</v>
      </c>
      <c r="BL4" s="427">
        <v>15</v>
      </c>
      <c r="BM4" s="427" t="s">
        <v>2147</v>
      </c>
      <c r="BN4" s="447">
        <v>2.7E-2</v>
      </c>
      <c r="BO4" s="427" t="s">
        <v>2147</v>
      </c>
      <c r="BR4" s="427">
        <v>2</v>
      </c>
      <c r="BS4" s="427" t="s">
        <v>1416</v>
      </c>
      <c r="BT4" s="427" t="s">
        <v>2114</v>
      </c>
      <c r="BW4" s="427" t="s">
        <v>1416</v>
      </c>
      <c r="BX4" s="427" t="s">
        <v>2114</v>
      </c>
      <c r="BY4" s="427" t="s">
        <v>447</v>
      </c>
      <c r="BZ4" s="427">
        <v>45736</v>
      </c>
      <c r="CA4" s="427" t="s">
        <v>2235</v>
      </c>
      <c r="CB4" s="427" t="s">
        <v>2201</v>
      </c>
    </row>
    <row r="5" spans="1:80" ht="9" thickBot="1">
      <c r="B5" s="448" t="s">
        <v>1673</v>
      </c>
      <c r="C5" s="449" t="str">
        <f ca="1">_xlfn.TEXTAFTER(B1,"]")</f>
        <v>InData</v>
      </c>
      <c r="F5" s="424"/>
      <c r="G5" s="440" t="str">
        <f ca="1"/>
        <v>X</v>
      </c>
      <c r="K5" s="420" t="s">
        <v>1309</v>
      </c>
      <c r="L5" s="420" t="s">
        <v>1309</v>
      </c>
      <c r="M5" s="420" t="s">
        <v>1309</v>
      </c>
      <c r="N5" s="420" t="s">
        <v>1309</v>
      </c>
      <c r="O5" s="420" t="s">
        <v>1309</v>
      </c>
      <c r="P5" s="420" t="s">
        <v>1309</v>
      </c>
      <c r="R5" s="422"/>
      <c r="S5" s="424" t="s">
        <v>1415</v>
      </c>
      <c r="T5" s="424">
        <v>15</v>
      </c>
      <c r="U5" s="424">
        <v>233207.6263</v>
      </c>
      <c r="V5" s="424">
        <v>233207.6263</v>
      </c>
      <c r="W5" s="424">
        <v>6750.2122499999987</v>
      </c>
      <c r="X5" s="424">
        <v>3693.2227499999999</v>
      </c>
      <c r="Y5" s="424">
        <v>10766.427835051547</v>
      </c>
      <c r="Z5" s="424">
        <v>21.660631536558601</v>
      </c>
      <c r="AA5" s="438"/>
      <c r="AB5" s="422"/>
      <c r="AC5" s="424" t="s">
        <v>1415</v>
      </c>
      <c r="AD5" s="427" t="s">
        <v>1797</v>
      </c>
      <c r="AJ5" s="427" t="s">
        <v>1415</v>
      </c>
      <c r="AK5" s="427">
        <v>16</v>
      </c>
      <c r="AL5" s="442">
        <v>45595</v>
      </c>
      <c r="AS5" s="419"/>
      <c r="AT5" s="444" t="s">
        <v>506</v>
      </c>
      <c r="AU5" s="444" t="s">
        <v>1332</v>
      </c>
      <c r="AV5" s="445">
        <v>31.679418749999996</v>
      </c>
      <c r="AW5" s="445">
        <v>6050.54475</v>
      </c>
      <c r="AZ5" s="427" t="s">
        <v>1969</v>
      </c>
      <c r="BA5" s="446">
        <v>78.064564559999994</v>
      </c>
      <c r="BB5" s="446"/>
      <c r="BE5" s="452" t="s">
        <v>1416</v>
      </c>
      <c r="BF5" s="453" t="s">
        <v>2114</v>
      </c>
      <c r="BG5" s="454">
        <v>45736</v>
      </c>
      <c r="BH5" s="454">
        <v>45334</v>
      </c>
      <c r="BK5" s="427" t="s">
        <v>1416</v>
      </c>
      <c r="BL5" s="427">
        <v>0</v>
      </c>
      <c r="BM5" s="427" t="s">
        <v>1639</v>
      </c>
      <c r="BN5" s="447">
        <v>0.02</v>
      </c>
      <c r="BO5" s="427" t="s">
        <v>1639</v>
      </c>
      <c r="BW5" s="427" t="s">
        <v>1416</v>
      </c>
      <c r="BX5" s="427" t="s">
        <v>2114</v>
      </c>
      <c r="BY5" s="427" t="s">
        <v>2205</v>
      </c>
      <c r="BZ5" s="427">
        <v>45736</v>
      </c>
      <c r="CA5" s="427" t="s">
        <v>2236</v>
      </c>
      <c r="CB5" s="427" t="s">
        <v>2200</v>
      </c>
    </row>
    <row r="6" spans="1:80" ht="9" thickBot="1">
      <c r="B6" s="483" t="s">
        <v>2268</v>
      </c>
      <c r="C6" s="484"/>
      <c r="F6" s="424"/>
      <c r="K6" s="423" cm="1">
        <f t="array" ref="K6:K39">IF(K$2="X","X",_xlfn._xlws.SORT(_xlfn._xlws.FILTER(F_OFbDates[Date],(F_OFbDates[PrjId]&amp;":"&amp;F_OFbDates[Cia]=K$2),"X")))</f>
        <v>45283</v>
      </c>
      <c r="L6" s="423" cm="1">
        <f t="array" ref="L6:L32">IF(L$2="X","X",_xlfn._xlws.SORT(_xlfn._xlws.FILTER(F_OFbDates[Date],(F_OFbDates[PrjId]&amp;":"&amp;F_OFbDates[Cia]=L$2),"X")))</f>
        <v>45282</v>
      </c>
      <c r="M6" s="423" t="str" cm="1">
        <f t="array" ref="M6">IF(M$2="X","X",_xlfn._xlws.SORT(_xlfn._xlws.FILTER(F_OFbDates[Date],(F_OFbDates[PrjId]&amp;":"&amp;F_OFbDates[Cia]=M$2),"X")))</f>
        <v>X</v>
      </c>
      <c r="N6" s="423" t="str" cm="1">
        <f t="array" ref="N6">IF(N$2="X","X",_xlfn._xlws.SORT(_xlfn._xlws.FILTER(F_OFbDates[Date],(F_OFbDates[PrjId]&amp;":"&amp;F_OFbDates[Cia]=N$2),"X")))</f>
        <v>X</v>
      </c>
      <c r="O6" s="423" t="str" cm="1">
        <f t="array" ref="O6">IF(O$2="X","X",_xlfn._xlws.SORT(_xlfn._xlws.FILTER(F_OFbDates[Date],(F_OFbDates[PrjId]&amp;":"&amp;F_OFbDates[Cia]=O$2),"X")))</f>
        <v>X</v>
      </c>
      <c r="P6" s="423" t="str" cm="1">
        <f t="array" ref="P6">IF(P$2="X","X",_xlfn._xlws.SORT(_xlfn._xlws.FILTER(F_OFbDates[Date],(F_OFbDates[PrjId]&amp;":"&amp;F_OFbDates[Cia]=P$2),"X")))</f>
        <v>X</v>
      </c>
      <c r="R6" s="421"/>
      <c r="AB6" s="421"/>
      <c r="AC6" s="424" t="s">
        <v>1415</v>
      </c>
      <c r="AD6" s="427" t="s">
        <v>1799</v>
      </c>
      <c r="AJ6" s="427" t="s">
        <v>1415</v>
      </c>
      <c r="AK6" s="427">
        <v>0</v>
      </c>
      <c r="AL6" s="442">
        <v>45135</v>
      </c>
      <c r="AS6" s="419"/>
      <c r="AT6" s="444" t="s">
        <v>16</v>
      </c>
      <c r="AU6" s="444" t="s">
        <v>1334</v>
      </c>
      <c r="AV6" s="445">
        <v>37.726839499999997</v>
      </c>
      <c r="AW6" s="445">
        <v>940.221</v>
      </c>
      <c r="AZ6" s="427" t="s">
        <v>1968</v>
      </c>
      <c r="BA6" s="446">
        <v>72.860260256000004</v>
      </c>
      <c r="BB6" s="446">
        <v>99.315473801333297</v>
      </c>
      <c r="BE6" s="452" t="s">
        <v>1416</v>
      </c>
      <c r="BF6" s="453" t="s">
        <v>2114</v>
      </c>
      <c r="BG6" s="454">
        <v>45736</v>
      </c>
      <c r="BH6" s="454">
        <v>45341</v>
      </c>
      <c r="BK6" s="427" t="s">
        <v>1416</v>
      </c>
      <c r="BL6" s="427">
        <v>0</v>
      </c>
      <c r="BM6" s="427" t="s">
        <v>2147</v>
      </c>
      <c r="BN6" s="447">
        <v>2.7E-2</v>
      </c>
      <c r="BO6" s="427" t="s">
        <v>2147</v>
      </c>
      <c r="BW6" s="427" t="s">
        <v>1416</v>
      </c>
      <c r="BX6" s="427" t="s">
        <v>2114</v>
      </c>
      <c r="BY6" s="427" t="s">
        <v>2199</v>
      </c>
      <c r="BZ6" s="427">
        <v>45736</v>
      </c>
      <c r="CA6" s="427" t="s">
        <v>2237</v>
      </c>
      <c r="CB6" s="427" t="s">
        <v>2200</v>
      </c>
    </row>
    <row r="7" spans="1:80">
      <c r="B7" s="479" t="s">
        <v>2267</v>
      </c>
      <c r="C7" s="480" cm="1">
        <f t="array" aca="1" ref="C7" ca="1">VALUE(INDEX(_xlfn.TEXTSPLIT(INDEX(_xlfn.TEXTSPLIT(B1,{"[","."}),2),"_"),3))</f>
        <v>4</v>
      </c>
      <c r="F7" s="424"/>
      <c r="J7" s="455"/>
      <c r="K7" s="423">
        <v>45321</v>
      </c>
      <c r="L7" s="423">
        <v>45328</v>
      </c>
      <c r="M7" s="423"/>
      <c r="N7" s="423"/>
      <c r="O7" s="423"/>
      <c r="P7" s="423"/>
      <c r="R7" s="421"/>
      <c r="AB7" s="421"/>
      <c r="AC7" s="424" t="s">
        <v>1415</v>
      </c>
      <c r="AD7" s="427" t="s">
        <v>2064</v>
      </c>
      <c r="AS7" s="419"/>
      <c r="AT7" s="444" t="s">
        <v>4</v>
      </c>
      <c r="AU7" s="444" t="s">
        <v>1335</v>
      </c>
      <c r="AV7" s="445">
        <v>40.595198742340067</v>
      </c>
      <c r="AW7" s="445">
        <v>8184.4</v>
      </c>
      <c r="AZ7" s="427" t="s">
        <v>1965</v>
      </c>
      <c r="BA7" s="446">
        <v>68.957032028</v>
      </c>
      <c r="BB7" s="446"/>
      <c r="BE7" s="452" t="s">
        <v>1416</v>
      </c>
      <c r="BF7" s="453" t="s">
        <v>2114</v>
      </c>
      <c r="BG7" s="454">
        <v>45736</v>
      </c>
      <c r="BH7" s="454">
        <v>45348</v>
      </c>
      <c r="BK7" s="427" t="s">
        <v>1415</v>
      </c>
      <c r="BL7" s="427">
        <v>16</v>
      </c>
      <c r="BM7" s="427" t="s">
        <v>1639</v>
      </c>
      <c r="BN7" s="447">
        <v>0</v>
      </c>
      <c r="BO7" s="427" t="s">
        <v>1639</v>
      </c>
      <c r="BW7" s="427" t="s">
        <v>1416</v>
      </c>
      <c r="BX7" s="427" t="s">
        <v>2114</v>
      </c>
      <c r="BY7" s="427" t="s">
        <v>2208</v>
      </c>
      <c r="BZ7" s="427">
        <v>45736</v>
      </c>
      <c r="CA7" s="427" t="s">
        <v>2238</v>
      </c>
      <c r="CB7" s="427" t="s">
        <v>2200</v>
      </c>
    </row>
    <row r="8" spans="1:80">
      <c r="B8" s="439" t="s">
        <v>2137</v>
      </c>
      <c r="C8" s="449">
        <v>5</v>
      </c>
      <c r="F8" s="424"/>
      <c r="I8" s="427"/>
      <c r="K8" s="423">
        <v>45323</v>
      </c>
      <c r="L8" s="423">
        <v>45334</v>
      </c>
      <c r="M8" s="423"/>
      <c r="N8" s="423"/>
      <c r="O8" s="423"/>
      <c r="P8" s="423"/>
      <c r="R8" s="421"/>
      <c r="AB8" s="421"/>
      <c r="AC8" s="424" t="s">
        <v>1415</v>
      </c>
      <c r="AD8" s="427" t="s">
        <v>2066</v>
      </c>
      <c r="AS8" s="419"/>
      <c r="AT8" s="444" t="s">
        <v>6</v>
      </c>
      <c r="AU8" s="444" t="s">
        <v>1336</v>
      </c>
      <c r="AV8" s="445">
        <v>33.055799349999994</v>
      </c>
      <c r="AW8" s="445">
        <v>13824.23834088</v>
      </c>
      <c r="AZ8" s="427" t="s">
        <v>1966</v>
      </c>
      <c r="BA8" s="446">
        <v>53.344119116000002</v>
      </c>
      <c r="BB8" s="446">
        <v>79.799332661333295</v>
      </c>
      <c r="BE8" s="452" t="s">
        <v>1416</v>
      </c>
      <c r="BF8" s="453" t="s">
        <v>2114</v>
      </c>
      <c r="BG8" s="454">
        <v>45736</v>
      </c>
      <c r="BH8" s="454">
        <v>45355</v>
      </c>
      <c r="BK8" s="427" t="s">
        <v>1415</v>
      </c>
      <c r="BL8" s="427">
        <v>16</v>
      </c>
      <c r="BM8" s="427" t="s">
        <v>2147</v>
      </c>
      <c r="BN8" s="447">
        <v>0</v>
      </c>
      <c r="BO8" s="427" t="s">
        <v>2147</v>
      </c>
      <c r="BW8" s="427" t="s">
        <v>1416</v>
      </c>
      <c r="BX8" s="427" t="s">
        <v>2114</v>
      </c>
      <c r="BY8" s="427" t="s">
        <v>2079</v>
      </c>
      <c r="BZ8" s="427">
        <v>45736</v>
      </c>
      <c r="CA8" s="427" t="s">
        <v>2239</v>
      </c>
      <c r="CB8" s="427" t="s">
        <v>2200</v>
      </c>
    </row>
    <row r="9" spans="1:80">
      <c r="B9" s="439" t="s">
        <v>2138</v>
      </c>
      <c r="C9" s="449">
        <v>5</v>
      </c>
      <c r="F9" s="424"/>
      <c r="K9" s="423">
        <v>45328</v>
      </c>
      <c r="L9" s="423">
        <v>45341</v>
      </c>
      <c r="M9" s="423"/>
      <c r="N9" s="423"/>
      <c r="O9" s="423"/>
      <c r="P9" s="423"/>
      <c r="R9" s="421"/>
      <c r="AB9" s="421"/>
      <c r="AC9" s="424" t="s">
        <v>1415</v>
      </c>
      <c r="AD9" s="427" t="s">
        <v>2063</v>
      </c>
      <c r="AS9" s="419"/>
      <c r="AT9" s="444" t="s">
        <v>2</v>
      </c>
      <c r="AU9" s="444" t="s">
        <v>1337</v>
      </c>
      <c r="AV9" s="445">
        <v>26.605560624999999</v>
      </c>
      <c r="AW9" s="445">
        <v>19273.114299999997</v>
      </c>
      <c r="AZ9" s="427" t="s">
        <v>1963</v>
      </c>
      <c r="BA9" s="446">
        <v>120.9936763332</v>
      </c>
      <c r="BB9" s="446"/>
      <c r="BE9" s="452" t="s">
        <v>1416</v>
      </c>
      <c r="BF9" s="453" t="s">
        <v>2114</v>
      </c>
      <c r="BG9" s="454">
        <v>45736</v>
      </c>
      <c r="BH9" s="454">
        <v>45364</v>
      </c>
      <c r="BK9" s="427" t="s">
        <v>1415</v>
      </c>
      <c r="BL9" s="427">
        <v>0</v>
      </c>
      <c r="BM9" s="427" t="s">
        <v>1639</v>
      </c>
      <c r="BN9" s="447">
        <v>0</v>
      </c>
      <c r="BO9" s="427" t="s">
        <v>1639</v>
      </c>
      <c r="BW9" s="427" t="s">
        <v>1416</v>
      </c>
      <c r="BX9" s="427" t="s">
        <v>2114</v>
      </c>
      <c r="BY9" s="427" t="s">
        <v>2206</v>
      </c>
      <c r="BZ9" s="427">
        <v>45736</v>
      </c>
      <c r="CA9" s="427" t="s">
        <v>2217</v>
      </c>
      <c r="CB9" s="427" t="s">
        <v>2201</v>
      </c>
    </row>
    <row r="10" spans="1:80">
      <c r="B10" s="439" t="s">
        <v>2188</v>
      </c>
      <c r="C10" s="449">
        <v>3</v>
      </c>
      <c r="I10" s="422"/>
      <c r="K10" s="423">
        <v>45334</v>
      </c>
      <c r="L10" s="423">
        <v>45348</v>
      </c>
      <c r="M10" s="423"/>
      <c r="N10" s="423"/>
      <c r="O10" s="423"/>
      <c r="P10" s="423"/>
      <c r="R10" s="421"/>
      <c r="AB10" s="421"/>
      <c r="AC10" s="424" t="s">
        <v>1415</v>
      </c>
      <c r="AD10" s="427" t="s">
        <v>2065</v>
      </c>
      <c r="AS10" s="419"/>
      <c r="AT10" s="444" t="s">
        <v>1</v>
      </c>
      <c r="AU10" s="444" t="s">
        <v>1338</v>
      </c>
      <c r="AV10" s="445">
        <v>32.324339600000002</v>
      </c>
      <c r="AW10" s="445">
        <v>2459.9927499999994</v>
      </c>
      <c r="AZ10" s="427" t="s">
        <v>1962</v>
      </c>
      <c r="BA10" s="446">
        <v>65.053803799999997</v>
      </c>
      <c r="BB10" s="446">
        <v>91.513757148888899</v>
      </c>
      <c r="BE10" s="452" t="s">
        <v>1416</v>
      </c>
      <c r="BF10" s="453" t="s">
        <v>2114</v>
      </c>
      <c r="BG10" s="454">
        <v>45736</v>
      </c>
      <c r="BH10" s="454">
        <v>45387</v>
      </c>
      <c r="BK10" s="427" t="s">
        <v>1415</v>
      </c>
      <c r="BL10" s="427">
        <v>0</v>
      </c>
      <c r="BM10" s="427" t="s">
        <v>2147</v>
      </c>
      <c r="BN10" s="447">
        <v>2.7E-2</v>
      </c>
      <c r="BO10" s="427" t="s">
        <v>2147</v>
      </c>
      <c r="BW10" s="427" t="s">
        <v>1416</v>
      </c>
      <c r="BX10" s="427" t="s">
        <v>2114</v>
      </c>
      <c r="BY10" s="427" t="s">
        <v>2209</v>
      </c>
      <c r="BZ10" s="427">
        <v>45736</v>
      </c>
      <c r="CA10" s="427" t="s">
        <v>2240</v>
      </c>
      <c r="CB10" s="427" t="s">
        <v>2200</v>
      </c>
    </row>
    <row r="11" spans="1:80">
      <c r="B11" s="439" t="s">
        <v>2189</v>
      </c>
      <c r="C11" s="449">
        <v>3</v>
      </c>
      <c r="I11" s="456"/>
      <c r="K11" s="423">
        <v>45341</v>
      </c>
      <c r="L11" s="423">
        <v>45355</v>
      </c>
      <c r="M11" s="423"/>
      <c r="N11" s="423"/>
      <c r="O11" s="423"/>
      <c r="P11" s="423"/>
      <c r="R11" s="421"/>
      <c r="AB11" s="421"/>
      <c r="AS11" s="419"/>
      <c r="AT11" s="444" t="s">
        <v>8</v>
      </c>
      <c r="AU11" s="444" t="s">
        <v>1339</v>
      </c>
      <c r="AV11" s="445">
        <v>25.078767174999996</v>
      </c>
      <c r="AW11" s="445">
        <v>4731.0052500000002</v>
      </c>
      <c r="AZ11" s="427" t="s">
        <v>1960</v>
      </c>
      <c r="BA11" s="446">
        <v>71.559184180000003</v>
      </c>
      <c r="BB11" s="446">
        <v>98.019137528888905</v>
      </c>
      <c r="BE11" s="452" t="s">
        <v>1416</v>
      </c>
      <c r="BF11" s="453" t="s">
        <v>2114</v>
      </c>
      <c r="BG11" s="454">
        <v>45736</v>
      </c>
      <c r="BH11" s="454">
        <v>45404</v>
      </c>
      <c r="BW11" s="427" t="s">
        <v>1416</v>
      </c>
      <c r="BX11" s="427" t="s">
        <v>2114</v>
      </c>
      <c r="BY11" s="427" t="s">
        <v>2204</v>
      </c>
      <c r="BZ11" s="427">
        <v>45736</v>
      </c>
      <c r="CA11" s="427" t="s">
        <v>2213</v>
      </c>
      <c r="CB11" s="427" t="s">
        <v>2200</v>
      </c>
    </row>
    <row r="12" spans="1:80">
      <c r="B12" s="439" t="s">
        <v>2190</v>
      </c>
      <c r="C12" s="449">
        <v>3</v>
      </c>
      <c r="I12" s="456"/>
      <c r="K12" s="423">
        <v>45348</v>
      </c>
      <c r="L12" s="423">
        <v>45364</v>
      </c>
      <c r="M12" s="423"/>
      <c r="N12" s="423"/>
      <c r="O12" s="423"/>
      <c r="P12" s="423"/>
      <c r="R12" s="421"/>
      <c r="AB12" s="421"/>
      <c r="AS12" s="419"/>
      <c r="AT12" s="444" t="s">
        <v>9</v>
      </c>
      <c r="AU12" s="444" t="s">
        <v>1340</v>
      </c>
      <c r="AV12" s="445">
        <v>25.078767174999999</v>
      </c>
      <c r="AW12" s="445">
        <v>8245.9408999999996</v>
      </c>
      <c r="AZ12" s="427" t="s">
        <v>1961</v>
      </c>
      <c r="BA12" s="446">
        <v>53.344119116000002</v>
      </c>
      <c r="BB12" s="446">
        <v>79.799332661333295</v>
      </c>
      <c r="BE12" s="452" t="s">
        <v>1416</v>
      </c>
      <c r="BF12" s="453" t="s">
        <v>2114</v>
      </c>
      <c r="BG12" s="454">
        <v>45736</v>
      </c>
      <c r="BH12" s="454">
        <v>45414</v>
      </c>
      <c r="BW12" s="427" t="s">
        <v>1416</v>
      </c>
      <c r="BX12" s="427" t="s">
        <v>2114</v>
      </c>
      <c r="BY12" s="427" t="s">
        <v>2210</v>
      </c>
      <c r="BZ12" s="427">
        <v>45736</v>
      </c>
      <c r="CA12" s="427" t="s">
        <v>2215</v>
      </c>
      <c r="CB12" s="427" t="s">
        <v>2201</v>
      </c>
    </row>
    <row r="13" spans="1:80">
      <c r="B13" s="439" t="s">
        <v>2191</v>
      </c>
      <c r="C13" s="449">
        <v>5</v>
      </c>
      <c r="I13" s="422"/>
      <c r="K13" s="423">
        <v>45355</v>
      </c>
      <c r="L13" s="423">
        <v>45387</v>
      </c>
      <c r="M13" s="423"/>
      <c r="N13" s="423"/>
      <c r="O13" s="423"/>
      <c r="P13" s="423"/>
      <c r="R13" s="421"/>
      <c r="AB13" s="421"/>
      <c r="AS13" s="419"/>
      <c r="AT13" s="444" t="s">
        <v>10</v>
      </c>
      <c r="AU13" s="444" t="s">
        <v>375</v>
      </c>
      <c r="AV13" s="445">
        <v>25.078767174999999</v>
      </c>
      <c r="AW13" s="445">
        <v>3703.3629999999998</v>
      </c>
      <c r="AZ13" s="427" t="s">
        <v>1967</v>
      </c>
      <c r="BA13" s="446">
        <v>72.860260256000004</v>
      </c>
      <c r="BB13" s="446">
        <v>99.315473801333297</v>
      </c>
      <c r="BE13" s="452" t="s">
        <v>1416</v>
      </c>
      <c r="BF13" s="453" t="s">
        <v>2114</v>
      </c>
      <c r="BG13" s="454">
        <v>45736</v>
      </c>
      <c r="BH13" s="454">
        <v>45418</v>
      </c>
      <c r="BW13" s="427" t="s">
        <v>1416</v>
      </c>
      <c r="BX13" s="427" t="s">
        <v>2114</v>
      </c>
      <c r="BY13" s="427" t="s">
        <v>2203</v>
      </c>
      <c r="BZ13" s="427">
        <v>45736</v>
      </c>
      <c r="CA13" s="427" t="s">
        <v>2262</v>
      </c>
      <c r="CB13" s="427" t="s">
        <v>2201</v>
      </c>
    </row>
    <row r="14" spans="1:80">
      <c r="B14" s="439" t="s">
        <v>2264</v>
      </c>
      <c r="C14" s="449">
        <v>5</v>
      </c>
      <c r="I14" s="457"/>
      <c r="K14" s="423">
        <v>45364</v>
      </c>
      <c r="L14" s="423">
        <v>45404</v>
      </c>
      <c r="M14" s="423"/>
      <c r="N14" s="423"/>
      <c r="O14" s="423"/>
      <c r="P14" s="423"/>
      <c r="R14" s="421"/>
      <c r="AB14" s="421"/>
      <c r="AS14" s="419"/>
      <c r="AT14" s="444" t="s">
        <v>17</v>
      </c>
      <c r="AU14" s="444" t="s">
        <v>1341</v>
      </c>
      <c r="AV14" s="445">
        <v>35.67</v>
      </c>
      <c r="AW14" s="445">
        <v>0</v>
      </c>
      <c r="AZ14" s="427" t="s">
        <v>1964</v>
      </c>
      <c r="BA14" s="446">
        <v>66.546486434733296</v>
      </c>
      <c r="BB14" s="446">
        <v>83.183078419644403</v>
      </c>
      <c r="BE14" s="452" t="s">
        <v>1416</v>
      </c>
      <c r="BF14" s="453" t="s">
        <v>2114</v>
      </c>
      <c r="BG14" s="454">
        <v>45736</v>
      </c>
      <c r="BH14" s="454">
        <v>45425</v>
      </c>
      <c r="BW14" s="427" t="s">
        <v>1416</v>
      </c>
      <c r="BX14" s="427" t="s">
        <v>2114</v>
      </c>
      <c r="BY14" s="427" t="s">
        <v>2202</v>
      </c>
      <c r="BZ14" s="427">
        <v>45736</v>
      </c>
      <c r="CA14" s="427" t="s">
        <v>2214</v>
      </c>
      <c r="CB14" s="427" t="s">
        <v>2200</v>
      </c>
    </row>
    <row r="15" spans="1:80">
      <c r="I15" s="457"/>
      <c r="K15" s="423">
        <v>45371</v>
      </c>
      <c r="L15" s="423">
        <v>45414</v>
      </c>
      <c r="M15" s="423"/>
      <c r="N15" s="423"/>
      <c r="O15" s="423"/>
      <c r="P15" s="423"/>
      <c r="R15" s="421"/>
      <c r="AB15" s="421"/>
      <c r="AE15" s="427"/>
      <c r="AS15" s="419"/>
      <c r="AT15" s="444" t="s">
        <v>354</v>
      </c>
      <c r="AU15" s="444" t="s">
        <v>375</v>
      </c>
      <c r="AV15" s="445">
        <v>19.099394975274745</v>
      </c>
      <c r="AW15" s="445"/>
      <c r="BA15" s="446"/>
      <c r="BB15" s="446"/>
      <c r="BE15" s="452" t="s">
        <v>1416</v>
      </c>
      <c r="BF15" s="453" t="s">
        <v>2114</v>
      </c>
      <c r="BG15" s="454">
        <v>45736</v>
      </c>
      <c r="BH15" s="454">
        <v>45432</v>
      </c>
      <c r="BW15" s="427" t="s">
        <v>1415</v>
      </c>
      <c r="BX15" s="427" t="s">
        <v>2114</v>
      </c>
      <c r="BY15" s="427" t="s">
        <v>2207</v>
      </c>
      <c r="BZ15" s="427">
        <v>45736</v>
      </c>
      <c r="CA15" s="427" t="s">
        <v>2242</v>
      </c>
      <c r="CB15" s="427" t="s">
        <v>2200</v>
      </c>
    </row>
    <row r="16" spans="1:80">
      <c r="I16" s="457"/>
      <c r="K16" s="423">
        <v>45384</v>
      </c>
      <c r="L16" s="423">
        <v>45418</v>
      </c>
      <c r="M16" s="423"/>
      <c r="N16" s="423"/>
      <c r="O16" s="423"/>
      <c r="P16" s="423"/>
      <c r="R16" s="421"/>
      <c r="AB16" s="421"/>
      <c r="AE16" s="427"/>
      <c r="AS16" s="419"/>
      <c r="AT16" s="444" t="s">
        <v>355</v>
      </c>
      <c r="AU16" s="444" t="s">
        <v>375</v>
      </c>
      <c r="AV16" s="458">
        <f>1+7.7%</f>
        <v>1.077</v>
      </c>
      <c r="AW16" s="445"/>
      <c r="BA16" s="446"/>
      <c r="BB16" s="446"/>
      <c r="BE16" s="452" t="s">
        <v>1416</v>
      </c>
      <c r="BF16" s="453" t="s">
        <v>2114</v>
      </c>
      <c r="BG16" s="454">
        <v>45736</v>
      </c>
      <c r="BH16" s="454">
        <v>45437</v>
      </c>
      <c r="BW16" s="427" t="s">
        <v>1415</v>
      </c>
      <c r="BX16" s="427" t="s">
        <v>2114</v>
      </c>
      <c r="BY16" s="427" t="s">
        <v>447</v>
      </c>
      <c r="BZ16" s="427">
        <v>45736</v>
      </c>
      <c r="CA16" s="427" t="s">
        <v>2243</v>
      </c>
      <c r="CB16" s="427" t="s">
        <v>2201</v>
      </c>
    </row>
    <row r="17" spans="1:80">
      <c r="I17" s="457"/>
      <c r="K17" s="423">
        <v>45387</v>
      </c>
      <c r="L17" s="423">
        <v>45425</v>
      </c>
      <c r="M17" s="423"/>
      <c r="N17" s="423"/>
      <c r="O17" s="423"/>
      <c r="P17" s="423"/>
      <c r="AS17" s="419"/>
      <c r="AT17" s="444" t="s">
        <v>356</v>
      </c>
      <c r="AU17" s="444" t="s">
        <v>375</v>
      </c>
      <c r="AV17" s="460">
        <f>1+2.7%</f>
        <v>1.0269999999999999</v>
      </c>
      <c r="AW17" s="445" t="e">
        <f>188618.672620963*IF(InData!$D$24="O",1,0)+96781*IF(InData!#REF!="O",1,0)+0*IF(InData!#REF!="O",1,0)</f>
        <v>#REF!</v>
      </c>
      <c r="BA17" s="446"/>
      <c r="BB17" s="446"/>
      <c r="BE17" s="452" t="s">
        <v>1416</v>
      </c>
      <c r="BF17" s="453" t="s">
        <v>2114</v>
      </c>
      <c r="BG17" s="454">
        <v>45736</v>
      </c>
      <c r="BH17" s="454">
        <v>45484</v>
      </c>
      <c r="BW17" s="427" t="s">
        <v>1415</v>
      </c>
      <c r="BX17" s="427" t="s">
        <v>2114</v>
      </c>
      <c r="BY17" s="427" t="s">
        <v>2205</v>
      </c>
      <c r="BZ17" s="427">
        <v>45736</v>
      </c>
      <c r="CA17" s="427" t="s">
        <v>2244</v>
      </c>
      <c r="CB17" s="427" t="s">
        <v>2200</v>
      </c>
    </row>
    <row r="18" spans="1:80">
      <c r="H18" s="457"/>
      <c r="I18" s="457"/>
      <c r="K18" s="423">
        <v>45404</v>
      </c>
      <c r="L18" s="423">
        <v>45432</v>
      </c>
      <c r="M18" s="423"/>
      <c r="N18" s="423"/>
      <c r="O18" s="423"/>
      <c r="P18" s="423"/>
      <c r="AS18" s="419"/>
      <c r="AT18" s="445"/>
      <c r="AU18" s="445"/>
      <c r="AV18" s="445"/>
      <c r="AW18" s="445"/>
      <c r="BA18" s="446"/>
      <c r="BB18" s="446"/>
      <c r="BE18" s="452" t="s">
        <v>1416</v>
      </c>
      <c r="BF18" s="453" t="s">
        <v>2114</v>
      </c>
      <c r="BG18" s="454">
        <v>45736</v>
      </c>
      <c r="BH18" s="454">
        <v>45553</v>
      </c>
      <c r="BW18" s="427" t="s">
        <v>1415</v>
      </c>
      <c r="BX18" s="427" t="s">
        <v>2114</v>
      </c>
      <c r="BY18" s="427" t="s">
        <v>2199</v>
      </c>
      <c r="BZ18" s="427">
        <v>45736</v>
      </c>
      <c r="CA18" s="427" t="s">
        <v>2245</v>
      </c>
      <c r="CB18" s="427" t="s">
        <v>2200</v>
      </c>
    </row>
    <row r="19" spans="1:80">
      <c r="H19" s="457"/>
      <c r="I19" s="457"/>
      <c r="K19" s="423">
        <v>45414</v>
      </c>
      <c r="L19" s="423">
        <v>45437</v>
      </c>
      <c r="M19" s="423"/>
      <c r="N19" s="423"/>
      <c r="O19" s="423"/>
      <c r="P19" s="423"/>
      <c r="AS19" s="419"/>
      <c r="AT19" s="463"/>
      <c r="BA19" s="446"/>
      <c r="BB19" s="446"/>
      <c r="BE19" s="452" t="s">
        <v>1416</v>
      </c>
      <c r="BF19" s="453" t="s">
        <v>2114</v>
      </c>
      <c r="BG19" s="454">
        <v>45736</v>
      </c>
      <c r="BH19" s="454">
        <v>45561</v>
      </c>
      <c r="BW19" s="427" t="s">
        <v>1415</v>
      </c>
      <c r="BX19" s="427" t="s">
        <v>2114</v>
      </c>
      <c r="BY19" s="427" t="s">
        <v>2208</v>
      </c>
      <c r="BZ19" s="427">
        <v>45736</v>
      </c>
      <c r="CA19" s="427" t="s">
        <v>2212</v>
      </c>
      <c r="CB19" s="427" t="s">
        <v>2200</v>
      </c>
    </row>
    <row r="20" spans="1:80">
      <c r="H20" s="457"/>
      <c r="I20" s="457"/>
      <c r="K20" s="423">
        <v>45418</v>
      </c>
      <c r="L20" s="423">
        <v>45484</v>
      </c>
      <c r="M20" s="423"/>
      <c r="N20" s="423"/>
      <c r="O20" s="423"/>
      <c r="P20" s="423"/>
      <c r="AS20" s="419"/>
      <c r="AT20" s="463"/>
      <c r="BA20" s="446"/>
      <c r="BB20" s="446"/>
      <c r="BE20" s="452" t="s">
        <v>1416</v>
      </c>
      <c r="BF20" s="453" t="s">
        <v>2114</v>
      </c>
      <c r="BG20" s="454">
        <v>45736</v>
      </c>
      <c r="BH20" s="454">
        <v>45574</v>
      </c>
      <c r="BW20" s="427" t="s">
        <v>1415</v>
      </c>
      <c r="BX20" s="427" t="s">
        <v>2114</v>
      </c>
      <c r="BY20" s="427" t="s">
        <v>2079</v>
      </c>
      <c r="BZ20" s="427">
        <v>45736</v>
      </c>
      <c r="CA20" s="427" t="s">
        <v>2246</v>
      </c>
      <c r="CB20" s="427" t="s">
        <v>2200</v>
      </c>
    </row>
    <row r="21" spans="1:80">
      <c r="H21" s="457"/>
      <c r="I21" s="457"/>
      <c r="K21" s="423">
        <v>45425</v>
      </c>
      <c r="L21" s="423">
        <v>45553</v>
      </c>
      <c r="M21" s="423"/>
      <c r="N21" s="423"/>
      <c r="O21" s="423"/>
      <c r="P21" s="423"/>
      <c r="AS21" s="419"/>
      <c r="AT21" s="463"/>
      <c r="BA21" s="446"/>
      <c r="BB21" s="446"/>
      <c r="BE21" s="452" t="s">
        <v>1416</v>
      </c>
      <c r="BF21" s="453" t="s">
        <v>2114</v>
      </c>
      <c r="BG21" s="454">
        <v>45736</v>
      </c>
      <c r="BH21" s="454">
        <v>45586</v>
      </c>
      <c r="BW21" s="427" t="s">
        <v>1415</v>
      </c>
      <c r="BX21" s="427" t="s">
        <v>2114</v>
      </c>
      <c r="BY21" s="427" t="s">
        <v>2206</v>
      </c>
      <c r="BZ21" s="427">
        <v>45736</v>
      </c>
      <c r="CA21" s="427" t="s">
        <v>2216</v>
      </c>
      <c r="CB21" s="427" t="s">
        <v>2201</v>
      </c>
    </row>
    <row r="22" spans="1:80">
      <c r="H22" s="457"/>
      <c r="I22" s="457"/>
      <c r="K22" s="423">
        <v>45432</v>
      </c>
      <c r="L22" s="423">
        <v>45561</v>
      </c>
      <c r="M22" s="423"/>
      <c r="N22" s="423"/>
      <c r="O22" s="423"/>
      <c r="P22" s="423"/>
      <c r="AS22" s="419"/>
      <c r="AT22" s="463"/>
      <c r="BA22" s="446"/>
      <c r="BB22" s="446"/>
      <c r="BE22" s="452" t="s">
        <v>1416</v>
      </c>
      <c r="BF22" s="453" t="s">
        <v>2114</v>
      </c>
      <c r="BG22" s="454">
        <v>45736</v>
      </c>
      <c r="BH22" s="454">
        <v>45594</v>
      </c>
      <c r="BW22" s="427" t="s">
        <v>1415</v>
      </c>
      <c r="BX22" s="427" t="s">
        <v>2114</v>
      </c>
      <c r="BY22" s="427" t="s">
        <v>2209</v>
      </c>
      <c r="BZ22" s="427">
        <v>45736</v>
      </c>
      <c r="CA22" s="427" t="s">
        <v>2247</v>
      </c>
      <c r="CB22" s="427" t="s">
        <v>2200</v>
      </c>
    </row>
    <row r="23" spans="1:80">
      <c r="B23" s="422" t="s">
        <v>1322</v>
      </c>
      <c r="C23" s="422" t="s">
        <v>444</v>
      </c>
      <c r="D23" s="422" t="s">
        <v>2115</v>
      </c>
      <c r="E23" s="422" t="s">
        <v>2269</v>
      </c>
      <c r="F23" s="422" t="s">
        <v>2116</v>
      </c>
      <c r="G23" s="422" t="s">
        <v>1403</v>
      </c>
      <c r="H23" s="422" t="s">
        <v>2117</v>
      </c>
      <c r="K23" s="423">
        <v>45437</v>
      </c>
      <c r="L23" s="423">
        <v>45574</v>
      </c>
      <c r="M23" s="423"/>
      <c r="N23" s="423"/>
      <c r="O23" s="423"/>
      <c r="P23" s="423"/>
      <c r="AS23" s="419"/>
      <c r="AT23" s="463"/>
      <c r="BA23" s="446"/>
      <c r="BB23" s="446"/>
      <c r="BE23" s="452" t="s">
        <v>1416</v>
      </c>
      <c r="BF23" s="453" t="s">
        <v>2114</v>
      </c>
      <c r="BG23" s="454">
        <v>45736</v>
      </c>
      <c r="BH23" s="454">
        <v>45600</v>
      </c>
      <c r="BW23" s="427" t="s">
        <v>1415</v>
      </c>
      <c r="BX23" s="427" t="s">
        <v>2114</v>
      </c>
      <c r="BY23" s="427" t="s">
        <v>2204</v>
      </c>
      <c r="BZ23" s="427">
        <v>45736</v>
      </c>
      <c r="CA23" s="427" t="s">
        <v>2248</v>
      </c>
      <c r="CB23" s="427" t="s">
        <v>2200</v>
      </c>
    </row>
    <row r="24" spans="1:80">
      <c r="B24" s="422" t="s">
        <v>2118</v>
      </c>
      <c r="C24" s="422" t="str">
        <f ca="1">_xlfn.TEXTBEFORE(_xlfn.TEXTAFTER(B1,"PrjDB_"),"_")</f>
        <v>31200</v>
      </c>
      <c r="D24" s="421" t="s">
        <v>1309</v>
      </c>
      <c r="E24" s="422"/>
      <c r="F24" s="422">
        <v>15</v>
      </c>
      <c r="G24" s="456">
        <v>16</v>
      </c>
      <c r="H24" s="456">
        <v>0</v>
      </c>
      <c r="K24" s="423">
        <v>45484</v>
      </c>
      <c r="L24" s="423">
        <v>45586</v>
      </c>
      <c r="M24" s="423"/>
      <c r="N24" s="423"/>
      <c r="O24" s="423"/>
      <c r="P24" s="423"/>
      <c r="AS24" s="419"/>
      <c r="AT24" s="463"/>
      <c r="BA24" s="446"/>
      <c r="BB24" s="446"/>
      <c r="BE24" s="452" t="s">
        <v>1416</v>
      </c>
      <c r="BF24" s="453" t="s">
        <v>2114</v>
      </c>
      <c r="BG24" s="454">
        <v>45736</v>
      </c>
      <c r="BH24" s="454">
        <v>45615</v>
      </c>
      <c r="BW24" s="427" t="s">
        <v>1415</v>
      </c>
      <c r="BX24" s="427" t="s">
        <v>2114</v>
      </c>
      <c r="BY24" s="427" t="s">
        <v>2210</v>
      </c>
      <c r="BZ24" s="427">
        <v>45736</v>
      </c>
      <c r="CA24" s="427" t="s">
        <v>2233</v>
      </c>
      <c r="CB24" s="427" t="s">
        <v>2201</v>
      </c>
    </row>
    <row r="25" spans="1:80">
      <c r="B25" s="422" t="s">
        <v>2119</v>
      </c>
      <c r="C25" s="422" t="s">
        <v>375</v>
      </c>
      <c r="D25" s="421" t="s">
        <v>375</v>
      </c>
      <c r="E25" s="422"/>
      <c r="F25" s="422" t="s">
        <v>375</v>
      </c>
      <c r="G25" s="456" t="s">
        <v>375</v>
      </c>
      <c r="H25" s="456" t="s">
        <v>375</v>
      </c>
      <c r="K25" s="423">
        <v>45553</v>
      </c>
      <c r="L25" s="423">
        <v>45594</v>
      </c>
      <c r="M25" s="423"/>
      <c r="N25" s="423"/>
      <c r="O25" s="423"/>
      <c r="P25" s="423"/>
      <c r="AS25" s="419"/>
      <c r="AT25" s="463"/>
      <c r="BA25" s="446"/>
      <c r="BB25" s="446"/>
      <c r="BE25" s="452" t="s">
        <v>1416</v>
      </c>
      <c r="BF25" s="453" t="s">
        <v>2114</v>
      </c>
      <c r="BG25" s="454">
        <v>45736</v>
      </c>
      <c r="BH25" s="454">
        <v>45622</v>
      </c>
      <c r="BW25" s="427" t="s">
        <v>1415</v>
      </c>
      <c r="BX25" s="427" t="s">
        <v>2114</v>
      </c>
      <c r="BY25" s="427" t="s">
        <v>2203</v>
      </c>
      <c r="BZ25" s="427">
        <v>45736</v>
      </c>
      <c r="CA25" s="427" t="s">
        <v>2241</v>
      </c>
      <c r="CB25" s="427" t="s">
        <v>2201</v>
      </c>
    </row>
    <row r="26" spans="1:80">
      <c r="B26" s="422" t="s">
        <v>2120</v>
      </c>
      <c r="C26" s="422">
        <v>31199</v>
      </c>
      <c r="D26" s="421" t="s">
        <v>1309</v>
      </c>
      <c r="E26" s="459"/>
      <c r="F26" s="422">
        <v>0</v>
      </c>
      <c r="G26" s="422" t="s">
        <v>375</v>
      </c>
      <c r="H26" s="422" t="s">
        <v>375</v>
      </c>
      <c r="K26" s="423">
        <v>45561</v>
      </c>
      <c r="L26" s="423">
        <v>45600</v>
      </c>
      <c r="M26" s="423"/>
      <c r="N26" s="423"/>
      <c r="O26" s="423"/>
      <c r="P26" s="423"/>
      <c r="AS26" s="419"/>
      <c r="AT26" s="463"/>
      <c r="BA26" s="446"/>
      <c r="BB26" s="446"/>
      <c r="BE26" s="452" t="s">
        <v>1416</v>
      </c>
      <c r="BF26" s="453" t="s">
        <v>2114</v>
      </c>
      <c r="BG26" s="454">
        <v>45736</v>
      </c>
      <c r="BH26" s="454">
        <v>45628</v>
      </c>
      <c r="BW26" s="427" t="s">
        <v>1415</v>
      </c>
      <c r="BX26" s="427" t="s">
        <v>2114</v>
      </c>
      <c r="BY26" s="427" t="s">
        <v>2202</v>
      </c>
      <c r="BZ26" s="427">
        <v>45736</v>
      </c>
      <c r="CA26" s="427" t="s">
        <v>2249</v>
      </c>
      <c r="CB26" s="427" t="s">
        <v>2200</v>
      </c>
    </row>
    <row r="27" spans="1:80">
      <c r="K27" s="423">
        <v>45574</v>
      </c>
      <c r="L27" s="423">
        <v>45615</v>
      </c>
      <c r="M27" s="423"/>
      <c r="N27" s="423"/>
      <c r="O27" s="423"/>
      <c r="P27" s="423"/>
      <c r="AS27" s="419"/>
      <c r="AT27" s="463"/>
      <c r="BA27" s="446"/>
      <c r="BB27" s="446"/>
      <c r="BE27" s="452" t="s">
        <v>1416</v>
      </c>
      <c r="BF27" s="453" t="s">
        <v>2114</v>
      </c>
      <c r="BG27" s="454">
        <v>45736</v>
      </c>
      <c r="BH27" s="454">
        <v>45649</v>
      </c>
    </row>
    <row r="28" spans="1:80" ht="12">
      <c r="A28" s="414" t="s">
        <v>2186</v>
      </c>
      <c r="B28" s="461" t="s">
        <v>1991</v>
      </c>
      <c r="C28" s="462" t="s">
        <v>1992</v>
      </c>
      <c r="D28" s="427" t="s">
        <v>1994</v>
      </c>
      <c r="E28" s="427" t="s">
        <v>2269</v>
      </c>
      <c r="F28" s="427" t="s">
        <v>1993</v>
      </c>
      <c r="G28" s="427" t="s">
        <v>1999</v>
      </c>
      <c r="K28" s="423">
        <v>45586</v>
      </c>
      <c r="L28" s="423">
        <v>45622</v>
      </c>
      <c r="M28" s="423"/>
      <c r="N28" s="423"/>
      <c r="O28" s="423"/>
      <c r="P28" s="423"/>
      <c r="AS28" s="419"/>
      <c r="AT28" s="463"/>
      <c r="BA28" s="446"/>
      <c r="BB28" s="446"/>
      <c r="BE28" s="452" t="s">
        <v>1416</v>
      </c>
      <c r="BF28" s="453" t="s">
        <v>2114</v>
      </c>
      <c r="BG28" s="454">
        <v>45736</v>
      </c>
      <c r="BH28" s="454">
        <v>45670</v>
      </c>
    </row>
    <row r="29" spans="1:80">
      <c r="B29" s="424">
        <v>0</v>
      </c>
      <c r="C29" s="422" t="str">
        <f ca="1">Prj0_Id</f>
        <v>31200</v>
      </c>
      <c r="D29" s="427" t="s">
        <v>1995</v>
      </c>
      <c r="E29" s="464"/>
      <c r="F29" s="464" cm="1">
        <f t="array" aca="1" ref="F29" ca="1">MAX(_xlfn._xlws.FILTER(F_ED0[Date],F_ED0[PrjNam]=$C29))</f>
        <v>45596</v>
      </c>
      <c r="G29" s="427">
        <f ca="1">ROUNDDOWN((F29-TODAY())/7,0)</f>
        <v>-22</v>
      </c>
      <c r="K29" s="423">
        <v>45594</v>
      </c>
      <c r="L29" s="423">
        <v>45628</v>
      </c>
      <c r="M29" s="423"/>
      <c r="N29" s="423"/>
      <c r="O29" s="423"/>
      <c r="P29" s="423"/>
      <c r="AS29" s="419"/>
      <c r="AT29" s="463"/>
      <c r="BA29" s="446"/>
      <c r="BB29" s="446"/>
      <c r="BE29" s="452" t="s">
        <v>1416</v>
      </c>
      <c r="BF29" s="453" t="s">
        <v>2114</v>
      </c>
      <c r="BG29" s="454">
        <v>45736</v>
      </c>
      <c r="BH29" s="454">
        <v>45736</v>
      </c>
    </row>
    <row r="30" spans="1:80">
      <c r="B30" s="424">
        <v>0</v>
      </c>
      <c r="C30" s="422" t="str">
        <f ca="1">Prj0_Id</f>
        <v>31200</v>
      </c>
      <c r="D30" s="427" t="s">
        <v>1996</v>
      </c>
      <c r="E30" s="464"/>
      <c r="F30" s="465" cm="1">
        <f t="array" aca="1" ref="F30" ca="1">MAX(_xlfn._xlws.FILTER(PInt2[PayMax],PInt2[PrjId]=Table39[[#This Row],[Prj]],"X"),_xlfn._xlws.FILTER(PInt2[InvMax],PInt2[PrjId]=Table39[[#This Row],[Prj]],"X"))</f>
        <v>45715</v>
      </c>
      <c r="G30" s="427">
        <f ca="1">ROUNDDOWN((F30-TODAY())/7,0)</f>
        <v>-5</v>
      </c>
      <c r="K30" s="423">
        <v>45600</v>
      </c>
      <c r="L30" s="423">
        <v>45649</v>
      </c>
      <c r="M30" s="423"/>
      <c r="N30" s="423"/>
      <c r="O30" s="423"/>
      <c r="P30" s="423"/>
      <c r="AS30" s="419"/>
      <c r="AT30" s="463"/>
      <c r="BA30" s="446"/>
      <c r="BB30" s="446"/>
      <c r="BE30" s="452" t="s">
        <v>1415</v>
      </c>
      <c r="BF30" s="453" t="s">
        <v>2114</v>
      </c>
      <c r="BG30" s="454">
        <v>45736</v>
      </c>
      <c r="BH30" s="454">
        <v>45283</v>
      </c>
    </row>
    <row r="31" spans="1:80">
      <c r="B31" s="424">
        <v>0</v>
      </c>
      <c r="C31" s="422" t="str">
        <f ca="1">Prj0_Id</f>
        <v>31200</v>
      </c>
      <c r="D31" s="427" t="s">
        <v>1998</v>
      </c>
      <c r="E31" s="464"/>
      <c r="F31" s="464" cm="1">
        <f t="array" aca="1" ref="F31" ca="1">MAX(_xlfn._xlws.FILTER(InData!$BG$3:$BG$127,InData!$BE$3:$BE$127=TEXT(Table39[[#This Row],[Prj]],"@"),"X"))</f>
        <v>45736</v>
      </c>
      <c r="G31" s="427">
        <f ca="1">ROUNDDOWN((F31-TODAY())/7,0)</f>
        <v>-2</v>
      </c>
      <c r="K31" s="423">
        <v>45615</v>
      </c>
      <c r="L31" s="423">
        <v>45670</v>
      </c>
      <c r="M31" s="423"/>
      <c r="N31" s="423"/>
      <c r="O31" s="423"/>
      <c r="P31" s="423"/>
      <c r="AS31" s="419"/>
      <c r="AT31" s="463"/>
      <c r="BA31" s="446"/>
      <c r="BB31" s="446"/>
      <c r="BE31" s="452" t="s">
        <v>1415</v>
      </c>
      <c r="BF31" s="453" t="s">
        <v>2114</v>
      </c>
      <c r="BG31" s="454">
        <v>45736</v>
      </c>
      <c r="BH31" s="454">
        <v>45321</v>
      </c>
    </row>
    <row r="32" spans="1:80">
      <c r="B32" s="424">
        <v>0</v>
      </c>
      <c r="C32" s="422" t="str">
        <f ca="1">Prj0_Id</f>
        <v>31200</v>
      </c>
      <c r="D32" s="427" t="s">
        <v>394</v>
      </c>
      <c r="E32" s="464"/>
      <c r="F32" s="464" cm="1">
        <f t="array" aca="1" ref="F32" ca="1">MAX(_xlfn._xlws.FILTER(PptoSty[DATE],PptoSty[Project]=TEXT($C32,"@")))</f>
        <v>45596</v>
      </c>
      <c r="G32" s="427">
        <f ca="1">ROUNDDOWN((F32-TODAY())/7,0)</f>
        <v>-22</v>
      </c>
      <c r="K32" s="423">
        <v>45622</v>
      </c>
      <c r="L32" s="423">
        <v>45736</v>
      </c>
      <c r="M32" s="423"/>
      <c r="N32" s="423"/>
      <c r="O32" s="423"/>
      <c r="P32" s="423"/>
      <c r="AS32" s="419"/>
      <c r="AT32" s="463"/>
      <c r="BA32" s="446"/>
      <c r="BB32" s="446"/>
      <c r="BE32" s="452" t="s">
        <v>1415</v>
      </c>
      <c r="BF32" s="453" t="s">
        <v>2114</v>
      </c>
      <c r="BG32" s="454">
        <v>45736</v>
      </c>
      <c r="BH32" s="454">
        <v>45323</v>
      </c>
    </row>
    <row r="33" spans="2:60">
      <c r="B33" s="424">
        <v>0</v>
      </c>
      <c r="C33" s="422" t="str">
        <f ca="1">Prj0_Id</f>
        <v>31200</v>
      </c>
      <c r="D33" s="427" t="s">
        <v>1997</v>
      </c>
      <c r="E33" s="464"/>
      <c r="F33" s="464" cm="1">
        <f t="array" aca="1" ref="F33" ca="1">MAX(_xlfn._xlws.FILTER(PrvSty[Date],PrvSty[Project]=$C33))</f>
        <v>45670</v>
      </c>
      <c r="G33" s="427">
        <f ca="1">ROUNDDOWN((F33-TODAY())/7,0)</f>
        <v>-12</v>
      </c>
      <c r="K33" s="423">
        <v>45628</v>
      </c>
      <c r="L33" s="423"/>
      <c r="M33" s="423"/>
      <c r="N33" s="423"/>
      <c r="O33" s="423"/>
      <c r="P33" s="423"/>
      <c r="AS33" s="419"/>
      <c r="AT33" s="463"/>
      <c r="BA33" s="446"/>
      <c r="BB33" s="446"/>
      <c r="BE33" s="452" t="s">
        <v>1415</v>
      </c>
      <c r="BF33" s="453" t="s">
        <v>2114</v>
      </c>
      <c r="BG33" s="454">
        <v>45736</v>
      </c>
      <c r="BH33" s="454">
        <v>45328</v>
      </c>
    </row>
    <row r="34" spans="2:60">
      <c r="B34" s="424">
        <v>1</v>
      </c>
      <c r="C34" s="422" t="s">
        <v>375</v>
      </c>
      <c r="E34" s="464"/>
      <c r="F34" s="466"/>
      <c r="K34" s="423">
        <v>45670</v>
      </c>
      <c r="L34" s="423"/>
      <c r="M34" s="423"/>
      <c r="N34" s="423"/>
      <c r="O34" s="423"/>
      <c r="P34" s="423"/>
      <c r="AS34" s="419"/>
      <c r="AT34" s="463"/>
      <c r="AU34" s="427"/>
      <c r="BA34" s="446"/>
      <c r="BB34" s="446"/>
      <c r="BE34" s="452" t="s">
        <v>1415</v>
      </c>
      <c r="BF34" s="453" t="s">
        <v>2114</v>
      </c>
      <c r="BG34" s="454">
        <v>45736</v>
      </c>
      <c r="BH34" s="454">
        <v>45334</v>
      </c>
    </row>
    <row r="35" spans="2:60">
      <c r="B35" s="424">
        <v>2</v>
      </c>
      <c r="C35" s="422">
        <f>Prj2_Id</f>
        <v>31199</v>
      </c>
      <c r="D35" s="427" t="s">
        <v>1995</v>
      </c>
      <c r="E35" s="464"/>
      <c r="F35" s="464" cm="1">
        <f t="array" ref="F35">MAX(_xlfn._xlws.FILTER(F_ED0[Date],F_ED0[PrjNam]=TEXT($C35,"@")))</f>
        <v>45077</v>
      </c>
      <c r="G35" s="427">
        <f ca="1">ROUNDDOWN((F35-TODAY())/7,0)</f>
        <v>-96</v>
      </c>
      <c r="K35" s="423">
        <v>45710</v>
      </c>
      <c r="L35" s="423"/>
      <c r="M35" s="423"/>
      <c r="N35" s="423"/>
      <c r="O35" s="423"/>
      <c r="P35" s="423"/>
      <c r="AS35" s="419"/>
      <c r="AT35" s="463"/>
      <c r="AU35" s="427"/>
      <c r="BA35" s="446"/>
      <c r="BB35" s="446"/>
      <c r="BE35" s="452" t="s">
        <v>1415</v>
      </c>
      <c r="BF35" s="453" t="s">
        <v>2114</v>
      </c>
      <c r="BG35" s="454">
        <v>45736</v>
      </c>
      <c r="BH35" s="454">
        <v>45341</v>
      </c>
    </row>
    <row r="36" spans="2:60">
      <c r="B36" s="424">
        <v>2</v>
      </c>
      <c r="C36" s="422">
        <f>Prj2_Id</f>
        <v>31199</v>
      </c>
      <c r="D36" s="427" t="s">
        <v>1996</v>
      </c>
      <c r="E36" s="464"/>
      <c r="F36" s="464" t="str" cm="1">
        <f t="array" ref="F36">_xlfn.LET(_xlpm.x,MIN(_xlfn._xlws.FILTER(PInt2[[OrdMin]:[OrdMin]],PInt2[[PrjId]:[PrjId]]=TEXT($C36,"@"),"X")),IF(_xlpm.x=0,"X",_xlpm.x))</f>
        <v>X</v>
      </c>
      <c r="G36" s="427" t="str">
        <f ca="1">IF(Table39[[#This Row],[Max]]="X","X",ROUNDDOWN((F36-TODAY())/7,0))</f>
        <v>X</v>
      </c>
      <c r="K36" s="423">
        <v>45720</v>
      </c>
      <c r="L36" s="423"/>
      <c r="M36" s="423"/>
      <c r="N36" s="423"/>
      <c r="O36" s="423"/>
      <c r="P36" s="423"/>
      <c r="AS36" s="419"/>
      <c r="AT36" s="463"/>
      <c r="AU36" s="427"/>
      <c r="BA36" s="446"/>
      <c r="BB36" s="446"/>
      <c r="BE36" s="452" t="s">
        <v>1415</v>
      </c>
      <c r="BF36" s="453" t="s">
        <v>2114</v>
      </c>
      <c r="BG36" s="454">
        <v>45736</v>
      </c>
      <c r="BH36" s="454">
        <v>45348</v>
      </c>
    </row>
    <row r="37" spans="2:60">
      <c r="B37" s="424">
        <v>2</v>
      </c>
      <c r="C37" s="422">
        <f>Prj2_Id</f>
        <v>31199</v>
      </c>
      <c r="D37" s="427" t="s">
        <v>1998</v>
      </c>
      <c r="E37" s="464"/>
      <c r="F37" s="464" cm="1">
        <f t="array" ref="F37">MAX(_xlfn._xlws.FILTER(InData!$BG$3:$BG$127,InData!$BE$3:$BE$127=TEXT(Table39[[#This Row],[Prj]],"@"),"X"))</f>
        <v>45736</v>
      </c>
      <c r="G37" s="427">
        <f ca="1">ROUNDDOWN((F37-TODAY())/7,0)</f>
        <v>-2</v>
      </c>
      <c r="K37" s="423">
        <v>45728</v>
      </c>
      <c r="L37" s="423"/>
      <c r="M37" s="423"/>
      <c r="N37" s="423"/>
      <c r="O37" s="423"/>
      <c r="P37" s="423"/>
      <c r="AS37" s="419"/>
      <c r="AT37" s="463"/>
      <c r="AU37" s="427"/>
      <c r="BA37" s="446"/>
      <c r="BB37" s="446"/>
      <c r="BE37" s="452" t="s">
        <v>1415</v>
      </c>
      <c r="BF37" s="453" t="s">
        <v>2114</v>
      </c>
      <c r="BG37" s="454">
        <v>45736</v>
      </c>
      <c r="BH37" s="454">
        <v>45355</v>
      </c>
    </row>
    <row r="38" spans="2:60">
      <c r="B38" s="424">
        <v>2</v>
      </c>
      <c r="C38" s="422">
        <f>Prj2_Id</f>
        <v>31199</v>
      </c>
      <c r="D38" s="427" t="s">
        <v>394</v>
      </c>
      <c r="E38" s="464"/>
      <c r="F38" s="464" cm="1">
        <f t="array" ref="F38">MAX(_xlfn._xlws.FILTER(PptoSty[DATE],PptoSty[Project]=TEXT($C38,"@")))</f>
        <v>45594</v>
      </c>
      <c r="G38" s="427">
        <f ca="1">ROUNDDOWN((F38-TODAY())/7,0)</f>
        <v>-23</v>
      </c>
      <c r="K38" s="423">
        <v>45733</v>
      </c>
      <c r="L38" s="423"/>
      <c r="M38" s="423"/>
      <c r="N38" s="423"/>
      <c r="O38" s="423"/>
      <c r="P38" s="423"/>
      <c r="AS38" s="419"/>
      <c r="AT38" s="463"/>
      <c r="AU38" s="427"/>
      <c r="BA38" s="446"/>
      <c r="BB38" s="446"/>
      <c r="BE38" s="452" t="s">
        <v>1415</v>
      </c>
      <c r="BF38" s="453" t="s">
        <v>2114</v>
      </c>
      <c r="BG38" s="454">
        <v>45736</v>
      </c>
      <c r="BH38" s="454">
        <v>45364</v>
      </c>
    </row>
    <row r="39" spans="2:60">
      <c r="B39" s="424">
        <v>2</v>
      </c>
      <c r="C39" s="422">
        <f>Prj2_Id</f>
        <v>31199</v>
      </c>
      <c r="D39" s="427" t="s">
        <v>1997</v>
      </c>
      <c r="E39" s="464"/>
      <c r="F39" s="464" t="e" cm="1" vm="1">
        <f t="array" aca="1" ref="F39" ca="1">MAX(_xlfn._xlws.FILTER(PrvSty[Date],PrvSty[Project]=$C39))</f>
        <v>#VALUE!</v>
      </c>
      <c r="G39" s="427" t="e" vm="2">
        <f ca="1">ROUNDDOWN((F39-TODAY())/7,0)</f>
        <v>#VALUE!</v>
      </c>
      <c r="K39" s="423">
        <v>45736</v>
      </c>
      <c r="L39" s="423"/>
      <c r="M39" s="423"/>
      <c r="N39" s="423"/>
      <c r="O39" s="423"/>
      <c r="P39" s="423"/>
      <c r="AS39" s="419"/>
      <c r="AT39" s="463"/>
      <c r="AU39" s="427"/>
      <c r="BA39" s="446"/>
      <c r="BB39" s="446"/>
      <c r="BE39" s="452" t="s">
        <v>1415</v>
      </c>
      <c r="BF39" s="453" t="s">
        <v>2114</v>
      </c>
      <c r="BG39" s="454">
        <v>45736</v>
      </c>
      <c r="BH39" s="454">
        <v>45371</v>
      </c>
    </row>
    <row r="40" spans="2:60">
      <c r="K40" s="423"/>
      <c r="L40" s="423"/>
      <c r="M40" s="423"/>
      <c r="N40" s="423"/>
      <c r="O40" s="423"/>
      <c r="P40" s="423"/>
      <c r="AS40" s="419"/>
      <c r="AT40" s="463"/>
      <c r="AU40" s="427"/>
      <c r="BA40" s="446"/>
      <c r="BB40" s="446"/>
      <c r="BE40" s="452" t="s">
        <v>1415</v>
      </c>
      <c r="BF40" s="453" t="s">
        <v>2114</v>
      </c>
      <c r="BG40" s="454">
        <v>45736</v>
      </c>
      <c r="BH40" s="454">
        <v>45384</v>
      </c>
    </row>
    <row r="41" spans="2:60">
      <c r="K41" s="423"/>
      <c r="L41" s="423"/>
      <c r="M41" s="423"/>
      <c r="N41" s="423"/>
      <c r="O41" s="423"/>
      <c r="P41" s="423"/>
      <c r="AS41" s="419"/>
      <c r="AT41" s="463"/>
      <c r="AU41" s="427"/>
      <c r="BA41" s="446"/>
      <c r="BB41" s="446"/>
      <c r="BE41" s="452" t="s">
        <v>1415</v>
      </c>
      <c r="BF41" s="453" t="s">
        <v>2114</v>
      </c>
      <c r="BG41" s="454">
        <v>45736</v>
      </c>
      <c r="BH41" s="454">
        <v>45387</v>
      </c>
    </row>
    <row r="42" spans="2:60">
      <c r="K42" s="423"/>
      <c r="L42" s="423"/>
      <c r="M42" s="423"/>
      <c r="N42" s="423"/>
      <c r="O42" s="423"/>
      <c r="P42" s="423"/>
      <c r="AS42" s="419"/>
      <c r="AT42" s="463"/>
      <c r="AU42" s="427"/>
      <c r="BA42" s="446"/>
      <c r="BB42" s="446"/>
      <c r="BE42" s="452" t="s">
        <v>1415</v>
      </c>
      <c r="BF42" s="453" t="s">
        <v>2114</v>
      </c>
      <c r="BG42" s="454">
        <v>45736</v>
      </c>
      <c r="BH42" s="454">
        <v>45404</v>
      </c>
    </row>
    <row r="43" spans="2:60">
      <c r="AS43" s="419"/>
      <c r="AT43" s="463"/>
      <c r="AU43" s="427"/>
      <c r="BA43" s="446"/>
      <c r="BB43" s="446"/>
      <c r="BE43" s="452" t="s">
        <v>1415</v>
      </c>
      <c r="BF43" s="453" t="s">
        <v>2114</v>
      </c>
      <c r="BG43" s="454">
        <v>45736</v>
      </c>
      <c r="BH43" s="454">
        <v>45414</v>
      </c>
    </row>
    <row r="44" spans="2:60">
      <c r="AS44" s="419"/>
      <c r="AT44" s="463"/>
      <c r="AU44" s="427"/>
      <c r="BA44" s="446"/>
      <c r="BB44" s="446"/>
      <c r="BE44" s="452" t="s">
        <v>1415</v>
      </c>
      <c r="BF44" s="453" t="s">
        <v>2114</v>
      </c>
      <c r="BG44" s="454">
        <v>45736</v>
      </c>
      <c r="BH44" s="454">
        <v>45418</v>
      </c>
    </row>
    <row r="45" spans="2:60">
      <c r="AS45" s="419"/>
      <c r="AT45" s="463"/>
      <c r="AU45" s="427"/>
      <c r="BA45" s="446"/>
      <c r="BB45" s="446"/>
      <c r="BE45" s="452" t="s">
        <v>1415</v>
      </c>
      <c r="BF45" s="453" t="s">
        <v>2114</v>
      </c>
      <c r="BG45" s="454">
        <v>45736</v>
      </c>
      <c r="BH45" s="454">
        <v>45425</v>
      </c>
    </row>
    <row r="46" spans="2:60">
      <c r="AS46" s="419"/>
      <c r="AT46" s="463"/>
      <c r="AU46" s="427"/>
      <c r="BA46" s="446"/>
      <c r="BB46" s="446"/>
      <c r="BE46" s="452" t="s">
        <v>1415</v>
      </c>
      <c r="BF46" s="453" t="s">
        <v>2114</v>
      </c>
      <c r="BG46" s="454">
        <v>45736</v>
      </c>
      <c r="BH46" s="454">
        <v>45432</v>
      </c>
    </row>
    <row r="47" spans="2:60">
      <c r="AS47" s="419"/>
      <c r="AT47" s="463"/>
      <c r="BA47" s="446"/>
      <c r="BB47" s="446"/>
      <c r="BE47" s="452" t="s">
        <v>1415</v>
      </c>
      <c r="BF47" s="453" t="s">
        <v>2114</v>
      </c>
      <c r="BG47" s="454">
        <v>45736</v>
      </c>
      <c r="BH47" s="454">
        <v>45437</v>
      </c>
    </row>
    <row r="48" spans="2:60">
      <c r="AS48" s="419"/>
      <c r="AT48" s="463"/>
      <c r="BA48" s="446"/>
      <c r="BB48" s="446"/>
      <c r="BE48" s="452" t="s">
        <v>1415</v>
      </c>
      <c r="BF48" s="453" t="s">
        <v>2114</v>
      </c>
      <c r="BG48" s="454">
        <v>45736</v>
      </c>
      <c r="BH48" s="454">
        <v>45484</v>
      </c>
    </row>
    <row r="49" spans="57:60">
      <c r="BE49" s="452" t="s">
        <v>1415</v>
      </c>
      <c r="BF49" s="453" t="s">
        <v>2114</v>
      </c>
      <c r="BG49" s="454">
        <v>45736</v>
      </c>
      <c r="BH49" s="454">
        <v>45553</v>
      </c>
    </row>
    <row r="50" spans="57:60">
      <c r="BE50" s="452" t="s">
        <v>1415</v>
      </c>
      <c r="BF50" s="453" t="s">
        <v>2114</v>
      </c>
      <c r="BG50" s="454">
        <v>45736</v>
      </c>
      <c r="BH50" s="454">
        <v>45561</v>
      </c>
    </row>
    <row r="51" spans="57:60">
      <c r="BE51" s="452" t="s">
        <v>1415</v>
      </c>
      <c r="BF51" s="453" t="s">
        <v>2114</v>
      </c>
      <c r="BG51" s="454">
        <v>45736</v>
      </c>
      <c r="BH51" s="454">
        <v>45574</v>
      </c>
    </row>
    <row r="52" spans="57:60">
      <c r="BE52" s="452" t="s">
        <v>1415</v>
      </c>
      <c r="BF52" s="453" t="s">
        <v>2114</v>
      </c>
      <c r="BG52" s="454">
        <v>45736</v>
      </c>
      <c r="BH52" s="454">
        <v>45586</v>
      </c>
    </row>
    <row r="53" spans="57:60">
      <c r="BE53" s="452" t="s">
        <v>1415</v>
      </c>
      <c r="BF53" s="453" t="s">
        <v>2114</v>
      </c>
      <c r="BG53" s="454">
        <v>45736</v>
      </c>
      <c r="BH53" s="454">
        <v>45594</v>
      </c>
    </row>
    <row r="54" spans="57:60">
      <c r="BE54" s="452" t="s">
        <v>1415</v>
      </c>
      <c r="BF54" s="453" t="s">
        <v>2114</v>
      </c>
      <c r="BG54" s="454">
        <v>45736</v>
      </c>
      <c r="BH54" s="454">
        <v>45600</v>
      </c>
    </row>
    <row r="55" spans="57:60">
      <c r="BE55" s="452" t="s">
        <v>1415</v>
      </c>
      <c r="BF55" s="453" t="s">
        <v>2114</v>
      </c>
      <c r="BG55" s="454">
        <v>45736</v>
      </c>
      <c r="BH55" s="454">
        <v>45615</v>
      </c>
    </row>
    <row r="56" spans="57:60">
      <c r="BE56" s="452" t="s">
        <v>1415</v>
      </c>
      <c r="BF56" s="453" t="s">
        <v>2114</v>
      </c>
      <c r="BG56" s="454">
        <v>45736</v>
      </c>
      <c r="BH56" s="454">
        <v>45622</v>
      </c>
    </row>
    <row r="57" spans="57:60">
      <c r="BE57" s="452" t="s">
        <v>1415</v>
      </c>
      <c r="BF57" s="453" t="s">
        <v>2114</v>
      </c>
      <c r="BG57" s="454">
        <v>45736</v>
      </c>
      <c r="BH57" s="454">
        <v>45628</v>
      </c>
    </row>
    <row r="58" spans="57:60">
      <c r="BE58" s="452" t="s">
        <v>1415</v>
      </c>
      <c r="BF58" s="453" t="s">
        <v>2114</v>
      </c>
      <c r="BG58" s="454">
        <v>45736</v>
      </c>
      <c r="BH58" s="454">
        <v>45670</v>
      </c>
    </row>
    <row r="59" spans="57:60">
      <c r="BE59" s="452" t="s">
        <v>1415</v>
      </c>
      <c r="BF59" s="453" t="s">
        <v>2114</v>
      </c>
      <c r="BG59" s="454">
        <v>45736</v>
      </c>
      <c r="BH59" s="454">
        <v>45710</v>
      </c>
    </row>
    <row r="60" spans="57:60">
      <c r="BE60" s="452" t="s">
        <v>1415</v>
      </c>
      <c r="BF60" s="453" t="s">
        <v>2114</v>
      </c>
      <c r="BG60" s="454">
        <v>45736</v>
      </c>
      <c r="BH60" s="454">
        <v>45720</v>
      </c>
    </row>
    <row r="61" spans="57:60">
      <c r="BE61" s="452" t="s">
        <v>1415</v>
      </c>
      <c r="BF61" s="453" t="s">
        <v>2114</v>
      </c>
      <c r="BG61" s="454">
        <v>45736</v>
      </c>
      <c r="BH61" s="454">
        <v>45728</v>
      </c>
    </row>
    <row r="62" spans="57:60">
      <c r="BE62" s="452" t="s">
        <v>1415</v>
      </c>
      <c r="BF62" s="453" t="s">
        <v>2114</v>
      </c>
      <c r="BG62" s="454">
        <v>45736</v>
      </c>
      <c r="BH62" s="454">
        <v>45733</v>
      </c>
    </row>
    <row r="63" spans="57:60">
      <c r="BE63" s="452" t="s">
        <v>1415</v>
      </c>
      <c r="BF63" s="453" t="s">
        <v>2114</v>
      </c>
      <c r="BG63" s="454">
        <v>45736</v>
      </c>
      <c r="BH63" s="454">
        <v>45736</v>
      </c>
    </row>
    <row r="64" spans="57:60">
      <c r="BE64" s="467"/>
      <c r="BF64" s="468"/>
      <c r="BG64" s="469"/>
      <c r="BH64" s="470"/>
    </row>
    <row r="65" spans="57:60">
      <c r="BE65" s="452"/>
      <c r="BF65" s="453"/>
      <c r="BG65" s="471"/>
      <c r="BH65" s="472"/>
    </row>
    <row r="66" spans="57:60">
      <c r="BE66" s="450"/>
      <c r="BF66" s="451"/>
      <c r="BG66" s="473"/>
      <c r="BH66" s="474"/>
    </row>
    <row r="67" spans="57:60">
      <c r="BE67" s="452"/>
      <c r="BF67" s="453"/>
      <c r="BG67" s="471"/>
      <c r="BH67" s="472"/>
    </row>
    <row r="68" spans="57:60">
      <c r="BE68" s="450"/>
      <c r="BF68" s="451"/>
      <c r="BG68" s="473"/>
      <c r="BH68" s="474"/>
    </row>
    <row r="69" spans="57:60">
      <c r="BE69" s="452"/>
      <c r="BF69" s="453"/>
      <c r="BG69" s="471"/>
      <c r="BH69" s="472"/>
    </row>
    <row r="70" spans="57:60">
      <c r="BE70" s="450"/>
      <c r="BF70" s="451"/>
      <c r="BG70" s="473"/>
      <c r="BH70" s="474"/>
    </row>
    <row r="71" spans="57:60">
      <c r="BE71" s="452"/>
      <c r="BF71" s="453"/>
      <c r="BG71" s="471"/>
      <c r="BH71" s="472"/>
    </row>
    <row r="72" spans="57:60">
      <c r="BE72" s="450"/>
      <c r="BF72" s="451"/>
      <c r="BG72" s="473"/>
      <c r="BH72" s="474"/>
    </row>
    <row r="73" spans="57:60">
      <c r="BE73" s="452"/>
      <c r="BF73" s="453"/>
      <c r="BG73" s="471"/>
      <c r="BH73" s="472"/>
    </row>
    <row r="74" spans="57:60">
      <c r="BE74" s="450"/>
      <c r="BF74" s="451"/>
      <c r="BG74" s="473"/>
      <c r="BH74" s="474"/>
    </row>
    <row r="75" spans="57:60">
      <c r="BE75" s="452"/>
      <c r="BF75" s="453"/>
      <c r="BG75" s="471"/>
      <c r="BH75" s="472"/>
    </row>
    <row r="76" spans="57:60">
      <c r="BE76" s="450"/>
      <c r="BF76" s="451"/>
      <c r="BG76" s="473"/>
      <c r="BH76" s="474"/>
    </row>
    <row r="77" spans="57:60">
      <c r="BE77" s="452"/>
      <c r="BF77" s="453"/>
      <c r="BG77" s="471"/>
      <c r="BH77" s="472"/>
    </row>
    <row r="78" spans="57:60">
      <c r="BE78" s="450"/>
      <c r="BF78" s="451"/>
      <c r="BG78" s="473"/>
      <c r="BH78" s="474"/>
    </row>
    <row r="79" spans="57:60">
      <c r="BE79" s="452"/>
      <c r="BF79" s="453"/>
      <c r="BG79" s="471"/>
      <c r="BH79" s="472"/>
    </row>
    <row r="80" spans="57:60">
      <c r="BE80" s="450"/>
      <c r="BF80" s="451"/>
      <c r="BG80" s="473"/>
      <c r="BH80" s="474"/>
    </row>
    <row r="81" spans="57:60">
      <c r="BE81" s="452"/>
      <c r="BF81" s="453"/>
      <c r="BG81" s="471"/>
      <c r="BH81" s="472"/>
    </row>
    <row r="82" spans="57:60">
      <c r="BE82" s="450"/>
      <c r="BF82" s="451"/>
      <c r="BG82" s="473"/>
      <c r="BH82" s="474"/>
    </row>
    <row r="83" spans="57:60">
      <c r="BE83" s="452"/>
      <c r="BF83" s="453"/>
      <c r="BG83" s="471"/>
      <c r="BH83" s="472"/>
    </row>
    <row r="84" spans="57:60">
      <c r="BE84" s="450"/>
      <c r="BF84" s="451"/>
      <c r="BG84" s="473"/>
      <c r="BH84" s="474"/>
    </row>
    <row r="85" spans="57:60">
      <c r="BE85" s="452"/>
      <c r="BF85" s="453"/>
      <c r="BG85" s="471"/>
      <c r="BH85" s="472"/>
    </row>
    <row r="86" spans="57:60">
      <c r="BE86" s="450"/>
      <c r="BF86" s="451"/>
      <c r="BG86" s="473"/>
      <c r="BH86" s="474"/>
    </row>
    <row r="87" spans="57:60">
      <c r="BE87" s="452"/>
      <c r="BF87" s="453"/>
      <c r="BG87" s="471"/>
      <c r="BH87" s="472"/>
    </row>
    <row r="88" spans="57:60">
      <c r="BE88" s="450"/>
      <c r="BF88" s="451"/>
      <c r="BG88" s="473"/>
      <c r="BH88" s="474"/>
    </row>
    <row r="89" spans="57:60">
      <c r="BE89" s="452"/>
      <c r="BF89" s="453"/>
      <c r="BG89" s="471"/>
      <c r="BH89" s="472"/>
    </row>
    <row r="90" spans="57:60">
      <c r="BE90" s="450"/>
      <c r="BF90" s="451"/>
      <c r="BG90" s="473"/>
      <c r="BH90" s="474"/>
    </row>
    <row r="91" spans="57:60">
      <c r="BE91" s="452"/>
      <c r="BF91" s="453"/>
      <c r="BG91" s="471"/>
      <c r="BH91" s="472"/>
    </row>
    <row r="92" spans="57:60">
      <c r="BE92" s="450"/>
      <c r="BF92" s="451"/>
      <c r="BG92" s="473"/>
      <c r="BH92" s="474"/>
    </row>
    <row r="93" spans="57:60">
      <c r="BE93" s="452"/>
      <c r="BF93" s="453"/>
      <c r="BG93" s="471"/>
      <c r="BH93" s="472"/>
    </row>
    <row r="94" spans="57:60">
      <c r="BE94" s="450"/>
      <c r="BF94" s="451"/>
      <c r="BG94" s="473"/>
      <c r="BH94" s="474"/>
    </row>
    <row r="95" spans="57:60">
      <c r="BE95" s="452"/>
      <c r="BF95" s="453"/>
      <c r="BG95" s="471"/>
      <c r="BH95" s="472"/>
    </row>
    <row r="96" spans="57:60">
      <c r="BE96" s="450"/>
      <c r="BF96" s="451"/>
      <c r="BG96" s="473"/>
      <c r="BH96" s="474"/>
    </row>
    <row r="97" spans="57:60">
      <c r="BE97" s="452"/>
      <c r="BF97" s="453"/>
      <c r="BG97" s="471"/>
      <c r="BH97" s="472"/>
    </row>
    <row r="98" spans="57:60">
      <c r="BE98" s="450"/>
      <c r="BF98" s="451"/>
      <c r="BG98" s="473"/>
      <c r="BH98" s="474"/>
    </row>
    <row r="99" spans="57:60">
      <c r="BE99" s="452"/>
      <c r="BF99" s="453"/>
      <c r="BG99" s="471"/>
      <c r="BH99" s="472"/>
    </row>
    <row r="100" spans="57:60">
      <c r="BE100" s="450"/>
      <c r="BF100" s="451"/>
      <c r="BG100" s="473"/>
      <c r="BH100" s="474"/>
    </row>
    <row r="101" spans="57:60">
      <c r="BE101" s="452"/>
      <c r="BF101" s="453"/>
      <c r="BG101" s="471"/>
      <c r="BH101" s="472"/>
    </row>
    <row r="102" spans="57:60">
      <c r="BE102" s="450"/>
      <c r="BF102" s="451"/>
      <c r="BG102" s="473"/>
      <c r="BH102" s="474"/>
    </row>
    <row r="103" spans="57:60">
      <c r="BE103" s="452"/>
      <c r="BF103" s="453"/>
      <c r="BG103" s="471"/>
      <c r="BH103" s="472"/>
    </row>
    <row r="104" spans="57:60">
      <c r="BE104" s="450"/>
      <c r="BF104" s="451"/>
      <c r="BG104" s="473"/>
      <c r="BH104" s="474"/>
    </row>
    <row r="105" spans="57:60">
      <c r="BE105" s="452"/>
      <c r="BF105" s="453"/>
      <c r="BG105" s="471"/>
      <c r="BH105" s="472"/>
    </row>
    <row r="106" spans="57:60">
      <c r="BE106" s="450"/>
      <c r="BF106" s="451"/>
      <c r="BG106" s="473"/>
      <c r="BH106" s="474"/>
    </row>
    <row r="107" spans="57:60">
      <c r="BE107" s="452"/>
      <c r="BF107" s="453"/>
      <c r="BG107" s="471"/>
      <c r="BH107" s="472"/>
    </row>
    <row r="108" spans="57:60">
      <c r="BE108" s="450"/>
      <c r="BF108" s="451"/>
      <c r="BG108" s="473"/>
      <c r="BH108" s="474"/>
    </row>
    <row r="109" spans="57:60">
      <c r="BE109" s="452"/>
      <c r="BF109" s="453"/>
      <c r="BG109" s="471"/>
      <c r="BH109" s="472"/>
    </row>
    <row r="110" spans="57:60">
      <c r="BE110" s="450"/>
      <c r="BF110" s="451"/>
      <c r="BG110" s="473"/>
      <c r="BH110" s="474"/>
    </row>
    <row r="111" spans="57:60">
      <c r="BE111" s="452"/>
      <c r="BF111" s="453"/>
      <c r="BG111" s="471"/>
      <c r="BH111" s="472"/>
    </row>
    <row r="112" spans="57:60">
      <c r="BE112" s="450"/>
      <c r="BF112" s="451"/>
      <c r="BG112" s="473"/>
      <c r="BH112" s="474"/>
    </row>
    <row r="113" spans="57:60">
      <c r="BE113" s="452"/>
      <c r="BF113" s="453"/>
      <c r="BG113" s="471"/>
      <c r="BH113" s="472"/>
    </row>
    <row r="114" spans="57:60">
      <c r="BE114" s="450"/>
      <c r="BF114" s="451"/>
      <c r="BG114" s="473"/>
      <c r="BH114" s="474"/>
    </row>
    <row r="115" spans="57:60">
      <c r="BE115" s="452"/>
      <c r="BF115" s="453"/>
      <c r="BG115" s="471"/>
      <c r="BH115" s="472"/>
    </row>
    <row r="116" spans="57:60">
      <c r="BE116" s="450"/>
      <c r="BF116" s="451"/>
      <c r="BG116" s="473"/>
      <c r="BH116" s="474"/>
    </row>
    <row r="117" spans="57:60">
      <c r="BE117" s="452"/>
      <c r="BF117" s="453"/>
      <c r="BG117" s="471"/>
      <c r="BH117" s="472"/>
    </row>
    <row r="118" spans="57:60">
      <c r="BE118" s="450"/>
      <c r="BF118" s="451"/>
      <c r="BG118" s="473"/>
      <c r="BH118" s="474"/>
    </row>
    <row r="119" spans="57:60">
      <c r="BE119" s="452"/>
      <c r="BF119" s="453"/>
      <c r="BG119" s="471"/>
      <c r="BH119" s="472"/>
    </row>
    <row r="120" spans="57:60">
      <c r="BE120" s="450"/>
      <c r="BF120" s="451"/>
      <c r="BG120" s="473"/>
      <c r="BH120" s="474"/>
    </row>
    <row r="121" spans="57:60">
      <c r="BE121" s="452"/>
      <c r="BF121" s="453"/>
      <c r="BG121" s="471"/>
      <c r="BH121" s="472"/>
    </row>
    <row r="122" spans="57:60">
      <c r="BE122" s="450"/>
      <c r="BF122" s="451"/>
      <c r="BG122" s="473"/>
      <c r="BH122" s="474"/>
    </row>
    <row r="123" spans="57:60">
      <c r="BE123" s="452"/>
      <c r="BF123" s="453"/>
      <c r="BG123" s="471"/>
      <c r="BH123" s="472"/>
    </row>
    <row r="124" spans="57:60">
      <c r="BE124" s="450"/>
      <c r="BF124" s="451"/>
      <c r="BG124" s="473"/>
      <c r="BH124" s="474"/>
    </row>
    <row r="125" spans="57:60">
      <c r="BE125" s="452"/>
      <c r="BF125" s="453"/>
      <c r="BG125" s="471"/>
      <c r="BH125" s="472"/>
    </row>
    <row r="126" spans="57:60">
      <c r="BE126" s="450"/>
      <c r="BF126" s="451"/>
      <c r="BG126" s="473"/>
      <c r="BH126" s="474"/>
    </row>
    <row r="127" spans="57:60">
      <c r="BE127" s="452"/>
      <c r="BF127" s="453"/>
      <c r="BG127" s="471"/>
      <c r="BH127" s="472"/>
    </row>
  </sheetData>
  <dataConsolidate link="1"/>
  <mergeCells count="1">
    <mergeCell ref="B6:C6"/>
  </mergeCells>
  <phoneticPr fontId="47" type="noConversion"/>
  <dataValidations disablePrompts="1" count="2">
    <dataValidation type="list" allowBlank="1" showInputMessage="1" showErrorMessage="1" sqref="J7 I15" xr:uid="{8B2A1EBB-CC72-4072-B9C4-9E812A7F321B}">
      <formula1>"O,X"</formula1>
    </dataValidation>
    <dataValidation type="list" allowBlank="1" showInputMessage="1" showErrorMessage="1" sqref="D24:E26" xr:uid="{183CC247-256B-4F58-9EA8-BB16A3FEC2D0}">
      <formula1>INDIRECT(INDEX(INDIRECT($J$3),MATCH($C24&amp;":"&amp;RIGHT(D$23,2),INDIRECT($J$2),0)))</formula1>
    </dataValidation>
  </dataValidations>
  <pageMargins left="0.7" right="0.7" top="0.75" bottom="0.75" header="0.3" footer="0.3"/>
  <pageSetup paperSize="9" orientation="portrait" r:id="rId1"/>
  <tableParts count="13">
    <tablePart r:id="rId2"/>
    <tablePart r:id="rId3"/>
    <tablePart r:id="rId4"/>
    <tablePart r:id="rId5"/>
    <tablePart r:id="rId6"/>
    <tablePart r:id="rId7"/>
    <tablePart r:id="rId8"/>
    <tablePart r:id="rId9"/>
    <tablePart r:id="rId10"/>
    <tablePart r:id="rId11"/>
    <tablePart r:id="rId12"/>
    <tablePart r:id="rId13"/>
    <tablePart r:id="rId1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6039D-E2CF-4479-BD55-225DA976C9AD}">
  <sheetPr codeName="Sheet13"/>
  <dimension ref="A2:EZ4530"/>
  <sheetViews>
    <sheetView topLeftCell="DA1" zoomScale="125" zoomScaleNormal="85" workbookViewId="0">
      <selection activeCell="DJ3" sqref="DJ3"/>
    </sheetView>
  </sheetViews>
  <sheetFormatPr baseColWidth="10" defaultColWidth="9.1640625" defaultRowHeight="10"/>
  <cols>
    <col min="1" max="2" width="1.6640625" style="389" customWidth="1"/>
    <col min="3" max="3" width="3" style="115" bestFit="1" customWidth="1"/>
    <col min="4" max="4" width="7.5" style="115" bestFit="1" customWidth="1"/>
    <col min="5" max="5" width="21.83203125" style="115" bestFit="1" customWidth="1"/>
    <col min="6" max="6" width="11.33203125" style="115" bestFit="1" customWidth="1"/>
    <col min="7" max="7" width="5.33203125" style="115" bestFit="1" customWidth="1"/>
    <col min="8" max="8" width="3" style="115" bestFit="1" customWidth="1"/>
    <col min="9" max="9" width="7.33203125" style="115" bestFit="1" customWidth="1"/>
    <col min="10" max="10" width="18.33203125" style="115" bestFit="1" customWidth="1"/>
    <col min="11" max="11" width="77.1640625" style="183" bestFit="1" customWidth="1"/>
    <col min="12" max="12" width="6.5" style="115" customWidth="1"/>
    <col min="13" max="13" width="3" style="115" bestFit="1" customWidth="1"/>
    <col min="14" max="14" width="4.83203125" style="115" bestFit="1" customWidth="1"/>
    <col min="15" max="15" width="5" style="115" bestFit="1" customWidth="1"/>
    <col min="16" max="16" width="4.83203125" style="115" bestFit="1" customWidth="1"/>
    <col min="17" max="17" width="9.6640625" style="121" bestFit="1" customWidth="1"/>
    <col min="18" max="19" width="5.6640625" style="119" bestFit="1" customWidth="1"/>
    <col min="20" max="20" width="29.1640625" style="115" bestFit="1" customWidth="1"/>
    <col min="21" max="21" width="9.6640625" style="121" bestFit="1" customWidth="1"/>
    <col min="22" max="22" width="8.6640625" style="121" bestFit="1" customWidth="1"/>
    <col min="23" max="23" width="4.83203125" style="115" bestFit="1" customWidth="1"/>
    <col min="24" max="27" width="5.6640625" style="119" bestFit="1" customWidth="1"/>
    <col min="28" max="28" width="16.5" style="115" bestFit="1" customWidth="1"/>
    <col min="29" max="30" width="4.83203125" style="115" bestFit="1" customWidth="1"/>
    <col min="31" max="31" width="10" style="115" bestFit="1" customWidth="1"/>
    <col min="32" max="32" width="60.33203125" style="117" bestFit="1" customWidth="1"/>
    <col min="33" max="33" width="3" style="130" customWidth="1"/>
    <col min="34" max="34" width="3" style="130" bestFit="1" customWidth="1"/>
    <col min="35" max="35" width="4.83203125" style="115" bestFit="1" customWidth="1"/>
    <col min="36" max="36" width="6.33203125" style="115" bestFit="1" customWidth="1"/>
    <col min="37" max="38" width="4.83203125" style="115" bestFit="1" customWidth="1"/>
    <col min="39" max="39" width="5" style="115" bestFit="1" customWidth="1"/>
    <col min="40" max="40" width="29.5" style="115" bestFit="1" customWidth="1"/>
    <col min="41" max="41" width="14.33203125" style="115" bestFit="1" customWidth="1"/>
    <col min="42" max="42" width="5.1640625" style="115" customWidth="1"/>
    <col min="43" max="43" width="10.6640625" style="115" bestFit="1" customWidth="1"/>
    <col min="44" max="44" width="10.6640625" style="115" customWidth="1"/>
    <col min="45" max="45" width="3" style="115" bestFit="1" customWidth="1"/>
    <col min="46" max="50" width="4.83203125" style="115" bestFit="1" customWidth="1"/>
    <col min="51" max="51" width="5" style="115" bestFit="1" customWidth="1"/>
    <col min="52" max="52" width="32" style="115" bestFit="1" customWidth="1"/>
    <col min="53" max="65" width="8.33203125" style="130" bestFit="1" customWidth="1"/>
    <col min="66" max="67" width="7.6640625" style="130" bestFit="1" customWidth="1"/>
    <col min="68" max="68" width="8.33203125" style="130" bestFit="1" customWidth="1"/>
    <col min="69" max="69" width="7.33203125" style="130" bestFit="1" customWidth="1"/>
    <col min="70" max="70" width="3" style="130" bestFit="1" customWidth="1"/>
    <col min="71" max="71" width="4.83203125" style="115" bestFit="1" customWidth="1"/>
    <col min="72" max="72" width="2.6640625" style="115" bestFit="1" customWidth="1"/>
    <col min="73" max="73" width="7.6640625" style="115" bestFit="1" customWidth="1"/>
    <col min="74" max="74" width="6.83203125" style="115" bestFit="1" customWidth="1"/>
    <col min="75" max="75" width="5" style="115" bestFit="1" customWidth="1"/>
    <col min="76" max="76" width="7.33203125" style="115" bestFit="1" customWidth="1"/>
    <col min="77" max="77" width="2.6640625" style="115" bestFit="1" customWidth="1"/>
    <col min="78" max="78" width="6.1640625" style="115" bestFit="1" customWidth="1"/>
    <col min="79" max="81" width="2.6640625" style="115" bestFit="1" customWidth="1"/>
    <col min="82" max="82" width="5" style="115" bestFit="1" customWidth="1"/>
    <col min="83" max="83" width="3" style="115" bestFit="1" customWidth="1"/>
    <col min="84" max="85" width="4.83203125" style="115" bestFit="1" customWidth="1"/>
    <col min="86" max="89" width="10" style="187" bestFit="1" customWidth="1"/>
    <col min="90" max="93" width="6" style="184" bestFit="1" customWidth="1"/>
    <col min="94" max="94" width="6" style="187" bestFit="1" customWidth="1"/>
    <col min="95" max="96" width="4.83203125" style="187" bestFit="1" customWidth="1"/>
    <col min="97" max="97" width="14.33203125" style="115" bestFit="1" customWidth="1"/>
    <col min="98" max="98" width="9.1640625" style="115"/>
    <col min="99" max="99" width="3" style="115" bestFit="1" customWidth="1"/>
    <col min="100" max="100" width="5.6640625" style="184" bestFit="1" customWidth="1"/>
    <col min="101" max="101" width="4.83203125" style="184" bestFit="1" customWidth="1"/>
    <col min="102" max="102" width="13.6640625" style="184" bestFit="1" customWidth="1"/>
    <col min="103" max="103" width="4.83203125" style="184" bestFit="1" customWidth="1"/>
    <col min="104" max="104" width="8.33203125" style="184" bestFit="1" customWidth="1"/>
    <col min="105" max="105" width="9" style="184" bestFit="1" customWidth="1"/>
    <col min="106" max="106" width="3.33203125" style="330" bestFit="1" customWidth="1"/>
    <col min="107" max="108" width="5" style="115" bestFit="1" customWidth="1"/>
    <col min="109" max="109" width="23.83203125" style="115" bestFit="1" customWidth="1"/>
    <col min="110" max="110" width="21" style="115" bestFit="1" customWidth="1"/>
    <col min="111" max="111" width="7.5" style="115" bestFit="1" customWidth="1"/>
    <col min="112" max="112" width="9.1640625" style="115"/>
    <col min="113" max="113" width="3.33203125" style="115" bestFit="1" customWidth="1"/>
    <col min="114" max="115" width="5" style="115" bestFit="1" customWidth="1"/>
    <col min="116" max="116" width="5.5" style="115" bestFit="1" customWidth="1"/>
    <col min="117" max="117" width="23.83203125" style="115" bestFit="1" customWidth="1"/>
    <col min="118" max="118" width="13.6640625" style="115" bestFit="1" customWidth="1"/>
    <col min="119" max="119" width="5" style="115" bestFit="1" customWidth="1"/>
    <col min="120" max="120" width="7.5" style="115" bestFit="1" customWidth="1"/>
    <col min="121" max="121" width="9.1640625" style="115"/>
    <col min="122" max="122" width="3.83203125" style="115" bestFit="1" customWidth="1"/>
    <col min="123" max="127" width="4.83203125" style="115" bestFit="1" customWidth="1"/>
    <col min="128" max="128" width="7.33203125" style="217" bestFit="1" customWidth="1"/>
    <col min="129" max="129" width="2.33203125" style="217" bestFit="1" customWidth="1"/>
    <col min="130" max="132" width="4.83203125" style="217" bestFit="1" customWidth="1"/>
    <col min="133" max="133" width="4.83203125" style="115" bestFit="1" customWidth="1"/>
    <col min="134" max="135" width="4.83203125" style="334" bestFit="1" customWidth="1"/>
    <col min="136" max="137" width="6" style="334" bestFit="1" customWidth="1"/>
    <col min="138" max="138" width="13.6640625" style="187" bestFit="1" customWidth="1"/>
    <col min="139" max="139" width="4.83203125" style="330" bestFit="1" customWidth="1"/>
    <col min="140" max="141" width="4.83203125" style="334" bestFit="1" customWidth="1"/>
    <col min="142" max="142" width="13.6640625" style="334" bestFit="1" customWidth="1"/>
    <col min="143" max="143" width="5" style="334" bestFit="1" customWidth="1"/>
    <col min="144" max="144" width="9.1640625" style="115"/>
    <col min="145" max="145" width="2.33203125" style="217" bestFit="1" customWidth="1"/>
    <col min="146" max="147" width="4.83203125" style="217" bestFit="1" customWidth="1"/>
    <col min="148" max="148" width="20.1640625" style="217" bestFit="1" customWidth="1"/>
    <col min="149" max="149" width="13.6640625" style="217" bestFit="1" customWidth="1"/>
    <col min="150" max="150" width="6.6640625" style="217" bestFit="1" customWidth="1"/>
    <col min="151" max="151" width="4.83203125" style="217" bestFit="1" customWidth="1"/>
    <col min="152" max="152" width="8" style="217" bestFit="1" customWidth="1"/>
    <col min="153" max="154" width="9.1640625" style="115"/>
    <col min="155" max="155" width="16.33203125" style="115" bestFit="1" customWidth="1"/>
    <col min="156" max="156" width="5" style="115" bestFit="1" customWidth="1"/>
    <col min="157" max="16384" width="9.1640625" style="115"/>
  </cols>
  <sheetData>
    <row r="2" spans="1:156" s="75" customFormat="1" ht="100">
      <c r="A2" s="388" t="s">
        <v>390</v>
      </c>
      <c r="B2" s="388" t="str" cm="1">
        <f t="array" aca="1" ref="B2" ca="1">_xlfn.TEXTAFTER(CELL("filename",INDIRECT("A1")),"]")</f>
        <v>OutData</v>
      </c>
      <c r="C2" s="75" t="s">
        <v>1326</v>
      </c>
      <c r="D2" s="75" t="s">
        <v>1321</v>
      </c>
      <c r="E2" s="75" t="s">
        <v>1322</v>
      </c>
      <c r="F2" s="75" t="s">
        <v>1323</v>
      </c>
      <c r="H2" s="75" t="s">
        <v>1370</v>
      </c>
      <c r="I2" s="75" t="s">
        <v>1321</v>
      </c>
      <c r="J2" s="75" t="s">
        <v>1322</v>
      </c>
      <c r="K2" s="114" t="s">
        <v>1323</v>
      </c>
      <c r="M2" s="75" t="s">
        <v>1403</v>
      </c>
      <c r="N2" s="75" t="s">
        <v>444</v>
      </c>
      <c r="O2" s="75" t="s">
        <v>1395</v>
      </c>
      <c r="P2" s="75" t="s">
        <v>1537</v>
      </c>
      <c r="Q2" s="120" t="s">
        <v>1302</v>
      </c>
      <c r="R2" s="118" t="s">
        <v>1397</v>
      </c>
      <c r="S2" s="118" t="s">
        <v>1538</v>
      </c>
      <c r="T2" s="75" t="s">
        <v>1539</v>
      </c>
      <c r="U2" s="120" t="s">
        <v>1396</v>
      </c>
      <c r="V2" s="120" t="s">
        <v>1401</v>
      </c>
      <c r="W2" s="75" t="s">
        <v>1399</v>
      </c>
      <c r="X2" s="118" t="s">
        <v>1398</v>
      </c>
      <c r="Y2" s="118" t="s">
        <v>1540</v>
      </c>
      <c r="Z2" s="118" t="s">
        <v>1541</v>
      </c>
      <c r="AA2" s="118" t="s">
        <v>1400</v>
      </c>
      <c r="AB2" s="75" t="s">
        <v>1542</v>
      </c>
      <c r="AC2" s="75" t="s">
        <v>1543</v>
      </c>
      <c r="AD2" s="75" t="s">
        <v>1544</v>
      </c>
      <c r="AE2" s="75" t="s">
        <v>1402</v>
      </c>
      <c r="AF2" s="116" t="s">
        <v>1545</v>
      </c>
      <c r="AH2" s="387" t="s">
        <v>2141</v>
      </c>
      <c r="AI2" s="129" t="s">
        <v>444</v>
      </c>
      <c r="AJ2" t="s">
        <v>2129</v>
      </c>
      <c r="AK2" s="129" t="s">
        <v>1565</v>
      </c>
      <c r="AL2" s="129" t="s">
        <v>1495</v>
      </c>
      <c r="AM2" s="129" t="s">
        <v>1841</v>
      </c>
      <c r="AN2" s="129" t="s">
        <v>12</v>
      </c>
      <c r="AO2" s="129" t="s">
        <v>1322</v>
      </c>
      <c r="AQ2" s="337" t="s">
        <v>1841</v>
      </c>
      <c r="AR2" s="396"/>
      <c r="AS2" s="387" t="s">
        <v>2140</v>
      </c>
      <c r="AT2" s="75" t="s">
        <v>444</v>
      </c>
      <c r="AU2" s="75" t="s">
        <v>2129</v>
      </c>
      <c r="AV2" s="75" t="s">
        <v>1565</v>
      </c>
      <c r="AW2" s="75" t="s">
        <v>1569</v>
      </c>
      <c r="AX2" s="75" t="s">
        <v>1495</v>
      </c>
      <c r="AY2" s="75" t="s">
        <v>1841</v>
      </c>
      <c r="AZ2" s="75" t="s">
        <v>1648</v>
      </c>
      <c r="BA2" s="129" t="s">
        <v>1590</v>
      </c>
      <c r="BB2" s="129" t="s">
        <v>1591</v>
      </c>
      <c r="BC2" s="129" t="s">
        <v>1592</v>
      </c>
      <c r="BD2" s="129" t="s">
        <v>1593</v>
      </c>
      <c r="BE2" s="129" t="s">
        <v>1594</v>
      </c>
      <c r="BF2" s="129" t="s">
        <v>1595</v>
      </c>
      <c r="BG2" s="129" t="s">
        <v>1596</v>
      </c>
      <c r="BH2" s="129" t="s">
        <v>1597</v>
      </c>
      <c r="BI2" s="129" t="s">
        <v>1598</v>
      </c>
      <c r="BJ2" s="129" t="s">
        <v>1599</v>
      </c>
      <c r="BK2" s="129" t="s">
        <v>1600</v>
      </c>
      <c r="BL2" s="129" t="s">
        <v>1601</v>
      </c>
      <c r="BM2" s="129" t="s">
        <v>1602</v>
      </c>
      <c r="BN2" s="129" t="s">
        <v>1603</v>
      </c>
      <c r="BO2" s="129" t="s">
        <v>1604</v>
      </c>
      <c r="BP2" s="129" t="s">
        <v>1605</v>
      </c>
      <c r="BR2" s="75" t="s">
        <v>1719</v>
      </c>
      <c r="BS2" s="75" t="s">
        <v>1346</v>
      </c>
      <c r="BT2" s="75" t="s">
        <v>1347</v>
      </c>
      <c r="BU2" s="75" t="s">
        <v>1304</v>
      </c>
      <c r="BV2" s="75" t="s">
        <v>391</v>
      </c>
      <c r="BW2" s="75" t="s">
        <v>1324</v>
      </c>
      <c r="BX2" s="75" t="s">
        <v>1349</v>
      </c>
      <c r="BY2" s="75" t="s">
        <v>1350</v>
      </c>
      <c r="BZ2" s="75" t="s">
        <v>1351</v>
      </c>
      <c r="CA2" s="75" t="s">
        <v>1352</v>
      </c>
      <c r="CB2" s="75" t="s">
        <v>1717</v>
      </c>
      <c r="CC2" s="75" t="s">
        <v>1348</v>
      </c>
      <c r="CE2" s="387" t="s">
        <v>2139</v>
      </c>
      <c r="CF2" s="75" t="s">
        <v>444</v>
      </c>
      <c r="CG2" s="75" t="s">
        <v>1565</v>
      </c>
      <c r="CH2" s="331" t="s">
        <v>1957</v>
      </c>
      <c r="CI2" s="331" t="s">
        <v>1843</v>
      </c>
      <c r="CJ2" s="331" t="s">
        <v>1848</v>
      </c>
      <c r="CK2" s="331" t="s">
        <v>1846</v>
      </c>
      <c r="CL2" s="104" t="s">
        <v>1958</v>
      </c>
      <c r="CM2" s="104" t="s">
        <v>1832</v>
      </c>
      <c r="CN2" s="104" t="s">
        <v>1850</v>
      </c>
      <c r="CO2" s="104" t="s">
        <v>1849</v>
      </c>
      <c r="CP2" s="331" t="s">
        <v>1972</v>
      </c>
      <c r="CQ2" s="27" t="s">
        <v>1973</v>
      </c>
      <c r="CR2" s="27" t="s">
        <v>1974</v>
      </c>
      <c r="CS2" s="75" t="s">
        <v>1860</v>
      </c>
      <c r="CU2" s="75" t="s">
        <v>2050</v>
      </c>
      <c r="CV2" s="75" t="s">
        <v>1984</v>
      </c>
      <c r="CW2" s="75" t="s">
        <v>444</v>
      </c>
      <c r="CX2" s="75" t="s">
        <v>393</v>
      </c>
      <c r="CY2" s="75" t="s">
        <v>392</v>
      </c>
      <c r="CZ2" s="331" t="s">
        <v>1323</v>
      </c>
      <c r="DB2" s="385" t="s">
        <v>2135</v>
      </c>
      <c r="DC2" s="75" t="s">
        <v>444</v>
      </c>
      <c r="DD2" s="75" t="s">
        <v>2129</v>
      </c>
      <c r="DE2" s="75" t="s">
        <v>392</v>
      </c>
      <c r="DF2" s="75" t="s">
        <v>393</v>
      </c>
      <c r="DG2" s="75" t="s">
        <v>448</v>
      </c>
      <c r="DI2" s="385" t="s">
        <v>2136</v>
      </c>
      <c r="DJ2" s="75" t="s">
        <v>444</v>
      </c>
      <c r="DK2" s="75" t="s">
        <v>2129</v>
      </c>
      <c r="DL2" s="75" t="s">
        <v>2132</v>
      </c>
      <c r="DM2" s="75" t="s">
        <v>2133</v>
      </c>
      <c r="DN2" s="75" t="s">
        <v>2134</v>
      </c>
      <c r="DO2" s="75" t="s">
        <v>457</v>
      </c>
      <c r="DP2" s="75" t="s">
        <v>1840</v>
      </c>
      <c r="DR2" s="386" t="s">
        <v>2130</v>
      </c>
      <c r="DS2" s="75" t="s">
        <v>2142</v>
      </c>
      <c r="DT2" s="75" t="s">
        <v>444</v>
      </c>
      <c r="DU2" s="75" t="s">
        <v>2143</v>
      </c>
      <c r="DV2" s="75" t="s">
        <v>2144</v>
      </c>
      <c r="DW2" s="75" t="s">
        <v>2129</v>
      </c>
      <c r="DX2"/>
      <c r="DY2" s="75" t="s">
        <v>2150</v>
      </c>
      <c r="DZ2" s="75" t="s">
        <v>444</v>
      </c>
      <c r="EA2" s="75" t="s">
        <v>2129</v>
      </c>
      <c r="EB2" s="75" t="s">
        <v>1565</v>
      </c>
      <c r="EC2" s="75" t="s">
        <v>1838</v>
      </c>
      <c r="ED2" s="75" t="s">
        <v>1569</v>
      </c>
      <c r="EE2" s="27" t="s">
        <v>1839</v>
      </c>
      <c r="EF2" s="27" t="s">
        <v>1856</v>
      </c>
      <c r="EG2" s="27" t="s">
        <v>1857</v>
      </c>
      <c r="EH2" s="75" t="s">
        <v>462</v>
      </c>
      <c r="EI2" s="75" t="s">
        <v>1805</v>
      </c>
      <c r="EJ2" s="75" t="s">
        <v>1806</v>
      </c>
      <c r="EK2" s="75" t="s">
        <v>459</v>
      </c>
      <c r="EL2" s="75" t="s">
        <v>1831</v>
      </c>
      <c r="EM2"/>
      <c r="EO2" s="75" t="s">
        <v>2265</v>
      </c>
      <c r="EP2" s="75" t="s">
        <v>444</v>
      </c>
      <c r="EQ2" s="75" t="s">
        <v>2129</v>
      </c>
      <c r="ER2" s="75" t="s">
        <v>392</v>
      </c>
      <c r="ES2" s="75" t="s">
        <v>393</v>
      </c>
      <c r="ET2" s="75" t="s">
        <v>1984</v>
      </c>
      <c r="EU2" s="75" t="s">
        <v>416</v>
      </c>
      <c r="EV2" s="75" t="s">
        <v>1323</v>
      </c>
      <c r="EY2" s="75" t="s">
        <v>2270</v>
      </c>
      <c r="EZ2" s="75" t="s">
        <v>2271</v>
      </c>
    </row>
    <row r="3" spans="1:156" ht="13">
      <c r="D3" s="115" t="s">
        <v>1496</v>
      </c>
      <c r="E3" s="115" t="s">
        <v>374</v>
      </c>
      <c r="F3" s="115">
        <v>-16363.205900000001</v>
      </c>
      <c r="I3" s="115" t="s">
        <v>1496</v>
      </c>
      <c r="J3" s="115" t="s">
        <v>1363</v>
      </c>
      <c r="K3" s="183">
        <v>125</v>
      </c>
      <c r="N3" s="115" t="s">
        <v>1416</v>
      </c>
      <c r="O3" s="115">
        <v>161596</v>
      </c>
      <c r="P3" s="115" t="s">
        <v>1546</v>
      </c>
      <c r="Q3" s="121">
        <v>0</v>
      </c>
      <c r="U3" s="121">
        <v>274016</v>
      </c>
      <c r="V3" s="121">
        <v>274016</v>
      </c>
      <c r="W3" s="115">
        <v>0</v>
      </c>
      <c r="X3" s="119">
        <v>45344</v>
      </c>
      <c r="Y3" s="119">
        <v>45553</v>
      </c>
      <c r="Z3" s="119">
        <v>45344</v>
      </c>
      <c r="AA3" s="119">
        <v>45553</v>
      </c>
      <c r="AB3" s="115" t="s">
        <v>2003</v>
      </c>
      <c r="AC3" s="115">
        <v>0</v>
      </c>
      <c r="AD3" s="115">
        <v>0</v>
      </c>
      <c r="AF3" s="117" t="s">
        <v>1547</v>
      </c>
      <c r="AG3" s="115"/>
      <c r="AH3" s="115"/>
      <c r="AI3" s="115" t="s">
        <v>1416</v>
      </c>
      <c r="AJ3" t="s">
        <v>2114</v>
      </c>
      <c r="AK3" s="115">
        <v>0</v>
      </c>
      <c r="AL3" s="115" t="s">
        <v>1842</v>
      </c>
      <c r="AM3" s="115" t="s">
        <v>1848</v>
      </c>
      <c r="AN3" s="115" t="s">
        <v>1458</v>
      </c>
      <c r="AO3" s="115" t="s">
        <v>372</v>
      </c>
      <c r="AQ3" s="390" t="str" cm="1">
        <f t="array" aca="1" ref="AQ3" ca="1">_xlfn.LET(_xlpm.x,MATCH("SOR",$A:$A,0),_xlpm.y,SUM(COLUMN()),ADDRESS(2+_xlpm.x,_xlpm.y,4,1,$B$2)&amp;":"&amp;ADDRESS(2+_xlpm.x+COUNT(CODE(_xlfn._xlws.FILTER(_xlfn.ANCHORARRAY(AQ5),_xlfn.ANCHORARRAY(AQ5)&lt;&gt;"X","X"))),_xlpm.y,4))</f>
        <v>OutData!AQ4:AQ10</v>
      </c>
      <c r="AR3" s="397"/>
      <c r="AT3" s="115" t="s">
        <v>1415</v>
      </c>
      <c r="AU3" s="115" t="s">
        <v>2114</v>
      </c>
      <c r="AV3" s="115">
        <v>15</v>
      </c>
      <c r="AW3" s="115" t="s">
        <v>1679</v>
      </c>
      <c r="AX3" s="115" t="s">
        <v>28</v>
      </c>
      <c r="AY3" s="115" t="s">
        <v>1846</v>
      </c>
      <c r="AZ3" s="115" t="s">
        <v>1862</v>
      </c>
      <c r="BA3" s="115"/>
      <c r="BB3" s="115"/>
      <c r="BC3" s="115"/>
      <c r="BD3" s="115"/>
      <c r="BE3" s="115"/>
      <c r="BF3" s="115"/>
      <c r="BG3" s="115"/>
      <c r="BH3" s="115"/>
      <c r="BI3" s="115"/>
      <c r="BJ3" s="115"/>
      <c r="BK3" s="115"/>
      <c r="BL3" s="115"/>
      <c r="BM3" s="115"/>
      <c r="BN3" s="115"/>
      <c r="BO3" s="115"/>
      <c r="BP3" s="115">
        <v>117376.5405</v>
      </c>
      <c r="BQ3" s="115"/>
      <c r="BR3" s="182"/>
      <c r="BS3" s="115" t="s">
        <v>1496</v>
      </c>
      <c r="BU3" s="115" t="s">
        <v>1305</v>
      </c>
      <c r="BV3" s="182">
        <v>45141</v>
      </c>
      <c r="BW3" s="115" t="s">
        <v>1536</v>
      </c>
      <c r="BX3" s="115">
        <v>-16536.84</v>
      </c>
      <c r="BY3" s="115">
        <v>0</v>
      </c>
      <c r="BZ3" s="115">
        <v>0</v>
      </c>
      <c r="CA3" s="115" t="s">
        <v>1300</v>
      </c>
      <c r="CB3" s="115" t="s">
        <v>1699</v>
      </c>
      <c r="CC3" s="115">
        <v>0</v>
      </c>
      <c r="CF3" s="115" t="s">
        <v>1416</v>
      </c>
      <c r="CG3" s="115">
        <v>0</v>
      </c>
      <c r="CH3" s="330">
        <v>946866.43514226819</v>
      </c>
      <c r="CI3" s="330">
        <v>946866.43514226819</v>
      </c>
      <c r="CJ3" s="330">
        <v>278223.12442152476</v>
      </c>
      <c r="CK3" s="330">
        <v>656942.4120816869</v>
      </c>
      <c r="CL3" s="184">
        <v>15604.604508553333</v>
      </c>
      <c r="CM3" s="184">
        <v>16087.221142838489</v>
      </c>
      <c r="CN3" s="184">
        <v>6795.0399650220006</v>
      </c>
      <c r="CO3" s="184">
        <v>8809.5645435313327</v>
      </c>
      <c r="CP3" s="330">
        <v>58.858296702397389</v>
      </c>
      <c r="CQ3" s="187">
        <v>0.43545095688246699</v>
      </c>
      <c r="CR3" s="187">
        <v>1</v>
      </c>
      <c r="CS3" s="115" t="s">
        <v>1677</v>
      </c>
      <c r="CV3" s="115">
        <v>2025.11</v>
      </c>
      <c r="CW3" s="115" t="s">
        <v>1415</v>
      </c>
      <c r="CX3" s="115" t="s">
        <v>387</v>
      </c>
      <c r="CY3" s="115" t="s">
        <v>2060</v>
      </c>
      <c r="CZ3" s="330">
        <v>2578.1149999999998</v>
      </c>
      <c r="DA3" s="115"/>
      <c r="DB3" s="115"/>
      <c r="DC3" s="115" t="s">
        <v>1416</v>
      </c>
      <c r="DD3" s="115" t="s">
        <v>2114</v>
      </c>
      <c r="DE3" s="115" t="s">
        <v>300</v>
      </c>
      <c r="DF3" s="115" t="s">
        <v>1240</v>
      </c>
      <c r="DG3" s="115">
        <v>32926.160000000003</v>
      </c>
      <c r="DJ3" s="115" t="s">
        <v>1416</v>
      </c>
      <c r="DK3" s="115" t="s">
        <v>2114</v>
      </c>
      <c r="DL3" s="115" t="s">
        <v>447</v>
      </c>
      <c r="DM3" s="115" t="s">
        <v>1244</v>
      </c>
      <c r="DN3" s="115" t="s">
        <v>2127</v>
      </c>
      <c r="DO3" s="115">
        <v>170</v>
      </c>
      <c r="DP3" s="115">
        <v>-28046.289999999899</v>
      </c>
      <c r="DR3" s="217"/>
      <c r="DS3" s="115">
        <v>0</v>
      </c>
      <c r="DT3" s="115" t="s">
        <v>1415</v>
      </c>
      <c r="DU3" s="115">
        <v>15</v>
      </c>
      <c r="DV3" s="115">
        <v>1</v>
      </c>
      <c r="DW3" s="115" t="s">
        <v>2114</v>
      </c>
      <c r="DX3"/>
      <c r="DY3" s="115"/>
      <c r="DZ3" s="115" t="s">
        <v>1415</v>
      </c>
      <c r="EA3" s="115" t="s">
        <v>2114</v>
      </c>
      <c r="EB3" s="115">
        <v>15</v>
      </c>
      <c r="EC3" s="115" t="s">
        <v>83</v>
      </c>
      <c r="ED3" s="115" t="s">
        <v>1697</v>
      </c>
      <c r="EE3" s="187">
        <v>1</v>
      </c>
      <c r="EF3" s="330">
        <v>53.569899999999997</v>
      </c>
      <c r="EG3" s="330">
        <v>0</v>
      </c>
      <c r="EH3" s="115" t="s">
        <v>387</v>
      </c>
      <c r="EI3" s="115" t="s">
        <v>1807</v>
      </c>
      <c r="EJ3" s="115"/>
      <c r="EK3" s="115" t="s">
        <v>479</v>
      </c>
      <c r="EL3" s="115" t="s">
        <v>387</v>
      </c>
      <c r="EM3"/>
      <c r="EO3" s="115"/>
      <c r="EP3" s="334" t="s">
        <v>1416</v>
      </c>
      <c r="EQ3" s="334" t="s">
        <v>2114</v>
      </c>
      <c r="ER3" s="334" t="s">
        <v>1285</v>
      </c>
      <c r="ES3" s="334" t="s">
        <v>373</v>
      </c>
      <c r="ET3" s="334">
        <v>2024.44</v>
      </c>
      <c r="EU3" s="334" t="s">
        <v>397</v>
      </c>
      <c r="EV3" s="334">
        <v>0</v>
      </c>
      <c r="EY3" s="115" t="s">
        <v>1641</v>
      </c>
      <c r="EZ3" s="115" t="s">
        <v>480</v>
      </c>
    </row>
    <row r="4" spans="1:156" ht="13">
      <c r="D4" s="115" t="s">
        <v>1498</v>
      </c>
      <c r="E4" s="115" t="s">
        <v>374</v>
      </c>
      <c r="F4" s="115">
        <v>-16363.205900000001</v>
      </c>
      <c r="I4" s="115" t="s">
        <v>1496</v>
      </c>
      <c r="J4" s="115" t="s">
        <v>1353</v>
      </c>
      <c r="K4" s="183" t="s">
        <v>1497</v>
      </c>
      <c r="N4" s="115" t="s">
        <v>1415</v>
      </c>
      <c r="O4" s="115">
        <v>161941</v>
      </c>
      <c r="P4" s="115" t="s">
        <v>1546</v>
      </c>
      <c r="Q4" s="121">
        <v>3991338.03</v>
      </c>
      <c r="R4" s="119">
        <v>45189</v>
      </c>
      <c r="S4" s="119">
        <v>45189</v>
      </c>
      <c r="T4" s="115" t="s">
        <v>1551</v>
      </c>
      <c r="U4" s="121">
        <v>1596535.22</v>
      </c>
      <c r="V4" s="121">
        <v>798267.61</v>
      </c>
      <c r="W4" s="115">
        <v>0</v>
      </c>
      <c r="X4" s="119">
        <v>45321</v>
      </c>
      <c r="Y4" s="119">
        <v>45688</v>
      </c>
      <c r="Z4" s="119">
        <v>45321</v>
      </c>
      <c r="AA4" s="119">
        <v>45688</v>
      </c>
      <c r="AB4" s="115" t="s">
        <v>2218</v>
      </c>
      <c r="AC4" s="115">
        <v>0</v>
      </c>
      <c r="AD4" s="115">
        <v>0</v>
      </c>
      <c r="AE4" s="115" t="s">
        <v>1552</v>
      </c>
      <c r="AF4" s="117" t="s">
        <v>1553</v>
      </c>
      <c r="AG4" s="115"/>
      <c r="AH4" s="115"/>
      <c r="AI4" s="115" t="s">
        <v>1416</v>
      </c>
      <c r="AJ4" t="s">
        <v>2114</v>
      </c>
      <c r="AK4" s="115">
        <v>0</v>
      </c>
      <c r="AL4" s="115" t="s">
        <v>1842</v>
      </c>
      <c r="AM4" s="115" t="s">
        <v>1843</v>
      </c>
      <c r="AN4" s="115" t="s">
        <v>1458</v>
      </c>
      <c r="AO4" s="115" t="s">
        <v>372</v>
      </c>
      <c r="AQ4" s="186" t="s">
        <v>375</v>
      </c>
      <c r="AR4" s="398"/>
      <c r="AT4" s="115" t="s">
        <v>1416</v>
      </c>
      <c r="AU4" s="115" t="s">
        <v>2114</v>
      </c>
      <c r="AV4" s="115">
        <v>0</v>
      </c>
      <c r="AW4" s="115" t="s">
        <v>1679</v>
      </c>
      <c r="AX4" s="115" t="s">
        <v>28</v>
      </c>
      <c r="AY4" s="115" t="s">
        <v>1846</v>
      </c>
      <c r="AZ4" s="115" t="s">
        <v>1862</v>
      </c>
      <c r="BA4" s="115"/>
      <c r="BB4" s="115"/>
      <c r="BC4" s="115"/>
      <c r="BD4" s="115"/>
      <c r="BE4" s="115"/>
      <c r="BF4" s="115"/>
      <c r="BG4" s="115"/>
      <c r="BH4" s="115"/>
      <c r="BI4" s="115"/>
      <c r="BJ4" s="115"/>
      <c r="BK4" s="115"/>
      <c r="BL4" s="115"/>
      <c r="BM4" s="115"/>
      <c r="BN4" s="115"/>
      <c r="BO4" s="115"/>
      <c r="BP4" s="115">
        <v>11033.339900000001</v>
      </c>
      <c r="BQ4" s="115"/>
      <c r="BR4" s="182"/>
      <c r="BS4" s="115" t="s">
        <v>1498</v>
      </c>
      <c r="BU4" s="115" t="s">
        <v>1305</v>
      </c>
      <c r="BV4" s="182">
        <v>45195</v>
      </c>
      <c r="BW4" s="115" t="s">
        <v>1536</v>
      </c>
      <c r="BX4" s="115">
        <v>-16536.84</v>
      </c>
      <c r="BY4" s="115">
        <v>0</v>
      </c>
      <c r="BZ4" s="115">
        <v>0</v>
      </c>
      <c r="CA4" s="115" t="s">
        <v>1300</v>
      </c>
      <c r="CB4" s="115" t="s">
        <v>1699</v>
      </c>
      <c r="CC4" s="115">
        <v>0</v>
      </c>
      <c r="CF4" s="115" t="s">
        <v>1415</v>
      </c>
      <c r="CG4" s="115">
        <v>0</v>
      </c>
      <c r="CH4" s="330">
        <v>5402161.3153463919</v>
      </c>
      <c r="CI4" s="330">
        <v>5402161.3153463919</v>
      </c>
      <c r="CJ4" s="330">
        <v>971445.86657606892</v>
      </c>
      <c r="CK4" s="330">
        <v>4495816.0476412214</v>
      </c>
      <c r="CL4" s="184">
        <v>64325.697764097284</v>
      </c>
      <c r="CM4" s="184">
        <v>66315.15233412091</v>
      </c>
      <c r="CN4" s="184">
        <v>22042.328448036958</v>
      </c>
      <c r="CO4" s="184">
        <v>42283.369316060322</v>
      </c>
      <c r="CP4" s="330">
        <v>81.46194535041181</v>
      </c>
      <c r="CQ4" s="187">
        <v>0.342667537457163</v>
      </c>
      <c r="CR4" s="187">
        <v>1</v>
      </c>
      <c r="CS4" s="115" t="s">
        <v>1677</v>
      </c>
      <c r="CV4" s="115">
        <v>2024.48</v>
      </c>
      <c r="CW4" s="115" t="s">
        <v>1415</v>
      </c>
      <c r="CX4" s="115" t="s">
        <v>377</v>
      </c>
      <c r="CY4" s="115" t="s">
        <v>1796</v>
      </c>
      <c r="CZ4" s="330">
        <v>1862.3879999999999</v>
      </c>
      <c r="DA4" s="115"/>
      <c r="DB4" s="115"/>
      <c r="DC4" s="115" t="s">
        <v>1415</v>
      </c>
      <c r="DD4" s="115" t="s">
        <v>2114</v>
      </c>
      <c r="DE4" s="115" t="s">
        <v>300</v>
      </c>
      <c r="DF4" s="115" t="s">
        <v>1240</v>
      </c>
      <c r="DG4" s="115">
        <v>14594.760000000002</v>
      </c>
      <c r="DJ4" s="115" t="s">
        <v>1415</v>
      </c>
      <c r="DK4" s="115" t="s">
        <v>2114</v>
      </c>
      <c r="DL4" s="115" t="s">
        <v>447</v>
      </c>
      <c r="DM4" s="115" t="s">
        <v>1244</v>
      </c>
      <c r="DN4" s="115" t="s">
        <v>2127</v>
      </c>
      <c r="DO4" s="115">
        <v>260</v>
      </c>
      <c r="DP4" s="115">
        <v>21175.149999999499</v>
      </c>
      <c r="DR4" s="215"/>
      <c r="DS4" s="115">
        <v>0</v>
      </c>
      <c r="DT4" s="115" t="s">
        <v>1415</v>
      </c>
      <c r="DU4" s="115">
        <v>16</v>
      </c>
      <c r="DV4" s="115">
        <v>2</v>
      </c>
      <c r="DW4" s="115" t="s">
        <v>2114</v>
      </c>
      <c r="DX4"/>
      <c r="DY4" s="115"/>
      <c r="DZ4" s="115" t="s">
        <v>1416</v>
      </c>
      <c r="EA4" s="115" t="s">
        <v>2114</v>
      </c>
      <c r="EB4" s="115">
        <v>0</v>
      </c>
      <c r="EC4" s="115" t="s">
        <v>83</v>
      </c>
      <c r="ED4" s="115" t="s">
        <v>1697</v>
      </c>
      <c r="EE4" s="187">
        <v>1</v>
      </c>
      <c r="EF4" s="330">
        <v>49.63</v>
      </c>
      <c r="EG4" s="330">
        <v>0</v>
      </c>
      <c r="EH4" s="115" t="s">
        <v>387</v>
      </c>
      <c r="EI4" s="115" t="s">
        <v>1807</v>
      </c>
      <c r="EJ4" s="115"/>
      <c r="EK4" s="115" t="s">
        <v>479</v>
      </c>
      <c r="EL4" s="115" t="s">
        <v>387</v>
      </c>
      <c r="EM4"/>
      <c r="EO4" s="115"/>
      <c r="EP4" s="334" t="s">
        <v>1416</v>
      </c>
      <c r="EQ4" s="334" t="s">
        <v>2114</v>
      </c>
      <c r="ER4" s="334" t="s">
        <v>1285</v>
      </c>
      <c r="ES4" s="334" t="s">
        <v>373</v>
      </c>
      <c r="ET4" s="334">
        <v>2024.44</v>
      </c>
      <c r="EU4" s="334" t="s">
        <v>1382</v>
      </c>
      <c r="EV4" s="334">
        <v>137.46</v>
      </c>
      <c r="EY4" s="115" t="s">
        <v>376</v>
      </c>
      <c r="EZ4" s="115" t="s">
        <v>495</v>
      </c>
    </row>
    <row r="5" spans="1:156" ht="13">
      <c r="D5" s="115" t="s">
        <v>1500</v>
      </c>
      <c r="E5" s="115" t="s">
        <v>374</v>
      </c>
      <c r="F5" s="115">
        <v>-116024.3731</v>
      </c>
      <c r="I5" s="115" t="s">
        <v>1496</v>
      </c>
      <c r="J5" s="115" t="s">
        <v>1369</v>
      </c>
      <c r="K5" s="183">
        <v>13</v>
      </c>
      <c r="N5" s="115" t="s">
        <v>1416</v>
      </c>
      <c r="O5" s="115">
        <v>161597</v>
      </c>
      <c r="P5" s="115" t="s">
        <v>1546</v>
      </c>
      <c r="Q5" s="121">
        <v>0</v>
      </c>
      <c r="U5" s="121">
        <v>985984</v>
      </c>
      <c r="V5" s="121">
        <v>985984</v>
      </c>
      <c r="W5" s="115">
        <v>0</v>
      </c>
      <c r="X5" s="119">
        <v>45344</v>
      </c>
      <c r="Y5" s="119">
        <v>45565</v>
      </c>
      <c r="Z5" s="119">
        <v>45344</v>
      </c>
      <c r="AA5" s="119">
        <v>45565</v>
      </c>
      <c r="AB5" s="115" t="s">
        <v>2004</v>
      </c>
      <c r="AC5" s="115">
        <v>0</v>
      </c>
      <c r="AD5" s="115">
        <v>0</v>
      </c>
      <c r="AF5" s="117" t="s">
        <v>1548</v>
      </c>
      <c r="AG5" s="115"/>
      <c r="AH5" s="115"/>
      <c r="AI5" s="115" t="s">
        <v>1416</v>
      </c>
      <c r="AJ5" t="s">
        <v>2114</v>
      </c>
      <c r="AK5" s="115">
        <v>0</v>
      </c>
      <c r="AL5" s="115" t="s">
        <v>1842</v>
      </c>
      <c r="AM5" s="115" t="s">
        <v>1849</v>
      </c>
      <c r="AN5" s="115" t="s">
        <v>1458</v>
      </c>
      <c r="AO5" s="115" t="s">
        <v>372</v>
      </c>
      <c r="AQ5" s="336" t="str" cm="1">
        <f t="array" ref="AQ5:AQ10">_xlfn._xlws.SORT(_xlfn.UNIQUE(F_RT14[Measure]))</f>
        <v>CurExt</v>
      </c>
      <c r="AT5" s="115" t="s">
        <v>1415</v>
      </c>
      <c r="AU5" s="115" t="s">
        <v>2114</v>
      </c>
      <c r="AV5" s="115">
        <v>15</v>
      </c>
      <c r="AW5" s="115" t="s">
        <v>1679</v>
      </c>
      <c r="AX5" s="115" t="s">
        <v>28</v>
      </c>
      <c r="AY5" s="115" t="s">
        <v>1843</v>
      </c>
      <c r="AZ5" s="115" t="s">
        <v>1862</v>
      </c>
      <c r="BA5" s="115"/>
      <c r="BB5" s="115"/>
      <c r="BC5" s="115"/>
      <c r="BD5" s="115"/>
      <c r="BE5" s="115"/>
      <c r="BF5" s="115"/>
      <c r="BG5" s="115"/>
      <c r="BH5" s="115"/>
      <c r="BI5" s="115"/>
      <c r="BJ5" s="115"/>
      <c r="BK5" s="115"/>
      <c r="BL5" s="115"/>
      <c r="BM5" s="115"/>
      <c r="BN5" s="115"/>
      <c r="BO5" s="115"/>
      <c r="BP5" s="115">
        <v>117376.5405</v>
      </c>
      <c r="BQ5" s="115"/>
      <c r="BR5" s="182"/>
      <c r="BS5" s="115" t="s">
        <v>1500</v>
      </c>
      <c r="BU5" s="115" t="s">
        <v>1563</v>
      </c>
      <c r="BV5" s="182">
        <v>45196</v>
      </c>
      <c r="BW5" s="115" t="s">
        <v>1536</v>
      </c>
      <c r="BX5" s="115">
        <v>-126454.13</v>
      </c>
      <c r="BY5" s="115">
        <v>0</v>
      </c>
      <c r="BZ5" s="115">
        <v>0</v>
      </c>
      <c r="CA5" s="115" t="s">
        <v>1300</v>
      </c>
      <c r="CB5" s="115" t="s">
        <v>1774</v>
      </c>
      <c r="CC5" s="115">
        <v>0</v>
      </c>
      <c r="CF5" s="115" t="s">
        <v>1415</v>
      </c>
      <c r="CG5" s="115">
        <v>15</v>
      </c>
      <c r="CH5" s="330">
        <v>6081020.0446453616</v>
      </c>
      <c r="CI5" s="330">
        <v>6081020.0446453616</v>
      </c>
      <c r="CJ5" s="330">
        <v>1326128.8350955443</v>
      </c>
      <c r="CK5" s="330">
        <v>4763995.9111108109</v>
      </c>
      <c r="CL5" s="184">
        <v>76342.743553736655</v>
      </c>
      <c r="CM5" s="184">
        <v>78703.859333749133</v>
      </c>
      <c r="CN5" s="184">
        <v>30002.227431207</v>
      </c>
      <c r="CO5" s="184">
        <v>46340.516122529662</v>
      </c>
      <c r="CP5" s="330">
        <v>77.264572488858235</v>
      </c>
      <c r="CQ5" s="187">
        <v>0.39299383326574899</v>
      </c>
      <c r="CR5" s="187">
        <v>1</v>
      </c>
      <c r="CS5" s="115" t="s">
        <v>1677</v>
      </c>
      <c r="CV5" s="115">
        <v>2024.52</v>
      </c>
      <c r="CW5" s="115" t="s">
        <v>1415</v>
      </c>
      <c r="CX5" s="115" t="s">
        <v>1274</v>
      </c>
      <c r="CY5" s="115" t="s">
        <v>1796</v>
      </c>
      <c r="CZ5" s="330">
        <v>1497.8679999999999</v>
      </c>
      <c r="DA5" s="115"/>
      <c r="DB5" s="115"/>
      <c r="DC5" s="115" t="s">
        <v>1415</v>
      </c>
      <c r="DD5" s="115" t="s">
        <v>2114</v>
      </c>
      <c r="DE5" s="115" t="s">
        <v>1242</v>
      </c>
      <c r="DF5" s="115" t="s">
        <v>1263</v>
      </c>
      <c r="DG5" s="115">
        <v>-15368.310000000009</v>
      </c>
      <c r="DJ5" s="115" t="s">
        <v>1416</v>
      </c>
      <c r="DK5" s="115" t="s">
        <v>2114</v>
      </c>
      <c r="DL5" s="115" t="s">
        <v>412</v>
      </c>
      <c r="DM5" s="115" t="s">
        <v>300</v>
      </c>
      <c r="DN5" s="115" t="s">
        <v>2122</v>
      </c>
      <c r="DO5" s="115">
        <v>130</v>
      </c>
      <c r="DP5" s="115">
        <v>32926.160000000003</v>
      </c>
      <c r="DR5" s="216"/>
      <c r="DS5" s="115">
        <v>0</v>
      </c>
      <c r="DT5" s="115" t="s">
        <v>1415</v>
      </c>
      <c r="DU5" s="115">
        <v>0</v>
      </c>
      <c r="DV5" s="115">
        <v>3</v>
      </c>
      <c r="DW5" s="115" t="s">
        <v>2114</v>
      </c>
      <c r="DX5"/>
      <c r="DY5" s="115"/>
      <c r="DZ5" s="115" t="s">
        <v>1415</v>
      </c>
      <c r="EA5" s="115" t="s">
        <v>2114</v>
      </c>
      <c r="EB5" s="115">
        <v>0</v>
      </c>
      <c r="EC5" s="115" t="s">
        <v>83</v>
      </c>
      <c r="ED5" s="115" t="s">
        <v>1697</v>
      </c>
      <c r="EE5" s="187">
        <v>1</v>
      </c>
      <c r="EF5" s="330">
        <v>53.569899999999997</v>
      </c>
      <c r="EG5" s="330">
        <v>0</v>
      </c>
      <c r="EH5" s="115" t="s">
        <v>387</v>
      </c>
      <c r="EI5" s="115" t="s">
        <v>1807</v>
      </c>
      <c r="EJ5" s="115"/>
      <c r="EK5" s="115" t="s">
        <v>479</v>
      </c>
      <c r="EL5" s="115" t="s">
        <v>387</v>
      </c>
      <c r="EM5"/>
      <c r="EO5" s="115"/>
      <c r="EP5" s="334" t="s">
        <v>1416</v>
      </c>
      <c r="EQ5" s="334" t="s">
        <v>2114</v>
      </c>
      <c r="ER5" s="334" t="s">
        <v>1285</v>
      </c>
      <c r="ES5" s="334" t="s">
        <v>380</v>
      </c>
      <c r="ET5" s="334">
        <v>2024.44</v>
      </c>
      <c r="EU5" s="334" t="s">
        <v>397</v>
      </c>
      <c r="EV5" s="334">
        <v>0</v>
      </c>
      <c r="EY5" s="115" t="s">
        <v>1274</v>
      </c>
      <c r="EZ5" s="115" t="s">
        <v>507</v>
      </c>
    </row>
    <row r="6" spans="1:156" ht="13">
      <c r="D6" s="115" t="s">
        <v>1502</v>
      </c>
      <c r="E6" s="115" t="s">
        <v>1643</v>
      </c>
      <c r="F6" s="115">
        <v>36316.565999999999</v>
      </c>
      <c r="I6" s="115" t="s">
        <v>1496</v>
      </c>
      <c r="J6" s="115" t="s">
        <v>1355</v>
      </c>
      <c r="K6" s="183">
        <v>4</v>
      </c>
      <c r="N6" s="115" t="s">
        <v>1416</v>
      </c>
      <c r="O6" s="115">
        <v>162613</v>
      </c>
      <c r="P6" s="115" t="s">
        <v>1546</v>
      </c>
      <c r="Q6" s="121">
        <v>0</v>
      </c>
      <c r="U6" s="121">
        <v>-469.3</v>
      </c>
      <c r="V6" s="121">
        <v>-469.3</v>
      </c>
      <c r="W6" s="115">
        <v>0</v>
      </c>
      <c r="X6" s="119">
        <v>45626</v>
      </c>
      <c r="Y6" s="119">
        <v>45626</v>
      </c>
      <c r="Z6" s="119">
        <v>45626</v>
      </c>
      <c r="AA6" s="119">
        <v>45626</v>
      </c>
      <c r="AB6" s="115" t="s">
        <v>2159</v>
      </c>
      <c r="AC6" s="115">
        <v>-938.6</v>
      </c>
      <c r="AD6" s="115">
        <v>0</v>
      </c>
      <c r="AF6" s="117" t="s">
        <v>2219</v>
      </c>
      <c r="AG6" s="115"/>
      <c r="AH6" s="115"/>
      <c r="AI6" s="115" t="s">
        <v>1416</v>
      </c>
      <c r="AJ6" t="s">
        <v>2114</v>
      </c>
      <c r="AK6" s="115">
        <v>0</v>
      </c>
      <c r="AL6" s="115" t="s">
        <v>1842</v>
      </c>
      <c r="AM6" s="115" t="s">
        <v>1832</v>
      </c>
      <c r="AN6" s="115" t="s">
        <v>1458</v>
      </c>
      <c r="AO6" s="115" t="s">
        <v>372</v>
      </c>
      <c r="AQ6" s="336" t="str">
        <v>CurInt</v>
      </c>
      <c r="AT6" s="115" t="s">
        <v>1416</v>
      </c>
      <c r="AU6" s="115" t="s">
        <v>2114</v>
      </c>
      <c r="AV6" s="115">
        <v>0</v>
      </c>
      <c r="AW6" s="115" t="s">
        <v>1679</v>
      </c>
      <c r="AX6" s="115" t="s">
        <v>28</v>
      </c>
      <c r="AY6" s="115" t="s">
        <v>1843</v>
      </c>
      <c r="AZ6" s="115" t="s">
        <v>1862</v>
      </c>
      <c r="BA6" s="115"/>
      <c r="BB6" s="115"/>
      <c r="BC6" s="115"/>
      <c r="BD6" s="115"/>
      <c r="BE6" s="115"/>
      <c r="BF6" s="115"/>
      <c r="BG6" s="115"/>
      <c r="BH6" s="115"/>
      <c r="BI6" s="115"/>
      <c r="BJ6" s="115"/>
      <c r="BK6" s="115"/>
      <c r="BL6" s="115"/>
      <c r="BM6" s="115"/>
      <c r="BN6" s="115"/>
      <c r="BO6" s="115"/>
      <c r="BP6" s="115">
        <v>11033.339900000001</v>
      </c>
      <c r="BQ6" s="115"/>
      <c r="BR6" s="182"/>
      <c r="BS6" s="115" t="s">
        <v>1502</v>
      </c>
      <c r="BU6" s="115" t="s">
        <v>1305</v>
      </c>
      <c r="BV6" s="182">
        <v>45202</v>
      </c>
      <c r="BW6" s="115" t="s">
        <v>1536</v>
      </c>
      <c r="BX6" s="115">
        <v>53394.64</v>
      </c>
      <c r="BY6" s="115">
        <v>0</v>
      </c>
      <c r="BZ6" s="115">
        <v>0</v>
      </c>
      <c r="CA6" s="115" t="s">
        <v>1300</v>
      </c>
      <c r="CB6" s="115" t="s">
        <v>1699</v>
      </c>
      <c r="CC6" s="115">
        <v>0</v>
      </c>
      <c r="CF6" s="115" t="s">
        <v>1415</v>
      </c>
      <c r="CG6" s="115">
        <v>16</v>
      </c>
      <c r="CH6" s="330">
        <v>385039.53949072171</v>
      </c>
      <c r="CI6" s="330">
        <v>385039.53949072171</v>
      </c>
      <c r="CJ6" s="330">
        <v>145803.94081730259</v>
      </c>
      <c r="CK6" s="330">
        <v>247358.90334580958</v>
      </c>
      <c r="CL6" s="184">
        <v>6117.6260870504439</v>
      </c>
      <c r="CM6" s="184">
        <v>6306.8310175777779</v>
      </c>
      <c r="CN6" s="184">
        <v>3274.0184033994883</v>
      </c>
      <c r="CO6" s="184">
        <v>2843.6076836509556</v>
      </c>
      <c r="CP6" s="330">
        <v>61.051190117124982</v>
      </c>
      <c r="CQ6" s="187">
        <v>0.53517791980287999</v>
      </c>
      <c r="CR6" s="187">
        <v>1</v>
      </c>
      <c r="CS6" s="115" t="s">
        <v>1677</v>
      </c>
      <c r="CV6" s="115">
        <v>2025.01</v>
      </c>
      <c r="CW6" s="115" t="s">
        <v>1415</v>
      </c>
      <c r="CX6" s="115" t="s">
        <v>1274</v>
      </c>
      <c r="CY6" s="115" t="s">
        <v>1796</v>
      </c>
      <c r="CZ6" s="330">
        <v>1497.8679999999999</v>
      </c>
      <c r="DA6" s="115"/>
      <c r="DB6" s="115"/>
      <c r="DC6" s="115" t="s">
        <v>1416</v>
      </c>
      <c r="DD6" s="115" t="s">
        <v>2114</v>
      </c>
      <c r="DE6" s="115" t="s">
        <v>301</v>
      </c>
      <c r="DF6" s="115" t="s">
        <v>1263</v>
      </c>
      <c r="DG6" s="115">
        <v>53.560000000000059</v>
      </c>
      <c r="DJ6" s="115" t="s">
        <v>1415</v>
      </c>
      <c r="DK6" s="115" t="s">
        <v>2114</v>
      </c>
      <c r="DL6" s="115" t="s">
        <v>412</v>
      </c>
      <c r="DM6" s="115" t="s">
        <v>300</v>
      </c>
      <c r="DN6" s="115" t="s">
        <v>2122</v>
      </c>
      <c r="DO6" s="115">
        <v>220</v>
      </c>
      <c r="DP6" s="115">
        <v>14594.76</v>
      </c>
      <c r="DR6" s="215"/>
      <c r="DS6" s="115">
        <v>2</v>
      </c>
      <c r="DT6" s="115" t="s">
        <v>1416</v>
      </c>
      <c r="DU6" s="115">
        <v>0</v>
      </c>
      <c r="DV6" s="115">
        <v>1</v>
      </c>
      <c r="DW6" s="115" t="s">
        <v>2114</v>
      </c>
      <c r="DX6"/>
      <c r="DY6" s="115"/>
      <c r="DZ6" s="115" t="s">
        <v>1415</v>
      </c>
      <c r="EA6" s="115" t="s">
        <v>2114</v>
      </c>
      <c r="EB6" s="115">
        <v>16</v>
      </c>
      <c r="EC6" s="115" t="s">
        <v>83</v>
      </c>
      <c r="ED6" s="115" t="s">
        <v>1697</v>
      </c>
      <c r="EE6" s="187">
        <v>1</v>
      </c>
      <c r="EF6" s="330">
        <v>53.569899999999997</v>
      </c>
      <c r="EG6" s="330">
        <v>0</v>
      </c>
      <c r="EH6" s="115" t="s">
        <v>387</v>
      </c>
      <c r="EI6" s="115" t="s">
        <v>1807</v>
      </c>
      <c r="EJ6" s="115"/>
      <c r="EK6" s="115" t="s">
        <v>479</v>
      </c>
      <c r="EL6" s="115" t="s">
        <v>387</v>
      </c>
      <c r="EM6"/>
      <c r="EO6" s="115"/>
      <c r="EP6" s="334" t="s">
        <v>1416</v>
      </c>
      <c r="EQ6" s="334" t="s">
        <v>2114</v>
      </c>
      <c r="ER6" s="334" t="s">
        <v>1285</v>
      </c>
      <c r="ES6" s="334" t="s">
        <v>380</v>
      </c>
      <c r="ET6" s="334">
        <v>2024.44</v>
      </c>
      <c r="EU6" s="334" t="s">
        <v>1382</v>
      </c>
      <c r="EV6" s="334">
        <v>302.24</v>
      </c>
      <c r="EY6" s="115" t="s">
        <v>360</v>
      </c>
      <c r="EZ6" s="115" t="s">
        <v>523</v>
      </c>
    </row>
    <row r="7" spans="1:156" ht="13">
      <c r="D7" s="115" t="s">
        <v>1503</v>
      </c>
      <c r="E7" s="115" t="s">
        <v>1643</v>
      </c>
      <c r="F7" s="115">
        <v>66497.551000000007</v>
      </c>
      <c r="I7" s="115" t="s">
        <v>1496</v>
      </c>
      <c r="J7" s="115" t="s">
        <v>1361</v>
      </c>
      <c r="K7" s="183">
        <v>69.23</v>
      </c>
      <c r="N7" s="115" t="s">
        <v>1416</v>
      </c>
      <c r="O7" s="115">
        <v>161908</v>
      </c>
      <c r="P7" s="115" t="s">
        <v>1546</v>
      </c>
      <c r="Q7" s="121">
        <v>0</v>
      </c>
      <c r="U7" s="121">
        <v>10335</v>
      </c>
      <c r="V7" s="121">
        <v>10335</v>
      </c>
      <c r="W7" s="115">
        <v>0</v>
      </c>
      <c r="X7" s="119">
        <v>45344</v>
      </c>
      <c r="Y7" s="119">
        <v>45553</v>
      </c>
      <c r="Z7" s="119">
        <v>45344</v>
      </c>
      <c r="AA7" s="119">
        <v>45553</v>
      </c>
      <c r="AB7" s="115" t="s">
        <v>2005</v>
      </c>
      <c r="AC7" s="115">
        <v>0</v>
      </c>
      <c r="AD7" s="115">
        <v>0</v>
      </c>
      <c r="AF7" s="117" t="s">
        <v>1858</v>
      </c>
      <c r="AG7" s="115"/>
      <c r="AH7" s="115"/>
      <c r="AI7" s="115" t="s">
        <v>1416</v>
      </c>
      <c r="AJ7" t="s">
        <v>2114</v>
      </c>
      <c r="AK7" s="115">
        <v>0</v>
      </c>
      <c r="AL7" s="115" t="s">
        <v>1842</v>
      </c>
      <c r="AM7" s="115" t="s">
        <v>1850</v>
      </c>
      <c r="AN7" s="115" t="s">
        <v>1458</v>
      </c>
      <c r="AO7" s="115" t="s">
        <v>372</v>
      </c>
      <c r="AQ7" s="336" t="str">
        <v>CurPpto</v>
      </c>
      <c r="AT7" s="115" t="s">
        <v>1416</v>
      </c>
      <c r="AU7" s="115" t="s">
        <v>2114</v>
      </c>
      <c r="AV7" s="115">
        <v>0</v>
      </c>
      <c r="AW7" s="115" t="s">
        <v>1679</v>
      </c>
      <c r="AX7" s="115" t="s">
        <v>1842</v>
      </c>
      <c r="AY7" s="115" t="s">
        <v>1846</v>
      </c>
      <c r="AZ7" s="115" t="s">
        <v>1863</v>
      </c>
      <c r="BA7" s="115"/>
      <c r="BB7" s="115"/>
      <c r="BC7" s="115"/>
      <c r="BD7" s="115"/>
      <c r="BE7" s="115"/>
      <c r="BF7" s="115"/>
      <c r="BG7" s="115"/>
      <c r="BH7" s="115"/>
      <c r="BI7" s="115"/>
      <c r="BJ7" s="115"/>
      <c r="BK7" s="115"/>
      <c r="BL7" s="115"/>
      <c r="BM7" s="115"/>
      <c r="BN7" s="115"/>
      <c r="BO7" s="115"/>
      <c r="BP7" s="115">
        <v>7019.4058999999997</v>
      </c>
      <c r="BQ7" s="115"/>
      <c r="BR7" s="182"/>
      <c r="BS7" s="115" t="s">
        <v>1859</v>
      </c>
      <c r="BU7" s="115" t="s">
        <v>1305</v>
      </c>
      <c r="BV7" s="182">
        <v>45208</v>
      </c>
      <c r="BW7" s="115" t="s">
        <v>1536</v>
      </c>
      <c r="BX7" s="115">
        <v>0</v>
      </c>
      <c r="BY7" s="115">
        <v>0</v>
      </c>
      <c r="BZ7" s="115">
        <v>0</v>
      </c>
      <c r="CA7" s="115" t="s">
        <v>1300</v>
      </c>
      <c r="CB7" s="115" t="s">
        <v>1699</v>
      </c>
      <c r="CC7" s="115">
        <v>0</v>
      </c>
      <c r="CF7" s="115" t="s">
        <v>1416</v>
      </c>
      <c r="CG7" s="115">
        <v>0</v>
      </c>
      <c r="CH7" s="330">
        <v>18052.745800000001</v>
      </c>
      <c r="CI7" s="330">
        <v>18052.745800000001</v>
      </c>
      <c r="CJ7" s="330">
        <v>0</v>
      </c>
      <c r="CK7" s="330">
        <v>18052.745800000001</v>
      </c>
      <c r="CL7" s="184">
        <v>0</v>
      </c>
      <c r="CN7" s="184">
        <v>0</v>
      </c>
      <c r="CO7" s="184">
        <v>0</v>
      </c>
      <c r="CP7" s="330"/>
      <c r="CQ7" s="187">
        <v>0</v>
      </c>
      <c r="CR7" s="187">
        <v>1</v>
      </c>
      <c r="CS7" s="115" t="s">
        <v>386</v>
      </c>
      <c r="CV7" s="115">
        <v>2025.04</v>
      </c>
      <c r="CW7" s="115" t="s">
        <v>1415</v>
      </c>
      <c r="CX7" s="115" t="s">
        <v>372</v>
      </c>
      <c r="CY7" s="115" t="s">
        <v>1796</v>
      </c>
      <c r="CZ7" s="330">
        <v>3328.1010000000001</v>
      </c>
      <c r="DA7" s="115"/>
      <c r="DB7" s="115"/>
      <c r="DC7" s="115" t="s">
        <v>1416</v>
      </c>
      <c r="DD7" s="115" t="s">
        <v>2114</v>
      </c>
      <c r="DE7" s="115" t="s">
        <v>301</v>
      </c>
      <c r="DF7" s="115" t="s">
        <v>1240</v>
      </c>
      <c r="DG7" s="115">
        <v>858.34</v>
      </c>
      <c r="DJ7" s="115" t="s">
        <v>1415</v>
      </c>
      <c r="DK7" s="115" t="s">
        <v>2114</v>
      </c>
      <c r="DL7" s="115" t="s">
        <v>410</v>
      </c>
      <c r="DM7" s="115" t="s">
        <v>1242</v>
      </c>
      <c r="DN7" s="115" t="s">
        <v>2124</v>
      </c>
      <c r="DO7" s="115">
        <v>240</v>
      </c>
      <c r="DP7" s="115">
        <v>-15368.31</v>
      </c>
      <c r="DR7" s="215"/>
      <c r="DY7" s="115"/>
      <c r="DZ7" s="115" t="s">
        <v>1415</v>
      </c>
      <c r="EA7" s="115" t="s">
        <v>2114</v>
      </c>
      <c r="EB7" s="115">
        <v>15</v>
      </c>
      <c r="EC7" s="115" t="s">
        <v>85</v>
      </c>
      <c r="ED7" s="115" t="s">
        <v>1697</v>
      </c>
      <c r="EE7" s="187">
        <v>1</v>
      </c>
      <c r="EF7" s="330">
        <v>40.142400000000002</v>
      </c>
      <c r="EG7" s="330">
        <v>0</v>
      </c>
      <c r="EH7" s="115" t="s">
        <v>376</v>
      </c>
      <c r="EI7" s="115" t="s">
        <v>1808</v>
      </c>
      <c r="EJ7" s="115"/>
      <c r="EK7" s="115" t="s">
        <v>327</v>
      </c>
      <c r="EL7" s="115" t="s">
        <v>1642</v>
      </c>
      <c r="EM7"/>
      <c r="EO7" s="115"/>
      <c r="EP7" s="334" t="s">
        <v>1416</v>
      </c>
      <c r="EQ7" s="334" t="s">
        <v>2114</v>
      </c>
      <c r="ER7" s="334" t="s">
        <v>288</v>
      </c>
      <c r="ES7" s="334" t="s">
        <v>1274</v>
      </c>
      <c r="ET7" s="334">
        <v>2024.44</v>
      </c>
      <c r="EU7" s="334" t="s">
        <v>397</v>
      </c>
      <c r="EV7" s="334">
        <v>0</v>
      </c>
      <c r="EY7" s="115" t="s">
        <v>377</v>
      </c>
      <c r="EZ7" s="115" t="s">
        <v>535</v>
      </c>
    </row>
    <row r="8" spans="1:156" ht="13">
      <c r="D8" s="115" t="s">
        <v>1503</v>
      </c>
      <c r="E8" s="115" t="s">
        <v>1642</v>
      </c>
      <c r="F8" s="115">
        <v>6259.3960999999999</v>
      </c>
      <c r="I8" s="115" t="s">
        <v>1496</v>
      </c>
      <c r="J8" s="115" t="s">
        <v>1364</v>
      </c>
      <c r="K8" s="183">
        <v>300</v>
      </c>
      <c r="N8" s="115" t="s">
        <v>1416</v>
      </c>
      <c r="O8" s="115">
        <v>162089</v>
      </c>
      <c r="P8" s="115" t="s">
        <v>1546</v>
      </c>
      <c r="Q8" s="121">
        <v>0</v>
      </c>
      <c r="U8" s="121">
        <v>4693</v>
      </c>
      <c r="V8" s="121">
        <v>4693</v>
      </c>
      <c r="W8" s="115">
        <v>0</v>
      </c>
      <c r="X8" s="119">
        <v>45344</v>
      </c>
      <c r="Y8" s="119">
        <v>45553</v>
      </c>
      <c r="Z8" s="119">
        <v>45344</v>
      </c>
      <c r="AA8" s="119">
        <v>45553</v>
      </c>
      <c r="AB8" s="115" t="s">
        <v>2160</v>
      </c>
      <c r="AC8" s="115">
        <v>938.6</v>
      </c>
      <c r="AD8" s="115">
        <v>0</v>
      </c>
      <c r="AF8" s="117" t="s">
        <v>1549</v>
      </c>
      <c r="AG8" s="115"/>
      <c r="AH8" s="115"/>
      <c r="AI8" s="115" t="s">
        <v>1416</v>
      </c>
      <c r="AJ8" t="s">
        <v>2114</v>
      </c>
      <c r="AK8" s="115">
        <v>0</v>
      </c>
      <c r="AL8" s="115" t="s">
        <v>1842</v>
      </c>
      <c r="AM8" s="115" t="s">
        <v>1846</v>
      </c>
      <c r="AN8" s="115" t="s">
        <v>1458</v>
      </c>
      <c r="AO8" s="115" t="s">
        <v>372</v>
      </c>
      <c r="AQ8" s="336" t="str">
        <v>HrsExt</v>
      </c>
      <c r="AT8" s="115" t="s">
        <v>1415</v>
      </c>
      <c r="AU8" s="115" t="s">
        <v>2114</v>
      </c>
      <c r="AV8" s="115">
        <v>15</v>
      </c>
      <c r="AW8" s="115" t="s">
        <v>1679</v>
      </c>
      <c r="AX8" s="115" t="s">
        <v>1842</v>
      </c>
      <c r="AY8" s="115" t="s">
        <v>1846</v>
      </c>
      <c r="AZ8" s="115" t="s">
        <v>1863</v>
      </c>
      <c r="BA8" s="115"/>
      <c r="BB8" s="115"/>
      <c r="BC8" s="115"/>
      <c r="BD8" s="115"/>
      <c r="BE8" s="115"/>
      <c r="BF8" s="115"/>
      <c r="BG8" s="115"/>
      <c r="BH8" s="115"/>
      <c r="BI8" s="115"/>
      <c r="BJ8" s="115"/>
      <c r="BK8" s="115"/>
      <c r="BL8" s="115"/>
      <c r="BM8" s="115"/>
      <c r="BN8" s="115"/>
      <c r="BO8" s="115"/>
      <c r="BP8" s="115">
        <v>233207.6263</v>
      </c>
      <c r="BQ8" s="115"/>
      <c r="BR8" s="182"/>
      <c r="BS8" s="115" t="s">
        <v>1503</v>
      </c>
      <c r="BU8" s="115" t="s">
        <v>1305</v>
      </c>
      <c r="BV8" s="182">
        <v>45264</v>
      </c>
      <c r="BW8" s="115" t="s">
        <v>1536</v>
      </c>
      <c r="BX8" s="115">
        <v>570349.15</v>
      </c>
      <c r="BY8" s="115">
        <v>0</v>
      </c>
      <c r="BZ8" s="115">
        <v>0</v>
      </c>
      <c r="CA8" s="115" t="s">
        <v>1300</v>
      </c>
      <c r="CB8" s="115" t="s">
        <v>1699</v>
      </c>
      <c r="CC8" s="115">
        <v>0</v>
      </c>
      <c r="CF8" s="115" t="s">
        <v>1416</v>
      </c>
      <c r="CG8" s="115">
        <v>0</v>
      </c>
      <c r="CH8" s="330">
        <v>25759.094960000002</v>
      </c>
      <c r="CI8" s="330">
        <v>26555.768041237116</v>
      </c>
      <c r="CJ8" s="330">
        <v>5431.1308799999997</v>
      </c>
      <c r="CK8" s="330">
        <v>20327.964080000002</v>
      </c>
      <c r="CL8" s="184">
        <v>554.83999999999992</v>
      </c>
      <c r="CM8" s="184">
        <v>572</v>
      </c>
      <c r="CN8" s="184">
        <v>130.36799999999999</v>
      </c>
      <c r="CO8" s="184">
        <v>424.47199999999998</v>
      </c>
      <c r="CP8" s="330">
        <v>46.426167904260694</v>
      </c>
      <c r="CQ8" s="187">
        <v>0.23496503496503501</v>
      </c>
      <c r="CR8" s="187">
        <v>0.96999999849373597</v>
      </c>
      <c r="CS8" s="115" t="s">
        <v>372</v>
      </c>
      <c r="CV8" s="115">
        <v>2024.49</v>
      </c>
      <c r="CW8" s="115" t="s">
        <v>1415</v>
      </c>
      <c r="CX8" s="115" t="s">
        <v>1274</v>
      </c>
      <c r="CY8" s="115" t="s">
        <v>1796</v>
      </c>
      <c r="CZ8" s="330">
        <v>898.72080000000005</v>
      </c>
      <c r="DA8" s="115"/>
      <c r="DB8" s="115"/>
      <c r="DC8" s="115" t="s">
        <v>1415</v>
      </c>
      <c r="DD8" s="115" t="s">
        <v>2114</v>
      </c>
      <c r="DE8" s="115" t="s">
        <v>301</v>
      </c>
      <c r="DF8" s="115" t="s">
        <v>1240</v>
      </c>
      <c r="DG8" s="115">
        <v>67200.800000000003</v>
      </c>
      <c r="DJ8" s="115" t="s">
        <v>1416</v>
      </c>
      <c r="DK8" s="115" t="s">
        <v>2114</v>
      </c>
      <c r="DL8" s="115" t="s">
        <v>413</v>
      </c>
      <c r="DM8" s="115" t="s">
        <v>301</v>
      </c>
      <c r="DN8" s="115" t="s">
        <v>2123</v>
      </c>
      <c r="DO8" s="115">
        <v>140</v>
      </c>
      <c r="DP8" s="115">
        <v>911.9</v>
      </c>
      <c r="DR8" s="215"/>
      <c r="DY8" s="115"/>
      <c r="DZ8" s="115" t="s">
        <v>1416</v>
      </c>
      <c r="EA8" s="115" t="s">
        <v>2114</v>
      </c>
      <c r="EB8" s="115">
        <v>0</v>
      </c>
      <c r="EC8" s="115" t="s">
        <v>85</v>
      </c>
      <c r="ED8" s="115" t="s">
        <v>1697</v>
      </c>
      <c r="EE8" s="187">
        <v>1</v>
      </c>
      <c r="EF8" s="330">
        <v>37.19</v>
      </c>
      <c r="EG8" s="330">
        <v>0</v>
      </c>
      <c r="EH8" s="115" t="s">
        <v>376</v>
      </c>
      <c r="EI8" s="115" t="s">
        <v>1808</v>
      </c>
      <c r="EJ8" s="115"/>
      <c r="EK8" s="115" t="s">
        <v>327</v>
      </c>
      <c r="EL8" s="115" t="s">
        <v>1642</v>
      </c>
      <c r="EM8"/>
      <c r="EO8" s="115"/>
      <c r="EP8" s="334" t="s">
        <v>1416</v>
      </c>
      <c r="EQ8" s="334" t="s">
        <v>2114</v>
      </c>
      <c r="ER8" s="334" t="s">
        <v>288</v>
      </c>
      <c r="ES8" s="334" t="s">
        <v>1274</v>
      </c>
      <c r="ET8" s="334">
        <v>2024.44</v>
      </c>
      <c r="EU8" s="334" t="s">
        <v>1382</v>
      </c>
      <c r="EV8" s="334">
        <v>656.6</v>
      </c>
      <c r="EY8" s="115" t="s">
        <v>378</v>
      </c>
      <c r="EZ8" s="115" t="s">
        <v>544</v>
      </c>
    </row>
    <row r="9" spans="1:156" ht="13">
      <c r="D9" s="115" t="s">
        <v>1503</v>
      </c>
      <c r="E9" s="115" t="s">
        <v>1274</v>
      </c>
      <c r="F9" s="115">
        <v>16011.3202</v>
      </c>
      <c r="I9" s="115" t="s">
        <v>1496</v>
      </c>
      <c r="J9" s="115" t="s">
        <v>1367</v>
      </c>
      <c r="K9" s="183">
        <v>8</v>
      </c>
      <c r="N9" s="115" t="s">
        <v>1416</v>
      </c>
      <c r="O9" s="115">
        <v>162090</v>
      </c>
      <c r="P9" s="115" t="s">
        <v>1546</v>
      </c>
      <c r="Q9" s="121">
        <v>0</v>
      </c>
      <c r="U9" s="121">
        <v>18165</v>
      </c>
      <c r="V9" s="121">
        <v>18165</v>
      </c>
      <c r="W9" s="115">
        <v>0</v>
      </c>
      <c r="X9" s="119">
        <v>45344</v>
      </c>
      <c r="Y9" s="119">
        <v>45553</v>
      </c>
      <c r="Z9" s="119">
        <v>45344</v>
      </c>
      <c r="AA9" s="119">
        <v>45553</v>
      </c>
      <c r="AB9" s="115" t="s">
        <v>2006</v>
      </c>
      <c r="AC9" s="115">
        <v>0</v>
      </c>
      <c r="AD9" s="115">
        <v>0</v>
      </c>
      <c r="AF9" s="117" t="s">
        <v>1550</v>
      </c>
      <c r="AG9" s="115"/>
      <c r="AH9" s="115"/>
      <c r="AI9" s="115" t="s">
        <v>1416</v>
      </c>
      <c r="AJ9" t="s">
        <v>2114</v>
      </c>
      <c r="AK9" s="115">
        <v>0</v>
      </c>
      <c r="AL9" s="115" t="s">
        <v>28</v>
      </c>
      <c r="AM9" s="115" t="s">
        <v>1843</v>
      </c>
      <c r="AN9" s="115" t="s">
        <v>1417</v>
      </c>
      <c r="AO9" s="115" t="s">
        <v>1641</v>
      </c>
      <c r="AQ9" s="336" t="str">
        <v>HrsInt</v>
      </c>
      <c r="AT9" s="115" t="s">
        <v>1416</v>
      </c>
      <c r="AU9" s="115" t="s">
        <v>2114</v>
      </c>
      <c r="AV9" s="115">
        <v>0</v>
      </c>
      <c r="AW9" s="115" t="s">
        <v>1679</v>
      </c>
      <c r="AX9" s="115" t="s">
        <v>1842</v>
      </c>
      <c r="AY9" s="115" t="s">
        <v>1843</v>
      </c>
      <c r="AZ9" s="115" t="s">
        <v>1863</v>
      </c>
      <c r="BA9" s="115"/>
      <c r="BB9" s="115"/>
      <c r="BC9" s="115"/>
      <c r="BD9" s="115"/>
      <c r="BE9" s="115"/>
      <c r="BF9" s="115"/>
      <c r="BG9" s="115"/>
      <c r="BH9" s="115"/>
      <c r="BI9" s="115"/>
      <c r="BJ9" s="115"/>
      <c r="BK9" s="115"/>
      <c r="BL9" s="115"/>
      <c r="BM9" s="115"/>
      <c r="BN9" s="115"/>
      <c r="BO9" s="115"/>
      <c r="BP9" s="115">
        <v>7019.4058999999997</v>
      </c>
      <c r="BQ9" s="115"/>
      <c r="BR9" s="182"/>
      <c r="BS9" s="115" t="s">
        <v>1505</v>
      </c>
      <c r="BU9" s="115" t="s">
        <v>1305</v>
      </c>
      <c r="BV9" s="182">
        <v>45276</v>
      </c>
      <c r="BW9" s="115" t="s">
        <v>1536</v>
      </c>
      <c r="BX9" s="115">
        <v>825235.61</v>
      </c>
      <c r="BY9" s="115">
        <v>0</v>
      </c>
      <c r="BZ9" s="115">
        <v>0</v>
      </c>
      <c r="CA9" s="115" t="s">
        <v>1300</v>
      </c>
      <c r="CB9" s="115" t="s">
        <v>1699</v>
      </c>
      <c r="CC9" s="115">
        <v>0</v>
      </c>
      <c r="CF9" s="115" t="s">
        <v>1416</v>
      </c>
      <c r="CG9" s="115">
        <v>0</v>
      </c>
      <c r="CH9" s="330">
        <v>22818.626613333337</v>
      </c>
      <c r="CI9" s="330">
        <v>23524.357422680412</v>
      </c>
      <c r="CJ9" s="330">
        <v>18842.191800000004</v>
      </c>
      <c r="CK9" s="330">
        <v>3976.4348133333319</v>
      </c>
      <c r="CL9" s="184">
        <v>544.49333333333323</v>
      </c>
      <c r="CM9" s="184">
        <v>561.33333333333326</v>
      </c>
      <c r="CN9" s="184">
        <v>490.04399999999987</v>
      </c>
      <c r="CO9" s="184">
        <v>54.449333333333307</v>
      </c>
      <c r="CP9" s="330">
        <v>41.908000159169383</v>
      </c>
      <c r="CQ9" s="187">
        <v>0.9</v>
      </c>
      <c r="CR9" s="187">
        <v>0.96999999631587597</v>
      </c>
      <c r="CS9" s="115" t="s">
        <v>373</v>
      </c>
      <c r="CV9" s="115">
        <v>2025.02</v>
      </c>
      <c r="CW9" s="115" t="s">
        <v>1415</v>
      </c>
      <c r="CX9" s="115" t="s">
        <v>1274</v>
      </c>
      <c r="CY9" s="115" t="s">
        <v>1796</v>
      </c>
      <c r="CZ9" s="330">
        <v>2995.7359999999999</v>
      </c>
      <c r="DA9" s="115"/>
      <c r="DB9" s="115"/>
      <c r="DC9" s="115" t="s">
        <v>1415</v>
      </c>
      <c r="DD9" s="115" t="s">
        <v>2114</v>
      </c>
      <c r="DE9" s="115" t="s">
        <v>301</v>
      </c>
      <c r="DF9" s="115" t="s">
        <v>1263</v>
      </c>
      <c r="DG9" s="115">
        <v>2479.2300000000032</v>
      </c>
      <c r="DJ9" s="115" t="s">
        <v>1415</v>
      </c>
      <c r="DK9" s="115" t="s">
        <v>2114</v>
      </c>
      <c r="DL9" s="115" t="s">
        <v>413</v>
      </c>
      <c r="DM9" s="115" t="s">
        <v>301</v>
      </c>
      <c r="DN9" s="115" t="s">
        <v>2123</v>
      </c>
      <c r="DO9" s="115">
        <v>230</v>
      </c>
      <c r="DP9" s="115">
        <v>69680.03</v>
      </c>
      <c r="DR9" s="215"/>
      <c r="DY9" s="115"/>
      <c r="DZ9" s="115" t="s">
        <v>1415</v>
      </c>
      <c r="EA9" s="115" t="s">
        <v>2114</v>
      </c>
      <c r="EB9" s="115">
        <v>0</v>
      </c>
      <c r="EC9" s="115" t="s">
        <v>85</v>
      </c>
      <c r="ED9" s="115" t="s">
        <v>1697</v>
      </c>
      <c r="EE9" s="187">
        <v>1</v>
      </c>
      <c r="EF9" s="330">
        <v>40.142400000000002</v>
      </c>
      <c r="EG9" s="330">
        <v>0</v>
      </c>
      <c r="EH9" s="115" t="s">
        <v>376</v>
      </c>
      <c r="EI9" s="115" t="s">
        <v>1808</v>
      </c>
      <c r="EJ9" s="115"/>
      <c r="EK9" s="115" t="s">
        <v>327</v>
      </c>
      <c r="EL9" s="115" t="s">
        <v>1642</v>
      </c>
      <c r="EM9"/>
      <c r="EO9" s="115"/>
      <c r="EP9" s="334" t="s">
        <v>1416</v>
      </c>
      <c r="EQ9" s="334" t="s">
        <v>2114</v>
      </c>
      <c r="ER9" s="334" t="s">
        <v>288</v>
      </c>
      <c r="ES9" s="334" t="s">
        <v>379</v>
      </c>
      <c r="ET9" s="334">
        <v>2024.44</v>
      </c>
      <c r="EU9" s="334" t="s">
        <v>397</v>
      </c>
      <c r="EV9" s="334">
        <v>0</v>
      </c>
      <c r="EY9" s="115" t="s">
        <v>372</v>
      </c>
      <c r="EZ9" s="115" t="s">
        <v>1248</v>
      </c>
    </row>
    <row r="10" spans="1:156" ht="13">
      <c r="D10" s="115" t="s">
        <v>1503</v>
      </c>
      <c r="E10" s="115" t="s">
        <v>379</v>
      </c>
      <c r="F10" s="115">
        <v>-13023.6404</v>
      </c>
      <c r="I10" s="115" t="s">
        <v>1496</v>
      </c>
      <c r="J10" s="115" t="s">
        <v>1362</v>
      </c>
      <c r="K10" s="183">
        <v>95</v>
      </c>
      <c r="N10" s="115" t="s">
        <v>1415</v>
      </c>
      <c r="O10" s="115">
        <v>161942</v>
      </c>
      <c r="P10" s="115" t="s">
        <v>1546</v>
      </c>
      <c r="Q10" s="121">
        <v>2191977</v>
      </c>
      <c r="R10" s="119">
        <v>45189</v>
      </c>
      <c r="S10" s="119">
        <v>45189</v>
      </c>
      <c r="T10" s="115" t="s">
        <v>1556</v>
      </c>
      <c r="U10" s="121">
        <v>876790.8</v>
      </c>
      <c r="V10" s="121">
        <v>438395.4</v>
      </c>
      <c r="W10" s="115">
        <v>0</v>
      </c>
      <c r="X10" s="119">
        <v>45321</v>
      </c>
      <c r="Y10" s="119">
        <v>45715</v>
      </c>
      <c r="Z10" s="119">
        <v>45321</v>
      </c>
      <c r="AA10" s="119">
        <v>45715</v>
      </c>
      <c r="AB10" s="115" t="s">
        <v>2220</v>
      </c>
      <c r="AC10" s="115">
        <v>0</v>
      </c>
      <c r="AD10" s="115">
        <v>0</v>
      </c>
      <c r="AE10" s="115" t="s">
        <v>1557</v>
      </c>
      <c r="AF10" s="117" t="s">
        <v>1558</v>
      </c>
      <c r="AG10" s="115"/>
      <c r="AH10" s="115"/>
      <c r="AI10" s="115" t="s">
        <v>1416</v>
      </c>
      <c r="AJ10" t="s">
        <v>2114</v>
      </c>
      <c r="AK10" s="115">
        <v>0</v>
      </c>
      <c r="AL10" s="115" t="s">
        <v>28</v>
      </c>
      <c r="AM10" s="115" t="s">
        <v>1850</v>
      </c>
      <c r="AN10" s="115" t="s">
        <v>1417</v>
      </c>
      <c r="AO10" s="115" t="s">
        <v>1641</v>
      </c>
      <c r="AQ10" s="336" t="str">
        <v>HrsPpto</v>
      </c>
      <c r="AT10" s="115" t="s">
        <v>1415</v>
      </c>
      <c r="AU10" s="115" t="s">
        <v>2114</v>
      </c>
      <c r="AV10" s="115">
        <v>15</v>
      </c>
      <c r="AW10" s="115" t="s">
        <v>1679</v>
      </c>
      <c r="AX10" s="115" t="s">
        <v>1842</v>
      </c>
      <c r="AY10" s="115" t="s">
        <v>1843</v>
      </c>
      <c r="AZ10" s="115" t="s">
        <v>1863</v>
      </c>
      <c r="BA10" s="115"/>
      <c r="BB10" s="115"/>
      <c r="BC10" s="115"/>
      <c r="BD10" s="115"/>
      <c r="BE10" s="115"/>
      <c r="BF10" s="115"/>
      <c r="BG10" s="115"/>
      <c r="BH10" s="115"/>
      <c r="BI10" s="115"/>
      <c r="BJ10" s="115"/>
      <c r="BK10" s="115"/>
      <c r="BL10" s="115"/>
      <c r="BM10" s="115"/>
      <c r="BN10" s="115"/>
      <c r="BO10" s="115"/>
      <c r="BP10" s="115">
        <v>233207.6263</v>
      </c>
      <c r="BQ10" s="115"/>
      <c r="BR10" s="182"/>
      <c r="BS10" s="115" t="s">
        <v>1507</v>
      </c>
      <c r="BU10" s="115" t="s">
        <v>1306</v>
      </c>
      <c r="BV10" s="182">
        <v>45305</v>
      </c>
      <c r="BW10" s="115" t="s">
        <v>1536</v>
      </c>
      <c r="BX10" s="115">
        <v>13779.41</v>
      </c>
      <c r="BY10" s="115">
        <v>0</v>
      </c>
      <c r="BZ10" s="115">
        <v>0</v>
      </c>
      <c r="CA10" s="115" t="s">
        <v>1300</v>
      </c>
      <c r="CB10" s="115" t="s">
        <v>1699</v>
      </c>
      <c r="CC10" s="115">
        <v>0</v>
      </c>
      <c r="CF10" s="115" t="s">
        <v>1416</v>
      </c>
      <c r="CG10" s="115">
        <v>0</v>
      </c>
      <c r="CH10" s="330">
        <v>28754.723844000007</v>
      </c>
      <c r="CI10" s="330">
        <v>29644.045360824744</v>
      </c>
      <c r="CJ10" s="330">
        <v>3941.5949999999998</v>
      </c>
      <c r="CK10" s="330">
        <v>24813.128844000006</v>
      </c>
      <c r="CL10" s="184">
        <v>1051.0920000000001</v>
      </c>
      <c r="CM10" s="184">
        <v>1083.5999999999999</v>
      </c>
      <c r="CN10" s="184">
        <v>105.10919999999999</v>
      </c>
      <c r="CO10" s="184">
        <v>945.98280000000011</v>
      </c>
      <c r="CP10" s="330">
        <v>27.357000148417079</v>
      </c>
      <c r="CQ10" s="187">
        <v>0.1</v>
      </c>
      <c r="CR10" s="187">
        <v>0.96999999473756005</v>
      </c>
      <c r="CS10" s="115" t="s">
        <v>381</v>
      </c>
      <c r="CV10" s="115">
        <v>2025.03</v>
      </c>
      <c r="CW10" s="115" t="s">
        <v>1415</v>
      </c>
      <c r="CX10" s="115" t="s">
        <v>1274</v>
      </c>
      <c r="CY10" s="115" t="s">
        <v>1796</v>
      </c>
      <c r="CZ10" s="330">
        <v>2995.7359999999999</v>
      </c>
      <c r="DA10" s="115"/>
      <c r="DB10" s="115"/>
      <c r="DC10" s="115" t="s">
        <v>1416</v>
      </c>
      <c r="DD10" s="115" t="s">
        <v>2114</v>
      </c>
      <c r="DE10" s="115" t="s">
        <v>1242</v>
      </c>
      <c r="DF10" s="115" t="s">
        <v>1263</v>
      </c>
      <c r="DG10" s="115">
        <v>770.19999999999993</v>
      </c>
      <c r="DJ10" s="115" t="s">
        <v>1416</v>
      </c>
      <c r="DK10" s="115" t="s">
        <v>2114</v>
      </c>
      <c r="DL10" s="115" t="s">
        <v>410</v>
      </c>
      <c r="DM10" s="115" t="s">
        <v>1242</v>
      </c>
      <c r="DN10" s="115" t="s">
        <v>2124</v>
      </c>
      <c r="DO10" s="115">
        <v>150</v>
      </c>
      <c r="DP10" s="115">
        <v>770.2</v>
      </c>
      <c r="DR10" s="215"/>
      <c r="DY10" s="115"/>
      <c r="DZ10" s="115" t="s">
        <v>1415</v>
      </c>
      <c r="EA10" s="115" t="s">
        <v>2114</v>
      </c>
      <c r="EB10" s="115">
        <v>16</v>
      </c>
      <c r="EC10" s="115" t="s">
        <v>85</v>
      </c>
      <c r="ED10" s="115" t="s">
        <v>1697</v>
      </c>
      <c r="EE10" s="187">
        <v>1</v>
      </c>
      <c r="EF10" s="330">
        <v>40.142400000000002</v>
      </c>
      <c r="EG10" s="330">
        <v>0</v>
      </c>
      <c r="EH10" s="115" t="s">
        <v>376</v>
      </c>
      <c r="EI10" s="115" t="s">
        <v>1808</v>
      </c>
      <c r="EJ10" s="115"/>
      <c r="EK10" s="115" t="s">
        <v>327</v>
      </c>
      <c r="EL10" s="115" t="s">
        <v>1642</v>
      </c>
      <c r="EM10"/>
      <c r="EO10" s="115"/>
      <c r="EP10" s="334" t="s">
        <v>1416</v>
      </c>
      <c r="EQ10" s="334" t="s">
        <v>2114</v>
      </c>
      <c r="ER10" s="334" t="s">
        <v>288</v>
      </c>
      <c r="ES10" s="334" t="s">
        <v>379</v>
      </c>
      <c r="ET10" s="334">
        <v>2024.44</v>
      </c>
      <c r="EU10" s="334" t="s">
        <v>1382</v>
      </c>
      <c r="EV10" s="334">
        <v>3443.2</v>
      </c>
      <c r="EY10" s="115" t="s">
        <v>379</v>
      </c>
      <c r="EZ10" s="115" t="s">
        <v>567</v>
      </c>
    </row>
    <row r="11" spans="1:156" ht="13">
      <c r="D11" s="115" t="s">
        <v>1503</v>
      </c>
      <c r="E11" s="115" t="s">
        <v>1641</v>
      </c>
      <c r="F11" s="115">
        <v>19927.8845</v>
      </c>
      <c r="I11" s="115" t="s">
        <v>1496</v>
      </c>
      <c r="J11" s="115" t="s">
        <v>1368</v>
      </c>
      <c r="K11" s="183">
        <v>11.5</v>
      </c>
      <c r="N11" s="115" t="s">
        <v>1416</v>
      </c>
      <c r="O11" s="115">
        <v>162433</v>
      </c>
      <c r="P11" s="115" t="s">
        <v>1546</v>
      </c>
      <c r="Q11" s="121">
        <v>0</v>
      </c>
      <c r="U11" s="121">
        <v>18857</v>
      </c>
      <c r="V11" s="121">
        <v>18857</v>
      </c>
      <c r="W11" s="115">
        <v>0</v>
      </c>
      <c r="X11" s="119">
        <v>45565</v>
      </c>
      <c r="Y11" s="119">
        <v>45565</v>
      </c>
      <c r="Z11" s="119">
        <v>45565</v>
      </c>
      <c r="AA11" s="119">
        <v>45565</v>
      </c>
      <c r="AB11" s="115" t="s">
        <v>2007</v>
      </c>
      <c r="AC11" s="115">
        <v>0</v>
      </c>
      <c r="AD11" s="115">
        <v>0</v>
      </c>
      <c r="AF11" s="117" t="s">
        <v>2221</v>
      </c>
      <c r="AG11" s="115"/>
      <c r="AH11" s="115"/>
      <c r="AI11" s="115" t="s">
        <v>1416</v>
      </c>
      <c r="AJ11" t="s">
        <v>2114</v>
      </c>
      <c r="AK11" s="115">
        <v>0</v>
      </c>
      <c r="AL11" s="115" t="s">
        <v>28</v>
      </c>
      <c r="AM11" s="115" t="s">
        <v>1832</v>
      </c>
      <c r="AN11" s="115" t="s">
        <v>1417</v>
      </c>
      <c r="AO11" s="115" t="s">
        <v>1641</v>
      </c>
      <c r="AQ11" s="336"/>
      <c r="AT11" s="115" t="s">
        <v>1415</v>
      </c>
      <c r="AU11" s="115" t="s">
        <v>2114</v>
      </c>
      <c r="AV11" s="115">
        <v>15</v>
      </c>
      <c r="AW11" s="115" t="s">
        <v>1680</v>
      </c>
      <c r="AX11" s="115" t="s">
        <v>28</v>
      </c>
      <c r="AY11" s="115" t="s">
        <v>1848</v>
      </c>
      <c r="AZ11" s="115" t="s">
        <v>1864</v>
      </c>
      <c r="BA11" s="115">
        <v>57107.120497000011</v>
      </c>
      <c r="BB11" s="115"/>
      <c r="BC11" s="115"/>
      <c r="BD11" s="115"/>
      <c r="BE11" s="115"/>
      <c r="BF11" s="115"/>
      <c r="BG11" s="115"/>
      <c r="BH11" s="115"/>
      <c r="BI11" s="115"/>
      <c r="BJ11" s="115"/>
      <c r="BK11" s="115"/>
      <c r="BL11" s="115"/>
      <c r="BM11" s="115"/>
      <c r="BN11" s="115"/>
      <c r="BO11" s="115"/>
      <c r="BP11" s="115"/>
      <c r="BQ11" s="115"/>
      <c r="BR11" s="182"/>
      <c r="BS11" s="115" t="s">
        <v>1509</v>
      </c>
      <c r="BU11" s="115" t="s">
        <v>1306</v>
      </c>
      <c r="BV11" s="182">
        <v>45308</v>
      </c>
      <c r="BW11" s="115" t="s">
        <v>1536</v>
      </c>
      <c r="BX11" s="115">
        <v>56990.6</v>
      </c>
      <c r="BY11" s="115">
        <v>0</v>
      </c>
      <c r="BZ11" s="115">
        <v>0</v>
      </c>
      <c r="CA11" s="115" t="s">
        <v>1301</v>
      </c>
      <c r="CB11" s="115" t="s">
        <v>1699</v>
      </c>
      <c r="CC11" s="115">
        <v>0</v>
      </c>
      <c r="CF11" s="115" t="s">
        <v>1416</v>
      </c>
      <c r="CG11" s="115">
        <v>0</v>
      </c>
      <c r="CH11" s="330">
        <v>16628.966128500004</v>
      </c>
      <c r="CI11" s="330">
        <v>17143.264020618557</v>
      </c>
      <c r="CJ11" s="330">
        <v>2279.4393750000004</v>
      </c>
      <c r="CK11" s="330">
        <v>14349.526753500004</v>
      </c>
      <c r="CL11" s="184">
        <v>607.85050000000012</v>
      </c>
      <c r="CM11" s="184">
        <v>626.65</v>
      </c>
      <c r="CN11" s="184">
        <v>60.785049999999991</v>
      </c>
      <c r="CO11" s="184">
        <v>547.06545000000017</v>
      </c>
      <c r="CP11" s="330">
        <v>27.356999953113473</v>
      </c>
      <c r="CQ11" s="187">
        <v>0.1</v>
      </c>
      <c r="CR11" s="187">
        <v>0.97000000166246103</v>
      </c>
      <c r="CS11" s="115" t="s">
        <v>1645</v>
      </c>
      <c r="CV11" s="115">
        <v>2024.48</v>
      </c>
      <c r="CW11" s="115" t="s">
        <v>1415</v>
      </c>
      <c r="CX11" s="115" t="s">
        <v>1274</v>
      </c>
      <c r="CY11" s="115" t="s">
        <v>1796</v>
      </c>
      <c r="CZ11" s="330">
        <v>1497.8679999999999</v>
      </c>
      <c r="DA11" s="115"/>
      <c r="DB11" s="115"/>
      <c r="DC11" s="115" t="s">
        <v>1416</v>
      </c>
      <c r="DD11" s="115" t="s">
        <v>2114</v>
      </c>
      <c r="DE11" s="115" t="s">
        <v>1243</v>
      </c>
      <c r="DF11" s="115" t="s">
        <v>1263</v>
      </c>
      <c r="DG11" s="115">
        <v>3257.0799999999995</v>
      </c>
      <c r="DJ11" s="115" t="s">
        <v>1416</v>
      </c>
      <c r="DK11" s="115" t="s">
        <v>2114</v>
      </c>
      <c r="DL11" s="115" t="s">
        <v>411</v>
      </c>
      <c r="DM11" s="115" t="s">
        <v>1243</v>
      </c>
      <c r="DN11" s="115" t="s">
        <v>2125</v>
      </c>
      <c r="DO11" s="115">
        <v>160</v>
      </c>
      <c r="DP11" s="115">
        <v>3257.08</v>
      </c>
      <c r="DR11" s="215"/>
      <c r="DY11" s="115"/>
      <c r="DZ11" s="115" t="s">
        <v>1415</v>
      </c>
      <c r="EA11" s="115" t="s">
        <v>2114</v>
      </c>
      <c r="EB11" s="115">
        <v>15</v>
      </c>
      <c r="EC11" s="115" t="s">
        <v>94</v>
      </c>
      <c r="ED11" s="115" t="s">
        <v>1697</v>
      </c>
      <c r="EE11" s="187">
        <v>0.5</v>
      </c>
      <c r="EF11" s="330">
        <v>48.604700000000001</v>
      </c>
      <c r="EG11" s="330">
        <v>52.567700000000002</v>
      </c>
      <c r="EH11" s="115" t="s">
        <v>360</v>
      </c>
      <c r="EI11" s="115" t="s">
        <v>1815</v>
      </c>
      <c r="EJ11" s="115"/>
      <c r="EK11" s="115" t="s">
        <v>327</v>
      </c>
      <c r="EL11" s="115" t="s">
        <v>360</v>
      </c>
      <c r="EM11"/>
      <c r="EO11" s="115"/>
      <c r="EP11" s="334" t="s">
        <v>1416</v>
      </c>
      <c r="EQ11" s="334" t="s">
        <v>2114</v>
      </c>
      <c r="ER11" s="334" t="s">
        <v>288</v>
      </c>
      <c r="ES11" s="334" t="s">
        <v>373</v>
      </c>
      <c r="ET11" s="334">
        <v>2024.44</v>
      </c>
      <c r="EU11" s="334" t="s">
        <v>397</v>
      </c>
      <c r="EV11" s="334">
        <v>0</v>
      </c>
      <c r="EY11" s="115" t="s">
        <v>380</v>
      </c>
      <c r="EZ11" s="115" t="s">
        <v>576</v>
      </c>
    </row>
    <row r="12" spans="1:156" ht="13">
      <c r="D12" s="115" t="s">
        <v>1503</v>
      </c>
      <c r="E12" s="115" t="s">
        <v>380</v>
      </c>
      <c r="F12" s="115">
        <v>-10614.328299999999</v>
      </c>
      <c r="I12" s="115" t="s">
        <v>1496</v>
      </c>
      <c r="J12" s="115" t="s">
        <v>1360</v>
      </c>
      <c r="K12" s="183">
        <v>0.25</v>
      </c>
      <c r="N12" s="115" t="s">
        <v>1416</v>
      </c>
      <c r="O12" s="115">
        <v>162511</v>
      </c>
      <c r="P12" s="115" t="s">
        <v>1546</v>
      </c>
      <c r="Q12" s="121">
        <v>0</v>
      </c>
      <c r="U12" s="121">
        <v>9005</v>
      </c>
      <c r="V12" s="121">
        <v>9005</v>
      </c>
      <c r="W12" s="115">
        <v>0</v>
      </c>
      <c r="X12" s="119">
        <v>45608</v>
      </c>
      <c r="Y12" s="119">
        <v>45608</v>
      </c>
      <c r="Z12" s="119">
        <v>45608</v>
      </c>
      <c r="AA12" s="119">
        <v>45608</v>
      </c>
      <c r="AB12" s="115" t="s">
        <v>2161</v>
      </c>
      <c r="AC12" s="115">
        <v>0</v>
      </c>
      <c r="AD12" s="115">
        <v>0</v>
      </c>
      <c r="AF12" s="117" t="s">
        <v>2222</v>
      </c>
      <c r="AG12" s="115"/>
      <c r="AH12" s="115"/>
      <c r="AI12" s="115" t="s">
        <v>1416</v>
      </c>
      <c r="AJ12" t="s">
        <v>2114</v>
      </c>
      <c r="AK12" s="115">
        <v>0</v>
      </c>
      <c r="AL12" s="115" t="s">
        <v>28</v>
      </c>
      <c r="AM12" s="115" t="s">
        <v>1848</v>
      </c>
      <c r="AN12" s="115" t="s">
        <v>1417</v>
      </c>
      <c r="AO12" s="115" t="s">
        <v>1641</v>
      </c>
      <c r="AQ12" s="336"/>
      <c r="AT12" s="115" t="s">
        <v>1416</v>
      </c>
      <c r="AU12" s="115" t="s">
        <v>2114</v>
      </c>
      <c r="AV12" s="115">
        <v>0</v>
      </c>
      <c r="AW12" s="115" t="s">
        <v>1680</v>
      </c>
      <c r="AX12" s="115" t="s">
        <v>28</v>
      </c>
      <c r="AY12" s="115" t="s">
        <v>1848</v>
      </c>
      <c r="AZ12" s="115" t="s">
        <v>1864</v>
      </c>
      <c r="BA12" s="115">
        <v>27151.580400000003</v>
      </c>
      <c r="BB12" s="115"/>
      <c r="BC12" s="115"/>
      <c r="BD12" s="115"/>
      <c r="BE12" s="115"/>
      <c r="BF12" s="115"/>
      <c r="BG12" s="115"/>
      <c r="BH12" s="115"/>
      <c r="BI12" s="115"/>
      <c r="BJ12" s="115"/>
      <c r="BK12" s="115"/>
      <c r="BL12" s="115"/>
      <c r="BM12" s="115"/>
      <c r="BN12" s="115"/>
      <c r="BO12" s="115"/>
      <c r="BP12" s="115"/>
      <c r="BQ12" s="115"/>
      <c r="BR12" s="182"/>
      <c r="BS12" s="115" t="s">
        <v>1511</v>
      </c>
      <c r="BU12" s="115" t="s">
        <v>1306</v>
      </c>
      <c r="BV12" s="182">
        <v>45305</v>
      </c>
      <c r="BW12" s="115" t="s">
        <v>1536</v>
      </c>
      <c r="BX12" s="115">
        <v>-74113</v>
      </c>
      <c r="BY12" s="115">
        <v>0</v>
      </c>
      <c r="BZ12" s="115">
        <v>0</v>
      </c>
      <c r="CA12" s="115" t="s">
        <v>1301</v>
      </c>
      <c r="CB12" s="115" t="s">
        <v>1699</v>
      </c>
      <c r="CC12" s="115">
        <v>0</v>
      </c>
      <c r="CF12" s="115" t="s">
        <v>1416</v>
      </c>
      <c r="CG12" s="115">
        <v>0</v>
      </c>
      <c r="CH12" s="330">
        <v>134649.53689999998</v>
      </c>
      <c r="CI12" s="330">
        <v>134649.53689999998</v>
      </c>
      <c r="CJ12" s="330">
        <v>0</v>
      </c>
      <c r="CK12" s="330">
        <v>134649.53689999998</v>
      </c>
      <c r="CL12" s="184">
        <v>0</v>
      </c>
      <c r="CN12" s="184">
        <v>0</v>
      </c>
      <c r="CO12" s="184">
        <v>0</v>
      </c>
      <c r="CP12" s="330"/>
      <c r="CQ12" s="187">
        <v>0</v>
      </c>
      <c r="CR12" s="187">
        <v>1</v>
      </c>
      <c r="CS12" s="115" t="s">
        <v>1639</v>
      </c>
      <c r="CV12" s="115">
        <v>2024.48</v>
      </c>
      <c r="CW12" s="115" t="s">
        <v>1415</v>
      </c>
      <c r="CX12" s="115" t="s">
        <v>377</v>
      </c>
      <c r="CY12" s="115" t="s">
        <v>1797</v>
      </c>
      <c r="CZ12" s="330">
        <v>4725.1040000000003</v>
      </c>
      <c r="DA12" s="115"/>
      <c r="DB12" s="115"/>
      <c r="DC12" s="115" t="s">
        <v>1415</v>
      </c>
      <c r="DD12" s="115" t="s">
        <v>2114</v>
      </c>
      <c r="DE12" s="115" t="s">
        <v>1243</v>
      </c>
      <c r="DF12" s="115" t="s">
        <v>1263</v>
      </c>
      <c r="DG12" s="115">
        <v>58825.090000000011</v>
      </c>
      <c r="DJ12" s="115" t="s">
        <v>1415</v>
      </c>
      <c r="DK12" s="115" t="s">
        <v>2114</v>
      </c>
      <c r="DL12" s="115" t="s">
        <v>411</v>
      </c>
      <c r="DM12" s="115" t="s">
        <v>1243</v>
      </c>
      <c r="DN12" s="115" t="s">
        <v>2125</v>
      </c>
      <c r="DO12" s="115">
        <v>250</v>
      </c>
      <c r="DP12" s="115">
        <v>58825.09</v>
      </c>
      <c r="DR12" s="215"/>
      <c r="DY12" s="115"/>
      <c r="DZ12" s="115" t="s">
        <v>1416</v>
      </c>
      <c r="EA12" s="115" t="s">
        <v>2114</v>
      </c>
      <c r="EB12" s="115">
        <v>0</v>
      </c>
      <c r="EC12" s="115" t="s">
        <v>94</v>
      </c>
      <c r="ED12" s="115" t="s">
        <v>1697</v>
      </c>
      <c r="EE12" s="187">
        <v>0.5</v>
      </c>
      <c r="EF12" s="330">
        <v>45.03</v>
      </c>
      <c r="EG12" s="330">
        <v>47.89</v>
      </c>
      <c r="EH12" s="115" t="s">
        <v>360</v>
      </c>
      <c r="EI12" s="115" t="s">
        <v>1815</v>
      </c>
      <c r="EJ12" s="115"/>
      <c r="EK12" s="115" t="s">
        <v>327</v>
      </c>
      <c r="EL12" s="115" t="s">
        <v>360</v>
      </c>
      <c r="EM12"/>
      <c r="EO12" s="115"/>
      <c r="EP12" s="334" t="s">
        <v>1416</v>
      </c>
      <c r="EQ12" s="334" t="s">
        <v>2114</v>
      </c>
      <c r="ER12" s="334" t="s">
        <v>288</v>
      </c>
      <c r="ES12" s="334" t="s">
        <v>373</v>
      </c>
      <c r="ET12" s="334">
        <v>2024.44</v>
      </c>
      <c r="EU12" s="334" t="s">
        <v>1382</v>
      </c>
      <c r="EV12" s="334">
        <v>78.55</v>
      </c>
      <c r="EY12" s="115" t="s">
        <v>373</v>
      </c>
      <c r="EZ12" s="115" t="s">
        <v>77</v>
      </c>
    </row>
    <row r="13" spans="1:156" ht="13">
      <c r="D13" s="115" t="s">
        <v>1503</v>
      </c>
      <c r="E13" s="115" t="s">
        <v>1646</v>
      </c>
      <c r="F13" s="115">
        <v>106900.5958</v>
      </c>
      <c r="I13" s="115" t="s">
        <v>1496</v>
      </c>
      <c r="J13" s="115" t="s">
        <v>1358</v>
      </c>
      <c r="K13" s="183" t="s">
        <v>375</v>
      </c>
      <c r="N13" s="115" t="s">
        <v>1415</v>
      </c>
      <c r="O13" s="115">
        <v>162051</v>
      </c>
      <c r="P13" s="115" t="s">
        <v>1546</v>
      </c>
      <c r="Q13" s="121">
        <v>77735.039999999994</v>
      </c>
      <c r="R13" s="119">
        <v>45251</v>
      </c>
      <c r="S13" s="119">
        <v>45251</v>
      </c>
      <c r="T13" s="115" t="s">
        <v>1554</v>
      </c>
      <c r="U13" s="121">
        <v>31094.02</v>
      </c>
      <c r="V13" s="121">
        <v>15547.01</v>
      </c>
      <c r="W13" s="115">
        <v>0</v>
      </c>
      <c r="X13" s="119">
        <v>45321</v>
      </c>
      <c r="Y13" s="119">
        <v>45688</v>
      </c>
      <c r="Z13" s="119">
        <v>45321</v>
      </c>
      <c r="AA13" s="119">
        <v>45688</v>
      </c>
      <c r="AB13" s="115" t="s">
        <v>2223</v>
      </c>
      <c r="AC13" s="115">
        <v>0</v>
      </c>
      <c r="AD13" s="115">
        <v>0</v>
      </c>
      <c r="AE13" s="115" t="s">
        <v>1555</v>
      </c>
      <c r="AF13" s="117" t="s">
        <v>2224</v>
      </c>
      <c r="AG13" s="115"/>
      <c r="AH13" s="115"/>
      <c r="AI13" s="115" t="s">
        <v>1416</v>
      </c>
      <c r="AJ13" t="s">
        <v>2114</v>
      </c>
      <c r="AK13" s="115">
        <v>0</v>
      </c>
      <c r="AL13" s="115" t="s">
        <v>1842</v>
      </c>
      <c r="AM13" s="115" t="s">
        <v>1846</v>
      </c>
      <c r="AN13" s="115" t="s">
        <v>405</v>
      </c>
      <c r="AO13" s="115" t="s">
        <v>386</v>
      </c>
      <c r="AQ13" s="336"/>
      <c r="AT13" s="115" t="s">
        <v>1416</v>
      </c>
      <c r="AU13" s="115" t="s">
        <v>2114</v>
      </c>
      <c r="AV13" s="115">
        <v>0</v>
      </c>
      <c r="AW13" s="115" t="s">
        <v>1680</v>
      </c>
      <c r="AX13" s="115" t="s">
        <v>28</v>
      </c>
      <c r="AY13" s="115" t="s">
        <v>1843</v>
      </c>
      <c r="AZ13" s="115" t="s">
        <v>1864</v>
      </c>
      <c r="BA13" s="115">
        <v>27991.32</v>
      </c>
      <c r="BB13" s="115"/>
      <c r="BC13" s="115"/>
      <c r="BD13" s="115"/>
      <c r="BE13" s="115"/>
      <c r="BF13" s="115"/>
      <c r="BG13" s="115"/>
      <c r="BH13" s="115"/>
      <c r="BI13" s="115"/>
      <c r="BJ13" s="115"/>
      <c r="BK13" s="115"/>
      <c r="BL13" s="115"/>
      <c r="BM13" s="115"/>
      <c r="BN13" s="115"/>
      <c r="BO13" s="115"/>
      <c r="BP13" s="115"/>
      <c r="BQ13" s="115"/>
      <c r="BR13" s="182"/>
      <c r="BS13" s="115" t="s">
        <v>1513</v>
      </c>
      <c r="BU13" s="115" t="s">
        <v>1305</v>
      </c>
      <c r="BV13" s="182">
        <v>45365</v>
      </c>
      <c r="BW13" s="115" t="s">
        <v>1536</v>
      </c>
      <c r="BX13" s="115">
        <v>2133.17</v>
      </c>
      <c r="BY13" s="115">
        <v>0</v>
      </c>
      <c r="BZ13" s="115">
        <v>0</v>
      </c>
      <c r="CA13" s="115" t="s">
        <v>1300</v>
      </c>
      <c r="CB13" s="115" t="s">
        <v>1774</v>
      </c>
      <c r="CC13" s="115">
        <v>0</v>
      </c>
      <c r="CF13" s="115" t="s">
        <v>1416</v>
      </c>
      <c r="CG13" s="115">
        <v>0</v>
      </c>
      <c r="CH13" s="330">
        <v>67852.7834</v>
      </c>
      <c r="CI13" s="330">
        <v>67852.7834</v>
      </c>
      <c r="CJ13" s="330">
        <v>0</v>
      </c>
      <c r="CK13" s="330">
        <v>67852.7834</v>
      </c>
      <c r="CL13" s="184">
        <v>0</v>
      </c>
      <c r="CN13" s="184">
        <v>0</v>
      </c>
      <c r="CO13" s="184">
        <v>0</v>
      </c>
      <c r="CP13" s="330"/>
      <c r="CQ13" s="187">
        <v>0</v>
      </c>
      <c r="CR13" s="187">
        <v>1</v>
      </c>
      <c r="CS13" s="115" t="s">
        <v>1646</v>
      </c>
      <c r="CV13" s="115">
        <v>2024.49</v>
      </c>
      <c r="CW13" s="115" t="s">
        <v>1415</v>
      </c>
      <c r="CX13" s="115" t="s">
        <v>377</v>
      </c>
      <c r="CY13" s="115" t="s">
        <v>1797</v>
      </c>
      <c r="CZ13" s="330">
        <v>4725.1040000000003</v>
      </c>
      <c r="DA13" s="115"/>
      <c r="DB13" s="115"/>
      <c r="DC13" s="115" t="s">
        <v>1415</v>
      </c>
      <c r="DD13" s="115" t="s">
        <v>2114</v>
      </c>
      <c r="DE13" s="115" t="s">
        <v>1245</v>
      </c>
      <c r="DF13" s="115" t="s">
        <v>1272</v>
      </c>
      <c r="DG13" s="115">
        <v>10403.970000000001</v>
      </c>
      <c r="DJ13" s="115" t="s">
        <v>1416</v>
      </c>
      <c r="DK13" s="115" t="s">
        <v>2114</v>
      </c>
      <c r="DL13" s="115" t="s">
        <v>446</v>
      </c>
      <c r="DM13" s="115" t="s">
        <v>2126</v>
      </c>
      <c r="DN13" s="115" t="s">
        <v>2128</v>
      </c>
      <c r="DO13" s="115">
        <v>180</v>
      </c>
      <c r="DP13" s="115">
        <v>3181.54</v>
      </c>
      <c r="DR13" s="215"/>
      <c r="DY13" s="115"/>
      <c r="DZ13" s="115" t="s">
        <v>1415</v>
      </c>
      <c r="EA13" s="115" t="s">
        <v>2114</v>
      </c>
      <c r="EB13" s="115">
        <v>0</v>
      </c>
      <c r="EC13" s="115" t="s">
        <v>94</v>
      </c>
      <c r="ED13" s="115" t="s">
        <v>1697</v>
      </c>
      <c r="EE13" s="187">
        <v>0.5</v>
      </c>
      <c r="EF13" s="330">
        <v>48.604700000000001</v>
      </c>
      <c r="EG13" s="330">
        <v>52.567700000000002</v>
      </c>
      <c r="EH13" s="115" t="s">
        <v>360</v>
      </c>
      <c r="EI13" s="115" t="s">
        <v>1815</v>
      </c>
      <c r="EJ13" s="115"/>
      <c r="EK13" s="115" t="s">
        <v>327</v>
      </c>
      <c r="EL13" s="115" t="s">
        <v>360</v>
      </c>
      <c r="EM13"/>
      <c r="EO13" s="115"/>
      <c r="EP13" s="334" t="s">
        <v>1416</v>
      </c>
      <c r="EQ13" s="334" t="s">
        <v>2114</v>
      </c>
      <c r="ER13" s="334" t="s">
        <v>288</v>
      </c>
      <c r="ES13" s="334" t="s">
        <v>380</v>
      </c>
      <c r="ET13" s="334">
        <v>2024.44</v>
      </c>
      <c r="EU13" s="334" t="s">
        <v>397</v>
      </c>
      <c r="EV13" s="334">
        <v>0</v>
      </c>
      <c r="EY13" s="115" t="s">
        <v>381</v>
      </c>
      <c r="EZ13" s="115" t="s">
        <v>78</v>
      </c>
    </row>
    <row r="14" spans="1:156" ht="13">
      <c r="D14" s="115" t="s">
        <v>1503</v>
      </c>
      <c r="E14" s="115" t="s">
        <v>1639</v>
      </c>
      <c r="F14" s="115">
        <v>20034.685700000002</v>
      </c>
      <c r="I14" s="115" t="s">
        <v>1496</v>
      </c>
      <c r="J14" s="115" t="s">
        <v>1354</v>
      </c>
      <c r="K14" s="183">
        <v>45141</v>
      </c>
      <c r="N14" s="115" t="s">
        <v>1416</v>
      </c>
      <c r="O14" s="115">
        <v>162614</v>
      </c>
      <c r="P14" s="115" t="s">
        <v>1546</v>
      </c>
      <c r="Q14" s="121">
        <v>0</v>
      </c>
      <c r="U14" s="121">
        <v>469.3</v>
      </c>
      <c r="V14" s="121">
        <v>469.3</v>
      </c>
      <c r="W14" s="115">
        <v>0</v>
      </c>
      <c r="X14" s="119">
        <v>45626</v>
      </c>
      <c r="Y14" s="119">
        <v>45626</v>
      </c>
      <c r="Z14" s="119">
        <v>45626</v>
      </c>
      <c r="AA14" s="119">
        <v>45626</v>
      </c>
      <c r="AB14" s="115" t="s">
        <v>2162</v>
      </c>
      <c r="AC14" s="115">
        <v>469.3</v>
      </c>
      <c r="AD14" s="115">
        <v>0</v>
      </c>
      <c r="AF14" s="117" t="s">
        <v>2225</v>
      </c>
      <c r="AG14" s="115"/>
      <c r="AH14" s="115"/>
      <c r="AI14" s="115" t="s">
        <v>1416</v>
      </c>
      <c r="AJ14" t="s">
        <v>2114</v>
      </c>
      <c r="AK14" s="115">
        <v>0</v>
      </c>
      <c r="AL14" s="115" t="s">
        <v>1842</v>
      </c>
      <c r="AM14" s="115" t="s">
        <v>1843</v>
      </c>
      <c r="AN14" s="115" t="s">
        <v>405</v>
      </c>
      <c r="AO14" s="115" t="s">
        <v>386</v>
      </c>
      <c r="AQ14" s="336"/>
      <c r="AT14" s="115" t="s">
        <v>1415</v>
      </c>
      <c r="AU14" s="115" t="s">
        <v>2114</v>
      </c>
      <c r="AV14" s="115">
        <v>15</v>
      </c>
      <c r="AW14" s="115" t="s">
        <v>1680</v>
      </c>
      <c r="AX14" s="115" t="s">
        <v>28</v>
      </c>
      <c r="AY14" s="115" t="s">
        <v>1843</v>
      </c>
      <c r="AZ14" s="115" t="s">
        <v>1864</v>
      </c>
      <c r="BA14" s="115">
        <v>56666.994329896908</v>
      </c>
      <c r="BB14" s="115"/>
      <c r="BC14" s="115"/>
      <c r="BD14" s="115"/>
      <c r="BE14" s="115"/>
      <c r="BF14" s="115"/>
      <c r="BG14" s="115"/>
      <c r="BH14" s="115"/>
      <c r="BI14" s="115"/>
      <c r="BJ14" s="115"/>
      <c r="BK14" s="115"/>
      <c r="BL14" s="115"/>
      <c r="BM14" s="115"/>
      <c r="BN14" s="115"/>
      <c r="BO14" s="115"/>
      <c r="BP14" s="115"/>
      <c r="BQ14" s="115"/>
      <c r="BR14" s="182"/>
      <c r="BS14" s="115" t="s">
        <v>1990</v>
      </c>
      <c r="BU14" s="115" t="s">
        <v>1305</v>
      </c>
      <c r="BV14" s="182">
        <v>45365</v>
      </c>
      <c r="BW14" s="115" t="s">
        <v>1536</v>
      </c>
      <c r="BX14" s="115">
        <v>110923.75</v>
      </c>
      <c r="BY14" s="115">
        <v>0</v>
      </c>
      <c r="BZ14" s="115">
        <v>77735.039999999994</v>
      </c>
      <c r="CA14" s="115" t="s">
        <v>1300</v>
      </c>
      <c r="CB14" s="115" t="s">
        <v>1699</v>
      </c>
      <c r="CC14" s="115">
        <v>0</v>
      </c>
      <c r="CF14" s="115" t="s">
        <v>1416</v>
      </c>
      <c r="CG14" s="115">
        <v>0</v>
      </c>
      <c r="CH14" s="330">
        <v>58971.63660000002</v>
      </c>
      <c r="CI14" s="330">
        <v>58971.63660000002</v>
      </c>
      <c r="CJ14" s="330">
        <v>0</v>
      </c>
      <c r="CK14" s="330">
        <v>58971.63660000002</v>
      </c>
      <c r="CL14" s="184">
        <v>0</v>
      </c>
      <c r="CN14" s="184">
        <v>0</v>
      </c>
      <c r="CO14" s="184">
        <v>0</v>
      </c>
      <c r="CP14" s="330"/>
      <c r="CQ14" s="187">
        <v>0</v>
      </c>
      <c r="CR14" s="187">
        <v>1</v>
      </c>
      <c r="CS14" s="115" t="s">
        <v>1647</v>
      </c>
      <c r="CV14" s="115">
        <v>2024.5</v>
      </c>
      <c r="CW14" s="115" t="s">
        <v>1415</v>
      </c>
      <c r="CX14" s="115" t="s">
        <v>377</v>
      </c>
      <c r="CY14" s="115" t="s">
        <v>1797</v>
      </c>
      <c r="CZ14" s="330">
        <v>4725.1040000000003</v>
      </c>
      <c r="DA14" s="115"/>
      <c r="DB14" s="115"/>
      <c r="DC14" s="115" t="s">
        <v>1415</v>
      </c>
      <c r="DD14" s="115" t="s">
        <v>2114</v>
      </c>
      <c r="DE14" s="115" t="s">
        <v>1245</v>
      </c>
      <c r="DF14" s="115" t="s">
        <v>1280</v>
      </c>
      <c r="DG14" s="115">
        <v>1015.74</v>
      </c>
      <c r="DJ14" s="115" t="s">
        <v>1415</v>
      </c>
      <c r="DK14" s="115" t="s">
        <v>2114</v>
      </c>
      <c r="DL14" s="115" t="s">
        <v>446</v>
      </c>
      <c r="DM14" s="115" t="s">
        <v>2126</v>
      </c>
      <c r="DN14" s="115" t="s">
        <v>2128</v>
      </c>
      <c r="DO14" s="115">
        <v>270</v>
      </c>
      <c r="DP14" s="115">
        <v>11845.27</v>
      </c>
      <c r="DR14" s="215"/>
      <c r="DY14" s="115"/>
      <c r="DZ14" s="115" t="s">
        <v>1415</v>
      </c>
      <c r="EA14" s="115" t="s">
        <v>2114</v>
      </c>
      <c r="EB14" s="115">
        <v>16</v>
      </c>
      <c r="EC14" s="115" t="s">
        <v>94</v>
      </c>
      <c r="ED14" s="115" t="s">
        <v>1697</v>
      </c>
      <c r="EE14" s="187">
        <v>0.5</v>
      </c>
      <c r="EF14" s="330">
        <v>48.604700000000001</v>
      </c>
      <c r="EG14" s="330">
        <v>52.567700000000002</v>
      </c>
      <c r="EH14" s="115" t="s">
        <v>360</v>
      </c>
      <c r="EI14" s="115" t="s">
        <v>1815</v>
      </c>
      <c r="EJ14" s="115"/>
      <c r="EK14" s="115" t="s">
        <v>327</v>
      </c>
      <c r="EL14" s="115" t="s">
        <v>360</v>
      </c>
      <c r="EM14"/>
      <c r="EO14" s="115"/>
      <c r="EP14" s="334" t="s">
        <v>1416</v>
      </c>
      <c r="EQ14" s="334" t="s">
        <v>2114</v>
      </c>
      <c r="ER14" s="334" t="s">
        <v>288</v>
      </c>
      <c r="ES14" s="334" t="s">
        <v>380</v>
      </c>
      <c r="ET14" s="334">
        <v>2024.44</v>
      </c>
      <c r="EU14" s="334" t="s">
        <v>1382</v>
      </c>
      <c r="EV14" s="334">
        <v>1530.73</v>
      </c>
      <c r="EY14" s="115" t="s">
        <v>389</v>
      </c>
      <c r="EZ14" s="115" t="s">
        <v>79</v>
      </c>
    </row>
    <row r="15" spans="1:156" ht="13">
      <c r="D15" s="115" t="s">
        <v>1503</v>
      </c>
      <c r="E15" s="115" t="s">
        <v>360</v>
      </c>
      <c r="F15" s="115">
        <v>26604.713899999999</v>
      </c>
      <c r="I15" s="115" t="s">
        <v>1496</v>
      </c>
      <c r="J15" s="115" t="s">
        <v>1365</v>
      </c>
      <c r="K15" s="183">
        <v>15</v>
      </c>
      <c r="N15" s="115" t="s">
        <v>1415</v>
      </c>
      <c r="O15" s="115">
        <v>162494</v>
      </c>
      <c r="P15" s="115" t="s">
        <v>1546</v>
      </c>
      <c r="Q15" s="121">
        <v>1100000</v>
      </c>
      <c r="R15" s="119">
        <v>45560</v>
      </c>
      <c r="S15" s="119">
        <v>45560</v>
      </c>
      <c r="T15" s="115" t="s">
        <v>1559</v>
      </c>
      <c r="U15" s="121">
        <v>440000</v>
      </c>
      <c r="V15" s="121">
        <v>0</v>
      </c>
      <c r="W15" s="115">
        <v>0</v>
      </c>
      <c r="X15" s="119">
        <v>45672</v>
      </c>
      <c r="Y15" s="119">
        <v>45715</v>
      </c>
      <c r="Z15" s="119">
        <v>45672</v>
      </c>
      <c r="AA15" s="119">
        <v>45715</v>
      </c>
      <c r="AB15" s="115" t="s">
        <v>2226</v>
      </c>
      <c r="AC15" s="115">
        <v>0</v>
      </c>
      <c r="AD15" s="115">
        <v>0</v>
      </c>
      <c r="AE15" s="115" t="s">
        <v>1560</v>
      </c>
      <c r="AF15" s="117" t="s">
        <v>2163</v>
      </c>
      <c r="AG15" s="115"/>
      <c r="AH15" s="115"/>
      <c r="AI15" s="115" t="s">
        <v>1416</v>
      </c>
      <c r="AJ15" t="s">
        <v>2114</v>
      </c>
      <c r="AK15" s="115">
        <v>0</v>
      </c>
      <c r="AL15" s="115" t="s">
        <v>28</v>
      </c>
      <c r="AM15" s="115" t="s">
        <v>1832</v>
      </c>
      <c r="AN15" s="115" t="s">
        <v>1844</v>
      </c>
      <c r="AO15" s="115" t="s">
        <v>1274</v>
      </c>
      <c r="AT15" s="115" t="s">
        <v>1415</v>
      </c>
      <c r="AU15" s="115" t="s">
        <v>2114</v>
      </c>
      <c r="AV15" s="115">
        <v>15</v>
      </c>
      <c r="AW15" s="115" t="s">
        <v>1680</v>
      </c>
      <c r="AX15" s="115" t="s">
        <v>28</v>
      </c>
      <c r="AY15" s="115" t="s">
        <v>1850</v>
      </c>
      <c r="AZ15" s="115" t="s">
        <v>1864</v>
      </c>
      <c r="BA15" s="115">
        <v>1066.0300000000002</v>
      </c>
      <c r="BB15" s="115"/>
      <c r="BC15" s="115"/>
      <c r="BD15" s="115"/>
      <c r="BE15" s="115"/>
      <c r="BF15" s="115"/>
      <c r="BG15" s="115"/>
      <c r="BH15" s="115"/>
      <c r="BI15" s="115"/>
      <c r="BJ15" s="115"/>
      <c r="BK15" s="115"/>
      <c r="BL15" s="115"/>
      <c r="BM15" s="115"/>
      <c r="BN15" s="115"/>
      <c r="BO15" s="115"/>
      <c r="BP15" s="115"/>
      <c r="BQ15" s="115"/>
      <c r="BR15" s="182"/>
      <c r="BS15" s="115" t="s">
        <v>2151</v>
      </c>
      <c r="BU15" s="115" t="s">
        <v>2152</v>
      </c>
      <c r="BV15" s="182">
        <v>45670</v>
      </c>
      <c r="BW15" s="115" t="s">
        <v>1536</v>
      </c>
      <c r="BX15" s="115">
        <v>5756.82</v>
      </c>
      <c r="BY15" s="115">
        <v>0</v>
      </c>
      <c r="BZ15" s="115">
        <v>0</v>
      </c>
      <c r="CA15" s="115" t="s">
        <v>1300</v>
      </c>
      <c r="CB15" s="115" t="s">
        <v>1309</v>
      </c>
      <c r="CC15" s="115">
        <v>0</v>
      </c>
      <c r="CF15" s="115" t="s">
        <v>1416</v>
      </c>
      <c r="CG15" s="115">
        <v>0</v>
      </c>
      <c r="CH15" s="330">
        <v>29510.494300000002</v>
      </c>
      <c r="CI15" s="330">
        <v>30423.19</v>
      </c>
      <c r="CJ15" s="330">
        <v>29510.494300000002</v>
      </c>
      <c r="CK15" s="330">
        <v>0</v>
      </c>
      <c r="CL15" s="184">
        <v>594.61</v>
      </c>
      <c r="CM15" s="184">
        <v>613.00000000000011</v>
      </c>
      <c r="CN15" s="184">
        <v>594.61</v>
      </c>
      <c r="CO15" s="184">
        <v>0</v>
      </c>
      <c r="CP15" s="330">
        <v>49.629999999999988</v>
      </c>
      <c r="CQ15" s="187">
        <v>1</v>
      </c>
      <c r="CR15" s="187">
        <v>0.97</v>
      </c>
      <c r="CS15" s="115" t="s">
        <v>1641</v>
      </c>
      <c r="CV15" s="115">
        <v>2024.51</v>
      </c>
      <c r="CW15" s="115" t="s">
        <v>1415</v>
      </c>
      <c r="CX15" s="115" t="s">
        <v>377</v>
      </c>
      <c r="CY15" s="115" t="s">
        <v>1797</v>
      </c>
      <c r="CZ15" s="330">
        <v>4655.97</v>
      </c>
      <c r="DA15" s="115"/>
      <c r="DB15" s="115"/>
      <c r="DC15" s="115" t="s">
        <v>1415</v>
      </c>
      <c r="DD15" s="115" t="s">
        <v>2114</v>
      </c>
      <c r="DE15" s="115" t="s">
        <v>1245</v>
      </c>
      <c r="DF15" s="115" t="s">
        <v>1264</v>
      </c>
      <c r="DG15" s="115">
        <v>425.56</v>
      </c>
      <c r="DJ15" s="115" t="s">
        <v>1416</v>
      </c>
      <c r="DK15" s="115" t="s">
        <v>2114</v>
      </c>
      <c r="DL15" s="115" t="s">
        <v>1481</v>
      </c>
      <c r="DM15" s="115" t="s">
        <v>358</v>
      </c>
      <c r="DN15" s="115" t="s">
        <v>424</v>
      </c>
      <c r="DO15" s="115">
        <v>10</v>
      </c>
      <c r="DP15" s="115">
        <v>69868.5</v>
      </c>
      <c r="DR15" s="215"/>
      <c r="DY15" s="115"/>
      <c r="DZ15" s="115" t="s">
        <v>1415</v>
      </c>
      <c r="EA15" s="115" t="s">
        <v>2114</v>
      </c>
      <c r="EB15" s="115">
        <v>15</v>
      </c>
      <c r="EC15" s="115" t="s">
        <v>87</v>
      </c>
      <c r="ED15" s="115" t="s">
        <v>1697</v>
      </c>
      <c r="EE15" s="187">
        <v>0.5</v>
      </c>
      <c r="EF15" s="330">
        <v>46.478299999999997</v>
      </c>
      <c r="EG15" s="330">
        <v>50.6907</v>
      </c>
      <c r="EH15" s="115" t="s">
        <v>377</v>
      </c>
      <c r="EI15" s="115" t="s">
        <v>1808</v>
      </c>
      <c r="EJ15" s="115"/>
      <c r="EK15" s="115" t="s">
        <v>315</v>
      </c>
      <c r="EL15" s="115" t="s">
        <v>1643</v>
      </c>
      <c r="EM15"/>
      <c r="EO15" s="115"/>
      <c r="EP15" s="334" t="s">
        <v>1416</v>
      </c>
      <c r="EQ15" s="334" t="s">
        <v>2114</v>
      </c>
      <c r="ER15" s="334" t="s">
        <v>1245</v>
      </c>
      <c r="ES15" s="334" t="s">
        <v>2164</v>
      </c>
      <c r="ET15" s="334">
        <v>2024.44</v>
      </c>
      <c r="EU15" s="334" t="s">
        <v>397</v>
      </c>
      <c r="EV15" s="334">
        <v>0</v>
      </c>
      <c r="EY15" s="115" t="s">
        <v>384</v>
      </c>
      <c r="EZ15" s="115" t="s">
        <v>80</v>
      </c>
    </row>
    <row r="16" spans="1:156" ht="13">
      <c r="D16" s="115" t="s">
        <v>1503</v>
      </c>
      <c r="E16" s="115" t="s">
        <v>372</v>
      </c>
      <c r="F16" s="115">
        <v>8613.6872000000003</v>
      </c>
      <c r="I16" s="115" t="s">
        <v>1496</v>
      </c>
      <c r="J16" s="115" t="s">
        <v>1356</v>
      </c>
      <c r="K16" s="183" t="s">
        <v>1359</v>
      </c>
      <c r="AG16" s="115"/>
      <c r="AH16" s="115"/>
      <c r="AI16" s="115" t="s">
        <v>1416</v>
      </c>
      <c r="AJ16" t="s">
        <v>2114</v>
      </c>
      <c r="AK16" s="115">
        <v>0</v>
      </c>
      <c r="AL16" s="115" t="s">
        <v>28</v>
      </c>
      <c r="AM16" s="115" t="s">
        <v>1850</v>
      </c>
      <c r="AN16" s="115" t="s">
        <v>1844</v>
      </c>
      <c r="AO16" s="115" t="s">
        <v>1274</v>
      </c>
      <c r="AT16" s="115" t="s">
        <v>1416</v>
      </c>
      <c r="AU16" s="115" t="s">
        <v>2114</v>
      </c>
      <c r="AV16" s="115">
        <v>0</v>
      </c>
      <c r="AW16" s="115" t="s">
        <v>1680</v>
      </c>
      <c r="AX16" s="115" t="s">
        <v>28</v>
      </c>
      <c r="AY16" s="115" t="s">
        <v>1850</v>
      </c>
      <c r="AZ16" s="115" t="s">
        <v>1864</v>
      </c>
      <c r="BA16" s="115">
        <v>547.08000000000004</v>
      </c>
      <c r="BB16" s="115"/>
      <c r="BC16" s="115"/>
      <c r="BD16" s="115"/>
      <c r="BE16" s="115"/>
      <c r="BF16" s="115"/>
      <c r="BG16" s="115"/>
      <c r="BH16" s="115"/>
      <c r="BI16" s="115"/>
      <c r="BJ16" s="115"/>
      <c r="BK16" s="115"/>
      <c r="BL16" s="115"/>
      <c r="BM16" s="115"/>
      <c r="BN16" s="115"/>
      <c r="BO16" s="115"/>
      <c r="BP16" s="115"/>
      <c r="BQ16" s="115"/>
      <c r="BR16" s="182"/>
      <c r="BS16" s="115" t="s">
        <v>2153</v>
      </c>
      <c r="BU16" s="115" t="s">
        <v>2152</v>
      </c>
      <c r="BV16" s="182">
        <v>45670</v>
      </c>
      <c r="BW16" s="115" t="s">
        <v>1536</v>
      </c>
      <c r="BX16" s="115">
        <v>80729.48</v>
      </c>
      <c r="BY16" s="115">
        <v>0</v>
      </c>
      <c r="BZ16" s="115">
        <v>0</v>
      </c>
      <c r="CA16" s="115" t="s">
        <v>1300</v>
      </c>
      <c r="CB16" s="115" t="s">
        <v>1309</v>
      </c>
      <c r="CC16" s="115">
        <v>0</v>
      </c>
      <c r="CF16" s="115" t="s">
        <v>1416</v>
      </c>
      <c r="CG16" s="115">
        <v>0</v>
      </c>
      <c r="CH16" s="330">
        <v>41305.073499999991</v>
      </c>
      <c r="CI16" s="330">
        <v>42582.55</v>
      </c>
      <c r="CJ16" s="330">
        <v>41305.073499999991</v>
      </c>
      <c r="CK16" s="330">
        <v>0</v>
      </c>
      <c r="CL16" s="184">
        <v>1110.6499999999999</v>
      </c>
      <c r="CM16" s="184">
        <v>1145</v>
      </c>
      <c r="CN16" s="184">
        <v>1110.6499999999999</v>
      </c>
      <c r="CO16" s="184">
        <v>0</v>
      </c>
      <c r="CP16" s="330">
        <v>37.190000000000005</v>
      </c>
      <c r="CQ16" s="187">
        <v>1</v>
      </c>
      <c r="CR16" s="187">
        <v>0.97</v>
      </c>
      <c r="CS16" s="115" t="s">
        <v>1642</v>
      </c>
      <c r="CV16" s="115">
        <v>2024.52</v>
      </c>
      <c r="CW16" s="115" t="s">
        <v>1415</v>
      </c>
      <c r="CX16" s="115" t="s">
        <v>377</v>
      </c>
      <c r="CY16" s="115" t="s">
        <v>1797</v>
      </c>
      <c r="CZ16" s="330">
        <v>4655.97</v>
      </c>
      <c r="DA16" s="115"/>
      <c r="DB16" s="115"/>
      <c r="DC16" s="115" t="s">
        <v>1416</v>
      </c>
      <c r="DD16" s="115" t="s">
        <v>2114</v>
      </c>
      <c r="DE16" s="115" t="s">
        <v>1245</v>
      </c>
      <c r="DF16" s="115" t="s">
        <v>1272</v>
      </c>
      <c r="DG16" s="115">
        <v>3181.5399999999995</v>
      </c>
      <c r="DJ16" s="115" t="s">
        <v>1415</v>
      </c>
      <c r="DK16" s="115" t="s">
        <v>2114</v>
      </c>
      <c r="DL16" s="115" t="s">
        <v>1404</v>
      </c>
      <c r="DM16" s="115" t="s">
        <v>358</v>
      </c>
      <c r="DN16" s="115" t="s">
        <v>424</v>
      </c>
      <c r="DO16" s="115">
        <v>10</v>
      </c>
      <c r="DP16" s="115">
        <v>229848.68</v>
      </c>
      <c r="DR16" s="215"/>
      <c r="DY16" s="115"/>
      <c r="DZ16" s="115" t="s">
        <v>1416</v>
      </c>
      <c r="EA16" s="115" t="s">
        <v>2114</v>
      </c>
      <c r="EB16" s="115">
        <v>0</v>
      </c>
      <c r="EC16" s="115" t="s">
        <v>87</v>
      </c>
      <c r="ED16" s="115" t="s">
        <v>1697</v>
      </c>
      <c r="EE16" s="187">
        <v>0.5</v>
      </c>
      <c r="EF16" s="330">
        <v>43.06</v>
      </c>
      <c r="EG16" s="330">
        <v>46.18</v>
      </c>
      <c r="EH16" s="115" t="s">
        <v>377</v>
      </c>
      <c r="EI16" s="115" t="s">
        <v>1808</v>
      </c>
      <c r="EJ16" s="115"/>
      <c r="EK16" s="115" t="s">
        <v>315</v>
      </c>
      <c r="EL16" s="115" t="s">
        <v>1643</v>
      </c>
      <c r="EM16"/>
      <c r="EO16" s="115"/>
      <c r="EP16" s="334" t="s">
        <v>1416</v>
      </c>
      <c r="EQ16" s="334" t="s">
        <v>2114</v>
      </c>
      <c r="ER16" s="334" t="s">
        <v>1245</v>
      </c>
      <c r="ES16" s="334" t="s">
        <v>2164</v>
      </c>
      <c r="ET16" s="334">
        <v>2024.44</v>
      </c>
      <c r="EU16" s="334" t="s">
        <v>1382</v>
      </c>
      <c r="EV16" s="334">
        <v>3181.54</v>
      </c>
      <c r="EY16" s="115" t="s">
        <v>2164</v>
      </c>
      <c r="EZ16" s="115" t="s">
        <v>281</v>
      </c>
    </row>
    <row r="17" spans="4:156" ht="13">
      <c r="D17" s="115" t="s">
        <v>1503</v>
      </c>
      <c r="E17" s="115" t="s">
        <v>386</v>
      </c>
      <c r="F17" s="115">
        <v>-479.18259999999998</v>
      </c>
      <c r="I17" s="115" t="s">
        <v>1496</v>
      </c>
      <c r="J17" s="115" t="s">
        <v>1366</v>
      </c>
      <c r="K17" s="183">
        <v>3</v>
      </c>
      <c r="AG17" s="115"/>
      <c r="AH17" s="115"/>
      <c r="AI17" s="115" t="s">
        <v>1416</v>
      </c>
      <c r="AJ17" t="s">
        <v>2114</v>
      </c>
      <c r="AK17" s="115">
        <v>0</v>
      </c>
      <c r="AL17" s="115" t="s">
        <v>28</v>
      </c>
      <c r="AM17" s="115" t="s">
        <v>1849</v>
      </c>
      <c r="AN17" s="115" t="s">
        <v>1844</v>
      </c>
      <c r="AO17" s="115" t="s">
        <v>1274</v>
      </c>
      <c r="AT17" s="115" t="s">
        <v>1415</v>
      </c>
      <c r="AU17" s="115" t="s">
        <v>2114</v>
      </c>
      <c r="AV17" s="115">
        <v>15</v>
      </c>
      <c r="AW17" s="115" t="s">
        <v>1680</v>
      </c>
      <c r="AX17" s="115" t="s">
        <v>28</v>
      </c>
      <c r="AY17" s="115" t="s">
        <v>1832</v>
      </c>
      <c r="AZ17" s="115" t="s">
        <v>1864</v>
      </c>
      <c r="BA17" s="115">
        <v>1099.0000000000002</v>
      </c>
      <c r="BB17" s="115"/>
      <c r="BC17" s="115"/>
      <c r="BD17" s="115"/>
      <c r="BE17" s="115"/>
      <c r="BF17" s="115"/>
      <c r="BG17" s="115"/>
      <c r="BH17" s="115"/>
      <c r="BI17" s="115"/>
      <c r="BJ17" s="115"/>
      <c r="BK17" s="115"/>
      <c r="BL17" s="115"/>
      <c r="BM17" s="115"/>
      <c r="BN17" s="115"/>
      <c r="BO17" s="115"/>
      <c r="BP17" s="115"/>
      <c r="BQ17" s="115"/>
      <c r="BR17" s="182"/>
      <c r="BS17" s="115" t="s">
        <v>2154</v>
      </c>
      <c r="BU17" s="115" t="s">
        <v>2152</v>
      </c>
      <c r="BV17" s="182">
        <v>45670</v>
      </c>
      <c r="BW17" s="115" t="s">
        <v>1536</v>
      </c>
      <c r="BX17" s="115">
        <v>53093.04</v>
      </c>
      <c r="BY17" s="115">
        <v>0</v>
      </c>
      <c r="BZ17" s="115">
        <v>0</v>
      </c>
      <c r="CA17" s="115" t="s">
        <v>1300</v>
      </c>
      <c r="CB17" s="115" t="s">
        <v>1309</v>
      </c>
      <c r="CC17" s="115">
        <v>0</v>
      </c>
      <c r="CF17" s="115" t="s">
        <v>1416</v>
      </c>
      <c r="CG17" s="115">
        <v>0</v>
      </c>
      <c r="CH17" s="330">
        <v>130217.7375</v>
      </c>
      <c r="CI17" s="330">
        <v>134245.09020618556</v>
      </c>
      <c r="CJ17" s="330">
        <v>111607.452515625</v>
      </c>
      <c r="CK17" s="330">
        <v>18610.284984375001</v>
      </c>
      <c r="CL17" s="184">
        <v>3617.1593750000002</v>
      </c>
      <c r="CM17" s="184">
        <v>3729.0302835051548</v>
      </c>
      <c r="CN17" s="184">
        <v>2712.8695312500004</v>
      </c>
      <c r="CO17" s="184">
        <v>904.28984374999993</v>
      </c>
      <c r="CP17" s="330">
        <v>36</v>
      </c>
      <c r="CQ17" s="187">
        <v>0.75</v>
      </c>
      <c r="CR17" s="187">
        <v>0.97</v>
      </c>
      <c r="CS17" s="115" t="s">
        <v>1274</v>
      </c>
      <c r="CV17" s="115">
        <v>2025.03</v>
      </c>
      <c r="CW17" s="115" t="s">
        <v>1415</v>
      </c>
      <c r="CX17" s="115" t="s">
        <v>377</v>
      </c>
      <c r="CY17" s="115" t="s">
        <v>1797</v>
      </c>
      <c r="CZ17" s="330">
        <v>2327.9850000000001</v>
      </c>
      <c r="DA17" s="115"/>
      <c r="DB17" s="115"/>
      <c r="DC17" s="115" t="s">
        <v>1416</v>
      </c>
      <c r="DD17" s="115" t="s">
        <v>2114</v>
      </c>
      <c r="DE17" s="115" t="s">
        <v>358</v>
      </c>
      <c r="DF17" s="115" t="s">
        <v>1265</v>
      </c>
      <c r="DG17" s="115">
        <v>32839.379999999997</v>
      </c>
      <c r="DJ17" s="115" t="s">
        <v>1416</v>
      </c>
      <c r="DK17" s="115" t="s">
        <v>2114</v>
      </c>
      <c r="DL17" s="115" t="s">
        <v>1491</v>
      </c>
      <c r="DM17" s="115" t="s">
        <v>1490</v>
      </c>
      <c r="DN17" s="115" t="s">
        <v>365</v>
      </c>
      <c r="DO17" s="115">
        <v>80</v>
      </c>
      <c r="DP17" s="115">
        <v>87961.15</v>
      </c>
      <c r="DR17" s="214"/>
      <c r="DY17" s="115"/>
      <c r="DZ17" s="115" t="s">
        <v>1415</v>
      </c>
      <c r="EA17" s="115" t="s">
        <v>2114</v>
      </c>
      <c r="EB17" s="115">
        <v>0</v>
      </c>
      <c r="EC17" s="115" t="s">
        <v>87</v>
      </c>
      <c r="ED17" s="115" t="s">
        <v>1697</v>
      </c>
      <c r="EE17" s="187">
        <v>0.5</v>
      </c>
      <c r="EF17" s="330">
        <v>46.478299999999997</v>
      </c>
      <c r="EG17" s="330">
        <v>50.6907</v>
      </c>
      <c r="EH17" s="115" t="s">
        <v>377</v>
      </c>
      <c r="EI17" s="115" t="s">
        <v>1808</v>
      </c>
      <c r="EJ17" s="115"/>
      <c r="EK17" s="115" t="s">
        <v>315</v>
      </c>
      <c r="EL17" s="115" t="s">
        <v>1643</v>
      </c>
      <c r="EM17"/>
      <c r="EO17" s="115"/>
      <c r="EP17" s="334" t="s">
        <v>1416</v>
      </c>
      <c r="EQ17" s="334" t="s">
        <v>2114</v>
      </c>
      <c r="ER17" s="334" t="s">
        <v>428</v>
      </c>
      <c r="ES17" s="334" t="s">
        <v>377</v>
      </c>
      <c r="ET17" s="334">
        <v>2023.44</v>
      </c>
      <c r="EU17" s="334" t="s">
        <v>397</v>
      </c>
      <c r="EV17" s="334">
        <v>6102.6773999999996</v>
      </c>
      <c r="EY17" s="115" t="s">
        <v>1275</v>
      </c>
      <c r="EZ17" s="115" t="s">
        <v>81</v>
      </c>
    </row>
    <row r="18" spans="4:156" ht="13">
      <c r="D18" s="115" t="s">
        <v>1503</v>
      </c>
      <c r="E18" s="115" t="s">
        <v>1645</v>
      </c>
      <c r="F18" s="115">
        <v>109454.6329</v>
      </c>
      <c r="I18" s="115" t="s">
        <v>1496</v>
      </c>
      <c r="J18" s="115" t="s">
        <v>1357</v>
      </c>
      <c r="K18" s="183">
        <v>-16594.376410305478</v>
      </c>
      <c r="AG18" s="115"/>
      <c r="AH18" s="115"/>
      <c r="AI18" s="115" t="s">
        <v>1416</v>
      </c>
      <c r="AJ18" t="s">
        <v>2114</v>
      </c>
      <c r="AK18" s="115">
        <v>0</v>
      </c>
      <c r="AL18" s="115" t="s">
        <v>28</v>
      </c>
      <c r="AM18" s="115" t="s">
        <v>1848</v>
      </c>
      <c r="AN18" s="115" t="s">
        <v>1844</v>
      </c>
      <c r="AO18" s="115" t="s">
        <v>1274</v>
      </c>
      <c r="AT18" s="115" t="s">
        <v>1416</v>
      </c>
      <c r="AU18" s="115" t="s">
        <v>2114</v>
      </c>
      <c r="AV18" s="115">
        <v>0</v>
      </c>
      <c r="AW18" s="115" t="s">
        <v>1680</v>
      </c>
      <c r="AX18" s="115" t="s">
        <v>28</v>
      </c>
      <c r="AY18" s="115" t="s">
        <v>1832</v>
      </c>
      <c r="AZ18" s="115" t="s">
        <v>1864</v>
      </c>
      <c r="BA18" s="115">
        <v>564.00000000000011</v>
      </c>
      <c r="BB18" s="115"/>
      <c r="BC18" s="115"/>
      <c r="BD18" s="115"/>
      <c r="BE18" s="115"/>
      <c r="BF18" s="115"/>
      <c r="BG18" s="115"/>
      <c r="BH18" s="115"/>
      <c r="BI18" s="115"/>
      <c r="BJ18" s="115"/>
      <c r="BK18" s="115"/>
      <c r="BL18" s="115"/>
      <c r="BM18" s="115"/>
      <c r="BN18" s="115"/>
      <c r="BO18" s="115"/>
      <c r="BP18" s="115"/>
      <c r="BQ18" s="115"/>
      <c r="BR18" s="182"/>
      <c r="BS18" s="115" t="s">
        <v>2155</v>
      </c>
      <c r="BU18" s="115" t="s">
        <v>2152</v>
      </c>
      <c r="BV18" s="182">
        <v>45670</v>
      </c>
      <c r="BW18" s="115" t="s">
        <v>1536</v>
      </c>
      <c r="BX18" s="115">
        <v>35458.81</v>
      </c>
      <c r="BY18" s="115">
        <v>0</v>
      </c>
      <c r="BZ18" s="115">
        <v>0</v>
      </c>
      <c r="CA18" s="115" t="s">
        <v>1300</v>
      </c>
      <c r="CB18" s="115" t="s">
        <v>1309</v>
      </c>
      <c r="CC18" s="115">
        <v>0</v>
      </c>
      <c r="CF18" s="115" t="s">
        <v>1416</v>
      </c>
      <c r="CG18" s="115">
        <v>0</v>
      </c>
      <c r="CH18" s="330">
        <v>36481.088900000002</v>
      </c>
      <c r="CI18" s="330">
        <v>37609.370000000003</v>
      </c>
      <c r="CJ18" s="330">
        <v>17679.115725</v>
      </c>
      <c r="CK18" s="330">
        <v>18801.973174999999</v>
      </c>
      <c r="CL18" s="184">
        <v>785.21500000000003</v>
      </c>
      <c r="CM18" s="184">
        <v>809.5</v>
      </c>
      <c r="CN18" s="184">
        <v>392.60750000000002</v>
      </c>
      <c r="CO18" s="184">
        <v>392.60750000000002</v>
      </c>
      <c r="CP18" s="330">
        <v>46.46</v>
      </c>
      <c r="CQ18" s="187">
        <v>0.5</v>
      </c>
      <c r="CR18" s="187">
        <v>0.97</v>
      </c>
      <c r="CS18" s="115" t="s">
        <v>360</v>
      </c>
      <c r="CV18" s="115">
        <v>2025.04</v>
      </c>
      <c r="CW18" s="115" t="s">
        <v>1415</v>
      </c>
      <c r="CX18" s="115" t="s">
        <v>377</v>
      </c>
      <c r="CY18" s="115" t="s">
        <v>1797</v>
      </c>
      <c r="CZ18" s="330">
        <v>2327.9850000000001</v>
      </c>
      <c r="DA18" s="115"/>
      <c r="DB18" s="115"/>
      <c r="DC18" s="115" t="s">
        <v>1416</v>
      </c>
      <c r="DD18" s="115" t="s">
        <v>2114</v>
      </c>
      <c r="DE18" s="115" t="s">
        <v>358</v>
      </c>
      <c r="DF18" s="115" t="s">
        <v>1266</v>
      </c>
      <c r="DG18" s="115">
        <v>20893.36</v>
      </c>
      <c r="DJ18" s="115" t="s">
        <v>1415</v>
      </c>
      <c r="DK18" s="115" t="s">
        <v>2114</v>
      </c>
      <c r="DL18" s="115" t="s">
        <v>1470</v>
      </c>
      <c r="DM18" s="115" t="s">
        <v>362</v>
      </c>
      <c r="DN18" s="115" t="s">
        <v>439</v>
      </c>
      <c r="DO18" s="115">
        <v>110</v>
      </c>
      <c r="DP18" s="115">
        <v>137212.74</v>
      </c>
      <c r="DR18" s="214"/>
      <c r="DY18" s="115"/>
      <c r="DZ18" s="115" t="s">
        <v>1415</v>
      </c>
      <c r="EA18" s="115" t="s">
        <v>2114</v>
      </c>
      <c r="EB18" s="115">
        <v>16</v>
      </c>
      <c r="EC18" s="115" t="s">
        <v>87</v>
      </c>
      <c r="ED18" s="115" t="s">
        <v>1697</v>
      </c>
      <c r="EE18" s="187">
        <v>0.5</v>
      </c>
      <c r="EF18" s="330">
        <v>46.478299999999997</v>
      </c>
      <c r="EG18" s="330">
        <v>50.6907</v>
      </c>
      <c r="EH18" s="115" t="s">
        <v>377</v>
      </c>
      <c r="EI18" s="115" t="s">
        <v>1808</v>
      </c>
      <c r="EJ18" s="115"/>
      <c r="EK18" s="115" t="s">
        <v>315</v>
      </c>
      <c r="EL18" s="115" t="s">
        <v>1643</v>
      </c>
      <c r="EM18"/>
      <c r="EO18" s="115"/>
      <c r="EP18" s="334" t="s">
        <v>1416</v>
      </c>
      <c r="EQ18" s="334" t="s">
        <v>2114</v>
      </c>
      <c r="ER18" s="334" t="s">
        <v>428</v>
      </c>
      <c r="ES18" s="334" t="s">
        <v>377</v>
      </c>
      <c r="ET18" s="334">
        <v>2023.44</v>
      </c>
      <c r="EU18" s="334" t="s">
        <v>1382</v>
      </c>
      <c r="EV18" s="334">
        <v>6102.6773999999996</v>
      </c>
      <c r="EY18" s="115" t="s">
        <v>385</v>
      </c>
      <c r="EZ18" s="115" t="s">
        <v>82</v>
      </c>
    </row>
    <row r="19" spans="4:156" ht="13">
      <c r="D19" s="115" t="s">
        <v>1505</v>
      </c>
      <c r="E19" s="115" t="s">
        <v>1643</v>
      </c>
      <c r="F19" s="115">
        <v>88480.191699999996</v>
      </c>
      <c r="I19" s="115" t="s">
        <v>1498</v>
      </c>
      <c r="J19" s="115" t="s">
        <v>1363</v>
      </c>
      <c r="K19" s="183">
        <v>125</v>
      </c>
      <c r="AG19" s="115"/>
      <c r="AH19" s="115"/>
      <c r="AI19" s="115" t="s">
        <v>1416</v>
      </c>
      <c r="AJ19" t="s">
        <v>2114</v>
      </c>
      <c r="AK19" s="115">
        <v>0</v>
      </c>
      <c r="AL19" s="115" t="s">
        <v>28</v>
      </c>
      <c r="AM19" s="115" t="s">
        <v>1843</v>
      </c>
      <c r="AN19" s="115" t="s">
        <v>1844</v>
      </c>
      <c r="AO19" s="115" t="s">
        <v>1274</v>
      </c>
      <c r="AT19" s="115" t="s">
        <v>1416</v>
      </c>
      <c r="AU19" s="115" t="s">
        <v>2114</v>
      </c>
      <c r="AV19" s="115">
        <v>0</v>
      </c>
      <c r="AW19" s="115" t="s">
        <v>1680</v>
      </c>
      <c r="AX19" s="115" t="s">
        <v>28</v>
      </c>
      <c r="AY19" s="115" t="s">
        <v>1846</v>
      </c>
      <c r="AZ19" s="115" t="s">
        <v>1865</v>
      </c>
      <c r="BA19" s="115"/>
      <c r="BB19" s="115"/>
      <c r="BC19" s="115"/>
      <c r="BD19" s="115"/>
      <c r="BE19" s="115">
        <v>1357.27638</v>
      </c>
      <c r="BF19" s="115"/>
      <c r="BG19" s="115"/>
      <c r="BH19" s="115">
        <v>3223.3008269505603</v>
      </c>
      <c r="BI19" s="115"/>
      <c r="BJ19" s="115">
        <v>994.10870333333287</v>
      </c>
      <c r="BK19" s="115"/>
      <c r="BL19" s="115"/>
      <c r="BM19" s="115"/>
      <c r="BN19" s="115"/>
      <c r="BO19" s="115"/>
      <c r="BP19" s="115"/>
      <c r="BQ19" s="115"/>
      <c r="BR19" s="182"/>
      <c r="BS19" s="115" t="s">
        <v>2183</v>
      </c>
      <c r="BU19" s="115" t="s">
        <v>1305</v>
      </c>
      <c r="BV19" s="182">
        <v>45678</v>
      </c>
      <c r="BW19" s="115" t="s">
        <v>1536</v>
      </c>
      <c r="BX19" s="115">
        <v>7739.39</v>
      </c>
      <c r="BY19" s="115">
        <v>0</v>
      </c>
      <c r="BZ19" s="115">
        <v>0</v>
      </c>
      <c r="CA19" s="115" t="s">
        <v>1301</v>
      </c>
      <c r="CB19" s="115" t="s">
        <v>1309</v>
      </c>
      <c r="CC19" s="115">
        <v>0</v>
      </c>
      <c r="CF19" s="115" t="s">
        <v>1416</v>
      </c>
      <c r="CG19" s="115">
        <v>0</v>
      </c>
      <c r="CH19" s="330">
        <v>10456.786240000001</v>
      </c>
      <c r="CI19" s="330">
        <v>10780.191958762887</v>
      </c>
      <c r="CJ19" s="330">
        <v>5045.5985600000004</v>
      </c>
      <c r="CK19" s="330">
        <v>5411.18768</v>
      </c>
      <c r="CL19" s="184">
        <v>234.35199999999998</v>
      </c>
      <c r="CM19" s="184">
        <v>241.60000000000002</v>
      </c>
      <c r="CN19" s="184">
        <v>117.17599999999999</v>
      </c>
      <c r="CO19" s="184">
        <v>117.17599999999999</v>
      </c>
      <c r="CP19" s="330">
        <v>44.619999829316583</v>
      </c>
      <c r="CQ19" s="187">
        <v>0.5</v>
      </c>
      <c r="CR19" s="187">
        <v>0.97000000371050898</v>
      </c>
      <c r="CS19" s="115" t="s">
        <v>1643</v>
      </c>
      <c r="CV19" s="115">
        <v>2025.04</v>
      </c>
      <c r="CW19" s="115" t="s">
        <v>1415</v>
      </c>
      <c r="CX19" s="115" t="s">
        <v>380</v>
      </c>
      <c r="CY19" s="115" t="s">
        <v>1799</v>
      </c>
      <c r="CZ19" s="330">
        <v>1816.788</v>
      </c>
      <c r="DA19" s="115"/>
      <c r="DB19" s="115"/>
      <c r="DC19" s="115" t="s">
        <v>1416</v>
      </c>
      <c r="DD19" s="115" t="s">
        <v>2114</v>
      </c>
      <c r="DE19" s="115" t="s">
        <v>358</v>
      </c>
      <c r="DF19" s="115" t="s">
        <v>1287</v>
      </c>
      <c r="DG19" s="115">
        <v>6372</v>
      </c>
      <c r="DJ19" s="115" t="s">
        <v>1415</v>
      </c>
      <c r="DK19" s="115" t="s">
        <v>2114</v>
      </c>
      <c r="DL19" s="115" t="s">
        <v>1411</v>
      </c>
      <c r="DM19" s="115" t="s">
        <v>1410</v>
      </c>
      <c r="DN19" s="115" t="s">
        <v>564</v>
      </c>
      <c r="DO19" s="115">
        <v>130</v>
      </c>
      <c r="DP19" s="115">
        <v>446660.56</v>
      </c>
      <c r="DR19" s="214"/>
      <c r="DY19" s="115"/>
      <c r="DZ19" s="115" t="s">
        <v>1415</v>
      </c>
      <c r="EA19" s="115" t="s">
        <v>2114</v>
      </c>
      <c r="EB19" s="115">
        <v>15</v>
      </c>
      <c r="EC19" s="115" t="s">
        <v>88</v>
      </c>
      <c r="ED19" s="115" t="s">
        <v>1699</v>
      </c>
      <c r="EE19" s="187">
        <v>0.5</v>
      </c>
      <c r="EF19" s="330">
        <v>46.478299999999997</v>
      </c>
      <c r="EG19" s="330">
        <v>50.6907</v>
      </c>
      <c r="EH19" s="115" t="s">
        <v>377</v>
      </c>
      <c r="EI19" s="115" t="s">
        <v>1813</v>
      </c>
      <c r="EJ19" s="115"/>
      <c r="EK19" s="115" t="s">
        <v>315</v>
      </c>
      <c r="EL19" s="115" t="s">
        <v>1643</v>
      </c>
      <c r="EM19"/>
      <c r="EO19" s="115"/>
      <c r="EP19" s="334" t="s">
        <v>1416</v>
      </c>
      <c r="EQ19" s="334" t="s">
        <v>2114</v>
      </c>
      <c r="ER19" s="334" t="s">
        <v>428</v>
      </c>
      <c r="ES19" s="334" t="s">
        <v>377</v>
      </c>
      <c r="ET19" s="334">
        <v>2024.44</v>
      </c>
      <c r="EU19" s="334" t="s">
        <v>397</v>
      </c>
      <c r="EV19" s="334">
        <v>6102.6773999999996</v>
      </c>
      <c r="EY19" s="115" t="s">
        <v>386</v>
      </c>
      <c r="EZ19" s="115" t="s">
        <v>651</v>
      </c>
    </row>
    <row r="20" spans="4:156" ht="13">
      <c r="D20" s="115" t="s">
        <v>1505</v>
      </c>
      <c r="E20" s="115" t="s">
        <v>374</v>
      </c>
      <c r="F20" s="115">
        <v>74113</v>
      </c>
      <c r="I20" s="115" t="s">
        <v>1498</v>
      </c>
      <c r="J20" s="115" t="s">
        <v>1353</v>
      </c>
      <c r="K20" s="183" t="s">
        <v>1499</v>
      </c>
      <c r="AG20" s="115"/>
      <c r="AH20" s="115"/>
      <c r="AI20" s="115" t="s">
        <v>1416</v>
      </c>
      <c r="AJ20" t="s">
        <v>2114</v>
      </c>
      <c r="AK20" s="115">
        <v>0</v>
      </c>
      <c r="AL20" s="115" t="s">
        <v>28</v>
      </c>
      <c r="AM20" s="115" t="s">
        <v>1846</v>
      </c>
      <c r="AN20" s="115" t="s">
        <v>1844</v>
      </c>
      <c r="AO20" s="115" t="s">
        <v>1274</v>
      </c>
      <c r="AT20" s="115" t="s">
        <v>1415</v>
      </c>
      <c r="AU20" s="115" t="s">
        <v>2114</v>
      </c>
      <c r="AV20" s="115">
        <v>15</v>
      </c>
      <c r="AW20" s="115" t="s">
        <v>1680</v>
      </c>
      <c r="AX20" s="115" t="s">
        <v>28</v>
      </c>
      <c r="AY20" s="115" t="s">
        <v>1846</v>
      </c>
      <c r="AZ20" s="115" t="s">
        <v>1865</v>
      </c>
      <c r="BA20" s="115"/>
      <c r="BB20" s="115"/>
      <c r="BC20" s="115"/>
      <c r="BD20" s="115"/>
      <c r="BE20" s="115">
        <v>30816.408497999062</v>
      </c>
      <c r="BF20" s="115"/>
      <c r="BG20" s="115"/>
      <c r="BH20" s="115">
        <v>12203.913188709794</v>
      </c>
      <c r="BI20" s="115"/>
      <c r="BJ20" s="115">
        <v>4217.3026156733313</v>
      </c>
      <c r="BK20" s="115"/>
      <c r="BL20" s="115"/>
      <c r="BM20" s="115"/>
      <c r="BN20" s="115"/>
      <c r="BO20" s="115"/>
      <c r="BP20" s="115"/>
      <c r="BQ20" s="115"/>
      <c r="BR20" s="182"/>
      <c r="BS20" s="115" t="s">
        <v>2185</v>
      </c>
      <c r="BU20" s="115" t="s">
        <v>1305</v>
      </c>
      <c r="BV20" s="182">
        <v>45678</v>
      </c>
      <c r="BW20" s="115" t="s">
        <v>1536</v>
      </c>
      <c r="BX20" s="115">
        <v>10776.46</v>
      </c>
      <c r="BY20" s="115">
        <v>0</v>
      </c>
      <c r="BZ20" s="115">
        <v>0</v>
      </c>
      <c r="CA20" s="115" t="s">
        <v>1301</v>
      </c>
      <c r="CB20" s="115" t="s">
        <v>1309</v>
      </c>
      <c r="CC20" s="115">
        <v>0</v>
      </c>
      <c r="CF20" s="115" t="s">
        <v>1416</v>
      </c>
      <c r="CG20" s="115">
        <v>0</v>
      </c>
      <c r="CH20" s="330">
        <v>5914.1160687500014</v>
      </c>
      <c r="CI20" s="330">
        <v>6097.0268041237114</v>
      </c>
      <c r="CJ20" s="330">
        <v>5914.1160687500014</v>
      </c>
      <c r="CK20" s="330">
        <v>0</v>
      </c>
      <c r="CL20" s="184">
        <v>137.34593749999999</v>
      </c>
      <c r="CM20" s="184">
        <v>141.59375</v>
      </c>
      <c r="CN20" s="184">
        <v>137.34593749999999</v>
      </c>
      <c r="CO20" s="184">
        <v>0</v>
      </c>
      <c r="CP20" s="330">
        <v>43.059999499439144</v>
      </c>
      <c r="CQ20" s="187">
        <v>1</v>
      </c>
      <c r="CR20" s="187">
        <v>0.97000001127598801</v>
      </c>
      <c r="CS20" s="115" t="s">
        <v>1644</v>
      </c>
      <c r="CV20" s="115">
        <v>2025.04</v>
      </c>
      <c r="CW20" s="115" t="s">
        <v>1415</v>
      </c>
      <c r="CX20" s="115" t="s">
        <v>381</v>
      </c>
      <c r="CY20" s="115" t="s">
        <v>1799</v>
      </c>
      <c r="CZ20" s="330">
        <v>1374.1967999999999</v>
      </c>
      <c r="DA20" s="115"/>
      <c r="DB20" s="115"/>
      <c r="DC20" s="115" t="s">
        <v>1416</v>
      </c>
      <c r="DD20" s="115" t="s">
        <v>2114</v>
      </c>
      <c r="DE20" s="115" t="s">
        <v>358</v>
      </c>
      <c r="DF20" s="115" t="s">
        <v>1267</v>
      </c>
      <c r="DG20" s="115">
        <v>4663.84</v>
      </c>
      <c r="DJ20" s="115" t="s">
        <v>1415</v>
      </c>
      <c r="DK20" s="115" t="s">
        <v>2114</v>
      </c>
      <c r="DL20" s="115" t="s">
        <v>1476</v>
      </c>
      <c r="DM20" s="115" t="s">
        <v>1475</v>
      </c>
      <c r="DN20" s="115" t="s">
        <v>365</v>
      </c>
      <c r="DO20" s="115">
        <v>170</v>
      </c>
      <c r="DP20" s="115">
        <v>286985.09999999998</v>
      </c>
      <c r="DR20" s="214"/>
      <c r="DY20" s="115"/>
      <c r="DZ20" s="115" t="s">
        <v>1416</v>
      </c>
      <c r="EA20" s="115" t="s">
        <v>2114</v>
      </c>
      <c r="EB20" s="115">
        <v>0</v>
      </c>
      <c r="EC20" s="115" t="s">
        <v>88</v>
      </c>
      <c r="ED20" s="115" t="s">
        <v>1699</v>
      </c>
      <c r="EE20" s="187">
        <v>0.5</v>
      </c>
      <c r="EF20" s="330">
        <v>43.06</v>
      </c>
      <c r="EG20" s="330">
        <v>46.18</v>
      </c>
      <c r="EH20" s="115" t="s">
        <v>377</v>
      </c>
      <c r="EI20" s="115" t="s">
        <v>1813</v>
      </c>
      <c r="EJ20" s="115"/>
      <c r="EK20" s="115" t="s">
        <v>315</v>
      </c>
      <c r="EL20" s="115" t="s">
        <v>1643</v>
      </c>
      <c r="EM20"/>
      <c r="EO20" s="115"/>
      <c r="EP20" s="334" t="s">
        <v>1416</v>
      </c>
      <c r="EQ20" s="334" t="s">
        <v>2114</v>
      </c>
      <c r="ER20" s="334" t="s">
        <v>428</v>
      </c>
      <c r="ES20" s="334" t="s">
        <v>377</v>
      </c>
      <c r="ET20" s="334">
        <v>2024.44</v>
      </c>
      <c r="EU20" s="334" t="s">
        <v>1382</v>
      </c>
      <c r="EV20" s="334">
        <v>8121.6592000000001</v>
      </c>
    </row>
    <row r="21" spans="4:156" ht="13">
      <c r="D21" s="115" t="s">
        <v>1505</v>
      </c>
      <c r="E21" s="115" t="s">
        <v>1642</v>
      </c>
      <c r="F21" s="115">
        <v>8328.616</v>
      </c>
      <c r="I21" s="115" t="s">
        <v>1498</v>
      </c>
      <c r="J21" s="115" t="s">
        <v>1369</v>
      </c>
      <c r="K21" s="183">
        <v>13</v>
      </c>
      <c r="AG21" s="115"/>
      <c r="AH21" s="115"/>
      <c r="AI21" s="115" t="s">
        <v>1416</v>
      </c>
      <c r="AJ21" t="s">
        <v>2114</v>
      </c>
      <c r="AK21" s="115">
        <v>0</v>
      </c>
      <c r="AL21" s="115" t="s">
        <v>28</v>
      </c>
      <c r="AM21" s="115" t="s">
        <v>1848</v>
      </c>
      <c r="AN21" s="115" t="s">
        <v>1439</v>
      </c>
      <c r="AO21" s="115" t="s">
        <v>1274</v>
      </c>
      <c r="AT21" s="115" t="s">
        <v>1415</v>
      </c>
      <c r="AU21" s="115" t="s">
        <v>2114</v>
      </c>
      <c r="AV21" s="115">
        <v>15</v>
      </c>
      <c r="AW21" s="115" t="s">
        <v>1680</v>
      </c>
      <c r="AX21" s="115" t="s">
        <v>28</v>
      </c>
      <c r="AY21" s="115" t="s">
        <v>1848</v>
      </c>
      <c r="AZ21" s="115" t="s">
        <v>1865</v>
      </c>
      <c r="BA21" s="115"/>
      <c r="BB21" s="115">
        <v>112842.694944</v>
      </c>
      <c r="BC21" s="115"/>
      <c r="BD21" s="115"/>
      <c r="BE21" s="115">
        <v>28255.563231372813</v>
      </c>
      <c r="BF21" s="115"/>
      <c r="BG21" s="115"/>
      <c r="BH21" s="115">
        <v>1207.5204506033313</v>
      </c>
      <c r="BI21" s="115"/>
      <c r="BJ21" s="115">
        <v>21183.855437825616</v>
      </c>
      <c r="BK21" s="115"/>
      <c r="BL21" s="115"/>
      <c r="BM21" s="115"/>
      <c r="BN21" s="115"/>
      <c r="BO21" s="115"/>
      <c r="BP21" s="115"/>
      <c r="BQ21" s="115"/>
      <c r="BR21" s="182"/>
      <c r="BS21" s="115" t="s">
        <v>2193</v>
      </c>
      <c r="BU21" s="115" t="s">
        <v>44</v>
      </c>
      <c r="BV21" s="182">
        <v>45687</v>
      </c>
      <c r="BW21" s="115" t="s">
        <v>1536</v>
      </c>
      <c r="BX21" s="115">
        <v>30113.13</v>
      </c>
      <c r="BY21" s="115">
        <v>0</v>
      </c>
      <c r="BZ21" s="115">
        <v>0</v>
      </c>
      <c r="CA21" s="115" t="s">
        <v>1301</v>
      </c>
      <c r="CB21" s="115" t="s">
        <v>1309</v>
      </c>
      <c r="CC21" s="115">
        <v>0</v>
      </c>
      <c r="CF21" s="115" t="s">
        <v>1416</v>
      </c>
      <c r="CG21" s="115">
        <v>0</v>
      </c>
      <c r="CH21" s="330">
        <v>252186.21784612833</v>
      </c>
      <c r="CI21" s="330">
        <v>257855.01615360827</v>
      </c>
      <c r="CJ21" s="330">
        <v>18902.80797164976</v>
      </c>
      <c r="CK21" s="330">
        <v>233283.40987447859</v>
      </c>
      <c r="CL21" s="184">
        <v>4687.0339627199992</v>
      </c>
      <c r="CM21" s="184">
        <v>4831.9937759999984</v>
      </c>
      <c r="CN21" s="184">
        <v>468.70339627199991</v>
      </c>
      <c r="CO21" s="184">
        <v>4218.3305664479994</v>
      </c>
      <c r="CP21" s="330">
        <v>53.364103537207939</v>
      </c>
      <c r="CQ21" s="187">
        <v>0.1</v>
      </c>
      <c r="CR21" s="187">
        <v>0.97801555931685702</v>
      </c>
      <c r="CS21" s="115" t="s">
        <v>379</v>
      </c>
      <c r="CV21" s="115">
        <v>2025.04</v>
      </c>
      <c r="CW21" s="115" t="s">
        <v>1415</v>
      </c>
      <c r="CX21" s="115" t="s">
        <v>1645</v>
      </c>
      <c r="CY21" s="115" t="s">
        <v>1799</v>
      </c>
      <c r="CZ21" s="330">
        <v>2224.1999999999998</v>
      </c>
      <c r="DA21" s="115"/>
      <c r="DB21" s="115"/>
      <c r="DC21" s="115" t="s">
        <v>1415</v>
      </c>
      <c r="DD21" s="115" t="s">
        <v>2114</v>
      </c>
      <c r="DE21" s="115" t="s">
        <v>358</v>
      </c>
      <c r="DF21" s="115" t="s">
        <v>1265</v>
      </c>
      <c r="DG21" s="115">
        <v>74664.240000000005</v>
      </c>
      <c r="DJ21" s="115" t="s">
        <v>1416</v>
      </c>
      <c r="DK21" s="115" t="s">
        <v>2114</v>
      </c>
      <c r="DL21" s="115" t="s">
        <v>1489</v>
      </c>
      <c r="DM21" s="115" t="s">
        <v>1473</v>
      </c>
      <c r="DN21" s="115" t="s">
        <v>1488</v>
      </c>
      <c r="DO21" s="115">
        <v>70</v>
      </c>
      <c r="DP21" s="115">
        <v>378195.75</v>
      </c>
      <c r="DR21" s="214"/>
      <c r="DY21" s="115"/>
      <c r="DZ21" s="115" t="s">
        <v>1415</v>
      </c>
      <c r="EA21" s="115" t="s">
        <v>2114</v>
      </c>
      <c r="EB21" s="115">
        <v>0</v>
      </c>
      <c r="EC21" s="115" t="s">
        <v>88</v>
      </c>
      <c r="ED21" s="115" t="s">
        <v>1699</v>
      </c>
      <c r="EE21" s="187">
        <v>0.5</v>
      </c>
      <c r="EF21" s="330">
        <v>46.478299999999997</v>
      </c>
      <c r="EG21" s="330">
        <v>50.6907</v>
      </c>
      <c r="EH21" s="115" t="s">
        <v>377</v>
      </c>
      <c r="EI21" s="115" t="s">
        <v>1813</v>
      </c>
      <c r="EJ21" s="115"/>
      <c r="EK21" s="115" t="s">
        <v>315</v>
      </c>
      <c r="EL21" s="115" t="s">
        <v>1643</v>
      </c>
      <c r="EM21"/>
      <c r="EO21" s="115"/>
      <c r="EP21" s="334" t="s">
        <v>1416</v>
      </c>
      <c r="EQ21" s="334" t="s">
        <v>2114</v>
      </c>
      <c r="ER21" s="334" t="s">
        <v>428</v>
      </c>
      <c r="ES21" s="334" t="s">
        <v>378</v>
      </c>
      <c r="ET21" s="334">
        <v>2023.44</v>
      </c>
      <c r="EU21" s="334" t="s">
        <v>397</v>
      </c>
      <c r="EV21" s="334">
        <v>5914.1161000000002</v>
      </c>
    </row>
    <row r="22" spans="4:156" ht="13">
      <c r="D22" s="115" t="s">
        <v>1505</v>
      </c>
      <c r="E22" s="115" t="s">
        <v>1274</v>
      </c>
      <c r="F22" s="115">
        <v>21304.313699999999</v>
      </c>
      <c r="I22" s="115" t="s">
        <v>1498</v>
      </c>
      <c r="J22" s="115" t="s">
        <v>1355</v>
      </c>
      <c r="K22" s="183">
        <v>4</v>
      </c>
      <c r="AG22" s="115"/>
      <c r="AH22" s="115"/>
      <c r="AI22" s="115" t="s">
        <v>1416</v>
      </c>
      <c r="AJ22" t="s">
        <v>2114</v>
      </c>
      <c r="AK22" s="115">
        <v>0</v>
      </c>
      <c r="AL22" s="115" t="s">
        <v>28</v>
      </c>
      <c r="AM22" s="115" t="s">
        <v>1832</v>
      </c>
      <c r="AN22" s="115" t="s">
        <v>1439</v>
      </c>
      <c r="AO22" s="115" t="s">
        <v>1274</v>
      </c>
      <c r="AT22" s="115" t="s">
        <v>1416</v>
      </c>
      <c r="AU22" s="115" t="s">
        <v>2114</v>
      </c>
      <c r="AV22" s="115">
        <v>0</v>
      </c>
      <c r="AW22" s="115" t="s">
        <v>1680</v>
      </c>
      <c r="AX22" s="115" t="s">
        <v>28</v>
      </c>
      <c r="AY22" s="115" t="s">
        <v>1848</v>
      </c>
      <c r="AZ22" s="115" t="s">
        <v>1865</v>
      </c>
      <c r="BA22" s="115"/>
      <c r="BB22" s="115">
        <v>41305.073499999991</v>
      </c>
      <c r="BC22" s="115"/>
      <c r="BD22" s="115"/>
      <c r="BE22" s="115">
        <v>1265.57646</v>
      </c>
      <c r="BF22" s="115"/>
      <c r="BG22" s="115"/>
      <c r="BH22" s="115">
        <v>370.64329356176</v>
      </c>
      <c r="BI22" s="115"/>
      <c r="BJ22" s="115">
        <v>4710.5479499999992</v>
      </c>
      <c r="BK22" s="115"/>
      <c r="BL22" s="115"/>
      <c r="BM22" s="115"/>
      <c r="BN22" s="115"/>
      <c r="BO22" s="115"/>
      <c r="BP22" s="115"/>
      <c r="BQ22" s="115"/>
      <c r="BR22" s="182"/>
      <c r="BS22" s="115" t="s">
        <v>2194</v>
      </c>
      <c r="BU22" s="115" t="s">
        <v>44</v>
      </c>
      <c r="BV22" s="182">
        <v>45687</v>
      </c>
      <c r="BW22" s="115" t="s">
        <v>1536</v>
      </c>
      <c r="BX22" s="115">
        <v>447.75</v>
      </c>
      <c r="BY22" s="115">
        <v>0</v>
      </c>
      <c r="BZ22" s="115">
        <v>0</v>
      </c>
      <c r="CA22" s="115" t="s">
        <v>1300</v>
      </c>
      <c r="CB22" s="115" t="s">
        <v>1309</v>
      </c>
      <c r="CC22" s="115">
        <v>0</v>
      </c>
      <c r="CF22" s="115" t="s">
        <v>1416</v>
      </c>
      <c r="CG22" s="115">
        <v>0</v>
      </c>
      <c r="CH22" s="330">
        <v>55605.907902499996</v>
      </c>
      <c r="CI22" s="330">
        <v>50879.862474226808</v>
      </c>
      <c r="CJ22" s="330">
        <v>17764.108725500002</v>
      </c>
      <c r="CK22" s="330">
        <v>37841.799176999994</v>
      </c>
      <c r="CL22" s="184">
        <v>1679.9623999999999</v>
      </c>
      <c r="CM22" s="184">
        <v>1731.92</v>
      </c>
      <c r="CN22" s="184">
        <v>474.7713500000001</v>
      </c>
      <c r="CO22" s="184">
        <v>1205.1910499999999</v>
      </c>
      <c r="CP22" s="330">
        <v>29.377720953754679</v>
      </c>
      <c r="CQ22" s="187">
        <v>0.28260831909095102</v>
      </c>
      <c r="CR22" s="187">
        <v>1.0928863640436799</v>
      </c>
      <c r="CS22" s="115" t="s">
        <v>380</v>
      </c>
      <c r="CV22" s="115">
        <v>2025.05</v>
      </c>
      <c r="CW22" s="115" t="s">
        <v>1415</v>
      </c>
      <c r="CX22" s="115" t="s">
        <v>381</v>
      </c>
      <c r="CY22" s="115" t="s">
        <v>1799</v>
      </c>
      <c r="CZ22" s="330">
        <v>1374.1967999999999</v>
      </c>
      <c r="DA22" s="115"/>
      <c r="DB22" s="115"/>
      <c r="DC22" s="115" t="s">
        <v>1415</v>
      </c>
      <c r="DD22" s="115" t="s">
        <v>2114</v>
      </c>
      <c r="DE22" s="115" t="s">
        <v>358</v>
      </c>
      <c r="DF22" s="115" t="s">
        <v>1266</v>
      </c>
      <c r="DG22" s="115">
        <v>104416.4</v>
      </c>
      <c r="DJ22" s="115" t="s">
        <v>1415</v>
      </c>
      <c r="DK22" s="115" t="s">
        <v>2114</v>
      </c>
      <c r="DL22" s="115" t="s">
        <v>1479</v>
      </c>
      <c r="DM22" s="115" t="s">
        <v>1478</v>
      </c>
      <c r="DN22" s="115" t="s">
        <v>433</v>
      </c>
      <c r="DO22" s="115">
        <v>190</v>
      </c>
      <c r="DP22" s="115">
        <v>499104.92</v>
      </c>
      <c r="DR22" s="214"/>
      <c r="DY22" s="115"/>
      <c r="DZ22" s="115" t="s">
        <v>1415</v>
      </c>
      <c r="EA22" s="115" t="s">
        <v>2114</v>
      </c>
      <c r="EB22" s="115">
        <v>16</v>
      </c>
      <c r="EC22" s="115" t="s">
        <v>88</v>
      </c>
      <c r="ED22" s="115" t="s">
        <v>1699</v>
      </c>
      <c r="EE22" s="187">
        <v>0.5</v>
      </c>
      <c r="EF22" s="330">
        <v>46.478299999999997</v>
      </c>
      <c r="EG22" s="330">
        <v>50.6907</v>
      </c>
      <c r="EH22" s="115" t="s">
        <v>377</v>
      </c>
      <c r="EI22" s="115" t="s">
        <v>1813</v>
      </c>
      <c r="EJ22" s="115"/>
      <c r="EK22" s="115" t="s">
        <v>315</v>
      </c>
      <c r="EL22" s="115" t="s">
        <v>1643</v>
      </c>
      <c r="EM22"/>
      <c r="EO22" s="115"/>
      <c r="EP22" s="334" t="s">
        <v>1416</v>
      </c>
      <c r="EQ22" s="334" t="s">
        <v>2114</v>
      </c>
      <c r="ER22" s="334" t="s">
        <v>428</v>
      </c>
      <c r="ES22" s="334" t="s">
        <v>378</v>
      </c>
      <c r="ET22" s="334">
        <v>2023.44</v>
      </c>
      <c r="EU22" s="334" t="s">
        <v>1382</v>
      </c>
      <c r="EV22" s="334">
        <v>5914.1161000000002</v>
      </c>
    </row>
    <row r="23" spans="4:156" ht="13">
      <c r="D23" s="115" t="s">
        <v>1505</v>
      </c>
      <c r="E23" s="115" t="s">
        <v>379</v>
      </c>
      <c r="F23" s="115">
        <v>-17328.972099999999</v>
      </c>
      <c r="I23" s="115" t="s">
        <v>1498</v>
      </c>
      <c r="J23" s="115" t="s">
        <v>1361</v>
      </c>
      <c r="K23" s="183">
        <v>69.23</v>
      </c>
      <c r="AG23" s="115"/>
      <c r="AH23" s="115"/>
      <c r="AI23" s="115" t="s">
        <v>1416</v>
      </c>
      <c r="AJ23" t="s">
        <v>2114</v>
      </c>
      <c r="AK23" s="115">
        <v>0</v>
      </c>
      <c r="AL23" s="115" t="s">
        <v>28</v>
      </c>
      <c r="AM23" s="115" t="s">
        <v>1843</v>
      </c>
      <c r="AN23" s="115" t="s">
        <v>1439</v>
      </c>
      <c r="AO23" s="115" t="s">
        <v>1274</v>
      </c>
      <c r="AT23" s="115" t="s">
        <v>1415</v>
      </c>
      <c r="AU23" s="115" t="s">
        <v>2114</v>
      </c>
      <c r="AV23" s="115">
        <v>15</v>
      </c>
      <c r="AW23" s="115" t="s">
        <v>1680</v>
      </c>
      <c r="AX23" s="115" t="s">
        <v>28</v>
      </c>
      <c r="AY23" s="115" t="s">
        <v>1843</v>
      </c>
      <c r="AZ23" s="115" t="s">
        <v>1865</v>
      </c>
      <c r="BA23" s="115"/>
      <c r="BB23" s="115">
        <v>111972.85958762887</v>
      </c>
      <c r="BC23" s="115"/>
      <c r="BD23" s="115"/>
      <c r="BE23" s="115">
        <v>58360.868762886596</v>
      </c>
      <c r="BF23" s="115"/>
      <c r="BG23" s="115"/>
      <c r="BH23" s="115">
        <v>12431.558762886598</v>
      </c>
      <c r="BI23" s="115"/>
      <c r="BJ23" s="115">
        <v>25170.379175257734</v>
      </c>
      <c r="BK23" s="115"/>
      <c r="BL23" s="115"/>
      <c r="BM23" s="115"/>
      <c r="BN23" s="115"/>
      <c r="BO23" s="115"/>
      <c r="BP23" s="115"/>
      <c r="BQ23" s="115"/>
      <c r="BR23" s="182"/>
      <c r="BS23" s="115" t="s">
        <v>2195</v>
      </c>
      <c r="BU23" s="115" t="s">
        <v>44</v>
      </c>
      <c r="BV23" s="182">
        <v>45687</v>
      </c>
      <c r="BW23" s="115" t="s">
        <v>1536</v>
      </c>
      <c r="BX23" s="115">
        <v>0</v>
      </c>
      <c r="BY23" s="115">
        <v>0</v>
      </c>
      <c r="BZ23" s="115">
        <v>0</v>
      </c>
      <c r="CA23" s="115" t="s">
        <v>1300</v>
      </c>
      <c r="CB23" s="115" t="s">
        <v>1309</v>
      </c>
      <c r="CC23" s="115">
        <v>0</v>
      </c>
      <c r="CF23" s="115" t="s">
        <v>1415</v>
      </c>
      <c r="CG23" s="115">
        <v>0</v>
      </c>
      <c r="CH23" s="330">
        <v>242216.49576094202</v>
      </c>
      <c r="CI23" s="330">
        <v>226805.20185567011</v>
      </c>
      <c r="CJ23" s="330">
        <v>32553.567583731005</v>
      </c>
      <c r="CK23" s="330">
        <v>209662.92817721103</v>
      </c>
      <c r="CL23" s="184">
        <v>8051.6499000000003</v>
      </c>
      <c r="CM23" s="184">
        <v>8300.67</v>
      </c>
      <c r="CN23" s="184">
        <v>805.16498999999999</v>
      </c>
      <c r="CO23" s="184">
        <v>7246.4849100000001</v>
      </c>
      <c r="CP23" s="330">
        <v>27.323722284546921</v>
      </c>
      <c r="CQ23" s="187">
        <v>0.1</v>
      </c>
      <c r="CR23" s="187">
        <v>1.0679494728479799</v>
      </c>
      <c r="CS23" s="115" t="s">
        <v>1645</v>
      </c>
      <c r="CV23" s="115">
        <v>2025.05</v>
      </c>
      <c r="CW23" s="115" t="s">
        <v>1415</v>
      </c>
      <c r="CX23" s="115" t="s">
        <v>380</v>
      </c>
      <c r="CY23" s="115" t="s">
        <v>1799</v>
      </c>
      <c r="CZ23" s="330">
        <v>1816.788</v>
      </c>
      <c r="DA23" s="115"/>
      <c r="DB23" s="115"/>
      <c r="DC23" s="115" t="s">
        <v>1415</v>
      </c>
      <c r="DD23" s="115" t="s">
        <v>2114</v>
      </c>
      <c r="DE23" s="115" t="s">
        <v>358</v>
      </c>
      <c r="DF23" s="115" t="s">
        <v>1267</v>
      </c>
      <c r="DG23" s="115">
        <v>23665.5</v>
      </c>
      <c r="DJ23" s="115" t="s">
        <v>1415</v>
      </c>
      <c r="DK23" s="115" t="s">
        <v>2114</v>
      </c>
      <c r="DL23" s="115" t="s">
        <v>1413</v>
      </c>
      <c r="DM23" s="115" t="s">
        <v>298</v>
      </c>
      <c r="DN23" s="115" t="s">
        <v>298</v>
      </c>
      <c r="DO23" s="115">
        <v>100</v>
      </c>
      <c r="DP23" s="115">
        <v>41781.53</v>
      </c>
      <c r="DR23" s="214"/>
      <c r="DY23" s="115"/>
      <c r="DZ23" s="115" t="s">
        <v>1415</v>
      </c>
      <c r="EA23" s="115" t="s">
        <v>2114</v>
      </c>
      <c r="EB23" s="115">
        <v>15</v>
      </c>
      <c r="EC23" s="115" t="s">
        <v>90</v>
      </c>
      <c r="ED23" s="115" t="s">
        <v>1700</v>
      </c>
      <c r="EE23" s="187">
        <v>0.5</v>
      </c>
      <c r="EF23" s="330">
        <v>46.478299999999997</v>
      </c>
      <c r="EG23" s="330">
        <v>50.6907</v>
      </c>
      <c r="EH23" s="115" t="s">
        <v>377</v>
      </c>
      <c r="EI23" s="115" t="s">
        <v>1821</v>
      </c>
      <c r="EJ23" s="115"/>
      <c r="EK23" s="115" t="s">
        <v>315</v>
      </c>
      <c r="EL23" s="115" t="s">
        <v>1643</v>
      </c>
      <c r="EM23"/>
      <c r="EO23" s="115"/>
      <c r="EP23" s="334" t="s">
        <v>1416</v>
      </c>
      <c r="EQ23" s="334" t="s">
        <v>2114</v>
      </c>
      <c r="ER23" s="334" t="s">
        <v>430</v>
      </c>
      <c r="ES23" s="334" t="s">
        <v>377</v>
      </c>
      <c r="ET23" s="334">
        <v>2023.44</v>
      </c>
      <c r="EU23" s="334" t="s">
        <v>397</v>
      </c>
      <c r="EV23" s="334">
        <v>1731.2560000000001</v>
      </c>
    </row>
    <row r="24" spans="4:156" ht="13">
      <c r="D24" s="115" t="s">
        <v>1505</v>
      </c>
      <c r="E24" s="115" t="s">
        <v>1641</v>
      </c>
      <c r="F24" s="115">
        <v>26515.608800000002</v>
      </c>
      <c r="I24" s="115" t="s">
        <v>1498</v>
      </c>
      <c r="J24" s="115" t="s">
        <v>1364</v>
      </c>
      <c r="K24" s="183">
        <v>300</v>
      </c>
      <c r="AG24" s="115"/>
      <c r="AH24" s="115"/>
      <c r="AI24" s="115" t="s">
        <v>1416</v>
      </c>
      <c r="AJ24" t="s">
        <v>2114</v>
      </c>
      <c r="AK24" s="115">
        <v>0</v>
      </c>
      <c r="AL24" s="115" t="s">
        <v>28</v>
      </c>
      <c r="AM24" s="115" t="s">
        <v>1850</v>
      </c>
      <c r="AN24" s="115" t="s">
        <v>1439</v>
      </c>
      <c r="AO24" s="115" t="s">
        <v>1274</v>
      </c>
      <c r="AT24" s="115" t="s">
        <v>1416</v>
      </c>
      <c r="AU24" s="115" t="s">
        <v>2114</v>
      </c>
      <c r="AV24" s="115">
        <v>0</v>
      </c>
      <c r="AW24" s="115" t="s">
        <v>1680</v>
      </c>
      <c r="AX24" s="115" t="s">
        <v>28</v>
      </c>
      <c r="AY24" s="115" t="s">
        <v>1843</v>
      </c>
      <c r="AZ24" s="115" t="s">
        <v>1865</v>
      </c>
      <c r="BA24" s="115"/>
      <c r="BB24" s="115">
        <v>42582.55</v>
      </c>
      <c r="BC24" s="115"/>
      <c r="BD24" s="115"/>
      <c r="BE24" s="115">
        <v>2703.971958762887</v>
      </c>
      <c r="BF24" s="115"/>
      <c r="BG24" s="115"/>
      <c r="BH24" s="115">
        <v>3705.0970103092786</v>
      </c>
      <c r="BI24" s="115"/>
      <c r="BJ24" s="115">
        <v>5881.0893814432984</v>
      </c>
      <c r="BK24" s="115"/>
      <c r="BL24" s="115"/>
      <c r="BM24" s="115"/>
      <c r="BN24" s="115"/>
      <c r="BO24" s="115"/>
      <c r="BP24" s="115"/>
      <c r="BQ24" s="115"/>
      <c r="BR24" s="182"/>
      <c r="BS24" s="115" t="s">
        <v>1515</v>
      </c>
      <c r="BU24" s="115" t="s">
        <v>1307</v>
      </c>
      <c r="BV24" s="182">
        <v>45112</v>
      </c>
      <c r="BW24" s="115" t="s">
        <v>1536</v>
      </c>
      <c r="BX24" s="115">
        <v>9701.8799999999992</v>
      </c>
      <c r="BY24" s="115">
        <v>0</v>
      </c>
      <c r="BZ24" s="115">
        <v>0</v>
      </c>
      <c r="CA24" s="115" t="s">
        <v>1300</v>
      </c>
      <c r="CB24" s="115" t="s">
        <v>1718</v>
      </c>
      <c r="CC24" s="115">
        <v>1</v>
      </c>
      <c r="CF24" s="115" t="s">
        <v>1415</v>
      </c>
      <c r="CG24" s="115">
        <v>0</v>
      </c>
      <c r="CH24" s="330">
        <v>292534.02059999999</v>
      </c>
      <c r="CI24" s="330">
        <v>292534.02059999999</v>
      </c>
      <c r="CJ24" s="330">
        <v>0</v>
      </c>
      <c r="CK24" s="330">
        <v>292534.02059999999</v>
      </c>
      <c r="CL24" s="184">
        <v>0</v>
      </c>
      <c r="CN24" s="184">
        <v>0</v>
      </c>
      <c r="CO24" s="184">
        <v>0</v>
      </c>
      <c r="CP24" s="330"/>
      <c r="CQ24" s="187">
        <v>0</v>
      </c>
      <c r="CR24" s="187">
        <v>1</v>
      </c>
      <c r="CS24" s="115" t="s">
        <v>386</v>
      </c>
      <c r="CV24" s="115">
        <v>2025.05</v>
      </c>
      <c r="CW24" s="115" t="s">
        <v>1415</v>
      </c>
      <c r="CX24" s="115" t="s">
        <v>1645</v>
      </c>
      <c r="CY24" s="115" t="s">
        <v>1799</v>
      </c>
      <c r="CZ24" s="330">
        <v>2224.1999999999998</v>
      </c>
      <c r="DA24" s="115"/>
      <c r="DB24" s="115"/>
      <c r="DC24" s="115" t="s">
        <v>1415</v>
      </c>
      <c r="DD24" s="115" t="s">
        <v>2114</v>
      </c>
      <c r="DE24" s="115" t="s">
        <v>358</v>
      </c>
      <c r="DF24" s="115" t="s">
        <v>1269</v>
      </c>
      <c r="DG24" s="115">
        <v>166.2</v>
      </c>
      <c r="DJ24" s="115" t="s">
        <v>1415</v>
      </c>
      <c r="DK24" s="115" t="s">
        <v>2114</v>
      </c>
      <c r="DL24" s="115" t="s">
        <v>1471</v>
      </c>
      <c r="DM24" s="115" t="s">
        <v>368</v>
      </c>
      <c r="DN24" s="115" t="s">
        <v>367</v>
      </c>
      <c r="DO24" s="115">
        <v>120</v>
      </c>
      <c r="DP24" s="115">
        <v>532021.4</v>
      </c>
      <c r="DR24" s="214"/>
      <c r="DY24" s="115"/>
      <c r="DZ24" s="115" t="s">
        <v>1416</v>
      </c>
      <c r="EA24" s="115" t="s">
        <v>2114</v>
      </c>
      <c r="EB24" s="115">
        <v>0</v>
      </c>
      <c r="EC24" s="115" t="s">
        <v>90</v>
      </c>
      <c r="ED24" s="115" t="s">
        <v>1700</v>
      </c>
      <c r="EE24" s="187">
        <v>0.5</v>
      </c>
      <c r="EF24" s="330">
        <v>43.06</v>
      </c>
      <c r="EG24" s="330">
        <v>46.18</v>
      </c>
      <c r="EH24" s="115" t="s">
        <v>377</v>
      </c>
      <c r="EI24" s="115" t="s">
        <v>1821</v>
      </c>
      <c r="EJ24" s="115"/>
      <c r="EK24" s="115" t="s">
        <v>315</v>
      </c>
      <c r="EL24" s="115" t="s">
        <v>1643</v>
      </c>
      <c r="EM24"/>
      <c r="EO24" s="115"/>
      <c r="EP24" s="334" t="s">
        <v>1416</v>
      </c>
      <c r="EQ24" s="334" t="s">
        <v>2114</v>
      </c>
      <c r="ER24" s="334" t="s">
        <v>430</v>
      </c>
      <c r="ES24" s="334" t="s">
        <v>377</v>
      </c>
      <c r="ET24" s="334">
        <v>2023.44</v>
      </c>
      <c r="EU24" s="334" t="s">
        <v>1382</v>
      </c>
      <c r="EV24" s="334">
        <v>1731.2560000000001</v>
      </c>
    </row>
    <row r="25" spans="4:156" ht="13">
      <c r="D25" s="115" t="s">
        <v>1505</v>
      </c>
      <c r="E25" s="115" t="s">
        <v>380</v>
      </c>
      <c r="F25" s="115">
        <v>-14123.193799999999</v>
      </c>
      <c r="I25" s="115" t="s">
        <v>1498</v>
      </c>
      <c r="J25" s="115" t="s">
        <v>1367</v>
      </c>
      <c r="K25" s="183">
        <v>8</v>
      </c>
      <c r="AG25" s="115"/>
      <c r="AH25" s="115"/>
      <c r="AI25" s="115" t="s">
        <v>1416</v>
      </c>
      <c r="AJ25" t="s">
        <v>2114</v>
      </c>
      <c r="AK25" s="115">
        <v>0</v>
      </c>
      <c r="AL25" s="115" t="s">
        <v>28</v>
      </c>
      <c r="AM25" s="115" t="s">
        <v>1846</v>
      </c>
      <c r="AN25" s="115" t="s">
        <v>1439</v>
      </c>
      <c r="AO25" s="115" t="s">
        <v>1274</v>
      </c>
      <c r="AT25" s="115" t="s">
        <v>1415</v>
      </c>
      <c r="AU25" s="115" t="s">
        <v>2114</v>
      </c>
      <c r="AV25" s="115">
        <v>15</v>
      </c>
      <c r="AW25" s="115" t="s">
        <v>1680</v>
      </c>
      <c r="AX25" s="115" t="s">
        <v>28</v>
      </c>
      <c r="AY25" s="115" t="s">
        <v>1849</v>
      </c>
      <c r="AZ25" s="115" t="s">
        <v>1865</v>
      </c>
      <c r="BA25" s="115"/>
      <c r="BB25" s="115"/>
      <c r="BC25" s="115"/>
      <c r="BD25" s="115"/>
      <c r="BE25" s="115">
        <v>607.93022187500003</v>
      </c>
      <c r="BF25" s="115"/>
      <c r="BG25" s="115"/>
      <c r="BH25" s="115">
        <v>249.65046208800004</v>
      </c>
      <c r="BI25" s="115"/>
      <c r="BJ25" s="115">
        <v>52.60896041666664</v>
      </c>
      <c r="BK25" s="115"/>
      <c r="BL25" s="115"/>
      <c r="BM25" s="115"/>
      <c r="BN25" s="115"/>
      <c r="BO25" s="115"/>
      <c r="BP25" s="115"/>
      <c r="BQ25" s="115"/>
      <c r="BR25" s="182"/>
      <c r="BS25" s="115" t="s">
        <v>1516</v>
      </c>
      <c r="BU25" s="115" t="s">
        <v>1307</v>
      </c>
      <c r="BV25" s="182">
        <v>45117</v>
      </c>
      <c r="BW25" s="115" t="s">
        <v>1536</v>
      </c>
      <c r="BX25" s="115">
        <v>8864.33</v>
      </c>
      <c r="BY25" s="115">
        <v>0</v>
      </c>
      <c r="BZ25" s="115">
        <v>0</v>
      </c>
      <c r="CA25" s="115" t="s">
        <v>1300</v>
      </c>
      <c r="CB25" s="115" t="s">
        <v>1699</v>
      </c>
      <c r="CC25" s="115">
        <v>0</v>
      </c>
      <c r="CF25" s="115" t="s">
        <v>1415</v>
      </c>
      <c r="CG25" s="115">
        <v>0</v>
      </c>
      <c r="CH25" s="330">
        <v>101851.09501583099</v>
      </c>
      <c r="CI25" s="330">
        <v>101066.12577319588</v>
      </c>
      <c r="CJ25" s="330">
        <v>101851.09501583099</v>
      </c>
      <c r="CK25" s="330">
        <v>0</v>
      </c>
      <c r="CL25" s="184">
        <v>1901.27469</v>
      </c>
      <c r="CM25" s="184">
        <v>1960.0769999999998</v>
      </c>
      <c r="CN25" s="184">
        <v>1901.27469</v>
      </c>
      <c r="CO25" s="184">
        <v>0</v>
      </c>
      <c r="CP25" s="330">
        <v>51.562324221546341</v>
      </c>
      <c r="CQ25" s="187">
        <v>1</v>
      </c>
      <c r="CR25" s="187">
        <v>1.0077668876354899</v>
      </c>
      <c r="CS25" s="115" t="s">
        <v>1641</v>
      </c>
      <c r="CV25" s="115">
        <v>2024.47</v>
      </c>
      <c r="CW25" s="115" t="s">
        <v>1415</v>
      </c>
      <c r="CX25" s="115" t="s">
        <v>1645</v>
      </c>
      <c r="CY25" s="115" t="s">
        <v>2064</v>
      </c>
      <c r="CZ25" s="330">
        <v>741.4</v>
      </c>
      <c r="DA25" s="115"/>
      <c r="DB25" s="115"/>
      <c r="DC25" s="115" t="s">
        <v>1415</v>
      </c>
      <c r="DD25" s="115" t="s">
        <v>2114</v>
      </c>
      <c r="DE25" s="115" t="s">
        <v>428</v>
      </c>
      <c r="DF25" s="115" t="s">
        <v>1267</v>
      </c>
      <c r="DG25" s="115">
        <v>19337.2</v>
      </c>
      <c r="DJ25" s="115" t="s">
        <v>1416</v>
      </c>
      <c r="DK25" s="115" t="s">
        <v>2114</v>
      </c>
      <c r="DL25" s="115" t="s">
        <v>1482</v>
      </c>
      <c r="DM25" s="115" t="s">
        <v>428</v>
      </c>
      <c r="DN25" s="115" t="s">
        <v>361</v>
      </c>
      <c r="DO25" s="115">
        <v>20</v>
      </c>
      <c r="DP25" s="115">
        <v>16576.52</v>
      </c>
      <c r="DR25" s="214"/>
      <c r="DY25" s="115"/>
      <c r="DZ25" s="115" t="s">
        <v>1415</v>
      </c>
      <c r="EA25" s="115" t="s">
        <v>2114</v>
      </c>
      <c r="EB25" s="115">
        <v>0</v>
      </c>
      <c r="EC25" s="115" t="s">
        <v>90</v>
      </c>
      <c r="ED25" s="115" t="s">
        <v>1700</v>
      </c>
      <c r="EE25" s="187">
        <v>0.5</v>
      </c>
      <c r="EF25" s="330">
        <v>46.478299999999997</v>
      </c>
      <c r="EG25" s="330">
        <v>50.6907</v>
      </c>
      <c r="EH25" s="115" t="s">
        <v>377</v>
      </c>
      <c r="EI25" s="115" t="s">
        <v>1821</v>
      </c>
      <c r="EJ25" s="115"/>
      <c r="EK25" s="115" t="s">
        <v>315</v>
      </c>
      <c r="EL25" s="115" t="s">
        <v>1643</v>
      </c>
      <c r="EM25"/>
      <c r="EO25" s="115"/>
      <c r="EP25" s="334" t="s">
        <v>1416</v>
      </c>
      <c r="EQ25" s="334" t="s">
        <v>2114</v>
      </c>
      <c r="ER25" s="334" t="s">
        <v>430</v>
      </c>
      <c r="ES25" s="334" t="s">
        <v>377</v>
      </c>
      <c r="ET25" s="334">
        <v>2024.44</v>
      </c>
      <c r="EU25" s="334" t="s">
        <v>397</v>
      </c>
      <c r="EV25" s="334">
        <v>1731.2560000000001</v>
      </c>
    </row>
    <row r="26" spans="4:156" ht="13">
      <c r="D26" s="115" t="s">
        <v>1505</v>
      </c>
      <c r="E26" s="115" t="s">
        <v>1646</v>
      </c>
      <c r="F26" s="115">
        <v>142239.60260000001</v>
      </c>
      <c r="I26" s="115" t="s">
        <v>1498</v>
      </c>
      <c r="J26" s="115" t="s">
        <v>1362</v>
      </c>
      <c r="K26" s="183">
        <v>95</v>
      </c>
      <c r="AG26" s="115"/>
      <c r="AH26" s="115"/>
      <c r="AI26" s="115" t="s">
        <v>1416</v>
      </c>
      <c r="AJ26" t="s">
        <v>2114</v>
      </c>
      <c r="AK26" s="115">
        <v>0</v>
      </c>
      <c r="AL26" s="115" t="s">
        <v>28</v>
      </c>
      <c r="AM26" s="115" t="s">
        <v>1849</v>
      </c>
      <c r="AN26" s="115" t="s">
        <v>1439</v>
      </c>
      <c r="AO26" s="115" t="s">
        <v>1274</v>
      </c>
      <c r="AT26" s="115" t="s">
        <v>1416</v>
      </c>
      <c r="AU26" s="115" t="s">
        <v>2114</v>
      </c>
      <c r="AV26" s="115">
        <v>0</v>
      </c>
      <c r="AW26" s="115" t="s">
        <v>1680</v>
      </c>
      <c r="AX26" s="115" t="s">
        <v>28</v>
      </c>
      <c r="AY26" s="115" t="s">
        <v>1849</v>
      </c>
      <c r="AZ26" s="115" t="s">
        <v>1865</v>
      </c>
      <c r="BA26" s="115"/>
      <c r="BB26" s="115"/>
      <c r="BC26" s="115"/>
      <c r="BD26" s="115"/>
      <c r="BE26" s="115">
        <v>29.390999999999998</v>
      </c>
      <c r="BF26" s="115"/>
      <c r="BG26" s="115"/>
      <c r="BH26" s="115">
        <v>82.712364048000012</v>
      </c>
      <c r="BI26" s="115"/>
      <c r="BJ26" s="115">
        <v>13.612333333333327</v>
      </c>
      <c r="BK26" s="115"/>
      <c r="BL26" s="115"/>
      <c r="BM26" s="115"/>
      <c r="BN26" s="115"/>
      <c r="BO26" s="115"/>
      <c r="BP26" s="115"/>
      <c r="BQ26" s="115"/>
      <c r="BR26" s="182"/>
      <c r="BS26" s="115" t="s">
        <v>1518</v>
      </c>
      <c r="BU26" s="115" t="s">
        <v>1308</v>
      </c>
      <c r="BV26" s="182">
        <v>45184</v>
      </c>
      <c r="BW26" s="115" t="s">
        <v>1536</v>
      </c>
      <c r="BX26" s="115">
        <v>11832.47</v>
      </c>
      <c r="BY26" s="115">
        <v>0</v>
      </c>
      <c r="BZ26" s="115">
        <v>0</v>
      </c>
      <c r="CA26" s="115" t="s">
        <v>1300</v>
      </c>
      <c r="CB26" s="115" t="s">
        <v>1718</v>
      </c>
      <c r="CC26" s="115">
        <v>1</v>
      </c>
      <c r="CF26" s="115" t="s">
        <v>1415</v>
      </c>
      <c r="CG26" s="115">
        <v>0</v>
      </c>
      <c r="CH26" s="330">
        <v>297804.71722799994</v>
      </c>
      <c r="CI26" s="330">
        <v>294219.77154639177</v>
      </c>
      <c r="CJ26" s="330">
        <v>142447.25157959998</v>
      </c>
      <c r="CK26" s="330">
        <v>155357.46564839999</v>
      </c>
      <c r="CL26" s="184">
        <v>6129.6239999999998</v>
      </c>
      <c r="CM26" s="184">
        <v>6319.2000000000007</v>
      </c>
      <c r="CN26" s="184">
        <v>3064.8119999999999</v>
      </c>
      <c r="CO26" s="184">
        <v>3064.8119999999999</v>
      </c>
      <c r="CP26" s="330">
        <v>46.559654947840194</v>
      </c>
      <c r="CQ26" s="187">
        <v>0.5</v>
      </c>
      <c r="CR26" s="187">
        <v>1.01218458454633</v>
      </c>
      <c r="CS26" s="115" t="s">
        <v>1643</v>
      </c>
      <c r="CV26" s="115">
        <v>2024.48</v>
      </c>
      <c r="CW26" s="115" t="s">
        <v>1415</v>
      </c>
      <c r="CX26" s="115" t="s">
        <v>1645</v>
      </c>
      <c r="CY26" s="115" t="s">
        <v>2064</v>
      </c>
      <c r="CZ26" s="330">
        <v>6301.9</v>
      </c>
      <c r="DA26" s="115"/>
      <c r="DB26" s="115"/>
      <c r="DC26" s="115" t="s">
        <v>1415</v>
      </c>
      <c r="DD26" s="115" t="s">
        <v>2114</v>
      </c>
      <c r="DE26" s="115" t="s">
        <v>428</v>
      </c>
      <c r="DF26" s="115" t="s">
        <v>1268</v>
      </c>
      <c r="DG26" s="115">
        <v>11020.56</v>
      </c>
      <c r="DJ26" s="115" t="s">
        <v>1415</v>
      </c>
      <c r="DK26" s="115" t="s">
        <v>2114</v>
      </c>
      <c r="DL26" s="115" t="s">
        <v>1464</v>
      </c>
      <c r="DM26" s="115" t="s">
        <v>428</v>
      </c>
      <c r="DN26" s="115" t="s">
        <v>428</v>
      </c>
      <c r="DO26" s="115">
        <v>20</v>
      </c>
      <c r="DP26" s="115">
        <v>45404.79</v>
      </c>
      <c r="DR26" s="214"/>
      <c r="DY26" s="115"/>
      <c r="DZ26" s="115" t="s">
        <v>1415</v>
      </c>
      <c r="EA26" s="115" t="s">
        <v>2114</v>
      </c>
      <c r="EB26" s="115">
        <v>16</v>
      </c>
      <c r="EC26" s="115" t="s">
        <v>90</v>
      </c>
      <c r="ED26" s="115" t="s">
        <v>1700</v>
      </c>
      <c r="EE26" s="187">
        <v>0.5</v>
      </c>
      <c r="EF26" s="330">
        <v>46.478299999999997</v>
      </c>
      <c r="EG26" s="330">
        <v>50.6907</v>
      </c>
      <c r="EH26" s="115" t="s">
        <v>377</v>
      </c>
      <c r="EI26" s="115" t="s">
        <v>1821</v>
      </c>
      <c r="EJ26" s="115"/>
      <c r="EK26" s="115" t="s">
        <v>315</v>
      </c>
      <c r="EL26" s="115" t="s">
        <v>1643</v>
      </c>
      <c r="EM26"/>
      <c r="EO26" s="115"/>
      <c r="EP26" s="334" t="s">
        <v>1416</v>
      </c>
      <c r="EQ26" s="334" t="s">
        <v>2114</v>
      </c>
      <c r="ER26" s="334" t="s">
        <v>430</v>
      </c>
      <c r="ES26" s="334" t="s">
        <v>377</v>
      </c>
      <c r="ET26" s="334">
        <v>2024.44</v>
      </c>
      <c r="EU26" s="334" t="s">
        <v>1382</v>
      </c>
      <c r="EV26" s="334">
        <v>36.619999999999997</v>
      </c>
    </row>
    <row r="27" spans="4:156" ht="13">
      <c r="D27" s="115" t="s">
        <v>1505</v>
      </c>
      <c r="E27" s="115" t="s">
        <v>1639</v>
      </c>
      <c r="F27" s="115">
        <v>26657.716100000001</v>
      </c>
      <c r="I27" s="115" t="s">
        <v>1498</v>
      </c>
      <c r="J27" s="115" t="s">
        <v>1368</v>
      </c>
      <c r="K27" s="183">
        <v>11.5</v>
      </c>
      <c r="AG27" s="115"/>
      <c r="AH27" s="115"/>
      <c r="AI27" s="115" t="s">
        <v>1416</v>
      </c>
      <c r="AJ27" t="s">
        <v>2114</v>
      </c>
      <c r="AK27" s="115">
        <v>0</v>
      </c>
      <c r="AL27" s="115" t="s">
        <v>28</v>
      </c>
      <c r="AM27" s="115" t="s">
        <v>1846</v>
      </c>
      <c r="AN27" s="115" t="s">
        <v>1439</v>
      </c>
      <c r="AO27" s="115" t="s">
        <v>379</v>
      </c>
      <c r="AT27" s="115" t="s">
        <v>1416</v>
      </c>
      <c r="AU27" s="115" t="s">
        <v>2114</v>
      </c>
      <c r="AV27" s="115">
        <v>0</v>
      </c>
      <c r="AW27" s="115" t="s">
        <v>1680</v>
      </c>
      <c r="AX27" s="115" t="s">
        <v>28</v>
      </c>
      <c r="AY27" s="115" t="s">
        <v>1850</v>
      </c>
      <c r="AZ27" s="115" t="s">
        <v>1865</v>
      </c>
      <c r="BA27" s="115"/>
      <c r="BB27" s="115">
        <v>1110.6499999999999</v>
      </c>
      <c r="BC27" s="115"/>
      <c r="BD27" s="115"/>
      <c r="BE27" s="115">
        <v>29.390999999999998</v>
      </c>
      <c r="BF27" s="115"/>
      <c r="BG27" s="115"/>
      <c r="BH27" s="115">
        <v>9.1902626720000011</v>
      </c>
      <c r="BI27" s="115"/>
      <c r="BJ27" s="115">
        <v>122.51099999999998</v>
      </c>
      <c r="BK27" s="115"/>
      <c r="BL27" s="115"/>
      <c r="BM27" s="115"/>
      <c r="BN27" s="115"/>
      <c r="BO27" s="115"/>
      <c r="BP27" s="115"/>
      <c r="BQ27" s="115"/>
      <c r="BR27" s="182"/>
      <c r="BS27" s="115" t="s">
        <v>1521</v>
      </c>
      <c r="BU27" s="115" t="s">
        <v>1308</v>
      </c>
      <c r="BV27" s="182">
        <v>45184</v>
      </c>
      <c r="BW27" s="115" t="s">
        <v>1536</v>
      </c>
      <c r="BX27" s="115">
        <v>1304.33</v>
      </c>
      <c r="BY27" s="115">
        <v>0</v>
      </c>
      <c r="BZ27" s="115">
        <v>0</v>
      </c>
      <c r="CA27" s="115" t="s">
        <v>1300</v>
      </c>
      <c r="CB27" s="115" t="s">
        <v>1718</v>
      </c>
      <c r="CC27" s="115">
        <v>1</v>
      </c>
      <c r="CF27" s="115" t="s">
        <v>1415</v>
      </c>
      <c r="CG27" s="115">
        <v>0</v>
      </c>
      <c r="CH27" s="330">
        <v>269143.4685343469</v>
      </c>
      <c r="CI27" s="330">
        <v>333339.62412371137</v>
      </c>
      <c r="CJ27" s="330">
        <v>86316.189891091868</v>
      </c>
      <c r="CK27" s="330">
        <v>182827.27864325501</v>
      </c>
      <c r="CL27" s="184">
        <v>6802.3351250000005</v>
      </c>
      <c r="CM27" s="184">
        <v>7012.7166237113406</v>
      </c>
      <c r="CN27" s="184">
        <v>2054.7850687500004</v>
      </c>
      <c r="CO27" s="184">
        <v>4747.5500562500001</v>
      </c>
      <c r="CP27" s="330">
        <v>47.533593899491983</v>
      </c>
      <c r="CQ27" s="187">
        <v>0.30207054356940399</v>
      </c>
      <c r="CR27" s="187">
        <v>0.80741516776433497</v>
      </c>
      <c r="CS27" s="115" t="s">
        <v>372</v>
      </c>
      <c r="CV27" s="115">
        <v>2024.49</v>
      </c>
      <c r="CW27" s="115" t="s">
        <v>1415</v>
      </c>
      <c r="CX27" s="115" t="s">
        <v>1645</v>
      </c>
      <c r="CY27" s="115" t="s">
        <v>2064</v>
      </c>
      <c r="CZ27" s="330">
        <v>2965.6</v>
      </c>
      <c r="DA27" s="115"/>
      <c r="DB27" s="115"/>
      <c r="DC27" s="115" t="s">
        <v>1416</v>
      </c>
      <c r="DD27" s="115" t="s">
        <v>2114</v>
      </c>
      <c r="DE27" s="115" t="s">
        <v>1475</v>
      </c>
      <c r="DF27" s="115" t="s">
        <v>1272</v>
      </c>
      <c r="DG27" s="115">
        <v>269.70999999999998</v>
      </c>
      <c r="DJ27" s="115" t="s">
        <v>1416</v>
      </c>
      <c r="DK27" s="115" t="s">
        <v>2114</v>
      </c>
      <c r="DL27" s="115" t="s">
        <v>1483</v>
      </c>
      <c r="DM27" s="115" t="s">
        <v>430</v>
      </c>
      <c r="DN27" s="115" t="s">
        <v>1408</v>
      </c>
      <c r="DO27" s="115">
        <v>30</v>
      </c>
      <c r="DP27" s="115">
        <v>23200.38</v>
      </c>
      <c r="DR27" s="214"/>
      <c r="DY27" s="115"/>
      <c r="DZ27" s="115" t="s">
        <v>1415</v>
      </c>
      <c r="EA27" s="115" t="s">
        <v>2114</v>
      </c>
      <c r="EB27" s="115">
        <v>15</v>
      </c>
      <c r="EC27" s="115" t="s">
        <v>92</v>
      </c>
      <c r="ED27" s="115" t="s">
        <v>1697</v>
      </c>
      <c r="EE27" s="187">
        <v>1</v>
      </c>
      <c r="EF27" s="330">
        <v>46.478299999999997</v>
      </c>
      <c r="EG27" s="330">
        <v>39.066200000000002</v>
      </c>
      <c r="EH27" s="115" t="s">
        <v>378</v>
      </c>
      <c r="EI27" s="115" t="s">
        <v>1826</v>
      </c>
      <c r="EJ27" s="115"/>
      <c r="EK27" s="115" t="s">
        <v>315</v>
      </c>
      <c r="EL27" s="115" t="s">
        <v>1644</v>
      </c>
      <c r="EM27"/>
      <c r="EO27" s="115"/>
      <c r="EP27" s="334" t="s">
        <v>1416</v>
      </c>
      <c r="EQ27" s="334" t="s">
        <v>2114</v>
      </c>
      <c r="ER27" s="334" t="s">
        <v>430</v>
      </c>
      <c r="ES27" s="334" t="s">
        <v>372</v>
      </c>
      <c r="ET27" s="334">
        <v>2023.44</v>
      </c>
      <c r="EU27" s="334" t="s">
        <v>397</v>
      </c>
      <c r="EV27" s="334">
        <v>21355.489000000001</v>
      </c>
    </row>
    <row r="28" spans="4:156" ht="13">
      <c r="D28" s="115" t="s">
        <v>1505</v>
      </c>
      <c r="E28" s="115" t="s">
        <v>360</v>
      </c>
      <c r="F28" s="115">
        <v>35399.652399999999</v>
      </c>
      <c r="I28" s="115" t="s">
        <v>1498</v>
      </c>
      <c r="J28" s="115" t="s">
        <v>1360</v>
      </c>
      <c r="K28" s="183">
        <v>0.25</v>
      </c>
      <c r="AG28" s="115"/>
      <c r="AH28" s="115"/>
      <c r="AI28" s="115" t="s">
        <v>1416</v>
      </c>
      <c r="AJ28" t="s">
        <v>2114</v>
      </c>
      <c r="AK28" s="115">
        <v>0</v>
      </c>
      <c r="AL28" s="115" t="s">
        <v>28</v>
      </c>
      <c r="AM28" s="115" t="s">
        <v>1848</v>
      </c>
      <c r="AN28" s="115" t="s">
        <v>1439</v>
      </c>
      <c r="AO28" s="115" t="s">
        <v>379</v>
      </c>
      <c r="AT28" s="115" t="s">
        <v>1415</v>
      </c>
      <c r="AU28" s="115" t="s">
        <v>2114</v>
      </c>
      <c r="AV28" s="115">
        <v>15</v>
      </c>
      <c r="AW28" s="115" t="s">
        <v>1680</v>
      </c>
      <c r="AX28" s="115" t="s">
        <v>28</v>
      </c>
      <c r="AY28" s="115" t="s">
        <v>1850</v>
      </c>
      <c r="AZ28" s="115" t="s">
        <v>1865</v>
      </c>
      <c r="BA28" s="115"/>
      <c r="BB28" s="115">
        <v>2811.06</v>
      </c>
      <c r="BC28" s="115"/>
      <c r="BD28" s="115"/>
      <c r="BE28" s="115">
        <v>607.93022187500003</v>
      </c>
      <c r="BF28" s="115"/>
      <c r="BG28" s="115"/>
      <c r="BH28" s="115">
        <v>27.738940232000004</v>
      </c>
      <c r="BI28" s="115"/>
      <c r="BJ28" s="115">
        <v>473.48064374999984</v>
      </c>
      <c r="BK28" s="115"/>
      <c r="BL28" s="115"/>
      <c r="BM28" s="115"/>
      <c r="BN28" s="115"/>
      <c r="BO28" s="115"/>
      <c r="BP28" s="115"/>
      <c r="BQ28" s="115"/>
      <c r="BR28" s="182"/>
      <c r="BS28" s="115" t="s">
        <v>1523</v>
      </c>
      <c r="BU28" s="115" t="s">
        <v>1307</v>
      </c>
      <c r="BV28" s="182">
        <v>45184</v>
      </c>
      <c r="BW28" s="115" t="s">
        <v>1536</v>
      </c>
      <c r="BX28" s="115">
        <v>9179.92</v>
      </c>
      <c r="BY28" s="115">
        <v>0</v>
      </c>
      <c r="BZ28" s="115">
        <v>0</v>
      </c>
      <c r="CA28" s="115" t="s">
        <v>1300</v>
      </c>
      <c r="CB28" s="115" t="s">
        <v>1718</v>
      </c>
      <c r="CC28" s="115">
        <v>1</v>
      </c>
      <c r="CF28" s="115" t="s">
        <v>1415</v>
      </c>
      <c r="CG28" s="115">
        <v>0</v>
      </c>
      <c r="CH28" s="330">
        <v>500446.22292229004</v>
      </c>
      <c r="CI28" s="330">
        <v>443481.49020618561</v>
      </c>
      <c r="CJ28" s="330">
        <v>156990.60760280828</v>
      </c>
      <c r="CK28" s="330">
        <v>343455.61531948176</v>
      </c>
      <c r="CL28" s="184">
        <v>14194.216609999999</v>
      </c>
      <c r="CM28" s="184">
        <v>14633.213000000002</v>
      </c>
      <c r="CN28" s="184">
        <v>3923.4353390000001</v>
      </c>
      <c r="CO28" s="184">
        <v>10270.781271</v>
      </c>
      <c r="CP28" s="330">
        <v>30.306501395570855</v>
      </c>
      <c r="CQ28" s="187">
        <v>0.27641084018936901</v>
      </c>
      <c r="CR28" s="187">
        <v>1.1284489521526999</v>
      </c>
      <c r="CS28" s="115" t="s">
        <v>380</v>
      </c>
      <c r="CV28" s="115">
        <v>2024.5</v>
      </c>
      <c r="CW28" s="115" t="s">
        <v>1415</v>
      </c>
      <c r="CX28" s="115" t="s">
        <v>1645</v>
      </c>
      <c r="CY28" s="115" t="s">
        <v>2064</v>
      </c>
      <c r="CZ28" s="330">
        <v>8155.4</v>
      </c>
      <c r="DA28" s="115"/>
      <c r="DB28" s="115"/>
      <c r="DC28" s="115" t="s">
        <v>1416</v>
      </c>
      <c r="DD28" s="115" t="s">
        <v>2114</v>
      </c>
      <c r="DE28" s="115" t="s">
        <v>1475</v>
      </c>
      <c r="DF28" s="115" t="s">
        <v>1241</v>
      </c>
      <c r="DG28" s="115">
        <v>9750</v>
      </c>
      <c r="DJ28" s="115" t="s">
        <v>1415</v>
      </c>
      <c r="DK28" s="115" t="s">
        <v>2114</v>
      </c>
      <c r="DL28" s="115" t="s">
        <v>1465</v>
      </c>
      <c r="DM28" s="115" t="s">
        <v>430</v>
      </c>
      <c r="DN28" s="115" t="s">
        <v>430</v>
      </c>
      <c r="DO28" s="115">
        <v>30</v>
      </c>
      <c r="DP28" s="115">
        <v>60752.160000000003</v>
      </c>
      <c r="DR28" s="214"/>
      <c r="DY28" s="115"/>
      <c r="DZ28" s="115" t="s">
        <v>1416</v>
      </c>
      <c r="EA28" s="115" t="s">
        <v>2114</v>
      </c>
      <c r="EB28" s="115">
        <v>0</v>
      </c>
      <c r="EC28" s="115" t="s">
        <v>92</v>
      </c>
      <c r="ED28" s="115" t="s">
        <v>1697</v>
      </c>
      <c r="EE28" s="187">
        <v>1</v>
      </c>
      <c r="EF28" s="330">
        <v>43.06</v>
      </c>
      <c r="EG28" s="330">
        <v>35.590000000000003</v>
      </c>
      <c r="EH28" s="115" t="s">
        <v>378</v>
      </c>
      <c r="EI28" s="115" t="s">
        <v>1826</v>
      </c>
      <c r="EJ28" s="115"/>
      <c r="EK28" s="115" t="s">
        <v>315</v>
      </c>
      <c r="EL28" s="115" t="s">
        <v>1644</v>
      </c>
      <c r="EM28"/>
      <c r="EO28" s="115"/>
      <c r="EP28" s="334" t="s">
        <v>1416</v>
      </c>
      <c r="EQ28" s="334" t="s">
        <v>2114</v>
      </c>
      <c r="ER28" s="334" t="s">
        <v>430</v>
      </c>
      <c r="ES28" s="334" t="s">
        <v>372</v>
      </c>
      <c r="ET28" s="334">
        <v>2023.44</v>
      </c>
      <c r="EU28" s="334" t="s">
        <v>1382</v>
      </c>
      <c r="EV28" s="334">
        <v>21355.489000000001</v>
      </c>
    </row>
    <row r="29" spans="4:156" ht="13">
      <c r="D29" s="115" t="s">
        <v>1505</v>
      </c>
      <c r="E29" s="115" t="s">
        <v>372</v>
      </c>
      <c r="F29" s="115">
        <v>11461.1844</v>
      </c>
      <c r="I29" s="115" t="s">
        <v>1498</v>
      </c>
      <c r="J29" s="115" t="s">
        <v>1358</v>
      </c>
      <c r="K29" s="183" t="s">
        <v>375</v>
      </c>
      <c r="AG29" s="115"/>
      <c r="AH29" s="115"/>
      <c r="AI29" s="115" t="s">
        <v>1416</v>
      </c>
      <c r="AJ29" t="s">
        <v>2114</v>
      </c>
      <c r="AK29" s="115">
        <v>0</v>
      </c>
      <c r="AL29" s="115" t="s">
        <v>28</v>
      </c>
      <c r="AM29" s="115" t="s">
        <v>1843</v>
      </c>
      <c r="AN29" s="115" t="s">
        <v>1439</v>
      </c>
      <c r="AO29" s="115" t="s">
        <v>379</v>
      </c>
      <c r="AT29" s="115" t="s">
        <v>1416</v>
      </c>
      <c r="AU29" s="115" t="s">
        <v>2114</v>
      </c>
      <c r="AV29" s="115">
        <v>0</v>
      </c>
      <c r="AW29" s="115" t="s">
        <v>1680</v>
      </c>
      <c r="AX29" s="115" t="s">
        <v>28</v>
      </c>
      <c r="AY29" s="115" t="s">
        <v>1832</v>
      </c>
      <c r="AZ29" s="115" t="s">
        <v>1865</v>
      </c>
      <c r="BA29" s="115"/>
      <c r="BB29" s="115">
        <v>1145</v>
      </c>
      <c r="BC29" s="115"/>
      <c r="BD29" s="115"/>
      <c r="BE29" s="115">
        <v>60.6</v>
      </c>
      <c r="BF29" s="115"/>
      <c r="BG29" s="115"/>
      <c r="BH29" s="115">
        <v>94.744976000000023</v>
      </c>
      <c r="BI29" s="115"/>
      <c r="BJ29" s="115">
        <v>140.33333333333331</v>
      </c>
      <c r="BK29" s="115"/>
      <c r="BL29" s="115"/>
      <c r="BM29" s="115"/>
      <c r="BN29" s="115"/>
      <c r="BO29" s="115"/>
      <c r="BP29" s="115"/>
      <c r="BQ29" s="115"/>
      <c r="BR29" s="182"/>
      <c r="BS29" s="115" t="s">
        <v>1525</v>
      </c>
      <c r="BU29" s="115" t="s">
        <v>1307</v>
      </c>
      <c r="BV29" s="182">
        <v>45189</v>
      </c>
      <c r="BW29" s="115" t="s">
        <v>1536</v>
      </c>
      <c r="BX29" s="115">
        <v>8802.75</v>
      </c>
      <c r="BY29" s="115">
        <v>0</v>
      </c>
      <c r="BZ29" s="115">
        <v>0</v>
      </c>
      <c r="CA29" s="115" t="s">
        <v>1300</v>
      </c>
      <c r="CB29" s="115" t="s">
        <v>1699</v>
      </c>
      <c r="CC29" s="115">
        <v>0</v>
      </c>
      <c r="CF29" s="115" t="s">
        <v>1415</v>
      </c>
      <c r="CG29" s="115">
        <v>0</v>
      </c>
      <c r="CH29" s="330">
        <v>88620.55833747916</v>
      </c>
      <c r="CI29" s="330">
        <v>87815.407835051548</v>
      </c>
      <c r="CJ29" s="330">
        <v>73907.067256012495</v>
      </c>
      <c r="CK29" s="330">
        <v>14713.491081466665</v>
      </c>
      <c r="CL29" s="184">
        <v>1835.4420833333329</v>
      </c>
      <c r="CM29" s="184">
        <v>1892.2083333333335</v>
      </c>
      <c r="CN29" s="184">
        <v>1651.8978749999997</v>
      </c>
      <c r="CO29" s="184">
        <v>183.54420833333327</v>
      </c>
      <c r="CP29" s="330">
        <v>46.408953120058946</v>
      </c>
      <c r="CQ29" s="187">
        <v>0.9</v>
      </c>
      <c r="CR29" s="187">
        <v>1.00916867008054</v>
      </c>
      <c r="CS29" s="115" t="s">
        <v>373</v>
      </c>
      <c r="CV29" s="115">
        <v>2024.51</v>
      </c>
      <c r="CW29" s="115" t="s">
        <v>1415</v>
      </c>
      <c r="CX29" s="115" t="s">
        <v>1645</v>
      </c>
      <c r="CY29" s="115" t="s">
        <v>2064</v>
      </c>
      <c r="CZ29" s="330">
        <v>7414</v>
      </c>
      <c r="DA29" s="115"/>
      <c r="DB29" s="115"/>
      <c r="DC29" s="115" t="s">
        <v>1415</v>
      </c>
      <c r="DD29" s="115" t="s">
        <v>2114</v>
      </c>
      <c r="DE29" s="115" t="s">
        <v>430</v>
      </c>
      <c r="DF29" s="115" t="s">
        <v>1267</v>
      </c>
      <c r="DG29" s="115">
        <v>12758.48</v>
      </c>
      <c r="DJ29" s="115" t="s">
        <v>1415</v>
      </c>
      <c r="DK29" s="115" t="s">
        <v>2114</v>
      </c>
      <c r="DL29" s="115" t="s">
        <v>1480</v>
      </c>
      <c r="DM29" s="115" t="s">
        <v>1412</v>
      </c>
      <c r="DN29" s="115" t="s">
        <v>369</v>
      </c>
      <c r="DO29" s="115">
        <v>200</v>
      </c>
      <c r="DP29" s="115">
        <v>13613.88</v>
      </c>
      <c r="DR29" s="214"/>
      <c r="DY29" s="115"/>
      <c r="DZ29" s="115" t="s">
        <v>1415</v>
      </c>
      <c r="EA29" s="115" t="s">
        <v>2114</v>
      </c>
      <c r="EB29" s="115">
        <v>0</v>
      </c>
      <c r="EC29" s="115" t="s">
        <v>92</v>
      </c>
      <c r="ED29" s="115" t="s">
        <v>1697</v>
      </c>
      <c r="EE29" s="187">
        <v>1</v>
      </c>
      <c r="EF29" s="330">
        <v>46.478299999999997</v>
      </c>
      <c r="EG29" s="330">
        <v>39.066200000000002</v>
      </c>
      <c r="EH29" s="115" t="s">
        <v>378</v>
      </c>
      <c r="EI29" s="115" t="s">
        <v>1826</v>
      </c>
      <c r="EJ29" s="115"/>
      <c r="EK29" s="115" t="s">
        <v>315</v>
      </c>
      <c r="EL29" s="115" t="s">
        <v>1644</v>
      </c>
      <c r="EM29"/>
      <c r="EO29" s="115"/>
      <c r="EP29" s="334" t="s">
        <v>1416</v>
      </c>
      <c r="EQ29" s="334" t="s">
        <v>2114</v>
      </c>
      <c r="ER29" s="334" t="s">
        <v>1468</v>
      </c>
      <c r="ES29" s="334" t="s">
        <v>1274</v>
      </c>
      <c r="ET29" s="334">
        <v>2023.44</v>
      </c>
      <c r="EU29" s="334" t="s">
        <v>397</v>
      </c>
      <c r="EV29" s="334">
        <v>130217.7375</v>
      </c>
    </row>
    <row r="30" spans="4:156" ht="13">
      <c r="D30" s="115" t="s">
        <v>1505</v>
      </c>
      <c r="E30" s="115" t="s">
        <v>386</v>
      </c>
      <c r="F30" s="115">
        <v>-628.46730000000002</v>
      </c>
      <c r="I30" s="115" t="s">
        <v>1498</v>
      </c>
      <c r="J30" s="115" t="s">
        <v>1354</v>
      </c>
      <c r="K30" s="183">
        <v>45141</v>
      </c>
      <c r="AG30" s="115"/>
      <c r="AH30" s="115"/>
      <c r="AI30" s="115" t="s">
        <v>1416</v>
      </c>
      <c r="AJ30" t="s">
        <v>2114</v>
      </c>
      <c r="AK30" s="115">
        <v>0</v>
      </c>
      <c r="AL30" s="115" t="s">
        <v>28</v>
      </c>
      <c r="AM30" s="115" t="s">
        <v>1849</v>
      </c>
      <c r="AN30" s="115" t="s">
        <v>1439</v>
      </c>
      <c r="AO30" s="115" t="s">
        <v>379</v>
      </c>
      <c r="AT30" s="115" t="s">
        <v>1415</v>
      </c>
      <c r="AU30" s="115" t="s">
        <v>2114</v>
      </c>
      <c r="AV30" s="115">
        <v>15</v>
      </c>
      <c r="AW30" s="115" t="s">
        <v>1680</v>
      </c>
      <c r="AX30" s="115" t="s">
        <v>28</v>
      </c>
      <c r="AY30" s="115" t="s">
        <v>1832</v>
      </c>
      <c r="AZ30" s="115" t="s">
        <v>1865</v>
      </c>
      <c r="BA30" s="115"/>
      <c r="BB30" s="115">
        <v>2898</v>
      </c>
      <c r="BC30" s="115"/>
      <c r="BD30" s="115"/>
      <c r="BE30" s="115">
        <v>1253.464375</v>
      </c>
      <c r="BF30" s="115"/>
      <c r="BG30" s="115"/>
      <c r="BH30" s="115">
        <v>285.96845600000006</v>
      </c>
      <c r="BI30" s="115"/>
      <c r="BJ30" s="115">
        <v>542.36041666666654</v>
      </c>
      <c r="BK30" s="115"/>
      <c r="BL30" s="115"/>
      <c r="BM30" s="115"/>
      <c r="BN30" s="115"/>
      <c r="BO30" s="115"/>
      <c r="BP30" s="115"/>
      <c r="BQ30" s="115"/>
      <c r="BR30" s="182"/>
      <c r="BS30" s="115" t="s">
        <v>1527</v>
      </c>
      <c r="BU30" s="115" t="s">
        <v>1307</v>
      </c>
      <c r="BV30" s="182">
        <v>45307</v>
      </c>
      <c r="BW30" s="115" t="s">
        <v>1536</v>
      </c>
      <c r="BX30" s="115">
        <v>289.64</v>
      </c>
      <c r="BY30" s="115">
        <v>0</v>
      </c>
      <c r="BZ30" s="115">
        <v>0</v>
      </c>
      <c r="CA30" s="115" t="s">
        <v>1300</v>
      </c>
      <c r="CB30" s="115" t="s">
        <v>1718</v>
      </c>
      <c r="CC30" s="115">
        <v>1</v>
      </c>
      <c r="CF30" s="115" t="s">
        <v>1415</v>
      </c>
      <c r="CG30" s="115">
        <v>0</v>
      </c>
      <c r="CH30" s="330">
        <v>94917.896283795009</v>
      </c>
      <c r="CI30" s="330">
        <v>93504.65257731959</v>
      </c>
      <c r="CJ30" s="330">
        <v>12823.457343247499</v>
      </c>
      <c r="CK30" s="330">
        <v>82094.438940547509</v>
      </c>
      <c r="CL30" s="184">
        <v>3168.0927500000003</v>
      </c>
      <c r="CM30" s="184">
        <v>3266.0750000000003</v>
      </c>
      <c r="CN30" s="184">
        <v>316.80927500000001</v>
      </c>
      <c r="CO30" s="184">
        <v>2851.2834750000002</v>
      </c>
      <c r="CP30" s="330">
        <v>28.629058603161159</v>
      </c>
      <c r="CQ30" s="187">
        <v>0.1</v>
      </c>
      <c r="CR30" s="187">
        <v>1.01511415386851</v>
      </c>
      <c r="CS30" s="115" t="s">
        <v>381</v>
      </c>
      <c r="CV30" s="115">
        <v>2024.52</v>
      </c>
      <c r="CW30" s="115" t="s">
        <v>1415</v>
      </c>
      <c r="CX30" s="115" t="s">
        <v>1645</v>
      </c>
      <c r="CY30" s="115" t="s">
        <v>2064</v>
      </c>
      <c r="CZ30" s="330">
        <v>3336.3</v>
      </c>
      <c r="DA30" s="115"/>
      <c r="DB30" s="115"/>
      <c r="DC30" s="115" t="s">
        <v>1415</v>
      </c>
      <c r="DD30" s="115" t="s">
        <v>2114</v>
      </c>
      <c r="DE30" s="115" t="s">
        <v>430</v>
      </c>
      <c r="DF30" s="115" t="s">
        <v>1269</v>
      </c>
      <c r="DG30" s="115">
        <v>47993.68</v>
      </c>
      <c r="DJ30" s="115" t="s">
        <v>1416</v>
      </c>
      <c r="DK30" s="115" t="s">
        <v>2114</v>
      </c>
      <c r="DL30" s="115" t="s">
        <v>1484</v>
      </c>
      <c r="DM30" s="115" t="s">
        <v>360</v>
      </c>
      <c r="DN30" s="115" t="s">
        <v>360</v>
      </c>
      <c r="DO30" s="115">
        <v>40</v>
      </c>
      <c r="DP30" s="115">
        <v>35918.19</v>
      </c>
      <c r="DR30" s="214"/>
      <c r="DY30" s="115"/>
      <c r="DZ30" s="115" t="s">
        <v>1415</v>
      </c>
      <c r="EA30" s="115" t="s">
        <v>2114</v>
      </c>
      <c r="EB30" s="115">
        <v>16</v>
      </c>
      <c r="EC30" s="115" t="s">
        <v>92</v>
      </c>
      <c r="ED30" s="115" t="s">
        <v>1697</v>
      </c>
      <c r="EE30" s="187">
        <v>1</v>
      </c>
      <c r="EF30" s="330">
        <v>46.478299999999997</v>
      </c>
      <c r="EG30" s="330">
        <v>39.066200000000002</v>
      </c>
      <c r="EH30" s="115" t="s">
        <v>378</v>
      </c>
      <c r="EI30" s="115" t="s">
        <v>1826</v>
      </c>
      <c r="EJ30" s="115"/>
      <c r="EK30" s="115" t="s">
        <v>315</v>
      </c>
      <c r="EL30" s="115" t="s">
        <v>1644</v>
      </c>
      <c r="EM30"/>
      <c r="EO30" s="115"/>
      <c r="EP30" s="334" t="s">
        <v>1416</v>
      </c>
      <c r="EQ30" s="334" t="s">
        <v>2114</v>
      </c>
      <c r="ER30" s="334" t="s">
        <v>1468</v>
      </c>
      <c r="ES30" s="334" t="s">
        <v>1274</v>
      </c>
      <c r="ET30" s="334">
        <v>2023.44</v>
      </c>
      <c r="EU30" s="334" t="s">
        <v>1382</v>
      </c>
      <c r="EV30" s="334">
        <v>130217.7375</v>
      </c>
    </row>
    <row r="31" spans="4:156" ht="13">
      <c r="D31" s="115" t="s">
        <v>1505</v>
      </c>
      <c r="E31" s="115" t="s">
        <v>1645</v>
      </c>
      <c r="F31" s="115">
        <v>145637.94870000001</v>
      </c>
      <c r="I31" s="115" t="s">
        <v>1498</v>
      </c>
      <c r="J31" s="115" t="s">
        <v>1365</v>
      </c>
      <c r="K31" s="183">
        <v>15</v>
      </c>
      <c r="AG31" s="115"/>
      <c r="AH31" s="115"/>
      <c r="AI31" s="115" t="s">
        <v>1416</v>
      </c>
      <c r="AJ31" t="s">
        <v>2114</v>
      </c>
      <c r="AK31" s="115">
        <v>0</v>
      </c>
      <c r="AL31" s="115" t="s">
        <v>28</v>
      </c>
      <c r="AM31" s="115" t="s">
        <v>1850</v>
      </c>
      <c r="AN31" s="115" t="s">
        <v>1439</v>
      </c>
      <c r="AO31" s="115" t="s">
        <v>379</v>
      </c>
      <c r="AT31" s="115" t="s">
        <v>1415</v>
      </c>
      <c r="AU31" s="115" t="s">
        <v>2114</v>
      </c>
      <c r="AV31" s="115">
        <v>15</v>
      </c>
      <c r="AW31" s="115" t="s">
        <v>1681</v>
      </c>
      <c r="AX31" s="115" t="s">
        <v>28</v>
      </c>
      <c r="AY31" s="115" t="s">
        <v>1846</v>
      </c>
      <c r="AZ31" s="115" t="s">
        <v>1866</v>
      </c>
      <c r="BA31" s="115"/>
      <c r="BB31" s="115"/>
      <c r="BC31" s="115"/>
      <c r="BD31" s="115"/>
      <c r="BE31" s="115">
        <v>77442.716925000001</v>
      </c>
      <c r="BF31" s="115"/>
      <c r="BG31" s="115">
        <v>70904.956526249996</v>
      </c>
      <c r="BH31" s="115">
        <v>29126.187089999999</v>
      </c>
      <c r="BI31" s="115">
        <v>90244.305809579993</v>
      </c>
      <c r="BJ31" s="115">
        <v>1828.8753100799997</v>
      </c>
      <c r="BK31" s="115"/>
      <c r="BL31" s="115"/>
      <c r="BM31" s="115"/>
      <c r="BN31" s="115"/>
      <c r="BO31" s="115"/>
      <c r="BP31" s="115"/>
      <c r="BQ31" s="115"/>
      <c r="BR31" s="182"/>
      <c r="BS31" s="115" t="s">
        <v>1528</v>
      </c>
      <c r="BU31" s="115" t="s">
        <v>44</v>
      </c>
      <c r="BV31" s="182">
        <v>45301</v>
      </c>
      <c r="BW31" s="115" t="s">
        <v>1536</v>
      </c>
      <c r="BX31" s="115">
        <v>404400</v>
      </c>
      <c r="BY31" s="115">
        <v>0</v>
      </c>
      <c r="BZ31" s="115">
        <v>0</v>
      </c>
      <c r="CA31" s="115" t="s">
        <v>1300</v>
      </c>
      <c r="CB31" s="115" t="s">
        <v>1699</v>
      </c>
      <c r="CC31" s="115">
        <v>0</v>
      </c>
      <c r="CF31" s="115" t="s">
        <v>1415</v>
      </c>
      <c r="CG31" s="115">
        <v>0</v>
      </c>
      <c r="CH31" s="330">
        <v>1438949.8639</v>
      </c>
      <c r="CI31" s="330">
        <v>1438949.8639</v>
      </c>
      <c r="CJ31" s="330">
        <v>0</v>
      </c>
      <c r="CK31" s="330">
        <v>1438949.8639</v>
      </c>
      <c r="CL31" s="184">
        <v>0</v>
      </c>
      <c r="CN31" s="184">
        <v>0</v>
      </c>
      <c r="CO31" s="184">
        <v>0</v>
      </c>
      <c r="CP31" s="330"/>
      <c r="CQ31" s="187">
        <v>0</v>
      </c>
      <c r="CR31" s="187">
        <v>1</v>
      </c>
      <c r="CS31" s="115" t="s">
        <v>1639</v>
      </c>
      <c r="CV31" s="115">
        <v>2025.01</v>
      </c>
      <c r="CW31" s="115" t="s">
        <v>1415</v>
      </c>
      <c r="CX31" s="115" t="s">
        <v>1645</v>
      </c>
      <c r="CY31" s="115" t="s">
        <v>2064</v>
      </c>
      <c r="CZ31" s="330">
        <v>4448.3999999999996</v>
      </c>
      <c r="DA31" s="115"/>
      <c r="DB31" s="115"/>
      <c r="DC31" s="115" t="s">
        <v>1415</v>
      </c>
      <c r="DD31" s="115" t="s">
        <v>2114</v>
      </c>
      <c r="DE31" s="115" t="s">
        <v>362</v>
      </c>
      <c r="DF31" s="115" t="s">
        <v>1272</v>
      </c>
      <c r="DG31" s="115">
        <v>7328.7699999999995</v>
      </c>
      <c r="DJ31" s="115" t="s">
        <v>1415</v>
      </c>
      <c r="DK31" s="115" t="s">
        <v>2114</v>
      </c>
      <c r="DL31" s="115" t="s">
        <v>1466</v>
      </c>
      <c r="DM31" s="115" t="s">
        <v>360</v>
      </c>
      <c r="DN31" s="115" t="s">
        <v>360</v>
      </c>
      <c r="DO31" s="115">
        <v>40</v>
      </c>
      <c r="DP31" s="115">
        <v>46262.93</v>
      </c>
      <c r="DR31" s="214"/>
      <c r="DY31" s="115"/>
      <c r="DZ31" s="115" t="s">
        <v>1415</v>
      </c>
      <c r="EA31" s="115" t="s">
        <v>2114</v>
      </c>
      <c r="EB31" s="115">
        <v>15</v>
      </c>
      <c r="EC31" s="115" t="s">
        <v>93</v>
      </c>
      <c r="ED31" s="115" t="s">
        <v>1697</v>
      </c>
      <c r="EE31" s="187">
        <v>0.2</v>
      </c>
      <c r="EF31" s="330">
        <v>44.967199999999998</v>
      </c>
      <c r="EG31" s="330">
        <v>52.567700000000002</v>
      </c>
      <c r="EH31" s="115" t="s">
        <v>372</v>
      </c>
      <c r="EI31" s="115" t="s">
        <v>1821</v>
      </c>
      <c r="EJ31" s="115"/>
      <c r="EK31" s="115" t="s">
        <v>315</v>
      </c>
      <c r="EL31" s="115" t="s">
        <v>372</v>
      </c>
      <c r="EM31"/>
      <c r="EO31" s="115"/>
      <c r="EP31" s="334" t="s">
        <v>1416</v>
      </c>
      <c r="EQ31" s="334" t="s">
        <v>2114</v>
      </c>
      <c r="ER31" s="334" t="s">
        <v>1468</v>
      </c>
      <c r="ES31" s="334" t="s">
        <v>1274</v>
      </c>
      <c r="ET31" s="334">
        <v>2024.44</v>
      </c>
      <c r="EU31" s="334" t="s">
        <v>397</v>
      </c>
      <c r="EV31" s="334">
        <v>130217.7375</v>
      </c>
    </row>
    <row r="32" spans="4:156" ht="13">
      <c r="D32" s="115" t="s">
        <v>1507</v>
      </c>
      <c r="E32" s="115" t="s">
        <v>1639</v>
      </c>
      <c r="F32" s="115">
        <v>11195.7672</v>
      </c>
      <c r="I32" s="115" t="s">
        <v>1498</v>
      </c>
      <c r="J32" s="115" t="s">
        <v>1356</v>
      </c>
      <c r="K32" s="183" t="s">
        <v>1359</v>
      </c>
      <c r="AG32" s="115"/>
      <c r="AH32" s="115"/>
      <c r="AI32" s="115" t="s">
        <v>1416</v>
      </c>
      <c r="AJ32" t="s">
        <v>2114</v>
      </c>
      <c r="AK32" s="115">
        <v>0</v>
      </c>
      <c r="AL32" s="115" t="s">
        <v>28</v>
      </c>
      <c r="AM32" s="115" t="s">
        <v>1832</v>
      </c>
      <c r="AN32" s="115" t="s">
        <v>1439</v>
      </c>
      <c r="AO32" s="115" t="s">
        <v>379</v>
      </c>
      <c r="AT32" s="115" t="s">
        <v>1416</v>
      </c>
      <c r="AU32" s="115" t="s">
        <v>2114</v>
      </c>
      <c r="AV32" s="115">
        <v>0</v>
      </c>
      <c r="AW32" s="115" t="s">
        <v>1681</v>
      </c>
      <c r="AX32" s="115" t="s">
        <v>28</v>
      </c>
      <c r="AY32" s="115" t="s">
        <v>1846</v>
      </c>
      <c r="AZ32" s="115" t="s">
        <v>1866</v>
      </c>
      <c r="BA32" s="115"/>
      <c r="BB32" s="115"/>
      <c r="BC32" s="115"/>
      <c r="BD32" s="115"/>
      <c r="BE32" s="115"/>
      <c r="BF32" s="115"/>
      <c r="BG32" s="115"/>
      <c r="BH32" s="115">
        <v>12485.637270000003</v>
      </c>
      <c r="BI32" s="115">
        <v>10493.80047</v>
      </c>
      <c r="BJ32" s="115"/>
      <c r="BK32" s="115"/>
      <c r="BL32" s="115"/>
      <c r="BM32" s="115"/>
      <c r="BN32" s="115"/>
      <c r="BO32" s="115"/>
      <c r="BP32" s="115"/>
      <c r="BQ32" s="115"/>
      <c r="BR32" s="182"/>
      <c r="BS32" s="115" t="s">
        <v>1529</v>
      </c>
      <c r="BU32" s="115" t="s">
        <v>1308</v>
      </c>
      <c r="BV32" s="182">
        <v>45361</v>
      </c>
      <c r="BW32" s="115" t="s">
        <v>1536</v>
      </c>
      <c r="BX32" s="115">
        <v>4697.8100000000004</v>
      </c>
      <c r="BY32" s="115">
        <v>0</v>
      </c>
      <c r="BZ32" s="115">
        <v>0</v>
      </c>
      <c r="CA32" s="115" t="s">
        <v>1300</v>
      </c>
      <c r="CB32" s="115" t="s">
        <v>1718</v>
      </c>
      <c r="CC32" s="115">
        <v>1</v>
      </c>
      <c r="CF32" s="115" t="s">
        <v>1415</v>
      </c>
      <c r="CG32" s="115">
        <v>0</v>
      </c>
      <c r="CH32" s="330">
        <v>600812.27</v>
      </c>
      <c r="CI32" s="330">
        <v>600812.27</v>
      </c>
      <c r="CJ32" s="330">
        <v>0</v>
      </c>
      <c r="CK32" s="330">
        <v>600812.27</v>
      </c>
      <c r="CL32" s="184">
        <v>0</v>
      </c>
      <c r="CN32" s="184">
        <v>0</v>
      </c>
      <c r="CO32" s="184">
        <v>0</v>
      </c>
      <c r="CP32" s="330"/>
      <c r="CQ32" s="187">
        <v>0</v>
      </c>
      <c r="CR32" s="187">
        <v>1</v>
      </c>
      <c r="CS32" s="115" t="s">
        <v>1646</v>
      </c>
      <c r="CV32" s="115">
        <v>2024.48</v>
      </c>
      <c r="CW32" s="115" t="s">
        <v>1415</v>
      </c>
      <c r="CX32" s="115" t="s">
        <v>377</v>
      </c>
      <c r="CY32" s="115" t="s">
        <v>2066</v>
      </c>
      <c r="CZ32" s="330">
        <v>465.59699999999998</v>
      </c>
      <c r="DA32" s="115"/>
      <c r="DB32" s="115"/>
      <c r="DC32" s="115" t="s">
        <v>1415</v>
      </c>
      <c r="DD32" s="115" t="s">
        <v>2114</v>
      </c>
      <c r="DE32" s="115" t="s">
        <v>362</v>
      </c>
      <c r="DF32" s="115" t="s">
        <v>1241</v>
      </c>
      <c r="DG32" s="115">
        <v>57.23</v>
      </c>
      <c r="DJ32" s="115" t="s">
        <v>1416</v>
      </c>
      <c r="DK32" s="115" t="s">
        <v>2114</v>
      </c>
      <c r="DL32" s="115" t="s">
        <v>1493</v>
      </c>
      <c r="DM32" s="115" t="s">
        <v>288</v>
      </c>
      <c r="DN32" s="115" t="s">
        <v>288</v>
      </c>
      <c r="DO32" s="115">
        <v>100</v>
      </c>
      <c r="DP32" s="115">
        <v>9058.4599999999991</v>
      </c>
      <c r="DR32" s="214"/>
      <c r="DY32" s="115"/>
      <c r="DZ32" s="115" t="s">
        <v>1416</v>
      </c>
      <c r="EA32" s="115" t="s">
        <v>2114</v>
      </c>
      <c r="EB32" s="115">
        <v>0</v>
      </c>
      <c r="EC32" s="115" t="s">
        <v>93</v>
      </c>
      <c r="ED32" s="115" t="s">
        <v>1697</v>
      </c>
      <c r="EE32" s="187">
        <v>0.2</v>
      </c>
      <c r="EF32" s="330">
        <v>41.66</v>
      </c>
      <c r="EG32" s="330">
        <v>47.89</v>
      </c>
      <c r="EH32" s="115" t="s">
        <v>372</v>
      </c>
      <c r="EI32" s="115" t="s">
        <v>1821</v>
      </c>
      <c r="EJ32" s="115"/>
      <c r="EK32" s="115" t="s">
        <v>315</v>
      </c>
      <c r="EL32" s="115" t="s">
        <v>372</v>
      </c>
      <c r="EM32"/>
      <c r="EO32" s="115"/>
      <c r="EP32" s="334" t="s">
        <v>1416</v>
      </c>
      <c r="EQ32" s="334" t="s">
        <v>2114</v>
      </c>
      <c r="ER32" s="334" t="s">
        <v>1468</v>
      </c>
      <c r="ES32" s="334" t="s">
        <v>1274</v>
      </c>
      <c r="ET32" s="334">
        <v>2024.44</v>
      </c>
      <c r="EU32" s="334" t="s">
        <v>1382</v>
      </c>
      <c r="EV32" s="334">
        <v>127462.3554</v>
      </c>
    </row>
    <row r="33" spans="4:152" ht="13">
      <c r="D33" s="115" t="s">
        <v>1509</v>
      </c>
      <c r="E33" s="115" t="s">
        <v>386</v>
      </c>
      <c r="F33" s="115">
        <v>49385.2065</v>
      </c>
      <c r="I33" s="115" t="s">
        <v>1498</v>
      </c>
      <c r="J33" s="115" t="s">
        <v>1366</v>
      </c>
      <c r="K33" s="183">
        <v>3</v>
      </c>
      <c r="AG33" s="115"/>
      <c r="AH33" s="115"/>
      <c r="AI33" s="115" t="s">
        <v>1416</v>
      </c>
      <c r="AJ33" t="s">
        <v>2114</v>
      </c>
      <c r="AK33" s="115">
        <v>0</v>
      </c>
      <c r="AL33" s="115" t="s">
        <v>28</v>
      </c>
      <c r="AM33" s="115" t="s">
        <v>1846</v>
      </c>
      <c r="AN33" s="115" t="s">
        <v>1439</v>
      </c>
      <c r="AO33" s="115" t="s">
        <v>380</v>
      </c>
      <c r="AT33" s="115" t="s">
        <v>1415</v>
      </c>
      <c r="AU33" s="115" t="s">
        <v>2114</v>
      </c>
      <c r="AV33" s="115">
        <v>15</v>
      </c>
      <c r="AW33" s="115" t="s">
        <v>1681</v>
      </c>
      <c r="AX33" s="115" t="s">
        <v>28</v>
      </c>
      <c r="AY33" s="115" t="s">
        <v>1848</v>
      </c>
      <c r="AZ33" s="115" t="s">
        <v>1866</v>
      </c>
      <c r="BA33" s="115">
        <v>36485.682126449996</v>
      </c>
      <c r="BB33" s="115"/>
      <c r="BC33" s="115"/>
      <c r="BD33" s="115"/>
      <c r="BE33" s="115">
        <v>71007.22282499999</v>
      </c>
      <c r="BF33" s="115"/>
      <c r="BG33" s="115">
        <v>31956.476933906248</v>
      </c>
      <c r="BH33" s="115">
        <v>2881.9007489999999</v>
      </c>
      <c r="BI33" s="115">
        <v>51464.22293792</v>
      </c>
      <c r="BJ33" s="115">
        <v>9186.5900347199986</v>
      </c>
      <c r="BK33" s="115"/>
      <c r="BL33" s="115"/>
      <c r="BM33" s="115"/>
      <c r="BN33" s="115"/>
      <c r="BO33" s="115"/>
      <c r="BP33" s="115"/>
      <c r="BQ33" s="115"/>
      <c r="BR33" s="182"/>
      <c r="BS33" s="115" t="s">
        <v>1531</v>
      </c>
      <c r="BU33" s="115" t="s">
        <v>44</v>
      </c>
      <c r="BV33" s="182">
        <v>45414</v>
      </c>
      <c r="BW33" s="115" t="s">
        <v>1536</v>
      </c>
      <c r="BX33" s="115">
        <v>19469.060000000001</v>
      </c>
      <c r="BY33" s="115">
        <v>0</v>
      </c>
      <c r="BZ33" s="115">
        <v>0</v>
      </c>
      <c r="CA33" s="115" t="s">
        <v>1300</v>
      </c>
      <c r="CB33" s="115" t="s">
        <v>1718</v>
      </c>
      <c r="CC33" s="115">
        <v>1</v>
      </c>
      <c r="CF33" s="115" t="s">
        <v>1415</v>
      </c>
      <c r="CG33" s="115">
        <v>0</v>
      </c>
      <c r="CH33" s="330">
        <v>188060.68999999997</v>
      </c>
      <c r="CI33" s="330">
        <v>188060.68999999997</v>
      </c>
      <c r="CJ33" s="330">
        <v>0</v>
      </c>
      <c r="CK33" s="330">
        <v>188060.68999999997</v>
      </c>
      <c r="CL33" s="184">
        <v>0</v>
      </c>
      <c r="CN33" s="184">
        <v>0</v>
      </c>
      <c r="CO33" s="184">
        <v>0</v>
      </c>
      <c r="CP33" s="330"/>
      <c r="CQ33" s="187">
        <v>0</v>
      </c>
      <c r="CR33" s="187">
        <v>1</v>
      </c>
      <c r="CS33" s="115" t="s">
        <v>1647</v>
      </c>
      <c r="CV33" s="115">
        <v>2024.48</v>
      </c>
      <c r="CW33" s="115" t="s">
        <v>1415</v>
      </c>
      <c r="CX33" s="115" t="s">
        <v>380</v>
      </c>
      <c r="CY33" s="115" t="s">
        <v>2066</v>
      </c>
      <c r="CZ33" s="330">
        <v>2422.384</v>
      </c>
      <c r="DA33" s="115"/>
      <c r="DB33" s="115"/>
      <c r="DC33" s="115" t="s">
        <v>1415</v>
      </c>
      <c r="DD33" s="115" t="s">
        <v>2114</v>
      </c>
      <c r="DE33" s="115" t="s">
        <v>360</v>
      </c>
      <c r="DF33" s="115" t="s">
        <v>1270</v>
      </c>
      <c r="DG33" s="115">
        <v>46262.93</v>
      </c>
      <c r="DJ33" s="115" t="s">
        <v>1415</v>
      </c>
      <c r="DK33" s="115" t="s">
        <v>2114</v>
      </c>
      <c r="DL33" s="115" t="s">
        <v>1469</v>
      </c>
      <c r="DM33" s="115" t="s">
        <v>1468</v>
      </c>
      <c r="DN33" s="115" t="s">
        <v>436</v>
      </c>
      <c r="DO33" s="115">
        <v>80</v>
      </c>
      <c r="DP33" s="115">
        <v>238186.87</v>
      </c>
      <c r="DR33" s="214"/>
      <c r="DY33" s="115"/>
      <c r="DZ33" s="115" t="s">
        <v>1415</v>
      </c>
      <c r="EA33" s="115" t="s">
        <v>2114</v>
      </c>
      <c r="EB33" s="115">
        <v>0</v>
      </c>
      <c r="EC33" s="115" t="s">
        <v>93</v>
      </c>
      <c r="ED33" s="115" t="s">
        <v>1697</v>
      </c>
      <c r="EE33" s="187">
        <v>0.2</v>
      </c>
      <c r="EF33" s="330">
        <v>44.967199999999998</v>
      </c>
      <c r="EG33" s="330">
        <v>52.567700000000002</v>
      </c>
      <c r="EH33" s="115" t="s">
        <v>372</v>
      </c>
      <c r="EI33" s="115" t="s">
        <v>1821</v>
      </c>
      <c r="EJ33" s="115"/>
      <c r="EK33" s="115" t="s">
        <v>315</v>
      </c>
      <c r="EL33" s="115" t="s">
        <v>372</v>
      </c>
      <c r="EM33"/>
      <c r="EO33" s="115"/>
      <c r="EP33" s="334" t="s">
        <v>1416</v>
      </c>
      <c r="EQ33" s="334" t="s">
        <v>2114</v>
      </c>
      <c r="ER33" s="334" t="s">
        <v>1468</v>
      </c>
      <c r="ES33" s="334" t="s">
        <v>380</v>
      </c>
      <c r="ET33" s="334">
        <v>2024.44</v>
      </c>
      <c r="EU33" s="334" t="s">
        <v>397</v>
      </c>
      <c r="EV33" s="334">
        <v>0</v>
      </c>
    </row>
    <row r="34" spans="4:152" ht="13">
      <c r="D34" s="115" t="s">
        <v>1511</v>
      </c>
      <c r="E34" s="115" t="s">
        <v>374</v>
      </c>
      <c r="F34" s="115">
        <v>-74113</v>
      </c>
      <c r="I34" s="115" t="s">
        <v>1498</v>
      </c>
      <c r="J34" s="115" t="s">
        <v>1357</v>
      </c>
      <c r="K34" s="183">
        <v>-16594.376410305478</v>
      </c>
      <c r="AG34" s="115"/>
      <c r="AH34" s="115"/>
      <c r="AI34" s="115" t="s">
        <v>1416</v>
      </c>
      <c r="AJ34" t="s">
        <v>2114</v>
      </c>
      <c r="AK34" s="115">
        <v>0</v>
      </c>
      <c r="AL34" s="115" t="s">
        <v>28</v>
      </c>
      <c r="AM34" s="115" t="s">
        <v>1832</v>
      </c>
      <c r="AN34" s="115" t="s">
        <v>1439</v>
      </c>
      <c r="AO34" s="115" t="s">
        <v>380</v>
      </c>
      <c r="AT34" s="115" t="s">
        <v>1416</v>
      </c>
      <c r="AU34" s="115" t="s">
        <v>2114</v>
      </c>
      <c r="AV34" s="115">
        <v>0</v>
      </c>
      <c r="AW34" s="115" t="s">
        <v>1681</v>
      </c>
      <c r="AX34" s="115" t="s">
        <v>28</v>
      </c>
      <c r="AY34" s="115" t="s">
        <v>1848</v>
      </c>
      <c r="AZ34" s="115" t="s">
        <v>1866</v>
      </c>
      <c r="BA34" s="115">
        <v>2358.9139</v>
      </c>
      <c r="BB34" s="115"/>
      <c r="BC34" s="115"/>
      <c r="BD34" s="115"/>
      <c r="BE34" s="115"/>
      <c r="BF34" s="115"/>
      <c r="BG34" s="115"/>
      <c r="BH34" s="115">
        <v>1435.7076700000005</v>
      </c>
      <c r="BI34" s="115">
        <v>6085.7761200000004</v>
      </c>
      <c r="BJ34" s="115"/>
      <c r="BK34" s="115"/>
      <c r="BL34" s="115"/>
      <c r="BM34" s="115"/>
      <c r="BN34" s="115"/>
      <c r="BO34" s="115"/>
      <c r="BP34" s="115"/>
      <c r="BQ34" s="115"/>
      <c r="BR34" s="182"/>
      <c r="BS34" s="115" t="s">
        <v>1533</v>
      </c>
      <c r="BU34" s="115" t="s">
        <v>44</v>
      </c>
      <c r="BV34" s="182">
        <v>45414</v>
      </c>
      <c r="BW34" s="115" t="s">
        <v>1536</v>
      </c>
      <c r="BX34" s="115">
        <v>24007.47</v>
      </c>
      <c r="BY34" s="115">
        <v>0</v>
      </c>
      <c r="BZ34" s="115">
        <v>0</v>
      </c>
      <c r="CA34" s="115" t="s">
        <v>1301</v>
      </c>
      <c r="CB34" s="115" t="s">
        <v>1699</v>
      </c>
      <c r="CC34" s="115">
        <v>0</v>
      </c>
      <c r="CF34" s="115" t="s">
        <v>1415</v>
      </c>
      <c r="CG34" s="115">
        <v>0</v>
      </c>
      <c r="CH34" s="330">
        <v>72931.113744000017</v>
      </c>
      <c r="CI34" s="330">
        <v>72368.932371134026</v>
      </c>
      <c r="CJ34" s="330">
        <v>72931.113744000017</v>
      </c>
      <c r="CK34" s="330">
        <v>0</v>
      </c>
      <c r="CL34" s="184">
        <v>1816.8100000000004</v>
      </c>
      <c r="CM34" s="184">
        <v>1873.0000000000005</v>
      </c>
      <c r="CN34" s="184">
        <v>1816.8100000000004</v>
      </c>
      <c r="CO34" s="184">
        <v>0</v>
      </c>
      <c r="CP34" s="330">
        <v>38.637977774230649</v>
      </c>
      <c r="CQ34" s="187">
        <v>1</v>
      </c>
      <c r="CR34" s="187">
        <v>1.00776826953841</v>
      </c>
      <c r="CS34" s="115" t="s">
        <v>1642</v>
      </c>
      <c r="CV34" s="115">
        <v>2024.49</v>
      </c>
      <c r="CW34" s="115" t="s">
        <v>1415</v>
      </c>
      <c r="CX34" s="115" t="s">
        <v>380</v>
      </c>
      <c r="CY34" s="115" t="s">
        <v>2066</v>
      </c>
      <c r="CZ34" s="330">
        <v>3330.7779999999998</v>
      </c>
      <c r="DA34" s="115"/>
      <c r="DB34" s="115"/>
      <c r="DC34" s="115" t="s">
        <v>1415</v>
      </c>
      <c r="DD34" s="115" t="s">
        <v>2114</v>
      </c>
      <c r="DE34" s="115" t="s">
        <v>1410</v>
      </c>
      <c r="DF34" s="115" t="s">
        <v>1272</v>
      </c>
      <c r="DG34" s="115">
        <v>122915.94</v>
      </c>
      <c r="DJ34" s="115" t="s">
        <v>1415</v>
      </c>
      <c r="DK34" s="115" t="s">
        <v>2114</v>
      </c>
      <c r="DL34" s="115" t="s">
        <v>1474</v>
      </c>
      <c r="DM34" s="115" t="s">
        <v>1473</v>
      </c>
      <c r="DN34" s="115" t="s">
        <v>366</v>
      </c>
      <c r="DO34" s="115">
        <v>160</v>
      </c>
      <c r="DP34" s="115">
        <v>681345.49</v>
      </c>
      <c r="DR34" s="214"/>
      <c r="DY34" s="115"/>
      <c r="DZ34" s="115" t="s">
        <v>1415</v>
      </c>
      <c r="EA34" s="115" t="s">
        <v>2114</v>
      </c>
      <c r="EB34" s="115">
        <v>16</v>
      </c>
      <c r="EC34" s="115" t="s">
        <v>93</v>
      </c>
      <c r="ED34" s="115" t="s">
        <v>1697</v>
      </c>
      <c r="EE34" s="187">
        <v>0.2</v>
      </c>
      <c r="EF34" s="330">
        <v>44.967199999999998</v>
      </c>
      <c r="EG34" s="330">
        <v>52.567700000000002</v>
      </c>
      <c r="EH34" s="115" t="s">
        <v>372</v>
      </c>
      <c r="EI34" s="115" t="s">
        <v>1821</v>
      </c>
      <c r="EJ34" s="115"/>
      <c r="EK34" s="115" t="s">
        <v>315</v>
      </c>
      <c r="EL34" s="115" t="s">
        <v>372</v>
      </c>
      <c r="EM34"/>
      <c r="EO34" s="115"/>
      <c r="EP34" s="334" t="s">
        <v>1416</v>
      </c>
      <c r="EQ34" s="334" t="s">
        <v>2114</v>
      </c>
      <c r="ER34" s="334" t="s">
        <v>1468</v>
      </c>
      <c r="ES34" s="334" t="s">
        <v>380</v>
      </c>
      <c r="ET34" s="334">
        <v>2024.44</v>
      </c>
      <c r="EU34" s="334" t="s">
        <v>1382</v>
      </c>
      <c r="EV34" s="334">
        <v>2736</v>
      </c>
    </row>
    <row r="35" spans="4:152" ht="13">
      <c r="D35" s="115" t="s">
        <v>1513</v>
      </c>
      <c r="E35" s="115" t="s">
        <v>1646</v>
      </c>
      <c r="F35" s="115">
        <v>1798.2652</v>
      </c>
      <c r="I35" s="115" t="s">
        <v>1500</v>
      </c>
      <c r="J35" s="115" t="s">
        <v>1363</v>
      </c>
      <c r="K35" s="183">
        <v>125</v>
      </c>
      <c r="AG35" s="115"/>
      <c r="AH35" s="115"/>
      <c r="AI35" s="115" t="s">
        <v>1416</v>
      </c>
      <c r="AJ35" t="s">
        <v>2114</v>
      </c>
      <c r="AK35" s="115">
        <v>0</v>
      </c>
      <c r="AL35" s="115" t="s">
        <v>28</v>
      </c>
      <c r="AM35" s="115" t="s">
        <v>1848</v>
      </c>
      <c r="AN35" s="115" t="s">
        <v>1439</v>
      </c>
      <c r="AO35" s="115" t="s">
        <v>380</v>
      </c>
      <c r="AT35" s="115" t="s">
        <v>1415</v>
      </c>
      <c r="AU35" s="115" t="s">
        <v>2114</v>
      </c>
      <c r="AV35" s="115">
        <v>15</v>
      </c>
      <c r="AW35" s="115" t="s">
        <v>1681</v>
      </c>
      <c r="AX35" s="115" t="s">
        <v>28</v>
      </c>
      <c r="AY35" s="115" t="s">
        <v>1843</v>
      </c>
      <c r="AZ35" s="115" t="s">
        <v>1866</v>
      </c>
      <c r="BA35" s="115">
        <v>36204.485979381447</v>
      </c>
      <c r="BB35" s="115"/>
      <c r="BC35" s="115"/>
      <c r="BD35" s="115"/>
      <c r="BE35" s="115">
        <v>146662.91309278351</v>
      </c>
      <c r="BF35" s="115"/>
      <c r="BG35" s="115">
        <v>163370.82340206185</v>
      </c>
      <c r="BH35" s="115">
        <v>29669.492061855672</v>
      </c>
      <c r="BI35" s="115">
        <v>89316.388659793811</v>
      </c>
      <c r="BJ35" s="115">
        <v>10915.385773195876</v>
      </c>
      <c r="BK35" s="115"/>
      <c r="BL35" s="115"/>
      <c r="BM35" s="115"/>
      <c r="BN35" s="115"/>
      <c r="BO35" s="115"/>
      <c r="BP35" s="115"/>
      <c r="BQ35" s="115"/>
      <c r="BR35" s="182"/>
      <c r="BS35" s="115" t="s">
        <v>1534</v>
      </c>
      <c r="BU35" s="115" t="s">
        <v>44</v>
      </c>
      <c r="BV35" s="182">
        <v>45414</v>
      </c>
      <c r="BW35" s="115" t="s">
        <v>1536</v>
      </c>
      <c r="BX35" s="115">
        <v>1569.14</v>
      </c>
      <c r="BY35" s="115">
        <v>0</v>
      </c>
      <c r="BZ35" s="115">
        <v>0</v>
      </c>
      <c r="CA35" s="115" t="s">
        <v>1301</v>
      </c>
      <c r="CB35" s="115" t="s">
        <v>1718</v>
      </c>
      <c r="CC35" s="115">
        <v>1</v>
      </c>
      <c r="CF35" s="115" t="s">
        <v>1415</v>
      </c>
      <c r="CG35" s="115">
        <v>0</v>
      </c>
      <c r="CH35" s="330">
        <v>206594.42103357744</v>
      </c>
      <c r="CI35" s="330">
        <v>204753.54494845361</v>
      </c>
      <c r="CJ35" s="330">
        <v>176640.80963112146</v>
      </c>
      <c r="CK35" s="330">
        <v>29953.611402455987</v>
      </c>
      <c r="CL35" s="184">
        <v>5303.8240303239418</v>
      </c>
      <c r="CM35" s="184">
        <v>5467.8598250762307</v>
      </c>
      <c r="CN35" s="184">
        <v>3977.8680227429563</v>
      </c>
      <c r="CO35" s="184">
        <v>1325.9560075809859</v>
      </c>
      <c r="CP35" s="330">
        <v>37.446743606964908</v>
      </c>
      <c r="CQ35" s="187">
        <v>0.75</v>
      </c>
      <c r="CR35" s="187">
        <v>1.0089906921298299</v>
      </c>
      <c r="CS35" s="115" t="s">
        <v>1274</v>
      </c>
      <c r="CV35" s="115">
        <v>2024.49</v>
      </c>
      <c r="CW35" s="115" t="s">
        <v>1415</v>
      </c>
      <c r="CX35" s="115" t="s">
        <v>377</v>
      </c>
      <c r="CY35" s="115" t="s">
        <v>2066</v>
      </c>
      <c r="CZ35" s="330">
        <v>465.59699999999998</v>
      </c>
      <c r="DA35" s="115"/>
      <c r="DB35" s="115"/>
      <c r="DC35" s="115" t="s">
        <v>1415</v>
      </c>
      <c r="DD35" s="115" t="s">
        <v>2114</v>
      </c>
      <c r="DE35" s="115" t="s">
        <v>1410</v>
      </c>
      <c r="DF35" s="115" t="s">
        <v>1241</v>
      </c>
      <c r="DG35" s="115">
        <v>302.83000000000004</v>
      </c>
      <c r="DJ35" s="115" t="s">
        <v>1415</v>
      </c>
      <c r="DK35" s="115" t="s">
        <v>2114</v>
      </c>
      <c r="DL35" s="115" t="s">
        <v>1472</v>
      </c>
      <c r="DM35" s="115" t="s">
        <v>288</v>
      </c>
      <c r="DN35" s="115" t="s">
        <v>288</v>
      </c>
      <c r="DO35" s="115">
        <v>140</v>
      </c>
      <c r="DP35" s="115">
        <v>9150.93</v>
      </c>
      <c r="DR35" s="214"/>
      <c r="DY35" s="115"/>
      <c r="DZ35" s="115" t="s">
        <v>1415</v>
      </c>
      <c r="EA35" s="115" t="s">
        <v>2114</v>
      </c>
      <c r="EB35" s="115">
        <v>15</v>
      </c>
      <c r="EC35" s="115" t="s">
        <v>251</v>
      </c>
      <c r="ED35" s="115" t="s">
        <v>1697</v>
      </c>
      <c r="EE35" s="187">
        <v>1</v>
      </c>
      <c r="EF35" s="330">
        <v>53.569899999999997</v>
      </c>
      <c r="EG35" s="330">
        <v>0</v>
      </c>
      <c r="EH35" s="115" t="s">
        <v>387</v>
      </c>
      <c r="EI35" s="115" t="s">
        <v>1816</v>
      </c>
      <c r="EJ35" s="115"/>
      <c r="EK35" s="115" t="s">
        <v>479</v>
      </c>
      <c r="EL35" s="115" t="s">
        <v>387</v>
      </c>
      <c r="EM35"/>
      <c r="EO35" s="115"/>
      <c r="EP35" s="334" t="s">
        <v>1416</v>
      </c>
      <c r="EQ35" s="334" t="s">
        <v>2114</v>
      </c>
      <c r="ER35" s="334" t="s">
        <v>1468</v>
      </c>
      <c r="ES35" s="334" t="s">
        <v>360</v>
      </c>
      <c r="ET35" s="334">
        <v>2024.44</v>
      </c>
      <c r="EU35" s="334" t="s">
        <v>397</v>
      </c>
      <c r="EV35" s="334">
        <v>0</v>
      </c>
    </row>
    <row r="36" spans="4:152" ht="13">
      <c r="D36" s="115" t="s">
        <v>1990</v>
      </c>
      <c r="E36" s="115" t="s">
        <v>1643</v>
      </c>
      <c r="F36" s="115">
        <v>8216.1008999999995</v>
      </c>
      <c r="I36" s="115" t="s">
        <v>1500</v>
      </c>
      <c r="J36" s="115" t="s">
        <v>1353</v>
      </c>
      <c r="K36" s="183" t="s">
        <v>1501</v>
      </c>
      <c r="AG36" s="115"/>
      <c r="AH36" s="115"/>
      <c r="AI36" s="115" t="s">
        <v>1416</v>
      </c>
      <c r="AJ36" t="s">
        <v>2114</v>
      </c>
      <c r="AK36" s="115">
        <v>0</v>
      </c>
      <c r="AL36" s="115" t="s">
        <v>28</v>
      </c>
      <c r="AM36" s="115" t="s">
        <v>1849</v>
      </c>
      <c r="AN36" s="115" t="s">
        <v>1439</v>
      </c>
      <c r="AO36" s="115" t="s">
        <v>380</v>
      </c>
      <c r="AT36" s="115" t="s">
        <v>1416</v>
      </c>
      <c r="AU36" s="115" t="s">
        <v>2114</v>
      </c>
      <c r="AV36" s="115">
        <v>0</v>
      </c>
      <c r="AW36" s="115" t="s">
        <v>1681</v>
      </c>
      <c r="AX36" s="115" t="s">
        <v>28</v>
      </c>
      <c r="AY36" s="115" t="s">
        <v>1843</v>
      </c>
      <c r="AZ36" s="115" t="s">
        <v>1866</v>
      </c>
      <c r="BA36" s="115">
        <v>2431.87</v>
      </c>
      <c r="BB36" s="115"/>
      <c r="BC36" s="115"/>
      <c r="BD36" s="115"/>
      <c r="BE36" s="115"/>
      <c r="BF36" s="115"/>
      <c r="BG36" s="115"/>
      <c r="BH36" s="115">
        <v>14351.901958762886</v>
      </c>
      <c r="BI36" s="115">
        <v>11060.711958762888</v>
      </c>
      <c r="BJ36" s="115"/>
      <c r="BK36" s="115"/>
      <c r="BL36" s="115"/>
      <c r="BM36" s="115"/>
      <c r="BN36" s="115"/>
      <c r="BO36" s="115"/>
      <c r="BP36" s="115"/>
      <c r="BQ36" s="115"/>
      <c r="BR36" s="182"/>
      <c r="BS36" s="115" t="s">
        <v>1535</v>
      </c>
      <c r="BU36" s="115" t="s">
        <v>44</v>
      </c>
      <c r="BV36" s="182">
        <v>45539</v>
      </c>
      <c r="BW36" s="115" t="s">
        <v>1536</v>
      </c>
      <c r="BX36" s="115">
        <v>9712</v>
      </c>
      <c r="BY36" s="115">
        <v>0</v>
      </c>
      <c r="BZ36" s="115">
        <v>0</v>
      </c>
      <c r="CA36" s="115" t="s">
        <v>1300</v>
      </c>
      <c r="CB36" s="115" t="s">
        <v>1718</v>
      </c>
      <c r="CC36" s="115">
        <v>0.75</v>
      </c>
      <c r="CF36" s="115" t="s">
        <v>1415</v>
      </c>
      <c r="CG36" s="115">
        <v>0</v>
      </c>
      <c r="CH36" s="330">
        <v>63588.507568739995</v>
      </c>
      <c r="CI36" s="330">
        <v>62824.147525773195</v>
      </c>
      <c r="CJ36" s="330">
        <v>30548.848636844999</v>
      </c>
      <c r="CK36" s="330">
        <v>33039.658931894999</v>
      </c>
      <c r="CL36" s="184">
        <v>1257.0327</v>
      </c>
      <c r="CM36" s="184">
        <v>1295.9100000000001</v>
      </c>
      <c r="CN36" s="184">
        <v>628.51634999999999</v>
      </c>
      <c r="CO36" s="184">
        <v>628.51634999999999</v>
      </c>
      <c r="CP36" s="330">
        <v>48.47878905616377</v>
      </c>
      <c r="CQ36" s="187">
        <v>0.5</v>
      </c>
      <c r="CR36" s="187">
        <v>1.0121666600036801</v>
      </c>
      <c r="CS36" s="115" t="s">
        <v>360</v>
      </c>
      <c r="CV36" s="115">
        <v>2024.5</v>
      </c>
      <c r="CW36" s="115" t="s">
        <v>1415</v>
      </c>
      <c r="CX36" s="115" t="s">
        <v>380</v>
      </c>
      <c r="CY36" s="115" t="s">
        <v>2066</v>
      </c>
      <c r="CZ36" s="330">
        <v>2422.384</v>
      </c>
      <c r="DA36" s="115"/>
      <c r="DB36" s="115"/>
      <c r="DC36" s="115" t="s">
        <v>1415</v>
      </c>
      <c r="DD36" s="115" t="s">
        <v>2114</v>
      </c>
      <c r="DE36" s="115" t="s">
        <v>1475</v>
      </c>
      <c r="DF36" s="115" t="s">
        <v>1272</v>
      </c>
      <c r="DG36" s="115">
        <v>10452.9</v>
      </c>
      <c r="DJ36" s="115" t="s">
        <v>1416</v>
      </c>
      <c r="DK36" s="115" t="s">
        <v>2114</v>
      </c>
      <c r="DL36" s="115" t="s">
        <v>1492</v>
      </c>
      <c r="DM36" s="115" t="s">
        <v>298</v>
      </c>
      <c r="DN36" s="115" t="s">
        <v>298</v>
      </c>
      <c r="DO36" s="115">
        <v>90</v>
      </c>
      <c r="DP36" s="115">
        <v>25437.23</v>
      </c>
      <c r="DR36" s="214"/>
      <c r="DY36" s="115"/>
      <c r="DZ36" s="115" t="s">
        <v>1416</v>
      </c>
      <c r="EA36" s="115" t="s">
        <v>2114</v>
      </c>
      <c r="EB36" s="115">
        <v>0</v>
      </c>
      <c r="EC36" s="115" t="s">
        <v>251</v>
      </c>
      <c r="ED36" s="115" t="s">
        <v>1697</v>
      </c>
      <c r="EE36" s="187">
        <v>1</v>
      </c>
      <c r="EF36" s="330">
        <v>49.63</v>
      </c>
      <c r="EG36" s="330">
        <v>0</v>
      </c>
      <c r="EH36" s="115" t="s">
        <v>387</v>
      </c>
      <c r="EI36" s="115" t="s">
        <v>1816</v>
      </c>
      <c r="EJ36" s="115"/>
      <c r="EK36" s="115" t="s">
        <v>479</v>
      </c>
      <c r="EL36" s="115" t="s">
        <v>387</v>
      </c>
      <c r="EM36"/>
      <c r="EO36" s="115"/>
      <c r="EP36" s="334" t="s">
        <v>1416</v>
      </c>
      <c r="EQ36" s="334" t="s">
        <v>2114</v>
      </c>
      <c r="ER36" s="334" t="s">
        <v>1468</v>
      </c>
      <c r="ES36" s="334" t="s">
        <v>360</v>
      </c>
      <c r="ET36" s="334">
        <v>2024.44</v>
      </c>
      <c r="EU36" s="334" t="s">
        <v>1382</v>
      </c>
      <c r="EV36" s="334">
        <v>-99.030799999999999</v>
      </c>
    </row>
    <row r="37" spans="4:152" ht="13">
      <c r="D37" s="115" t="s">
        <v>1990</v>
      </c>
      <c r="E37" s="115" t="s">
        <v>380</v>
      </c>
      <c r="F37" s="115">
        <v>5607.2203</v>
      </c>
      <c r="I37" s="115" t="s">
        <v>1500</v>
      </c>
      <c r="J37" s="115" t="s">
        <v>1369</v>
      </c>
      <c r="K37" s="183">
        <v>13</v>
      </c>
      <c r="AG37" s="115"/>
      <c r="AH37" s="115"/>
      <c r="AI37" s="115" t="s">
        <v>1416</v>
      </c>
      <c r="AJ37" t="s">
        <v>2114</v>
      </c>
      <c r="AK37" s="115">
        <v>0</v>
      </c>
      <c r="AL37" s="115" t="s">
        <v>28</v>
      </c>
      <c r="AM37" s="115" t="s">
        <v>1843</v>
      </c>
      <c r="AN37" s="115" t="s">
        <v>1439</v>
      </c>
      <c r="AO37" s="115" t="s">
        <v>380</v>
      </c>
      <c r="AT37" s="115" t="s">
        <v>1415</v>
      </c>
      <c r="AU37" s="115" t="s">
        <v>2114</v>
      </c>
      <c r="AV37" s="115">
        <v>15</v>
      </c>
      <c r="AW37" s="115" t="s">
        <v>1681</v>
      </c>
      <c r="AX37" s="115" t="s">
        <v>28</v>
      </c>
      <c r="AY37" s="115" t="s">
        <v>1849</v>
      </c>
      <c r="AZ37" s="115" t="s">
        <v>1866</v>
      </c>
      <c r="BA37" s="115"/>
      <c r="BB37" s="115"/>
      <c r="BC37" s="115"/>
      <c r="BD37" s="115"/>
      <c r="BE37" s="115">
        <v>1527.75</v>
      </c>
      <c r="BF37" s="115"/>
      <c r="BG37" s="115">
        <v>2499.8221874999999</v>
      </c>
      <c r="BH37" s="115">
        <v>595.82249999999999</v>
      </c>
      <c r="BI37" s="115">
        <v>1716.7253999999998</v>
      </c>
      <c r="BJ37" s="115">
        <v>22.814399999999996</v>
      </c>
      <c r="BK37" s="115"/>
      <c r="BL37" s="115"/>
      <c r="BM37" s="115"/>
      <c r="BN37" s="115"/>
      <c r="BO37" s="115"/>
      <c r="BP37" s="115"/>
      <c r="BQ37" s="115"/>
      <c r="BR37" s="182"/>
      <c r="BS37" s="115" t="s">
        <v>2196</v>
      </c>
      <c r="BU37" s="115" t="s">
        <v>44</v>
      </c>
      <c r="BV37" s="182">
        <v>45539</v>
      </c>
      <c r="BW37" s="115" t="s">
        <v>1536</v>
      </c>
      <c r="BX37" s="115">
        <v>1603.02</v>
      </c>
      <c r="BY37" s="115">
        <v>0</v>
      </c>
      <c r="BZ37" s="115">
        <v>0</v>
      </c>
      <c r="CA37" s="115" t="s">
        <v>1300</v>
      </c>
      <c r="CB37" s="115" t="s">
        <v>1309</v>
      </c>
      <c r="CC37" s="115">
        <v>0</v>
      </c>
      <c r="CF37" s="115" t="s">
        <v>1415</v>
      </c>
      <c r="CG37" s="115">
        <v>0</v>
      </c>
      <c r="CH37" s="330">
        <v>26565.718126749998</v>
      </c>
      <c r="CI37" s="330">
        <v>26360.996701030926</v>
      </c>
      <c r="CJ37" s="330">
        <v>26565.718126749998</v>
      </c>
      <c r="CK37" s="330">
        <v>0</v>
      </c>
      <c r="CL37" s="184">
        <v>571.57249999999999</v>
      </c>
      <c r="CM37" s="184">
        <v>589.25</v>
      </c>
      <c r="CN37" s="184">
        <v>571.57249999999999</v>
      </c>
      <c r="CO37" s="184">
        <v>0</v>
      </c>
      <c r="CP37" s="330">
        <v>44.736523888045696</v>
      </c>
      <c r="CQ37" s="187">
        <v>1</v>
      </c>
      <c r="CR37" s="187">
        <v>1.0077660730374101</v>
      </c>
      <c r="CS37" s="115" t="s">
        <v>1644</v>
      </c>
      <c r="CV37" s="115">
        <v>2024.51</v>
      </c>
      <c r="CW37" s="115" t="s">
        <v>1415</v>
      </c>
      <c r="CX37" s="115" t="s">
        <v>377</v>
      </c>
      <c r="CY37" s="115" t="s">
        <v>2066</v>
      </c>
      <c r="CZ37" s="330">
        <v>465.59699999999998</v>
      </c>
      <c r="DA37" s="115"/>
      <c r="DB37" s="115"/>
      <c r="DC37" s="115" t="s">
        <v>1415</v>
      </c>
      <c r="DD37" s="115" t="s">
        <v>2114</v>
      </c>
      <c r="DE37" s="115" t="s">
        <v>1475</v>
      </c>
      <c r="DF37" s="115" t="s">
        <v>1241</v>
      </c>
      <c r="DG37" s="115">
        <v>6498.8</v>
      </c>
      <c r="DJ37" s="115" t="s">
        <v>1415</v>
      </c>
      <c r="DK37" s="115" t="s">
        <v>2114</v>
      </c>
      <c r="DL37" s="115" t="s">
        <v>1477</v>
      </c>
      <c r="DM37" s="115" t="s">
        <v>291</v>
      </c>
      <c r="DN37" s="115" t="s">
        <v>291</v>
      </c>
      <c r="DO37" s="115">
        <v>180</v>
      </c>
      <c r="DP37" s="115">
        <v>420612.8</v>
      </c>
      <c r="DR37" s="214"/>
      <c r="DY37" s="115"/>
      <c r="DZ37" s="115" t="s">
        <v>1415</v>
      </c>
      <c r="EA37" s="115" t="s">
        <v>2114</v>
      </c>
      <c r="EB37" s="115">
        <v>0</v>
      </c>
      <c r="EC37" s="115" t="s">
        <v>251</v>
      </c>
      <c r="ED37" s="115" t="s">
        <v>1697</v>
      </c>
      <c r="EE37" s="187">
        <v>1</v>
      </c>
      <c r="EF37" s="330">
        <v>53.569899999999997</v>
      </c>
      <c r="EG37" s="330">
        <v>0</v>
      </c>
      <c r="EH37" s="115" t="s">
        <v>387</v>
      </c>
      <c r="EI37" s="115" t="s">
        <v>1816</v>
      </c>
      <c r="EJ37" s="115"/>
      <c r="EK37" s="115" t="s">
        <v>479</v>
      </c>
      <c r="EL37" s="115" t="s">
        <v>387</v>
      </c>
      <c r="EM37"/>
      <c r="EO37" s="115"/>
      <c r="EP37" s="334" t="s">
        <v>1416</v>
      </c>
      <c r="EQ37" s="334" t="s">
        <v>2114</v>
      </c>
      <c r="ER37" s="334" t="s">
        <v>1475</v>
      </c>
      <c r="ES37" s="334" t="s">
        <v>379</v>
      </c>
      <c r="ET37" s="334">
        <v>2024.44</v>
      </c>
      <c r="EU37" s="334" t="s">
        <v>397</v>
      </c>
      <c r="EV37" s="334">
        <v>0</v>
      </c>
    </row>
    <row r="38" spans="4:152" ht="13">
      <c r="D38" s="115" t="s">
        <v>1990</v>
      </c>
      <c r="E38" s="115" t="s">
        <v>372</v>
      </c>
      <c r="F38" s="115">
        <v>8371.0116999999991</v>
      </c>
      <c r="I38" s="115" t="s">
        <v>1500</v>
      </c>
      <c r="J38" s="115" t="s">
        <v>1355</v>
      </c>
      <c r="K38" s="183">
        <v>10</v>
      </c>
      <c r="AG38" s="115"/>
      <c r="AH38" s="115"/>
      <c r="AI38" s="115" t="s">
        <v>1416</v>
      </c>
      <c r="AJ38" t="s">
        <v>2114</v>
      </c>
      <c r="AK38" s="115">
        <v>0</v>
      </c>
      <c r="AL38" s="115" t="s">
        <v>28</v>
      </c>
      <c r="AM38" s="115" t="s">
        <v>1850</v>
      </c>
      <c r="AN38" s="115" t="s">
        <v>1439</v>
      </c>
      <c r="AO38" s="115" t="s">
        <v>380</v>
      </c>
      <c r="AT38" s="115" t="s">
        <v>1416</v>
      </c>
      <c r="AU38" s="115" t="s">
        <v>2114</v>
      </c>
      <c r="AV38" s="115">
        <v>0</v>
      </c>
      <c r="AW38" s="115" t="s">
        <v>1681</v>
      </c>
      <c r="AX38" s="115" t="s">
        <v>28</v>
      </c>
      <c r="AY38" s="115" t="s">
        <v>1849</v>
      </c>
      <c r="AZ38" s="115" t="s">
        <v>1866</v>
      </c>
      <c r="BA38" s="115"/>
      <c r="BB38" s="115"/>
      <c r="BC38" s="115"/>
      <c r="BD38" s="115"/>
      <c r="BE38" s="115"/>
      <c r="BF38" s="115"/>
      <c r="BG38" s="115"/>
      <c r="BH38" s="115">
        <v>320.39100000000008</v>
      </c>
      <c r="BI38" s="115">
        <v>219.12300000000002</v>
      </c>
      <c r="BJ38" s="115"/>
      <c r="BK38" s="115"/>
      <c r="BL38" s="115"/>
      <c r="BM38" s="115"/>
      <c r="BN38" s="115"/>
      <c r="BO38" s="115"/>
      <c r="BP38" s="115"/>
      <c r="BQ38" s="115"/>
      <c r="BR38" s="182"/>
      <c r="CF38" s="115" t="s">
        <v>1415</v>
      </c>
      <c r="CG38" s="115">
        <v>0</v>
      </c>
      <c r="CH38" s="330">
        <v>982224.85516153846</v>
      </c>
      <c r="CI38" s="330">
        <v>935264.57538247434</v>
      </c>
      <c r="CJ38" s="330">
        <v>57870.140165030396</v>
      </c>
      <c r="CK38" s="330">
        <v>924354.71499650809</v>
      </c>
      <c r="CL38" s="184">
        <v>13293.823375440001</v>
      </c>
      <c r="CM38" s="184">
        <v>13704.972552000003</v>
      </c>
      <c r="CN38" s="184">
        <v>1329.3823375439999</v>
      </c>
      <c r="CO38" s="184">
        <v>11964.441037896</v>
      </c>
      <c r="CP38" s="330">
        <v>68.242717877314448</v>
      </c>
      <c r="CQ38" s="187">
        <v>0.1</v>
      </c>
      <c r="CR38" s="187">
        <v>1.05021069012462</v>
      </c>
      <c r="CS38" s="115" t="s">
        <v>379</v>
      </c>
      <c r="CV38" s="115">
        <v>2024.51</v>
      </c>
      <c r="CW38" s="115" t="s">
        <v>1415</v>
      </c>
      <c r="CX38" s="115" t="s">
        <v>380</v>
      </c>
      <c r="CY38" s="115" t="s">
        <v>2066</v>
      </c>
      <c r="CZ38" s="330">
        <v>2422.384</v>
      </c>
      <c r="DA38" s="115"/>
      <c r="DB38" s="115"/>
      <c r="DC38" s="115" t="s">
        <v>1415</v>
      </c>
      <c r="DD38" s="115" t="s">
        <v>2114</v>
      </c>
      <c r="DE38" s="115" t="s">
        <v>1468</v>
      </c>
      <c r="DF38" s="115" t="s">
        <v>1241</v>
      </c>
      <c r="DG38" s="115">
        <v>25</v>
      </c>
      <c r="DJ38" s="115" t="s">
        <v>1415</v>
      </c>
      <c r="DK38" s="115" t="s">
        <v>2114</v>
      </c>
      <c r="DL38" s="115" t="s">
        <v>1405</v>
      </c>
      <c r="DM38" s="115" t="s">
        <v>1284</v>
      </c>
      <c r="DN38" s="115" t="s">
        <v>513</v>
      </c>
      <c r="DO38" s="115">
        <v>50</v>
      </c>
      <c r="DP38" s="115">
        <v>116756.13</v>
      </c>
      <c r="DR38" s="214"/>
      <c r="DY38" s="115"/>
      <c r="DZ38" s="115" t="s">
        <v>1415</v>
      </c>
      <c r="EA38" s="115" t="s">
        <v>2114</v>
      </c>
      <c r="EB38" s="115">
        <v>16</v>
      </c>
      <c r="EC38" s="115" t="s">
        <v>251</v>
      </c>
      <c r="ED38" s="115" t="s">
        <v>1697</v>
      </c>
      <c r="EE38" s="187">
        <v>1</v>
      </c>
      <c r="EF38" s="330">
        <v>53.569899999999997</v>
      </c>
      <c r="EG38" s="330">
        <v>0</v>
      </c>
      <c r="EH38" s="115" t="s">
        <v>387</v>
      </c>
      <c r="EI38" s="115" t="s">
        <v>1816</v>
      </c>
      <c r="EJ38" s="115"/>
      <c r="EK38" s="115" t="s">
        <v>479</v>
      </c>
      <c r="EL38" s="115" t="s">
        <v>387</v>
      </c>
      <c r="EM38"/>
      <c r="EO38" s="115"/>
      <c r="EP38" s="334" t="s">
        <v>1416</v>
      </c>
      <c r="EQ38" s="334" t="s">
        <v>2114</v>
      </c>
      <c r="ER38" s="334" t="s">
        <v>1475</v>
      </c>
      <c r="ES38" s="334" t="s">
        <v>379</v>
      </c>
      <c r="ET38" s="334">
        <v>2024.44</v>
      </c>
      <c r="EU38" s="334" t="s">
        <v>1382</v>
      </c>
      <c r="EV38" s="334">
        <v>9750</v>
      </c>
    </row>
    <row r="39" spans="4:152" ht="13">
      <c r="D39" s="115" t="s">
        <v>1990</v>
      </c>
      <c r="E39" s="115" t="s">
        <v>386</v>
      </c>
      <c r="F39" s="115">
        <v>42227.338600000003</v>
      </c>
      <c r="I39" s="115" t="s">
        <v>1500</v>
      </c>
      <c r="J39" s="115" t="s">
        <v>1361</v>
      </c>
      <c r="K39" s="183">
        <v>69.23</v>
      </c>
      <c r="AG39" s="115"/>
      <c r="AH39" s="115"/>
      <c r="AI39" s="115" t="s">
        <v>1416</v>
      </c>
      <c r="AJ39" t="s">
        <v>2114</v>
      </c>
      <c r="AK39" s="115">
        <v>0</v>
      </c>
      <c r="AL39" s="115" t="s">
        <v>28</v>
      </c>
      <c r="AM39" s="115" t="s">
        <v>1846</v>
      </c>
      <c r="AN39" s="115" t="s">
        <v>1463</v>
      </c>
      <c r="AO39" s="115" t="s">
        <v>1639</v>
      </c>
      <c r="AT39" s="115" t="s">
        <v>1415</v>
      </c>
      <c r="AU39" s="115" t="s">
        <v>2114</v>
      </c>
      <c r="AV39" s="115">
        <v>15</v>
      </c>
      <c r="AW39" s="115" t="s">
        <v>1681</v>
      </c>
      <c r="AX39" s="115" t="s">
        <v>28</v>
      </c>
      <c r="AY39" s="115" t="s">
        <v>1850</v>
      </c>
      <c r="AZ39" s="115" t="s">
        <v>1866</v>
      </c>
      <c r="BA39" s="115">
        <v>681.08550000000002</v>
      </c>
      <c r="BB39" s="115"/>
      <c r="BC39" s="115"/>
      <c r="BD39" s="115"/>
      <c r="BE39" s="115">
        <v>1527.75</v>
      </c>
      <c r="BF39" s="115"/>
      <c r="BG39" s="115">
        <v>833.27406250000001</v>
      </c>
      <c r="BH39" s="115">
        <v>66.202500000000001</v>
      </c>
      <c r="BI39" s="115">
        <v>1144.4836</v>
      </c>
      <c r="BJ39" s="115">
        <v>205.3296</v>
      </c>
      <c r="BK39" s="115"/>
      <c r="BL39" s="115"/>
      <c r="BM39" s="115"/>
      <c r="BN39" s="115"/>
      <c r="BO39" s="115"/>
      <c r="BP39" s="115"/>
      <c r="BQ39" s="115"/>
      <c r="BR39" s="182"/>
      <c r="CF39" s="115" t="s">
        <v>1415</v>
      </c>
      <c r="CG39" s="115">
        <v>15</v>
      </c>
      <c r="CH39" s="330">
        <v>227103.23256204801</v>
      </c>
      <c r="CI39" s="330">
        <v>288422.33360824746</v>
      </c>
      <c r="CJ39" s="330">
        <v>30511.002246464006</v>
      </c>
      <c r="CK39" s="330">
        <v>196592.23031558402</v>
      </c>
      <c r="CL39" s="184">
        <v>7547.0655999999999</v>
      </c>
      <c r="CM39" s="184">
        <v>7780.48</v>
      </c>
      <c r="CN39" s="184">
        <v>754.70656000000008</v>
      </c>
      <c r="CO39" s="184">
        <v>6792.3590400000003</v>
      </c>
      <c r="CP39" s="330">
        <v>37.069992289453538</v>
      </c>
      <c r="CQ39" s="187">
        <v>0.1</v>
      </c>
      <c r="CR39" s="187">
        <v>0.78739822163187001</v>
      </c>
      <c r="CS39" s="115" t="s">
        <v>1645</v>
      </c>
      <c r="CV39" s="115">
        <v>2025.01</v>
      </c>
      <c r="CW39" s="115" t="s">
        <v>1415</v>
      </c>
      <c r="CX39" s="115" t="s">
        <v>377</v>
      </c>
      <c r="CY39" s="115" t="s">
        <v>2066</v>
      </c>
      <c r="CZ39" s="330">
        <v>465.59699999999998</v>
      </c>
      <c r="DA39" s="115"/>
      <c r="DB39" s="115"/>
      <c r="DC39" s="115" t="s">
        <v>1416</v>
      </c>
      <c r="DD39" s="115" t="s">
        <v>2114</v>
      </c>
      <c r="DE39" s="115" t="s">
        <v>1473</v>
      </c>
      <c r="DF39" s="115" t="s">
        <v>1272</v>
      </c>
      <c r="DG39" s="115">
        <v>65596.86</v>
      </c>
      <c r="DJ39" s="115" t="s">
        <v>1415</v>
      </c>
      <c r="DK39" s="115" t="s">
        <v>2114</v>
      </c>
      <c r="DL39" s="115" t="s">
        <v>1406</v>
      </c>
      <c r="DM39" s="115" t="s">
        <v>359</v>
      </c>
      <c r="DN39" s="115" t="s">
        <v>359</v>
      </c>
      <c r="DO39" s="115">
        <v>60</v>
      </c>
      <c r="DP39" s="115">
        <v>12533.44</v>
      </c>
      <c r="DR39" s="214"/>
      <c r="DY39" s="115"/>
      <c r="DZ39" s="115" t="s">
        <v>1415</v>
      </c>
      <c r="EA39" s="115" t="s">
        <v>2114</v>
      </c>
      <c r="EB39" s="115">
        <v>15</v>
      </c>
      <c r="EC39" s="115" t="s">
        <v>95</v>
      </c>
      <c r="ED39" s="115" t="s">
        <v>1697</v>
      </c>
      <c r="EE39" s="187">
        <v>0.5</v>
      </c>
      <c r="EF39" s="330">
        <v>46.478299999999997</v>
      </c>
      <c r="EG39" s="330">
        <v>50.6907</v>
      </c>
      <c r="EH39" s="115" t="s">
        <v>377</v>
      </c>
      <c r="EI39" s="115" t="s">
        <v>1816</v>
      </c>
      <c r="EJ39" s="115"/>
      <c r="EK39" s="115" t="s">
        <v>315</v>
      </c>
      <c r="EL39" s="115" t="s">
        <v>1643</v>
      </c>
      <c r="EM39"/>
      <c r="EO39" s="115"/>
      <c r="EP39" s="334" t="s">
        <v>1416</v>
      </c>
      <c r="EQ39" s="334" t="s">
        <v>2114</v>
      </c>
      <c r="ER39" s="334" t="s">
        <v>1475</v>
      </c>
      <c r="ES39" s="334" t="s">
        <v>389</v>
      </c>
      <c r="ET39" s="334">
        <v>2023.44</v>
      </c>
      <c r="EU39" s="334" t="s">
        <v>397</v>
      </c>
      <c r="EV39" s="334">
        <v>45383.689899999998</v>
      </c>
    </row>
    <row r="40" spans="4:152" ht="13">
      <c r="D40" s="115" t="s">
        <v>2151</v>
      </c>
      <c r="E40" s="115" t="s">
        <v>374</v>
      </c>
      <c r="F40" s="115">
        <v>3148.2233999999999</v>
      </c>
      <c r="I40" s="115" t="s">
        <v>1500</v>
      </c>
      <c r="J40" s="115" t="s">
        <v>1364</v>
      </c>
      <c r="K40" s="183">
        <v>300</v>
      </c>
      <c r="AG40" s="115"/>
      <c r="AH40" s="115"/>
      <c r="AI40" s="115" t="s">
        <v>1416</v>
      </c>
      <c r="AJ40" t="s">
        <v>2114</v>
      </c>
      <c r="AK40" s="115">
        <v>0</v>
      </c>
      <c r="AL40" s="115" t="s">
        <v>28</v>
      </c>
      <c r="AM40" s="115" t="s">
        <v>1843</v>
      </c>
      <c r="AN40" s="115" t="s">
        <v>1463</v>
      </c>
      <c r="AO40" s="115" t="s">
        <v>1639</v>
      </c>
      <c r="AT40" s="115" t="s">
        <v>1416</v>
      </c>
      <c r="AU40" s="115" t="s">
        <v>2114</v>
      </c>
      <c r="AV40" s="115">
        <v>0</v>
      </c>
      <c r="AW40" s="115" t="s">
        <v>1681</v>
      </c>
      <c r="AX40" s="115" t="s">
        <v>28</v>
      </c>
      <c r="AY40" s="115" t="s">
        <v>1850</v>
      </c>
      <c r="AZ40" s="115" t="s">
        <v>1866</v>
      </c>
      <c r="BA40" s="115">
        <v>47.529999999999994</v>
      </c>
      <c r="BB40" s="115"/>
      <c r="BC40" s="115"/>
      <c r="BD40" s="115"/>
      <c r="BE40" s="115"/>
      <c r="BF40" s="115"/>
      <c r="BG40" s="115"/>
      <c r="BH40" s="115">
        <v>35.599000000000011</v>
      </c>
      <c r="BI40" s="115">
        <v>146.08200000000002</v>
      </c>
      <c r="BJ40" s="115"/>
      <c r="BK40" s="115"/>
      <c r="BL40" s="115"/>
      <c r="BM40" s="115"/>
      <c r="BN40" s="115"/>
      <c r="BO40" s="115"/>
      <c r="BP40" s="115"/>
      <c r="BQ40" s="115"/>
      <c r="BR40" s="182"/>
      <c r="CF40" s="115" t="s">
        <v>1415</v>
      </c>
      <c r="CG40" s="115">
        <v>15</v>
      </c>
      <c r="CH40" s="330">
        <v>350584.16680000001</v>
      </c>
      <c r="CI40" s="330">
        <v>350584.16680000001</v>
      </c>
      <c r="CJ40" s="330">
        <v>0</v>
      </c>
      <c r="CK40" s="330">
        <v>350584.16680000001</v>
      </c>
      <c r="CL40" s="184">
        <v>0</v>
      </c>
      <c r="CN40" s="184">
        <v>0</v>
      </c>
      <c r="CO40" s="184">
        <v>0</v>
      </c>
      <c r="CP40" s="330"/>
      <c r="CQ40" s="187">
        <v>0</v>
      </c>
      <c r="CR40" s="187">
        <v>1</v>
      </c>
      <c r="CS40" s="115" t="s">
        <v>386</v>
      </c>
      <c r="CV40" s="115">
        <v>2025.01</v>
      </c>
      <c r="CW40" s="115" t="s">
        <v>1415</v>
      </c>
      <c r="CX40" s="115" t="s">
        <v>380</v>
      </c>
      <c r="CY40" s="115" t="s">
        <v>2066</v>
      </c>
      <c r="CZ40" s="330">
        <v>1211.192</v>
      </c>
      <c r="DA40" s="115"/>
      <c r="DB40" s="115"/>
      <c r="DC40" s="115" t="s">
        <v>1416</v>
      </c>
      <c r="DD40" s="115" t="s">
        <v>2114</v>
      </c>
      <c r="DE40" s="115" t="s">
        <v>1473</v>
      </c>
      <c r="DF40" s="115" t="s">
        <v>1241</v>
      </c>
      <c r="DG40" s="115">
        <v>301732.5</v>
      </c>
      <c r="DJ40" s="115" t="s">
        <v>1415</v>
      </c>
      <c r="DK40" s="115" t="s">
        <v>2114</v>
      </c>
      <c r="DL40" s="115" t="s">
        <v>1407</v>
      </c>
      <c r="DM40" s="115" t="s">
        <v>1467</v>
      </c>
      <c r="DN40" s="115" t="s">
        <v>528</v>
      </c>
      <c r="DO40" s="115">
        <v>70</v>
      </c>
      <c r="DP40" s="115">
        <v>11627.42</v>
      </c>
      <c r="DR40" s="214"/>
      <c r="DY40" s="115"/>
      <c r="DZ40" s="115" t="s">
        <v>1416</v>
      </c>
      <c r="EA40" s="115" t="s">
        <v>2114</v>
      </c>
      <c r="EB40" s="115">
        <v>0</v>
      </c>
      <c r="EC40" s="115" t="s">
        <v>95</v>
      </c>
      <c r="ED40" s="115" t="s">
        <v>1697</v>
      </c>
      <c r="EE40" s="187">
        <v>0.5</v>
      </c>
      <c r="EF40" s="330">
        <v>43.06</v>
      </c>
      <c r="EG40" s="330">
        <v>46.18</v>
      </c>
      <c r="EH40" s="115" t="s">
        <v>377</v>
      </c>
      <c r="EI40" s="115" t="s">
        <v>1816</v>
      </c>
      <c r="EJ40" s="115"/>
      <c r="EK40" s="115" t="s">
        <v>315</v>
      </c>
      <c r="EL40" s="115" t="s">
        <v>1643</v>
      </c>
      <c r="EM40"/>
      <c r="EO40" s="115"/>
      <c r="EP40" s="334" t="s">
        <v>1416</v>
      </c>
      <c r="EQ40" s="334" t="s">
        <v>2114</v>
      </c>
      <c r="ER40" s="334" t="s">
        <v>1475</v>
      </c>
      <c r="ES40" s="334" t="s">
        <v>389</v>
      </c>
      <c r="ET40" s="334">
        <v>2023.44</v>
      </c>
      <c r="EU40" s="334" t="s">
        <v>1382</v>
      </c>
      <c r="EV40" s="334">
        <v>45383.689899999998</v>
      </c>
    </row>
    <row r="41" spans="4:152" ht="13">
      <c r="D41" s="115" t="s">
        <v>2151</v>
      </c>
      <c r="E41" s="115" t="s">
        <v>1642</v>
      </c>
      <c r="F41" s="115">
        <v>121.35429999999999</v>
      </c>
      <c r="I41" s="115" t="s">
        <v>1500</v>
      </c>
      <c r="J41" s="115" t="s">
        <v>1367</v>
      </c>
      <c r="K41" s="183">
        <v>8</v>
      </c>
      <c r="AG41" s="115"/>
      <c r="AH41" s="115"/>
      <c r="AI41" s="115" t="s">
        <v>1416</v>
      </c>
      <c r="AJ41" t="s">
        <v>2114</v>
      </c>
      <c r="AK41" s="115">
        <v>0</v>
      </c>
      <c r="AL41" s="115" t="s">
        <v>28</v>
      </c>
      <c r="AM41" s="115" t="s">
        <v>1850</v>
      </c>
      <c r="AN41" s="115" t="s">
        <v>1442</v>
      </c>
      <c r="AO41" s="115" t="s">
        <v>1644</v>
      </c>
      <c r="AT41" s="115" t="s">
        <v>1415</v>
      </c>
      <c r="AU41" s="115" t="s">
        <v>2114</v>
      </c>
      <c r="AV41" s="115">
        <v>15</v>
      </c>
      <c r="AW41" s="115" t="s">
        <v>1681</v>
      </c>
      <c r="AX41" s="115" t="s">
        <v>28</v>
      </c>
      <c r="AY41" s="115" t="s">
        <v>1832</v>
      </c>
      <c r="AZ41" s="115" t="s">
        <v>1866</v>
      </c>
      <c r="BA41" s="115">
        <v>702.15000000000009</v>
      </c>
      <c r="BB41" s="115"/>
      <c r="BC41" s="115"/>
      <c r="BD41" s="115"/>
      <c r="BE41" s="115">
        <v>3150</v>
      </c>
      <c r="BF41" s="115"/>
      <c r="BG41" s="115">
        <v>3436.1817010309278</v>
      </c>
      <c r="BH41" s="115">
        <v>682.5</v>
      </c>
      <c r="BI41" s="115">
        <v>2949.7</v>
      </c>
      <c r="BJ41" s="115">
        <v>235.20000000000002</v>
      </c>
      <c r="BK41" s="115"/>
      <c r="BL41" s="115"/>
      <c r="BM41" s="115"/>
      <c r="BN41" s="115"/>
      <c r="BO41" s="115"/>
      <c r="BP41" s="115"/>
      <c r="BQ41" s="115"/>
      <c r="BR41" s="182"/>
      <c r="CF41" s="115" t="s">
        <v>1415</v>
      </c>
      <c r="CG41" s="115">
        <v>15</v>
      </c>
      <c r="CH41" s="330">
        <v>114170.07261145</v>
      </c>
      <c r="CI41" s="330">
        <v>113290.16072164949</v>
      </c>
      <c r="CJ41" s="330">
        <v>114170.07261145</v>
      </c>
      <c r="CK41" s="330">
        <v>0</v>
      </c>
      <c r="CL41" s="184">
        <v>2131.2355000000002</v>
      </c>
      <c r="CM41" s="184">
        <v>2197.15</v>
      </c>
      <c r="CN41" s="184">
        <v>2131.2355000000002</v>
      </c>
      <c r="CO41" s="184">
        <v>0</v>
      </c>
      <c r="CP41" s="330">
        <v>51.562324248071128</v>
      </c>
      <c r="CQ41" s="187">
        <v>1</v>
      </c>
      <c r="CR41" s="187">
        <v>1.00776688711708</v>
      </c>
      <c r="CS41" s="115" t="s">
        <v>1641</v>
      </c>
      <c r="CV41" s="115">
        <v>2025.02</v>
      </c>
      <c r="CW41" s="115" t="s">
        <v>1415</v>
      </c>
      <c r="CX41" s="115" t="s">
        <v>380</v>
      </c>
      <c r="CY41" s="115" t="s">
        <v>2066</v>
      </c>
      <c r="CZ41" s="330">
        <v>6055.96</v>
      </c>
      <c r="DA41" s="115"/>
      <c r="DB41" s="115"/>
      <c r="DC41" s="115" t="s">
        <v>1415</v>
      </c>
      <c r="DD41" s="115" t="s">
        <v>2114</v>
      </c>
      <c r="DE41" s="115" t="s">
        <v>298</v>
      </c>
      <c r="DF41" s="115" t="s">
        <v>1272</v>
      </c>
      <c r="DG41" s="115">
        <v>3285.71</v>
      </c>
      <c r="DJ41" s="115" t="s">
        <v>1416</v>
      </c>
      <c r="DK41" s="115" t="s">
        <v>2114</v>
      </c>
      <c r="DL41" s="115" t="s">
        <v>1837</v>
      </c>
      <c r="DM41" s="115" t="s">
        <v>1467</v>
      </c>
      <c r="DN41" s="115" t="s">
        <v>528</v>
      </c>
      <c r="DO41" s="115">
        <v>50</v>
      </c>
      <c r="DP41" s="115">
        <v>1218</v>
      </c>
      <c r="DR41" s="214"/>
      <c r="DY41" s="115"/>
      <c r="DZ41" s="115" t="s">
        <v>1415</v>
      </c>
      <c r="EA41" s="115" t="s">
        <v>2114</v>
      </c>
      <c r="EB41" s="115">
        <v>0</v>
      </c>
      <c r="EC41" s="115" t="s">
        <v>95</v>
      </c>
      <c r="ED41" s="115" t="s">
        <v>1697</v>
      </c>
      <c r="EE41" s="187">
        <v>0.5</v>
      </c>
      <c r="EF41" s="330">
        <v>46.478299999999997</v>
      </c>
      <c r="EG41" s="330">
        <v>50.6907</v>
      </c>
      <c r="EH41" s="115" t="s">
        <v>377</v>
      </c>
      <c r="EI41" s="115" t="s">
        <v>1816</v>
      </c>
      <c r="EJ41" s="115"/>
      <c r="EK41" s="115" t="s">
        <v>315</v>
      </c>
      <c r="EL41" s="115" t="s">
        <v>1643</v>
      </c>
      <c r="EM41"/>
      <c r="EO41" s="115"/>
      <c r="EP41" s="334" t="s">
        <v>1416</v>
      </c>
      <c r="EQ41" s="334" t="s">
        <v>2114</v>
      </c>
      <c r="ER41" s="334" t="s">
        <v>1475</v>
      </c>
      <c r="ES41" s="334" t="s">
        <v>389</v>
      </c>
      <c r="ET41" s="334">
        <v>2024.44</v>
      </c>
      <c r="EU41" s="334" t="s">
        <v>397</v>
      </c>
      <c r="EV41" s="334">
        <v>45383.689899999998</v>
      </c>
    </row>
    <row r="42" spans="4:152" ht="13">
      <c r="D42" s="115" t="s">
        <v>2151</v>
      </c>
      <c r="E42" s="115" t="s">
        <v>1274</v>
      </c>
      <c r="F42" s="115">
        <v>369.26499999999999</v>
      </c>
      <c r="I42" s="115" t="s">
        <v>1500</v>
      </c>
      <c r="J42" s="115" t="s">
        <v>1362</v>
      </c>
      <c r="K42" s="183">
        <v>95</v>
      </c>
      <c r="AG42" s="115"/>
      <c r="AH42" s="115"/>
      <c r="AI42" s="115" t="s">
        <v>1416</v>
      </c>
      <c r="AJ42" t="s">
        <v>2114</v>
      </c>
      <c r="AK42" s="115">
        <v>0</v>
      </c>
      <c r="AL42" s="115" t="s">
        <v>28</v>
      </c>
      <c r="AM42" s="115" t="s">
        <v>1832</v>
      </c>
      <c r="AN42" s="115" t="s">
        <v>1442</v>
      </c>
      <c r="AO42" s="115" t="s">
        <v>1644</v>
      </c>
      <c r="AT42" s="115" t="s">
        <v>1416</v>
      </c>
      <c r="AU42" s="115" t="s">
        <v>2114</v>
      </c>
      <c r="AV42" s="115">
        <v>0</v>
      </c>
      <c r="AW42" s="115" t="s">
        <v>1681</v>
      </c>
      <c r="AX42" s="115" t="s">
        <v>28</v>
      </c>
      <c r="AY42" s="115" t="s">
        <v>1832</v>
      </c>
      <c r="AZ42" s="115" t="s">
        <v>1866</v>
      </c>
      <c r="BA42" s="115">
        <v>48.999999999999993</v>
      </c>
      <c r="BB42" s="115"/>
      <c r="BC42" s="115"/>
      <c r="BD42" s="115"/>
      <c r="BE42" s="115"/>
      <c r="BF42" s="115"/>
      <c r="BG42" s="115"/>
      <c r="BH42" s="115">
        <v>367.00000000000006</v>
      </c>
      <c r="BI42" s="115">
        <v>376.50000000000006</v>
      </c>
      <c r="BJ42" s="115"/>
      <c r="BK42" s="115"/>
      <c r="BL42" s="115"/>
      <c r="BM42" s="115"/>
      <c r="BN42" s="115"/>
      <c r="BO42" s="115"/>
      <c r="BP42" s="115"/>
      <c r="BQ42" s="115"/>
      <c r="BR42" s="182"/>
      <c r="CF42" s="115" t="s">
        <v>1415</v>
      </c>
      <c r="CG42" s="115">
        <v>15</v>
      </c>
      <c r="CH42" s="330">
        <v>385888.99115067185</v>
      </c>
      <c r="CI42" s="330">
        <v>381243.69505154638</v>
      </c>
      <c r="CJ42" s="330">
        <v>184580.10576828281</v>
      </c>
      <c r="CK42" s="330">
        <v>201308.88538238904</v>
      </c>
      <c r="CL42" s="184">
        <v>7942.6358437499994</v>
      </c>
      <c r="CM42" s="184">
        <v>8188.2843749999993</v>
      </c>
      <c r="CN42" s="184">
        <v>3971.3179218749997</v>
      </c>
      <c r="CO42" s="184">
        <v>3971.3179218749997</v>
      </c>
      <c r="CP42" s="330">
        <v>46.559654940116367</v>
      </c>
      <c r="CQ42" s="187">
        <v>0.5</v>
      </c>
      <c r="CR42" s="187">
        <v>1.0121845847142401</v>
      </c>
      <c r="CS42" s="115" t="s">
        <v>1643</v>
      </c>
      <c r="CV42" s="115">
        <v>2025.03</v>
      </c>
      <c r="CW42" s="115" t="s">
        <v>1415</v>
      </c>
      <c r="CX42" s="115" t="s">
        <v>380</v>
      </c>
      <c r="CY42" s="115" t="s">
        <v>2066</v>
      </c>
      <c r="CZ42" s="330">
        <v>10900.727999999999</v>
      </c>
      <c r="DA42" s="115"/>
      <c r="DB42" s="115"/>
      <c r="DC42" s="115" t="s">
        <v>1415</v>
      </c>
      <c r="DD42" s="115" t="s">
        <v>2114</v>
      </c>
      <c r="DE42" s="115" t="s">
        <v>298</v>
      </c>
      <c r="DF42" s="115" t="s">
        <v>1241</v>
      </c>
      <c r="DG42" s="115">
        <v>19.75</v>
      </c>
      <c r="DJ42" s="115" t="s">
        <v>1416</v>
      </c>
      <c r="DK42" s="115" t="s">
        <v>2114</v>
      </c>
      <c r="DL42" s="115" t="s">
        <v>1487</v>
      </c>
      <c r="DM42" s="115" t="s">
        <v>1486</v>
      </c>
      <c r="DN42" s="115" t="s">
        <v>1485</v>
      </c>
      <c r="DO42" s="115">
        <v>60</v>
      </c>
      <c r="DP42" s="115">
        <v>133059.95000000001</v>
      </c>
      <c r="DR42" s="214"/>
      <c r="DY42" s="115"/>
      <c r="DZ42" s="115" t="s">
        <v>1415</v>
      </c>
      <c r="EA42" s="115" t="s">
        <v>2114</v>
      </c>
      <c r="EB42" s="115">
        <v>16</v>
      </c>
      <c r="EC42" s="115" t="s">
        <v>95</v>
      </c>
      <c r="ED42" s="115" t="s">
        <v>1697</v>
      </c>
      <c r="EE42" s="187">
        <v>0.5</v>
      </c>
      <c r="EF42" s="330">
        <v>46.478299999999997</v>
      </c>
      <c r="EG42" s="330">
        <v>50.6907</v>
      </c>
      <c r="EH42" s="115" t="s">
        <v>377</v>
      </c>
      <c r="EI42" s="115" t="s">
        <v>1816</v>
      </c>
      <c r="EJ42" s="115"/>
      <c r="EK42" s="115" t="s">
        <v>315</v>
      </c>
      <c r="EL42" s="115" t="s">
        <v>1643</v>
      </c>
      <c r="EM42"/>
      <c r="EO42" s="115"/>
      <c r="EP42" s="334" t="s">
        <v>1416</v>
      </c>
      <c r="EQ42" s="334" t="s">
        <v>2114</v>
      </c>
      <c r="ER42" s="334" t="s">
        <v>1475</v>
      </c>
      <c r="ES42" s="334" t="s">
        <v>389</v>
      </c>
      <c r="ET42" s="334">
        <v>2024.44</v>
      </c>
      <c r="EU42" s="334" t="s">
        <v>1382</v>
      </c>
      <c r="EV42" s="334">
        <v>30864.297900000001</v>
      </c>
    </row>
    <row r="43" spans="4:152" ht="13">
      <c r="D43" s="115" t="s">
        <v>2151</v>
      </c>
      <c r="E43" s="115" t="s">
        <v>1641</v>
      </c>
      <c r="F43" s="115">
        <v>103.1246</v>
      </c>
      <c r="I43" s="115" t="s">
        <v>1500</v>
      </c>
      <c r="J43" s="115" t="s">
        <v>1368</v>
      </c>
      <c r="K43" s="183">
        <v>11.5</v>
      </c>
      <c r="AG43" s="115"/>
      <c r="AH43" s="115"/>
      <c r="AI43" s="115" t="s">
        <v>1416</v>
      </c>
      <c r="AJ43" t="s">
        <v>2114</v>
      </c>
      <c r="AK43" s="115">
        <v>0</v>
      </c>
      <c r="AL43" s="115" t="s">
        <v>28</v>
      </c>
      <c r="AM43" s="115" t="s">
        <v>1848</v>
      </c>
      <c r="AN43" s="115" t="s">
        <v>1442</v>
      </c>
      <c r="AO43" s="115" t="s">
        <v>1644</v>
      </c>
      <c r="AT43" s="115" t="s">
        <v>1415</v>
      </c>
      <c r="AU43" s="115" t="s">
        <v>2114</v>
      </c>
      <c r="AV43" s="115">
        <v>15</v>
      </c>
      <c r="AW43" s="115" t="s">
        <v>1679</v>
      </c>
      <c r="AX43" s="115" t="s">
        <v>28</v>
      </c>
      <c r="AY43" s="115" t="s">
        <v>1846</v>
      </c>
      <c r="AZ43" s="115" t="s">
        <v>1867</v>
      </c>
      <c r="BA43" s="115"/>
      <c r="BB43" s="115"/>
      <c r="BC43" s="115"/>
      <c r="BD43" s="115"/>
      <c r="BE43" s="115"/>
      <c r="BF43" s="115"/>
      <c r="BG43" s="115"/>
      <c r="BH43" s="115"/>
      <c r="BI43" s="115">
        <v>19244.010419999999</v>
      </c>
      <c r="BJ43" s="115"/>
      <c r="BK43" s="115"/>
      <c r="BL43" s="115">
        <v>24565.884768</v>
      </c>
      <c r="BM43" s="115"/>
      <c r="BN43" s="115"/>
      <c r="BO43" s="115"/>
      <c r="BP43" s="115"/>
      <c r="BQ43" s="115"/>
      <c r="BR43" s="182"/>
      <c r="CF43" s="115" t="s">
        <v>1415</v>
      </c>
      <c r="CG43" s="115">
        <v>15</v>
      </c>
      <c r="CH43" s="330">
        <v>324867.99955415621</v>
      </c>
      <c r="CI43" s="330">
        <v>381999.81536082469</v>
      </c>
      <c r="CJ43" s="330">
        <v>105735.37608830625</v>
      </c>
      <c r="CK43" s="330">
        <v>219132.62346584999</v>
      </c>
      <c r="CL43" s="184">
        <v>7793.5712499999991</v>
      </c>
      <c r="CM43" s="184">
        <v>8034.6095360824747</v>
      </c>
      <c r="CN43" s="184">
        <v>2474.0010625</v>
      </c>
      <c r="CO43" s="184">
        <v>5319.5701874999995</v>
      </c>
      <c r="CP43" s="330">
        <v>47.544291187432194</v>
      </c>
      <c r="CQ43" s="187">
        <v>0.317441258075366</v>
      </c>
      <c r="CR43" s="187">
        <v>0.85044020046788904</v>
      </c>
      <c r="CS43" s="115" t="s">
        <v>372</v>
      </c>
      <c r="CV43" s="115">
        <v>2025.02</v>
      </c>
      <c r="CW43" s="115" t="s">
        <v>1415</v>
      </c>
      <c r="CX43" s="115" t="s">
        <v>377</v>
      </c>
      <c r="CY43" s="115" t="s">
        <v>2066</v>
      </c>
      <c r="CZ43" s="330">
        <v>2793.5819999999999</v>
      </c>
      <c r="DA43" s="115"/>
      <c r="DB43" s="115"/>
      <c r="DC43" s="115" t="s">
        <v>1415</v>
      </c>
      <c r="DD43" s="115" t="s">
        <v>2114</v>
      </c>
      <c r="DE43" s="115" t="s">
        <v>1478</v>
      </c>
      <c r="DF43" s="115" t="s">
        <v>1272</v>
      </c>
      <c r="DG43" s="115">
        <v>499104.92</v>
      </c>
      <c r="DJ43" s="115" t="s">
        <v>1415</v>
      </c>
      <c r="DK43" s="115" t="s">
        <v>2114</v>
      </c>
      <c r="DL43" s="115" t="s">
        <v>1409</v>
      </c>
      <c r="DM43" s="115" t="s">
        <v>1286</v>
      </c>
      <c r="DN43" s="115" t="s">
        <v>364</v>
      </c>
      <c r="DO43" s="115">
        <v>90</v>
      </c>
      <c r="DP43" s="115">
        <v>21700.15</v>
      </c>
      <c r="DR43" s="214"/>
      <c r="DY43" s="115"/>
      <c r="DZ43" s="115" t="s">
        <v>1415</v>
      </c>
      <c r="EA43" s="115" t="s">
        <v>2114</v>
      </c>
      <c r="EB43" s="115">
        <v>15</v>
      </c>
      <c r="EC43" s="115" t="s">
        <v>97</v>
      </c>
      <c r="ED43" s="115" t="s">
        <v>1697</v>
      </c>
      <c r="EE43" s="187">
        <v>0.25</v>
      </c>
      <c r="EF43" s="330">
        <v>38.350499999999997</v>
      </c>
      <c r="EG43" s="330">
        <v>28.364000000000001</v>
      </c>
      <c r="EH43" s="115" t="s">
        <v>372</v>
      </c>
      <c r="EI43" s="115" t="s">
        <v>1816</v>
      </c>
      <c r="EJ43" s="115"/>
      <c r="EK43" s="115" t="s">
        <v>315</v>
      </c>
      <c r="EL43" s="115" t="s">
        <v>372</v>
      </c>
      <c r="EM43"/>
      <c r="EO43" s="115"/>
      <c r="EP43" s="334" t="s">
        <v>1416</v>
      </c>
      <c r="EQ43" s="334" t="s">
        <v>2114</v>
      </c>
      <c r="ER43" s="334" t="s">
        <v>1475</v>
      </c>
      <c r="ES43" s="334" t="s">
        <v>1275</v>
      </c>
      <c r="ET43" s="334">
        <v>2023.44</v>
      </c>
      <c r="EU43" s="334" t="s">
        <v>397</v>
      </c>
      <c r="EV43" s="334">
        <v>67852.7834</v>
      </c>
    </row>
    <row r="44" spans="4:152" ht="13">
      <c r="D44" s="115" t="s">
        <v>2153</v>
      </c>
      <c r="E44" s="115" t="s">
        <v>1643</v>
      </c>
      <c r="F44" s="115">
        <v>273.87</v>
      </c>
      <c r="I44" s="115" t="s">
        <v>1500</v>
      </c>
      <c r="J44" s="115" t="s">
        <v>1360</v>
      </c>
      <c r="K44" s="183">
        <v>0.25</v>
      </c>
      <c r="AG44" s="115"/>
      <c r="AH44" s="115"/>
      <c r="AI44" s="115" t="s">
        <v>1416</v>
      </c>
      <c r="AJ44" t="s">
        <v>2114</v>
      </c>
      <c r="AK44" s="115">
        <v>0</v>
      </c>
      <c r="AL44" s="115" t="s">
        <v>28</v>
      </c>
      <c r="AM44" s="115" t="s">
        <v>1843</v>
      </c>
      <c r="AN44" s="115" t="s">
        <v>1442</v>
      </c>
      <c r="AO44" s="115" t="s">
        <v>1644</v>
      </c>
      <c r="AT44" s="115" t="s">
        <v>1415</v>
      </c>
      <c r="AU44" s="115" t="s">
        <v>2114</v>
      </c>
      <c r="AV44" s="115">
        <v>15</v>
      </c>
      <c r="AW44" s="115" t="s">
        <v>1679</v>
      </c>
      <c r="AX44" s="115" t="s">
        <v>28</v>
      </c>
      <c r="AY44" s="115" t="s">
        <v>1848</v>
      </c>
      <c r="AZ44" s="115" t="s">
        <v>1867</v>
      </c>
      <c r="BA44" s="115"/>
      <c r="BB44" s="115"/>
      <c r="BC44" s="115"/>
      <c r="BD44" s="115"/>
      <c r="BE44" s="115"/>
      <c r="BF44" s="115"/>
      <c r="BG44" s="115"/>
      <c r="BH44" s="115"/>
      <c r="BI44" s="115">
        <v>8483.055848</v>
      </c>
      <c r="BJ44" s="115"/>
      <c r="BK44" s="115"/>
      <c r="BL44" s="115">
        <v>3753.4157760000007</v>
      </c>
      <c r="BM44" s="115"/>
      <c r="BN44" s="115"/>
      <c r="BO44" s="115"/>
      <c r="BP44" s="115"/>
      <c r="BQ44" s="115"/>
      <c r="BR44" s="182"/>
      <c r="CF44" s="115" t="s">
        <v>1415</v>
      </c>
      <c r="CG44" s="115">
        <v>15</v>
      </c>
      <c r="CH44" s="330">
        <v>538009.34153797245</v>
      </c>
      <c r="CI44" s="330">
        <v>474311.59762886597</v>
      </c>
      <c r="CJ44" s="330">
        <v>169620.39795661997</v>
      </c>
      <c r="CK44" s="330">
        <v>368388.94358135248</v>
      </c>
      <c r="CL44" s="184">
        <v>15194.351599999998</v>
      </c>
      <c r="CM44" s="184">
        <v>15664.279999999999</v>
      </c>
      <c r="CN44" s="184">
        <v>4227.7692500000003</v>
      </c>
      <c r="CO44" s="184">
        <v>10966.582349999999</v>
      </c>
      <c r="CP44" s="330">
        <v>30.279821200135977</v>
      </c>
      <c r="CQ44" s="187">
        <v>0.278246111535289</v>
      </c>
      <c r="CR44" s="187">
        <v>1.13429514316651</v>
      </c>
      <c r="CS44" s="115" t="s">
        <v>380</v>
      </c>
      <c r="CV44" s="115">
        <v>2025.03</v>
      </c>
      <c r="CW44" s="115" t="s">
        <v>1415</v>
      </c>
      <c r="CX44" s="115" t="s">
        <v>377</v>
      </c>
      <c r="CY44" s="115" t="s">
        <v>2066</v>
      </c>
      <c r="CZ44" s="330">
        <v>3259.1790000000001</v>
      </c>
      <c r="DA44" s="115"/>
      <c r="DB44" s="115"/>
      <c r="DC44" s="115" t="s">
        <v>1415</v>
      </c>
      <c r="DD44" s="115" t="s">
        <v>2114</v>
      </c>
      <c r="DE44" s="115" t="s">
        <v>368</v>
      </c>
      <c r="DF44" s="115" t="s">
        <v>1272</v>
      </c>
      <c r="DG44" s="115">
        <v>53281.54</v>
      </c>
      <c r="DJ44" s="115" t="s">
        <v>1415</v>
      </c>
      <c r="DK44" s="115" t="s">
        <v>2114</v>
      </c>
      <c r="DL44" s="115" t="s">
        <v>1414</v>
      </c>
      <c r="DM44" s="115" t="s">
        <v>1285</v>
      </c>
      <c r="DN44" s="115" t="s">
        <v>363</v>
      </c>
      <c r="DO44" s="115">
        <v>150</v>
      </c>
      <c r="DP44" s="115">
        <v>3559.39</v>
      </c>
      <c r="DR44" s="214"/>
      <c r="DY44" s="115"/>
      <c r="DZ44" s="115" t="s">
        <v>1416</v>
      </c>
      <c r="EA44" s="115" t="s">
        <v>2114</v>
      </c>
      <c r="EB44" s="115">
        <v>0</v>
      </c>
      <c r="EC44" s="115" t="s">
        <v>97</v>
      </c>
      <c r="ED44" s="115" t="s">
        <v>1697</v>
      </c>
      <c r="EE44" s="187">
        <v>0.25</v>
      </c>
      <c r="EF44" s="330">
        <v>35.53</v>
      </c>
      <c r="EG44" s="330">
        <v>25.84</v>
      </c>
      <c r="EH44" s="115" t="s">
        <v>372</v>
      </c>
      <c r="EI44" s="115" t="s">
        <v>1816</v>
      </c>
      <c r="EJ44" s="115"/>
      <c r="EK44" s="115" t="s">
        <v>315</v>
      </c>
      <c r="EL44" s="115" t="s">
        <v>372</v>
      </c>
      <c r="EM44"/>
      <c r="EO44" s="115"/>
      <c r="EP44" s="334" t="s">
        <v>1416</v>
      </c>
      <c r="EQ44" s="334" t="s">
        <v>2114</v>
      </c>
      <c r="ER44" s="334" t="s">
        <v>1475</v>
      </c>
      <c r="ES44" s="334" t="s">
        <v>1275</v>
      </c>
      <c r="ET44" s="334">
        <v>2023.44</v>
      </c>
      <c r="EU44" s="334" t="s">
        <v>1382</v>
      </c>
      <c r="EV44" s="334">
        <v>67852.7834</v>
      </c>
    </row>
    <row r="45" spans="4:152" ht="13">
      <c r="D45" s="115" t="s">
        <v>2153</v>
      </c>
      <c r="E45" s="115" t="s">
        <v>374</v>
      </c>
      <c r="F45" s="115">
        <v>70201.184099999999</v>
      </c>
      <c r="I45" s="115" t="s">
        <v>1500</v>
      </c>
      <c r="J45" s="115" t="s">
        <v>1358</v>
      </c>
      <c r="K45" s="183" t="s">
        <v>375</v>
      </c>
      <c r="AG45" s="115"/>
      <c r="AH45" s="115"/>
      <c r="AI45" s="115" t="s">
        <v>1416</v>
      </c>
      <c r="AJ45" t="s">
        <v>2114</v>
      </c>
      <c r="AK45" s="115">
        <v>0</v>
      </c>
      <c r="AL45" s="115" t="s">
        <v>28</v>
      </c>
      <c r="AM45" s="115" t="s">
        <v>1843</v>
      </c>
      <c r="AN45" s="115" t="s">
        <v>1442</v>
      </c>
      <c r="AO45" s="115" t="s">
        <v>1274</v>
      </c>
      <c r="AT45" s="115" t="s">
        <v>1415</v>
      </c>
      <c r="AU45" s="115" t="s">
        <v>2114</v>
      </c>
      <c r="AV45" s="115">
        <v>15</v>
      </c>
      <c r="AW45" s="115" t="s">
        <v>1679</v>
      </c>
      <c r="AX45" s="115" t="s">
        <v>28</v>
      </c>
      <c r="AY45" s="115" t="s">
        <v>1843</v>
      </c>
      <c r="AZ45" s="115" t="s">
        <v>1867</v>
      </c>
      <c r="BA45" s="115"/>
      <c r="BB45" s="115"/>
      <c r="BC45" s="115"/>
      <c r="BD45" s="115"/>
      <c r="BE45" s="115"/>
      <c r="BF45" s="115"/>
      <c r="BG45" s="115"/>
      <c r="BH45" s="115"/>
      <c r="BI45" s="115">
        <v>27736.316185567011</v>
      </c>
      <c r="BJ45" s="115"/>
      <c r="BK45" s="115"/>
      <c r="BL45" s="115">
        <v>37117.572371134025</v>
      </c>
      <c r="BM45" s="115"/>
      <c r="BN45" s="115"/>
      <c r="BO45" s="115"/>
      <c r="BP45" s="115"/>
      <c r="BQ45" s="115"/>
      <c r="BR45" s="182"/>
      <c r="CF45" s="115" t="s">
        <v>1415</v>
      </c>
      <c r="CG45" s="115">
        <v>15</v>
      </c>
      <c r="CH45" s="330">
        <v>101604.63221399582</v>
      </c>
      <c r="CI45" s="330">
        <v>100681.51659793816</v>
      </c>
      <c r="CJ45" s="330">
        <v>84735.421751302492</v>
      </c>
      <c r="CK45" s="330">
        <v>16869.210462693325</v>
      </c>
      <c r="CL45" s="184">
        <v>2104.3584166666669</v>
      </c>
      <c r="CM45" s="184">
        <v>2169.4416666666671</v>
      </c>
      <c r="CN45" s="184">
        <v>1893.9225750000001</v>
      </c>
      <c r="CO45" s="184">
        <v>210.43584166666665</v>
      </c>
      <c r="CP45" s="330">
        <v>46.408953116787252</v>
      </c>
      <c r="CQ45" s="187">
        <v>0.9</v>
      </c>
      <c r="CR45" s="187">
        <v>1.00916867015168</v>
      </c>
      <c r="CS45" s="115" t="s">
        <v>373</v>
      </c>
      <c r="CV45" s="115">
        <v>2025.04</v>
      </c>
      <c r="CW45" s="115" t="s">
        <v>1415</v>
      </c>
      <c r="CX45" s="115" t="s">
        <v>380</v>
      </c>
      <c r="CY45" s="115" t="s">
        <v>2066</v>
      </c>
      <c r="CZ45" s="330">
        <v>6964.3540000000003</v>
      </c>
      <c r="DA45" s="115"/>
      <c r="DB45" s="115"/>
      <c r="DC45" s="115" t="s">
        <v>1415</v>
      </c>
      <c r="DD45" s="115" t="s">
        <v>2114</v>
      </c>
      <c r="DE45" s="115" t="s">
        <v>368</v>
      </c>
      <c r="DF45" s="115" t="s">
        <v>1241</v>
      </c>
      <c r="DG45" s="115">
        <v>442406</v>
      </c>
      <c r="DJ45" s="115" t="s">
        <v>1416</v>
      </c>
      <c r="DK45" s="115" t="s">
        <v>2114</v>
      </c>
      <c r="DL45" s="115" t="s">
        <v>1494</v>
      </c>
      <c r="DM45" s="115" t="s">
        <v>1285</v>
      </c>
      <c r="DN45" s="115" t="s">
        <v>363</v>
      </c>
      <c r="DO45" s="115">
        <v>110</v>
      </c>
      <c r="DP45" s="115">
        <v>439.7</v>
      </c>
      <c r="DR45" s="214"/>
      <c r="DY45" s="115"/>
      <c r="DZ45" s="115" t="s">
        <v>1415</v>
      </c>
      <c r="EA45" s="115" t="s">
        <v>2114</v>
      </c>
      <c r="EB45" s="115">
        <v>0</v>
      </c>
      <c r="EC45" s="115" t="s">
        <v>97</v>
      </c>
      <c r="ED45" s="115" t="s">
        <v>1697</v>
      </c>
      <c r="EE45" s="187">
        <v>0.25</v>
      </c>
      <c r="EF45" s="330">
        <v>38.350499999999997</v>
      </c>
      <c r="EG45" s="330">
        <v>28.364000000000001</v>
      </c>
      <c r="EH45" s="115" t="s">
        <v>372</v>
      </c>
      <c r="EI45" s="115" t="s">
        <v>1816</v>
      </c>
      <c r="EJ45" s="115"/>
      <c r="EK45" s="115" t="s">
        <v>315</v>
      </c>
      <c r="EL45" s="115" t="s">
        <v>372</v>
      </c>
      <c r="EM45"/>
      <c r="EO45" s="115"/>
      <c r="EP45" s="334" t="s">
        <v>1416</v>
      </c>
      <c r="EQ45" s="334" t="s">
        <v>2114</v>
      </c>
      <c r="ER45" s="334" t="s">
        <v>1475</v>
      </c>
      <c r="ES45" s="334" t="s">
        <v>1275</v>
      </c>
      <c r="ET45" s="334">
        <v>2024.44</v>
      </c>
      <c r="EU45" s="334" t="s">
        <v>397</v>
      </c>
      <c r="EV45" s="334">
        <v>67852.7834</v>
      </c>
    </row>
    <row r="46" spans="4:152" ht="13">
      <c r="D46" s="115" t="s">
        <v>2153</v>
      </c>
      <c r="E46" s="115" t="s">
        <v>1642</v>
      </c>
      <c r="F46" s="115">
        <v>151.69290000000001</v>
      </c>
      <c r="I46" s="115" t="s">
        <v>1500</v>
      </c>
      <c r="J46" s="115" t="s">
        <v>1354</v>
      </c>
      <c r="K46" s="183">
        <v>45141</v>
      </c>
      <c r="AG46" s="115"/>
      <c r="AH46" s="115"/>
      <c r="AI46" s="115" t="s">
        <v>1416</v>
      </c>
      <c r="AJ46" t="s">
        <v>2114</v>
      </c>
      <c r="AK46" s="115">
        <v>0</v>
      </c>
      <c r="AL46" s="115" t="s">
        <v>28</v>
      </c>
      <c r="AM46" s="115" t="s">
        <v>1849</v>
      </c>
      <c r="AN46" s="115" t="s">
        <v>1442</v>
      </c>
      <c r="AO46" s="115" t="s">
        <v>1274</v>
      </c>
      <c r="AT46" s="115" t="s">
        <v>1415</v>
      </c>
      <c r="AU46" s="115" t="s">
        <v>2114</v>
      </c>
      <c r="AV46" s="115">
        <v>15</v>
      </c>
      <c r="AW46" s="115" t="s">
        <v>1679</v>
      </c>
      <c r="AX46" s="115" t="s">
        <v>28</v>
      </c>
      <c r="AY46" s="115" t="s">
        <v>1849</v>
      </c>
      <c r="AZ46" s="115" t="s">
        <v>1867</v>
      </c>
      <c r="BA46" s="115"/>
      <c r="BB46" s="115"/>
      <c r="BC46" s="115"/>
      <c r="BD46" s="115"/>
      <c r="BE46" s="115"/>
      <c r="BF46" s="115"/>
      <c r="BG46" s="115"/>
      <c r="BH46" s="115"/>
      <c r="BI46" s="115">
        <v>666.39</v>
      </c>
      <c r="BJ46" s="115"/>
      <c r="BK46" s="115"/>
      <c r="BL46" s="115">
        <v>838.08</v>
      </c>
      <c r="BM46" s="115"/>
      <c r="BN46" s="115"/>
      <c r="BO46" s="115"/>
      <c r="BP46" s="115"/>
      <c r="BQ46" s="115"/>
      <c r="BR46" s="182"/>
      <c r="CF46" s="115" t="s">
        <v>1415</v>
      </c>
      <c r="CG46" s="115">
        <v>15</v>
      </c>
      <c r="CH46" s="330">
        <v>84496.493524247999</v>
      </c>
      <c r="CI46" s="330">
        <v>83238.415257731947</v>
      </c>
      <c r="CJ46" s="330">
        <v>11415.520389564001</v>
      </c>
      <c r="CK46" s="330">
        <v>73080.973134683998</v>
      </c>
      <c r="CL46" s="184">
        <v>2820.2556</v>
      </c>
      <c r="CM46" s="184">
        <v>2907.4799999999996</v>
      </c>
      <c r="CN46" s="184">
        <v>282.02555999999998</v>
      </c>
      <c r="CO46" s="184">
        <v>2538.2300399999999</v>
      </c>
      <c r="CP46" s="330">
        <v>28.629058586037381</v>
      </c>
      <c r="CQ46" s="187">
        <v>0.1</v>
      </c>
      <c r="CR46" s="187">
        <v>1.0151141544756801</v>
      </c>
      <c r="CS46" s="115" t="s">
        <v>381</v>
      </c>
      <c r="CV46" s="115">
        <v>2025.05</v>
      </c>
      <c r="CW46" s="115" t="s">
        <v>1415</v>
      </c>
      <c r="CX46" s="115" t="s">
        <v>1645</v>
      </c>
      <c r="CY46" s="115" t="s">
        <v>2064</v>
      </c>
      <c r="CZ46" s="330">
        <v>4448.3999999999996</v>
      </c>
      <c r="DA46" s="115"/>
      <c r="DB46" s="115"/>
      <c r="DC46" s="115" t="s">
        <v>1415</v>
      </c>
      <c r="DD46" s="115" t="s">
        <v>2114</v>
      </c>
      <c r="DE46" s="115" t="s">
        <v>288</v>
      </c>
      <c r="DF46" s="115" t="s">
        <v>1241</v>
      </c>
      <c r="DG46" s="115">
        <v>4406</v>
      </c>
      <c r="DR46" s="214"/>
      <c r="DY46" s="115"/>
      <c r="DZ46" s="115" t="s">
        <v>1415</v>
      </c>
      <c r="EA46" s="115" t="s">
        <v>2114</v>
      </c>
      <c r="EB46" s="115">
        <v>16</v>
      </c>
      <c r="EC46" s="115" t="s">
        <v>97</v>
      </c>
      <c r="ED46" s="115" t="s">
        <v>1697</v>
      </c>
      <c r="EE46" s="187">
        <v>0.25</v>
      </c>
      <c r="EF46" s="330">
        <v>38.350499999999997</v>
      </c>
      <c r="EG46" s="330">
        <v>28.364000000000001</v>
      </c>
      <c r="EH46" s="115" t="s">
        <v>372</v>
      </c>
      <c r="EI46" s="115" t="s">
        <v>1816</v>
      </c>
      <c r="EJ46" s="115"/>
      <c r="EK46" s="115" t="s">
        <v>315</v>
      </c>
      <c r="EL46" s="115" t="s">
        <v>372</v>
      </c>
      <c r="EM46"/>
      <c r="EO46" s="115"/>
      <c r="EP46" s="334" t="s">
        <v>1416</v>
      </c>
      <c r="EQ46" s="334" t="s">
        <v>2114</v>
      </c>
      <c r="ER46" s="334" t="s">
        <v>1475</v>
      </c>
      <c r="ES46" s="334" t="s">
        <v>1275</v>
      </c>
      <c r="ET46" s="334">
        <v>2024.44</v>
      </c>
      <c r="EU46" s="334" t="s">
        <v>1382</v>
      </c>
      <c r="EV46" s="334">
        <v>22813.35</v>
      </c>
    </row>
    <row r="47" spans="4:152" ht="13">
      <c r="D47" s="115" t="s">
        <v>2153</v>
      </c>
      <c r="E47" s="115" t="s">
        <v>1274</v>
      </c>
      <c r="F47" s="115">
        <v>976.47329999999999</v>
      </c>
      <c r="I47" s="115" t="s">
        <v>1500</v>
      </c>
      <c r="J47" s="115" t="s">
        <v>1365</v>
      </c>
      <c r="K47" s="183">
        <v>15</v>
      </c>
      <c r="AG47" s="115"/>
      <c r="AH47" s="115"/>
      <c r="AI47" s="115" t="s">
        <v>1416</v>
      </c>
      <c r="AJ47" t="s">
        <v>2114</v>
      </c>
      <c r="AK47" s="115">
        <v>0</v>
      </c>
      <c r="AL47" s="115" t="s">
        <v>28</v>
      </c>
      <c r="AM47" s="115" t="s">
        <v>1850</v>
      </c>
      <c r="AN47" s="115" t="s">
        <v>1442</v>
      </c>
      <c r="AO47" s="115" t="s">
        <v>1274</v>
      </c>
      <c r="AT47" s="115" t="s">
        <v>1415</v>
      </c>
      <c r="AU47" s="115" t="s">
        <v>2114</v>
      </c>
      <c r="AV47" s="115">
        <v>15</v>
      </c>
      <c r="AW47" s="115" t="s">
        <v>1679</v>
      </c>
      <c r="AX47" s="115" t="s">
        <v>28</v>
      </c>
      <c r="AY47" s="115" t="s">
        <v>1850</v>
      </c>
      <c r="AZ47" s="115" t="s">
        <v>1867</v>
      </c>
      <c r="BA47" s="115"/>
      <c r="BB47" s="115"/>
      <c r="BC47" s="115"/>
      <c r="BD47" s="115"/>
      <c r="BE47" s="115"/>
      <c r="BF47" s="115"/>
      <c r="BG47" s="115"/>
      <c r="BH47" s="115"/>
      <c r="BI47" s="115">
        <v>222.13</v>
      </c>
      <c r="BJ47" s="115"/>
      <c r="BK47" s="115"/>
      <c r="BL47" s="115">
        <v>93.12</v>
      </c>
      <c r="BM47" s="115"/>
      <c r="BN47" s="115"/>
      <c r="BO47" s="115"/>
      <c r="BP47" s="115"/>
      <c r="BQ47" s="115"/>
      <c r="BR47" s="182"/>
      <c r="CF47" s="115" t="s">
        <v>1415</v>
      </c>
      <c r="CG47" s="115">
        <v>15</v>
      </c>
      <c r="CH47" s="330">
        <v>1564098.6694999998</v>
      </c>
      <c r="CI47" s="330">
        <v>1564098.6694999998</v>
      </c>
      <c r="CJ47" s="330">
        <v>0</v>
      </c>
      <c r="CK47" s="330">
        <v>1564098.6694999998</v>
      </c>
      <c r="CL47" s="184">
        <v>0</v>
      </c>
      <c r="CN47" s="184">
        <v>0</v>
      </c>
      <c r="CO47" s="184">
        <v>0</v>
      </c>
      <c r="CP47" s="330"/>
      <c r="CQ47" s="187">
        <v>0</v>
      </c>
      <c r="CR47" s="187">
        <v>1</v>
      </c>
      <c r="CS47" s="115" t="s">
        <v>1639</v>
      </c>
      <c r="CV47" s="115">
        <v>2025.06</v>
      </c>
      <c r="CW47" s="115" t="s">
        <v>1415</v>
      </c>
      <c r="CX47" s="115" t="s">
        <v>1645</v>
      </c>
      <c r="CY47" s="115" t="s">
        <v>2064</v>
      </c>
      <c r="CZ47" s="330">
        <v>4448.3999999999996</v>
      </c>
      <c r="DA47" s="115"/>
      <c r="DB47" s="115"/>
      <c r="DC47" s="115" t="s">
        <v>1415</v>
      </c>
      <c r="DD47" s="115" t="s">
        <v>2114</v>
      </c>
      <c r="DE47" s="115" t="s">
        <v>1473</v>
      </c>
      <c r="DF47" s="115" t="s">
        <v>1241</v>
      </c>
      <c r="DG47" s="115">
        <v>530457.75</v>
      </c>
      <c r="DR47" s="214"/>
      <c r="DY47" s="115"/>
      <c r="DZ47" s="115" t="s">
        <v>1415</v>
      </c>
      <c r="EA47" s="115" t="s">
        <v>2114</v>
      </c>
      <c r="EB47" s="115">
        <v>15</v>
      </c>
      <c r="EC47" s="115" t="s">
        <v>99</v>
      </c>
      <c r="ED47" s="115" t="s">
        <v>1697</v>
      </c>
      <c r="EE47" s="187">
        <v>0.4</v>
      </c>
      <c r="EF47" s="330">
        <v>44.967199999999998</v>
      </c>
      <c r="EG47" s="330">
        <v>52.567700000000002</v>
      </c>
      <c r="EH47" s="115" t="s">
        <v>380</v>
      </c>
      <c r="EI47" s="115" t="s">
        <v>1816</v>
      </c>
      <c r="EJ47" s="115"/>
      <c r="EK47" s="115" t="s">
        <v>1827</v>
      </c>
      <c r="EL47" s="115" t="s">
        <v>380</v>
      </c>
      <c r="EM47"/>
      <c r="EO47" s="115"/>
      <c r="EP47" s="334" t="s">
        <v>1416</v>
      </c>
      <c r="EQ47" s="334" t="s">
        <v>2114</v>
      </c>
      <c r="ER47" s="334" t="s">
        <v>1475</v>
      </c>
      <c r="ES47" s="334" t="s">
        <v>385</v>
      </c>
      <c r="ET47" s="334">
        <v>2023.44</v>
      </c>
      <c r="EU47" s="334" t="s">
        <v>397</v>
      </c>
      <c r="EV47" s="334">
        <v>58971.636599999998</v>
      </c>
    </row>
    <row r="48" spans="4:152" ht="13">
      <c r="D48" s="115" t="s">
        <v>2153</v>
      </c>
      <c r="E48" s="115" t="s">
        <v>1641</v>
      </c>
      <c r="F48" s="115">
        <v>257.81150000000002</v>
      </c>
      <c r="I48" s="115" t="s">
        <v>1500</v>
      </c>
      <c r="J48" s="115" t="s">
        <v>1356</v>
      </c>
      <c r="K48" s="183" t="s">
        <v>1359</v>
      </c>
      <c r="AG48" s="115"/>
      <c r="AH48" s="115"/>
      <c r="AI48" s="115" t="s">
        <v>1416</v>
      </c>
      <c r="AJ48" t="s">
        <v>2114</v>
      </c>
      <c r="AK48" s="115">
        <v>0</v>
      </c>
      <c r="AL48" s="115" t="s">
        <v>28</v>
      </c>
      <c r="AM48" s="115" t="s">
        <v>1832</v>
      </c>
      <c r="AN48" s="115" t="s">
        <v>1442</v>
      </c>
      <c r="AO48" s="115" t="s">
        <v>1274</v>
      </c>
      <c r="AT48" s="115" t="s">
        <v>1415</v>
      </c>
      <c r="AU48" s="115" t="s">
        <v>2114</v>
      </c>
      <c r="AV48" s="115">
        <v>15</v>
      </c>
      <c r="AW48" s="115" t="s">
        <v>1679</v>
      </c>
      <c r="AX48" s="115" t="s">
        <v>28</v>
      </c>
      <c r="AY48" s="115" t="s">
        <v>1832</v>
      </c>
      <c r="AZ48" s="115" t="s">
        <v>1867</v>
      </c>
      <c r="BA48" s="115"/>
      <c r="BB48" s="115"/>
      <c r="BC48" s="115"/>
      <c r="BD48" s="115"/>
      <c r="BE48" s="115"/>
      <c r="BF48" s="115"/>
      <c r="BG48" s="115"/>
      <c r="BH48" s="115"/>
      <c r="BI48" s="115">
        <v>916</v>
      </c>
      <c r="BJ48" s="115"/>
      <c r="BK48" s="115"/>
      <c r="BL48" s="115">
        <v>960.00000000000011</v>
      </c>
      <c r="BM48" s="115"/>
      <c r="BN48" s="115"/>
      <c r="BO48" s="115"/>
      <c r="BP48" s="115"/>
      <c r="BQ48" s="115"/>
      <c r="BR48" s="182"/>
      <c r="CF48" s="115" t="s">
        <v>1415</v>
      </c>
      <c r="CG48" s="115">
        <v>15</v>
      </c>
      <c r="CH48" s="330">
        <v>575002.34000000008</v>
      </c>
      <c r="CI48" s="330">
        <v>575002.34000000008</v>
      </c>
      <c r="CJ48" s="330">
        <v>0</v>
      </c>
      <c r="CK48" s="330">
        <v>575002.34000000008</v>
      </c>
      <c r="CL48" s="184">
        <v>0</v>
      </c>
      <c r="CN48" s="184">
        <v>0</v>
      </c>
      <c r="CO48" s="184">
        <v>0</v>
      </c>
      <c r="CP48" s="330"/>
      <c r="CQ48" s="187">
        <v>0</v>
      </c>
      <c r="CR48" s="187">
        <v>1</v>
      </c>
      <c r="CS48" s="115" t="s">
        <v>1646</v>
      </c>
      <c r="CV48" s="115">
        <v>2024.48</v>
      </c>
      <c r="CW48" s="115" t="s">
        <v>1415</v>
      </c>
      <c r="CX48" s="115" t="s">
        <v>1274</v>
      </c>
      <c r="CY48" s="115" t="s">
        <v>2063</v>
      </c>
      <c r="CZ48" s="330">
        <v>1497.8679999999999</v>
      </c>
      <c r="DA48" s="115"/>
      <c r="DB48" s="115"/>
      <c r="DC48" s="115" t="s">
        <v>1416</v>
      </c>
      <c r="DD48" s="115" t="s">
        <v>2114</v>
      </c>
      <c r="DE48" s="115" t="s">
        <v>428</v>
      </c>
      <c r="DF48" s="115" t="s">
        <v>1267</v>
      </c>
      <c r="DG48" s="115">
        <v>10563.68</v>
      </c>
      <c r="DR48" s="214"/>
      <c r="DY48" s="115"/>
      <c r="DZ48" s="115" t="s">
        <v>1416</v>
      </c>
      <c r="EA48" s="115" t="s">
        <v>2114</v>
      </c>
      <c r="EB48" s="115">
        <v>0</v>
      </c>
      <c r="EC48" s="115" t="s">
        <v>99</v>
      </c>
      <c r="ED48" s="115" t="s">
        <v>1697</v>
      </c>
      <c r="EE48" s="187">
        <v>0.4</v>
      </c>
      <c r="EF48" s="330">
        <v>41.66</v>
      </c>
      <c r="EG48" s="330">
        <v>47.89</v>
      </c>
      <c r="EH48" s="115" t="s">
        <v>380</v>
      </c>
      <c r="EI48" s="115" t="s">
        <v>1816</v>
      </c>
      <c r="EJ48" s="115"/>
      <c r="EK48" s="115" t="s">
        <v>1827</v>
      </c>
      <c r="EL48" s="115" t="s">
        <v>380</v>
      </c>
      <c r="EM48"/>
      <c r="EO48" s="115"/>
      <c r="EP48" s="334" t="s">
        <v>1416</v>
      </c>
      <c r="EQ48" s="334" t="s">
        <v>2114</v>
      </c>
      <c r="ER48" s="334" t="s">
        <v>1475</v>
      </c>
      <c r="ES48" s="334" t="s">
        <v>385</v>
      </c>
      <c r="ET48" s="334">
        <v>2023.44</v>
      </c>
      <c r="EU48" s="334" t="s">
        <v>1382</v>
      </c>
      <c r="EV48" s="334">
        <v>58971.636599999998</v>
      </c>
    </row>
    <row r="49" spans="4:152" ht="13">
      <c r="D49" s="115" t="s">
        <v>2153</v>
      </c>
      <c r="E49" s="115" t="s">
        <v>380</v>
      </c>
      <c r="F49" s="115">
        <v>374.57650000000001</v>
      </c>
      <c r="I49" s="115" t="s">
        <v>1500</v>
      </c>
      <c r="J49" s="115" t="s">
        <v>1366</v>
      </c>
      <c r="K49" s="183">
        <v>3</v>
      </c>
      <c r="AG49" s="115"/>
      <c r="AH49" s="115"/>
      <c r="AI49" s="115" t="s">
        <v>1416</v>
      </c>
      <c r="AJ49" t="s">
        <v>2114</v>
      </c>
      <c r="AK49" s="115">
        <v>0</v>
      </c>
      <c r="AL49" s="115" t="s">
        <v>28</v>
      </c>
      <c r="AM49" s="115" t="s">
        <v>1846</v>
      </c>
      <c r="AN49" s="115" t="s">
        <v>1442</v>
      </c>
      <c r="AO49" s="115" t="s">
        <v>1274</v>
      </c>
      <c r="AT49" s="115" t="s">
        <v>1415</v>
      </c>
      <c r="AU49" s="115" t="s">
        <v>2114</v>
      </c>
      <c r="AV49" s="115">
        <v>15</v>
      </c>
      <c r="AW49" s="115" t="s">
        <v>1679</v>
      </c>
      <c r="AX49" s="115" t="s">
        <v>1842</v>
      </c>
      <c r="AY49" s="115" t="s">
        <v>1846</v>
      </c>
      <c r="AZ49" s="115" t="s">
        <v>1868</v>
      </c>
      <c r="BA49" s="115"/>
      <c r="BB49" s="115"/>
      <c r="BC49" s="115"/>
      <c r="BD49" s="115"/>
      <c r="BE49" s="115"/>
      <c r="BF49" s="115"/>
      <c r="BG49" s="115"/>
      <c r="BH49" s="115"/>
      <c r="BI49" s="115">
        <v>28876.520002499998</v>
      </c>
      <c r="BJ49" s="115"/>
      <c r="BK49" s="115"/>
      <c r="BL49" s="115">
        <v>33266.30229</v>
      </c>
      <c r="BM49" s="115"/>
      <c r="BN49" s="115"/>
      <c r="BO49" s="115"/>
      <c r="BP49" s="115"/>
      <c r="BQ49" s="115"/>
      <c r="BR49" s="182"/>
      <c r="CF49" s="115" t="s">
        <v>1415</v>
      </c>
      <c r="CG49" s="115">
        <v>15</v>
      </c>
      <c r="CH49" s="330">
        <v>148250.15</v>
      </c>
      <c r="CI49" s="330">
        <v>148250.15</v>
      </c>
      <c r="CJ49" s="330">
        <v>0</v>
      </c>
      <c r="CK49" s="330">
        <v>148250.15</v>
      </c>
      <c r="CL49" s="184">
        <v>0</v>
      </c>
      <c r="CN49" s="184">
        <v>0</v>
      </c>
      <c r="CO49" s="184">
        <v>0</v>
      </c>
      <c r="CP49" s="330"/>
      <c r="CQ49" s="187">
        <v>0</v>
      </c>
      <c r="CR49" s="187">
        <v>1</v>
      </c>
      <c r="CS49" s="115" t="s">
        <v>1647</v>
      </c>
      <c r="CV49" s="115">
        <v>2024.49</v>
      </c>
      <c r="CW49" s="115" t="s">
        <v>1415</v>
      </c>
      <c r="CX49" s="115" t="s">
        <v>1274</v>
      </c>
      <c r="CY49" s="115" t="s">
        <v>2063</v>
      </c>
      <c r="CZ49" s="330">
        <v>1797.4416000000001</v>
      </c>
      <c r="DA49" s="115"/>
      <c r="DB49" s="115"/>
      <c r="DC49" s="115" t="s">
        <v>1416</v>
      </c>
      <c r="DD49" s="115" t="s">
        <v>2114</v>
      </c>
      <c r="DE49" s="115" t="s">
        <v>428</v>
      </c>
      <c r="DF49" s="115" t="s">
        <v>1268</v>
      </c>
      <c r="DG49" s="115">
        <v>6012.84</v>
      </c>
      <c r="DR49" s="214"/>
      <c r="DY49" s="115"/>
      <c r="DZ49" s="115" t="s">
        <v>1415</v>
      </c>
      <c r="EA49" s="115" t="s">
        <v>2114</v>
      </c>
      <c r="EB49" s="115">
        <v>0</v>
      </c>
      <c r="EC49" s="115" t="s">
        <v>99</v>
      </c>
      <c r="ED49" s="115" t="s">
        <v>1697</v>
      </c>
      <c r="EE49" s="187">
        <v>0.4</v>
      </c>
      <c r="EF49" s="330">
        <v>44.967199999999998</v>
      </c>
      <c r="EG49" s="330">
        <v>52.567700000000002</v>
      </c>
      <c r="EH49" s="115" t="s">
        <v>380</v>
      </c>
      <c r="EI49" s="115" t="s">
        <v>1816</v>
      </c>
      <c r="EJ49" s="115"/>
      <c r="EK49" s="115" t="s">
        <v>1827</v>
      </c>
      <c r="EL49" s="115" t="s">
        <v>380</v>
      </c>
      <c r="EM49"/>
      <c r="EO49" s="115"/>
      <c r="EP49" s="334" t="s">
        <v>1416</v>
      </c>
      <c r="EQ49" s="334" t="s">
        <v>2114</v>
      </c>
      <c r="ER49" s="334" t="s">
        <v>1475</v>
      </c>
      <c r="ES49" s="334" t="s">
        <v>385</v>
      </c>
      <c r="ET49" s="334">
        <v>2024.44</v>
      </c>
      <c r="EU49" s="334" t="s">
        <v>397</v>
      </c>
      <c r="EV49" s="334">
        <v>58971.636599999998</v>
      </c>
    </row>
    <row r="50" spans="4:152" ht="13">
      <c r="D50" s="115" t="s">
        <v>2153</v>
      </c>
      <c r="E50" s="115" t="s">
        <v>386</v>
      </c>
      <c r="F50" s="115">
        <v>3193.6381999999999</v>
      </c>
      <c r="I50" s="115" t="s">
        <v>1500</v>
      </c>
      <c r="J50" s="115" t="s">
        <v>1357</v>
      </c>
      <c r="K50" s="183">
        <v>-126894.08058524196</v>
      </c>
      <c r="AG50" s="115"/>
      <c r="AH50" s="115"/>
      <c r="AI50" s="115" t="s">
        <v>1416</v>
      </c>
      <c r="AJ50" t="s">
        <v>2114</v>
      </c>
      <c r="AK50" s="115">
        <v>0</v>
      </c>
      <c r="AL50" s="115" t="s">
        <v>28</v>
      </c>
      <c r="AM50" s="115" t="s">
        <v>1848</v>
      </c>
      <c r="AN50" s="115" t="s">
        <v>1442</v>
      </c>
      <c r="AO50" s="115" t="s">
        <v>1274</v>
      </c>
      <c r="AT50" s="115" t="s">
        <v>1415</v>
      </c>
      <c r="AU50" s="115" t="s">
        <v>2114</v>
      </c>
      <c r="AV50" s="115">
        <v>15</v>
      </c>
      <c r="AW50" s="115" t="s">
        <v>1679</v>
      </c>
      <c r="AX50" s="115" t="s">
        <v>1842</v>
      </c>
      <c r="AY50" s="115" t="s">
        <v>1848</v>
      </c>
      <c r="AZ50" s="115" t="s">
        <v>1868</v>
      </c>
      <c r="BA50" s="115"/>
      <c r="BB50" s="115"/>
      <c r="BC50" s="115"/>
      <c r="BD50" s="115"/>
      <c r="BE50" s="115"/>
      <c r="BF50" s="115"/>
      <c r="BG50" s="115"/>
      <c r="BH50" s="115"/>
      <c r="BI50" s="115">
        <v>12729.214260999999</v>
      </c>
      <c r="BJ50" s="115"/>
      <c r="BK50" s="115"/>
      <c r="BL50" s="115">
        <v>5082.7505299999993</v>
      </c>
      <c r="BM50" s="115"/>
      <c r="BN50" s="115"/>
      <c r="BO50" s="115"/>
      <c r="BP50" s="115"/>
      <c r="BQ50" s="115"/>
      <c r="BR50" s="182"/>
      <c r="CF50" s="115" t="s">
        <v>1415</v>
      </c>
      <c r="CG50" s="115">
        <v>15</v>
      </c>
      <c r="CH50" s="330">
        <v>112842.694944</v>
      </c>
      <c r="CI50" s="330">
        <v>111972.85958762887</v>
      </c>
      <c r="CJ50" s="330">
        <v>112842.694944</v>
      </c>
      <c r="CK50" s="330">
        <v>0</v>
      </c>
      <c r="CL50" s="184">
        <v>2811.06</v>
      </c>
      <c r="CM50" s="184">
        <v>2898</v>
      </c>
      <c r="CN50" s="184">
        <v>2811.06</v>
      </c>
      <c r="CO50" s="184">
        <v>0</v>
      </c>
      <c r="CP50" s="330">
        <v>38.637977773508929</v>
      </c>
      <c r="CQ50" s="187">
        <v>1</v>
      </c>
      <c r="CR50" s="187">
        <v>1.0077682695572401</v>
      </c>
      <c r="CS50" s="115" t="s">
        <v>1642</v>
      </c>
      <c r="CV50" s="115">
        <v>2024.49</v>
      </c>
      <c r="CW50" s="115" t="s">
        <v>1415</v>
      </c>
      <c r="CX50" s="115" t="s">
        <v>377</v>
      </c>
      <c r="CY50" s="115" t="s">
        <v>2063</v>
      </c>
      <c r="CZ50" s="330">
        <v>4097.2536</v>
      </c>
      <c r="DA50" s="115"/>
      <c r="DB50" s="115"/>
      <c r="DC50" s="115" t="s">
        <v>1415</v>
      </c>
      <c r="DD50" s="115" t="s">
        <v>2114</v>
      </c>
      <c r="DE50" s="115" t="s">
        <v>1412</v>
      </c>
      <c r="DF50" s="115" t="s">
        <v>1267</v>
      </c>
      <c r="DG50" s="115">
        <v>13613.880000000001</v>
      </c>
      <c r="DR50" s="214"/>
      <c r="DY50" s="115"/>
      <c r="DZ50" s="115" t="s">
        <v>1415</v>
      </c>
      <c r="EA50" s="115" t="s">
        <v>2114</v>
      </c>
      <c r="EB50" s="115">
        <v>16</v>
      </c>
      <c r="EC50" s="115" t="s">
        <v>99</v>
      </c>
      <c r="ED50" s="115" t="s">
        <v>1697</v>
      </c>
      <c r="EE50" s="187">
        <v>0.4</v>
      </c>
      <c r="EF50" s="330">
        <v>44.967199999999998</v>
      </c>
      <c r="EG50" s="330">
        <v>52.567700000000002</v>
      </c>
      <c r="EH50" s="115" t="s">
        <v>380</v>
      </c>
      <c r="EI50" s="115" t="s">
        <v>1816</v>
      </c>
      <c r="EJ50" s="115"/>
      <c r="EK50" s="115" t="s">
        <v>1827</v>
      </c>
      <c r="EL50" s="115" t="s">
        <v>380</v>
      </c>
      <c r="EM50"/>
      <c r="EO50" s="115"/>
      <c r="EP50" s="334" t="s">
        <v>1416</v>
      </c>
      <c r="EQ50" s="334" t="s">
        <v>2114</v>
      </c>
      <c r="ER50" s="334" t="s">
        <v>1475</v>
      </c>
      <c r="ES50" s="334" t="s">
        <v>385</v>
      </c>
      <c r="ET50" s="334">
        <v>2024.44</v>
      </c>
      <c r="EU50" s="334" t="s">
        <v>1382</v>
      </c>
      <c r="EV50" s="334">
        <v>23483.86</v>
      </c>
    </row>
    <row r="51" spans="4:152" ht="13">
      <c r="D51" s="115" t="s">
        <v>2153</v>
      </c>
      <c r="E51" s="115" t="s">
        <v>1645</v>
      </c>
      <c r="F51" s="115">
        <v>223.85429999999999</v>
      </c>
      <c r="I51" s="115" t="s">
        <v>1502</v>
      </c>
      <c r="J51" s="115" t="s">
        <v>1363</v>
      </c>
      <c r="K51" s="183">
        <v>125</v>
      </c>
      <c r="AG51" s="115"/>
      <c r="AH51" s="115"/>
      <c r="AI51" s="115" t="s">
        <v>1416</v>
      </c>
      <c r="AJ51" t="s">
        <v>2114</v>
      </c>
      <c r="AK51" s="115">
        <v>0</v>
      </c>
      <c r="AL51" s="115" t="s">
        <v>28</v>
      </c>
      <c r="AM51" s="115" t="s">
        <v>1849</v>
      </c>
      <c r="AN51" s="115" t="s">
        <v>1442</v>
      </c>
      <c r="AO51" s="115" t="s">
        <v>381</v>
      </c>
      <c r="AT51" s="115" t="s">
        <v>1415</v>
      </c>
      <c r="AU51" s="115" t="s">
        <v>2114</v>
      </c>
      <c r="AV51" s="115">
        <v>15</v>
      </c>
      <c r="AW51" s="115" t="s">
        <v>1679</v>
      </c>
      <c r="AX51" s="115" t="s">
        <v>1842</v>
      </c>
      <c r="AY51" s="115" t="s">
        <v>1843</v>
      </c>
      <c r="AZ51" s="115" t="s">
        <v>1868</v>
      </c>
      <c r="BA51" s="115"/>
      <c r="BB51" s="115"/>
      <c r="BC51" s="115"/>
      <c r="BD51" s="115"/>
      <c r="BE51" s="115"/>
      <c r="BF51" s="115"/>
      <c r="BG51" s="115"/>
      <c r="BH51" s="115"/>
      <c r="BI51" s="115">
        <v>41619.614226804129</v>
      </c>
      <c r="BJ51" s="115"/>
      <c r="BK51" s="115"/>
      <c r="BL51" s="115">
        <v>50263.379175257731</v>
      </c>
      <c r="BM51" s="115"/>
      <c r="BN51" s="115"/>
      <c r="BO51" s="115"/>
      <c r="BP51" s="115"/>
      <c r="BQ51" s="115"/>
      <c r="BR51" s="182"/>
      <c r="CF51" s="115" t="s">
        <v>1415</v>
      </c>
      <c r="CG51" s="115">
        <v>15</v>
      </c>
      <c r="CH51" s="330">
        <v>445906.64848598751</v>
      </c>
      <c r="CI51" s="330">
        <v>441933.36123711342</v>
      </c>
      <c r="CJ51" s="330">
        <v>381255.75228221249</v>
      </c>
      <c r="CK51" s="330">
        <v>64650.896203775003</v>
      </c>
      <c r="CL51" s="184">
        <v>11447.6005</v>
      </c>
      <c r="CM51" s="184">
        <v>11801.65</v>
      </c>
      <c r="CN51" s="184">
        <v>8585.7003750000003</v>
      </c>
      <c r="CO51" s="184">
        <v>2861.9001250000001</v>
      </c>
      <c r="CP51" s="330">
        <v>37.446743568663145</v>
      </c>
      <c r="CQ51" s="187">
        <v>0.75</v>
      </c>
      <c r="CR51" s="187">
        <v>1.00899069316186</v>
      </c>
      <c r="CS51" s="115" t="s">
        <v>1274</v>
      </c>
      <c r="CV51" s="115">
        <v>2024.5</v>
      </c>
      <c r="CW51" s="115" t="s">
        <v>1415</v>
      </c>
      <c r="CX51" s="115" t="s">
        <v>1274</v>
      </c>
      <c r="CY51" s="115" t="s">
        <v>2063</v>
      </c>
      <c r="CZ51" s="330">
        <v>1497.8679999999999</v>
      </c>
      <c r="DA51" s="115"/>
      <c r="DB51" s="115"/>
      <c r="DC51" s="115" t="s">
        <v>1416</v>
      </c>
      <c r="DD51" s="115" t="s">
        <v>2114</v>
      </c>
      <c r="DE51" s="115" t="s">
        <v>430</v>
      </c>
      <c r="DF51" s="115" t="s">
        <v>1267</v>
      </c>
      <c r="DG51" s="115">
        <v>36.619999999999997</v>
      </c>
      <c r="DR51" s="214"/>
      <c r="DY51" s="115"/>
      <c r="DZ51" s="115" t="s">
        <v>1415</v>
      </c>
      <c r="EA51" s="115" t="s">
        <v>2114</v>
      </c>
      <c r="EB51" s="115">
        <v>15</v>
      </c>
      <c r="EC51" s="115" t="s">
        <v>101</v>
      </c>
      <c r="ED51" s="115" t="s">
        <v>1697</v>
      </c>
      <c r="EE51" s="187">
        <v>1</v>
      </c>
      <c r="EF51" s="330">
        <v>38.404499999999999</v>
      </c>
      <c r="EG51" s="330">
        <v>73.994299999999996</v>
      </c>
      <c r="EH51" s="115" t="s">
        <v>384</v>
      </c>
      <c r="EI51" s="115" t="s">
        <v>1816</v>
      </c>
      <c r="EJ51" s="115"/>
      <c r="EK51" s="115" t="s">
        <v>315</v>
      </c>
      <c r="EL51" s="115" t="s">
        <v>384</v>
      </c>
      <c r="EM51"/>
      <c r="EO51" s="115"/>
      <c r="EP51" s="334" t="s">
        <v>1416</v>
      </c>
      <c r="EQ51" s="334" t="s">
        <v>2114</v>
      </c>
      <c r="ER51" s="334" t="s">
        <v>1475</v>
      </c>
      <c r="ES51" s="334" t="s">
        <v>2164</v>
      </c>
      <c r="ET51" s="334">
        <v>2024.44</v>
      </c>
      <c r="EU51" s="334" t="s">
        <v>397</v>
      </c>
      <c r="EV51" s="334">
        <v>0</v>
      </c>
    </row>
    <row r="52" spans="4:152" ht="13">
      <c r="D52" s="115" t="s">
        <v>2154</v>
      </c>
      <c r="E52" s="115" t="s">
        <v>1643</v>
      </c>
      <c r="F52" s="115">
        <v>1024.3134</v>
      </c>
      <c r="I52" s="115" t="s">
        <v>1502</v>
      </c>
      <c r="J52" s="115" t="s">
        <v>1353</v>
      </c>
      <c r="K52" s="183" t="s">
        <v>1573</v>
      </c>
      <c r="AG52" s="115"/>
      <c r="AH52" s="115"/>
      <c r="AI52" s="115" t="s">
        <v>1416</v>
      </c>
      <c r="AJ52" t="s">
        <v>2114</v>
      </c>
      <c r="AK52" s="115">
        <v>0</v>
      </c>
      <c r="AL52" s="115" t="s">
        <v>28</v>
      </c>
      <c r="AM52" s="115" t="s">
        <v>1846</v>
      </c>
      <c r="AN52" s="115" t="s">
        <v>1442</v>
      </c>
      <c r="AO52" s="115" t="s">
        <v>381</v>
      </c>
      <c r="AT52" s="115" t="s">
        <v>1415</v>
      </c>
      <c r="AU52" s="115" t="s">
        <v>2114</v>
      </c>
      <c r="AV52" s="115">
        <v>15</v>
      </c>
      <c r="AW52" s="115" t="s">
        <v>1679</v>
      </c>
      <c r="AX52" s="115" t="s">
        <v>1842</v>
      </c>
      <c r="AY52" s="115" t="s">
        <v>1849</v>
      </c>
      <c r="AZ52" s="115" t="s">
        <v>1868</v>
      </c>
      <c r="BA52" s="115"/>
      <c r="BB52" s="115"/>
      <c r="BC52" s="115"/>
      <c r="BD52" s="115"/>
      <c r="BE52" s="115"/>
      <c r="BF52" s="115"/>
      <c r="BG52" s="115"/>
      <c r="BH52" s="115"/>
      <c r="BI52" s="115">
        <v>999.9487499999999</v>
      </c>
      <c r="BJ52" s="115"/>
      <c r="BK52" s="115"/>
      <c r="BL52" s="115">
        <v>1134.8999999999999</v>
      </c>
      <c r="BM52" s="115"/>
      <c r="BN52" s="115"/>
      <c r="BO52" s="115"/>
      <c r="BP52" s="115"/>
      <c r="BQ52" s="115"/>
      <c r="BR52" s="182"/>
      <c r="CF52" s="115" t="s">
        <v>1415</v>
      </c>
      <c r="CG52" s="115">
        <v>15</v>
      </c>
      <c r="CH52" s="330">
        <v>95906.078121419996</v>
      </c>
      <c r="CI52" s="330">
        <v>94753.2475257732</v>
      </c>
      <c r="CJ52" s="330">
        <v>46074.681981135</v>
      </c>
      <c r="CK52" s="330">
        <v>49831.396140285004</v>
      </c>
      <c r="CL52" s="184">
        <v>1895.8941</v>
      </c>
      <c r="CM52" s="184">
        <v>1954.53</v>
      </c>
      <c r="CN52" s="184">
        <v>947.94704999999999</v>
      </c>
      <c r="CO52" s="184">
        <v>947.94704999999999</v>
      </c>
      <c r="CP52" s="330">
        <v>48.478789031518168</v>
      </c>
      <c r="CQ52" s="187">
        <v>0.5</v>
      </c>
      <c r="CR52" s="187">
        <v>1.01216666051824</v>
      </c>
      <c r="CS52" s="115" t="s">
        <v>360</v>
      </c>
      <c r="CV52" s="115">
        <v>2024.51</v>
      </c>
      <c r="CW52" s="115" t="s">
        <v>1415</v>
      </c>
      <c r="CX52" s="115" t="s">
        <v>1274</v>
      </c>
      <c r="CY52" s="115" t="s">
        <v>2063</v>
      </c>
      <c r="CZ52" s="330">
        <v>1497.8679999999999</v>
      </c>
      <c r="DA52" s="115"/>
      <c r="DB52" s="115"/>
      <c r="DC52" s="115" t="s">
        <v>1416</v>
      </c>
      <c r="DD52" s="115" t="s">
        <v>2114</v>
      </c>
      <c r="DE52" s="115" t="s">
        <v>430</v>
      </c>
      <c r="DF52" s="115" t="s">
        <v>1269</v>
      </c>
      <c r="DG52" s="115">
        <v>23163.759999999998</v>
      </c>
      <c r="DR52" s="214"/>
      <c r="DY52" s="115"/>
      <c r="DZ52" s="115" t="s">
        <v>1416</v>
      </c>
      <c r="EA52" s="115" t="s">
        <v>2114</v>
      </c>
      <c r="EB52" s="115">
        <v>0</v>
      </c>
      <c r="EC52" s="115" t="s">
        <v>101</v>
      </c>
      <c r="ED52" s="115" t="s">
        <v>1697</v>
      </c>
      <c r="EE52" s="187">
        <v>1</v>
      </c>
      <c r="EF52" s="330">
        <v>35.58</v>
      </c>
      <c r="EG52" s="330">
        <v>67.41</v>
      </c>
      <c r="EH52" s="115" t="s">
        <v>384</v>
      </c>
      <c r="EI52" s="115" t="s">
        <v>1816</v>
      </c>
      <c r="EJ52" s="115"/>
      <c r="EK52" s="115" t="s">
        <v>315</v>
      </c>
      <c r="EL52" s="115" t="s">
        <v>384</v>
      </c>
      <c r="EM52"/>
      <c r="EO52" s="115"/>
      <c r="EP52" s="334" t="s">
        <v>1416</v>
      </c>
      <c r="EQ52" s="334" t="s">
        <v>2114</v>
      </c>
      <c r="ER52" s="334" t="s">
        <v>1475</v>
      </c>
      <c r="ES52" s="334" t="s">
        <v>2164</v>
      </c>
      <c r="ET52" s="334">
        <v>2024.44</v>
      </c>
      <c r="EU52" s="334" t="s">
        <v>1382</v>
      </c>
      <c r="EV52" s="334">
        <v>269.70999999999998</v>
      </c>
    </row>
    <row r="53" spans="4:152" ht="13">
      <c r="D53" s="115" t="s">
        <v>2154</v>
      </c>
      <c r="E53" s="115" t="s">
        <v>1642</v>
      </c>
      <c r="F53" s="115">
        <v>2654.6253999999999</v>
      </c>
      <c r="I53" s="115" t="s">
        <v>1502</v>
      </c>
      <c r="J53" s="115" t="s">
        <v>1369</v>
      </c>
      <c r="K53" s="183">
        <v>13</v>
      </c>
      <c r="AG53" s="115"/>
      <c r="AH53" s="115"/>
      <c r="AI53" s="115" t="s">
        <v>1416</v>
      </c>
      <c r="AJ53" t="s">
        <v>2114</v>
      </c>
      <c r="AK53" s="115">
        <v>0</v>
      </c>
      <c r="AL53" s="115" t="s">
        <v>28</v>
      </c>
      <c r="AM53" s="115" t="s">
        <v>1850</v>
      </c>
      <c r="AN53" s="115" t="s">
        <v>1442</v>
      </c>
      <c r="AO53" s="115" t="s">
        <v>381</v>
      </c>
      <c r="AT53" s="115" t="s">
        <v>1415</v>
      </c>
      <c r="AU53" s="115" t="s">
        <v>2114</v>
      </c>
      <c r="AV53" s="115">
        <v>15</v>
      </c>
      <c r="AW53" s="115" t="s">
        <v>1679</v>
      </c>
      <c r="AX53" s="115" t="s">
        <v>1842</v>
      </c>
      <c r="AY53" s="115" t="s">
        <v>1850</v>
      </c>
      <c r="AZ53" s="115" t="s">
        <v>1868</v>
      </c>
      <c r="BA53" s="115"/>
      <c r="BB53" s="115"/>
      <c r="BC53" s="115"/>
      <c r="BD53" s="115"/>
      <c r="BE53" s="115"/>
      <c r="BF53" s="115"/>
      <c r="BG53" s="115"/>
      <c r="BH53" s="115"/>
      <c r="BI53" s="115">
        <v>333.31624999999997</v>
      </c>
      <c r="BJ53" s="115"/>
      <c r="BK53" s="115"/>
      <c r="BL53" s="115">
        <v>126.1</v>
      </c>
      <c r="BM53" s="115"/>
      <c r="BN53" s="115"/>
      <c r="BO53" s="115"/>
      <c r="BP53" s="115"/>
      <c r="BQ53" s="115"/>
      <c r="BR53" s="182"/>
      <c r="CF53" s="115" t="s">
        <v>1415</v>
      </c>
      <c r="CG53" s="115">
        <v>15</v>
      </c>
      <c r="CH53" s="330">
        <v>23604.266095437499</v>
      </c>
      <c r="CI53" s="330">
        <v>23422.366494845362</v>
      </c>
      <c r="CJ53" s="330">
        <v>23604.266095437499</v>
      </c>
      <c r="CK53" s="330">
        <v>0</v>
      </c>
      <c r="CL53" s="184">
        <v>507.85562499999997</v>
      </c>
      <c r="CM53" s="184">
        <v>523.5625</v>
      </c>
      <c r="CN53" s="184">
        <v>507.85562499999997</v>
      </c>
      <c r="CO53" s="184">
        <v>0</v>
      </c>
      <c r="CP53" s="330">
        <v>44.736524282860906</v>
      </c>
      <c r="CQ53" s="187">
        <v>1</v>
      </c>
      <c r="CR53" s="187">
        <v>1.00776606414353</v>
      </c>
      <c r="CS53" s="115" t="s">
        <v>1644</v>
      </c>
      <c r="CV53" s="115">
        <v>2025.02</v>
      </c>
      <c r="CW53" s="115" t="s">
        <v>1415</v>
      </c>
      <c r="CX53" s="115" t="s">
        <v>1274</v>
      </c>
      <c r="CY53" s="115" t="s">
        <v>2063</v>
      </c>
      <c r="CZ53" s="330">
        <v>1497.8679999999999</v>
      </c>
      <c r="DA53" s="115"/>
      <c r="DB53" s="115"/>
      <c r="DC53" s="115" t="s">
        <v>1416</v>
      </c>
      <c r="DD53" s="115" t="s">
        <v>2114</v>
      </c>
      <c r="DE53" s="115" t="s">
        <v>360</v>
      </c>
      <c r="DF53" s="115" t="s">
        <v>1270</v>
      </c>
      <c r="DG53" s="115">
        <v>4152.1899999999996</v>
      </c>
      <c r="DR53" s="214"/>
      <c r="DY53" s="115"/>
      <c r="DZ53" s="115" t="s">
        <v>1415</v>
      </c>
      <c r="EA53" s="115" t="s">
        <v>2114</v>
      </c>
      <c r="EB53" s="115">
        <v>0</v>
      </c>
      <c r="EC53" s="115" t="s">
        <v>101</v>
      </c>
      <c r="ED53" s="115" t="s">
        <v>1697</v>
      </c>
      <c r="EE53" s="187">
        <v>1</v>
      </c>
      <c r="EF53" s="330">
        <v>38.404499999999999</v>
      </c>
      <c r="EG53" s="330">
        <v>73.994299999999996</v>
      </c>
      <c r="EH53" s="115" t="s">
        <v>384</v>
      </c>
      <c r="EI53" s="115" t="s">
        <v>1816</v>
      </c>
      <c r="EJ53" s="115"/>
      <c r="EK53" s="115" t="s">
        <v>315</v>
      </c>
      <c r="EL53" s="115" t="s">
        <v>384</v>
      </c>
      <c r="EM53"/>
      <c r="EO53" s="115"/>
      <c r="EP53" s="334" t="s">
        <v>1416</v>
      </c>
      <c r="EQ53" s="334" t="s">
        <v>2114</v>
      </c>
      <c r="ER53" s="334" t="s">
        <v>1475</v>
      </c>
      <c r="ES53" s="334" t="s">
        <v>380</v>
      </c>
      <c r="ET53" s="334">
        <v>2024.44</v>
      </c>
      <c r="EU53" s="334" t="s">
        <v>397</v>
      </c>
      <c r="EV53" s="334">
        <v>0</v>
      </c>
    </row>
    <row r="54" spans="4:152" ht="13">
      <c r="D54" s="115" t="s">
        <v>2154</v>
      </c>
      <c r="E54" s="115" t="s">
        <v>1274</v>
      </c>
      <c r="F54" s="115">
        <v>8438.0954000000002</v>
      </c>
      <c r="I54" s="115" t="s">
        <v>1502</v>
      </c>
      <c r="J54" s="115" t="s">
        <v>1355</v>
      </c>
      <c r="K54" s="183">
        <v>4</v>
      </c>
      <c r="AG54" s="115"/>
      <c r="AH54" s="115"/>
      <c r="AI54" s="115" t="s">
        <v>1416</v>
      </c>
      <c r="AJ54" t="s">
        <v>2114</v>
      </c>
      <c r="AK54" s="115">
        <v>0</v>
      </c>
      <c r="AL54" s="115" t="s">
        <v>28</v>
      </c>
      <c r="AM54" s="115" t="s">
        <v>1832</v>
      </c>
      <c r="AN54" s="115" t="s">
        <v>1442</v>
      </c>
      <c r="AO54" s="115" t="s">
        <v>381</v>
      </c>
      <c r="AT54" s="115" t="s">
        <v>1415</v>
      </c>
      <c r="AU54" s="115" t="s">
        <v>2114</v>
      </c>
      <c r="AV54" s="115">
        <v>15</v>
      </c>
      <c r="AW54" s="115" t="s">
        <v>1679</v>
      </c>
      <c r="AX54" s="115" t="s">
        <v>1842</v>
      </c>
      <c r="AY54" s="115" t="s">
        <v>1832</v>
      </c>
      <c r="AZ54" s="115" t="s">
        <v>1868</v>
      </c>
      <c r="BA54" s="115"/>
      <c r="BB54" s="115"/>
      <c r="BC54" s="115"/>
      <c r="BD54" s="115"/>
      <c r="BE54" s="115"/>
      <c r="BF54" s="115"/>
      <c r="BG54" s="115"/>
      <c r="BH54" s="115"/>
      <c r="BI54" s="115">
        <v>1374.5</v>
      </c>
      <c r="BJ54" s="115"/>
      <c r="BK54" s="115"/>
      <c r="BL54" s="115">
        <v>1300</v>
      </c>
      <c r="BM54" s="115"/>
      <c r="BN54" s="115"/>
      <c r="BO54" s="115"/>
      <c r="BP54" s="115"/>
      <c r="BQ54" s="115"/>
      <c r="BR54" s="182"/>
      <c r="CF54" s="115" t="s">
        <v>1415</v>
      </c>
      <c r="CG54" s="115">
        <v>15</v>
      </c>
      <c r="CH54" s="330">
        <v>997788.96910496918</v>
      </c>
      <c r="CI54" s="330">
        <v>947815.34927319584</v>
      </c>
      <c r="CJ54" s="330">
        <v>61583.542980769882</v>
      </c>
      <c r="CK54" s="330">
        <v>936205.42612419929</v>
      </c>
      <c r="CL54" s="184">
        <v>14146.85951832</v>
      </c>
      <c r="CM54" s="184">
        <v>14584.391256000001</v>
      </c>
      <c r="CN54" s="184">
        <v>1414.685951832</v>
      </c>
      <c r="CO54" s="184">
        <v>12732.173566488</v>
      </c>
      <c r="CP54" s="330">
        <v>64.98833805512902</v>
      </c>
      <c r="CQ54" s="187">
        <v>0.1</v>
      </c>
      <c r="CR54" s="187">
        <v>1.05272505859933</v>
      </c>
      <c r="CS54" s="115" t="s">
        <v>379</v>
      </c>
      <c r="CV54" s="115">
        <v>2025.02</v>
      </c>
      <c r="CW54" s="115" t="s">
        <v>1415</v>
      </c>
      <c r="CX54" s="115" t="s">
        <v>377</v>
      </c>
      <c r="CY54" s="115" t="s">
        <v>2063</v>
      </c>
      <c r="CZ54" s="330">
        <v>1862.3879999999999</v>
      </c>
      <c r="DA54" s="115"/>
      <c r="DB54" s="115"/>
      <c r="DC54" s="115" t="s">
        <v>1416</v>
      </c>
      <c r="DD54" s="115" t="s">
        <v>2114</v>
      </c>
      <c r="DE54" s="115" t="s">
        <v>360</v>
      </c>
      <c r="DF54" s="115" t="s">
        <v>1290</v>
      </c>
      <c r="DG54" s="115">
        <v>31766</v>
      </c>
      <c r="DR54" s="214"/>
      <c r="DY54" s="115"/>
      <c r="DZ54" s="115" t="s">
        <v>1415</v>
      </c>
      <c r="EA54" s="115" t="s">
        <v>2114</v>
      </c>
      <c r="EB54" s="115">
        <v>16</v>
      </c>
      <c r="EC54" s="115" t="s">
        <v>101</v>
      </c>
      <c r="ED54" s="115" t="s">
        <v>1697</v>
      </c>
      <c r="EE54" s="187">
        <v>1</v>
      </c>
      <c r="EF54" s="330">
        <v>38.404499999999999</v>
      </c>
      <c r="EG54" s="330">
        <v>73.994299999999996</v>
      </c>
      <c r="EH54" s="115" t="s">
        <v>384</v>
      </c>
      <c r="EI54" s="115" t="s">
        <v>1816</v>
      </c>
      <c r="EJ54" s="115"/>
      <c r="EK54" s="115" t="s">
        <v>315</v>
      </c>
      <c r="EL54" s="115" t="s">
        <v>384</v>
      </c>
      <c r="EM54"/>
      <c r="EO54" s="115"/>
      <c r="EP54" s="334" t="s">
        <v>1416</v>
      </c>
      <c r="EQ54" s="334" t="s">
        <v>2114</v>
      </c>
      <c r="ER54" s="334" t="s">
        <v>1475</v>
      </c>
      <c r="ES54" s="334" t="s">
        <v>380</v>
      </c>
      <c r="ET54" s="334">
        <v>2024.44</v>
      </c>
      <c r="EU54" s="334" t="s">
        <v>1382</v>
      </c>
      <c r="EV54" s="334">
        <v>403.75</v>
      </c>
    </row>
    <row r="55" spans="4:152" ht="13">
      <c r="D55" s="115" t="s">
        <v>2154</v>
      </c>
      <c r="E55" s="115" t="s">
        <v>379</v>
      </c>
      <c r="F55" s="115">
        <v>11116.358</v>
      </c>
      <c r="I55" s="115" t="s">
        <v>1502</v>
      </c>
      <c r="J55" s="115" t="s">
        <v>1361</v>
      </c>
      <c r="K55" s="183">
        <v>69.23</v>
      </c>
      <c r="AG55" s="115"/>
      <c r="AH55" s="115"/>
      <c r="AI55" s="115" t="s">
        <v>1416</v>
      </c>
      <c r="AJ55" t="s">
        <v>2114</v>
      </c>
      <c r="AK55" s="115">
        <v>0</v>
      </c>
      <c r="AL55" s="115" t="s">
        <v>28</v>
      </c>
      <c r="AM55" s="115" t="s">
        <v>1843</v>
      </c>
      <c r="AN55" s="115" t="s">
        <v>1442</v>
      </c>
      <c r="AO55" s="115" t="s">
        <v>381</v>
      </c>
      <c r="AT55" s="115" t="s">
        <v>1415</v>
      </c>
      <c r="AU55" s="115" t="s">
        <v>2114</v>
      </c>
      <c r="AV55" s="115">
        <v>15</v>
      </c>
      <c r="AW55" s="115" t="s">
        <v>1681</v>
      </c>
      <c r="AX55" s="115" t="s">
        <v>1842</v>
      </c>
      <c r="AY55" s="115" t="s">
        <v>1846</v>
      </c>
      <c r="AZ55" s="115" t="s">
        <v>1869</v>
      </c>
      <c r="BA55" s="115"/>
      <c r="BB55" s="115"/>
      <c r="BC55" s="115"/>
      <c r="BD55" s="115"/>
      <c r="BE55" s="115">
        <v>35402.384879999998</v>
      </c>
      <c r="BF55" s="115"/>
      <c r="BG55" s="115">
        <v>118061.58715919999</v>
      </c>
      <c r="BH55" s="115"/>
      <c r="BI55" s="115">
        <v>36895.040280000001</v>
      </c>
      <c r="BJ55" s="115"/>
      <c r="BK55" s="115"/>
      <c r="BL55" s="115"/>
      <c r="BM55" s="115"/>
      <c r="BN55" s="115"/>
      <c r="BO55" s="115"/>
      <c r="BP55" s="115"/>
      <c r="BQ55" s="115"/>
      <c r="BR55" s="182"/>
      <c r="CF55" s="115" t="s">
        <v>1415</v>
      </c>
      <c r="CG55" s="115">
        <v>16</v>
      </c>
      <c r="CH55" s="330">
        <v>4718.5719961249997</v>
      </c>
      <c r="CI55" s="330">
        <v>4675.7020618556699</v>
      </c>
      <c r="CJ55" s="330">
        <v>3935.1570833249998</v>
      </c>
      <c r="CK55" s="330">
        <v>783.41491279999991</v>
      </c>
      <c r="CL55" s="184">
        <v>97.727500000000006</v>
      </c>
      <c r="CM55" s="184">
        <v>100.75000000000001</v>
      </c>
      <c r="CN55" s="184">
        <v>87.954750000000004</v>
      </c>
      <c r="CO55" s="184">
        <v>9.7727499999999985</v>
      </c>
      <c r="CP55" s="330">
        <v>46.408953467550063</v>
      </c>
      <c r="CQ55" s="187">
        <v>0.9</v>
      </c>
      <c r="CR55" s="187">
        <v>1.0091686625242999</v>
      </c>
      <c r="CS55" s="115" t="s">
        <v>373</v>
      </c>
      <c r="CV55" s="115">
        <v>2025.04</v>
      </c>
      <c r="CW55" s="115" t="s">
        <v>1415</v>
      </c>
      <c r="CX55" s="115" t="s">
        <v>1274</v>
      </c>
      <c r="CY55" s="115" t="s">
        <v>2063</v>
      </c>
      <c r="CZ55" s="330">
        <v>1497.8679999999999</v>
      </c>
      <c r="DA55" s="115"/>
      <c r="DB55" s="115"/>
      <c r="DC55" s="115" t="s">
        <v>1416</v>
      </c>
      <c r="DD55" s="115" t="s">
        <v>2114</v>
      </c>
      <c r="DE55" s="115" t="s">
        <v>288</v>
      </c>
      <c r="DF55" s="115" t="s">
        <v>1241</v>
      </c>
      <c r="DG55" s="115">
        <v>5939</v>
      </c>
      <c r="DR55" s="214"/>
      <c r="DY55" s="115"/>
      <c r="DZ55" s="115" t="s">
        <v>1415</v>
      </c>
      <c r="EA55" s="115" t="s">
        <v>2114</v>
      </c>
      <c r="EB55" s="115">
        <v>15</v>
      </c>
      <c r="EC55" s="115" t="s">
        <v>103</v>
      </c>
      <c r="ED55" s="115" t="s">
        <v>1697</v>
      </c>
      <c r="EE55" s="187">
        <v>0.25</v>
      </c>
      <c r="EF55" s="330">
        <v>38.189599999999999</v>
      </c>
      <c r="EG55" s="330">
        <v>28.878</v>
      </c>
      <c r="EH55" s="115" t="s">
        <v>380</v>
      </c>
      <c r="EI55" s="115" t="s">
        <v>1811</v>
      </c>
      <c r="EJ55" s="115"/>
      <c r="EK55" s="115" t="s">
        <v>1827</v>
      </c>
      <c r="EL55" s="115" t="s">
        <v>380</v>
      </c>
      <c r="EM55"/>
      <c r="EO55" s="115"/>
      <c r="EP55" s="334" t="s">
        <v>1416</v>
      </c>
      <c r="EQ55" s="334" t="s">
        <v>2114</v>
      </c>
      <c r="ER55" s="334" t="s">
        <v>368</v>
      </c>
      <c r="ES55" s="334" t="s">
        <v>379</v>
      </c>
      <c r="ET55" s="334">
        <v>2024.44</v>
      </c>
      <c r="EU55" s="334" t="s">
        <v>397</v>
      </c>
      <c r="EV55" s="334">
        <v>0</v>
      </c>
    </row>
    <row r="56" spans="4:152" ht="13">
      <c r="D56" s="115" t="s">
        <v>2154</v>
      </c>
      <c r="E56" s="115" t="s">
        <v>1641</v>
      </c>
      <c r="F56" s="115">
        <v>1289.0574999999999</v>
      </c>
      <c r="I56" s="115" t="s">
        <v>1502</v>
      </c>
      <c r="J56" s="115" t="s">
        <v>1364</v>
      </c>
      <c r="K56" s="183">
        <v>300</v>
      </c>
      <c r="AG56" s="115"/>
      <c r="AH56" s="115"/>
      <c r="AI56" s="115" t="s">
        <v>1416</v>
      </c>
      <c r="AJ56" t="s">
        <v>2114</v>
      </c>
      <c r="AK56" s="115">
        <v>0</v>
      </c>
      <c r="AL56" s="115" t="s">
        <v>28</v>
      </c>
      <c r="AM56" s="115" t="s">
        <v>1848</v>
      </c>
      <c r="AN56" s="115" t="s">
        <v>1442</v>
      </c>
      <c r="AO56" s="115" t="s">
        <v>381</v>
      </c>
      <c r="AT56" s="115" t="s">
        <v>1415</v>
      </c>
      <c r="AU56" s="115" t="s">
        <v>2114</v>
      </c>
      <c r="AV56" s="115">
        <v>15</v>
      </c>
      <c r="AW56" s="115" t="s">
        <v>1681</v>
      </c>
      <c r="AX56" s="115" t="s">
        <v>1842</v>
      </c>
      <c r="AY56" s="115" t="s">
        <v>1848</v>
      </c>
      <c r="AZ56" s="115" t="s">
        <v>1869</v>
      </c>
      <c r="BA56" s="115">
        <v>20577.269987999996</v>
      </c>
      <c r="BB56" s="115"/>
      <c r="BC56" s="115"/>
      <c r="BD56" s="115"/>
      <c r="BE56" s="115">
        <v>32460.444719999996</v>
      </c>
      <c r="BF56" s="115"/>
      <c r="BG56" s="115">
        <v>67327.769740800009</v>
      </c>
      <c r="BH56" s="115"/>
      <c r="BI56" s="115">
        <v>16628.393294999998</v>
      </c>
      <c r="BJ56" s="115"/>
      <c r="BK56" s="115"/>
      <c r="BL56" s="115"/>
      <c r="BM56" s="115"/>
      <c r="BN56" s="115"/>
      <c r="BO56" s="115"/>
      <c r="BP56" s="115"/>
      <c r="BQ56" s="115"/>
      <c r="BR56" s="182"/>
      <c r="CF56" s="115" t="s">
        <v>1415</v>
      </c>
      <c r="CG56" s="115">
        <v>16</v>
      </c>
      <c r="CH56" s="330">
        <v>2483.6182317960001</v>
      </c>
      <c r="CI56" s="330">
        <v>2446.639381443299</v>
      </c>
      <c r="CJ56" s="330">
        <v>335.53811977800001</v>
      </c>
      <c r="CK56" s="330">
        <v>2148.0801120179999</v>
      </c>
      <c r="CL56" s="184">
        <v>82.896199999999993</v>
      </c>
      <c r="CM56" s="184">
        <v>85.46</v>
      </c>
      <c r="CN56" s="184">
        <v>8.2896199999999993</v>
      </c>
      <c r="CO56" s="184">
        <v>74.606579999999994</v>
      </c>
      <c r="CP56" s="330">
        <v>28.629058991847639</v>
      </c>
      <c r="CQ56" s="187">
        <v>0.1</v>
      </c>
      <c r="CR56" s="187">
        <v>1.0151141400866699</v>
      </c>
      <c r="CS56" s="115" t="s">
        <v>381</v>
      </c>
      <c r="CV56" s="115">
        <v>2025.04</v>
      </c>
      <c r="CW56" s="115" t="s">
        <v>1415</v>
      </c>
      <c r="CX56" s="115" t="s">
        <v>377</v>
      </c>
      <c r="CY56" s="115" t="s">
        <v>2063</v>
      </c>
      <c r="CZ56" s="330">
        <v>1862.3879999999999</v>
      </c>
      <c r="DA56" s="115"/>
      <c r="DB56" s="115"/>
      <c r="DC56" s="115" t="s">
        <v>1416</v>
      </c>
      <c r="DD56" s="115" t="s">
        <v>2114</v>
      </c>
      <c r="DE56" s="115" t="s">
        <v>298</v>
      </c>
      <c r="DF56" s="115" t="s">
        <v>1272</v>
      </c>
      <c r="DG56" s="115">
        <v>961.55</v>
      </c>
      <c r="DR56" s="214"/>
      <c r="DY56" s="115"/>
      <c r="DZ56" s="115" t="s">
        <v>1416</v>
      </c>
      <c r="EA56" s="115" t="s">
        <v>2114</v>
      </c>
      <c r="EB56" s="115">
        <v>0</v>
      </c>
      <c r="EC56" s="115" t="s">
        <v>103</v>
      </c>
      <c r="ED56" s="115" t="s">
        <v>1697</v>
      </c>
      <c r="EE56" s="187">
        <v>0.25</v>
      </c>
      <c r="EF56" s="330">
        <v>32.82</v>
      </c>
      <c r="EG56" s="330">
        <v>24.61</v>
      </c>
      <c r="EH56" s="115" t="s">
        <v>380</v>
      </c>
      <c r="EI56" s="115" t="s">
        <v>1811</v>
      </c>
      <c r="EJ56" s="115"/>
      <c r="EK56" s="115" t="s">
        <v>1827</v>
      </c>
      <c r="EL56" s="115" t="s">
        <v>380</v>
      </c>
      <c r="EM56"/>
      <c r="EO56" s="115"/>
      <c r="EP56" s="334" t="s">
        <v>1416</v>
      </c>
      <c r="EQ56" s="334" t="s">
        <v>2114</v>
      </c>
      <c r="ER56" s="334" t="s">
        <v>368</v>
      </c>
      <c r="ES56" s="334" t="s">
        <v>379</v>
      </c>
      <c r="ET56" s="334">
        <v>2024.44</v>
      </c>
      <c r="EU56" s="334" t="s">
        <v>1382</v>
      </c>
      <c r="EV56" s="334">
        <v>-6208.0285999999996</v>
      </c>
    </row>
    <row r="57" spans="4:152" ht="13">
      <c r="D57" s="115" t="s">
        <v>2154</v>
      </c>
      <c r="E57" s="115" t="s">
        <v>373</v>
      </c>
      <c r="F57" s="115">
        <v>2320.4499999999998</v>
      </c>
      <c r="I57" s="115" t="s">
        <v>1502</v>
      </c>
      <c r="J57" s="115" t="s">
        <v>1367</v>
      </c>
      <c r="K57" s="183">
        <v>8</v>
      </c>
      <c r="AG57" s="115"/>
      <c r="AH57" s="115"/>
      <c r="AI57" s="115" t="s">
        <v>1416</v>
      </c>
      <c r="AJ57" t="s">
        <v>2114</v>
      </c>
      <c r="AK57" s="115">
        <v>0</v>
      </c>
      <c r="AL57" s="115" t="s">
        <v>28</v>
      </c>
      <c r="AM57" s="115" t="s">
        <v>1846</v>
      </c>
      <c r="AN57" s="115" t="s">
        <v>1442</v>
      </c>
      <c r="AO57" s="115" t="s">
        <v>379</v>
      </c>
      <c r="AT57" s="115" t="s">
        <v>1415</v>
      </c>
      <c r="AU57" s="115" t="s">
        <v>2114</v>
      </c>
      <c r="AV57" s="115">
        <v>15</v>
      </c>
      <c r="AW57" s="115" t="s">
        <v>1681</v>
      </c>
      <c r="AX57" s="115" t="s">
        <v>1842</v>
      </c>
      <c r="AY57" s="115" t="s">
        <v>1843</v>
      </c>
      <c r="AZ57" s="115" t="s">
        <v>1869</v>
      </c>
      <c r="BA57" s="115">
        <v>20418.680412371134</v>
      </c>
      <c r="BB57" s="115"/>
      <c r="BC57" s="115"/>
      <c r="BD57" s="115"/>
      <c r="BE57" s="115">
        <v>67045.903092783512</v>
      </c>
      <c r="BF57" s="115"/>
      <c r="BG57" s="115">
        <v>183469.9886597938</v>
      </c>
      <c r="BH57" s="115"/>
      <c r="BI57" s="115">
        <v>54140.320309278351</v>
      </c>
      <c r="BJ57" s="115"/>
      <c r="BK57" s="115"/>
      <c r="BL57" s="115"/>
      <c r="BM57" s="115"/>
      <c r="BN57" s="115"/>
      <c r="BO57" s="115"/>
      <c r="BP57" s="115"/>
      <c r="BQ57" s="115"/>
      <c r="BR57" s="182"/>
      <c r="CF57" s="115" t="s">
        <v>1415</v>
      </c>
      <c r="CG57" s="115">
        <v>16</v>
      </c>
      <c r="CH57" s="330">
        <v>294.68627276400002</v>
      </c>
      <c r="CI57" s="330">
        <v>290.29865979381441</v>
      </c>
      <c r="CJ57" s="330">
        <v>39.812269302000004</v>
      </c>
      <c r="CK57" s="330">
        <v>254.87400346200005</v>
      </c>
      <c r="CL57" s="184">
        <v>9.8358000000000008</v>
      </c>
      <c r="CM57" s="184">
        <v>10.14</v>
      </c>
      <c r="CN57" s="184">
        <v>0.98358000000000012</v>
      </c>
      <c r="CO57" s="184">
        <v>8.8522200000000009</v>
      </c>
      <c r="CP57" s="330">
        <v>28.629059151263746</v>
      </c>
      <c r="CQ57" s="187">
        <v>0.1</v>
      </c>
      <c r="CR57" s="187">
        <v>1.0151141344341801</v>
      </c>
      <c r="CS57" s="115" t="s">
        <v>1645</v>
      </c>
      <c r="CV57" s="115">
        <v>2025.02</v>
      </c>
      <c r="CW57" s="115" t="s">
        <v>1415</v>
      </c>
      <c r="CX57" s="115" t="s">
        <v>1645</v>
      </c>
      <c r="CY57" s="115" t="s">
        <v>2063</v>
      </c>
      <c r="CZ57" s="330">
        <v>1853.5</v>
      </c>
      <c r="DA57" s="115"/>
      <c r="DB57" s="115"/>
      <c r="DC57" s="115" t="s">
        <v>1415</v>
      </c>
      <c r="DD57" s="115" t="s">
        <v>2114</v>
      </c>
      <c r="DE57" s="115" t="s">
        <v>428</v>
      </c>
      <c r="DF57" s="115" t="s">
        <v>1272</v>
      </c>
      <c r="DG57" s="115">
        <v>20.8</v>
      </c>
      <c r="DR57" s="214"/>
      <c r="DY57" s="115"/>
      <c r="DZ57" s="115" t="s">
        <v>1415</v>
      </c>
      <c r="EA57" s="115" t="s">
        <v>2114</v>
      </c>
      <c r="EB57" s="115">
        <v>0</v>
      </c>
      <c r="EC57" s="115" t="s">
        <v>103</v>
      </c>
      <c r="ED57" s="115" t="s">
        <v>1697</v>
      </c>
      <c r="EE57" s="187">
        <v>0.25</v>
      </c>
      <c r="EF57" s="330">
        <v>38.189599999999999</v>
      </c>
      <c r="EG57" s="330">
        <v>28.878</v>
      </c>
      <c r="EH57" s="115" t="s">
        <v>380</v>
      </c>
      <c r="EI57" s="115" t="s">
        <v>1811</v>
      </c>
      <c r="EJ57" s="115"/>
      <c r="EK57" s="115" t="s">
        <v>1827</v>
      </c>
      <c r="EL57" s="115" t="s">
        <v>380</v>
      </c>
      <c r="EM57"/>
      <c r="EO57" s="115"/>
      <c r="EP57" s="334" t="s">
        <v>1416</v>
      </c>
      <c r="EQ57" s="334" t="s">
        <v>2114</v>
      </c>
      <c r="ER57" s="334" t="s">
        <v>1473</v>
      </c>
      <c r="ES57" s="334" t="s">
        <v>379</v>
      </c>
      <c r="ET57" s="334">
        <v>2023.44</v>
      </c>
      <c r="EU57" s="334" t="s">
        <v>397</v>
      </c>
      <c r="EV57" s="334">
        <v>290811.23</v>
      </c>
    </row>
    <row r="58" spans="4:152" ht="13">
      <c r="D58" s="115" t="s">
        <v>2154</v>
      </c>
      <c r="E58" s="115" t="s">
        <v>380</v>
      </c>
      <c r="F58" s="115">
        <v>4663.0892000000003</v>
      </c>
      <c r="I58" s="115" t="s">
        <v>1502</v>
      </c>
      <c r="J58" s="115" t="s">
        <v>1362</v>
      </c>
      <c r="K58" s="183">
        <v>95</v>
      </c>
      <c r="AG58" s="115"/>
      <c r="AH58" s="115"/>
      <c r="AI58" s="115" t="s">
        <v>1416</v>
      </c>
      <c r="AJ58" t="s">
        <v>2114</v>
      </c>
      <c r="AK58" s="115">
        <v>0</v>
      </c>
      <c r="AL58" s="115" t="s">
        <v>28</v>
      </c>
      <c r="AM58" s="115" t="s">
        <v>1849</v>
      </c>
      <c r="AN58" s="115" t="s">
        <v>1442</v>
      </c>
      <c r="AO58" s="115" t="s">
        <v>379</v>
      </c>
      <c r="AT58" s="115" t="s">
        <v>1415</v>
      </c>
      <c r="AU58" s="115" t="s">
        <v>2114</v>
      </c>
      <c r="AV58" s="115">
        <v>15</v>
      </c>
      <c r="AW58" s="115" t="s">
        <v>1681</v>
      </c>
      <c r="AX58" s="115" t="s">
        <v>1842</v>
      </c>
      <c r="AY58" s="115" t="s">
        <v>1849</v>
      </c>
      <c r="AZ58" s="115" t="s">
        <v>1869</v>
      </c>
      <c r="BA58" s="115"/>
      <c r="BB58" s="115"/>
      <c r="BC58" s="115"/>
      <c r="BD58" s="115"/>
      <c r="BE58" s="115">
        <v>698.4</v>
      </c>
      <c r="BF58" s="115"/>
      <c r="BG58" s="115">
        <v>2245.8959999999997</v>
      </c>
      <c r="BH58" s="115"/>
      <c r="BI58" s="115">
        <v>1300.77</v>
      </c>
      <c r="BJ58" s="115"/>
      <c r="BK58" s="115"/>
      <c r="BL58" s="115"/>
      <c r="BM58" s="115"/>
      <c r="BN58" s="115"/>
      <c r="BO58" s="115"/>
      <c r="BP58" s="115"/>
      <c r="BQ58" s="115"/>
      <c r="BR58" s="182"/>
      <c r="CF58" s="115" t="s">
        <v>1415</v>
      </c>
      <c r="CG58" s="115">
        <v>16</v>
      </c>
      <c r="CH58" s="330">
        <v>51336.290500000003</v>
      </c>
      <c r="CI58" s="330">
        <v>51336.290500000003</v>
      </c>
      <c r="CJ58" s="330">
        <v>0</v>
      </c>
      <c r="CK58" s="330">
        <v>51336.290500000003</v>
      </c>
      <c r="CL58" s="184">
        <v>0</v>
      </c>
      <c r="CN58" s="184">
        <v>0</v>
      </c>
      <c r="CO58" s="184">
        <v>0</v>
      </c>
      <c r="CP58" s="330"/>
      <c r="CQ58" s="187">
        <v>0</v>
      </c>
      <c r="CR58" s="187">
        <v>1</v>
      </c>
      <c r="CS58" s="115" t="s">
        <v>1639</v>
      </c>
      <c r="CV58" s="115">
        <v>2025.03</v>
      </c>
      <c r="CW58" s="115" t="s">
        <v>1415</v>
      </c>
      <c r="CX58" s="115" t="s">
        <v>1645</v>
      </c>
      <c r="CY58" s="115" t="s">
        <v>2063</v>
      </c>
      <c r="CZ58" s="330">
        <v>2224.1999999999998</v>
      </c>
      <c r="DA58" s="115"/>
      <c r="DB58" s="115"/>
      <c r="DC58" s="115" t="s">
        <v>1415</v>
      </c>
      <c r="DD58" s="115" t="s">
        <v>2114</v>
      </c>
      <c r="DE58" s="115" t="s">
        <v>1473</v>
      </c>
      <c r="DF58" s="115" t="s">
        <v>1272</v>
      </c>
      <c r="DG58" s="115">
        <v>126308.17</v>
      </c>
      <c r="DR58" s="214"/>
      <c r="DY58" s="115"/>
      <c r="DZ58" s="115" t="s">
        <v>1415</v>
      </c>
      <c r="EA58" s="115" t="s">
        <v>2114</v>
      </c>
      <c r="EB58" s="115">
        <v>16</v>
      </c>
      <c r="EC58" s="115" t="s">
        <v>103</v>
      </c>
      <c r="ED58" s="115" t="s">
        <v>1697</v>
      </c>
      <c r="EE58" s="187">
        <v>0.25</v>
      </c>
      <c r="EF58" s="330">
        <v>38.189599999999999</v>
      </c>
      <c r="EG58" s="330">
        <v>28.878</v>
      </c>
      <c r="EH58" s="115" t="s">
        <v>380</v>
      </c>
      <c r="EI58" s="115" t="s">
        <v>1811</v>
      </c>
      <c r="EJ58" s="115"/>
      <c r="EK58" s="115" t="s">
        <v>1827</v>
      </c>
      <c r="EL58" s="115" t="s">
        <v>380</v>
      </c>
      <c r="EM58"/>
      <c r="EO58" s="115"/>
      <c r="EP58" s="334" t="s">
        <v>1416</v>
      </c>
      <c r="EQ58" s="334" t="s">
        <v>2114</v>
      </c>
      <c r="ER58" s="334" t="s">
        <v>1473</v>
      </c>
      <c r="ES58" s="334" t="s">
        <v>379</v>
      </c>
      <c r="ET58" s="334">
        <v>2023.44</v>
      </c>
      <c r="EU58" s="334" t="s">
        <v>1382</v>
      </c>
      <c r="EV58" s="334">
        <v>290811.23</v>
      </c>
    </row>
    <row r="59" spans="4:152" ht="13">
      <c r="D59" s="115" t="s">
        <v>2154</v>
      </c>
      <c r="E59" s="115" t="s">
        <v>1646</v>
      </c>
      <c r="F59" s="115">
        <v>1175.3367000000001</v>
      </c>
      <c r="I59" s="115" t="s">
        <v>1502</v>
      </c>
      <c r="J59" s="115" t="s">
        <v>1368</v>
      </c>
      <c r="K59" s="183">
        <v>11.5</v>
      </c>
      <c r="AG59" s="115"/>
      <c r="AH59" s="115"/>
      <c r="AI59" s="115" t="s">
        <v>1416</v>
      </c>
      <c r="AJ59" t="s">
        <v>2114</v>
      </c>
      <c r="AK59" s="115">
        <v>0</v>
      </c>
      <c r="AL59" s="115" t="s">
        <v>28</v>
      </c>
      <c r="AM59" s="115" t="s">
        <v>1848</v>
      </c>
      <c r="AN59" s="115" t="s">
        <v>1442</v>
      </c>
      <c r="AO59" s="115" t="s">
        <v>379</v>
      </c>
      <c r="AT59" s="115" t="s">
        <v>1415</v>
      </c>
      <c r="AU59" s="115" t="s">
        <v>2114</v>
      </c>
      <c r="AV59" s="115">
        <v>15</v>
      </c>
      <c r="AW59" s="115" t="s">
        <v>1681</v>
      </c>
      <c r="AX59" s="115" t="s">
        <v>1842</v>
      </c>
      <c r="AY59" s="115" t="s">
        <v>1850</v>
      </c>
      <c r="AZ59" s="115" t="s">
        <v>1869</v>
      </c>
      <c r="BA59" s="115">
        <v>384.11999999999995</v>
      </c>
      <c r="BB59" s="115"/>
      <c r="BC59" s="115"/>
      <c r="BD59" s="115"/>
      <c r="BE59" s="115">
        <v>698.4</v>
      </c>
      <c r="BF59" s="115"/>
      <c r="BG59" s="115">
        <v>1497.2640000000001</v>
      </c>
      <c r="BH59" s="115"/>
      <c r="BI59" s="115">
        <v>433.59000000000003</v>
      </c>
      <c r="BJ59" s="115"/>
      <c r="BK59" s="115"/>
      <c r="BL59" s="115"/>
      <c r="BM59" s="115"/>
      <c r="BN59" s="115"/>
      <c r="BO59" s="115"/>
      <c r="BP59" s="115"/>
      <c r="BQ59" s="115"/>
      <c r="BR59" s="182"/>
      <c r="CF59" s="115" t="s">
        <v>1415</v>
      </c>
      <c r="CG59" s="115">
        <v>16</v>
      </c>
      <c r="CH59" s="330">
        <v>21179.21</v>
      </c>
      <c r="CI59" s="330">
        <v>21179.21</v>
      </c>
      <c r="CJ59" s="330">
        <v>0</v>
      </c>
      <c r="CK59" s="330">
        <v>21179.21</v>
      </c>
      <c r="CL59" s="184">
        <v>0</v>
      </c>
      <c r="CN59" s="184">
        <v>0</v>
      </c>
      <c r="CO59" s="184">
        <v>0</v>
      </c>
      <c r="CP59" s="330"/>
      <c r="CQ59" s="187">
        <v>0</v>
      </c>
      <c r="CR59" s="187">
        <v>1</v>
      </c>
      <c r="CS59" s="115" t="s">
        <v>1646</v>
      </c>
      <c r="CV59" s="115">
        <v>2025.04</v>
      </c>
      <c r="CW59" s="115" t="s">
        <v>1415</v>
      </c>
      <c r="CX59" s="115" t="s">
        <v>1645</v>
      </c>
      <c r="CY59" s="115" t="s">
        <v>2063</v>
      </c>
      <c r="CZ59" s="330">
        <v>2224.1999999999998</v>
      </c>
      <c r="DA59" s="115"/>
      <c r="DB59" s="115"/>
      <c r="DC59" s="115" t="s">
        <v>1415</v>
      </c>
      <c r="DD59" s="115" t="s">
        <v>2114</v>
      </c>
      <c r="DE59" s="115" t="s">
        <v>291</v>
      </c>
      <c r="DF59" s="115" t="s">
        <v>1272</v>
      </c>
      <c r="DG59" s="115">
        <v>420612.8</v>
      </c>
      <c r="DR59" s="214"/>
      <c r="DY59" s="115"/>
      <c r="DZ59" s="115" t="s">
        <v>1415</v>
      </c>
      <c r="EA59" s="115" t="s">
        <v>2114</v>
      </c>
      <c r="EB59" s="115">
        <v>15</v>
      </c>
      <c r="EC59" s="115" t="s">
        <v>104</v>
      </c>
      <c r="ED59" s="115" t="s">
        <v>1697</v>
      </c>
      <c r="EE59" s="187">
        <v>0.1</v>
      </c>
      <c r="EF59" s="330">
        <v>40.307299999999998</v>
      </c>
      <c r="EG59" s="330">
        <v>29.312100000000001</v>
      </c>
      <c r="EH59" s="115" t="s">
        <v>382</v>
      </c>
      <c r="EI59" s="115" t="s">
        <v>1811</v>
      </c>
      <c r="EJ59" s="115"/>
      <c r="EK59" s="115" t="s">
        <v>1828</v>
      </c>
      <c r="EL59" s="115" t="s">
        <v>382</v>
      </c>
      <c r="EM59"/>
      <c r="EO59" s="115"/>
      <c r="EP59" s="334" t="s">
        <v>1416</v>
      </c>
      <c r="EQ59" s="334" t="s">
        <v>2114</v>
      </c>
      <c r="ER59" s="334" t="s">
        <v>1473</v>
      </c>
      <c r="ES59" s="334" t="s">
        <v>2164</v>
      </c>
      <c r="ET59" s="334">
        <v>2023.44</v>
      </c>
      <c r="EU59" s="334" t="s">
        <v>397</v>
      </c>
      <c r="EV59" s="334">
        <v>134649.53690000001</v>
      </c>
    </row>
    <row r="60" spans="4:152" ht="13">
      <c r="D60" s="115" t="s">
        <v>2154</v>
      </c>
      <c r="E60" s="115" t="s">
        <v>1639</v>
      </c>
      <c r="F60" s="115">
        <v>2644.5077000000001</v>
      </c>
      <c r="I60" s="115" t="s">
        <v>1502</v>
      </c>
      <c r="J60" s="115" t="s">
        <v>1360</v>
      </c>
      <c r="K60" s="183">
        <v>0.34399999999999997</v>
      </c>
      <c r="AG60" s="115"/>
      <c r="AH60" s="115"/>
      <c r="AI60" s="115" t="s">
        <v>1416</v>
      </c>
      <c r="AJ60" t="s">
        <v>2114</v>
      </c>
      <c r="AK60" s="115">
        <v>0</v>
      </c>
      <c r="AL60" s="115" t="s">
        <v>28</v>
      </c>
      <c r="AM60" s="115" t="s">
        <v>1850</v>
      </c>
      <c r="AN60" s="115" t="s">
        <v>1442</v>
      </c>
      <c r="AO60" s="115" t="s">
        <v>379</v>
      </c>
      <c r="AT60" s="115" t="s">
        <v>1415</v>
      </c>
      <c r="AU60" s="115" t="s">
        <v>2114</v>
      </c>
      <c r="AV60" s="115">
        <v>15</v>
      </c>
      <c r="AW60" s="115" t="s">
        <v>1681</v>
      </c>
      <c r="AX60" s="115" t="s">
        <v>1842</v>
      </c>
      <c r="AY60" s="115" t="s">
        <v>1832</v>
      </c>
      <c r="AZ60" s="115" t="s">
        <v>1869</v>
      </c>
      <c r="BA60" s="115">
        <v>395.99999999999994</v>
      </c>
      <c r="BB60" s="115"/>
      <c r="BC60" s="115"/>
      <c r="BD60" s="115"/>
      <c r="BE60" s="115">
        <v>1440</v>
      </c>
      <c r="BF60" s="115"/>
      <c r="BG60" s="115">
        <v>3858.9278350515465</v>
      </c>
      <c r="BH60" s="115"/>
      <c r="BI60" s="115">
        <v>1788.0000000000002</v>
      </c>
      <c r="BJ60" s="115"/>
      <c r="BK60" s="115"/>
      <c r="BL60" s="115"/>
      <c r="BM60" s="115"/>
      <c r="BN60" s="115"/>
      <c r="BO60" s="115"/>
      <c r="BP60" s="115"/>
      <c r="BQ60" s="115"/>
      <c r="BR60" s="182"/>
      <c r="CF60" s="115" t="s">
        <v>1415</v>
      </c>
      <c r="CG60" s="115">
        <v>16</v>
      </c>
      <c r="CH60" s="330">
        <v>15893.359999999999</v>
      </c>
      <c r="CI60" s="330">
        <v>15893.359999999999</v>
      </c>
      <c r="CJ60" s="330">
        <v>0</v>
      </c>
      <c r="CK60" s="330">
        <v>15893.359999999999</v>
      </c>
      <c r="CL60" s="184">
        <v>0</v>
      </c>
      <c r="CN60" s="184">
        <v>0</v>
      </c>
      <c r="CO60" s="184">
        <v>0</v>
      </c>
      <c r="CP60" s="330"/>
      <c r="CQ60" s="187">
        <v>0</v>
      </c>
      <c r="CR60" s="187">
        <v>1</v>
      </c>
      <c r="CS60" s="115" t="s">
        <v>1647</v>
      </c>
      <c r="CV60" s="115">
        <v>2025.05</v>
      </c>
      <c r="CW60" s="115" t="s">
        <v>1415</v>
      </c>
      <c r="CX60" s="115" t="s">
        <v>1645</v>
      </c>
      <c r="CY60" s="115" t="s">
        <v>2063</v>
      </c>
      <c r="CZ60" s="330">
        <v>2224.1999999999998</v>
      </c>
      <c r="DA60" s="115"/>
      <c r="DB60" s="115"/>
      <c r="DC60" s="115" t="s">
        <v>1415</v>
      </c>
      <c r="DD60" s="115" t="s">
        <v>2114</v>
      </c>
      <c r="DE60" s="115" t="s">
        <v>288</v>
      </c>
      <c r="DF60" s="115" t="s">
        <v>1272</v>
      </c>
      <c r="DG60" s="115">
        <v>157.80000000000001</v>
      </c>
      <c r="DR60" s="214"/>
      <c r="DY60" s="115"/>
      <c r="DZ60" s="115" t="s">
        <v>1416</v>
      </c>
      <c r="EA60" s="115" t="s">
        <v>2114</v>
      </c>
      <c r="EB60" s="115">
        <v>0</v>
      </c>
      <c r="EC60" s="115" t="s">
        <v>104</v>
      </c>
      <c r="ED60" s="115" t="s">
        <v>1697</v>
      </c>
      <c r="EE60" s="187">
        <v>0.1</v>
      </c>
      <c r="EF60" s="330">
        <v>34.64</v>
      </c>
      <c r="EG60" s="330">
        <v>24.98</v>
      </c>
      <c r="EH60" s="115" t="s">
        <v>382</v>
      </c>
      <c r="EI60" s="115" t="s">
        <v>1811</v>
      </c>
      <c r="EJ60" s="115"/>
      <c r="EK60" s="115" t="s">
        <v>1828</v>
      </c>
      <c r="EL60" s="115" t="s">
        <v>382</v>
      </c>
      <c r="EM60"/>
      <c r="EO60" s="115"/>
      <c r="EP60" s="334" t="s">
        <v>1416</v>
      </c>
      <c r="EQ60" s="334" t="s">
        <v>2114</v>
      </c>
      <c r="ER60" s="334" t="s">
        <v>1473</v>
      </c>
      <c r="ES60" s="334" t="s">
        <v>2164</v>
      </c>
      <c r="ET60" s="334">
        <v>2023.44</v>
      </c>
      <c r="EU60" s="334" t="s">
        <v>1382</v>
      </c>
      <c r="EV60" s="334">
        <v>134649.53690000001</v>
      </c>
    </row>
    <row r="61" spans="4:152" ht="13">
      <c r="D61" s="115" t="s">
        <v>2154</v>
      </c>
      <c r="E61" s="115" t="s">
        <v>360</v>
      </c>
      <c r="F61" s="115">
        <v>1793.7156</v>
      </c>
      <c r="I61" s="115" t="s">
        <v>1502</v>
      </c>
      <c r="J61" s="115" t="s">
        <v>1358</v>
      </c>
      <c r="K61" s="183" t="s">
        <v>375</v>
      </c>
      <c r="AG61" s="115"/>
      <c r="AH61" s="115"/>
      <c r="AI61" s="115" t="s">
        <v>1416</v>
      </c>
      <c r="AJ61" t="s">
        <v>2114</v>
      </c>
      <c r="AK61" s="115">
        <v>0</v>
      </c>
      <c r="AL61" s="115" t="s">
        <v>28</v>
      </c>
      <c r="AM61" s="115" t="s">
        <v>1843</v>
      </c>
      <c r="AN61" s="115" t="s">
        <v>1442</v>
      </c>
      <c r="AO61" s="115" t="s">
        <v>379</v>
      </c>
      <c r="AT61" s="115" t="s">
        <v>1416</v>
      </c>
      <c r="AU61" s="115" t="s">
        <v>2114</v>
      </c>
      <c r="AV61" s="115">
        <v>0</v>
      </c>
      <c r="AW61" s="115" t="s">
        <v>1681</v>
      </c>
      <c r="AX61" s="115" t="s">
        <v>1842</v>
      </c>
      <c r="AY61" s="115" t="s">
        <v>1846</v>
      </c>
      <c r="AZ61" s="115" t="s">
        <v>1870</v>
      </c>
      <c r="BA61" s="115"/>
      <c r="BB61" s="115"/>
      <c r="BC61" s="115"/>
      <c r="BD61" s="115"/>
      <c r="BE61" s="115"/>
      <c r="BF61" s="115"/>
      <c r="BG61" s="115">
        <v>2787.1979999999999</v>
      </c>
      <c r="BH61" s="115"/>
      <c r="BI61" s="115"/>
      <c r="BJ61" s="115"/>
      <c r="BK61" s="115"/>
      <c r="BL61" s="115"/>
      <c r="BM61" s="115"/>
      <c r="BN61" s="115"/>
      <c r="BO61" s="115"/>
      <c r="BP61" s="115"/>
      <c r="BQ61" s="115"/>
      <c r="BR61" s="182"/>
      <c r="CF61" s="115" t="s">
        <v>1415</v>
      </c>
      <c r="CG61" s="115">
        <v>16</v>
      </c>
      <c r="CH61" s="330">
        <v>11873.500485500001</v>
      </c>
      <c r="CI61" s="330">
        <v>11781.991030927835</v>
      </c>
      <c r="CJ61" s="330">
        <v>11873.500485500001</v>
      </c>
      <c r="CK61" s="330">
        <v>0</v>
      </c>
      <c r="CL61" s="184">
        <v>221.64500000000001</v>
      </c>
      <c r="CM61" s="184">
        <v>228.50000000000003</v>
      </c>
      <c r="CN61" s="184">
        <v>221.64500000000001</v>
      </c>
      <c r="CO61" s="184">
        <v>0</v>
      </c>
      <c r="CP61" s="330">
        <v>51.562323986555072</v>
      </c>
      <c r="CQ61" s="187">
        <v>1</v>
      </c>
      <c r="CR61" s="187">
        <v>1.0077668922283101</v>
      </c>
      <c r="CS61" s="115" t="s">
        <v>1641</v>
      </c>
      <c r="CV61" s="115">
        <v>2025.06</v>
      </c>
      <c r="CW61" s="115" t="s">
        <v>1415</v>
      </c>
      <c r="CX61" s="115" t="s">
        <v>1645</v>
      </c>
      <c r="CY61" s="115" t="s">
        <v>2063</v>
      </c>
      <c r="CZ61" s="330">
        <v>6672.6</v>
      </c>
      <c r="DA61" s="115"/>
      <c r="DB61" s="115"/>
      <c r="DC61" s="115" t="s">
        <v>1416</v>
      </c>
      <c r="DD61" s="115" t="s">
        <v>2114</v>
      </c>
      <c r="DE61" s="115" t="s">
        <v>1475</v>
      </c>
      <c r="DF61" s="115" t="s">
        <v>1280</v>
      </c>
      <c r="DG61" s="115">
        <v>22813.35</v>
      </c>
      <c r="DR61" s="214"/>
      <c r="DY61" s="115"/>
      <c r="DZ61" s="115" t="s">
        <v>1415</v>
      </c>
      <c r="EA61" s="115" t="s">
        <v>2114</v>
      </c>
      <c r="EB61" s="115">
        <v>0</v>
      </c>
      <c r="EC61" s="115" t="s">
        <v>104</v>
      </c>
      <c r="ED61" s="115" t="s">
        <v>1697</v>
      </c>
      <c r="EE61" s="187">
        <v>0.1</v>
      </c>
      <c r="EF61" s="330">
        <v>40.307299999999998</v>
      </c>
      <c r="EG61" s="330">
        <v>29.312100000000001</v>
      </c>
      <c r="EH61" s="115" t="s">
        <v>382</v>
      </c>
      <c r="EI61" s="115" t="s">
        <v>1811</v>
      </c>
      <c r="EJ61" s="115"/>
      <c r="EK61" s="115" t="s">
        <v>1828</v>
      </c>
      <c r="EL61" s="115" t="s">
        <v>382</v>
      </c>
      <c r="EM61"/>
      <c r="EO61" s="115"/>
      <c r="EP61" s="334" t="s">
        <v>1416</v>
      </c>
      <c r="EQ61" s="334" t="s">
        <v>2114</v>
      </c>
      <c r="ER61" s="334" t="s">
        <v>1473</v>
      </c>
      <c r="ES61" s="334" t="s">
        <v>2164</v>
      </c>
      <c r="ET61" s="334">
        <v>2024.44</v>
      </c>
      <c r="EU61" s="334" t="s">
        <v>397</v>
      </c>
      <c r="EV61" s="334">
        <v>134649.53690000001</v>
      </c>
    </row>
    <row r="62" spans="4:152" ht="13">
      <c r="D62" s="115" t="s">
        <v>2154</v>
      </c>
      <c r="E62" s="115" t="s">
        <v>1645</v>
      </c>
      <c r="F62" s="115">
        <v>1887.8279</v>
      </c>
      <c r="I62" s="115" t="s">
        <v>1502</v>
      </c>
      <c r="J62" s="115" t="s">
        <v>1354</v>
      </c>
      <c r="K62" s="183">
        <v>45141</v>
      </c>
      <c r="AG62" s="115"/>
      <c r="AH62" s="115"/>
      <c r="AI62" s="115" t="s">
        <v>1416</v>
      </c>
      <c r="AJ62" t="s">
        <v>2114</v>
      </c>
      <c r="AK62" s="115">
        <v>0</v>
      </c>
      <c r="AL62" s="115" t="s">
        <v>28</v>
      </c>
      <c r="AM62" s="115" t="s">
        <v>1832</v>
      </c>
      <c r="AN62" s="115" t="s">
        <v>1442</v>
      </c>
      <c r="AO62" s="115" t="s">
        <v>379</v>
      </c>
      <c r="AT62" s="115" t="s">
        <v>1415</v>
      </c>
      <c r="AU62" s="115" t="s">
        <v>2114</v>
      </c>
      <c r="AV62" s="115">
        <v>15</v>
      </c>
      <c r="AW62" s="115" t="s">
        <v>1681</v>
      </c>
      <c r="AX62" s="115" t="s">
        <v>1842</v>
      </c>
      <c r="AY62" s="115" t="s">
        <v>1846</v>
      </c>
      <c r="AZ62" s="115" t="s">
        <v>1870</v>
      </c>
      <c r="BA62" s="115"/>
      <c r="BB62" s="115"/>
      <c r="BC62" s="115"/>
      <c r="BD62" s="115"/>
      <c r="BE62" s="115">
        <v>7375.4968499999995</v>
      </c>
      <c r="BF62" s="115"/>
      <c r="BG62" s="115"/>
      <c r="BH62" s="115"/>
      <c r="BI62" s="115">
        <v>6376.1562900000008</v>
      </c>
      <c r="BJ62" s="115"/>
      <c r="BK62" s="115"/>
      <c r="BL62" s="115"/>
      <c r="BM62" s="115"/>
      <c r="BN62" s="115"/>
      <c r="BO62" s="115"/>
      <c r="BP62" s="115"/>
      <c r="BQ62" s="115"/>
      <c r="BR62" s="182"/>
      <c r="CF62" s="115" t="s">
        <v>1415</v>
      </c>
      <c r="CG62" s="115">
        <v>16</v>
      </c>
      <c r="CH62" s="330">
        <v>22116.856704000002</v>
      </c>
      <c r="CI62" s="330">
        <v>21946.371340206188</v>
      </c>
      <c r="CJ62" s="330">
        <v>22116.856704000002</v>
      </c>
      <c r="CK62" s="330">
        <v>0</v>
      </c>
      <c r="CL62" s="184">
        <v>550.96</v>
      </c>
      <c r="CM62" s="184">
        <v>568</v>
      </c>
      <c r="CN62" s="184">
        <v>550.96</v>
      </c>
      <c r="CO62" s="184">
        <v>0</v>
      </c>
      <c r="CP62" s="330">
        <v>38.637977711630612</v>
      </c>
      <c r="CQ62" s="187">
        <v>1</v>
      </c>
      <c r="CR62" s="187">
        <v>1.00776827117117</v>
      </c>
      <c r="CS62" s="115" t="s">
        <v>1642</v>
      </c>
      <c r="CV62" s="115">
        <v>2025.02</v>
      </c>
      <c r="CW62" s="115" t="s">
        <v>1415</v>
      </c>
      <c r="CX62" s="115" t="s">
        <v>380</v>
      </c>
      <c r="CY62" s="115" t="s">
        <v>2063</v>
      </c>
      <c r="CZ62" s="330">
        <v>3027.9799999999996</v>
      </c>
      <c r="DA62" s="115"/>
      <c r="DB62" s="115"/>
      <c r="DC62" s="115" t="s">
        <v>1415</v>
      </c>
      <c r="DD62" s="115" t="s">
        <v>2114</v>
      </c>
      <c r="DE62" s="115" t="s">
        <v>428</v>
      </c>
      <c r="DF62" s="115" t="s">
        <v>1280</v>
      </c>
      <c r="DG62" s="115">
        <v>26.23</v>
      </c>
      <c r="DR62" s="214"/>
      <c r="DY62" s="115"/>
      <c r="DZ62" s="115" t="s">
        <v>1415</v>
      </c>
      <c r="EA62" s="115" t="s">
        <v>2114</v>
      </c>
      <c r="EB62" s="115">
        <v>16</v>
      </c>
      <c r="EC62" s="115" t="s">
        <v>104</v>
      </c>
      <c r="ED62" s="115" t="s">
        <v>1697</v>
      </c>
      <c r="EE62" s="187">
        <v>0.1</v>
      </c>
      <c r="EF62" s="330">
        <v>40.307299999999998</v>
      </c>
      <c r="EG62" s="330">
        <v>29.312100000000001</v>
      </c>
      <c r="EH62" s="115" t="s">
        <v>382</v>
      </c>
      <c r="EI62" s="115" t="s">
        <v>1811</v>
      </c>
      <c r="EJ62" s="115"/>
      <c r="EK62" s="115" t="s">
        <v>1828</v>
      </c>
      <c r="EL62" s="115" t="s">
        <v>382</v>
      </c>
      <c r="EM62"/>
      <c r="EO62" s="115"/>
      <c r="EP62" s="334" t="s">
        <v>1416</v>
      </c>
      <c r="EQ62" s="334" t="s">
        <v>2114</v>
      </c>
      <c r="ER62" s="334" t="s">
        <v>1473</v>
      </c>
      <c r="ES62" s="334" t="s">
        <v>2164</v>
      </c>
      <c r="ET62" s="334">
        <v>2024.44</v>
      </c>
      <c r="EU62" s="334" t="s">
        <v>1382</v>
      </c>
      <c r="EV62" s="334">
        <v>58708.695399999997</v>
      </c>
    </row>
    <row r="63" spans="4:152" ht="13">
      <c r="D63" s="115" t="s">
        <v>2155</v>
      </c>
      <c r="E63" s="115" t="s">
        <v>1643</v>
      </c>
      <c r="F63" s="115">
        <v>4516.2909</v>
      </c>
      <c r="I63" s="115" t="s">
        <v>1502</v>
      </c>
      <c r="J63" s="115" t="s">
        <v>1365</v>
      </c>
      <c r="K63" s="183">
        <v>15</v>
      </c>
      <c r="AG63" s="115"/>
      <c r="AH63" s="115"/>
      <c r="AI63" s="115" t="s">
        <v>1416</v>
      </c>
      <c r="AJ63" t="s">
        <v>2114</v>
      </c>
      <c r="AK63" s="115">
        <v>0</v>
      </c>
      <c r="AL63" s="115" t="s">
        <v>28</v>
      </c>
      <c r="AM63" s="115" t="s">
        <v>1850</v>
      </c>
      <c r="AN63" s="115" t="s">
        <v>1442</v>
      </c>
      <c r="AO63" s="115" t="s">
        <v>1645</v>
      </c>
      <c r="AT63" s="115" t="s">
        <v>1415</v>
      </c>
      <c r="AU63" s="115" t="s">
        <v>2114</v>
      </c>
      <c r="AV63" s="115">
        <v>15</v>
      </c>
      <c r="AW63" s="115" t="s">
        <v>1681</v>
      </c>
      <c r="AX63" s="115" t="s">
        <v>1842</v>
      </c>
      <c r="AY63" s="115" t="s">
        <v>1848</v>
      </c>
      <c r="AZ63" s="115" t="s">
        <v>1870</v>
      </c>
      <c r="BA63" s="115"/>
      <c r="BB63" s="115"/>
      <c r="BC63" s="115"/>
      <c r="BD63" s="115"/>
      <c r="BE63" s="115">
        <v>6762.5926499999996</v>
      </c>
      <c r="BF63" s="115"/>
      <c r="BG63" s="115"/>
      <c r="BH63" s="115"/>
      <c r="BI63" s="115">
        <v>2873.69884125</v>
      </c>
      <c r="BJ63" s="115"/>
      <c r="BK63" s="115"/>
      <c r="BL63" s="115"/>
      <c r="BM63" s="115"/>
      <c r="BN63" s="115"/>
      <c r="BO63" s="115"/>
      <c r="BP63" s="115"/>
      <c r="BQ63" s="115"/>
      <c r="BR63" s="182"/>
      <c r="CF63" s="115" t="s">
        <v>1415</v>
      </c>
      <c r="CG63" s="115">
        <v>16</v>
      </c>
      <c r="CH63" s="330">
        <v>87781.265226581265</v>
      </c>
      <c r="CI63" s="330">
        <v>86999.082886597957</v>
      </c>
      <c r="CJ63" s="330">
        <v>75054.07785211876</v>
      </c>
      <c r="CK63" s="330">
        <v>12727.187374462501</v>
      </c>
      <c r="CL63" s="184">
        <v>2253.5767499999997</v>
      </c>
      <c r="CM63" s="184">
        <v>2323.2750000000001</v>
      </c>
      <c r="CN63" s="184">
        <v>1690.1825624999997</v>
      </c>
      <c r="CO63" s="184">
        <v>563.39418750000004</v>
      </c>
      <c r="CP63" s="330">
        <v>37.446743449052718</v>
      </c>
      <c r="CQ63" s="187">
        <v>0.75</v>
      </c>
      <c r="CR63" s="187">
        <v>1.0089906963847299</v>
      </c>
      <c r="CS63" s="115" t="s">
        <v>1274</v>
      </c>
      <c r="CV63" s="115">
        <v>2024.47</v>
      </c>
      <c r="CW63" s="115" t="s">
        <v>1415</v>
      </c>
      <c r="CX63" s="115" t="s">
        <v>387</v>
      </c>
      <c r="CY63" s="115" t="s">
        <v>2063</v>
      </c>
      <c r="CZ63" s="330">
        <v>515.62300000000005</v>
      </c>
      <c r="DA63" s="115"/>
      <c r="DB63" s="115"/>
      <c r="DC63" s="115" t="s">
        <v>1415</v>
      </c>
      <c r="DD63" s="115" t="s">
        <v>2114</v>
      </c>
      <c r="DE63" s="115" t="s">
        <v>1468</v>
      </c>
      <c r="DF63" s="115" t="s">
        <v>1280</v>
      </c>
      <c r="DG63" s="115">
        <v>86.78</v>
      </c>
      <c r="DR63" s="214"/>
      <c r="DY63" s="115"/>
      <c r="DZ63" s="115" t="s">
        <v>1415</v>
      </c>
      <c r="EA63" s="115" t="s">
        <v>2114</v>
      </c>
      <c r="EB63" s="115">
        <v>15</v>
      </c>
      <c r="EC63" s="115" t="s">
        <v>210</v>
      </c>
      <c r="ED63" s="115" t="s">
        <v>1697</v>
      </c>
      <c r="EE63" s="187">
        <v>0.1</v>
      </c>
      <c r="EF63" s="330">
        <v>40.307299999999998</v>
      </c>
      <c r="EG63" s="330">
        <v>29.312100000000001</v>
      </c>
      <c r="EH63" s="115" t="s">
        <v>383</v>
      </c>
      <c r="EI63" s="115" t="s">
        <v>1811</v>
      </c>
      <c r="EJ63" s="115"/>
      <c r="EK63" s="115" t="s">
        <v>1828</v>
      </c>
      <c r="EL63" s="115" t="s">
        <v>383</v>
      </c>
      <c r="EM63"/>
      <c r="EO63" s="115"/>
      <c r="EP63" s="334" t="s">
        <v>1416</v>
      </c>
      <c r="EQ63" s="334" t="s">
        <v>2114</v>
      </c>
      <c r="ER63" s="334" t="s">
        <v>1473</v>
      </c>
      <c r="ES63" s="334" t="s">
        <v>373</v>
      </c>
      <c r="ET63" s="334">
        <v>2024.44</v>
      </c>
      <c r="EU63" s="334" t="s">
        <v>397</v>
      </c>
      <c r="EV63" s="334">
        <v>0</v>
      </c>
    </row>
    <row r="64" spans="4:152" ht="13">
      <c r="D64" s="115" t="s">
        <v>2155</v>
      </c>
      <c r="E64" s="115" t="s">
        <v>373</v>
      </c>
      <c r="F64" s="115">
        <v>4640.8999999999996</v>
      </c>
      <c r="I64" s="115" t="s">
        <v>1502</v>
      </c>
      <c r="J64" s="115" t="s">
        <v>1356</v>
      </c>
      <c r="K64" s="183" t="s">
        <v>1359</v>
      </c>
      <c r="AG64" s="115"/>
      <c r="AH64" s="115"/>
      <c r="AI64" s="115" t="s">
        <v>1416</v>
      </c>
      <c r="AJ64" t="s">
        <v>2114</v>
      </c>
      <c r="AK64" s="115">
        <v>0</v>
      </c>
      <c r="AL64" s="115" t="s">
        <v>28</v>
      </c>
      <c r="AM64" s="115" t="s">
        <v>1832</v>
      </c>
      <c r="AN64" s="115" t="s">
        <v>1442</v>
      </c>
      <c r="AO64" s="115" t="s">
        <v>1645</v>
      </c>
      <c r="AT64" s="115" t="s">
        <v>1416</v>
      </c>
      <c r="AU64" s="115" t="s">
        <v>2114</v>
      </c>
      <c r="AV64" s="115">
        <v>0</v>
      </c>
      <c r="AW64" s="115" t="s">
        <v>1681</v>
      </c>
      <c r="AX64" s="115" t="s">
        <v>1842</v>
      </c>
      <c r="AY64" s="115" t="s">
        <v>1848</v>
      </c>
      <c r="AZ64" s="115" t="s">
        <v>1870</v>
      </c>
      <c r="BA64" s="115"/>
      <c r="BB64" s="115"/>
      <c r="BC64" s="115"/>
      <c r="BD64" s="115"/>
      <c r="BE64" s="115"/>
      <c r="BF64" s="115"/>
      <c r="BG64" s="115">
        <v>1616.4080000000001</v>
      </c>
      <c r="BH64" s="115"/>
      <c r="BI64" s="115"/>
      <c r="BJ64" s="115"/>
      <c r="BK64" s="115"/>
      <c r="BL64" s="115"/>
      <c r="BM64" s="115"/>
      <c r="BN64" s="115"/>
      <c r="BO64" s="115"/>
      <c r="BP64" s="115"/>
      <c r="BQ64" s="115"/>
      <c r="BR64" s="182"/>
      <c r="CF64" s="115" t="s">
        <v>1415</v>
      </c>
      <c r="CG64" s="115">
        <v>16</v>
      </c>
      <c r="CH64" s="330">
        <v>28747.051964458333</v>
      </c>
      <c r="CI64" s="330">
        <v>28401.500515463918</v>
      </c>
      <c r="CJ64" s="330">
        <v>13810.504017072917</v>
      </c>
      <c r="CK64" s="330">
        <v>14936.547947385418</v>
      </c>
      <c r="CL64" s="184">
        <v>568.27854166666668</v>
      </c>
      <c r="CM64" s="184">
        <v>585.85416666666674</v>
      </c>
      <c r="CN64" s="184">
        <v>284.13927083333334</v>
      </c>
      <c r="CO64" s="184">
        <v>284.13927083333334</v>
      </c>
      <c r="CP64" s="330">
        <v>48.478788974156963</v>
      </c>
      <c r="CQ64" s="187">
        <v>0.5</v>
      </c>
      <c r="CR64" s="187">
        <v>1.01216666171586</v>
      </c>
      <c r="CS64" s="115" t="s">
        <v>360</v>
      </c>
      <c r="CV64" s="115">
        <v>2024.47</v>
      </c>
      <c r="CW64" s="115" t="s">
        <v>1415</v>
      </c>
      <c r="CX64" s="115" t="s">
        <v>380</v>
      </c>
      <c r="CY64" s="115" t="s">
        <v>2063</v>
      </c>
      <c r="CZ64" s="330">
        <v>1816.788</v>
      </c>
      <c r="DA64" s="115"/>
      <c r="DB64" s="115"/>
      <c r="DC64" s="115" t="s">
        <v>1415</v>
      </c>
      <c r="DD64" s="115" t="s">
        <v>2114</v>
      </c>
      <c r="DE64" s="115" t="s">
        <v>298</v>
      </c>
      <c r="DF64" s="115" t="s">
        <v>1280</v>
      </c>
      <c r="DG64" s="115">
        <v>12</v>
      </c>
      <c r="DR64" s="214"/>
      <c r="DY64" s="115"/>
      <c r="DZ64" s="115" t="s">
        <v>1416</v>
      </c>
      <c r="EA64" s="115" t="s">
        <v>2114</v>
      </c>
      <c r="EB64" s="115">
        <v>0</v>
      </c>
      <c r="EC64" s="115" t="s">
        <v>210</v>
      </c>
      <c r="ED64" s="115" t="s">
        <v>1697</v>
      </c>
      <c r="EE64" s="187">
        <v>0.1</v>
      </c>
      <c r="EF64" s="330">
        <v>34.64</v>
      </c>
      <c r="EG64" s="330">
        <v>24.98</v>
      </c>
      <c r="EH64" s="115" t="s">
        <v>383</v>
      </c>
      <c r="EI64" s="115" t="s">
        <v>1811</v>
      </c>
      <c r="EJ64" s="115"/>
      <c r="EK64" s="115" t="s">
        <v>1828</v>
      </c>
      <c r="EL64" s="115" t="s">
        <v>383</v>
      </c>
      <c r="EM64"/>
      <c r="EO64" s="115"/>
      <c r="EP64" s="334" t="s">
        <v>1416</v>
      </c>
      <c r="EQ64" s="334" t="s">
        <v>2114</v>
      </c>
      <c r="ER64" s="334" t="s">
        <v>1473</v>
      </c>
      <c r="ES64" s="334" t="s">
        <v>373</v>
      </c>
      <c r="ET64" s="334">
        <v>2024.44</v>
      </c>
      <c r="EU64" s="334" t="s">
        <v>1382</v>
      </c>
      <c r="EV64" s="334">
        <v>9229.9599999999991</v>
      </c>
    </row>
    <row r="65" spans="4:152" ht="13">
      <c r="D65" s="115" t="s">
        <v>2155</v>
      </c>
      <c r="E65" s="115" t="s">
        <v>380</v>
      </c>
      <c r="F65" s="115">
        <v>8175.5460000000003</v>
      </c>
      <c r="I65" s="115" t="s">
        <v>1502</v>
      </c>
      <c r="J65" s="115" t="s">
        <v>1366</v>
      </c>
      <c r="K65" s="183">
        <v>3</v>
      </c>
      <c r="AG65" s="115"/>
      <c r="AH65" s="115"/>
      <c r="AI65" s="115" t="s">
        <v>1416</v>
      </c>
      <c r="AJ65" t="s">
        <v>2114</v>
      </c>
      <c r="AK65" s="115">
        <v>0</v>
      </c>
      <c r="AL65" s="115" t="s">
        <v>28</v>
      </c>
      <c r="AM65" s="115" t="s">
        <v>1848</v>
      </c>
      <c r="AN65" s="115" t="s">
        <v>1442</v>
      </c>
      <c r="AO65" s="115" t="s">
        <v>1645</v>
      </c>
      <c r="AT65" s="115" t="s">
        <v>1415</v>
      </c>
      <c r="AU65" s="115" t="s">
        <v>2114</v>
      </c>
      <c r="AV65" s="115">
        <v>15</v>
      </c>
      <c r="AW65" s="115" t="s">
        <v>1681</v>
      </c>
      <c r="AX65" s="115" t="s">
        <v>1842</v>
      </c>
      <c r="AY65" s="115" t="s">
        <v>1843</v>
      </c>
      <c r="AZ65" s="115" t="s">
        <v>1870</v>
      </c>
      <c r="BA65" s="115"/>
      <c r="BB65" s="115"/>
      <c r="BC65" s="115"/>
      <c r="BD65" s="115"/>
      <c r="BE65" s="115">
        <v>13967.896494845361</v>
      </c>
      <c r="BF65" s="115"/>
      <c r="BG65" s="115"/>
      <c r="BH65" s="115"/>
      <c r="BI65" s="115">
        <v>9356.4647422680409</v>
      </c>
      <c r="BJ65" s="115"/>
      <c r="BK65" s="115"/>
      <c r="BL65" s="115"/>
      <c r="BM65" s="115"/>
      <c r="BN65" s="115"/>
      <c r="BO65" s="115"/>
      <c r="BP65" s="115"/>
      <c r="BQ65" s="115"/>
      <c r="BR65" s="115"/>
      <c r="CF65" s="115" t="s">
        <v>1415</v>
      </c>
      <c r="CG65" s="115">
        <v>16</v>
      </c>
      <c r="CH65" s="330">
        <v>4918.6413370500004</v>
      </c>
      <c r="CI65" s="330">
        <v>4859.4311340206186</v>
      </c>
      <c r="CJ65" s="330">
        <v>2352.7059829350001</v>
      </c>
      <c r="CK65" s="330">
        <v>2565.9353541150003</v>
      </c>
      <c r="CL65" s="184">
        <v>101.2389</v>
      </c>
      <c r="CM65" s="184">
        <v>104.37</v>
      </c>
      <c r="CN65" s="184">
        <v>50.619450000000001</v>
      </c>
      <c r="CO65" s="184">
        <v>50.619450000000001</v>
      </c>
      <c r="CP65" s="330">
        <v>46.559654441128856</v>
      </c>
      <c r="CQ65" s="187">
        <v>0.5</v>
      </c>
      <c r="CR65" s="187">
        <v>1.0121845955619899</v>
      </c>
      <c r="CS65" s="115" t="s">
        <v>1643</v>
      </c>
      <c r="CV65" s="115">
        <v>2025.03</v>
      </c>
      <c r="CW65" s="115" t="s">
        <v>1415</v>
      </c>
      <c r="CX65" s="115" t="s">
        <v>380</v>
      </c>
      <c r="CY65" s="115" t="s">
        <v>2063</v>
      </c>
      <c r="CZ65" s="330">
        <v>7267.152</v>
      </c>
      <c r="DA65" s="115"/>
      <c r="DB65" s="115"/>
      <c r="DC65" s="115" t="s">
        <v>1415</v>
      </c>
      <c r="DD65" s="115" t="s">
        <v>2114</v>
      </c>
      <c r="DE65" s="115" t="s">
        <v>362</v>
      </c>
      <c r="DF65" s="115" t="s">
        <v>1280</v>
      </c>
      <c r="DG65" s="115">
        <v>97967.27</v>
      </c>
      <c r="DR65" s="214"/>
      <c r="DY65" s="115"/>
      <c r="DZ65" s="115" t="s">
        <v>1415</v>
      </c>
      <c r="EA65" s="115" t="s">
        <v>2114</v>
      </c>
      <c r="EB65" s="115">
        <v>0</v>
      </c>
      <c r="EC65" s="115" t="s">
        <v>210</v>
      </c>
      <c r="ED65" s="115" t="s">
        <v>1697</v>
      </c>
      <c r="EE65" s="187">
        <v>0.1</v>
      </c>
      <c r="EF65" s="330">
        <v>40.307299999999998</v>
      </c>
      <c r="EG65" s="330">
        <v>29.312100000000001</v>
      </c>
      <c r="EH65" s="115" t="s">
        <v>383</v>
      </c>
      <c r="EI65" s="115" t="s">
        <v>1811</v>
      </c>
      <c r="EJ65" s="115"/>
      <c r="EK65" s="115" t="s">
        <v>1828</v>
      </c>
      <c r="EL65" s="115" t="s">
        <v>383</v>
      </c>
      <c r="EM65"/>
      <c r="EO65" s="115"/>
      <c r="EP65" s="334" t="s">
        <v>1416</v>
      </c>
      <c r="EQ65" s="334" t="s">
        <v>2114</v>
      </c>
      <c r="ER65" s="334" t="s">
        <v>1473</v>
      </c>
      <c r="ES65" s="334" t="s">
        <v>380</v>
      </c>
      <c r="ET65" s="334">
        <v>2024.44</v>
      </c>
      <c r="EU65" s="334" t="s">
        <v>397</v>
      </c>
      <c r="EV65" s="334">
        <v>0</v>
      </c>
    </row>
    <row r="66" spans="4:152" ht="13">
      <c r="D66" s="115" t="s">
        <v>2155</v>
      </c>
      <c r="E66" s="115" t="s">
        <v>372</v>
      </c>
      <c r="F66" s="115">
        <v>6323.3918999999996</v>
      </c>
      <c r="I66" s="115" t="s">
        <v>1502</v>
      </c>
      <c r="J66" s="115" t="s">
        <v>1357</v>
      </c>
      <c r="K66" s="183">
        <v>53394.642</v>
      </c>
      <c r="AG66" s="115"/>
      <c r="AH66" s="115"/>
      <c r="AI66" s="115" t="s">
        <v>1416</v>
      </c>
      <c r="AJ66" t="s">
        <v>2114</v>
      </c>
      <c r="AK66" s="115">
        <v>0</v>
      </c>
      <c r="AL66" s="115" t="s">
        <v>28</v>
      </c>
      <c r="AM66" s="115" t="s">
        <v>1846</v>
      </c>
      <c r="AN66" s="115" t="s">
        <v>1442</v>
      </c>
      <c r="AO66" s="115" t="s">
        <v>1645</v>
      </c>
      <c r="AT66" s="115" t="s">
        <v>1416</v>
      </c>
      <c r="AU66" s="115" t="s">
        <v>2114</v>
      </c>
      <c r="AV66" s="115">
        <v>0</v>
      </c>
      <c r="AW66" s="115" t="s">
        <v>1681</v>
      </c>
      <c r="AX66" s="115" t="s">
        <v>1842</v>
      </c>
      <c r="AY66" s="115" t="s">
        <v>1843</v>
      </c>
      <c r="AZ66" s="115" t="s">
        <v>1870</v>
      </c>
      <c r="BA66" s="115"/>
      <c r="BB66" s="115"/>
      <c r="BC66" s="115"/>
      <c r="BD66" s="115"/>
      <c r="BE66" s="115"/>
      <c r="BF66" s="115"/>
      <c r="BG66" s="115">
        <v>4642.6168041237115</v>
      </c>
      <c r="BH66" s="115"/>
      <c r="BI66" s="115"/>
      <c r="BJ66" s="115"/>
      <c r="BK66" s="115"/>
      <c r="BL66" s="115"/>
      <c r="BM66" s="115"/>
      <c r="BN66" s="115"/>
      <c r="BO66" s="115"/>
      <c r="BP66" s="115"/>
      <c r="BQ66" s="115"/>
      <c r="BR66" s="115"/>
      <c r="CF66" s="115" t="s">
        <v>1415</v>
      </c>
      <c r="CG66" s="115">
        <v>16</v>
      </c>
      <c r="CH66" s="330">
        <v>2851.55990075</v>
      </c>
      <c r="CI66" s="330">
        <v>2829.5851546391755</v>
      </c>
      <c r="CJ66" s="330">
        <v>2851.55990075</v>
      </c>
      <c r="CK66" s="330">
        <v>0</v>
      </c>
      <c r="CL66" s="184">
        <v>61.352499999999999</v>
      </c>
      <c r="CM66" s="184">
        <v>63.25</v>
      </c>
      <c r="CN66" s="184">
        <v>61.352499999999999</v>
      </c>
      <c r="CO66" s="184">
        <v>0</v>
      </c>
      <c r="CP66" s="330">
        <v>44.736524184018585</v>
      </c>
      <c r="CQ66" s="187">
        <v>1</v>
      </c>
      <c r="CR66" s="187">
        <v>1.00776606637012</v>
      </c>
      <c r="CS66" s="115" t="s">
        <v>1644</v>
      </c>
      <c r="CV66" s="115">
        <v>2025.04</v>
      </c>
      <c r="CW66" s="115" t="s">
        <v>1415</v>
      </c>
      <c r="CX66" s="115" t="s">
        <v>380</v>
      </c>
      <c r="CY66" s="115" t="s">
        <v>2063</v>
      </c>
      <c r="CZ66" s="330">
        <v>9689.5360000000001</v>
      </c>
      <c r="DA66" s="115"/>
      <c r="DB66" s="115"/>
      <c r="DC66" s="115" t="s">
        <v>1415</v>
      </c>
      <c r="DD66" s="115" t="s">
        <v>2114</v>
      </c>
      <c r="DE66" s="115" t="s">
        <v>368</v>
      </c>
      <c r="DF66" s="115" t="s">
        <v>1280</v>
      </c>
      <c r="DG66" s="115">
        <v>36132.57</v>
      </c>
      <c r="DR66" s="214"/>
      <c r="DY66" s="115"/>
      <c r="DZ66" s="115" t="s">
        <v>1415</v>
      </c>
      <c r="EA66" s="115" t="s">
        <v>2114</v>
      </c>
      <c r="EB66" s="115">
        <v>16</v>
      </c>
      <c r="EC66" s="115" t="s">
        <v>210</v>
      </c>
      <c r="ED66" s="115" t="s">
        <v>1697</v>
      </c>
      <c r="EE66" s="187">
        <v>0.1</v>
      </c>
      <c r="EF66" s="330">
        <v>40.307299999999998</v>
      </c>
      <c r="EG66" s="330">
        <v>29.312100000000001</v>
      </c>
      <c r="EH66" s="115" t="s">
        <v>383</v>
      </c>
      <c r="EI66" s="115" t="s">
        <v>1811</v>
      </c>
      <c r="EJ66" s="115"/>
      <c r="EK66" s="115" t="s">
        <v>1828</v>
      </c>
      <c r="EL66" s="115" t="s">
        <v>383</v>
      </c>
      <c r="EM66"/>
      <c r="EO66" s="115"/>
      <c r="EP66" s="334" t="s">
        <v>1416</v>
      </c>
      <c r="EQ66" s="334" t="s">
        <v>2114</v>
      </c>
      <c r="ER66" s="334" t="s">
        <v>1473</v>
      </c>
      <c r="ES66" s="334" t="s">
        <v>380</v>
      </c>
      <c r="ET66" s="334">
        <v>2024.44</v>
      </c>
      <c r="EU66" s="334" t="s">
        <v>1382</v>
      </c>
      <c r="EV66" s="334">
        <v>613.75</v>
      </c>
    </row>
    <row r="67" spans="4:152" ht="13">
      <c r="D67" s="115" t="s">
        <v>2183</v>
      </c>
      <c r="E67" s="115" t="s">
        <v>1643</v>
      </c>
      <c r="F67" s="115">
        <v>1070.8731</v>
      </c>
      <c r="I67" s="115" t="s">
        <v>1503</v>
      </c>
      <c r="J67" s="115" t="s">
        <v>1363</v>
      </c>
      <c r="K67" s="183">
        <v>125</v>
      </c>
      <c r="AG67" s="115"/>
      <c r="AH67" s="115"/>
      <c r="AI67" s="115" t="s">
        <v>1416</v>
      </c>
      <c r="AJ67" t="s">
        <v>2114</v>
      </c>
      <c r="AK67" s="115">
        <v>0</v>
      </c>
      <c r="AL67" s="115" t="s">
        <v>28</v>
      </c>
      <c r="AM67" s="115" t="s">
        <v>1843</v>
      </c>
      <c r="AN67" s="115" t="s">
        <v>1442</v>
      </c>
      <c r="AO67" s="115" t="s">
        <v>1645</v>
      </c>
      <c r="AT67" s="115" t="s">
        <v>1415</v>
      </c>
      <c r="AU67" s="115" t="s">
        <v>2114</v>
      </c>
      <c r="AV67" s="115">
        <v>15</v>
      </c>
      <c r="AW67" s="115" t="s">
        <v>1681</v>
      </c>
      <c r="AX67" s="115" t="s">
        <v>1842</v>
      </c>
      <c r="AY67" s="115" t="s">
        <v>1849</v>
      </c>
      <c r="AZ67" s="115" t="s">
        <v>1870</v>
      </c>
      <c r="BA67" s="115"/>
      <c r="BB67" s="115"/>
      <c r="BC67" s="115"/>
      <c r="BD67" s="115"/>
      <c r="BE67" s="115">
        <v>145.5</v>
      </c>
      <c r="BF67" s="115"/>
      <c r="BG67" s="115"/>
      <c r="BH67" s="115"/>
      <c r="BI67" s="115">
        <v>224.79750000000001</v>
      </c>
      <c r="BJ67" s="115"/>
      <c r="BK67" s="115"/>
      <c r="BL67" s="115"/>
      <c r="BM67" s="115"/>
      <c r="BN67" s="115"/>
      <c r="BO67" s="115"/>
      <c r="BP67" s="115"/>
      <c r="BQ67" s="115"/>
      <c r="BR67" s="115"/>
      <c r="CF67" s="115" t="s">
        <v>1415</v>
      </c>
      <c r="CG67" s="115">
        <v>16</v>
      </c>
      <c r="CH67" s="330">
        <v>14590.180783413891</v>
      </c>
      <c r="CI67" s="330">
        <v>14377.944845360826</v>
      </c>
      <c r="CJ67" s="330">
        <v>2570.461989687778</v>
      </c>
      <c r="CK67" s="330">
        <v>12019.718793726113</v>
      </c>
      <c r="CL67" s="184">
        <v>285.81521527777784</v>
      </c>
      <c r="CM67" s="184">
        <v>294.65486111111113</v>
      </c>
      <c r="CN67" s="184">
        <v>57.163043055555562</v>
      </c>
      <c r="CO67" s="184">
        <v>228.65217222222225</v>
      </c>
      <c r="CP67" s="330">
        <v>48.795885434040265</v>
      </c>
      <c r="CQ67" s="187">
        <v>0.2</v>
      </c>
      <c r="CR67" s="187">
        <v>1.01476121520396</v>
      </c>
      <c r="CS67" s="115" t="s">
        <v>372</v>
      </c>
      <c r="CV67" s="115">
        <v>2024.48</v>
      </c>
      <c r="CW67" s="115" t="s">
        <v>1415</v>
      </c>
      <c r="CX67" s="115" t="s">
        <v>387</v>
      </c>
      <c r="CY67" s="115" t="s">
        <v>2063</v>
      </c>
      <c r="CZ67" s="330">
        <v>3093.7379999999998</v>
      </c>
      <c r="DA67" s="115"/>
      <c r="DB67" s="115"/>
      <c r="DC67" s="115" t="s">
        <v>1415</v>
      </c>
      <c r="DD67" s="115" t="s">
        <v>2114</v>
      </c>
      <c r="DE67" s="115" t="s">
        <v>1410</v>
      </c>
      <c r="DF67" s="115" t="s">
        <v>1280</v>
      </c>
      <c r="DG67" s="115">
        <v>105681.19</v>
      </c>
      <c r="DR67" s="214"/>
      <c r="DY67" s="115"/>
      <c r="DZ67" s="115" t="s">
        <v>1415</v>
      </c>
      <c r="EA67" s="115" t="s">
        <v>2114</v>
      </c>
      <c r="EB67" s="115">
        <v>15</v>
      </c>
      <c r="EC67" s="115" t="s">
        <v>138</v>
      </c>
      <c r="ED67" s="115" t="s">
        <v>1697</v>
      </c>
      <c r="EE67" s="187">
        <v>1</v>
      </c>
      <c r="EF67" s="330">
        <v>53.569899999999997</v>
      </c>
      <c r="EG67" s="330">
        <v>0</v>
      </c>
      <c r="EH67" s="115" t="s">
        <v>387</v>
      </c>
      <c r="EI67" s="115" t="s">
        <v>1809</v>
      </c>
      <c r="EJ67" s="115"/>
      <c r="EK67" s="115" t="s">
        <v>479</v>
      </c>
      <c r="EL67" s="115" t="s">
        <v>387</v>
      </c>
      <c r="EM67"/>
      <c r="EO67" s="115"/>
      <c r="EP67" s="334" t="s">
        <v>1416</v>
      </c>
      <c r="EQ67" s="334" t="s">
        <v>2114</v>
      </c>
      <c r="ER67" s="334" t="s">
        <v>1243</v>
      </c>
      <c r="ES67" s="334" t="s">
        <v>386</v>
      </c>
      <c r="ET67" s="334">
        <v>2024.44</v>
      </c>
      <c r="EU67" s="334" t="s">
        <v>397</v>
      </c>
      <c r="EV67" s="334">
        <v>0</v>
      </c>
    </row>
    <row r="68" spans="4:152" ht="13">
      <c r="D68" s="115" t="s">
        <v>2183</v>
      </c>
      <c r="E68" s="115" t="s">
        <v>1274</v>
      </c>
      <c r="F68" s="115">
        <v>74.8934</v>
      </c>
      <c r="I68" s="115" t="s">
        <v>1503</v>
      </c>
      <c r="J68" s="115" t="s">
        <v>1353</v>
      </c>
      <c r="K68" s="183" t="s">
        <v>1504</v>
      </c>
      <c r="AG68" s="115"/>
      <c r="AH68" s="115"/>
      <c r="AI68" s="115" t="s">
        <v>1416</v>
      </c>
      <c r="AJ68" t="s">
        <v>2114</v>
      </c>
      <c r="AK68" s="115">
        <v>0</v>
      </c>
      <c r="AL68" s="115" t="s">
        <v>28</v>
      </c>
      <c r="AM68" s="115" t="s">
        <v>1849</v>
      </c>
      <c r="AN68" s="115" t="s">
        <v>1442</v>
      </c>
      <c r="AO68" s="115" t="s">
        <v>1645</v>
      </c>
      <c r="AT68" s="115" t="s">
        <v>1416</v>
      </c>
      <c r="AU68" s="115" t="s">
        <v>2114</v>
      </c>
      <c r="AV68" s="115">
        <v>0</v>
      </c>
      <c r="AW68" s="115" t="s">
        <v>1681</v>
      </c>
      <c r="AX68" s="115" t="s">
        <v>1842</v>
      </c>
      <c r="AY68" s="115" t="s">
        <v>1849</v>
      </c>
      <c r="AZ68" s="115" t="s">
        <v>1870</v>
      </c>
      <c r="BA68" s="115"/>
      <c r="BB68" s="115"/>
      <c r="BC68" s="115"/>
      <c r="BD68" s="115"/>
      <c r="BE68" s="115"/>
      <c r="BF68" s="115"/>
      <c r="BG68" s="115">
        <v>58.199999999999996</v>
      </c>
      <c r="BH68" s="115"/>
      <c r="BI68" s="115"/>
      <c r="BJ68" s="115"/>
      <c r="BK68" s="115"/>
      <c r="BL68" s="115"/>
      <c r="BM68" s="115"/>
      <c r="BN68" s="115"/>
      <c r="BO68" s="115"/>
      <c r="BP68" s="115"/>
      <c r="BQ68" s="115"/>
      <c r="BR68" s="115"/>
      <c r="CF68" s="115" t="s">
        <v>1415</v>
      </c>
      <c r="CG68" s="115">
        <v>16</v>
      </c>
      <c r="CH68" s="330">
        <v>109161.05559343618</v>
      </c>
      <c r="CI68" s="330">
        <v>104053.22321752578</v>
      </c>
      <c r="CJ68" s="330">
        <v>6294.4892267006353</v>
      </c>
      <c r="CK68" s="330">
        <v>102866.56636673554</v>
      </c>
      <c r="CL68" s="184">
        <v>1445.9586201060001</v>
      </c>
      <c r="CM68" s="184">
        <v>1490.6789898000002</v>
      </c>
      <c r="CN68" s="184">
        <v>144.59586201060003</v>
      </c>
      <c r="CO68" s="184">
        <v>1301.3627580954001</v>
      </c>
      <c r="CP68" s="330">
        <v>69.802569117504149</v>
      </c>
      <c r="CQ68" s="187">
        <v>0.1</v>
      </c>
      <c r="CR68" s="187">
        <v>1.0490886511533799</v>
      </c>
      <c r="CS68" s="115" t="s">
        <v>379</v>
      </c>
      <c r="CV68" s="115">
        <v>2024.48</v>
      </c>
      <c r="CW68" s="115" t="s">
        <v>1415</v>
      </c>
      <c r="CX68" s="115" t="s">
        <v>380</v>
      </c>
      <c r="CY68" s="115" t="s">
        <v>2063</v>
      </c>
      <c r="CZ68" s="330">
        <v>7267.152</v>
      </c>
      <c r="DA68" s="115"/>
      <c r="DB68" s="115"/>
      <c r="DC68" s="115" t="s">
        <v>1415</v>
      </c>
      <c r="DD68" s="115" t="s">
        <v>2114</v>
      </c>
      <c r="DE68" s="115" t="s">
        <v>1473</v>
      </c>
      <c r="DF68" s="115" t="s">
        <v>1280</v>
      </c>
      <c r="DG68" s="115">
        <v>48.56</v>
      </c>
      <c r="DR68" s="214"/>
      <c r="DY68" s="115"/>
      <c r="DZ68" s="115" t="s">
        <v>1416</v>
      </c>
      <c r="EA68" s="115" t="s">
        <v>2114</v>
      </c>
      <c r="EB68" s="115">
        <v>0</v>
      </c>
      <c r="EC68" s="115" t="s">
        <v>138</v>
      </c>
      <c r="ED68" s="115" t="s">
        <v>1697</v>
      </c>
      <c r="EE68" s="187">
        <v>1</v>
      </c>
      <c r="EF68" s="330">
        <v>49.63</v>
      </c>
      <c r="EG68" s="330">
        <v>0</v>
      </c>
      <c r="EH68" s="115" t="s">
        <v>387</v>
      </c>
      <c r="EI68" s="115" t="s">
        <v>1809</v>
      </c>
      <c r="EJ68" s="115"/>
      <c r="EK68" s="115" t="s">
        <v>479</v>
      </c>
      <c r="EL68" s="115" t="s">
        <v>387</v>
      </c>
      <c r="EM68"/>
      <c r="EO68" s="115"/>
      <c r="EP68" s="334" t="s">
        <v>1416</v>
      </c>
      <c r="EQ68" s="334" t="s">
        <v>2114</v>
      </c>
      <c r="ER68" s="334" t="s">
        <v>1243</v>
      </c>
      <c r="ES68" s="334" t="s">
        <v>386</v>
      </c>
      <c r="ET68" s="334">
        <v>2024.44</v>
      </c>
      <c r="EU68" s="334" t="s">
        <v>1382</v>
      </c>
      <c r="EV68" s="334">
        <v>2332.1867000000002</v>
      </c>
    </row>
    <row r="69" spans="4:152" ht="13">
      <c r="D69" s="115" t="s">
        <v>2183</v>
      </c>
      <c r="E69" s="115" t="s">
        <v>379</v>
      </c>
      <c r="F69" s="115">
        <v>253.22</v>
      </c>
      <c r="I69" s="115" t="s">
        <v>1503</v>
      </c>
      <c r="J69" s="115" t="s">
        <v>1369</v>
      </c>
      <c r="K69" s="183">
        <v>13</v>
      </c>
      <c r="AG69" s="115"/>
      <c r="AH69" s="115"/>
      <c r="AI69" s="115" t="s">
        <v>1416</v>
      </c>
      <c r="AJ69" t="s">
        <v>2114</v>
      </c>
      <c r="AK69" s="115">
        <v>0</v>
      </c>
      <c r="AL69" s="115" t="s">
        <v>28</v>
      </c>
      <c r="AM69" s="115" t="s">
        <v>1843</v>
      </c>
      <c r="AN69" s="115" t="s">
        <v>1442</v>
      </c>
      <c r="AO69" s="115" t="s">
        <v>1646</v>
      </c>
      <c r="AT69" s="115" t="s">
        <v>1415</v>
      </c>
      <c r="AU69" s="115" t="s">
        <v>2114</v>
      </c>
      <c r="AV69" s="115">
        <v>15</v>
      </c>
      <c r="AW69" s="115" t="s">
        <v>1681</v>
      </c>
      <c r="AX69" s="115" t="s">
        <v>1842</v>
      </c>
      <c r="AY69" s="115" t="s">
        <v>1850</v>
      </c>
      <c r="AZ69" s="115" t="s">
        <v>1870</v>
      </c>
      <c r="BA69" s="115"/>
      <c r="BB69" s="115"/>
      <c r="BC69" s="115"/>
      <c r="BD69" s="115"/>
      <c r="BE69" s="115">
        <v>145.5</v>
      </c>
      <c r="BF69" s="115"/>
      <c r="BG69" s="115"/>
      <c r="BH69" s="115"/>
      <c r="BI69" s="115">
        <v>74.932500000000005</v>
      </c>
      <c r="BJ69" s="115"/>
      <c r="BK69" s="115"/>
      <c r="BL69" s="115"/>
      <c r="BM69" s="115"/>
      <c r="BN69" s="115"/>
      <c r="BO69" s="115"/>
      <c r="BP69" s="115"/>
      <c r="BQ69" s="115"/>
      <c r="BR69" s="115"/>
      <c r="CF69" s="115" t="s">
        <v>1415</v>
      </c>
      <c r="CG69" s="115">
        <v>16</v>
      </c>
      <c r="CH69" s="330">
        <v>15216.995167237501</v>
      </c>
      <c r="CI69" s="330">
        <v>13968.908762886598</v>
      </c>
      <c r="CJ69" s="330">
        <v>4569.2771861325</v>
      </c>
      <c r="CK69" s="330">
        <v>10647.717981105001</v>
      </c>
      <c r="CL69" s="184">
        <v>438.34106000000003</v>
      </c>
      <c r="CM69" s="184">
        <v>451.89800000000002</v>
      </c>
      <c r="CN69" s="184">
        <v>116.13276500000001</v>
      </c>
      <c r="CO69" s="184">
        <v>322.20829500000002</v>
      </c>
      <c r="CP69" s="330">
        <v>30.911641040426375</v>
      </c>
      <c r="CQ69" s="187">
        <v>0.264936999057309</v>
      </c>
      <c r="CR69" s="187">
        <v>1.0893474519403299</v>
      </c>
      <c r="CS69" s="115" t="s">
        <v>380</v>
      </c>
      <c r="CV69" s="115">
        <v>2024.47</v>
      </c>
      <c r="CW69" s="115" t="s">
        <v>1415</v>
      </c>
      <c r="CX69" s="115" t="s">
        <v>1645</v>
      </c>
      <c r="CY69" s="115" t="s">
        <v>2063</v>
      </c>
      <c r="CZ69" s="330">
        <v>1112.0999999999999</v>
      </c>
      <c r="DA69" s="115"/>
      <c r="DB69" s="115"/>
      <c r="DC69" s="115" t="s">
        <v>1415</v>
      </c>
      <c r="DD69" s="115" t="s">
        <v>2114</v>
      </c>
      <c r="DE69" s="115" t="s">
        <v>1475</v>
      </c>
      <c r="DF69" s="115" t="s">
        <v>1280</v>
      </c>
      <c r="DG69" s="115">
        <v>110462.9</v>
      </c>
      <c r="DR69" s="214"/>
      <c r="DY69" s="115"/>
      <c r="DZ69" s="115" t="s">
        <v>1415</v>
      </c>
      <c r="EA69" s="115" t="s">
        <v>2114</v>
      </c>
      <c r="EB69" s="115">
        <v>0</v>
      </c>
      <c r="EC69" s="115" t="s">
        <v>138</v>
      </c>
      <c r="ED69" s="115" t="s">
        <v>1697</v>
      </c>
      <c r="EE69" s="187">
        <v>1</v>
      </c>
      <c r="EF69" s="330">
        <v>53.569899999999997</v>
      </c>
      <c r="EG69" s="330">
        <v>0</v>
      </c>
      <c r="EH69" s="115" t="s">
        <v>387</v>
      </c>
      <c r="EI69" s="115" t="s">
        <v>1809</v>
      </c>
      <c r="EJ69" s="115"/>
      <c r="EK69" s="115" t="s">
        <v>479</v>
      </c>
      <c r="EL69" s="115" t="s">
        <v>387</v>
      </c>
      <c r="EM69"/>
      <c r="EO69" s="115"/>
      <c r="EP69" s="334" t="s">
        <v>1416</v>
      </c>
      <c r="EQ69" s="334" t="s">
        <v>2114</v>
      </c>
      <c r="ER69" s="334" t="s">
        <v>301</v>
      </c>
      <c r="ES69" s="334" t="s">
        <v>386</v>
      </c>
      <c r="ET69" s="334">
        <v>2023.44</v>
      </c>
      <c r="EU69" s="334" t="s">
        <v>397</v>
      </c>
      <c r="EV69" s="334">
        <v>7019.4058999999997</v>
      </c>
    </row>
    <row r="70" spans="4:152" ht="13">
      <c r="D70" s="115" t="s">
        <v>2183</v>
      </c>
      <c r="E70" s="115" t="s">
        <v>1641</v>
      </c>
      <c r="F70" s="115">
        <v>103.1246</v>
      </c>
      <c r="I70" s="115" t="s">
        <v>1503</v>
      </c>
      <c r="J70" s="115" t="s">
        <v>1355</v>
      </c>
      <c r="K70" s="183">
        <v>8</v>
      </c>
      <c r="AG70" s="115"/>
      <c r="AH70" s="115"/>
      <c r="AI70" s="115" t="s">
        <v>1416</v>
      </c>
      <c r="AJ70" t="s">
        <v>2114</v>
      </c>
      <c r="AK70" s="115">
        <v>0</v>
      </c>
      <c r="AL70" s="115" t="s">
        <v>28</v>
      </c>
      <c r="AM70" s="115" t="s">
        <v>1846</v>
      </c>
      <c r="AN70" s="115" t="s">
        <v>1442</v>
      </c>
      <c r="AO70" s="115" t="s">
        <v>1646</v>
      </c>
      <c r="AT70" s="115" t="s">
        <v>1416</v>
      </c>
      <c r="AU70" s="115" t="s">
        <v>2114</v>
      </c>
      <c r="AV70" s="115">
        <v>0</v>
      </c>
      <c r="AW70" s="115" t="s">
        <v>1681</v>
      </c>
      <c r="AX70" s="115" t="s">
        <v>1842</v>
      </c>
      <c r="AY70" s="115" t="s">
        <v>1850</v>
      </c>
      <c r="AZ70" s="115" t="s">
        <v>1870</v>
      </c>
      <c r="BA70" s="115"/>
      <c r="BB70" s="115"/>
      <c r="BC70" s="115"/>
      <c r="BD70" s="115"/>
      <c r="BE70" s="115"/>
      <c r="BF70" s="115"/>
      <c r="BG70" s="115">
        <v>38.800000000000004</v>
      </c>
      <c r="BH70" s="115"/>
      <c r="BI70" s="115"/>
      <c r="BJ70" s="115"/>
      <c r="BK70" s="115"/>
      <c r="BL70" s="115"/>
      <c r="BM70" s="115"/>
      <c r="BN70" s="115"/>
      <c r="BO70" s="115"/>
      <c r="BP70" s="115"/>
      <c r="BQ70" s="115"/>
      <c r="BR70" s="115"/>
      <c r="CH70" s="330"/>
      <c r="CI70" s="330"/>
      <c r="CJ70" s="330"/>
      <c r="CK70" s="330"/>
      <c r="CP70" s="330"/>
      <c r="CV70" s="115">
        <v>2024.47</v>
      </c>
      <c r="CW70" s="115" t="s">
        <v>1415</v>
      </c>
      <c r="CX70" s="115" t="s">
        <v>377</v>
      </c>
      <c r="CY70" s="115" t="s">
        <v>2063</v>
      </c>
      <c r="CZ70" s="330">
        <v>465.59699999999998</v>
      </c>
      <c r="DA70" s="115"/>
      <c r="DB70" s="115"/>
      <c r="DC70" s="115" t="s">
        <v>1416</v>
      </c>
      <c r="DD70" s="115" t="s">
        <v>2114</v>
      </c>
      <c r="DE70" s="115" t="s">
        <v>1475</v>
      </c>
      <c r="DF70" s="115" t="s">
        <v>1264</v>
      </c>
      <c r="DG70" s="115">
        <v>23483.86</v>
      </c>
      <c r="DR70" s="214"/>
      <c r="DY70" s="115"/>
      <c r="DZ70" s="115" t="s">
        <v>1415</v>
      </c>
      <c r="EA70" s="115" t="s">
        <v>2114</v>
      </c>
      <c r="EB70" s="115">
        <v>16</v>
      </c>
      <c r="EC70" s="115" t="s">
        <v>138</v>
      </c>
      <c r="ED70" s="115" t="s">
        <v>1697</v>
      </c>
      <c r="EE70" s="187">
        <v>1</v>
      </c>
      <c r="EF70" s="330">
        <v>53.569899999999997</v>
      </c>
      <c r="EG70" s="330">
        <v>0</v>
      </c>
      <c r="EH70" s="115" t="s">
        <v>387</v>
      </c>
      <c r="EI70" s="115" t="s">
        <v>1809</v>
      </c>
      <c r="EJ70" s="115"/>
      <c r="EK70" s="115" t="s">
        <v>479</v>
      </c>
      <c r="EL70" s="115" t="s">
        <v>387</v>
      </c>
      <c r="EM70"/>
      <c r="EO70" s="115"/>
      <c r="EP70" s="334" t="s">
        <v>1416</v>
      </c>
      <c r="EQ70" s="334" t="s">
        <v>2114</v>
      </c>
      <c r="ER70" s="334" t="s">
        <v>301</v>
      </c>
      <c r="ES70" s="334" t="s">
        <v>386</v>
      </c>
      <c r="ET70" s="334">
        <v>2023.44</v>
      </c>
      <c r="EU70" s="334" t="s">
        <v>1382</v>
      </c>
      <c r="EV70" s="334">
        <v>7019.4058999999997</v>
      </c>
    </row>
    <row r="71" spans="4:152" ht="13">
      <c r="D71" s="115" t="s">
        <v>2183</v>
      </c>
      <c r="E71" s="115" t="s">
        <v>380</v>
      </c>
      <c r="F71" s="115">
        <v>211.95859999999999</v>
      </c>
      <c r="I71" s="115" t="s">
        <v>1503</v>
      </c>
      <c r="J71" s="115" t="s">
        <v>1361</v>
      </c>
      <c r="K71" s="183">
        <v>69.23</v>
      </c>
      <c r="AG71" s="115"/>
      <c r="AH71" s="115"/>
      <c r="AI71" s="115" t="s">
        <v>1416</v>
      </c>
      <c r="AJ71" t="s">
        <v>2114</v>
      </c>
      <c r="AK71" s="115">
        <v>0</v>
      </c>
      <c r="AL71" s="115" t="s">
        <v>28</v>
      </c>
      <c r="AM71" s="115" t="s">
        <v>1846</v>
      </c>
      <c r="AN71" s="115" t="s">
        <v>1442</v>
      </c>
      <c r="AO71" s="115" t="s">
        <v>1647</v>
      </c>
      <c r="AT71" s="115" t="s">
        <v>1416</v>
      </c>
      <c r="AU71" s="115" t="s">
        <v>2114</v>
      </c>
      <c r="AV71" s="115">
        <v>0</v>
      </c>
      <c r="AW71" s="115" t="s">
        <v>1681</v>
      </c>
      <c r="AX71" s="115" t="s">
        <v>1842</v>
      </c>
      <c r="AY71" s="115" t="s">
        <v>1832</v>
      </c>
      <c r="AZ71" s="115" t="s">
        <v>1870</v>
      </c>
      <c r="BA71" s="115"/>
      <c r="BB71" s="115"/>
      <c r="BC71" s="115"/>
      <c r="BD71" s="115"/>
      <c r="BE71" s="115"/>
      <c r="BF71" s="115"/>
      <c r="BG71" s="115">
        <v>100</v>
      </c>
      <c r="BH71" s="115"/>
      <c r="BI71" s="115"/>
      <c r="BJ71" s="115"/>
      <c r="BK71" s="115"/>
      <c r="BL71" s="115"/>
      <c r="BM71" s="115"/>
      <c r="BN71" s="115"/>
      <c r="BO71" s="115"/>
      <c r="BP71" s="115"/>
      <c r="BQ71" s="115"/>
      <c r="BR71" s="115"/>
      <c r="CH71" s="330"/>
      <c r="CI71" s="330"/>
      <c r="CJ71" s="330"/>
      <c r="CK71" s="330"/>
      <c r="CP71" s="330"/>
      <c r="CV71" s="115">
        <v>2024.48</v>
      </c>
      <c r="CW71" s="115" t="s">
        <v>1415</v>
      </c>
      <c r="CX71" s="115" t="s">
        <v>1645</v>
      </c>
      <c r="CY71" s="115" t="s">
        <v>2063</v>
      </c>
      <c r="CZ71" s="330">
        <v>6672.6</v>
      </c>
      <c r="DA71" s="115"/>
      <c r="DB71" s="115"/>
      <c r="DC71" s="115" t="s">
        <v>1415</v>
      </c>
      <c r="DD71" s="115" t="s">
        <v>2114</v>
      </c>
      <c r="DE71" s="115" t="s">
        <v>298</v>
      </c>
      <c r="DF71" s="115" t="s">
        <v>1264</v>
      </c>
      <c r="DG71" s="115">
        <v>146.47</v>
      </c>
      <c r="DR71" s="214"/>
      <c r="DY71" s="115"/>
      <c r="DZ71" s="115" t="s">
        <v>1415</v>
      </c>
      <c r="EA71" s="115" t="s">
        <v>2114</v>
      </c>
      <c r="EB71" s="115">
        <v>15</v>
      </c>
      <c r="EC71" s="115" t="s">
        <v>141</v>
      </c>
      <c r="ED71" s="115" t="s">
        <v>1697</v>
      </c>
      <c r="EE71" s="187">
        <v>0.5</v>
      </c>
      <c r="EF71" s="330">
        <v>46.478299999999997</v>
      </c>
      <c r="EG71" s="330">
        <v>50.6907</v>
      </c>
      <c r="EH71" s="115" t="s">
        <v>377</v>
      </c>
      <c r="EI71" s="115" t="s">
        <v>1809</v>
      </c>
      <c r="EJ71" s="115"/>
      <c r="EK71" s="115" t="s">
        <v>315</v>
      </c>
      <c r="EL71" s="115" t="s">
        <v>1643</v>
      </c>
      <c r="EM71"/>
      <c r="EO71" s="115"/>
      <c r="EP71" s="334" t="s">
        <v>1416</v>
      </c>
      <c r="EQ71" s="334" t="s">
        <v>2114</v>
      </c>
      <c r="ER71" s="334" t="s">
        <v>301</v>
      </c>
      <c r="ES71" s="334" t="s">
        <v>386</v>
      </c>
      <c r="ET71" s="334">
        <v>2024.44</v>
      </c>
      <c r="EU71" s="334" t="s">
        <v>397</v>
      </c>
      <c r="EV71" s="334">
        <v>7019.4058999999997</v>
      </c>
    </row>
    <row r="72" spans="4:152" ht="13">
      <c r="D72" s="115" t="s">
        <v>2183</v>
      </c>
      <c r="E72" s="115" t="s">
        <v>1646</v>
      </c>
      <c r="F72" s="115">
        <v>3400.0812999999998</v>
      </c>
      <c r="I72" s="115" t="s">
        <v>1503</v>
      </c>
      <c r="J72" s="115" t="s">
        <v>1364</v>
      </c>
      <c r="K72" s="183">
        <v>300</v>
      </c>
      <c r="AG72" s="115"/>
      <c r="AH72" s="115"/>
      <c r="AI72" s="115" t="s">
        <v>1416</v>
      </c>
      <c r="AJ72" t="s">
        <v>2114</v>
      </c>
      <c r="AK72" s="115">
        <v>0</v>
      </c>
      <c r="AL72" s="115" t="s">
        <v>28</v>
      </c>
      <c r="AM72" s="115" t="s">
        <v>1843</v>
      </c>
      <c r="AN72" s="115" t="s">
        <v>1442</v>
      </c>
      <c r="AO72" s="115" t="s">
        <v>1647</v>
      </c>
      <c r="AT72" s="115" t="s">
        <v>1415</v>
      </c>
      <c r="AU72" s="115" t="s">
        <v>2114</v>
      </c>
      <c r="AV72" s="115">
        <v>15</v>
      </c>
      <c r="AW72" s="115" t="s">
        <v>1681</v>
      </c>
      <c r="AX72" s="115" t="s">
        <v>1842</v>
      </c>
      <c r="AY72" s="115" t="s">
        <v>1832</v>
      </c>
      <c r="AZ72" s="115" t="s">
        <v>1870</v>
      </c>
      <c r="BA72" s="115"/>
      <c r="BB72" s="115"/>
      <c r="BC72" s="115"/>
      <c r="BD72" s="115"/>
      <c r="BE72" s="115">
        <v>300</v>
      </c>
      <c r="BF72" s="115"/>
      <c r="BG72" s="115"/>
      <c r="BH72" s="115"/>
      <c r="BI72" s="115">
        <v>309</v>
      </c>
      <c r="BJ72" s="115"/>
      <c r="BK72" s="115"/>
      <c r="BL72" s="115"/>
      <c r="BM72" s="115"/>
      <c r="BN72" s="115"/>
      <c r="BO72" s="115"/>
      <c r="BP72" s="115"/>
      <c r="BQ72" s="115"/>
      <c r="BR72" s="115"/>
      <c r="CH72" s="330"/>
      <c r="CI72" s="330"/>
      <c r="CJ72" s="330"/>
      <c r="CK72" s="330"/>
      <c r="CP72" s="330"/>
      <c r="CV72" s="115">
        <v>2024.48</v>
      </c>
      <c r="CW72" s="115" t="s">
        <v>1415</v>
      </c>
      <c r="CX72" s="115" t="s">
        <v>377</v>
      </c>
      <c r="CY72" s="115" t="s">
        <v>2063</v>
      </c>
      <c r="CZ72" s="330">
        <v>2793.5819999999999</v>
      </c>
      <c r="DA72" s="115"/>
      <c r="DB72" s="115"/>
      <c r="DC72" s="115" t="s">
        <v>1415</v>
      </c>
      <c r="DD72" s="115" t="s">
        <v>2114</v>
      </c>
      <c r="DE72" s="115" t="s">
        <v>362</v>
      </c>
      <c r="DF72" s="115" t="s">
        <v>1264</v>
      </c>
      <c r="DG72" s="115">
        <v>305.83</v>
      </c>
      <c r="DR72" s="214"/>
      <c r="DY72" s="115"/>
      <c r="DZ72" s="115" t="s">
        <v>1416</v>
      </c>
      <c r="EA72" s="115" t="s">
        <v>2114</v>
      </c>
      <c r="EB72" s="115">
        <v>0</v>
      </c>
      <c r="EC72" s="115" t="s">
        <v>141</v>
      </c>
      <c r="ED72" s="115" t="s">
        <v>1697</v>
      </c>
      <c r="EE72" s="187">
        <v>0.5</v>
      </c>
      <c r="EF72" s="330">
        <v>43.06</v>
      </c>
      <c r="EG72" s="330">
        <v>46.18</v>
      </c>
      <c r="EH72" s="115" t="s">
        <v>377</v>
      </c>
      <c r="EI72" s="115" t="s">
        <v>1809</v>
      </c>
      <c r="EJ72" s="115"/>
      <c r="EK72" s="115" t="s">
        <v>315</v>
      </c>
      <c r="EL72" s="115" t="s">
        <v>1643</v>
      </c>
      <c r="EM72"/>
      <c r="EO72" s="115"/>
      <c r="EP72" s="334" t="s">
        <v>1416</v>
      </c>
      <c r="EQ72" s="334" t="s">
        <v>2114</v>
      </c>
      <c r="ER72" s="334" t="s">
        <v>301</v>
      </c>
      <c r="ES72" s="334" t="s">
        <v>386</v>
      </c>
      <c r="ET72" s="334">
        <v>2024.44</v>
      </c>
      <c r="EU72" s="334" t="s">
        <v>1382</v>
      </c>
      <c r="EV72" s="334">
        <v>911.9</v>
      </c>
    </row>
    <row r="73" spans="4:152" ht="13">
      <c r="D73" s="115" t="s">
        <v>2183</v>
      </c>
      <c r="E73" s="115" t="s">
        <v>1639</v>
      </c>
      <c r="F73" s="115">
        <v>100.7431</v>
      </c>
      <c r="I73" s="115" t="s">
        <v>1503</v>
      </c>
      <c r="J73" s="115" t="s">
        <v>1367</v>
      </c>
      <c r="K73" s="183">
        <v>8</v>
      </c>
      <c r="AG73" s="115"/>
      <c r="AH73" s="115"/>
      <c r="AI73" s="115" t="s">
        <v>1416</v>
      </c>
      <c r="AJ73" t="s">
        <v>2114</v>
      </c>
      <c r="AK73" s="115">
        <v>0</v>
      </c>
      <c r="AL73" s="115" t="s">
        <v>28</v>
      </c>
      <c r="AM73" s="115" t="s">
        <v>1843</v>
      </c>
      <c r="AN73" s="115" t="s">
        <v>1442</v>
      </c>
      <c r="AO73" s="115" t="s">
        <v>1639</v>
      </c>
      <c r="AT73" s="115" t="s">
        <v>1415</v>
      </c>
      <c r="AU73" s="115" t="s">
        <v>2114</v>
      </c>
      <c r="AV73" s="115">
        <v>15</v>
      </c>
      <c r="AW73" s="115" t="s">
        <v>1682</v>
      </c>
      <c r="AX73" s="115" t="s">
        <v>28</v>
      </c>
      <c r="AY73" s="115" t="s">
        <v>1846</v>
      </c>
      <c r="AZ73" s="115" t="s">
        <v>1871</v>
      </c>
      <c r="BA73" s="115"/>
      <c r="BB73" s="115"/>
      <c r="BC73" s="115"/>
      <c r="BD73" s="115">
        <v>49831.396140285004</v>
      </c>
      <c r="BE73" s="115"/>
      <c r="BF73" s="115"/>
      <c r="BG73" s="115"/>
      <c r="BH73" s="115"/>
      <c r="BI73" s="115"/>
      <c r="BJ73" s="115"/>
      <c r="BK73" s="115"/>
      <c r="BL73" s="115"/>
      <c r="BM73" s="115"/>
      <c r="BN73" s="115"/>
      <c r="BO73" s="115"/>
      <c r="BP73" s="115"/>
      <c r="BQ73" s="115"/>
      <c r="BR73" s="115"/>
      <c r="CH73" s="330"/>
      <c r="CI73" s="330"/>
      <c r="CJ73" s="330"/>
      <c r="CK73" s="330"/>
      <c r="CP73" s="330"/>
      <c r="CV73" s="115">
        <v>2024.49</v>
      </c>
      <c r="CW73" s="115" t="s">
        <v>1415</v>
      </c>
      <c r="CX73" s="115" t="s">
        <v>380</v>
      </c>
      <c r="CY73" s="115" t="s">
        <v>2063</v>
      </c>
      <c r="CZ73" s="330">
        <v>4239.1720000000005</v>
      </c>
      <c r="DA73" s="115"/>
      <c r="DB73" s="115"/>
      <c r="DC73" s="115" t="s">
        <v>1415</v>
      </c>
      <c r="DD73" s="115" t="s">
        <v>2114</v>
      </c>
      <c r="DE73" s="115" t="s">
        <v>368</v>
      </c>
      <c r="DF73" s="115" t="s">
        <v>1264</v>
      </c>
      <c r="DG73" s="115">
        <v>201.29</v>
      </c>
      <c r="DR73" s="214"/>
      <c r="DY73" s="115"/>
      <c r="DZ73" s="115" t="s">
        <v>1415</v>
      </c>
      <c r="EA73" s="115" t="s">
        <v>2114</v>
      </c>
      <c r="EB73" s="115">
        <v>0</v>
      </c>
      <c r="EC73" s="115" t="s">
        <v>141</v>
      </c>
      <c r="ED73" s="115" t="s">
        <v>1697</v>
      </c>
      <c r="EE73" s="187">
        <v>0.5</v>
      </c>
      <c r="EF73" s="330">
        <v>46.478299999999997</v>
      </c>
      <c r="EG73" s="330">
        <v>50.6907</v>
      </c>
      <c r="EH73" s="115" t="s">
        <v>377</v>
      </c>
      <c r="EI73" s="115" t="s">
        <v>1809</v>
      </c>
      <c r="EJ73" s="115"/>
      <c r="EK73" s="115" t="s">
        <v>315</v>
      </c>
      <c r="EL73" s="115" t="s">
        <v>1643</v>
      </c>
      <c r="EM73"/>
      <c r="EO73" s="115"/>
      <c r="EP73" s="334" t="s">
        <v>1416</v>
      </c>
      <c r="EQ73" s="334" t="s">
        <v>2114</v>
      </c>
      <c r="ER73" s="334" t="s">
        <v>1242</v>
      </c>
      <c r="ES73" s="334" t="s">
        <v>386</v>
      </c>
      <c r="ET73" s="334">
        <v>2024.44</v>
      </c>
      <c r="EU73" s="334" t="s">
        <v>397</v>
      </c>
      <c r="EV73" s="334">
        <v>0</v>
      </c>
    </row>
    <row r="74" spans="4:152" ht="13">
      <c r="D74" s="115" t="s">
        <v>2183</v>
      </c>
      <c r="E74" s="115" t="s">
        <v>1645</v>
      </c>
      <c r="F74" s="115">
        <v>279.6782</v>
      </c>
      <c r="I74" s="115" t="s">
        <v>1503</v>
      </c>
      <c r="J74" s="115" t="s">
        <v>1362</v>
      </c>
      <c r="K74" s="183">
        <v>95</v>
      </c>
      <c r="AG74" s="115"/>
      <c r="AH74" s="115"/>
      <c r="AI74" s="115" t="s">
        <v>1416</v>
      </c>
      <c r="AJ74" t="s">
        <v>2114</v>
      </c>
      <c r="AK74" s="115">
        <v>0</v>
      </c>
      <c r="AL74" s="115" t="s">
        <v>28</v>
      </c>
      <c r="AM74" s="115" t="s">
        <v>1846</v>
      </c>
      <c r="AN74" s="115" t="s">
        <v>1442</v>
      </c>
      <c r="AO74" s="115" t="s">
        <v>1639</v>
      </c>
      <c r="AT74" s="115" t="s">
        <v>1416</v>
      </c>
      <c r="AU74" s="115" t="s">
        <v>2114</v>
      </c>
      <c r="AV74" s="115">
        <v>0</v>
      </c>
      <c r="AW74" s="115" t="s">
        <v>1682</v>
      </c>
      <c r="AX74" s="115" t="s">
        <v>28</v>
      </c>
      <c r="AY74" s="115" t="s">
        <v>1846</v>
      </c>
      <c r="AZ74" s="115" t="s">
        <v>1871</v>
      </c>
      <c r="BA74" s="115"/>
      <c r="BB74" s="115"/>
      <c r="BC74" s="115"/>
      <c r="BD74" s="115">
        <v>18801.973174999999</v>
      </c>
      <c r="BE74" s="115"/>
      <c r="BF74" s="115"/>
      <c r="BG74" s="115"/>
      <c r="BH74" s="115"/>
      <c r="BI74" s="115"/>
      <c r="BJ74" s="115"/>
      <c r="BK74" s="115"/>
      <c r="BL74" s="115"/>
      <c r="BM74" s="115"/>
      <c r="BN74" s="115"/>
      <c r="BO74" s="115"/>
      <c r="BP74" s="115"/>
      <c r="BQ74" s="115"/>
      <c r="BR74" s="115"/>
      <c r="CH74" s="330"/>
      <c r="CI74" s="330"/>
      <c r="CJ74" s="330"/>
      <c r="CK74" s="330"/>
      <c r="CP74" s="330"/>
      <c r="CV74" s="115">
        <v>2025.05</v>
      </c>
      <c r="CW74" s="115" t="s">
        <v>1415</v>
      </c>
      <c r="CX74" s="115" t="s">
        <v>380</v>
      </c>
      <c r="CY74" s="115" t="s">
        <v>2063</v>
      </c>
      <c r="CZ74" s="330">
        <v>7267.152</v>
      </c>
      <c r="DA74" s="115"/>
      <c r="DB74" s="115"/>
      <c r="DC74" s="115" t="s">
        <v>1415</v>
      </c>
      <c r="DD74" s="115" t="s">
        <v>2114</v>
      </c>
      <c r="DE74" s="115" t="s">
        <v>1410</v>
      </c>
      <c r="DF74" s="115" t="s">
        <v>1264</v>
      </c>
      <c r="DG74" s="115">
        <v>3744.35</v>
      </c>
      <c r="DR74" s="214"/>
      <c r="DY74" s="115"/>
      <c r="DZ74" s="115" t="s">
        <v>1415</v>
      </c>
      <c r="EA74" s="115" t="s">
        <v>2114</v>
      </c>
      <c r="EB74" s="115">
        <v>16</v>
      </c>
      <c r="EC74" s="115" t="s">
        <v>141</v>
      </c>
      <c r="ED74" s="115" t="s">
        <v>1697</v>
      </c>
      <c r="EE74" s="187">
        <v>0.5</v>
      </c>
      <c r="EF74" s="330">
        <v>46.478299999999997</v>
      </c>
      <c r="EG74" s="330">
        <v>50.6907</v>
      </c>
      <c r="EH74" s="115" t="s">
        <v>377</v>
      </c>
      <c r="EI74" s="115" t="s">
        <v>1809</v>
      </c>
      <c r="EJ74" s="115"/>
      <c r="EK74" s="115" t="s">
        <v>315</v>
      </c>
      <c r="EL74" s="115" t="s">
        <v>1643</v>
      </c>
      <c r="EM74"/>
      <c r="EO74" s="115"/>
      <c r="EP74" s="334" t="s">
        <v>1416</v>
      </c>
      <c r="EQ74" s="334" t="s">
        <v>2114</v>
      </c>
      <c r="ER74" s="334" t="s">
        <v>1242</v>
      </c>
      <c r="ES74" s="334" t="s">
        <v>386</v>
      </c>
      <c r="ET74" s="334">
        <v>2024.44</v>
      </c>
      <c r="EU74" s="334" t="s">
        <v>1382</v>
      </c>
      <c r="EV74" s="334">
        <v>770.2</v>
      </c>
    </row>
    <row r="75" spans="4:152" ht="13">
      <c r="D75" s="115" t="s">
        <v>2185</v>
      </c>
      <c r="E75" s="115" t="s">
        <v>1274</v>
      </c>
      <c r="F75" s="115">
        <v>37.4467</v>
      </c>
      <c r="I75" s="115" t="s">
        <v>1503</v>
      </c>
      <c r="J75" s="115" t="s">
        <v>1368</v>
      </c>
      <c r="K75" s="183">
        <v>11.5</v>
      </c>
      <c r="AG75" s="115"/>
      <c r="AH75" s="115"/>
      <c r="AI75" s="115" t="s">
        <v>1416</v>
      </c>
      <c r="AJ75" t="s">
        <v>2114</v>
      </c>
      <c r="AK75" s="115">
        <v>0</v>
      </c>
      <c r="AL75" s="115" t="s">
        <v>28</v>
      </c>
      <c r="AM75" s="115" t="s">
        <v>1832</v>
      </c>
      <c r="AN75" s="115" t="s">
        <v>1442</v>
      </c>
      <c r="AO75" s="115" t="s">
        <v>373</v>
      </c>
      <c r="AT75" s="115" t="s">
        <v>1415</v>
      </c>
      <c r="AU75" s="115" t="s">
        <v>2114</v>
      </c>
      <c r="AV75" s="115">
        <v>15</v>
      </c>
      <c r="AW75" s="115" t="s">
        <v>1682</v>
      </c>
      <c r="AX75" s="115" t="s">
        <v>28</v>
      </c>
      <c r="AY75" s="115" t="s">
        <v>1848</v>
      </c>
      <c r="AZ75" s="115" t="s">
        <v>1871</v>
      </c>
      <c r="BA75" s="115"/>
      <c r="BB75" s="115"/>
      <c r="BC75" s="115"/>
      <c r="BD75" s="115">
        <v>46074.681981135</v>
      </c>
      <c r="BE75" s="115"/>
      <c r="BF75" s="115"/>
      <c r="BG75" s="115"/>
      <c r="BH75" s="115"/>
      <c r="BI75" s="115"/>
      <c r="BJ75" s="115"/>
      <c r="BK75" s="115"/>
      <c r="BL75" s="115"/>
      <c r="BM75" s="115"/>
      <c r="BN75" s="115"/>
      <c r="BO75" s="115"/>
      <c r="BP75" s="115"/>
      <c r="BQ75" s="115"/>
      <c r="BR75" s="115"/>
      <c r="CH75" s="330"/>
      <c r="CI75" s="330"/>
      <c r="CJ75" s="330"/>
      <c r="CK75" s="330"/>
      <c r="CP75" s="330"/>
      <c r="CV75" s="115">
        <v>2024.49</v>
      </c>
      <c r="CW75" s="115" t="s">
        <v>1415</v>
      </c>
      <c r="CX75" s="115" t="s">
        <v>1645</v>
      </c>
      <c r="CY75" s="115" t="s">
        <v>2063</v>
      </c>
      <c r="CZ75" s="330">
        <v>8155.4</v>
      </c>
      <c r="DA75" s="115"/>
      <c r="DB75" s="115"/>
      <c r="DC75" s="115" t="s">
        <v>1415</v>
      </c>
      <c r="DD75" s="115" t="s">
        <v>2114</v>
      </c>
      <c r="DE75" s="115" t="s">
        <v>1473</v>
      </c>
      <c r="DF75" s="115" t="s">
        <v>1264</v>
      </c>
      <c r="DG75" s="115">
        <v>809.14</v>
      </c>
      <c r="DR75" s="214"/>
      <c r="DY75" s="115"/>
      <c r="DZ75" s="115" t="s">
        <v>1415</v>
      </c>
      <c r="EA75" s="115" t="s">
        <v>2114</v>
      </c>
      <c r="EB75" s="115">
        <v>15</v>
      </c>
      <c r="EC75" s="115" t="s">
        <v>142</v>
      </c>
      <c r="ED75" s="115" t="s">
        <v>1697</v>
      </c>
      <c r="EE75" s="187">
        <v>0.4</v>
      </c>
      <c r="EF75" s="330">
        <v>44.967199999999998</v>
      </c>
      <c r="EG75" s="330">
        <v>52.567700000000002</v>
      </c>
      <c r="EH75" s="115" t="s">
        <v>372</v>
      </c>
      <c r="EI75" s="115" t="s">
        <v>1809</v>
      </c>
      <c r="EJ75" s="115"/>
      <c r="EK75" s="115" t="s">
        <v>315</v>
      </c>
      <c r="EL75" s="115" t="s">
        <v>372</v>
      </c>
      <c r="EM75"/>
      <c r="EO75" s="115"/>
      <c r="EP75" s="334" t="s">
        <v>1416</v>
      </c>
      <c r="EQ75" s="334" t="s">
        <v>2114</v>
      </c>
      <c r="ER75" s="334" t="s">
        <v>358</v>
      </c>
      <c r="ES75" s="334" t="s">
        <v>377</v>
      </c>
      <c r="ET75" s="334">
        <v>2023.44</v>
      </c>
      <c r="EU75" s="334" t="s">
        <v>397</v>
      </c>
      <c r="EV75" s="334">
        <v>2622.8528999999999</v>
      </c>
    </row>
    <row r="76" spans="4:152" ht="13">
      <c r="D76" s="115" t="s">
        <v>2185</v>
      </c>
      <c r="E76" s="115" t="s">
        <v>379</v>
      </c>
      <c r="F76" s="115">
        <v>1012.88</v>
      </c>
      <c r="I76" s="115" t="s">
        <v>1503</v>
      </c>
      <c r="J76" s="115" t="s">
        <v>1360</v>
      </c>
      <c r="K76" s="183">
        <v>0.50170000000000003</v>
      </c>
      <c r="AG76" s="115"/>
      <c r="AH76" s="115"/>
      <c r="AI76" s="115" t="s">
        <v>1416</v>
      </c>
      <c r="AJ76" t="s">
        <v>2114</v>
      </c>
      <c r="AK76" s="115">
        <v>0</v>
      </c>
      <c r="AL76" s="115" t="s">
        <v>28</v>
      </c>
      <c r="AM76" s="115" t="s">
        <v>1843</v>
      </c>
      <c r="AN76" s="115" t="s">
        <v>1442</v>
      </c>
      <c r="AO76" s="115" t="s">
        <v>373</v>
      </c>
      <c r="AT76" s="115" t="s">
        <v>1416</v>
      </c>
      <c r="AU76" s="115" t="s">
        <v>2114</v>
      </c>
      <c r="AV76" s="115">
        <v>0</v>
      </c>
      <c r="AW76" s="115" t="s">
        <v>1682</v>
      </c>
      <c r="AX76" s="115" t="s">
        <v>28</v>
      </c>
      <c r="AY76" s="115" t="s">
        <v>1848</v>
      </c>
      <c r="AZ76" s="115" t="s">
        <v>1871</v>
      </c>
      <c r="BA76" s="115"/>
      <c r="BB76" s="115"/>
      <c r="BC76" s="115"/>
      <c r="BD76" s="115">
        <v>17679.115725</v>
      </c>
      <c r="BE76" s="115"/>
      <c r="BF76" s="115"/>
      <c r="BG76" s="115"/>
      <c r="BH76" s="115"/>
      <c r="BI76" s="115"/>
      <c r="BJ76" s="115"/>
      <c r="BK76" s="115"/>
      <c r="BL76" s="115"/>
      <c r="BM76" s="115"/>
      <c r="BN76" s="115"/>
      <c r="BO76" s="115"/>
      <c r="BP76" s="115"/>
      <c r="BQ76" s="115"/>
      <c r="BR76" s="115"/>
      <c r="CH76" s="330"/>
      <c r="CI76" s="330"/>
      <c r="CJ76" s="330"/>
      <c r="CK76" s="330"/>
      <c r="CP76" s="330"/>
      <c r="CV76" s="115">
        <v>2025.06</v>
      </c>
      <c r="CW76" s="115" t="s">
        <v>1415</v>
      </c>
      <c r="CX76" s="115" t="s">
        <v>380</v>
      </c>
      <c r="CY76" s="115" t="s">
        <v>2063</v>
      </c>
      <c r="CZ76" s="330">
        <v>9083.9399999999987</v>
      </c>
      <c r="DA76" s="115"/>
      <c r="DB76" s="115"/>
      <c r="DC76" s="115" t="s">
        <v>1415</v>
      </c>
      <c r="DD76" s="115" t="s">
        <v>2114</v>
      </c>
      <c r="DE76" s="115" t="s">
        <v>1475</v>
      </c>
      <c r="DF76" s="115" t="s">
        <v>1264</v>
      </c>
      <c r="DG76" s="115">
        <v>99610.74</v>
      </c>
      <c r="DR76" s="214"/>
      <c r="DY76" s="115"/>
      <c r="DZ76" s="115" t="s">
        <v>1416</v>
      </c>
      <c r="EA76" s="115" t="s">
        <v>2114</v>
      </c>
      <c r="EB76" s="115">
        <v>0</v>
      </c>
      <c r="EC76" s="115" t="s">
        <v>142</v>
      </c>
      <c r="ED76" s="115" t="s">
        <v>1697</v>
      </c>
      <c r="EE76" s="187">
        <v>0.4</v>
      </c>
      <c r="EF76" s="330">
        <v>41.66</v>
      </c>
      <c r="EG76" s="330">
        <v>47.89</v>
      </c>
      <c r="EH76" s="115" t="s">
        <v>372</v>
      </c>
      <c r="EI76" s="115" t="s">
        <v>1809</v>
      </c>
      <c r="EJ76" s="115"/>
      <c r="EK76" s="115" t="s">
        <v>315</v>
      </c>
      <c r="EL76" s="115" t="s">
        <v>372</v>
      </c>
      <c r="EM76"/>
      <c r="EO76" s="115"/>
      <c r="EP76" s="334" t="s">
        <v>1416</v>
      </c>
      <c r="EQ76" s="334" t="s">
        <v>2114</v>
      </c>
      <c r="ER76" s="334" t="s">
        <v>358</v>
      </c>
      <c r="ES76" s="334" t="s">
        <v>377</v>
      </c>
      <c r="ET76" s="334">
        <v>2023.44</v>
      </c>
      <c r="EU76" s="334" t="s">
        <v>1382</v>
      </c>
      <c r="EV76" s="334">
        <v>2622.8528999999999</v>
      </c>
    </row>
    <row r="77" spans="4:152" ht="13">
      <c r="D77" s="115" t="s">
        <v>2185</v>
      </c>
      <c r="E77" s="115" t="s">
        <v>1639</v>
      </c>
      <c r="F77" s="115">
        <v>83.952600000000004</v>
      </c>
      <c r="I77" s="115" t="s">
        <v>1503</v>
      </c>
      <c r="J77" s="115" t="s">
        <v>1358</v>
      </c>
      <c r="K77" s="183" t="s">
        <v>375</v>
      </c>
      <c r="AG77" s="115"/>
      <c r="AH77" s="115"/>
      <c r="AI77" s="115" t="s">
        <v>1416</v>
      </c>
      <c r="AJ77" t="s">
        <v>2114</v>
      </c>
      <c r="AK77" s="115">
        <v>0</v>
      </c>
      <c r="AL77" s="115" t="s">
        <v>28</v>
      </c>
      <c r="AM77" s="115" t="s">
        <v>1850</v>
      </c>
      <c r="AN77" s="115" t="s">
        <v>1442</v>
      </c>
      <c r="AO77" s="115" t="s">
        <v>373</v>
      </c>
      <c r="AT77" s="115" t="s">
        <v>1416</v>
      </c>
      <c r="AU77" s="115" t="s">
        <v>2114</v>
      </c>
      <c r="AV77" s="115">
        <v>0</v>
      </c>
      <c r="AW77" s="115" t="s">
        <v>1682</v>
      </c>
      <c r="AX77" s="115" t="s">
        <v>28</v>
      </c>
      <c r="AY77" s="115" t="s">
        <v>1843</v>
      </c>
      <c r="AZ77" s="115" t="s">
        <v>1871</v>
      </c>
      <c r="BA77" s="115"/>
      <c r="BB77" s="115"/>
      <c r="BC77" s="115"/>
      <c r="BD77" s="115">
        <v>37609.370000000003</v>
      </c>
      <c r="BE77" s="115"/>
      <c r="BF77" s="115"/>
      <c r="BG77" s="115"/>
      <c r="BH77" s="115"/>
      <c r="BI77" s="115"/>
      <c r="BJ77" s="115"/>
      <c r="BK77" s="115"/>
      <c r="BL77" s="115"/>
      <c r="BM77" s="115"/>
      <c r="BN77" s="115"/>
      <c r="BO77" s="115"/>
      <c r="BP77" s="115"/>
      <c r="BQ77" s="115"/>
      <c r="BR77" s="115"/>
      <c r="CH77" s="330"/>
      <c r="CI77" s="330"/>
      <c r="CJ77" s="330"/>
      <c r="CK77" s="330"/>
      <c r="CP77" s="330"/>
      <c r="CV77" s="115">
        <v>2025.07</v>
      </c>
      <c r="CW77" s="115" t="s">
        <v>1415</v>
      </c>
      <c r="CX77" s="115" t="s">
        <v>380</v>
      </c>
      <c r="CY77" s="115" t="s">
        <v>2063</v>
      </c>
      <c r="CZ77" s="330">
        <v>3633.576</v>
      </c>
      <c r="DA77" s="115"/>
      <c r="DB77" s="115"/>
      <c r="DC77" s="115" t="s">
        <v>1415</v>
      </c>
      <c r="DD77" s="115" t="s">
        <v>2114</v>
      </c>
      <c r="DE77" s="115" t="s">
        <v>428</v>
      </c>
      <c r="DF77" s="115" t="s">
        <v>1288</v>
      </c>
      <c r="DG77" s="115">
        <v>15000</v>
      </c>
      <c r="DR77" s="214"/>
      <c r="DY77" s="115"/>
      <c r="DZ77" s="115" t="s">
        <v>1415</v>
      </c>
      <c r="EA77" s="115" t="s">
        <v>2114</v>
      </c>
      <c r="EB77" s="115">
        <v>0</v>
      </c>
      <c r="EC77" s="115" t="s">
        <v>142</v>
      </c>
      <c r="ED77" s="115" t="s">
        <v>1697</v>
      </c>
      <c r="EE77" s="187">
        <v>0.4</v>
      </c>
      <c r="EF77" s="330">
        <v>44.967199999999998</v>
      </c>
      <c r="EG77" s="330">
        <v>52.567700000000002</v>
      </c>
      <c r="EH77" s="115" t="s">
        <v>372</v>
      </c>
      <c r="EI77" s="115" t="s">
        <v>1809</v>
      </c>
      <c r="EJ77" s="115"/>
      <c r="EK77" s="115" t="s">
        <v>315</v>
      </c>
      <c r="EL77" s="115" t="s">
        <v>372</v>
      </c>
      <c r="EM77"/>
      <c r="EO77" s="115"/>
      <c r="EP77" s="334" t="s">
        <v>1416</v>
      </c>
      <c r="EQ77" s="334" t="s">
        <v>2114</v>
      </c>
      <c r="ER77" s="334" t="s">
        <v>358</v>
      </c>
      <c r="ES77" s="334" t="s">
        <v>377</v>
      </c>
      <c r="ET77" s="334">
        <v>2024.44</v>
      </c>
      <c r="EU77" s="334" t="s">
        <v>397</v>
      </c>
      <c r="EV77" s="334">
        <v>2622.8528999999999</v>
      </c>
    </row>
    <row r="78" spans="4:152" ht="13">
      <c r="D78" s="115" t="s">
        <v>2185</v>
      </c>
      <c r="E78" s="115" t="s">
        <v>386</v>
      </c>
      <c r="F78" s="115">
        <v>251.8579</v>
      </c>
      <c r="I78" s="115" t="s">
        <v>1503</v>
      </c>
      <c r="J78" s="115" t="s">
        <v>1354</v>
      </c>
      <c r="K78" s="183">
        <v>45141</v>
      </c>
      <c r="AG78" s="115"/>
      <c r="AH78" s="115"/>
      <c r="AI78" s="115" t="s">
        <v>1416</v>
      </c>
      <c r="AJ78" t="s">
        <v>2114</v>
      </c>
      <c r="AK78" s="115">
        <v>0</v>
      </c>
      <c r="AL78" s="115" t="s">
        <v>28</v>
      </c>
      <c r="AM78" s="115" t="s">
        <v>1849</v>
      </c>
      <c r="AN78" s="115" t="s">
        <v>1442</v>
      </c>
      <c r="AO78" s="115" t="s">
        <v>373</v>
      </c>
      <c r="AT78" s="115" t="s">
        <v>1415</v>
      </c>
      <c r="AU78" s="115" t="s">
        <v>2114</v>
      </c>
      <c r="AV78" s="115">
        <v>15</v>
      </c>
      <c r="AW78" s="115" t="s">
        <v>1682</v>
      </c>
      <c r="AX78" s="115" t="s">
        <v>28</v>
      </c>
      <c r="AY78" s="115" t="s">
        <v>1843</v>
      </c>
      <c r="AZ78" s="115" t="s">
        <v>1871</v>
      </c>
      <c r="BA78" s="115"/>
      <c r="BB78" s="115"/>
      <c r="BC78" s="115"/>
      <c r="BD78" s="115">
        <v>94753.2475257732</v>
      </c>
      <c r="BE78" s="115"/>
      <c r="BF78" s="115"/>
      <c r="BG78" s="115"/>
      <c r="BH78" s="115"/>
      <c r="BI78" s="115"/>
      <c r="BJ78" s="115"/>
      <c r="BK78" s="115"/>
      <c r="BL78" s="115"/>
      <c r="BM78" s="115"/>
      <c r="BN78" s="115"/>
      <c r="BO78" s="115"/>
      <c r="BP78" s="115"/>
      <c r="BQ78" s="115"/>
      <c r="BR78" s="115"/>
      <c r="CH78" s="330"/>
      <c r="CI78" s="330"/>
      <c r="CJ78" s="330"/>
      <c r="CK78" s="330"/>
      <c r="CP78" s="330"/>
      <c r="CV78" s="115">
        <v>2024.5</v>
      </c>
      <c r="CW78" s="115" t="s">
        <v>1415</v>
      </c>
      <c r="CX78" s="115" t="s">
        <v>1645</v>
      </c>
      <c r="CY78" s="115" t="s">
        <v>2063</v>
      </c>
      <c r="CZ78" s="330">
        <v>4077.7</v>
      </c>
      <c r="DA78" s="115"/>
      <c r="DB78" s="115"/>
      <c r="DC78" s="115" t="s">
        <v>1415</v>
      </c>
      <c r="DD78" s="115" t="s">
        <v>2114</v>
      </c>
      <c r="DE78" s="115" t="s">
        <v>1284</v>
      </c>
      <c r="DF78" s="115" t="s">
        <v>1265</v>
      </c>
      <c r="DG78" s="115">
        <v>2868.32</v>
      </c>
      <c r="DR78" s="214"/>
      <c r="DY78" s="115"/>
      <c r="DZ78" s="115" t="s">
        <v>1415</v>
      </c>
      <c r="EA78" s="115" t="s">
        <v>2114</v>
      </c>
      <c r="EB78" s="115">
        <v>16</v>
      </c>
      <c r="EC78" s="115" t="s">
        <v>142</v>
      </c>
      <c r="ED78" s="115" t="s">
        <v>1697</v>
      </c>
      <c r="EE78" s="187">
        <v>0.4</v>
      </c>
      <c r="EF78" s="330">
        <v>44.967199999999998</v>
      </c>
      <c r="EG78" s="330">
        <v>52.567700000000002</v>
      </c>
      <c r="EH78" s="115" t="s">
        <v>372</v>
      </c>
      <c r="EI78" s="115" t="s">
        <v>1809</v>
      </c>
      <c r="EJ78" s="115"/>
      <c r="EK78" s="115" t="s">
        <v>315</v>
      </c>
      <c r="EL78" s="115" t="s">
        <v>372</v>
      </c>
      <c r="EM78"/>
      <c r="EO78" s="115"/>
      <c r="EP78" s="334" t="s">
        <v>1416</v>
      </c>
      <c r="EQ78" s="334" t="s">
        <v>2114</v>
      </c>
      <c r="ER78" s="334" t="s">
        <v>358</v>
      </c>
      <c r="ES78" s="334" t="s">
        <v>377</v>
      </c>
      <c r="ET78" s="334">
        <v>2024.44</v>
      </c>
      <c r="EU78" s="334" t="s">
        <v>1382</v>
      </c>
      <c r="EV78" s="334">
        <v>4663.8401000000003</v>
      </c>
    </row>
    <row r="79" spans="4:152" ht="13">
      <c r="D79" s="115" t="s">
        <v>1515</v>
      </c>
      <c r="E79" s="115" t="s">
        <v>1639</v>
      </c>
      <c r="F79" s="115">
        <v>6507.0971</v>
      </c>
      <c r="I79" s="115" t="s">
        <v>1503</v>
      </c>
      <c r="J79" s="115" t="s">
        <v>1365</v>
      </c>
      <c r="K79" s="183">
        <v>15</v>
      </c>
      <c r="AG79" s="115"/>
      <c r="AH79" s="115"/>
      <c r="AI79" s="115" t="s">
        <v>1416</v>
      </c>
      <c r="AJ79" t="s">
        <v>2114</v>
      </c>
      <c r="AK79" s="115">
        <v>0</v>
      </c>
      <c r="AL79" s="115" t="s">
        <v>28</v>
      </c>
      <c r="AM79" s="115" t="s">
        <v>1846</v>
      </c>
      <c r="AN79" s="115" t="s">
        <v>1442</v>
      </c>
      <c r="AO79" s="115" t="s">
        <v>373</v>
      </c>
      <c r="AT79" s="115" t="s">
        <v>1416</v>
      </c>
      <c r="AU79" s="115" t="s">
        <v>2114</v>
      </c>
      <c r="AV79" s="115">
        <v>0</v>
      </c>
      <c r="AW79" s="115" t="s">
        <v>1682</v>
      </c>
      <c r="AX79" s="115" t="s">
        <v>28</v>
      </c>
      <c r="AY79" s="115" t="s">
        <v>1849</v>
      </c>
      <c r="AZ79" s="115" t="s">
        <v>1871</v>
      </c>
      <c r="BA79" s="115"/>
      <c r="BB79" s="115"/>
      <c r="BC79" s="115"/>
      <c r="BD79" s="115">
        <v>392.60750000000002</v>
      </c>
      <c r="BE79" s="115"/>
      <c r="BF79" s="115"/>
      <c r="BG79" s="115"/>
      <c r="BH79" s="115"/>
      <c r="BI79" s="115"/>
      <c r="BJ79" s="115"/>
      <c r="BK79" s="115"/>
      <c r="BL79" s="115"/>
      <c r="BM79" s="115"/>
      <c r="BN79" s="115"/>
      <c r="BO79" s="115"/>
      <c r="BP79" s="115"/>
      <c r="BQ79" s="115"/>
      <c r="BR79" s="115"/>
      <c r="CH79" s="330"/>
      <c r="CI79" s="330"/>
      <c r="CJ79" s="330"/>
      <c r="CK79" s="330"/>
      <c r="CP79" s="330"/>
      <c r="CV79" s="115">
        <v>2024.5</v>
      </c>
      <c r="CW79" s="115" t="s">
        <v>1415</v>
      </c>
      <c r="CX79" s="115" t="s">
        <v>377</v>
      </c>
      <c r="CY79" s="115" t="s">
        <v>2063</v>
      </c>
      <c r="CZ79" s="330">
        <v>2327.9850000000001</v>
      </c>
      <c r="DA79" s="115"/>
      <c r="DB79" s="115"/>
      <c r="DC79" s="115" t="s">
        <v>1415</v>
      </c>
      <c r="DD79" s="115" t="s">
        <v>2114</v>
      </c>
      <c r="DE79" s="115" t="s">
        <v>1284</v>
      </c>
      <c r="DF79" s="115" t="s">
        <v>1267</v>
      </c>
      <c r="DG79" s="115">
        <v>22061.360000000001</v>
      </c>
      <c r="DR79" s="214"/>
      <c r="DY79" s="115"/>
      <c r="DZ79" s="115" t="s">
        <v>1415</v>
      </c>
      <c r="EA79" s="115" t="s">
        <v>2114</v>
      </c>
      <c r="EB79" s="115">
        <v>15</v>
      </c>
      <c r="EC79" s="115" t="s">
        <v>143</v>
      </c>
      <c r="ED79" s="115" t="s">
        <v>1697</v>
      </c>
      <c r="EE79" s="187">
        <v>0.25</v>
      </c>
      <c r="EF79" s="330">
        <v>38.350499999999997</v>
      </c>
      <c r="EG79" s="330">
        <v>28.364000000000001</v>
      </c>
      <c r="EH79" s="115" t="s">
        <v>380</v>
      </c>
      <c r="EI79" s="115" t="s">
        <v>1809</v>
      </c>
      <c r="EJ79" s="115"/>
      <c r="EK79" s="115" t="s">
        <v>1827</v>
      </c>
      <c r="EL79" s="115" t="s">
        <v>380</v>
      </c>
      <c r="EM79"/>
      <c r="EO79" s="115"/>
      <c r="EP79" s="334" t="s">
        <v>1416</v>
      </c>
      <c r="EQ79" s="334" t="s">
        <v>2114</v>
      </c>
      <c r="ER79" s="334" t="s">
        <v>358</v>
      </c>
      <c r="ES79" s="334" t="s">
        <v>379</v>
      </c>
      <c r="ET79" s="334">
        <v>2023.44</v>
      </c>
      <c r="EU79" s="334" t="s">
        <v>397</v>
      </c>
      <c r="EV79" s="334">
        <v>3593.9441000000002</v>
      </c>
    </row>
    <row r="80" spans="4:152" ht="13">
      <c r="D80" s="115" t="s">
        <v>1516</v>
      </c>
      <c r="E80" s="115" t="s">
        <v>380</v>
      </c>
      <c r="F80" s="115">
        <v>2937.77</v>
      </c>
      <c r="I80" s="115" t="s">
        <v>1503</v>
      </c>
      <c r="J80" s="115" t="s">
        <v>1356</v>
      </c>
      <c r="K80" s="183" t="s">
        <v>1359</v>
      </c>
      <c r="AG80" s="115"/>
      <c r="AH80" s="115"/>
      <c r="AI80" s="115" t="s">
        <v>1416</v>
      </c>
      <c r="AJ80" t="s">
        <v>2114</v>
      </c>
      <c r="AK80" s="115">
        <v>0</v>
      </c>
      <c r="AL80" s="115" t="s">
        <v>28</v>
      </c>
      <c r="AM80" s="115" t="s">
        <v>1848</v>
      </c>
      <c r="AN80" s="115" t="s">
        <v>1442</v>
      </c>
      <c r="AO80" s="115" t="s">
        <v>373</v>
      </c>
      <c r="AT80" s="115" t="s">
        <v>1415</v>
      </c>
      <c r="AU80" s="115" t="s">
        <v>2114</v>
      </c>
      <c r="AV80" s="115">
        <v>15</v>
      </c>
      <c r="AW80" s="115" t="s">
        <v>1682</v>
      </c>
      <c r="AX80" s="115" t="s">
        <v>28</v>
      </c>
      <c r="AY80" s="115" t="s">
        <v>1849</v>
      </c>
      <c r="AZ80" s="115" t="s">
        <v>1871</v>
      </c>
      <c r="BA80" s="115"/>
      <c r="BB80" s="115"/>
      <c r="BC80" s="115"/>
      <c r="BD80" s="115">
        <v>947.94704999999999</v>
      </c>
      <c r="BE80" s="115"/>
      <c r="BF80" s="115"/>
      <c r="BG80" s="115"/>
      <c r="BH80" s="115"/>
      <c r="BI80" s="115"/>
      <c r="BJ80" s="115"/>
      <c r="BK80" s="115"/>
      <c r="BL80" s="115"/>
      <c r="BM80" s="115"/>
      <c r="BN80" s="115"/>
      <c r="BO80" s="115"/>
      <c r="BP80" s="115"/>
      <c r="BQ80" s="115"/>
      <c r="BR80" s="115"/>
      <c r="CE80" s="330"/>
      <c r="CV80" s="115">
        <v>2024.51</v>
      </c>
      <c r="CW80" s="115" t="s">
        <v>1415</v>
      </c>
      <c r="CX80" s="115" t="s">
        <v>1645</v>
      </c>
      <c r="CY80" s="115" t="s">
        <v>2063</v>
      </c>
      <c r="CZ80" s="330">
        <v>1853.5</v>
      </c>
      <c r="DA80" s="115"/>
      <c r="DB80" s="115"/>
      <c r="DC80" s="115" t="s">
        <v>1415</v>
      </c>
      <c r="DD80" s="115" t="s">
        <v>2114</v>
      </c>
      <c r="DE80" s="115" t="s">
        <v>1284</v>
      </c>
      <c r="DF80" s="115" t="s">
        <v>1288</v>
      </c>
      <c r="DG80" s="115">
        <v>18000</v>
      </c>
      <c r="DR80" s="214"/>
      <c r="DY80" s="115"/>
      <c r="DZ80" s="115" t="s">
        <v>1416</v>
      </c>
      <c r="EA80" s="115" t="s">
        <v>2114</v>
      </c>
      <c r="EB80" s="115">
        <v>0</v>
      </c>
      <c r="EC80" s="115" t="s">
        <v>143</v>
      </c>
      <c r="ED80" s="115" t="s">
        <v>1697</v>
      </c>
      <c r="EE80" s="187">
        <v>0.25</v>
      </c>
      <c r="EF80" s="330">
        <v>35.53</v>
      </c>
      <c r="EG80" s="330">
        <v>25.84</v>
      </c>
      <c r="EH80" s="115" t="s">
        <v>380</v>
      </c>
      <c r="EI80" s="115" t="s">
        <v>1809</v>
      </c>
      <c r="EJ80" s="115"/>
      <c r="EK80" s="115" t="s">
        <v>1827</v>
      </c>
      <c r="EL80" s="115" t="s">
        <v>380</v>
      </c>
      <c r="EM80"/>
      <c r="EO80" s="115"/>
      <c r="EP80" s="334" t="s">
        <v>1416</v>
      </c>
      <c r="EQ80" s="334" t="s">
        <v>2114</v>
      </c>
      <c r="ER80" s="334" t="s">
        <v>358</v>
      </c>
      <c r="ES80" s="334" t="s">
        <v>379</v>
      </c>
      <c r="ET80" s="334">
        <v>2023.44</v>
      </c>
      <c r="EU80" s="334" t="s">
        <v>1382</v>
      </c>
      <c r="EV80" s="334">
        <v>3593.9441000000002</v>
      </c>
    </row>
    <row r="81" spans="4:152" ht="13">
      <c r="D81" s="115" t="s">
        <v>1516</v>
      </c>
      <c r="E81" s="115" t="s">
        <v>1639</v>
      </c>
      <c r="F81" s="115">
        <v>314.82229999999998</v>
      </c>
      <c r="I81" s="115" t="s">
        <v>1503</v>
      </c>
      <c r="J81" s="115" t="s">
        <v>1366</v>
      </c>
      <c r="K81" s="183">
        <v>3</v>
      </c>
      <c r="AG81" s="115"/>
      <c r="AH81" s="115"/>
      <c r="AI81" s="115" t="s">
        <v>1416</v>
      </c>
      <c r="AJ81" t="s">
        <v>2114</v>
      </c>
      <c r="AK81" s="115">
        <v>0</v>
      </c>
      <c r="AL81" s="115" t="s">
        <v>28</v>
      </c>
      <c r="AM81" s="115" t="s">
        <v>1848</v>
      </c>
      <c r="AN81" s="115" t="s">
        <v>1442</v>
      </c>
      <c r="AO81" s="115" t="s">
        <v>380</v>
      </c>
      <c r="AT81" s="115" t="s">
        <v>1415</v>
      </c>
      <c r="AU81" s="115" t="s">
        <v>2114</v>
      </c>
      <c r="AV81" s="115">
        <v>15</v>
      </c>
      <c r="AW81" s="115" t="s">
        <v>1682</v>
      </c>
      <c r="AX81" s="115" t="s">
        <v>28</v>
      </c>
      <c r="AY81" s="115" t="s">
        <v>1850</v>
      </c>
      <c r="AZ81" s="115" t="s">
        <v>1871</v>
      </c>
      <c r="BA81" s="115"/>
      <c r="BB81" s="115"/>
      <c r="BC81" s="115"/>
      <c r="BD81" s="115">
        <v>947.94704999999999</v>
      </c>
      <c r="BE81" s="115"/>
      <c r="BF81" s="115"/>
      <c r="BG81" s="115"/>
      <c r="BH81" s="115"/>
      <c r="BI81" s="115"/>
      <c r="BJ81" s="115"/>
      <c r="BK81" s="115"/>
      <c r="BL81" s="115"/>
      <c r="BM81" s="115"/>
      <c r="BN81" s="115"/>
      <c r="BO81" s="115"/>
      <c r="BP81" s="115"/>
      <c r="BQ81" s="115"/>
      <c r="BR81" s="115"/>
      <c r="CE81" s="330"/>
      <c r="CV81" s="115">
        <v>2024.51</v>
      </c>
      <c r="CW81" s="115" t="s">
        <v>1415</v>
      </c>
      <c r="CX81" s="115" t="s">
        <v>377</v>
      </c>
      <c r="CY81" s="115" t="s">
        <v>2063</v>
      </c>
      <c r="CZ81" s="330">
        <v>2327.9850000000001</v>
      </c>
      <c r="DA81" s="115"/>
      <c r="DB81" s="115"/>
      <c r="DC81" s="115" t="s">
        <v>1415</v>
      </c>
      <c r="DD81" s="115" t="s">
        <v>2114</v>
      </c>
      <c r="DE81" s="115" t="s">
        <v>1284</v>
      </c>
      <c r="DF81" s="115" t="s">
        <v>1269</v>
      </c>
      <c r="DG81" s="115">
        <v>49475.35</v>
      </c>
      <c r="DR81" s="214"/>
      <c r="DY81" s="115"/>
      <c r="DZ81" s="115" t="s">
        <v>1415</v>
      </c>
      <c r="EA81" s="115" t="s">
        <v>2114</v>
      </c>
      <c r="EB81" s="115">
        <v>0</v>
      </c>
      <c r="EC81" s="115" t="s">
        <v>143</v>
      </c>
      <c r="ED81" s="115" t="s">
        <v>1697</v>
      </c>
      <c r="EE81" s="187">
        <v>0.25</v>
      </c>
      <c r="EF81" s="330">
        <v>38.350499999999997</v>
      </c>
      <c r="EG81" s="330">
        <v>28.364000000000001</v>
      </c>
      <c r="EH81" s="115" t="s">
        <v>380</v>
      </c>
      <c r="EI81" s="115" t="s">
        <v>1809</v>
      </c>
      <c r="EJ81" s="115"/>
      <c r="EK81" s="115" t="s">
        <v>1827</v>
      </c>
      <c r="EL81" s="115" t="s">
        <v>380</v>
      </c>
      <c r="EM81"/>
      <c r="EO81" s="115"/>
      <c r="EP81" s="334" t="s">
        <v>1416</v>
      </c>
      <c r="EQ81" s="334" t="s">
        <v>2114</v>
      </c>
      <c r="ER81" s="334" t="s">
        <v>358</v>
      </c>
      <c r="ES81" s="334" t="s">
        <v>379</v>
      </c>
      <c r="ET81" s="334">
        <v>2024.44</v>
      </c>
      <c r="EU81" s="334" t="s">
        <v>397</v>
      </c>
      <c r="EV81" s="334">
        <v>3593.9441000000002</v>
      </c>
    </row>
    <row r="82" spans="4:152" ht="13">
      <c r="D82" s="115" t="s">
        <v>1516</v>
      </c>
      <c r="E82" s="115" t="s">
        <v>386</v>
      </c>
      <c r="F82" s="115">
        <v>1930.9103</v>
      </c>
      <c r="I82" s="115" t="s">
        <v>1503</v>
      </c>
      <c r="J82" s="115" t="s">
        <v>1357</v>
      </c>
      <c r="K82" s="183">
        <v>556497.75902252202</v>
      </c>
      <c r="AG82" s="115"/>
      <c r="AH82" s="115"/>
      <c r="AI82" s="115" t="s">
        <v>1416</v>
      </c>
      <c r="AJ82" t="s">
        <v>2114</v>
      </c>
      <c r="AK82" s="115">
        <v>0</v>
      </c>
      <c r="AL82" s="115" t="s">
        <v>28</v>
      </c>
      <c r="AM82" s="115" t="s">
        <v>1850</v>
      </c>
      <c r="AN82" s="115" t="s">
        <v>1442</v>
      </c>
      <c r="AO82" s="115" t="s">
        <v>380</v>
      </c>
      <c r="AT82" s="115" t="s">
        <v>1416</v>
      </c>
      <c r="AU82" s="115" t="s">
        <v>2114</v>
      </c>
      <c r="AV82" s="115">
        <v>0</v>
      </c>
      <c r="AW82" s="115" t="s">
        <v>1682</v>
      </c>
      <c r="AX82" s="115" t="s">
        <v>28</v>
      </c>
      <c r="AY82" s="115" t="s">
        <v>1850</v>
      </c>
      <c r="AZ82" s="115" t="s">
        <v>1871</v>
      </c>
      <c r="BA82" s="115"/>
      <c r="BB82" s="115"/>
      <c r="BC82" s="115"/>
      <c r="BD82" s="115">
        <v>392.60750000000002</v>
      </c>
      <c r="BE82" s="115"/>
      <c r="BF82" s="115"/>
      <c r="BG82" s="115"/>
      <c r="BH82" s="115"/>
      <c r="BI82" s="115"/>
      <c r="BJ82" s="115"/>
      <c r="BK82" s="115"/>
      <c r="BL82" s="115"/>
      <c r="BM82" s="115"/>
      <c r="BN82" s="115"/>
      <c r="BO82" s="115"/>
      <c r="BP82" s="115"/>
      <c r="BQ82" s="115"/>
      <c r="BR82" s="115"/>
      <c r="CE82" s="330"/>
      <c r="CV82" s="115">
        <v>2025.07</v>
      </c>
      <c r="CW82" s="115" t="s">
        <v>1415</v>
      </c>
      <c r="CX82" s="115" t="s">
        <v>1645</v>
      </c>
      <c r="CY82" s="115" t="s">
        <v>2063</v>
      </c>
      <c r="CZ82" s="330">
        <v>8896.7999999999993</v>
      </c>
      <c r="DA82" s="115"/>
      <c r="DB82" s="115"/>
      <c r="DC82" s="115" t="s">
        <v>1415</v>
      </c>
      <c r="DD82" s="115" t="s">
        <v>2114</v>
      </c>
      <c r="DE82" s="115" t="s">
        <v>1284</v>
      </c>
      <c r="DF82" s="115" t="s">
        <v>1289</v>
      </c>
      <c r="DG82" s="115">
        <v>21679.85</v>
      </c>
      <c r="DR82" s="214"/>
      <c r="DY82" s="115"/>
      <c r="DZ82" s="115" t="s">
        <v>1415</v>
      </c>
      <c r="EA82" s="115" t="s">
        <v>2114</v>
      </c>
      <c r="EB82" s="115">
        <v>16</v>
      </c>
      <c r="EC82" s="115" t="s">
        <v>143</v>
      </c>
      <c r="ED82" s="115" t="s">
        <v>1697</v>
      </c>
      <c r="EE82" s="187">
        <v>0.25</v>
      </c>
      <c r="EF82" s="330">
        <v>38.350499999999997</v>
      </c>
      <c r="EG82" s="330">
        <v>28.364000000000001</v>
      </c>
      <c r="EH82" s="115" t="s">
        <v>380</v>
      </c>
      <c r="EI82" s="115" t="s">
        <v>1809</v>
      </c>
      <c r="EJ82" s="115"/>
      <c r="EK82" s="115" t="s">
        <v>1827</v>
      </c>
      <c r="EL82" s="115" t="s">
        <v>380</v>
      </c>
      <c r="EM82"/>
      <c r="EO82" s="115"/>
      <c r="EP82" s="334" t="s">
        <v>1416</v>
      </c>
      <c r="EQ82" s="334" t="s">
        <v>2114</v>
      </c>
      <c r="ER82" s="334" t="s">
        <v>358</v>
      </c>
      <c r="ES82" s="334" t="s">
        <v>379</v>
      </c>
      <c r="ET82" s="334">
        <v>2024.44</v>
      </c>
      <c r="EU82" s="334" t="s">
        <v>1382</v>
      </c>
      <c r="EV82" s="334">
        <v>0</v>
      </c>
    </row>
    <row r="83" spans="4:152" ht="13">
      <c r="D83" s="115" t="s">
        <v>1518</v>
      </c>
      <c r="E83" s="115" t="s">
        <v>1274</v>
      </c>
      <c r="F83" s="115">
        <v>658.53039999999999</v>
      </c>
      <c r="I83" s="115" t="s">
        <v>1505</v>
      </c>
      <c r="J83" s="115" t="s">
        <v>1363</v>
      </c>
      <c r="K83" s="183">
        <v>125</v>
      </c>
      <c r="AG83" s="115"/>
      <c r="AH83" s="115"/>
      <c r="AI83" s="115" t="s">
        <v>1416</v>
      </c>
      <c r="AJ83" t="s">
        <v>2114</v>
      </c>
      <c r="AK83" s="115">
        <v>0</v>
      </c>
      <c r="AL83" s="115" t="s">
        <v>28</v>
      </c>
      <c r="AM83" s="115" t="s">
        <v>1849</v>
      </c>
      <c r="AN83" s="115" t="s">
        <v>1442</v>
      </c>
      <c r="AO83" s="115" t="s">
        <v>380</v>
      </c>
      <c r="AT83" s="115" t="s">
        <v>1415</v>
      </c>
      <c r="AU83" s="115" t="s">
        <v>2114</v>
      </c>
      <c r="AV83" s="115">
        <v>15</v>
      </c>
      <c r="AW83" s="115" t="s">
        <v>1682</v>
      </c>
      <c r="AX83" s="115" t="s">
        <v>28</v>
      </c>
      <c r="AY83" s="115" t="s">
        <v>1832</v>
      </c>
      <c r="AZ83" s="115" t="s">
        <v>1871</v>
      </c>
      <c r="BA83" s="115"/>
      <c r="BB83" s="115"/>
      <c r="BC83" s="115"/>
      <c r="BD83" s="115">
        <v>1954.53</v>
      </c>
      <c r="BE83" s="115"/>
      <c r="BF83" s="115"/>
      <c r="BG83" s="115"/>
      <c r="BH83" s="115"/>
      <c r="BI83" s="115"/>
      <c r="BJ83" s="115"/>
      <c r="BK83" s="115"/>
      <c r="BL83" s="115"/>
      <c r="BM83" s="115"/>
      <c r="BN83" s="115"/>
      <c r="BO83" s="115"/>
      <c r="BP83" s="115"/>
      <c r="BQ83" s="115"/>
      <c r="BR83" s="115"/>
      <c r="CE83" s="330"/>
      <c r="CV83" s="115">
        <v>2025.08</v>
      </c>
      <c r="CW83" s="115" t="s">
        <v>1415</v>
      </c>
      <c r="CX83" s="115" t="s">
        <v>1645</v>
      </c>
      <c r="CY83" s="115" t="s">
        <v>2063</v>
      </c>
      <c r="CZ83" s="330">
        <v>4448.3999999999996</v>
      </c>
      <c r="DA83" s="115"/>
      <c r="DB83" s="115"/>
      <c r="DC83" s="115" t="s">
        <v>1415</v>
      </c>
      <c r="DD83" s="115" t="s">
        <v>2114</v>
      </c>
      <c r="DE83" s="115" t="s">
        <v>417</v>
      </c>
      <c r="DF83" s="115" t="s">
        <v>1291</v>
      </c>
      <c r="DG83" s="115">
        <v>10548</v>
      </c>
      <c r="DR83" s="214"/>
      <c r="DY83" s="115"/>
      <c r="DZ83" s="115" t="s">
        <v>1415</v>
      </c>
      <c r="EA83" s="115" t="s">
        <v>2114</v>
      </c>
      <c r="EB83" s="115">
        <v>15</v>
      </c>
      <c r="EC83" s="115" t="s">
        <v>152</v>
      </c>
      <c r="ED83" s="115" t="s">
        <v>1697</v>
      </c>
      <c r="EE83" s="187">
        <v>1</v>
      </c>
      <c r="EF83" s="330">
        <v>38.404499999999999</v>
      </c>
      <c r="EG83" s="330">
        <v>73.994299999999996</v>
      </c>
      <c r="EH83" s="115" t="s">
        <v>384</v>
      </c>
      <c r="EI83" s="115" t="s">
        <v>1809</v>
      </c>
      <c r="EJ83" s="115"/>
      <c r="EK83" s="115" t="s">
        <v>315</v>
      </c>
      <c r="EL83" s="115" t="s">
        <v>384</v>
      </c>
      <c r="EM83"/>
      <c r="EO83" s="115"/>
      <c r="EP83" s="334" t="s">
        <v>1416</v>
      </c>
      <c r="EQ83" s="334" t="s">
        <v>2114</v>
      </c>
      <c r="ER83" s="334" t="s">
        <v>358</v>
      </c>
      <c r="ES83" s="334" t="s">
        <v>376</v>
      </c>
      <c r="ET83" s="334">
        <v>2023.44</v>
      </c>
      <c r="EU83" s="334" t="s">
        <v>397</v>
      </c>
      <c r="EV83" s="334">
        <v>41305.073499999999</v>
      </c>
    </row>
    <row r="84" spans="4:152" ht="13">
      <c r="D84" s="115" t="s">
        <v>1518</v>
      </c>
      <c r="E84" s="115" t="s">
        <v>379</v>
      </c>
      <c r="F84" s="115">
        <v>146.04349999999999</v>
      </c>
      <c r="I84" s="115" t="s">
        <v>1505</v>
      </c>
      <c r="J84" s="115" t="s">
        <v>1353</v>
      </c>
      <c r="K84" s="183" t="s">
        <v>1506</v>
      </c>
      <c r="AG84" s="115"/>
      <c r="AH84" s="115"/>
      <c r="AI84" s="115" t="s">
        <v>1416</v>
      </c>
      <c r="AJ84" t="s">
        <v>2114</v>
      </c>
      <c r="AK84" s="115">
        <v>0</v>
      </c>
      <c r="AL84" s="115" t="s">
        <v>28</v>
      </c>
      <c r="AM84" s="115" t="s">
        <v>1843</v>
      </c>
      <c r="AN84" s="115" t="s">
        <v>1442</v>
      </c>
      <c r="AO84" s="115" t="s">
        <v>380</v>
      </c>
      <c r="AT84" s="115" t="s">
        <v>1416</v>
      </c>
      <c r="AU84" s="115" t="s">
        <v>2114</v>
      </c>
      <c r="AV84" s="115">
        <v>0</v>
      </c>
      <c r="AW84" s="115" t="s">
        <v>1682</v>
      </c>
      <c r="AX84" s="115" t="s">
        <v>28</v>
      </c>
      <c r="AY84" s="115" t="s">
        <v>1832</v>
      </c>
      <c r="AZ84" s="115" t="s">
        <v>1871</v>
      </c>
      <c r="BA84" s="115"/>
      <c r="BB84" s="115"/>
      <c r="BC84" s="115"/>
      <c r="BD84" s="115">
        <v>809.5</v>
      </c>
      <c r="BE84" s="115"/>
      <c r="BF84" s="115"/>
      <c r="BG84" s="115"/>
      <c r="BH84" s="115"/>
      <c r="BI84" s="115"/>
      <c r="BJ84" s="115"/>
      <c r="BK84" s="115"/>
      <c r="BL84" s="115"/>
      <c r="BM84" s="115"/>
      <c r="BN84" s="115"/>
      <c r="BO84" s="115"/>
      <c r="BP84" s="115"/>
      <c r="BQ84" s="115"/>
      <c r="BR84" s="115"/>
      <c r="CE84" s="330"/>
      <c r="CV84" s="115">
        <v>2024.48</v>
      </c>
      <c r="CW84" s="115" t="s">
        <v>1415</v>
      </c>
      <c r="CX84" s="115" t="s">
        <v>372</v>
      </c>
      <c r="CY84" s="115" t="s">
        <v>2065</v>
      </c>
      <c r="CZ84" s="330">
        <v>2852.6579999999999</v>
      </c>
      <c r="DA84" s="115"/>
      <c r="DB84" s="115"/>
      <c r="DC84" s="115" t="s">
        <v>1415</v>
      </c>
      <c r="DD84" s="115" t="s">
        <v>2114</v>
      </c>
      <c r="DE84" s="115" t="s">
        <v>417</v>
      </c>
      <c r="DF84" s="115" t="s">
        <v>1296</v>
      </c>
      <c r="DG84" s="115">
        <v>1985.44</v>
      </c>
      <c r="DR84" s="214"/>
      <c r="DY84" s="115"/>
      <c r="DZ84" s="115" t="s">
        <v>1416</v>
      </c>
      <c r="EA84" s="115" t="s">
        <v>2114</v>
      </c>
      <c r="EB84" s="115">
        <v>0</v>
      </c>
      <c r="EC84" s="115" t="s">
        <v>152</v>
      </c>
      <c r="ED84" s="115" t="s">
        <v>1697</v>
      </c>
      <c r="EE84" s="187">
        <v>1</v>
      </c>
      <c r="EF84" s="330">
        <v>35.58</v>
      </c>
      <c r="EG84" s="330">
        <v>67.41</v>
      </c>
      <c r="EH84" s="115" t="s">
        <v>384</v>
      </c>
      <c r="EI84" s="115" t="s">
        <v>1809</v>
      </c>
      <c r="EJ84" s="115"/>
      <c r="EK84" s="115" t="s">
        <v>315</v>
      </c>
      <c r="EL84" s="115" t="s">
        <v>384</v>
      </c>
      <c r="EM84"/>
      <c r="EO84" s="115"/>
      <c r="EP84" s="334" t="s">
        <v>1416</v>
      </c>
      <c r="EQ84" s="334" t="s">
        <v>2114</v>
      </c>
      <c r="ER84" s="334" t="s">
        <v>358</v>
      </c>
      <c r="ES84" s="334" t="s">
        <v>376</v>
      </c>
      <c r="ET84" s="334">
        <v>2023.44</v>
      </c>
      <c r="EU84" s="334" t="s">
        <v>1382</v>
      </c>
      <c r="EV84" s="334">
        <v>41305.073499999999</v>
      </c>
    </row>
    <row r="85" spans="4:152" ht="13">
      <c r="D85" s="115" t="s">
        <v>1518</v>
      </c>
      <c r="E85" s="115" t="s">
        <v>380</v>
      </c>
      <c r="F85" s="115">
        <v>3672.4839000000002</v>
      </c>
      <c r="I85" s="115" t="s">
        <v>1505</v>
      </c>
      <c r="J85" s="115" t="s">
        <v>1369</v>
      </c>
      <c r="K85" s="183">
        <v>13</v>
      </c>
      <c r="AG85" s="115"/>
      <c r="AH85" s="115"/>
      <c r="AI85" s="115" t="s">
        <v>1416</v>
      </c>
      <c r="AJ85" t="s">
        <v>2114</v>
      </c>
      <c r="AK85" s="115">
        <v>0</v>
      </c>
      <c r="AL85" s="115" t="s">
        <v>28</v>
      </c>
      <c r="AM85" s="115" t="s">
        <v>1832</v>
      </c>
      <c r="AN85" s="115" t="s">
        <v>1442</v>
      </c>
      <c r="AO85" s="115" t="s">
        <v>380</v>
      </c>
      <c r="AT85" s="115" t="s">
        <v>1416</v>
      </c>
      <c r="AU85" s="115" t="s">
        <v>2114</v>
      </c>
      <c r="AV85" s="115">
        <v>0</v>
      </c>
      <c r="AW85" s="115" t="s">
        <v>1682</v>
      </c>
      <c r="AX85" s="115" t="s">
        <v>28</v>
      </c>
      <c r="AY85" s="115" t="s">
        <v>1846</v>
      </c>
      <c r="AZ85" s="115" t="s">
        <v>1872</v>
      </c>
      <c r="BA85" s="115"/>
      <c r="BB85" s="115"/>
      <c r="BC85" s="115"/>
      <c r="BD85" s="115"/>
      <c r="BE85" s="115">
        <v>3158.0193000000004</v>
      </c>
      <c r="BF85" s="115"/>
      <c r="BG85" s="115"/>
      <c r="BH85" s="115"/>
      <c r="BI85" s="115"/>
      <c r="BJ85" s="115"/>
      <c r="BK85" s="115"/>
      <c r="BL85" s="115"/>
      <c r="BM85" s="115"/>
      <c r="BN85" s="115"/>
      <c r="BO85" s="115"/>
      <c r="BP85" s="115"/>
      <c r="BQ85" s="115"/>
      <c r="BR85" s="115"/>
      <c r="CE85" s="330"/>
      <c r="CV85" s="115">
        <v>2024.48</v>
      </c>
      <c r="CW85" s="115" t="s">
        <v>1415</v>
      </c>
      <c r="CX85" s="115" t="s">
        <v>377</v>
      </c>
      <c r="CY85" s="115" t="s">
        <v>2065</v>
      </c>
      <c r="CZ85" s="330">
        <v>2327.9850000000001</v>
      </c>
      <c r="DA85" s="115"/>
      <c r="DB85" s="115"/>
      <c r="DC85" s="115" t="s">
        <v>1415</v>
      </c>
      <c r="DD85" s="115" t="s">
        <v>2114</v>
      </c>
      <c r="DE85" s="115" t="s">
        <v>1467</v>
      </c>
      <c r="DF85" s="115" t="s">
        <v>1267</v>
      </c>
      <c r="DG85" s="115">
        <v>219.72</v>
      </c>
      <c r="DR85" s="214"/>
      <c r="DY85" s="115"/>
      <c r="DZ85" s="115" t="s">
        <v>1415</v>
      </c>
      <c r="EA85" s="115" t="s">
        <v>2114</v>
      </c>
      <c r="EB85" s="115">
        <v>0</v>
      </c>
      <c r="EC85" s="115" t="s">
        <v>152</v>
      </c>
      <c r="ED85" s="115" t="s">
        <v>1697</v>
      </c>
      <c r="EE85" s="187">
        <v>1</v>
      </c>
      <c r="EF85" s="330">
        <v>38.404499999999999</v>
      </c>
      <c r="EG85" s="330">
        <v>73.994299999999996</v>
      </c>
      <c r="EH85" s="115" t="s">
        <v>384</v>
      </c>
      <c r="EI85" s="115" t="s">
        <v>1809</v>
      </c>
      <c r="EJ85" s="115"/>
      <c r="EK85" s="115" t="s">
        <v>315</v>
      </c>
      <c r="EL85" s="115" t="s">
        <v>384</v>
      </c>
      <c r="EM85"/>
      <c r="EO85" s="115"/>
      <c r="EP85" s="334" t="s">
        <v>1416</v>
      </c>
      <c r="EQ85" s="334" t="s">
        <v>2114</v>
      </c>
      <c r="ER85" s="334" t="s">
        <v>358</v>
      </c>
      <c r="ES85" s="334" t="s">
        <v>376</v>
      </c>
      <c r="ET85" s="334">
        <v>2024.44</v>
      </c>
      <c r="EU85" s="334" t="s">
        <v>397</v>
      </c>
      <c r="EV85" s="334">
        <v>41305.073499999999</v>
      </c>
    </row>
    <row r="86" spans="4:152" ht="13">
      <c r="D86" s="115" t="s">
        <v>1518</v>
      </c>
      <c r="E86" s="115" t="s">
        <v>1639</v>
      </c>
      <c r="F86" s="115">
        <v>2728.4603000000002</v>
      </c>
      <c r="I86" s="115" t="s">
        <v>1505</v>
      </c>
      <c r="J86" s="115" t="s">
        <v>1355</v>
      </c>
      <c r="K86" s="183">
        <v>12</v>
      </c>
      <c r="AG86" s="115"/>
      <c r="AH86" s="115"/>
      <c r="AI86" s="115" t="s">
        <v>1416</v>
      </c>
      <c r="AJ86" t="s">
        <v>2114</v>
      </c>
      <c r="AK86" s="115">
        <v>0</v>
      </c>
      <c r="AL86" s="115" t="s">
        <v>28</v>
      </c>
      <c r="AM86" s="115" t="s">
        <v>1846</v>
      </c>
      <c r="AN86" s="115" t="s">
        <v>1442</v>
      </c>
      <c r="AO86" s="115" t="s">
        <v>380</v>
      </c>
      <c r="AT86" s="115" t="s">
        <v>1415</v>
      </c>
      <c r="AU86" s="115" t="s">
        <v>2114</v>
      </c>
      <c r="AV86" s="115">
        <v>15</v>
      </c>
      <c r="AW86" s="115" t="s">
        <v>1682</v>
      </c>
      <c r="AX86" s="115" t="s">
        <v>28</v>
      </c>
      <c r="AY86" s="115" t="s">
        <v>1846</v>
      </c>
      <c r="AZ86" s="115" t="s">
        <v>1872</v>
      </c>
      <c r="BA86" s="115"/>
      <c r="BB86" s="115"/>
      <c r="BC86" s="115"/>
      <c r="BD86" s="115"/>
      <c r="BE86" s="115">
        <v>14844.416660100002</v>
      </c>
      <c r="BF86" s="115"/>
      <c r="BG86" s="115"/>
      <c r="BH86" s="115"/>
      <c r="BI86" s="115"/>
      <c r="BJ86" s="115"/>
      <c r="BK86" s="115"/>
      <c r="BL86" s="115"/>
      <c r="BM86" s="115"/>
      <c r="BN86" s="115"/>
      <c r="BO86" s="115"/>
      <c r="BP86" s="115"/>
      <c r="BQ86" s="115"/>
      <c r="BR86" s="115"/>
      <c r="CE86" s="330"/>
      <c r="CV86" s="115">
        <v>2024.49</v>
      </c>
      <c r="CW86" s="115" t="s">
        <v>1415</v>
      </c>
      <c r="CX86" s="115" t="s">
        <v>372</v>
      </c>
      <c r="CY86" s="115" t="s">
        <v>2065</v>
      </c>
      <c r="CZ86" s="330">
        <v>4754.43</v>
      </c>
      <c r="DA86" s="115"/>
      <c r="DB86" s="115"/>
      <c r="DC86" s="115" t="s">
        <v>1415</v>
      </c>
      <c r="DD86" s="115" t="s">
        <v>2114</v>
      </c>
      <c r="DE86" s="115" t="s">
        <v>1467</v>
      </c>
      <c r="DF86" s="115" t="s">
        <v>1269</v>
      </c>
      <c r="DG86" s="115">
        <v>575.74</v>
      </c>
      <c r="DR86" s="214"/>
      <c r="DY86" s="115"/>
      <c r="DZ86" s="115" t="s">
        <v>1415</v>
      </c>
      <c r="EA86" s="115" t="s">
        <v>2114</v>
      </c>
      <c r="EB86" s="115">
        <v>16</v>
      </c>
      <c r="EC86" s="115" t="s">
        <v>152</v>
      </c>
      <c r="ED86" s="115" t="s">
        <v>1697</v>
      </c>
      <c r="EE86" s="187">
        <v>1</v>
      </c>
      <c r="EF86" s="330">
        <v>38.404499999999999</v>
      </c>
      <c r="EG86" s="330">
        <v>73.994299999999996</v>
      </c>
      <c r="EH86" s="115" t="s">
        <v>384</v>
      </c>
      <c r="EI86" s="115" t="s">
        <v>1809</v>
      </c>
      <c r="EJ86" s="115"/>
      <c r="EK86" s="115" t="s">
        <v>315</v>
      </c>
      <c r="EL86" s="115" t="s">
        <v>384</v>
      </c>
      <c r="EM86"/>
      <c r="EO86" s="115"/>
      <c r="EP86" s="334" t="s">
        <v>1416</v>
      </c>
      <c r="EQ86" s="334" t="s">
        <v>2114</v>
      </c>
      <c r="ER86" s="334" t="s">
        <v>358</v>
      </c>
      <c r="ES86" s="334" t="s">
        <v>376</v>
      </c>
      <c r="ET86" s="334">
        <v>2024.44</v>
      </c>
      <c r="EU86" s="334" t="s">
        <v>1382</v>
      </c>
      <c r="EV86" s="334">
        <v>27265.360000000001</v>
      </c>
    </row>
    <row r="87" spans="4:152" ht="13">
      <c r="D87" s="115" t="s">
        <v>1518</v>
      </c>
      <c r="E87" s="115" t="s">
        <v>360</v>
      </c>
      <c r="F87" s="115">
        <v>109.9212</v>
      </c>
      <c r="I87" s="115" t="s">
        <v>1505</v>
      </c>
      <c r="J87" s="115" t="s">
        <v>1361</v>
      </c>
      <c r="K87" s="183">
        <v>69.23</v>
      </c>
      <c r="AG87" s="115"/>
      <c r="AH87" s="115"/>
      <c r="AI87" s="115" t="s">
        <v>1416</v>
      </c>
      <c r="AJ87" t="s">
        <v>2114</v>
      </c>
      <c r="AK87" s="115">
        <v>0</v>
      </c>
      <c r="AL87" s="115" t="s">
        <v>28</v>
      </c>
      <c r="AM87" s="115" t="s">
        <v>1850</v>
      </c>
      <c r="AN87" s="115" t="s">
        <v>1443</v>
      </c>
      <c r="AO87" s="115" t="s">
        <v>1644</v>
      </c>
      <c r="AT87" s="115" t="s">
        <v>1416</v>
      </c>
      <c r="AU87" s="115" t="s">
        <v>2114</v>
      </c>
      <c r="AV87" s="115">
        <v>0</v>
      </c>
      <c r="AW87" s="115" t="s">
        <v>1682</v>
      </c>
      <c r="AX87" s="115" t="s">
        <v>28</v>
      </c>
      <c r="AY87" s="115" t="s">
        <v>1848</v>
      </c>
      <c r="AZ87" s="115" t="s">
        <v>1872</v>
      </c>
      <c r="BA87" s="115"/>
      <c r="BB87" s="115"/>
      <c r="BC87" s="115"/>
      <c r="BD87" s="115"/>
      <c r="BE87" s="115">
        <v>2944.6581000000006</v>
      </c>
      <c r="BF87" s="115"/>
      <c r="BG87" s="115"/>
      <c r="BH87" s="115"/>
      <c r="BI87" s="115"/>
      <c r="BJ87" s="115"/>
      <c r="BK87" s="115"/>
      <c r="BL87" s="115"/>
      <c r="BM87" s="115"/>
      <c r="BN87" s="115"/>
      <c r="BO87" s="115"/>
      <c r="BP87" s="115"/>
      <c r="BQ87" s="115"/>
      <c r="BR87" s="115"/>
      <c r="CE87" s="330"/>
      <c r="CV87" s="115">
        <v>2024.49</v>
      </c>
      <c r="CW87" s="115" t="s">
        <v>1415</v>
      </c>
      <c r="CX87" s="115" t="s">
        <v>377</v>
      </c>
      <c r="CY87" s="115" t="s">
        <v>2065</v>
      </c>
      <c r="CZ87" s="330">
        <v>2327.9850000000001</v>
      </c>
      <c r="DA87" s="115"/>
      <c r="DB87" s="115"/>
      <c r="DC87" s="115" t="s">
        <v>1416</v>
      </c>
      <c r="DD87" s="115" t="s">
        <v>2114</v>
      </c>
      <c r="DE87" s="115" t="s">
        <v>1467</v>
      </c>
      <c r="DF87" s="115" t="s">
        <v>1291</v>
      </c>
      <c r="DG87" s="115">
        <v>1218</v>
      </c>
      <c r="DR87" s="214"/>
      <c r="DY87" s="115"/>
      <c r="DZ87" s="115" t="s">
        <v>1415</v>
      </c>
      <c r="EA87" s="115" t="s">
        <v>2114</v>
      </c>
      <c r="EB87" s="115">
        <v>15</v>
      </c>
      <c r="EC87" s="115" t="s">
        <v>107</v>
      </c>
      <c r="ED87" s="115" t="s">
        <v>1697</v>
      </c>
      <c r="EE87" s="187">
        <v>1</v>
      </c>
      <c r="EF87" s="330">
        <v>53.569899999999997</v>
      </c>
      <c r="EG87" s="330">
        <v>0</v>
      </c>
      <c r="EH87" s="115" t="s">
        <v>387</v>
      </c>
      <c r="EI87" s="115" t="s">
        <v>1810</v>
      </c>
      <c r="EJ87" s="115"/>
      <c r="EK87" s="115" t="s">
        <v>479</v>
      </c>
      <c r="EL87" s="115" t="s">
        <v>387</v>
      </c>
      <c r="EM87"/>
      <c r="EO87" s="115"/>
      <c r="EP87" s="334" t="s">
        <v>1416</v>
      </c>
      <c r="EQ87" s="334" t="s">
        <v>2114</v>
      </c>
      <c r="ER87" s="334" t="s">
        <v>358</v>
      </c>
      <c r="ES87" s="334" t="s">
        <v>1641</v>
      </c>
      <c r="ET87" s="334">
        <v>2023.44</v>
      </c>
      <c r="EU87" s="334" t="s">
        <v>397</v>
      </c>
      <c r="EV87" s="334">
        <v>29510.494299999998</v>
      </c>
    </row>
    <row r="88" spans="4:152" ht="13">
      <c r="D88" s="115" t="s">
        <v>1518</v>
      </c>
      <c r="E88" s="115" t="s">
        <v>386</v>
      </c>
      <c r="F88" s="115">
        <v>2821.6280999999999</v>
      </c>
      <c r="I88" s="115" t="s">
        <v>1505</v>
      </c>
      <c r="J88" s="115" t="s">
        <v>1364</v>
      </c>
      <c r="K88" s="183">
        <v>300</v>
      </c>
      <c r="AG88" s="115"/>
      <c r="AH88" s="115"/>
      <c r="AI88" s="115" t="s">
        <v>1416</v>
      </c>
      <c r="AJ88" t="s">
        <v>2114</v>
      </c>
      <c r="AK88" s="115">
        <v>0</v>
      </c>
      <c r="AL88" s="115" t="s">
        <v>28</v>
      </c>
      <c r="AM88" s="115" t="s">
        <v>1843</v>
      </c>
      <c r="AN88" s="115" t="s">
        <v>1443</v>
      </c>
      <c r="AO88" s="115" t="s">
        <v>1644</v>
      </c>
      <c r="AT88" s="115" t="s">
        <v>1415</v>
      </c>
      <c r="AU88" s="115" t="s">
        <v>2114</v>
      </c>
      <c r="AV88" s="115">
        <v>15</v>
      </c>
      <c r="AW88" s="115" t="s">
        <v>1682</v>
      </c>
      <c r="AX88" s="115" t="s">
        <v>28</v>
      </c>
      <c r="AY88" s="115" t="s">
        <v>1848</v>
      </c>
      <c r="AZ88" s="115" t="s">
        <v>1872</v>
      </c>
      <c r="BA88" s="115"/>
      <c r="BB88" s="115"/>
      <c r="BC88" s="115"/>
      <c r="BD88" s="115"/>
      <c r="BE88" s="115">
        <v>13610.844806900001</v>
      </c>
      <c r="BF88" s="115"/>
      <c r="BG88" s="115"/>
      <c r="BH88" s="115"/>
      <c r="BI88" s="115"/>
      <c r="BJ88" s="115"/>
      <c r="BK88" s="115"/>
      <c r="BL88" s="115"/>
      <c r="BM88" s="115"/>
      <c r="BN88" s="115"/>
      <c r="BO88" s="115"/>
      <c r="BP88" s="115"/>
      <c r="BQ88" s="115"/>
      <c r="BR88" s="115"/>
      <c r="CE88" s="330"/>
      <c r="CV88" s="115">
        <v>2024.5</v>
      </c>
      <c r="CW88" s="115" t="s">
        <v>1415</v>
      </c>
      <c r="CX88" s="115" t="s">
        <v>372</v>
      </c>
      <c r="CY88" s="115" t="s">
        <v>2065</v>
      </c>
      <c r="CZ88" s="330">
        <v>4754.43</v>
      </c>
      <c r="DA88" s="115"/>
      <c r="DB88" s="115"/>
      <c r="DC88" s="115" t="s">
        <v>1416</v>
      </c>
      <c r="DD88" s="115" t="s">
        <v>2114</v>
      </c>
      <c r="DE88" s="115" t="s">
        <v>1468</v>
      </c>
      <c r="DF88" s="115" t="s">
        <v>1281</v>
      </c>
      <c r="DG88" s="115">
        <v>2216.3000000000002</v>
      </c>
      <c r="DR88" s="214"/>
      <c r="DY88" s="115"/>
      <c r="DZ88" s="115" t="s">
        <v>1416</v>
      </c>
      <c r="EA88" s="115" t="s">
        <v>2114</v>
      </c>
      <c r="EB88" s="115">
        <v>0</v>
      </c>
      <c r="EC88" s="115" t="s">
        <v>107</v>
      </c>
      <c r="ED88" s="115" t="s">
        <v>1697</v>
      </c>
      <c r="EE88" s="187">
        <v>1</v>
      </c>
      <c r="EF88" s="330">
        <v>49.63</v>
      </c>
      <c r="EG88" s="330">
        <v>0</v>
      </c>
      <c r="EH88" s="115" t="s">
        <v>387</v>
      </c>
      <c r="EI88" s="115" t="s">
        <v>1810</v>
      </c>
      <c r="EJ88" s="115"/>
      <c r="EK88" s="115" t="s">
        <v>479</v>
      </c>
      <c r="EL88" s="115" t="s">
        <v>387</v>
      </c>
      <c r="EM88"/>
      <c r="EO88" s="115"/>
      <c r="EP88" s="334" t="s">
        <v>1416</v>
      </c>
      <c r="EQ88" s="334" t="s">
        <v>2114</v>
      </c>
      <c r="ER88" s="334" t="s">
        <v>358</v>
      </c>
      <c r="ES88" s="334" t="s">
        <v>1641</v>
      </c>
      <c r="ET88" s="334">
        <v>2023.44</v>
      </c>
      <c r="EU88" s="334" t="s">
        <v>1382</v>
      </c>
      <c r="EV88" s="334">
        <v>29510.494299999998</v>
      </c>
    </row>
    <row r="89" spans="4:152" ht="13">
      <c r="D89" s="115" t="s">
        <v>1521</v>
      </c>
      <c r="E89" s="115" t="s">
        <v>1639</v>
      </c>
      <c r="F89" s="115">
        <v>503.71570000000003</v>
      </c>
      <c r="I89" s="115" t="s">
        <v>1505</v>
      </c>
      <c r="J89" s="115" t="s">
        <v>1367</v>
      </c>
      <c r="K89" s="183">
        <v>8</v>
      </c>
      <c r="AG89" s="115"/>
      <c r="AH89" s="115"/>
      <c r="AI89" s="115" t="s">
        <v>1416</v>
      </c>
      <c r="AJ89" t="s">
        <v>2114</v>
      </c>
      <c r="AK89" s="115">
        <v>0</v>
      </c>
      <c r="AL89" s="115" t="s">
        <v>28</v>
      </c>
      <c r="AM89" s="115" t="s">
        <v>1832</v>
      </c>
      <c r="AN89" s="115" t="s">
        <v>1443</v>
      </c>
      <c r="AO89" s="115" t="s">
        <v>1644</v>
      </c>
      <c r="AT89" s="115" t="s">
        <v>1416</v>
      </c>
      <c r="AU89" s="115" t="s">
        <v>2114</v>
      </c>
      <c r="AV89" s="115">
        <v>0</v>
      </c>
      <c r="AW89" s="115" t="s">
        <v>1682</v>
      </c>
      <c r="AX89" s="115" t="s">
        <v>28</v>
      </c>
      <c r="AY89" s="115" t="s">
        <v>1843</v>
      </c>
      <c r="AZ89" s="115" t="s">
        <v>1872</v>
      </c>
      <c r="BA89" s="115"/>
      <c r="BB89" s="115"/>
      <c r="BC89" s="115"/>
      <c r="BD89" s="115"/>
      <c r="BE89" s="115">
        <v>6291.42</v>
      </c>
      <c r="BF89" s="115"/>
      <c r="BG89" s="115"/>
      <c r="BH89" s="115"/>
      <c r="BI89" s="115"/>
      <c r="BJ89" s="115"/>
      <c r="BK89" s="115"/>
      <c r="BL89" s="115"/>
      <c r="BM89" s="115"/>
      <c r="BN89" s="115"/>
      <c r="BO89" s="115"/>
      <c r="BP89" s="115"/>
      <c r="BQ89" s="115"/>
      <c r="BR89" s="115"/>
      <c r="CE89" s="330"/>
      <c r="CV89" s="115">
        <v>2024.5</v>
      </c>
      <c r="CW89" s="115" t="s">
        <v>1415</v>
      </c>
      <c r="CX89" s="115" t="s">
        <v>377</v>
      </c>
      <c r="CY89" s="115" t="s">
        <v>2065</v>
      </c>
      <c r="CZ89" s="330">
        <v>2327.9850000000001</v>
      </c>
      <c r="DA89" s="115"/>
      <c r="DB89" s="115"/>
      <c r="DC89" s="115" t="s">
        <v>1416</v>
      </c>
      <c r="DD89" s="115" t="s">
        <v>2114</v>
      </c>
      <c r="DE89" s="115" t="s">
        <v>288</v>
      </c>
      <c r="DF89" s="115" t="s">
        <v>1281</v>
      </c>
      <c r="DG89" s="115">
        <v>1510.18</v>
      </c>
      <c r="DR89" s="214"/>
      <c r="DY89" s="115"/>
      <c r="DZ89" s="115" t="s">
        <v>1415</v>
      </c>
      <c r="EA89" s="115" t="s">
        <v>2114</v>
      </c>
      <c r="EB89" s="115">
        <v>0</v>
      </c>
      <c r="EC89" s="115" t="s">
        <v>107</v>
      </c>
      <c r="ED89" s="115" t="s">
        <v>1697</v>
      </c>
      <c r="EE89" s="187">
        <v>1</v>
      </c>
      <c r="EF89" s="330">
        <v>53.569899999999997</v>
      </c>
      <c r="EG89" s="330">
        <v>0</v>
      </c>
      <c r="EH89" s="115" t="s">
        <v>387</v>
      </c>
      <c r="EI89" s="115" t="s">
        <v>1810</v>
      </c>
      <c r="EJ89" s="115"/>
      <c r="EK89" s="115" t="s">
        <v>479</v>
      </c>
      <c r="EL89" s="115" t="s">
        <v>387</v>
      </c>
      <c r="EM89"/>
      <c r="EO89" s="115"/>
      <c r="EP89" s="334" t="s">
        <v>1416</v>
      </c>
      <c r="EQ89" s="334" t="s">
        <v>2114</v>
      </c>
      <c r="ER89" s="334" t="s">
        <v>358</v>
      </c>
      <c r="ES89" s="334" t="s">
        <v>1641</v>
      </c>
      <c r="ET89" s="334">
        <v>2024.44</v>
      </c>
      <c r="EU89" s="334" t="s">
        <v>397</v>
      </c>
      <c r="EV89" s="334">
        <v>29510.494299999998</v>
      </c>
    </row>
    <row r="90" spans="4:152" ht="13">
      <c r="D90" s="115" t="s">
        <v>1521</v>
      </c>
      <c r="E90" s="115" t="s">
        <v>386</v>
      </c>
      <c r="F90" s="115">
        <v>251.8579</v>
      </c>
      <c r="I90" s="115" t="s">
        <v>1505</v>
      </c>
      <c r="J90" s="115" t="s">
        <v>1362</v>
      </c>
      <c r="K90" s="183">
        <v>95</v>
      </c>
      <c r="AG90" s="115"/>
      <c r="AH90" s="115"/>
      <c r="AI90" s="115" t="s">
        <v>1416</v>
      </c>
      <c r="AJ90" t="s">
        <v>2114</v>
      </c>
      <c r="AK90" s="115">
        <v>0</v>
      </c>
      <c r="AL90" s="115" t="s">
        <v>28</v>
      </c>
      <c r="AM90" s="115" t="s">
        <v>1848</v>
      </c>
      <c r="AN90" s="115" t="s">
        <v>1443</v>
      </c>
      <c r="AO90" s="115" t="s">
        <v>1644</v>
      </c>
      <c r="AT90" s="115" t="s">
        <v>1415</v>
      </c>
      <c r="AU90" s="115" t="s">
        <v>2114</v>
      </c>
      <c r="AV90" s="115">
        <v>15</v>
      </c>
      <c r="AW90" s="115" t="s">
        <v>1682</v>
      </c>
      <c r="AX90" s="115" t="s">
        <v>28</v>
      </c>
      <c r="AY90" s="115" t="s">
        <v>1843</v>
      </c>
      <c r="AZ90" s="115" t="s">
        <v>1872</v>
      </c>
      <c r="BA90" s="115"/>
      <c r="BB90" s="115"/>
      <c r="BC90" s="115"/>
      <c r="BD90" s="115"/>
      <c r="BE90" s="115">
        <v>28112.719690721649</v>
      </c>
      <c r="BF90" s="115"/>
      <c r="BG90" s="115"/>
      <c r="BH90" s="115"/>
      <c r="BI90" s="115"/>
      <c r="BJ90" s="115"/>
      <c r="BK90" s="115"/>
      <c r="BL90" s="115"/>
      <c r="BM90" s="115"/>
      <c r="BN90" s="115"/>
      <c r="BO90" s="115"/>
      <c r="BP90" s="115"/>
      <c r="BQ90" s="115"/>
      <c r="BR90" s="115"/>
      <c r="CE90" s="330"/>
      <c r="CV90" s="115">
        <v>2024.51</v>
      </c>
      <c r="CW90" s="115" t="s">
        <v>1415</v>
      </c>
      <c r="CX90" s="115" t="s">
        <v>372</v>
      </c>
      <c r="CY90" s="115" t="s">
        <v>2065</v>
      </c>
      <c r="CZ90" s="330">
        <v>4278.9870000000001</v>
      </c>
      <c r="DA90" s="115"/>
      <c r="DB90" s="115"/>
      <c r="DC90" s="115" t="s">
        <v>1415</v>
      </c>
      <c r="DD90" s="115" t="s">
        <v>2114</v>
      </c>
      <c r="DE90" s="115" t="s">
        <v>1468</v>
      </c>
      <c r="DF90" s="115" t="s">
        <v>1281</v>
      </c>
      <c r="DG90" s="115">
        <v>209051.59</v>
      </c>
      <c r="DR90" s="214"/>
      <c r="DY90" s="115"/>
      <c r="DZ90" s="115" t="s">
        <v>1415</v>
      </c>
      <c r="EA90" s="115" t="s">
        <v>2114</v>
      </c>
      <c r="EB90" s="115">
        <v>16</v>
      </c>
      <c r="EC90" s="115" t="s">
        <v>107</v>
      </c>
      <c r="ED90" s="115" t="s">
        <v>1697</v>
      </c>
      <c r="EE90" s="187">
        <v>1</v>
      </c>
      <c r="EF90" s="330">
        <v>53.569899999999997</v>
      </c>
      <c r="EG90" s="330">
        <v>0</v>
      </c>
      <c r="EH90" s="115" t="s">
        <v>387</v>
      </c>
      <c r="EI90" s="115" t="s">
        <v>1810</v>
      </c>
      <c r="EJ90" s="115"/>
      <c r="EK90" s="115" t="s">
        <v>479</v>
      </c>
      <c r="EL90" s="115" t="s">
        <v>387</v>
      </c>
      <c r="EM90"/>
      <c r="EO90" s="115"/>
      <c r="EP90" s="334" t="s">
        <v>1416</v>
      </c>
      <c r="EQ90" s="334" t="s">
        <v>2114</v>
      </c>
      <c r="ER90" s="334" t="s">
        <v>358</v>
      </c>
      <c r="ES90" s="334" t="s">
        <v>1641</v>
      </c>
      <c r="ET90" s="334">
        <v>2024.44</v>
      </c>
      <c r="EU90" s="334" t="s">
        <v>1382</v>
      </c>
      <c r="EV90" s="334">
        <v>32839.379999999997</v>
      </c>
    </row>
    <row r="91" spans="4:152" ht="13">
      <c r="D91" s="115" t="s">
        <v>1523</v>
      </c>
      <c r="E91" s="115" t="s">
        <v>1643</v>
      </c>
      <c r="F91" s="115">
        <v>669.3</v>
      </c>
      <c r="I91" s="115" t="s">
        <v>1505</v>
      </c>
      <c r="J91" s="115" t="s">
        <v>1368</v>
      </c>
      <c r="K91" s="183">
        <v>11.5</v>
      </c>
      <c r="AG91" s="115"/>
      <c r="AH91" s="115"/>
      <c r="AI91" s="115" t="s">
        <v>1416</v>
      </c>
      <c r="AJ91" t="s">
        <v>2114</v>
      </c>
      <c r="AK91" s="115">
        <v>0</v>
      </c>
      <c r="AL91" s="115" t="s">
        <v>28</v>
      </c>
      <c r="AM91" s="115" t="s">
        <v>1832</v>
      </c>
      <c r="AN91" s="115" t="s">
        <v>1443</v>
      </c>
      <c r="AO91" s="115" t="s">
        <v>1274</v>
      </c>
      <c r="AT91" s="115" t="s">
        <v>1415</v>
      </c>
      <c r="AU91" s="115" t="s">
        <v>2114</v>
      </c>
      <c r="AV91" s="115">
        <v>15</v>
      </c>
      <c r="AW91" s="115" t="s">
        <v>1682</v>
      </c>
      <c r="AX91" s="115" t="s">
        <v>28</v>
      </c>
      <c r="AY91" s="115" t="s">
        <v>1849</v>
      </c>
      <c r="AZ91" s="115" t="s">
        <v>1872</v>
      </c>
      <c r="BA91" s="115"/>
      <c r="BB91" s="115"/>
      <c r="BC91" s="115"/>
      <c r="BD91" s="115"/>
      <c r="BE91" s="115">
        <v>292.84300000000002</v>
      </c>
      <c r="BF91" s="115"/>
      <c r="BG91" s="115"/>
      <c r="BH91" s="115"/>
      <c r="BI91" s="115"/>
      <c r="BJ91" s="115"/>
      <c r="BK91" s="115"/>
      <c r="BL91" s="115"/>
      <c r="BM91" s="115"/>
      <c r="BN91" s="115"/>
      <c r="BO91" s="115"/>
      <c r="BP91" s="115"/>
      <c r="BQ91" s="115"/>
      <c r="BR91" s="115"/>
      <c r="CE91" s="330"/>
      <c r="CV91" s="115">
        <v>2024.51</v>
      </c>
      <c r="CW91" s="115" t="s">
        <v>1415</v>
      </c>
      <c r="CX91" s="115" t="s">
        <v>377</v>
      </c>
      <c r="CY91" s="115" t="s">
        <v>2065</v>
      </c>
      <c r="CZ91" s="330">
        <v>4190.3729999999996</v>
      </c>
      <c r="DA91" s="115"/>
      <c r="DB91" s="115"/>
      <c r="DC91" s="115" t="s">
        <v>1415</v>
      </c>
      <c r="DD91" s="115" t="s">
        <v>2114</v>
      </c>
      <c r="DE91" s="115" t="s">
        <v>1286</v>
      </c>
      <c r="DF91" s="115" t="s">
        <v>1281</v>
      </c>
      <c r="DG91" s="115">
        <v>18005.599999999999</v>
      </c>
      <c r="DR91" s="214"/>
      <c r="DY91" s="115"/>
      <c r="DZ91" s="115" t="s">
        <v>1415</v>
      </c>
      <c r="EA91" s="115" t="s">
        <v>2114</v>
      </c>
      <c r="EB91" s="115">
        <v>15</v>
      </c>
      <c r="EC91" s="115" t="s">
        <v>108</v>
      </c>
      <c r="ED91" s="115" t="s">
        <v>1697</v>
      </c>
      <c r="EE91" s="187">
        <v>0.5</v>
      </c>
      <c r="EF91" s="330">
        <v>46.478299999999997</v>
      </c>
      <c r="EG91" s="330">
        <v>50.6907</v>
      </c>
      <c r="EH91" s="115" t="s">
        <v>377</v>
      </c>
      <c r="EI91" s="115" t="s">
        <v>1810</v>
      </c>
      <c r="EJ91" s="115"/>
      <c r="EK91" s="115" t="s">
        <v>315</v>
      </c>
      <c r="EL91" s="115" t="s">
        <v>1643</v>
      </c>
      <c r="EM91"/>
      <c r="EO91" s="115"/>
      <c r="EP91" s="334" t="s">
        <v>1416</v>
      </c>
      <c r="EQ91" s="334" t="s">
        <v>2114</v>
      </c>
      <c r="ER91" s="334" t="s">
        <v>358</v>
      </c>
      <c r="ES91" s="334" t="s">
        <v>389</v>
      </c>
      <c r="ET91" s="334">
        <v>2024.44</v>
      </c>
      <c r="EU91" s="334" t="s">
        <v>397</v>
      </c>
      <c r="EV91" s="334">
        <v>0</v>
      </c>
    </row>
    <row r="92" spans="4:152" ht="13">
      <c r="D92" s="115" t="s">
        <v>1523</v>
      </c>
      <c r="E92" s="115" t="s">
        <v>374</v>
      </c>
      <c r="F92" s="115">
        <v>-1385.2183</v>
      </c>
      <c r="I92" s="115" t="s">
        <v>1505</v>
      </c>
      <c r="J92" s="115" t="s">
        <v>1360</v>
      </c>
      <c r="K92" s="183">
        <v>0.46450000000000002</v>
      </c>
      <c r="AG92" s="115"/>
      <c r="AH92" s="115"/>
      <c r="AI92" s="115" t="s">
        <v>1416</v>
      </c>
      <c r="AJ92" t="s">
        <v>2114</v>
      </c>
      <c r="AK92" s="115">
        <v>0</v>
      </c>
      <c r="AL92" s="115" t="s">
        <v>28</v>
      </c>
      <c r="AM92" s="115" t="s">
        <v>1850</v>
      </c>
      <c r="AN92" s="115" t="s">
        <v>1443</v>
      </c>
      <c r="AO92" s="115" t="s">
        <v>1274</v>
      </c>
      <c r="AT92" s="115" t="s">
        <v>1416</v>
      </c>
      <c r="AU92" s="115" t="s">
        <v>2114</v>
      </c>
      <c r="AV92" s="115">
        <v>0</v>
      </c>
      <c r="AW92" s="115" t="s">
        <v>1682</v>
      </c>
      <c r="AX92" s="115" t="s">
        <v>28</v>
      </c>
      <c r="AY92" s="115" t="s">
        <v>1849</v>
      </c>
      <c r="AZ92" s="115" t="s">
        <v>1872</v>
      </c>
      <c r="BA92" s="115"/>
      <c r="BB92" s="115"/>
      <c r="BC92" s="115"/>
      <c r="BD92" s="115"/>
      <c r="BE92" s="115">
        <v>68.385000000000005</v>
      </c>
      <c r="BF92" s="115"/>
      <c r="BG92" s="115"/>
      <c r="BH92" s="115"/>
      <c r="BI92" s="115"/>
      <c r="BJ92" s="115"/>
      <c r="BK92" s="115"/>
      <c r="BL92" s="115"/>
      <c r="BM92" s="115"/>
      <c r="BN92" s="115"/>
      <c r="BO92" s="115"/>
      <c r="BP92" s="115"/>
      <c r="BQ92" s="115"/>
      <c r="BR92" s="115"/>
      <c r="CE92" s="330"/>
      <c r="CV92" s="115">
        <v>2025.01</v>
      </c>
      <c r="CW92" s="115" t="s">
        <v>1415</v>
      </c>
      <c r="CX92" s="115" t="s">
        <v>372</v>
      </c>
      <c r="CY92" s="115" t="s">
        <v>2065</v>
      </c>
      <c r="CZ92" s="330">
        <v>4754.43</v>
      </c>
      <c r="DA92" s="115"/>
      <c r="DB92" s="115"/>
      <c r="DC92" s="115" t="s">
        <v>1415</v>
      </c>
      <c r="DD92" s="115" t="s">
        <v>2114</v>
      </c>
      <c r="DE92" s="115" t="s">
        <v>1285</v>
      </c>
      <c r="DF92" s="115" t="s">
        <v>1281</v>
      </c>
      <c r="DG92" s="115">
        <v>98.49</v>
      </c>
      <c r="DR92" s="214"/>
      <c r="DY92" s="115"/>
      <c r="DZ92" s="115" t="s">
        <v>1416</v>
      </c>
      <c r="EA92" s="115" t="s">
        <v>2114</v>
      </c>
      <c r="EB92" s="115">
        <v>0</v>
      </c>
      <c r="EC92" s="115" t="s">
        <v>108</v>
      </c>
      <c r="ED92" s="115" t="s">
        <v>1697</v>
      </c>
      <c r="EE92" s="187">
        <v>0.5</v>
      </c>
      <c r="EF92" s="330">
        <v>43.06</v>
      </c>
      <c r="EG92" s="330">
        <v>46.18</v>
      </c>
      <c r="EH92" s="115" t="s">
        <v>377</v>
      </c>
      <c r="EI92" s="115" t="s">
        <v>1810</v>
      </c>
      <c r="EJ92" s="115"/>
      <c r="EK92" s="115" t="s">
        <v>315</v>
      </c>
      <c r="EL92" s="115" t="s">
        <v>1643</v>
      </c>
      <c r="EM92"/>
      <c r="EO92" s="115"/>
      <c r="EP92" s="334" t="s">
        <v>1416</v>
      </c>
      <c r="EQ92" s="334" t="s">
        <v>2114</v>
      </c>
      <c r="ER92" s="334" t="s">
        <v>358</v>
      </c>
      <c r="ES92" s="334" t="s">
        <v>389</v>
      </c>
      <c r="ET92" s="334">
        <v>2024.44</v>
      </c>
      <c r="EU92" s="334" t="s">
        <v>1382</v>
      </c>
      <c r="EV92" s="334">
        <v>5099.92</v>
      </c>
    </row>
    <row r="93" spans="4:152" ht="13">
      <c r="D93" s="115" t="s">
        <v>1523</v>
      </c>
      <c r="E93" s="115" t="s">
        <v>1642</v>
      </c>
      <c r="F93" s="115">
        <v>510.66399999999999</v>
      </c>
      <c r="I93" s="115" t="s">
        <v>1505</v>
      </c>
      <c r="J93" s="115" t="s">
        <v>1358</v>
      </c>
      <c r="K93" s="183" t="s">
        <v>375</v>
      </c>
      <c r="AG93" s="115"/>
      <c r="AH93" s="115"/>
      <c r="AI93" s="115" t="s">
        <v>1416</v>
      </c>
      <c r="AJ93" t="s">
        <v>2114</v>
      </c>
      <c r="AK93" s="115">
        <v>0</v>
      </c>
      <c r="AL93" s="115" t="s">
        <v>28</v>
      </c>
      <c r="AM93" s="115" t="s">
        <v>1849</v>
      </c>
      <c r="AN93" s="115" t="s">
        <v>1443</v>
      </c>
      <c r="AO93" s="115" t="s">
        <v>1274</v>
      </c>
      <c r="AT93" s="115" t="s">
        <v>1416</v>
      </c>
      <c r="AU93" s="115" t="s">
        <v>2114</v>
      </c>
      <c r="AV93" s="115">
        <v>0</v>
      </c>
      <c r="AW93" s="115" t="s">
        <v>1682</v>
      </c>
      <c r="AX93" s="115" t="s">
        <v>28</v>
      </c>
      <c r="AY93" s="115" t="s">
        <v>1850</v>
      </c>
      <c r="AZ93" s="115" t="s">
        <v>1872</v>
      </c>
      <c r="BA93" s="115"/>
      <c r="BB93" s="115"/>
      <c r="BC93" s="115"/>
      <c r="BD93" s="115"/>
      <c r="BE93" s="115">
        <v>68.385000000000005</v>
      </c>
      <c r="BF93" s="115"/>
      <c r="BG93" s="115"/>
      <c r="BH93" s="115"/>
      <c r="BI93" s="115"/>
      <c r="BJ93" s="115"/>
      <c r="BK93" s="115"/>
      <c r="BL93" s="115"/>
      <c r="BM93" s="115"/>
      <c r="BN93" s="115"/>
      <c r="BO93" s="115"/>
      <c r="BP93" s="115"/>
      <c r="BQ93" s="115"/>
      <c r="BR93" s="115"/>
      <c r="CE93" s="330"/>
      <c r="CV93" s="115">
        <v>2025.01</v>
      </c>
      <c r="CW93" s="115" t="s">
        <v>1415</v>
      </c>
      <c r="CX93" s="115" t="s">
        <v>377</v>
      </c>
      <c r="CY93" s="115" t="s">
        <v>2065</v>
      </c>
      <c r="CZ93" s="330">
        <v>4655.97</v>
      </c>
      <c r="DA93" s="115"/>
      <c r="DB93" s="115"/>
      <c r="DC93" s="115" t="s">
        <v>1416</v>
      </c>
      <c r="DD93" s="115" t="s">
        <v>2114</v>
      </c>
      <c r="DE93" s="115" t="s">
        <v>1468</v>
      </c>
      <c r="DF93" s="115" t="s">
        <v>1282</v>
      </c>
      <c r="DG93" s="115">
        <v>128107.65</v>
      </c>
      <c r="DR93" s="214"/>
      <c r="DY93" s="115"/>
      <c r="DZ93" s="115" t="s">
        <v>1415</v>
      </c>
      <c r="EA93" s="115" t="s">
        <v>2114</v>
      </c>
      <c r="EB93" s="115">
        <v>0</v>
      </c>
      <c r="EC93" s="115" t="s">
        <v>108</v>
      </c>
      <c r="ED93" s="115" t="s">
        <v>1697</v>
      </c>
      <c r="EE93" s="187">
        <v>0.5</v>
      </c>
      <c r="EF93" s="330">
        <v>46.478299999999997</v>
      </c>
      <c r="EG93" s="330">
        <v>50.6907</v>
      </c>
      <c r="EH93" s="115" t="s">
        <v>377</v>
      </c>
      <c r="EI93" s="115" t="s">
        <v>1810</v>
      </c>
      <c r="EJ93" s="115"/>
      <c r="EK93" s="115" t="s">
        <v>315</v>
      </c>
      <c r="EL93" s="115" t="s">
        <v>1643</v>
      </c>
      <c r="EM93"/>
      <c r="EO93" s="115"/>
      <c r="EP93" s="334" t="s">
        <v>1416</v>
      </c>
      <c r="EQ93" s="334" t="s">
        <v>2114</v>
      </c>
      <c r="ER93" s="334" t="s">
        <v>358</v>
      </c>
      <c r="ES93" s="334" t="s">
        <v>373</v>
      </c>
      <c r="ET93" s="334">
        <v>2023.44</v>
      </c>
      <c r="EU93" s="334" t="s">
        <v>397</v>
      </c>
      <c r="EV93" s="334">
        <v>5704.6566999999995</v>
      </c>
    </row>
    <row r="94" spans="4:152" ht="13">
      <c r="D94" s="115" t="s">
        <v>1523</v>
      </c>
      <c r="E94" s="115" t="s">
        <v>1274</v>
      </c>
      <c r="F94" s="115">
        <v>1143.9960000000001</v>
      </c>
      <c r="I94" s="115" t="s">
        <v>1505</v>
      </c>
      <c r="J94" s="115" t="s">
        <v>1354</v>
      </c>
      <c r="K94" s="183">
        <v>45141</v>
      </c>
      <c r="AG94" s="115"/>
      <c r="AH94" s="115"/>
      <c r="AI94" s="115" t="s">
        <v>1416</v>
      </c>
      <c r="AJ94" t="s">
        <v>2114</v>
      </c>
      <c r="AK94" s="115">
        <v>0</v>
      </c>
      <c r="AL94" s="115" t="s">
        <v>28</v>
      </c>
      <c r="AM94" s="115" t="s">
        <v>1843</v>
      </c>
      <c r="AN94" s="115" t="s">
        <v>1443</v>
      </c>
      <c r="AO94" s="115" t="s">
        <v>1274</v>
      </c>
      <c r="AT94" s="115" t="s">
        <v>1415</v>
      </c>
      <c r="AU94" s="115" t="s">
        <v>2114</v>
      </c>
      <c r="AV94" s="115">
        <v>15</v>
      </c>
      <c r="AW94" s="115" t="s">
        <v>1682</v>
      </c>
      <c r="AX94" s="115" t="s">
        <v>28</v>
      </c>
      <c r="AY94" s="115" t="s">
        <v>1850</v>
      </c>
      <c r="AZ94" s="115" t="s">
        <v>1872</v>
      </c>
      <c r="BA94" s="115"/>
      <c r="BB94" s="115"/>
      <c r="BC94" s="115"/>
      <c r="BD94" s="115"/>
      <c r="BE94" s="115">
        <v>292.84300000000002</v>
      </c>
      <c r="BF94" s="115"/>
      <c r="BG94" s="115"/>
      <c r="BH94" s="115"/>
      <c r="BI94" s="115"/>
      <c r="BJ94" s="115"/>
      <c r="BK94" s="115"/>
      <c r="BL94" s="115"/>
      <c r="BM94" s="115"/>
      <c r="BN94" s="115"/>
      <c r="BO94" s="115"/>
      <c r="BP94" s="115"/>
      <c r="BQ94" s="115"/>
      <c r="BR94" s="115"/>
      <c r="CE94" s="330"/>
      <c r="CV94" s="115">
        <v>2025.02</v>
      </c>
      <c r="CW94" s="115" t="s">
        <v>1415</v>
      </c>
      <c r="CX94" s="115" t="s">
        <v>372</v>
      </c>
      <c r="CY94" s="115" t="s">
        <v>2065</v>
      </c>
      <c r="CZ94" s="330">
        <v>4754.43</v>
      </c>
      <c r="DA94" s="115"/>
      <c r="DB94" s="115"/>
      <c r="DC94" s="115" t="s">
        <v>1415</v>
      </c>
      <c r="DD94" s="115" t="s">
        <v>2114</v>
      </c>
      <c r="DE94" s="115" t="s">
        <v>1468</v>
      </c>
      <c r="DF94" s="115" t="s">
        <v>1282</v>
      </c>
      <c r="DG94" s="115">
        <v>29023.5</v>
      </c>
      <c r="DR94" s="214"/>
      <c r="DY94" s="115"/>
      <c r="DZ94" s="115" t="s">
        <v>1415</v>
      </c>
      <c r="EA94" s="115" t="s">
        <v>2114</v>
      </c>
      <c r="EB94" s="115">
        <v>16</v>
      </c>
      <c r="EC94" s="115" t="s">
        <v>108</v>
      </c>
      <c r="ED94" s="115" t="s">
        <v>1697</v>
      </c>
      <c r="EE94" s="187">
        <v>0.5</v>
      </c>
      <c r="EF94" s="330">
        <v>46.478299999999997</v>
      </c>
      <c r="EG94" s="330">
        <v>50.6907</v>
      </c>
      <c r="EH94" s="115" t="s">
        <v>377</v>
      </c>
      <c r="EI94" s="115" t="s">
        <v>1810</v>
      </c>
      <c r="EJ94" s="115"/>
      <c r="EK94" s="115" t="s">
        <v>315</v>
      </c>
      <c r="EL94" s="115" t="s">
        <v>1643</v>
      </c>
      <c r="EM94"/>
      <c r="EO94" s="115"/>
      <c r="EP94" s="334" t="s">
        <v>1416</v>
      </c>
      <c r="EQ94" s="334" t="s">
        <v>2114</v>
      </c>
      <c r="ER94" s="334" t="s">
        <v>358</v>
      </c>
      <c r="ES94" s="334" t="s">
        <v>373</v>
      </c>
      <c r="ET94" s="334">
        <v>2023.44</v>
      </c>
      <c r="EU94" s="334" t="s">
        <v>1382</v>
      </c>
      <c r="EV94" s="334">
        <v>5704.6566999999995</v>
      </c>
    </row>
    <row r="95" spans="4:152" ht="13">
      <c r="D95" s="115" t="s">
        <v>1523</v>
      </c>
      <c r="E95" s="115" t="s">
        <v>1641</v>
      </c>
      <c r="F95" s="115">
        <v>248.15</v>
      </c>
      <c r="I95" s="115" t="s">
        <v>1505</v>
      </c>
      <c r="J95" s="115" t="s">
        <v>1365</v>
      </c>
      <c r="K95" s="183">
        <v>15</v>
      </c>
      <c r="AG95" s="115"/>
      <c r="AH95" s="115"/>
      <c r="AI95" s="115" t="s">
        <v>1416</v>
      </c>
      <c r="AJ95" t="s">
        <v>2114</v>
      </c>
      <c r="AK95" s="115">
        <v>0</v>
      </c>
      <c r="AL95" s="115" t="s">
        <v>28</v>
      </c>
      <c r="AM95" s="115" t="s">
        <v>1848</v>
      </c>
      <c r="AN95" s="115" t="s">
        <v>1443</v>
      </c>
      <c r="AO95" s="115" t="s">
        <v>1274</v>
      </c>
      <c r="AT95" s="115" t="s">
        <v>1416</v>
      </c>
      <c r="AU95" s="115" t="s">
        <v>2114</v>
      </c>
      <c r="AV95" s="115">
        <v>0</v>
      </c>
      <c r="AW95" s="115" t="s">
        <v>1682</v>
      </c>
      <c r="AX95" s="115" t="s">
        <v>28</v>
      </c>
      <c r="AY95" s="115" t="s">
        <v>1832</v>
      </c>
      <c r="AZ95" s="115" t="s">
        <v>1872</v>
      </c>
      <c r="BA95" s="115"/>
      <c r="BB95" s="115"/>
      <c r="BC95" s="115"/>
      <c r="BD95" s="115"/>
      <c r="BE95" s="115">
        <v>141.00000000000003</v>
      </c>
      <c r="BF95" s="115"/>
      <c r="BG95" s="115"/>
      <c r="BH95" s="115"/>
      <c r="BI95" s="115"/>
      <c r="BJ95" s="115"/>
      <c r="BK95" s="115"/>
      <c r="BL95" s="115"/>
      <c r="BM95" s="115"/>
      <c r="BN95" s="115"/>
      <c r="BO95" s="115"/>
      <c r="BP95" s="115"/>
      <c r="BQ95" s="115"/>
      <c r="BR95" s="115"/>
      <c r="CE95" s="330"/>
      <c r="CV95" s="115">
        <v>2025.02</v>
      </c>
      <c r="CW95" s="115" t="s">
        <v>1415</v>
      </c>
      <c r="CX95" s="115" t="s">
        <v>377</v>
      </c>
      <c r="CY95" s="115" t="s">
        <v>2065</v>
      </c>
      <c r="CZ95" s="330">
        <v>4655.97</v>
      </c>
      <c r="DA95" s="115"/>
      <c r="DB95" s="115"/>
      <c r="DC95" s="115" t="s">
        <v>1415</v>
      </c>
      <c r="DD95" s="115" t="s">
        <v>2114</v>
      </c>
      <c r="DE95" s="115" t="s">
        <v>1286</v>
      </c>
      <c r="DF95" s="115" t="s">
        <v>1282</v>
      </c>
      <c r="DG95" s="115">
        <v>3694.55</v>
      </c>
      <c r="DR95" s="214"/>
      <c r="DY95" s="115"/>
      <c r="DZ95" s="115" t="s">
        <v>1415</v>
      </c>
      <c r="EA95" s="115" t="s">
        <v>2114</v>
      </c>
      <c r="EB95" s="115">
        <v>15</v>
      </c>
      <c r="EC95" s="115" t="s">
        <v>110</v>
      </c>
      <c r="ED95" s="115" t="s">
        <v>1697</v>
      </c>
      <c r="EE95" s="187">
        <v>0.4</v>
      </c>
      <c r="EF95" s="330">
        <v>44.967199999999998</v>
      </c>
      <c r="EG95" s="330">
        <v>52.567700000000002</v>
      </c>
      <c r="EH95" s="115" t="s">
        <v>372</v>
      </c>
      <c r="EI95" s="115" t="s">
        <v>1810</v>
      </c>
      <c r="EJ95" s="115"/>
      <c r="EK95" s="115" t="s">
        <v>315</v>
      </c>
      <c r="EL95" s="115" t="s">
        <v>372</v>
      </c>
      <c r="EM95"/>
      <c r="EO95" s="115"/>
      <c r="EP95" s="334" t="s">
        <v>1416</v>
      </c>
      <c r="EQ95" s="334" t="s">
        <v>2114</v>
      </c>
      <c r="ER95" s="334" t="s">
        <v>358</v>
      </c>
      <c r="ES95" s="334" t="s">
        <v>373</v>
      </c>
      <c r="ET95" s="334">
        <v>2024.44</v>
      </c>
      <c r="EU95" s="334" t="s">
        <v>397</v>
      </c>
      <c r="EV95" s="334">
        <v>5704.6566999999995</v>
      </c>
    </row>
    <row r="96" spans="4:152" ht="13">
      <c r="D96" s="115" t="s">
        <v>1523</v>
      </c>
      <c r="E96" s="115" t="s">
        <v>373</v>
      </c>
      <c r="F96" s="115">
        <v>419.08</v>
      </c>
      <c r="I96" s="115" t="s">
        <v>1505</v>
      </c>
      <c r="J96" s="115" t="s">
        <v>1356</v>
      </c>
      <c r="K96" s="183" t="s">
        <v>1359</v>
      </c>
      <c r="AG96" s="115"/>
      <c r="AH96" s="115"/>
      <c r="AI96" s="115" t="s">
        <v>1416</v>
      </c>
      <c r="AJ96" t="s">
        <v>2114</v>
      </c>
      <c r="AK96" s="115">
        <v>0</v>
      </c>
      <c r="AL96" s="115" t="s">
        <v>28</v>
      </c>
      <c r="AM96" s="115" t="s">
        <v>1846</v>
      </c>
      <c r="AN96" s="115" t="s">
        <v>1443</v>
      </c>
      <c r="AO96" s="115" t="s">
        <v>1274</v>
      </c>
      <c r="AT96" s="115" t="s">
        <v>1415</v>
      </c>
      <c r="AU96" s="115" t="s">
        <v>2114</v>
      </c>
      <c r="AV96" s="115">
        <v>15</v>
      </c>
      <c r="AW96" s="115" t="s">
        <v>1682</v>
      </c>
      <c r="AX96" s="115" t="s">
        <v>28</v>
      </c>
      <c r="AY96" s="115" t="s">
        <v>1832</v>
      </c>
      <c r="AZ96" s="115" t="s">
        <v>1872</v>
      </c>
      <c r="BA96" s="115"/>
      <c r="BB96" s="115"/>
      <c r="BC96" s="115"/>
      <c r="BD96" s="115"/>
      <c r="BE96" s="115">
        <v>603.80000000000007</v>
      </c>
      <c r="BF96" s="115"/>
      <c r="BG96" s="115"/>
      <c r="BH96" s="115"/>
      <c r="BI96" s="115"/>
      <c r="BJ96" s="115"/>
      <c r="BK96" s="115"/>
      <c r="BL96" s="115"/>
      <c r="BM96" s="115"/>
      <c r="BN96" s="115"/>
      <c r="BO96" s="115"/>
      <c r="BP96" s="115"/>
      <c r="BQ96" s="115"/>
      <c r="BR96" s="115"/>
      <c r="CE96" s="330"/>
      <c r="CV96" s="115">
        <v>2025.03</v>
      </c>
      <c r="CW96" s="115" t="s">
        <v>1415</v>
      </c>
      <c r="CX96" s="115" t="s">
        <v>372</v>
      </c>
      <c r="CY96" s="115" t="s">
        <v>2065</v>
      </c>
      <c r="CZ96" s="330">
        <v>4754.43</v>
      </c>
      <c r="DA96" s="115"/>
      <c r="DB96" s="115"/>
      <c r="DC96" s="115" t="s">
        <v>1415</v>
      </c>
      <c r="DD96" s="115" t="s">
        <v>2114</v>
      </c>
      <c r="DE96" s="115" t="s">
        <v>1284</v>
      </c>
      <c r="DF96" s="115" t="s">
        <v>1241</v>
      </c>
      <c r="DG96" s="115">
        <v>2671.25</v>
      </c>
      <c r="DR96" s="214"/>
      <c r="DY96" s="115"/>
      <c r="DZ96" s="115" t="s">
        <v>1416</v>
      </c>
      <c r="EA96" s="115" t="s">
        <v>2114</v>
      </c>
      <c r="EB96" s="115">
        <v>0</v>
      </c>
      <c r="EC96" s="115" t="s">
        <v>110</v>
      </c>
      <c r="ED96" s="115" t="s">
        <v>1697</v>
      </c>
      <c r="EE96" s="187">
        <v>0.4</v>
      </c>
      <c r="EF96" s="330">
        <v>41.66</v>
      </c>
      <c r="EG96" s="330">
        <v>47.89</v>
      </c>
      <c r="EH96" s="115" t="s">
        <v>372</v>
      </c>
      <c r="EI96" s="115" t="s">
        <v>1810</v>
      </c>
      <c r="EJ96" s="115"/>
      <c r="EK96" s="115" t="s">
        <v>315</v>
      </c>
      <c r="EL96" s="115" t="s">
        <v>372</v>
      </c>
      <c r="EM96"/>
      <c r="EO96" s="115"/>
      <c r="EP96" s="334" t="s">
        <v>1416</v>
      </c>
      <c r="EQ96" s="334" t="s">
        <v>2114</v>
      </c>
      <c r="ER96" s="334" t="s">
        <v>358</v>
      </c>
      <c r="ES96" s="334" t="s">
        <v>373</v>
      </c>
      <c r="ET96" s="334">
        <v>2024.44</v>
      </c>
      <c r="EU96" s="334" t="s">
        <v>1382</v>
      </c>
      <c r="EV96" s="334">
        <v>0</v>
      </c>
    </row>
    <row r="97" spans="4:152" ht="13">
      <c r="D97" s="115" t="s">
        <v>1523</v>
      </c>
      <c r="E97" s="115" t="s">
        <v>380</v>
      </c>
      <c r="F97" s="115">
        <v>734.4425</v>
      </c>
      <c r="I97" s="115" t="s">
        <v>1505</v>
      </c>
      <c r="J97" s="115" t="s">
        <v>1366</v>
      </c>
      <c r="K97" s="183">
        <v>3</v>
      </c>
      <c r="AG97" s="115"/>
      <c r="AH97" s="115"/>
      <c r="AI97" s="115" t="s">
        <v>1416</v>
      </c>
      <c r="AJ97" t="s">
        <v>2114</v>
      </c>
      <c r="AK97" s="115">
        <v>0</v>
      </c>
      <c r="AL97" s="115" t="s">
        <v>28</v>
      </c>
      <c r="AM97" s="115" t="s">
        <v>1849</v>
      </c>
      <c r="AN97" s="115" t="s">
        <v>1443</v>
      </c>
      <c r="AO97" s="115" t="s">
        <v>381</v>
      </c>
      <c r="AT97" s="115" t="s">
        <v>1416</v>
      </c>
      <c r="AU97" s="115" t="s">
        <v>2114</v>
      </c>
      <c r="AV97" s="115">
        <v>0</v>
      </c>
      <c r="AW97" s="115" t="s">
        <v>1682</v>
      </c>
      <c r="AX97" s="115" t="s">
        <v>28</v>
      </c>
      <c r="AY97" s="115" t="s">
        <v>1846</v>
      </c>
      <c r="AZ97" s="115" t="s">
        <v>1873</v>
      </c>
      <c r="BA97" s="115"/>
      <c r="BB97" s="115"/>
      <c r="BC97" s="115"/>
      <c r="BD97" s="115"/>
      <c r="BE97" s="115">
        <v>895.89199999999994</v>
      </c>
      <c r="BF97" s="115"/>
      <c r="BG97" s="115">
        <v>17540.766080000001</v>
      </c>
      <c r="BH97" s="115"/>
      <c r="BI97" s="115"/>
      <c r="BJ97" s="115"/>
      <c r="BK97" s="115"/>
      <c r="BL97" s="115"/>
      <c r="BM97" s="115"/>
      <c r="BN97" s="115"/>
      <c r="BO97" s="115"/>
      <c r="BP97" s="115"/>
      <c r="BQ97" s="115"/>
      <c r="BR97" s="115"/>
      <c r="CE97" s="330"/>
      <c r="CV97" s="115">
        <v>2025.03</v>
      </c>
      <c r="CW97" s="115" t="s">
        <v>1415</v>
      </c>
      <c r="CX97" s="115" t="s">
        <v>377</v>
      </c>
      <c r="CY97" s="115" t="s">
        <v>2065</v>
      </c>
      <c r="CZ97" s="330">
        <v>4655.97</v>
      </c>
      <c r="DA97" s="115"/>
      <c r="DB97" s="115"/>
      <c r="DC97" s="115" t="s">
        <v>1415</v>
      </c>
      <c r="DD97" s="115" t="s">
        <v>2114</v>
      </c>
      <c r="DE97" s="115" t="s">
        <v>1285</v>
      </c>
      <c r="DF97" s="115" t="s">
        <v>1241</v>
      </c>
      <c r="DG97" s="115">
        <v>580</v>
      </c>
      <c r="DR97" s="214"/>
      <c r="DY97" s="115"/>
      <c r="DZ97" s="115" t="s">
        <v>1415</v>
      </c>
      <c r="EA97" s="115" t="s">
        <v>2114</v>
      </c>
      <c r="EB97" s="115">
        <v>0</v>
      </c>
      <c r="EC97" s="115" t="s">
        <v>110</v>
      </c>
      <c r="ED97" s="115" t="s">
        <v>1697</v>
      </c>
      <c r="EE97" s="187">
        <v>0.4</v>
      </c>
      <c r="EF97" s="330">
        <v>44.967199999999998</v>
      </c>
      <c r="EG97" s="330">
        <v>52.567700000000002</v>
      </c>
      <c r="EH97" s="115" t="s">
        <v>372</v>
      </c>
      <c r="EI97" s="115" t="s">
        <v>1810</v>
      </c>
      <c r="EJ97" s="115"/>
      <c r="EK97" s="115" t="s">
        <v>315</v>
      </c>
      <c r="EL97" s="115" t="s">
        <v>372</v>
      </c>
      <c r="EM97"/>
      <c r="EO97" s="115"/>
      <c r="EP97" s="334" t="s">
        <v>1416</v>
      </c>
      <c r="EQ97" s="334" t="s">
        <v>2114</v>
      </c>
      <c r="ER97" s="334" t="s">
        <v>1467</v>
      </c>
      <c r="ES97" s="334" t="s">
        <v>380</v>
      </c>
      <c r="ET97" s="334">
        <v>2024.44</v>
      </c>
      <c r="EU97" s="334" t="s">
        <v>397</v>
      </c>
      <c r="EV97" s="334">
        <v>0</v>
      </c>
    </row>
    <row r="98" spans="4:152" ht="13">
      <c r="D98" s="115" t="s">
        <v>1523</v>
      </c>
      <c r="E98" s="115" t="s">
        <v>1639</v>
      </c>
      <c r="F98" s="115">
        <v>2040.0488</v>
      </c>
      <c r="I98" s="115" t="s">
        <v>1505</v>
      </c>
      <c r="J98" s="115" t="s">
        <v>1357</v>
      </c>
      <c r="K98" s="183">
        <v>809576.79614821146</v>
      </c>
      <c r="AG98" s="115"/>
      <c r="AH98" s="115"/>
      <c r="AI98" s="115" t="s">
        <v>1416</v>
      </c>
      <c r="AJ98" t="s">
        <v>2114</v>
      </c>
      <c r="AK98" s="115">
        <v>0</v>
      </c>
      <c r="AL98" s="115" t="s">
        <v>28</v>
      </c>
      <c r="AM98" s="115" t="s">
        <v>1848</v>
      </c>
      <c r="AN98" s="115" t="s">
        <v>1443</v>
      </c>
      <c r="AO98" s="115" t="s">
        <v>381</v>
      </c>
      <c r="AT98" s="115" t="s">
        <v>1415</v>
      </c>
      <c r="AU98" s="115" t="s">
        <v>2114</v>
      </c>
      <c r="AV98" s="115">
        <v>15</v>
      </c>
      <c r="AW98" s="115" t="s">
        <v>1682</v>
      </c>
      <c r="AX98" s="115" t="s">
        <v>28</v>
      </c>
      <c r="AY98" s="115" t="s">
        <v>1846</v>
      </c>
      <c r="AZ98" s="115" t="s">
        <v>1873</v>
      </c>
      <c r="BA98" s="115"/>
      <c r="BB98" s="115"/>
      <c r="BC98" s="115"/>
      <c r="BD98" s="115"/>
      <c r="BE98" s="115">
        <v>35427.46156928999</v>
      </c>
      <c r="BF98" s="115"/>
      <c r="BG98" s="115">
        <v>30166.079780399999</v>
      </c>
      <c r="BH98" s="115"/>
      <c r="BI98" s="115"/>
      <c r="BJ98" s="115"/>
      <c r="BK98" s="115"/>
      <c r="BL98" s="115"/>
      <c r="BM98" s="115"/>
      <c r="BN98" s="115"/>
      <c r="BO98" s="115"/>
      <c r="BP98" s="115"/>
      <c r="BQ98" s="115"/>
      <c r="BR98" s="115"/>
      <c r="CE98" s="330"/>
      <c r="CV98" s="115">
        <v>2025.04</v>
      </c>
      <c r="CW98" s="115" t="s">
        <v>1415</v>
      </c>
      <c r="CX98" s="115" t="s">
        <v>372</v>
      </c>
      <c r="CY98" s="115" t="s">
        <v>2065</v>
      </c>
      <c r="CZ98" s="330">
        <v>2377.2150000000001</v>
      </c>
      <c r="DA98" s="115"/>
      <c r="DB98" s="115"/>
      <c r="DC98" s="115" t="s">
        <v>1416</v>
      </c>
      <c r="DD98" s="115" t="s">
        <v>2114</v>
      </c>
      <c r="DE98" s="115" t="s">
        <v>298</v>
      </c>
      <c r="DF98" s="115" t="s">
        <v>1289</v>
      </c>
      <c r="DG98" s="115">
        <v>10136.18</v>
      </c>
      <c r="DR98" s="214"/>
      <c r="DY98" s="115"/>
      <c r="DZ98" s="115" t="s">
        <v>1415</v>
      </c>
      <c r="EA98" s="115" t="s">
        <v>2114</v>
      </c>
      <c r="EB98" s="115">
        <v>16</v>
      </c>
      <c r="EC98" s="115" t="s">
        <v>110</v>
      </c>
      <c r="ED98" s="115" t="s">
        <v>1697</v>
      </c>
      <c r="EE98" s="187">
        <v>0.4</v>
      </c>
      <c r="EF98" s="330">
        <v>44.967199999999998</v>
      </c>
      <c r="EG98" s="330">
        <v>52.567700000000002</v>
      </c>
      <c r="EH98" s="115" t="s">
        <v>372</v>
      </c>
      <c r="EI98" s="115" t="s">
        <v>1810</v>
      </c>
      <c r="EJ98" s="115"/>
      <c r="EK98" s="115" t="s">
        <v>315</v>
      </c>
      <c r="EL98" s="115" t="s">
        <v>372</v>
      </c>
      <c r="EM98"/>
      <c r="EO98" s="115"/>
      <c r="EP98" s="334" t="s">
        <v>1416</v>
      </c>
      <c r="EQ98" s="334" t="s">
        <v>2114</v>
      </c>
      <c r="ER98" s="334" t="s">
        <v>1467</v>
      </c>
      <c r="ES98" s="334" t="s">
        <v>380</v>
      </c>
      <c r="ET98" s="334">
        <v>2024.44</v>
      </c>
      <c r="EU98" s="334" t="s">
        <v>1382</v>
      </c>
      <c r="EV98" s="334">
        <v>1218</v>
      </c>
    </row>
    <row r="99" spans="4:152" ht="13">
      <c r="D99" s="115" t="s">
        <v>1523</v>
      </c>
      <c r="E99" s="115" t="s">
        <v>386</v>
      </c>
      <c r="F99" s="115">
        <v>41.976300000000002</v>
      </c>
      <c r="I99" s="115" t="s">
        <v>1507</v>
      </c>
      <c r="J99" s="115" t="s">
        <v>1363</v>
      </c>
      <c r="K99" s="183">
        <v>125</v>
      </c>
      <c r="AG99" s="115"/>
      <c r="AH99" s="115"/>
      <c r="AI99" s="115" t="s">
        <v>1416</v>
      </c>
      <c r="AJ99" t="s">
        <v>2114</v>
      </c>
      <c r="AK99" s="115">
        <v>0</v>
      </c>
      <c r="AL99" s="115" t="s">
        <v>28</v>
      </c>
      <c r="AM99" s="115" t="s">
        <v>1850</v>
      </c>
      <c r="AN99" s="115" t="s">
        <v>1443</v>
      </c>
      <c r="AO99" s="115" t="s">
        <v>381</v>
      </c>
      <c r="AT99" s="115" t="s">
        <v>1416</v>
      </c>
      <c r="AU99" s="115" t="s">
        <v>2114</v>
      </c>
      <c r="AV99" s="115">
        <v>0</v>
      </c>
      <c r="AW99" s="115" t="s">
        <v>1682</v>
      </c>
      <c r="AX99" s="115" t="s">
        <v>28</v>
      </c>
      <c r="AY99" s="115" t="s">
        <v>1848</v>
      </c>
      <c r="AZ99" s="115" t="s">
        <v>1873</v>
      </c>
      <c r="BA99" s="115"/>
      <c r="BB99" s="115"/>
      <c r="BC99" s="115"/>
      <c r="BD99" s="115"/>
      <c r="BE99" s="115">
        <v>835.36400000000003</v>
      </c>
      <c r="BF99" s="115"/>
      <c r="BG99" s="115">
        <v>3814.7228799999998</v>
      </c>
      <c r="BH99" s="115"/>
      <c r="BI99" s="115"/>
      <c r="BJ99" s="115"/>
      <c r="BK99" s="115"/>
      <c r="BL99" s="115"/>
      <c r="BM99" s="115"/>
      <c r="BN99" s="115"/>
      <c r="BO99" s="115"/>
      <c r="BP99" s="115"/>
      <c r="BQ99" s="115"/>
      <c r="BR99" s="115"/>
      <c r="CE99" s="330"/>
      <c r="CV99" s="115">
        <v>2025.04</v>
      </c>
      <c r="CW99" s="115" t="s">
        <v>1415</v>
      </c>
      <c r="CX99" s="115" t="s">
        <v>377</v>
      </c>
      <c r="CY99" s="115" t="s">
        <v>2065</v>
      </c>
      <c r="CZ99" s="330">
        <v>2327.9850000000001</v>
      </c>
      <c r="DA99" s="115"/>
      <c r="DB99" s="115"/>
      <c r="DC99" s="115" t="s">
        <v>1416</v>
      </c>
      <c r="DD99" s="115" t="s">
        <v>2114</v>
      </c>
      <c r="DE99" s="115" t="s">
        <v>288</v>
      </c>
      <c r="DF99" s="115" t="s">
        <v>1289</v>
      </c>
      <c r="DG99" s="115">
        <v>604.48</v>
      </c>
      <c r="DR99" s="214"/>
      <c r="DY99" s="115"/>
      <c r="DZ99" s="115" t="s">
        <v>1415</v>
      </c>
      <c r="EA99" s="115" t="s">
        <v>2114</v>
      </c>
      <c r="EB99" s="115">
        <v>15</v>
      </c>
      <c r="EC99" s="115" t="s">
        <v>112</v>
      </c>
      <c r="ED99" s="115" t="s">
        <v>1697</v>
      </c>
      <c r="EE99" s="187">
        <v>0.25</v>
      </c>
      <c r="EF99" s="330">
        <v>38.350499999999997</v>
      </c>
      <c r="EG99" s="330">
        <v>28.364000000000001</v>
      </c>
      <c r="EH99" s="115" t="s">
        <v>380</v>
      </c>
      <c r="EI99" s="115" t="s">
        <v>1810</v>
      </c>
      <c r="EJ99" s="115"/>
      <c r="EK99" s="115" t="s">
        <v>1827</v>
      </c>
      <c r="EL99" s="115" t="s">
        <v>380</v>
      </c>
      <c r="EM99"/>
      <c r="EO99" s="115"/>
      <c r="EP99" s="334" t="s">
        <v>1416</v>
      </c>
      <c r="EQ99" s="334" t="s">
        <v>2114</v>
      </c>
      <c r="ER99" s="334" t="s">
        <v>1467</v>
      </c>
      <c r="ES99" s="334" t="s">
        <v>372</v>
      </c>
      <c r="ET99" s="334">
        <v>2023.44</v>
      </c>
      <c r="EU99" s="334" t="s">
        <v>397</v>
      </c>
      <c r="EV99" s="334">
        <v>4403.6059999999998</v>
      </c>
    </row>
    <row r="100" spans="4:152" ht="13">
      <c r="D100" s="115" t="s">
        <v>1523</v>
      </c>
      <c r="E100" s="115" t="s">
        <v>1645</v>
      </c>
      <c r="F100" s="115">
        <v>410.35500000000002</v>
      </c>
      <c r="I100" s="115" t="s">
        <v>1507</v>
      </c>
      <c r="J100" s="115" t="s">
        <v>1353</v>
      </c>
      <c r="K100" s="183" t="s">
        <v>1508</v>
      </c>
      <c r="AG100" s="115"/>
      <c r="AH100" s="115"/>
      <c r="AI100" s="115" t="s">
        <v>1416</v>
      </c>
      <c r="AJ100" t="s">
        <v>2114</v>
      </c>
      <c r="AK100" s="115">
        <v>0</v>
      </c>
      <c r="AL100" s="115" t="s">
        <v>28</v>
      </c>
      <c r="AM100" s="115" t="s">
        <v>1846</v>
      </c>
      <c r="AN100" s="115" t="s">
        <v>1443</v>
      </c>
      <c r="AO100" s="115" t="s">
        <v>381</v>
      </c>
      <c r="AT100" s="115" t="s">
        <v>1415</v>
      </c>
      <c r="AU100" s="115" t="s">
        <v>2114</v>
      </c>
      <c r="AV100" s="115">
        <v>15</v>
      </c>
      <c r="AW100" s="115" t="s">
        <v>1682</v>
      </c>
      <c r="AX100" s="115" t="s">
        <v>28</v>
      </c>
      <c r="AY100" s="115" t="s">
        <v>1848</v>
      </c>
      <c r="AZ100" s="115" t="s">
        <v>1873</v>
      </c>
      <c r="BA100" s="115"/>
      <c r="BB100" s="115"/>
      <c r="BC100" s="115"/>
      <c r="BD100" s="115"/>
      <c r="BE100" s="115">
        <v>32483.437535009991</v>
      </c>
      <c r="BF100" s="115"/>
      <c r="BG100" s="115">
        <v>6451.1294135999997</v>
      </c>
      <c r="BH100" s="115"/>
      <c r="BI100" s="115"/>
      <c r="BJ100" s="115"/>
      <c r="BK100" s="115"/>
      <c r="BL100" s="115"/>
      <c r="BM100" s="115"/>
      <c r="BN100" s="115"/>
      <c r="BO100" s="115"/>
      <c r="BP100" s="115"/>
      <c r="BQ100" s="115"/>
      <c r="BR100" s="115"/>
      <c r="CE100" s="330"/>
      <c r="CV100" s="115">
        <v>2025.09</v>
      </c>
      <c r="CW100" s="115" t="s">
        <v>1415</v>
      </c>
      <c r="CX100" s="115" t="s">
        <v>377</v>
      </c>
      <c r="CY100" s="115" t="s">
        <v>2065</v>
      </c>
      <c r="CZ100" s="330">
        <v>2327.9850000000001</v>
      </c>
      <c r="DA100" s="115"/>
      <c r="DB100" s="115"/>
      <c r="DC100" s="115" t="s">
        <v>1416</v>
      </c>
      <c r="DD100" s="115" t="s">
        <v>2114</v>
      </c>
      <c r="DE100" s="115" t="s">
        <v>1285</v>
      </c>
      <c r="DF100" s="115" t="s">
        <v>1289</v>
      </c>
      <c r="DG100" s="115">
        <v>302.24</v>
      </c>
      <c r="DR100" s="214"/>
      <c r="DY100" s="115"/>
      <c r="DZ100" s="115" t="s">
        <v>1416</v>
      </c>
      <c r="EA100" s="115" t="s">
        <v>2114</v>
      </c>
      <c r="EB100" s="115">
        <v>0</v>
      </c>
      <c r="EC100" s="115" t="s">
        <v>112</v>
      </c>
      <c r="ED100" s="115" t="s">
        <v>1697</v>
      </c>
      <c r="EE100" s="187">
        <v>0.25</v>
      </c>
      <c r="EF100" s="330">
        <v>35.53</v>
      </c>
      <c r="EG100" s="330">
        <v>25.84</v>
      </c>
      <c r="EH100" s="115" t="s">
        <v>380</v>
      </c>
      <c r="EI100" s="115" t="s">
        <v>1810</v>
      </c>
      <c r="EJ100" s="115"/>
      <c r="EK100" s="115" t="s">
        <v>1827</v>
      </c>
      <c r="EL100" s="115" t="s">
        <v>380</v>
      </c>
      <c r="EM100"/>
      <c r="EO100" s="115"/>
      <c r="EP100" s="334" t="s">
        <v>1416</v>
      </c>
      <c r="EQ100" s="334" t="s">
        <v>2114</v>
      </c>
      <c r="ER100" s="334" t="s">
        <v>1467</v>
      </c>
      <c r="ES100" s="334" t="s">
        <v>372</v>
      </c>
      <c r="ET100" s="334">
        <v>2023.44</v>
      </c>
      <c r="EU100" s="334" t="s">
        <v>1382</v>
      </c>
      <c r="EV100" s="334">
        <v>4403.6059999999998</v>
      </c>
    </row>
    <row r="101" spans="4:152" ht="13">
      <c r="D101" s="115" t="s">
        <v>1525</v>
      </c>
      <c r="E101" s="115" t="s">
        <v>379</v>
      </c>
      <c r="F101" s="115">
        <v>1736.3262</v>
      </c>
      <c r="I101" s="115" t="s">
        <v>1507</v>
      </c>
      <c r="J101" s="115" t="s">
        <v>1369</v>
      </c>
      <c r="K101" s="183">
        <v>13</v>
      </c>
      <c r="AG101" s="115"/>
      <c r="AH101" s="115"/>
      <c r="AI101" s="115" t="s">
        <v>1416</v>
      </c>
      <c r="AJ101" t="s">
        <v>2114</v>
      </c>
      <c r="AK101" s="115">
        <v>0</v>
      </c>
      <c r="AL101" s="115" t="s">
        <v>28</v>
      </c>
      <c r="AM101" s="115" t="s">
        <v>1832</v>
      </c>
      <c r="AN101" s="115" t="s">
        <v>1443</v>
      </c>
      <c r="AO101" s="115" t="s">
        <v>381</v>
      </c>
      <c r="AT101" s="115" t="s">
        <v>1416</v>
      </c>
      <c r="AU101" s="115" t="s">
        <v>2114</v>
      </c>
      <c r="AV101" s="115">
        <v>0</v>
      </c>
      <c r="AW101" s="115" t="s">
        <v>1682</v>
      </c>
      <c r="AX101" s="115" t="s">
        <v>28</v>
      </c>
      <c r="AY101" s="115" t="s">
        <v>1843</v>
      </c>
      <c r="AZ101" s="115" t="s">
        <v>1873</v>
      </c>
      <c r="BA101" s="115"/>
      <c r="BB101" s="115"/>
      <c r="BC101" s="115"/>
      <c r="BD101" s="115"/>
      <c r="BE101" s="115">
        <v>1784.8000000000002</v>
      </c>
      <c r="BF101" s="115"/>
      <c r="BG101" s="115">
        <v>21913.151237113405</v>
      </c>
      <c r="BH101" s="115"/>
      <c r="BI101" s="115"/>
      <c r="BJ101" s="115"/>
      <c r="BK101" s="115"/>
      <c r="BL101" s="115"/>
      <c r="BM101" s="115"/>
      <c r="BN101" s="115"/>
      <c r="BO101" s="115"/>
      <c r="BP101" s="115"/>
      <c r="BQ101" s="115"/>
      <c r="BR101" s="115"/>
      <c r="CE101" s="330"/>
      <c r="CV101" s="115">
        <v>2025.09</v>
      </c>
      <c r="CW101" s="115" t="s">
        <v>1415</v>
      </c>
      <c r="CX101" s="115" t="s">
        <v>372</v>
      </c>
      <c r="CY101" s="115" t="s">
        <v>2065</v>
      </c>
      <c r="CZ101" s="330">
        <v>950.88599999999997</v>
      </c>
      <c r="DA101" s="115"/>
      <c r="DB101" s="115"/>
      <c r="DC101" s="115" t="s">
        <v>1415</v>
      </c>
      <c r="DD101" s="115" t="s">
        <v>2114</v>
      </c>
      <c r="DE101" s="115" t="s">
        <v>358</v>
      </c>
      <c r="DF101" s="115" t="s">
        <v>1289</v>
      </c>
      <c r="DG101" s="115">
        <v>8614.5</v>
      </c>
      <c r="DR101" s="214"/>
      <c r="DY101" s="115"/>
      <c r="DZ101" s="115" t="s">
        <v>1415</v>
      </c>
      <c r="EA101" s="115" t="s">
        <v>2114</v>
      </c>
      <c r="EB101" s="115">
        <v>0</v>
      </c>
      <c r="EC101" s="115" t="s">
        <v>112</v>
      </c>
      <c r="ED101" s="115" t="s">
        <v>1697</v>
      </c>
      <c r="EE101" s="187">
        <v>0.25</v>
      </c>
      <c r="EF101" s="330">
        <v>38.350499999999997</v>
      </c>
      <c r="EG101" s="330">
        <v>28.364000000000001</v>
      </c>
      <c r="EH101" s="115" t="s">
        <v>380</v>
      </c>
      <c r="EI101" s="115" t="s">
        <v>1810</v>
      </c>
      <c r="EJ101" s="115"/>
      <c r="EK101" s="115" t="s">
        <v>1827</v>
      </c>
      <c r="EL101" s="115" t="s">
        <v>380</v>
      </c>
      <c r="EM101"/>
      <c r="EO101" s="115"/>
      <c r="EP101" s="334" t="s">
        <v>1416</v>
      </c>
      <c r="EQ101" s="334" t="s">
        <v>2114</v>
      </c>
      <c r="ER101" s="334" t="s">
        <v>1467</v>
      </c>
      <c r="ES101" s="334" t="s">
        <v>372</v>
      </c>
      <c r="ET101" s="334">
        <v>2024.44</v>
      </c>
      <c r="EU101" s="334" t="s">
        <v>397</v>
      </c>
      <c r="EV101" s="334">
        <v>4403.6059999999998</v>
      </c>
    </row>
    <row r="102" spans="4:152" ht="13">
      <c r="D102" s="115" t="s">
        <v>1525</v>
      </c>
      <c r="E102" s="115" t="s">
        <v>1641</v>
      </c>
      <c r="F102" s="115">
        <v>64.519000000000005</v>
      </c>
      <c r="I102" s="115" t="s">
        <v>1507</v>
      </c>
      <c r="J102" s="115" t="s">
        <v>1355</v>
      </c>
      <c r="K102" s="183">
        <v>12</v>
      </c>
      <c r="AG102" s="115"/>
      <c r="AH102" s="115"/>
      <c r="AI102" s="115" t="s">
        <v>1416</v>
      </c>
      <c r="AJ102" t="s">
        <v>2114</v>
      </c>
      <c r="AK102" s="115">
        <v>0</v>
      </c>
      <c r="AL102" s="115" t="s">
        <v>28</v>
      </c>
      <c r="AM102" s="115" t="s">
        <v>1843</v>
      </c>
      <c r="AN102" s="115" t="s">
        <v>1443</v>
      </c>
      <c r="AO102" s="115" t="s">
        <v>381</v>
      </c>
      <c r="AT102" s="115" t="s">
        <v>1415</v>
      </c>
      <c r="AU102" s="115" t="s">
        <v>2114</v>
      </c>
      <c r="AV102" s="115">
        <v>15</v>
      </c>
      <c r="AW102" s="115" t="s">
        <v>1682</v>
      </c>
      <c r="AX102" s="115" t="s">
        <v>28</v>
      </c>
      <c r="AY102" s="115" t="s">
        <v>1843</v>
      </c>
      <c r="AZ102" s="115" t="s">
        <v>1873</v>
      </c>
      <c r="BA102" s="115"/>
      <c r="BB102" s="115"/>
      <c r="BC102" s="115"/>
      <c r="BD102" s="115"/>
      <c r="BE102" s="115">
        <v>67093.393917525784</v>
      </c>
      <c r="BF102" s="115"/>
      <c r="BG102" s="115">
        <v>35159.003298969074</v>
      </c>
      <c r="BH102" s="115"/>
      <c r="BI102" s="115"/>
      <c r="BJ102" s="115"/>
      <c r="BK102" s="115"/>
      <c r="BL102" s="115"/>
      <c r="BM102" s="115"/>
      <c r="BN102" s="115"/>
      <c r="BO102" s="115"/>
      <c r="BP102" s="115"/>
      <c r="BQ102" s="115"/>
      <c r="BR102" s="115"/>
      <c r="CE102" s="330"/>
      <c r="CV102" s="115">
        <v>2025.02</v>
      </c>
      <c r="CW102" s="115" t="s">
        <v>1415</v>
      </c>
      <c r="CX102" s="115" t="s">
        <v>372</v>
      </c>
      <c r="CY102" s="115" t="s">
        <v>2066</v>
      </c>
      <c r="CZ102" s="330">
        <v>2377.2150000000001</v>
      </c>
      <c r="DA102" s="115"/>
      <c r="DB102" s="115"/>
      <c r="DC102" s="115" t="s">
        <v>1415</v>
      </c>
      <c r="DD102" s="115" t="s">
        <v>2114</v>
      </c>
      <c r="DE102" s="115" t="s">
        <v>298</v>
      </c>
      <c r="DF102" s="115" t="s">
        <v>1289</v>
      </c>
      <c r="DG102" s="115">
        <v>38079.120000000003</v>
      </c>
      <c r="DR102" s="214"/>
      <c r="DY102" s="115"/>
      <c r="DZ102" s="115" t="s">
        <v>1415</v>
      </c>
      <c r="EA102" s="115" t="s">
        <v>2114</v>
      </c>
      <c r="EB102" s="115">
        <v>16</v>
      </c>
      <c r="EC102" s="115" t="s">
        <v>112</v>
      </c>
      <c r="ED102" s="115" t="s">
        <v>1697</v>
      </c>
      <c r="EE102" s="187">
        <v>0.25</v>
      </c>
      <c r="EF102" s="330">
        <v>38.350499999999997</v>
      </c>
      <c r="EG102" s="330">
        <v>28.364000000000001</v>
      </c>
      <c r="EH102" s="115" t="s">
        <v>380</v>
      </c>
      <c r="EI102" s="115" t="s">
        <v>1810</v>
      </c>
      <c r="EJ102" s="115"/>
      <c r="EK102" s="115" t="s">
        <v>1827</v>
      </c>
      <c r="EL102" s="115" t="s">
        <v>380</v>
      </c>
      <c r="EM102"/>
      <c r="EO102" s="115"/>
      <c r="EP102" s="334" t="s">
        <v>1416</v>
      </c>
      <c r="EQ102" s="334" t="s">
        <v>2114</v>
      </c>
      <c r="ER102" s="334" t="s">
        <v>1467</v>
      </c>
      <c r="ES102" s="334" t="s">
        <v>372</v>
      </c>
      <c r="ET102" s="334">
        <v>2024.44</v>
      </c>
      <c r="EU102" s="334" t="s">
        <v>1382</v>
      </c>
      <c r="EV102" s="334">
        <v>0</v>
      </c>
    </row>
    <row r="103" spans="4:152" ht="13">
      <c r="D103" s="115" t="s">
        <v>1525</v>
      </c>
      <c r="E103" s="115" t="s">
        <v>380</v>
      </c>
      <c r="F103" s="115">
        <v>1124.3242</v>
      </c>
      <c r="I103" s="115" t="s">
        <v>1507</v>
      </c>
      <c r="J103" s="115" t="s">
        <v>1361</v>
      </c>
      <c r="K103" s="183">
        <v>69.23</v>
      </c>
      <c r="AG103" s="115"/>
      <c r="AH103" s="115"/>
      <c r="AI103" s="115" t="s">
        <v>1416</v>
      </c>
      <c r="AJ103" t="s">
        <v>2114</v>
      </c>
      <c r="AK103" s="115">
        <v>0</v>
      </c>
      <c r="AL103" s="115" t="s">
        <v>28</v>
      </c>
      <c r="AM103" s="115" t="s">
        <v>1846</v>
      </c>
      <c r="AN103" s="115" t="s">
        <v>1443</v>
      </c>
      <c r="AO103" s="115" t="s">
        <v>379</v>
      </c>
      <c r="AT103" s="115" t="s">
        <v>1415</v>
      </c>
      <c r="AU103" s="115" t="s">
        <v>2114</v>
      </c>
      <c r="AV103" s="115">
        <v>15</v>
      </c>
      <c r="AW103" s="115" t="s">
        <v>1682</v>
      </c>
      <c r="AX103" s="115" t="s">
        <v>28</v>
      </c>
      <c r="AY103" s="115" t="s">
        <v>1849</v>
      </c>
      <c r="AZ103" s="115" t="s">
        <v>1873</v>
      </c>
      <c r="BA103" s="115"/>
      <c r="BB103" s="115"/>
      <c r="BC103" s="115"/>
      <c r="BD103" s="115"/>
      <c r="BE103" s="115">
        <v>698.89469999999983</v>
      </c>
      <c r="BF103" s="115"/>
      <c r="BG103" s="115">
        <v>573.85199999999998</v>
      </c>
      <c r="BH103" s="115"/>
      <c r="BI103" s="115"/>
      <c r="BJ103" s="115"/>
      <c r="BK103" s="115"/>
      <c r="BL103" s="115"/>
      <c r="BM103" s="115"/>
      <c r="BN103" s="115"/>
      <c r="BO103" s="115"/>
      <c r="BP103" s="115"/>
      <c r="BQ103" s="115"/>
      <c r="BR103" s="115"/>
      <c r="CE103" s="330"/>
      <c r="CV103" s="115">
        <v>2025.03</v>
      </c>
      <c r="CW103" s="115" t="s">
        <v>1415</v>
      </c>
      <c r="CX103" s="115" t="s">
        <v>372</v>
      </c>
      <c r="CY103" s="115" t="s">
        <v>2066</v>
      </c>
      <c r="CZ103" s="330">
        <v>2852.6579999999999</v>
      </c>
      <c r="DA103" s="115"/>
      <c r="DB103" s="115"/>
      <c r="DC103" s="115" t="s">
        <v>1415</v>
      </c>
      <c r="DD103" s="115" t="s">
        <v>2114</v>
      </c>
      <c r="DE103" s="115" t="s">
        <v>1410</v>
      </c>
      <c r="DF103" s="115" t="s">
        <v>1289</v>
      </c>
      <c r="DG103" s="115">
        <v>35888.959999999999</v>
      </c>
      <c r="DR103" s="214"/>
      <c r="DY103" s="115"/>
      <c r="DZ103" s="115" t="s">
        <v>1415</v>
      </c>
      <c r="EA103" s="115" t="s">
        <v>2114</v>
      </c>
      <c r="EB103" s="115">
        <v>15</v>
      </c>
      <c r="EC103" s="115" t="s">
        <v>267</v>
      </c>
      <c r="ED103" s="115" t="s">
        <v>1697</v>
      </c>
      <c r="EE103" s="187">
        <v>1</v>
      </c>
      <c r="EF103" s="330">
        <v>38.404499999999999</v>
      </c>
      <c r="EG103" s="330">
        <v>73.994299999999996</v>
      </c>
      <c r="EH103" s="115" t="s">
        <v>384</v>
      </c>
      <c r="EI103" s="115" t="s">
        <v>1810</v>
      </c>
      <c r="EJ103" s="115"/>
      <c r="EK103" s="115" t="s">
        <v>315</v>
      </c>
      <c r="EL103" s="115" t="s">
        <v>384</v>
      </c>
      <c r="EM103"/>
      <c r="EO103" s="115"/>
      <c r="EP103" s="334" t="s">
        <v>1416</v>
      </c>
      <c r="EQ103" s="334" t="s">
        <v>2114</v>
      </c>
      <c r="ER103" s="334" t="s">
        <v>298</v>
      </c>
      <c r="ES103" s="334" t="s">
        <v>2164</v>
      </c>
      <c r="ET103" s="334">
        <v>2024.44</v>
      </c>
      <c r="EU103" s="334" t="s">
        <v>397</v>
      </c>
      <c r="EV103" s="334">
        <v>0</v>
      </c>
    </row>
    <row r="104" spans="4:152" ht="13">
      <c r="D104" s="115" t="s">
        <v>1525</v>
      </c>
      <c r="E104" s="115" t="s">
        <v>1639</v>
      </c>
      <c r="F104" s="115">
        <v>3271.1468</v>
      </c>
      <c r="I104" s="115" t="s">
        <v>1507</v>
      </c>
      <c r="J104" s="115" t="s">
        <v>1364</v>
      </c>
      <c r="K104" s="183">
        <v>300</v>
      </c>
      <c r="AG104" s="115"/>
      <c r="AH104" s="115"/>
      <c r="AI104" s="115" t="s">
        <v>1416</v>
      </c>
      <c r="AJ104" t="s">
        <v>2114</v>
      </c>
      <c r="AK104" s="115">
        <v>0</v>
      </c>
      <c r="AL104" s="115" t="s">
        <v>28</v>
      </c>
      <c r="AM104" s="115" t="s">
        <v>1849</v>
      </c>
      <c r="AN104" s="115" t="s">
        <v>1443</v>
      </c>
      <c r="AO104" s="115" t="s">
        <v>379</v>
      </c>
      <c r="AT104" s="115" t="s">
        <v>1416</v>
      </c>
      <c r="AU104" s="115" t="s">
        <v>2114</v>
      </c>
      <c r="AV104" s="115">
        <v>0</v>
      </c>
      <c r="AW104" s="115" t="s">
        <v>1682</v>
      </c>
      <c r="AX104" s="115" t="s">
        <v>28</v>
      </c>
      <c r="AY104" s="115" t="s">
        <v>1849</v>
      </c>
      <c r="AZ104" s="115" t="s">
        <v>1873</v>
      </c>
      <c r="BA104" s="115"/>
      <c r="BB104" s="115"/>
      <c r="BC104" s="115"/>
      <c r="BD104" s="115"/>
      <c r="BE104" s="115">
        <v>19.399999999999999</v>
      </c>
      <c r="BF104" s="115"/>
      <c r="BG104" s="115">
        <v>366.27199999999999</v>
      </c>
      <c r="BH104" s="115"/>
      <c r="BI104" s="115"/>
      <c r="BJ104" s="115"/>
      <c r="BK104" s="115"/>
      <c r="BL104" s="115"/>
      <c r="BM104" s="115"/>
      <c r="BN104" s="115"/>
      <c r="BO104" s="115"/>
      <c r="BP104" s="115"/>
      <c r="BQ104" s="115"/>
      <c r="BR104" s="115"/>
      <c r="CE104" s="330"/>
      <c r="CV104" s="115">
        <v>2025.04</v>
      </c>
      <c r="CW104" s="115" t="s">
        <v>1415</v>
      </c>
      <c r="CX104" s="115" t="s">
        <v>372</v>
      </c>
      <c r="CY104" s="115" t="s">
        <v>2066</v>
      </c>
      <c r="CZ104" s="330">
        <v>5705.3159999999998</v>
      </c>
      <c r="DA104" s="115"/>
      <c r="DB104" s="115"/>
      <c r="DC104" s="115" t="s">
        <v>1415</v>
      </c>
      <c r="DD104" s="115" t="s">
        <v>2114</v>
      </c>
      <c r="DE104" s="115" t="s">
        <v>1473</v>
      </c>
      <c r="DF104" s="115" t="s">
        <v>1289</v>
      </c>
      <c r="DG104" s="115">
        <v>7207.43</v>
      </c>
      <c r="DR104" s="214"/>
      <c r="DY104" s="115"/>
      <c r="DZ104" s="115" t="s">
        <v>1416</v>
      </c>
      <c r="EA104" s="115" t="s">
        <v>2114</v>
      </c>
      <c r="EB104" s="115">
        <v>0</v>
      </c>
      <c r="EC104" s="115" t="s">
        <v>267</v>
      </c>
      <c r="ED104" s="115" t="s">
        <v>1697</v>
      </c>
      <c r="EE104" s="187">
        <v>1</v>
      </c>
      <c r="EF104" s="330">
        <v>35.58</v>
      </c>
      <c r="EG104" s="330">
        <v>67.41</v>
      </c>
      <c r="EH104" s="115" t="s">
        <v>384</v>
      </c>
      <c r="EI104" s="115" t="s">
        <v>1810</v>
      </c>
      <c r="EJ104" s="115"/>
      <c r="EK104" s="115" t="s">
        <v>315</v>
      </c>
      <c r="EL104" s="115" t="s">
        <v>384</v>
      </c>
      <c r="EM104"/>
      <c r="EO104" s="115"/>
      <c r="EP104" s="334" t="s">
        <v>1416</v>
      </c>
      <c r="EQ104" s="334" t="s">
        <v>2114</v>
      </c>
      <c r="ER104" s="334" t="s">
        <v>298</v>
      </c>
      <c r="ES104" s="334" t="s">
        <v>2164</v>
      </c>
      <c r="ET104" s="334">
        <v>2024.44</v>
      </c>
      <c r="EU104" s="334" t="s">
        <v>1382</v>
      </c>
      <c r="EV104" s="334">
        <v>961.55</v>
      </c>
    </row>
    <row r="105" spans="4:152" ht="13">
      <c r="D105" s="115" t="s">
        <v>1525</v>
      </c>
      <c r="E105" s="115" t="s">
        <v>386</v>
      </c>
      <c r="F105" s="115">
        <v>923.47889999999995</v>
      </c>
      <c r="I105" s="115" t="s">
        <v>1507</v>
      </c>
      <c r="J105" s="115" t="s">
        <v>1367</v>
      </c>
      <c r="K105" s="183">
        <v>8</v>
      </c>
      <c r="AG105" s="115"/>
      <c r="AH105" s="115"/>
      <c r="AI105" s="115" t="s">
        <v>1416</v>
      </c>
      <c r="AJ105" t="s">
        <v>2114</v>
      </c>
      <c r="AK105" s="115">
        <v>0</v>
      </c>
      <c r="AL105" s="115" t="s">
        <v>28</v>
      </c>
      <c r="AM105" s="115" t="s">
        <v>1832</v>
      </c>
      <c r="AN105" s="115" t="s">
        <v>1443</v>
      </c>
      <c r="AO105" s="115" t="s">
        <v>379</v>
      </c>
      <c r="AT105" s="115" t="s">
        <v>1416</v>
      </c>
      <c r="AU105" s="115" t="s">
        <v>2114</v>
      </c>
      <c r="AV105" s="115">
        <v>0</v>
      </c>
      <c r="AW105" s="115" t="s">
        <v>1682</v>
      </c>
      <c r="AX105" s="115" t="s">
        <v>28</v>
      </c>
      <c r="AY105" s="115" t="s">
        <v>1850</v>
      </c>
      <c r="AZ105" s="115" t="s">
        <v>1873</v>
      </c>
      <c r="BA105" s="115"/>
      <c r="BB105" s="115"/>
      <c r="BC105" s="115"/>
      <c r="BD105" s="115"/>
      <c r="BE105" s="115">
        <v>19.399999999999999</v>
      </c>
      <c r="BF105" s="115"/>
      <c r="BG105" s="115">
        <v>91.567999999999998</v>
      </c>
      <c r="BH105" s="115"/>
      <c r="BI105" s="115"/>
      <c r="BJ105" s="115"/>
      <c r="BK105" s="115"/>
      <c r="BL105" s="115"/>
      <c r="BM105" s="115"/>
      <c r="BN105" s="115"/>
      <c r="BO105" s="115"/>
      <c r="BP105" s="115"/>
      <c r="BQ105" s="115"/>
      <c r="BR105" s="115"/>
      <c r="CE105" s="330"/>
      <c r="CV105" s="115">
        <v>2025.04</v>
      </c>
      <c r="CW105" s="115" t="s">
        <v>1415</v>
      </c>
      <c r="CX105" s="115" t="s">
        <v>377</v>
      </c>
      <c r="CY105" s="115" t="s">
        <v>2066</v>
      </c>
      <c r="CZ105" s="330">
        <v>5587.1639999999998</v>
      </c>
      <c r="DA105" s="115"/>
      <c r="DB105" s="115"/>
      <c r="DC105" s="115" t="s">
        <v>1415</v>
      </c>
      <c r="DD105" s="115" t="s">
        <v>2114</v>
      </c>
      <c r="DE105" s="115" t="s">
        <v>288</v>
      </c>
      <c r="DF105" s="115" t="s">
        <v>1289</v>
      </c>
      <c r="DG105" s="115">
        <v>1895.8</v>
      </c>
      <c r="DR105" s="214"/>
      <c r="DY105" s="115"/>
      <c r="DZ105" s="115" t="s">
        <v>1415</v>
      </c>
      <c r="EA105" s="115" t="s">
        <v>2114</v>
      </c>
      <c r="EB105" s="115">
        <v>0</v>
      </c>
      <c r="EC105" s="115" t="s">
        <v>267</v>
      </c>
      <c r="ED105" s="115" t="s">
        <v>1697</v>
      </c>
      <c r="EE105" s="187">
        <v>1</v>
      </c>
      <c r="EF105" s="330">
        <v>38.404499999999999</v>
      </c>
      <c r="EG105" s="330">
        <v>73.994299999999996</v>
      </c>
      <c r="EH105" s="115" t="s">
        <v>384</v>
      </c>
      <c r="EI105" s="115" t="s">
        <v>1810</v>
      </c>
      <c r="EJ105" s="115"/>
      <c r="EK105" s="115" t="s">
        <v>315</v>
      </c>
      <c r="EL105" s="115" t="s">
        <v>384</v>
      </c>
      <c r="EM105"/>
      <c r="EO105" s="115"/>
      <c r="EP105" s="334" t="s">
        <v>1416</v>
      </c>
      <c r="EQ105" s="334" t="s">
        <v>2114</v>
      </c>
      <c r="ER105" s="334" t="s">
        <v>298</v>
      </c>
      <c r="ES105" s="334" t="s">
        <v>380</v>
      </c>
      <c r="ET105" s="334">
        <v>2023.44</v>
      </c>
      <c r="EU105" s="334" t="s">
        <v>397</v>
      </c>
      <c r="EV105" s="334">
        <v>30500.921600000001</v>
      </c>
    </row>
    <row r="106" spans="4:152" ht="13">
      <c r="D106" s="115" t="s">
        <v>1527</v>
      </c>
      <c r="E106" s="115" t="s">
        <v>386</v>
      </c>
      <c r="F106" s="115">
        <v>289.63659999999999</v>
      </c>
      <c r="I106" s="115" t="s">
        <v>1507</v>
      </c>
      <c r="J106" s="115" t="s">
        <v>1362</v>
      </c>
      <c r="K106" s="183">
        <v>95</v>
      </c>
      <c r="AG106" s="115"/>
      <c r="AH106" s="115"/>
      <c r="AI106" s="115" t="s">
        <v>1416</v>
      </c>
      <c r="AJ106" t="s">
        <v>2114</v>
      </c>
      <c r="AK106" s="115">
        <v>0</v>
      </c>
      <c r="AL106" s="115" t="s">
        <v>28</v>
      </c>
      <c r="AM106" s="115" t="s">
        <v>1848</v>
      </c>
      <c r="AN106" s="115" t="s">
        <v>1443</v>
      </c>
      <c r="AO106" s="115" t="s">
        <v>379</v>
      </c>
      <c r="AT106" s="115" t="s">
        <v>1415</v>
      </c>
      <c r="AU106" s="115" t="s">
        <v>2114</v>
      </c>
      <c r="AV106" s="115">
        <v>15</v>
      </c>
      <c r="AW106" s="115" t="s">
        <v>1682</v>
      </c>
      <c r="AX106" s="115" t="s">
        <v>28</v>
      </c>
      <c r="AY106" s="115" t="s">
        <v>1850</v>
      </c>
      <c r="AZ106" s="115" t="s">
        <v>1873</v>
      </c>
      <c r="BA106" s="115"/>
      <c r="BB106" s="115"/>
      <c r="BC106" s="115"/>
      <c r="BD106" s="115"/>
      <c r="BE106" s="115">
        <v>698.89469999999983</v>
      </c>
      <c r="BF106" s="115"/>
      <c r="BG106" s="115">
        <v>143.46299999999999</v>
      </c>
      <c r="BH106" s="115"/>
      <c r="BI106" s="115"/>
      <c r="BJ106" s="115"/>
      <c r="BK106" s="115"/>
      <c r="BL106" s="115"/>
      <c r="BM106" s="115"/>
      <c r="BN106" s="115"/>
      <c r="BO106" s="115"/>
      <c r="BP106" s="115"/>
      <c r="BQ106" s="115"/>
      <c r="BR106" s="115"/>
      <c r="CE106" s="330"/>
      <c r="CV106" s="115">
        <v>2025.04</v>
      </c>
      <c r="CW106" s="115" t="s">
        <v>1415</v>
      </c>
      <c r="CX106" s="115" t="s">
        <v>387</v>
      </c>
      <c r="CY106" s="115" t="s">
        <v>2066</v>
      </c>
      <c r="CZ106" s="330">
        <v>3093.7379999999998</v>
      </c>
      <c r="DA106" s="115"/>
      <c r="DB106" s="115"/>
      <c r="DC106" s="115" t="s">
        <v>1415</v>
      </c>
      <c r="DD106" s="115" t="s">
        <v>2114</v>
      </c>
      <c r="DE106" s="115" t="s">
        <v>1285</v>
      </c>
      <c r="DF106" s="115" t="s">
        <v>1289</v>
      </c>
      <c r="DG106" s="115">
        <v>1781.95</v>
      </c>
      <c r="DR106" s="214"/>
      <c r="DY106" s="115"/>
      <c r="DZ106" s="115" t="s">
        <v>1415</v>
      </c>
      <c r="EA106" s="115" t="s">
        <v>2114</v>
      </c>
      <c r="EB106" s="115">
        <v>16</v>
      </c>
      <c r="EC106" s="115" t="s">
        <v>267</v>
      </c>
      <c r="ED106" s="115" t="s">
        <v>1697</v>
      </c>
      <c r="EE106" s="187">
        <v>1</v>
      </c>
      <c r="EF106" s="330">
        <v>38.404499999999999</v>
      </c>
      <c r="EG106" s="330">
        <v>73.994299999999996</v>
      </c>
      <c r="EH106" s="115" t="s">
        <v>384</v>
      </c>
      <c r="EI106" s="115" t="s">
        <v>1810</v>
      </c>
      <c r="EJ106" s="115"/>
      <c r="EK106" s="115" t="s">
        <v>315</v>
      </c>
      <c r="EL106" s="115" t="s">
        <v>384</v>
      </c>
      <c r="EM106"/>
      <c r="EO106" s="115"/>
      <c r="EP106" s="334" t="s">
        <v>1416</v>
      </c>
      <c r="EQ106" s="334" t="s">
        <v>2114</v>
      </c>
      <c r="ER106" s="334" t="s">
        <v>298</v>
      </c>
      <c r="ES106" s="334" t="s">
        <v>380</v>
      </c>
      <c r="ET106" s="334">
        <v>2023.44</v>
      </c>
      <c r="EU106" s="334" t="s">
        <v>1382</v>
      </c>
      <c r="EV106" s="334">
        <v>30500.921600000001</v>
      </c>
    </row>
    <row r="107" spans="4:152" ht="13">
      <c r="D107" s="115" t="s">
        <v>1528</v>
      </c>
      <c r="E107" s="115" t="s">
        <v>374</v>
      </c>
      <c r="F107" s="115">
        <v>404400</v>
      </c>
      <c r="I107" s="115" t="s">
        <v>1507</v>
      </c>
      <c r="J107" s="115" t="s">
        <v>1368</v>
      </c>
      <c r="K107" s="183">
        <v>11.5</v>
      </c>
      <c r="AG107" s="115"/>
      <c r="AH107" s="115"/>
      <c r="AI107" s="115" t="s">
        <v>1416</v>
      </c>
      <c r="AJ107" t="s">
        <v>2114</v>
      </c>
      <c r="AK107" s="115">
        <v>0</v>
      </c>
      <c r="AL107" s="115" t="s">
        <v>28</v>
      </c>
      <c r="AM107" s="115" t="s">
        <v>1843</v>
      </c>
      <c r="AN107" s="115" t="s">
        <v>1443</v>
      </c>
      <c r="AO107" s="115" t="s">
        <v>379</v>
      </c>
      <c r="AT107" s="115" t="s">
        <v>1416</v>
      </c>
      <c r="AU107" s="115" t="s">
        <v>2114</v>
      </c>
      <c r="AV107" s="115">
        <v>0</v>
      </c>
      <c r="AW107" s="115" t="s">
        <v>1682</v>
      </c>
      <c r="AX107" s="115" t="s">
        <v>28</v>
      </c>
      <c r="AY107" s="115" t="s">
        <v>1832</v>
      </c>
      <c r="AZ107" s="115" t="s">
        <v>1873</v>
      </c>
      <c r="BA107" s="115"/>
      <c r="BB107" s="115"/>
      <c r="BC107" s="115"/>
      <c r="BD107" s="115"/>
      <c r="BE107" s="115">
        <v>40</v>
      </c>
      <c r="BF107" s="115"/>
      <c r="BG107" s="115">
        <v>472</v>
      </c>
      <c r="BH107" s="115"/>
      <c r="BI107" s="115"/>
      <c r="BJ107" s="115"/>
      <c r="BK107" s="115"/>
      <c r="BL107" s="115"/>
      <c r="BM107" s="115"/>
      <c r="BN107" s="115"/>
      <c r="BO107" s="115"/>
      <c r="BP107" s="115"/>
      <c r="BQ107" s="115"/>
      <c r="BR107" s="115"/>
      <c r="CE107" s="330"/>
      <c r="CV107" s="115">
        <v>2025.05</v>
      </c>
      <c r="CW107" s="115" t="s">
        <v>1415</v>
      </c>
      <c r="CX107" s="115" t="s">
        <v>387</v>
      </c>
      <c r="CY107" s="115" t="s">
        <v>2066</v>
      </c>
      <c r="CZ107" s="330">
        <v>5671.8530000000001</v>
      </c>
      <c r="DA107" s="115"/>
      <c r="DB107" s="115"/>
      <c r="DC107" s="115" t="s">
        <v>1416</v>
      </c>
      <c r="DD107" s="115" t="s">
        <v>2114</v>
      </c>
      <c r="DE107" s="115" t="s">
        <v>1468</v>
      </c>
      <c r="DF107" s="115" t="s">
        <v>1291</v>
      </c>
      <c r="DG107" s="115">
        <v>2736</v>
      </c>
      <c r="DR107" s="214"/>
      <c r="DY107" s="115"/>
      <c r="DZ107" s="115" t="s">
        <v>1415</v>
      </c>
      <c r="EA107" s="115" t="s">
        <v>2114</v>
      </c>
      <c r="EB107" s="115">
        <v>15</v>
      </c>
      <c r="EC107" s="115" t="s">
        <v>115</v>
      </c>
      <c r="ED107" s="115" t="s">
        <v>1697</v>
      </c>
      <c r="EE107" s="187">
        <v>0.25</v>
      </c>
      <c r="EF107" s="330">
        <v>38.189599999999999</v>
      </c>
      <c r="EG107" s="330">
        <v>28.878</v>
      </c>
      <c r="EH107" s="115" t="s">
        <v>380</v>
      </c>
      <c r="EI107" s="115" t="s">
        <v>1812</v>
      </c>
      <c r="EJ107" s="115"/>
      <c r="EK107" s="115" t="s">
        <v>1827</v>
      </c>
      <c r="EL107" s="115" t="s">
        <v>380</v>
      </c>
      <c r="EM107"/>
      <c r="EO107" s="115"/>
      <c r="EP107" s="334" t="s">
        <v>1416</v>
      </c>
      <c r="EQ107" s="334" t="s">
        <v>2114</v>
      </c>
      <c r="ER107" s="334" t="s">
        <v>298</v>
      </c>
      <c r="ES107" s="334" t="s">
        <v>380</v>
      </c>
      <c r="ET107" s="334">
        <v>2024.44</v>
      </c>
      <c r="EU107" s="334" t="s">
        <v>397</v>
      </c>
      <c r="EV107" s="334">
        <v>30500.921600000001</v>
      </c>
    </row>
    <row r="108" spans="4:152" ht="13">
      <c r="D108" s="115" t="s">
        <v>1529</v>
      </c>
      <c r="E108" s="115" t="s">
        <v>1639</v>
      </c>
      <c r="F108" s="115">
        <v>2098.8155999999999</v>
      </c>
      <c r="I108" s="115" t="s">
        <v>1507</v>
      </c>
      <c r="J108" s="115" t="s">
        <v>1360</v>
      </c>
      <c r="K108" s="183">
        <v>0.25</v>
      </c>
      <c r="AG108" s="115"/>
      <c r="AH108" s="115"/>
      <c r="AI108" s="115" t="s">
        <v>1416</v>
      </c>
      <c r="AJ108" t="s">
        <v>2114</v>
      </c>
      <c r="AK108" s="115">
        <v>0</v>
      </c>
      <c r="AL108" s="115" t="s">
        <v>28</v>
      </c>
      <c r="AM108" s="115" t="s">
        <v>1850</v>
      </c>
      <c r="AN108" s="115" t="s">
        <v>1443</v>
      </c>
      <c r="AO108" s="115" t="s">
        <v>379</v>
      </c>
      <c r="AT108" s="115" t="s">
        <v>1415</v>
      </c>
      <c r="AU108" s="115" t="s">
        <v>2114</v>
      </c>
      <c r="AV108" s="115">
        <v>15</v>
      </c>
      <c r="AW108" s="115" t="s">
        <v>1682</v>
      </c>
      <c r="AX108" s="115" t="s">
        <v>28</v>
      </c>
      <c r="AY108" s="115" t="s">
        <v>1832</v>
      </c>
      <c r="AZ108" s="115" t="s">
        <v>1873</v>
      </c>
      <c r="BA108" s="115"/>
      <c r="BB108" s="115"/>
      <c r="BC108" s="115"/>
      <c r="BD108" s="115"/>
      <c r="BE108" s="115">
        <v>1441.0199999999998</v>
      </c>
      <c r="BF108" s="115"/>
      <c r="BG108" s="115">
        <v>739.5</v>
      </c>
      <c r="BH108" s="115"/>
      <c r="BI108" s="115"/>
      <c r="BJ108" s="115"/>
      <c r="BK108" s="115"/>
      <c r="BL108" s="115"/>
      <c r="BM108" s="115"/>
      <c r="BN108" s="115"/>
      <c r="BO108" s="115"/>
      <c r="BP108" s="115"/>
      <c r="BQ108" s="115"/>
      <c r="BR108" s="115"/>
      <c r="CE108" s="330"/>
      <c r="CV108" s="115">
        <v>2025.05</v>
      </c>
      <c r="CW108" s="115" t="s">
        <v>1415</v>
      </c>
      <c r="CX108" s="115" t="s">
        <v>380</v>
      </c>
      <c r="CY108" s="115" t="s">
        <v>2066</v>
      </c>
      <c r="CZ108" s="330">
        <v>1816.788</v>
      </c>
      <c r="DA108" s="115"/>
      <c r="DB108" s="115"/>
      <c r="DC108" s="115" t="s">
        <v>1416</v>
      </c>
      <c r="DD108" s="115" t="s">
        <v>2114</v>
      </c>
      <c r="DE108" s="115" t="s">
        <v>1473</v>
      </c>
      <c r="DF108" s="115" t="s">
        <v>1291</v>
      </c>
      <c r="DG108" s="115">
        <v>613.75</v>
      </c>
      <c r="DR108" s="214"/>
      <c r="DY108" s="115"/>
      <c r="DZ108" s="115" t="s">
        <v>1416</v>
      </c>
      <c r="EA108" s="115" t="s">
        <v>2114</v>
      </c>
      <c r="EB108" s="115">
        <v>0</v>
      </c>
      <c r="EC108" s="115" t="s">
        <v>115</v>
      </c>
      <c r="ED108" s="115" t="s">
        <v>1697</v>
      </c>
      <c r="EE108" s="187">
        <v>0.25</v>
      </c>
      <c r="EF108" s="330">
        <v>32.82</v>
      </c>
      <c r="EG108" s="330">
        <v>24.61</v>
      </c>
      <c r="EH108" s="115" t="s">
        <v>380</v>
      </c>
      <c r="EI108" s="115" t="s">
        <v>1812</v>
      </c>
      <c r="EJ108" s="115"/>
      <c r="EK108" s="115" t="s">
        <v>1827</v>
      </c>
      <c r="EL108" s="115" t="s">
        <v>380</v>
      </c>
      <c r="EM108"/>
      <c r="EO108" s="115"/>
      <c r="EP108" s="334" t="s">
        <v>1416</v>
      </c>
      <c r="EQ108" s="334" t="s">
        <v>2114</v>
      </c>
      <c r="ER108" s="334" t="s">
        <v>298</v>
      </c>
      <c r="ES108" s="334" t="s">
        <v>380</v>
      </c>
      <c r="ET108" s="334">
        <v>2024.44</v>
      </c>
      <c r="EU108" s="334" t="s">
        <v>1382</v>
      </c>
      <c r="EV108" s="334">
        <v>24475.680100000001</v>
      </c>
    </row>
    <row r="109" spans="4:152" ht="13">
      <c r="D109" s="115" t="s">
        <v>1529</v>
      </c>
      <c r="E109" s="115" t="s">
        <v>386</v>
      </c>
      <c r="F109" s="115">
        <v>2518.5787</v>
      </c>
      <c r="I109" s="115" t="s">
        <v>1507</v>
      </c>
      <c r="J109" s="115" t="s">
        <v>1358</v>
      </c>
      <c r="K109" s="183" t="s">
        <v>375</v>
      </c>
      <c r="AG109" s="115"/>
      <c r="AH109" s="115"/>
      <c r="AI109" s="115" t="s">
        <v>1416</v>
      </c>
      <c r="AJ109" t="s">
        <v>2114</v>
      </c>
      <c r="AK109" s="115">
        <v>0</v>
      </c>
      <c r="AL109" s="115" t="s">
        <v>28</v>
      </c>
      <c r="AM109" s="115" t="s">
        <v>1849</v>
      </c>
      <c r="AN109" s="115" t="s">
        <v>1443</v>
      </c>
      <c r="AO109" s="115" t="s">
        <v>1645</v>
      </c>
      <c r="AT109" s="115" t="s">
        <v>1415</v>
      </c>
      <c r="AU109" s="115" t="s">
        <v>2114</v>
      </c>
      <c r="AV109" s="115">
        <v>15</v>
      </c>
      <c r="AW109" s="115" t="s">
        <v>494</v>
      </c>
      <c r="AX109" s="115" t="s">
        <v>28</v>
      </c>
      <c r="AY109" s="115" t="s">
        <v>1846</v>
      </c>
      <c r="AZ109" s="115" t="s">
        <v>1874</v>
      </c>
      <c r="BA109" s="115"/>
      <c r="BB109" s="115"/>
      <c r="BC109" s="115"/>
      <c r="BD109" s="115"/>
      <c r="BE109" s="115"/>
      <c r="BF109" s="115"/>
      <c r="BG109" s="115"/>
      <c r="BH109" s="115"/>
      <c r="BI109" s="115"/>
      <c r="BJ109" s="115"/>
      <c r="BK109" s="115">
        <v>36492.226401005995</v>
      </c>
      <c r="BL109" s="115"/>
      <c r="BM109" s="115"/>
      <c r="BN109" s="115">
        <v>241307.51</v>
      </c>
      <c r="BO109" s="115"/>
      <c r="BP109" s="115"/>
      <c r="BQ109" s="115"/>
      <c r="BR109" s="115"/>
      <c r="CE109" s="330"/>
      <c r="CV109" s="115">
        <v>2025.05</v>
      </c>
      <c r="CW109" s="115" t="s">
        <v>1415</v>
      </c>
      <c r="CX109" s="115" t="s">
        <v>372</v>
      </c>
      <c r="CY109" s="115" t="s">
        <v>2066</v>
      </c>
      <c r="CZ109" s="330">
        <v>5705.3159999999998</v>
      </c>
      <c r="DA109" s="115"/>
      <c r="DB109" s="115"/>
      <c r="DC109" s="115" t="s">
        <v>1416</v>
      </c>
      <c r="DD109" s="115" t="s">
        <v>2114</v>
      </c>
      <c r="DE109" s="115" t="s">
        <v>1475</v>
      </c>
      <c r="DF109" s="115" t="s">
        <v>1291</v>
      </c>
      <c r="DG109" s="115">
        <v>403.75</v>
      </c>
      <c r="DR109" s="214"/>
      <c r="DY109" s="115"/>
      <c r="DZ109" s="115" t="s">
        <v>1415</v>
      </c>
      <c r="EA109" s="115" t="s">
        <v>2114</v>
      </c>
      <c r="EB109" s="115">
        <v>0</v>
      </c>
      <c r="EC109" s="115" t="s">
        <v>115</v>
      </c>
      <c r="ED109" s="115" t="s">
        <v>1697</v>
      </c>
      <c r="EE109" s="187">
        <v>0.25</v>
      </c>
      <c r="EF109" s="330">
        <v>38.189599999999999</v>
      </c>
      <c r="EG109" s="330">
        <v>28.878</v>
      </c>
      <c r="EH109" s="115" t="s">
        <v>380</v>
      </c>
      <c r="EI109" s="115" t="s">
        <v>1812</v>
      </c>
      <c r="EJ109" s="115"/>
      <c r="EK109" s="115" t="s">
        <v>1827</v>
      </c>
      <c r="EL109" s="115" t="s">
        <v>380</v>
      </c>
      <c r="EM109"/>
      <c r="EO109" s="115"/>
      <c r="EP109" s="334" t="s">
        <v>1416</v>
      </c>
      <c r="EQ109" s="334" t="s">
        <v>2114</v>
      </c>
      <c r="ER109" s="334" t="s">
        <v>360</v>
      </c>
      <c r="ES109" s="334" t="s">
        <v>360</v>
      </c>
      <c r="ET109" s="334">
        <v>2023.44</v>
      </c>
      <c r="EU109" s="334" t="s">
        <v>397</v>
      </c>
      <c r="EV109" s="334">
        <v>36481.088900000002</v>
      </c>
    </row>
    <row r="110" spans="4:152" ht="13">
      <c r="D110" s="115" t="s">
        <v>1531</v>
      </c>
      <c r="E110" s="115" t="s">
        <v>1643</v>
      </c>
      <c r="F110" s="115">
        <v>1181.1974</v>
      </c>
      <c r="I110" s="115" t="s">
        <v>1507</v>
      </c>
      <c r="J110" s="115" t="s">
        <v>1354</v>
      </c>
      <c r="K110" s="183">
        <v>45141</v>
      </c>
      <c r="AG110" s="115"/>
      <c r="AH110" s="115"/>
      <c r="AI110" s="115" t="s">
        <v>1416</v>
      </c>
      <c r="AJ110" t="s">
        <v>2114</v>
      </c>
      <c r="AK110" s="115">
        <v>0</v>
      </c>
      <c r="AL110" s="115" t="s">
        <v>28</v>
      </c>
      <c r="AM110" s="115" t="s">
        <v>1832</v>
      </c>
      <c r="AN110" s="115" t="s">
        <v>1443</v>
      </c>
      <c r="AO110" s="115" t="s">
        <v>1645</v>
      </c>
      <c r="AT110" s="115" t="s">
        <v>1415</v>
      </c>
      <c r="AU110" s="115" t="s">
        <v>2114</v>
      </c>
      <c r="AV110" s="115">
        <v>15</v>
      </c>
      <c r="AW110" s="115" t="s">
        <v>494</v>
      </c>
      <c r="AX110" s="115" t="s">
        <v>28</v>
      </c>
      <c r="AY110" s="115" t="s">
        <v>1848</v>
      </c>
      <c r="AZ110" s="115" t="s">
        <v>1874</v>
      </c>
      <c r="BA110" s="115"/>
      <c r="BB110" s="115"/>
      <c r="BC110" s="115"/>
      <c r="BD110" s="115"/>
      <c r="BE110" s="115"/>
      <c r="BF110" s="115"/>
      <c r="BG110" s="115"/>
      <c r="BH110" s="115"/>
      <c r="BI110" s="115"/>
      <c r="BJ110" s="115"/>
      <c r="BK110" s="115">
        <v>5700.2217769259996</v>
      </c>
      <c r="BL110" s="115"/>
      <c r="BM110" s="115"/>
      <c r="BN110" s="115"/>
      <c r="BO110" s="115"/>
      <c r="BP110" s="115"/>
      <c r="BQ110" s="115"/>
      <c r="BR110" s="115"/>
      <c r="CE110" s="330"/>
      <c r="CV110" s="115">
        <v>2025.05</v>
      </c>
      <c r="CW110" s="115" t="s">
        <v>1415</v>
      </c>
      <c r="CX110" s="115" t="s">
        <v>377</v>
      </c>
      <c r="CY110" s="115" t="s">
        <v>2066</v>
      </c>
      <c r="CZ110" s="330">
        <v>5587.1639999999998</v>
      </c>
      <c r="DA110" s="115"/>
      <c r="DB110" s="115"/>
      <c r="DC110" s="115" t="s">
        <v>1416</v>
      </c>
      <c r="DD110" s="115" t="s">
        <v>2114</v>
      </c>
      <c r="DE110" s="115" t="s">
        <v>298</v>
      </c>
      <c r="DF110" s="115" t="s">
        <v>1291</v>
      </c>
      <c r="DG110" s="115">
        <v>14339.5</v>
      </c>
      <c r="DR110" s="214"/>
      <c r="DY110" s="115"/>
      <c r="DZ110" s="115" t="s">
        <v>1415</v>
      </c>
      <c r="EA110" s="115" t="s">
        <v>2114</v>
      </c>
      <c r="EB110" s="115">
        <v>16</v>
      </c>
      <c r="EC110" s="115" t="s">
        <v>115</v>
      </c>
      <c r="ED110" s="115" t="s">
        <v>1697</v>
      </c>
      <c r="EE110" s="187">
        <v>0.25</v>
      </c>
      <c r="EF110" s="330">
        <v>38.189599999999999</v>
      </c>
      <c r="EG110" s="330">
        <v>28.878</v>
      </c>
      <c r="EH110" s="115" t="s">
        <v>380</v>
      </c>
      <c r="EI110" s="115" t="s">
        <v>1812</v>
      </c>
      <c r="EJ110" s="115"/>
      <c r="EK110" s="115" t="s">
        <v>1827</v>
      </c>
      <c r="EL110" s="115" t="s">
        <v>380</v>
      </c>
      <c r="EM110"/>
      <c r="EO110" s="115"/>
      <c r="EP110" s="334" t="s">
        <v>1416</v>
      </c>
      <c r="EQ110" s="334" t="s">
        <v>2114</v>
      </c>
      <c r="ER110" s="334" t="s">
        <v>360</v>
      </c>
      <c r="ES110" s="334" t="s">
        <v>360</v>
      </c>
      <c r="ET110" s="334">
        <v>2023.44</v>
      </c>
      <c r="EU110" s="334" t="s">
        <v>1382</v>
      </c>
      <c r="EV110" s="334">
        <v>36481.088900000002</v>
      </c>
    </row>
    <row r="111" spans="4:152" ht="13">
      <c r="D111" s="115" t="s">
        <v>1531</v>
      </c>
      <c r="E111" s="115" t="s">
        <v>1642</v>
      </c>
      <c r="F111" s="115">
        <v>88.955500000000001</v>
      </c>
      <c r="I111" s="115" t="s">
        <v>1507</v>
      </c>
      <c r="J111" s="115" t="s">
        <v>1365</v>
      </c>
      <c r="K111" s="183">
        <v>15</v>
      </c>
      <c r="AG111" s="115"/>
      <c r="AH111" s="115"/>
      <c r="AI111" s="115" t="s">
        <v>1416</v>
      </c>
      <c r="AJ111" t="s">
        <v>2114</v>
      </c>
      <c r="AK111" s="115">
        <v>0</v>
      </c>
      <c r="AL111" s="115" t="s">
        <v>28</v>
      </c>
      <c r="AM111" s="115" t="s">
        <v>1846</v>
      </c>
      <c r="AN111" s="115" t="s">
        <v>1443</v>
      </c>
      <c r="AO111" s="115" t="s">
        <v>1645</v>
      </c>
      <c r="AT111" s="115" t="s">
        <v>1415</v>
      </c>
      <c r="AU111" s="115" t="s">
        <v>2114</v>
      </c>
      <c r="AV111" s="115">
        <v>15</v>
      </c>
      <c r="AW111" s="115" t="s">
        <v>494</v>
      </c>
      <c r="AX111" s="115" t="s">
        <v>28</v>
      </c>
      <c r="AY111" s="115" t="s">
        <v>1843</v>
      </c>
      <c r="AZ111" s="115" t="s">
        <v>1874</v>
      </c>
      <c r="BA111" s="115"/>
      <c r="BB111" s="115"/>
      <c r="BC111" s="115"/>
      <c r="BD111" s="115"/>
      <c r="BE111" s="115"/>
      <c r="BF111" s="115"/>
      <c r="BG111" s="115"/>
      <c r="BH111" s="115"/>
      <c r="BI111" s="115"/>
      <c r="BJ111" s="115"/>
      <c r="BK111" s="115">
        <v>41564.239896907216</v>
      </c>
      <c r="BL111" s="115"/>
      <c r="BM111" s="115"/>
      <c r="BN111" s="115">
        <v>241307.51</v>
      </c>
      <c r="BO111" s="115"/>
      <c r="BP111" s="115"/>
      <c r="BQ111" s="115"/>
      <c r="BR111" s="115"/>
      <c r="CE111" s="330"/>
      <c r="CV111" s="115">
        <v>2025.06</v>
      </c>
      <c r="CW111" s="115" t="s">
        <v>1415</v>
      </c>
      <c r="CX111" s="115" t="s">
        <v>380</v>
      </c>
      <c r="CY111" s="115" t="s">
        <v>2066</v>
      </c>
      <c r="CZ111" s="330">
        <v>3633.576</v>
      </c>
      <c r="DA111" s="115"/>
      <c r="DB111" s="115"/>
      <c r="DC111" s="115" t="s">
        <v>1416</v>
      </c>
      <c r="DD111" s="115" t="s">
        <v>2114</v>
      </c>
      <c r="DE111" s="115" t="s">
        <v>288</v>
      </c>
      <c r="DF111" s="115" t="s">
        <v>1291</v>
      </c>
      <c r="DG111" s="115">
        <v>926.25</v>
      </c>
      <c r="DR111" s="214"/>
      <c r="DY111" s="115"/>
      <c r="DZ111" s="115" t="s">
        <v>1415</v>
      </c>
      <c r="EA111" s="115" t="s">
        <v>2114</v>
      </c>
      <c r="EB111" s="115">
        <v>15</v>
      </c>
      <c r="EC111" s="115" t="s">
        <v>117</v>
      </c>
      <c r="ED111" s="115" t="s">
        <v>1697</v>
      </c>
      <c r="EE111" s="187">
        <v>0.1</v>
      </c>
      <c r="EF111" s="330">
        <v>40.307299999999998</v>
      </c>
      <c r="EG111" s="330">
        <v>29.312100000000001</v>
      </c>
      <c r="EH111" s="115" t="s">
        <v>382</v>
      </c>
      <c r="EI111" s="115" t="s">
        <v>1812</v>
      </c>
      <c r="EJ111" s="115"/>
      <c r="EK111" s="115" t="s">
        <v>1828</v>
      </c>
      <c r="EL111" s="115" t="s">
        <v>382</v>
      </c>
      <c r="EM111"/>
      <c r="EO111" s="115"/>
      <c r="EP111" s="334" t="s">
        <v>1416</v>
      </c>
      <c r="EQ111" s="334" t="s">
        <v>2114</v>
      </c>
      <c r="ER111" s="334" t="s">
        <v>360</v>
      </c>
      <c r="ES111" s="334" t="s">
        <v>360</v>
      </c>
      <c r="ET111" s="334">
        <v>2024.44</v>
      </c>
      <c r="EU111" s="334" t="s">
        <v>397</v>
      </c>
      <c r="EV111" s="334">
        <v>36481.088900000002</v>
      </c>
    </row>
    <row r="112" spans="4:152" ht="13">
      <c r="D112" s="115" t="s">
        <v>1531</v>
      </c>
      <c r="E112" s="115" t="s">
        <v>1274</v>
      </c>
      <c r="F112" s="115">
        <v>133.4332</v>
      </c>
      <c r="I112" s="115" t="s">
        <v>1507</v>
      </c>
      <c r="J112" s="115" t="s">
        <v>1356</v>
      </c>
      <c r="K112" s="183" t="s">
        <v>1359</v>
      </c>
      <c r="AG112" s="115"/>
      <c r="AH112" s="115"/>
      <c r="AI112" s="115" t="s">
        <v>1416</v>
      </c>
      <c r="AJ112" t="s">
        <v>2114</v>
      </c>
      <c r="AK112" s="115">
        <v>0</v>
      </c>
      <c r="AL112" s="115" t="s">
        <v>28</v>
      </c>
      <c r="AM112" s="115" t="s">
        <v>1848</v>
      </c>
      <c r="AN112" s="115" t="s">
        <v>1443</v>
      </c>
      <c r="AO112" s="115" t="s">
        <v>1645</v>
      </c>
      <c r="AT112" s="115" t="s">
        <v>1415</v>
      </c>
      <c r="AU112" s="115" t="s">
        <v>2114</v>
      </c>
      <c r="AV112" s="115">
        <v>15</v>
      </c>
      <c r="AW112" s="115" t="s">
        <v>494</v>
      </c>
      <c r="AX112" s="115" t="s">
        <v>28</v>
      </c>
      <c r="AY112" s="115" t="s">
        <v>1849</v>
      </c>
      <c r="AZ112" s="115" t="s">
        <v>1874</v>
      </c>
      <c r="BA112" s="115"/>
      <c r="BB112" s="115"/>
      <c r="BC112" s="115"/>
      <c r="BD112" s="115"/>
      <c r="BE112" s="115"/>
      <c r="BF112" s="115"/>
      <c r="BG112" s="115"/>
      <c r="BH112" s="115"/>
      <c r="BI112" s="115"/>
      <c r="BJ112" s="115"/>
      <c r="BK112" s="115">
        <v>1267.4388599999997</v>
      </c>
      <c r="BL112" s="115"/>
      <c r="BM112" s="115"/>
      <c r="BN112" s="115"/>
      <c r="BO112" s="115"/>
      <c r="BP112" s="115"/>
      <c r="BQ112" s="115"/>
      <c r="BR112" s="115"/>
      <c r="CE112" s="330"/>
      <c r="CV112" s="115">
        <v>2025.06</v>
      </c>
      <c r="CW112" s="115" t="s">
        <v>1415</v>
      </c>
      <c r="CX112" s="115" t="s">
        <v>372</v>
      </c>
      <c r="CY112" s="115" t="s">
        <v>2066</v>
      </c>
      <c r="CZ112" s="330">
        <v>2852.6579999999999</v>
      </c>
      <c r="DA112" s="115"/>
      <c r="DB112" s="115"/>
      <c r="DC112" s="115" t="s">
        <v>1415</v>
      </c>
      <c r="DD112" s="115" t="s">
        <v>2114</v>
      </c>
      <c r="DE112" s="115" t="s">
        <v>1410</v>
      </c>
      <c r="DF112" s="115" t="s">
        <v>1291</v>
      </c>
      <c r="DG112" s="115">
        <v>55138</v>
      </c>
      <c r="DR112" s="214"/>
      <c r="DY112" s="115"/>
      <c r="DZ112" s="115" t="s">
        <v>1416</v>
      </c>
      <c r="EA112" s="115" t="s">
        <v>2114</v>
      </c>
      <c r="EB112" s="115">
        <v>0</v>
      </c>
      <c r="EC112" s="115" t="s">
        <v>117</v>
      </c>
      <c r="ED112" s="115" t="s">
        <v>1697</v>
      </c>
      <c r="EE112" s="187">
        <v>0.1</v>
      </c>
      <c r="EF112" s="330">
        <v>34.64</v>
      </c>
      <c r="EG112" s="330">
        <v>24.98</v>
      </c>
      <c r="EH112" s="115" t="s">
        <v>382</v>
      </c>
      <c r="EI112" s="115" t="s">
        <v>1812</v>
      </c>
      <c r="EJ112" s="115"/>
      <c r="EK112" s="115" t="s">
        <v>1828</v>
      </c>
      <c r="EL112" s="115" t="s">
        <v>382</v>
      </c>
      <c r="EM112"/>
      <c r="EO112" s="115"/>
      <c r="EP112" s="334" t="s">
        <v>1416</v>
      </c>
      <c r="EQ112" s="334" t="s">
        <v>2114</v>
      </c>
      <c r="ER112" s="334" t="s">
        <v>360</v>
      </c>
      <c r="ES112" s="334" t="s">
        <v>360</v>
      </c>
      <c r="ET112" s="334">
        <v>2024.44</v>
      </c>
      <c r="EU112" s="334" t="s">
        <v>1382</v>
      </c>
      <c r="EV112" s="334">
        <v>34677.285000000003</v>
      </c>
    </row>
    <row r="113" spans="4:152" ht="13">
      <c r="D113" s="115" t="s">
        <v>1531</v>
      </c>
      <c r="E113" s="115" t="s">
        <v>379</v>
      </c>
      <c r="F113" s="115">
        <v>5701.6310000000003</v>
      </c>
      <c r="I113" s="115" t="s">
        <v>1507</v>
      </c>
      <c r="J113" s="115" t="s">
        <v>1366</v>
      </c>
      <c r="K113" s="183">
        <v>3</v>
      </c>
      <c r="AG113" s="115"/>
      <c r="AH113" s="115"/>
      <c r="AI113" s="115" t="s">
        <v>1416</v>
      </c>
      <c r="AJ113" t="s">
        <v>2114</v>
      </c>
      <c r="AK113" s="115">
        <v>0</v>
      </c>
      <c r="AL113" s="115" t="s">
        <v>28</v>
      </c>
      <c r="AM113" s="115" t="s">
        <v>1843</v>
      </c>
      <c r="AN113" s="115" t="s">
        <v>1443</v>
      </c>
      <c r="AO113" s="115" t="s">
        <v>1645</v>
      </c>
      <c r="AT113" s="115" t="s">
        <v>1415</v>
      </c>
      <c r="AU113" s="115" t="s">
        <v>2114</v>
      </c>
      <c r="AV113" s="115">
        <v>15</v>
      </c>
      <c r="AW113" s="115" t="s">
        <v>494</v>
      </c>
      <c r="AX113" s="115" t="s">
        <v>28</v>
      </c>
      <c r="AY113" s="115" t="s">
        <v>1850</v>
      </c>
      <c r="AZ113" s="115" t="s">
        <v>1874</v>
      </c>
      <c r="BA113" s="115"/>
      <c r="BB113" s="115"/>
      <c r="BC113" s="115"/>
      <c r="BD113" s="115"/>
      <c r="BE113" s="115"/>
      <c r="BF113" s="115"/>
      <c r="BG113" s="115"/>
      <c r="BH113" s="115"/>
      <c r="BI113" s="115"/>
      <c r="BJ113" s="115"/>
      <c r="BK113" s="115">
        <v>140.82653999999999</v>
      </c>
      <c r="BL113" s="115"/>
      <c r="BM113" s="115"/>
      <c r="BN113" s="115"/>
      <c r="BO113" s="115"/>
      <c r="BP113" s="115"/>
      <c r="BQ113" s="115"/>
      <c r="BR113" s="115"/>
      <c r="CE113" s="330"/>
      <c r="CV113" s="115">
        <v>2025.06</v>
      </c>
      <c r="CW113" s="115" t="s">
        <v>1415</v>
      </c>
      <c r="CX113" s="115" t="s">
        <v>377</v>
      </c>
      <c r="CY113" s="115" t="s">
        <v>2066</v>
      </c>
      <c r="CZ113" s="330">
        <v>2793.5819999999999</v>
      </c>
      <c r="DA113" s="115"/>
      <c r="DB113" s="115"/>
      <c r="DC113" s="115" t="s">
        <v>1415</v>
      </c>
      <c r="DD113" s="115" t="s">
        <v>2114</v>
      </c>
      <c r="DE113" s="115" t="s">
        <v>288</v>
      </c>
      <c r="DF113" s="115" t="s">
        <v>1291</v>
      </c>
      <c r="DG113" s="115">
        <v>400</v>
      </c>
      <c r="DR113" s="214"/>
      <c r="DY113" s="115"/>
      <c r="DZ113" s="115" t="s">
        <v>1415</v>
      </c>
      <c r="EA113" s="115" t="s">
        <v>2114</v>
      </c>
      <c r="EB113" s="115">
        <v>0</v>
      </c>
      <c r="EC113" s="115" t="s">
        <v>117</v>
      </c>
      <c r="ED113" s="115" t="s">
        <v>1697</v>
      </c>
      <c r="EE113" s="187">
        <v>0.1</v>
      </c>
      <c r="EF113" s="330">
        <v>40.307299999999998</v>
      </c>
      <c r="EG113" s="330">
        <v>29.312100000000001</v>
      </c>
      <c r="EH113" s="115" t="s">
        <v>382</v>
      </c>
      <c r="EI113" s="115" t="s">
        <v>1812</v>
      </c>
      <c r="EJ113" s="115"/>
      <c r="EK113" s="115" t="s">
        <v>1828</v>
      </c>
      <c r="EL113" s="115" t="s">
        <v>382</v>
      </c>
      <c r="EM113"/>
      <c r="EO113" s="115"/>
      <c r="EP113" s="334" t="s">
        <v>1416</v>
      </c>
      <c r="EQ113" s="334" t="s">
        <v>2114</v>
      </c>
      <c r="ER113" s="334" t="s">
        <v>300</v>
      </c>
      <c r="ES113" s="334" t="s">
        <v>386</v>
      </c>
      <c r="ET113" s="334">
        <v>2023.44</v>
      </c>
      <c r="EU113" s="334" t="s">
        <v>397</v>
      </c>
      <c r="EV113" s="334">
        <v>11033.339900000001</v>
      </c>
    </row>
    <row r="114" spans="4:152" ht="13">
      <c r="D114" s="115" t="s">
        <v>1531</v>
      </c>
      <c r="E114" s="115" t="s">
        <v>373</v>
      </c>
      <c r="F114" s="115">
        <v>209.54</v>
      </c>
      <c r="I114" s="115" t="s">
        <v>1507</v>
      </c>
      <c r="J114" s="115" t="s">
        <v>1357</v>
      </c>
      <c r="K114" s="183">
        <v>13779.405779405775</v>
      </c>
      <c r="AG114" s="115"/>
      <c r="AH114" s="115"/>
      <c r="AI114" s="115" t="s">
        <v>1416</v>
      </c>
      <c r="AJ114" t="s">
        <v>2114</v>
      </c>
      <c r="AK114" s="115">
        <v>0</v>
      </c>
      <c r="AL114" s="115" t="s">
        <v>28</v>
      </c>
      <c r="AM114" s="115" t="s">
        <v>1850</v>
      </c>
      <c r="AN114" s="115" t="s">
        <v>1443</v>
      </c>
      <c r="AO114" s="115" t="s">
        <v>1645</v>
      </c>
      <c r="AT114" s="115" t="s">
        <v>1415</v>
      </c>
      <c r="AU114" s="115" t="s">
        <v>2114</v>
      </c>
      <c r="AV114" s="115">
        <v>15</v>
      </c>
      <c r="AW114" s="115" t="s">
        <v>494</v>
      </c>
      <c r="AX114" s="115" t="s">
        <v>28</v>
      </c>
      <c r="AY114" s="115" t="s">
        <v>1832</v>
      </c>
      <c r="AZ114" s="115" t="s">
        <v>1874</v>
      </c>
      <c r="BA114" s="115"/>
      <c r="BB114" s="115"/>
      <c r="BC114" s="115"/>
      <c r="BD114" s="115"/>
      <c r="BE114" s="115"/>
      <c r="BF114" s="115"/>
      <c r="BG114" s="115"/>
      <c r="BH114" s="115"/>
      <c r="BI114" s="115"/>
      <c r="BJ114" s="115"/>
      <c r="BK114" s="115">
        <v>1451.8199999999997</v>
      </c>
      <c r="BL114" s="115"/>
      <c r="BM114" s="115"/>
      <c r="BN114" s="115"/>
      <c r="BO114" s="115"/>
      <c r="BP114" s="115"/>
      <c r="BQ114" s="115"/>
      <c r="BR114" s="115"/>
      <c r="CE114" s="330"/>
      <c r="CV114" s="115">
        <v>2025.02</v>
      </c>
      <c r="CW114" s="115" t="s">
        <v>1415</v>
      </c>
      <c r="CX114" s="115" t="s">
        <v>387</v>
      </c>
      <c r="CY114" s="115" t="s">
        <v>2066</v>
      </c>
      <c r="CZ114" s="330">
        <v>2578.1149999999998</v>
      </c>
      <c r="DA114" s="115"/>
      <c r="DB114" s="115"/>
      <c r="DC114" s="115" t="s">
        <v>1416</v>
      </c>
      <c r="DD114" s="115" t="s">
        <v>2114</v>
      </c>
      <c r="DE114" s="115" t="s">
        <v>1473</v>
      </c>
      <c r="DF114" s="115" t="s">
        <v>1293</v>
      </c>
      <c r="DG114" s="115">
        <v>10252.64</v>
      </c>
      <c r="DR114" s="214"/>
      <c r="DY114" s="115"/>
      <c r="DZ114" s="115" t="s">
        <v>1415</v>
      </c>
      <c r="EA114" s="115" t="s">
        <v>2114</v>
      </c>
      <c r="EB114" s="115">
        <v>16</v>
      </c>
      <c r="EC114" s="115" t="s">
        <v>117</v>
      </c>
      <c r="ED114" s="115" t="s">
        <v>1697</v>
      </c>
      <c r="EE114" s="187">
        <v>0.1</v>
      </c>
      <c r="EF114" s="330">
        <v>40.307299999999998</v>
      </c>
      <c r="EG114" s="330">
        <v>29.312100000000001</v>
      </c>
      <c r="EH114" s="115" t="s">
        <v>382</v>
      </c>
      <c r="EI114" s="115" t="s">
        <v>1812</v>
      </c>
      <c r="EJ114" s="115"/>
      <c r="EK114" s="115" t="s">
        <v>1828</v>
      </c>
      <c r="EL114" s="115" t="s">
        <v>382</v>
      </c>
      <c r="EM114"/>
      <c r="EO114" s="115"/>
      <c r="EP114" s="334" t="s">
        <v>1416</v>
      </c>
      <c r="EQ114" s="334" t="s">
        <v>2114</v>
      </c>
      <c r="ER114" s="334" t="s">
        <v>300</v>
      </c>
      <c r="ES114" s="334" t="s">
        <v>386</v>
      </c>
      <c r="ET114" s="334">
        <v>2023.44</v>
      </c>
      <c r="EU114" s="334" t="s">
        <v>1382</v>
      </c>
      <c r="EV114" s="334">
        <v>11033.339900000001</v>
      </c>
    </row>
    <row r="115" spans="4:152" ht="13">
      <c r="D115" s="115" t="s">
        <v>1531</v>
      </c>
      <c r="E115" s="115" t="s">
        <v>380</v>
      </c>
      <c r="F115" s="115">
        <v>734.4425</v>
      </c>
      <c r="I115" s="115" t="s">
        <v>1509</v>
      </c>
      <c r="J115" s="115" t="s">
        <v>1363</v>
      </c>
      <c r="K115" s="183">
        <v>125</v>
      </c>
      <c r="AG115" s="115"/>
      <c r="AH115" s="115"/>
      <c r="AI115" s="115" t="s">
        <v>1416</v>
      </c>
      <c r="AJ115" t="s">
        <v>2114</v>
      </c>
      <c r="AK115" s="115">
        <v>0</v>
      </c>
      <c r="AL115" s="115" t="s">
        <v>28</v>
      </c>
      <c r="AM115" s="115" t="s">
        <v>1846</v>
      </c>
      <c r="AN115" s="115" t="s">
        <v>1443</v>
      </c>
      <c r="AO115" s="115" t="s">
        <v>1646</v>
      </c>
      <c r="AT115" s="115" t="s">
        <v>1415</v>
      </c>
      <c r="AU115" s="115" t="s">
        <v>2114</v>
      </c>
      <c r="AV115" s="115">
        <v>15</v>
      </c>
      <c r="AW115" s="115" t="s">
        <v>494</v>
      </c>
      <c r="AX115" s="115" t="s">
        <v>28</v>
      </c>
      <c r="AY115" s="115" t="s">
        <v>1846</v>
      </c>
      <c r="AZ115" s="115" t="s">
        <v>1875</v>
      </c>
      <c r="BA115" s="115"/>
      <c r="BB115" s="115"/>
      <c r="BC115" s="115">
        <v>3247.4316108000003</v>
      </c>
      <c r="BD115" s="115"/>
      <c r="BE115" s="115"/>
      <c r="BF115" s="115"/>
      <c r="BG115" s="115"/>
      <c r="BH115" s="115">
        <v>46677.799400000004</v>
      </c>
      <c r="BI115" s="115">
        <v>25434.466805999997</v>
      </c>
      <c r="BJ115" s="115"/>
      <c r="BK115" s="115">
        <v>105.56911385999973</v>
      </c>
      <c r="BL115" s="115">
        <v>15810.985640799001</v>
      </c>
      <c r="BM115" s="115">
        <v>180230.80720000001</v>
      </c>
      <c r="BN115" s="115">
        <v>33247.54</v>
      </c>
      <c r="BO115" s="115"/>
      <c r="BP115" s="115"/>
      <c r="BQ115" s="115"/>
      <c r="BR115" s="115"/>
      <c r="CE115" s="330"/>
      <c r="CV115" s="115">
        <v>2025.03</v>
      </c>
      <c r="CW115" s="115" t="s">
        <v>1415</v>
      </c>
      <c r="CX115" s="115" t="s">
        <v>387</v>
      </c>
      <c r="CY115" s="115" t="s">
        <v>2066</v>
      </c>
      <c r="CZ115" s="330">
        <v>3093.7379999999998</v>
      </c>
      <c r="DA115" s="115"/>
      <c r="DB115" s="115"/>
      <c r="DC115" s="115" t="s">
        <v>1416</v>
      </c>
      <c r="DD115" s="115" t="s">
        <v>2114</v>
      </c>
      <c r="DE115" s="115" t="s">
        <v>288</v>
      </c>
      <c r="DF115" s="115" t="s">
        <v>1293</v>
      </c>
      <c r="DG115" s="115">
        <v>78.55</v>
      </c>
      <c r="DR115" s="214"/>
      <c r="DY115" s="115"/>
      <c r="DZ115" s="115" t="s">
        <v>1415</v>
      </c>
      <c r="EA115" s="115" t="s">
        <v>2114</v>
      </c>
      <c r="EB115" s="115">
        <v>15</v>
      </c>
      <c r="EC115" s="115" t="s">
        <v>261</v>
      </c>
      <c r="ED115" s="115" t="s">
        <v>1697</v>
      </c>
      <c r="EE115" s="187">
        <v>0.1</v>
      </c>
      <c r="EF115" s="330">
        <v>40.307299999999998</v>
      </c>
      <c r="EG115" s="330">
        <v>29.312100000000001</v>
      </c>
      <c r="EH115" s="115" t="s">
        <v>383</v>
      </c>
      <c r="EI115" s="115" t="s">
        <v>1812</v>
      </c>
      <c r="EJ115" s="115"/>
      <c r="EK115" s="115" t="s">
        <v>1828</v>
      </c>
      <c r="EL115" s="115" t="s">
        <v>383</v>
      </c>
      <c r="EM115"/>
      <c r="EO115" s="115"/>
      <c r="EP115" s="334" t="s">
        <v>1416</v>
      </c>
      <c r="EQ115" s="334" t="s">
        <v>2114</v>
      </c>
      <c r="ER115" s="334" t="s">
        <v>300</v>
      </c>
      <c r="ES115" s="334" t="s">
        <v>386</v>
      </c>
      <c r="ET115" s="334">
        <v>2024.44</v>
      </c>
      <c r="EU115" s="334" t="s">
        <v>397</v>
      </c>
      <c r="EV115" s="334">
        <v>11033.339900000001</v>
      </c>
    </row>
    <row r="116" spans="4:152" ht="13">
      <c r="D116" s="115" t="s">
        <v>1531</v>
      </c>
      <c r="E116" s="115" t="s">
        <v>1639</v>
      </c>
      <c r="F116" s="115">
        <v>5247.0389999999998</v>
      </c>
      <c r="I116" s="115" t="s">
        <v>1509</v>
      </c>
      <c r="J116" s="115" t="s">
        <v>1353</v>
      </c>
      <c r="K116" s="183" t="s">
        <v>1510</v>
      </c>
      <c r="AG116" s="115"/>
      <c r="AH116" s="115"/>
      <c r="AI116" s="115" t="s">
        <v>1416</v>
      </c>
      <c r="AJ116" t="s">
        <v>2114</v>
      </c>
      <c r="AK116" s="115">
        <v>0</v>
      </c>
      <c r="AL116" s="115" t="s">
        <v>28</v>
      </c>
      <c r="AM116" s="115" t="s">
        <v>1843</v>
      </c>
      <c r="AN116" s="115" t="s">
        <v>1443</v>
      </c>
      <c r="AO116" s="115" t="s">
        <v>1646</v>
      </c>
      <c r="AT116" s="115" t="s">
        <v>1415</v>
      </c>
      <c r="AU116" s="115" t="s">
        <v>2114</v>
      </c>
      <c r="AV116" s="115">
        <v>15</v>
      </c>
      <c r="AW116" s="115" t="s">
        <v>494</v>
      </c>
      <c r="AX116" s="115" t="s">
        <v>28</v>
      </c>
      <c r="AY116" s="115" t="s">
        <v>1848</v>
      </c>
      <c r="AZ116" s="115" t="s">
        <v>1875</v>
      </c>
      <c r="BA116" s="115"/>
      <c r="BB116" s="115"/>
      <c r="BC116" s="115">
        <v>19150.577245800003</v>
      </c>
      <c r="BD116" s="115"/>
      <c r="BE116" s="115"/>
      <c r="BF116" s="115"/>
      <c r="BG116" s="115"/>
      <c r="BH116" s="115">
        <v>1900.1543399999998</v>
      </c>
      <c r="BI116" s="115">
        <v>11463.175377749998</v>
      </c>
      <c r="BJ116" s="115"/>
      <c r="BK116" s="115">
        <v>16.490289059999956</v>
      </c>
      <c r="BL116" s="115">
        <v>2469.734887479</v>
      </c>
      <c r="BM116" s="115"/>
      <c r="BN116" s="115"/>
      <c r="BO116" s="115"/>
      <c r="BP116" s="115"/>
      <c r="BQ116" s="115"/>
      <c r="BR116" s="115"/>
      <c r="CE116" s="330"/>
      <c r="CV116" s="115">
        <v>2025.05</v>
      </c>
      <c r="CW116" s="115" t="s">
        <v>1415</v>
      </c>
      <c r="CX116" s="115" t="s">
        <v>1274</v>
      </c>
      <c r="CY116" s="115" t="s">
        <v>2066</v>
      </c>
      <c r="CZ116" s="330">
        <v>1497.8679999999999</v>
      </c>
      <c r="DA116" s="115"/>
      <c r="DB116" s="115"/>
      <c r="DC116" s="115" t="s">
        <v>1416</v>
      </c>
      <c r="DD116" s="115" t="s">
        <v>2114</v>
      </c>
      <c r="DE116" s="115" t="s">
        <v>1285</v>
      </c>
      <c r="DF116" s="115" t="s">
        <v>1293</v>
      </c>
      <c r="DG116" s="115">
        <v>137.46</v>
      </c>
      <c r="DR116" s="214"/>
      <c r="DY116" s="115"/>
      <c r="DZ116" s="115" t="s">
        <v>1416</v>
      </c>
      <c r="EA116" s="115" t="s">
        <v>2114</v>
      </c>
      <c r="EB116" s="115">
        <v>0</v>
      </c>
      <c r="EC116" s="115" t="s">
        <v>261</v>
      </c>
      <c r="ED116" s="115" t="s">
        <v>1697</v>
      </c>
      <c r="EE116" s="187">
        <v>0.1</v>
      </c>
      <c r="EF116" s="330">
        <v>34.64</v>
      </c>
      <c r="EG116" s="330">
        <v>24.98</v>
      </c>
      <c r="EH116" s="115" t="s">
        <v>383</v>
      </c>
      <c r="EI116" s="115" t="s">
        <v>1812</v>
      </c>
      <c r="EJ116" s="115"/>
      <c r="EK116" s="115" t="s">
        <v>1828</v>
      </c>
      <c r="EL116" s="115" t="s">
        <v>383</v>
      </c>
      <c r="EM116"/>
      <c r="EO116" s="115"/>
      <c r="EP116" s="334" t="s">
        <v>1416</v>
      </c>
      <c r="EQ116" s="334" t="s">
        <v>2114</v>
      </c>
      <c r="ER116" s="334" t="s">
        <v>300</v>
      </c>
      <c r="ES116" s="334" t="s">
        <v>386</v>
      </c>
      <c r="ET116" s="334">
        <v>2024.44</v>
      </c>
      <c r="EU116" s="334" t="s">
        <v>1382</v>
      </c>
      <c r="EV116" s="334">
        <v>23344.986099999998</v>
      </c>
    </row>
    <row r="117" spans="4:152" ht="13">
      <c r="D117" s="115" t="s">
        <v>1531</v>
      </c>
      <c r="E117" s="115" t="s">
        <v>360</v>
      </c>
      <c r="F117" s="115">
        <v>464.6</v>
      </c>
      <c r="I117" s="115" t="s">
        <v>1509</v>
      </c>
      <c r="J117" s="115" t="s">
        <v>1369</v>
      </c>
      <c r="K117" s="183">
        <v>13</v>
      </c>
      <c r="AG117" s="115"/>
      <c r="AH117" s="115"/>
      <c r="AI117" s="115" t="s">
        <v>1416</v>
      </c>
      <c r="AJ117" t="s">
        <v>2114</v>
      </c>
      <c r="AK117" s="115">
        <v>0</v>
      </c>
      <c r="AL117" s="115" t="s">
        <v>28</v>
      </c>
      <c r="AM117" s="115" t="s">
        <v>1846</v>
      </c>
      <c r="AN117" s="115" t="s">
        <v>1443</v>
      </c>
      <c r="AO117" s="115" t="s">
        <v>1647</v>
      </c>
      <c r="AT117" s="115" t="s">
        <v>1415</v>
      </c>
      <c r="AU117" s="115" t="s">
        <v>2114</v>
      </c>
      <c r="AV117" s="115">
        <v>15</v>
      </c>
      <c r="AW117" s="115" t="s">
        <v>494</v>
      </c>
      <c r="AX117" s="115" t="s">
        <v>28</v>
      </c>
      <c r="AY117" s="115" t="s">
        <v>1843</v>
      </c>
      <c r="AZ117" s="115" t="s">
        <v>1875</v>
      </c>
      <c r="BA117" s="115"/>
      <c r="BB117" s="115"/>
      <c r="BC117" s="115">
        <v>22198.429587628867</v>
      </c>
      <c r="BD117" s="115"/>
      <c r="BE117" s="115"/>
      <c r="BF117" s="115"/>
      <c r="BG117" s="115"/>
      <c r="BH117" s="115">
        <v>47036.022474226804</v>
      </c>
      <c r="BI117" s="115">
        <v>37322.907628865978</v>
      </c>
      <c r="BJ117" s="115"/>
      <c r="BK117" s="115">
        <v>120.2420618556701</v>
      </c>
      <c r="BL117" s="115">
        <v>25257.823814432992</v>
      </c>
      <c r="BM117" s="115">
        <v>180230.80720000001</v>
      </c>
      <c r="BN117" s="115">
        <v>33247.54</v>
      </c>
      <c r="BO117" s="115"/>
      <c r="BP117" s="115"/>
      <c r="BQ117" s="115"/>
      <c r="BR117" s="115"/>
      <c r="CE117" s="330"/>
      <c r="CV117" s="115">
        <v>2025.07</v>
      </c>
      <c r="CW117" s="115" t="s">
        <v>1415</v>
      </c>
      <c r="CX117" s="115" t="s">
        <v>1274</v>
      </c>
      <c r="CY117" s="115" t="s">
        <v>2066</v>
      </c>
      <c r="CZ117" s="330">
        <v>1497.8679999999999</v>
      </c>
      <c r="DA117" s="115"/>
      <c r="DB117" s="115"/>
      <c r="DC117" s="115" t="s">
        <v>1415</v>
      </c>
      <c r="DD117" s="115" t="s">
        <v>2114</v>
      </c>
      <c r="DE117" s="115" t="s">
        <v>298</v>
      </c>
      <c r="DF117" s="115" t="s">
        <v>1293</v>
      </c>
      <c r="DG117" s="115">
        <v>238.48</v>
      </c>
      <c r="DR117" s="214"/>
      <c r="DY117" s="115"/>
      <c r="DZ117" s="115" t="s">
        <v>1415</v>
      </c>
      <c r="EA117" s="115" t="s">
        <v>2114</v>
      </c>
      <c r="EB117" s="115">
        <v>0</v>
      </c>
      <c r="EC117" s="115" t="s">
        <v>261</v>
      </c>
      <c r="ED117" s="115" t="s">
        <v>1697</v>
      </c>
      <c r="EE117" s="187">
        <v>0.1</v>
      </c>
      <c r="EF117" s="330">
        <v>40.307299999999998</v>
      </c>
      <c r="EG117" s="330">
        <v>29.312100000000001</v>
      </c>
      <c r="EH117" s="115" t="s">
        <v>383</v>
      </c>
      <c r="EI117" s="115" t="s">
        <v>1812</v>
      </c>
      <c r="EJ117" s="115"/>
      <c r="EK117" s="115" t="s">
        <v>1828</v>
      </c>
      <c r="EL117" s="115" t="s">
        <v>383</v>
      </c>
      <c r="EM117"/>
      <c r="EO117" s="115"/>
      <c r="EP117" s="334" t="s">
        <v>1415</v>
      </c>
      <c r="EQ117" s="334" t="s">
        <v>2114</v>
      </c>
      <c r="ER117" s="334" t="s">
        <v>362</v>
      </c>
      <c r="ES117" s="334" t="s">
        <v>381</v>
      </c>
      <c r="ET117" s="334">
        <v>2023.47</v>
      </c>
      <c r="EU117" s="334" t="s">
        <v>397</v>
      </c>
      <c r="EV117" s="334">
        <v>42192.448199999999</v>
      </c>
    </row>
    <row r="118" spans="4:152" ht="13">
      <c r="D118" s="115" t="s">
        <v>1531</v>
      </c>
      <c r="E118" s="115" t="s">
        <v>386</v>
      </c>
      <c r="F118" s="115">
        <v>1595.0998999999999</v>
      </c>
      <c r="I118" s="115" t="s">
        <v>1509</v>
      </c>
      <c r="J118" s="115" t="s">
        <v>1355</v>
      </c>
      <c r="K118" s="183">
        <v>12</v>
      </c>
      <c r="AG118" s="115"/>
      <c r="AH118" s="115"/>
      <c r="AI118" s="115" t="s">
        <v>1416</v>
      </c>
      <c r="AJ118" t="s">
        <v>2114</v>
      </c>
      <c r="AK118" s="115">
        <v>0</v>
      </c>
      <c r="AL118" s="115" t="s">
        <v>28</v>
      </c>
      <c r="AM118" s="115" t="s">
        <v>1843</v>
      </c>
      <c r="AN118" s="115" t="s">
        <v>1443</v>
      </c>
      <c r="AO118" s="115" t="s">
        <v>1647</v>
      </c>
      <c r="AT118" s="115" t="s">
        <v>1415</v>
      </c>
      <c r="AU118" s="115" t="s">
        <v>2114</v>
      </c>
      <c r="AV118" s="115">
        <v>15</v>
      </c>
      <c r="AW118" s="115" t="s">
        <v>494</v>
      </c>
      <c r="AX118" s="115" t="s">
        <v>28</v>
      </c>
      <c r="AY118" s="115" t="s">
        <v>1849</v>
      </c>
      <c r="AZ118" s="115" t="s">
        <v>1875</v>
      </c>
      <c r="BA118" s="115"/>
      <c r="BB118" s="115"/>
      <c r="BC118" s="115">
        <v>143.75400000000002</v>
      </c>
      <c r="BD118" s="115"/>
      <c r="BE118" s="115"/>
      <c r="BF118" s="115"/>
      <c r="BG118" s="115"/>
      <c r="BH118" s="115">
        <v>392.84999999999997</v>
      </c>
      <c r="BI118" s="115">
        <v>896.71649999999988</v>
      </c>
      <c r="BJ118" s="115"/>
      <c r="BK118" s="115">
        <v>3.6665999999999905</v>
      </c>
      <c r="BL118" s="115">
        <v>549.14319</v>
      </c>
      <c r="BM118" s="115"/>
      <c r="BN118" s="115"/>
      <c r="BO118" s="115"/>
      <c r="BP118" s="115"/>
      <c r="BQ118" s="115"/>
      <c r="BR118" s="115"/>
      <c r="CE118" s="330"/>
      <c r="CV118" s="115">
        <v>2025.07</v>
      </c>
      <c r="CW118" s="115" t="s">
        <v>1415</v>
      </c>
      <c r="CX118" s="115" t="s">
        <v>387</v>
      </c>
      <c r="CY118" s="115" t="s">
        <v>2066</v>
      </c>
      <c r="CZ118" s="330">
        <v>2578.1149999999998</v>
      </c>
      <c r="DA118" s="115"/>
      <c r="DB118" s="115"/>
      <c r="DC118" s="115" t="s">
        <v>1415</v>
      </c>
      <c r="DD118" s="115" t="s">
        <v>2114</v>
      </c>
      <c r="DE118" s="115" t="s">
        <v>1473</v>
      </c>
      <c r="DF118" s="115" t="s">
        <v>1293</v>
      </c>
      <c r="DG118" s="115">
        <v>16514.439999999999</v>
      </c>
      <c r="DR118" s="214"/>
      <c r="DY118" s="115"/>
      <c r="DZ118" s="115" t="s">
        <v>1415</v>
      </c>
      <c r="EA118" s="115" t="s">
        <v>2114</v>
      </c>
      <c r="EB118" s="115">
        <v>16</v>
      </c>
      <c r="EC118" s="115" t="s">
        <v>261</v>
      </c>
      <c r="ED118" s="115" t="s">
        <v>1697</v>
      </c>
      <c r="EE118" s="187">
        <v>0.1</v>
      </c>
      <c r="EF118" s="330">
        <v>40.307299999999998</v>
      </c>
      <c r="EG118" s="330">
        <v>29.312100000000001</v>
      </c>
      <c r="EH118" s="115" t="s">
        <v>383</v>
      </c>
      <c r="EI118" s="115" t="s">
        <v>1812</v>
      </c>
      <c r="EJ118" s="115"/>
      <c r="EK118" s="115" t="s">
        <v>1828</v>
      </c>
      <c r="EL118" s="115" t="s">
        <v>383</v>
      </c>
      <c r="EM118"/>
      <c r="EO118" s="115"/>
      <c r="EP118" s="334" t="s">
        <v>1415</v>
      </c>
      <c r="EQ118" s="334" t="s">
        <v>2114</v>
      </c>
      <c r="ER118" s="334" t="s">
        <v>362</v>
      </c>
      <c r="ES118" s="334" t="s">
        <v>381</v>
      </c>
      <c r="ET118" s="334">
        <v>2023.47</v>
      </c>
      <c r="EU118" s="334" t="s">
        <v>1382</v>
      </c>
      <c r="EV118" s="334">
        <v>42192.448199999999</v>
      </c>
    </row>
    <row r="119" spans="4:152" ht="13">
      <c r="D119" s="115" t="s">
        <v>1533</v>
      </c>
      <c r="E119" s="115" t="s">
        <v>1643</v>
      </c>
      <c r="F119" s="115">
        <v>446.2</v>
      </c>
      <c r="I119" s="115" t="s">
        <v>1509</v>
      </c>
      <c r="J119" s="115" t="s">
        <v>1361</v>
      </c>
      <c r="K119" s="183">
        <v>69.23</v>
      </c>
      <c r="AG119" s="115"/>
      <c r="AH119" s="115"/>
      <c r="AI119" s="115" t="s">
        <v>1416</v>
      </c>
      <c r="AJ119" t="s">
        <v>2114</v>
      </c>
      <c r="AK119" s="115">
        <v>0</v>
      </c>
      <c r="AL119" s="115" t="s">
        <v>28</v>
      </c>
      <c r="AM119" s="115" t="s">
        <v>1846</v>
      </c>
      <c r="AN119" s="115" t="s">
        <v>1443</v>
      </c>
      <c r="AO119" s="115" t="s">
        <v>1639</v>
      </c>
      <c r="AT119" s="115" t="s">
        <v>1415</v>
      </c>
      <c r="AU119" s="115" t="s">
        <v>2114</v>
      </c>
      <c r="AV119" s="115">
        <v>15</v>
      </c>
      <c r="AW119" s="115" t="s">
        <v>494</v>
      </c>
      <c r="AX119" s="115" t="s">
        <v>28</v>
      </c>
      <c r="AY119" s="115" t="s">
        <v>1850</v>
      </c>
      <c r="AZ119" s="115" t="s">
        <v>1875</v>
      </c>
      <c r="BA119" s="115"/>
      <c r="BB119" s="115"/>
      <c r="BC119" s="115">
        <v>431.26200000000006</v>
      </c>
      <c r="BD119" s="115"/>
      <c r="BE119" s="115"/>
      <c r="BF119" s="115"/>
      <c r="BG119" s="115"/>
      <c r="BH119" s="115">
        <v>43.65</v>
      </c>
      <c r="BI119" s="115">
        <v>298.90549999999996</v>
      </c>
      <c r="BJ119" s="115"/>
      <c r="BK119" s="115">
        <v>0.40739999999999893</v>
      </c>
      <c r="BL119" s="115">
        <v>61.015909999999998</v>
      </c>
      <c r="BM119" s="115"/>
      <c r="BN119" s="115"/>
      <c r="BO119" s="115"/>
      <c r="BP119" s="115"/>
      <c r="BQ119" s="115"/>
      <c r="BR119" s="115"/>
      <c r="CE119" s="330"/>
      <c r="CV119" s="115">
        <v>2025.08</v>
      </c>
      <c r="CW119" s="115" t="s">
        <v>1415</v>
      </c>
      <c r="CX119" s="115" t="s">
        <v>387</v>
      </c>
      <c r="CY119" s="115" t="s">
        <v>2066</v>
      </c>
      <c r="CZ119" s="330">
        <v>3093.7379999999998</v>
      </c>
      <c r="DA119" s="115"/>
      <c r="DB119" s="115"/>
      <c r="DC119" s="115" t="s">
        <v>1415</v>
      </c>
      <c r="DD119" s="115" t="s">
        <v>2114</v>
      </c>
      <c r="DE119" s="115" t="s">
        <v>288</v>
      </c>
      <c r="DF119" s="115" t="s">
        <v>1293</v>
      </c>
      <c r="DG119" s="115">
        <v>69.099999999999994</v>
      </c>
      <c r="DR119" s="214"/>
      <c r="DY119" s="115"/>
      <c r="DZ119" s="115" t="s">
        <v>1415</v>
      </c>
      <c r="EA119" s="115" t="s">
        <v>2114</v>
      </c>
      <c r="EB119" s="115">
        <v>15</v>
      </c>
      <c r="EC119" s="115" t="s">
        <v>120</v>
      </c>
      <c r="ED119" s="115" t="s">
        <v>1697</v>
      </c>
      <c r="EE119" s="187">
        <v>0.75</v>
      </c>
      <c r="EF119" s="330">
        <v>44.405900000000003</v>
      </c>
      <c r="EG119" s="330">
        <v>22.590199999999999</v>
      </c>
      <c r="EH119" s="115" t="s">
        <v>1274</v>
      </c>
      <c r="EI119" s="115" t="s">
        <v>1826</v>
      </c>
      <c r="EJ119" s="115"/>
      <c r="EK119" s="115" t="s">
        <v>327</v>
      </c>
      <c r="EL119" s="115" t="s">
        <v>1274</v>
      </c>
      <c r="EM119"/>
      <c r="EO119" s="115"/>
      <c r="EP119" s="334" t="s">
        <v>1415</v>
      </c>
      <c r="EQ119" s="334" t="s">
        <v>2114</v>
      </c>
      <c r="ER119" s="334" t="s">
        <v>362</v>
      </c>
      <c r="ES119" s="334" t="s">
        <v>381</v>
      </c>
      <c r="ET119" s="334">
        <v>2024.44</v>
      </c>
      <c r="EU119" s="334" t="s">
        <v>397</v>
      </c>
      <c r="EV119" s="334">
        <v>44667.347900000001</v>
      </c>
    </row>
    <row r="120" spans="4:152" ht="13">
      <c r="D120" s="115" t="s">
        <v>1533</v>
      </c>
      <c r="E120" s="115" t="s">
        <v>374</v>
      </c>
      <c r="F120" s="115">
        <v>-7555.7361000000001</v>
      </c>
      <c r="I120" s="115" t="s">
        <v>1509</v>
      </c>
      <c r="J120" s="115" t="s">
        <v>1364</v>
      </c>
      <c r="K120" s="183">
        <v>300</v>
      </c>
      <c r="AG120" s="115"/>
      <c r="AH120" s="115"/>
      <c r="AI120" s="115" t="s">
        <v>1416</v>
      </c>
      <c r="AJ120" t="s">
        <v>2114</v>
      </c>
      <c r="AK120" s="115">
        <v>0</v>
      </c>
      <c r="AL120" s="115" t="s">
        <v>28</v>
      </c>
      <c r="AM120" s="115" t="s">
        <v>1843</v>
      </c>
      <c r="AN120" s="115" t="s">
        <v>1443</v>
      </c>
      <c r="AO120" s="115" t="s">
        <v>1639</v>
      </c>
      <c r="AT120" s="115" t="s">
        <v>1415</v>
      </c>
      <c r="AU120" s="115" t="s">
        <v>2114</v>
      </c>
      <c r="AV120" s="115">
        <v>15</v>
      </c>
      <c r="AW120" s="115" t="s">
        <v>494</v>
      </c>
      <c r="AX120" s="115" t="s">
        <v>28</v>
      </c>
      <c r="AY120" s="115" t="s">
        <v>1832</v>
      </c>
      <c r="AZ120" s="115" t="s">
        <v>1875</v>
      </c>
      <c r="BA120" s="115"/>
      <c r="BB120" s="115"/>
      <c r="BC120" s="115">
        <v>592.80000000000007</v>
      </c>
      <c r="BD120" s="115"/>
      <c r="BE120" s="115"/>
      <c r="BF120" s="115"/>
      <c r="BG120" s="115"/>
      <c r="BH120" s="115">
        <v>449.99999999999994</v>
      </c>
      <c r="BI120" s="115">
        <v>1232.5999999999999</v>
      </c>
      <c r="BJ120" s="115"/>
      <c r="BK120" s="115">
        <v>4.1999999999999886</v>
      </c>
      <c r="BL120" s="115">
        <v>629.03</v>
      </c>
      <c r="BM120" s="115"/>
      <c r="BN120" s="115"/>
      <c r="BO120" s="115"/>
      <c r="BP120" s="115"/>
      <c r="BQ120" s="115"/>
      <c r="BR120" s="115"/>
      <c r="CE120" s="330"/>
      <c r="CV120" s="115">
        <v>2025.11</v>
      </c>
      <c r="CW120" s="115" t="s">
        <v>1415</v>
      </c>
      <c r="CX120" s="115" t="s">
        <v>387</v>
      </c>
      <c r="CY120" s="115" t="s">
        <v>2066</v>
      </c>
      <c r="CZ120" s="330">
        <v>2578.1149999999998</v>
      </c>
      <c r="DA120" s="115"/>
      <c r="DB120" s="115"/>
      <c r="DC120" s="115" t="s">
        <v>1415</v>
      </c>
      <c r="DD120" s="115" t="s">
        <v>2114</v>
      </c>
      <c r="DE120" s="115" t="s">
        <v>1285</v>
      </c>
      <c r="DF120" s="115" t="s">
        <v>1293</v>
      </c>
      <c r="DG120" s="115">
        <v>78.55</v>
      </c>
      <c r="DR120" s="214"/>
      <c r="DY120" s="115"/>
      <c r="DZ120" s="115" t="s">
        <v>1416</v>
      </c>
      <c r="EA120" s="115" t="s">
        <v>2114</v>
      </c>
      <c r="EB120" s="115">
        <v>0</v>
      </c>
      <c r="EC120" s="115" t="s">
        <v>120</v>
      </c>
      <c r="ED120" s="115" t="s">
        <v>1697</v>
      </c>
      <c r="EE120" s="187">
        <v>0.75</v>
      </c>
      <c r="EF120" s="330">
        <v>41.14</v>
      </c>
      <c r="EG120" s="330">
        <v>20.58</v>
      </c>
      <c r="EH120" s="115" t="s">
        <v>1274</v>
      </c>
      <c r="EI120" s="115" t="s">
        <v>1826</v>
      </c>
      <c r="EJ120" s="115"/>
      <c r="EK120" s="115" t="s">
        <v>327</v>
      </c>
      <c r="EL120" s="115" t="s">
        <v>1274</v>
      </c>
      <c r="EM120"/>
      <c r="EO120" s="115"/>
      <c r="EP120" s="334" t="s">
        <v>1415</v>
      </c>
      <c r="EQ120" s="334" t="s">
        <v>2114</v>
      </c>
      <c r="ER120" s="334" t="s">
        <v>362</v>
      </c>
      <c r="ES120" s="334" t="s">
        <v>381</v>
      </c>
      <c r="ET120" s="334">
        <v>2024.44</v>
      </c>
      <c r="EU120" s="334" t="s">
        <v>1382</v>
      </c>
      <c r="EV120" s="334">
        <v>44667.347900000001</v>
      </c>
    </row>
    <row r="121" spans="4:152" ht="13">
      <c r="D121" s="115" t="s">
        <v>1533</v>
      </c>
      <c r="E121" s="115" t="s">
        <v>1642</v>
      </c>
      <c r="F121" s="115">
        <v>2305.2831999999999</v>
      </c>
      <c r="I121" s="115" t="s">
        <v>1509</v>
      </c>
      <c r="J121" s="115" t="s">
        <v>1367</v>
      </c>
      <c r="K121" s="183">
        <v>8</v>
      </c>
      <c r="AG121" s="115"/>
      <c r="AH121" s="115"/>
      <c r="AI121" s="115" t="s">
        <v>1416</v>
      </c>
      <c r="AJ121" t="s">
        <v>2114</v>
      </c>
      <c r="AK121" s="115">
        <v>0</v>
      </c>
      <c r="AL121" s="115" t="s">
        <v>28</v>
      </c>
      <c r="AM121" s="115" t="s">
        <v>1832</v>
      </c>
      <c r="AN121" s="115" t="s">
        <v>1443</v>
      </c>
      <c r="AO121" s="115" t="s">
        <v>373</v>
      </c>
      <c r="AT121" s="115" t="s">
        <v>1415</v>
      </c>
      <c r="AU121" s="115" t="s">
        <v>2114</v>
      </c>
      <c r="AV121" s="115">
        <v>15</v>
      </c>
      <c r="AW121" s="115" t="s">
        <v>494</v>
      </c>
      <c r="AX121" s="115" t="s">
        <v>28</v>
      </c>
      <c r="AY121" s="115" t="s">
        <v>1846</v>
      </c>
      <c r="AZ121" s="115" t="s">
        <v>1876</v>
      </c>
      <c r="BA121" s="115"/>
      <c r="BB121" s="115"/>
      <c r="BC121" s="115"/>
      <c r="BD121" s="115"/>
      <c r="BE121" s="115"/>
      <c r="BF121" s="115"/>
      <c r="BG121" s="115"/>
      <c r="BH121" s="115"/>
      <c r="BI121" s="115">
        <v>35244.255480000007</v>
      </c>
      <c r="BJ121" s="115"/>
      <c r="BK121" s="115"/>
      <c r="BL121" s="115">
        <v>50328.064192491009</v>
      </c>
      <c r="BM121" s="115">
        <v>6260.1475</v>
      </c>
      <c r="BN121" s="115">
        <v>183834.39</v>
      </c>
      <c r="BO121" s="115">
        <v>26148.5</v>
      </c>
      <c r="BP121" s="115"/>
      <c r="BQ121" s="115"/>
      <c r="BR121" s="115"/>
      <c r="CE121" s="330"/>
      <c r="CV121" s="115">
        <v>2025.12</v>
      </c>
      <c r="CW121" s="115" t="s">
        <v>1415</v>
      </c>
      <c r="CX121" s="115" t="s">
        <v>387</v>
      </c>
      <c r="CY121" s="115" t="s">
        <v>2066</v>
      </c>
      <c r="CZ121" s="330">
        <v>2578.1149999999998</v>
      </c>
      <c r="DA121" s="115"/>
      <c r="DB121" s="115"/>
      <c r="DC121" s="115" t="s">
        <v>1415</v>
      </c>
      <c r="DD121" s="115" t="s">
        <v>2114</v>
      </c>
      <c r="DE121" s="115" t="s">
        <v>362</v>
      </c>
      <c r="DF121" s="115" t="s">
        <v>1294</v>
      </c>
      <c r="DG121" s="115">
        <v>8210.24</v>
      </c>
      <c r="DR121" s="214"/>
      <c r="DY121" s="115"/>
      <c r="DZ121" s="115" t="s">
        <v>1415</v>
      </c>
      <c r="EA121" s="115" t="s">
        <v>2114</v>
      </c>
      <c r="EB121" s="115">
        <v>16</v>
      </c>
      <c r="EC121" s="115" t="s">
        <v>120</v>
      </c>
      <c r="ED121" s="115" t="s">
        <v>1697</v>
      </c>
      <c r="EE121" s="187">
        <v>0.75</v>
      </c>
      <c r="EF121" s="330">
        <v>44.405900000000003</v>
      </c>
      <c r="EG121" s="330">
        <v>22.590199999999999</v>
      </c>
      <c r="EH121" s="115" t="s">
        <v>1274</v>
      </c>
      <c r="EI121" s="115" t="s">
        <v>1826</v>
      </c>
      <c r="EJ121" s="115"/>
      <c r="EK121" s="115" t="s">
        <v>327</v>
      </c>
      <c r="EL121" s="115" t="s">
        <v>1274</v>
      </c>
      <c r="EM121"/>
      <c r="EO121" s="115"/>
      <c r="EP121" s="334" t="s">
        <v>1415</v>
      </c>
      <c r="EQ121" s="334" t="s">
        <v>2114</v>
      </c>
      <c r="ER121" s="334" t="s">
        <v>362</v>
      </c>
      <c r="ES121" s="334" t="s">
        <v>381</v>
      </c>
      <c r="ET121" s="334">
        <v>2024.48</v>
      </c>
      <c r="EU121" s="334" t="s">
        <v>397</v>
      </c>
      <c r="EV121" s="334">
        <v>44667.347900000001</v>
      </c>
    </row>
    <row r="122" spans="4:152" ht="13">
      <c r="D122" s="115" t="s">
        <v>1533</v>
      </c>
      <c r="E122" s="115" t="s">
        <v>1274</v>
      </c>
      <c r="F122" s="115">
        <v>3457.9247999999998</v>
      </c>
      <c r="I122" s="115" t="s">
        <v>1509</v>
      </c>
      <c r="J122" s="115" t="s">
        <v>1362</v>
      </c>
      <c r="K122" s="183">
        <v>95</v>
      </c>
      <c r="AG122" s="115"/>
      <c r="AH122" s="115"/>
      <c r="AI122" s="115" t="s">
        <v>1416</v>
      </c>
      <c r="AJ122" t="s">
        <v>2114</v>
      </c>
      <c r="AK122" s="115">
        <v>0</v>
      </c>
      <c r="AL122" s="115" t="s">
        <v>28</v>
      </c>
      <c r="AM122" s="115" t="s">
        <v>1843</v>
      </c>
      <c r="AN122" s="115" t="s">
        <v>1443</v>
      </c>
      <c r="AO122" s="115" t="s">
        <v>373</v>
      </c>
      <c r="AT122" s="115" t="s">
        <v>1415</v>
      </c>
      <c r="AU122" s="115" t="s">
        <v>2114</v>
      </c>
      <c r="AV122" s="115">
        <v>15</v>
      </c>
      <c r="AW122" s="115" t="s">
        <v>494</v>
      </c>
      <c r="AX122" s="115" t="s">
        <v>28</v>
      </c>
      <c r="AY122" s="115" t="s">
        <v>1848</v>
      </c>
      <c r="AZ122" s="115" t="s">
        <v>1876</v>
      </c>
      <c r="BA122" s="115"/>
      <c r="BB122" s="115"/>
      <c r="BC122" s="115"/>
      <c r="BD122" s="115"/>
      <c r="BE122" s="115"/>
      <c r="BF122" s="115">
        <v>5703.1198015</v>
      </c>
      <c r="BG122" s="115"/>
      <c r="BH122" s="115"/>
      <c r="BI122" s="115">
        <v>15884.393595000001</v>
      </c>
      <c r="BJ122" s="115"/>
      <c r="BK122" s="115"/>
      <c r="BL122" s="115">
        <v>7861.4312086110021</v>
      </c>
      <c r="BM122" s="115"/>
      <c r="BN122" s="115"/>
      <c r="BO122" s="115"/>
      <c r="BP122" s="115"/>
      <c r="BQ122" s="115"/>
      <c r="BR122" s="115"/>
      <c r="CE122" s="330"/>
      <c r="CV122" s="115">
        <v>2025.13</v>
      </c>
      <c r="CW122" s="115" t="s">
        <v>1415</v>
      </c>
      <c r="CX122" s="115" t="s">
        <v>387</v>
      </c>
      <c r="CY122" s="115" t="s">
        <v>2066</v>
      </c>
      <c r="CZ122" s="330">
        <v>2578.1149999999998</v>
      </c>
      <c r="DA122" s="115"/>
      <c r="DB122" s="115"/>
      <c r="DC122" s="115" t="s">
        <v>1415</v>
      </c>
      <c r="DD122" s="115" t="s">
        <v>2114</v>
      </c>
      <c r="DE122" s="115" t="s">
        <v>362</v>
      </c>
      <c r="DF122" s="115" t="s">
        <v>1295</v>
      </c>
      <c r="DG122" s="115">
        <v>20693.560000000001</v>
      </c>
      <c r="DR122" s="214"/>
      <c r="DY122" s="115"/>
      <c r="DZ122" s="115" t="s">
        <v>1415</v>
      </c>
      <c r="EA122" s="115" t="s">
        <v>2114</v>
      </c>
      <c r="EB122" s="115">
        <v>0</v>
      </c>
      <c r="EC122" s="115" t="s">
        <v>120</v>
      </c>
      <c r="ED122" s="115" t="s">
        <v>1697</v>
      </c>
      <c r="EE122" s="187">
        <v>0.75</v>
      </c>
      <c r="EF122" s="330">
        <v>44.405900000000003</v>
      </c>
      <c r="EG122" s="330">
        <v>22.590199999999999</v>
      </c>
      <c r="EH122" s="115" t="s">
        <v>1274</v>
      </c>
      <c r="EI122" s="115" t="s">
        <v>1826</v>
      </c>
      <c r="EJ122" s="115"/>
      <c r="EK122" s="115" t="s">
        <v>327</v>
      </c>
      <c r="EL122" s="115" t="s">
        <v>1274</v>
      </c>
      <c r="EM122"/>
      <c r="EO122" s="115"/>
      <c r="EP122" s="334" t="s">
        <v>1415</v>
      </c>
      <c r="EQ122" s="334" t="s">
        <v>2114</v>
      </c>
      <c r="ER122" s="334" t="s">
        <v>362</v>
      </c>
      <c r="ES122" s="334" t="s">
        <v>381</v>
      </c>
      <c r="ET122" s="334">
        <v>2024.48</v>
      </c>
      <c r="EU122" s="334" t="s">
        <v>1382</v>
      </c>
      <c r="EV122" s="334">
        <v>37167.347900000001</v>
      </c>
    </row>
    <row r="123" spans="4:152" ht="13">
      <c r="D123" s="115" t="s">
        <v>1533</v>
      </c>
      <c r="E123" s="115" t="s">
        <v>379</v>
      </c>
      <c r="F123" s="115">
        <v>6282.7587000000003</v>
      </c>
      <c r="I123" s="115" t="s">
        <v>1509</v>
      </c>
      <c r="J123" s="115" t="s">
        <v>1368</v>
      </c>
      <c r="K123" s="183">
        <v>11.5</v>
      </c>
      <c r="AG123" s="115"/>
      <c r="AH123" s="115"/>
      <c r="AI123" s="115" t="s">
        <v>1416</v>
      </c>
      <c r="AJ123" t="s">
        <v>2114</v>
      </c>
      <c r="AK123" s="115">
        <v>0</v>
      </c>
      <c r="AL123" s="115" t="s">
        <v>28</v>
      </c>
      <c r="AM123" s="115" t="s">
        <v>1846</v>
      </c>
      <c r="AN123" s="115" t="s">
        <v>1443</v>
      </c>
      <c r="AO123" s="115" t="s">
        <v>373</v>
      </c>
      <c r="AT123" s="115" t="s">
        <v>1415</v>
      </c>
      <c r="AU123" s="115" t="s">
        <v>2114</v>
      </c>
      <c r="AV123" s="115">
        <v>15</v>
      </c>
      <c r="AW123" s="115" t="s">
        <v>494</v>
      </c>
      <c r="AX123" s="115" t="s">
        <v>28</v>
      </c>
      <c r="AY123" s="115" t="s">
        <v>1843</v>
      </c>
      <c r="AZ123" s="115" t="s">
        <v>1876</v>
      </c>
      <c r="BA123" s="115"/>
      <c r="BB123" s="115"/>
      <c r="BC123" s="115"/>
      <c r="BD123" s="115"/>
      <c r="BE123" s="115"/>
      <c r="BF123" s="115">
        <v>5659.1703092783509</v>
      </c>
      <c r="BG123" s="115"/>
      <c r="BH123" s="115"/>
      <c r="BI123" s="115">
        <v>51717.934639175262</v>
      </c>
      <c r="BJ123" s="115"/>
      <c r="BK123" s="115"/>
      <c r="BL123" s="115">
        <v>78695.527525773199</v>
      </c>
      <c r="BM123" s="115">
        <v>6260.1475</v>
      </c>
      <c r="BN123" s="115">
        <v>183834.39</v>
      </c>
      <c r="BO123" s="115">
        <v>26148.5</v>
      </c>
      <c r="BP123" s="115"/>
      <c r="BQ123" s="115"/>
      <c r="BR123" s="115"/>
      <c r="CE123" s="330"/>
      <c r="CV123" s="115">
        <v>2025.15</v>
      </c>
      <c r="CW123" s="115" t="s">
        <v>1415</v>
      </c>
      <c r="CX123" s="115" t="s">
        <v>387</v>
      </c>
      <c r="CY123" s="115" t="s">
        <v>2066</v>
      </c>
      <c r="CZ123" s="330">
        <v>1546.8689999999999</v>
      </c>
      <c r="DA123" s="115"/>
      <c r="DB123" s="115"/>
      <c r="DC123" s="115" t="s">
        <v>1416</v>
      </c>
      <c r="DD123" s="115" t="s">
        <v>2114</v>
      </c>
      <c r="DE123" s="115" t="s">
        <v>358</v>
      </c>
      <c r="DF123" s="115" t="s">
        <v>1296</v>
      </c>
      <c r="DG123" s="115">
        <v>5099.92</v>
      </c>
      <c r="DR123" s="214"/>
      <c r="DY123" s="115"/>
      <c r="DZ123" s="115" t="s">
        <v>1415</v>
      </c>
      <c r="EA123" s="115" t="s">
        <v>2114</v>
      </c>
      <c r="EB123" s="115">
        <v>15</v>
      </c>
      <c r="EC123" s="115" t="s">
        <v>122</v>
      </c>
      <c r="ED123" s="115" t="s">
        <v>1697</v>
      </c>
      <c r="EE123" s="187">
        <v>0.1</v>
      </c>
      <c r="EF123" s="330">
        <v>43.531599999999997</v>
      </c>
      <c r="EG123" s="330">
        <v>48.884</v>
      </c>
      <c r="EH123" s="115" t="s">
        <v>379</v>
      </c>
      <c r="EI123" s="115" t="s">
        <v>1826</v>
      </c>
      <c r="EJ123" s="115"/>
      <c r="EK123" s="115" t="s">
        <v>1827</v>
      </c>
      <c r="EL123" s="115" t="s">
        <v>379</v>
      </c>
      <c r="EM123"/>
      <c r="EO123" s="115"/>
      <c r="EP123" s="334" t="s">
        <v>1415</v>
      </c>
      <c r="EQ123" s="334" t="s">
        <v>2114</v>
      </c>
      <c r="ER123" s="334" t="s">
        <v>362</v>
      </c>
      <c r="ES123" s="334" t="s">
        <v>379</v>
      </c>
      <c r="ET123" s="334">
        <v>2025.03</v>
      </c>
      <c r="EU123" s="334" t="s">
        <v>397</v>
      </c>
      <c r="EV123" s="334">
        <v>0</v>
      </c>
    </row>
    <row r="124" spans="4:152" ht="13">
      <c r="D124" s="115" t="s">
        <v>1533</v>
      </c>
      <c r="E124" s="115" t="s">
        <v>373</v>
      </c>
      <c r="F124" s="115">
        <v>544.80399999999997</v>
      </c>
      <c r="I124" s="115" t="s">
        <v>1509</v>
      </c>
      <c r="J124" s="115" t="s">
        <v>1360</v>
      </c>
      <c r="K124" s="183">
        <v>0.25</v>
      </c>
      <c r="AG124" s="115"/>
      <c r="AH124" s="115"/>
      <c r="AI124" s="115" t="s">
        <v>1416</v>
      </c>
      <c r="AJ124" t="s">
        <v>2114</v>
      </c>
      <c r="AK124" s="115">
        <v>0</v>
      </c>
      <c r="AL124" s="115" t="s">
        <v>28</v>
      </c>
      <c r="AM124" s="115" t="s">
        <v>1848</v>
      </c>
      <c r="AN124" s="115" t="s">
        <v>1443</v>
      </c>
      <c r="AO124" s="115" t="s">
        <v>373</v>
      </c>
      <c r="AT124" s="115" t="s">
        <v>1415</v>
      </c>
      <c r="AU124" s="115" t="s">
        <v>2114</v>
      </c>
      <c r="AV124" s="115">
        <v>15</v>
      </c>
      <c r="AW124" s="115" t="s">
        <v>494</v>
      </c>
      <c r="AX124" s="115" t="s">
        <v>28</v>
      </c>
      <c r="AY124" s="115" t="s">
        <v>1849</v>
      </c>
      <c r="AZ124" s="115" t="s">
        <v>1876</v>
      </c>
      <c r="BA124" s="115"/>
      <c r="BB124" s="115"/>
      <c r="BC124" s="115"/>
      <c r="BD124" s="115"/>
      <c r="BE124" s="115"/>
      <c r="BF124" s="115"/>
      <c r="BG124" s="115"/>
      <c r="BH124" s="115"/>
      <c r="BI124" s="115">
        <v>1242.5700000000002</v>
      </c>
      <c r="BJ124" s="115"/>
      <c r="BK124" s="115"/>
      <c r="BL124" s="115">
        <v>1747.9817100000005</v>
      </c>
      <c r="BM124" s="115"/>
      <c r="BN124" s="115"/>
      <c r="BO124" s="115"/>
      <c r="BP124" s="115"/>
      <c r="BQ124" s="115"/>
      <c r="BR124" s="115"/>
      <c r="CE124" s="330"/>
      <c r="CV124" s="115">
        <v>2025.07</v>
      </c>
      <c r="CW124" s="115" t="s">
        <v>1415</v>
      </c>
      <c r="CX124" s="115" t="s">
        <v>380</v>
      </c>
      <c r="CY124" s="115" t="s">
        <v>2066</v>
      </c>
      <c r="CZ124" s="330">
        <v>1816.788</v>
      </c>
      <c r="DA124" s="115"/>
      <c r="DB124" s="115"/>
      <c r="DC124" s="115" t="s">
        <v>1416</v>
      </c>
      <c r="DD124" s="115" t="s">
        <v>2114</v>
      </c>
      <c r="DE124" s="115" t="s">
        <v>1475</v>
      </c>
      <c r="DF124" s="115" t="s">
        <v>1296</v>
      </c>
      <c r="DG124" s="115">
        <v>159.47999999999999</v>
      </c>
      <c r="DR124" s="214"/>
      <c r="DY124" s="115"/>
      <c r="DZ124" s="115" t="s">
        <v>1416</v>
      </c>
      <c r="EA124" s="115" t="s">
        <v>2114</v>
      </c>
      <c r="EB124" s="115">
        <v>0</v>
      </c>
      <c r="EC124" s="115" t="s">
        <v>122</v>
      </c>
      <c r="ED124" s="115" t="s">
        <v>1697</v>
      </c>
      <c r="EE124" s="187">
        <v>0.1</v>
      </c>
      <c r="EF124" s="330">
        <v>40.33</v>
      </c>
      <c r="EG124" s="330">
        <v>38.97</v>
      </c>
      <c r="EH124" s="115" t="s">
        <v>379</v>
      </c>
      <c r="EI124" s="115" t="s">
        <v>1826</v>
      </c>
      <c r="EJ124" s="115"/>
      <c r="EK124" s="115" t="s">
        <v>1827</v>
      </c>
      <c r="EL124" s="115" t="s">
        <v>379</v>
      </c>
      <c r="EM124"/>
      <c r="EO124" s="115"/>
      <c r="EP124" s="334" t="s">
        <v>1415</v>
      </c>
      <c r="EQ124" s="334" t="s">
        <v>2114</v>
      </c>
      <c r="ER124" s="334" t="s">
        <v>362</v>
      </c>
      <c r="ES124" s="334" t="s">
        <v>379</v>
      </c>
      <c r="ET124" s="334">
        <v>2025.03</v>
      </c>
      <c r="EU124" s="334" t="s">
        <v>1382</v>
      </c>
      <c r="EV124" s="334">
        <v>21.88</v>
      </c>
    </row>
    <row r="125" spans="4:152" ht="13">
      <c r="D125" s="115" t="s">
        <v>1533</v>
      </c>
      <c r="E125" s="115" t="s">
        <v>380</v>
      </c>
      <c r="F125" s="115">
        <v>1703.9066</v>
      </c>
      <c r="I125" s="115" t="s">
        <v>1509</v>
      </c>
      <c r="J125" s="115" t="s">
        <v>1358</v>
      </c>
      <c r="K125" s="183" t="s">
        <v>375</v>
      </c>
      <c r="AG125" s="115"/>
      <c r="AH125" s="115"/>
      <c r="AI125" s="115" t="s">
        <v>1416</v>
      </c>
      <c r="AJ125" t="s">
        <v>2114</v>
      </c>
      <c r="AK125" s="115">
        <v>0</v>
      </c>
      <c r="AL125" s="115" t="s">
        <v>28</v>
      </c>
      <c r="AM125" s="115" t="s">
        <v>1850</v>
      </c>
      <c r="AN125" s="115" t="s">
        <v>1443</v>
      </c>
      <c r="AO125" s="115" t="s">
        <v>373</v>
      </c>
      <c r="AT125" s="115" t="s">
        <v>1415</v>
      </c>
      <c r="AU125" s="115" t="s">
        <v>2114</v>
      </c>
      <c r="AV125" s="115">
        <v>15</v>
      </c>
      <c r="AW125" s="115" t="s">
        <v>494</v>
      </c>
      <c r="AX125" s="115" t="s">
        <v>28</v>
      </c>
      <c r="AY125" s="115" t="s">
        <v>1850</v>
      </c>
      <c r="AZ125" s="115" t="s">
        <v>1876</v>
      </c>
      <c r="BA125" s="115"/>
      <c r="BB125" s="115"/>
      <c r="BC125" s="115"/>
      <c r="BD125" s="115"/>
      <c r="BE125" s="115"/>
      <c r="BF125" s="115">
        <v>122.705</v>
      </c>
      <c r="BG125" s="115"/>
      <c r="BH125" s="115"/>
      <c r="BI125" s="115">
        <v>414.19000000000005</v>
      </c>
      <c r="BJ125" s="115"/>
      <c r="BK125" s="115"/>
      <c r="BL125" s="115">
        <v>194.22019000000003</v>
      </c>
      <c r="BM125" s="115"/>
      <c r="BN125" s="115"/>
      <c r="BO125" s="115"/>
      <c r="BP125" s="115"/>
      <c r="BQ125" s="115"/>
      <c r="BR125" s="115"/>
      <c r="CE125" s="330"/>
      <c r="CV125" s="115">
        <v>2025.07</v>
      </c>
      <c r="CW125" s="115" t="s">
        <v>1415</v>
      </c>
      <c r="CX125" s="115" t="s">
        <v>372</v>
      </c>
      <c r="CY125" s="115" t="s">
        <v>2066</v>
      </c>
      <c r="CZ125" s="330">
        <v>5705.3159999999998</v>
      </c>
      <c r="DA125" s="115"/>
      <c r="DB125" s="115"/>
      <c r="DC125" s="115" t="s">
        <v>1415</v>
      </c>
      <c r="DD125" s="115" t="s">
        <v>2114</v>
      </c>
      <c r="DE125" s="115" t="s">
        <v>358</v>
      </c>
      <c r="DF125" s="115" t="s">
        <v>1296</v>
      </c>
      <c r="DG125" s="115">
        <v>18321.84</v>
      </c>
      <c r="DR125" s="214"/>
      <c r="DY125" s="115"/>
      <c r="DZ125" s="115" t="s">
        <v>1415</v>
      </c>
      <c r="EA125" s="115" t="s">
        <v>2114</v>
      </c>
      <c r="EB125" s="115">
        <v>16</v>
      </c>
      <c r="EC125" s="115" t="s">
        <v>122</v>
      </c>
      <c r="ED125" s="115" t="s">
        <v>1697</v>
      </c>
      <c r="EE125" s="187">
        <v>0.1</v>
      </c>
      <c r="EF125" s="330">
        <v>43.531599999999997</v>
      </c>
      <c r="EG125" s="330">
        <v>48.884</v>
      </c>
      <c r="EH125" s="115" t="s">
        <v>379</v>
      </c>
      <c r="EI125" s="115" t="s">
        <v>1826</v>
      </c>
      <c r="EJ125" s="115"/>
      <c r="EK125" s="115" t="s">
        <v>1827</v>
      </c>
      <c r="EL125" s="115" t="s">
        <v>379</v>
      </c>
      <c r="EM125"/>
      <c r="EO125" s="115"/>
      <c r="EP125" s="334" t="s">
        <v>1415</v>
      </c>
      <c r="EQ125" s="334" t="s">
        <v>2114</v>
      </c>
      <c r="ER125" s="334" t="s">
        <v>362</v>
      </c>
      <c r="ES125" s="334" t="s">
        <v>389</v>
      </c>
      <c r="ET125" s="334">
        <v>2025.03</v>
      </c>
      <c r="EU125" s="334" t="s">
        <v>397</v>
      </c>
      <c r="EV125" s="334">
        <v>0</v>
      </c>
    </row>
    <row r="126" spans="4:152" ht="13">
      <c r="D126" s="115" t="s">
        <v>1533</v>
      </c>
      <c r="E126" s="115" t="s">
        <v>1646</v>
      </c>
      <c r="F126" s="115">
        <v>2622.7811999999999</v>
      </c>
      <c r="I126" s="115" t="s">
        <v>1509</v>
      </c>
      <c r="J126" s="115" t="s">
        <v>1354</v>
      </c>
      <c r="K126" s="183">
        <v>45141</v>
      </c>
      <c r="AG126" s="115"/>
      <c r="AH126" s="115"/>
      <c r="AI126" s="115" t="s">
        <v>1416</v>
      </c>
      <c r="AJ126" t="s">
        <v>2114</v>
      </c>
      <c r="AK126" s="115">
        <v>0</v>
      </c>
      <c r="AL126" s="115" t="s">
        <v>28</v>
      </c>
      <c r="AM126" s="115" t="s">
        <v>1849</v>
      </c>
      <c r="AN126" s="115" t="s">
        <v>1443</v>
      </c>
      <c r="AO126" s="115" t="s">
        <v>373</v>
      </c>
      <c r="AT126" s="115" t="s">
        <v>1415</v>
      </c>
      <c r="AU126" s="115" t="s">
        <v>2114</v>
      </c>
      <c r="AV126" s="115">
        <v>15</v>
      </c>
      <c r="AW126" s="115" t="s">
        <v>494</v>
      </c>
      <c r="AX126" s="115" t="s">
        <v>28</v>
      </c>
      <c r="AY126" s="115" t="s">
        <v>1832</v>
      </c>
      <c r="AZ126" s="115" t="s">
        <v>1876</v>
      </c>
      <c r="BA126" s="115"/>
      <c r="BB126" s="115"/>
      <c r="BC126" s="115"/>
      <c r="BD126" s="115"/>
      <c r="BE126" s="115"/>
      <c r="BF126" s="115">
        <v>126.5</v>
      </c>
      <c r="BG126" s="115"/>
      <c r="BH126" s="115"/>
      <c r="BI126" s="115">
        <v>1708.0000000000002</v>
      </c>
      <c r="BJ126" s="115"/>
      <c r="BK126" s="115"/>
      <c r="BL126" s="115">
        <v>2002.2700000000004</v>
      </c>
      <c r="BM126" s="115"/>
      <c r="BN126" s="115"/>
      <c r="BO126" s="115"/>
      <c r="BP126" s="115"/>
      <c r="BQ126" s="115"/>
      <c r="BR126" s="115"/>
      <c r="CE126" s="330"/>
      <c r="CV126" s="115">
        <v>2025.08</v>
      </c>
      <c r="CW126" s="115" t="s">
        <v>1415</v>
      </c>
      <c r="CX126" s="115" t="s">
        <v>380</v>
      </c>
      <c r="CY126" s="115" t="s">
        <v>2066</v>
      </c>
      <c r="CZ126" s="330">
        <v>1816.788</v>
      </c>
      <c r="DA126" s="115"/>
      <c r="DB126" s="115"/>
      <c r="DC126" s="115" t="s">
        <v>1415</v>
      </c>
      <c r="DD126" s="115" t="s">
        <v>2114</v>
      </c>
      <c r="DE126" s="115" t="s">
        <v>1467</v>
      </c>
      <c r="DF126" s="115" t="s">
        <v>1296</v>
      </c>
      <c r="DG126" s="115">
        <v>437.16</v>
      </c>
      <c r="DR126" s="214"/>
      <c r="DY126" s="115"/>
      <c r="DZ126" s="115" t="s">
        <v>1415</v>
      </c>
      <c r="EA126" s="115" t="s">
        <v>2114</v>
      </c>
      <c r="EB126" s="115">
        <v>0</v>
      </c>
      <c r="EC126" s="115" t="s">
        <v>122</v>
      </c>
      <c r="ED126" s="115" t="s">
        <v>1697</v>
      </c>
      <c r="EE126" s="187">
        <v>0.1</v>
      </c>
      <c r="EF126" s="330">
        <v>43.531599999999997</v>
      </c>
      <c r="EG126" s="330">
        <v>48.884</v>
      </c>
      <c r="EH126" s="115" t="s">
        <v>379</v>
      </c>
      <c r="EI126" s="115" t="s">
        <v>1826</v>
      </c>
      <c r="EJ126" s="115"/>
      <c r="EK126" s="115" t="s">
        <v>1827</v>
      </c>
      <c r="EL126" s="115" t="s">
        <v>379</v>
      </c>
      <c r="EM126"/>
      <c r="EO126" s="115"/>
      <c r="EP126" s="334" t="s">
        <v>1415</v>
      </c>
      <c r="EQ126" s="334" t="s">
        <v>2114</v>
      </c>
      <c r="ER126" s="334" t="s">
        <v>362</v>
      </c>
      <c r="ES126" s="334" t="s">
        <v>389</v>
      </c>
      <c r="ET126" s="334">
        <v>2025.03</v>
      </c>
      <c r="EU126" s="334" t="s">
        <v>1382</v>
      </c>
      <c r="EV126" s="334">
        <v>2649.84</v>
      </c>
    </row>
    <row r="127" spans="4:152" ht="13">
      <c r="D127" s="115" t="s">
        <v>1533</v>
      </c>
      <c r="E127" s="115" t="s">
        <v>1639</v>
      </c>
      <c r="F127" s="115">
        <v>2186.9782</v>
      </c>
      <c r="I127" s="115" t="s">
        <v>1509</v>
      </c>
      <c r="J127" s="115" t="s">
        <v>1365</v>
      </c>
      <c r="K127" s="183">
        <v>15</v>
      </c>
      <c r="AG127" s="115"/>
      <c r="AH127" s="115"/>
      <c r="AI127" s="115" t="s">
        <v>1416</v>
      </c>
      <c r="AJ127" t="s">
        <v>2114</v>
      </c>
      <c r="AK127" s="115">
        <v>0</v>
      </c>
      <c r="AL127" s="115" t="s">
        <v>28</v>
      </c>
      <c r="AM127" s="115" t="s">
        <v>1843</v>
      </c>
      <c r="AN127" s="115" t="s">
        <v>1443</v>
      </c>
      <c r="AO127" s="115" t="s">
        <v>380</v>
      </c>
      <c r="AT127" s="115" t="s">
        <v>1415</v>
      </c>
      <c r="AU127" s="115" t="s">
        <v>2114</v>
      </c>
      <c r="AV127" s="115">
        <v>15</v>
      </c>
      <c r="AW127" s="115" t="s">
        <v>494</v>
      </c>
      <c r="AX127" s="115" t="s">
        <v>28</v>
      </c>
      <c r="AY127" s="115" t="s">
        <v>1846</v>
      </c>
      <c r="AZ127" s="115" t="s">
        <v>1877</v>
      </c>
      <c r="BA127" s="115"/>
      <c r="BB127" s="115"/>
      <c r="BC127" s="115">
        <v>881.97788349999973</v>
      </c>
      <c r="BD127" s="115"/>
      <c r="BE127" s="115"/>
      <c r="BF127" s="115"/>
      <c r="BG127" s="115"/>
      <c r="BH127" s="115">
        <v>97073.871127799997</v>
      </c>
      <c r="BI127" s="115">
        <v>35774.570096999996</v>
      </c>
      <c r="BJ127" s="115"/>
      <c r="BK127" s="115"/>
      <c r="BL127" s="115">
        <v>14723.875123074002</v>
      </c>
      <c r="BM127" s="115">
        <v>98358.9136</v>
      </c>
      <c r="BN127" s="115">
        <v>20503.919999999998</v>
      </c>
      <c r="BO127" s="115">
        <v>23679.07</v>
      </c>
      <c r="BP127" s="115"/>
      <c r="BQ127" s="115"/>
      <c r="BR127" s="115"/>
      <c r="CE127" s="330"/>
      <c r="CV127" s="115">
        <v>2025.08</v>
      </c>
      <c r="CW127" s="115" t="s">
        <v>1415</v>
      </c>
      <c r="CX127" s="115" t="s">
        <v>372</v>
      </c>
      <c r="CY127" s="115" t="s">
        <v>2066</v>
      </c>
      <c r="CZ127" s="330">
        <v>5705.3159999999998</v>
      </c>
      <c r="DA127" s="115"/>
      <c r="DB127" s="115"/>
      <c r="DC127" s="115" t="s">
        <v>1415</v>
      </c>
      <c r="DD127" s="115" t="s">
        <v>2114</v>
      </c>
      <c r="DE127" s="115" t="s">
        <v>1410</v>
      </c>
      <c r="DF127" s="115" t="s">
        <v>1296</v>
      </c>
      <c r="DG127" s="115">
        <v>15828.73</v>
      </c>
      <c r="DR127" s="214"/>
      <c r="DY127" s="115"/>
      <c r="DZ127" s="115" t="s">
        <v>1415</v>
      </c>
      <c r="EA127" s="115" t="s">
        <v>2114</v>
      </c>
      <c r="EB127" s="115">
        <v>15</v>
      </c>
      <c r="EC127" s="115" t="s">
        <v>125</v>
      </c>
      <c r="ED127" s="115" t="s">
        <v>1700</v>
      </c>
      <c r="EE127" s="187">
        <v>0.25</v>
      </c>
      <c r="EF127" s="330">
        <v>38.350499999999997</v>
      </c>
      <c r="EG127" s="330">
        <v>34.7971</v>
      </c>
      <c r="EH127" s="115" t="s">
        <v>380</v>
      </c>
      <c r="EI127" s="115" t="s">
        <v>1826</v>
      </c>
      <c r="EJ127" s="115"/>
      <c r="EK127" s="115" t="s">
        <v>1827</v>
      </c>
      <c r="EL127" s="115" t="s">
        <v>380</v>
      </c>
      <c r="EM127"/>
      <c r="EO127" s="115"/>
      <c r="EP127" s="334" t="s">
        <v>1415</v>
      </c>
      <c r="EQ127" s="334" t="s">
        <v>2114</v>
      </c>
      <c r="ER127" s="334" t="s">
        <v>362</v>
      </c>
      <c r="ES127" s="334" t="s">
        <v>1275</v>
      </c>
      <c r="ET127" s="334">
        <v>2023.47</v>
      </c>
      <c r="EU127" s="334" t="s">
        <v>397</v>
      </c>
      <c r="EV127" s="334">
        <v>241307.51</v>
      </c>
    </row>
    <row r="128" spans="4:152" ht="13">
      <c r="D128" s="115" t="s">
        <v>1533</v>
      </c>
      <c r="E128" s="115" t="s">
        <v>360</v>
      </c>
      <c r="F128" s="115">
        <v>232.3</v>
      </c>
      <c r="I128" s="115" t="s">
        <v>1509</v>
      </c>
      <c r="J128" s="115" t="s">
        <v>1356</v>
      </c>
      <c r="K128" s="183" t="s">
        <v>1359</v>
      </c>
      <c r="AG128" s="115"/>
      <c r="AH128" s="115"/>
      <c r="AI128" s="115" t="s">
        <v>1416</v>
      </c>
      <c r="AJ128" t="s">
        <v>2114</v>
      </c>
      <c r="AK128" s="115">
        <v>0</v>
      </c>
      <c r="AL128" s="115" t="s">
        <v>28</v>
      </c>
      <c r="AM128" s="115" t="s">
        <v>1850</v>
      </c>
      <c r="AN128" s="115" t="s">
        <v>1443</v>
      </c>
      <c r="AO128" s="115" t="s">
        <v>380</v>
      </c>
      <c r="AT128" s="115" t="s">
        <v>1415</v>
      </c>
      <c r="AU128" s="115" t="s">
        <v>2114</v>
      </c>
      <c r="AV128" s="115">
        <v>15</v>
      </c>
      <c r="AW128" s="115" t="s">
        <v>494</v>
      </c>
      <c r="AX128" s="115" t="s">
        <v>28</v>
      </c>
      <c r="AY128" s="115" t="s">
        <v>1848</v>
      </c>
      <c r="AZ128" s="115" t="s">
        <v>1877</v>
      </c>
      <c r="BA128" s="115"/>
      <c r="BB128" s="115"/>
      <c r="BC128" s="115">
        <v>5201.1520522499986</v>
      </c>
      <c r="BD128" s="115"/>
      <c r="BE128" s="115"/>
      <c r="BF128" s="115">
        <v>3302.3994107499998</v>
      </c>
      <c r="BG128" s="115"/>
      <c r="BH128" s="115">
        <v>8335.9770895799993</v>
      </c>
      <c r="BI128" s="115">
        <v>16123.403498624997</v>
      </c>
      <c r="BJ128" s="115"/>
      <c r="BK128" s="115"/>
      <c r="BL128" s="115">
        <v>2299.9241727539998</v>
      </c>
      <c r="BM128" s="115"/>
      <c r="BN128" s="115"/>
      <c r="BO128" s="115"/>
      <c r="BP128" s="115"/>
      <c r="BQ128" s="115"/>
      <c r="BR128" s="115"/>
      <c r="CE128" s="330"/>
      <c r="CV128" s="115">
        <v>2025.09</v>
      </c>
      <c r="CW128" s="115" t="s">
        <v>1415</v>
      </c>
      <c r="CX128" s="115" t="s">
        <v>380</v>
      </c>
      <c r="CY128" s="115" t="s">
        <v>2066</v>
      </c>
      <c r="CZ128" s="330">
        <v>605.596</v>
      </c>
      <c r="DA128" s="115"/>
      <c r="DB128" s="115"/>
      <c r="DC128" s="115" t="s">
        <v>1415</v>
      </c>
      <c r="DD128" s="115" t="s">
        <v>2114</v>
      </c>
      <c r="DE128" s="115" t="s">
        <v>1475</v>
      </c>
      <c r="DF128" s="115" t="s">
        <v>1296</v>
      </c>
      <c r="DG128" s="115">
        <v>7604.76</v>
      </c>
      <c r="DR128" s="214"/>
      <c r="DY128" s="115"/>
      <c r="DZ128" s="115" t="s">
        <v>1415</v>
      </c>
      <c r="EA128" s="115" t="s">
        <v>2114</v>
      </c>
      <c r="EB128" s="115">
        <v>15</v>
      </c>
      <c r="EC128" s="115" t="s">
        <v>125</v>
      </c>
      <c r="ED128" s="115" t="s">
        <v>1699</v>
      </c>
      <c r="EE128" s="187">
        <v>0.25</v>
      </c>
      <c r="EF128" s="330">
        <v>38.350499999999997</v>
      </c>
      <c r="EG128" s="330">
        <v>28.364000000000001</v>
      </c>
      <c r="EH128" s="115" t="s">
        <v>380</v>
      </c>
      <c r="EI128" s="115" t="s">
        <v>1826</v>
      </c>
      <c r="EJ128" s="115"/>
      <c r="EK128" s="115" t="s">
        <v>1827</v>
      </c>
      <c r="EL128" s="115" t="s">
        <v>380</v>
      </c>
      <c r="EM128"/>
      <c r="EO128" s="115"/>
      <c r="EP128" s="334" t="s">
        <v>1415</v>
      </c>
      <c r="EQ128" s="334" t="s">
        <v>2114</v>
      </c>
      <c r="ER128" s="334" t="s">
        <v>362</v>
      </c>
      <c r="ES128" s="334" t="s">
        <v>1275</v>
      </c>
      <c r="ET128" s="334">
        <v>2023.47</v>
      </c>
      <c r="EU128" s="334" t="s">
        <v>1382</v>
      </c>
      <c r="EV128" s="334">
        <v>241307.51</v>
      </c>
    </row>
    <row r="129" spans="4:152" ht="13">
      <c r="D129" s="115" t="s">
        <v>1533</v>
      </c>
      <c r="E129" s="115" t="s">
        <v>386</v>
      </c>
      <c r="F129" s="115">
        <v>2098.8155999999999</v>
      </c>
      <c r="I129" s="115" t="s">
        <v>1509</v>
      </c>
      <c r="J129" s="115" t="s">
        <v>1366</v>
      </c>
      <c r="K129" s="183">
        <v>3</v>
      </c>
      <c r="AG129" s="115"/>
      <c r="AH129" s="115"/>
      <c r="AI129" s="115" t="s">
        <v>1416</v>
      </c>
      <c r="AJ129" t="s">
        <v>2114</v>
      </c>
      <c r="AK129" s="115">
        <v>0</v>
      </c>
      <c r="AL129" s="115" t="s">
        <v>28</v>
      </c>
      <c r="AM129" s="115" t="s">
        <v>1832</v>
      </c>
      <c r="AN129" s="115" t="s">
        <v>1443</v>
      </c>
      <c r="AO129" s="115" t="s">
        <v>380</v>
      </c>
      <c r="AT129" s="115" t="s">
        <v>1415</v>
      </c>
      <c r="AU129" s="115" t="s">
        <v>2114</v>
      </c>
      <c r="AV129" s="115">
        <v>15</v>
      </c>
      <c r="AW129" s="115" t="s">
        <v>494</v>
      </c>
      <c r="AX129" s="115" t="s">
        <v>28</v>
      </c>
      <c r="AY129" s="115" t="s">
        <v>1843</v>
      </c>
      <c r="AZ129" s="115" t="s">
        <v>1877</v>
      </c>
      <c r="BA129" s="115"/>
      <c r="BB129" s="115"/>
      <c r="BC129" s="115">
        <v>6028.9256701030927</v>
      </c>
      <c r="BD129" s="115"/>
      <c r="BE129" s="115"/>
      <c r="BF129" s="115">
        <v>3276.950412371134</v>
      </c>
      <c r="BG129" s="115"/>
      <c r="BH129" s="115">
        <v>98645.395727835057</v>
      </c>
      <c r="BI129" s="115">
        <v>52496.126082474228</v>
      </c>
      <c r="BJ129" s="115"/>
      <c r="BK129" s="115"/>
      <c r="BL129" s="115">
        <v>21622.106185567012</v>
      </c>
      <c r="BM129" s="115">
        <v>98358.9136</v>
      </c>
      <c r="BN129" s="115">
        <v>20503.919999999998</v>
      </c>
      <c r="BO129" s="115">
        <v>23679.07</v>
      </c>
      <c r="BP129" s="115"/>
      <c r="BQ129" s="115"/>
      <c r="BR129" s="115"/>
      <c r="CE129" s="330"/>
      <c r="CV129" s="115">
        <v>2025.09</v>
      </c>
      <c r="CW129" s="115" t="s">
        <v>1415</v>
      </c>
      <c r="CX129" s="115" t="s">
        <v>372</v>
      </c>
      <c r="CY129" s="115" t="s">
        <v>2066</v>
      </c>
      <c r="CZ129" s="330">
        <v>5705.3159999999998</v>
      </c>
      <c r="DA129" s="115"/>
      <c r="DB129" s="115"/>
      <c r="DC129" s="115" t="s">
        <v>1415</v>
      </c>
      <c r="DD129" s="115" t="s">
        <v>2114</v>
      </c>
      <c r="DE129" s="115" t="s">
        <v>288</v>
      </c>
      <c r="DF129" s="115" t="s">
        <v>1296</v>
      </c>
      <c r="DG129" s="115">
        <v>2222.23</v>
      </c>
      <c r="DR129" s="214"/>
      <c r="DY129" s="115"/>
      <c r="DZ129" s="115" t="s">
        <v>1416</v>
      </c>
      <c r="EA129" s="115" t="s">
        <v>2114</v>
      </c>
      <c r="EB129" s="115">
        <v>0</v>
      </c>
      <c r="EC129" s="115" t="s">
        <v>125</v>
      </c>
      <c r="ED129" s="115" t="s">
        <v>1700</v>
      </c>
      <c r="EE129" s="187">
        <v>0.25</v>
      </c>
      <c r="EF129" s="330">
        <v>35.53</v>
      </c>
      <c r="EG129" s="330">
        <v>27.74</v>
      </c>
      <c r="EH129" s="115" t="s">
        <v>380</v>
      </c>
      <c r="EI129" s="115" t="s">
        <v>1826</v>
      </c>
      <c r="EJ129" s="115"/>
      <c r="EK129" s="115" t="s">
        <v>1827</v>
      </c>
      <c r="EL129" s="115" t="s">
        <v>380</v>
      </c>
      <c r="EM129"/>
      <c r="EO129" s="115"/>
      <c r="EP129" s="334" t="s">
        <v>1415</v>
      </c>
      <c r="EQ129" s="334" t="s">
        <v>2114</v>
      </c>
      <c r="ER129" s="334" t="s">
        <v>362</v>
      </c>
      <c r="ES129" s="334" t="s">
        <v>1275</v>
      </c>
      <c r="ET129" s="334">
        <v>2023.51</v>
      </c>
      <c r="EU129" s="334" t="s">
        <v>397</v>
      </c>
      <c r="EV129" s="334">
        <v>241307.51</v>
      </c>
    </row>
    <row r="130" spans="4:152" ht="13">
      <c r="D130" s="115" t="s">
        <v>1533</v>
      </c>
      <c r="E130" s="115" t="s">
        <v>1645</v>
      </c>
      <c r="F130" s="115">
        <v>382.99799999999999</v>
      </c>
      <c r="I130" s="115" t="s">
        <v>1509</v>
      </c>
      <c r="J130" s="115" t="s">
        <v>1357</v>
      </c>
      <c r="K130" s="183">
        <v>57188.879529101381</v>
      </c>
      <c r="AG130" s="115"/>
      <c r="AH130" s="115"/>
      <c r="AI130" s="115" t="s">
        <v>1416</v>
      </c>
      <c r="AJ130" t="s">
        <v>2114</v>
      </c>
      <c r="AK130" s="115">
        <v>0</v>
      </c>
      <c r="AL130" s="115" t="s">
        <v>28</v>
      </c>
      <c r="AM130" s="115" t="s">
        <v>1846</v>
      </c>
      <c r="AN130" s="115" t="s">
        <v>1443</v>
      </c>
      <c r="AO130" s="115" t="s">
        <v>380</v>
      </c>
      <c r="AT130" s="115" t="s">
        <v>1415</v>
      </c>
      <c r="AU130" s="115" t="s">
        <v>2114</v>
      </c>
      <c r="AV130" s="115">
        <v>15</v>
      </c>
      <c r="AW130" s="115" t="s">
        <v>494</v>
      </c>
      <c r="AX130" s="115" t="s">
        <v>28</v>
      </c>
      <c r="AY130" s="115" t="s">
        <v>1849</v>
      </c>
      <c r="AZ130" s="115" t="s">
        <v>1877</v>
      </c>
      <c r="BA130" s="115"/>
      <c r="BB130" s="115"/>
      <c r="BC130" s="115">
        <v>39.04249999999999</v>
      </c>
      <c r="BD130" s="115"/>
      <c r="BE130" s="115"/>
      <c r="BF130" s="115"/>
      <c r="BG130" s="115"/>
      <c r="BH130" s="115">
        <v>1723.4329499999999</v>
      </c>
      <c r="BI130" s="115">
        <v>1261.2667499999998</v>
      </c>
      <c r="BJ130" s="115"/>
      <c r="BK130" s="115"/>
      <c r="BL130" s="115">
        <v>511.38594000000001</v>
      </c>
      <c r="BM130" s="115"/>
      <c r="BN130" s="115"/>
      <c r="BO130" s="115"/>
      <c r="BP130" s="115"/>
      <c r="BQ130" s="115"/>
      <c r="BR130" s="115"/>
      <c r="CE130" s="330"/>
      <c r="CV130" s="115">
        <v>2025.09</v>
      </c>
      <c r="CW130" s="115" t="s">
        <v>1415</v>
      </c>
      <c r="CX130" s="115" t="s">
        <v>387</v>
      </c>
      <c r="CY130" s="115" t="s">
        <v>2066</v>
      </c>
      <c r="CZ130" s="330">
        <v>3093.7379999999998</v>
      </c>
      <c r="DA130" s="115"/>
      <c r="DB130" s="115"/>
      <c r="DC130" s="115" t="s">
        <v>1415</v>
      </c>
      <c r="DD130" s="115" t="s">
        <v>2114</v>
      </c>
      <c r="DE130" s="115" t="s">
        <v>1285</v>
      </c>
      <c r="DF130" s="115" t="s">
        <v>1296</v>
      </c>
      <c r="DG130" s="115">
        <v>1020.4</v>
      </c>
      <c r="DR130" s="214"/>
      <c r="DY130" s="115"/>
      <c r="DZ130" s="115" t="s">
        <v>1416</v>
      </c>
      <c r="EA130" s="115" t="s">
        <v>2114</v>
      </c>
      <c r="EB130" s="115">
        <v>0</v>
      </c>
      <c r="EC130" s="115" t="s">
        <v>125</v>
      </c>
      <c r="ED130" s="115" t="s">
        <v>1699</v>
      </c>
      <c r="EE130" s="187">
        <v>0.25</v>
      </c>
      <c r="EF130" s="330">
        <v>35.53</v>
      </c>
      <c r="EG130" s="330">
        <v>25.84</v>
      </c>
      <c r="EH130" s="115" t="s">
        <v>380</v>
      </c>
      <c r="EI130" s="115" t="s">
        <v>1826</v>
      </c>
      <c r="EJ130" s="115"/>
      <c r="EK130" s="115" t="s">
        <v>1827</v>
      </c>
      <c r="EL130" s="115" t="s">
        <v>380</v>
      </c>
      <c r="EM130"/>
      <c r="EO130" s="115"/>
      <c r="EP130" s="334" t="s">
        <v>1415</v>
      </c>
      <c r="EQ130" s="334" t="s">
        <v>2114</v>
      </c>
      <c r="ER130" s="334" t="s">
        <v>362</v>
      </c>
      <c r="ES130" s="334" t="s">
        <v>1275</v>
      </c>
      <c r="ET130" s="334">
        <v>2023.51</v>
      </c>
      <c r="EU130" s="334" t="s">
        <v>1382</v>
      </c>
      <c r="EV130" s="334">
        <v>241307.51</v>
      </c>
    </row>
    <row r="131" spans="4:152" ht="13">
      <c r="D131" s="115" t="s">
        <v>1534</v>
      </c>
      <c r="E131" s="115" t="s">
        <v>1643</v>
      </c>
      <c r="F131" s="115">
        <v>446.2</v>
      </c>
      <c r="I131" s="115" t="s">
        <v>1511</v>
      </c>
      <c r="J131" s="115" t="s">
        <v>1363</v>
      </c>
      <c r="K131" s="183">
        <v>125</v>
      </c>
      <c r="AG131" s="115"/>
      <c r="AH131" s="115"/>
      <c r="AI131" s="115" t="s">
        <v>1416</v>
      </c>
      <c r="AJ131" t="s">
        <v>2114</v>
      </c>
      <c r="AK131" s="115">
        <v>0</v>
      </c>
      <c r="AL131" s="115" t="s">
        <v>28</v>
      </c>
      <c r="AM131" s="115" t="s">
        <v>1849</v>
      </c>
      <c r="AN131" s="115" t="s">
        <v>1443</v>
      </c>
      <c r="AO131" s="115" t="s">
        <v>380</v>
      </c>
      <c r="AT131" s="115" t="s">
        <v>1415</v>
      </c>
      <c r="AU131" s="115" t="s">
        <v>2114</v>
      </c>
      <c r="AV131" s="115">
        <v>15</v>
      </c>
      <c r="AW131" s="115" t="s">
        <v>494</v>
      </c>
      <c r="AX131" s="115" t="s">
        <v>28</v>
      </c>
      <c r="AY131" s="115" t="s">
        <v>1850</v>
      </c>
      <c r="AZ131" s="115" t="s">
        <v>1877</v>
      </c>
      <c r="BA131" s="115"/>
      <c r="BB131" s="115"/>
      <c r="BC131" s="115">
        <v>117.12749999999997</v>
      </c>
      <c r="BD131" s="115"/>
      <c r="BE131" s="115"/>
      <c r="BF131" s="115">
        <v>71.052499999999995</v>
      </c>
      <c r="BG131" s="115"/>
      <c r="BH131" s="115">
        <v>191.49254999999999</v>
      </c>
      <c r="BI131" s="115">
        <v>420.42224999999996</v>
      </c>
      <c r="BJ131" s="115"/>
      <c r="BK131" s="115"/>
      <c r="BL131" s="115">
        <v>56.820659999999997</v>
      </c>
      <c r="BM131" s="115"/>
      <c r="BN131" s="115"/>
      <c r="BO131" s="115"/>
      <c r="BP131" s="115"/>
      <c r="BQ131" s="115"/>
      <c r="BR131" s="115"/>
      <c r="CE131" s="330"/>
      <c r="CV131" s="115">
        <v>2025.1</v>
      </c>
      <c r="CW131" s="115" t="s">
        <v>1415</v>
      </c>
      <c r="CX131" s="115" t="s">
        <v>387</v>
      </c>
      <c r="CY131" s="115" t="s">
        <v>2066</v>
      </c>
      <c r="CZ131" s="330">
        <v>3093.7379999999998</v>
      </c>
      <c r="DA131" s="115"/>
      <c r="DB131" s="115"/>
      <c r="DC131" s="115" t="s">
        <v>1416</v>
      </c>
      <c r="DD131" s="115" t="s">
        <v>2114</v>
      </c>
      <c r="DE131" s="115" t="s">
        <v>1475</v>
      </c>
      <c r="DF131" s="115" t="s">
        <v>1292</v>
      </c>
      <c r="DG131" s="115">
        <v>31081</v>
      </c>
      <c r="DR131" s="214"/>
      <c r="DY131" s="115"/>
      <c r="DZ131" s="115" t="s">
        <v>1415</v>
      </c>
      <c r="EA131" s="115" t="s">
        <v>2114</v>
      </c>
      <c r="EB131" s="115">
        <v>16</v>
      </c>
      <c r="EC131" s="115" t="s">
        <v>125</v>
      </c>
      <c r="ED131" s="115" t="s">
        <v>1700</v>
      </c>
      <c r="EE131" s="187">
        <v>0.25</v>
      </c>
      <c r="EF131" s="330">
        <v>38.350499999999997</v>
      </c>
      <c r="EG131" s="330">
        <v>34.7971</v>
      </c>
      <c r="EH131" s="115" t="s">
        <v>380</v>
      </c>
      <c r="EI131" s="115" t="s">
        <v>1826</v>
      </c>
      <c r="EJ131" s="115"/>
      <c r="EK131" s="115" t="s">
        <v>1827</v>
      </c>
      <c r="EL131" s="115" t="s">
        <v>380</v>
      </c>
      <c r="EM131"/>
      <c r="EO131" s="115"/>
      <c r="EP131" s="334" t="s">
        <v>1415</v>
      </c>
      <c r="EQ131" s="334" t="s">
        <v>2114</v>
      </c>
      <c r="ER131" s="334" t="s">
        <v>362</v>
      </c>
      <c r="ES131" s="334" t="s">
        <v>1275</v>
      </c>
      <c r="ET131" s="334">
        <v>2024.44</v>
      </c>
      <c r="EU131" s="334" t="s">
        <v>397</v>
      </c>
      <c r="EV131" s="334">
        <v>242006.39</v>
      </c>
    </row>
    <row r="132" spans="4:152" ht="13">
      <c r="D132" s="115" t="s">
        <v>1534</v>
      </c>
      <c r="E132" s="115" t="s">
        <v>374</v>
      </c>
      <c r="F132" s="115">
        <v>-7555.7361000000001</v>
      </c>
      <c r="I132" s="115" t="s">
        <v>1511</v>
      </c>
      <c r="J132" s="115" t="s">
        <v>1353</v>
      </c>
      <c r="K132" s="183" t="s">
        <v>1512</v>
      </c>
      <c r="AG132" s="115"/>
      <c r="AH132" s="115"/>
      <c r="AI132" s="115" t="s">
        <v>1416</v>
      </c>
      <c r="AJ132" t="s">
        <v>2114</v>
      </c>
      <c r="AK132" s="115">
        <v>0</v>
      </c>
      <c r="AL132" s="115" t="s">
        <v>28</v>
      </c>
      <c r="AM132" s="115" t="s">
        <v>1848</v>
      </c>
      <c r="AN132" s="115" t="s">
        <v>1443</v>
      </c>
      <c r="AO132" s="115" t="s">
        <v>380</v>
      </c>
      <c r="AT132" s="115" t="s">
        <v>1415</v>
      </c>
      <c r="AU132" s="115" t="s">
        <v>2114</v>
      </c>
      <c r="AV132" s="115">
        <v>15</v>
      </c>
      <c r="AW132" s="115" t="s">
        <v>494</v>
      </c>
      <c r="AX132" s="115" t="s">
        <v>28</v>
      </c>
      <c r="AY132" s="115" t="s">
        <v>1832</v>
      </c>
      <c r="AZ132" s="115" t="s">
        <v>1877</v>
      </c>
      <c r="BA132" s="115"/>
      <c r="BB132" s="115"/>
      <c r="BC132" s="115">
        <v>160.99999999999997</v>
      </c>
      <c r="BD132" s="115"/>
      <c r="BE132" s="115"/>
      <c r="BF132" s="115">
        <v>73.25</v>
      </c>
      <c r="BG132" s="115"/>
      <c r="BH132" s="115">
        <v>1974.1499999999999</v>
      </c>
      <c r="BI132" s="115">
        <v>1733.6999999999998</v>
      </c>
      <c r="BJ132" s="115"/>
      <c r="BK132" s="115"/>
      <c r="BL132" s="115">
        <v>585.78</v>
      </c>
      <c r="BM132" s="115"/>
      <c r="BN132" s="115"/>
      <c r="BO132" s="115"/>
      <c r="BP132" s="115"/>
      <c r="BQ132" s="115"/>
      <c r="BR132" s="115"/>
      <c r="CE132" s="330"/>
      <c r="CV132" s="115">
        <v>2025.1</v>
      </c>
      <c r="CW132" s="115" t="s">
        <v>1415</v>
      </c>
      <c r="CX132" s="115" t="s">
        <v>372</v>
      </c>
      <c r="CY132" s="115" t="s">
        <v>2066</v>
      </c>
      <c r="CZ132" s="330">
        <v>5705.3159999999998</v>
      </c>
      <c r="DA132" s="115"/>
      <c r="DB132" s="115"/>
      <c r="DC132" s="115" t="s">
        <v>1415</v>
      </c>
      <c r="DD132" s="115" t="s">
        <v>2114</v>
      </c>
      <c r="DE132" s="115" t="s">
        <v>1467</v>
      </c>
      <c r="DF132" s="115" t="s">
        <v>1292</v>
      </c>
      <c r="DG132" s="115">
        <v>10394.799999999999</v>
      </c>
      <c r="DR132" s="214"/>
      <c r="DY132" s="115"/>
      <c r="DZ132" s="115" t="s">
        <v>1415</v>
      </c>
      <c r="EA132" s="115" t="s">
        <v>2114</v>
      </c>
      <c r="EB132" s="115">
        <v>16</v>
      </c>
      <c r="EC132" s="115" t="s">
        <v>125</v>
      </c>
      <c r="ED132" s="115" t="s">
        <v>1699</v>
      </c>
      <c r="EE132" s="187">
        <v>0.25</v>
      </c>
      <c r="EF132" s="330">
        <v>38.350499999999997</v>
      </c>
      <c r="EG132" s="330">
        <v>28.364000000000001</v>
      </c>
      <c r="EH132" s="115" t="s">
        <v>380</v>
      </c>
      <c r="EI132" s="115" t="s">
        <v>1826</v>
      </c>
      <c r="EJ132" s="115"/>
      <c r="EK132" s="115" t="s">
        <v>1827</v>
      </c>
      <c r="EL132" s="115" t="s">
        <v>380</v>
      </c>
      <c r="EM132"/>
      <c r="EO132" s="115"/>
      <c r="EP132" s="334" t="s">
        <v>1415</v>
      </c>
      <c r="EQ132" s="334" t="s">
        <v>2114</v>
      </c>
      <c r="ER132" s="334" t="s">
        <v>362</v>
      </c>
      <c r="ES132" s="334" t="s">
        <v>1275</v>
      </c>
      <c r="ET132" s="334">
        <v>2024.44</v>
      </c>
      <c r="EU132" s="334" t="s">
        <v>1382</v>
      </c>
      <c r="EV132" s="334">
        <v>242006.39</v>
      </c>
    </row>
    <row r="133" spans="4:152" ht="13">
      <c r="D133" s="115" t="s">
        <v>1534</v>
      </c>
      <c r="E133" s="115" t="s">
        <v>1642</v>
      </c>
      <c r="F133" s="115">
        <v>437.71199999999999</v>
      </c>
      <c r="I133" s="115" t="s">
        <v>1511</v>
      </c>
      <c r="J133" s="115" t="s">
        <v>1369</v>
      </c>
      <c r="K133" s="183">
        <v>13</v>
      </c>
      <c r="AG133" s="115"/>
      <c r="AH133" s="115"/>
      <c r="AI133" s="115" t="s">
        <v>1416</v>
      </c>
      <c r="AJ133" t="s">
        <v>2114</v>
      </c>
      <c r="AK133" s="115">
        <v>0</v>
      </c>
      <c r="AL133" s="115" t="s">
        <v>28</v>
      </c>
      <c r="AM133" s="115" t="s">
        <v>1850</v>
      </c>
      <c r="AN133" s="115" t="s">
        <v>1444</v>
      </c>
      <c r="AO133" s="115" t="s">
        <v>1644</v>
      </c>
      <c r="AT133" s="115" t="s">
        <v>1415</v>
      </c>
      <c r="AU133" s="115" t="s">
        <v>2114</v>
      </c>
      <c r="AV133" s="115">
        <v>15</v>
      </c>
      <c r="AW133" s="115" t="s">
        <v>499</v>
      </c>
      <c r="AX133" s="115" t="s">
        <v>28</v>
      </c>
      <c r="AY133" s="115" t="s">
        <v>1846</v>
      </c>
      <c r="AZ133" s="115" t="s">
        <v>1878</v>
      </c>
      <c r="BA133" s="115"/>
      <c r="BB133" s="115"/>
      <c r="BC133" s="115">
        <v>3478.6084225</v>
      </c>
      <c r="BD133" s="115"/>
      <c r="BE133" s="115"/>
      <c r="BF133" s="115"/>
      <c r="BG133" s="115"/>
      <c r="BH133" s="115">
        <v>43781.697278160005</v>
      </c>
      <c r="BI133" s="115">
        <v>4951.5925329000002</v>
      </c>
      <c r="BJ133" s="115">
        <v>851.84222031999991</v>
      </c>
      <c r="BK133" s="115">
        <v>8719.5060947700003</v>
      </c>
      <c r="BL133" s="115">
        <v>3129.3701608500005</v>
      </c>
      <c r="BM133" s="115">
        <v>17609.798499999997</v>
      </c>
      <c r="BN133" s="115">
        <v>15347.08</v>
      </c>
      <c r="BO133" s="115">
        <v>7924.32</v>
      </c>
      <c r="BP133" s="115"/>
      <c r="BQ133" s="115"/>
      <c r="BR133" s="115"/>
      <c r="CE133" s="330"/>
      <c r="CV133" s="115">
        <v>2025.07</v>
      </c>
      <c r="CW133" s="115" t="s">
        <v>1415</v>
      </c>
      <c r="CX133" s="115" t="s">
        <v>377</v>
      </c>
      <c r="CY133" s="115" t="s">
        <v>2066</v>
      </c>
      <c r="CZ133" s="330">
        <v>2793.5819999999999</v>
      </c>
      <c r="DA133" s="115"/>
      <c r="DB133" s="115"/>
      <c r="DC133" s="115" t="s">
        <v>1415</v>
      </c>
      <c r="DD133" s="115" t="s">
        <v>2114</v>
      </c>
      <c r="DE133" s="115" t="s">
        <v>362</v>
      </c>
      <c r="DF133" s="115" t="s">
        <v>1292</v>
      </c>
      <c r="DG133" s="115">
        <v>2649.84</v>
      </c>
      <c r="DR133" s="214"/>
      <c r="DY133" s="115"/>
      <c r="DZ133" s="115" t="s">
        <v>1415</v>
      </c>
      <c r="EA133" s="115" t="s">
        <v>2114</v>
      </c>
      <c r="EB133" s="115">
        <v>0</v>
      </c>
      <c r="EC133" s="115" t="s">
        <v>125</v>
      </c>
      <c r="ED133" s="115" t="s">
        <v>1699</v>
      </c>
      <c r="EE133" s="187">
        <v>0.25</v>
      </c>
      <c r="EF133" s="330">
        <v>38.350499999999997</v>
      </c>
      <c r="EG133" s="330">
        <v>28.364000000000001</v>
      </c>
      <c r="EH133" s="115" t="s">
        <v>380</v>
      </c>
      <c r="EI133" s="115" t="s">
        <v>1826</v>
      </c>
      <c r="EJ133" s="115"/>
      <c r="EK133" s="115" t="s">
        <v>1827</v>
      </c>
      <c r="EL133" s="115" t="s">
        <v>380</v>
      </c>
      <c r="EM133"/>
      <c r="EO133" s="115"/>
      <c r="EP133" s="334" t="s">
        <v>1415</v>
      </c>
      <c r="EQ133" s="334" t="s">
        <v>2114</v>
      </c>
      <c r="ER133" s="334" t="s">
        <v>362</v>
      </c>
      <c r="ES133" s="334" t="s">
        <v>1275</v>
      </c>
      <c r="ET133" s="334">
        <v>2024.48</v>
      </c>
      <c r="EU133" s="334" t="s">
        <v>397</v>
      </c>
      <c r="EV133" s="334">
        <v>242006.39</v>
      </c>
    </row>
    <row r="134" spans="4:152" ht="13">
      <c r="D134" s="115" t="s">
        <v>1534</v>
      </c>
      <c r="E134" s="115" t="s">
        <v>1274</v>
      </c>
      <c r="F134" s="115">
        <v>656.56799999999998</v>
      </c>
      <c r="I134" s="115" t="s">
        <v>1511</v>
      </c>
      <c r="J134" s="115" t="s">
        <v>1355</v>
      </c>
      <c r="K134" s="183">
        <v>2</v>
      </c>
      <c r="AG134" s="115"/>
      <c r="AH134" s="115"/>
      <c r="AI134" s="115" t="s">
        <v>1416</v>
      </c>
      <c r="AJ134" t="s">
        <v>2114</v>
      </c>
      <c r="AK134" s="115">
        <v>0</v>
      </c>
      <c r="AL134" s="115" t="s">
        <v>28</v>
      </c>
      <c r="AM134" s="115" t="s">
        <v>1843</v>
      </c>
      <c r="AN134" s="115" t="s">
        <v>1444</v>
      </c>
      <c r="AO134" s="115" t="s">
        <v>1644</v>
      </c>
      <c r="AT134" s="115" t="s">
        <v>1416</v>
      </c>
      <c r="AU134" s="115" t="s">
        <v>2114</v>
      </c>
      <c r="AV134" s="115">
        <v>0</v>
      </c>
      <c r="AW134" s="115" t="s">
        <v>499</v>
      </c>
      <c r="AX134" s="115" t="s">
        <v>28</v>
      </c>
      <c r="AY134" s="115" t="s">
        <v>1846</v>
      </c>
      <c r="AZ134" s="115" t="s">
        <v>1878</v>
      </c>
      <c r="BA134" s="115"/>
      <c r="BB134" s="115"/>
      <c r="BC134" s="115">
        <v>3248.9131499999994</v>
      </c>
      <c r="BD134" s="115"/>
      <c r="BE134" s="115"/>
      <c r="BF134" s="115"/>
      <c r="BG134" s="115"/>
      <c r="BH134" s="115">
        <v>36147.605825999992</v>
      </c>
      <c r="BI134" s="115">
        <v>3961.5008550000002</v>
      </c>
      <c r="BJ134" s="115">
        <v>814.6496499999995</v>
      </c>
      <c r="BK134" s="115">
        <v>9460.6350885000011</v>
      </c>
      <c r="BL134" s="115">
        <v>3379.8614040000002</v>
      </c>
      <c r="BM134" s="115">
        <v>14528.730399999999</v>
      </c>
      <c r="BN134" s="115">
        <v>18994.011600000002</v>
      </c>
      <c r="BO134" s="115">
        <v>10005.588</v>
      </c>
      <c r="BP134" s="115"/>
      <c r="BQ134" s="115"/>
      <c r="BR134" s="115"/>
      <c r="CE134" s="330"/>
      <c r="CV134" s="115">
        <v>2025.08</v>
      </c>
      <c r="CW134" s="115" t="s">
        <v>1415</v>
      </c>
      <c r="CX134" s="115" t="s">
        <v>377</v>
      </c>
      <c r="CY134" s="115" t="s">
        <v>2066</v>
      </c>
      <c r="CZ134" s="330">
        <v>2793.5819999999999</v>
      </c>
      <c r="DA134" s="115"/>
      <c r="DB134" s="115"/>
      <c r="DC134" s="115" t="s">
        <v>1415</v>
      </c>
      <c r="DD134" s="115" t="s">
        <v>2114</v>
      </c>
      <c r="DE134" s="115" t="s">
        <v>1410</v>
      </c>
      <c r="DF134" s="115" t="s">
        <v>1292</v>
      </c>
      <c r="DG134" s="115">
        <v>107160.56</v>
      </c>
      <c r="DR134" s="214"/>
      <c r="DY134" s="115"/>
      <c r="DZ134" s="115" t="s">
        <v>1415</v>
      </c>
      <c r="EA134" s="115" t="s">
        <v>2114</v>
      </c>
      <c r="EB134" s="115">
        <v>0</v>
      </c>
      <c r="EC134" s="115" t="s">
        <v>125</v>
      </c>
      <c r="ED134" s="115" t="s">
        <v>1700</v>
      </c>
      <c r="EE134" s="187">
        <v>0.25</v>
      </c>
      <c r="EF134" s="330">
        <v>38.350499999999997</v>
      </c>
      <c r="EG134" s="330">
        <v>34.7971</v>
      </c>
      <c r="EH134" s="115" t="s">
        <v>380</v>
      </c>
      <c r="EI134" s="115" t="s">
        <v>1826</v>
      </c>
      <c r="EJ134" s="115"/>
      <c r="EK134" s="115" t="s">
        <v>1827</v>
      </c>
      <c r="EL134" s="115" t="s">
        <v>380</v>
      </c>
      <c r="EM134"/>
      <c r="EO134" s="115"/>
      <c r="EP134" s="334" t="s">
        <v>1415</v>
      </c>
      <c r="EQ134" s="334" t="s">
        <v>2114</v>
      </c>
      <c r="ER134" s="334" t="s">
        <v>362</v>
      </c>
      <c r="ES134" s="334" t="s">
        <v>1275</v>
      </c>
      <c r="ET134" s="334">
        <v>2024.48</v>
      </c>
      <c r="EU134" s="334" t="s">
        <v>1382</v>
      </c>
      <c r="EV134" s="334">
        <v>234824.42</v>
      </c>
    </row>
    <row r="135" spans="4:152" ht="13">
      <c r="D135" s="115" t="s">
        <v>1534</v>
      </c>
      <c r="E135" s="115" t="s">
        <v>379</v>
      </c>
      <c r="F135" s="115">
        <v>1973.6415</v>
      </c>
      <c r="I135" s="115" t="s">
        <v>1511</v>
      </c>
      <c r="J135" s="115" t="s">
        <v>1361</v>
      </c>
      <c r="K135" s="183">
        <v>69.23</v>
      </c>
      <c r="AG135" s="115"/>
      <c r="AH135" s="115"/>
      <c r="AI135" s="115" t="s">
        <v>1416</v>
      </c>
      <c r="AJ135" t="s">
        <v>2114</v>
      </c>
      <c r="AK135" s="115">
        <v>0</v>
      </c>
      <c r="AL135" s="115" t="s">
        <v>28</v>
      </c>
      <c r="AM135" s="115" t="s">
        <v>1848</v>
      </c>
      <c r="AN135" s="115" t="s">
        <v>1444</v>
      </c>
      <c r="AO135" s="115" t="s">
        <v>1644</v>
      </c>
      <c r="AT135" s="115" t="s">
        <v>1416</v>
      </c>
      <c r="AU135" s="115" t="s">
        <v>2114</v>
      </c>
      <c r="AV135" s="115">
        <v>0</v>
      </c>
      <c r="AW135" s="115" t="s">
        <v>499</v>
      </c>
      <c r="AX135" s="115" t="s">
        <v>28</v>
      </c>
      <c r="AY135" s="115" t="s">
        <v>1848</v>
      </c>
      <c r="AZ135" s="115" t="s">
        <v>1878</v>
      </c>
      <c r="BA135" s="115"/>
      <c r="BB135" s="115"/>
      <c r="BC135" s="115">
        <v>19484.006849999998</v>
      </c>
      <c r="BD135" s="115"/>
      <c r="BE135" s="115"/>
      <c r="BF135" s="115">
        <v>1472.3290500000003</v>
      </c>
      <c r="BG135" s="115"/>
      <c r="BH135" s="115">
        <v>2717.2821459999986</v>
      </c>
      <c r="BI135" s="115">
        <v>1691.3257075000004</v>
      </c>
      <c r="BJ135" s="115">
        <v>3860.1877499999991</v>
      </c>
      <c r="BK135" s="115">
        <v>1502.8331249999999</v>
      </c>
      <c r="BL135" s="115">
        <v>536.89499999999998</v>
      </c>
      <c r="BM135" s="115"/>
      <c r="BN135" s="115"/>
      <c r="BO135" s="115"/>
      <c r="BP135" s="115"/>
      <c r="BQ135" s="115"/>
      <c r="BR135" s="115"/>
      <c r="CE135" s="330"/>
      <c r="CV135" s="115">
        <v>2025.09</v>
      </c>
      <c r="CW135" s="115" t="s">
        <v>1415</v>
      </c>
      <c r="CX135" s="115" t="s">
        <v>377</v>
      </c>
      <c r="CY135" s="115" t="s">
        <v>2066</v>
      </c>
      <c r="CZ135" s="330">
        <v>2793.5819999999999</v>
      </c>
      <c r="DA135" s="115"/>
      <c r="DB135" s="115"/>
      <c r="DC135" s="115" t="s">
        <v>1415</v>
      </c>
      <c r="DD135" s="115" t="s">
        <v>2114</v>
      </c>
      <c r="DE135" s="115" t="s">
        <v>1475</v>
      </c>
      <c r="DF135" s="115" t="s">
        <v>1292</v>
      </c>
      <c r="DG135" s="115">
        <v>52355</v>
      </c>
      <c r="DR135" s="214"/>
      <c r="DY135" s="115"/>
      <c r="DZ135" s="115" t="s">
        <v>1415</v>
      </c>
      <c r="EA135" s="115" t="s">
        <v>2114</v>
      </c>
      <c r="EB135" s="115">
        <v>15</v>
      </c>
      <c r="EC135" s="115" t="s">
        <v>128</v>
      </c>
      <c r="ED135" s="115" t="s">
        <v>1697</v>
      </c>
      <c r="EE135" s="187">
        <v>0.9</v>
      </c>
      <c r="EF135" s="330">
        <v>44.740699999999997</v>
      </c>
      <c r="EG135" s="330">
        <v>80.163200000000003</v>
      </c>
      <c r="EH135" s="115" t="s">
        <v>373</v>
      </c>
      <c r="EI135" s="115" t="s">
        <v>1826</v>
      </c>
      <c r="EJ135" s="115"/>
      <c r="EK135" s="115" t="s">
        <v>1827</v>
      </c>
      <c r="EL135" s="115" t="s">
        <v>373</v>
      </c>
      <c r="EM135"/>
      <c r="EO135" s="115"/>
      <c r="EP135" s="334" t="s">
        <v>1415</v>
      </c>
      <c r="EQ135" s="334" t="s">
        <v>2114</v>
      </c>
      <c r="ER135" s="334" t="s">
        <v>362</v>
      </c>
      <c r="ES135" s="334" t="s">
        <v>385</v>
      </c>
      <c r="ET135" s="334">
        <v>2025.03</v>
      </c>
      <c r="EU135" s="334" t="s">
        <v>397</v>
      </c>
      <c r="EV135" s="334">
        <v>0</v>
      </c>
    </row>
    <row r="136" spans="4:152" ht="13">
      <c r="D136" s="115" t="s">
        <v>1534</v>
      </c>
      <c r="E136" s="115" t="s">
        <v>1641</v>
      </c>
      <c r="F136" s="115">
        <v>248.15</v>
      </c>
      <c r="I136" s="115" t="s">
        <v>1511</v>
      </c>
      <c r="J136" s="115" t="s">
        <v>1364</v>
      </c>
      <c r="K136" s="183">
        <v>300</v>
      </c>
      <c r="AG136" s="115"/>
      <c r="AH136" s="115"/>
      <c r="AI136" s="115" t="s">
        <v>1416</v>
      </c>
      <c r="AJ136" t="s">
        <v>2114</v>
      </c>
      <c r="AK136" s="115">
        <v>0</v>
      </c>
      <c r="AL136" s="115" t="s">
        <v>28</v>
      </c>
      <c r="AM136" s="115" t="s">
        <v>1832</v>
      </c>
      <c r="AN136" s="115" t="s">
        <v>1444</v>
      </c>
      <c r="AO136" s="115" t="s">
        <v>1644</v>
      </c>
      <c r="AT136" s="115" t="s">
        <v>1415</v>
      </c>
      <c r="AU136" s="115" t="s">
        <v>2114</v>
      </c>
      <c r="AV136" s="115">
        <v>15</v>
      </c>
      <c r="AW136" s="115" t="s">
        <v>499</v>
      </c>
      <c r="AX136" s="115" t="s">
        <v>28</v>
      </c>
      <c r="AY136" s="115" t="s">
        <v>1848</v>
      </c>
      <c r="AZ136" s="115" t="s">
        <v>1878</v>
      </c>
      <c r="BA136" s="115"/>
      <c r="BB136" s="115"/>
      <c r="BC136" s="115">
        <v>20513.860578750002</v>
      </c>
      <c r="BD136" s="115"/>
      <c r="BE136" s="115"/>
      <c r="BF136" s="115">
        <v>2321.8234764999997</v>
      </c>
      <c r="BG136" s="115"/>
      <c r="BH136" s="115">
        <v>3062.9643447760009</v>
      </c>
      <c r="BI136" s="115">
        <v>1819.0792664999999</v>
      </c>
      <c r="BJ136" s="115">
        <v>4278.8730370049998</v>
      </c>
      <c r="BK136" s="115">
        <v>1362.0193511700002</v>
      </c>
      <c r="BL136" s="115">
        <v>488.81928284999998</v>
      </c>
      <c r="BM136" s="115"/>
      <c r="BN136" s="115"/>
      <c r="BO136" s="115"/>
      <c r="BP136" s="115"/>
      <c r="BQ136" s="115"/>
      <c r="BR136" s="115"/>
      <c r="CE136" s="330"/>
      <c r="CV136" s="115">
        <v>2025.1</v>
      </c>
      <c r="CW136" s="115" t="s">
        <v>1415</v>
      </c>
      <c r="CX136" s="115" t="s">
        <v>377</v>
      </c>
      <c r="CY136" s="115" t="s">
        <v>2066</v>
      </c>
      <c r="CZ136" s="330">
        <v>2793.5819999999999</v>
      </c>
      <c r="DA136" s="115"/>
      <c r="DB136" s="115"/>
      <c r="DR136" s="214"/>
      <c r="DY136" s="115"/>
      <c r="DZ136" s="115" t="s">
        <v>1416</v>
      </c>
      <c r="EA136" s="115" t="s">
        <v>2114</v>
      </c>
      <c r="EB136" s="115">
        <v>0</v>
      </c>
      <c r="EC136" s="115" t="s">
        <v>128</v>
      </c>
      <c r="ED136" s="115" t="s">
        <v>1697</v>
      </c>
      <c r="EE136" s="187">
        <v>0.9</v>
      </c>
      <c r="EF136" s="330">
        <v>38.450000000000003</v>
      </c>
      <c r="EG136" s="330">
        <v>73.03</v>
      </c>
      <c r="EH136" s="115" t="s">
        <v>373</v>
      </c>
      <c r="EI136" s="115" t="s">
        <v>1826</v>
      </c>
      <c r="EJ136" s="115"/>
      <c r="EK136" s="115" t="s">
        <v>1827</v>
      </c>
      <c r="EL136" s="115" t="s">
        <v>373</v>
      </c>
      <c r="EM136"/>
      <c r="EO136" s="115"/>
      <c r="EP136" s="334" t="s">
        <v>1415</v>
      </c>
      <c r="EQ136" s="334" t="s">
        <v>2114</v>
      </c>
      <c r="ER136" s="334" t="s">
        <v>362</v>
      </c>
      <c r="ES136" s="334" t="s">
        <v>385</v>
      </c>
      <c r="ET136" s="334">
        <v>2025.03</v>
      </c>
      <c r="EU136" s="334" t="s">
        <v>1382</v>
      </c>
      <c r="EV136" s="334">
        <v>11.1</v>
      </c>
    </row>
    <row r="137" spans="4:152" ht="13">
      <c r="D137" s="115" t="s">
        <v>1534</v>
      </c>
      <c r="E137" s="115" t="s">
        <v>373</v>
      </c>
      <c r="F137" s="115">
        <v>209.54</v>
      </c>
      <c r="I137" s="115" t="s">
        <v>1511</v>
      </c>
      <c r="J137" s="115" t="s">
        <v>1367</v>
      </c>
      <c r="K137" s="183">
        <v>8</v>
      </c>
      <c r="AG137" s="115"/>
      <c r="AH137" s="115"/>
      <c r="AI137" s="115" t="s">
        <v>1416</v>
      </c>
      <c r="AJ137" t="s">
        <v>2114</v>
      </c>
      <c r="AK137" s="115">
        <v>0</v>
      </c>
      <c r="AL137" s="115" t="s">
        <v>28</v>
      </c>
      <c r="AM137" s="115" t="s">
        <v>1832</v>
      </c>
      <c r="AN137" s="115" t="s">
        <v>1444</v>
      </c>
      <c r="AO137" s="115" t="s">
        <v>1274</v>
      </c>
      <c r="AT137" s="115" t="s">
        <v>1415</v>
      </c>
      <c r="AU137" s="115" t="s">
        <v>2114</v>
      </c>
      <c r="AV137" s="115">
        <v>15</v>
      </c>
      <c r="AW137" s="115" t="s">
        <v>499</v>
      </c>
      <c r="AX137" s="115" t="s">
        <v>28</v>
      </c>
      <c r="AY137" s="115" t="s">
        <v>1843</v>
      </c>
      <c r="AZ137" s="115" t="s">
        <v>1878</v>
      </c>
      <c r="BA137" s="115"/>
      <c r="BB137" s="115"/>
      <c r="BC137" s="115">
        <v>23778.682164948455</v>
      </c>
      <c r="BD137" s="115"/>
      <c r="BE137" s="115"/>
      <c r="BF137" s="115">
        <v>2303.9310309278349</v>
      </c>
      <c r="BG137" s="115"/>
      <c r="BH137" s="115">
        <v>44359.136964948455</v>
      </c>
      <c r="BI137" s="115">
        <v>5922.7329896907222</v>
      </c>
      <c r="BJ137" s="115">
        <v>5084.1008247422678</v>
      </c>
      <c r="BK137" s="115">
        <v>9931.4204123711352</v>
      </c>
      <c r="BL137" s="115">
        <v>4202.2578350515469</v>
      </c>
      <c r="BM137" s="115">
        <v>17609.798499999997</v>
      </c>
      <c r="BN137" s="115">
        <v>15347.08</v>
      </c>
      <c r="BO137" s="115">
        <v>7924.32</v>
      </c>
      <c r="BP137" s="115"/>
      <c r="BQ137" s="115"/>
      <c r="BR137" s="115"/>
      <c r="CE137" s="330"/>
      <c r="CV137" s="115">
        <v>2025.11</v>
      </c>
      <c r="CW137" s="115" t="s">
        <v>1415</v>
      </c>
      <c r="CX137" s="115" t="s">
        <v>380</v>
      </c>
      <c r="CY137" s="115" t="s">
        <v>2066</v>
      </c>
      <c r="CZ137" s="330">
        <v>1816.788</v>
      </c>
      <c r="DA137" s="115"/>
      <c r="DB137" s="115"/>
      <c r="DR137" s="214"/>
      <c r="DY137" s="115"/>
      <c r="DZ137" s="115" t="s">
        <v>1415</v>
      </c>
      <c r="EA137" s="115" t="s">
        <v>2114</v>
      </c>
      <c r="EB137" s="115">
        <v>16</v>
      </c>
      <c r="EC137" s="115" t="s">
        <v>128</v>
      </c>
      <c r="ED137" s="115" t="s">
        <v>1697</v>
      </c>
      <c r="EE137" s="187">
        <v>0.9</v>
      </c>
      <c r="EF137" s="330">
        <v>44.740699999999997</v>
      </c>
      <c r="EG137" s="330">
        <v>80.163200000000003</v>
      </c>
      <c r="EH137" s="115" t="s">
        <v>373</v>
      </c>
      <c r="EI137" s="115" t="s">
        <v>1826</v>
      </c>
      <c r="EJ137" s="115"/>
      <c r="EK137" s="115" t="s">
        <v>1827</v>
      </c>
      <c r="EL137" s="115" t="s">
        <v>373</v>
      </c>
      <c r="EM137"/>
      <c r="EO137" s="115"/>
      <c r="EP137" s="334" t="s">
        <v>1415</v>
      </c>
      <c r="EQ137" s="334" t="s">
        <v>2114</v>
      </c>
      <c r="ER137" s="334" t="s">
        <v>362</v>
      </c>
      <c r="ES137" s="334" t="s">
        <v>2164</v>
      </c>
      <c r="ET137" s="334">
        <v>2024.48</v>
      </c>
      <c r="EU137" s="334" t="s">
        <v>397</v>
      </c>
      <c r="EV137" s="334">
        <v>0</v>
      </c>
    </row>
    <row r="138" spans="4:152" ht="13">
      <c r="D138" s="115" t="s">
        <v>1534</v>
      </c>
      <c r="E138" s="115" t="s">
        <v>380</v>
      </c>
      <c r="F138" s="115">
        <v>440.66550000000001</v>
      </c>
      <c r="I138" s="115" t="s">
        <v>1511</v>
      </c>
      <c r="J138" s="115" t="s">
        <v>1362</v>
      </c>
      <c r="K138" s="183">
        <v>95</v>
      </c>
      <c r="AG138" s="115"/>
      <c r="AH138" s="115"/>
      <c r="AI138" s="115" t="s">
        <v>1416</v>
      </c>
      <c r="AJ138" t="s">
        <v>2114</v>
      </c>
      <c r="AK138" s="115">
        <v>0</v>
      </c>
      <c r="AL138" s="115" t="s">
        <v>28</v>
      </c>
      <c r="AM138" s="115" t="s">
        <v>1850</v>
      </c>
      <c r="AN138" s="115" t="s">
        <v>1444</v>
      </c>
      <c r="AO138" s="115" t="s">
        <v>1274</v>
      </c>
      <c r="AT138" s="115" t="s">
        <v>1416</v>
      </c>
      <c r="AU138" s="115" t="s">
        <v>2114</v>
      </c>
      <c r="AV138" s="115">
        <v>0</v>
      </c>
      <c r="AW138" s="115" t="s">
        <v>499</v>
      </c>
      <c r="AX138" s="115" t="s">
        <v>28</v>
      </c>
      <c r="AY138" s="115" t="s">
        <v>1843</v>
      </c>
      <c r="AZ138" s="115" t="s">
        <v>1878</v>
      </c>
      <c r="BA138" s="115"/>
      <c r="BB138" s="115"/>
      <c r="BC138" s="115">
        <v>23436</v>
      </c>
      <c r="BD138" s="115"/>
      <c r="BE138" s="115"/>
      <c r="BF138" s="115">
        <v>1517.8650515463917</v>
      </c>
      <c r="BG138" s="115"/>
      <c r="BH138" s="115">
        <v>39679.778828865979</v>
      </c>
      <c r="BI138" s="115">
        <v>5766.8465979381444</v>
      </c>
      <c r="BJ138" s="115">
        <v>4819.42</v>
      </c>
      <c r="BK138" s="115">
        <v>11302.544536082474</v>
      </c>
      <c r="BL138" s="115">
        <v>4037.8931958762887</v>
      </c>
      <c r="BM138" s="115">
        <v>14528.730399999999</v>
      </c>
      <c r="BN138" s="115">
        <v>18994.011600000002</v>
      </c>
      <c r="BO138" s="115">
        <v>10005.588</v>
      </c>
      <c r="BP138" s="115"/>
      <c r="BQ138" s="115"/>
      <c r="BR138" s="115"/>
      <c r="CE138" s="330"/>
      <c r="CV138" s="115">
        <v>2025.11</v>
      </c>
      <c r="CW138" s="115" t="s">
        <v>1415</v>
      </c>
      <c r="CX138" s="115" t="s">
        <v>1645</v>
      </c>
      <c r="CY138" s="115" t="s">
        <v>2066</v>
      </c>
      <c r="CZ138" s="330">
        <v>2224.1999999999998</v>
      </c>
      <c r="DA138" s="115"/>
      <c r="DB138" s="115"/>
      <c r="DR138" s="214"/>
      <c r="DY138" s="115"/>
      <c r="DZ138" s="115" t="s">
        <v>1415</v>
      </c>
      <c r="EA138" s="115" t="s">
        <v>2114</v>
      </c>
      <c r="EB138" s="115">
        <v>0</v>
      </c>
      <c r="EC138" s="115" t="s">
        <v>128</v>
      </c>
      <c r="ED138" s="115" t="s">
        <v>1697</v>
      </c>
      <c r="EE138" s="187">
        <v>0.9</v>
      </c>
      <c r="EF138" s="330">
        <v>44.740699999999997</v>
      </c>
      <c r="EG138" s="330">
        <v>80.163200000000003</v>
      </c>
      <c r="EH138" s="115" t="s">
        <v>373</v>
      </c>
      <c r="EI138" s="115" t="s">
        <v>1826</v>
      </c>
      <c r="EJ138" s="115"/>
      <c r="EK138" s="115" t="s">
        <v>1827</v>
      </c>
      <c r="EL138" s="115" t="s">
        <v>373</v>
      </c>
      <c r="EM138"/>
      <c r="EO138" s="115"/>
      <c r="EP138" s="334" t="s">
        <v>1415</v>
      </c>
      <c r="EQ138" s="334" t="s">
        <v>2114</v>
      </c>
      <c r="ER138" s="334" t="s">
        <v>362</v>
      </c>
      <c r="ES138" s="334" t="s">
        <v>2164</v>
      </c>
      <c r="ET138" s="334">
        <v>2024.48</v>
      </c>
      <c r="EU138" s="334" t="s">
        <v>1382</v>
      </c>
      <c r="EV138" s="334">
        <v>7181.97</v>
      </c>
    </row>
    <row r="139" spans="4:152" ht="13">
      <c r="D139" s="115" t="s">
        <v>1534</v>
      </c>
      <c r="E139" s="115" t="s">
        <v>1639</v>
      </c>
      <c r="F139" s="115">
        <v>713.59730000000002</v>
      </c>
      <c r="I139" s="115" t="s">
        <v>1511</v>
      </c>
      <c r="J139" s="115" t="s">
        <v>1368</v>
      </c>
      <c r="K139" s="183">
        <v>11.5</v>
      </c>
      <c r="AG139" s="115"/>
      <c r="AH139" s="115"/>
      <c r="AI139" s="115" t="s">
        <v>1416</v>
      </c>
      <c r="AJ139" t="s">
        <v>2114</v>
      </c>
      <c r="AK139" s="115">
        <v>0</v>
      </c>
      <c r="AL139" s="115" t="s">
        <v>28</v>
      </c>
      <c r="AM139" s="115" t="s">
        <v>1849</v>
      </c>
      <c r="AN139" s="115" t="s">
        <v>1444</v>
      </c>
      <c r="AO139" s="115" t="s">
        <v>1274</v>
      </c>
      <c r="AT139" s="115" t="s">
        <v>1416</v>
      </c>
      <c r="AU139" s="115" t="s">
        <v>2114</v>
      </c>
      <c r="AV139" s="115">
        <v>0</v>
      </c>
      <c r="AW139" s="115" t="s">
        <v>499</v>
      </c>
      <c r="AX139" s="115" t="s">
        <v>28</v>
      </c>
      <c r="AY139" s="115" t="s">
        <v>1849</v>
      </c>
      <c r="AZ139" s="115" t="s">
        <v>1878</v>
      </c>
      <c r="BA139" s="115"/>
      <c r="BB139" s="115"/>
      <c r="BC139" s="115">
        <v>157.86749999999998</v>
      </c>
      <c r="BD139" s="115"/>
      <c r="BE139" s="115"/>
      <c r="BF139" s="115"/>
      <c r="BG139" s="115"/>
      <c r="BH139" s="115">
        <v>606.38579999999979</v>
      </c>
      <c r="BI139" s="115">
        <v>142.80825000000002</v>
      </c>
      <c r="BJ139" s="115">
        <v>11.154999999999992</v>
      </c>
      <c r="BK139" s="115">
        <v>360.67995000000002</v>
      </c>
      <c r="BL139" s="115">
        <v>128.85480000000001</v>
      </c>
      <c r="BM139" s="115"/>
      <c r="BN139" s="115"/>
      <c r="BO139" s="115"/>
      <c r="BP139" s="115"/>
      <c r="BQ139" s="115"/>
      <c r="BR139" s="115"/>
      <c r="CE139" s="330"/>
      <c r="CV139" s="115">
        <v>2025.11</v>
      </c>
      <c r="CW139" s="115" t="s">
        <v>1415</v>
      </c>
      <c r="CX139" s="115" t="s">
        <v>372</v>
      </c>
      <c r="CY139" s="115" t="s">
        <v>2066</v>
      </c>
      <c r="CZ139" s="330">
        <v>6180.759</v>
      </c>
      <c r="DA139" s="115"/>
      <c r="DB139" s="115"/>
      <c r="DR139" s="214"/>
      <c r="DY139" s="115"/>
      <c r="DZ139" s="115" t="s">
        <v>1415</v>
      </c>
      <c r="EA139" s="115" t="s">
        <v>2114</v>
      </c>
      <c r="EB139" s="115">
        <v>15</v>
      </c>
      <c r="EC139" s="115" t="s">
        <v>131</v>
      </c>
      <c r="ED139" s="115" t="s">
        <v>1697</v>
      </c>
      <c r="EE139" s="187">
        <v>0.1</v>
      </c>
      <c r="EF139" s="330">
        <v>40.476900000000001</v>
      </c>
      <c r="EG139" s="330">
        <v>28.792100000000001</v>
      </c>
      <c r="EH139" s="115" t="s">
        <v>381</v>
      </c>
      <c r="EI139" s="115" t="s">
        <v>1826</v>
      </c>
      <c r="EJ139" s="115"/>
      <c r="EK139" s="115" t="s">
        <v>1828</v>
      </c>
      <c r="EL139" s="115" t="s">
        <v>381</v>
      </c>
      <c r="EM139"/>
      <c r="EO139" s="115"/>
      <c r="EP139" s="334" t="s">
        <v>1415</v>
      </c>
      <c r="EQ139" s="334" t="s">
        <v>2114</v>
      </c>
      <c r="ER139" s="334" t="s">
        <v>362</v>
      </c>
      <c r="ES139" s="334" t="s">
        <v>2164</v>
      </c>
      <c r="ET139" s="334">
        <v>2025.03</v>
      </c>
      <c r="EU139" s="334" t="s">
        <v>397</v>
      </c>
      <c r="EV139" s="334">
        <v>0</v>
      </c>
    </row>
    <row r="140" spans="4:152" ht="13">
      <c r="D140" s="115" t="s">
        <v>1534</v>
      </c>
      <c r="E140" s="115" t="s">
        <v>360</v>
      </c>
      <c r="F140" s="115">
        <v>464.6</v>
      </c>
      <c r="I140" s="115" t="s">
        <v>1511</v>
      </c>
      <c r="J140" s="115" t="s">
        <v>1360</v>
      </c>
      <c r="K140" s="183">
        <v>0.25</v>
      </c>
      <c r="AG140" s="115"/>
      <c r="AH140" s="115"/>
      <c r="AI140" s="115" t="s">
        <v>1416</v>
      </c>
      <c r="AJ140" t="s">
        <v>2114</v>
      </c>
      <c r="AK140" s="115">
        <v>0</v>
      </c>
      <c r="AL140" s="115" t="s">
        <v>28</v>
      </c>
      <c r="AM140" s="115" t="s">
        <v>1846</v>
      </c>
      <c r="AN140" s="115" t="s">
        <v>1444</v>
      </c>
      <c r="AO140" s="115" t="s">
        <v>1274</v>
      </c>
      <c r="AT140" s="115" t="s">
        <v>1415</v>
      </c>
      <c r="AU140" s="115" t="s">
        <v>2114</v>
      </c>
      <c r="AV140" s="115">
        <v>15</v>
      </c>
      <c r="AW140" s="115" t="s">
        <v>499</v>
      </c>
      <c r="AX140" s="115" t="s">
        <v>28</v>
      </c>
      <c r="AY140" s="115" t="s">
        <v>1849</v>
      </c>
      <c r="AZ140" s="115" t="s">
        <v>1878</v>
      </c>
      <c r="BA140" s="115"/>
      <c r="BB140" s="115"/>
      <c r="BC140" s="115">
        <v>153.98750000000001</v>
      </c>
      <c r="BD140" s="115"/>
      <c r="BE140" s="115"/>
      <c r="BF140" s="115"/>
      <c r="BG140" s="115"/>
      <c r="BH140" s="115">
        <v>633.25674000000015</v>
      </c>
      <c r="BI140" s="115">
        <v>142.29900000000001</v>
      </c>
      <c r="BJ140" s="115">
        <v>10.626349999999999</v>
      </c>
      <c r="BK140" s="115">
        <v>302.84370000000001</v>
      </c>
      <c r="BL140" s="115">
        <v>108.6885</v>
      </c>
      <c r="BM140" s="115"/>
      <c r="BN140" s="115"/>
      <c r="BO140" s="115"/>
      <c r="BP140" s="115"/>
      <c r="BQ140" s="115"/>
      <c r="BR140" s="115"/>
      <c r="CE140" s="330"/>
      <c r="CV140" s="115">
        <v>2025.11</v>
      </c>
      <c r="CW140" s="115" t="s">
        <v>1415</v>
      </c>
      <c r="CX140" s="115" t="s">
        <v>377</v>
      </c>
      <c r="CY140" s="115" t="s">
        <v>2066</v>
      </c>
      <c r="CZ140" s="330">
        <v>2793.5819999999999</v>
      </c>
      <c r="DA140" s="115"/>
      <c r="DB140" s="115"/>
      <c r="DR140" s="214"/>
      <c r="DY140" s="115"/>
      <c r="DZ140" s="115" t="s">
        <v>1416</v>
      </c>
      <c r="EA140" s="115" t="s">
        <v>2114</v>
      </c>
      <c r="EB140" s="115">
        <v>0</v>
      </c>
      <c r="EC140" s="115" t="s">
        <v>131</v>
      </c>
      <c r="ED140" s="115" t="s">
        <v>1697</v>
      </c>
      <c r="EE140" s="187">
        <v>0.1</v>
      </c>
      <c r="EF140" s="330">
        <v>37.5</v>
      </c>
      <c r="EG140" s="330">
        <v>26.23</v>
      </c>
      <c r="EH140" s="115" t="s">
        <v>381</v>
      </c>
      <c r="EI140" s="115" t="s">
        <v>1826</v>
      </c>
      <c r="EJ140" s="115"/>
      <c r="EK140" s="115" t="s">
        <v>1828</v>
      </c>
      <c r="EL140" s="115" t="s">
        <v>381</v>
      </c>
      <c r="EM140"/>
      <c r="EO140" s="115"/>
      <c r="EP140" s="334" t="s">
        <v>1415</v>
      </c>
      <c r="EQ140" s="334" t="s">
        <v>2114</v>
      </c>
      <c r="ER140" s="334" t="s">
        <v>362</v>
      </c>
      <c r="ES140" s="334" t="s">
        <v>2164</v>
      </c>
      <c r="ET140" s="334">
        <v>2025.03</v>
      </c>
      <c r="EU140" s="334" t="s">
        <v>1382</v>
      </c>
      <c r="EV140" s="334">
        <v>7190.85</v>
      </c>
    </row>
    <row r="141" spans="4:152" ht="13">
      <c r="D141" s="115" t="s">
        <v>1534</v>
      </c>
      <c r="E141" s="115" t="s">
        <v>386</v>
      </c>
      <c r="F141" s="115">
        <v>839.52620000000002</v>
      </c>
      <c r="I141" s="115" t="s">
        <v>1511</v>
      </c>
      <c r="J141" s="115" t="s">
        <v>1358</v>
      </c>
      <c r="K141" s="183" t="s">
        <v>375</v>
      </c>
      <c r="AG141" s="115"/>
      <c r="AH141" s="115"/>
      <c r="AI141" s="115" t="s">
        <v>1416</v>
      </c>
      <c r="AJ141" t="s">
        <v>2114</v>
      </c>
      <c r="AK141" s="115">
        <v>0</v>
      </c>
      <c r="AL141" s="115" t="s">
        <v>28</v>
      </c>
      <c r="AM141" s="115" t="s">
        <v>1843</v>
      </c>
      <c r="AN141" s="115" t="s">
        <v>1444</v>
      </c>
      <c r="AO141" s="115" t="s">
        <v>1274</v>
      </c>
      <c r="AT141" s="115" t="s">
        <v>1416</v>
      </c>
      <c r="AU141" s="115" t="s">
        <v>2114</v>
      </c>
      <c r="AV141" s="115">
        <v>0</v>
      </c>
      <c r="AW141" s="115" t="s">
        <v>499</v>
      </c>
      <c r="AX141" s="115" t="s">
        <v>28</v>
      </c>
      <c r="AY141" s="115" t="s">
        <v>1850</v>
      </c>
      <c r="AZ141" s="115" t="s">
        <v>1878</v>
      </c>
      <c r="BA141" s="115"/>
      <c r="BB141" s="115"/>
      <c r="BC141" s="115">
        <v>473.60249999999996</v>
      </c>
      <c r="BD141" s="115"/>
      <c r="BE141" s="115"/>
      <c r="BF141" s="115">
        <v>34.192500000000003</v>
      </c>
      <c r="BG141" s="115"/>
      <c r="BH141" s="115">
        <v>67.376199999999969</v>
      </c>
      <c r="BI141" s="115">
        <v>47.602750000000007</v>
      </c>
      <c r="BJ141" s="115">
        <v>100.39499999999997</v>
      </c>
      <c r="BK141" s="115">
        <v>40.07555</v>
      </c>
      <c r="BL141" s="115">
        <v>14.3172</v>
      </c>
      <c r="BM141" s="115"/>
      <c r="BN141" s="115"/>
      <c r="BO141" s="115"/>
      <c r="BP141" s="115"/>
      <c r="BQ141" s="115"/>
      <c r="BR141" s="115"/>
      <c r="CE141" s="330"/>
      <c r="CV141" s="115">
        <v>2025.12</v>
      </c>
      <c r="CW141" s="115" t="s">
        <v>1415</v>
      </c>
      <c r="CX141" s="115" t="s">
        <v>380</v>
      </c>
      <c r="CY141" s="115" t="s">
        <v>2066</v>
      </c>
      <c r="CZ141" s="330">
        <v>1816.788</v>
      </c>
      <c r="DA141" s="115"/>
      <c r="DB141" s="115"/>
      <c r="DR141" s="214"/>
      <c r="DY141" s="115"/>
      <c r="DZ141" s="115" t="s">
        <v>1415</v>
      </c>
      <c r="EA141" s="115" t="s">
        <v>2114</v>
      </c>
      <c r="EB141" s="115">
        <v>16</v>
      </c>
      <c r="EC141" s="115" t="s">
        <v>131</v>
      </c>
      <c r="ED141" s="115" t="s">
        <v>1697</v>
      </c>
      <c r="EE141" s="187">
        <v>0.1</v>
      </c>
      <c r="EF141" s="330">
        <v>40.476900000000001</v>
      </c>
      <c r="EG141" s="330">
        <v>28.792100000000001</v>
      </c>
      <c r="EH141" s="115" t="s">
        <v>381</v>
      </c>
      <c r="EI141" s="115" t="s">
        <v>1826</v>
      </c>
      <c r="EJ141" s="115"/>
      <c r="EK141" s="115" t="s">
        <v>1828</v>
      </c>
      <c r="EL141" s="115" t="s">
        <v>381</v>
      </c>
      <c r="EM141"/>
      <c r="EO141" s="115"/>
      <c r="EP141" s="334" t="s">
        <v>1415</v>
      </c>
      <c r="EQ141" s="334" t="s">
        <v>2114</v>
      </c>
      <c r="ER141" s="334" t="s">
        <v>2051</v>
      </c>
      <c r="ES141" s="334" t="s">
        <v>377</v>
      </c>
      <c r="ET141" s="334">
        <v>2023.51</v>
      </c>
      <c r="EU141" s="334" t="s">
        <v>397</v>
      </c>
      <c r="EV141" s="334">
        <v>0</v>
      </c>
    </row>
    <row r="142" spans="4:152" ht="13">
      <c r="D142" s="115" t="s">
        <v>1534</v>
      </c>
      <c r="E142" s="115" t="s">
        <v>1645</v>
      </c>
      <c r="F142" s="115">
        <v>382.99799999999999</v>
      </c>
      <c r="I142" s="115" t="s">
        <v>1511</v>
      </c>
      <c r="J142" s="115" t="s">
        <v>1354</v>
      </c>
      <c r="K142" s="183">
        <v>45141</v>
      </c>
      <c r="AG142" s="115"/>
      <c r="AH142" s="115"/>
      <c r="AI142" s="115" t="s">
        <v>1416</v>
      </c>
      <c r="AJ142" t="s">
        <v>2114</v>
      </c>
      <c r="AK142" s="115">
        <v>0</v>
      </c>
      <c r="AL142" s="115" t="s">
        <v>28</v>
      </c>
      <c r="AM142" s="115" t="s">
        <v>1848</v>
      </c>
      <c r="AN142" s="115" t="s">
        <v>1444</v>
      </c>
      <c r="AO142" s="115" t="s">
        <v>1274</v>
      </c>
      <c r="AT142" s="115" t="s">
        <v>1415</v>
      </c>
      <c r="AU142" s="115" t="s">
        <v>2114</v>
      </c>
      <c r="AV142" s="115">
        <v>15</v>
      </c>
      <c r="AW142" s="115" t="s">
        <v>499</v>
      </c>
      <c r="AX142" s="115" t="s">
        <v>28</v>
      </c>
      <c r="AY142" s="115" t="s">
        <v>1850</v>
      </c>
      <c r="AZ142" s="115" t="s">
        <v>1878</v>
      </c>
      <c r="BA142" s="115"/>
      <c r="BB142" s="115"/>
      <c r="BC142" s="115">
        <v>461.96250000000003</v>
      </c>
      <c r="BD142" s="115"/>
      <c r="BE142" s="115"/>
      <c r="BF142" s="115">
        <v>49.954999999999998</v>
      </c>
      <c r="BG142" s="115"/>
      <c r="BH142" s="115">
        <v>70.361860000000021</v>
      </c>
      <c r="BI142" s="115">
        <v>47.433</v>
      </c>
      <c r="BJ142" s="115">
        <v>95.637150000000005</v>
      </c>
      <c r="BK142" s="115">
        <v>33.649300000000004</v>
      </c>
      <c r="BL142" s="115">
        <v>12.076499999999999</v>
      </c>
      <c r="BM142" s="115"/>
      <c r="BN142" s="115"/>
      <c r="BO142" s="115"/>
      <c r="BP142" s="115"/>
      <c r="BQ142" s="115"/>
      <c r="BR142" s="115"/>
      <c r="CE142" s="330"/>
      <c r="CV142" s="115">
        <v>2025.12</v>
      </c>
      <c r="CW142" s="115" t="s">
        <v>1415</v>
      </c>
      <c r="CX142" s="115" t="s">
        <v>1645</v>
      </c>
      <c r="CY142" s="115" t="s">
        <v>2066</v>
      </c>
      <c r="CZ142" s="330">
        <v>2224.1999999999998</v>
      </c>
      <c r="DA142" s="115"/>
      <c r="DB142" s="115"/>
      <c r="DR142" s="214"/>
      <c r="DY142" s="115"/>
      <c r="DZ142" s="115" t="s">
        <v>1415</v>
      </c>
      <c r="EA142" s="115" t="s">
        <v>2114</v>
      </c>
      <c r="EB142" s="115">
        <v>0</v>
      </c>
      <c r="EC142" s="115" t="s">
        <v>131</v>
      </c>
      <c r="ED142" s="115" t="s">
        <v>1697</v>
      </c>
      <c r="EE142" s="187">
        <v>0.1</v>
      </c>
      <c r="EF142" s="330">
        <v>40.476900000000001</v>
      </c>
      <c r="EG142" s="330">
        <v>28.792100000000001</v>
      </c>
      <c r="EH142" s="115" t="s">
        <v>381</v>
      </c>
      <c r="EI142" s="115" t="s">
        <v>1826</v>
      </c>
      <c r="EJ142" s="115"/>
      <c r="EK142" s="115" t="s">
        <v>1828</v>
      </c>
      <c r="EL142" s="115" t="s">
        <v>381</v>
      </c>
      <c r="EM142"/>
      <c r="EO142" s="115"/>
      <c r="EP142" s="334" t="s">
        <v>1415</v>
      </c>
      <c r="EQ142" s="334" t="s">
        <v>2114</v>
      </c>
      <c r="ER142" s="334" t="s">
        <v>2051</v>
      </c>
      <c r="ES142" s="334" t="s">
        <v>377</v>
      </c>
      <c r="ET142" s="334">
        <v>2023.51</v>
      </c>
      <c r="EU142" s="334" t="s">
        <v>1382</v>
      </c>
      <c r="EV142" s="334">
        <v>25000</v>
      </c>
    </row>
    <row r="143" spans="4:152" ht="13">
      <c r="D143" s="115" t="s">
        <v>1535</v>
      </c>
      <c r="E143" s="115" t="s">
        <v>1643</v>
      </c>
      <c r="F143" s="115">
        <v>446.2</v>
      </c>
      <c r="I143" s="115" t="s">
        <v>1511</v>
      </c>
      <c r="J143" s="115" t="s">
        <v>1365</v>
      </c>
      <c r="K143" s="183">
        <v>15</v>
      </c>
      <c r="AG143" s="115"/>
      <c r="AH143" s="115"/>
      <c r="AI143" s="115" t="s">
        <v>1416</v>
      </c>
      <c r="AJ143" t="s">
        <v>2114</v>
      </c>
      <c r="AK143" s="115">
        <v>0</v>
      </c>
      <c r="AL143" s="115" t="s">
        <v>28</v>
      </c>
      <c r="AM143" s="115" t="s">
        <v>1849</v>
      </c>
      <c r="AN143" s="115" t="s">
        <v>1444</v>
      </c>
      <c r="AO143" s="115" t="s">
        <v>381</v>
      </c>
      <c r="AT143" s="115" t="s">
        <v>1416</v>
      </c>
      <c r="AU143" s="115" t="s">
        <v>2114</v>
      </c>
      <c r="AV143" s="115">
        <v>0</v>
      </c>
      <c r="AW143" s="115" t="s">
        <v>499</v>
      </c>
      <c r="AX143" s="115" t="s">
        <v>28</v>
      </c>
      <c r="AY143" s="115" t="s">
        <v>1832</v>
      </c>
      <c r="AZ143" s="115" t="s">
        <v>1878</v>
      </c>
      <c r="BA143" s="115"/>
      <c r="BB143" s="115"/>
      <c r="BC143" s="115">
        <v>650.99999999999989</v>
      </c>
      <c r="BD143" s="115"/>
      <c r="BE143" s="115"/>
      <c r="BF143" s="115">
        <v>35.250000000000007</v>
      </c>
      <c r="BG143" s="115"/>
      <c r="BH143" s="115">
        <v>694.59999999999968</v>
      </c>
      <c r="BI143" s="115">
        <v>196.30000000000004</v>
      </c>
      <c r="BJ143" s="115">
        <v>114.99999999999996</v>
      </c>
      <c r="BK143" s="115">
        <v>413.15</v>
      </c>
      <c r="BL143" s="115">
        <v>147.6</v>
      </c>
      <c r="BM143" s="115"/>
      <c r="BN143" s="115"/>
      <c r="BO143" s="115"/>
      <c r="BP143" s="115"/>
      <c r="BQ143" s="115"/>
      <c r="BR143" s="115"/>
      <c r="CE143" s="330"/>
      <c r="CV143" s="115">
        <v>2025.12</v>
      </c>
      <c r="CW143" s="115" t="s">
        <v>1415</v>
      </c>
      <c r="CX143" s="115" t="s">
        <v>372</v>
      </c>
      <c r="CY143" s="115" t="s">
        <v>2066</v>
      </c>
      <c r="CZ143" s="330">
        <v>5705.3159999999998</v>
      </c>
      <c r="DA143" s="115"/>
      <c r="DB143" s="115"/>
      <c r="DR143" s="214"/>
      <c r="DY143" s="115"/>
      <c r="DZ143" s="115" t="s">
        <v>1415</v>
      </c>
      <c r="EA143" s="115" t="s">
        <v>2114</v>
      </c>
      <c r="EB143" s="115">
        <v>15</v>
      </c>
      <c r="EC143" s="115" t="s">
        <v>133</v>
      </c>
      <c r="ED143" s="115" t="s">
        <v>1700</v>
      </c>
      <c r="EE143" s="187">
        <v>0.1</v>
      </c>
      <c r="EF143" s="330">
        <v>40.476900000000001</v>
      </c>
      <c r="EG143" s="330">
        <v>28.792100000000001</v>
      </c>
      <c r="EH143" s="115" t="s">
        <v>382</v>
      </c>
      <c r="EI143" s="115" t="s">
        <v>1826</v>
      </c>
      <c r="EJ143" s="115"/>
      <c r="EK143" s="115" t="s">
        <v>1828</v>
      </c>
      <c r="EL143" s="115" t="s">
        <v>382</v>
      </c>
      <c r="EM143"/>
      <c r="EO143" s="115"/>
      <c r="EP143" s="334" t="s">
        <v>1415</v>
      </c>
      <c r="EQ143" s="334" t="s">
        <v>2114</v>
      </c>
      <c r="ER143" s="334" t="s">
        <v>2051</v>
      </c>
      <c r="ES143" s="334" t="s">
        <v>372</v>
      </c>
      <c r="ET143" s="334">
        <v>2024.47</v>
      </c>
      <c r="EU143" s="334" t="s">
        <v>397</v>
      </c>
      <c r="EV143" s="334">
        <v>0</v>
      </c>
    </row>
    <row r="144" spans="4:152" ht="13">
      <c r="D144" s="115" t="s">
        <v>1535</v>
      </c>
      <c r="E144" s="115" t="s">
        <v>1642</v>
      </c>
      <c r="F144" s="115">
        <v>379.35039999999998</v>
      </c>
      <c r="I144" s="115" t="s">
        <v>1511</v>
      </c>
      <c r="J144" s="115" t="s">
        <v>1356</v>
      </c>
      <c r="K144" s="183" t="s">
        <v>1359</v>
      </c>
      <c r="AG144" s="115"/>
      <c r="AH144" s="115"/>
      <c r="AI144" s="115" t="s">
        <v>1416</v>
      </c>
      <c r="AJ144" t="s">
        <v>2114</v>
      </c>
      <c r="AK144" s="115">
        <v>0</v>
      </c>
      <c r="AL144" s="115" t="s">
        <v>28</v>
      </c>
      <c r="AM144" s="115" t="s">
        <v>1846</v>
      </c>
      <c r="AN144" s="115" t="s">
        <v>1444</v>
      </c>
      <c r="AO144" s="115" t="s">
        <v>381</v>
      </c>
      <c r="AT144" s="115" t="s">
        <v>1415</v>
      </c>
      <c r="AU144" s="115" t="s">
        <v>2114</v>
      </c>
      <c r="AV144" s="115">
        <v>15</v>
      </c>
      <c r="AW144" s="115" t="s">
        <v>499</v>
      </c>
      <c r="AX144" s="115" t="s">
        <v>28</v>
      </c>
      <c r="AY144" s="115" t="s">
        <v>1832</v>
      </c>
      <c r="AZ144" s="115" t="s">
        <v>1878</v>
      </c>
      <c r="BA144" s="115"/>
      <c r="BB144" s="115"/>
      <c r="BC144" s="115">
        <v>635.00000000000011</v>
      </c>
      <c r="BD144" s="115"/>
      <c r="BE144" s="115"/>
      <c r="BF144" s="115">
        <v>51.5</v>
      </c>
      <c r="BG144" s="115"/>
      <c r="BH144" s="115">
        <v>725.38000000000011</v>
      </c>
      <c r="BI144" s="115">
        <v>195.6</v>
      </c>
      <c r="BJ144" s="115">
        <v>109.55000000000001</v>
      </c>
      <c r="BK144" s="115">
        <v>346.9</v>
      </c>
      <c r="BL144" s="115">
        <v>124.5</v>
      </c>
      <c r="BM144" s="115"/>
      <c r="BN144" s="115"/>
      <c r="BO144" s="115"/>
      <c r="BP144" s="115"/>
      <c r="BQ144" s="115"/>
      <c r="BR144" s="115"/>
      <c r="CE144" s="330"/>
      <c r="CV144" s="115">
        <v>2025.12</v>
      </c>
      <c r="CW144" s="115" t="s">
        <v>1415</v>
      </c>
      <c r="CX144" s="115" t="s">
        <v>377</v>
      </c>
      <c r="CY144" s="115" t="s">
        <v>2066</v>
      </c>
      <c r="CZ144" s="330">
        <v>5587.1639999999998</v>
      </c>
      <c r="DA144" s="115"/>
      <c r="DB144" s="115"/>
      <c r="DR144" s="214"/>
      <c r="DY144" s="115"/>
      <c r="DZ144" s="115" t="s">
        <v>1415</v>
      </c>
      <c r="EA144" s="115" t="s">
        <v>2114</v>
      </c>
      <c r="EB144" s="115">
        <v>15</v>
      </c>
      <c r="EC144" s="115" t="s">
        <v>133</v>
      </c>
      <c r="ED144" s="115" t="s">
        <v>1699</v>
      </c>
      <c r="EE144" s="187">
        <v>0.1</v>
      </c>
      <c r="EF144" s="330">
        <v>40.476900000000001</v>
      </c>
      <c r="EG144" s="330">
        <v>28.792100000000001</v>
      </c>
      <c r="EH144" s="115" t="s">
        <v>382</v>
      </c>
      <c r="EI144" s="115" t="s">
        <v>1826</v>
      </c>
      <c r="EJ144" s="115"/>
      <c r="EK144" s="115" t="s">
        <v>1828</v>
      </c>
      <c r="EL144" s="115" t="s">
        <v>382</v>
      </c>
      <c r="EM144"/>
      <c r="EO144" s="115"/>
      <c r="EP144" s="334" t="s">
        <v>1415</v>
      </c>
      <c r="EQ144" s="334" t="s">
        <v>2114</v>
      </c>
      <c r="ER144" s="334" t="s">
        <v>2051</v>
      </c>
      <c r="ES144" s="334" t="s">
        <v>372</v>
      </c>
      <c r="ET144" s="334">
        <v>2024.47</v>
      </c>
      <c r="EU144" s="334" t="s">
        <v>1382</v>
      </c>
      <c r="EV144" s="334">
        <v>20000</v>
      </c>
    </row>
    <row r="145" spans="4:152" ht="13">
      <c r="D145" s="115" t="s">
        <v>1535</v>
      </c>
      <c r="E145" s="115" t="s">
        <v>1274</v>
      </c>
      <c r="F145" s="115">
        <v>569.02560000000005</v>
      </c>
      <c r="I145" s="115" t="s">
        <v>1511</v>
      </c>
      <c r="J145" s="115" t="s">
        <v>1366</v>
      </c>
      <c r="K145" s="183">
        <v>3</v>
      </c>
      <c r="AG145" s="115"/>
      <c r="AH145" s="115"/>
      <c r="AI145" s="115" t="s">
        <v>1416</v>
      </c>
      <c r="AJ145" t="s">
        <v>2114</v>
      </c>
      <c r="AK145" s="115">
        <v>0</v>
      </c>
      <c r="AL145" s="115" t="s">
        <v>28</v>
      </c>
      <c r="AM145" s="115" t="s">
        <v>1832</v>
      </c>
      <c r="AN145" s="115" t="s">
        <v>1444</v>
      </c>
      <c r="AO145" s="115" t="s">
        <v>381</v>
      </c>
      <c r="AT145" s="115" t="s">
        <v>1416</v>
      </c>
      <c r="AU145" s="115" t="s">
        <v>2114</v>
      </c>
      <c r="AV145" s="115">
        <v>0</v>
      </c>
      <c r="AW145" s="115" t="s">
        <v>499</v>
      </c>
      <c r="AX145" s="115" t="s">
        <v>28</v>
      </c>
      <c r="AY145" s="115" t="s">
        <v>1846</v>
      </c>
      <c r="AZ145" s="115" t="s">
        <v>1936</v>
      </c>
      <c r="BA145" s="115"/>
      <c r="BB145" s="115"/>
      <c r="BC145" s="115">
        <v>1771.6807499999998</v>
      </c>
      <c r="BD145" s="115"/>
      <c r="BE145" s="115"/>
      <c r="BF145" s="115"/>
      <c r="BG145" s="115"/>
      <c r="BH145" s="115">
        <v>21767.751933208005</v>
      </c>
      <c r="BI145" s="115">
        <v>2791.0115549999996</v>
      </c>
      <c r="BJ145" s="115">
        <v>298.05551324999993</v>
      </c>
      <c r="BK145" s="115">
        <v>1978.4554560000004</v>
      </c>
      <c r="BL145" s="115">
        <v>1405.9857060000002</v>
      </c>
      <c r="BM145" s="115">
        <v>16471.763200000001</v>
      </c>
      <c r="BN145" s="115">
        <v>6218.0288</v>
      </c>
      <c r="BO145" s="115">
        <v>6524.9808000000003</v>
      </c>
      <c r="BP145" s="115"/>
      <c r="CV145" s="115">
        <v>2025.13</v>
      </c>
      <c r="CW145" s="115" t="s">
        <v>1415</v>
      </c>
      <c r="CX145" s="115" t="s">
        <v>372</v>
      </c>
      <c r="CY145" s="115" t="s">
        <v>2066</v>
      </c>
      <c r="CZ145" s="330">
        <v>2852.6579999999999</v>
      </c>
      <c r="DA145" s="115"/>
      <c r="DB145" s="115"/>
      <c r="DR145" s="214"/>
      <c r="DY145" s="115"/>
      <c r="DZ145" s="115" t="s">
        <v>1416</v>
      </c>
      <c r="EA145" s="115" t="s">
        <v>2114</v>
      </c>
      <c r="EB145" s="115">
        <v>0</v>
      </c>
      <c r="EC145" s="115" t="s">
        <v>133</v>
      </c>
      <c r="ED145" s="115" t="s">
        <v>1700</v>
      </c>
      <c r="EE145" s="187">
        <v>0.1</v>
      </c>
      <c r="EF145" s="330">
        <v>37.5</v>
      </c>
      <c r="EG145" s="330">
        <v>26.23</v>
      </c>
      <c r="EH145" s="115" t="s">
        <v>382</v>
      </c>
      <c r="EI145" s="115" t="s">
        <v>1826</v>
      </c>
      <c r="EJ145" s="115"/>
      <c r="EK145" s="115" t="s">
        <v>1828</v>
      </c>
      <c r="EL145" s="115" t="s">
        <v>382</v>
      </c>
      <c r="EM145"/>
      <c r="EO145" s="115"/>
      <c r="EP145" s="334" t="s">
        <v>1415</v>
      </c>
      <c r="EQ145" s="334" t="s">
        <v>2114</v>
      </c>
      <c r="ER145" s="334" t="s">
        <v>1285</v>
      </c>
      <c r="ES145" s="334" t="s">
        <v>389</v>
      </c>
      <c r="ET145" s="334">
        <v>2025.03</v>
      </c>
      <c r="EU145" s="334" t="s">
        <v>397</v>
      </c>
      <c r="EV145" s="334">
        <v>0</v>
      </c>
    </row>
    <row r="146" spans="4:152" ht="13">
      <c r="D146" s="115" t="s">
        <v>1535</v>
      </c>
      <c r="E146" s="115" t="s">
        <v>379</v>
      </c>
      <c r="F146" s="115">
        <v>2105.2175999999999</v>
      </c>
      <c r="I146" s="115" t="s">
        <v>1511</v>
      </c>
      <c r="J146" s="115" t="s">
        <v>1357</v>
      </c>
      <c r="K146" s="183">
        <v>-74113</v>
      </c>
      <c r="AG146" s="115"/>
      <c r="AH146" s="115"/>
      <c r="AI146" s="115" t="s">
        <v>1416</v>
      </c>
      <c r="AJ146" t="s">
        <v>2114</v>
      </c>
      <c r="AK146" s="115">
        <v>0</v>
      </c>
      <c r="AL146" s="115" t="s">
        <v>28</v>
      </c>
      <c r="AM146" s="115" t="s">
        <v>1850</v>
      </c>
      <c r="AN146" s="115" t="s">
        <v>1444</v>
      </c>
      <c r="AO146" s="115" t="s">
        <v>381</v>
      </c>
      <c r="AT146" s="115" t="s">
        <v>1415</v>
      </c>
      <c r="AU146" s="115" t="s">
        <v>2114</v>
      </c>
      <c r="AV146" s="115">
        <v>15</v>
      </c>
      <c r="AW146" s="115" t="s">
        <v>499</v>
      </c>
      <c r="AX146" s="115" t="s">
        <v>28</v>
      </c>
      <c r="AY146" s="115" t="s">
        <v>1846</v>
      </c>
      <c r="AZ146" s="115" t="s">
        <v>1879</v>
      </c>
      <c r="BA146" s="115"/>
      <c r="BB146" s="115"/>
      <c r="BC146" s="115">
        <v>1525.6573947499999</v>
      </c>
      <c r="BD146" s="115"/>
      <c r="BE146" s="115"/>
      <c r="BF146" s="115"/>
      <c r="BG146" s="115"/>
      <c r="BH146" s="115">
        <v>19966.833485335999</v>
      </c>
      <c r="BI146" s="115">
        <v>2089.7441901374996</v>
      </c>
      <c r="BJ146" s="115">
        <v>661.77176597999994</v>
      </c>
      <c r="BK146" s="115">
        <v>524.4522763545001</v>
      </c>
      <c r="BL146" s="115">
        <v>1010.4472326600001</v>
      </c>
      <c r="BM146" s="115">
        <v>3192.7528000000002</v>
      </c>
      <c r="BN146" s="115">
        <v>2004.07</v>
      </c>
      <c r="BO146" s="115">
        <v>2433.48</v>
      </c>
      <c r="BP146" s="115"/>
      <c r="CV146" s="115">
        <v>2025.13</v>
      </c>
      <c r="CW146" s="115" t="s">
        <v>1415</v>
      </c>
      <c r="CX146" s="115" t="s">
        <v>377</v>
      </c>
      <c r="CY146" s="115" t="s">
        <v>2066</v>
      </c>
      <c r="CZ146" s="330">
        <v>2793.5819999999999</v>
      </c>
      <c r="DA146" s="115"/>
      <c r="DB146" s="115"/>
      <c r="DR146" s="214"/>
      <c r="DY146" s="115"/>
      <c r="DZ146" s="115" t="s">
        <v>1416</v>
      </c>
      <c r="EA146" s="115" t="s">
        <v>2114</v>
      </c>
      <c r="EB146" s="115">
        <v>0</v>
      </c>
      <c r="EC146" s="115" t="s">
        <v>133</v>
      </c>
      <c r="ED146" s="115" t="s">
        <v>1699</v>
      </c>
      <c r="EE146" s="187">
        <v>0.1</v>
      </c>
      <c r="EF146" s="330">
        <v>37.5</v>
      </c>
      <c r="EG146" s="330">
        <v>26.23</v>
      </c>
      <c r="EH146" s="115" t="s">
        <v>382</v>
      </c>
      <c r="EI146" s="115" t="s">
        <v>1826</v>
      </c>
      <c r="EJ146" s="115"/>
      <c r="EK146" s="115" t="s">
        <v>1828</v>
      </c>
      <c r="EL146" s="115" t="s">
        <v>382</v>
      </c>
      <c r="EM146"/>
      <c r="EO146" s="115"/>
      <c r="EP146" s="334" t="s">
        <v>1415</v>
      </c>
      <c r="EQ146" s="334" t="s">
        <v>2114</v>
      </c>
      <c r="ER146" s="334" t="s">
        <v>1285</v>
      </c>
      <c r="ES146" s="334" t="s">
        <v>389</v>
      </c>
      <c r="ET146" s="334">
        <v>2025.03</v>
      </c>
      <c r="EU146" s="334" t="s">
        <v>1382</v>
      </c>
      <c r="EV146" s="334">
        <v>1020.04</v>
      </c>
    </row>
    <row r="147" spans="4:152" ht="13">
      <c r="D147" s="115" t="s">
        <v>1535</v>
      </c>
      <c r="E147" s="115" t="s">
        <v>373</v>
      </c>
      <c r="F147" s="115">
        <v>83.816000000000003</v>
      </c>
      <c r="I147" s="115" t="s">
        <v>1513</v>
      </c>
      <c r="J147" s="115" t="s">
        <v>1363</v>
      </c>
      <c r="K147" s="183">
        <v>125</v>
      </c>
      <c r="AG147" s="115"/>
      <c r="AH147" s="115"/>
      <c r="AI147" s="115" t="s">
        <v>1416</v>
      </c>
      <c r="AJ147" t="s">
        <v>2114</v>
      </c>
      <c r="AK147" s="115">
        <v>0</v>
      </c>
      <c r="AL147" s="115" t="s">
        <v>28</v>
      </c>
      <c r="AM147" s="115" t="s">
        <v>1848</v>
      </c>
      <c r="AN147" s="115" t="s">
        <v>1444</v>
      </c>
      <c r="AO147" s="115" t="s">
        <v>381</v>
      </c>
      <c r="AT147" s="115" t="s">
        <v>1415</v>
      </c>
      <c r="AU147" s="115" t="s">
        <v>2114</v>
      </c>
      <c r="AV147" s="115">
        <v>15</v>
      </c>
      <c r="AW147" s="115" t="s">
        <v>499</v>
      </c>
      <c r="AX147" s="115" t="s">
        <v>28</v>
      </c>
      <c r="AY147" s="115" t="s">
        <v>1848</v>
      </c>
      <c r="AZ147" s="115" t="s">
        <v>1879</v>
      </c>
      <c r="BA147" s="115"/>
      <c r="BB147" s="115"/>
      <c r="BC147" s="115">
        <v>8997.023891625</v>
      </c>
      <c r="BD147" s="115"/>
      <c r="BE147" s="115"/>
      <c r="BF147" s="115">
        <v>473.3814855</v>
      </c>
      <c r="BG147" s="115"/>
      <c r="BH147" s="115">
        <v>1445.7978793496</v>
      </c>
      <c r="BI147" s="115">
        <v>767.71469043749971</v>
      </c>
      <c r="BJ147" s="115">
        <v>3324.1336230543743</v>
      </c>
      <c r="BK147" s="115">
        <v>81.921400294500017</v>
      </c>
      <c r="BL147" s="115">
        <v>157.83562386</v>
      </c>
      <c r="BM147" s="115"/>
      <c r="BN147" s="115"/>
      <c r="BO147" s="115"/>
      <c r="BP147" s="115"/>
      <c r="CV147" s="115">
        <v>2025.14</v>
      </c>
      <c r="CW147" s="115" t="s">
        <v>1415</v>
      </c>
      <c r="CX147" s="115" t="s">
        <v>372</v>
      </c>
      <c r="CY147" s="115" t="s">
        <v>2066</v>
      </c>
      <c r="CZ147" s="330">
        <v>2852.6579999999999</v>
      </c>
      <c r="DA147" s="115"/>
      <c r="DB147" s="115"/>
      <c r="DR147" s="214"/>
      <c r="DY147" s="115"/>
      <c r="DZ147" s="115" t="s">
        <v>1415</v>
      </c>
      <c r="EA147" s="115" t="s">
        <v>2114</v>
      </c>
      <c r="EB147" s="115">
        <v>16</v>
      </c>
      <c r="EC147" s="115" t="s">
        <v>133</v>
      </c>
      <c r="ED147" s="115" t="s">
        <v>1700</v>
      </c>
      <c r="EE147" s="187">
        <v>0.1</v>
      </c>
      <c r="EF147" s="330">
        <v>40.476900000000001</v>
      </c>
      <c r="EG147" s="330">
        <v>28.792100000000001</v>
      </c>
      <c r="EH147" s="115" t="s">
        <v>382</v>
      </c>
      <c r="EI147" s="115" t="s">
        <v>1826</v>
      </c>
      <c r="EJ147" s="115"/>
      <c r="EK147" s="115" t="s">
        <v>1828</v>
      </c>
      <c r="EL147" s="115" t="s">
        <v>382</v>
      </c>
      <c r="EM147"/>
      <c r="EO147" s="115"/>
      <c r="EP147" s="334" t="s">
        <v>1415</v>
      </c>
      <c r="EQ147" s="334" t="s">
        <v>2114</v>
      </c>
      <c r="ER147" s="334" t="s">
        <v>1285</v>
      </c>
      <c r="ES147" s="334" t="s">
        <v>373</v>
      </c>
      <c r="ET147" s="334">
        <v>2024.48</v>
      </c>
      <c r="EU147" s="334" t="s">
        <v>397</v>
      </c>
      <c r="EV147" s="334">
        <v>0</v>
      </c>
    </row>
    <row r="148" spans="4:152" ht="13">
      <c r="D148" s="115" t="s">
        <v>1535</v>
      </c>
      <c r="E148" s="115" t="s">
        <v>380</v>
      </c>
      <c r="F148" s="115">
        <v>440.66550000000001</v>
      </c>
      <c r="I148" s="115" t="s">
        <v>1513</v>
      </c>
      <c r="J148" s="115" t="s">
        <v>1353</v>
      </c>
      <c r="K148" s="183" t="s">
        <v>1514</v>
      </c>
      <c r="AG148" s="115"/>
      <c r="AH148" s="115"/>
      <c r="AI148" s="115" t="s">
        <v>1416</v>
      </c>
      <c r="AJ148" t="s">
        <v>2114</v>
      </c>
      <c r="AK148" s="115">
        <v>0</v>
      </c>
      <c r="AL148" s="115" t="s">
        <v>28</v>
      </c>
      <c r="AM148" s="115" t="s">
        <v>1843</v>
      </c>
      <c r="AN148" s="115" t="s">
        <v>1444</v>
      </c>
      <c r="AO148" s="115" t="s">
        <v>381</v>
      </c>
      <c r="AT148" s="115" t="s">
        <v>1416</v>
      </c>
      <c r="AU148" s="115" t="s">
        <v>2114</v>
      </c>
      <c r="AV148" s="115">
        <v>0</v>
      </c>
      <c r="AW148" s="115" t="s">
        <v>499</v>
      </c>
      <c r="AX148" s="115" t="s">
        <v>28</v>
      </c>
      <c r="AY148" s="115" t="s">
        <v>1848</v>
      </c>
      <c r="AZ148" s="115" t="s">
        <v>1936</v>
      </c>
      <c r="BA148" s="115"/>
      <c r="BB148" s="115"/>
      <c r="BC148" s="115">
        <v>10624.919249999999</v>
      </c>
      <c r="BD148" s="115"/>
      <c r="BE148" s="115"/>
      <c r="BF148" s="115">
        <v>469.89224999999999</v>
      </c>
      <c r="BG148" s="115"/>
      <c r="BH148" s="115">
        <v>1657.036677368</v>
      </c>
      <c r="BI148" s="115">
        <v>1191.5962574999999</v>
      </c>
      <c r="BJ148" s="115">
        <v>1412.3252137500003</v>
      </c>
      <c r="BK148" s="115">
        <v>314.28000000000003</v>
      </c>
      <c r="BL148" s="115">
        <v>223.3425</v>
      </c>
      <c r="BM148" s="115"/>
      <c r="BN148" s="115"/>
      <c r="BO148" s="115"/>
      <c r="BP148" s="115"/>
      <c r="CV148" s="115">
        <v>2025.14</v>
      </c>
      <c r="CW148" s="115" t="s">
        <v>1415</v>
      </c>
      <c r="CX148" s="115" t="s">
        <v>377</v>
      </c>
      <c r="CY148" s="115" t="s">
        <v>2066</v>
      </c>
      <c r="CZ148" s="330">
        <v>2793.5819999999999</v>
      </c>
      <c r="DA148" s="115"/>
      <c r="DB148" s="115"/>
      <c r="DR148" s="214"/>
      <c r="DY148" s="115"/>
      <c r="DZ148" s="115" t="s">
        <v>1415</v>
      </c>
      <c r="EA148" s="115" t="s">
        <v>2114</v>
      </c>
      <c r="EB148" s="115">
        <v>16</v>
      </c>
      <c r="EC148" s="115" t="s">
        <v>133</v>
      </c>
      <c r="ED148" s="115" t="s">
        <v>1699</v>
      </c>
      <c r="EE148" s="187">
        <v>0.1</v>
      </c>
      <c r="EF148" s="330">
        <v>40.476900000000001</v>
      </c>
      <c r="EG148" s="330">
        <v>28.792100000000001</v>
      </c>
      <c r="EH148" s="115" t="s">
        <v>382</v>
      </c>
      <c r="EI148" s="115" t="s">
        <v>1826</v>
      </c>
      <c r="EJ148" s="115"/>
      <c r="EK148" s="115" t="s">
        <v>1828</v>
      </c>
      <c r="EL148" s="115" t="s">
        <v>382</v>
      </c>
      <c r="EM148"/>
      <c r="EO148" s="115"/>
      <c r="EP148" s="334" t="s">
        <v>1415</v>
      </c>
      <c r="EQ148" s="334" t="s">
        <v>2114</v>
      </c>
      <c r="ER148" s="334" t="s">
        <v>1285</v>
      </c>
      <c r="ES148" s="334" t="s">
        <v>373</v>
      </c>
      <c r="ET148" s="334">
        <v>2024.48</v>
      </c>
      <c r="EU148" s="334" t="s">
        <v>1382</v>
      </c>
      <c r="EV148" s="334">
        <v>78.55</v>
      </c>
    </row>
    <row r="149" spans="4:152" ht="13">
      <c r="D149" s="115" t="s">
        <v>1535</v>
      </c>
      <c r="E149" s="115" t="s">
        <v>1639</v>
      </c>
      <c r="F149" s="115">
        <v>1091.3841</v>
      </c>
      <c r="I149" s="115" t="s">
        <v>1513</v>
      </c>
      <c r="J149" s="115" t="s">
        <v>1369</v>
      </c>
      <c r="K149" s="183">
        <v>13</v>
      </c>
      <c r="AG149" s="115"/>
      <c r="AH149" s="115"/>
      <c r="AI149" s="115" t="s">
        <v>1416</v>
      </c>
      <c r="AJ149" t="s">
        <v>2114</v>
      </c>
      <c r="AK149" s="115">
        <v>0</v>
      </c>
      <c r="AL149" s="115" t="s">
        <v>28</v>
      </c>
      <c r="AM149" s="115" t="s">
        <v>1832</v>
      </c>
      <c r="AN149" s="115" t="s">
        <v>1444</v>
      </c>
      <c r="AO149" s="115" t="s">
        <v>379</v>
      </c>
      <c r="AT149" s="115" t="s">
        <v>1416</v>
      </c>
      <c r="AU149" s="115" t="s">
        <v>2114</v>
      </c>
      <c r="AV149" s="115">
        <v>0</v>
      </c>
      <c r="AW149" s="115" t="s">
        <v>499</v>
      </c>
      <c r="AX149" s="115" t="s">
        <v>28</v>
      </c>
      <c r="AY149" s="115" t="s">
        <v>1843</v>
      </c>
      <c r="AZ149" s="115" t="s">
        <v>1936</v>
      </c>
      <c r="BA149" s="115"/>
      <c r="BB149" s="115"/>
      <c r="BC149" s="115">
        <v>12780</v>
      </c>
      <c r="BD149" s="115"/>
      <c r="BE149" s="115"/>
      <c r="BF149" s="115">
        <v>484.42494845360824</v>
      </c>
      <c r="BG149" s="115"/>
      <c r="BH149" s="115">
        <v>23921.720429896908</v>
      </c>
      <c r="BI149" s="115">
        <v>4062.9387628865979</v>
      </c>
      <c r="BJ149" s="115">
        <v>1763.2790721649485</v>
      </c>
      <c r="BK149" s="115">
        <v>2363.6448453608245</v>
      </c>
      <c r="BL149" s="115">
        <v>1679.7197938144329</v>
      </c>
      <c r="BM149" s="115">
        <v>16471.763200000001</v>
      </c>
      <c r="BN149" s="115">
        <v>6218.0288</v>
      </c>
      <c r="BO149" s="115">
        <v>6524.9808000000003</v>
      </c>
      <c r="BP149" s="115"/>
      <c r="CV149" s="115">
        <v>2025.15</v>
      </c>
      <c r="CW149" s="115" t="s">
        <v>1415</v>
      </c>
      <c r="CX149" s="115" t="s">
        <v>372</v>
      </c>
      <c r="CY149" s="115" t="s">
        <v>2066</v>
      </c>
      <c r="CZ149" s="330">
        <v>1426.329</v>
      </c>
      <c r="DA149" s="115"/>
      <c r="DB149" s="115"/>
      <c r="DR149" s="214"/>
      <c r="DY149" s="115"/>
      <c r="DZ149" s="115" t="s">
        <v>1415</v>
      </c>
      <c r="EA149" s="115" t="s">
        <v>2114</v>
      </c>
      <c r="EB149" s="115">
        <v>0</v>
      </c>
      <c r="EC149" s="115" t="s">
        <v>133</v>
      </c>
      <c r="ED149" s="115" t="s">
        <v>1700</v>
      </c>
      <c r="EE149" s="187">
        <v>0.1</v>
      </c>
      <c r="EF149" s="330">
        <v>40.476900000000001</v>
      </c>
      <c r="EG149" s="330">
        <v>28.792100000000001</v>
      </c>
      <c r="EH149" s="115" t="s">
        <v>382</v>
      </c>
      <c r="EI149" s="115" t="s">
        <v>1826</v>
      </c>
      <c r="EJ149" s="115"/>
      <c r="EK149" s="115" t="s">
        <v>1828</v>
      </c>
      <c r="EL149" s="115" t="s">
        <v>382</v>
      </c>
      <c r="EM149"/>
      <c r="EO149" s="115"/>
      <c r="EP149" s="334" t="s">
        <v>1415</v>
      </c>
      <c r="EQ149" s="334" t="s">
        <v>2114</v>
      </c>
      <c r="ER149" s="334" t="s">
        <v>1285</v>
      </c>
      <c r="ES149" s="334" t="s">
        <v>380</v>
      </c>
      <c r="ET149" s="334">
        <v>2024.48</v>
      </c>
      <c r="EU149" s="334" t="s">
        <v>397</v>
      </c>
      <c r="EV149" s="334">
        <v>0</v>
      </c>
    </row>
    <row r="150" spans="4:152" ht="13">
      <c r="D150" s="115" t="s">
        <v>1535</v>
      </c>
      <c r="E150" s="115" t="s">
        <v>360</v>
      </c>
      <c r="F150" s="115">
        <v>464.6</v>
      </c>
      <c r="I150" s="115" t="s">
        <v>1513</v>
      </c>
      <c r="J150" s="115" t="s">
        <v>1355</v>
      </c>
      <c r="K150" s="183">
        <v>4</v>
      </c>
      <c r="AG150" s="115"/>
      <c r="AH150" s="115"/>
      <c r="AI150" s="115" t="s">
        <v>1416</v>
      </c>
      <c r="AJ150" t="s">
        <v>2114</v>
      </c>
      <c r="AK150" s="115">
        <v>0</v>
      </c>
      <c r="AL150" s="115" t="s">
        <v>28</v>
      </c>
      <c r="AM150" s="115" t="s">
        <v>1843</v>
      </c>
      <c r="AN150" s="115" t="s">
        <v>1444</v>
      </c>
      <c r="AO150" s="115" t="s">
        <v>379</v>
      </c>
      <c r="AT150" s="115" t="s">
        <v>1415</v>
      </c>
      <c r="AU150" s="115" t="s">
        <v>2114</v>
      </c>
      <c r="AV150" s="115">
        <v>15</v>
      </c>
      <c r="AW150" s="115" t="s">
        <v>499</v>
      </c>
      <c r="AX150" s="115" t="s">
        <v>28</v>
      </c>
      <c r="AY150" s="115" t="s">
        <v>1843</v>
      </c>
      <c r="AZ150" s="115" t="s">
        <v>1879</v>
      </c>
      <c r="BA150" s="115"/>
      <c r="BB150" s="115"/>
      <c r="BC150" s="115">
        <v>10428.918041237113</v>
      </c>
      <c r="BD150" s="115"/>
      <c r="BE150" s="115"/>
      <c r="BF150" s="115">
        <v>469.7335051546392</v>
      </c>
      <c r="BG150" s="115"/>
      <c r="BH150" s="115">
        <v>20239.399849484536</v>
      </c>
      <c r="BI150" s="115">
        <v>2499.5992783505158</v>
      </c>
      <c r="BJ150" s="115">
        <v>3949.6919587628868</v>
      </c>
      <c r="BK150" s="115">
        <v>597.34525773195878</v>
      </c>
      <c r="BL150" s="115">
        <v>1314.7915463917527</v>
      </c>
      <c r="BM150" s="115">
        <v>3192.7528000000002</v>
      </c>
      <c r="BN150" s="115">
        <v>2004.07</v>
      </c>
      <c r="BO150" s="115">
        <v>2433.48</v>
      </c>
      <c r="BP150" s="115"/>
      <c r="CV150" s="115">
        <v>2025.15</v>
      </c>
      <c r="CW150" s="115" t="s">
        <v>1415</v>
      </c>
      <c r="CX150" s="115" t="s">
        <v>377</v>
      </c>
      <c r="CY150" s="115" t="s">
        <v>2066</v>
      </c>
      <c r="CZ150" s="330">
        <v>1396.7909999999999</v>
      </c>
      <c r="DA150" s="115"/>
      <c r="DB150" s="115"/>
      <c r="DR150" s="214"/>
      <c r="DY150" s="115"/>
      <c r="DZ150" s="115" t="s">
        <v>1415</v>
      </c>
      <c r="EA150" s="115" t="s">
        <v>2114</v>
      </c>
      <c r="EB150" s="115">
        <v>0</v>
      </c>
      <c r="EC150" s="115" t="s">
        <v>133</v>
      </c>
      <c r="ED150" s="115" t="s">
        <v>1699</v>
      </c>
      <c r="EE150" s="187">
        <v>0.1</v>
      </c>
      <c r="EF150" s="330">
        <v>40.476900000000001</v>
      </c>
      <c r="EG150" s="330">
        <v>28.792100000000001</v>
      </c>
      <c r="EH150" s="115" t="s">
        <v>382</v>
      </c>
      <c r="EI150" s="115" t="s">
        <v>1826</v>
      </c>
      <c r="EJ150" s="115"/>
      <c r="EK150" s="115" t="s">
        <v>1828</v>
      </c>
      <c r="EL150" s="115" t="s">
        <v>382</v>
      </c>
      <c r="EM150"/>
      <c r="EO150" s="115"/>
      <c r="EP150" s="334" t="s">
        <v>1415</v>
      </c>
      <c r="EQ150" s="334" t="s">
        <v>2114</v>
      </c>
      <c r="ER150" s="334" t="s">
        <v>1285</v>
      </c>
      <c r="ES150" s="334" t="s">
        <v>380</v>
      </c>
      <c r="ET150" s="334">
        <v>2024.48</v>
      </c>
      <c r="EU150" s="334" t="s">
        <v>1382</v>
      </c>
      <c r="EV150" s="334">
        <v>686</v>
      </c>
    </row>
    <row r="151" spans="4:152" ht="13">
      <c r="D151" s="115" t="s">
        <v>1535</v>
      </c>
      <c r="E151" s="115" t="s">
        <v>386</v>
      </c>
      <c r="F151" s="115">
        <v>839.52620000000002</v>
      </c>
      <c r="I151" s="115" t="s">
        <v>1513</v>
      </c>
      <c r="J151" s="115" t="s">
        <v>1361</v>
      </c>
      <c r="K151" s="183">
        <v>69.23</v>
      </c>
      <c r="AG151" s="115"/>
      <c r="AH151" s="115"/>
      <c r="AI151" s="115" t="s">
        <v>1416</v>
      </c>
      <c r="AJ151" t="s">
        <v>2114</v>
      </c>
      <c r="AK151" s="115">
        <v>0</v>
      </c>
      <c r="AL151" s="115" t="s">
        <v>28</v>
      </c>
      <c r="AM151" s="115" t="s">
        <v>1850</v>
      </c>
      <c r="AN151" s="115" t="s">
        <v>1444</v>
      </c>
      <c r="AO151" s="115" t="s">
        <v>379</v>
      </c>
      <c r="AT151" s="115" t="s">
        <v>1416</v>
      </c>
      <c r="AU151" s="115" t="s">
        <v>2114</v>
      </c>
      <c r="AV151" s="115">
        <v>0</v>
      </c>
      <c r="AW151" s="115" t="s">
        <v>499</v>
      </c>
      <c r="AX151" s="115" t="s">
        <v>28</v>
      </c>
      <c r="AY151" s="115" t="s">
        <v>1849</v>
      </c>
      <c r="AZ151" s="115" t="s">
        <v>1936</v>
      </c>
      <c r="BA151" s="115"/>
      <c r="BB151" s="115"/>
      <c r="BC151" s="115">
        <v>86.087499999999991</v>
      </c>
      <c r="BD151" s="115"/>
      <c r="BE151" s="115"/>
      <c r="BF151" s="115"/>
      <c r="BG151" s="115"/>
      <c r="BH151" s="115">
        <v>369.78254640000006</v>
      </c>
      <c r="BI151" s="115">
        <v>100.61324999999999</v>
      </c>
      <c r="BJ151" s="115">
        <v>4.0812749999999989</v>
      </c>
      <c r="BK151" s="115">
        <v>75.427200000000013</v>
      </c>
      <c r="BL151" s="115">
        <v>53.602200000000003</v>
      </c>
      <c r="BM151" s="115"/>
      <c r="BN151" s="115"/>
      <c r="BO151" s="115"/>
      <c r="BP151" s="115"/>
      <c r="CV151" s="115">
        <v>2025.16</v>
      </c>
      <c r="CW151" s="115" t="s">
        <v>1415</v>
      </c>
      <c r="CX151" s="115" t="s">
        <v>1645</v>
      </c>
      <c r="CY151" s="115" t="s">
        <v>2063</v>
      </c>
      <c r="CZ151" s="330">
        <v>11121</v>
      </c>
      <c r="DA151" s="115"/>
      <c r="DB151" s="115"/>
      <c r="DR151" s="214"/>
      <c r="DY151" s="115"/>
      <c r="DZ151" s="115" t="s">
        <v>1415</v>
      </c>
      <c r="EA151" s="115" t="s">
        <v>2114</v>
      </c>
      <c r="EB151" s="115">
        <v>15</v>
      </c>
      <c r="EC151" s="115" t="s">
        <v>135</v>
      </c>
      <c r="ED151" s="115" t="s">
        <v>1700</v>
      </c>
      <c r="EE151" s="187">
        <v>0.1</v>
      </c>
      <c r="EF151" s="330">
        <v>40.476900000000001</v>
      </c>
      <c r="EG151" s="330">
        <v>28.792100000000001</v>
      </c>
      <c r="EH151" s="115" t="s">
        <v>383</v>
      </c>
      <c r="EI151" s="115" t="s">
        <v>1826</v>
      </c>
      <c r="EJ151" s="115"/>
      <c r="EK151" s="115" t="s">
        <v>1828</v>
      </c>
      <c r="EL151" s="115" t="s">
        <v>383</v>
      </c>
      <c r="EM151"/>
      <c r="EO151" s="115"/>
      <c r="EP151" s="334" t="s">
        <v>1415</v>
      </c>
      <c r="EQ151" s="334" t="s">
        <v>2114</v>
      </c>
      <c r="ER151" s="334" t="s">
        <v>1285</v>
      </c>
      <c r="ES151" s="334" t="s">
        <v>380</v>
      </c>
      <c r="ET151" s="334">
        <v>2025.03</v>
      </c>
      <c r="EU151" s="334" t="s">
        <v>397</v>
      </c>
      <c r="EV151" s="334">
        <v>0</v>
      </c>
    </row>
    <row r="152" spans="4:152" ht="13">
      <c r="D152" s="115" t="s">
        <v>1496</v>
      </c>
      <c r="E152" s="115" t="s">
        <v>1677</v>
      </c>
      <c r="F152" s="115">
        <v>-16363.205900000001</v>
      </c>
      <c r="I152" s="115" t="s">
        <v>1513</v>
      </c>
      <c r="J152" s="115" t="s">
        <v>1364</v>
      </c>
      <c r="K152" s="183">
        <v>300</v>
      </c>
      <c r="AG152" s="115"/>
      <c r="AH152" s="115"/>
      <c r="AI152" s="115" t="s">
        <v>1416</v>
      </c>
      <c r="AJ152" t="s">
        <v>2114</v>
      </c>
      <c r="AK152" s="115">
        <v>0</v>
      </c>
      <c r="AL152" s="115" t="s">
        <v>28</v>
      </c>
      <c r="AM152" s="115" t="s">
        <v>1846</v>
      </c>
      <c r="AN152" s="115" t="s">
        <v>1444</v>
      </c>
      <c r="AO152" s="115" t="s">
        <v>379</v>
      </c>
      <c r="AT152" s="115" t="s">
        <v>1415</v>
      </c>
      <c r="AU152" s="115" t="s">
        <v>2114</v>
      </c>
      <c r="AV152" s="115">
        <v>15</v>
      </c>
      <c r="AW152" s="115" t="s">
        <v>499</v>
      </c>
      <c r="AX152" s="115" t="s">
        <v>28</v>
      </c>
      <c r="AY152" s="115" t="s">
        <v>1849</v>
      </c>
      <c r="AZ152" s="115" t="s">
        <v>1879</v>
      </c>
      <c r="BA152" s="115"/>
      <c r="BB152" s="115"/>
      <c r="BC152" s="115">
        <v>67.536249999999995</v>
      </c>
      <c r="BD152" s="115"/>
      <c r="BE152" s="115"/>
      <c r="BF152" s="115"/>
      <c r="BG152" s="115"/>
      <c r="BH152" s="115">
        <v>298.913454</v>
      </c>
      <c r="BI152" s="115">
        <v>60.05512499999999</v>
      </c>
      <c r="BJ152" s="115">
        <v>8.2553062499999985</v>
      </c>
      <c r="BK152" s="115">
        <v>18.215145000000003</v>
      </c>
      <c r="BL152" s="115">
        <v>35.0946</v>
      </c>
      <c r="BM152" s="115"/>
      <c r="BN152" s="115"/>
      <c r="BO152" s="115"/>
      <c r="BP152" s="115"/>
      <c r="CV152" s="115">
        <v>2025.17</v>
      </c>
      <c r="CW152" s="115" t="s">
        <v>1415</v>
      </c>
      <c r="CX152" s="115" t="s">
        <v>1645</v>
      </c>
      <c r="CY152" s="115" t="s">
        <v>2063</v>
      </c>
      <c r="CZ152" s="330">
        <v>11121</v>
      </c>
      <c r="DA152" s="115"/>
      <c r="DB152" s="115"/>
      <c r="DR152" s="214"/>
      <c r="DY152" s="115"/>
      <c r="DZ152" s="115" t="s">
        <v>1415</v>
      </c>
      <c r="EA152" s="115" t="s">
        <v>2114</v>
      </c>
      <c r="EB152" s="115">
        <v>15</v>
      </c>
      <c r="EC152" s="115" t="s">
        <v>135</v>
      </c>
      <c r="ED152" s="115" t="s">
        <v>1699</v>
      </c>
      <c r="EE152" s="187">
        <v>0.1</v>
      </c>
      <c r="EF152" s="330">
        <v>40.476900000000001</v>
      </c>
      <c r="EG152" s="330">
        <v>28.792100000000001</v>
      </c>
      <c r="EH152" s="115" t="s">
        <v>383</v>
      </c>
      <c r="EI152" s="115" t="s">
        <v>1826</v>
      </c>
      <c r="EJ152" s="115"/>
      <c r="EK152" s="115" t="s">
        <v>1828</v>
      </c>
      <c r="EL152" s="115" t="s">
        <v>383</v>
      </c>
      <c r="EM152"/>
      <c r="EO152" s="115"/>
      <c r="EP152" s="334" t="s">
        <v>1415</v>
      </c>
      <c r="EQ152" s="334" t="s">
        <v>2114</v>
      </c>
      <c r="ER152" s="334" t="s">
        <v>1285</v>
      </c>
      <c r="ES152" s="334" t="s">
        <v>380</v>
      </c>
      <c r="ET152" s="334">
        <v>2025.03</v>
      </c>
      <c r="EU152" s="334" t="s">
        <v>1382</v>
      </c>
      <c r="EV152" s="334">
        <v>1029</v>
      </c>
    </row>
    <row r="153" spans="4:152" ht="13">
      <c r="D153" s="115" t="s">
        <v>1498</v>
      </c>
      <c r="E153" s="115" t="s">
        <v>1677</v>
      </c>
      <c r="F153" s="115">
        <v>-16363.205900000001</v>
      </c>
      <c r="I153" s="115" t="s">
        <v>1513</v>
      </c>
      <c r="J153" s="115" t="s">
        <v>1367</v>
      </c>
      <c r="K153" s="183">
        <v>8</v>
      </c>
      <c r="AG153" s="115"/>
      <c r="AH153" s="115"/>
      <c r="AI153" s="115" t="s">
        <v>1416</v>
      </c>
      <c r="AJ153" t="s">
        <v>2114</v>
      </c>
      <c r="AK153" s="115">
        <v>0</v>
      </c>
      <c r="AL153" s="115" t="s">
        <v>28</v>
      </c>
      <c r="AM153" s="115" t="s">
        <v>1849</v>
      </c>
      <c r="AN153" s="115" t="s">
        <v>1444</v>
      </c>
      <c r="AO153" s="115" t="s">
        <v>379</v>
      </c>
      <c r="AT153" s="115" t="s">
        <v>1416</v>
      </c>
      <c r="AU153" s="115" t="s">
        <v>2114</v>
      </c>
      <c r="AV153" s="115">
        <v>0</v>
      </c>
      <c r="AW153" s="115" t="s">
        <v>499</v>
      </c>
      <c r="AX153" s="115" t="s">
        <v>28</v>
      </c>
      <c r="AY153" s="115" t="s">
        <v>1850</v>
      </c>
      <c r="AZ153" s="115" t="s">
        <v>1936</v>
      </c>
      <c r="BA153" s="115"/>
      <c r="BB153" s="115"/>
      <c r="BC153" s="115">
        <v>258.26249999999999</v>
      </c>
      <c r="BD153" s="115"/>
      <c r="BE153" s="115"/>
      <c r="BF153" s="115">
        <v>10.9125</v>
      </c>
      <c r="BG153" s="115"/>
      <c r="BH153" s="115">
        <v>41.086949600000004</v>
      </c>
      <c r="BI153" s="115">
        <v>33.537749999999996</v>
      </c>
      <c r="BJ153" s="115">
        <v>36.731475000000003</v>
      </c>
      <c r="BK153" s="115">
        <v>8.3808000000000007</v>
      </c>
      <c r="BL153" s="115">
        <v>5.9558</v>
      </c>
      <c r="BM153" s="115"/>
      <c r="BN153" s="115"/>
      <c r="BO153" s="115"/>
      <c r="BP153" s="115"/>
      <c r="CV153" s="115">
        <v>2025.16</v>
      </c>
      <c r="CW153" s="115" t="s">
        <v>1415</v>
      </c>
      <c r="CX153" s="115" t="s">
        <v>387</v>
      </c>
      <c r="CY153" s="115" t="s">
        <v>2063</v>
      </c>
      <c r="CZ153" s="330">
        <v>3093.7379999999998</v>
      </c>
      <c r="DA153" s="115"/>
      <c r="DB153" s="115"/>
      <c r="DR153" s="214"/>
      <c r="DY153" s="115"/>
      <c r="DZ153" s="115" t="s">
        <v>1416</v>
      </c>
      <c r="EA153" s="115" t="s">
        <v>2114</v>
      </c>
      <c r="EB153" s="115">
        <v>0</v>
      </c>
      <c r="EC153" s="115" t="s">
        <v>135</v>
      </c>
      <c r="ED153" s="115" t="s">
        <v>1700</v>
      </c>
      <c r="EE153" s="187">
        <v>0.1</v>
      </c>
      <c r="EF153" s="330">
        <v>37.5</v>
      </c>
      <c r="EG153" s="330">
        <v>26.23</v>
      </c>
      <c r="EH153" s="115" t="s">
        <v>383</v>
      </c>
      <c r="EI153" s="115" t="s">
        <v>1826</v>
      </c>
      <c r="EJ153" s="115"/>
      <c r="EK153" s="115" t="s">
        <v>1828</v>
      </c>
      <c r="EL153" s="115" t="s">
        <v>383</v>
      </c>
      <c r="EM153"/>
      <c r="EO153" s="115"/>
      <c r="EP153" s="334" t="s">
        <v>1415</v>
      </c>
      <c r="EQ153" s="334" t="s">
        <v>2114</v>
      </c>
      <c r="ER153" s="334" t="s">
        <v>288</v>
      </c>
      <c r="ES153" s="334" t="s">
        <v>379</v>
      </c>
      <c r="ET153" s="334">
        <v>2024.48</v>
      </c>
      <c r="EU153" s="334" t="s">
        <v>397</v>
      </c>
      <c r="EV153" s="334">
        <v>0</v>
      </c>
    </row>
    <row r="154" spans="4:152" ht="13">
      <c r="D154" s="115" t="s">
        <v>1500</v>
      </c>
      <c r="E154" s="115" t="s">
        <v>1677</v>
      </c>
      <c r="F154" s="115">
        <v>-116024.3731</v>
      </c>
      <c r="I154" s="115" t="s">
        <v>1513</v>
      </c>
      <c r="J154" s="115" t="s">
        <v>1362</v>
      </c>
      <c r="K154" s="183">
        <v>95</v>
      </c>
      <c r="AG154" s="115"/>
      <c r="AH154" s="115"/>
      <c r="AI154" s="115" t="s">
        <v>1416</v>
      </c>
      <c r="AJ154" t="s">
        <v>2114</v>
      </c>
      <c r="AK154" s="115">
        <v>0</v>
      </c>
      <c r="AL154" s="115" t="s">
        <v>28</v>
      </c>
      <c r="AM154" s="115" t="s">
        <v>1848</v>
      </c>
      <c r="AN154" s="115" t="s">
        <v>1444</v>
      </c>
      <c r="AO154" s="115" t="s">
        <v>379</v>
      </c>
      <c r="AT154" s="115" t="s">
        <v>1415</v>
      </c>
      <c r="AU154" s="115" t="s">
        <v>2114</v>
      </c>
      <c r="AV154" s="115">
        <v>15</v>
      </c>
      <c r="AW154" s="115" t="s">
        <v>499</v>
      </c>
      <c r="AX154" s="115" t="s">
        <v>28</v>
      </c>
      <c r="AY154" s="115" t="s">
        <v>1850</v>
      </c>
      <c r="AZ154" s="115" t="s">
        <v>1879</v>
      </c>
      <c r="BA154" s="115"/>
      <c r="BB154" s="115"/>
      <c r="BC154" s="115">
        <v>202.60874999999999</v>
      </c>
      <c r="BD154" s="115"/>
      <c r="BE154" s="115"/>
      <c r="BF154" s="115">
        <v>10.185</v>
      </c>
      <c r="BG154" s="115"/>
      <c r="BH154" s="115">
        <v>33.212606000000001</v>
      </c>
      <c r="BI154" s="115">
        <v>20.018374999999995</v>
      </c>
      <c r="BJ154" s="115">
        <v>74.297756249999992</v>
      </c>
      <c r="BK154" s="115">
        <v>2.0239050000000005</v>
      </c>
      <c r="BL154" s="115">
        <v>3.8994</v>
      </c>
      <c r="BM154" s="115"/>
      <c r="BN154" s="115"/>
      <c r="BO154" s="115"/>
      <c r="BP154" s="115"/>
      <c r="CV154" s="115">
        <v>2025.16</v>
      </c>
      <c r="CW154" s="115" t="s">
        <v>1415</v>
      </c>
      <c r="CX154" s="115" t="s">
        <v>380</v>
      </c>
      <c r="CY154" s="115" t="s">
        <v>2063</v>
      </c>
      <c r="CZ154" s="330">
        <v>9083.9399999999987</v>
      </c>
      <c r="DA154" s="115"/>
      <c r="DB154" s="115"/>
      <c r="DR154" s="214"/>
      <c r="DY154" s="115"/>
      <c r="DZ154" s="115" t="s">
        <v>1416</v>
      </c>
      <c r="EA154" s="115" t="s">
        <v>2114</v>
      </c>
      <c r="EB154" s="115">
        <v>0</v>
      </c>
      <c r="EC154" s="115" t="s">
        <v>135</v>
      </c>
      <c r="ED154" s="115" t="s">
        <v>1699</v>
      </c>
      <c r="EE154" s="187">
        <v>0.1</v>
      </c>
      <c r="EF154" s="330">
        <v>37.5</v>
      </c>
      <c r="EG154" s="330">
        <v>26.23</v>
      </c>
      <c r="EH154" s="115" t="s">
        <v>383</v>
      </c>
      <c r="EI154" s="115" t="s">
        <v>1826</v>
      </c>
      <c r="EJ154" s="115"/>
      <c r="EK154" s="115" t="s">
        <v>1828</v>
      </c>
      <c r="EL154" s="115" t="s">
        <v>383</v>
      </c>
      <c r="EM154"/>
      <c r="EO154" s="115"/>
      <c r="EP154" s="334" t="s">
        <v>1415</v>
      </c>
      <c r="EQ154" s="334" t="s">
        <v>2114</v>
      </c>
      <c r="ER154" s="334" t="s">
        <v>288</v>
      </c>
      <c r="ES154" s="334" t="s">
        <v>379</v>
      </c>
      <c r="ET154" s="334">
        <v>2024.48</v>
      </c>
      <c r="EU154" s="334" t="s">
        <v>1382</v>
      </c>
      <c r="EV154" s="334">
        <v>2382</v>
      </c>
    </row>
    <row r="155" spans="4:152" ht="13">
      <c r="D155" s="115" t="s">
        <v>1502</v>
      </c>
      <c r="E155" s="115" t="s">
        <v>1677</v>
      </c>
      <c r="F155" s="115">
        <v>36316.565999999999</v>
      </c>
      <c r="I155" s="115" t="s">
        <v>1513</v>
      </c>
      <c r="J155" s="115" t="s">
        <v>1368</v>
      </c>
      <c r="K155" s="183">
        <v>11.5</v>
      </c>
      <c r="AG155" s="115"/>
      <c r="AH155" s="115"/>
      <c r="AI155" s="115" t="s">
        <v>1416</v>
      </c>
      <c r="AJ155" t="s">
        <v>2114</v>
      </c>
      <c r="AK155" s="115">
        <v>0</v>
      </c>
      <c r="AL155" s="115" t="s">
        <v>28</v>
      </c>
      <c r="AM155" s="115" t="s">
        <v>1848</v>
      </c>
      <c r="AN155" s="115" t="s">
        <v>1444</v>
      </c>
      <c r="AO155" s="115" t="s">
        <v>1645</v>
      </c>
      <c r="AT155" s="115" t="s">
        <v>1416</v>
      </c>
      <c r="AU155" s="115" t="s">
        <v>2114</v>
      </c>
      <c r="AV155" s="115">
        <v>0</v>
      </c>
      <c r="AW155" s="115" t="s">
        <v>499</v>
      </c>
      <c r="AX155" s="115" t="s">
        <v>28</v>
      </c>
      <c r="AY155" s="115" t="s">
        <v>1832</v>
      </c>
      <c r="AZ155" s="115" t="s">
        <v>1936</v>
      </c>
      <c r="BA155" s="115"/>
      <c r="BB155" s="115"/>
      <c r="BC155" s="115">
        <v>355</v>
      </c>
      <c r="BD155" s="115"/>
      <c r="BE155" s="115"/>
      <c r="BF155" s="115">
        <v>11.25</v>
      </c>
      <c r="BG155" s="115"/>
      <c r="BH155" s="115">
        <v>423.57680000000005</v>
      </c>
      <c r="BI155" s="115">
        <v>138.29999999999998</v>
      </c>
      <c r="BJ155" s="115">
        <v>42.075000000000003</v>
      </c>
      <c r="BK155" s="115">
        <v>86.4</v>
      </c>
      <c r="BL155" s="115">
        <v>61.4</v>
      </c>
      <c r="BM155" s="115"/>
      <c r="BN155" s="115"/>
      <c r="BO155" s="115"/>
      <c r="BP155" s="115"/>
      <c r="CV155" s="115">
        <v>2025.17</v>
      </c>
      <c r="CW155" s="115" t="s">
        <v>1415</v>
      </c>
      <c r="CX155" s="115" t="s">
        <v>387</v>
      </c>
      <c r="CY155" s="115" t="s">
        <v>2063</v>
      </c>
      <c r="CZ155" s="330">
        <v>3093.7379999999998</v>
      </c>
      <c r="DA155" s="115"/>
      <c r="DB155" s="115"/>
      <c r="DR155" s="214"/>
      <c r="DY155" s="115"/>
      <c r="DZ155" s="115" t="s">
        <v>1415</v>
      </c>
      <c r="EA155" s="115" t="s">
        <v>2114</v>
      </c>
      <c r="EB155" s="115">
        <v>16</v>
      </c>
      <c r="EC155" s="115" t="s">
        <v>135</v>
      </c>
      <c r="ED155" s="115" t="s">
        <v>1700</v>
      </c>
      <c r="EE155" s="187">
        <v>0.1</v>
      </c>
      <c r="EF155" s="330">
        <v>40.476900000000001</v>
      </c>
      <c r="EG155" s="330">
        <v>28.792100000000001</v>
      </c>
      <c r="EH155" s="115" t="s">
        <v>383</v>
      </c>
      <c r="EI155" s="115" t="s">
        <v>1826</v>
      </c>
      <c r="EJ155" s="115"/>
      <c r="EK155" s="115" t="s">
        <v>1828</v>
      </c>
      <c r="EL155" s="115" t="s">
        <v>383</v>
      </c>
      <c r="EM155"/>
      <c r="EO155" s="115"/>
      <c r="EP155" s="334" t="s">
        <v>1415</v>
      </c>
      <c r="EQ155" s="334" t="s">
        <v>2114</v>
      </c>
      <c r="ER155" s="334" t="s">
        <v>288</v>
      </c>
      <c r="ES155" s="334" t="s">
        <v>379</v>
      </c>
      <c r="ET155" s="334">
        <v>2025.03</v>
      </c>
      <c r="EU155" s="334" t="s">
        <v>397</v>
      </c>
      <c r="EV155" s="334">
        <v>0</v>
      </c>
    </row>
    <row r="156" spans="4:152" ht="13">
      <c r="D156" s="115" t="s">
        <v>1503</v>
      </c>
      <c r="E156" s="115" t="s">
        <v>1677</v>
      </c>
      <c r="F156" s="115">
        <v>356187.31599999999</v>
      </c>
      <c r="I156" s="115" t="s">
        <v>1513</v>
      </c>
      <c r="J156" s="115" t="s">
        <v>1360</v>
      </c>
      <c r="K156" s="183">
        <v>0.25</v>
      </c>
      <c r="AG156" s="115"/>
      <c r="AH156" s="115"/>
      <c r="AI156" s="115" t="s">
        <v>1416</v>
      </c>
      <c r="AJ156" t="s">
        <v>2114</v>
      </c>
      <c r="AK156" s="115">
        <v>0</v>
      </c>
      <c r="AL156" s="115" t="s">
        <v>28</v>
      </c>
      <c r="AM156" s="115" t="s">
        <v>1832</v>
      </c>
      <c r="AN156" s="115" t="s">
        <v>1444</v>
      </c>
      <c r="AO156" s="115" t="s">
        <v>1645</v>
      </c>
      <c r="AT156" s="115" t="s">
        <v>1415</v>
      </c>
      <c r="AU156" s="115" t="s">
        <v>2114</v>
      </c>
      <c r="AV156" s="115">
        <v>15</v>
      </c>
      <c r="AW156" s="115" t="s">
        <v>499</v>
      </c>
      <c r="AX156" s="115" t="s">
        <v>28</v>
      </c>
      <c r="AY156" s="115" t="s">
        <v>1832</v>
      </c>
      <c r="AZ156" s="115" t="s">
        <v>1879</v>
      </c>
      <c r="BA156" s="115"/>
      <c r="BB156" s="115"/>
      <c r="BC156" s="115">
        <v>278.5</v>
      </c>
      <c r="BD156" s="115"/>
      <c r="BE156" s="115"/>
      <c r="BF156" s="115">
        <v>10.5</v>
      </c>
      <c r="BG156" s="115"/>
      <c r="BH156" s="115">
        <v>342.39800000000002</v>
      </c>
      <c r="BI156" s="115">
        <v>82.549999999999983</v>
      </c>
      <c r="BJ156" s="115">
        <v>85.106250000000003</v>
      </c>
      <c r="BK156" s="115">
        <v>20.865000000000002</v>
      </c>
      <c r="BL156" s="115">
        <v>40.200000000000003</v>
      </c>
      <c r="BM156" s="115"/>
      <c r="BN156" s="115"/>
      <c r="BO156" s="115"/>
      <c r="BP156" s="115"/>
      <c r="CV156" s="115">
        <v>2025.17</v>
      </c>
      <c r="CW156" s="115" t="s">
        <v>1415</v>
      </c>
      <c r="CX156" s="115" t="s">
        <v>380</v>
      </c>
      <c r="CY156" s="115" t="s">
        <v>2063</v>
      </c>
      <c r="CZ156" s="330">
        <v>9083.9399999999987</v>
      </c>
      <c r="DA156" s="115"/>
      <c r="DB156" s="115"/>
      <c r="DR156" s="214"/>
      <c r="DY156" s="115"/>
      <c r="DZ156" s="115" t="s">
        <v>1415</v>
      </c>
      <c r="EA156" s="115" t="s">
        <v>2114</v>
      </c>
      <c r="EB156" s="115">
        <v>16</v>
      </c>
      <c r="EC156" s="115" t="s">
        <v>135</v>
      </c>
      <c r="ED156" s="115" t="s">
        <v>1699</v>
      </c>
      <c r="EE156" s="187">
        <v>0.1</v>
      </c>
      <c r="EF156" s="330">
        <v>40.476900000000001</v>
      </c>
      <c r="EG156" s="330">
        <v>28.792100000000001</v>
      </c>
      <c r="EH156" s="115" t="s">
        <v>383</v>
      </c>
      <c r="EI156" s="115" t="s">
        <v>1826</v>
      </c>
      <c r="EJ156" s="115"/>
      <c r="EK156" s="115" t="s">
        <v>1828</v>
      </c>
      <c r="EL156" s="115" t="s">
        <v>383</v>
      </c>
      <c r="EM156"/>
      <c r="EO156" s="115"/>
      <c r="EP156" s="334" t="s">
        <v>1415</v>
      </c>
      <c r="EQ156" s="334" t="s">
        <v>2114</v>
      </c>
      <c r="ER156" s="334" t="s">
        <v>288</v>
      </c>
      <c r="ES156" s="334" t="s">
        <v>379</v>
      </c>
      <c r="ET156" s="334">
        <v>2025.03</v>
      </c>
      <c r="EU156" s="334" t="s">
        <v>1382</v>
      </c>
      <c r="EV156" s="334">
        <v>3872</v>
      </c>
    </row>
    <row r="157" spans="4:152" ht="13">
      <c r="D157" s="115" t="s">
        <v>1505</v>
      </c>
      <c r="E157" s="115" t="s">
        <v>1677</v>
      </c>
      <c r="F157" s="115">
        <v>548057.20120000001</v>
      </c>
      <c r="I157" s="115" t="s">
        <v>1513</v>
      </c>
      <c r="J157" s="115" t="s">
        <v>1358</v>
      </c>
      <c r="K157" s="183" t="s">
        <v>375</v>
      </c>
      <c r="AG157" s="115"/>
      <c r="AH157" s="115"/>
      <c r="AI157" s="115" t="s">
        <v>1416</v>
      </c>
      <c r="AJ157" t="s">
        <v>2114</v>
      </c>
      <c r="AK157" s="115">
        <v>0</v>
      </c>
      <c r="AL157" s="115" t="s">
        <v>28</v>
      </c>
      <c r="AM157" s="115" t="s">
        <v>1846</v>
      </c>
      <c r="AN157" s="115" t="s">
        <v>1444</v>
      </c>
      <c r="AO157" s="115" t="s">
        <v>1645</v>
      </c>
      <c r="AT157" s="115" t="s">
        <v>1416</v>
      </c>
      <c r="AU157" s="115" t="s">
        <v>2114</v>
      </c>
      <c r="AV157" s="115">
        <v>0</v>
      </c>
      <c r="AW157" s="115" t="s">
        <v>499</v>
      </c>
      <c r="AX157" s="115" t="s">
        <v>28</v>
      </c>
      <c r="AY157" s="115" t="s">
        <v>1846</v>
      </c>
      <c r="AZ157" s="115" t="s">
        <v>1937</v>
      </c>
      <c r="BA157" s="115"/>
      <c r="BB157" s="115"/>
      <c r="BC157" s="115">
        <v>1423.5829125000005</v>
      </c>
      <c r="BD157" s="115"/>
      <c r="BE157" s="115"/>
      <c r="BF157" s="115"/>
      <c r="BG157" s="115"/>
      <c r="BH157" s="115">
        <v>16822.330423071995</v>
      </c>
      <c r="BI157" s="115">
        <v>2271.5564759999997</v>
      </c>
      <c r="BJ157" s="115">
        <v>171.60771974999994</v>
      </c>
      <c r="BK157" s="115">
        <v>1633.8286664999998</v>
      </c>
      <c r="BL157" s="115">
        <v>1087.6925249999999</v>
      </c>
      <c r="BM157" s="115">
        <v>7636.4675000000007</v>
      </c>
      <c r="BN157" s="115">
        <v>5285.4326000000001</v>
      </c>
      <c r="BO157" s="115">
        <v>4886.0244000000002</v>
      </c>
      <c r="BP157" s="115"/>
      <c r="CV157" s="115">
        <v>2025.18</v>
      </c>
      <c r="CW157" s="115" t="s">
        <v>1415</v>
      </c>
      <c r="CX157" s="115" t="s">
        <v>387</v>
      </c>
      <c r="CY157" s="115" t="s">
        <v>2063</v>
      </c>
      <c r="CZ157" s="330">
        <v>6971.4889999999996</v>
      </c>
      <c r="DA157" s="115"/>
      <c r="DB157" s="115"/>
      <c r="DR157" s="214"/>
      <c r="DY157" s="115"/>
      <c r="DZ157" s="115" t="s">
        <v>1415</v>
      </c>
      <c r="EA157" s="115" t="s">
        <v>2114</v>
      </c>
      <c r="EB157" s="115">
        <v>0</v>
      </c>
      <c r="EC157" s="115" t="s">
        <v>135</v>
      </c>
      <c r="ED157" s="115" t="s">
        <v>1700</v>
      </c>
      <c r="EE157" s="187">
        <v>0.1</v>
      </c>
      <c r="EF157" s="330">
        <v>40.476900000000001</v>
      </c>
      <c r="EG157" s="330">
        <v>28.792100000000001</v>
      </c>
      <c r="EH157" s="115" t="s">
        <v>383</v>
      </c>
      <c r="EI157" s="115" t="s">
        <v>1826</v>
      </c>
      <c r="EJ157" s="115"/>
      <c r="EK157" s="115" t="s">
        <v>1828</v>
      </c>
      <c r="EL157" s="115" t="s">
        <v>383</v>
      </c>
      <c r="EM157"/>
      <c r="EO157" s="115"/>
      <c r="EP157" s="334" t="s">
        <v>1415</v>
      </c>
      <c r="EQ157" s="334" t="s">
        <v>2114</v>
      </c>
      <c r="ER157" s="334" t="s">
        <v>288</v>
      </c>
      <c r="ES157" s="334" t="s">
        <v>389</v>
      </c>
      <c r="ET157" s="334">
        <v>2025.03</v>
      </c>
      <c r="EU157" s="334" t="s">
        <v>397</v>
      </c>
      <c r="EV157" s="334">
        <v>0</v>
      </c>
    </row>
    <row r="158" spans="4:152" ht="13">
      <c r="D158" s="115" t="s">
        <v>1507</v>
      </c>
      <c r="E158" s="115" t="s">
        <v>1677</v>
      </c>
      <c r="F158" s="115">
        <v>11195.7672</v>
      </c>
      <c r="I158" s="115" t="s">
        <v>1513</v>
      </c>
      <c r="J158" s="115" t="s">
        <v>1354</v>
      </c>
      <c r="K158" s="183">
        <v>45141</v>
      </c>
      <c r="AG158" s="115"/>
      <c r="AH158" s="115"/>
      <c r="AI158" s="115" t="s">
        <v>1416</v>
      </c>
      <c r="AJ158" t="s">
        <v>2114</v>
      </c>
      <c r="AK158" s="115">
        <v>0</v>
      </c>
      <c r="AL158" s="115" t="s">
        <v>28</v>
      </c>
      <c r="AM158" s="115" t="s">
        <v>1850</v>
      </c>
      <c r="AN158" s="115" t="s">
        <v>1444</v>
      </c>
      <c r="AO158" s="115" t="s">
        <v>1645</v>
      </c>
      <c r="AT158" s="115" t="s">
        <v>1415</v>
      </c>
      <c r="AU158" s="115" t="s">
        <v>2114</v>
      </c>
      <c r="AV158" s="115">
        <v>15</v>
      </c>
      <c r="AW158" s="115" t="s">
        <v>499</v>
      </c>
      <c r="AX158" s="115" t="s">
        <v>28</v>
      </c>
      <c r="AY158" s="115" t="s">
        <v>1846</v>
      </c>
      <c r="AZ158" s="115" t="s">
        <v>1880</v>
      </c>
      <c r="BA158" s="115"/>
      <c r="BB158" s="115"/>
      <c r="BC158" s="115">
        <v>3883.9895615000005</v>
      </c>
      <c r="BD158" s="115"/>
      <c r="BE158" s="115"/>
      <c r="BF158" s="115"/>
      <c r="BG158" s="115"/>
      <c r="BH158" s="115">
        <v>28809.961530315202</v>
      </c>
      <c r="BI158" s="115">
        <v>3433.4585646075002</v>
      </c>
      <c r="BJ158" s="115">
        <v>522.97319333999997</v>
      </c>
      <c r="BK158" s="115">
        <v>1014.5945907045</v>
      </c>
      <c r="BL158" s="115">
        <v>1941.7176299250002</v>
      </c>
      <c r="BM158" s="115">
        <v>4108.1721999999991</v>
      </c>
      <c r="BN158" s="115">
        <v>3197.39</v>
      </c>
      <c r="BO158" s="115">
        <v>3420.93</v>
      </c>
      <c r="BP158" s="115"/>
      <c r="CV158" s="115">
        <v>2025.18</v>
      </c>
      <c r="CW158" s="115" t="s">
        <v>1415</v>
      </c>
      <c r="CX158" s="115" t="s">
        <v>380</v>
      </c>
      <c r="CY158" s="115" t="s">
        <v>2063</v>
      </c>
      <c r="CZ158" s="330">
        <v>13802.798000000001</v>
      </c>
      <c r="DA158" s="115"/>
      <c r="DB158" s="115"/>
      <c r="DR158" s="214"/>
      <c r="DY158" s="115"/>
      <c r="DZ158" s="115" t="s">
        <v>1415</v>
      </c>
      <c r="EA158" s="115" t="s">
        <v>2114</v>
      </c>
      <c r="EB158" s="115">
        <v>0</v>
      </c>
      <c r="EC158" s="115" t="s">
        <v>135</v>
      </c>
      <c r="ED158" s="115" t="s">
        <v>1699</v>
      </c>
      <c r="EE158" s="187">
        <v>0.1</v>
      </c>
      <c r="EF158" s="330">
        <v>40.476900000000001</v>
      </c>
      <c r="EG158" s="330">
        <v>28.792100000000001</v>
      </c>
      <c r="EH158" s="115" t="s">
        <v>383</v>
      </c>
      <c r="EI158" s="115" t="s">
        <v>1826</v>
      </c>
      <c r="EJ158" s="115"/>
      <c r="EK158" s="115" t="s">
        <v>1828</v>
      </c>
      <c r="EL158" s="115" t="s">
        <v>383</v>
      </c>
      <c r="EM158"/>
      <c r="EO158" s="115"/>
      <c r="EP158" s="334" t="s">
        <v>1415</v>
      </c>
      <c r="EQ158" s="334" t="s">
        <v>2114</v>
      </c>
      <c r="ER158" s="334" t="s">
        <v>288</v>
      </c>
      <c r="ES158" s="334" t="s">
        <v>389</v>
      </c>
      <c r="ET158" s="334">
        <v>2025.03</v>
      </c>
      <c r="EU158" s="334" t="s">
        <v>1382</v>
      </c>
      <c r="EV158" s="334">
        <v>582.88</v>
      </c>
    </row>
    <row r="159" spans="4:152" ht="13">
      <c r="D159" s="115" t="s">
        <v>1509</v>
      </c>
      <c r="E159" s="115" t="s">
        <v>1677</v>
      </c>
      <c r="F159" s="115">
        <v>49385.2065</v>
      </c>
      <c r="I159" s="115" t="s">
        <v>1513</v>
      </c>
      <c r="J159" s="115" t="s">
        <v>1365</v>
      </c>
      <c r="K159" s="183">
        <v>15</v>
      </c>
      <c r="AG159" s="115"/>
      <c r="AH159" s="115"/>
      <c r="AI159" s="115" t="s">
        <v>1416</v>
      </c>
      <c r="AJ159" t="s">
        <v>2114</v>
      </c>
      <c r="AK159" s="115">
        <v>0</v>
      </c>
      <c r="AL159" s="115" t="s">
        <v>28</v>
      </c>
      <c r="AM159" s="115" t="s">
        <v>1849</v>
      </c>
      <c r="AN159" s="115" t="s">
        <v>1444</v>
      </c>
      <c r="AO159" s="115" t="s">
        <v>1645</v>
      </c>
      <c r="AT159" s="115" t="s">
        <v>1415</v>
      </c>
      <c r="AU159" s="115" t="s">
        <v>2114</v>
      </c>
      <c r="AV159" s="115">
        <v>15</v>
      </c>
      <c r="AW159" s="115" t="s">
        <v>499</v>
      </c>
      <c r="AX159" s="115" t="s">
        <v>28</v>
      </c>
      <c r="AY159" s="115" t="s">
        <v>1848</v>
      </c>
      <c r="AZ159" s="115" t="s">
        <v>1880</v>
      </c>
      <c r="BA159" s="115"/>
      <c r="BB159" s="115"/>
      <c r="BC159" s="115">
        <v>22904.452205250007</v>
      </c>
      <c r="BD159" s="115"/>
      <c r="BE159" s="115"/>
      <c r="BF159" s="115">
        <v>642.44630174999998</v>
      </c>
      <c r="BG159" s="115"/>
      <c r="BH159" s="115">
        <v>2148.2030210827202</v>
      </c>
      <c r="BI159" s="115">
        <v>1261.3584913875</v>
      </c>
      <c r="BJ159" s="115">
        <v>2626.9370579193746</v>
      </c>
      <c r="BK159" s="115">
        <v>158.4834566445</v>
      </c>
      <c r="BL159" s="115">
        <v>303.30353092500002</v>
      </c>
      <c r="BM159" s="115"/>
      <c r="BN159" s="115"/>
      <c r="BO159" s="115"/>
      <c r="BP159" s="115"/>
      <c r="CV159" s="115">
        <v>2025.19</v>
      </c>
      <c r="CW159" s="115" t="s">
        <v>1415</v>
      </c>
      <c r="CX159" s="115" t="s">
        <v>387</v>
      </c>
      <c r="CY159" s="115" t="s">
        <v>2063</v>
      </c>
      <c r="CZ159" s="330">
        <v>4393.3739999999998</v>
      </c>
      <c r="DA159" s="115"/>
      <c r="DB159" s="115"/>
      <c r="DR159" s="214"/>
      <c r="DY159" s="115"/>
      <c r="DZ159" s="334"/>
      <c r="EA159" s="334"/>
      <c r="EB159" s="334"/>
      <c r="EC159" s="334"/>
      <c r="ED159" s="187"/>
      <c r="EE159" s="330"/>
      <c r="EH159" s="334"/>
      <c r="EI159" s="334"/>
      <c r="EM159"/>
      <c r="EO159" s="115"/>
      <c r="EP159" s="334" t="s">
        <v>1415</v>
      </c>
      <c r="EQ159" s="334" t="s">
        <v>2114</v>
      </c>
      <c r="ER159" s="334" t="s">
        <v>288</v>
      </c>
      <c r="ES159" s="334" t="s">
        <v>380</v>
      </c>
      <c r="ET159" s="334">
        <v>2024.48</v>
      </c>
      <c r="EU159" s="334" t="s">
        <v>397</v>
      </c>
      <c r="EV159" s="334">
        <v>0</v>
      </c>
    </row>
    <row r="160" spans="4:152" ht="13">
      <c r="D160" s="115" t="s">
        <v>1511</v>
      </c>
      <c r="E160" s="115" t="s">
        <v>1677</v>
      </c>
      <c r="F160" s="115">
        <v>-74113</v>
      </c>
      <c r="I160" s="115" t="s">
        <v>1513</v>
      </c>
      <c r="J160" s="115" t="s">
        <v>1356</v>
      </c>
      <c r="K160" s="183" t="s">
        <v>1359</v>
      </c>
      <c r="AG160" s="115"/>
      <c r="AH160" s="115"/>
      <c r="AI160" s="115" t="s">
        <v>1416</v>
      </c>
      <c r="AJ160" t="s">
        <v>2114</v>
      </c>
      <c r="AK160" s="115">
        <v>0</v>
      </c>
      <c r="AL160" s="115" t="s">
        <v>28</v>
      </c>
      <c r="AM160" s="115" t="s">
        <v>1843</v>
      </c>
      <c r="AN160" s="115" t="s">
        <v>1444</v>
      </c>
      <c r="AO160" s="115" t="s">
        <v>1645</v>
      </c>
      <c r="AT160" s="115" t="s">
        <v>1416</v>
      </c>
      <c r="AU160" s="115" t="s">
        <v>2114</v>
      </c>
      <c r="AV160" s="115">
        <v>0</v>
      </c>
      <c r="AW160" s="115" t="s">
        <v>499</v>
      </c>
      <c r="AX160" s="115" t="s">
        <v>28</v>
      </c>
      <c r="AY160" s="115" t="s">
        <v>1848</v>
      </c>
      <c r="AZ160" s="115" t="s">
        <v>1937</v>
      </c>
      <c r="BA160" s="115"/>
      <c r="BB160" s="115"/>
      <c r="BC160" s="115">
        <v>8537.3470875000039</v>
      </c>
      <c r="BD160" s="115"/>
      <c r="BE160" s="115"/>
      <c r="BF160" s="115">
        <v>371.99803125</v>
      </c>
      <c r="BG160" s="115"/>
      <c r="BH160" s="115">
        <v>1326.2152045119997</v>
      </c>
      <c r="BI160" s="115">
        <v>969.81977400000005</v>
      </c>
      <c r="BJ160" s="115">
        <v>813.15694125000005</v>
      </c>
      <c r="BK160" s="115">
        <v>259.53562499999998</v>
      </c>
      <c r="BL160" s="115">
        <v>172.78125</v>
      </c>
      <c r="BM160" s="115"/>
      <c r="BN160" s="115"/>
      <c r="BO160" s="115"/>
      <c r="BP160" s="115"/>
      <c r="CV160" s="115">
        <v>2025.19</v>
      </c>
      <c r="CW160" s="115" t="s">
        <v>1415</v>
      </c>
      <c r="CX160" s="115" t="s">
        <v>380</v>
      </c>
      <c r="CY160" s="115" t="s">
        <v>2063</v>
      </c>
      <c r="CZ160" s="330">
        <v>17140.332000000002</v>
      </c>
      <c r="DA160" s="115"/>
      <c r="DB160" s="115"/>
      <c r="DR160" s="214"/>
      <c r="DY160" s="115"/>
      <c r="DZ160" s="334"/>
      <c r="EA160" s="334"/>
      <c r="EB160" s="334"/>
      <c r="EC160" s="334"/>
      <c r="ED160" s="187"/>
      <c r="EE160" s="330"/>
      <c r="EH160" s="334"/>
      <c r="EI160" s="334"/>
      <c r="EM160"/>
      <c r="EO160" s="115"/>
      <c r="EP160" s="334" t="s">
        <v>1415</v>
      </c>
      <c r="EQ160" s="334" t="s">
        <v>2114</v>
      </c>
      <c r="ER160" s="334" t="s">
        <v>288</v>
      </c>
      <c r="ES160" s="334" t="s">
        <v>380</v>
      </c>
      <c r="ET160" s="334">
        <v>2024.48</v>
      </c>
      <c r="EU160" s="334" t="s">
        <v>1382</v>
      </c>
      <c r="EV160" s="334">
        <v>1097.5999999999999</v>
      </c>
    </row>
    <row r="161" spans="4:152" ht="13">
      <c r="D161" s="115" t="s">
        <v>1513</v>
      </c>
      <c r="E161" s="115" t="s">
        <v>1677</v>
      </c>
      <c r="F161" s="115">
        <v>1798.2652</v>
      </c>
      <c r="I161" s="115" t="s">
        <v>1513</v>
      </c>
      <c r="J161" s="115" t="s">
        <v>1366</v>
      </c>
      <c r="K161" s="183">
        <v>3</v>
      </c>
      <c r="AG161" s="115"/>
      <c r="AH161" s="115"/>
      <c r="AI161" s="115" t="s">
        <v>1416</v>
      </c>
      <c r="AJ161" t="s">
        <v>2114</v>
      </c>
      <c r="AK161" s="115">
        <v>0</v>
      </c>
      <c r="AL161" s="115" t="s">
        <v>28</v>
      </c>
      <c r="AM161" s="115" t="s">
        <v>1846</v>
      </c>
      <c r="AN161" s="115" t="s">
        <v>1444</v>
      </c>
      <c r="AO161" s="115" t="s">
        <v>1646</v>
      </c>
      <c r="AT161" s="115" t="s">
        <v>1415</v>
      </c>
      <c r="AU161" s="115" t="s">
        <v>2114</v>
      </c>
      <c r="AV161" s="115">
        <v>15</v>
      </c>
      <c r="AW161" s="115" t="s">
        <v>499</v>
      </c>
      <c r="AX161" s="115" t="s">
        <v>28</v>
      </c>
      <c r="AY161" s="115" t="s">
        <v>1843</v>
      </c>
      <c r="AZ161" s="115" t="s">
        <v>1880</v>
      </c>
      <c r="BA161" s="115"/>
      <c r="BB161" s="115"/>
      <c r="BC161" s="115">
        <v>26549.741237113401</v>
      </c>
      <c r="BD161" s="115"/>
      <c r="BE161" s="115"/>
      <c r="BF161" s="115">
        <v>637.49546391752574</v>
      </c>
      <c r="BG161" s="115"/>
      <c r="BH161" s="115">
        <v>29214.947546391755</v>
      </c>
      <c r="BI161" s="115">
        <v>4106.8521649484537</v>
      </c>
      <c r="BJ161" s="115">
        <v>3121.2921649484538</v>
      </c>
      <c r="BK161" s="115">
        <v>1155.6119587628866</v>
      </c>
      <c r="BL161" s="115">
        <v>2526.5584536082474</v>
      </c>
      <c r="BM161" s="115">
        <v>4108.1721999999991</v>
      </c>
      <c r="BN161" s="115">
        <v>3197.39</v>
      </c>
      <c r="BO161" s="115">
        <v>3420.93</v>
      </c>
      <c r="BP161" s="115"/>
      <c r="CV161" s="115">
        <v>2025.2</v>
      </c>
      <c r="CW161" s="115" t="s">
        <v>1415</v>
      </c>
      <c r="CX161" s="115" t="s">
        <v>387</v>
      </c>
      <c r="CY161" s="115" t="s">
        <v>2063</v>
      </c>
      <c r="CZ161" s="330">
        <v>5125.6030000000001</v>
      </c>
      <c r="DA161" s="115"/>
      <c r="DB161" s="115"/>
      <c r="DR161" s="214"/>
      <c r="DY161" s="115"/>
      <c r="DZ161" s="334"/>
      <c r="EA161" s="334"/>
      <c r="EB161" s="334"/>
      <c r="EC161" s="334"/>
      <c r="ED161" s="187"/>
      <c r="EE161" s="330"/>
      <c r="EH161" s="334"/>
      <c r="EI161" s="334"/>
      <c r="EM161"/>
      <c r="EO161" s="115"/>
      <c r="EP161" s="334" t="s">
        <v>1415</v>
      </c>
      <c r="EQ161" s="334" t="s">
        <v>2114</v>
      </c>
      <c r="ER161" s="334" t="s">
        <v>288</v>
      </c>
      <c r="ES161" s="334" t="s">
        <v>380</v>
      </c>
      <c r="ET161" s="334">
        <v>2025.03</v>
      </c>
      <c r="EU161" s="334" t="s">
        <v>397</v>
      </c>
      <c r="EV161" s="334">
        <v>0</v>
      </c>
    </row>
    <row r="162" spans="4:152" ht="13">
      <c r="D162" s="115" t="s">
        <v>1990</v>
      </c>
      <c r="E162" s="115" t="s">
        <v>1677</v>
      </c>
      <c r="F162" s="115">
        <v>64421.671399999999</v>
      </c>
      <c r="I162" s="115" t="s">
        <v>1513</v>
      </c>
      <c r="J162" s="115" t="s">
        <v>1357</v>
      </c>
      <c r="K162" s="183">
        <v>2140.5949962141581</v>
      </c>
      <c r="AG162" s="115"/>
      <c r="AH162" s="115"/>
      <c r="AI162" s="115" t="s">
        <v>1416</v>
      </c>
      <c r="AJ162" t="s">
        <v>2114</v>
      </c>
      <c r="AK162" s="115">
        <v>0</v>
      </c>
      <c r="AL162" s="115" t="s">
        <v>28</v>
      </c>
      <c r="AM162" s="115" t="s">
        <v>1843</v>
      </c>
      <c r="AN162" s="115" t="s">
        <v>1444</v>
      </c>
      <c r="AO162" s="115" t="s">
        <v>1646</v>
      </c>
      <c r="AT162" s="115" t="s">
        <v>1416</v>
      </c>
      <c r="AU162" s="115" t="s">
        <v>2114</v>
      </c>
      <c r="AV162" s="115">
        <v>0</v>
      </c>
      <c r="AW162" s="115" t="s">
        <v>499</v>
      </c>
      <c r="AX162" s="115" t="s">
        <v>28</v>
      </c>
      <c r="AY162" s="115" t="s">
        <v>1843</v>
      </c>
      <c r="AZ162" s="115" t="s">
        <v>1937</v>
      </c>
      <c r="BA162" s="115"/>
      <c r="BB162" s="115"/>
      <c r="BC162" s="115">
        <v>10269</v>
      </c>
      <c r="BD162" s="115"/>
      <c r="BE162" s="115"/>
      <c r="BF162" s="115">
        <v>383.50309278350517</v>
      </c>
      <c r="BG162" s="115"/>
      <c r="BH162" s="115">
        <v>18546.266758762886</v>
      </c>
      <c r="BI162" s="115">
        <v>3306.7562886597939</v>
      </c>
      <c r="BJ162" s="115">
        <v>1015.2213402061856</v>
      </c>
      <c r="BK162" s="115">
        <v>1951.9219587628866</v>
      </c>
      <c r="BL162" s="115">
        <v>1299.4575257731958</v>
      </c>
      <c r="BM162" s="115">
        <v>7636.4675000000007</v>
      </c>
      <c r="BN162" s="115">
        <v>5285.4326000000001</v>
      </c>
      <c r="BO162" s="115">
        <v>4886.0244000000002</v>
      </c>
      <c r="BP162" s="115"/>
      <c r="CV162" s="115">
        <v>2025.2</v>
      </c>
      <c r="CW162" s="115" t="s">
        <v>1415</v>
      </c>
      <c r="CX162" s="115" t="s">
        <v>380</v>
      </c>
      <c r="CY162" s="115" t="s">
        <v>2063</v>
      </c>
      <c r="CZ162" s="330">
        <v>17140.332000000002</v>
      </c>
      <c r="DA162" s="115"/>
      <c r="DB162" s="115"/>
      <c r="DR162" s="214"/>
      <c r="DY162" s="115"/>
      <c r="DZ162" s="334"/>
      <c r="EA162" s="334"/>
      <c r="EB162" s="334"/>
      <c r="EC162" s="334"/>
      <c r="ED162" s="187"/>
      <c r="EE162" s="330"/>
      <c r="EH162" s="334"/>
      <c r="EI162" s="334"/>
      <c r="EM162"/>
      <c r="EO162" s="115"/>
      <c r="EP162" s="334" t="s">
        <v>1415</v>
      </c>
      <c r="EQ162" s="334" t="s">
        <v>2114</v>
      </c>
      <c r="ER162" s="334" t="s">
        <v>288</v>
      </c>
      <c r="ES162" s="334" t="s">
        <v>380</v>
      </c>
      <c r="ET162" s="334">
        <v>2025.03</v>
      </c>
      <c r="EU162" s="334" t="s">
        <v>1382</v>
      </c>
      <c r="EV162" s="334">
        <v>1783.6</v>
      </c>
    </row>
    <row r="163" spans="4:152" ht="13">
      <c r="D163" s="115" t="s">
        <v>2151</v>
      </c>
      <c r="E163" s="115" t="s">
        <v>1677</v>
      </c>
      <c r="F163" s="115">
        <v>3741.9672999999998</v>
      </c>
      <c r="I163" s="115" t="s">
        <v>1990</v>
      </c>
      <c r="J163" s="115" t="s">
        <v>1363</v>
      </c>
      <c r="K163" s="183">
        <v>125</v>
      </c>
      <c r="AG163" s="115"/>
      <c r="AH163" s="115"/>
      <c r="AI163" s="115" t="s">
        <v>1416</v>
      </c>
      <c r="AJ163" t="s">
        <v>2114</v>
      </c>
      <c r="AK163" s="115">
        <v>0</v>
      </c>
      <c r="AL163" s="115" t="s">
        <v>28</v>
      </c>
      <c r="AM163" s="115" t="s">
        <v>1846</v>
      </c>
      <c r="AN163" s="115" t="s">
        <v>1444</v>
      </c>
      <c r="AO163" s="115" t="s">
        <v>1647</v>
      </c>
      <c r="AT163" s="115" t="s">
        <v>1416</v>
      </c>
      <c r="AU163" s="115" t="s">
        <v>2114</v>
      </c>
      <c r="AV163" s="115">
        <v>0</v>
      </c>
      <c r="AW163" s="115" t="s">
        <v>499</v>
      </c>
      <c r="AX163" s="115" t="s">
        <v>28</v>
      </c>
      <c r="AY163" s="115" t="s">
        <v>1849</v>
      </c>
      <c r="AZ163" s="115" t="s">
        <v>1937</v>
      </c>
      <c r="BA163" s="115"/>
      <c r="BB163" s="115"/>
      <c r="BC163" s="115">
        <v>69.173125000000027</v>
      </c>
      <c r="BD163" s="115"/>
      <c r="BE163" s="115"/>
      <c r="BF163" s="115"/>
      <c r="BG163" s="115"/>
      <c r="BH163" s="115">
        <v>295.9567775999999</v>
      </c>
      <c r="BI163" s="115">
        <v>81.8874</v>
      </c>
      <c r="BJ163" s="115">
        <v>2.3498249999999992</v>
      </c>
      <c r="BK163" s="115">
        <v>62.288549999999994</v>
      </c>
      <c r="BL163" s="115">
        <v>41.467499999999994</v>
      </c>
      <c r="BM163" s="115"/>
      <c r="BN163" s="115"/>
      <c r="BO163" s="115"/>
      <c r="BP163" s="115"/>
      <c r="CV163" s="115">
        <v>2025.21</v>
      </c>
      <c r="CW163" s="115" t="s">
        <v>1415</v>
      </c>
      <c r="CX163" s="115" t="s">
        <v>387</v>
      </c>
      <c r="CY163" s="115" t="s">
        <v>2063</v>
      </c>
      <c r="CZ163" s="330">
        <v>4393.3739999999998</v>
      </c>
      <c r="DA163" s="115"/>
      <c r="DB163" s="115"/>
      <c r="DR163" s="214"/>
      <c r="DY163" s="115"/>
      <c r="DZ163" s="334"/>
      <c r="EA163" s="334"/>
      <c r="EB163" s="334"/>
      <c r="EC163" s="334"/>
      <c r="ED163" s="187"/>
      <c r="EE163" s="330"/>
      <c r="EH163" s="334"/>
      <c r="EI163" s="334"/>
      <c r="EM163"/>
      <c r="EO163" s="115"/>
      <c r="EP163" s="334" t="s">
        <v>1415</v>
      </c>
      <c r="EQ163" s="334" t="s">
        <v>2114</v>
      </c>
      <c r="ER163" s="334" t="s">
        <v>1245</v>
      </c>
      <c r="ES163" s="334" t="s">
        <v>1275</v>
      </c>
      <c r="ET163" s="334">
        <v>2024.48</v>
      </c>
      <c r="EU163" s="334" t="s">
        <v>397</v>
      </c>
      <c r="EV163" s="334">
        <v>0</v>
      </c>
    </row>
    <row r="164" spans="4:152" ht="13">
      <c r="D164" s="115" t="s">
        <v>2153</v>
      </c>
      <c r="E164" s="115" t="s">
        <v>1677</v>
      </c>
      <c r="F164" s="115">
        <v>75653.1008</v>
      </c>
      <c r="I164" s="115" t="s">
        <v>1990</v>
      </c>
      <c r="J164" s="115" t="s">
        <v>1353</v>
      </c>
      <c r="K164" s="183" t="s">
        <v>2008</v>
      </c>
      <c r="AG164" s="115"/>
      <c r="AH164" s="115"/>
      <c r="AI164" s="115" t="s">
        <v>1416</v>
      </c>
      <c r="AJ164" t="s">
        <v>2114</v>
      </c>
      <c r="AK164" s="115">
        <v>0</v>
      </c>
      <c r="AL164" s="115" t="s">
        <v>28</v>
      </c>
      <c r="AM164" s="115" t="s">
        <v>1843</v>
      </c>
      <c r="AN164" s="115" t="s">
        <v>1444</v>
      </c>
      <c r="AO164" s="115" t="s">
        <v>1647</v>
      </c>
      <c r="AT164" s="115" t="s">
        <v>1415</v>
      </c>
      <c r="AU164" s="115" t="s">
        <v>2114</v>
      </c>
      <c r="AV164" s="115">
        <v>15</v>
      </c>
      <c r="AW164" s="115" t="s">
        <v>499</v>
      </c>
      <c r="AX164" s="115" t="s">
        <v>28</v>
      </c>
      <c r="AY164" s="115" t="s">
        <v>1849</v>
      </c>
      <c r="AZ164" s="115" t="s">
        <v>1880</v>
      </c>
      <c r="BA164" s="115"/>
      <c r="BB164" s="115"/>
      <c r="BC164" s="115">
        <v>171.93250000000003</v>
      </c>
      <c r="BD164" s="115"/>
      <c r="BE164" s="115"/>
      <c r="BF164" s="115"/>
      <c r="BG164" s="115"/>
      <c r="BH164" s="115">
        <v>444.13316279999998</v>
      </c>
      <c r="BI164" s="115">
        <v>98.670825000000008</v>
      </c>
      <c r="BJ164" s="115">
        <v>6.5238562499999988</v>
      </c>
      <c r="BK164" s="115">
        <v>35.238644999999998</v>
      </c>
      <c r="BL164" s="115">
        <v>67.439250000000001</v>
      </c>
      <c r="BM164" s="115"/>
      <c r="BN164" s="115"/>
      <c r="BO164" s="115"/>
      <c r="BP164" s="115"/>
      <c r="CV164" s="115">
        <v>2025.21</v>
      </c>
      <c r="CW164" s="115" t="s">
        <v>1415</v>
      </c>
      <c r="CX164" s="115" t="s">
        <v>380</v>
      </c>
      <c r="CY164" s="115" t="s">
        <v>2063</v>
      </c>
      <c r="CZ164" s="330">
        <v>14543.311999999998</v>
      </c>
      <c r="DA164" s="115"/>
      <c r="DB164" s="115"/>
      <c r="DR164" s="214"/>
      <c r="DY164" s="115"/>
      <c r="DZ164" s="334"/>
      <c r="EA164" s="334"/>
      <c r="EB164" s="334"/>
      <c r="EC164" s="334"/>
      <c r="ED164" s="187"/>
      <c r="EE164" s="330"/>
      <c r="EH164" s="334"/>
      <c r="EI164" s="334"/>
      <c r="EM164"/>
      <c r="EO164" s="115"/>
      <c r="EP164" s="334" t="s">
        <v>1415</v>
      </c>
      <c r="EQ164" s="334" t="s">
        <v>2114</v>
      </c>
      <c r="ER164" s="334" t="s">
        <v>1245</v>
      </c>
      <c r="ES164" s="334" t="s">
        <v>1275</v>
      </c>
      <c r="ET164" s="334">
        <v>2024.48</v>
      </c>
      <c r="EU164" s="334" t="s">
        <v>1382</v>
      </c>
      <c r="EV164" s="334">
        <v>1015.74</v>
      </c>
    </row>
    <row r="165" spans="4:152" ht="13">
      <c r="D165" s="115" t="s">
        <v>2154</v>
      </c>
      <c r="E165" s="115" t="s">
        <v>1677</v>
      </c>
      <c r="F165" s="115">
        <v>39007.376799999998</v>
      </c>
      <c r="I165" s="115" t="s">
        <v>1990</v>
      </c>
      <c r="J165" s="115" t="s">
        <v>1369</v>
      </c>
      <c r="K165" s="183">
        <v>13</v>
      </c>
      <c r="AG165" s="115"/>
      <c r="AH165" s="115"/>
      <c r="AI165" s="115" t="s">
        <v>1416</v>
      </c>
      <c r="AJ165" t="s">
        <v>2114</v>
      </c>
      <c r="AK165" s="115">
        <v>0</v>
      </c>
      <c r="AL165" s="115" t="s">
        <v>28</v>
      </c>
      <c r="AM165" s="115" t="s">
        <v>1846</v>
      </c>
      <c r="AN165" s="115" t="s">
        <v>1444</v>
      </c>
      <c r="AO165" s="115" t="s">
        <v>1639</v>
      </c>
      <c r="AT165" s="115" t="s">
        <v>1416</v>
      </c>
      <c r="AU165" s="115" t="s">
        <v>2114</v>
      </c>
      <c r="AV165" s="115">
        <v>0</v>
      </c>
      <c r="AW165" s="115" t="s">
        <v>499</v>
      </c>
      <c r="AX165" s="115" t="s">
        <v>28</v>
      </c>
      <c r="AY165" s="115" t="s">
        <v>1850</v>
      </c>
      <c r="AZ165" s="115" t="s">
        <v>1937</v>
      </c>
      <c r="BA165" s="115"/>
      <c r="BB165" s="115"/>
      <c r="BC165" s="115">
        <v>207.51937500000008</v>
      </c>
      <c r="BD165" s="115"/>
      <c r="BE165" s="115"/>
      <c r="BF165" s="115">
        <v>8.6390624999999996</v>
      </c>
      <c r="BG165" s="115"/>
      <c r="BH165" s="115">
        <v>32.884086399999994</v>
      </c>
      <c r="BI165" s="115">
        <v>27.2958</v>
      </c>
      <c r="BJ165" s="115">
        <v>21.148425</v>
      </c>
      <c r="BK165" s="115">
        <v>6.9209499999999995</v>
      </c>
      <c r="BL165" s="115">
        <v>4.6074999999999999</v>
      </c>
      <c r="BM165" s="115"/>
      <c r="BN165" s="115"/>
      <c r="BO165" s="115"/>
      <c r="BP165" s="115"/>
      <c r="CV165" s="115">
        <v>2025.19</v>
      </c>
      <c r="CW165" s="115" t="s">
        <v>1415</v>
      </c>
      <c r="CX165" s="115" t="s">
        <v>1645</v>
      </c>
      <c r="CY165" s="115" t="s">
        <v>2063</v>
      </c>
      <c r="CZ165" s="330">
        <v>15857.261999999999</v>
      </c>
      <c r="DA165" s="115"/>
      <c r="DB165" s="115"/>
      <c r="DR165" s="214"/>
      <c r="DY165" s="115"/>
      <c r="DZ165" s="334"/>
      <c r="EA165" s="334"/>
      <c r="EB165" s="334"/>
      <c r="EC165" s="334"/>
      <c r="ED165" s="187"/>
      <c r="EE165" s="330"/>
      <c r="EH165" s="334"/>
      <c r="EI165" s="334"/>
      <c r="EM165"/>
      <c r="EO165" s="115"/>
      <c r="EP165" s="334" t="s">
        <v>1415</v>
      </c>
      <c r="EQ165" s="334" t="s">
        <v>2114</v>
      </c>
      <c r="ER165" s="334" t="s">
        <v>1245</v>
      </c>
      <c r="ES165" s="334" t="s">
        <v>385</v>
      </c>
      <c r="ET165" s="334">
        <v>2024.48</v>
      </c>
      <c r="EU165" s="334" t="s">
        <v>397</v>
      </c>
      <c r="EV165" s="334">
        <v>0</v>
      </c>
    </row>
    <row r="166" spans="4:152" ht="13">
      <c r="D166" s="115" t="s">
        <v>2155</v>
      </c>
      <c r="E166" s="115" t="s">
        <v>1677</v>
      </c>
      <c r="F166" s="115">
        <v>23656.128799999999</v>
      </c>
      <c r="I166" s="115" t="s">
        <v>1990</v>
      </c>
      <c r="J166" s="115" t="s">
        <v>1355</v>
      </c>
      <c r="K166" s="183">
        <v>4</v>
      </c>
      <c r="AG166" s="115"/>
      <c r="AH166" s="115"/>
      <c r="AI166" s="115" t="s">
        <v>1416</v>
      </c>
      <c r="AJ166" t="s">
        <v>2114</v>
      </c>
      <c r="AK166" s="115">
        <v>0</v>
      </c>
      <c r="AL166" s="115" t="s">
        <v>28</v>
      </c>
      <c r="AM166" s="115" t="s">
        <v>1843</v>
      </c>
      <c r="AN166" s="115" t="s">
        <v>1444</v>
      </c>
      <c r="AO166" s="115" t="s">
        <v>1639</v>
      </c>
      <c r="AT166" s="115" t="s">
        <v>1415</v>
      </c>
      <c r="AU166" s="115" t="s">
        <v>2114</v>
      </c>
      <c r="AV166" s="115">
        <v>15</v>
      </c>
      <c r="AW166" s="115" t="s">
        <v>499</v>
      </c>
      <c r="AX166" s="115" t="s">
        <v>28</v>
      </c>
      <c r="AY166" s="115" t="s">
        <v>1850</v>
      </c>
      <c r="AZ166" s="115" t="s">
        <v>1880</v>
      </c>
      <c r="BA166" s="115"/>
      <c r="BB166" s="115"/>
      <c r="BC166" s="115">
        <v>515.79750000000013</v>
      </c>
      <c r="BD166" s="115"/>
      <c r="BE166" s="115"/>
      <c r="BF166" s="115">
        <v>13.8225</v>
      </c>
      <c r="BG166" s="115"/>
      <c r="BH166" s="115">
        <v>49.348129200000002</v>
      </c>
      <c r="BI166" s="115">
        <v>32.890275000000003</v>
      </c>
      <c r="BJ166" s="115">
        <v>58.714706249999999</v>
      </c>
      <c r="BK166" s="115">
        <v>3.9154049999999998</v>
      </c>
      <c r="BL166" s="115">
        <v>7.4932500000000006</v>
      </c>
      <c r="BM166" s="115"/>
      <c r="BN166" s="115"/>
      <c r="BO166" s="115"/>
      <c r="BP166" s="115"/>
      <c r="CV166" s="115">
        <v>2025.2</v>
      </c>
      <c r="CW166" s="115" t="s">
        <v>1415</v>
      </c>
      <c r="CX166" s="115" t="s">
        <v>1645</v>
      </c>
      <c r="CY166" s="115" t="s">
        <v>2063</v>
      </c>
      <c r="CZ166" s="330">
        <v>22904.934000000001</v>
      </c>
      <c r="DA166" s="115"/>
      <c r="DB166" s="115"/>
      <c r="DR166" s="214"/>
      <c r="DY166" s="115"/>
      <c r="DZ166" s="334"/>
      <c r="EA166" s="334"/>
      <c r="EB166" s="334"/>
      <c r="EC166" s="334"/>
      <c r="ED166" s="187"/>
      <c r="EE166" s="330"/>
      <c r="EH166" s="334"/>
      <c r="EI166" s="334"/>
      <c r="EM166"/>
      <c r="EO166" s="115"/>
      <c r="EP166" s="334" t="s">
        <v>1415</v>
      </c>
      <c r="EQ166" s="334" t="s">
        <v>2114</v>
      </c>
      <c r="ER166" s="334" t="s">
        <v>1245</v>
      </c>
      <c r="ES166" s="334" t="s">
        <v>385</v>
      </c>
      <c r="ET166" s="334">
        <v>2024.48</v>
      </c>
      <c r="EU166" s="334" t="s">
        <v>1382</v>
      </c>
      <c r="EV166" s="334">
        <v>425.56</v>
      </c>
    </row>
    <row r="167" spans="4:152" ht="13">
      <c r="D167" s="115" t="s">
        <v>2183</v>
      </c>
      <c r="E167" s="115" t="s">
        <v>1677</v>
      </c>
      <c r="F167" s="115">
        <v>5494.5722999999998</v>
      </c>
      <c r="I167" s="115" t="s">
        <v>1990</v>
      </c>
      <c r="J167" s="115" t="s">
        <v>1361</v>
      </c>
      <c r="K167" s="183">
        <v>69.23</v>
      </c>
      <c r="AG167" s="115"/>
      <c r="AH167" s="115"/>
      <c r="AI167" s="115" t="s">
        <v>1416</v>
      </c>
      <c r="AJ167" t="s">
        <v>2114</v>
      </c>
      <c r="AK167" s="115">
        <v>0</v>
      </c>
      <c r="AL167" s="115" t="s">
        <v>28</v>
      </c>
      <c r="AM167" s="115" t="s">
        <v>1848</v>
      </c>
      <c r="AN167" s="115" t="s">
        <v>1444</v>
      </c>
      <c r="AO167" s="115" t="s">
        <v>373</v>
      </c>
      <c r="AT167" s="115" t="s">
        <v>1416</v>
      </c>
      <c r="AU167" s="115" t="s">
        <v>2114</v>
      </c>
      <c r="AV167" s="115">
        <v>0</v>
      </c>
      <c r="AW167" s="115" t="s">
        <v>499</v>
      </c>
      <c r="AX167" s="115" t="s">
        <v>28</v>
      </c>
      <c r="AY167" s="115" t="s">
        <v>1832</v>
      </c>
      <c r="AZ167" s="115" t="s">
        <v>1937</v>
      </c>
      <c r="BA167" s="115"/>
      <c r="BB167" s="115"/>
      <c r="BC167" s="115">
        <v>285.25000000000011</v>
      </c>
      <c r="BD167" s="115"/>
      <c r="BE167" s="115"/>
      <c r="BF167" s="115">
        <v>8.90625</v>
      </c>
      <c r="BG167" s="115"/>
      <c r="BH167" s="115">
        <v>339.01119999999992</v>
      </c>
      <c r="BI167" s="115">
        <v>112.56</v>
      </c>
      <c r="BJ167" s="115">
        <v>24.224999999999998</v>
      </c>
      <c r="BK167" s="115">
        <v>71.349999999999994</v>
      </c>
      <c r="BL167" s="115">
        <v>47.5</v>
      </c>
      <c r="BM167" s="115"/>
      <c r="BN167" s="115"/>
      <c r="BO167" s="115"/>
      <c r="BP167" s="115"/>
      <c r="CV167" s="115">
        <v>2025.21</v>
      </c>
      <c r="CW167" s="115" t="s">
        <v>1415</v>
      </c>
      <c r="CX167" s="115" t="s">
        <v>1645</v>
      </c>
      <c r="CY167" s="115" t="s">
        <v>2063</v>
      </c>
      <c r="CZ167" s="330">
        <v>14095.344000000001</v>
      </c>
      <c r="DA167" s="115"/>
      <c r="DB167" s="115"/>
      <c r="DR167" s="214"/>
      <c r="DY167" s="115"/>
      <c r="DZ167" s="334"/>
      <c r="EA167" s="334"/>
      <c r="EB167" s="334"/>
      <c r="EC167" s="334"/>
      <c r="ED167" s="187"/>
      <c r="EE167" s="330"/>
      <c r="EH167" s="334"/>
      <c r="EI167" s="334"/>
      <c r="EM167"/>
      <c r="EO167" s="115"/>
      <c r="EP167" s="334" t="s">
        <v>1415</v>
      </c>
      <c r="EQ167" s="334" t="s">
        <v>2114</v>
      </c>
      <c r="ER167" s="334" t="s">
        <v>1245</v>
      </c>
      <c r="ES167" s="334" t="s">
        <v>2164</v>
      </c>
      <c r="ET167" s="334">
        <v>2024.48</v>
      </c>
      <c r="EU167" s="334" t="s">
        <v>397</v>
      </c>
      <c r="EV167" s="334">
        <v>0</v>
      </c>
    </row>
    <row r="168" spans="4:152" ht="13">
      <c r="D168" t="s">
        <v>2185</v>
      </c>
      <c r="E168" t="s">
        <v>1677</v>
      </c>
      <c r="F168">
        <v>1386.1371999999999</v>
      </c>
      <c r="I168" s="115" t="s">
        <v>1990</v>
      </c>
      <c r="J168" s="115" t="s">
        <v>1364</v>
      </c>
      <c r="K168" s="183">
        <v>300</v>
      </c>
      <c r="AG168" s="115"/>
      <c r="AH168" s="115"/>
      <c r="AI168" s="115" t="s">
        <v>1416</v>
      </c>
      <c r="AJ168" t="s">
        <v>2114</v>
      </c>
      <c r="AK168" s="115">
        <v>0</v>
      </c>
      <c r="AL168" s="115" t="s">
        <v>28</v>
      </c>
      <c r="AM168" s="115" t="s">
        <v>1849</v>
      </c>
      <c r="AN168" s="115" t="s">
        <v>1444</v>
      </c>
      <c r="AO168" s="115" t="s">
        <v>373</v>
      </c>
      <c r="AT168" s="115" t="s">
        <v>1415</v>
      </c>
      <c r="AU168" s="115" t="s">
        <v>2114</v>
      </c>
      <c r="AV168" s="115">
        <v>15</v>
      </c>
      <c r="AW168" s="115" t="s">
        <v>499</v>
      </c>
      <c r="AX168" s="115" t="s">
        <v>28</v>
      </c>
      <c r="AY168" s="115" t="s">
        <v>1832</v>
      </c>
      <c r="AZ168" s="115" t="s">
        <v>1880</v>
      </c>
      <c r="BA168" s="115"/>
      <c r="BB168" s="115"/>
      <c r="BC168" s="115">
        <v>709.00000000000011</v>
      </c>
      <c r="BD168" s="115"/>
      <c r="BE168" s="115"/>
      <c r="BF168" s="115">
        <v>14.25</v>
      </c>
      <c r="BG168" s="115"/>
      <c r="BH168" s="115">
        <v>508.74360000000001</v>
      </c>
      <c r="BI168" s="115">
        <v>135.63000000000002</v>
      </c>
      <c r="BJ168" s="115">
        <v>67.256250000000009</v>
      </c>
      <c r="BK168" s="115">
        <v>40.365000000000002</v>
      </c>
      <c r="BL168" s="115">
        <v>77.25</v>
      </c>
      <c r="BM168" s="115"/>
      <c r="BN168" s="115"/>
      <c r="BO168" s="115"/>
      <c r="BP168" s="115"/>
      <c r="CV168" s="115">
        <v>2025.21</v>
      </c>
      <c r="CW168" s="115" t="s">
        <v>1415</v>
      </c>
      <c r="CX168" s="115" t="s">
        <v>377</v>
      </c>
      <c r="CY168" s="115" t="s">
        <v>2063</v>
      </c>
      <c r="CZ168" s="330">
        <v>8186.4359999999997</v>
      </c>
      <c r="DA168" s="115"/>
      <c r="DB168" s="115"/>
      <c r="DR168" s="214"/>
      <c r="DY168" s="115"/>
      <c r="DZ168" s="334"/>
      <c r="EA168" s="334"/>
      <c r="EB168" s="334"/>
      <c r="EC168" s="334"/>
      <c r="ED168" s="187"/>
      <c r="EE168" s="330"/>
      <c r="EH168" s="334"/>
      <c r="EI168" s="334"/>
      <c r="EM168"/>
      <c r="EO168" s="115"/>
      <c r="EP168" s="334" t="s">
        <v>1415</v>
      </c>
      <c r="EQ168" s="334" t="s">
        <v>2114</v>
      </c>
      <c r="ER168" s="334" t="s">
        <v>1245</v>
      </c>
      <c r="ES168" s="334" t="s">
        <v>2164</v>
      </c>
      <c r="ET168" s="334">
        <v>2024.48</v>
      </c>
      <c r="EU168" s="334" t="s">
        <v>1382</v>
      </c>
      <c r="EV168" s="334">
        <v>10403.969999999999</v>
      </c>
    </row>
    <row r="169" spans="4:152" ht="13">
      <c r="D169" t="s">
        <v>1515</v>
      </c>
      <c r="E169" t="s">
        <v>1677</v>
      </c>
      <c r="F169">
        <v>6507.0971</v>
      </c>
      <c r="I169" s="115" t="s">
        <v>1990</v>
      </c>
      <c r="J169" s="115" t="s">
        <v>1367</v>
      </c>
      <c r="K169" s="183">
        <v>8</v>
      </c>
      <c r="AG169" s="115"/>
      <c r="AH169" s="115"/>
      <c r="AI169" s="115" t="s">
        <v>1416</v>
      </c>
      <c r="AJ169" t="s">
        <v>2114</v>
      </c>
      <c r="AK169" s="115">
        <v>0</v>
      </c>
      <c r="AL169" s="115" t="s">
        <v>28</v>
      </c>
      <c r="AM169" s="115" t="s">
        <v>1850</v>
      </c>
      <c r="AN169" s="115" t="s">
        <v>1444</v>
      </c>
      <c r="AO169" s="115" t="s">
        <v>373</v>
      </c>
      <c r="AT169" s="115" t="s">
        <v>1415</v>
      </c>
      <c r="AU169" s="115" t="s">
        <v>2114</v>
      </c>
      <c r="AV169" s="115">
        <v>15</v>
      </c>
      <c r="AW169" s="115" t="s">
        <v>499</v>
      </c>
      <c r="AX169" s="115" t="s">
        <v>28</v>
      </c>
      <c r="AY169" s="115" t="s">
        <v>1846</v>
      </c>
      <c r="AZ169" s="115" t="s">
        <v>1881</v>
      </c>
      <c r="BA169" s="115"/>
      <c r="BB169" s="115"/>
      <c r="BC169" s="115">
        <v>1347.618381</v>
      </c>
      <c r="BD169" s="115"/>
      <c r="BE169" s="115"/>
      <c r="BF169" s="115"/>
      <c r="BG169" s="115"/>
      <c r="BH169" s="115"/>
      <c r="BI169" s="115"/>
      <c r="BJ169" s="115"/>
      <c r="BK169" s="115"/>
      <c r="BL169" s="115"/>
      <c r="BM169" s="115"/>
      <c r="BN169" s="115"/>
      <c r="BO169" s="115"/>
      <c r="BP169" s="115"/>
      <c r="CV169" s="115">
        <v>2025.22</v>
      </c>
      <c r="CW169" s="115" t="s">
        <v>1415</v>
      </c>
      <c r="CX169" s="115" t="s">
        <v>387</v>
      </c>
      <c r="CY169" s="115" t="s">
        <v>2063</v>
      </c>
      <c r="CZ169" s="330">
        <v>4393.3739999999998</v>
      </c>
      <c r="DA169" s="115"/>
      <c r="DB169" s="115"/>
      <c r="DR169" s="214"/>
      <c r="DY169" s="115"/>
      <c r="DZ169" s="334"/>
      <c r="EA169" s="334"/>
      <c r="EB169" s="334"/>
      <c r="EC169" s="334"/>
      <c r="ED169" s="187"/>
      <c r="EE169" s="330"/>
      <c r="EH169" s="334"/>
      <c r="EI169" s="334"/>
      <c r="EM169"/>
      <c r="EO169" s="115"/>
      <c r="EP169" s="334" t="s">
        <v>1415</v>
      </c>
      <c r="EQ169" s="334" t="s">
        <v>2114</v>
      </c>
      <c r="ER169" s="334" t="s">
        <v>417</v>
      </c>
      <c r="ES169" s="334" t="s">
        <v>389</v>
      </c>
      <c r="ET169" s="334">
        <v>2023.47</v>
      </c>
      <c r="EU169" s="334" t="s">
        <v>397</v>
      </c>
      <c r="EV169" s="334">
        <v>66668.353400000007</v>
      </c>
    </row>
    <row r="170" spans="4:152" ht="13">
      <c r="D170" t="s">
        <v>1516</v>
      </c>
      <c r="E170" t="s">
        <v>1677</v>
      </c>
      <c r="F170">
        <v>5183.5025999999998</v>
      </c>
      <c r="I170" s="115" t="s">
        <v>1990</v>
      </c>
      <c r="J170" s="115" t="s">
        <v>1362</v>
      </c>
      <c r="K170" s="183">
        <v>95</v>
      </c>
      <c r="AG170" s="115"/>
      <c r="AH170" s="115"/>
      <c r="AI170" s="115" t="s">
        <v>1416</v>
      </c>
      <c r="AJ170" t="s">
        <v>2114</v>
      </c>
      <c r="AK170" s="115">
        <v>0</v>
      </c>
      <c r="AL170" s="115" t="s">
        <v>28</v>
      </c>
      <c r="AM170" s="115" t="s">
        <v>1843</v>
      </c>
      <c r="AN170" s="115" t="s">
        <v>1444</v>
      </c>
      <c r="AO170" s="115" t="s">
        <v>373</v>
      </c>
      <c r="AT170" s="115" t="s">
        <v>1416</v>
      </c>
      <c r="AU170" s="115" t="s">
        <v>2114</v>
      </c>
      <c r="AV170" s="115">
        <v>0</v>
      </c>
      <c r="AW170" s="115" t="s">
        <v>499</v>
      </c>
      <c r="AX170" s="115" t="s">
        <v>28</v>
      </c>
      <c r="AY170" s="115" t="s">
        <v>1846</v>
      </c>
      <c r="AZ170" s="115" t="s">
        <v>1938</v>
      </c>
      <c r="BA170" s="115"/>
      <c r="BB170" s="115"/>
      <c r="BC170" s="115">
        <v>834.68621250000001</v>
      </c>
      <c r="BD170" s="115"/>
      <c r="BE170" s="115"/>
      <c r="BF170" s="115"/>
      <c r="BG170" s="115"/>
      <c r="BH170" s="115">
        <v>11102.982700447999</v>
      </c>
      <c r="BI170" s="115">
        <v>1243.1403599999996</v>
      </c>
      <c r="BJ170" s="115">
        <v>72.255881999999986</v>
      </c>
      <c r="BK170" s="115">
        <v>811.76210550000019</v>
      </c>
      <c r="BL170" s="115">
        <v>730.4714009999999</v>
      </c>
      <c r="BM170" s="115">
        <v>4435.3487999999998</v>
      </c>
      <c r="BN170" s="115">
        <v>2986.0466000000001</v>
      </c>
      <c r="BO170" s="115">
        <v>3966.4740000000002</v>
      </c>
      <c r="BP170" s="115"/>
      <c r="CV170" s="115">
        <v>2025.22</v>
      </c>
      <c r="CW170" s="115" t="s">
        <v>1415</v>
      </c>
      <c r="CX170" s="115" t="s">
        <v>1645</v>
      </c>
      <c r="CY170" s="115" t="s">
        <v>2063</v>
      </c>
      <c r="CZ170" s="330">
        <v>14095.344000000001</v>
      </c>
      <c r="DA170" s="115"/>
      <c r="DB170" s="115"/>
      <c r="DR170" s="214"/>
      <c r="DY170" s="115"/>
      <c r="DZ170" s="334"/>
      <c r="EA170" s="334"/>
      <c r="EB170" s="334"/>
      <c r="EC170" s="334"/>
      <c r="ED170" s="187"/>
      <c r="EE170" s="330"/>
      <c r="EH170" s="334"/>
      <c r="EI170" s="334"/>
      <c r="EM170"/>
      <c r="EO170" s="115"/>
      <c r="EP170" s="334" t="s">
        <v>1415</v>
      </c>
      <c r="EQ170" s="334" t="s">
        <v>2114</v>
      </c>
      <c r="ER170" s="334" t="s">
        <v>417</v>
      </c>
      <c r="ES170" s="334" t="s">
        <v>389</v>
      </c>
      <c r="ET170" s="334">
        <v>2023.47</v>
      </c>
      <c r="EU170" s="334" t="s">
        <v>1382</v>
      </c>
      <c r="EV170" s="334">
        <v>66668.353400000007</v>
      </c>
    </row>
    <row r="171" spans="4:152" ht="13">
      <c r="D171" t="s">
        <v>1518</v>
      </c>
      <c r="E171" t="s">
        <v>1677</v>
      </c>
      <c r="F171">
        <v>10137.067499999999</v>
      </c>
      <c r="I171" s="115" t="s">
        <v>1990</v>
      </c>
      <c r="J171" s="115" t="s">
        <v>1368</v>
      </c>
      <c r="K171" s="183">
        <v>11.5</v>
      </c>
      <c r="AG171" s="115"/>
      <c r="AH171" s="115"/>
      <c r="AI171" s="115" t="s">
        <v>1416</v>
      </c>
      <c r="AJ171" t="s">
        <v>2114</v>
      </c>
      <c r="AK171" s="115">
        <v>0</v>
      </c>
      <c r="AL171" s="115" t="s">
        <v>28</v>
      </c>
      <c r="AM171" s="115" t="s">
        <v>1846</v>
      </c>
      <c r="AN171" s="115" t="s">
        <v>1444</v>
      </c>
      <c r="AO171" s="115" t="s">
        <v>373</v>
      </c>
      <c r="AT171" s="115" t="s">
        <v>1415</v>
      </c>
      <c r="AU171" s="115" t="s">
        <v>2114</v>
      </c>
      <c r="AV171" s="115">
        <v>15</v>
      </c>
      <c r="AW171" s="115" t="s">
        <v>499</v>
      </c>
      <c r="AX171" s="115" t="s">
        <v>28</v>
      </c>
      <c r="AY171" s="115" t="s">
        <v>1848</v>
      </c>
      <c r="AZ171" s="115" t="s">
        <v>1881</v>
      </c>
      <c r="BA171" s="115"/>
      <c r="BB171" s="115"/>
      <c r="BC171" s="115">
        <v>7947.1018935000002</v>
      </c>
      <c r="BD171" s="115"/>
      <c r="BE171" s="115"/>
      <c r="BF171" s="115"/>
      <c r="BG171" s="115"/>
      <c r="BH171" s="115"/>
      <c r="BI171" s="115"/>
      <c r="BJ171" s="115"/>
      <c r="BK171" s="115"/>
      <c r="BL171" s="115"/>
      <c r="BM171" s="115"/>
      <c r="BN171" s="115"/>
      <c r="BO171" s="115"/>
      <c r="BP171" s="115"/>
      <c r="CV171" s="115">
        <v>2025.22</v>
      </c>
      <c r="CW171" s="115" t="s">
        <v>1415</v>
      </c>
      <c r="CX171" s="115" t="s">
        <v>377</v>
      </c>
      <c r="CY171" s="115" t="s">
        <v>2063</v>
      </c>
      <c r="CZ171" s="330">
        <v>8186.4359999999997</v>
      </c>
      <c r="DA171" s="115"/>
      <c r="DB171" s="115"/>
      <c r="DR171" s="214"/>
      <c r="DY171" s="115"/>
      <c r="DZ171" s="334"/>
      <c r="EA171" s="334"/>
      <c r="EB171" s="334"/>
      <c r="EC171" s="334"/>
      <c r="ED171" s="187"/>
      <c r="EE171" s="330"/>
      <c r="EH171" s="334"/>
      <c r="EI171" s="334"/>
      <c r="EM171"/>
      <c r="EO171" s="115"/>
      <c r="EP171" s="334" t="s">
        <v>1415</v>
      </c>
      <c r="EQ171" s="334" t="s">
        <v>2114</v>
      </c>
      <c r="ER171" s="334" t="s">
        <v>417</v>
      </c>
      <c r="ES171" s="334" t="s">
        <v>380</v>
      </c>
      <c r="ET171" s="334">
        <v>2023.47</v>
      </c>
      <c r="EU171" s="334" t="s">
        <v>397</v>
      </c>
      <c r="EV171" s="334">
        <v>69332.800499999998</v>
      </c>
    </row>
    <row r="172" spans="4:152" ht="13">
      <c r="D172" t="s">
        <v>1521</v>
      </c>
      <c r="E172" t="s">
        <v>1677</v>
      </c>
      <c r="F172">
        <v>755.57360000000006</v>
      </c>
      <c r="I172" s="115" t="s">
        <v>1990</v>
      </c>
      <c r="J172" s="115" t="s">
        <v>1360</v>
      </c>
      <c r="K172" s="183">
        <v>0.25</v>
      </c>
      <c r="AG172" s="115"/>
      <c r="AH172" s="115"/>
      <c r="AI172" s="115" t="s">
        <v>1416</v>
      </c>
      <c r="AJ172" t="s">
        <v>2114</v>
      </c>
      <c r="AK172" s="115">
        <v>0</v>
      </c>
      <c r="AL172" s="115" t="s">
        <v>28</v>
      </c>
      <c r="AM172" s="115" t="s">
        <v>1832</v>
      </c>
      <c r="AN172" s="115" t="s">
        <v>1444</v>
      </c>
      <c r="AO172" s="115" t="s">
        <v>373</v>
      </c>
      <c r="AT172" s="115" t="s">
        <v>1416</v>
      </c>
      <c r="AU172" s="115" t="s">
        <v>2114</v>
      </c>
      <c r="AV172" s="115">
        <v>0</v>
      </c>
      <c r="AW172" s="115" t="s">
        <v>499</v>
      </c>
      <c r="AX172" s="115" t="s">
        <v>28</v>
      </c>
      <c r="AY172" s="115" t="s">
        <v>1848</v>
      </c>
      <c r="AZ172" s="115" t="s">
        <v>1938</v>
      </c>
      <c r="BA172" s="115"/>
      <c r="BB172" s="115"/>
      <c r="BC172" s="115">
        <v>5005.6837875000001</v>
      </c>
      <c r="BD172" s="115"/>
      <c r="BE172" s="115"/>
      <c r="BF172" s="115">
        <v>241.47240625000001</v>
      </c>
      <c r="BG172" s="115"/>
      <c r="BH172" s="115">
        <v>860.56708940800013</v>
      </c>
      <c r="BI172" s="115">
        <v>530.74713999999994</v>
      </c>
      <c r="BJ172" s="115">
        <v>342.38187000000005</v>
      </c>
      <c r="BK172" s="115">
        <v>128.94937500000003</v>
      </c>
      <c r="BL172" s="115">
        <v>116.03625</v>
      </c>
      <c r="BM172" s="115"/>
      <c r="BN172" s="115"/>
      <c r="BO172" s="115"/>
      <c r="BP172" s="115"/>
      <c r="CV172" s="115">
        <v>2025.22</v>
      </c>
      <c r="CW172" s="115" t="s">
        <v>1415</v>
      </c>
      <c r="CX172" s="115" t="s">
        <v>372</v>
      </c>
      <c r="CY172" s="115" t="s">
        <v>2063</v>
      </c>
      <c r="CZ172" s="330">
        <v>12456.882000000001</v>
      </c>
      <c r="DA172" s="115"/>
      <c r="DB172" s="115"/>
      <c r="DR172" s="214"/>
      <c r="DY172" s="115"/>
      <c r="DZ172" s="334"/>
      <c r="EA172" s="334"/>
      <c r="EB172" s="334"/>
      <c r="EC172" s="334"/>
      <c r="ED172" s="187"/>
      <c r="EE172" s="330"/>
      <c r="EH172" s="334"/>
      <c r="EI172" s="334"/>
      <c r="EM172"/>
      <c r="EO172" s="115"/>
      <c r="EP172" s="334" t="s">
        <v>1415</v>
      </c>
      <c r="EQ172" s="334" t="s">
        <v>2114</v>
      </c>
      <c r="ER172" s="334" t="s">
        <v>417</v>
      </c>
      <c r="ES172" s="334" t="s">
        <v>380</v>
      </c>
      <c r="ET172" s="334">
        <v>2023.47</v>
      </c>
      <c r="EU172" s="334" t="s">
        <v>1382</v>
      </c>
      <c r="EV172" s="334">
        <v>69332.800499999998</v>
      </c>
    </row>
    <row r="173" spans="4:152" ht="13">
      <c r="D173" t="s">
        <v>1523</v>
      </c>
      <c r="E173" t="s">
        <v>1677</v>
      </c>
      <c r="F173">
        <v>4832.7942999999996</v>
      </c>
      <c r="I173" s="115" t="s">
        <v>1990</v>
      </c>
      <c r="J173" s="115" t="s">
        <v>1358</v>
      </c>
      <c r="K173" s="183" t="s">
        <v>375</v>
      </c>
      <c r="AG173" s="115"/>
      <c r="AH173" s="115"/>
      <c r="AI173" s="115" t="s">
        <v>1416</v>
      </c>
      <c r="AJ173" t="s">
        <v>2114</v>
      </c>
      <c r="AK173" s="115">
        <v>0</v>
      </c>
      <c r="AL173" s="115" t="s">
        <v>28</v>
      </c>
      <c r="AM173" s="115" t="s">
        <v>1843</v>
      </c>
      <c r="AN173" s="115" t="s">
        <v>1444</v>
      </c>
      <c r="AO173" s="115" t="s">
        <v>380</v>
      </c>
      <c r="AT173" s="115" t="s">
        <v>1416</v>
      </c>
      <c r="AU173" s="115" t="s">
        <v>2114</v>
      </c>
      <c r="AV173" s="115">
        <v>0</v>
      </c>
      <c r="AW173" s="115" t="s">
        <v>499</v>
      </c>
      <c r="AX173" s="115" t="s">
        <v>28</v>
      </c>
      <c r="AY173" s="115" t="s">
        <v>1843</v>
      </c>
      <c r="AZ173" s="115" t="s">
        <v>1938</v>
      </c>
      <c r="BA173" s="115"/>
      <c r="BB173" s="115"/>
      <c r="BC173" s="115">
        <v>6021</v>
      </c>
      <c r="BD173" s="115"/>
      <c r="BE173" s="115"/>
      <c r="BF173" s="115">
        <v>248.94061855670103</v>
      </c>
      <c r="BG173" s="115"/>
      <c r="BH173" s="115">
        <v>12221.626875257731</v>
      </c>
      <c r="BI173" s="115">
        <v>1809.6676288659794</v>
      </c>
      <c r="BJ173" s="115">
        <v>427.46164948453611</v>
      </c>
      <c r="BK173" s="115">
        <v>969.80567010309278</v>
      </c>
      <c r="BL173" s="115">
        <v>872.68835051546398</v>
      </c>
      <c r="BM173" s="115">
        <v>4435.3487999999998</v>
      </c>
      <c r="BN173" s="115">
        <v>2986.0466000000001</v>
      </c>
      <c r="BO173" s="115">
        <v>3966.4740000000002</v>
      </c>
      <c r="BP173" s="115"/>
      <c r="CV173" s="115">
        <v>2025.23</v>
      </c>
      <c r="CW173" s="115" t="s">
        <v>1415</v>
      </c>
      <c r="CX173" s="115" t="s">
        <v>387</v>
      </c>
      <c r="CY173" s="115" t="s">
        <v>2063</v>
      </c>
      <c r="CZ173" s="330">
        <v>4393.3739999999998</v>
      </c>
      <c r="DA173" s="115"/>
      <c r="DB173" s="115"/>
      <c r="DR173" s="214"/>
      <c r="DY173" s="115"/>
      <c r="DZ173" s="334"/>
      <c r="EA173" s="334"/>
      <c r="EB173" s="334"/>
      <c r="EC173" s="334"/>
      <c r="ED173" s="187"/>
      <c r="EE173" s="330"/>
      <c r="EH173" s="334"/>
      <c r="EI173" s="334"/>
      <c r="EM173"/>
      <c r="EO173" s="115"/>
      <c r="EP173" s="334" t="s">
        <v>1415</v>
      </c>
      <c r="EQ173" s="334" t="s">
        <v>2114</v>
      </c>
      <c r="ER173" s="334" t="s">
        <v>1286</v>
      </c>
      <c r="ES173" s="334" t="s">
        <v>1274</v>
      </c>
      <c r="ET173" s="334">
        <v>2023.47</v>
      </c>
      <c r="EU173" s="334" t="s">
        <v>397</v>
      </c>
      <c r="EV173" s="334">
        <v>52619.074000000001</v>
      </c>
    </row>
    <row r="174" spans="4:152" ht="13">
      <c r="D174" t="s">
        <v>1525</v>
      </c>
      <c r="E174" t="s">
        <v>1677</v>
      </c>
      <c r="F174">
        <v>7119.7951000000003</v>
      </c>
      <c r="I174" s="115" t="s">
        <v>1990</v>
      </c>
      <c r="J174" s="115" t="s">
        <v>1354</v>
      </c>
      <c r="K174" s="183">
        <v>45141</v>
      </c>
      <c r="AG174" s="115"/>
      <c r="AH174" s="115"/>
      <c r="AI174" s="115" t="s">
        <v>1416</v>
      </c>
      <c r="AJ174" t="s">
        <v>2114</v>
      </c>
      <c r="AK174" s="115">
        <v>0</v>
      </c>
      <c r="AL174" s="115" t="s">
        <v>28</v>
      </c>
      <c r="AM174" s="115" t="s">
        <v>1849</v>
      </c>
      <c r="AN174" s="115" t="s">
        <v>1444</v>
      </c>
      <c r="AO174" s="115" t="s">
        <v>380</v>
      </c>
      <c r="AT174" s="115" t="s">
        <v>1415</v>
      </c>
      <c r="AU174" s="115" t="s">
        <v>2114</v>
      </c>
      <c r="AV174" s="115">
        <v>15</v>
      </c>
      <c r="AW174" s="115" t="s">
        <v>499</v>
      </c>
      <c r="AX174" s="115" t="s">
        <v>28</v>
      </c>
      <c r="AY174" s="115" t="s">
        <v>1843</v>
      </c>
      <c r="AZ174" s="115" t="s">
        <v>1881</v>
      </c>
      <c r="BA174" s="115"/>
      <c r="BB174" s="115"/>
      <c r="BC174" s="115">
        <v>9211.8989690721646</v>
      </c>
      <c r="BD174" s="115"/>
      <c r="BE174" s="115"/>
      <c r="BF174" s="115"/>
      <c r="BG174" s="115"/>
      <c r="BH174" s="115"/>
      <c r="BI174" s="115"/>
      <c r="BJ174" s="115"/>
      <c r="BK174" s="115"/>
      <c r="BL174" s="115"/>
      <c r="BM174" s="115"/>
      <c r="BN174" s="115"/>
      <c r="BO174" s="115"/>
      <c r="BP174" s="115"/>
      <c r="CV174" s="115">
        <v>2025.23</v>
      </c>
      <c r="CW174" s="115" t="s">
        <v>1415</v>
      </c>
      <c r="CX174" s="115" t="s">
        <v>1645</v>
      </c>
      <c r="CY174" s="115" t="s">
        <v>2063</v>
      </c>
      <c r="CZ174" s="330">
        <v>17619.18</v>
      </c>
      <c r="DA174" s="115"/>
      <c r="DB174" s="115"/>
      <c r="DR174" s="214"/>
      <c r="DY174" s="115"/>
      <c r="DZ174" s="334"/>
      <c r="EA174" s="334"/>
      <c r="EB174" s="334"/>
      <c r="EC174" s="334"/>
      <c r="ED174" s="187"/>
      <c r="EE174" s="330"/>
      <c r="EH174" s="334"/>
      <c r="EI174" s="334"/>
      <c r="EM174"/>
      <c r="EO174" s="115"/>
      <c r="EP174" s="334" t="s">
        <v>1415</v>
      </c>
      <c r="EQ174" s="334" t="s">
        <v>2114</v>
      </c>
      <c r="ER174" s="334" t="s">
        <v>1286</v>
      </c>
      <c r="ES174" s="334" t="s">
        <v>1274</v>
      </c>
      <c r="ET174" s="334">
        <v>2023.47</v>
      </c>
      <c r="EU174" s="334" t="s">
        <v>1382</v>
      </c>
      <c r="EV174" s="334">
        <v>52619.074000000001</v>
      </c>
    </row>
    <row r="175" spans="4:152" ht="13">
      <c r="D175" t="s">
        <v>1527</v>
      </c>
      <c r="E175" t="s">
        <v>1677</v>
      </c>
      <c r="F175">
        <v>289.63659999999999</v>
      </c>
      <c r="I175" s="115" t="s">
        <v>1990</v>
      </c>
      <c r="J175" s="115" t="s">
        <v>1365</v>
      </c>
      <c r="K175" s="183">
        <v>15</v>
      </c>
      <c r="AG175" s="115"/>
      <c r="AH175" s="115"/>
      <c r="AI175" s="115" t="s">
        <v>1416</v>
      </c>
      <c r="AJ175" t="s">
        <v>2114</v>
      </c>
      <c r="AK175" s="115">
        <v>0</v>
      </c>
      <c r="AL175" s="115" t="s">
        <v>28</v>
      </c>
      <c r="AM175" s="115" t="s">
        <v>1848</v>
      </c>
      <c r="AN175" s="115" t="s">
        <v>1444</v>
      </c>
      <c r="AO175" s="115" t="s">
        <v>380</v>
      </c>
      <c r="AT175" s="115" t="s">
        <v>1416</v>
      </c>
      <c r="AU175" s="115" t="s">
        <v>2114</v>
      </c>
      <c r="AV175" s="115">
        <v>0</v>
      </c>
      <c r="AW175" s="115" t="s">
        <v>499</v>
      </c>
      <c r="AX175" s="115" t="s">
        <v>28</v>
      </c>
      <c r="AY175" s="115" t="s">
        <v>1849</v>
      </c>
      <c r="AZ175" s="115" t="s">
        <v>1938</v>
      </c>
      <c r="BA175" s="115"/>
      <c r="BB175" s="115"/>
      <c r="BC175" s="115">
        <v>40.558125000000004</v>
      </c>
      <c r="BD175" s="115"/>
      <c r="BE175" s="115"/>
      <c r="BF175" s="115"/>
      <c r="BG175" s="115"/>
      <c r="BH175" s="115">
        <v>192.04323840000001</v>
      </c>
      <c r="BI175" s="115">
        <v>44.813999999999993</v>
      </c>
      <c r="BJ175" s="115">
        <v>0.98939999999999984</v>
      </c>
      <c r="BK175" s="115">
        <v>30.947850000000006</v>
      </c>
      <c r="BL175" s="115">
        <v>27.848699999999997</v>
      </c>
      <c r="BM175" s="115"/>
      <c r="BN175" s="115"/>
      <c r="BO175" s="115"/>
      <c r="BP175" s="115"/>
      <c r="CV175" s="115">
        <v>2025.23</v>
      </c>
      <c r="CW175" s="115" t="s">
        <v>1415</v>
      </c>
      <c r="CX175" s="115" t="s">
        <v>377</v>
      </c>
      <c r="CY175" s="115" t="s">
        <v>2063</v>
      </c>
      <c r="CZ175" s="330">
        <v>8186.4359999999997</v>
      </c>
      <c r="DA175" s="115"/>
      <c r="DB175" s="115"/>
      <c r="DR175" s="214"/>
      <c r="DY175" s="115"/>
      <c r="DZ175" s="334"/>
      <c r="EA175" s="334"/>
      <c r="EB175" s="334"/>
      <c r="EC175" s="334"/>
      <c r="ED175" s="187"/>
      <c r="EE175" s="330"/>
      <c r="EH175" s="334"/>
      <c r="EI175" s="334"/>
      <c r="EM175"/>
      <c r="EO175" s="115"/>
      <c r="EP175" s="334" t="s">
        <v>1415</v>
      </c>
      <c r="EQ175" s="334" t="s">
        <v>2114</v>
      </c>
      <c r="ER175" s="334" t="s">
        <v>1286</v>
      </c>
      <c r="ES175" s="334" t="s">
        <v>1274</v>
      </c>
      <c r="ET175" s="334">
        <v>2024.44</v>
      </c>
      <c r="EU175" s="334" t="s">
        <v>397</v>
      </c>
      <c r="EV175" s="334">
        <v>79920.425600000002</v>
      </c>
    </row>
    <row r="176" spans="4:152" ht="13">
      <c r="D176" t="s">
        <v>1528</v>
      </c>
      <c r="E176" t="s">
        <v>1677</v>
      </c>
      <c r="F176">
        <v>404400</v>
      </c>
      <c r="I176" s="115" t="s">
        <v>1990</v>
      </c>
      <c r="J176" s="115" t="s">
        <v>1356</v>
      </c>
      <c r="K176" s="183" t="s">
        <v>1359</v>
      </c>
      <c r="AG176" s="115"/>
      <c r="AH176" s="115"/>
      <c r="AI176" s="115" t="s">
        <v>1416</v>
      </c>
      <c r="AJ176" t="s">
        <v>2114</v>
      </c>
      <c r="AK176" s="115">
        <v>0</v>
      </c>
      <c r="AL176" s="115" t="s">
        <v>28</v>
      </c>
      <c r="AM176" s="115" t="s">
        <v>1832</v>
      </c>
      <c r="AN176" s="115" t="s">
        <v>1444</v>
      </c>
      <c r="AO176" s="115" t="s">
        <v>380</v>
      </c>
      <c r="AT176" s="115" t="s">
        <v>1415</v>
      </c>
      <c r="AU176" s="115" t="s">
        <v>2114</v>
      </c>
      <c r="AV176" s="115">
        <v>15</v>
      </c>
      <c r="AW176" s="115" t="s">
        <v>499</v>
      </c>
      <c r="AX176" s="115" t="s">
        <v>28</v>
      </c>
      <c r="AY176" s="115" t="s">
        <v>1849</v>
      </c>
      <c r="AZ176" s="115" t="s">
        <v>1881</v>
      </c>
      <c r="BA176" s="115"/>
      <c r="BB176" s="115"/>
      <c r="BC176" s="115">
        <v>59.655000000000001</v>
      </c>
      <c r="BD176" s="115"/>
      <c r="BE176" s="115"/>
      <c r="BF176" s="115"/>
      <c r="BG176" s="115"/>
      <c r="BH176" s="115"/>
      <c r="BI176" s="115"/>
      <c r="BJ176" s="115"/>
      <c r="BK176" s="115"/>
      <c r="BL176" s="115"/>
      <c r="BM176" s="115"/>
      <c r="BN176" s="115"/>
      <c r="BO176" s="115"/>
      <c r="BP176" s="115"/>
      <c r="CV176" s="115">
        <v>2025.23</v>
      </c>
      <c r="CW176" s="115" t="s">
        <v>1415</v>
      </c>
      <c r="CX176" s="115" t="s">
        <v>372</v>
      </c>
      <c r="CY176" s="115" t="s">
        <v>2063</v>
      </c>
      <c r="CZ176" s="330">
        <v>12456.882000000001</v>
      </c>
      <c r="DA176" s="115"/>
      <c r="DB176" s="115"/>
      <c r="DR176" s="214"/>
      <c r="DY176" s="115"/>
      <c r="DZ176" s="334"/>
      <c r="EA176" s="334"/>
      <c r="EB176" s="334"/>
      <c r="EC176" s="334"/>
      <c r="ED176" s="187"/>
      <c r="EE176" s="330"/>
      <c r="EH176" s="334"/>
      <c r="EI176" s="334"/>
      <c r="EM176"/>
      <c r="EO176" s="115"/>
      <c r="EP176" s="334" t="s">
        <v>1415</v>
      </c>
      <c r="EQ176" s="334" t="s">
        <v>2114</v>
      </c>
      <c r="ER176" s="334" t="s">
        <v>1286</v>
      </c>
      <c r="ES176" s="334" t="s">
        <v>1274</v>
      </c>
      <c r="ET176" s="334">
        <v>2024.44</v>
      </c>
      <c r="EU176" s="334" t="s">
        <v>1382</v>
      </c>
      <c r="EV176" s="334">
        <v>49920.425600000002</v>
      </c>
    </row>
    <row r="177" spans="4:152" ht="13">
      <c r="D177" t="s">
        <v>1529</v>
      </c>
      <c r="E177" t="s">
        <v>1677</v>
      </c>
      <c r="F177">
        <v>4617.3942999999999</v>
      </c>
      <c r="I177" s="115" t="s">
        <v>1990</v>
      </c>
      <c r="J177" s="115" t="s">
        <v>1366</v>
      </c>
      <c r="K177" s="183">
        <v>3</v>
      </c>
      <c r="AG177" s="115"/>
      <c r="AH177" s="115"/>
      <c r="AI177" s="115" t="s">
        <v>1416</v>
      </c>
      <c r="AJ177" t="s">
        <v>2114</v>
      </c>
      <c r="AK177" s="115">
        <v>0</v>
      </c>
      <c r="AL177" s="115" t="s">
        <v>28</v>
      </c>
      <c r="AM177" s="115" t="s">
        <v>1850</v>
      </c>
      <c r="AN177" s="115" t="s">
        <v>1444</v>
      </c>
      <c r="AO177" s="115" t="s">
        <v>380</v>
      </c>
      <c r="AT177" s="115" t="s">
        <v>1416</v>
      </c>
      <c r="AU177" s="115" t="s">
        <v>2114</v>
      </c>
      <c r="AV177" s="115">
        <v>0</v>
      </c>
      <c r="AW177" s="115" t="s">
        <v>499</v>
      </c>
      <c r="AX177" s="115" t="s">
        <v>28</v>
      </c>
      <c r="AY177" s="115" t="s">
        <v>1850</v>
      </c>
      <c r="AZ177" s="115" t="s">
        <v>1938</v>
      </c>
      <c r="BA177" s="115"/>
      <c r="BB177" s="115"/>
      <c r="BC177" s="115">
        <v>121.67437500000001</v>
      </c>
      <c r="BD177" s="115"/>
      <c r="BE177" s="115"/>
      <c r="BF177" s="115">
        <v>5.6078124999999996</v>
      </c>
      <c r="BG177" s="115"/>
      <c r="BH177" s="115">
        <v>21.338137600000003</v>
      </c>
      <c r="BI177" s="115">
        <v>14.937999999999997</v>
      </c>
      <c r="BJ177" s="115">
        <v>8.9046000000000003</v>
      </c>
      <c r="BK177" s="115">
        <v>3.4386500000000009</v>
      </c>
      <c r="BL177" s="115">
        <v>3.0943000000000001</v>
      </c>
      <c r="BM177" s="115"/>
      <c r="BN177" s="115"/>
      <c r="BO177" s="115"/>
      <c r="BP177" s="115"/>
      <c r="CV177" s="115">
        <v>2025.23</v>
      </c>
      <c r="CW177" s="115" t="s">
        <v>1415</v>
      </c>
      <c r="CX177" s="115" t="s">
        <v>380</v>
      </c>
      <c r="CY177" s="115" t="s">
        <v>2063</v>
      </c>
      <c r="CZ177" s="330">
        <v>3116.424</v>
      </c>
      <c r="DA177" s="115"/>
      <c r="DB177" s="115"/>
      <c r="DR177" s="214"/>
      <c r="DY177" s="115"/>
      <c r="DZ177" s="334"/>
      <c r="EA177" s="334"/>
      <c r="EB177" s="334"/>
      <c r="EC177" s="334"/>
      <c r="ED177" s="187"/>
      <c r="EE177" s="330"/>
      <c r="EH177" s="334"/>
      <c r="EI177" s="334"/>
      <c r="EM177"/>
      <c r="EO177" s="115"/>
      <c r="EP177" s="334" t="s">
        <v>1415</v>
      </c>
      <c r="EQ177" s="334" t="s">
        <v>2114</v>
      </c>
      <c r="ER177" s="334" t="s">
        <v>1286</v>
      </c>
      <c r="ES177" s="334" t="s">
        <v>1274</v>
      </c>
      <c r="ET177" s="334">
        <v>2024.45</v>
      </c>
      <c r="EU177" s="334" t="s">
        <v>397</v>
      </c>
      <c r="EV177" s="334">
        <v>79920.425600000002</v>
      </c>
    </row>
    <row r="178" spans="4:152" ht="13">
      <c r="D178" t="s">
        <v>1531</v>
      </c>
      <c r="E178" t="s">
        <v>1677</v>
      </c>
      <c r="F178">
        <v>15355.9385</v>
      </c>
      <c r="I178" s="115" t="s">
        <v>1990</v>
      </c>
      <c r="J178" s="115" t="s">
        <v>1357</v>
      </c>
      <c r="K178" s="183">
        <v>69176.207455652897</v>
      </c>
      <c r="AG178" s="115"/>
      <c r="AH178" s="115"/>
      <c r="AI178" s="115" t="s">
        <v>1416</v>
      </c>
      <c r="AJ178" t="s">
        <v>2114</v>
      </c>
      <c r="AK178" s="115">
        <v>0</v>
      </c>
      <c r="AL178" s="115" t="s">
        <v>28</v>
      </c>
      <c r="AM178" s="115" t="s">
        <v>1846</v>
      </c>
      <c r="AN178" s="115" t="s">
        <v>1444</v>
      </c>
      <c r="AO178" s="115" t="s">
        <v>380</v>
      </c>
      <c r="AT178" s="115" t="s">
        <v>1415</v>
      </c>
      <c r="AU178" s="115" t="s">
        <v>2114</v>
      </c>
      <c r="AV178" s="115">
        <v>15</v>
      </c>
      <c r="AW178" s="115" t="s">
        <v>499</v>
      </c>
      <c r="AX178" s="115" t="s">
        <v>28</v>
      </c>
      <c r="AY178" s="115" t="s">
        <v>1850</v>
      </c>
      <c r="AZ178" s="115" t="s">
        <v>1881</v>
      </c>
      <c r="BA178" s="115"/>
      <c r="BB178" s="115"/>
      <c r="BC178" s="115">
        <v>178.965</v>
      </c>
      <c r="BD178" s="115"/>
      <c r="BE178" s="115"/>
      <c r="BF178" s="115"/>
      <c r="BG178" s="115"/>
      <c r="BH178" s="115"/>
      <c r="BI178" s="115"/>
      <c r="BJ178" s="115"/>
      <c r="BK178" s="115"/>
      <c r="BL178" s="115"/>
      <c r="BM178" s="115"/>
      <c r="BN178" s="115"/>
      <c r="BO178" s="115"/>
      <c r="BP178" s="115"/>
      <c r="CV178" s="115">
        <v>2025.24</v>
      </c>
      <c r="CW178" s="115" t="s">
        <v>1415</v>
      </c>
      <c r="CX178" s="115" t="s">
        <v>380</v>
      </c>
      <c r="CY178" s="115" t="s">
        <v>2063</v>
      </c>
      <c r="CZ178" s="330">
        <v>3116.424</v>
      </c>
      <c r="DA178" s="115"/>
      <c r="DB178" s="115"/>
      <c r="DR178" s="214"/>
      <c r="DY178" s="115"/>
      <c r="DZ178" s="334"/>
      <c r="EA178" s="334"/>
      <c r="EB178" s="334"/>
      <c r="EC178" s="334"/>
      <c r="ED178" s="187"/>
      <c r="EE178" s="330"/>
      <c r="EH178" s="334"/>
      <c r="EI178" s="334"/>
      <c r="EM178"/>
      <c r="EO178" s="115"/>
      <c r="EP178" s="334" t="s">
        <v>1415</v>
      </c>
      <c r="EQ178" s="334" t="s">
        <v>2114</v>
      </c>
      <c r="ER178" s="334" t="s">
        <v>1286</v>
      </c>
      <c r="ES178" s="334" t="s">
        <v>1274</v>
      </c>
      <c r="ET178" s="334">
        <v>2024.45</v>
      </c>
      <c r="EU178" s="334" t="s">
        <v>1382</v>
      </c>
      <c r="EV178" s="334">
        <v>14920.4256</v>
      </c>
    </row>
    <row r="179" spans="4:152" ht="13">
      <c r="D179" t="s">
        <v>1533</v>
      </c>
      <c r="E179" t="s">
        <v>1677</v>
      </c>
      <c r="F179">
        <v>14709.0142</v>
      </c>
      <c r="I179" s="115" t="s">
        <v>2151</v>
      </c>
      <c r="J179" s="115" t="s">
        <v>1363</v>
      </c>
      <c r="K179" s="183">
        <v>125</v>
      </c>
      <c r="AG179" s="115"/>
      <c r="AH179" s="115"/>
      <c r="AI179" s="115" t="s">
        <v>1416</v>
      </c>
      <c r="AJ179" t="s">
        <v>2114</v>
      </c>
      <c r="AK179" s="115">
        <v>0</v>
      </c>
      <c r="AL179" s="115" t="s">
        <v>28</v>
      </c>
      <c r="AM179" s="115" t="s">
        <v>1850</v>
      </c>
      <c r="AN179" s="115" t="s">
        <v>1445</v>
      </c>
      <c r="AO179" s="115" t="s">
        <v>1644</v>
      </c>
      <c r="AT179" s="115" t="s">
        <v>1416</v>
      </c>
      <c r="AU179" s="115" t="s">
        <v>2114</v>
      </c>
      <c r="AV179" s="115">
        <v>0</v>
      </c>
      <c r="AW179" s="115" t="s">
        <v>499</v>
      </c>
      <c r="AX179" s="115" t="s">
        <v>28</v>
      </c>
      <c r="AY179" s="115" t="s">
        <v>1832</v>
      </c>
      <c r="AZ179" s="115" t="s">
        <v>1938</v>
      </c>
      <c r="BA179" s="115"/>
      <c r="BB179" s="115"/>
      <c r="BC179" s="115">
        <v>167.25000000000003</v>
      </c>
      <c r="BD179" s="115"/>
      <c r="BE179" s="115"/>
      <c r="BF179" s="115">
        <v>5.78125</v>
      </c>
      <c r="BG179" s="115"/>
      <c r="BH179" s="115">
        <v>219.98080000000002</v>
      </c>
      <c r="BI179" s="115">
        <v>61.599999999999987</v>
      </c>
      <c r="BJ179" s="115">
        <v>10.200000000000001</v>
      </c>
      <c r="BK179" s="115">
        <v>35.450000000000003</v>
      </c>
      <c r="BL179" s="115">
        <v>31.9</v>
      </c>
      <c r="BM179" s="115"/>
      <c r="BN179" s="115"/>
      <c r="BO179" s="115"/>
      <c r="BP179" s="115"/>
      <c r="CV179" s="115">
        <v>2025.24</v>
      </c>
      <c r="CW179" s="115" t="s">
        <v>1415</v>
      </c>
      <c r="CX179" s="115" t="s">
        <v>372</v>
      </c>
      <c r="CY179" s="115" t="s">
        <v>2063</v>
      </c>
      <c r="CZ179" s="330">
        <v>4152.2939999999999</v>
      </c>
      <c r="DA179" s="115"/>
      <c r="DB179" s="115"/>
      <c r="DR179" s="214"/>
      <c r="DY179" s="115"/>
      <c r="DZ179" s="334"/>
      <c r="EA179" s="334"/>
      <c r="EB179" s="334"/>
      <c r="EC179" s="334"/>
      <c r="ED179" s="187"/>
      <c r="EE179" s="330"/>
      <c r="EH179" s="334"/>
      <c r="EI179" s="334"/>
      <c r="EM179"/>
      <c r="EO179" s="115"/>
      <c r="EP179" s="334" t="s">
        <v>1415</v>
      </c>
      <c r="EQ179" s="334" t="s">
        <v>2114</v>
      </c>
      <c r="ER179" s="334" t="s">
        <v>1286</v>
      </c>
      <c r="ES179" s="334" t="s">
        <v>1274</v>
      </c>
      <c r="ET179" s="334">
        <v>2024.48</v>
      </c>
      <c r="EU179" s="334" t="s">
        <v>397</v>
      </c>
      <c r="EV179" s="334">
        <v>79920.425600000002</v>
      </c>
    </row>
    <row r="180" spans="4:152" ht="13">
      <c r="D180" t="s">
        <v>1534</v>
      </c>
      <c r="E180" t="s">
        <v>1677</v>
      </c>
      <c r="F180">
        <v>-742.5376</v>
      </c>
      <c r="I180" s="115" t="s">
        <v>2151</v>
      </c>
      <c r="J180" s="115" t="s">
        <v>1353</v>
      </c>
      <c r="K180" s="183" t="s">
        <v>2156</v>
      </c>
      <c r="AG180" s="115"/>
      <c r="AH180" s="115"/>
      <c r="AI180" s="115" t="s">
        <v>1416</v>
      </c>
      <c r="AJ180" t="s">
        <v>2114</v>
      </c>
      <c r="AK180" s="115">
        <v>0</v>
      </c>
      <c r="AL180" s="115" t="s">
        <v>28</v>
      </c>
      <c r="AM180" s="115" t="s">
        <v>1848</v>
      </c>
      <c r="AN180" s="115" t="s">
        <v>1445</v>
      </c>
      <c r="AO180" s="115" t="s">
        <v>1644</v>
      </c>
      <c r="AT180" s="115" t="s">
        <v>1415</v>
      </c>
      <c r="AU180" s="115" t="s">
        <v>2114</v>
      </c>
      <c r="AV180" s="115">
        <v>15</v>
      </c>
      <c r="AW180" s="115" t="s">
        <v>499</v>
      </c>
      <c r="AX180" s="115" t="s">
        <v>28</v>
      </c>
      <c r="AY180" s="115" t="s">
        <v>1832</v>
      </c>
      <c r="AZ180" s="115" t="s">
        <v>1881</v>
      </c>
      <c r="BA180" s="115"/>
      <c r="BB180" s="115"/>
      <c r="BC180" s="115">
        <v>246</v>
      </c>
      <c r="BD180" s="115"/>
      <c r="BE180" s="115"/>
      <c r="BF180" s="115"/>
      <c r="BG180" s="115"/>
      <c r="BH180" s="115"/>
      <c r="BI180" s="115"/>
      <c r="BJ180" s="115"/>
      <c r="BK180" s="115"/>
      <c r="BL180" s="115"/>
      <c r="BM180" s="115"/>
      <c r="BN180" s="115"/>
      <c r="BO180" s="115"/>
      <c r="BP180" s="115"/>
      <c r="CV180" s="115">
        <v>2025.24</v>
      </c>
      <c r="CW180" s="115" t="s">
        <v>1415</v>
      </c>
      <c r="CX180" s="115" t="s">
        <v>377</v>
      </c>
      <c r="CY180" s="115" t="s">
        <v>2063</v>
      </c>
      <c r="CZ180" s="330">
        <v>4093.2179999999998</v>
      </c>
      <c r="DA180" s="115"/>
      <c r="DB180" s="115"/>
      <c r="DR180" s="214"/>
      <c r="DY180" s="115"/>
      <c r="DZ180" s="334"/>
      <c r="EA180" s="334"/>
      <c r="EB180" s="334"/>
      <c r="EC180" s="334"/>
      <c r="ED180" s="187"/>
      <c r="EE180" s="330"/>
      <c r="EH180" s="334"/>
      <c r="EI180" s="334"/>
      <c r="EM180"/>
      <c r="EO180" s="115"/>
      <c r="EP180" s="334" t="s">
        <v>1415</v>
      </c>
      <c r="EQ180" s="334" t="s">
        <v>2114</v>
      </c>
      <c r="ER180" s="334" t="s">
        <v>1286</v>
      </c>
      <c r="ES180" s="334" t="s">
        <v>1274</v>
      </c>
      <c r="ET180" s="334">
        <v>2024.48</v>
      </c>
      <c r="EU180" s="334" t="s">
        <v>1382</v>
      </c>
      <c r="EV180" s="334">
        <v>24920.425599999999</v>
      </c>
    </row>
    <row r="181" spans="4:152" ht="13">
      <c r="D181" t="s">
        <v>1535</v>
      </c>
      <c r="E181" t="s">
        <v>1677</v>
      </c>
      <c r="F181">
        <v>6419.7853999999998</v>
      </c>
      <c r="I181" s="115" t="s">
        <v>2151</v>
      </c>
      <c r="J181" s="115" t="s">
        <v>1369</v>
      </c>
      <c r="K181" s="183">
        <v>13</v>
      </c>
      <c r="AG181" s="115"/>
      <c r="AH181" s="115"/>
      <c r="AI181" s="115" t="s">
        <v>1416</v>
      </c>
      <c r="AJ181" t="s">
        <v>2114</v>
      </c>
      <c r="AK181" s="115">
        <v>0</v>
      </c>
      <c r="AL181" s="115" t="s">
        <v>28</v>
      </c>
      <c r="AM181" s="115" t="s">
        <v>1843</v>
      </c>
      <c r="AN181" s="115" t="s">
        <v>1445</v>
      </c>
      <c r="AO181" s="115" t="s">
        <v>1644</v>
      </c>
      <c r="AT181" s="115" t="s">
        <v>1416</v>
      </c>
      <c r="AU181" s="115" t="s">
        <v>2114</v>
      </c>
      <c r="AV181" s="115">
        <v>0</v>
      </c>
      <c r="AW181" s="115" t="s">
        <v>499</v>
      </c>
      <c r="AX181" s="115" t="s">
        <v>28</v>
      </c>
      <c r="AY181" s="115" t="s">
        <v>1846</v>
      </c>
      <c r="AZ181" s="115" t="s">
        <v>1939</v>
      </c>
      <c r="BA181" s="115"/>
      <c r="BB181" s="115"/>
      <c r="BC181" s="115">
        <v>1056.7701374999999</v>
      </c>
      <c r="BD181" s="115"/>
      <c r="BE181" s="115"/>
      <c r="BF181" s="115"/>
      <c r="BG181" s="115"/>
      <c r="BH181" s="115">
        <v>12174.467244403999</v>
      </c>
      <c r="BI181" s="115">
        <v>1587.2238524999998</v>
      </c>
      <c r="BJ181" s="115">
        <v>160.31773818749997</v>
      </c>
      <c r="BK181" s="115">
        <v>1027.5832012500002</v>
      </c>
      <c r="BL181" s="115">
        <v>646.89081750000003</v>
      </c>
      <c r="BM181" s="115">
        <v>5043.4710000000005</v>
      </c>
      <c r="BN181" s="115">
        <v>3241.4699000000001</v>
      </c>
      <c r="BO181" s="115">
        <v>2624.0010000000002</v>
      </c>
      <c r="BP181" s="115"/>
      <c r="CV181" s="115">
        <v>2025.26</v>
      </c>
      <c r="CW181" s="115" t="s">
        <v>1415</v>
      </c>
      <c r="CX181" s="115" t="s">
        <v>380</v>
      </c>
      <c r="CY181" s="115" t="s">
        <v>2063</v>
      </c>
      <c r="CZ181" s="330">
        <v>3116.424</v>
      </c>
      <c r="DA181" s="115"/>
      <c r="DB181" s="115"/>
      <c r="DR181" s="214"/>
      <c r="DY181" s="115"/>
      <c r="DZ181" s="334"/>
      <c r="EA181" s="334"/>
      <c r="EB181" s="334"/>
      <c r="EC181" s="334"/>
      <c r="ED181" s="187"/>
      <c r="EE181" s="330"/>
      <c r="EH181" s="334"/>
      <c r="EI181" s="334"/>
      <c r="EM181"/>
      <c r="EO181" s="115"/>
      <c r="EP181" s="334" t="s">
        <v>1415</v>
      </c>
      <c r="EQ181" s="334" t="s">
        <v>2114</v>
      </c>
      <c r="ER181" s="334" t="s">
        <v>428</v>
      </c>
      <c r="ES181" s="334" t="s">
        <v>377</v>
      </c>
      <c r="ET181" s="334">
        <v>2023.47</v>
      </c>
      <c r="EU181" s="334" t="s">
        <v>397</v>
      </c>
      <c r="EV181" s="334">
        <v>28455.261500000001</v>
      </c>
    </row>
    <row r="182" spans="4:152" ht="13">
      <c r="I182" s="115" t="s">
        <v>2151</v>
      </c>
      <c r="J182" s="115" t="s">
        <v>1355</v>
      </c>
      <c r="K182" s="183">
        <v>8</v>
      </c>
      <c r="AG182" s="115"/>
      <c r="AH182" s="115"/>
      <c r="AI182" s="115" t="s">
        <v>1416</v>
      </c>
      <c r="AJ182" t="s">
        <v>2114</v>
      </c>
      <c r="AK182" s="115">
        <v>0</v>
      </c>
      <c r="AL182" s="115" t="s">
        <v>28</v>
      </c>
      <c r="AM182" s="115" t="s">
        <v>1832</v>
      </c>
      <c r="AN182" s="115" t="s">
        <v>1445</v>
      </c>
      <c r="AO182" s="115" t="s">
        <v>1644</v>
      </c>
      <c r="AT182" s="115" t="s">
        <v>1415</v>
      </c>
      <c r="AU182" s="115" t="s">
        <v>2114</v>
      </c>
      <c r="AV182" s="115">
        <v>15</v>
      </c>
      <c r="AW182" s="115" t="s">
        <v>499</v>
      </c>
      <c r="AX182" s="115" t="s">
        <v>28</v>
      </c>
      <c r="AY182" s="115" t="s">
        <v>1846</v>
      </c>
      <c r="AZ182" s="115" t="s">
        <v>1882</v>
      </c>
      <c r="BA182" s="115"/>
      <c r="BB182" s="115"/>
      <c r="BC182" s="115">
        <v>9400.4599259999977</v>
      </c>
      <c r="BD182" s="115"/>
      <c r="BE182" s="115"/>
      <c r="BF182" s="115"/>
      <c r="BG182" s="115"/>
      <c r="BH182" s="115">
        <v>34483.882880124802</v>
      </c>
      <c r="BI182" s="115">
        <v>4199.7402924749995</v>
      </c>
      <c r="BJ182" s="115">
        <v>451.09536107999992</v>
      </c>
      <c r="BK182" s="115">
        <v>1886.1681676320004</v>
      </c>
      <c r="BL182" s="115">
        <v>3530.2814384849994</v>
      </c>
      <c r="BM182" s="115">
        <v>9478.5166000000008</v>
      </c>
      <c r="BN182" s="115">
        <v>5313.92</v>
      </c>
      <c r="BO182" s="115">
        <v>5602.21</v>
      </c>
      <c r="BP182" s="115"/>
      <c r="CV182" s="115">
        <v>2025.26</v>
      </c>
      <c r="CW182" s="115" t="s">
        <v>1415</v>
      </c>
      <c r="CX182" s="115" t="s">
        <v>372</v>
      </c>
      <c r="CY182" s="115" t="s">
        <v>2063</v>
      </c>
      <c r="CZ182" s="330">
        <v>4152.2939999999999</v>
      </c>
      <c r="DA182" s="115"/>
      <c r="DB182" s="115"/>
      <c r="DR182" s="214"/>
      <c r="DY182" s="115"/>
      <c r="DZ182" s="334"/>
      <c r="EA182" s="334"/>
      <c r="EB182" s="334"/>
      <c r="EC182" s="334"/>
      <c r="ED182" s="187"/>
      <c r="EE182" s="330"/>
      <c r="EH182" s="334"/>
      <c r="EI182" s="334"/>
      <c r="EM182"/>
      <c r="EO182" s="115"/>
      <c r="EP182" s="334" t="s">
        <v>1415</v>
      </c>
      <c r="EQ182" s="334" t="s">
        <v>2114</v>
      </c>
      <c r="ER182" s="334" t="s">
        <v>428</v>
      </c>
      <c r="ES182" s="334" t="s">
        <v>377</v>
      </c>
      <c r="ET182" s="334">
        <v>2023.47</v>
      </c>
      <c r="EU182" s="334" t="s">
        <v>1382</v>
      </c>
      <c r="EV182" s="334">
        <v>28455.261500000001</v>
      </c>
    </row>
    <row r="183" spans="4:152" ht="13">
      <c r="I183" s="115" t="s">
        <v>2151</v>
      </c>
      <c r="J183" s="115" t="s">
        <v>1361</v>
      </c>
      <c r="K183" s="183">
        <v>69.23</v>
      </c>
      <c r="AG183" s="115"/>
      <c r="AH183" s="115"/>
      <c r="AI183" s="115" t="s">
        <v>1416</v>
      </c>
      <c r="AJ183" t="s">
        <v>2114</v>
      </c>
      <c r="AK183" s="115">
        <v>0</v>
      </c>
      <c r="AL183" s="115" t="s">
        <v>28</v>
      </c>
      <c r="AM183" s="115" t="s">
        <v>1843</v>
      </c>
      <c r="AN183" s="115" t="s">
        <v>1445</v>
      </c>
      <c r="AO183" s="115" t="s">
        <v>1274</v>
      </c>
      <c r="AT183" s="115" t="s">
        <v>1415</v>
      </c>
      <c r="AU183" s="115" t="s">
        <v>2114</v>
      </c>
      <c r="AV183" s="115">
        <v>15</v>
      </c>
      <c r="AW183" s="115" t="s">
        <v>499</v>
      </c>
      <c r="AX183" s="115" t="s">
        <v>28</v>
      </c>
      <c r="AY183" s="115" t="s">
        <v>1848</v>
      </c>
      <c r="AZ183" s="115" t="s">
        <v>1882</v>
      </c>
      <c r="BA183" s="115"/>
      <c r="BB183" s="115"/>
      <c r="BC183" s="115">
        <v>55435.881500999996</v>
      </c>
      <c r="BD183" s="115"/>
      <c r="BE183" s="115"/>
      <c r="BF183" s="115">
        <v>980.57593424999993</v>
      </c>
      <c r="BG183" s="115"/>
      <c r="BH183" s="115">
        <v>2488.8914046012801</v>
      </c>
      <c r="BI183" s="115">
        <v>1542.8693778749996</v>
      </c>
      <c r="BJ183" s="115">
        <v>2265.88883668875</v>
      </c>
      <c r="BK183" s="115">
        <v>294.62649787200002</v>
      </c>
      <c r="BL183" s="115">
        <v>551.44311868499994</v>
      </c>
      <c r="BM183" s="115"/>
      <c r="BN183" s="115"/>
      <c r="BO183" s="115"/>
      <c r="BP183" s="115"/>
      <c r="CV183" s="115">
        <v>2025.26</v>
      </c>
      <c r="CW183" s="115" t="s">
        <v>1415</v>
      </c>
      <c r="CX183" s="115" t="s">
        <v>377</v>
      </c>
      <c r="CY183" s="115" t="s">
        <v>2063</v>
      </c>
      <c r="CZ183" s="330">
        <v>4093.2179999999998</v>
      </c>
      <c r="DA183" s="115"/>
      <c r="DB183" s="115"/>
      <c r="DR183" s="214"/>
      <c r="DY183" s="115"/>
      <c r="DZ183" s="334"/>
      <c r="EA183" s="334"/>
      <c r="EB183" s="334"/>
      <c r="EC183" s="334"/>
      <c r="ED183" s="187"/>
      <c r="EE183" s="330"/>
      <c r="EH183" s="334"/>
      <c r="EI183" s="334"/>
      <c r="EM183"/>
      <c r="EO183" s="115"/>
      <c r="EP183" s="334" t="s">
        <v>1415</v>
      </c>
      <c r="EQ183" s="334" t="s">
        <v>2114</v>
      </c>
      <c r="ER183" s="334" t="s">
        <v>428</v>
      </c>
      <c r="ES183" s="334" t="s">
        <v>377</v>
      </c>
      <c r="ET183" s="334">
        <v>2024.44</v>
      </c>
      <c r="EU183" s="334" t="s">
        <v>397</v>
      </c>
      <c r="EV183" s="334">
        <v>28756.874</v>
      </c>
    </row>
    <row r="184" spans="4:152" ht="13">
      <c r="I184" s="115" t="s">
        <v>2151</v>
      </c>
      <c r="J184" s="115" t="s">
        <v>1364</v>
      </c>
      <c r="K184" s="183">
        <v>300</v>
      </c>
      <c r="AG184" s="115"/>
      <c r="AH184" s="115"/>
      <c r="AI184" s="115" t="s">
        <v>1416</v>
      </c>
      <c r="AJ184" t="s">
        <v>2114</v>
      </c>
      <c r="AK184" s="115">
        <v>0</v>
      </c>
      <c r="AL184" s="115" t="s">
        <v>28</v>
      </c>
      <c r="AM184" s="115" t="s">
        <v>1850</v>
      </c>
      <c r="AN184" s="115" t="s">
        <v>1445</v>
      </c>
      <c r="AO184" s="115" t="s">
        <v>1274</v>
      </c>
      <c r="AT184" s="115" t="s">
        <v>1416</v>
      </c>
      <c r="AU184" s="115" t="s">
        <v>2114</v>
      </c>
      <c r="AV184" s="115">
        <v>0</v>
      </c>
      <c r="AW184" s="115" t="s">
        <v>499</v>
      </c>
      <c r="AX184" s="115" t="s">
        <v>28</v>
      </c>
      <c r="AY184" s="115" t="s">
        <v>1848</v>
      </c>
      <c r="AZ184" s="115" t="s">
        <v>1939</v>
      </c>
      <c r="BA184" s="115"/>
      <c r="BB184" s="115"/>
      <c r="BC184" s="115">
        <v>6337.5398624999998</v>
      </c>
      <c r="BD184" s="115"/>
      <c r="BE184" s="115"/>
      <c r="BF184" s="115">
        <v>297.59842500000002</v>
      </c>
      <c r="BG184" s="115"/>
      <c r="BH184" s="115">
        <v>837.82892248399992</v>
      </c>
      <c r="BI184" s="115">
        <v>677.65036624999993</v>
      </c>
      <c r="BJ184" s="115">
        <v>759.65977406250011</v>
      </c>
      <c r="BK184" s="115">
        <v>163.23281249999999</v>
      </c>
      <c r="BL184" s="115">
        <v>102.75937500000001</v>
      </c>
      <c r="BM184" s="115"/>
      <c r="BN184" s="115"/>
      <c r="BO184" s="115"/>
      <c r="BP184" s="115"/>
      <c r="CV184" s="115">
        <v>2025.27</v>
      </c>
      <c r="CW184" s="115" t="s">
        <v>1415</v>
      </c>
      <c r="CX184" s="115" t="s">
        <v>380</v>
      </c>
      <c r="CY184" s="115" t="s">
        <v>2063</v>
      </c>
      <c r="CZ184" s="330">
        <v>3116.424</v>
      </c>
      <c r="DA184" s="115"/>
      <c r="DB184" s="115"/>
      <c r="DR184" s="214"/>
      <c r="DY184" s="115"/>
      <c r="DZ184" s="334"/>
      <c r="EA184" s="334"/>
      <c r="EB184" s="334"/>
      <c r="EC184" s="334"/>
      <c r="ED184" s="187"/>
      <c r="EE184" s="330"/>
      <c r="EH184" s="334"/>
      <c r="EI184" s="334"/>
      <c r="EM184"/>
      <c r="EO184" s="115"/>
      <c r="EP184" s="334" t="s">
        <v>1415</v>
      </c>
      <c r="EQ184" s="334" t="s">
        <v>2114</v>
      </c>
      <c r="ER184" s="334" t="s">
        <v>428</v>
      </c>
      <c r="ES184" s="334" t="s">
        <v>377</v>
      </c>
      <c r="ET184" s="334">
        <v>2024.44</v>
      </c>
      <c r="EU184" s="334" t="s">
        <v>1382</v>
      </c>
      <c r="EV184" s="334">
        <v>28756.874</v>
      </c>
    </row>
    <row r="185" spans="4:152" ht="13">
      <c r="I185" s="115" t="s">
        <v>2151</v>
      </c>
      <c r="J185" s="115" t="s">
        <v>1367</v>
      </c>
      <c r="K185" s="183">
        <v>8</v>
      </c>
      <c r="AG185" s="115"/>
      <c r="AH185" s="115"/>
      <c r="AI185" s="115" t="s">
        <v>1416</v>
      </c>
      <c r="AJ185" t="s">
        <v>2114</v>
      </c>
      <c r="AK185" s="115">
        <v>0</v>
      </c>
      <c r="AL185" s="115" t="s">
        <v>28</v>
      </c>
      <c r="AM185" s="115" t="s">
        <v>1846</v>
      </c>
      <c r="AN185" s="115" t="s">
        <v>1445</v>
      </c>
      <c r="AO185" s="115" t="s">
        <v>1274</v>
      </c>
      <c r="AT185" s="115" t="s">
        <v>1415</v>
      </c>
      <c r="AU185" s="115" t="s">
        <v>2114</v>
      </c>
      <c r="AV185" s="115">
        <v>15</v>
      </c>
      <c r="AW185" s="115" t="s">
        <v>499</v>
      </c>
      <c r="AX185" s="115" t="s">
        <v>28</v>
      </c>
      <c r="AY185" s="115" t="s">
        <v>1843</v>
      </c>
      <c r="AZ185" s="115" t="s">
        <v>1882</v>
      </c>
      <c r="BA185" s="115"/>
      <c r="BB185" s="115"/>
      <c r="BC185" s="115">
        <v>64258.611958762893</v>
      </c>
      <c r="BD185" s="115"/>
      <c r="BE185" s="115"/>
      <c r="BF185" s="115">
        <v>973.01938144329904</v>
      </c>
      <c r="BG185" s="115"/>
      <c r="BH185" s="115">
        <v>34953.09650103093</v>
      </c>
      <c r="BI185" s="115">
        <v>5023.4223711340201</v>
      </c>
      <c r="BJ185" s="115">
        <v>2692.2993814432994</v>
      </c>
      <c r="BK185" s="115">
        <v>2148.3245360824744</v>
      </c>
      <c r="BL185" s="115">
        <v>4593.594020618556</v>
      </c>
      <c r="BM185" s="115">
        <v>9478.5166000000008</v>
      </c>
      <c r="BN185" s="115">
        <v>5313.92</v>
      </c>
      <c r="BO185" s="115">
        <v>5602.21</v>
      </c>
      <c r="BP185" s="115"/>
      <c r="CV185" s="115">
        <v>2025.27</v>
      </c>
      <c r="CW185" s="115" t="s">
        <v>1415</v>
      </c>
      <c r="CX185" s="115" t="s">
        <v>372</v>
      </c>
      <c r="CY185" s="115" t="s">
        <v>2063</v>
      </c>
      <c r="CZ185" s="330">
        <v>4152.2939999999999</v>
      </c>
      <c r="DA185" s="115"/>
      <c r="DB185" s="115"/>
      <c r="DR185" s="214"/>
      <c r="DY185" s="115"/>
      <c r="DZ185" s="334"/>
      <c r="EA185" s="334"/>
      <c r="EB185" s="334"/>
      <c r="EC185" s="334"/>
      <c r="ED185" s="187"/>
      <c r="EE185" s="330"/>
      <c r="EH185" s="334"/>
      <c r="EI185" s="334"/>
      <c r="EM185"/>
      <c r="EO185" s="115"/>
      <c r="EP185" s="334" t="s">
        <v>1415</v>
      </c>
      <c r="EQ185" s="334" t="s">
        <v>2114</v>
      </c>
      <c r="ER185" s="334" t="s">
        <v>428</v>
      </c>
      <c r="ES185" s="334" t="s">
        <v>377</v>
      </c>
      <c r="ET185" s="334">
        <v>2024.48</v>
      </c>
      <c r="EU185" s="334" t="s">
        <v>397</v>
      </c>
      <c r="EV185" s="334">
        <v>28756.874</v>
      </c>
    </row>
    <row r="186" spans="4:152" ht="13">
      <c r="I186" s="115" t="s">
        <v>2151</v>
      </c>
      <c r="J186" s="115" t="s">
        <v>1362</v>
      </c>
      <c r="K186" s="183">
        <v>95</v>
      </c>
      <c r="AG186" s="115"/>
      <c r="AH186" s="115"/>
      <c r="AI186" s="115" t="s">
        <v>1416</v>
      </c>
      <c r="AJ186" t="s">
        <v>2114</v>
      </c>
      <c r="AK186" s="115">
        <v>0</v>
      </c>
      <c r="AL186" s="115" t="s">
        <v>28</v>
      </c>
      <c r="AM186" s="115" t="s">
        <v>1848</v>
      </c>
      <c r="AN186" s="115" t="s">
        <v>1445</v>
      </c>
      <c r="AO186" s="115" t="s">
        <v>1274</v>
      </c>
      <c r="AT186" s="115" t="s">
        <v>1416</v>
      </c>
      <c r="AU186" s="115" t="s">
        <v>2114</v>
      </c>
      <c r="AV186" s="115">
        <v>0</v>
      </c>
      <c r="AW186" s="115" t="s">
        <v>499</v>
      </c>
      <c r="AX186" s="115" t="s">
        <v>28</v>
      </c>
      <c r="AY186" s="115" t="s">
        <v>1843</v>
      </c>
      <c r="AZ186" s="115" t="s">
        <v>1939</v>
      </c>
      <c r="BA186" s="115"/>
      <c r="BB186" s="115"/>
      <c r="BC186" s="115">
        <v>7623.0000000000009</v>
      </c>
      <c r="BD186" s="115"/>
      <c r="BE186" s="115"/>
      <c r="BF186" s="115">
        <v>306.80247422680418</v>
      </c>
      <c r="BG186" s="115"/>
      <c r="BH186" s="115">
        <v>13263.554284536083</v>
      </c>
      <c r="BI186" s="115">
        <v>2310.5577319587628</v>
      </c>
      <c r="BJ186" s="115">
        <v>948.43041237113403</v>
      </c>
      <c r="BK186" s="115">
        <v>1227.6453608247423</v>
      </c>
      <c r="BL186" s="115">
        <v>772.83525773195879</v>
      </c>
      <c r="BM186" s="115">
        <v>5043.4710000000005</v>
      </c>
      <c r="BN186" s="115">
        <v>3241.4699000000001</v>
      </c>
      <c r="BO186" s="115">
        <v>2624.0010000000002</v>
      </c>
      <c r="BP186" s="115"/>
      <c r="CV186" s="115">
        <v>2025.27</v>
      </c>
      <c r="CW186" s="115" t="s">
        <v>1415</v>
      </c>
      <c r="CX186" s="115" t="s">
        <v>377</v>
      </c>
      <c r="CY186" s="115" t="s">
        <v>2063</v>
      </c>
      <c r="CZ186" s="330">
        <v>4093.2179999999998</v>
      </c>
      <c r="DA186" s="115"/>
      <c r="DB186" s="115"/>
      <c r="DR186" s="214"/>
      <c r="DY186" s="115"/>
      <c r="DZ186" s="334"/>
      <c r="EA186" s="334"/>
      <c r="EB186" s="334"/>
      <c r="EC186" s="334"/>
      <c r="ED186" s="187"/>
      <c r="EE186" s="330"/>
      <c r="EH186" s="334"/>
      <c r="EI186" s="334"/>
      <c r="EM186"/>
      <c r="EO186" s="115"/>
      <c r="EP186" s="334" t="s">
        <v>1415</v>
      </c>
      <c r="EQ186" s="334" t="s">
        <v>2114</v>
      </c>
      <c r="ER186" s="334" t="s">
        <v>428</v>
      </c>
      <c r="ES186" s="334" t="s">
        <v>377</v>
      </c>
      <c r="ET186" s="334">
        <v>2024.48</v>
      </c>
      <c r="EU186" s="334" t="s">
        <v>1382</v>
      </c>
      <c r="EV186" s="334">
        <v>33756.874000000003</v>
      </c>
    </row>
    <row r="187" spans="4:152" ht="13">
      <c r="I187" s="115" t="s">
        <v>2151</v>
      </c>
      <c r="J187" s="115" t="s">
        <v>1368</v>
      </c>
      <c r="K187" s="183">
        <v>11.5</v>
      </c>
      <c r="AG187" s="115"/>
      <c r="AH187" s="115"/>
      <c r="AI187" s="115" t="s">
        <v>1416</v>
      </c>
      <c r="AJ187" t="s">
        <v>2114</v>
      </c>
      <c r="AK187" s="115">
        <v>0</v>
      </c>
      <c r="AL187" s="115" t="s">
        <v>28</v>
      </c>
      <c r="AM187" s="115" t="s">
        <v>1849</v>
      </c>
      <c r="AN187" s="115" t="s">
        <v>1445</v>
      </c>
      <c r="AO187" s="115" t="s">
        <v>1274</v>
      </c>
      <c r="AT187" s="115" t="s">
        <v>1415</v>
      </c>
      <c r="AU187" s="115" t="s">
        <v>2114</v>
      </c>
      <c r="AV187" s="115">
        <v>15</v>
      </c>
      <c r="AW187" s="115" t="s">
        <v>499</v>
      </c>
      <c r="AX187" s="115" t="s">
        <v>28</v>
      </c>
      <c r="AY187" s="115" t="s">
        <v>1849</v>
      </c>
      <c r="AZ187" s="115" t="s">
        <v>1882</v>
      </c>
      <c r="BA187" s="115"/>
      <c r="BB187" s="115"/>
      <c r="BC187" s="115">
        <v>416.12999999999994</v>
      </c>
      <c r="BD187" s="115"/>
      <c r="BE187" s="115"/>
      <c r="BF187" s="115"/>
      <c r="BG187" s="115"/>
      <c r="BH187" s="115">
        <v>514.56924720000006</v>
      </c>
      <c r="BI187" s="115">
        <v>120.69224999999997</v>
      </c>
      <c r="BJ187" s="115">
        <v>5.6272124999999988</v>
      </c>
      <c r="BK187" s="115">
        <v>65.509920000000008</v>
      </c>
      <c r="BL187" s="115">
        <v>122.61284999999998</v>
      </c>
      <c r="BM187" s="115"/>
      <c r="BN187" s="115"/>
      <c r="BO187" s="115"/>
      <c r="BP187" s="115"/>
      <c r="CV187" s="115">
        <v>2025.25</v>
      </c>
      <c r="CW187" s="115" t="s">
        <v>1415</v>
      </c>
      <c r="CX187" s="115" t="s">
        <v>380</v>
      </c>
      <c r="CY187" s="115" t="s">
        <v>2065</v>
      </c>
      <c r="CZ187" s="330">
        <v>6232.848</v>
      </c>
      <c r="DA187" s="115"/>
      <c r="DB187" s="115"/>
      <c r="DR187" s="214"/>
      <c r="DY187" s="115"/>
      <c r="DZ187" s="334"/>
      <c r="EA187" s="334"/>
      <c r="EB187" s="334"/>
      <c r="EC187" s="334"/>
      <c r="ED187" s="187"/>
      <c r="EE187" s="330"/>
      <c r="EH187" s="334"/>
      <c r="EI187" s="334"/>
      <c r="EM187"/>
      <c r="EO187" s="115"/>
      <c r="EP187" s="334" t="s">
        <v>1415</v>
      </c>
      <c r="EQ187" s="334" t="s">
        <v>2114</v>
      </c>
      <c r="ER187" s="334" t="s">
        <v>428</v>
      </c>
      <c r="ES187" s="334" t="s">
        <v>378</v>
      </c>
      <c r="ET187" s="334">
        <v>2023.47</v>
      </c>
      <c r="EU187" s="334" t="s">
        <v>397</v>
      </c>
      <c r="EV187" s="334">
        <v>23604.266100000001</v>
      </c>
    </row>
    <row r="188" spans="4:152" ht="13">
      <c r="I188" s="115" t="s">
        <v>2151</v>
      </c>
      <c r="J188" s="115" t="s">
        <v>1360</v>
      </c>
      <c r="K188" s="183">
        <v>0.34237765696180017</v>
      </c>
      <c r="AG188" s="115"/>
      <c r="AH188" s="115"/>
      <c r="AI188" s="115" t="s">
        <v>1416</v>
      </c>
      <c r="AJ188" t="s">
        <v>2114</v>
      </c>
      <c r="AK188" s="115">
        <v>0</v>
      </c>
      <c r="AL188" s="115" t="s">
        <v>28</v>
      </c>
      <c r="AM188" s="115" t="s">
        <v>1832</v>
      </c>
      <c r="AN188" s="115" t="s">
        <v>1445</v>
      </c>
      <c r="AO188" s="115" t="s">
        <v>1274</v>
      </c>
      <c r="AT188" s="115" t="s">
        <v>1416</v>
      </c>
      <c r="AU188" s="115" t="s">
        <v>2114</v>
      </c>
      <c r="AV188" s="115">
        <v>0</v>
      </c>
      <c r="AW188" s="115" t="s">
        <v>499</v>
      </c>
      <c r="AX188" s="115" t="s">
        <v>28</v>
      </c>
      <c r="AY188" s="115" t="s">
        <v>1849</v>
      </c>
      <c r="AZ188" s="115" t="s">
        <v>1939</v>
      </c>
      <c r="BA188" s="115"/>
      <c r="BB188" s="115"/>
      <c r="BC188" s="115">
        <v>51.349375000000002</v>
      </c>
      <c r="BD188" s="115"/>
      <c r="BE188" s="115"/>
      <c r="BF188" s="115"/>
      <c r="BG188" s="115"/>
      <c r="BH188" s="115">
        <v>186.96901319999998</v>
      </c>
      <c r="BI188" s="115">
        <v>57.217874999999992</v>
      </c>
      <c r="BJ188" s="115">
        <v>2.1952312499999995</v>
      </c>
      <c r="BK188" s="115">
        <v>39.175875000000005</v>
      </c>
      <c r="BL188" s="115">
        <v>24.66225</v>
      </c>
      <c r="BM188" s="115"/>
      <c r="BN188" s="115"/>
      <c r="BO188" s="115"/>
      <c r="BP188" s="115"/>
      <c r="CV188" s="115">
        <v>2025.25</v>
      </c>
      <c r="CW188" s="115" t="s">
        <v>1415</v>
      </c>
      <c r="CX188" s="115" t="s">
        <v>377</v>
      </c>
      <c r="CY188" s="115" t="s">
        <v>2065</v>
      </c>
      <c r="CZ188" s="330">
        <v>8186.4359999999997</v>
      </c>
      <c r="DA188" s="115"/>
      <c r="DB188" s="115"/>
      <c r="DR188" s="214"/>
      <c r="DY188" s="115"/>
      <c r="DZ188" s="334"/>
      <c r="EA188" s="334"/>
      <c r="EB188" s="334"/>
      <c r="EC188" s="334"/>
      <c r="ED188" s="187"/>
      <c r="EE188" s="330"/>
      <c r="EH188" s="334"/>
      <c r="EI188" s="334"/>
      <c r="EM188"/>
      <c r="EO188" s="115"/>
      <c r="EP188" s="334" t="s">
        <v>1415</v>
      </c>
      <c r="EQ188" s="334" t="s">
        <v>2114</v>
      </c>
      <c r="ER188" s="334" t="s">
        <v>428</v>
      </c>
      <c r="ES188" s="334" t="s">
        <v>378</v>
      </c>
      <c r="ET188" s="334">
        <v>2023.47</v>
      </c>
      <c r="EU188" s="334" t="s">
        <v>1382</v>
      </c>
      <c r="EV188" s="334">
        <v>23604.266100000001</v>
      </c>
    </row>
    <row r="189" spans="4:152" ht="13">
      <c r="I189" s="115" t="s">
        <v>2151</v>
      </c>
      <c r="J189" s="115" t="s">
        <v>1358</v>
      </c>
      <c r="K189" s="183" t="s">
        <v>375</v>
      </c>
      <c r="AG189" s="115"/>
      <c r="AH189" s="115"/>
      <c r="AI189" s="115" t="s">
        <v>1416</v>
      </c>
      <c r="AJ189" t="s">
        <v>2114</v>
      </c>
      <c r="AK189" s="115">
        <v>0</v>
      </c>
      <c r="AL189" s="115" t="s">
        <v>28</v>
      </c>
      <c r="AM189" s="115" t="s">
        <v>1832</v>
      </c>
      <c r="AN189" s="115" t="s">
        <v>1445</v>
      </c>
      <c r="AO189" s="115" t="s">
        <v>381</v>
      </c>
      <c r="AT189" s="115" t="s">
        <v>1416</v>
      </c>
      <c r="AU189" s="115" t="s">
        <v>2114</v>
      </c>
      <c r="AV189" s="115">
        <v>0</v>
      </c>
      <c r="AW189" s="115" t="s">
        <v>499</v>
      </c>
      <c r="AX189" s="115" t="s">
        <v>28</v>
      </c>
      <c r="AY189" s="115" t="s">
        <v>1850</v>
      </c>
      <c r="AZ189" s="115" t="s">
        <v>1939</v>
      </c>
      <c r="BA189" s="115"/>
      <c r="BB189" s="115"/>
      <c r="BC189" s="115">
        <v>154.048125</v>
      </c>
      <c r="BD189" s="115"/>
      <c r="BE189" s="115"/>
      <c r="BF189" s="115">
        <v>6.9112499999999999</v>
      </c>
      <c r="BG189" s="115"/>
      <c r="BH189" s="115">
        <v>20.774334799999998</v>
      </c>
      <c r="BI189" s="115">
        <v>19.072624999999999</v>
      </c>
      <c r="BJ189" s="115">
        <v>19.757081250000002</v>
      </c>
      <c r="BK189" s="115">
        <v>4.352875</v>
      </c>
      <c r="BL189" s="115">
        <v>2.7402500000000001</v>
      </c>
      <c r="BM189" s="115"/>
      <c r="BN189" s="115"/>
      <c r="BO189" s="115"/>
      <c r="BP189" s="115"/>
      <c r="CV189" s="115">
        <v>2025.25</v>
      </c>
      <c r="CW189" s="115" t="s">
        <v>1415</v>
      </c>
      <c r="CX189" s="115" t="s">
        <v>372</v>
      </c>
      <c r="CY189" s="115" t="s">
        <v>2065</v>
      </c>
      <c r="CZ189" s="330">
        <v>8304.5879999999997</v>
      </c>
      <c r="DA189" s="115"/>
      <c r="DB189" s="115"/>
      <c r="DR189" s="214"/>
      <c r="DY189" s="115"/>
      <c r="DZ189" s="334"/>
      <c r="EA189" s="334"/>
      <c r="EB189" s="334"/>
      <c r="EC189" s="334"/>
      <c r="ED189" s="187"/>
      <c r="EE189" s="330"/>
      <c r="EH189" s="334"/>
      <c r="EI189" s="334"/>
      <c r="EM189"/>
      <c r="EO189" s="115"/>
      <c r="EP189" s="334" t="s">
        <v>1415</v>
      </c>
      <c r="EQ189" s="334" t="s">
        <v>2114</v>
      </c>
      <c r="ER189" s="334" t="s">
        <v>428</v>
      </c>
      <c r="ES189" s="334" t="s">
        <v>378</v>
      </c>
      <c r="ET189" s="334">
        <v>2024.44</v>
      </c>
      <c r="EU189" s="334" t="s">
        <v>397</v>
      </c>
      <c r="EV189" s="334">
        <v>26455.826000000001</v>
      </c>
    </row>
    <row r="190" spans="4:152" ht="13">
      <c r="I190" s="115" t="s">
        <v>2151</v>
      </c>
      <c r="J190" s="115" t="s">
        <v>1354</v>
      </c>
      <c r="K190" s="183">
        <v>45700</v>
      </c>
      <c r="AG190" s="115"/>
      <c r="AH190" s="115"/>
      <c r="AI190" s="115" t="s">
        <v>1416</v>
      </c>
      <c r="AJ190" t="s">
        <v>2114</v>
      </c>
      <c r="AK190" s="115">
        <v>0</v>
      </c>
      <c r="AL190" s="115" t="s">
        <v>28</v>
      </c>
      <c r="AM190" s="115" t="s">
        <v>1849</v>
      </c>
      <c r="AN190" s="115" t="s">
        <v>1445</v>
      </c>
      <c r="AO190" s="115" t="s">
        <v>381</v>
      </c>
      <c r="AT190" s="115" t="s">
        <v>1415</v>
      </c>
      <c r="AU190" s="115" t="s">
        <v>2114</v>
      </c>
      <c r="AV190" s="115">
        <v>15</v>
      </c>
      <c r="AW190" s="115" t="s">
        <v>499</v>
      </c>
      <c r="AX190" s="115" t="s">
        <v>28</v>
      </c>
      <c r="AY190" s="115" t="s">
        <v>1850</v>
      </c>
      <c r="AZ190" s="115" t="s">
        <v>1882</v>
      </c>
      <c r="BA190" s="115"/>
      <c r="BB190" s="115"/>
      <c r="BC190" s="115">
        <v>1248.3899999999999</v>
      </c>
      <c r="BD190" s="115"/>
      <c r="BE190" s="115"/>
      <c r="BF190" s="115">
        <v>21.0975</v>
      </c>
      <c r="BG190" s="115"/>
      <c r="BH190" s="115">
        <v>57.174360800000002</v>
      </c>
      <c r="BI190" s="115">
        <v>40.230749999999993</v>
      </c>
      <c r="BJ190" s="115">
        <v>50.644912500000004</v>
      </c>
      <c r="BK190" s="115">
        <v>7.2788800000000009</v>
      </c>
      <c r="BL190" s="115">
        <v>13.623649999999998</v>
      </c>
      <c r="BM190" s="115"/>
      <c r="BN190" s="115"/>
      <c r="BO190" s="115"/>
      <c r="BP190" s="115"/>
      <c r="CV190" s="115">
        <v>2025.28</v>
      </c>
      <c r="CW190" s="115" t="s">
        <v>1415</v>
      </c>
      <c r="CX190" s="115" t="s">
        <v>380</v>
      </c>
      <c r="CY190" s="115" t="s">
        <v>2065</v>
      </c>
      <c r="CZ190" s="330">
        <v>3116.424</v>
      </c>
      <c r="DA190" s="115"/>
      <c r="DB190" s="115"/>
      <c r="DR190" s="214"/>
      <c r="DY190" s="115"/>
      <c r="DZ190" s="334"/>
      <c r="EA190" s="334"/>
      <c r="EB190" s="334"/>
      <c r="EC190" s="334"/>
      <c r="ED190" s="187"/>
      <c r="EE190" s="330"/>
      <c r="EH190" s="334"/>
      <c r="EI190" s="334"/>
      <c r="EM190"/>
      <c r="EO190" s="115"/>
      <c r="EP190" s="334" t="s">
        <v>1415</v>
      </c>
      <c r="EQ190" s="334" t="s">
        <v>2114</v>
      </c>
      <c r="ER190" s="334" t="s">
        <v>428</v>
      </c>
      <c r="ES190" s="334" t="s">
        <v>378</v>
      </c>
      <c r="ET190" s="334">
        <v>2024.44</v>
      </c>
      <c r="EU190" s="334" t="s">
        <v>1382</v>
      </c>
      <c r="EV190" s="334">
        <v>26455.826000000001</v>
      </c>
    </row>
    <row r="191" spans="4:152" ht="13">
      <c r="I191" s="115" t="s">
        <v>2151</v>
      </c>
      <c r="J191" s="115" t="s">
        <v>1365</v>
      </c>
      <c r="K191" s="183">
        <v>15</v>
      </c>
      <c r="AG191" s="115"/>
      <c r="AH191" s="115"/>
      <c r="AI191" s="115" t="s">
        <v>1416</v>
      </c>
      <c r="AJ191" t="s">
        <v>2114</v>
      </c>
      <c r="AK191" s="115">
        <v>0</v>
      </c>
      <c r="AL191" s="115" t="s">
        <v>28</v>
      </c>
      <c r="AM191" s="115" t="s">
        <v>1850</v>
      </c>
      <c r="AN191" s="115" t="s">
        <v>1445</v>
      </c>
      <c r="AO191" s="115" t="s">
        <v>381</v>
      </c>
      <c r="AT191" s="115" t="s">
        <v>1416</v>
      </c>
      <c r="AU191" s="115" t="s">
        <v>2114</v>
      </c>
      <c r="AV191" s="115">
        <v>0</v>
      </c>
      <c r="AW191" s="115" t="s">
        <v>499</v>
      </c>
      <c r="AX191" s="115" t="s">
        <v>28</v>
      </c>
      <c r="AY191" s="115" t="s">
        <v>1832</v>
      </c>
      <c r="AZ191" s="115" t="s">
        <v>1939</v>
      </c>
      <c r="BA191" s="115"/>
      <c r="BB191" s="115"/>
      <c r="BC191" s="115">
        <v>211.75</v>
      </c>
      <c r="BD191" s="115"/>
      <c r="BE191" s="115"/>
      <c r="BF191" s="115">
        <v>7.125</v>
      </c>
      <c r="BG191" s="115"/>
      <c r="BH191" s="115">
        <v>214.16839999999996</v>
      </c>
      <c r="BI191" s="115">
        <v>78.649999999999991</v>
      </c>
      <c r="BJ191" s="115">
        <v>22.631250000000001</v>
      </c>
      <c r="BK191" s="115">
        <v>44.875000000000007</v>
      </c>
      <c r="BL191" s="115">
        <v>28.25</v>
      </c>
      <c r="BM191" s="115"/>
      <c r="BN191" s="115"/>
      <c r="BO191" s="115"/>
      <c r="BP191" s="115"/>
      <c r="CV191" s="115">
        <v>2025.28</v>
      </c>
      <c r="CW191" s="115" t="s">
        <v>1415</v>
      </c>
      <c r="CX191" s="115" t="s">
        <v>377</v>
      </c>
      <c r="CY191" s="115" t="s">
        <v>2065</v>
      </c>
      <c r="CZ191" s="330">
        <v>4093.2179999999998</v>
      </c>
      <c r="DA191" s="115"/>
      <c r="DB191" s="115"/>
      <c r="DR191" s="214"/>
      <c r="DY191" s="115"/>
      <c r="DZ191" s="334"/>
      <c r="EA191" s="334"/>
      <c r="EB191" s="334"/>
      <c r="EC191" s="334"/>
      <c r="ED191" s="187"/>
      <c r="EE191" s="330"/>
      <c r="EH191" s="334"/>
      <c r="EI191" s="334"/>
      <c r="EM191"/>
      <c r="EO191" s="115"/>
      <c r="EP191" s="334" t="s">
        <v>1415</v>
      </c>
      <c r="EQ191" s="334" t="s">
        <v>2114</v>
      </c>
      <c r="ER191" s="334" t="s">
        <v>428</v>
      </c>
      <c r="ES191" s="334" t="s">
        <v>378</v>
      </c>
      <c r="ET191" s="334">
        <v>2024.48</v>
      </c>
      <c r="EU191" s="334" t="s">
        <v>397</v>
      </c>
      <c r="EV191" s="334">
        <v>26455.826000000001</v>
      </c>
    </row>
    <row r="192" spans="4:152" ht="13">
      <c r="I192" s="115" t="s">
        <v>2151</v>
      </c>
      <c r="J192" s="115" t="s">
        <v>1356</v>
      </c>
      <c r="K192" s="183" t="s">
        <v>1359</v>
      </c>
      <c r="AG192" s="115"/>
      <c r="AH192" s="115"/>
      <c r="AI192" s="115" t="s">
        <v>1416</v>
      </c>
      <c r="AJ192" t="s">
        <v>2114</v>
      </c>
      <c r="AK192" s="115">
        <v>0</v>
      </c>
      <c r="AL192" s="115" t="s">
        <v>28</v>
      </c>
      <c r="AM192" s="115" t="s">
        <v>1846</v>
      </c>
      <c r="AN192" s="115" t="s">
        <v>1445</v>
      </c>
      <c r="AO192" s="115" t="s">
        <v>381</v>
      </c>
      <c r="AT192" s="115" t="s">
        <v>1415</v>
      </c>
      <c r="AU192" s="115" t="s">
        <v>2114</v>
      </c>
      <c r="AV192" s="115">
        <v>15</v>
      </c>
      <c r="AW192" s="115" t="s">
        <v>499</v>
      </c>
      <c r="AX192" s="115" t="s">
        <v>28</v>
      </c>
      <c r="AY192" s="115" t="s">
        <v>1832</v>
      </c>
      <c r="AZ192" s="115" t="s">
        <v>1882</v>
      </c>
      <c r="BA192" s="115"/>
      <c r="BB192" s="115"/>
      <c r="BC192" s="115">
        <v>1715.9999999999998</v>
      </c>
      <c r="BD192" s="115"/>
      <c r="BE192" s="115"/>
      <c r="BF192" s="115">
        <v>21.75</v>
      </c>
      <c r="BG192" s="115"/>
      <c r="BH192" s="115">
        <v>589.42640000000006</v>
      </c>
      <c r="BI192" s="115">
        <v>165.89999999999998</v>
      </c>
      <c r="BJ192" s="115">
        <v>58.012500000000003</v>
      </c>
      <c r="BK192" s="115">
        <v>75.040000000000006</v>
      </c>
      <c r="BL192" s="115">
        <v>140.44999999999999</v>
      </c>
      <c r="BM192" s="115"/>
      <c r="BN192" s="115"/>
      <c r="BO192" s="115"/>
      <c r="BP192" s="115"/>
      <c r="CV192" s="115">
        <v>2025.28</v>
      </c>
      <c r="CW192" s="115" t="s">
        <v>1415</v>
      </c>
      <c r="CX192" s="115" t="s">
        <v>372</v>
      </c>
      <c r="CY192" s="115" t="s">
        <v>2065</v>
      </c>
      <c r="CZ192" s="330">
        <v>4152.2939999999999</v>
      </c>
      <c r="DA192" s="115"/>
      <c r="DB192" s="115"/>
      <c r="DR192" s="214"/>
      <c r="DY192" s="115"/>
      <c r="DZ192" s="334"/>
      <c r="EA192" s="334"/>
      <c r="EB192" s="334"/>
      <c r="EC192" s="334"/>
      <c r="ED192" s="187"/>
      <c r="EE192" s="330"/>
      <c r="EH192" s="334"/>
      <c r="EI192" s="334"/>
      <c r="EM192"/>
      <c r="EO192" s="115"/>
      <c r="EP192" s="334" t="s">
        <v>1415</v>
      </c>
      <c r="EQ192" s="334" t="s">
        <v>2114</v>
      </c>
      <c r="ER192" s="334" t="s">
        <v>428</v>
      </c>
      <c r="ES192" s="334" t="s">
        <v>378</v>
      </c>
      <c r="ET192" s="334">
        <v>2024.48</v>
      </c>
      <c r="EU192" s="334" t="s">
        <v>1382</v>
      </c>
      <c r="EV192" s="334">
        <v>21455.826000000001</v>
      </c>
    </row>
    <row r="193" spans="9:152" ht="13">
      <c r="I193" s="115" t="s">
        <v>2151</v>
      </c>
      <c r="J193" s="115" t="s">
        <v>1366</v>
      </c>
      <c r="K193" s="183">
        <v>3</v>
      </c>
      <c r="AG193" s="115"/>
      <c r="AH193" s="115"/>
      <c r="AI193" s="115" t="s">
        <v>1416</v>
      </c>
      <c r="AJ193" t="s">
        <v>2114</v>
      </c>
      <c r="AK193" s="115">
        <v>0</v>
      </c>
      <c r="AL193" s="115" t="s">
        <v>28</v>
      </c>
      <c r="AM193" s="115" t="s">
        <v>1848</v>
      </c>
      <c r="AN193" s="115" t="s">
        <v>1445</v>
      </c>
      <c r="AO193" s="115" t="s">
        <v>381</v>
      </c>
      <c r="AT193" s="115" t="s">
        <v>1415</v>
      </c>
      <c r="AU193" s="115" t="s">
        <v>2114</v>
      </c>
      <c r="AV193" s="115">
        <v>15</v>
      </c>
      <c r="AW193" s="115" t="s">
        <v>499</v>
      </c>
      <c r="AX193" s="115" t="s">
        <v>28</v>
      </c>
      <c r="AY193" s="115" t="s">
        <v>1846</v>
      </c>
      <c r="AZ193" s="115" t="s">
        <v>1883</v>
      </c>
      <c r="BA193" s="115"/>
      <c r="BB193" s="115"/>
      <c r="BC193" s="115">
        <v>3122.5303949999998</v>
      </c>
      <c r="BD193" s="115"/>
      <c r="BE193" s="115"/>
      <c r="BF193" s="115"/>
      <c r="BG193" s="115"/>
      <c r="BH193" s="115">
        <v>55529.254028956806</v>
      </c>
      <c r="BI193" s="115">
        <v>7506.8775547349996</v>
      </c>
      <c r="BJ193" s="115">
        <v>654.33612816000004</v>
      </c>
      <c r="BK193" s="115">
        <v>2822.2143105239998</v>
      </c>
      <c r="BL193" s="115">
        <v>5919.4110271500003</v>
      </c>
      <c r="BM193" s="115">
        <v>14058.598999999998</v>
      </c>
      <c r="BN193" s="115">
        <v>7880.36</v>
      </c>
      <c r="BO193" s="115">
        <v>8704.86</v>
      </c>
      <c r="BP193" s="115"/>
      <c r="CV193" s="115">
        <v>2025.29</v>
      </c>
      <c r="CW193" s="115" t="s">
        <v>1415</v>
      </c>
      <c r="CX193" s="115" t="s">
        <v>387</v>
      </c>
      <c r="CY193" s="115" t="s">
        <v>2065</v>
      </c>
      <c r="CZ193" s="330">
        <v>4393.3739999999998</v>
      </c>
      <c r="DA193" s="115"/>
      <c r="DB193" s="115"/>
      <c r="DR193" s="214"/>
      <c r="DY193" s="115"/>
      <c r="DZ193" s="334"/>
      <c r="EA193" s="334"/>
      <c r="EB193" s="334"/>
      <c r="EC193" s="334"/>
      <c r="ED193" s="187"/>
      <c r="EE193" s="330"/>
      <c r="EH193" s="334"/>
      <c r="EI193" s="334"/>
      <c r="EM193"/>
      <c r="EO193" s="115"/>
      <c r="EP193" s="334" t="s">
        <v>1415</v>
      </c>
      <c r="EQ193" s="334" t="s">
        <v>2114</v>
      </c>
      <c r="ER193" s="334" t="s">
        <v>428</v>
      </c>
      <c r="ES193" s="334" t="s">
        <v>1275</v>
      </c>
      <c r="ET193" s="334">
        <v>2024.48</v>
      </c>
      <c r="EU193" s="334" t="s">
        <v>397</v>
      </c>
      <c r="EV193" s="334">
        <v>0</v>
      </c>
    </row>
    <row r="194" spans="9:152" ht="13">
      <c r="I194" s="115" t="s">
        <v>2151</v>
      </c>
      <c r="J194" s="115" t="s">
        <v>1357</v>
      </c>
      <c r="K194" s="183">
        <v>5773.4712022323811</v>
      </c>
      <c r="AG194" s="115"/>
      <c r="AH194" s="115"/>
      <c r="AI194" s="115" t="s">
        <v>1416</v>
      </c>
      <c r="AJ194" t="s">
        <v>2114</v>
      </c>
      <c r="AK194" s="115">
        <v>0</v>
      </c>
      <c r="AL194" s="115" t="s">
        <v>28</v>
      </c>
      <c r="AM194" s="115" t="s">
        <v>1843</v>
      </c>
      <c r="AN194" s="115" t="s">
        <v>1445</v>
      </c>
      <c r="AO194" s="115" t="s">
        <v>381</v>
      </c>
      <c r="AT194" s="115" t="s">
        <v>1416</v>
      </c>
      <c r="AU194" s="115" t="s">
        <v>2114</v>
      </c>
      <c r="AV194" s="115">
        <v>0</v>
      </c>
      <c r="AW194" s="115" t="s">
        <v>499</v>
      </c>
      <c r="AX194" s="115" t="s">
        <v>28</v>
      </c>
      <c r="AY194" s="115" t="s">
        <v>1846</v>
      </c>
      <c r="AZ194" s="115" t="s">
        <v>1940</v>
      </c>
      <c r="BA194" s="115"/>
      <c r="BB194" s="115"/>
      <c r="BC194" s="115">
        <v>1072.98975</v>
      </c>
      <c r="BD194" s="115"/>
      <c r="BE194" s="115"/>
      <c r="BF194" s="115"/>
      <c r="BG194" s="115"/>
      <c r="BH194" s="115">
        <v>11200.318546491999</v>
      </c>
      <c r="BI194" s="115">
        <v>1429.4096054999998</v>
      </c>
      <c r="BJ194" s="115">
        <v>151.28575293749998</v>
      </c>
      <c r="BK194" s="115">
        <v>873.01636874999997</v>
      </c>
      <c r="BL194" s="115">
        <v>583.91914500000007</v>
      </c>
      <c r="BM194" s="115">
        <v>5253.3947000000007</v>
      </c>
      <c r="BN194" s="115">
        <v>2723.9661000000001</v>
      </c>
      <c r="BO194" s="115">
        <v>2467.0536000000002</v>
      </c>
      <c r="BP194" s="115"/>
      <c r="CV194" s="115">
        <v>2025.29</v>
      </c>
      <c r="CW194" s="115" t="s">
        <v>1415</v>
      </c>
      <c r="CX194" s="115" t="s">
        <v>380</v>
      </c>
      <c r="CY194" s="115" t="s">
        <v>2065</v>
      </c>
      <c r="CZ194" s="330">
        <v>3116.424</v>
      </c>
      <c r="DA194" s="115"/>
      <c r="DB194" s="115"/>
      <c r="DR194" s="214"/>
      <c r="DY194" s="115"/>
      <c r="DZ194" s="334"/>
      <c r="EA194" s="334"/>
      <c r="EB194" s="334"/>
      <c r="EC194" s="334"/>
      <c r="ED194" s="187"/>
      <c r="EE194" s="330"/>
      <c r="EH194" s="334"/>
      <c r="EI194" s="334"/>
      <c r="EM194"/>
      <c r="EO194" s="115"/>
      <c r="EP194" s="334" t="s">
        <v>1415</v>
      </c>
      <c r="EQ194" s="334" t="s">
        <v>2114</v>
      </c>
      <c r="ER194" s="334" t="s">
        <v>428</v>
      </c>
      <c r="ES194" s="334" t="s">
        <v>1275</v>
      </c>
      <c r="ET194" s="334">
        <v>2024.48</v>
      </c>
      <c r="EU194" s="334" t="s">
        <v>1382</v>
      </c>
      <c r="EV194" s="334">
        <v>26.23</v>
      </c>
    </row>
    <row r="195" spans="9:152" ht="13">
      <c r="I195" s="115" t="s">
        <v>2153</v>
      </c>
      <c r="J195" s="115" t="s">
        <v>1363</v>
      </c>
      <c r="K195" s="183">
        <v>125</v>
      </c>
      <c r="AG195" s="115"/>
      <c r="AH195" s="115"/>
      <c r="AI195" s="115" t="s">
        <v>1416</v>
      </c>
      <c r="AJ195" t="s">
        <v>2114</v>
      </c>
      <c r="AK195" s="115">
        <v>0</v>
      </c>
      <c r="AL195" s="115" t="s">
        <v>28</v>
      </c>
      <c r="AM195" s="115" t="s">
        <v>1832</v>
      </c>
      <c r="AN195" s="115" t="s">
        <v>1445</v>
      </c>
      <c r="AO195" s="115" t="s">
        <v>379</v>
      </c>
      <c r="AT195" s="115" t="s">
        <v>1416</v>
      </c>
      <c r="AU195" s="115" t="s">
        <v>2114</v>
      </c>
      <c r="AV195" s="115">
        <v>0</v>
      </c>
      <c r="AW195" s="115" t="s">
        <v>499</v>
      </c>
      <c r="AX195" s="115" t="s">
        <v>28</v>
      </c>
      <c r="AY195" s="115" t="s">
        <v>1848</v>
      </c>
      <c r="AZ195" s="115" t="s">
        <v>1940</v>
      </c>
      <c r="BA195" s="115"/>
      <c r="BB195" s="115"/>
      <c r="BC195" s="115">
        <v>6434.8102500000014</v>
      </c>
      <c r="BD195" s="115"/>
      <c r="BE195" s="115"/>
      <c r="BF195" s="115">
        <v>271.49329999999998</v>
      </c>
      <c r="BG195" s="115"/>
      <c r="BH195" s="115">
        <v>879.39324633199976</v>
      </c>
      <c r="BI195" s="115">
        <v>610.27305074999992</v>
      </c>
      <c r="BJ195" s="115">
        <v>716.86204031250008</v>
      </c>
      <c r="BK195" s="115">
        <v>138.6796875</v>
      </c>
      <c r="BL195" s="115">
        <v>92.756249999999994</v>
      </c>
      <c r="BM195" s="115"/>
      <c r="BN195" s="115"/>
      <c r="BO195" s="115"/>
      <c r="BP195" s="115"/>
      <c r="CV195" s="115">
        <v>2025.29</v>
      </c>
      <c r="CW195" s="115" t="s">
        <v>1415</v>
      </c>
      <c r="CX195" s="115" t="s">
        <v>377</v>
      </c>
      <c r="CY195" s="115" t="s">
        <v>2065</v>
      </c>
      <c r="CZ195" s="330">
        <v>8186.4359999999997</v>
      </c>
      <c r="DA195" s="115"/>
      <c r="DB195" s="115"/>
      <c r="DR195" s="214"/>
      <c r="DY195" s="115"/>
      <c r="DZ195" s="334"/>
      <c r="EA195" s="334"/>
      <c r="EB195" s="334"/>
      <c r="EC195" s="334"/>
      <c r="ED195" s="187"/>
      <c r="EE195" s="330"/>
      <c r="EH195" s="334"/>
      <c r="EI195" s="334"/>
      <c r="EM195"/>
      <c r="EO195" s="115"/>
      <c r="EP195" s="334" t="s">
        <v>1415</v>
      </c>
      <c r="EQ195" s="334" t="s">
        <v>2114</v>
      </c>
      <c r="ER195" s="334" t="s">
        <v>428</v>
      </c>
      <c r="ES195" s="334" t="s">
        <v>2164</v>
      </c>
      <c r="ET195" s="334">
        <v>2024.48</v>
      </c>
      <c r="EU195" s="334" t="s">
        <v>397</v>
      </c>
      <c r="EV195" s="334">
        <v>0</v>
      </c>
    </row>
    <row r="196" spans="9:152" ht="13">
      <c r="I196" s="115" t="s">
        <v>2153</v>
      </c>
      <c r="J196" s="115" t="s">
        <v>1353</v>
      </c>
      <c r="K196" s="183" t="s">
        <v>2157</v>
      </c>
      <c r="AG196" s="115"/>
      <c r="AH196" s="115"/>
      <c r="AI196" s="115" t="s">
        <v>1416</v>
      </c>
      <c r="AJ196" t="s">
        <v>2114</v>
      </c>
      <c r="AK196" s="115">
        <v>0</v>
      </c>
      <c r="AL196" s="115" t="s">
        <v>28</v>
      </c>
      <c r="AM196" s="115" t="s">
        <v>1843</v>
      </c>
      <c r="AN196" s="115" t="s">
        <v>1445</v>
      </c>
      <c r="AO196" s="115" t="s">
        <v>379</v>
      </c>
      <c r="AT196" s="115" t="s">
        <v>1415</v>
      </c>
      <c r="AU196" s="115" t="s">
        <v>2114</v>
      </c>
      <c r="AV196" s="115">
        <v>15</v>
      </c>
      <c r="AW196" s="115" t="s">
        <v>499</v>
      </c>
      <c r="AX196" s="115" t="s">
        <v>28</v>
      </c>
      <c r="AY196" s="115" t="s">
        <v>1848</v>
      </c>
      <c r="AZ196" s="115" t="s">
        <v>1883</v>
      </c>
      <c r="BA196" s="115"/>
      <c r="BB196" s="115"/>
      <c r="BC196" s="115">
        <v>18414.0165825</v>
      </c>
      <c r="BD196" s="115"/>
      <c r="BE196" s="115"/>
      <c r="BF196" s="115">
        <v>803.05787718749991</v>
      </c>
      <c r="BG196" s="115"/>
      <c r="BH196" s="115">
        <v>4009.7580480764805</v>
      </c>
      <c r="BI196" s="115">
        <v>2757.8208879749996</v>
      </c>
      <c r="BJ196" s="115">
        <v>3286.7838070650005</v>
      </c>
      <c r="BK196" s="115">
        <v>440.84039420399995</v>
      </c>
      <c r="BL196" s="115">
        <v>924.63406515000008</v>
      </c>
      <c r="BM196" s="115"/>
      <c r="BN196" s="115"/>
      <c r="BO196" s="115"/>
      <c r="BP196" s="115"/>
      <c r="CV196" s="115">
        <v>2025.29</v>
      </c>
      <c r="CW196" s="115" t="s">
        <v>1415</v>
      </c>
      <c r="CX196" s="115" t="s">
        <v>372</v>
      </c>
      <c r="CY196" s="115" t="s">
        <v>2065</v>
      </c>
      <c r="CZ196" s="330">
        <v>8304.5879999999997</v>
      </c>
      <c r="DA196" s="115"/>
      <c r="DB196" s="115"/>
      <c r="DR196" s="214"/>
      <c r="DY196" s="115"/>
      <c r="DZ196" s="334"/>
      <c r="EA196" s="334"/>
      <c r="EB196" s="334"/>
      <c r="EC196" s="334"/>
      <c r="ED196" s="187"/>
      <c r="EE196" s="330"/>
      <c r="EH196" s="334"/>
      <c r="EI196" s="334"/>
      <c r="EM196"/>
      <c r="EO196" s="115"/>
      <c r="EP196" s="334" t="s">
        <v>1415</v>
      </c>
      <c r="EQ196" s="334" t="s">
        <v>2114</v>
      </c>
      <c r="ER196" s="334" t="s">
        <v>428</v>
      </c>
      <c r="ES196" s="334" t="s">
        <v>2164</v>
      </c>
      <c r="ET196" s="334">
        <v>2024.48</v>
      </c>
      <c r="EU196" s="334" t="s">
        <v>1382</v>
      </c>
      <c r="EV196" s="334">
        <v>20.8</v>
      </c>
    </row>
    <row r="197" spans="9:152" ht="13">
      <c r="I197" s="115" t="s">
        <v>2153</v>
      </c>
      <c r="J197" s="115" t="s">
        <v>1369</v>
      </c>
      <c r="K197" s="183">
        <v>13</v>
      </c>
      <c r="AG197" s="115"/>
      <c r="AH197" s="115"/>
      <c r="AI197" s="115" t="s">
        <v>1416</v>
      </c>
      <c r="AJ197" t="s">
        <v>2114</v>
      </c>
      <c r="AK197" s="115">
        <v>0</v>
      </c>
      <c r="AL197" s="115" t="s">
        <v>28</v>
      </c>
      <c r="AM197" s="115" t="s">
        <v>1849</v>
      </c>
      <c r="AN197" s="115" t="s">
        <v>1445</v>
      </c>
      <c r="AO197" s="115" t="s">
        <v>379</v>
      </c>
      <c r="AT197" s="115" t="s">
        <v>1415</v>
      </c>
      <c r="AU197" s="115" t="s">
        <v>2114</v>
      </c>
      <c r="AV197" s="115">
        <v>15</v>
      </c>
      <c r="AW197" s="115" t="s">
        <v>499</v>
      </c>
      <c r="AX197" s="115" t="s">
        <v>28</v>
      </c>
      <c r="AY197" s="115" t="s">
        <v>1843</v>
      </c>
      <c r="AZ197" s="115" t="s">
        <v>1883</v>
      </c>
      <c r="BA197" s="115"/>
      <c r="BB197" s="115"/>
      <c r="BC197" s="115">
        <v>21344.643814432988</v>
      </c>
      <c r="BD197" s="115"/>
      <c r="BE197" s="115"/>
      <c r="BF197" s="115">
        <v>796.86938144329895</v>
      </c>
      <c r="BG197" s="115"/>
      <c r="BH197" s="115">
        <v>56285.186190721652</v>
      </c>
      <c r="BI197" s="115">
        <v>8979.1781443298969</v>
      </c>
      <c r="BJ197" s="115">
        <v>3905.3134020618559</v>
      </c>
      <c r="BK197" s="115">
        <v>3214.4707216494844</v>
      </c>
      <c r="BL197" s="115">
        <v>7702.323917525774</v>
      </c>
      <c r="BM197" s="115">
        <v>14058.598999999998</v>
      </c>
      <c r="BN197" s="115">
        <v>7880.36</v>
      </c>
      <c r="BO197" s="115">
        <v>8704.86</v>
      </c>
      <c r="BP197" s="115"/>
      <c r="CV197" s="115">
        <v>2025.3</v>
      </c>
      <c r="CW197" s="115" t="s">
        <v>1415</v>
      </c>
      <c r="CX197" s="115" t="s">
        <v>387</v>
      </c>
      <c r="CY197" s="115" t="s">
        <v>2065</v>
      </c>
      <c r="CZ197" s="330">
        <v>4393.3739999999998</v>
      </c>
      <c r="DA197" s="115"/>
      <c r="DB197" s="115"/>
      <c r="DR197" s="214"/>
      <c r="DY197" s="115"/>
      <c r="DZ197" s="334"/>
      <c r="EA197" s="334"/>
      <c r="EB197" s="334"/>
      <c r="EC197" s="334"/>
      <c r="ED197" s="187"/>
      <c r="EE197" s="330"/>
      <c r="EH197" s="334"/>
      <c r="EI197" s="334"/>
      <c r="EM197"/>
      <c r="EO197" s="115"/>
      <c r="EP197" s="334" t="s">
        <v>1415</v>
      </c>
      <c r="EQ197" s="334" t="s">
        <v>2114</v>
      </c>
      <c r="ER197" s="334" t="s">
        <v>430</v>
      </c>
      <c r="ES197" s="334" t="s">
        <v>377</v>
      </c>
      <c r="ET197" s="334">
        <v>2023.47</v>
      </c>
      <c r="EU197" s="334" t="s">
        <v>397</v>
      </c>
      <c r="EV197" s="334">
        <v>67910.899099999995</v>
      </c>
    </row>
    <row r="198" spans="9:152" ht="13">
      <c r="I198" s="115" t="s">
        <v>2153</v>
      </c>
      <c r="J198" s="115" t="s">
        <v>1355</v>
      </c>
      <c r="K198" s="183">
        <v>18</v>
      </c>
      <c r="AG198" s="115"/>
      <c r="AH198" s="115"/>
      <c r="AI198" s="115" t="s">
        <v>1416</v>
      </c>
      <c r="AJ198" t="s">
        <v>2114</v>
      </c>
      <c r="AK198" s="115">
        <v>0</v>
      </c>
      <c r="AL198" s="115" t="s">
        <v>28</v>
      </c>
      <c r="AM198" s="115" t="s">
        <v>1846</v>
      </c>
      <c r="AN198" s="115" t="s">
        <v>1445</v>
      </c>
      <c r="AO198" s="115" t="s">
        <v>379</v>
      </c>
      <c r="AT198" s="115" t="s">
        <v>1416</v>
      </c>
      <c r="AU198" s="115" t="s">
        <v>2114</v>
      </c>
      <c r="AV198" s="115">
        <v>0</v>
      </c>
      <c r="AW198" s="115" t="s">
        <v>499</v>
      </c>
      <c r="AX198" s="115" t="s">
        <v>28</v>
      </c>
      <c r="AY198" s="115" t="s">
        <v>1843</v>
      </c>
      <c r="AZ198" s="115" t="s">
        <v>1940</v>
      </c>
      <c r="BA198" s="115"/>
      <c r="BB198" s="115"/>
      <c r="BC198" s="115">
        <v>7740</v>
      </c>
      <c r="BD198" s="115"/>
      <c r="BE198" s="115"/>
      <c r="BF198" s="115">
        <v>279.89</v>
      </c>
      <c r="BG198" s="115"/>
      <c r="BH198" s="115">
        <v>12343.434686597939</v>
      </c>
      <c r="BI198" s="115">
        <v>2080.8240206185569</v>
      </c>
      <c r="BJ198" s="115">
        <v>894.99773195876287</v>
      </c>
      <c r="BK198" s="115">
        <v>1042.9856701030928</v>
      </c>
      <c r="BL198" s="115">
        <v>697.60350515463915</v>
      </c>
      <c r="BM198" s="115">
        <v>5253.3947000000007</v>
      </c>
      <c r="BN198" s="115">
        <v>2723.9661000000001</v>
      </c>
      <c r="BO198" s="115">
        <v>2467.0536000000002</v>
      </c>
      <c r="BP198" s="115"/>
      <c r="CV198" s="115">
        <v>2025.3</v>
      </c>
      <c r="CW198" s="115" t="s">
        <v>1415</v>
      </c>
      <c r="CX198" s="115" t="s">
        <v>380</v>
      </c>
      <c r="CY198" s="115" t="s">
        <v>2065</v>
      </c>
      <c r="CZ198" s="330">
        <v>3116.424</v>
      </c>
      <c r="DA198" s="115"/>
      <c r="DB198" s="115"/>
      <c r="DR198" s="214"/>
      <c r="DY198" s="115"/>
      <c r="DZ198" s="334"/>
      <c r="EA198" s="334"/>
      <c r="EB198" s="334"/>
      <c r="EC198" s="334"/>
      <c r="ED198" s="187"/>
      <c r="EE198" s="330"/>
      <c r="EH198" s="334"/>
      <c r="EI198" s="334"/>
      <c r="EM198"/>
      <c r="EO198" s="115"/>
      <c r="EP198" s="334" t="s">
        <v>1415</v>
      </c>
      <c r="EQ198" s="334" t="s">
        <v>2114</v>
      </c>
      <c r="ER198" s="334" t="s">
        <v>430</v>
      </c>
      <c r="ES198" s="334" t="s">
        <v>377</v>
      </c>
      <c r="ET198" s="334">
        <v>2023.47</v>
      </c>
      <c r="EU198" s="334" t="s">
        <v>1382</v>
      </c>
      <c r="EV198" s="334">
        <v>67910.899099999995</v>
      </c>
    </row>
    <row r="199" spans="9:152" ht="13">
      <c r="I199" s="115" t="s">
        <v>2153</v>
      </c>
      <c r="J199" s="115" t="s">
        <v>1361</v>
      </c>
      <c r="K199" s="183">
        <v>69.23</v>
      </c>
      <c r="AG199" s="115"/>
      <c r="AH199" s="115"/>
      <c r="AI199" s="115" t="s">
        <v>1416</v>
      </c>
      <c r="AJ199" t="s">
        <v>2114</v>
      </c>
      <c r="AK199" s="115">
        <v>0</v>
      </c>
      <c r="AL199" s="115" t="s">
        <v>28</v>
      </c>
      <c r="AM199" s="115" t="s">
        <v>1850</v>
      </c>
      <c r="AN199" s="115" t="s">
        <v>1445</v>
      </c>
      <c r="AO199" s="115" t="s">
        <v>379</v>
      </c>
      <c r="AT199" s="115" t="s">
        <v>1415</v>
      </c>
      <c r="AU199" s="115" t="s">
        <v>2114</v>
      </c>
      <c r="AV199" s="115">
        <v>15</v>
      </c>
      <c r="AW199" s="115" t="s">
        <v>499</v>
      </c>
      <c r="AX199" s="115" t="s">
        <v>28</v>
      </c>
      <c r="AY199" s="115" t="s">
        <v>1849</v>
      </c>
      <c r="AZ199" s="115" t="s">
        <v>1883</v>
      </c>
      <c r="BA199" s="115"/>
      <c r="BB199" s="115"/>
      <c r="BC199" s="115">
        <v>138.22499999999999</v>
      </c>
      <c r="BD199" s="115"/>
      <c r="BE199" s="115"/>
      <c r="BF199" s="115"/>
      <c r="BG199" s="115"/>
      <c r="BH199" s="115">
        <v>829.00289520000013</v>
      </c>
      <c r="BI199" s="115">
        <v>215.73284999999998</v>
      </c>
      <c r="BJ199" s="115">
        <v>8.1625499999999995</v>
      </c>
      <c r="BK199" s="115">
        <v>98.020439999999994</v>
      </c>
      <c r="BL199" s="115">
        <v>205.5915</v>
      </c>
      <c r="BM199" s="115"/>
      <c r="BN199" s="115"/>
      <c r="BO199" s="115"/>
      <c r="BP199" s="115"/>
      <c r="CV199" s="115">
        <v>2025.3</v>
      </c>
      <c r="CW199" s="115" t="s">
        <v>1415</v>
      </c>
      <c r="CX199" s="115" t="s">
        <v>377</v>
      </c>
      <c r="CY199" s="115" t="s">
        <v>2065</v>
      </c>
      <c r="CZ199" s="330">
        <v>8186.4359999999997</v>
      </c>
      <c r="DA199" s="115"/>
      <c r="DB199" s="115"/>
      <c r="DR199" s="214"/>
      <c r="DY199" s="115"/>
      <c r="DZ199" s="334"/>
      <c r="EA199" s="334"/>
      <c r="EB199" s="334"/>
      <c r="EC199" s="334"/>
      <c r="ED199" s="187"/>
      <c r="EE199" s="330"/>
      <c r="EH199" s="334"/>
      <c r="EI199" s="334"/>
      <c r="EM199"/>
      <c r="EO199" s="115"/>
      <c r="EP199" s="334" t="s">
        <v>1415</v>
      </c>
      <c r="EQ199" s="334" t="s">
        <v>2114</v>
      </c>
      <c r="ER199" s="334" t="s">
        <v>430</v>
      </c>
      <c r="ES199" s="334" t="s">
        <v>377</v>
      </c>
      <c r="ET199" s="334">
        <v>2023.51</v>
      </c>
      <c r="EU199" s="334" t="s">
        <v>397</v>
      </c>
      <c r="EV199" s="334">
        <v>67910.899099999995</v>
      </c>
    </row>
    <row r="200" spans="9:152" ht="13">
      <c r="I200" s="115" t="s">
        <v>2153</v>
      </c>
      <c r="J200" s="115" t="s">
        <v>1364</v>
      </c>
      <c r="K200" s="183">
        <v>300</v>
      </c>
      <c r="AG200" s="115"/>
      <c r="AH200" s="115"/>
      <c r="AI200" s="115" t="s">
        <v>1416</v>
      </c>
      <c r="AJ200" t="s">
        <v>2114</v>
      </c>
      <c r="AK200" s="115">
        <v>0</v>
      </c>
      <c r="AL200" s="115" t="s">
        <v>28</v>
      </c>
      <c r="AM200" s="115" t="s">
        <v>1848</v>
      </c>
      <c r="AN200" s="115" t="s">
        <v>1445</v>
      </c>
      <c r="AO200" s="115" t="s">
        <v>379</v>
      </c>
      <c r="AT200" s="115" t="s">
        <v>1416</v>
      </c>
      <c r="AU200" s="115" t="s">
        <v>2114</v>
      </c>
      <c r="AV200" s="115">
        <v>0</v>
      </c>
      <c r="AW200" s="115" t="s">
        <v>499</v>
      </c>
      <c r="AX200" s="115" t="s">
        <v>28</v>
      </c>
      <c r="AY200" s="115" t="s">
        <v>1849</v>
      </c>
      <c r="AZ200" s="115" t="s">
        <v>1940</v>
      </c>
      <c r="BA200" s="115"/>
      <c r="BB200" s="115"/>
      <c r="BC200" s="115">
        <v>52.137500000000003</v>
      </c>
      <c r="BD200" s="115"/>
      <c r="BE200" s="115"/>
      <c r="BF200" s="115"/>
      <c r="BG200" s="115"/>
      <c r="BH200" s="115">
        <v>196.24446359999996</v>
      </c>
      <c r="BI200" s="115">
        <v>51.528824999999991</v>
      </c>
      <c r="BJ200" s="115">
        <v>2.0715562499999995</v>
      </c>
      <c r="BK200" s="115">
        <v>33.283124999999998</v>
      </c>
      <c r="BL200" s="115">
        <v>22.261500000000002</v>
      </c>
      <c r="BM200" s="115"/>
      <c r="BN200" s="115"/>
      <c r="BO200" s="115"/>
      <c r="BP200" s="115"/>
      <c r="CV200" s="115">
        <v>2025.3</v>
      </c>
      <c r="CW200" s="115" t="s">
        <v>1415</v>
      </c>
      <c r="CX200" s="115" t="s">
        <v>372</v>
      </c>
      <c r="CY200" s="115" t="s">
        <v>2065</v>
      </c>
      <c r="CZ200" s="330">
        <v>8304.5879999999997</v>
      </c>
      <c r="DA200" s="115"/>
      <c r="DB200" s="115"/>
      <c r="DR200" s="214"/>
      <c r="DY200" s="115"/>
      <c r="DZ200" s="334"/>
      <c r="EA200" s="334"/>
      <c r="EB200" s="334"/>
      <c r="EC200" s="334"/>
      <c r="ED200" s="187"/>
      <c r="EE200" s="330"/>
      <c r="EH200" s="334"/>
      <c r="EI200" s="334"/>
      <c r="EM200"/>
      <c r="EO200" s="115"/>
      <c r="EP200" s="334" t="s">
        <v>1415</v>
      </c>
      <c r="EQ200" s="334" t="s">
        <v>2114</v>
      </c>
      <c r="ER200" s="334" t="s">
        <v>430</v>
      </c>
      <c r="ES200" s="334" t="s">
        <v>377</v>
      </c>
      <c r="ET200" s="334">
        <v>2023.51</v>
      </c>
      <c r="EU200" s="334" t="s">
        <v>1382</v>
      </c>
      <c r="EV200" s="334">
        <v>29297.019100000001</v>
      </c>
    </row>
    <row r="201" spans="9:152" ht="13">
      <c r="I201" s="115" t="s">
        <v>2153</v>
      </c>
      <c r="J201" s="115" t="s">
        <v>1367</v>
      </c>
      <c r="K201" s="183">
        <v>8</v>
      </c>
      <c r="AG201" s="115"/>
      <c r="AH201" s="115"/>
      <c r="AI201" s="115" t="s">
        <v>1416</v>
      </c>
      <c r="AJ201" t="s">
        <v>2114</v>
      </c>
      <c r="AK201" s="115">
        <v>0</v>
      </c>
      <c r="AL201" s="115" t="s">
        <v>28</v>
      </c>
      <c r="AM201" s="115" t="s">
        <v>1848</v>
      </c>
      <c r="AN201" s="115" t="s">
        <v>1445</v>
      </c>
      <c r="AO201" s="115" t="s">
        <v>1645</v>
      </c>
      <c r="AT201" s="115" t="s">
        <v>1416</v>
      </c>
      <c r="AU201" s="115" t="s">
        <v>2114</v>
      </c>
      <c r="AV201" s="115">
        <v>0</v>
      </c>
      <c r="AW201" s="115" t="s">
        <v>499</v>
      </c>
      <c r="AX201" s="115" t="s">
        <v>28</v>
      </c>
      <c r="AY201" s="115" t="s">
        <v>1850</v>
      </c>
      <c r="AZ201" s="115" t="s">
        <v>1940</v>
      </c>
      <c r="BA201" s="115"/>
      <c r="BB201" s="115"/>
      <c r="BC201" s="115">
        <v>156.41250000000002</v>
      </c>
      <c r="BD201" s="115"/>
      <c r="BE201" s="115"/>
      <c r="BF201" s="115">
        <v>6.3049999999999997</v>
      </c>
      <c r="BG201" s="115"/>
      <c r="BH201" s="115">
        <v>21.804940399999996</v>
      </c>
      <c r="BI201" s="115">
        <v>17.176274999999997</v>
      </c>
      <c r="BJ201" s="115">
        <v>18.64400625</v>
      </c>
      <c r="BK201" s="115">
        <v>3.6981249999999997</v>
      </c>
      <c r="BL201" s="115">
        <v>2.4735</v>
      </c>
      <c r="BM201" s="115"/>
      <c r="BN201" s="115"/>
      <c r="BO201" s="115"/>
      <c r="BP201" s="115"/>
      <c r="CV201" s="115">
        <v>2025.31</v>
      </c>
      <c r="CW201" s="115" t="s">
        <v>1415</v>
      </c>
      <c r="CX201" s="115" t="s">
        <v>387</v>
      </c>
      <c r="CY201" s="115" t="s">
        <v>2065</v>
      </c>
      <c r="CZ201" s="330">
        <v>6971.4889999999996</v>
      </c>
      <c r="DA201" s="115"/>
      <c r="DB201" s="115"/>
      <c r="DR201" s="214"/>
      <c r="DY201" s="115"/>
      <c r="DZ201" s="334"/>
      <c r="EA201" s="334"/>
      <c r="EB201" s="334"/>
      <c r="EC201" s="334"/>
      <c r="ED201" s="187"/>
      <c r="EE201" s="330"/>
      <c r="EH201" s="334"/>
      <c r="EI201" s="334"/>
      <c r="EM201"/>
      <c r="EO201" s="115"/>
      <c r="EP201" s="334" t="s">
        <v>1415</v>
      </c>
      <c r="EQ201" s="334" t="s">
        <v>2114</v>
      </c>
      <c r="ER201" s="334" t="s">
        <v>430</v>
      </c>
      <c r="ES201" s="334" t="s">
        <v>377</v>
      </c>
      <c r="ET201" s="334">
        <v>2024.44</v>
      </c>
      <c r="EU201" s="334" t="s">
        <v>397</v>
      </c>
      <c r="EV201" s="334">
        <v>70484.031400000007</v>
      </c>
    </row>
    <row r="202" spans="9:152" ht="13">
      <c r="I202" s="115" t="s">
        <v>2153</v>
      </c>
      <c r="J202" s="115" t="s">
        <v>1362</v>
      </c>
      <c r="K202" s="183">
        <v>95</v>
      </c>
      <c r="AI202" s="115" t="s">
        <v>1416</v>
      </c>
      <c r="AJ202" t="s">
        <v>2114</v>
      </c>
      <c r="AK202" s="115">
        <v>0</v>
      </c>
      <c r="AL202" s="115" t="s">
        <v>28</v>
      </c>
      <c r="AM202" s="115" t="s">
        <v>1850</v>
      </c>
      <c r="AN202" s="115" t="s">
        <v>1445</v>
      </c>
      <c r="AO202" s="115" t="s">
        <v>1645</v>
      </c>
      <c r="AT202" s="115" t="s">
        <v>1415</v>
      </c>
      <c r="AU202" s="115" t="s">
        <v>2114</v>
      </c>
      <c r="AV202" s="115">
        <v>15</v>
      </c>
      <c r="AW202" s="115" t="s">
        <v>499</v>
      </c>
      <c r="AX202" s="115" t="s">
        <v>28</v>
      </c>
      <c r="AY202" s="115" t="s">
        <v>1850</v>
      </c>
      <c r="AZ202" s="115" t="s">
        <v>1883</v>
      </c>
      <c r="BA202" s="115"/>
      <c r="BB202" s="115"/>
      <c r="BC202" s="115">
        <v>414.67499999999995</v>
      </c>
      <c r="BD202" s="115"/>
      <c r="BE202" s="115"/>
      <c r="BF202" s="115">
        <v>17.278124999999999</v>
      </c>
      <c r="BG202" s="115"/>
      <c r="BH202" s="115">
        <v>92.111432800000017</v>
      </c>
      <c r="BI202" s="115">
        <v>71.91095</v>
      </c>
      <c r="BJ202" s="115">
        <v>73.462950000000021</v>
      </c>
      <c r="BK202" s="115">
        <v>10.891159999999999</v>
      </c>
      <c r="BL202" s="115">
        <v>22.843500000000002</v>
      </c>
      <c r="BM202" s="115"/>
      <c r="BN202" s="115"/>
      <c r="BO202" s="115"/>
      <c r="BP202" s="115"/>
      <c r="CV202" s="115">
        <v>2025.31</v>
      </c>
      <c r="CW202" s="115" t="s">
        <v>1415</v>
      </c>
      <c r="CX202" s="115" t="s">
        <v>380</v>
      </c>
      <c r="CY202" s="115" t="s">
        <v>2065</v>
      </c>
      <c r="CZ202" s="330">
        <v>3116.424</v>
      </c>
      <c r="DA202" s="115"/>
      <c r="DB202" s="115"/>
      <c r="DR202" s="214"/>
      <c r="DY202" s="115"/>
      <c r="DZ202" s="334"/>
      <c r="EA202" s="334"/>
      <c r="EB202" s="334"/>
      <c r="EC202" s="334"/>
      <c r="ED202" s="187"/>
      <c r="EE202" s="330"/>
      <c r="EH202" s="334"/>
      <c r="EI202" s="334"/>
      <c r="EM202"/>
      <c r="EO202" s="115"/>
      <c r="EP202" s="334" t="s">
        <v>1415</v>
      </c>
      <c r="EQ202" s="334" t="s">
        <v>2114</v>
      </c>
      <c r="ER202" s="334" t="s">
        <v>430</v>
      </c>
      <c r="ES202" s="334" t="s">
        <v>377</v>
      </c>
      <c r="ET202" s="334">
        <v>2024.44</v>
      </c>
      <c r="EU202" s="334" t="s">
        <v>1382</v>
      </c>
      <c r="EV202" s="334">
        <v>31870.151399999999</v>
      </c>
    </row>
    <row r="203" spans="9:152" ht="13">
      <c r="I203" s="115" t="s">
        <v>2153</v>
      </c>
      <c r="J203" s="115" t="s">
        <v>1368</v>
      </c>
      <c r="K203" s="183">
        <v>11.5</v>
      </c>
      <c r="AI203" s="115" t="s">
        <v>1416</v>
      </c>
      <c r="AJ203" t="s">
        <v>2114</v>
      </c>
      <c r="AK203" s="115">
        <v>0</v>
      </c>
      <c r="AL203" s="115" t="s">
        <v>28</v>
      </c>
      <c r="AM203" s="115" t="s">
        <v>1849</v>
      </c>
      <c r="AN203" s="115" t="s">
        <v>1445</v>
      </c>
      <c r="AO203" s="115" t="s">
        <v>1645</v>
      </c>
      <c r="AT203" s="115" t="s">
        <v>1415</v>
      </c>
      <c r="AU203" s="115" t="s">
        <v>2114</v>
      </c>
      <c r="AV203" s="115">
        <v>15</v>
      </c>
      <c r="AW203" s="115" t="s">
        <v>499</v>
      </c>
      <c r="AX203" s="115" t="s">
        <v>28</v>
      </c>
      <c r="AY203" s="115" t="s">
        <v>1832</v>
      </c>
      <c r="AZ203" s="115" t="s">
        <v>1883</v>
      </c>
      <c r="BA203" s="115"/>
      <c r="BB203" s="115"/>
      <c r="BC203" s="115">
        <v>570</v>
      </c>
      <c r="BD203" s="115"/>
      <c r="BE203" s="115"/>
      <c r="BF203" s="115">
        <v>17.8125</v>
      </c>
      <c r="BG203" s="115"/>
      <c r="BH203" s="115">
        <v>949.6024000000001</v>
      </c>
      <c r="BI203" s="115">
        <v>296.54000000000002</v>
      </c>
      <c r="BJ203" s="115">
        <v>84.15000000000002</v>
      </c>
      <c r="BK203" s="115">
        <v>112.28</v>
      </c>
      <c r="BL203" s="115">
        <v>235.5</v>
      </c>
      <c r="BM203" s="115"/>
      <c r="BN203" s="115"/>
      <c r="BO203" s="115"/>
      <c r="BP203" s="115"/>
      <c r="CV203" s="115">
        <v>2025.31</v>
      </c>
      <c r="CW203" s="115" t="s">
        <v>1415</v>
      </c>
      <c r="CX203" s="115" t="s">
        <v>377</v>
      </c>
      <c r="CY203" s="115" t="s">
        <v>2065</v>
      </c>
      <c r="CZ203" s="330">
        <v>5955.6059999999998</v>
      </c>
      <c r="DA203" s="115"/>
      <c r="DB203" s="115"/>
      <c r="DR203" s="214"/>
      <c r="DY203" s="115"/>
      <c r="DZ203" s="334"/>
      <c r="EA203" s="334"/>
      <c r="EB203" s="334"/>
      <c r="EC203" s="334"/>
      <c r="ED203" s="187"/>
      <c r="EE203" s="330"/>
      <c r="EH203" s="334"/>
      <c r="EI203" s="334"/>
      <c r="EM203"/>
      <c r="EO203" s="115"/>
      <c r="EP203" s="334" t="s">
        <v>1415</v>
      </c>
      <c r="EQ203" s="334" t="s">
        <v>2114</v>
      </c>
      <c r="ER203" s="334" t="s">
        <v>430</v>
      </c>
      <c r="ES203" s="334" t="s">
        <v>377</v>
      </c>
      <c r="ET203" s="334">
        <v>2024.48</v>
      </c>
      <c r="EU203" s="334" t="s">
        <v>397</v>
      </c>
      <c r="EV203" s="334">
        <v>70484.031400000007</v>
      </c>
    </row>
    <row r="204" spans="9:152" ht="13">
      <c r="I204" s="115" t="s">
        <v>2153</v>
      </c>
      <c r="J204" s="115" t="s">
        <v>1360</v>
      </c>
      <c r="K204" s="183">
        <v>0.13500000000000001</v>
      </c>
      <c r="AI204" s="115" t="s">
        <v>1416</v>
      </c>
      <c r="AJ204" t="s">
        <v>2114</v>
      </c>
      <c r="AK204" s="115">
        <v>0</v>
      </c>
      <c r="AL204" s="115" t="s">
        <v>28</v>
      </c>
      <c r="AM204" s="115" t="s">
        <v>1832</v>
      </c>
      <c r="AN204" s="115" t="s">
        <v>1445</v>
      </c>
      <c r="AO204" s="115" t="s">
        <v>1645</v>
      </c>
      <c r="AT204" s="115" t="s">
        <v>1416</v>
      </c>
      <c r="AU204" s="115" t="s">
        <v>2114</v>
      </c>
      <c r="AV204" s="115">
        <v>0</v>
      </c>
      <c r="AW204" s="115" t="s">
        <v>499</v>
      </c>
      <c r="AX204" s="115" t="s">
        <v>28</v>
      </c>
      <c r="AY204" s="115" t="s">
        <v>1832</v>
      </c>
      <c r="AZ204" s="115" t="s">
        <v>1940</v>
      </c>
      <c r="BA204" s="115"/>
      <c r="BB204" s="115"/>
      <c r="BC204" s="115">
        <v>215.00000000000003</v>
      </c>
      <c r="BD204" s="115"/>
      <c r="BE204" s="115"/>
      <c r="BF204" s="115">
        <v>6.5</v>
      </c>
      <c r="BG204" s="115"/>
      <c r="BH204" s="115">
        <v>224.79319999999996</v>
      </c>
      <c r="BI204" s="115">
        <v>70.829999999999984</v>
      </c>
      <c r="BJ204" s="115">
        <v>21.356250000000003</v>
      </c>
      <c r="BK204" s="115">
        <v>38.125</v>
      </c>
      <c r="BL204" s="115">
        <v>25.5</v>
      </c>
      <c r="BM204" s="115"/>
      <c r="BN204" s="115"/>
      <c r="BO204" s="115"/>
      <c r="BP204" s="115"/>
      <c r="CV204" s="115">
        <v>2025.31</v>
      </c>
      <c r="CW204" s="115" t="s">
        <v>1415</v>
      </c>
      <c r="CX204" s="115" t="s">
        <v>372</v>
      </c>
      <c r="CY204" s="115" t="s">
        <v>2065</v>
      </c>
      <c r="CZ204" s="330">
        <v>4152.2939999999999</v>
      </c>
      <c r="DA204" s="115"/>
      <c r="DB204" s="115"/>
      <c r="DR204" s="214"/>
      <c r="DY204" s="115"/>
      <c r="DZ204" s="334"/>
      <c r="EA204" s="334"/>
      <c r="EB204" s="334"/>
      <c r="EC204" s="334"/>
      <c r="ED204" s="187"/>
      <c r="EE204" s="330"/>
      <c r="EH204" s="334"/>
      <c r="EI204" s="334"/>
      <c r="EM204"/>
      <c r="EO204" s="115"/>
      <c r="EP204" s="334" t="s">
        <v>1415</v>
      </c>
      <c r="EQ204" s="334" t="s">
        <v>2114</v>
      </c>
      <c r="ER204" s="334" t="s">
        <v>430</v>
      </c>
      <c r="ES204" s="334" t="s">
        <v>377</v>
      </c>
      <c r="ET204" s="334">
        <v>2024.48</v>
      </c>
      <c r="EU204" s="334" t="s">
        <v>1382</v>
      </c>
      <c r="EV204" s="334">
        <v>21870.151399999999</v>
      </c>
    </row>
    <row r="205" spans="9:152" ht="13">
      <c r="I205" s="115" t="s">
        <v>2153</v>
      </c>
      <c r="J205" s="115" t="s">
        <v>1358</v>
      </c>
      <c r="K205" s="183" t="s">
        <v>375</v>
      </c>
      <c r="AI205" s="115" t="s">
        <v>1416</v>
      </c>
      <c r="AJ205" t="s">
        <v>2114</v>
      </c>
      <c r="AK205" s="115">
        <v>0</v>
      </c>
      <c r="AL205" s="115" t="s">
        <v>28</v>
      </c>
      <c r="AM205" s="115" t="s">
        <v>1846</v>
      </c>
      <c r="AN205" s="115" t="s">
        <v>1445</v>
      </c>
      <c r="AO205" s="115" t="s">
        <v>1645</v>
      </c>
      <c r="AT205" s="115" t="s">
        <v>1416</v>
      </c>
      <c r="AU205" s="115" t="s">
        <v>2114</v>
      </c>
      <c r="AV205" s="115">
        <v>0</v>
      </c>
      <c r="AW205" s="115" t="s">
        <v>499</v>
      </c>
      <c r="AX205" s="115" t="s">
        <v>28</v>
      </c>
      <c r="AY205" s="115" t="s">
        <v>1846</v>
      </c>
      <c r="AZ205" s="115" t="s">
        <v>1941</v>
      </c>
      <c r="BA205" s="115"/>
      <c r="BB205" s="115"/>
      <c r="BC205" s="115">
        <v>662.50878749999981</v>
      </c>
      <c r="BD205" s="115"/>
      <c r="BE205" s="115"/>
      <c r="BF205" s="115"/>
      <c r="BG205" s="115"/>
      <c r="BH205" s="115">
        <v>14909.483138895997</v>
      </c>
      <c r="BI205" s="115">
        <v>1695.1913999999999</v>
      </c>
      <c r="BJ205" s="115">
        <v>234.83161649999997</v>
      </c>
      <c r="BK205" s="115">
        <v>1000.6771230000001</v>
      </c>
      <c r="BL205" s="115">
        <v>886.18317300000001</v>
      </c>
      <c r="BM205" s="115">
        <v>4785.8400000000011</v>
      </c>
      <c r="BN205" s="115">
        <v>3413.4571999999998</v>
      </c>
      <c r="BO205" s="115">
        <v>4242.0371999999998</v>
      </c>
      <c r="BP205" s="115"/>
      <c r="CV205" s="115">
        <v>2025.32</v>
      </c>
      <c r="CW205" s="115" t="s">
        <v>1415</v>
      </c>
      <c r="CX205" s="115" t="s">
        <v>387</v>
      </c>
      <c r="CY205" s="115" t="s">
        <v>2065</v>
      </c>
      <c r="CZ205" s="330">
        <v>7487.1119999999992</v>
      </c>
      <c r="DA205" s="115"/>
      <c r="DB205" s="115"/>
      <c r="DR205" s="214"/>
      <c r="DY205" s="115"/>
      <c r="DZ205" s="334"/>
      <c r="EA205" s="334"/>
      <c r="EB205" s="334"/>
      <c r="EC205" s="334"/>
      <c r="ED205" s="187"/>
      <c r="EE205" s="330"/>
      <c r="EH205" s="334"/>
      <c r="EI205" s="334"/>
      <c r="EM205"/>
      <c r="EO205" s="115"/>
      <c r="EP205" s="334" t="s">
        <v>1415</v>
      </c>
      <c r="EQ205" s="334" t="s">
        <v>2114</v>
      </c>
      <c r="ER205" s="334" t="s">
        <v>430</v>
      </c>
      <c r="ES205" s="334" t="s">
        <v>372</v>
      </c>
      <c r="ET205" s="334">
        <v>2023.47</v>
      </c>
      <c r="EU205" s="334" t="s">
        <v>397</v>
      </c>
      <c r="EV205" s="334">
        <v>36617.209199999998</v>
      </c>
    </row>
    <row r="206" spans="9:152" ht="13">
      <c r="I206" s="115" t="s">
        <v>2153</v>
      </c>
      <c r="J206" s="115" t="s">
        <v>1354</v>
      </c>
      <c r="K206" s="183">
        <v>45700</v>
      </c>
      <c r="AI206" s="115" t="s">
        <v>1416</v>
      </c>
      <c r="AJ206" t="s">
        <v>2114</v>
      </c>
      <c r="AK206" s="115">
        <v>0</v>
      </c>
      <c r="AL206" s="115" t="s">
        <v>28</v>
      </c>
      <c r="AM206" s="115" t="s">
        <v>1843</v>
      </c>
      <c r="AN206" s="115" t="s">
        <v>1445</v>
      </c>
      <c r="AO206" s="115" t="s">
        <v>1645</v>
      </c>
      <c r="AT206" s="115" t="s">
        <v>1415</v>
      </c>
      <c r="AU206" s="115" t="s">
        <v>2114</v>
      </c>
      <c r="AV206" s="115">
        <v>15</v>
      </c>
      <c r="AW206" s="115" t="s">
        <v>499</v>
      </c>
      <c r="AX206" s="115" t="s">
        <v>28</v>
      </c>
      <c r="AY206" s="115" t="s">
        <v>1846</v>
      </c>
      <c r="AZ206" s="115" t="s">
        <v>1884</v>
      </c>
      <c r="BA206" s="115"/>
      <c r="BB206" s="115"/>
      <c r="BC206" s="115">
        <v>2239.1829806249998</v>
      </c>
      <c r="BD206" s="115"/>
      <c r="BE206" s="115"/>
      <c r="BF206" s="115"/>
      <c r="BG206" s="115"/>
      <c r="BH206" s="115">
        <v>53732.935626169594</v>
      </c>
      <c r="BI206" s="115">
        <v>7375.7464232400025</v>
      </c>
      <c r="BJ206" s="115">
        <v>689.03577131999987</v>
      </c>
      <c r="BK206" s="115">
        <v>3510.9271009440004</v>
      </c>
      <c r="BL206" s="115">
        <v>7095.7525815900017</v>
      </c>
      <c r="BM206" s="115">
        <v>18520.661999999997</v>
      </c>
      <c r="BN206" s="115">
        <v>9676.9599999999991</v>
      </c>
      <c r="BO206" s="115">
        <v>11417.02</v>
      </c>
      <c r="BP206" s="115"/>
      <c r="CV206" s="115">
        <v>2025.32</v>
      </c>
      <c r="CW206" s="115" t="s">
        <v>1415</v>
      </c>
      <c r="CX206" s="115" t="s">
        <v>380</v>
      </c>
      <c r="CY206" s="115" t="s">
        <v>2065</v>
      </c>
      <c r="CZ206" s="330">
        <v>3116.424</v>
      </c>
      <c r="DA206" s="115"/>
      <c r="DB206" s="115"/>
      <c r="DR206" s="214"/>
      <c r="DY206" s="115"/>
      <c r="DZ206" s="334"/>
      <c r="EA206" s="334"/>
      <c r="EB206" s="334"/>
      <c r="EC206" s="334"/>
      <c r="ED206" s="187"/>
      <c r="EE206" s="330"/>
      <c r="EH206" s="334"/>
      <c r="EI206" s="334"/>
      <c r="EM206"/>
      <c r="EO206" s="115"/>
      <c r="EP206" s="334" t="s">
        <v>1415</v>
      </c>
      <c r="EQ206" s="334" t="s">
        <v>2114</v>
      </c>
      <c r="ER206" s="334" t="s">
        <v>430</v>
      </c>
      <c r="ES206" s="334" t="s">
        <v>372</v>
      </c>
      <c r="ET206" s="334">
        <v>2023.47</v>
      </c>
      <c r="EU206" s="334" t="s">
        <v>1382</v>
      </c>
      <c r="EV206" s="334">
        <v>36617.209199999998</v>
      </c>
    </row>
    <row r="207" spans="9:152" ht="13">
      <c r="I207" s="115" t="s">
        <v>2153</v>
      </c>
      <c r="J207" s="115" t="s">
        <v>1365</v>
      </c>
      <c r="K207" s="183">
        <v>15</v>
      </c>
      <c r="AI207" s="115" t="s">
        <v>1416</v>
      </c>
      <c r="AJ207" t="s">
        <v>2114</v>
      </c>
      <c r="AK207" s="115">
        <v>0</v>
      </c>
      <c r="AL207" s="115" t="s">
        <v>28</v>
      </c>
      <c r="AM207" s="115" t="s">
        <v>1843</v>
      </c>
      <c r="AN207" s="115" t="s">
        <v>1445</v>
      </c>
      <c r="AO207" s="115" t="s">
        <v>1646</v>
      </c>
      <c r="AT207" s="115" t="s">
        <v>1415</v>
      </c>
      <c r="AU207" s="115" t="s">
        <v>2114</v>
      </c>
      <c r="AV207" s="115">
        <v>15</v>
      </c>
      <c r="AW207" s="115" t="s">
        <v>499</v>
      </c>
      <c r="AX207" s="115" t="s">
        <v>28</v>
      </c>
      <c r="AY207" s="115" t="s">
        <v>1848</v>
      </c>
      <c r="AZ207" s="115" t="s">
        <v>1884</v>
      </c>
      <c r="BA207" s="115"/>
      <c r="BB207" s="115"/>
      <c r="BC207" s="115">
        <v>13204.788207187499</v>
      </c>
      <c r="BD207" s="115"/>
      <c r="BE207" s="115"/>
      <c r="BF207" s="115">
        <v>1366.6072646875</v>
      </c>
      <c r="BG207" s="115"/>
      <c r="BH207" s="115">
        <v>3430.4660173145598</v>
      </c>
      <c r="BI207" s="115">
        <v>2709.6469074000006</v>
      </c>
      <c r="BJ207" s="115">
        <v>3461.0829483487501</v>
      </c>
      <c r="BK207" s="115">
        <v>548.41989902400007</v>
      </c>
      <c r="BL207" s="115">
        <v>1108.38300039</v>
      </c>
      <c r="BM207" s="115"/>
      <c r="BN207" s="115"/>
      <c r="BO207" s="115"/>
      <c r="BP207" s="115"/>
      <c r="CV207" s="115">
        <v>2025.32</v>
      </c>
      <c r="CW207" s="115" t="s">
        <v>1415</v>
      </c>
      <c r="CX207" s="115" t="s">
        <v>377</v>
      </c>
      <c r="CY207" s="115" t="s">
        <v>2065</v>
      </c>
      <c r="CZ207" s="330">
        <v>9121.6656000000003</v>
      </c>
      <c r="DA207" s="115"/>
      <c r="DB207" s="115"/>
      <c r="DR207" s="214"/>
      <c r="DY207" s="115"/>
      <c r="DZ207" s="334"/>
      <c r="EA207" s="334"/>
      <c r="EB207" s="334"/>
      <c r="EC207" s="334"/>
      <c r="ED207" s="187"/>
      <c r="EE207" s="330"/>
      <c r="EH207" s="334"/>
      <c r="EI207" s="334"/>
      <c r="EM207"/>
      <c r="EO207" s="115"/>
      <c r="EP207" s="334" t="s">
        <v>1415</v>
      </c>
      <c r="EQ207" s="334" t="s">
        <v>2114</v>
      </c>
      <c r="ER207" s="334" t="s">
        <v>430</v>
      </c>
      <c r="ES207" s="334" t="s">
        <v>372</v>
      </c>
      <c r="ET207" s="334">
        <v>2024.44</v>
      </c>
      <c r="EU207" s="334" t="s">
        <v>397</v>
      </c>
      <c r="EV207" s="334">
        <v>51207.39</v>
      </c>
    </row>
    <row r="208" spans="9:152" ht="13">
      <c r="I208" s="115" t="s">
        <v>2153</v>
      </c>
      <c r="J208" s="115" t="s">
        <v>1356</v>
      </c>
      <c r="K208" s="183" t="s">
        <v>1359</v>
      </c>
      <c r="AI208" s="115" t="s">
        <v>1416</v>
      </c>
      <c r="AJ208" t="s">
        <v>2114</v>
      </c>
      <c r="AK208" s="115">
        <v>0</v>
      </c>
      <c r="AL208" s="115" t="s">
        <v>28</v>
      </c>
      <c r="AM208" s="115" t="s">
        <v>1846</v>
      </c>
      <c r="AN208" s="115" t="s">
        <v>1445</v>
      </c>
      <c r="AO208" s="115" t="s">
        <v>1646</v>
      </c>
      <c r="AT208" s="115" t="s">
        <v>1416</v>
      </c>
      <c r="AU208" s="115" t="s">
        <v>2114</v>
      </c>
      <c r="AV208" s="115">
        <v>0</v>
      </c>
      <c r="AW208" s="115" t="s">
        <v>499</v>
      </c>
      <c r="AX208" s="115" t="s">
        <v>28</v>
      </c>
      <c r="AY208" s="115" t="s">
        <v>1848</v>
      </c>
      <c r="AZ208" s="115" t="s">
        <v>1941</v>
      </c>
      <c r="BA208" s="115"/>
      <c r="BB208" s="115"/>
      <c r="BC208" s="115">
        <v>3973.1212124999997</v>
      </c>
      <c r="BD208" s="115"/>
      <c r="BE208" s="115"/>
      <c r="BF208" s="115">
        <v>241.47240625000001</v>
      </c>
      <c r="BG208" s="115"/>
      <c r="BH208" s="115">
        <v>1094.4301768159999</v>
      </c>
      <c r="BI208" s="115">
        <v>723.74610000000007</v>
      </c>
      <c r="BJ208" s="115">
        <v>1112.7410775000003</v>
      </c>
      <c r="BK208" s="115">
        <v>158.95875000000001</v>
      </c>
      <c r="BL208" s="115">
        <v>140.77125000000001</v>
      </c>
      <c r="BM208" s="115"/>
      <c r="BN208" s="115"/>
      <c r="BO208" s="115"/>
      <c r="BP208" s="115"/>
      <c r="CV208" s="115">
        <v>2025.32</v>
      </c>
      <c r="CW208" s="115" t="s">
        <v>1415</v>
      </c>
      <c r="CX208" s="115" t="s">
        <v>372</v>
      </c>
      <c r="CY208" s="115" t="s">
        <v>2065</v>
      </c>
      <c r="CZ208" s="330">
        <v>8304.5879999999997</v>
      </c>
      <c r="DA208" s="115"/>
      <c r="DB208" s="115"/>
      <c r="DR208" s="214"/>
      <c r="DY208" s="115"/>
      <c r="DZ208" s="334"/>
      <c r="EA208" s="334"/>
      <c r="EB208" s="334"/>
      <c r="EC208" s="334"/>
      <c r="ED208" s="187"/>
      <c r="EE208" s="330"/>
      <c r="EH208" s="334"/>
      <c r="EI208" s="334"/>
      <c r="EM208"/>
      <c r="EO208" s="115"/>
      <c r="EP208" s="334" t="s">
        <v>1415</v>
      </c>
      <c r="EQ208" s="334" t="s">
        <v>2114</v>
      </c>
      <c r="ER208" s="334" t="s">
        <v>430</v>
      </c>
      <c r="ES208" s="334" t="s">
        <v>372</v>
      </c>
      <c r="ET208" s="334">
        <v>2024.44</v>
      </c>
      <c r="EU208" s="334" t="s">
        <v>1382</v>
      </c>
      <c r="EV208" s="334">
        <v>51207.39</v>
      </c>
    </row>
    <row r="209" spans="9:152" ht="13">
      <c r="I209" s="115" t="s">
        <v>2153</v>
      </c>
      <c r="J209" s="115" t="s">
        <v>1366</v>
      </c>
      <c r="K209" s="183">
        <v>3</v>
      </c>
      <c r="AI209" s="115" t="s">
        <v>1416</v>
      </c>
      <c r="AJ209" t="s">
        <v>2114</v>
      </c>
      <c r="AK209" s="115">
        <v>0</v>
      </c>
      <c r="AL209" s="115" t="s">
        <v>28</v>
      </c>
      <c r="AM209" s="115" t="s">
        <v>1843</v>
      </c>
      <c r="AN209" s="115" t="s">
        <v>1445</v>
      </c>
      <c r="AO209" s="115" t="s">
        <v>1647</v>
      </c>
      <c r="AT209" s="115" t="s">
        <v>1415</v>
      </c>
      <c r="AU209" s="115" t="s">
        <v>2114</v>
      </c>
      <c r="AV209" s="115">
        <v>15</v>
      </c>
      <c r="AW209" s="115" t="s">
        <v>499</v>
      </c>
      <c r="AX209" s="115" t="s">
        <v>28</v>
      </c>
      <c r="AY209" s="115" t="s">
        <v>1843</v>
      </c>
      <c r="AZ209" s="115" t="s">
        <v>1884</v>
      </c>
      <c r="BA209" s="115"/>
      <c r="BB209" s="115"/>
      <c r="BC209" s="115">
        <v>15306.356391752577</v>
      </c>
      <c r="BD209" s="115"/>
      <c r="BE209" s="115"/>
      <c r="BF209" s="115">
        <v>1356.0758762886599</v>
      </c>
      <c r="BG209" s="115"/>
      <c r="BH209" s="115">
        <v>54379.657895876291</v>
      </c>
      <c r="BI209" s="115">
        <v>8822.3286597938131</v>
      </c>
      <c r="BJ209" s="115">
        <v>4112.4134020618558</v>
      </c>
      <c r="BK209" s="115">
        <v>3998.9069072164948</v>
      </c>
      <c r="BL209" s="115">
        <v>9232.9768041237112</v>
      </c>
      <c r="BM209" s="115">
        <v>18520.661999999997</v>
      </c>
      <c r="BN209" s="115">
        <v>9676.9599999999991</v>
      </c>
      <c r="BO209" s="115">
        <v>11417.02</v>
      </c>
      <c r="BP209" s="115"/>
      <c r="CV209" s="115">
        <v>2025.33</v>
      </c>
      <c r="CW209" s="115" t="s">
        <v>1415</v>
      </c>
      <c r="CX209" s="115" t="s">
        <v>387</v>
      </c>
      <c r="CY209" s="115" t="s">
        <v>2065</v>
      </c>
      <c r="CZ209" s="330">
        <v>7487.1119999999992</v>
      </c>
      <c r="DA209" s="115"/>
      <c r="DB209" s="115"/>
      <c r="DR209" s="214"/>
      <c r="DY209" s="115"/>
      <c r="DZ209" s="334"/>
      <c r="EA209" s="334"/>
      <c r="EB209" s="334"/>
      <c r="EC209" s="334"/>
      <c r="ED209" s="187"/>
      <c r="EE209" s="330"/>
      <c r="EH209" s="334"/>
      <c r="EI209" s="334"/>
      <c r="EM209"/>
      <c r="EO209" s="115"/>
      <c r="EP209" s="334" t="s">
        <v>1415</v>
      </c>
      <c r="EQ209" s="334" t="s">
        <v>2114</v>
      </c>
      <c r="ER209" s="334" t="s">
        <v>430</v>
      </c>
      <c r="ES209" s="334" t="s">
        <v>372</v>
      </c>
      <c r="ET209" s="334">
        <v>2024.48</v>
      </c>
      <c r="EU209" s="334" t="s">
        <v>397</v>
      </c>
      <c r="EV209" s="334">
        <v>51207.39</v>
      </c>
    </row>
    <row r="210" spans="9:152" ht="13">
      <c r="I210" s="115" t="s">
        <v>2153</v>
      </c>
      <c r="J210" s="115" t="s">
        <v>1357</v>
      </c>
      <c r="K210" s="183">
        <v>80488.200689530815</v>
      </c>
      <c r="AI210" s="115" t="s">
        <v>1416</v>
      </c>
      <c r="AJ210" t="s">
        <v>2114</v>
      </c>
      <c r="AK210" s="115">
        <v>0</v>
      </c>
      <c r="AL210" s="115" t="s">
        <v>28</v>
      </c>
      <c r="AM210" s="115" t="s">
        <v>1846</v>
      </c>
      <c r="AN210" s="115" t="s">
        <v>1445</v>
      </c>
      <c r="AO210" s="115" t="s">
        <v>1647</v>
      </c>
      <c r="AT210" s="115" t="s">
        <v>1416</v>
      </c>
      <c r="AU210" s="115" t="s">
        <v>2114</v>
      </c>
      <c r="AV210" s="115">
        <v>0</v>
      </c>
      <c r="AW210" s="115" t="s">
        <v>499</v>
      </c>
      <c r="AX210" s="115" t="s">
        <v>28</v>
      </c>
      <c r="AY210" s="115" t="s">
        <v>1843</v>
      </c>
      <c r="AZ210" s="115" t="s">
        <v>1941</v>
      </c>
      <c r="BA210" s="115"/>
      <c r="BB210" s="115"/>
      <c r="BC210" s="115">
        <v>4779</v>
      </c>
      <c r="BD210" s="115"/>
      <c r="BE210" s="115"/>
      <c r="BF210" s="115">
        <v>248.94061855670103</v>
      </c>
      <c r="BG210" s="115"/>
      <c r="BH210" s="115">
        <v>16332.124013402063</v>
      </c>
      <c r="BI210" s="115">
        <v>2467.7285567010308</v>
      </c>
      <c r="BJ210" s="115">
        <v>1389.2502061855671</v>
      </c>
      <c r="BK210" s="115">
        <v>1195.5009278350515</v>
      </c>
      <c r="BL210" s="115">
        <v>1058.71587628866</v>
      </c>
      <c r="BM210" s="115">
        <v>4785.8400000000011</v>
      </c>
      <c r="BN210" s="115">
        <v>3413.4571999999998</v>
      </c>
      <c r="BO210" s="115">
        <v>4242.0371999999998</v>
      </c>
      <c r="BP210" s="115"/>
      <c r="CV210" s="115">
        <v>2025.33</v>
      </c>
      <c r="CW210" s="115" t="s">
        <v>1415</v>
      </c>
      <c r="CX210" s="115" t="s">
        <v>380</v>
      </c>
      <c r="CY210" s="115" t="s">
        <v>2065</v>
      </c>
      <c r="CZ210" s="330">
        <v>3116.424</v>
      </c>
      <c r="DA210" s="115"/>
      <c r="DB210" s="115"/>
      <c r="DR210" s="214"/>
      <c r="DY210" s="115"/>
      <c r="DZ210" s="334"/>
      <c r="EA210" s="334"/>
      <c r="EB210" s="334"/>
      <c r="EC210" s="334"/>
      <c r="ED210" s="187"/>
      <c r="EE210" s="330"/>
      <c r="EH210" s="334"/>
      <c r="EI210" s="334"/>
      <c r="EM210"/>
      <c r="EO210" s="115"/>
      <c r="EP210" s="334" t="s">
        <v>1415</v>
      </c>
      <c r="EQ210" s="334" t="s">
        <v>2114</v>
      </c>
      <c r="ER210" s="334" t="s">
        <v>430</v>
      </c>
      <c r="ES210" s="334" t="s">
        <v>372</v>
      </c>
      <c r="ET210" s="334">
        <v>2024.48</v>
      </c>
      <c r="EU210" s="334" t="s">
        <v>1382</v>
      </c>
      <c r="EV210" s="334">
        <v>56207.39</v>
      </c>
    </row>
    <row r="211" spans="9:152" ht="13">
      <c r="I211" s="115" t="s">
        <v>2154</v>
      </c>
      <c r="J211" s="115" t="s">
        <v>1363</v>
      </c>
      <c r="K211" s="183">
        <v>125</v>
      </c>
      <c r="AI211" s="115" t="s">
        <v>1416</v>
      </c>
      <c r="AJ211" t="s">
        <v>2114</v>
      </c>
      <c r="AK211" s="115">
        <v>0</v>
      </c>
      <c r="AL211" s="115" t="s">
        <v>28</v>
      </c>
      <c r="AM211" s="115" t="s">
        <v>1843</v>
      </c>
      <c r="AN211" s="115" t="s">
        <v>1445</v>
      </c>
      <c r="AO211" s="115" t="s">
        <v>1639</v>
      </c>
      <c r="AT211" s="115" t="s">
        <v>1415</v>
      </c>
      <c r="AU211" s="115" t="s">
        <v>2114</v>
      </c>
      <c r="AV211" s="115">
        <v>15</v>
      </c>
      <c r="AW211" s="115" t="s">
        <v>499</v>
      </c>
      <c r="AX211" s="115" t="s">
        <v>28</v>
      </c>
      <c r="AY211" s="115" t="s">
        <v>1849</v>
      </c>
      <c r="AZ211" s="115" t="s">
        <v>1884</v>
      </c>
      <c r="BA211" s="115"/>
      <c r="BB211" s="115"/>
      <c r="BC211" s="115">
        <v>99.121874999999989</v>
      </c>
      <c r="BD211" s="115"/>
      <c r="BE211" s="115"/>
      <c r="BF211" s="115"/>
      <c r="BG211" s="115"/>
      <c r="BH211" s="115">
        <v>709.23637439999993</v>
      </c>
      <c r="BI211" s="115">
        <v>211.96440000000007</v>
      </c>
      <c r="BJ211" s="115">
        <v>8.5954124999999983</v>
      </c>
      <c r="BK211" s="115">
        <v>121.94064</v>
      </c>
      <c r="BL211" s="115">
        <v>246.44790000000003</v>
      </c>
      <c r="BM211" s="115"/>
      <c r="BN211" s="115"/>
      <c r="BO211" s="115"/>
      <c r="BP211" s="115"/>
      <c r="CV211" s="115">
        <v>2025.33</v>
      </c>
      <c r="CW211" s="115" t="s">
        <v>1415</v>
      </c>
      <c r="CX211" s="115" t="s">
        <v>377</v>
      </c>
      <c r="CY211" s="115" t="s">
        <v>2065</v>
      </c>
      <c r="CZ211" s="330">
        <v>6328.0835999999999</v>
      </c>
      <c r="DA211" s="115"/>
      <c r="DB211" s="115"/>
      <c r="DR211" s="214"/>
      <c r="DY211" s="115"/>
      <c r="DZ211" s="334"/>
      <c r="EA211" s="334"/>
      <c r="EB211" s="334"/>
      <c r="EC211" s="334"/>
      <c r="ED211" s="187"/>
      <c r="EE211" s="330"/>
      <c r="EH211" s="334"/>
      <c r="EI211" s="334"/>
      <c r="EM211"/>
      <c r="EO211" s="115"/>
      <c r="EP211" s="334" t="s">
        <v>1415</v>
      </c>
      <c r="EQ211" s="334" t="s">
        <v>2114</v>
      </c>
      <c r="ER211" s="334" t="s">
        <v>1468</v>
      </c>
      <c r="ES211" s="334" t="s">
        <v>1274</v>
      </c>
      <c r="ET211" s="334">
        <v>2023.47</v>
      </c>
      <c r="EU211" s="334" t="s">
        <v>397</v>
      </c>
      <c r="EV211" s="334">
        <v>393287.57449999999</v>
      </c>
    </row>
    <row r="212" spans="9:152" ht="13">
      <c r="I212" s="115" t="s">
        <v>2154</v>
      </c>
      <c r="J212" s="115" t="s">
        <v>1353</v>
      </c>
      <c r="K212" s="183" t="s">
        <v>2158</v>
      </c>
      <c r="AI212" s="115" t="s">
        <v>1416</v>
      </c>
      <c r="AJ212" t="s">
        <v>2114</v>
      </c>
      <c r="AK212" s="115">
        <v>0</v>
      </c>
      <c r="AL212" s="115" t="s">
        <v>28</v>
      </c>
      <c r="AM212" s="115" t="s">
        <v>1846</v>
      </c>
      <c r="AN212" s="115" t="s">
        <v>1445</v>
      </c>
      <c r="AO212" s="115" t="s">
        <v>1639</v>
      </c>
      <c r="AT212" s="115" t="s">
        <v>1416</v>
      </c>
      <c r="AU212" s="115" t="s">
        <v>2114</v>
      </c>
      <c r="AV212" s="115">
        <v>0</v>
      </c>
      <c r="AW212" s="115" t="s">
        <v>499</v>
      </c>
      <c r="AX212" s="115" t="s">
        <v>28</v>
      </c>
      <c r="AY212" s="115" t="s">
        <v>1849</v>
      </c>
      <c r="AZ212" s="115" t="s">
        <v>1941</v>
      </c>
      <c r="BA212" s="115"/>
      <c r="BB212" s="115"/>
      <c r="BC212" s="115">
        <v>32.191874999999996</v>
      </c>
      <c r="BD212" s="115"/>
      <c r="BE212" s="115"/>
      <c r="BF212" s="115"/>
      <c r="BG212" s="115"/>
      <c r="BH212" s="115">
        <v>244.23187679999998</v>
      </c>
      <c r="BI212" s="115">
        <v>61.11</v>
      </c>
      <c r="BJ212" s="115">
        <v>3.2155499999999995</v>
      </c>
      <c r="BK212" s="115">
        <v>38.150100000000002</v>
      </c>
      <c r="BL212" s="115">
        <v>33.7851</v>
      </c>
      <c r="BM212" s="115"/>
      <c r="BN212" s="115"/>
      <c r="BO212" s="115"/>
      <c r="BP212" s="115"/>
      <c r="CV212" s="115">
        <v>2025.33</v>
      </c>
      <c r="CW212" s="115" t="s">
        <v>1415</v>
      </c>
      <c r="CX212" s="115" t="s">
        <v>372</v>
      </c>
      <c r="CY212" s="115" t="s">
        <v>2065</v>
      </c>
      <c r="CZ212" s="330">
        <v>4152.2939999999999</v>
      </c>
      <c r="DA212" s="115"/>
      <c r="DB212" s="115"/>
      <c r="DR212" s="214"/>
      <c r="DY212" s="115"/>
      <c r="DZ212" s="334"/>
      <c r="EA212" s="334"/>
      <c r="EB212" s="334"/>
      <c r="EC212" s="334"/>
      <c r="ED212" s="187"/>
      <c r="EE212" s="330"/>
      <c r="EH212" s="334"/>
      <c r="EI212" s="334"/>
      <c r="EM212"/>
      <c r="EO212" s="115"/>
      <c r="EP212" s="334" t="s">
        <v>1415</v>
      </c>
      <c r="EQ212" s="334" t="s">
        <v>2114</v>
      </c>
      <c r="ER212" s="334" t="s">
        <v>1468</v>
      </c>
      <c r="ES212" s="334" t="s">
        <v>1274</v>
      </c>
      <c r="ET212" s="334">
        <v>2023.47</v>
      </c>
      <c r="EU212" s="334" t="s">
        <v>1382</v>
      </c>
      <c r="EV212" s="334">
        <v>393287.57449999999</v>
      </c>
    </row>
    <row r="213" spans="9:152" ht="13">
      <c r="I213" s="115" t="s">
        <v>2154</v>
      </c>
      <c r="J213" s="115" t="s">
        <v>1369</v>
      </c>
      <c r="K213" s="183">
        <v>13</v>
      </c>
      <c r="AI213" s="115" t="s">
        <v>1416</v>
      </c>
      <c r="AJ213" t="s">
        <v>2114</v>
      </c>
      <c r="AK213" s="115">
        <v>0</v>
      </c>
      <c r="AL213" s="115" t="s">
        <v>28</v>
      </c>
      <c r="AM213" s="115" t="s">
        <v>1850</v>
      </c>
      <c r="AN213" s="115" t="s">
        <v>1445</v>
      </c>
      <c r="AO213" s="115" t="s">
        <v>373</v>
      </c>
      <c r="AT213" s="115" t="s">
        <v>1416</v>
      </c>
      <c r="AU213" s="115" t="s">
        <v>2114</v>
      </c>
      <c r="AV213" s="115">
        <v>0</v>
      </c>
      <c r="AW213" s="115" t="s">
        <v>499</v>
      </c>
      <c r="AX213" s="115" t="s">
        <v>28</v>
      </c>
      <c r="AY213" s="115" t="s">
        <v>1850</v>
      </c>
      <c r="AZ213" s="115" t="s">
        <v>1941</v>
      </c>
      <c r="BA213" s="115"/>
      <c r="BB213" s="115"/>
      <c r="BC213" s="115">
        <v>96.575624999999988</v>
      </c>
      <c r="BD213" s="115"/>
      <c r="BE213" s="115"/>
      <c r="BF213" s="115">
        <v>5.6078124999999996</v>
      </c>
      <c r="BG213" s="115"/>
      <c r="BH213" s="115">
        <v>27.136875199999999</v>
      </c>
      <c r="BI213" s="115">
        <v>20.37</v>
      </c>
      <c r="BJ213" s="115">
        <v>28.939950000000003</v>
      </c>
      <c r="BK213" s="115">
        <v>4.2389000000000001</v>
      </c>
      <c r="BL213" s="115">
        <v>3.7539000000000002</v>
      </c>
      <c r="BM213" s="115"/>
      <c r="BN213" s="115"/>
      <c r="BO213" s="115"/>
      <c r="BP213" s="115"/>
      <c r="CV213" s="115">
        <v>2025.34</v>
      </c>
      <c r="CW213" s="115" t="s">
        <v>1415</v>
      </c>
      <c r="CX213" s="115" t="s">
        <v>380</v>
      </c>
      <c r="CY213" s="115" t="s">
        <v>2065</v>
      </c>
      <c r="CZ213" s="330">
        <v>3116.424</v>
      </c>
      <c r="DA213" s="115"/>
      <c r="DB213" s="115"/>
      <c r="DR213" s="214"/>
      <c r="DY213" s="115"/>
      <c r="DZ213" s="334"/>
      <c r="EA213" s="334"/>
      <c r="EB213" s="334"/>
      <c r="EC213" s="334"/>
      <c r="ED213" s="187"/>
      <c r="EE213" s="330"/>
      <c r="EH213" s="334"/>
      <c r="EI213" s="334"/>
      <c r="EM213"/>
      <c r="EO213" s="115"/>
      <c r="EP213" s="334" t="s">
        <v>1415</v>
      </c>
      <c r="EQ213" s="334" t="s">
        <v>2114</v>
      </c>
      <c r="ER213" s="334" t="s">
        <v>1468</v>
      </c>
      <c r="ES213" s="334" t="s">
        <v>1274</v>
      </c>
      <c r="ET213" s="334">
        <v>2024.44</v>
      </c>
      <c r="EU213" s="334" t="s">
        <v>397</v>
      </c>
      <c r="EV213" s="334">
        <v>453767.48810000002</v>
      </c>
    </row>
    <row r="214" spans="9:152" ht="13">
      <c r="I214" s="115" t="s">
        <v>2154</v>
      </c>
      <c r="J214" s="115" t="s">
        <v>1355</v>
      </c>
      <c r="K214" s="183">
        <v>8</v>
      </c>
      <c r="AI214" s="115" t="s">
        <v>1416</v>
      </c>
      <c r="AJ214" t="s">
        <v>2114</v>
      </c>
      <c r="AK214" s="115">
        <v>0</v>
      </c>
      <c r="AL214" s="115" t="s">
        <v>28</v>
      </c>
      <c r="AM214" s="115" t="s">
        <v>1846</v>
      </c>
      <c r="AN214" s="115" t="s">
        <v>1445</v>
      </c>
      <c r="AO214" s="115" t="s">
        <v>373</v>
      </c>
      <c r="AT214" s="115" t="s">
        <v>1415</v>
      </c>
      <c r="AU214" s="115" t="s">
        <v>2114</v>
      </c>
      <c r="AV214" s="115">
        <v>15</v>
      </c>
      <c r="AW214" s="115" t="s">
        <v>499</v>
      </c>
      <c r="AX214" s="115" t="s">
        <v>28</v>
      </c>
      <c r="AY214" s="115" t="s">
        <v>1850</v>
      </c>
      <c r="AZ214" s="115" t="s">
        <v>1884</v>
      </c>
      <c r="BA214" s="115"/>
      <c r="BB214" s="115"/>
      <c r="BC214" s="115">
        <v>297.36562499999997</v>
      </c>
      <c r="BD214" s="115"/>
      <c r="BE214" s="115"/>
      <c r="BF214" s="115">
        <v>29.403124999999999</v>
      </c>
      <c r="BG214" s="115"/>
      <c r="BH214" s="115">
        <v>78.804041600000005</v>
      </c>
      <c r="BI214" s="115">
        <v>70.654800000000023</v>
      </c>
      <c r="BJ214" s="115">
        <v>77.35871250000001</v>
      </c>
      <c r="BK214" s="115">
        <v>13.548960000000001</v>
      </c>
      <c r="BL214" s="115">
        <v>27.383100000000002</v>
      </c>
      <c r="BM214" s="115"/>
      <c r="BN214" s="115"/>
      <c r="BO214" s="115"/>
      <c r="BP214" s="115"/>
      <c r="CV214" s="115">
        <v>2025.34</v>
      </c>
      <c r="CW214" s="115" t="s">
        <v>1415</v>
      </c>
      <c r="CX214" s="115" t="s">
        <v>377</v>
      </c>
      <c r="CY214" s="115" t="s">
        <v>2065</v>
      </c>
      <c r="CZ214" s="330">
        <v>4093.2179999999998</v>
      </c>
      <c r="DA214" s="115"/>
      <c r="DB214" s="115"/>
      <c r="DR214" s="214"/>
      <c r="DY214" s="115"/>
      <c r="DZ214" s="334"/>
      <c r="EA214" s="334"/>
      <c r="EB214" s="334"/>
      <c r="EC214" s="334"/>
      <c r="ED214" s="187"/>
      <c r="EE214" s="330"/>
      <c r="EH214" s="334"/>
      <c r="EI214" s="334"/>
      <c r="EM214"/>
      <c r="EO214" s="115"/>
      <c r="EP214" s="334" t="s">
        <v>1415</v>
      </c>
      <c r="EQ214" s="334" t="s">
        <v>2114</v>
      </c>
      <c r="ER214" s="334" t="s">
        <v>1468</v>
      </c>
      <c r="ES214" s="334" t="s">
        <v>1274</v>
      </c>
      <c r="ET214" s="334">
        <v>2024.44</v>
      </c>
      <c r="EU214" s="334" t="s">
        <v>1382</v>
      </c>
      <c r="EV214" s="334">
        <v>253767.48809999999</v>
      </c>
    </row>
    <row r="215" spans="9:152" ht="13">
      <c r="I215" s="115" t="s">
        <v>2154</v>
      </c>
      <c r="J215" s="115" t="s">
        <v>1361</v>
      </c>
      <c r="K215" s="183">
        <v>69.23</v>
      </c>
      <c r="AI215" s="115" t="s">
        <v>1416</v>
      </c>
      <c r="AJ215" t="s">
        <v>2114</v>
      </c>
      <c r="AK215" s="115">
        <v>0</v>
      </c>
      <c r="AL215" s="115" t="s">
        <v>28</v>
      </c>
      <c r="AM215" s="115" t="s">
        <v>1832</v>
      </c>
      <c r="AN215" s="115" t="s">
        <v>1445</v>
      </c>
      <c r="AO215" s="115" t="s">
        <v>373</v>
      </c>
      <c r="AT215" s="115" t="s">
        <v>1416</v>
      </c>
      <c r="AU215" s="115" t="s">
        <v>2114</v>
      </c>
      <c r="AV215" s="115">
        <v>0</v>
      </c>
      <c r="AW215" s="115" t="s">
        <v>499</v>
      </c>
      <c r="AX215" s="115" t="s">
        <v>28</v>
      </c>
      <c r="AY215" s="115" t="s">
        <v>1832</v>
      </c>
      <c r="AZ215" s="115" t="s">
        <v>1941</v>
      </c>
      <c r="BA215" s="115"/>
      <c r="BB215" s="115"/>
      <c r="BC215" s="115">
        <v>132.75</v>
      </c>
      <c r="BD215" s="115"/>
      <c r="BE215" s="115"/>
      <c r="BF215" s="115">
        <v>5.78125</v>
      </c>
      <c r="BG215" s="115"/>
      <c r="BH215" s="115">
        <v>279.76159999999999</v>
      </c>
      <c r="BI215" s="115">
        <v>84</v>
      </c>
      <c r="BJ215" s="115">
        <v>33.150000000000006</v>
      </c>
      <c r="BK215" s="115">
        <v>43.7</v>
      </c>
      <c r="BL215" s="115">
        <v>38.700000000000003</v>
      </c>
      <c r="BM215" s="115"/>
      <c r="BN215" s="115"/>
      <c r="BO215" s="115"/>
      <c r="BP215" s="115"/>
      <c r="CV215" s="115">
        <v>2025.34</v>
      </c>
      <c r="CW215" s="115" t="s">
        <v>1415</v>
      </c>
      <c r="CX215" s="115" t="s">
        <v>372</v>
      </c>
      <c r="CY215" s="115" t="s">
        <v>2065</v>
      </c>
      <c r="CZ215" s="330">
        <v>4152.2939999999999</v>
      </c>
      <c r="DA215" s="115"/>
      <c r="DB215" s="115"/>
      <c r="DR215" s="214"/>
      <c r="DY215" s="115"/>
      <c r="DZ215" s="334"/>
      <c r="EA215" s="334"/>
      <c r="EB215" s="334"/>
      <c r="EC215" s="334"/>
      <c r="ED215" s="187"/>
      <c r="EE215" s="330"/>
      <c r="EH215" s="334"/>
      <c r="EI215" s="334"/>
      <c r="EM215"/>
      <c r="EO215" s="115"/>
      <c r="EP215" s="334" t="s">
        <v>1415</v>
      </c>
      <c r="EQ215" s="334" t="s">
        <v>2114</v>
      </c>
      <c r="ER215" s="334" t="s">
        <v>1468</v>
      </c>
      <c r="ES215" s="334" t="s">
        <v>1274</v>
      </c>
      <c r="ET215" s="334">
        <v>2024.48</v>
      </c>
      <c r="EU215" s="334" t="s">
        <v>397</v>
      </c>
      <c r="EV215" s="334">
        <v>453767.48810000002</v>
      </c>
    </row>
    <row r="216" spans="9:152" ht="13">
      <c r="I216" s="115" t="s">
        <v>2154</v>
      </c>
      <c r="J216" s="115" t="s">
        <v>1364</v>
      </c>
      <c r="K216" s="183">
        <v>300</v>
      </c>
      <c r="AI216" s="115" t="s">
        <v>1416</v>
      </c>
      <c r="AJ216" t="s">
        <v>2114</v>
      </c>
      <c r="AK216" s="115">
        <v>0</v>
      </c>
      <c r="AL216" s="115" t="s">
        <v>28</v>
      </c>
      <c r="AM216" s="115" t="s">
        <v>1849</v>
      </c>
      <c r="AN216" s="115" t="s">
        <v>1445</v>
      </c>
      <c r="AO216" s="115" t="s">
        <v>373</v>
      </c>
      <c r="AT216" s="115" t="s">
        <v>1415</v>
      </c>
      <c r="AU216" s="115" t="s">
        <v>2114</v>
      </c>
      <c r="AV216" s="115">
        <v>15</v>
      </c>
      <c r="AW216" s="115" t="s">
        <v>499</v>
      </c>
      <c r="AX216" s="115" t="s">
        <v>28</v>
      </c>
      <c r="AY216" s="115" t="s">
        <v>1832</v>
      </c>
      <c r="AZ216" s="115" t="s">
        <v>1884</v>
      </c>
      <c r="BA216" s="115"/>
      <c r="BB216" s="115"/>
      <c r="BC216" s="115">
        <v>408.74999999999994</v>
      </c>
      <c r="BD216" s="115"/>
      <c r="BE216" s="115"/>
      <c r="BF216" s="115">
        <v>30.3125</v>
      </c>
      <c r="BG216" s="115"/>
      <c r="BH216" s="115">
        <v>812.41279999999995</v>
      </c>
      <c r="BI216" s="115">
        <v>291.36000000000013</v>
      </c>
      <c r="BJ216" s="115">
        <v>88.612500000000011</v>
      </c>
      <c r="BK216" s="115">
        <v>139.68</v>
      </c>
      <c r="BL216" s="115">
        <v>282.3</v>
      </c>
      <c r="BM216" s="115"/>
      <c r="BN216" s="115"/>
      <c r="BO216" s="115"/>
      <c r="BP216" s="115"/>
      <c r="CV216" s="115">
        <v>2025.31</v>
      </c>
      <c r="CW216" s="115" t="s">
        <v>1415</v>
      </c>
      <c r="CX216" s="115" t="s">
        <v>1274</v>
      </c>
      <c r="CY216" s="115" t="s">
        <v>2065</v>
      </c>
      <c r="CZ216" s="330">
        <v>1497.8679999999999</v>
      </c>
      <c r="DA216" s="115"/>
      <c r="DB216" s="115"/>
      <c r="DR216" s="214"/>
      <c r="DY216" s="115"/>
      <c r="DZ216" s="334"/>
      <c r="EA216" s="334"/>
      <c r="EB216" s="334"/>
      <c r="EC216" s="334"/>
      <c r="ED216" s="187"/>
      <c r="EE216" s="330"/>
      <c r="EH216" s="334"/>
      <c r="EI216" s="334"/>
      <c r="EM216"/>
      <c r="EO216" s="115"/>
      <c r="EP216" s="334" t="s">
        <v>1415</v>
      </c>
      <c r="EQ216" s="334" t="s">
        <v>2114</v>
      </c>
      <c r="ER216" s="334" t="s">
        <v>1468</v>
      </c>
      <c r="ES216" s="334" t="s">
        <v>1274</v>
      </c>
      <c r="ET216" s="334">
        <v>2024.48</v>
      </c>
      <c r="EU216" s="334" t="s">
        <v>1382</v>
      </c>
      <c r="EV216" s="334">
        <v>273767.48810000002</v>
      </c>
    </row>
    <row r="217" spans="9:152" ht="13">
      <c r="I217" s="115" t="s">
        <v>2154</v>
      </c>
      <c r="J217" s="115" t="s">
        <v>1367</v>
      </c>
      <c r="K217" s="183">
        <v>8</v>
      </c>
      <c r="AI217" s="115" t="s">
        <v>1416</v>
      </c>
      <c r="AJ217" t="s">
        <v>2114</v>
      </c>
      <c r="AK217" s="115">
        <v>0</v>
      </c>
      <c r="AL217" s="115" t="s">
        <v>28</v>
      </c>
      <c r="AM217" s="115" t="s">
        <v>1848</v>
      </c>
      <c r="AN217" s="115" t="s">
        <v>1445</v>
      </c>
      <c r="AO217" s="115" t="s">
        <v>373</v>
      </c>
      <c r="AT217" s="115" t="s">
        <v>1416</v>
      </c>
      <c r="AU217" s="115" t="s">
        <v>2114</v>
      </c>
      <c r="AV217" s="115">
        <v>0</v>
      </c>
      <c r="AW217" s="115" t="s">
        <v>499</v>
      </c>
      <c r="AX217" s="115" t="s">
        <v>28</v>
      </c>
      <c r="AY217" s="115" t="s">
        <v>1846</v>
      </c>
      <c r="AZ217" s="115" t="s">
        <v>1942</v>
      </c>
      <c r="BA217" s="115"/>
      <c r="BB217" s="115"/>
      <c r="BC217" s="115">
        <v>165.62719687499995</v>
      </c>
      <c r="BD217" s="115"/>
      <c r="BE217" s="115"/>
      <c r="BF217" s="115"/>
      <c r="BG217" s="115"/>
      <c r="BH217" s="115">
        <v>7454.741519448</v>
      </c>
      <c r="BI217" s="115">
        <v>847.59569999999997</v>
      </c>
      <c r="BJ217" s="115">
        <v>117.41580824999998</v>
      </c>
      <c r="BK217" s="115">
        <v>500.33856150000003</v>
      </c>
      <c r="BL217" s="115">
        <v>443.09158650000001</v>
      </c>
      <c r="BM217" s="115">
        <v>2392.9199999999996</v>
      </c>
      <c r="BN217" s="115">
        <v>1706.7285999999999</v>
      </c>
      <c r="BO217" s="115">
        <v>2121.0185999999999</v>
      </c>
      <c r="BP217" s="115"/>
      <c r="CV217" s="115">
        <v>2025.32</v>
      </c>
      <c r="CW217" s="115" t="s">
        <v>1415</v>
      </c>
      <c r="CX217" s="115" t="s">
        <v>1274</v>
      </c>
      <c r="CY217" s="115" t="s">
        <v>2065</v>
      </c>
      <c r="CZ217" s="330">
        <v>1797.4416000000001</v>
      </c>
      <c r="DA217" s="115"/>
      <c r="DB217" s="115"/>
      <c r="DR217" s="214"/>
      <c r="DY217" s="115"/>
      <c r="DZ217" s="334"/>
      <c r="EA217" s="334"/>
      <c r="EB217" s="334"/>
      <c r="EC217" s="334"/>
      <c r="ED217" s="187"/>
      <c r="EE217" s="330"/>
      <c r="EH217" s="334"/>
      <c r="EI217" s="334"/>
      <c r="EM217"/>
      <c r="EO217" s="115"/>
      <c r="EP217" s="334" t="s">
        <v>1415</v>
      </c>
      <c r="EQ217" s="334" t="s">
        <v>2114</v>
      </c>
      <c r="ER217" s="334" t="s">
        <v>1468</v>
      </c>
      <c r="ES217" s="334" t="s">
        <v>379</v>
      </c>
      <c r="ET217" s="334">
        <v>2024.48</v>
      </c>
      <c r="EU217" s="334" t="s">
        <v>397</v>
      </c>
      <c r="EV217" s="334">
        <v>0</v>
      </c>
    </row>
    <row r="218" spans="9:152" ht="13">
      <c r="I218" s="115" t="s">
        <v>2154</v>
      </c>
      <c r="J218" s="115" t="s">
        <v>1362</v>
      </c>
      <c r="K218" s="183">
        <v>95</v>
      </c>
      <c r="AI218" s="115" t="s">
        <v>1416</v>
      </c>
      <c r="AJ218" t="s">
        <v>2114</v>
      </c>
      <c r="AK218" s="115">
        <v>0</v>
      </c>
      <c r="AL218" s="115" t="s">
        <v>28</v>
      </c>
      <c r="AM218" s="115" t="s">
        <v>1843</v>
      </c>
      <c r="AN218" s="115" t="s">
        <v>1445</v>
      </c>
      <c r="AO218" s="115" t="s">
        <v>373</v>
      </c>
      <c r="AT218" s="115" t="s">
        <v>1415</v>
      </c>
      <c r="AU218" s="115" t="s">
        <v>2114</v>
      </c>
      <c r="AV218" s="115">
        <v>15</v>
      </c>
      <c r="AW218" s="115" t="s">
        <v>499</v>
      </c>
      <c r="AX218" s="115" t="s">
        <v>28</v>
      </c>
      <c r="AY218" s="115" t="s">
        <v>1846</v>
      </c>
      <c r="AZ218" s="115" t="s">
        <v>1885</v>
      </c>
      <c r="BA218" s="115"/>
      <c r="BB218" s="115"/>
      <c r="BC218" s="115">
        <v>1747.5213965</v>
      </c>
      <c r="BD218" s="115"/>
      <c r="BE218" s="115"/>
      <c r="BF218" s="115"/>
      <c r="BG218" s="115"/>
      <c r="BH218" s="115">
        <v>22306.240457257602</v>
      </c>
      <c r="BI218" s="115">
        <v>2803.3709462850002</v>
      </c>
      <c r="BJ218" s="115">
        <v>322.21097219999996</v>
      </c>
      <c r="BK218" s="115">
        <v>540.79035349950004</v>
      </c>
      <c r="BL218" s="115">
        <v>1245.4641885149999</v>
      </c>
      <c r="BM218" s="115">
        <v>2782.0000000000009</v>
      </c>
      <c r="BN218" s="115">
        <v>2005.41</v>
      </c>
      <c r="BO218" s="115">
        <v>2693.63</v>
      </c>
      <c r="BP218" s="115"/>
      <c r="CV218" s="115">
        <v>2025.33</v>
      </c>
      <c r="CW218" s="115" t="s">
        <v>1415</v>
      </c>
      <c r="CX218" s="115" t="s">
        <v>1274</v>
      </c>
      <c r="CY218" s="115" t="s">
        <v>2065</v>
      </c>
      <c r="CZ218" s="330">
        <v>1797.4416000000001</v>
      </c>
      <c r="DA218" s="115"/>
      <c r="DB218" s="115"/>
      <c r="DR218" s="214"/>
      <c r="DY218" s="115"/>
      <c r="DZ218" s="334"/>
      <c r="EA218" s="334"/>
      <c r="EB218" s="334"/>
      <c r="EC218" s="334"/>
      <c r="ED218" s="187"/>
      <c r="EE218" s="330"/>
      <c r="EH218" s="334"/>
      <c r="EI218" s="334"/>
      <c r="EM218"/>
      <c r="EO218" s="115"/>
      <c r="EP218" s="334" t="s">
        <v>1415</v>
      </c>
      <c r="EQ218" s="334" t="s">
        <v>2114</v>
      </c>
      <c r="ER218" s="334" t="s">
        <v>1468</v>
      </c>
      <c r="ES218" s="334" t="s">
        <v>379</v>
      </c>
      <c r="ET218" s="334">
        <v>2024.48</v>
      </c>
      <c r="EU218" s="334" t="s">
        <v>1382</v>
      </c>
      <c r="EV218" s="334">
        <v>25</v>
      </c>
    </row>
    <row r="219" spans="9:152" ht="13">
      <c r="I219" s="115" t="s">
        <v>2154</v>
      </c>
      <c r="J219" s="115" t="s">
        <v>1368</v>
      </c>
      <c r="K219" s="183">
        <v>11.5</v>
      </c>
      <c r="AI219" s="115" t="s">
        <v>1416</v>
      </c>
      <c r="AJ219" t="s">
        <v>2114</v>
      </c>
      <c r="AK219" s="115">
        <v>0</v>
      </c>
      <c r="AL219" s="115" t="s">
        <v>28</v>
      </c>
      <c r="AM219" s="115" t="s">
        <v>1848</v>
      </c>
      <c r="AN219" s="115" t="s">
        <v>1445</v>
      </c>
      <c r="AO219" s="115" t="s">
        <v>380</v>
      </c>
      <c r="AT219" s="115" t="s">
        <v>1415</v>
      </c>
      <c r="AU219" s="115" t="s">
        <v>2114</v>
      </c>
      <c r="AV219" s="115">
        <v>15</v>
      </c>
      <c r="AW219" s="115" t="s">
        <v>499</v>
      </c>
      <c r="AX219" s="115" t="s">
        <v>28</v>
      </c>
      <c r="AY219" s="115" t="s">
        <v>1848</v>
      </c>
      <c r="AZ219" s="115" t="s">
        <v>1885</v>
      </c>
      <c r="BA219" s="115"/>
      <c r="BB219" s="115"/>
      <c r="BC219" s="115">
        <v>10305.38822775</v>
      </c>
      <c r="BD219" s="115"/>
      <c r="BE219" s="115"/>
      <c r="BF219" s="115">
        <v>529.73642424999991</v>
      </c>
      <c r="BG219" s="115"/>
      <c r="BH219" s="115">
        <v>1584.71520735136</v>
      </c>
      <c r="BI219" s="115">
        <v>1029.8815847249998</v>
      </c>
      <c r="BJ219" s="115">
        <v>1618.4920262062501</v>
      </c>
      <c r="BK219" s="115">
        <v>84.473468839500001</v>
      </c>
      <c r="BL219" s="115">
        <v>194.54614831500001</v>
      </c>
      <c r="BM219" s="115"/>
      <c r="BN219" s="115"/>
      <c r="BO219" s="115"/>
      <c r="BP219" s="115"/>
      <c r="CV219" s="115">
        <v>2025.35</v>
      </c>
      <c r="CW219" s="115" t="s">
        <v>1415</v>
      </c>
      <c r="CX219" s="115" t="s">
        <v>387</v>
      </c>
      <c r="CY219" s="115" t="s">
        <v>2065</v>
      </c>
      <c r="CZ219" s="330">
        <v>4393.3739999999998</v>
      </c>
      <c r="DA219" s="115"/>
      <c r="DB219" s="115"/>
      <c r="DR219" s="214"/>
      <c r="DY219" s="115"/>
      <c r="DZ219" s="334"/>
      <c r="EA219" s="334"/>
      <c r="EB219" s="334"/>
      <c r="EC219" s="334"/>
      <c r="ED219" s="187"/>
      <c r="EE219" s="330"/>
      <c r="EH219" s="334"/>
      <c r="EI219" s="334"/>
      <c r="EM219"/>
      <c r="EO219" s="115"/>
      <c r="EP219" s="334" t="s">
        <v>1415</v>
      </c>
      <c r="EQ219" s="334" t="s">
        <v>2114</v>
      </c>
      <c r="ER219" s="334" t="s">
        <v>1468</v>
      </c>
      <c r="ES219" s="334" t="s">
        <v>1275</v>
      </c>
      <c r="ET219" s="334">
        <v>2024.48</v>
      </c>
      <c r="EU219" s="334" t="s">
        <v>397</v>
      </c>
      <c r="EV219" s="334">
        <v>0</v>
      </c>
    </row>
    <row r="220" spans="9:152" ht="13">
      <c r="I220" s="115" t="s">
        <v>2154</v>
      </c>
      <c r="J220" s="115" t="s">
        <v>1360</v>
      </c>
      <c r="K220" s="183">
        <v>0.24921744194127413</v>
      </c>
      <c r="AI220" s="115" t="s">
        <v>1416</v>
      </c>
      <c r="AJ220" t="s">
        <v>2114</v>
      </c>
      <c r="AK220" s="115">
        <v>0</v>
      </c>
      <c r="AL220" s="115" t="s">
        <v>28</v>
      </c>
      <c r="AM220" s="115" t="s">
        <v>1846</v>
      </c>
      <c r="AN220" s="115" t="s">
        <v>1445</v>
      </c>
      <c r="AO220" s="115" t="s">
        <v>380</v>
      </c>
      <c r="AT220" s="115" t="s">
        <v>1416</v>
      </c>
      <c r="AU220" s="115" t="s">
        <v>2114</v>
      </c>
      <c r="AV220" s="115">
        <v>0</v>
      </c>
      <c r="AW220" s="115" t="s">
        <v>499</v>
      </c>
      <c r="AX220" s="115" t="s">
        <v>28</v>
      </c>
      <c r="AY220" s="115" t="s">
        <v>1848</v>
      </c>
      <c r="AZ220" s="115" t="s">
        <v>1942</v>
      </c>
      <c r="BA220" s="115"/>
      <c r="BB220" s="115"/>
      <c r="BC220" s="115">
        <v>993.28030312499993</v>
      </c>
      <c r="BD220" s="115"/>
      <c r="BE220" s="115"/>
      <c r="BF220" s="115">
        <v>193.17792500000002</v>
      </c>
      <c r="BG220" s="115"/>
      <c r="BH220" s="115">
        <v>547.21508840799993</v>
      </c>
      <c r="BI220" s="115">
        <v>361.87305000000003</v>
      </c>
      <c r="BJ220" s="115">
        <v>556.37053875000015</v>
      </c>
      <c r="BK220" s="115">
        <v>79.479375000000005</v>
      </c>
      <c r="BL220" s="115">
        <v>70.385625000000005</v>
      </c>
      <c r="BM220" s="115"/>
      <c r="BN220" s="115"/>
      <c r="BO220" s="115"/>
      <c r="BP220" s="115"/>
      <c r="CV220" s="115">
        <v>2025.35</v>
      </c>
      <c r="CW220" s="115" t="s">
        <v>1415</v>
      </c>
      <c r="CX220" s="115" t="s">
        <v>380</v>
      </c>
      <c r="CY220" s="115" t="s">
        <v>2065</v>
      </c>
      <c r="CZ220" s="330">
        <v>3116.424</v>
      </c>
      <c r="DA220" s="115"/>
      <c r="DB220" s="115"/>
      <c r="DR220" s="214"/>
      <c r="DY220" s="115"/>
      <c r="DZ220" s="334"/>
      <c r="EA220" s="334"/>
      <c r="EB220" s="334"/>
      <c r="EC220" s="334"/>
      <c r="ED220" s="187"/>
      <c r="EE220" s="330"/>
      <c r="EH220" s="334"/>
      <c r="EI220" s="334"/>
      <c r="EM220"/>
      <c r="EO220" s="115"/>
      <c r="EP220" s="334" t="s">
        <v>1415</v>
      </c>
      <c r="EQ220" s="334" t="s">
        <v>2114</v>
      </c>
      <c r="ER220" s="334" t="s">
        <v>1468</v>
      </c>
      <c r="ES220" s="334" t="s">
        <v>1275</v>
      </c>
      <c r="ET220" s="334">
        <v>2024.48</v>
      </c>
      <c r="EU220" s="334" t="s">
        <v>1382</v>
      </c>
      <c r="EV220" s="334">
        <v>86.78</v>
      </c>
    </row>
    <row r="221" spans="9:152" ht="13">
      <c r="I221" s="115" t="s">
        <v>2154</v>
      </c>
      <c r="J221" s="115" t="s">
        <v>1358</v>
      </c>
      <c r="K221" s="183" t="s">
        <v>375</v>
      </c>
      <c r="AI221" s="115" t="s">
        <v>1416</v>
      </c>
      <c r="AJ221" t="s">
        <v>2114</v>
      </c>
      <c r="AK221" s="115">
        <v>0</v>
      </c>
      <c r="AL221" s="115" t="s">
        <v>28</v>
      </c>
      <c r="AM221" s="115" t="s">
        <v>1849</v>
      </c>
      <c r="AN221" s="115" t="s">
        <v>1445</v>
      </c>
      <c r="AO221" s="115" t="s">
        <v>380</v>
      </c>
      <c r="AT221" s="115" t="s">
        <v>1415</v>
      </c>
      <c r="AU221" s="115" t="s">
        <v>2114</v>
      </c>
      <c r="AV221" s="115">
        <v>15</v>
      </c>
      <c r="AW221" s="115" t="s">
        <v>499</v>
      </c>
      <c r="AX221" s="115" t="s">
        <v>28</v>
      </c>
      <c r="AY221" s="115" t="s">
        <v>1843</v>
      </c>
      <c r="AZ221" s="115" t="s">
        <v>1885</v>
      </c>
      <c r="BA221" s="115"/>
      <c r="BB221" s="115"/>
      <c r="BC221" s="115">
        <v>11945.511237113402</v>
      </c>
      <c r="BD221" s="115"/>
      <c r="BE221" s="115"/>
      <c r="BF221" s="115">
        <v>525.65412371134028</v>
      </c>
      <c r="BG221" s="115"/>
      <c r="BH221" s="115">
        <v>22604.995934020619</v>
      </c>
      <c r="BI221" s="115">
        <v>3353.1874226804125</v>
      </c>
      <c r="BJ221" s="115">
        <v>1923.071030927835</v>
      </c>
      <c r="BK221" s="115">
        <v>615.95422680412366</v>
      </c>
      <c r="BL221" s="115">
        <v>1620.5951546391752</v>
      </c>
      <c r="BM221" s="115">
        <v>2782.0000000000009</v>
      </c>
      <c r="BN221" s="115">
        <v>2005.41</v>
      </c>
      <c r="BO221" s="115">
        <v>2693.63</v>
      </c>
      <c r="BP221" s="115"/>
      <c r="CV221" s="115">
        <v>2025.35</v>
      </c>
      <c r="CW221" s="115" t="s">
        <v>1415</v>
      </c>
      <c r="CX221" s="115" t="s">
        <v>377</v>
      </c>
      <c r="CY221" s="115" t="s">
        <v>2065</v>
      </c>
      <c r="CZ221" s="330">
        <v>4093.2179999999998</v>
      </c>
      <c r="DA221" s="115"/>
      <c r="DB221" s="115"/>
      <c r="DR221" s="214"/>
      <c r="DY221" s="115"/>
      <c r="DZ221" s="334"/>
      <c r="EA221" s="334"/>
      <c r="EB221" s="334"/>
      <c r="EC221" s="334"/>
      <c r="ED221" s="187"/>
      <c r="EE221" s="330"/>
      <c r="EH221" s="334"/>
      <c r="EI221" s="334"/>
      <c r="EM221"/>
      <c r="EO221" s="115"/>
      <c r="EP221" s="334" t="s">
        <v>1415</v>
      </c>
      <c r="EQ221" s="334" t="s">
        <v>2114</v>
      </c>
      <c r="ER221" s="334" t="s">
        <v>1475</v>
      </c>
      <c r="ES221" s="334" t="s">
        <v>379</v>
      </c>
      <c r="ET221" s="334">
        <v>2024.48</v>
      </c>
      <c r="EU221" s="334" t="s">
        <v>397</v>
      </c>
      <c r="EV221" s="334">
        <v>0</v>
      </c>
    </row>
    <row r="222" spans="9:152" ht="13">
      <c r="I222" s="115" t="s">
        <v>2154</v>
      </c>
      <c r="J222" s="115" t="s">
        <v>1354</v>
      </c>
      <c r="K222" s="183">
        <v>45700</v>
      </c>
      <c r="AI222" s="115" t="s">
        <v>1416</v>
      </c>
      <c r="AJ222" t="s">
        <v>2114</v>
      </c>
      <c r="AK222" s="115">
        <v>0</v>
      </c>
      <c r="AL222" s="115" t="s">
        <v>28</v>
      </c>
      <c r="AM222" s="115" t="s">
        <v>1832</v>
      </c>
      <c r="AN222" s="115" t="s">
        <v>1445</v>
      </c>
      <c r="AO222" s="115" t="s">
        <v>380</v>
      </c>
      <c r="AT222" s="115" t="s">
        <v>1416</v>
      </c>
      <c r="AU222" s="115" t="s">
        <v>2114</v>
      </c>
      <c r="AV222" s="115">
        <v>0</v>
      </c>
      <c r="AW222" s="115" t="s">
        <v>499</v>
      </c>
      <c r="AX222" s="115" t="s">
        <v>28</v>
      </c>
      <c r="AY222" s="115" t="s">
        <v>1843</v>
      </c>
      <c r="AZ222" s="115" t="s">
        <v>1942</v>
      </c>
      <c r="BA222" s="115"/>
      <c r="BB222" s="115"/>
      <c r="BC222" s="115">
        <v>1194.75</v>
      </c>
      <c r="BD222" s="115"/>
      <c r="BE222" s="115"/>
      <c r="BF222" s="115">
        <v>199.15247422680412</v>
      </c>
      <c r="BG222" s="115"/>
      <c r="BH222" s="115">
        <v>8166.0619567010308</v>
      </c>
      <c r="BI222" s="115">
        <v>1233.8643298969073</v>
      </c>
      <c r="BJ222" s="115">
        <v>694.62505154639177</v>
      </c>
      <c r="BK222" s="115">
        <v>597.75041237113408</v>
      </c>
      <c r="BL222" s="115">
        <v>529.35793814432998</v>
      </c>
      <c r="BM222" s="115">
        <v>2392.9199999999996</v>
      </c>
      <c r="BN222" s="115">
        <v>1706.7285999999999</v>
      </c>
      <c r="BO222" s="115">
        <v>2121.0185999999999</v>
      </c>
      <c r="BP222" s="115"/>
      <c r="CV222" s="115">
        <v>2025.35</v>
      </c>
      <c r="CW222" s="115" t="s">
        <v>1415</v>
      </c>
      <c r="CX222" s="115" t="s">
        <v>372</v>
      </c>
      <c r="CY222" s="115" t="s">
        <v>2065</v>
      </c>
      <c r="CZ222" s="330">
        <v>4152.2939999999999</v>
      </c>
      <c r="DA222" s="115"/>
      <c r="DB222" s="115"/>
      <c r="DR222" s="214"/>
      <c r="DY222" s="115"/>
      <c r="DZ222" s="334"/>
      <c r="EA222" s="334"/>
      <c r="EB222" s="334"/>
      <c r="EC222" s="334"/>
      <c r="ED222" s="187"/>
      <c r="EE222" s="330"/>
      <c r="EH222" s="334"/>
      <c r="EI222" s="334"/>
      <c r="EM222"/>
      <c r="EO222" s="115"/>
      <c r="EP222" s="334" t="s">
        <v>1415</v>
      </c>
      <c r="EQ222" s="334" t="s">
        <v>2114</v>
      </c>
      <c r="ER222" s="334" t="s">
        <v>1475</v>
      </c>
      <c r="ES222" s="334" t="s">
        <v>379</v>
      </c>
      <c r="ET222" s="334">
        <v>2024.48</v>
      </c>
      <c r="EU222" s="334" t="s">
        <v>1382</v>
      </c>
      <c r="EV222" s="334">
        <v>5459</v>
      </c>
    </row>
    <row r="223" spans="9:152" ht="13">
      <c r="I223" s="115" t="s">
        <v>2154</v>
      </c>
      <c r="J223" s="115" t="s">
        <v>1365</v>
      </c>
      <c r="K223" s="183">
        <v>15</v>
      </c>
      <c r="AI223" s="115" t="s">
        <v>1416</v>
      </c>
      <c r="AJ223" t="s">
        <v>2114</v>
      </c>
      <c r="AK223" s="115">
        <v>0</v>
      </c>
      <c r="AL223" s="115" t="s">
        <v>28</v>
      </c>
      <c r="AM223" s="115" t="s">
        <v>1843</v>
      </c>
      <c r="AN223" s="115" t="s">
        <v>1445</v>
      </c>
      <c r="AO223" s="115" t="s">
        <v>380</v>
      </c>
      <c r="AT223" s="115" t="s">
        <v>1415</v>
      </c>
      <c r="AU223" s="115" t="s">
        <v>2114</v>
      </c>
      <c r="AV223" s="115">
        <v>15</v>
      </c>
      <c r="AW223" s="115" t="s">
        <v>499</v>
      </c>
      <c r="AX223" s="115" t="s">
        <v>28</v>
      </c>
      <c r="AY223" s="115" t="s">
        <v>1849</v>
      </c>
      <c r="AZ223" s="115" t="s">
        <v>1885</v>
      </c>
      <c r="BA223" s="115"/>
      <c r="BB223" s="115"/>
      <c r="BC223" s="115">
        <v>77.357500000000002</v>
      </c>
      <c r="BD223" s="115"/>
      <c r="BE223" s="115"/>
      <c r="BF223" s="115"/>
      <c r="BG223" s="115"/>
      <c r="BH223" s="115">
        <v>327.63410640000001</v>
      </c>
      <c r="BI223" s="115">
        <v>80.56335</v>
      </c>
      <c r="BJ223" s="115">
        <v>4.0194374999999996</v>
      </c>
      <c r="BK223" s="115">
        <v>18.782595000000001</v>
      </c>
      <c r="BL223" s="115">
        <v>43.257149999999996</v>
      </c>
      <c r="BM223" s="115"/>
      <c r="BN223" s="115"/>
      <c r="BO223" s="115"/>
      <c r="BP223" s="115"/>
      <c r="CV223" s="115">
        <v>2024.39</v>
      </c>
      <c r="CW223" s="115" t="s">
        <v>1415</v>
      </c>
      <c r="CX223" s="115" t="s">
        <v>387</v>
      </c>
      <c r="CY223" s="115" t="s">
        <v>2060</v>
      </c>
      <c r="CZ223" s="330">
        <v>47.300799999999995</v>
      </c>
      <c r="DA223" s="115"/>
      <c r="DB223" s="115"/>
      <c r="DR223" s="214"/>
      <c r="DY223" s="115"/>
      <c r="DZ223" s="334"/>
      <c r="EA223" s="334"/>
      <c r="EB223" s="334"/>
      <c r="EC223" s="334"/>
      <c r="ED223" s="187"/>
      <c r="EE223" s="330"/>
      <c r="EH223" s="334"/>
      <c r="EI223" s="334"/>
      <c r="EM223"/>
      <c r="EO223" s="115"/>
      <c r="EP223" s="334" t="s">
        <v>1415</v>
      </c>
      <c r="EQ223" s="334" t="s">
        <v>2114</v>
      </c>
      <c r="ER223" s="334" t="s">
        <v>1475</v>
      </c>
      <c r="ES223" s="334" t="s">
        <v>379</v>
      </c>
      <c r="ET223" s="334">
        <v>2025.03</v>
      </c>
      <c r="EU223" s="334" t="s">
        <v>397</v>
      </c>
      <c r="EV223" s="334">
        <v>0</v>
      </c>
    </row>
    <row r="224" spans="9:152" ht="13">
      <c r="I224" s="115" t="s">
        <v>2154</v>
      </c>
      <c r="J224" s="115" t="s">
        <v>1356</v>
      </c>
      <c r="K224" s="183" t="s">
        <v>1359</v>
      </c>
      <c r="AI224" s="115" t="s">
        <v>1416</v>
      </c>
      <c r="AJ224" t="s">
        <v>2114</v>
      </c>
      <c r="AK224" s="115">
        <v>0</v>
      </c>
      <c r="AL224" s="115" t="s">
        <v>28</v>
      </c>
      <c r="AM224" s="115" t="s">
        <v>1850</v>
      </c>
      <c r="AN224" s="115" t="s">
        <v>1445</v>
      </c>
      <c r="AO224" s="115" t="s">
        <v>380</v>
      </c>
      <c r="AT224" s="115" t="s">
        <v>1416</v>
      </c>
      <c r="AU224" s="115" t="s">
        <v>2114</v>
      </c>
      <c r="AV224" s="115">
        <v>0</v>
      </c>
      <c r="AW224" s="115" t="s">
        <v>499</v>
      </c>
      <c r="AX224" s="115" t="s">
        <v>28</v>
      </c>
      <c r="AY224" s="115" t="s">
        <v>1849</v>
      </c>
      <c r="AZ224" s="115" t="s">
        <v>1942</v>
      </c>
      <c r="BA224" s="115"/>
      <c r="BB224" s="115"/>
      <c r="BC224" s="115">
        <v>8.047968749999999</v>
      </c>
      <c r="BD224" s="115"/>
      <c r="BE224" s="115"/>
      <c r="BF224" s="115"/>
      <c r="BG224" s="115"/>
      <c r="BH224" s="115">
        <v>122.11593839999999</v>
      </c>
      <c r="BI224" s="115">
        <v>30.555</v>
      </c>
      <c r="BJ224" s="115">
        <v>1.6077749999999997</v>
      </c>
      <c r="BK224" s="115">
        <v>19.075050000000001</v>
      </c>
      <c r="BL224" s="115">
        <v>16.89255</v>
      </c>
      <c r="BM224" s="115"/>
      <c r="BN224" s="115"/>
      <c r="BO224" s="115"/>
      <c r="BP224" s="115"/>
      <c r="CV224" s="115">
        <v>2024.4</v>
      </c>
      <c r="CW224" s="115" t="s">
        <v>1415</v>
      </c>
      <c r="CX224" s="115" t="s">
        <v>387</v>
      </c>
      <c r="CY224" s="115" t="s">
        <v>2060</v>
      </c>
      <c r="CZ224" s="330">
        <v>253.2045</v>
      </c>
      <c r="DA224" s="115"/>
      <c r="DB224" s="115"/>
      <c r="DR224" s="214"/>
      <c r="DY224" s="115"/>
      <c r="DZ224" s="334"/>
      <c r="EA224" s="334"/>
      <c r="EB224" s="334"/>
      <c r="EC224" s="334"/>
      <c r="ED224" s="187"/>
      <c r="EE224" s="330"/>
      <c r="EH224" s="334"/>
      <c r="EI224" s="334"/>
      <c r="EM224"/>
      <c r="EO224" s="115"/>
      <c r="EP224" s="334" t="s">
        <v>1415</v>
      </c>
      <c r="EQ224" s="334" t="s">
        <v>2114</v>
      </c>
      <c r="ER224" s="334" t="s">
        <v>1475</v>
      </c>
      <c r="ES224" s="334" t="s">
        <v>379</v>
      </c>
      <c r="ET224" s="334">
        <v>2025.03</v>
      </c>
      <c r="EU224" s="334" t="s">
        <v>1382</v>
      </c>
      <c r="EV224" s="334">
        <v>5874.8</v>
      </c>
    </row>
    <row r="225" spans="9:152" ht="13">
      <c r="I225" s="115" t="s">
        <v>2154</v>
      </c>
      <c r="J225" s="115" t="s">
        <v>1366</v>
      </c>
      <c r="K225" s="183">
        <v>3</v>
      </c>
      <c r="AI225" s="115" t="s">
        <v>1416</v>
      </c>
      <c r="AJ225" t="s">
        <v>2114</v>
      </c>
      <c r="AK225" s="115">
        <v>0</v>
      </c>
      <c r="AL225" s="115" t="s">
        <v>28</v>
      </c>
      <c r="AM225" s="115" t="s">
        <v>1832</v>
      </c>
      <c r="AN225" s="115" t="s">
        <v>1446</v>
      </c>
      <c r="AO225" s="115" t="s">
        <v>1644</v>
      </c>
      <c r="AT225" s="115" t="s">
        <v>1416</v>
      </c>
      <c r="AU225" s="115" t="s">
        <v>2114</v>
      </c>
      <c r="AV225" s="115">
        <v>0</v>
      </c>
      <c r="AW225" s="115" t="s">
        <v>499</v>
      </c>
      <c r="AX225" s="115" t="s">
        <v>28</v>
      </c>
      <c r="AY225" s="115" t="s">
        <v>1850</v>
      </c>
      <c r="AZ225" s="115" t="s">
        <v>1942</v>
      </c>
      <c r="BA225" s="115"/>
      <c r="BB225" s="115"/>
      <c r="BC225" s="115">
        <v>24.143906249999997</v>
      </c>
      <c r="BD225" s="115"/>
      <c r="BE225" s="115"/>
      <c r="BF225" s="115">
        <v>4.4862500000000001</v>
      </c>
      <c r="BG225" s="115"/>
      <c r="BH225" s="115">
        <v>13.568437599999999</v>
      </c>
      <c r="BI225" s="115">
        <v>10.185</v>
      </c>
      <c r="BJ225" s="115">
        <v>14.469975000000002</v>
      </c>
      <c r="BK225" s="115">
        <v>2.1194500000000001</v>
      </c>
      <c r="BL225" s="115">
        <v>1.8769500000000001</v>
      </c>
      <c r="BM225" s="115"/>
      <c r="BN225" s="115"/>
      <c r="BO225" s="115"/>
      <c r="BP225" s="115"/>
      <c r="CV225" s="115">
        <v>2024.41</v>
      </c>
      <c r="CW225" s="115" t="s">
        <v>1415</v>
      </c>
      <c r="CX225" s="115" t="s">
        <v>387</v>
      </c>
      <c r="CY225" s="115" t="s">
        <v>2060</v>
      </c>
      <c r="CZ225" s="330">
        <v>253.2045</v>
      </c>
      <c r="DA225" s="115"/>
      <c r="DB225" s="115"/>
      <c r="DR225" s="214"/>
      <c r="DY225" s="115"/>
      <c r="DZ225" s="334"/>
      <c r="EA225" s="334"/>
      <c r="EB225" s="334"/>
      <c r="EC225" s="334"/>
      <c r="ED225" s="187"/>
      <c r="EE225" s="330"/>
      <c r="EH225" s="334"/>
      <c r="EI225" s="334"/>
      <c r="EM225"/>
      <c r="EO225" s="115"/>
      <c r="EP225" s="334" t="s">
        <v>1415</v>
      </c>
      <c r="EQ225" s="334" t="s">
        <v>2114</v>
      </c>
      <c r="ER225" s="334" t="s">
        <v>1475</v>
      </c>
      <c r="ES225" s="334" t="s">
        <v>389</v>
      </c>
      <c r="ET225" s="334">
        <v>2023.47</v>
      </c>
      <c r="EU225" s="334" t="s">
        <v>397</v>
      </c>
      <c r="EV225" s="334">
        <v>86563.656700000007</v>
      </c>
    </row>
    <row r="226" spans="9:152" ht="13">
      <c r="I226" s="115" t="s">
        <v>2154</v>
      </c>
      <c r="J226" s="115" t="s">
        <v>1357</v>
      </c>
      <c r="K226" s="183">
        <v>58542.914286035142</v>
      </c>
      <c r="AI226" s="115" t="s">
        <v>1416</v>
      </c>
      <c r="AJ226" t="s">
        <v>2114</v>
      </c>
      <c r="AK226" s="115">
        <v>0</v>
      </c>
      <c r="AL226" s="115" t="s">
        <v>28</v>
      </c>
      <c r="AM226" s="115" t="s">
        <v>1850</v>
      </c>
      <c r="AN226" s="115" t="s">
        <v>1446</v>
      </c>
      <c r="AO226" s="115" t="s">
        <v>1644</v>
      </c>
      <c r="AT226" s="115" t="s">
        <v>1415</v>
      </c>
      <c r="AU226" s="115" t="s">
        <v>2114</v>
      </c>
      <c r="AV226" s="115">
        <v>15</v>
      </c>
      <c r="AW226" s="115" t="s">
        <v>499</v>
      </c>
      <c r="AX226" s="115" t="s">
        <v>28</v>
      </c>
      <c r="AY226" s="115" t="s">
        <v>1850</v>
      </c>
      <c r="AZ226" s="115" t="s">
        <v>1885</v>
      </c>
      <c r="BA226" s="115"/>
      <c r="BB226" s="115"/>
      <c r="BC226" s="115">
        <v>232.07249999999999</v>
      </c>
      <c r="BD226" s="115"/>
      <c r="BE226" s="115"/>
      <c r="BF226" s="115">
        <v>11.397499999999999</v>
      </c>
      <c r="BG226" s="115"/>
      <c r="BH226" s="115">
        <v>36.403789600000003</v>
      </c>
      <c r="BI226" s="115">
        <v>26.85445</v>
      </c>
      <c r="BJ226" s="115">
        <v>36.174937500000006</v>
      </c>
      <c r="BK226" s="115">
        <v>2.0869550000000001</v>
      </c>
      <c r="BL226" s="115">
        <v>4.8063500000000001</v>
      </c>
      <c r="BM226" s="115"/>
      <c r="BN226" s="115"/>
      <c r="BO226" s="115"/>
      <c r="BP226" s="115"/>
      <c r="CV226" s="115">
        <v>2024.42</v>
      </c>
      <c r="CW226" s="115" t="s">
        <v>1415</v>
      </c>
      <c r="CX226" s="115" t="s">
        <v>387</v>
      </c>
      <c r="CY226" s="115" t="s">
        <v>2060</v>
      </c>
      <c r="CZ226" s="330">
        <v>253.2045</v>
      </c>
      <c r="DA226" s="115"/>
      <c r="DB226" s="115"/>
      <c r="DR226" s="214"/>
      <c r="DY226" s="115"/>
      <c r="DZ226" s="334"/>
      <c r="EA226" s="334"/>
      <c r="EB226" s="334"/>
      <c r="EC226" s="334"/>
      <c r="ED226" s="187"/>
      <c r="EE226" s="330"/>
      <c r="EH226" s="334"/>
      <c r="EI226" s="334"/>
      <c r="EM226"/>
      <c r="EO226" s="115"/>
      <c r="EP226" s="334" t="s">
        <v>1415</v>
      </c>
      <c r="EQ226" s="334" t="s">
        <v>2114</v>
      </c>
      <c r="ER226" s="334" t="s">
        <v>1475</v>
      </c>
      <c r="ES226" s="334" t="s">
        <v>389</v>
      </c>
      <c r="ET226" s="334">
        <v>2023.47</v>
      </c>
      <c r="EU226" s="334" t="s">
        <v>1382</v>
      </c>
      <c r="EV226" s="334">
        <v>86563.656700000007</v>
      </c>
    </row>
    <row r="227" spans="9:152" ht="13">
      <c r="I227" s="115" t="s">
        <v>2155</v>
      </c>
      <c r="J227" s="115" t="s">
        <v>1363</v>
      </c>
      <c r="K227" s="183">
        <v>125</v>
      </c>
      <c r="AI227" s="115" t="s">
        <v>1416</v>
      </c>
      <c r="AJ227" t="s">
        <v>2114</v>
      </c>
      <c r="AK227" s="115">
        <v>0</v>
      </c>
      <c r="AL227" s="115" t="s">
        <v>28</v>
      </c>
      <c r="AM227" s="115" t="s">
        <v>1848</v>
      </c>
      <c r="AN227" s="115" t="s">
        <v>1446</v>
      </c>
      <c r="AO227" s="115" t="s">
        <v>1644</v>
      </c>
      <c r="AT227" s="115" t="s">
        <v>1415</v>
      </c>
      <c r="AU227" s="115" t="s">
        <v>2114</v>
      </c>
      <c r="AV227" s="115">
        <v>15</v>
      </c>
      <c r="AW227" s="115" t="s">
        <v>499</v>
      </c>
      <c r="AX227" s="115" t="s">
        <v>28</v>
      </c>
      <c r="AY227" s="115" t="s">
        <v>1832</v>
      </c>
      <c r="AZ227" s="115" t="s">
        <v>1885</v>
      </c>
      <c r="BA227" s="115"/>
      <c r="BB227" s="115"/>
      <c r="BC227" s="115">
        <v>319</v>
      </c>
      <c r="BD227" s="115"/>
      <c r="BE227" s="115"/>
      <c r="BF227" s="115">
        <v>11.75</v>
      </c>
      <c r="BG227" s="115"/>
      <c r="BH227" s="115">
        <v>375.29680000000002</v>
      </c>
      <c r="BI227" s="115">
        <v>110.74000000000001</v>
      </c>
      <c r="BJ227" s="115">
        <v>41.437500000000007</v>
      </c>
      <c r="BK227" s="115">
        <v>21.515000000000001</v>
      </c>
      <c r="BL227" s="115">
        <v>49.55</v>
      </c>
      <c r="BM227" s="115"/>
      <c r="BN227" s="115"/>
      <c r="BO227" s="115"/>
      <c r="BP227" s="115"/>
      <c r="CV227" s="115">
        <v>2024.43</v>
      </c>
      <c r="CW227" s="115" t="s">
        <v>1415</v>
      </c>
      <c r="CX227" s="115" t="s">
        <v>387</v>
      </c>
      <c r="CY227" s="115" t="s">
        <v>2060</v>
      </c>
      <c r="CZ227" s="330">
        <v>301.32929999999999</v>
      </c>
      <c r="DA227" s="115"/>
      <c r="DB227" s="115"/>
      <c r="DR227" s="214"/>
      <c r="DY227" s="115"/>
      <c r="DZ227" s="334"/>
      <c r="EA227" s="334"/>
      <c r="EB227" s="334"/>
      <c r="EC227" s="334"/>
      <c r="ED227" s="187"/>
      <c r="EE227" s="330"/>
      <c r="EH227" s="334"/>
      <c r="EI227" s="334"/>
      <c r="EM227"/>
      <c r="EO227" s="115"/>
      <c r="EP227" s="334" t="s">
        <v>1415</v>
      </c>
      <c r="EQ227" s="334" t="s">
        <v>2114</v>
      </c>
      <c r="ER227" s="334" t="s">
        <v>1475</v>
      </c>
      <c r="ES227" s="334" t="s">
        <v>389</v>
      </c>
      <c r="ET227" s="334">
        <v>2024.48</v>
      </c>
      <c r="EU227" s="334" t="s">
        <v>397</v>
      </c>
      <c r="EV227" s="334">
        <v>86563.656700000007</v>
      </c>
    </row>
    <row r="228" spans="9:152" ht="13">
      <c r="I228" s="115" t="s">
        <v>2155</v>
      </c>
      <c r="J228" s="115" t="s">
        <v>1353</v>
      </c>
      <c r="K228" s="183" t="s">
        <v>2227</v>
      </c>
      <c r="AI228" s="115" t="s">
        <v>1416</v>
      </c>
      <c r="AJ228" t="s">
        <v>2114</v>
      </c>
      <c r="AK228" s="115">
        <v>0</v>
      </c>
      <c r="AL228" s="115" t="s">
        <v>28</v>
      </c>
      <c r="AM228" s="115" t="s">
        <v>1843</v>
      </c>
      <c r="AN228" s="115" t="s">
        <v>1446</v>
      </c>
      <c r="AO228" s="115" t="s">
        <v>1644</v>
      </c>
      <c r="AT228" s="115" t="s">
        <v>1416</v>
      </c>
      <c r="AU228" s="115" t="s">
        <v>2114</v>
      </c>
      <c r="AV228" s="115">
        <v>0</v>
      </c>
      <c r="AW228" s="115" t="s">
        <v>499</v>
      </c>
      <c r="AX228" s="115" t="s">
        <v>28</v>
      </c>
      <c r="AY228" s="115" t="s">
        <v>1832</v>
      </c>
      <c r="AZ228" s="115" t="s">
        <v>1942</v>
      </c>
      <c r="BA228" s="115"/>
      <c r="BB228" s="115"/>
      <c r="BC228" s="115">
        <v>33.1875</v>
      </c>
      <c r="BD228" s="115"/>
      <c r="BE228" s="115"/>
      <c r="BF228" s="115">
        <v>4.625</v>
      </c>
      <c r="BG228" s="115"/>
      <c r="BH228" s="115">
        <v>139.88079999999999</v>
      </c>
      <c r="BI228" s="115">
        <v>42</v>
      </c>
      <c r="BJ228" s="115">
        <v>16.575000000000003</v>
      </c>
      <c r="BK228" s="115">
        <v>21.85</v>
      </c>
      <c r="BL228" s="115">
        <v>19.350000000000001</v>
      </c>
      <c r="BM228" s="115"/>
      <c r="BN228" s="115"/>
      <c r="BO228" s="115"/>
      <c r="BP228" s="115"/>
      <c r="CV228" s="115">
        <v>2024.44</v>
      </c>
      <c r="CW228" s="115" t="s">
        <v>1415</v>
      </c>
      <c r="CX228" s="115" t="s">
        <v>387</v>
      </c>
      <c r="CY228" s="115" t="s">
        <v>2060</v>
      </c>
      <c r="CZ228" s="330">
        <v>301.32929999999999</v>
      </c>
      <c r="DA228" s="115"/>
      <c r="DB228" s="115"/>
      <c r="DR228" s="214"/>
      <c r="DY228" s="115"/>
      <c r="DZ228" s="334"/>
      <c r="EA228" s="334"/>
      <c r="EB228" s="334"/>
      <c r="EC228" s="334"/>
      <c r="ED228" s="187"/>
      <c r="EE228" s="330"/>
      <c r="EH228" s="334"/>
      <c r="EI228" s="334"/>
      <c r="EM228"/>
      <c r="EO228" s="115"/>
      <c r="EP228" s="334" t="s">
        <v>1415</v>
      </c>
      <c r="EQ228" s="334" t="s">
        <v>2114</v>
      </c>
      <c r="ER228" s="334" t="s">
        <v>1475</v>
      </c>
      <c r="ES228" s="334" t="s">
        <v>389</v>
      </c>
      <c r="ET228" s="334">
        <v>2024.48</v>
      </c>
      <c r="EU228" s="334" t="s">
        <v>1382</v>
      </c>
      <c r="EV228" s="334">
        <v>66563.656700000007</v>
      </c>
    </row>
    <row r="229" spans="9:152" ht="13">
      <c r="I229" s="115" t="s">
        <v>2155</v>
      </c>
      <c r="J229" s="115" t="s">
        <v>1369</v>
      </c>
      <c r="K229" s="183">
        <v>13</v>
      </c>
      <c r="AI229" s="115" t="s">
        <v>1416</v>
      </c>
      <c r="AJ229" t="s">
        <v>2114</v>
      </c>
      <c r="AK229" s="115">
        <v>0</v>
      </c>
      <c r="AL229" s="115" t="s">
        <v>28</v>
      </c>
      <c r="AM229" s="115" t="s">
        <v>1843</v>
      </c>
      <c r="AN229" s="115" t="s">
        <v>1446</v>
      </c>
      <c r="AO229" s="115" t="s">
        <v>1274</v>
      </c>
      <c r="AT229" s="115" t="s">
        <v>1416</v>
      </c>
      <c r="AU229" s="115" t="s">
        <v>2114</v>
      </c>
      <c r="AV229" s="115">
        <v>0</v>
      </c>
      <c r="AW229" s="115" t="s">
        <v>499</v>
      </c>
      <c r="AX229" s="115" t="s">
        <v>28</v>
      </c>
      <c r="AY229" s="115" t="s">
        <v>1846</v>
      </c>
      <c r="AZ229" s="115" t="s">
        <v>1943</v>
      </c>
      <c r="BA229" s="115"/>
      <c r="BB229" s="115"/>
      <c r="BC229" s="115">
        <v>1242.6718499999999</v>
      </c>
      <c r="BD229" s="115"/>
      <c r="BE229" s="115"/>
      <c r="BF229" s="115"/>
      <c r="BG229" s="115"/>
      <c r="BH229" s="115">
        <v>12509.670511159999</v>
      </c>
      <c r="BI229" s="115">
        <v>1771.8786300000002</v>
      </c>
      <c r="BJ229" s="115">
        <v>103.86783037499998</v>
      </c>
      <c r="BK229" s="115">
        <v>1198.7516564999999</v>
      </c>
      <c r="BL229" s="115">
        <v>847.2552300000001</v>
      </c>
      <c r="BM229" s="115">
        <v>5691.3027999999995</v>
      </c>
      <c r="BN229" s="115">
        <v>3521.6145999999999</v>
      </c>
      <c r="BO229" s="115">
        <v>3497.2536</v>
      </c>
      <c r="BP229" s="115"/>
      <c r="CV229" s="115">
        <v>2024.45</v>
      </c>
      <c r="CW229" s="115" t="s">
        <v>1415</v>
      </c>
      <c r="CX229" s="115" t="s">
        <v>387</v>
      </c>
      <c r="CY229" s="115" t="s">
        <v>2060</v>
      </c>
      <c r="CZ229" s="330">
        <v>301.32929999999999</v>
      </c>
      <c r="DA229" s="115"/>
      <c r="DB229" s="115"/>
      <c r="DR229" s="214"/>
      <c r="DY229" s="115"/>
      <c r="DZ229" s="334"/>
      <c r="EA229" s="334"/>
      <c r="EB229" s="334"/>
      <c r="EC229" s="334"/>
      <c r="ED229" s="187"/>
      <c r="EE229" s="330"/>
      <c r="EH229" s="334"/>
      <c r="EI229" s="334"/>
      <c r="EM229"/>
      <c r="EO229" s="115"/>
      <c r="EP229" s="334" t="s">
        <v>1415</v>
      </c>
      <c r="EQ229" s="334" t="s">
        <v>2114</v>
      </c>
      <c r="ER229" s="334" t="s">
        <v>1475</v>
      </c>
      <c r="ES229" s="334" t="s">
        <v>1275</v>
      </c>
      <c r="ET229" s="334">
        <v>2023.47</v>
      </c>
      <c r="EU229" s="334" t="s">
        <v>397</v>
      </c>
      <c r="EV229" s="334">
        <v>94256.02</v>
      </c>
    </row>
    <row r="230" spans="9:152" ht="13">
      <c r="I230" s="115" t="s">
        <v>2155</v>
      </c>
      <c r="J230" s="115" t="s">
        <v>1355</v>
      </c>
      <c r="K230" s="183">
        <v>4</v>
      </c>
      <c r="AI230" s="115" t="s">
        <v>1416</v>
      </c>
      <c r="AJ230" t="s">
        <v>2114</v>
      </c>
      <c r="AK230" s="115">
        <v>0</v>
      </c>
      <c r="AL230" s="115" t="s">
        <v>28</v>
      </c>
      <c r="AM230" s="115" t="s">
        <v>1850</v>
      </c>
      <c r="AN230" s="115" t="s">
        <v>1446</v>
      </c>
      <c r="AO230" s="115" t="s">
        <v>1274</v>
      </c>
      <c r="AT230" s="115" t="s">
        <v>1415</v>
      </c>
      <c r="AU230" s="115" t="s">
        <v>2114</v>
      </c>
      <c r="AV230" s="115">
        <v>15</v>
      </c>
      <c r="AW230" s="115" t="s">
        <v>499</v>
      </c>
      <c r="AX230" s="115" t="s">
        <v>28</v>
      </c>
      <c r="AY230" s="115" t="s">
        <v>1846</v>
      </c>
      <c r="AZ230" s="115" t="s">
        <v>1886</v>
      </c>
      <c r="BA230" s="115"/>
      <c r="BB230" s="115"/>
      <c r="BC230" s="115">
        <v>6717.5489418749994</v>
      </c>
      <c r="BD230" s="115"/>
      <c r="BE230" s="115"/>
      <c r="BF230" s="115"/>
      <c r="BG230" s="115"/>
      <c r="BH230" s="115">
        <v>110652.55577870081</v>
      </c>
      <c r="BI230" s="115">
        <v>14505.432113249999</v>
      </c>
      <c r="BJ230" s="115">
        <v>2022.49348704</v>
      </c>
      <c r="BK230" s="115">
        <v>6466.8622890240003</v>
      </c>
      <c r="BL230" s="115">
        <v>11821.227201989999</v>
      </c>
      <c r="BM230" s="115">
        <v>38804.559200000003</v>
      </c>
      <c r="BN230" s="115">
        <v>17594.400000000001</v>
      </c>
      <c r="BO230" s="115">
        <v>17015.98</v>
      </c>
      <c r="BP230" s="115"/>
      <c r="CV230" s="115">
        <v>2024.46</v>
      </c>
      <c r="CW230" s="115" t="s">
        <v>1415</v>
      </c>
      <c r="CX230" s="115" t="s">
        <v>387</v>
      </c>
      <c r="CY230" s="115" t="s">
        <v>2060</v>
      </c>
      <c r="CZ230" s="330">
        <v>414.12180000000001</v>
      </c>
      <c r="DA230" s="115"/>
      <c r="DB230" s="115"/>
      <c r="DR230" s="214"/>
      <c r="DY230" s="115"/>
      <c r="DZ230" s="334"/>
      <c r="EA230" s="334"/>
      <c r="EB230" s="334"/>
      <c r="EC230" s="334"/>
      <c r="ED230" s="187"/>
      <c r="EE230" s="330"/>
      <c r="EH230" s="334"/>
      <c r="EI230" s="334"/>
      <c r="EM230"/>
      <c r="EO230" s="115"/>
      <c r="EP230" s="334" t="s">
        <v>1415</v>
      </c>
      <c r="EQ230" s="334" t="s">
        <v>2114</v>
      </c>
      <c r="ER230" s="334" t="s">
        <v>1475</v>
      </c>
      <c r="ES230" s="334" t="s">
        <v>1275</v>
      </c>
      <c r="ET230" s="334">
        <v>2023.47</v>
      </c>
      <c r="EU230" s="334" t="s">
        <v>1382</v>
      </c>
      <c r="EV230" s="334">
        <v>94256.02</v>
      </c>
    </row>
    <row r="231" spans="9:152" ht="13">
      <c r="I231" s="115" t="s">
        <v>2155</v>
      </c>
      <c r="J231" s="115" t="s">
        <v>1361</v>
      </c>
      <c r="K231" s="183">
        <v>69.23</v>
      </c>
      <c r="AI231" s="115" t="s">
        <v>1416</v>
      </c>
      <c r="AJ231" t="s">
        <v>2114</v>
      </c>
      <c r="AK231" s="115">
        <v>0</v>
      </c>
      <c r="AL231" s="115" t="s">
        <v>28</v>
      </c>
      <c r="AM231" s="115" t="s">
        <v>1849</v>
      </c>
      <c r="AN231" s="115" t="s">
        <v>1446</v>
      </c>
      <c r="AO231" s="115" t="s">
        <v>1274</v>
      </c>
      <c r="AT231" s="115" t="s">
        <v>1415</v>
      </c>
      <c r="AU231" s="115" t="s">
        <v>2114</v>
      </c>
      <c r="AV231" s="115">
        <v>15</v>
      </c>
      <c r="AW231" s="115" t="s">
        <v>499</v>
      </c>
      <c r="AX231" s="115" t="s">
        <v>28</v>
      </c>
      <c r="AY231" s="115" t="s">
        <v>1848</v>
      </c>
      <c r="AZ231" s="115" t="s">
        <v>1886</v>
      </c>
      <c r="BA231" s="115"/>
      <c r="BB231" s="115"/>
      <c r="BC231" s="115">
        <v>39614.364621562498</v>
      </c>
      <c r="BD231" s="115"/>
      <c r="BE231" s="115"/>
      <c r="BF231" s="115">
        <v>1648.3819584374996</v>
      </c>
      <c r="BG231" s="115"/>
      <c r="BH231" s="115">
        <v>8013.9828467148809</v>
      </c>
      <c r="BI231" s="115">
        <v>5328.8978512499989</v>
      </c>
      <c r="BJ231" s="115">
        <v>10159.14994911</v>
      </c>
      <c r="BK231" s="115">
        <v>1010.1479927039999</v>
      </c>
      <c r="BL231" s="115">
        <v>1846.5197487900002</v>
      </c>
      <c r="BM231" s="115"/>
      <c r="BN231" s="115"/>
      <c r="BO231" s="115"/>
      <c r="BP231" s="115"/>
      <c r="CV231" s="115">
        <v>2024.47</v>
      </c>
      <c r="CW231" s="115" t="s">
        <v>1415</v>
      </c>
      <c r="CX231" s="115" t="s">
        <v>387</v>
      </c>
      <c r="CY231" s="115" t="s">
        <v>2060</v>
      </c>
      <c r="CZ231" s="330">
        <v>301.32929999999999</v>
      </c>
      <c r="DA231" s="115"/>
      <c r="DB231" s="115"/>
      <c r="DR231" s="214"/>
      <c r="DY231" s="115"/>
      <c r="DZ231" s="334"/>
      <c r="EA231" s="334"/>
      <c r="EB231" s="334"/>
      <c r="EC231" s="334"/>
      <c r="ED231" s="187"/>
      <c r="EE231" s="330"/>
      <c r="EH231" s="334"/>
      <c r="EI231" s="334"/>
      <c r="EM231"/>
      <c r="EO231" s="115"/>
      <c r="EP231" s="334" t="s">
        <v>1415</v>
      </c>
      <c r="EQ231" s="334" t="s">
        <v>2114</v>
      </c>
      <c r="ER231" s="334" t="s">
        <v>1475</v>
      </c>
      <c r="ES231" s="334" t="s">
        <v>1275</v>
      </c>
      <c r="ET231" s="334">
        <v>2024.44</v>
      </c>
      <c r="EU231" s="334" t="s">
        <v>397</v>
      </c>
      <c r="EV231" s="334">
        <v>110165.53</v>
      </c>
    </row>
    <row r="232" spans="9:152" ht="13">
      <c r="I232" s="115" t="s">
        <v>2155</v>
      </c>
      <c r="J232" s="115" t="s">
        <v>1364</v>
      </c>
      <c r="K232" s="183">
        <v>300</v>
      </c>
      <c r="AI232" s="115" t="s">
        <v>1416</v>
      </c>
      <c r="AJ232" t="s">
        <v>2114</v>
      </c>
      <c r="AK232" s="115">
        <v>0</v>
      </c>
      <c r="AL232" s="115" t="s">
        <v>28</v>
      </c>
      <c r="AM232" s="115" t="s">
        <v>1832</v>
      </c>
      <c r="AN232" s="115" t="s">
        <v>1446</v>
      </c>
      <c r="AO232" s="115" t="s">
        <v>1274</v>
      </c>
      <c r="AT232" s="115" t="s">
        <v>1416</v>
      </c>
      <c r="AU232" s="115" t="s">
        <v>2114</v>
      </c>
      <c r="AV232" s="115">
        <v>0</v>
      </c>
      <c r="AW232" s="115" t="s">
        <v>499</v>
      </c>
      <c r="AX232" s="115" t="s">
        <v>28</v>
      </c>
      <c r="AY232" s="115" t="s">
        <v>1848</v>
      </c>
      <c r="AZ232" s="115" t="s">
        <v>1943</v>
      </c>
      <c r="BA232" s="115"/>
      <c r="BB232" s="115"/>
      <c r="BC232" s="115">
        <v>7452.4081500000002</v>
      </c>
      <c r="BD232" s="115"/>
      <c r="BE232" s="115"/>
      <c r="BF232" s="115">
        <v>375.91380000000004</v>
      </c>
      <c r="BG232" s="115"/>
      <c r="BH232" s="115">
        <v>1018.0458343599998</v>
      </c>
      <c r="BI232" s="115">
        <v>756.48699500000009</v>
      </c>
      <c r="BJ232" s="115">
        <v>492.17393812500006</v>
      </c>
      <c r="BK232" s="115">
        <v>190.42312500000003</v>
      </c>
      <c r="BL232" s="115">
        <v>134.58750000000001</v>
      </c>
      <c r="BM232" s="115"/>
      <c r="BN232" s="115"/>
      <c r="BO232" s="115"/>
      <c r="BP232" s="115"/>
      <c r="CV232" s="115">
        <v>2024.48</v>
      </c>
      <c r="CW232" s="115" t="s">
        <v>1415</v>
      </c>
      <c r="CX232" s="115" t="s">
        <v>387</v>
      </c>
      <c r="CY232" s="115" t="s">
        <v>2060</v>
      </c>
      <c r="CZ232" s="330">
        <v>301.32929999999999</v>
      </c>
      <c r="DA232" s="115"/>
      <c r="DB232" s="115"/>
      <c r="DR232" s="214"/>
      <c r="DY232" s="115"/>
      <c r="DZ232" s="334"/>
      <c r="EA232" s="334"/>
      <c r="EB232" s="334"/>
      <c r="EC232" s="334"/>
      <c r="ED232" s="187"/>
      <c r="EE232" s="330"/>
      <c r="EH232" s="334"/>
      <c r="EI232" s="334"/>
      <c r="EM232"/>
      <c r="EO232" s="115"/>
      <c r="EP232" s="334" t="s">
        <v>1415</v>
      </c>
      <c r="EQ232" s="334" t="s">
        <v>2114</v>
      </c>
      <c r="ER232" s="334" t="s">
        <v>1475</v>
      </c>
      <c r="ES232" s="334" t="s">
        <v>1275</v>
      </c>
      <c r="ET232" s="334">
        <v>2024.44</v>
      </c>
      <c r="EU232" s="334" t="s">
        <v>1382</v>
      </c>
      <c r="EV232" s="334">
        <v>110165.53</v>
      </c>
    </row>
    <row r="233" spans="9:152" ht="13">
      <c r="I233" s="115" t="s">
        <v>2155</v>
      </c>
      <c r="J233" s="115" t="s">
        <v>1367</v>
      </c>
      <c r="K233" s="183">
        <v>8</v>
      </c>
      <c r="AI233" s="115" t="s">
        <v>1416</v>
      </c>
      <c r="AJ233" t="s">
        <v>2114</v>
      </c>
      <c r="AK233" s="115">
        <v>0</v>
      </c>
      <c r="AL233" s="115" t="s">
        <v>28</v>
      </c>
      <c r="AM233" s="115" t="s">
        <v>1848</v>
      </c>
      <c r="AN233" s="115" t="s">
        <v>1446</v>
      </c>
      <c r="AO233" s="115" t="s">
        <v>1274</v>
      </c>
      <c r="AT233" s="115" t="s">
        <v>1416</v>
      </c>
      <c r="AU233" s="115" t="s">
        <v>2114</v>
      </c>
      <c r="AV233" s="115">
        <v>0</v>
      </c>
      <c r="AW233" s="115" t="s">
        <v>499</v>
      </c>
      <c r="AX233" s="115" t="s">
        <v>28</v>
      </c>
      <c r="AY233" s="115" t="s">
        <v>1843</v>
      </c>
      <c r="AZ233" s="115" t="s">
        <v>1943</v>
      </c>
      <c r="BA233" s="115"/>
      <c r="BB233" s="115"/>
      <c r="BC233" s="115">
        <v>8964</v>
      </c>
      <c r="BD233" s="115"/>
      <c r="BE233" s="115"/>
      <c r="BF233" s="115">
        <v>387.53999999999996</v>
      </c>
      <c r="BG233" s="115"/>
      <c r="BH233" s="115">
        <v>13833.019969072166</v>
      </c>
      <c r="BI233" s="115">
        <v>2579.3639175257736</v>
      </c>
      <c r="BJ233" s="115">
        <v>614.47608247422681</v>
      </c>
      <c r="BK233" s="115">
        <v>1432.1389690721651</v>
      </c>
      <c r="BL233" s="115">
        <v>1012.208969072165</v>
      </c>
      <c r="BM233" s="115">
        <v>5691.3027999999995</v>
      </c>
      <c r="BN233" s="115">
        <v>3521.6145999999999</v>
      </c>
      <c r="BO233" s="115">
        <v>3497.2536</v>
      </c>
      <c r="BP233" s="115"/>
      <c r="CV233" s="115">
        <v>2024.49</v>
      </c>
      <c r="CW233" s="115" t="s">
        <v>1415</v>
      </c>
      <c r="CX233" s="115" t="s">
        <v>387</v>
      </c>
      <c r="CY233" s="115" t="s">
        <v>2060</v>
      </c>
      <c r="CZ233" s="330">
        <v>276.44659999999999</v>
      </c>
      <c r="DA233" s="115"/>
      <c r="DB233" s="115"/>
      <c r="DR233" s="214"/>
      <c r="DY233" s="115"/>
      <c r="DZ233" s="334"/>
      <c r="EA233" s="334"/>
      <c r="EB233" s="334"/>
      <c r="EC233" s="334"/>
      <c r="ED233" s="187"/>
      <c r="EE233" s="330"/>
      <c r="EH233" s="334"/>
      <c r="EI233" s="334"/>
      <c r="EM233"/>
      <c r="EO233" s="115"/>
      <c r="EP233" s="334" t="s">
        <v>1415</v>
      </c>
      <c r="EQ233" s="334" t="s">
        <v>2114</v>
      </c>
      <c r="ER233" s="334" t="s">
        <v>1475</v>
      </c>
      <c r="ES233" s="334" t="s">
        <v>1275</v>
      </c>
      <c r="ET233" s="334">
        <v>2025.03</v>
      </c>
      <c r="EU233" s="334" t="s">
        <v>397</v>
      </c>
      <c r="EV233" s="334">
        <v>110165.53</v>
      </c>
    </row>
    <row r="234" spans="9:152" ht="13">
      <c r="I234" s="115" t="s">
        <v>2155</v>
      </c>
      <c r="J234" s="115" t="s">
        <v>1362</v>
      </c>
      <c r="K234" s="183">
        <v>95</v>
      </c>
      <c r="AI234" s="115" t="s">
        <v>1416</v>
      </c>
      <c r="AJ234" t="s">
        <v>2114</v>
      </c>
      <c r="AK234" s="115">
        <v>0</v>
      </c>
      <c r="AL234" s="115" t="s">
        <v>28</v>
      </c>
      <c r="AM234" s="115" t="s">
        <v>1846</v>
      </c>
      <c r="AN234" s="115" t="s">
        <v>1446</v>
      </c>
      <c r="AO234" s="115" t="s">
        <v>1274</v>
      </c>
      <c r="AT234" s="115" t="s">
        <v>1415</v>
      </c>
      <c r="AU234" s="115" t="s">
        <v>2114</v>
      </c>
      <c r="AV234" s="115">
        <v>15</v>
      </c>
      <c r="AW234" s="115" t="s">
        <v>499</v>
      </c>
      <c r="AX234" s="115" t="s">
        <v>28</v>
      </c>
      <c r="AY234" s="115" t="s">
        <v>1843</v>
      </c>
      <c r="AZ234" s="115" t="s">
        <v>1886</v>
      </c>
      <c r="BA234" s="115"/>
      <c r="BB234" s="115"/>
      <c r="BC234" s="115">
        <v>45919.069278350515</v>
      </c>
      <c r="BD234" s="115"/>
      <c r="BE234" s="115"/>
      <c r="BF234" s="115">
        <v>1635.6791752577319</v>
      </c>
      <c r="BG234" s="115"/>
      <c r="BH234" s="115">
        <v>112163.37702061856</v>
      </c>
      <c r="BI234" s="115">
        <v>17350.337525773193</v>
      </c>
      <c r="BJ234" s="115">
        <v>12070.968659793814</v>
      </c>
      <c r="BK234" s="115">
        <v>7365.6842268041246</v>
      </c>
      <c r="BL234" s="115">
        <v>15381.753402061857</v>
      </c>
      <c r="BM234" s="115">
        <v>38804.559200000003</v>
      </c>
      <c r="BN234" s="115">
        <v>17594.400000000001</v>
      </c>
      <c r="BO234" s="115">
        <v>17015.98</v>
      </c>
      <c r="BP234" s="115"/>
      <c r="CV234" s="115">
        <v>2024.5</v>
      </c>
      <c r="CW234" s="115" t="s">
        <v>1415</v>
      </c>
      <c r="CX234" s="115" t="s">
        <v>387</v>
      </c>
      <c r="CY234" s="115" t="s">
        <v>2060</v>
      </c>
      <c r="CZ234" s="330">
        <v>276.44659999999999</v>
      </c>
      <c r="DA234" s="115"/>
      <c r="DB234" s="115"/>
      <c r="DR234" s="214"/>
      <c r="DY234" s="115"/>
      <c r="DZ234" s="334"/>
      <c r="EA234" s="334"/>
      <c r="EB234" s="334"/>
      <c r="EC234" s="334"/>
      <c r="ED234" s="187"/>
      <c r="EE234" s="330"/>
      <c r="EH234" s="334"/>
      <c r="EI234" s="334"/>
      <c r="EM234"/>
      <c r="EO234" s="115"/>
      <c r="EP234" s="334" t="s">
        <v>1415</v>
      </c>
      <c r="EQ234" s="334" t="s">
        <v>2114</v>
      </c>
      <c r="ER234" s="334" t="s">
        <v>1475</v>
      </c>
      <c r="ES234" s="334" t="s">
        <v>1275</v>
      </c>
      <c r="ET234" s="334">
        <v>2025.03</v>
      </c>
      <c r="EU234" s="334" t="s">
        <v>1382</v>
      </c>
      <c r="EV234" s="334">
        <v>110264.88</v>
      </c>
    </row>
    <row r="235" spans="9:152" ht="13">
      <c r="I235" s="115" t="s">
        <v>2155</v>
      </c>
      <c r="J235" s="115" t="s">
        <v>1368</v>
      </c>
      <c r="K235" s="183">
        <v>11.5</v>
      </c>
      <c r="AI235" s="115" t="s">
        <v>1416</v>
      </c>
      <c r="AJ235" t="s">
        <v>2114</v>
      </c>
      <c r="AK235" s="115">
        <v>0</v>
      </c>
      <c r="AL235" s="115" t="s">
        <v>28</v>
      </c>
      <c r="AM235" s="115" t="s">
        <v>1832</v>
      </c>
      <c r="AN235" s="115" t="s">
        <v>1446</v>
      </c>
      <c r="AO235" s="115" t="s">
        <v>381</v>
      </c>
      <c r="AT235" s="115" t="s">
        <v>1415</v>
      </c>
      <c r="AU235" s="115" t="s">
        <v>2114</v>
      </c>
      <c r="AV235" s="115">
        <v>15</v>
      </c>
      <c r="AW235" s="115" t="s">
        <v>499</v>
      </c>
      <c r="AX235" s="115" t="s">
        <v>28</v>
      </c>
      <c r="AY235" s="115" t="s">
        <v>1849</v>
      </c>
      <c r="AZ235" s="115" t="s">
        <v>1886</v>
      </c>
      <c r="BA235" s="115"/>
      <c r="BB235" s="115"/>
      <c r="BC235" s="115">
        <v>297.36562499999997</v>
      </c>
      <c r="BD235" s="115"/>
      <c r="BE235" s="115"/>
      <c r="BF235" s="115"/>
      <c r="BG235" s="115"/>
      <c r="BH235" s="115">
        <v>1656.8618112000004</v>
      </c>
      <c r="BI235" s="115">
        <v>416.85749999999996</v>
      </c>
      <c r="BJ235" s="115">
        <v>25.229699999999998</v>
      </c>
      <c r="BK235" s="115">
        <v>224.60543999999999</v>
      </c>
      <c r="BL235" s="115">
        <v>410.57189999999997</v>
      </c>
      <c r="BM235" s="115"/>
      <c r="BN235" s="115"/>
      <c r="BO235" s="115"/>
      <c r="BP235" s="115"/>
      <c r="CV235" s="115">
        <v>2024.51</v>
      </c>
      <c r="CW235" s="115" t="s">
        <v>1415</v>
      </c>
      <c r="CX235" s="115" t="s">
        <v>387</v>
      </c>
      <c r="CY235" s="115" t="s">
        <v>2060</v>
      </c>
      <c r="CZ235" s="330">
        <v>10.371700000000001</v>
      </c>
      <c r="DA235" s="115"/>
      <c r="DB235" s="115"/>
      <c r="DR235" s="214"/>
      <c r="DY235" s="115"/>
      <c r="DZ235" s="334"/>
      <c r="EA235" s="334"/>
      <c r="EB235" s="334"/>
      <c r="EC235" s="334"/>
      <c r="ED235" s="187"/>
      <c r="EE235" s="330"/>
      <c r="EH235" s="334"/>
      <c r="EI235" s="334"/>
      <c r="EM235"/>
      <c r="EO235" s="115"/>
      <c r="EP235" s="334" t="s">
        <v>1415</v>
      </c>
      <c r="EQ235" s="334" t="s">
        <v>2114</v>
      </c>
      <c r="ER235" s="334" t="s">
        <v>1475</v>
      </c>
      <c r="ES235" s="334" t="s">
        <v>385</v>
      </c>
      <c r="ET235" s="334">
        <v>2023.47</v>
      </c>
      <c r="EU235" s="334" t="s">
        <v>397</v>
      </c>
      <c r="EV235" s="334">
        <v>95150.52</v>
      </c>
    </row>
    <row r="236" spans="9:152" ht="13">
      <c r="I236" s="115" t="s">
        <v>2155</v>
      </c>
      <c r="J236" s="115" t="s">
        <v>1360</v>
      </c>
      <c r="K236" s="183">
        <v>0.22812100225795737</v>
      </c>
      <c r="AI236" s="115" t="s">
        <v>1416</v>
      </c>
      <c r="AJ236" t="s">
        <v>2114</v>
      </c>
      <c r="AK236" s="115">
        <v>0</v>
      </c>
      <c r="AL236" s="115" t="s">
        <v>28</v>
      </c>
      <c r="AM236" s="115" t="s">
        <v>1850</v>
      </c>
      <c r="AN236" s="115" t="s">
        <v>1446</v>
      </c>
      <c r="AO236" s="115" t="s">
        <v>381</v>
      </c>
      <c r="AT236" s="115" t="s">
        <v>1416</v>
      </c>
      <c r="AU236" s="115" t="s">
        <v>2114</v>
      </c>
      <c r="AV236" s="115">
        <v>0</v>
      </c>
      <c r="AW236" s="115" t="s">
        <v>499</v>
      </c>
      <c r="AX236" s="115" t="s">
        <v>28</v>
      </c>
      <c r="AY236" s="115" t="s">
        <v>1849</v>
      </c>
      <c r="AZ236" s="115" t="s">
        <v>1943</v>
      </c>
      <c r="BA236" s="115"/>
      <c r="BB236" s="115"/>
      <c r="BC236" s="115">
        <v>60.3825</v>
      </c>
      <c r="BD236" s="115"/>
      <c r="BE236" s="115"/>
      <c r="BF236" s="115"/>
      <c r="BG236" s="115"/>
      <c r="BH236" s="115">
        <v>227.18602799999999</v>
      </c>
      <c r="BI236" s="115">
        <v>63.874500000000012</v>
      </c>
      <c r="BJ236" s="115">
        <v>1.4222624999999998</v>
      </c>
      <c r="BK236" s="115">
        <v>45.701549999999997</v>
      </c>
      <c r="BL236" s="115">
        <v>32.301000000000002</v>
      </c>
      <c r="BM236" s="115"/>
      <c r="BN236" s="115"/>
      <c r="BO236" s="115"/>
      <c r="BP236" s="115"/>
      <c r="CV236" s="115">
        <v>2024.4</v>
      </c>
      <c r="CW236" s="115" t="s">
        <v>1415</v>
      </c>
      <c r="CX236" s="115" t="s">
        <v>377</v>
      </c>
      <c r="CY236" s="115" t="s">
        <v>2060</v>
      </c>
      <c r="CZ236" s="330">
        <v>27.512599999999999</v>
      </c>
      <c r="DA236" s="115"/>
      <c r="DB236" s="115"/>
      <c r="DR236" s="214"/>
      <c r="DY236" s="115"/>
      <c r="DZ236" s="334"/>
      <c r="EA236" s="334"/>
      <c r="EB236" s="334"/>
      <c r="EC236" s="334"/>
      <c r="ED236" s="187"/>
      <c r="EE236" s="330"/>
      <c r="EH236" s="334"/>
      <c r="EI236" s="334"/>
      <c r="EM236"/>
      <c r="EO236" s="115"/>
      <c r="EP236" s="334" t="s">
        <v>1415</v>
      </c>
      <c r="EQ236" s="334" t="s">
        <v>2114</v>
      </c>
      <c r="ER236" s="334" t="s">
        <v>1475</v>
      </c>
      <c r="ES236" s="334" t="s">
        <v>385</v>
      </c>
      <c r="ET236" s="334">
        <v>2023.47</v>
      </c>
      <c r="EU236" s="334" t="s">
        <v>1382</v>
      </c>
      <c r="EV236" s="334">
        <v>95150.52</v>
      </c>
    </row>
    <row r="237" spans="9:152" ht="13">
      <c r="I237" s="115" t="s">
        <v>2155</v>
      </c>
      <c r="J237" s="115" t="s">
        <v>1358</v>
      </c>
      <c r="K237" s="183" t="s">
        <v>375</v>
      </c>
      <c r="AI237" s="115" t="s">
        <v>1416</v>
      </c>
      <c r="AJ237" t="s">
        <v>2114</v>
      </c>
      <c r="AK237" s="115">
        <v>0</v>
      </c>
      <c r="AL237" s="115" t="s">
        <v>28</v>
      </c>
      <c r="AM237" s="115" t="s">
        <v>1843</v>
      </c>
      <c r="AN237" s="115" t="s">
        <v>1446</v>
      </c>
      <c r="AO237" s="115" t="s">
        <v>381</v>
      </c>
      <c r="AT237" s="115" t="s">
        <v>1415</v>
      </c>
      <c r="AU237" s="115" t="s">
        <v>2114</v>
      </c>
      <c r="AV237" s="115">
        <v>15</v>
      </c>
      <c r="AW237" s="115" t="s">
        <v>499</v>
      </c>
      <c r="AX237" s="115" t="s">
        <v>28</v>
      </c>
      <c r="AY237" s="115" t="s">
        <v>1850</v>
      </c>
      <c r="AZ237" s="115" t="s">
        <v>1886</v>
      </c>
      <c r="BA237" s="115"/>
      <c r="BB237" s="115"/>
      <c r="BC237" s="115">
        <v>892.09687499999995</v>
      </c>
      <c r="BD237" s="115"/>
      <c r="BE237" s="115"/>
      <c r="BF237" s="115">
        <v>35.465624999999996</v>
      </c>
      <c r="BG237" s="115"/>
      <c r="BH237" s="115">
        <v>184.09575680000003</v>
      </c>
      <c r="BI237" s="115">
        <v>138.95249999999999</v>
      </c>
      <c r="BJ237" s="115">
        <v>227.06730000000002</v>
      </c>
      <c r="BK237" s="115">
        <v>24.956159999999997</v>
      </c>
      <c r="BL237" s="115">
        <v>45.619100000000003</v>
      </c>
      <c r="BM237" s="115"/>
      <c r="BN237" s="115"/>
      <c r="BO237" s="115"/>
      <c r="BP237" s="115"/>
      <c r="CV237" s="115">
        <v>2024.41</v>
      </c>
      <c r="CW237" s="115" t="s">
        <v>1415</v>
      </c>
      <c r="CX237" s="115" t="s">
        <v>377</v>
      </c>
      <c r="CY237" s="115" t="s">
        <v>2060</v>
      </c>
      <c r="CZ237" s="330">
        <v>27.512599999999999</v>
      </c>
      <c r="DA237" s="115"/>
      <c r="DB237" s="115"/>
      <c r="DR237" s="214"/>
      <c r="DY237" s="115"/>
      <c r="DZ237" s="334"/>
      <c r="EA237" s="334"/>
      <c r="EB237" s="334"/>
      <c r="EC237" s="334"/>
      <c r="ED237" s="187"/>
      <c r="EE237" s="330"/>
      <c r="EH237" s="334"/>
      <c r="EI237" s="334"/>
      <c r="EM237"/>
      <c r="EO237" s="115"/>
      <c r="EP237" s="334" t="s">
        <v>1415</v>
      </c>
      <c r="EQ237" s="334" t="s">
        <v>2114</v>
      </c>
      <c r="ER237" s="334" t="s">
        <v>1475</v>
      </c>
      <c r="ES237" s="334" t="s">
        <v>385</v>
      </c>
      <c r="ET237" s="334">
        <v>2024.44</v>
      </c>
      <c r="EU237" s="334" t="s">
        <v>397</v>
      </c>
      <c r="EV237" s="334">
        <v>109931.57</v>
      </c>
    </row>
    <row r="238" spans="9:152" ht="13">
      <c r="I238" s="115" t="s">
        <v>2155</v>
      </c>
      <c r="J238" s="115" t="s">
        <v>1354</v>
      </c>
      <c r="K238" s="183">
        <v>45700</v>
      </c>
      <c r="AI238" s="115" t="s">
        <v>1416</v>
      </c>
      <c r="AJ238" t="s">
        <v>2114</v>
      </c>
      <c r="AK238" s="115">
        <v>0</v>
      </c>
      <c r="AL238" s="115" t="s">
        <v>28</v>
      </c>
      <c r="AM238" s="115" t="s">
        <v>1849</v>
      </c>
      <c r="AN238" s="115" t="s">
        <v>1446</v>
      </c>
      <c r="AO238" s="115" t="s">
        <v>381</v>
      </c>
      <c r="AT238" s="115" t="s">
        <v>1416</v>
      </c>
      <c r="AU238" s="115" t="s">
        <v>2114</v>
      </c>
      <c r="AV238" s="115">
        <v>0</v>
      </c>
      <c r="AW238" s="115" t="s">
        <v>499</v>
      </c>
      <c r="AX238" s="115" t="s">
        <v>28</v>
      </c>
      <c r="AY238" s="115" t="s">
        <v>1850</v>
      </c>
      <c r="AZ238" s="115" t="s">
        <v>1943</v>
      </c>
      <c r="BA238" s="115"/>
      <c r="BB238" s="115"/>
      <c r="BC238" s="115">
        <v>181.14750000000001</v>
      </c>
      <c r="BD238" s="115"/>
      <c r="BE238" s="115"/>
      <c r="BF238" s="115">
        <v>8.73</v>
      </c>
      <c r="BG238" s="115"/>
      <c r="BH238" s="115">
        <v>25.242891999999998</v>
      </c>
      <c r="BI238" s="115">
        <v>21.291500000000003</v>
      </c>
      <c r="BJ238" s="115">
        <v>12.8003625</v>
      </c>
      <c r="BK238" s="115">
        <v>5.0779500000000004</v>
      </c>
      <c r="BL238" s="115">
        <v>3.5890000000000004</v>
      </c>
      <c r="BM238" s="115"/>
      <c r="BN238" s="115"/>
      <c r="BO238" s="115"/>
      <c r="BP238" s="115"/>
      <c r="CV238" s="115">
        <v>2024.42</v>
      </c>
      <c r="CW238" s="115" t="s">
        <v>1415</v>
      </c>
      <c r="CX238" s="115" t="s">
        <v>377</v>
      </c>
      <c r="CY238" s="115" t="s">
        <v>2060</v>
      </c>
      <c r="CZ238" s="330">
        <v>27.512599999999999</v>
      </c>
      <c r="DA238" s="115"/>
      <c r="DB238" s="115"/>
      <c r="DR238" s="214"/>
      <c r="DY238" s="115"/>
      <c r="DZ238" s="334"/>
      <c r="EA238" s="334"/>
      <c r="EB238" s="334"/>
      <c r="EC238" s="334"/>
      <c r="ED238" s="187"/>
      <c r="EE238" s="330"/>
      <c r="EH238" s="334"/>
      <c r="EI238" s="334"/>
      <c r="EM238"/>
      <c r="EO238" s="115"/>
      <c r="EP238" s="334" t="s">
        <v>1415</v>
      </c>
      <c r="EQ238" s="334" t="s">
        <v>2114</v>
      </c>
      <c r="ER238" s="334" t="s">
        <v>1475</v>
      </c>
      <c r="ES238" s="334" t="s">
        <v>385</v>
      </c>
      <c r="ET238" s="334">
        <v>2024.44</v>
      </c>
      <c r="EU238" s="334" t="s">
        <v>1382</v>
      </c>
      <c r="EV238" s="334">
        <v>109931.57</v>
      </c>
    </row>
    <row r="239" spans="9:152" ht="13">
      <c r="I239" s="115" t="s">
        <v>2155</v>
      </c>
      <c r="J239" s="115" t="s">
        <v>1365</v>
      </c>
      <c r="K239" s="183">
        <v>15</v>
      </c>
      <c r="AI239" s="115" t="s">
        <v>1416</v>
      </c>
      <c r="AJ239" t="s">
        <v>2114</v>
      </c>
      <c r="AK239" s="115">
        <v>0</v>
      </c>
      <c r="AL239" s="115" t="s">
        <v>28</v>
      </c>
      <c r="AM239" s="115" t="s">
        <v>1846</v>
      </c>
      <c r="AN239" s="115" t="s">
        <v>1446</v>
      </c>
      <c r="AO239" s="115" t="s">
        <v>381</v>
      </c>
      <c r="AT239" s="115" t="s">
        <v>1416</v>
      </c>
      <c r="AU239" s="115" t="s">
        <v>2114</v>
      </c>
      <c r="AV239" s="115">
        <v>0</v>
      </c>
      <c r="AW239" s="115" t="s">
        <v>499</v>
      </c>
      <c r="AX239" s="115" t="s">
        <v>28</v>
      </c>
      <c r="AY239" s="115" t="s">
        <v>1832</v>
      </c>
      <c r="AZ239" s="115" t="s">
        <v>1943</v>
      </c>
      <c r="BA239" s="115"/>
      <c r="BB239" s="115"/>
      <c r="BC239" s="115">
        <v>249</v>
      </c>
      <c r="BD239" s="115"/>
      <c r="BE239" s="115"/>
      <c r="BF239" s="115">
        <v>9</v>
      </c>
      <c r="BG239" s="115"/>
      <c r="BH239" s="115">
        <v>260.23599999999999</v>
      </c>
      <c r="BI239" s="115">
        <v>87.800000000000011</v>
      </c>
      <c r="BJ239" s="115">
        <v>14.662500000000001</v>
      </c>
      <c r="BK239" s="115">
        <v>52.35</v>
      </c>
      <c r="BL239" s="115">
        <v>37</v>
      </c>
      <c r="BM239" s="115"/>
      <c r="BN239" s="115"/>
      <c r="BO239" s="115"/>
      <c r="BP239" s="115"/>
      <c r="CV239" s="115">
        <v>2024.43</v>
      </c>
      <c r="CW239" s="115" t="s">
        <v>1415</v>
      </c>
      <c r="CX239" s="115" t="s">
        <v>377</v>
      </c>
      <c r="CY239" s="115" t="s">
        <v>2060</v>
      </c>
      <c r="CZ239" s="330">
        <v>43.808399999999999</v>
      </c>
      <c r="DA239" s="115"/>
      <c r="DB239" s="115"/>
      <c r="DR239" s="214"/>
      <c r="DY239" s="115"/>
      <c r="DZ239" s="334"/>
      <c r="EA239" s="334"/>
      <c r="EB239" s="334"/>
      <c r="EC239" s="334"/>
      <c r="ED239" s="187"/>
      <c r="EE239" s="330"/>
      <c r="EH239" s="334"/>
      <c r="EI239" s="334"/>
      <c r="EM239"/>
      <c r="EO239" s="115"/>
      <c r="EP239" s="334" t="s">
        <v>1415</v>
      </c>
      <c r="EQ239" s="334" t="s">
        <v>2114</v>
      </c>
      <c r="ER239" s="334" t="s">
        <v>1475</v>
      </c>
      <c r="ES239" s="334" t="s">
        <v>2164</v>
      </c>
      <c r="ET239" s="334">
        <v>2024.48</v>
      </c>
      <c r="EU239" s="334" t="s">
        <v>397</v>
      </c>
      <c r="EV239" s="334">
        <v>0</v>
      </c>
    </row>
    <row r="240" spans="9:152" ht="13">
      <c r="I240" s="115" t="s">
        <v>2155</v>
      </c>
      <c r="J240" s="115" t="s">
        <v>1356</v>
      </c>
      <c r="K240" s="183" t="s">
        <v>1359</v>
      </c>
      <c r="AI240" s="115" t="s">
        <v>1416</v>
      </c>
      <c r="AJ240" t="s">
        <v>2114</v>
      </c>
      <c r="AK240" s="115">
        <v>0</v>
      </c>
      <c r="AL240" s="115" t="s">
        <v>28</v>
      </c>
      <c r="AM240" s="115" t="s">
        <v>1848</v>
      </c>
      <c r="AN240" s="115" t="s">
        <v>1446</v>
      </c>
      <c r="AO240" s="115" t="s">
        <v>381</v>
      </c>
      <c r="AT240" s="115" t="s">
        <v>1415</v>
      </c>
      <c r="AU240" s="115" t="s">
        <v>2114</v>
      </c>
      <c r="AV240" s="115">
        <v>15</v>
      </c>
      <c r="AW240" s="115" t="s">
        <v>499</v>
      </c>
      <c r="AX240" s="115" t="s">
        <v>28</v>
      </c>
      <c r="AY240" s="115" t="s">
        <v>1832</v>
      </c>
      <c r="AZ240" s="115" t="s">
        <v>1886</v>
      </c>
      <c r="BA240" s="115"/>
      <c r="BB240" s="115"/>
      <c r="BC240" s="115">
        <v>1226.25</v>
      </c>
      <c r="BD240" s="115"/>
      <c r="BE240" s="115"/>
      <c r="BF240" s="115">
        <v>36.5625</v>
      </c>
      <c r="BG240" s="115"/>
      <c r="BH240" s="115">
        <v>1897.8944000000004</v>
      </c>
      <c r="BI240" s="115">
        <v>573</v>
      </c>
      <c r="BJ240" s="115">
        <v>260.10000000000002</v>
      </c>
      <c r="BK240" s="115">
        <v>257.27999999999997</v>
      </c>
      <c r="BL240" s="115">
        <v>470.3</v>
      </c>
      <c r="BM240" s="115"/>
      <c r="BN240" s="115"/>
      <c r="BO240" s="115"/>
      <c r="BP240" s="115"/>
      <c r="CV240" s="115">
        <v>2024.44</v>
      </c>
      <c r="CW240" s="115" t="s">
        <v>1415</v>
      </c>
      <c r="CX240" s="115" t="s">
        <v>377</v>
      </c>
      <c r="CY240" s="115" t="s">
        <v>2060</v>
      </c>
      <c r="CZ240" s="330">
        <v>43.808399999999999</v>
      </c>
      <c r="DA240" s="115"/>
      <c r="DB240" s="115"/>
      <c r="DR240" s="214"/>
      <c r="DY240" s="115"/>
      <c r="DZ240" s="334"/>
      <c r="EA240" s="334"/>
      <c r="EB240" s="334"/>
      <c r="EC240" s="334"/>
      <c r="ED240" s="187"/>
      <c r="EE240" s="330"/>
      <c r="EH240" s="334"/>
      <c r="EI240" s="334"/>
      <c r="EM240"/>
      <c r="EO240" s="115"/>
      <c r="EP240" s="334" t="s">
        <v>1415</v>
      </c>
      <c r="EQ240" s="334" t="s">
        <v>2114</v>
      </c>
      <c r="ER240" s="334" t="s">
        <v>1475</v>
      </c>
      <c r="ES240" s="334" t="s">
        <v>2164</v>
      </c>
      <c r="ET240" s="334">
        <v>2024.48</v>
      </c>
      <c r="EU240" s="334" t="s">
        <v>1382</v>
      </c>
      <c r="EV240" s="334">
        <v>9192.16</v>
      </c>
    </row>
    <row r="241" spans="9:152" ht="13">
      <c r="I241" s="115" t="s">
        <v>2155</v>
      </c>
      <c r="J241" s="115" t="s">
        <v>1366</v>
      </c>
      <c r="K241" s="183">
        <v>3</v>
      </c>
      <c r="AI241" s="115" t="s">
        <v>1416</v>
      </c>
      <c r="AJ241" t="s">
        <v>2114</v>
      </c>
      <c r="AK241" s="115">
        <v>0</v>
      </c>
      <c r="AL241" s="115" t="s">
        <v>28</v>
      </c>
      <c r="AM241" s="115" t="s">
        <v>1850</v>
      </c>
      <c r="AN241" s="115" t="s">
        <v>1446</v>
      </c>
      <c r="AO241" s="115" t="s">
        <v>379</v>
      </c>
      <c r="AT241" s="115" t="s">
        <v>1415</v>
      </c>
      <c r="AU241" s="115" t="s">
        <v>2114</v>
      </c>
      <c r="AV241" s="115">
        <v>15</v>
      </c>
      <c r="AW241" s="115" t="s">
        <v>499</v>
      </c>
      <c r="AX241" s="115" t="s">
        <v>28</v>
      </c>
      <c r="AY241" s="115" t="s">
        <v>1846</v>
      </c>
      <c r="AZ241" s="115" t="s">
        <v>1887</v>
      </c>
      <c r="BA241" s="115"/>
      <c r="BB241" s="115"/>
      <c r="BC241" s="115">
        <v>3796.3395854999999</v>
      </c>
      <c r="BD241" s="115"/>
      <c r="BE241" s="115"/>
      <c r="BF241" s="115"/>
      <c r="BG241" s="115"/>
      <c r="BH241" s="115">
        <v>69449.785211481605</v>
      </c>
      <c r="BI241" s="115">
        <v>9315.8796120000006</v>
      </c>
      <c r="BJ241" s="115">
        <v>1442.5137370800001</v>
      </c>
      <c r="BK241" s="115">
        <v>3507.1567754490011</v>
      </c>
      <c r="BL241" s="115">
        <v>6887.1279041999996</v>
      </c>
      <c r="BM241" s="115">
        <v>18175.0998</v>
      </c>
      <c r="BN241" s="115">
        <v>9927.14</v>
      </c>
      <c r="BO241" s="115">
        <v>11316.32</v>
      </c>
      <c r="BP241" s="115"/>
      <c r="CV241" s="115">
        <v>2024.45</v>
      </c>
      <c r="CW241" s="115" t="s">
        <v>1415</v>
      </c>
      <c r="CX241" s="115" t="s">
        <v>377</v>
      </c>
      <c r="CY241" s="115" t="s">
        <v>2060</v>
      </c>
      <c r="CZ241" s="330">
        <v>43.808399999999999</v>
      </c>
      <c r="DA241" s="115"/>
      <c r="DB241" s="115"/>
      <c r="DR241" s="214"/>
      <c r="DY241" s="115"/>
      <c r="DZ241" s="334"/>
      <c r="EA241" s="334"/>
      <c r="EB241" s="334"/>
      <c r="EC241" s="334"/>
      <c r="ED241" s="187"/>
      <c r="EE241" s="330"/>
      <c r="EH241" s="334"/>
      <c r="EI241" s="334"/>
      <c r="EM241"/>
      <c r="EO241" s="115"/>
      <c r="EP241" s="334" t="s">
        <v>1415</v>
      </c>
      <c r="EQ241" s="334" t="s">
        <v>2114</v>
      </c>
      <c r="ER241" s="334" t="s">
        <v>1475</v>
      </c>
      <c r="ES241" s="334" t="s">
        <v>2164</v>
      </c>
      <c r="ET241" s="334">
        <v>2025.03</v>
      </c>
      <c r="EU241" s="334" t="s">
        <v>397</v>
      </c>
      <c r="EV241" s="334">
        <v>0</v>
      </c>
    </row>
    <row r="242" spans="9:152" ht="13">
      <c r="I242" s="115" t="s">
        <v>2155</v>
      </c>
      <c r="J242" s="115" t="s">
        <v>1357</v>
      </c>
      <c r="K242" s="183">
        <v>35458.811999999998</v>
      </c>
      <c r="AI242" s="115" t="s">
        <v>1416</v>
      </c>
      <c r="AJ242" t="s">
        <v>2114</v>
      </c>
      <c r="AK242" s="115">
        <v>0</v>
      </c>
      <c r="AL242" s="115" t="s">
        <v>28</v>
      </c>
      <c r="AM242" s="115" t="s">
        <v>1848</v>
      </c>
      <c r="AN242" s="115" t="s">
        <v>1446</v>
      </c>
      <c r="AO242" s="115" t="s">
        <v>379</v>
      </c>
      <c r="AT242" s="115" t="s">
        <v>1416</v>
      </c>
      <c r="AU242" s="115" t="s">
        <v>2114</v>
      </c>
      <c r="AV242" s="115">
        <v>0</v>
      </c>
      <c r="AW242" s="115" t="s">
        <v>499</v>
      </c>
      <c r="AX242" s="115" t="s">
        <v>28</v>
      </c>
      <c r="AY242" s="115" t="s">
        <v>1846</v>
      </c>
      <c r="AZ242" s="115" t="s">
        <v>1944</v>
      </c>
      <c r="BA242" s="115"/>
      <c r="BB242" s="115"/>
      <c r="BC242" s="115">
        <v>902.05998750000003</v>
      </c>
      <c r="BD242" s="115"/>
      <c r="BE242" s="115"/>
      <c r="BF242" s="115"/>
      <c r="BG242" s="115"/>
      <c r="BH242" s="115">
        <v>9385.3482125599985</v>
      </c>
      <c r="BI242" s="115">
        <v>1152.3265350000001</v>
      </c>
      <c r="BJ242" s="115">
        <v>103.86783037499998</v>
      </c>
      <c r="BK242" s="115">
        <v>711.00742950000006</v>
      </c>
      <c r="BL242" s="115">
        <v>547.28108099999986</v>
      </c>
      <c r="BM242" s="115">
        <v>3562.2287999999999</v>
      </c>
      <c r="BN242" s="115">
        <v>2239.3249999999998</v>
      </c>
      <c r="BO242" s="115">
        <v>2331.7404000000001</v>
      </c>
      <c r="BP242" s="115"/>
      <c r="CV242" s="115">
        <v>2024.46</v>
      </c>
      <c r="CW242" s="115" t="s">
        <v>1415</v>
      </c>
      <c r="CX242" s="115" t="s">
        <v>377</v>
      </c>
      <c r="CY242" s="115" t="s">
        <v>2060</v>
      </c>
      <c r="CZ242" s="330">
        <v>43.808399999999999</v>
      </c>
      <c r="DA242" s="115"/>
      <c r="DB242" s="115"/>
      <c r="DR242" s="214"/>
      <c r="DY242" s="115"/>
      <c r="DZ242" s="334"/>
      <c r="EA242" s="334"/>
      <c r="EB242" s="334"/>
      <c r="EC242" s="334"/>
      <c r="ED242" s="187"/>
      <c r="EE242" s="330"/>
      <c r="EH242" s="334"/>
      <c r="EI242" s="334"/>
      <c r="EM242"/>
      <c r="EO242" s="115"/>
      <c r="EP242" s="334" t="s">
        <v>1415</v>
      </c>
      <c r="EQ242" s="334" t="s">
        <v>2114</v>
      </c>
      <c r="ER242" s="334" t="s">
        <v>1475</v>
      </c>
      <c r="ES242" s="334" t="s">
        <v>2164</v>
      </c>
      <c r="ET242" s="334">
        <v>2025.03</v>
      </c>
      <c r="EU242" s="334" t="s">
        <v>1382</v>
      </c>
      <c r="EV242" s="334">
        <v>9656.65</v>
      </c>
    </row>
    <row r="243" spans="9:152" ht="13">
      <c r="I243" s="115" t="s">
        <v>2183</v>
      </c>
      <c r="J243" s="115" t="s">
        <v>1363</v>
      </c>
      <c r="K243" s="183">
        <v>125</v>
      </c>
      <c r="AI243" s="115" t="s">
        <v>1416</v>
      </c>
      <c r="AJ243" t="s">
        <v>2114</v>
      </c>
      <c r="AK243" s="115">
        <v>0</v>
      </c>
      <c r="AL243" s="115" t="s">
        <v>28</v>
      </c>
      <c r="AM243" s="115" t="s">
        <v>1846</v>
      </c>
      <c r="AN243" s="115" t="s">
        <v>1446</v>
      </c>
      <c r="AO243" s="115" t="s">
        <v>379</v>
      </c>
      <c r="AT243" s="115" t="s">
        <v>1415</v>
      </c>
      <c r="AU243" s="115" t="s">
        <v>2114</v>
      </c>
      <c r="AV243" s="115">
        <v>15</v>
      </c>
      <c r="AW243" s="115" t="s">
        <v>499</v>
      </c>
      <c r="AX243" s="115" t="s">
        <v>28</v>
      </c>
      <c r="AY243" s="115" t="s">
        <v>1848</v>
      </c>
      <c r="AZ243" s="115" t="s">
        <v>1887</v>
      </c>
      <c r="BA243" s="115"/>
      <c r="BB243" s="115"/>
      <c r="BC243" s="115">
        <v>22387.567529250002</v>
      </c>
      <c r="BD243" s="115"/>
      <c r="BE243" s="115"/>
      <c r="BF243" s="115">
        <v>1437.0509381249999</v>
      </c>
      <c r="BG243" s="115"/>
      <c r="BH243" s="115">
        <v>5055.3766673177606</v>
      </c>
      <c r="BI243" s="115">
        <v>3422.3986199999999</v>
      </c>
      <c r="BJ243" s="115">
        <v>7245.8643019387509</v>
      </c>
      <c r="BK243" s="115">
        <v>547.83096012900012</v>
      </c>
      <c r="BL243" s="115">
        <v>1075.7950481999999</v>
      </c>
      <c r="BM243" s="115"/>
      <c r="BN243" s="115"/>
      <c r="BO243" s="115"/>
      <c r="BP243" s="115"/>
      <c r="CV243" s="115">
        <v>2024.47</v>
      </c>
      <c r="CW243" s="115" t="s">
        <v>1415</v>
      </c>
      <c r="CX243" s="115" t="s">
        <v>377</v>
      </c>
      <c r="CY243" s="115" t="s">
        <v>2060</v>
      </c>
      <c r="CZ243" s="330">
        <v>43.808399999999999</v>
      </c>
      <c r="DA243" s="115"/>
      <c r="DB243" s="115"/>
      <c r="DR243" s="214"/>
      <c r="DY243" s="115"/>
      <c r="DZ243" s="334"/>
      <c r="EA243" s="334"/>
      <c r="EB243" s="334"/>
      <c r="EC243" s="334"/>
      <c r="ED243" s="187"/>
      <c r="EE243" s="330"/>
      <c r="EH243" s="334"/>
      <c r="EI243" s="334"/>
      <c r="EM243"/>
      <c r="EO243" s="115"/>
      <c r="EP243" s="334" t="s">
        <v>1415</v>
      </c>
      <c r="EQ243" s="334" t="s">
        <v>2114</v>
      </c>
      <c r="ER243" s="334" t="s">
        <v>368</v>
      </c>
      <c r="ES243" s="334" t="s">
        <v>379</v>
      </c>
      <c r="ET243" s="334">
        <v>2023.47</v>
      </c>
      <c r="EU243" s="334" t="s">
        <v>397</v>
      </c>
      <c r="EV243" s="334">
        <v>279421.96759999997</v>
      </c>
    </row>
    <row r="244" spans="9:152" ht="13">
      <c r="I244" s="115" t="s">
        <v>2183</v>
      </c>
      <c r="J244" s="115" t="s">
        <v>1353</v>
      </c>
      <c r="K244" s="183" t="s">
        <v>2184</v>
      </c>
      <c r="AI244" s="115" t="s">
        <v>1416</v>
      </c>
      <c r="AJ244" t="s">
        <v>2114</v>
      </c>
      <c r="AK244" s="115">
        <v>0</v>
      </c>
      <c r="AL244" s="115" t="s">
        <v>28</v>
      </c>
      <c r="AM244" s="115" t="s">
        <v>1843</v>
      </c>
      <c r="AN244" s="115" t="s">
        <v>1446</v>
      </c>
      <c r="AO244" s="115" t="s">
        <v>379</v>
      </c>
      <c r="AT244" s="115" t="s">
        <v>1416</v>
      </c>
      <c r="AU244" s="115" t="s">
        <v>2114</v>
      </c>
      <c r="AV244" s="115">
        <v>0</v>
      </c>
      <c r="AW244" s="115" t="s">
        <v>499</v>
      </c>
      <c r="AX244" s="115" t="s">
        <v>28</v>
      </c>
      <c r="AY244" s="115" t="s">
        <v>1848</v>
      </c>
      <c r="AZ244" s="115" t="s">
        <v>1944</v>
      </c>
      <c r="BA244" s="115"/>
      <c r="BB244" s="115"/>
      <c r="BC244" s="115">
        <v>5409.7300125000011</v>
      </c>
      <c r="BD244" s="115"/>
      <c r="BE244" s="115"/>
      <c r="BF244" s="115">
        <v>219.28305000000003</v>
      </c>
      <c r="BG244" s="115"/>
      <c r="BH244" s="115">
        <v>724.41036375999988</v>
      </c>
      <c r="BI244" s="115">
        <v>491.97502750000007</v>
      </c>
      <c r="BJ244" s="115">
        <v>492.17393812500006</v>
      </c>
      <c r="BK244" s="115">
        <v>112.94437500000001</v>
      </c>
      <c r="BL244" s="115">
        <v>86.936249999999987</v>
      </c>
      <c r="BM244" s="115"/>
      <c r="BN244" s="115"/>
      <c r="BO244" s="115"/>
      <c r="BP244" s="115"/>
      <c r="CV244" s="115">
        <v>2024.48</v>
      </c>
      <c r="CW244" s="115" t="s">
        <v>1415</v>
      </c>
      <c r="CX244" s="115" t="s">
        <v>377</v>
      </c>
      <c r="CY244" s="115" t="s">
        <v>2060</v>
      </c>
      <c r="CZ244" s="330">
        <v>43.808399999999999</v>
      </c>
      <c r="DA244" s="115"/>
      <c r="DB244" s="115"/>
      <c r="DR244" s="214"/>
      <c r="DY244" s="115"/>
      <c r="DZ244" s="334"/>
      <c r="EA244" s="334"/>
      <c r="EB244" s="334"/>
      <c r="EC244" s="334"/>
      <c r="ED244" s="187"/>
      <c r="EE244" s="330"/>
      <c r="EH244" s="334"/>
      <c r="EI244" s="334"/>
      <c r="EM244"/>
      <c r="EO244" s="115"/>
      <c r="EP244" s="334" t="s">
        <v>1415</v>
      </c>
      <c r="EQ244" s="334" t="s">
        <v>2114</v>
      </c>
      <c r="ER244" s="334" t="s">
        <v>368</v>
      </c>
      <c r="ES244" s="334" t="s">
        <v>379</v>
      </c>
      <c r="ET244" s="334">
        <v>2023.47</v>
      </c>
      <c r="EU244" s="334" t="s">
        <v>1382</v>
      </c>
      <c r="EV244" s="334">
        <v>279421.96759999997</v>
      </c>
    </row>
    <row r="245" spans="9:152" ht="13">
      <c r="I245" s="115" t="s">
        <v>2183</v>
      </c>
      <c r="J245" s="115" t="s">
        <v>1369</v>
      </c>
      <c r="K245" s="183">
        <v>13</v>
      </c>
      <c r="AI245" s="115" t="s">
        <v>1416</v>
      </c>
      <c r="AJ245" t="s">
        <v>2114</v>
      </c>
      <c r="AK245" s="115">
        <v>0</v>
      </c>
      <c r="AL245" s="115" t="s">
        <v>28</v>
      </c>
      <c r="AM245" s="115" t="s">
        <v>1832</v>
      </c>
      <c r="AN245" s="115" t="s">
        <v>1446</v>
      </c>
      <c r="AO245" s="115" t="s">
        <v>379</v>
      </c>
      <c r="AT245" s="115" t="s">
        <v>1416</v>
      </c>
      <c r="AU245" s="115" t="s">
        <v>2114</v>
      </c>
      <c r="AV245" s="115">
        <v>0</v>
      </c>
      <c r="AW245" s="115" t="s">
        <v>499</v>
      </c>
      <c r="AX245" s="115" t="s">
        <v>28</v>
      </c>
      <c r="AY245" s="115" t="s">
        <v>1843</v>
      </c>
      <c r="AZ245" s="115" t="s">
        <v>1944</v>
      </c>
      <c r="BA245" s="115"/>
      <c r="BB245" s="115"/>
      <c r="BC245" s="115">
        <v>6507</v>
      </c>
      <c r="BD245" s="115"/>
      <c r="BE245" s="115"/>
      <c r="BF245" s="115">
        <v>226.06505154639174</v>
      </c>
      <c r="BG245" s="115"/>
      <c r="BH245" s="115">
        <v>10327.00338041237</v>
      </c>
      <c r="BI245" s="115">
        <v>1677.4678350515464</v>
      </c>
      <c r="BJ245" s="115">
        <v>614.47608247422681</v>
      </c>
      <c r="BK245" s="115">
        <v>849.43484536082485</v>
      </c>
      <c r="BL245" s="115">
        <v>653.83226804123717</v>
      </c>
      <c r="BM245" s="115">
        <v>3562.2287999999999</v>
      </c>
      <c r="BN245" s="115">
        <v>2239.3249999999998</v>
      </c>
      <c r="BO245" s="115">
        <v>2331.7404000000001</v>
      </c>
      <c r="BP245" s="115"/>
      <c r="CV245" s="115">
        <v>2024.49</v>
      </c>
      <c r="CW245" s="115" t="s">
        <v>1415</v>
      </c>
      <c r="CX245" s="115" t="s">
        <v>377</v>
      </c>
      <c r="CY245" s="115" t="s">
        <v>2060</v>
      </c>
      <c r="CZ245" s="330">
        <v>43.808399999999999</v>
      </c>
      <c r="DA245" s="115"/>
      <c r="DB245" s="115"/>
      <c r="DR245" s="214"/>
      <c r="DY245" s="115"/>
      <c r="DZ245" s="334"/>
      <c r="EA245" s="334"/>
      <c r="EB245" s="334"/>
      <c r="EC245" s="334"/>
      <c r="ED245" s="187"/>
      <c r="EE245" s="330"/>
      <c r="EH245" s="334"/>
      <c r="EI245" s="334"/>
      <c r="EM245"/>
      <c r="EO245" s="115"/>
      <c r="EP245" s="334" t="s">
        <v>1415</v>
      </c>
      <c r="EQ245" s="334" t="s">
        <v>2114</v>
      </c>
      <c r="ER245" s="334" t="s">
        <v>368</v>
      </c>
      <c r="ES245" s="334" t="s">
        <v>379</v>
      </c>
      <c r="ET245" s="334">
        <v>2024.44</v>
      </c>
      <c r="EU245" s="334" t="s">
        <v>397</v>
      </c>
      <c r="EV245" s="334">
        <v>385777.33880000003</v>
      </c>
    </row>
    <row r="246" spans="9:152" ht="13">
      <c r="I246" s="115" t="s">
        <v>2183</v>
      </c>
      <c r="J246" s="115" t="s">
        <v>1355</v>
      </c>
      <c r="K246" s="183">
        <v>8</v>
      </c>
      <c r="AI246" s="115" t="s">
        <v>1416</v>
      </c>
      <c r="AJ246" t="s">
        <v>2114</v>
      </c>
      <c r="AK246" s="115">
        <v>0</v>
      </c>
      <c r="AL246" s="115" t="s">
        <v>28</v>
      </c>
      <c r="AM246" s="115" t="s">
        <v>1849</v>
      </c>
      <c r="AN246" s="115" t="s">
        <v>1446</v>
      </c>
      <c r="AO246" s="115" t="s">
        <v>379</v>
      </c>
      <c r="AT246" s="115" t="s">
        <v>1415</v>
      </c>
      <c r="AU246" s="115" t="s">
        <v>2114</v>
      </c>
      <c r="AV246" s="115">
        <v>15</v>
      </c>
      <c r="AW246" s="115" t="s">
        <v>499</v>
      </c>
      <c r="AX246" s="115" t="s">
        <v>28</v>
      </c>
      <c r="AY246" s="115" t="s">
        <v>1843</v>
      </c>
      <c r="AZ246" s="115" t="s">
        <v>1887</v>
      </c>
      <c r="BA246" s="115"/>
      <c r="BB246" s="115"/>
      <c r="BC246" s="115">
        <v>25950.593298969074</v>
      </c>
      <c r="BD246" s="115"/>
      <c r="BE246" s="115"/>
      <c r="BF246" s="115">
        <v>1425.9767010309279</v>
      </c>
      <c r="BG246" s="115"/>
      <c r="BH246" s="115">
        <v>70402.84072783505</v>
      </c>
      <c r="BI246" s="115">
        <v>11142.974226804123</v>
      </c>
      <c r="BJ246" s="115">
        <v>8609.4409278350522</v>
      </c>
      <c r="BK246" s="115">
        <v>3994.6125773195877</v>
      </c>
      <c r="BL246" s="115">
        <v>8961.5148453608253</v>
      </c>
      <c r="BM246" s="115">
        <v>18175.0998</v>
      </c>
      <c r="BN246" s="115">
        <v>9927.14</v>
      </c>
      <c r="BO246" s="115">
        <v>11316.32</v>
      </c>
      <c r="BP246" s="115"/>
      <c r="CV246" s="115">
        <v>2024.5</v>
      </c>
      <c r="CW246" s="115" t="s">
        <v>1415</v>
      </c>
      <c r="CX246" s="115" t="s">
        <v>377</v>
      </c>
      <c r="CY246" s="115" t="s">
        <v>2060</v>
      </c>
      <c r="CZ246" s="330">
        <v>43.808399999999999</v>
      </c>
      <c r="DA246" s="115"/>
      <c r="DB246" s="115"/>
      <c r="DR246" s="214"/>
      <c r="DY246" s="115"/>
      <c r="DZ246" s="334"/>
      <c r="EA246" s="334"/>
      <c r="EB246" s="334"/>
      <c r="EC246" s="334"/>
      <c r="ED246" s="187"/>
      <c r="EE246" s="330"/>
      <c r="EH246" s="334"/>
      <c r="EI246" s="334"/>
      <c r="EM246"/>
      <c r="EO246" s="115"/>
      <c r="EP246" s="334" t="s">
        <v>1415</v>
      </c>
      <c r="EQ246" s="334" t="s">
        <v>2114</v>
      </c>
      <c r="ER246" s="334" t="s">
        <v>368</v>
      </c>
      <c r="ES246" s="334" t="s">
        <v>379</v>
      </c>
      <c r="ET246" s="334">
        <v>2024.44</v>
      </c>
      <c r="EU246" s="334" t="s">
        <v>1382</v>
      </c>
      <c r="EV246" s="334">
        <v>385777.33880000003</v>
      </c>
    </row>
    <row r="247" spans="9:152" ht="13">
      <c r="I247" s="115" t="s">
        <v>2183</v>
      </c>
      <c r="J247" s="115" t="s">
        <v>1361</v>
      </c>
      <c r="K247" s="183">
        <v>69.23</v>
      </c>
      <c r="AI247" s="115" t="s">
        <v>1416</v>
      </c>
      <c r="AJ247" t="s">
        <v>2114</v>
      </c>
      <c r="AK247" s="115">
        <v>0</v>
      </c>
      <c r="AL247" s="115" t="s">
        <v>28</v>
      </c>
      <c r="AM247" s="115" t="s">
        <v>1846</v>
      </c>
      <c r="AN247" s="115" t="s">
        <v>1446</v>
      </c>
      <c r="AO247" s="115" t="s">
        <v>1645</v>
      </c>
      <c r="AT247" s="115" t="s">
        <v>1415</v>
      </c>
      <c r="AU247" s="115" t="s">
        <v>2114</v>
      </c>
      <c r="AV247" s="115">
        <v>15</v>
      </c>
      <c r="AW247" s="115" t="s">
        <v>499</v>
      </c>
      <c r="AX247" s="115" t="s">
        <v>28</v>
      </c>
      <c r="AY247" s="115" t="s">
        <v>1849</v>
      </c>
      <c r="AZ247" s="115" t="s">
        <v>1887</v>
      </c>
      <c r="BA247" s="115"/>
      <c r="BB247" s="115"/>
      <c r="BC247" s="115">
        <v>168.05250000000001</v>
      </c>
      <c r="BD247" s="115"/>
      <c r="BE247" s="115"/>
      <c r="BF247" s="115"/>
      <c r="BG247" s="115"/>
      <c r="BH247" s="115">
        <v>1045.1807424000001</v>
      </c>
      <c r="BI247" s="115">
        <v>267.72000000000003</v>
      </c>
      <c r="BJ247" s="115">
        <v>17.994712499999999</v>
      </c>
      <c r="BK247" s="115">
        <v>121.80969000000003</v>
      </c>
      <c r="BL247" s="115">
        <v>239.20199999999997</v>
      </c>
      <c r="BM247" s="115"/>
      <c r="BN247" s="115"/>
      <c r="BO247" s="115"/>
      <c r="BP247" s="115"/>
      <c r="CV247" s="115">
        <v>2024.39</v>
      </c>
      <c r="CW247" s="115" t="s">
        <v>1415</v>
      </c>
      <c r="CX247" s="115" t="s">
        <v>377</v>
      </c>
      <c r="CY247" s="115" t="s">
        <v>1796</v>
      </c>
      <c r="CZ247" s="330">
        <v>3.0746000000000002</v>
      </c>
      <c r="DA247" s="115"/>
      <c r="DB247" s="115"/>
      <c r="DR247" s="214"/>
      <c r="DY247" s="115"/>
      <c r="DZ247" s="334"/>
      <c r="EA247" s="334"/>
      <c r="EB247" s="334"/>
      <c r="EC247" s="334"/>
      <c r="ED247" s="187"/>
      <c r="EE247" s="330"/>
      <c r="EH247" s="334"/>
      <c r="EI247" s="334"/>
      <c r="EM247"/>
      <c r="EO247" s="115"/>
      <c r="EP247" s="334" t="s">
        <v>1415</v>
      </c>
      <c r="EQ247" s="334" t="s">
        <v>2114</v>
      </c>
      <c r="ER247" s="334" t="s">
        <v>368</v>
      </c>
      <c r="ES247" s="334" t="s">
        <v>379</v>
      </c>
      <c r="ET247" s="334">
        <v>2024.48</v>
      </c>
      <c r="EU247" s="334" t="s">
        <v>397</v>
      </c>
      <c r="EV247" s="334">
        <v>385777.33880000003</v>
      </c>
    </row>
    <row r="248" spans="9:152" ht="13">
      <c r="I248" s="115" t="s">
        <v>2183</v>
      </c>
      <c r="J248" s="115" t="s">
        <v>1364</v>
      </c>
      <c r="K248" s="183">
        <v>300</v>
      </c>
      <c r="AI248" s="115" t="s">
        <v>1416</v>
      </c>
      <c r="AJ248" t="s">
        <v>2114</v>
      </c>
      <c r="AK248" s="115">
        <v>0</v>
      </c>
      <c r="AL248" s="115" t="s">
        <v>28</v>
      </c>
      <c r="AM248" s="115" t="s">
        <v>1849</v>
      </c>
      <c r="AN248" s="115" t="s">
        <v>1446</v>
      </c>
      <c r="AO248" s="115" t="s">
        <v>1645</v>
      </c>
      <c r="AT248" s="115" t="s">
        <v>1416</v>
      </c>
      <c r="AU248" s="115" t="s">
        <v>2114</v>
      </c>
      <c r="AV248" s="115">
        <v>0</v>
      </c>
      <c r="AW248" s="115" t="s">
        <v>499</v>
      </c>
      <c r="AX248" s="115" t="s">
        <v>28</v>
      </c>
      <c r="AY248" s="115" t="s">
        <v>1849</v>
      </c>
      <c r="AZ248" s="115" t="s">
        <v>1944</v>
      </c>
      <c r="BA248" s="115"/>
      <c r="BB248" s="115"/>
      <c r="BC248" s="115">
        <v>43.831875000000004</v>
      </c>
      <c r="BD248" s="115"/>
      <c r="BE248" s="115"/>
      <c r="BF248" s="115"/>
      <c r="BG248" s="115"/>
      <c r="BH248" s="115">
        <v>161.65864799999997</v>
      </c>
      <c r="BI248" s="115">
        <v>41.540250000000007</v>
      </c>
      <c r="BJ248" s="115">
        <v>1.4222624999999998</v>
      </c>
      <c r="BK248" s="115">
        <v>27.106650000000002</v>
      </c>
      <c r="BL248" s="115">
        <v>20.864699999999996</v>
      </c>
      <c r="BM248" s="115"/>
      <c r="BN248" s="115"/>
      <c r="BO248" s="115"/>
      <c r="BP248" s="115"/>
      <c r="CV248" s="115">
        <v>2024.4</v>
      </c>
      <c r="CW248" s="115" t="s">
        <v>1415</v>
      </c>
      <c r="CX248" s="115" t="s">
        <v>377</v>
      </c>
      <c r="CY248" s="115" t="s">
        <v>1796</v>
      </c>
      <c r="CZ248" s="330">
        <v>3.0746000000000002</v>
      </c>
      <c r="DA248" s="115"/>
      <c r="DB248" s="115"/>
      <c r="DR248" s="214"/>
      <c r="DY248" s="115"/>
      <c r="DZ248" s="334"/>
      <c r="EA248" s="334"/>
      <c r="EB248" s="334"/>
      <c r="EC248" s="334"/>
      <c r="ED248" s="187"/>
      <c r="EE248" s="330"/>
      <c r="EH248" s="334"/>
      <c r="EI248" s="334"/>
      <c r="EM248"/>
      <c r="EO248" s="115"/>
      <c r="EP248" s="334" t="s">
        <v>1415</v>
      </c>
      <c r="EQ248" s="334" t="s">
        <v>2114</v>
      </c>
      <c r="ER248" s="334" t="s">
        <v>368</v>
      </c>
      <c r="ES248" s="334" t="s">
        <v>379</v>
      </c>
      <c r="ET248" s="334">
        <v>2024.48</v>
      </c>
      <c r="EU248" s="334" t="s">
        <v>1382</v>
      </c>
      <c r="EV248" s="334">
        <v>435777.33880000003</v>
      </c>
    </row>
    <row r="249" spans="9:152" ht="13">
      <c r="I249" s="115" t="s">
        <v>2183</v>
      </c>
      <c r="J249" s="115" t="s">
        <v>1367</v>
      </c>
      <c r="K249" s="183">
        <v>8</v>
      </c>
      <c r="AI249" s="115" t="s">
        <v>1416</v>
      </c>
      <c r="AJ249" t="s">
        <v>2114</v>
      </c>
      <c r="AK249" s="115">
        <v>0</v>
      </c>
      <c r="AL249" s="115" t="s">
        <v>28</v>
      </c>
      <c r="AM249" s="115" t="s">
        <v>1832</v>
      </c>
      <c r="AN249" s="115" t="s">
        <v>1446</v>
      </c>
      <c r="AO249" s="115" t="s">
        <v>1645</v>
      </c>
      <c r="AT249" s="115" t="s">
        <v>1416</v>
      </c>
      <c r="AU249" s="115" t="s">
        <v>2114</v>
      </c>
      <c r="AV249" s="115">
        <v>0</v>
      </c>
      <c r="AW249" s="115" t="s">
        <v>499</v>
      </c>
      <c r="AX249" s="115" t="s">
        <v>28</v>
      </c>
      <c r="AY249" s="115" t="s">
        <v>1850</v>
      </c>
      <c r="AZ249" s="115" t="s">
        <v>1944</v>
      </c>
      <c r="BA249" s="115"/>
      <c r="BB249" s="115"/>
      <c r="BC249" s="115">
        <v>131.49562500000002</v>
      </c>
      <c r="BD249" s="115"/>
      <c r="BE249" s="115"/>
      <c r="BF249" s="115">
        <v>5.0925000000000002</v>
      </c>
      <c r="BG249" s="115"/>
      <c r="BH249" s="115">
        <v>17.962071999999999</v>
      </c>
      <c r="BI249" s="115">
        <v>13.846750000000002</v>
      </c>
      <c r="BJ249" s="115">
        <v>12.8003625</v>
      </c>
      <c r="BK249" s="115">
        <v>3.0118500000000004</v>
      </c>
      <c r="BL249" s="115">
        <v>2.3182999999999998</v>
      </c>
      <c r="BM249" s="115"/>
      <c r="BN249" s="115"/>
      <c r="BO249" s="115"/>
      <c r="BP249" s="115"/>
      <c r="CV249" s="115">
        <v>2024.41</v>
      </c>
      <c r="CW249" s="115" t="s">
        <v>1415</v>
      </c>
      <c r="CX249" s="115" t="s">
        <v>377</v>
      </c>
      <c r="CY249" s="115" t="s">
        <v>1796</v>
      </c>
      <c r="CZ249" s="330">
        <v>3.0746000000000002</v>
      </c>
      <c r="DA249" s="115"/>
      <c r="DB249" s="115"/>
      <c r="DR249" s="214"/>
      <c r="DY249" s="115"/>
      <c r="DZ249" s="334"/>
      <c r="EA249" s="334"/>
      <c r="EB249" s="334"/>
      <c r="EC249" s="334"/>
      <c r="ED249" s="187"/>
      <c r="EE249" s="330"/>
      <c r="EH249" s="334"/>
      <c r="EI249" s="334"/>
      <c r="EM249"/>
      <c r="EO249" s="115"/>
      <c r="EP249" s="334" t="s">
        <v>1415</v>
      </c>
      <c r="EQ249" s="334" t="s">
        <v>2114</v>
      </c>
      <c r="ER249" s="334" t="s">
        <v>368</v>
      </c>
      <c r="ES249" s="334" t="s">
        <v>1275</v>
      </c>
      <c r="ET249" s="334">
        <v>2024.48</v>
      </c>
      <c r="EU249" s="334" t="s">
        <v>397</v>
      </c>
      <c r="EV249" s="334">
        <v>0</v>
      </c>
    </row>
    <row r="250" spans="9:152" ht="13">
      <c r="I250" s="115" t="s">
        <v>2183</v>
      </c>
      <c r="J250" s="115" t="s">
        <v>1362</v>
      </c>
      <c r="K250" s="183">
        <v>95</v>
      </c>
      <c r="AI250" s="115" t="s">
        <v>1416</v>
      </c>
      <c r="AJ250" t="s">
        <v>2114</v>
      </c>
      <c r="AK250" s="115">
        <v>0</v>
      </c>
      <c r="AL250" s="115" t="s">
        <v>28</v>
      </c>
      <c r="AM250" s="115" t="s">
        <v>1850</v>
      </c>
      <c r="AN250" s="115" t="s">
        <v>1446</v>
      </c>
      <c r="AO250" s="115" t="s">
        <v>1645</v>
      </c>
      <c r="AT250" s="115" t="s">
        <v>1415</v>
      </c>
      <c r="AU250" s="115" t="s">
        <v>2114</v>
      </c>
      <c r="AV250" s="115">
        <v>15</v>
      </c>
      <c r="AW250" s="115" t="s">
        <v>499</v>
      </c>
      <c r="AX250" s="115" t="s">
        <v>28</v>
      </c>
      <c r="AY250" s="115" t="s">
        <v>1850</v>
      </c>
      <c r="AZ250" s="115" t="s">
        <v>1887</v>
      </c>
      <c r="BA250" s="115"/>
      <c r="BB250" s="115"/>
      <c r="BC250" s="115">
        <v>504.15750000000003</v>
      </c>
      <c r="BD250" s="115"/>
      <c r="BE250" s="115"/>
      <c r="BF250" s="115">
        <v>30.918749999999999</v>
      </c>
      <c r="BG250" s="115"/>
      <c r="BH250" s="115">
        <v>116.13119360000002</v>
      </c>
      <c r="BI250" s="115">
        <v>89.240000000000009</v>
      </c>
      <c r="BJ250" s="115">
        <v>161.95241250000004</v>
      </c>
      <c r="BK250" s="115">
        <v>13.534410000000003</v>
      </c>
      <c r="BL250" s="115">
        <v>26.577999999999999</v>
      </c>
      <c r="BM250" s="115"/>
      <c r="BN250" s="115"/>
      <c r="BO250" s="115"/>
      <c r="BP250" s="115"/>
      <c r="CV250" s="115">
        <v>2024.42</v>
      </c>
      <c r="CW250" s="115" t="s">
        <v>1415</v>
      </c>
      <c r="CX250" s="115" t="s">
        <v>377</v>
      </c>
      <c r="CY250" s="115" t="s">
        <v>1796</v>
      </c>
      <c r="CZ250" s="330">
        <v>3.0746000000000002</v>
      </c>
      <c r="DA250" s="115"/>
      <c r="DB250" s="115"/>
      <c r="DR250" s="214"/>
      <c r="DY250" s="115"/>
      <c r="DZ250" s="334"/>
      <c r="EA250" s="334"/>
      <c r="EB250" s="334"/>
      <c r="EC250" s="334"/>
      <c r="ED250" s="187"/>
      <c r="EE250" s="330"/>
      <c r="EH250" s="334"/>
      <c r="EI250" s="334"/>
      <c r="EM250"/>
      <c r="EO250" s="115"/>
      <c r="EP250" s="334" t="s">
        <v>1415</v>
      </c>
      <c r="EQ250" s="334" t="s">
        <v>2114</v>
      </c>
      <c r="ER250" s="334" t="s">
        <v>368</v>
      </c>
      <c r="ES250" s="334" t="s">
        <v>1275</v>
      </c>
      <c r="ET250" s="334">
        <v>2024.48</v>
      </c>
      <c r="EU250" s="334" t="s">
        <v>1382</v>
      </c>
      <c r="EV250" s="334">
        <v>35150</v>
      </c>
    </row>
    <row r="251" spans="9:152" ht="13">
      <c r="I251" s="115" t="s">
        <v>2183</v>
      </c>
      <c r="J251" s="115" t="s">
        <v>1368</v>
      </c>
      <c r="K251" s="183">
        <v>11.5</v>
      </c>
      <c r="AI251" s="115" t="s">
        <v>1416</v>
      </c>
      <c r="AJ251" t="s">
        <v>2114</v>
      </c>
      <c r="AK251" s="115">
        <v>0</v>
      </c>
      <c r="AL251" s="115" t="s">
        <v>28</v>
      </c>
      <c r="AM251" s="115" t="s">
        <v>1848</v>
      </c>
      <c r="AN251" s="115" t="s">
        <v>1446</v>
      </c>
      <c r="AO251" s="115" t="s">
        <v>1645</v>
      </c>
      <c r="AT251" s="115" t="s">
        <v>1415</v>
      </c>
      <c r="AU251" s="115" t="s">
        <v>2114</v>
      </c>
      <c r="AV251" s="115">
        <v>15</v>
      </c>
      <c r="AW251" s="115" t="s">
        <v>499</v>
      </c>
      <c r="AX251" s="115" t="s">
        <v>28</v>
      </c>
      <c r="AY251" s="115" t="s">
        <v>1832</v>
      </c>
      <c r="AZ251" s="115" t="s">
        <v>1887</v>
      </c>
      <c r="BA251" s="115"/>
      <c r="BB251" s="115"/>
      <c r="BC251" s="115">
        <v>693</v>
      </c>
      <c r="BD251" s="115"/>
      <c r="BE251" s="115"/>
      <c r="BF251" s="115">
        <v>31.875</v>
      </c>
      <c r="BG251" s="115"/>
      <c r="BH251" s="115">
        <v>1197.2288000000001</v>
      </c>
      <c r="BI251" s="115">
        <v>368.00000000000006</v>
      </c>
      <c r="BJ251" s="115">
        <v>185.51250000000005</v>
      </c>
      <c r="BK251" s="115">
        <v>139.53000000000003</v>
      </c>
      <c r="BL251" s="115">
        <v>274</v>
      </c>
      <c r="BM251" s="115"/>
      <c r="BN251" s="115"/>
      <c r="BO251" s="115"/>
      <c r="BP251" s="115"/>
      <c r="CV251" s="115">
        <v>2024.43</v>
      </c>
      <c r="CW251" s="115" t="s">
        <v>1415</v>
      </c>
      <c r="CX251" s="115" t="s">
        <v>377</v>
      </c>
      <c r="CY251" s="115" t="s">
        <v>1796</v>
      </c>
      <c r="CZ251" s="330">
        <v>3.0746000000000002</v>
      </c>
      <c r="DA251" s="115"/>
      <c r="DB251" s="115"/>
      <c r="DR251" s="214"/>
      <c r="DY251" s="115"/>
      <c r="DZ251" s="334"/>
      <c r="EA251" s="334"/>
      <c r="EB251" s="334"/>
      <c r="EC251" s="334"/>
      <c r="ED251" s="187"/>
      <c r="EE251" s="330"/>
      <c r="EH251" s="334"/>
      <c r="EI251" s="334"/>
      <c r="EM251"/>
      <c r="EO251" s="115"/>
      <c r="EP251" s="334" t="s">
        <v>1415</v>
      </c>
      <c r="EQ251" s="334" t="s">
        <v>2114</v>
      </c>
      <c r="ER251" s="334" t="s">
        <v>368</v>
      </c>
      <c r="ES251" s="334" t="s">
        <v>1275</v>
      </c>
      <c r="ET251" s="334">
        <v>2025.03</v>
      </c>
      <c r="EU251" s="334" t="s">
        <v>397</v>
      </c>
      <c r="EV251" s="334">
        <v>0</v>
      </c>
    </row>
    <row r="252" spans="9:152" ht="13">
      <c r="I252" s="115" t="s">
        <v>2183</v>
      </c>
      <c r="J252" s="115" t="s">
        <v>1360</v>
      </c>
      <c r="K252" s="183">
        <v>0.22</v>
      </c>
      <c r="AI252" s="115" t="s">
        <v>1416</v>
      </c>
      <c r="AJ252" t="s">
        <v>2114</v>
      </c>
      <c r="AK252" s="115">
        <v>0</v>
      </c>
      <c r="AL252" s="115" t="s">
        <v>28</v>
      </c>
      <c r="AM252" s="115" t="s">
        <v>1843</v>
      </c>
      <c r="AN252" s="115" t="s">
        <v>1446</v>
      </c>
      <c r="AO252" s="115" t="s">
        <v>1645</v>
      </c>
      <c r="AT252" s="115" t="s">
        <v>1416</v>
      </c>
      <c r="AU252" s="115" t="s">
        <v>2114</v>
      </c>
      <c r="AV252" s="115">
        <v>0</v>
      </c>
      <c r="AW252" s="115" t="s">
        <v>499</v>
      </c>
      <c r="AX252" s="115" t="s">
        <v>28</v>
      </c>
      <c r="AY252" s="115" t="s">
        <v>1832</v>
      </c>
      <c r="AZ252" s="115" t="s">
        <v>1944</v>
      </c>
      <c r="BA252" s="115"/>
      <c r="BB252" s="115"/>
      <c r="BC252" s="115">
        <v>180.75000000000003</v>
      </c>
      <c r="BD252" s="115"/>
      <c r="BE252" s="115"/>
      <c r="BF252" s="115">
        <v>5.25</v>
      </c>
      <c r="BG252" s="115"/>
      <c r="BH252" s="115">
        <v>185.17599999999999</v>
      </c>
      <c r="BI252" s="115">
        <v>57.100000000000009</v>
      </c>
      <c r="BJ252" s="115">
        <v>14.662500000000001</v>
      </c>
      <c r="BK252" s="115">
        <v>31.05</v>
      </c>
      <c r="BL252" s="115">
        <v>23.9</v>
      </c>
      <c r="BM252" s="115"/>
      <c r="BN252" s="115"/>
      <c r="BO252" s="115"/>
      <c r="BP252" s="115"/>
      <c r="CV252" s="115">
        <v>2024.44</v>
      </c>
      <c r="CW252" s="115" t="s">
        <v>1415</v>
      </c>
      <c r="CX252" s="115" t="s">
        <v>377</v>
      </c>
      <c r="CY252" s="115" t="s">
        <v>1796</v>
      </c>
      <c r="CZ252" s="330">
        <v>3.0746000000000002</v>
      </c>
      <c r="DA252" s="115"/>
      <c r="DB252" s="115"/>
      <c r="DR252" s="214"/>
      <c r="DY252" s="115"/>
      <c r="DZ252" s="334"/>
      <c r="EA252" s="334"/>
      <c r="EB252" s="334"/>
      <c r="EC252" s="334"/>
      <c r="ED252" s="187"/>
      <c r="EE252" s="330"/>
      <c r="EH252" s="334"/>
      <c r="EI252" s="334"/>
      <c r="EM252"/>
      <c r="EO252" s="115"/>
      <c r="EP252" s="334" t="s">
        <v>1415</v>
      </c>
      <c r="EQ252" s="334" t="s">
        <v>2114</v>
      </c>
      <c r="ER252" s="334" t="s">
        <v>368</v>
      </c>
      <c r="ES252" s="334" t="s">
        <v>1275</v>
      </c>
      <c r="ET252" s="334">
        <v>2025.03</v>
      </c>
      <c r="EU252" s="334" t="s">
        <v>1382</v>
      </c>
      <c r="EV252" s="334">
        <v>36132.57</v>
      </c>
    </row>
    <row r="253" spans="9:152" ht="13">
      <c r="I253" s="115" t="s">
        <v>2183</v>
      </c>
      <c r="J253" s="115" t="s">
        <v>1358</v>
      </c>
      <c r="K253" s="183" t="s">
        <v>375</v>
      </c>
      <c r="AI253" s="115" t="s">
        <v>1416</v>
      </c>
      <c r="AJ253" t="s">
        <v>2114</v>
      </c>
      <c r="AK253" s="115">
        <v>0</v>
      </c>
      <c r="AL253" s="115" t="s">
        <v>28</v>
      </c>
      <c r="AM253" s="115" t="s">
        <v>1846</v>
      </c>
      <c r="AN253" s="115" t="s">
        <v>1446</v>
      </c>
      <c r="AO253" s="115" t="s">
        <v>1646</v>
      </c>
      <c r="AT253" s="115" t="s">
        <v>1415</v>
      </c>
      <c r="AU253" s="115" t="s">
        <v>2114</v>
      </c>
      <c r="AV253" s="115">
        <v>15</v>
      </c>
      <c r="AW253" s="115" t="s">
        <v>499</v>
      </c>
      <c r="AX253" s="115" t="s">
        <v>28</v>
      </c>
      <c r="AY253" s="115" t="s">
        <v>1846</v>
      </c>
      <c r="AZ253" s="115" t="s">
        <v>1888</v>
      </c>
      <c r="BA253" s="115"/>
      <c r="BB253" s="115"/>
      <c r="BC253" s="115">
        <v>1309.2715165</v>
      </c>
      <c r="BD253" s="115"/>
      <c r="BE253" s="115"/>
      <c r="BF253" s="115"/>
      <c r="BG253" s="115"/>
      <c r="BH253" s="115">
        <v>10250.0189273056</v>
      </c>
      <c r="BI253" s="115">
        <v>1265.2382146950001</v>
      </c>
      <c r="BJ253" s="115">
        <v>128.88438887999999</v>
      </c>
      <c r="BK253" s="115">
        <v>543.93229141200004</v>
      </c>
      <c r="BL253" s="115">
        <v>1123.55699751</v>
      </c>
      <c r="BM253" s="115">
        <v>1291.9999999999995</v>
      </c>
      <c r="BN253" s="115">
        <v>2062.08</v>
      </c>
      <c r="BO253" s="115">
        <v>2536.98</v>
      </c>
      <c r="BP253" s="115"/>
      <c r="CV253" s="115">
        <v>2024.45</v>
      </c>
      <c r="CW253" s="115" t="s">
        <v>1415</v>
      </c>
      <c r="CX253" s="115" t="s">
        <v>377</v>
      </c>
      <c r="CY253" s="115" t="s">
        <v>1796</v>
      </c>
      <c r="CZ253" s="330">
        <v>3.0746000000000002</v>
      </c>
      <c r="DA253" s="115"/>
      <c r="DB253" s="115"/>
      <c r="DR253" s="214"/>
      <c r="DY253" s="115"/>
      <c r="DZ253" s="334"/>
      <c r="EA253" s="334"/>
      <c r="EB253" s="334"/>
      <c r="EC253" s="334"/>
      <c r="ED253" s="187"/>
      <c r="EE253" s="330"/>
      <c r="EH253" s="334"/>
      <c r="EI253" s="334"/>
      <c r="EM253"/>
      <c r="EO253" s="115"/>
      <c r="EP253" s="334" t="s">
        <v>1415</v>
      </c>
      <c r="EQ253" s="334" t="s">
        <v>2114</v>
      </c>
      <c r="ER253" s="334" t="s">
        <v>368</v>
      </c>
      <c r="ES253" s="334" t="s">
        <v>385</v>
      </c>
      <c r="ET253" s="334">
        <v>2024.48</v>
      </c>
      <c r="EU253" s="334" t="s">
        <v>397</v>
      </c>
      <c r="EV253" s="334">
        <v>0</v>
      </c>
    </row>
    <row r="254" spans="9:152" ht="13">
      <c r="I254" s="115" t="s">
        <v>2183</v>
      </c>
      <c r="J254" s="115" t="s">
        <v>1354</v>
      </c>
      <c r="K254" s="183">
        <v>45708</v>
      </c>
      <c r="AI254" s="115" t="s">
        <v>1416</v>
      </c>
      <c r="AJ254" t="s">
        <v>2114</v>
      </c>
      <c r="AK254" s="115">
        <v>0</v>
      </c>
      <c r="AL254" s="115" t="s">
        <v>28</v>
      </c>
      <c r="AM254" s="115" t="s">
        <v>1843</v>
      </c>
      <c r="AN254" s="115" t="s">
        <v>1446</v>
      </c>
      <c r="AO254" s="115" t="s">
        <v>1646</v>
      </c>
      <c r="AT254" s="115" t="s">
        <v>1416</v>
      </c>
      <c r="AU254" s="115" t="s">
        <v>2114</v>
      </c>
      <c r="AV254" s="115">
        <v>0</v>
      </c>
      <c r="AW254" s="115" t="s">
        <v>499</v>
      </c>
      <c r="AX254" s="115" t="s">
        <v>28</v>
      </c>
      <c r="AY254" s="115" t="s">
        <v>1846</v>
      </c>
      <c r="AZ254" s="115" t="s">
        <v>1945</v>
      </c>
      <c r="BA254" s="115"/>
      <c r="BB254" s="115"/>
      <c r="BC254" s="115">
        <v>1197.7559999999999</v>
      </c>
      <c r="BD254" s="115"/>
      <c r="BE254" s="115"/>
      <c r="BF254" s="115"/>
      <c r="BG254" s="115"/>
      <c r="BH254" s="115">
        <v>13228.871446648001</v>
      </c>
      <c r="BI254" s="115">
        <v>1775.9147999999993</v>
      </c>
      <c r="BJ254" s="115">
        <v>126.4477935</v>
      </c>
      <c r="BK254" s="115">
        <v>1163.2585320000001</v>
      </c>
      <c r="BL254" s="115">
        <v>787.71837599999992</v>
      </c>
      <c r="BM254" s="115">
        <v>5576.3767000000007</v>
      </c>
      <c r="BN254" s="115">
        <v>3403.502</v>
      </c>
      <c r="BO254" s="115">
        <v>3378.1992</v>
      </c>
      <c r="BP254" s="115"/>
      <c r="CV254" s="115">
        <v>2024.46</v>
      </c>
      <c r="CW254" s="115" t="s">
        <v>1415</v>
      </c>
      <c r="CX254" s="115" t="s">
        <v>377</v>
      </c>
      <c r="CY254" s="115" t="s">
        <v>1796</v>
      </c>
      <c r="CZ254" s="330">
        <v>3.0746000000000002</v>
      </c>
      <c r="DA254" s="115"/>
      <c r="DB254" s="115"/>
      <c r="DR254" s="214"/>
      <c r="DY254" s="115"/>
      <c r="DZ254" s="334"/>
      <c r="EA254" s="334"/>
      <c r="EB254" s="334"/>
      <c r="EC254" s="334"/>
      <c r="ED254" s="187"/>
      <c r="EE254" s="330"/>
      <c r="EH254" s="334"/>
      <c r="EI254" s="334"/>
      <c r="EM254"/>
      <c r="EO254" s="115"/>
      <c r="EP254" s="334" t="s">
        <v>1415</v>
      </c>
      <c r="EQ254" s="334" t="s">
        <v>2114</v>
      </c>
      <c r="ER254" s="334" t="s">
        <v>368</v>
      </c>
      <c r="ES254" s="334" t="s">
        <v>385</v>
      </c>
      <c r="ET254" s="334">
        <v>2024.48</v>
      </c>
      <c r="EU254" s="334" t="s">
        <v>1382</v>
      </c>
      <c r="EV254" s="334">
        <v>201.29</v>
      </c>
    </row>
    <row r="255" spans="9:152" ht="13">
      <c r="I255" s="115" t="s">
        <v>2183</v>
      </c>
      <c r="J255" s="115" t="s">
        <v>1365</v>
      </c>
      <c r="K255" s="183">
        <v>15</v>
      </c>
      <c r="AI255" s="115" t="s">
        <v>1416</v>
      </c>
      <c r="AJ255" t="s">
        <v>2114</v>
      </c>
      <c r="AK255" s="115">
        <v>0</v>
      </c>
      <c r="AL255" s="115" t="s">
        <v>28</v>
      </c>
      <c r="AM255" s="115" t="s">
        <v>1843</v>
      </c>
      <c r="AN255" s="115" t="s">
        <v>1446</v>
      </c>
      <c r="AO255" s="115" t="s">
        <v>1647</v>
      </c>
      <c r="AT255" s="115" t="s">
        <v>1416</v>
      </c>
      <c r="AU255" s="115" t="s">
        <v>2114</v>
      </c>
      <c r="AV255" s="115">
        <v>0</v>
      </c>
      <c r="AW255" s="115" t="s">
        <v>499</v>
      </c>
      <c r="AX255" s="115" t="s">
        <v>28</v>
      </c>
      <c r="AY255" s="115" t="s">
        <v>1848</v>
      </c>
      <c r="AZ255" s="115" t="s">
        <v>1945</v>
      </c>
      <c r="BA255" s="115"/>
      <c r="BB255" s="115"/>
      <c r="BC255" s="115">
        <v>7183.0439999999999</v>
      </c>
      <c r="BD255" s="115"/>
      <c r="BE255" s="115"/>
      <c r="BF255" s="115">
        <v>375.91380000000004</v>
      </c>
      <c r="BG255" s="115"/>
      <c r="BH255" s="115">
        <v>1107.1019596080002</v>
      </c>
      <c r="BI255" s="115">
        <v>758.21019999999987</v>
      </c>
      <c r="BJ255" s="115">
        <v>599.16827250000017</v>
      </c>
      <c r="BK255" s="115">
        <v>184.785</v>
      </c>
      <c r="BL255" s="115">
        <v>125.13</v>
      </c>
      <c r="BM255" s="115"/>
      <c r="BN255" s="115"/>
      <c r="BO255" s="115"/>
      <c r="BP255" s="115"/>
      <c r="CV255" s="115">
        <v>2024.47</v>
      </c>
      <c r="CW255" s="115" t="s">
        <v>1415</v>
      </c>
      <c r="CX255" s="115" t="s">
        <v>377</v>
      </c>
      <c r="CY255" s="115" t="s">
        <v>1797</v>
      </c>
      <c r="CZ255" s="330">
        <v>69.134</v>
      </c>
      <c r="DA255" s="115"/>
      <c r="DB255" s="115"/>
      <c r="DR255" s="214"/>
      <c r="DY255" s="115"/>
      <c r="DZ255" s="334"/>
      <c r="EA255" s="334"/>
      <c r="EB255" s="334"/>
      <c r="EC255" s="334"/>
      <c r="ED255" s="187"/>
      <c r="EE255" s="330"/>
      <c r="EH255" s="334"/>
      <c r="EI255" s="334"/>
      <c r="EM255"/>
      <c r="EO255" s="115"/>
      <c r="EP255" s="334" t="s">
        <v>1415</v>
      </c>
      <c r="EQ255" s="334" t="s">
        <v>2114</v>
      </c>
      <c r="ER255" s="334" t="s">
        <v>368</v>
      </c>
      <c r="ES255" s="334" t="s">
        <v>2164</v>
      </c>
      <c r="ET255" s="334">
        <v>2023.47</v>
      </c>
      <c r="EU255" s="334" t="s">
        <v>397</v>
      </c>
      <c r="EV255" s="334">
        <v>296175.97590000002</v>
      </c>
    </row>
    <row r="256" spans="9:152" ht="13">
      <c r="I256" s="115" t="s">
        <v>2183</v>
      </c>
      <c r="J256" s="115" t="s">
        <v>1356</v>
      </c>
      <c r="K256" s="183" t="s">
        <v>1359</v>
      </c>
      <c r="AI256" s="115" t="s">
        <v>1416</v>
      </c>
      <c r="AJ256" t="s">
        <v>2114</v>
      </c>
      <c r="AK256" s="115">
        <v>0</v>
      </c>
      <c r="AL256" s="115" t="s">
        <v>28</v>
      </c>
      <c r="AM256" s="115" t="s">
        <v>1846</v>
      </c>
      <c r="AN256" s="115" t="s">
        <v>1446</v>
      </c>
      <c r="AO256" s="115" t="s">
        <v>1647</v>
      </c>
      <c r="AT256" s="115" t="s">
        <v>1415</v>
      </c>
      <c r="AU256" s="115" t="s">
        <v>2114</v>
      </c>
      <c r="AV256" s="115">
        <v>15</v>
      </c>
      <c r="AW256" s="115" t="s">
        <v>499</v>
      </c>
      <c r="AX256" s="115" t="s">
        <v>28</v>
      </c>
      <c r="AY256" s="115" t="s">
        <v>1848</v>
      </c>
      <c r="AZ256" s="115" t="s">
        <v>1888</v>
      </c>
      <c r="BA256" s="115"/>
      <c r="BB256" s="115"/>
      <c r="BC256" s="115">
        <v>7720.9648477500004</v>
      </c>
      <c r="BD256" s="115"/>
      <c r="BE256" s="115"/>
      <c r="BF256" s="115">
        <v>473.3814855</v>
      </c>
      <c r="BG256" s="115"/>
      <c r="BH256" s="115">
        <v>688.1126030441601</v>
      </c>
      <c r="BI256" s="115">
        <v>464.81381257499993</v>
      </c>
      <c r="BJ256" s="115">
        <v>647.39681048249997</v>
      </c>
      <c r="BK256" s="115">
        <v>84.964251252000011</v>
      </c>
      <c r="BL256" s="115">
        <v>175.50379071000003</v>
      </c>
      <c r="BM256" s="115"/>
      <c r="BN256" s="115"/>
      <c r="BO256" s="115"/>
      <c r="BP256" s="115"/>
      <c r="CV256" s="115">
        <v>2024.47</v>
      </c>
      <c r="CW256" s="115" t="s">
        <v>1415</v>
      </c>
      <c r="CX256" s="115" t="s">
        <v>387</v>
      </c>
      <c r="CY256" s="115" t="s">
        <v>1797</v>
      </c>
      <c r="CZ256" s="330">
        <v>27.343599999999999</v>
      </c>
      <c r="DA256" s="115"/>
      <c r="DB256" s="115"/>
      <c r="DR256" s="214"/>
      <c r="DY256" s="115"/>
      <c r="DZ256" s="334"/>
      <c r="EA256" s="334"/>
      <c r="EB256" s="334"/>
      <c r="EC256" s="334"/>
      <c r="ED256" s="187"/>
      <c r="EE256" s="330"/>
      <c r="EH256" s="334"/>
      <c r="EI256" s="334"/>
      <c r="EM256"/>
      <c r="EO256" s="115"/>
      <c r="EP256" s="334" t="s">
        <v>1415</v>
      </c>
      <c r="EQ256" s="334" t="s">
        <v>2114</v>
      </c>
      <c r="ER256" s="334" t="s">
        <v>368</v>
      </c>
      <c r="ES256" s="334" t="s">
        <v>2164</v>
      </c>
      <c r="ET256" s="334">
        <v>2023.47</v>
      </c>
      <c r="EU256" s="334" t="s">
        <v>1382</v>
      </c>
      <c r="EV256" s="334">
        <v>296175.97590000002</v>
      </c>
    </row>
    <row r="257" spans="9:152" ht="13">
      <c r="I257" s="115" t="s">
        <v>2183</v>
      </c>
      <c r="J257" s="115" t="s">
        <v>1366</v>
      </c>
      <c r="K257" s="183">
        <v>3</v>
      </c>
      <c r="AI257" s="115" t="s">
        <v>1416</v>
      </c>
      <c r="AJ257" t="s">
        <v>2114</v>
      </c>
      <c r="AK257" s="115">
        <v>0</v>
      </c>
      <c r="AL257" s="115" t="s">
        <v>28</v>
      </c>
      <c r="AM257" s="115" t="s">
        <v>1846</v>
      </c>
      <c r="AN257" s="115" t="s">
        <v>1446</v>
      </c>
      <c r="AO257" s="115" t="s">
        <v>1639</v>
      </c>
      <c r="AT257" s="115" t="s">
        <v>1416</v>
      </c>
      <c r="AU257" s="115" t="s">
        <v>2114</v>
      </c>
      <c r="AV257" s="115">
        <v>0</v>
      </c>
      <c r="AW257" s="115" t="s">
        <v>499</v>
      </c>
      <c r="AX257" s="115" t="s">
        <v>28</v>
      </c>
      <c r="AY257" s="115" t="s">
        <v>1843</v>
      </c>
      <c r="AZ257" s="115" t="s">
        <v>1945</v>
      </c>
      <c r="BA257" s="115"/>
      <c r="BB257" s="115"/>
      <c r="BC257" s="115">
        <v>8640</v>
      </c>
      <c r="BD257" s="115"/>
      <c r="BE257" s="115"/>
      <c r="BF257" s="115">
        <v>387.53999999999996</v>
      </c>
      <c r="BG257" s="115"/>
      <c r="BH257" s="115">
        <v>14667.984278350517</v>
      </c>
      <c r="BI257" s="115">
        <v>2585.2394845360823</v>
      </c>
      <c r="BJ257" s="115">
        <v>748.05783505154636</v>
      </c>
      <c r="BK257" s="115">
        <v>1389.7355670103093</v>
      </c>
      <c r="BL257" s="115">
        <v>941.08082474226808</v>
      </c>
      <c r="BM257" s="115">
        <v>5576.3767000000007</v>
      </c>
      <c r="BN257" s="115">
        <v>3403.502</v>
      </c>
      <c r="BO257" s="115">
        <v>3378.1992</v>
      </c>
      <c r="BP257" s="115"/>
      <c r="CV257" s="115">
        <v>2024.48</v>
      </c>
      <c r="CW257" s="115" t="s">
        <v>1415</v>
      </c>
      <c r="CX257" s="115" t="s">
        <v>387</v>
      </c>
      <c r="CY257" s="115" t="s">
        <v>1797</v>
      </c>
      <c r="CZ257" s="330">
        <v>27.343599999999999</v>
      </c>
      <c r="DA257" s="115"/>
      <c r="DB257" s="115"/>
      <c r="DR257" s="214"/>
      <c r="DY257" s="115"/>
      <c r="DZ257" s="334"/>
      <c r="EA257" s="334"/>
      <c r="EB257" s="334"/>
      <c r="EC257" s="334"/>
      <c r="ED257" s="187"/>
      <c r="EE257" s="330"/>
      <c r="EH257" s="334"/>
      <c r="EI257" s="334"/>
      <c r="EM257"/>
      <c r="EO257" s="115"/>
      <c r="EP257" s="334" t="s">
        <v>1415</v>
      </c>
      <c r="EQ257" s="334" t="s">
        <v>2114</v>
      </c>
      <c r="ER257" s="334" t="s">
        <v>368</v>
      </c>
      <c r="ES257" s="334" t="s">
        <v>2164</v>
      </c>
      <c r="ET257" s="334">
        <v>2024.44</v>
      </c>
      <c r="EU257" s="334" t="s">
        <v>397</v>
      </c>
      <c r="EV257" s="334">
        <v>316535.35950000002</v>
      </c>
    </row>
    <row r="258" spans="9:152" ht="13">
      <c r="I258" s="115" t="s">
        <v>2183</v>
      </c>
      <c r="J258" s="115" t="s">
        <v>1357</v>
      </c>
      <c r="K258" s="183">
        <v>7596.5217912163507</v>
      </c>
      <c r="AI258" s="115" t="s">
        <v>1416</v>
      </c>
      <c r="AJ258" t="s">
        <v>2114</v>
      </c>
      <c r="AK258" s="115">
        <v>0</v>
      </c>
      <c r="AL258" s="115" t="s">
        <v>28</v>
      </c>
      <c r="AM258" s="115" t="s">
        <v>1843</v>
      </c>
      <c r="AN258" s="115" t="s">
        <v>1446</v>
      </c>
      <c r="AO258" s="115" t="s">
        <v>1639</v>
      </c>
      <c r="AT258" s="115" t="s">
        <v>1415</v>
      </c>
      <c r="AU258" s="115" t="s">
        <v>2114</v>
      </c>
      <c r="AV258" s="115">
        <v>15</v>
      </c>
      <c r="AW258" s="115" t="s">
        <v>499</v>
      </c>
      <c r="AX258" s="115" t="s">
        <v>28</v>
      </c>
      <c r="AY258" s="115" t="s">
        <v>1843</v>
      </c>
      <c r="AZ258" s="115" t="s">
        <v>1888</v>
      </c>
      <c r="BA258" s="115"/>
      <c r="BB258" s="115"/>
      <c r="BC258" s="115">
        <v>8949.7717525773187</v>
      </c>
      <c r="BD258" s="115"/>
      <c r="BE258" s="115"/>
      <c r="BF258" s="115">
        <v>469.7335051546392</v>
      </c>
      <c r="BG258" s="115"/>
      <c r="BH258" s="115">
        <v>10379.744097938144</v>
      </c>
      <c r="BI258" s="115">
        <v>1513.3854639175258</v>
      </c>
      <c r="BJ258" s="115">
        <v>769.22835051546394</v>
      </c>
      <c r="BK258" s="115">
        <v>619.53278350515473</v>
      </c>
      <c r="BL258" s="115">
        <v>1461.9697938144329</v>
      </c>
      <c r="BM258" s="115">
        <v>1291.9999999999995</v>
      </c>
      <c r="BN258" s="115">
        <v>2062.08</v>
      </c>
      <c r="BO258" s="115">
        <v>2536.98</v>
      </c>
      <c r="BP258" s="115"/>
      <c r="CV258" s="115">
        <v>2024.49</v>
      </c>
      <c r="CW258" s="115" t="s">
        <v>1415</v>
      </c>
      <c r="CX258" s="115" t="s">
        <v>387</v>
      </c>
      <c r="CY258" s="115" t="s">
        <v>1797</v>
      </c>
      <c r="CZ258" s="330">
        <v>27.343599999999999</v>
      </c>
      <c r="DA258" s="115"/>
      <c r="DB258" s="115"/>
      <c r="DR258" s="214"/>
      <c r="DY258" s="115"/>
      <c r="DZ258" s="334"/>
      <c r="EA258" s="334"/>
      <c r="EB258" s="334"/>
      <c r="EC258" s="334"/>
      <c r="ED258" s="187"/>
      <c r="EE258" s="330"/>
      <c r="EH258" s="334"/>
      <c r="EI258" s="334"/>
      <c r="EM258"/>
      <c r="EO258" s="115"/>
      <c r="EP258" s="334" t="s">
        <v>1415</v>
      </c>
      <c r="EQ258" s="334" t="s">
        <v>2114</v>
      </c>
      <c r="ER258" s="334" t="s">
        <v>368</v>
      </c>
      <c r="ES258" s="334" t="s">
        <v>2164</v>
      </c>
      <c r="ET258" s="334">
        <v>2024.44</v>
      </c>
      <c r="EU258" s="334" t="s">
        <v>1382</v>
      </c>
      <c r="EV258" s="334">
        <v>316535.35950000002</v>
      </c>
    </row>
    <row r="259" spans="9:152" ht="13">
      <c r="I259" s="115" t="s">
        <v>2185</v>
      </c>
      <c r="J259" s="115" t="s">
        <v>1363</v>
      </c>
      <c r="K259" s="183">
        <v>125</v>
      </c>
      <c r="AI259" s="115" t="s">
        <v>1416</v>
      </c>
      <c r="AJ259" t="s">
        <v>2114</v>
      </c>
      <c r="AK259" s="115">
        <v>0</v>
      </c>
      <c r="AL259" s="115" t="s">
        <v>28</v>
      </c>
      <c r="AM259" s="115" t="s">
        <v>1848</v>
      </c>
      <c r="AN259" s="115" t="s">
        <v>1446</v>
      </c>
      <c r="AO259" s="115" t="s">
        <v>373</v>
      </c>
      <c r="AT259" s="115" t="s">
        <v>1415</v>
      </c>
      <c r="AU259" s="115" t="s">
        <v>2114</v>
      </c>
      <c r="AV259" s="115">
        <v>15</v>
      </c>
      <c r="AW259" s="115" t="s">
        <v>499</v>
      </c>
      <c r="AX259" s="115" t="s">
        <v>28</v>
      </c>
      <c r="AY259" s="115" t="s">
        <v>1849</v>
      </c>
      <c r="AZ259" s="115" t="s">
        <v>1888</v>
      </c>
      <c r="BA259" s="115"/>
      <c r="BB259" s="115"/>
      <c r="BC259" s="115">
        <v>57.957499999999996</v>
      </c>
      <c r="BD259" s="115"/>
      <c r="BE259" s="115"/>
      <c r="BF259" s="115"/>
      <c r="BG259" s="115"/>
      <c r="BH259" s="115">
        <v>142.26477840000001</v>
      </c>
      <c r="BI259" s="115">
        <v>36.36045</v>
      </c>
      <c r="BJ259" s="115">
        <v>1.6077749999999997</v>
      </c>
      <c r="BK259" s="115">
        <v>18.891719999999999</v>
      </c>
      <c r="BL259" s="115">
        <v>39.023099999999999</v>
      </c>
      <c r="BM259" s="115"/>
      <c r="BN259" s="115"/>
      <c r="BO259" s="115"/>
      <c r="BP259" s="115"/>
      <c r="CV259" s="115">
        <v>2024.5</v>
      </c>
      <c r="CW259" s="115" t="s">
        <v>1415</v>
      </c>
      <c r="CX259" s="115" t="s">
        <v>387</v>
      </c>
      <c r="CY259" s="115" t="s">
        <v>1797</v>
      </c>
      <c r="CZ259" s="330">
        <v>27.343599999999999</v>
      </c>
      <c r="DA259" s="115"/>
      <c r="DB259" s="115"/>
      <c r="DR259" s="214"/>
      <c r="DY259" s="115"/>
      <c r="DZ259" s="334"/>
      <c r="EA259" s="334"/>
      <c r="EB259" s="334"/>
      <c r="EC259" s="334"/>
      <c r="ED259" s="187"/>
      <c r="EE259" s="330"/>
      <c r="EH259" s="334"/>
      <c r="EI259" s="334"/>
      <c r="EM259"/>
      <c r="EO259" s="115"/>
      <c r="EP259" s="334" t="s">
        <v>1415</v>
      </c>
      <c r="EQ259" s="334" t="s">
        <v>2114</v>
      </c>
      <c r="ER259" s="334" t="s">
        <v>368</v>
      </c>
      <c r="ES259" s="334" t="s">
        <v>2164</v>
      </c>
      <c r="ET259" s="334">
        <v>2024.48</v>
      </c>
      <c r="EU259" s="334" t="s">
        <v>397</v>
      </c>
      <c r="EV259" s="334">
        <v>316535.35950000002</v>
      </c>
    </row>
    <row r="260" spans="9:152" ht="13">
      <c r="I260" s="115" t="s">
        <v>2185</v>
      </c>
      <c r="J260" s="115" t="s">
        <v>1353</v>
      </c>
      <c r="K260" s="183" t="s">
        <v>2228</v>
      </c>
      <c r="AI260" s="115" t="s">
        <v>1416</v>
      </c>
      <c r="AJ260" t="s">
        <v>2114</v>
      </c>
      <c r="AK260" s="115">
        <v>0</v>
      </c>
      <c r="AL260" s="115" t="s">
        <v>28</v>
      </c>
      <c r="AM260" s="115" t="s">
        <v>1843</v>
      </c>
      <c r="AN260" s="115" t="s">
        <v>1446</v>
      </c>
      <c r="AO260" s="115" t="s">
        <v>373</v>
      </c>
      <c r="AT260" s="115" t="s">
        <v>1416</v>
      </c>
      <c r="AU260" s="115" t="s">
        <v>2114</v>
      </c>
      <c r="AV260" s="115">
        <v>0</v>
      </c>
      <c r="AW260" s="115" t="s">
        <v>499</v>
      </c>
      <c r="AX260" s="115" t="s">
        <v>28</v>
      </c>
      <c r="AY260" s="115" t="s">
        <v>1849</v>
      </c>
      <c r="AZ260" s="115" t="s">
        <v>1945</v>
      </c>
      <c r="BA260" s="115"/>
      <c r="BB260" s="115"/>
      <c r="BC260" s="115">
        <v>58.199999999999996</v>
      </c>
      <c r="BD260" s="115"/>
      <c r="BE260" s="115"/>
      <c r="BF260" s="115"/>
      <c r="BG260" s="115"/>
      <c r="BH260" s="115">
        <v>247.05969840000003</v>
      </c>
      <c r="BI260" s="115">
        <v>64.019999999999982</v>
      </c>
      <c r="BJ260" s="115">
        <v>1.7314499999999999</v>
      </c>
      <c r="BK260" s="115">
        <v>44.348399999999998</v>
      </c>
      <c r="BL260" s="115">
        <v>30.031199999999995</v>
      </c>
      <c r="BM260" s="115"/>
      <c r="BN260" s="115"/>
      <c r="BO260" s="115"/>
      <c r="BP260" s="115"/>
      <c r="CV260" s="115">
        <v>2024.43</v>
      </c>
      <c r="CW260" s="115" t="s">
        <v>1415</v>
      </c>
      <c r="CX260" s="115" t="s">
        <v>373</v>
      </c>
      <c r="CY260" s="115" t="s">
        <v>2060</v>
      </c>
      <c r="CZ260" s="330">
        <v>75.801299999999998</v>
      </c>
      <c r="DA260" s="115"/>
      <c r="DB260" s="115"/>
      <c r="DR260" s="214"/>
      <c r="DY260" s="115"/>
      <c r="DZ260" s="334"/>
      <c r="EA260" s="334"/>
      <c r="EB260" s="334"/>
      <c r="EC260" s="334"/>
      <c r="ED260" s="187"/>
      <c r="EE260" s="330"/>
      <c r="EH260" s="334"/>
      <c r="EI260" s="334"/>
      <c r="EM260"/>
      <c r="EO260" s="115"/>
      <c r="EP260" s="334" t="s">
        <v>1415</v>
      </c>
      <c r="EQ260" s="334" t="s">
        <v>2114</v>
      </c>
      <c r="ER260" s="334" t="s">
        <v>368</v>
      </c>
      <c r="ES260" s="334" t="s">
        <v>2164</v>
      </c>
      <c r="ET260" s="334">
        <v>2024.48</v>
      </c>
      <c r="EU260" s="334" t="s">
        <v>1382</v>
      </c>
      <c r="EV260" s="334">
        <v>216535.35949999999</v>
      </c>
    </row>
    <row r="261" spans="9:152" ht="13">
      <c r="I261" s="115" t="s">
        <v>2185</v>
      </c>
      <c r="J261" s="115" t="s">
        <v>1369</v>
      </c>
      <c r="K261" s="183">
        <v>13</v>
      </c>
      <c r="AI261" s="115" t="s">
        <v>1416</v>
      </c>
      <c r="AJ261" t="s">
        <v>2114</v>
      </c>
      <c r="AK261" s="115">
        <v>0</v>
      </c>
      <c r="AL261" s="115" t="s">
        <v>28</v>
      </c>
      <c r="AM261" s="115" t="s">
        <v>1832</v>
      </c>
      <c r="AN261" s="115" t="s">
        <v>1446</v>
      </c>
      <c r="AO261" s="115" t="s">
        <v>373</v>
      </c>
      <c r="AT261" s="115" t="s">
        <v>1416</v>
      </c>
      <c r="AU261" s="115" t="s">
        <v>2114</v>
      </c>
      <c r="AV261" s="115">
        <v>0</v>
      </c>
      <c r="AW261" s="115" t="s">
        <v>499</v>
      </c>
      <c r="AX261" s="115" t="s">
        <v>28</v>
      </c>
      <c r="AY261" s="115" t="s">
        <v>1850</v>
      </c>
      <c r="AZ261" s="115" t="s">
        <v>1945</v>
      </c>
      <c r="BA261" s="115"/>
      <c r="BB261" s="115"/>
      <c r="BC261" s="115">
        <v>174.6</v>
      </c>
      <c r="BD261" s="115"/>
      <c r="BE261" s="115"/>
      <c r="BF261" s="115">
        <v>8.73</v>
      </c>
      <c r="BG261" s="115"/>
      <c r="BH261" s="115">
        <v>27.451077600000005</v>
      </c>
      <c r="BI261" s="115">
        <v>21.339999999999996</v>
      </c>
      <c r="BJ261" s="115">
        <v>15.583050000000002</v>
      </c>
      <c r="BK261" s="115">
        <v>4.9276</v>
      </c>
      <c r="BL261" s="115">
        <v>3.3367999999999998</v>
      </c>
      <c r="BM261" s="115"/>
      <c r="BN261" s="115"/>
      <c r="BO261" s="115"/>
      <c r="BP261" s="115"/>
      <c r="CV261" s="115">
        <v>2024.44</v>
      </c>
      <c r="CW261" s="115" t="s">
        <v>1415</v>
      </c>
      <c r="CX261" s="115" t="s">
        <v>373</v>
      </c>
      <c r="CY261" s="115" t="s">
        <v>2060</v>
      </c>
      <c r="CZ261" s="330">
        <v>75.801299999999998</v>
      </c>
      <c r="DA261" s="115"/>
      <c r="DB261" s="115"/>
      <c r="DR261" s="214"/>
      <c r="DY261" s="115"/>
      <c r="DZ261" s="334"/>
      <c r="EA261" s="334"/>
      <c r="EB261" s="334"/>
      <c r="EC261" s="334"/>
      <c r="ED261" s="187"/>
      <c r="EE261" s="330"/>
      <c r="EH261" s="334"/>
      <c r="EI261" s="334"/>
      <c r="EM261"/>
      <c r="EO261" s="115"/>
      <c r="EP261" s="334" t="s">
        <v>1415</v>
      </c>
      <c r="EQ261" s="334" t="s">
        <v>2114</v>
      </c>
      <c r="ER261" s="334" t="s">
        <v>368</v>
      </c>
      <c r="ES261" s="334" t="s">
        <v>2164</v>
      </c>
      <c r="ET261" s="334">
        <v>2025.03</v>
      </c>
      <c r="EU261" s="334" t="s">
        <v>397</v>
      </c>
      <c r="EV261" s="334">
        <v>316535.35950000002</v>
      </c>
    </row>
    <row r="262" spans="9:152" ht="13">
      <c r="I262" s="115" t="s">
        <v>2185</v>
      </c>
      <c r="J262" s="115" t="s">
        <v>1355</v>
      </c>
      <c r="K262" s="183">
        <v>2</v>
      </c>
      <c r="AI262" s="115" t="s">
        <v>1416</v>
      </c>
      <c r="AJ262" t="s">
        <v>2114</v>
      </c>
      <c r="AK262" s="115">
        <v>0</v>
      </c>
      <c r="AL262" s="115" t="s">
        <v>28</v>
      </c>
      <c r="AM262" s="115" t="s">
        <v>1850</v>
      </c>
      <c r="AN262" s="115" t="s">
        <v>1446</v>
      </c>
      <c r="AO262" s="115" t="s">
        <v>373</v>
      </c>
      <c r="AT262" s="115" t="s">
        <v>1415</v>
      </c>
      <c r="AU262" s="115" t="s">
        <v>2114</v>
      </c>
      <c r="AV262" s="115">
        <v>15</v>
      </c>
      <c r="AW262" s="115" t="s">
        <v>499</v>
      </c>
      <c r="AX262" s="115" t="s">
        <v>28</v>
      </c>
      <c r="AY262" s="115" t="s">
        <v>1850</v>
      </c>
      <c r="AZ262" s="115" t="s">
        <v>1888</v>
      </c>
      <c r="BA262" s="115"/>
      <c r="BB262" s="115"/>
      <c r="BC262" s="115">
        <v>173.8725</v>
      </c>
      <c r="BD262" s="115"/>
      <c r="BE262" s="115"/>
      <c r="BF262" s="115">
        <v>10.185</v>
      </c>
      <c r="BG262" s="115"/>
      <c r="BH262" s="115">
        <v>15.807197600000002</v>
      </c>
      <c r="BI262" s="115">
        <v>12.120149999999999</v>
      </c>
      <c r="BJ262" s="115">
        <v>14.469975000000002</v>
      </c>
      <c r="BK262" s="115">
        <v>2.0990800000000003</v>
      </c>
      <c r="BL262" s="115">
        <v>4.3359000000000005</v>
      </c>
      <c r="BM262" s="115"/>
      <c r="BN262" s="115"/>
      <c r="BO262" s="115"/>
      <c r="BP262" s="115"/>
      <c r="CV262" s="115">
        <v>2024.45</v>
      </c>
      <c r="CW262" s="115" t="s">
        <v>1415</v>
      </c>
      <c r="CX262" s="115" t="s">
        <v>373</v>
      </c>
      <c r="CY262" s="115" t="s">
        <v>2060</v>
      </c>
      <c r="CZ262" s="330">
        <v>75.801299999999998</v>
      </c>
      <c r="DA262" s="115"/>
      <c r="DB262" s="115"/>
      <c r="DR262" s="214"/>
      <c r="DY262" s="115"/>
      <c r="DZ262" s="334"/>
      <c r="EA262" s="334"/>
      <c r="EB262" s="334"/>
      <c r="EC262" s="334"/>
      <c r="ED262" s="187"/>
      <c r="EE262" s="330"/>
      <c r="EH262" s="334"/>
      <c r="EI262" s="334"/>
      <c r="EM262"/>
      <c r="EO262" s="115"/>
      <c r="EP262" s="334" t="s">
        <v>1415</v>
      </c>
      <c r="EQ262" s="334" t="s">
        <v>2114</v>
      </c>
      <c r="ER262" s="334" t="s">
        <v>368</v>
      </c>
      <c r="ES262" s="334" t="s">
        <v>2164</v>
      </c>
      <c r="ET262" s="334">
        <v>2025.03</v>
      </c>
      <c r="EU262" s="334" t="s">
        <v>1382</v>
      </c>
      <c r="EV262" s="334">
        <v>98429.129499999995</v>
      </c>
    </row>
    <row r="263" spans="9:152" ht="13">
      <c r="I263" s="115" t="s">
        <v>2185</v>
      </c>
      <c r="J263" s="115" t="s">
        <v>1361</v>
      </c>
      <c r="K263" s="183">
        <v>69.23</v>
      </c>
      <c r="AI263" s="115" t="s">
        <v>1416</v>
      </c>
      <c r="AJ263" t="s">
        <v>2114</v>
      </c>
      <c r="AK263" s="115">
        <v>0</v>
      </c>
      <c r="AL263" s="115" t="s">
        <v>28</v>
      </c>
      <c r="AM263" s="115" t="s">
        <v>1846</v>
      </c>
      <c r="AN263" s="115" t="s">
        <v>1446</v>
      </c>
      <c r="AO263" s="115" t="s">
        <v>373</v>
      </c>
      <c r="AT263" s="115" t="s">
        <v>1416</v>
      </c>
      <c r="AU263" s="115" t="s">
        <v>2114</v>
      </c>
      <c r="AV263" s="115">
        <v>0</v>
      </c>
      <c r="AW263" s="115" t="s">
        <v>499</v>
      </c>
      <c r="AX263" s="115" t="s">
        <v>28</v>
      </c>
      <c r="AY263" s="115" t="s">
        <v>1832</v>
      </c>
      <c r="AZ263" s="115" t="s">
        <v>1945</v>
      </c>
      <c r="BA263" s="115"/>
      <c r="BB263" s="115"/>
      <c r="BC263" s="115">
        <v>240</v>
      </c>
      <c r="BD263" s="115"/>
      <c r="BE263" s="115"/>
      <c r="BF263" s="115">
        <v>9</v>
      </c>
      <c r="BG263" s="115"/>
      <c r="BH263" s="115">
        <v>283.00080000000003</v>
      </c>
      <c r="BI263" s="115">
        <v>87.999999999999986</v>
      </c>
      <c r="BJ263" s="115">
        <v>17.850000000000001</v>
      </c>
      <c r="BK263" s="115">
        <v>50.8</v>
      </c>
      <c r="BL263" s="115">
        <v>34.4</v>
      </c>
      <c r="BM263" s="115"/>
      <c r="BN263" s="115"/>
      <c r="BO263" s="115"/>
      <c r="BP263" s="115"/>
      <c r="CV263" s="115">
        <v>2024.46</v>
      </c>
      <c r="CW263" s="115" t="s">
        <v>1415</v>
      </c>
      <c r="CX263" s="115" t="s">
        <v>373</v>
      </c>
      <c r="CY263" s="115" t="s">
        <v>2060</v>
      </c>
      <c r="CZ263" s="330">
        <v>75.801299999999998</v>
      </c>
      <c r="DA263" s="115"/>
      <c r="DB263" s="115"/>
      <c r="DR263" s="214"/>
      <c r="DY263" s="115"/>
      <c r="DZ263" s="334"/>
      <c r="EA263" s="334"/>
      <c r="EB263" s="334"/>
      <c r="EC263" s="334"/>
      <c r="ED263" s="187"/>
      <c r="EE263" s="330"/>
      <c r="EH263" s="334"/>
      <c r="EI263" s="334"/>
      <c r="EM263"/>
      <c r="EO263" s="115"/>
      <c r="EP263" s="334" t="s">
        <v>1415</v>
      </c>
      <c r="EQ263" s="334" t="s">
        <v>2114</v>
      </c>
      <c r="ER263" s="334" t="s">
        <v>1473</v>
      </c>
      <c r="ES263" s="334" t="s">
        <v>379</v>
      </c>
      <c r="ET263" s="334">
        <v>2023.47</v>
      </c>
      <c r="EU263" s="334" t="s">
        <v>397</v>
      </c>
      <c r="EV263" s="334">
        <v>848525.47710000002</v>
      </c>
    </row>
    <row r="264" spans="9:152" ht="13">
      <c r="I264" s="115" t="s">
        <v>2185</v>
      </c>
      <c r="J264" s="115" t="s">
        <v>1364</v>
      </c>
      <c r="K264" s="183">
        <v>300</v>
      </c>
      <c r="AI264" s="115" t="s">
        <v>1416</v>
      </c>
      <c r="AJ264" t="s">
        <v>2114</v>
      </c>
      <c r="AK264" s="115">
        <v>0</v>
      </c>
      <c r="AL264" s="115" t="s">
        <v>28</v>
      </c>
      <c r="AM264" s="115" t="s">
        <v>1849</v>
      </c>
      <c r="AN264" s="115" t="s">
        <v>1446</v>
      </c>
      <c r="AO264" s="115" t="s">
        <v>373</v>
      </c>
      <c r="AT264" s="115" t="s">
        <v>1415</v>
      </c>
      <c r="AU264" s="115" t="s">
        <v>2114</v>
      </c>
      <c r="AV264" s="115">
        <v>15</v>
      </c>
      <c r="AW264" s="115" t="s">
        <v>499</v>
      </c>
      <c r="AX264" s="115" t="s">
        <v>28</v>
      </c>
      <c r="AY264" s="115" t="s">
        <v>1832</v>
      </c>
      <c r="AZ264" s="115" t="s">
        <v>1888</v>
      </c>
      <c r="BA264" s="115"/>
      <c r="BB264" s="115"/>
      <c r="BC264" s="115">
        <v>239</v>
      </c>
      <c r="BD264" s="115"/>
      <c r="BE264" s="115"/>
      <c r="BF264" s="115">
        <v>10.5</v>
      </c>
      <c r="BG264" s="115"/>
      <c r="BH264" s="115">
        <v>162.96080000000001</v>
      </c>
      <c r="BI264" s="115">
        <v>49.98</v>
      </c>
      <c r="BJ264" s="115">
        <v>16.575000000000003</v>
      </c>
      <c r="BK264" s="115">
        <v>21.64</v>
      </c>
      <c r="BL264" s="115">
        <v>44.7</v>
      </c>
      <c r="BM264" s="115"/>
      <c r="BN264" s="115"/>
      <c r="BO264" s="115"/>
      <c r="BP264" s="115"/>
      <c r="CV264" s="115">
        <v>2024.47</v>
      </c>
      <c r="CW264" s="115" t="s">
        <v>1415</v>
      </c>
      <c r="CX264" s="115" t="s">
        <v>373</v>
      </c>
      <c r="CY264" s="115" t="s">
        <v>2060</v>
      </c>
      <c r="CZ264" s="330">
        <v>75.801299999999998</v>
      </c>
      <c r="DA264" s="115"/>
      <c r="DB264" s="115"/>
      <c r="DR264" s="214"/>
      <c r="DY264" s="115"/>
      <c r="DZ264" s="334"/>
      <c r="EA264" s="334"/>
      <c r="EB264" s="334"/>
      <c r="EC264" s="334"/>
      <c r="ED264" s="187"/>
      <c r="EE264" s="330"/>
      <c r="EH264" s="334"/>
      <c r="EI264" s="334"/>
      <c r="EM264"/>
      <c r="EO264" s="115"/>
      <c r="EP264" s="334" t="s">
        <v>1415</v>
      </c>
      <c r="EQ264" s="334" t="s">
        <v>2114</v>
      </c>
      <c r="ER264" s="334" t="s">
        <v>1473</v>
      </c>
      <c r="ES264" s="334" t="s">
        <v>379</v>
      </c>
      <c r="ET264" s="334">
        <v>2023.47</v>
      </c>
      <c r="EU264" s="334" t="s">
        <v>1382</v>
      </c>
      <c r="EV264" s="334">
        <v>848525.47710000002</v>
      </c>
    </row>
    <row r="265" spans="9:152" ht="13">
      <c r="I265" s="115" t="s">
        <v>2185</v>
      </c>
      <c r="J265" s="115" t="s">
        <v>1367</v>
      </c>
      <c r="K265" s="183">
        <v>8</v>
      </c>
      <c r="AI265" s="115" t="s">
        <v>1416</v>
      </c>
      <c r="AJ265" t="s">
        <v>2114</v>
      </c>
      <c r="AK265" s="115">
        <v>0</v>
      </c>
      <c r="AL265" s="115" t="s">
        <v>28</v>
      </c>
      <c r="AM265" s="115" t="s">
        <v>1846</v>
      </c>
      <c r="AN265" s="115" t="s">
        <v>1446</v>
      </c>
      <c r="AO265" s="115" t="s">
        <v>380</v>
      </c>
      <c r="AT265" s="115" t="s">
        <v>1415</v>
      </c>
      <c r="AU265" s="115" t="s">
        <v>2114</v>
      </c>
      <c r="AV265" s="115">
        <v>15</v>
      </c>
      <c r="AW265" s="115" t="s">
        <v>499</v>
      </c>
      <c r="AX265" s="115" t="s">
        <v>28</v>
      </c>
      <c r="AY265" s="115" t="s">
        <v>1846</v>
      </c>
      <c r="AZ265" s="115" t="s">
        <v>1889</v>
      </c>
      <c r="BA265" s="115"/>
      <c r="BB265" s="115"/>
      <c r="BC265" s="115">
        <v>5563.0344142499998</v>
      </c>
      <c r="BD265" s="115"/>
      <c r="BE265" s="115"/>
      <c r="BF265" s="115"/>
      <c r="BG265" s="115"/>
      <c r="BH265" s="115">
        <v>68330.432226441597</v>
      </c>
      <c r="BI265" s="115">
        <v>9197.9122234349998</v>
      </c>
      <c r="BJ265" s="115">
        <v>1353.2860832400002</v>
      </c>
      <c r="BK265" s="115">
        <v>3811.2963653789998</v>
      </c>
      <c r="BL265" s="115">
        <v>7304.377258980001</v>
      </c>
      <c r="BM265" s="115">
        <v>21570.811600000001</v>
      </c>
      <c r="BN265" s="115">
        <v>10657.38</v>
      </c>
      <c r="BO265" s="115">
        <v>11517.72</v>
      </c>
      <c r="BP265" s="115"/>
      <c r="CV265" s="115">
        <v>2024.48</v>
      </c>
      <c r="CW265" s="115" t="s">
        <v>1415</v>
      </c>
      <c r="CX265" s="115" t="s">
        <v>373</v>
      </c>
      <c r="CY265" s="115" t="s">
        <v>2060</v>
      </c>
      <c r="CZ265" s="330">
        <v>75.801299999999998</v>
      </c>
      <c r="DA265" s="115"/>
      <c r="DB265" s="115"/>
      <c r="DR265" s="214"/>
      <c r="DY265" s="115"/>
      <c r="DZ265" s="334"/>
      <c r="EA265" s="334"/>
      <c r="EB265" s="334"/>
      <c r="EC265" s="334"/>
      <c r="ED265" s="187"/>
      <c r="EE265" s="330"/>
      <c r="EH265" s="334"/>
      <c r="EI265" s="334"/>
      <c r="EM265"/>
      <c r="EO265" s="115"/>
      <c r="EP265" s="334" t="s">
        <v>1415</v>
      </c>
      <c r="EQ265" s="334" t="s">
        <v>2114</v>
      </c>
      <c r="ER265" s="334" t="s">
        <v>1473</v>
      </c>
      <c r="ES265" s="334" t="s">
        <v>379</v>
      </c>
      <c r="ET265" s="334">
        <v>2024.44</v>
      </c>
      <c r="EU265" s="334" t="s">
        <v>397</v>
      </c>
      <c r="EV265" s="334">
        <v>858533.92839999998</v>
      </c>
    </row>
    <row r="266" spans="9:152" ht="13">
      <c r="I266" s="115" t="s">
        <v>2185</v>
      </c>
      <c r="J266" s="115" t="s">
        <v>1362</v>
      </c>
      <c r="K266" s="183">
        <v>95</v>
      </c>
      <c r="AI266" s="115" t="s">
        <v>1416</v>
      </c>
      <c r="AJ266" t="s">
        <v>2114</v>
      </c>
      <c r="AK266" s="115">
        <v>0</v>
      </c>
      <c r="AL266" s="115" t="s">
        <v>28</v>
      </c>
      <c r="AM266" s="115" t="s">
        <v>1843</v>
      </c>
      <c r="AN266" s="115" t="s">
        <v>1446</v>
      </c>
      <c r="AO266" s="115" t="s">
        <v>380</v>
      </c>
      <c r="AT266" s="115" t="s">
        <v>1416</v>
      </c>
      <c r="AU266" s="115" t="s">
        <v>2114</v>
      </c>
      <c r="AV266" s="115">
        <v>0</v>
      </c>
      <c r="AW266" s="115" t="s">
        <v>499</v>
      </c>
      <c r="AX266" s="115" t="s">
        <v>28</v>
      </c>
      <c r="AY266" s="115" t="s">
        <v>1846</v>
      </c>
      <c r="AZ266" s="115" t="s">
        <v>1946</v>
      </c>
      <c r="BA266" s="115"/>
      <c r="BB266" s="115"/>
      <c r="BC266" s="115">
        <v>1096.6953374999998</v>
      </c>
      <c r="BD266" s="115"/>
      <c r="BE266" s="115"/>
      <c r="BF266" s="115"/>
      <c r="BG266" s="115"/>
      <c r="BH266" s="115">
        <v>11439.107122848</v>
      </c>
      <c r="BI266" s="115">
        <v>1588.2328949999999</v>
      </c>
      <c r="BJ266" s="115">
        <v>90.319852499999982</v>
      </c>
      <c r="BK266" s="115">
        <v>1122.04071</v>
      </c>
      <c r="BL266" s="115">
        <v>713.29730849999999</v>
      </c>
      <c r="BM266" s="115">
        <v>5085.4228000000003</v>
      </c>
      <c r="BN266" s="115">
        <v>3344.9132</v>
      </c>
      <c r="BO266" s="115">
        <v>2720.9825999999998</v>
      </c>
      <c r="BP266" s="115"/>
      <c r="CV266" s="115">
        <v>2024.49</v>
      </c>
      <c r="CW266" s="115" t="s">
        <v>1415</v>
      </c>
      <c r="CX266" s="115" t="s">
        <v>373</v>
      </c>
      <c r="CY266" s="115" t="s">
        <v>2060</v>
      </c>
      <c r="CZ266" s="330">
        <v>75.801299999999998</v>
      </c>
      <c r="DA266" s="115"/>
      <c r="DB266" s="115"/>
      <c r="DR266" s="214"/>
      <c r="DY266" s="115"/>
      <c r="DZ266" s="334"/>
      <c r="EA266" s="334"/>
      <c r="EB266" s="334"/>
      <c r="EC266" s="334"/>
      <c r="ED266" s="187"/>
      <c r="EE266" s="330"/>
      <c r="EH266" s="334"/>
      <c r="EI266" s="334"/>
      <c r="EM266"/>
      <c r="EO266" s="115"/>
      <c r="EP266" s="334" t="s">
        <v>1415</v>
      </c>
      <c r="EQ266" s="334" t="s">
        <v>2114</v>
      </c>
      <c r="ER266" s="334" t="s">
        <v>1473</v>
      </c>
      <c r="ES266" s="334" t="s">
        <v>379</v>
      </c>
      <c r="ET266" s="334">
        <v>2024.44</v>
      </c>
      <c r="EU266" s="334" t="s">
        <v>1382</v>
      </c>
      <c r="EV266" s="334">
        <v>847777.85840000003</v>
      </c>
    </row>
    <row r="267" spans="9:152" ht="13">
      <c r="I267" s="115" t="s">
        <v>2185</v>
      </c>
      <c r="J267" s="115" t="s">
        <v>1368</v>
      </c>
      <c r="K267" s="183">
        <v>11.5</v>
      </c>
      <c r="AI267" s="115" t="s">
        <v>1416</v>
      </c>
      <c r="AJ267" t="s">
        <v>2114</v>
      </c>
      <c r="AK267" s="115">
        <v>0</v>
      </c>
      <c r="AL267" s="115" t="s">
        <v>28</v>
      </c>
      <c r="AM267" s="115" t="s">
        <v>1849</v>
      </c>
      <c r="AN267" s="115" t="s">
        <v>1446</v>
      </c>
      <c r="AO267" s="115" t="s">
        <v>380</v>
      </c>
      <c r="AT267" s="115" t="s">
        <v>1416</v>
      </c>
      <c r="AU267" s="115" t="s">
        <v>2114</v>
      </c>
      <c r="AV267" s="115">
        <v>0</v>
      </c>
      <c r="AW267" s="115" t="s">
        <v>499</v>
      </c>
      <c r="AX267" s="115" t="s">
        <v>28</v>
      </c>
      <c r="AY267" s="115" t="s">
        <v>1848</v>
      </c>
      <c r="AZ267" s="115" t="s">
        <v>1946</v>
      </c>
      <c r="BA267" s="115"/>
      <c r="BB267" s="115"/>
      <c r="BC267" s="115">
        <v>6576.9746624999998</v>
      </c>
      <c r="BD267" s="115"/>
      <c r="BE267" s="115"/>
      <c r="BF267" s="115">
        <v>297.59842500000002</v>
      </c>
      <c r="BG267" s="115"/>
      <c r="BH267" s="115">
        <v>935.0517598079997</v>
      </c>
      <c r="BI267" s="115">
        <v>678.08116749999999</v>
      </c>
      <c r="BJ267" s="115">
        <v>427.97733750000009</v>
      </c>
      <c r="BK267" s="115">
        <v>178.23750000000001</v>
      </c>
      <c r="BL267" s="115">
        <v>113.308125</v>
      </c>
      <c r="BM267" s="115"/>
      <c r="BN267" s="115"/>
      <c r="BO267" s="115"/>
      <c r="BP267" s="115"/>
      <c r="CV267" s="115">
        <v>2024.5</v>
      </c>
      <c r="CW267" s="115" t="s">
        <v>1415</v>
      </c>
      <c r="CX267" s="115" t="s">
        <v>373</v>
      </c>
      <c r="CY267" s="115" t="s">
        <v>2060</v>
      </c>
      <c r="CZ267" s="330">
        <v>75.801299999999998</v>
      </c>
      <c r="DA267" s="115"/>
      <c r="DB267" s="115"/>
      <c r="DR267" s="214"/>
      <c r="DY267" s="115"/>
      <c r="DZ267" s="334"/>
      <c r="EA267" s="334"/>
      <c r="EB267" s="334"/>
      <c r="EC267" s="334"/>
      <c r="ED267" s="187"/>
      <c r="EE267" s="330"/>
      <c r="EH267" s="334"/>
      <c r="EI267" s="334"/>
      <c r="EM267"/>
      <c r="EO267" s="115"/>
      <c r="EP267" s="334" t="s">
        <v>1415</v>
      </c>
      <c r="EQ267" s="334" t="s">
        <v>2114</v>
      </c>
      <c r="ER267" s="334" t="s">
        <v>1473</v>
      </c>
      <c r="ES267" s="334" t="s">
        <v>379</v>
      </c>
      <c r="ET267" s="334">
        <v>2024.45</v>
      </c>
      <c r="EU267" s="334" t="s">
        <v>397</v>
      </c>
      <c r="EV267" s="334">
        <v>858533.92839999998</v>
      </c>
    </row>
    <row r="268" spans="9:152" ht="13">
      <c r="I268" s="115" t="s">
        <v>2185</v>
      </c>
      <c r="J268" s="115" t="s">
        <v>1360</v>
      </c>
      <c r="K268" s="183">
        <v>0.25</v>
      </c>
      <c r="AI268" s="115" t="s">
        <v>1416</v>
      </c>
      <c r="AJ268" t="s">
        <v>2114</v>
      </c>
      <c r="AK268" s="115">
        <v>0</v>
      </c>
      <c r="AL268" s="115" t="s">
        <v>28</v>
      </c>
      <c r="AM268" s="115" t="s">
        <v>1832</v>
      </c>
      <c r="AN268" s="115" t="s">
        <v>1446</v>
      </c>
      <c r="AO268" s="115" t="s">
        <v>380</v>
      </c>
      <c r="AT268" s="115" t="s">
        <v>1415</v>
      </c>
      <c r="AU268" s="115" t="s">
        <v>2114</v>
      </c>
      <c r="AV268" s="115">
        <v>15</v>
      </c>
      <c r="AW268" s="115" t="s">
        <v>499</v>
      </c>
      <c r="AX268" s="115" t="s">
        <v>28</v>
      </c>
      <c r="AY268" s="115" t="s">
        <v>1848</v>
      </c>
      <c r="AZ268" s="115" t="s">
        <v>1889</v>
      </c>
      <c r="BA268" s="115"/>
      <c r="BB268" s="115"/>
      <c r="BC268" s="115">
        <v>32806.024279875004</v>
      </c>
      <c r="BD268" s="115"/>
      <c r="BE268" s="115"/>
      <c r="BF268" s="115">
        <v>1296.1635912499999</v>
      </c>
      <c r="BG268" s="115"/>
      <c r="BH268" s="115">
        <v>4919.3256165737603</v>
      </c>
      <c r="BI268" s="115">
        <v>3379.0606374749996</v>
      </c>
      <c r="BJ268" s="115">
        <v>6797.6665100662503</v>
      </c>
      <c r="BK268" s="115">
        <v>595.33869765899999</v>
      </c>
      <c r="BL268" s="115">
        <v>1140.9709525800001</v>
      </c>
      <c r="BM268" s="115"/>
      <c r="BN268" s="115"/>
      <c r="BO268" s="115"/>
      <c r="BP268" s="115"/>
      <c r="DA268" s="115"/>
      <c r="DB268" s="115"/>
      <c r="DR268" s="214"/>
      <c r="DY268" s="115"/>
      <c r="DZ268" s="334"/>
      <c r="EA268" s="334"/>
      <c r="EB268" s="334"/>
      <c r="EC268" s="334"/>
      <c r="ED268" s="187"/>
      <c r="EE268" s="330"/>
      <c r="EH268" s="334"/>
      <c r="EI268" s="334"/>
      <c r="EM268"/>
      <c r="EO268" s="115"/>
      <c r="EP268" s="334" t="s">
        <v>1415</v>
      </c>
      <c r="EQ268" s="334" t="s">
        <v>2114</v>
      </c>
      <c r="ER268" s="334" t="s">
        <v>1473</v>
      </c>
      <c r="ES268" s="334" t="s">
        <v>379</v>
      </c>
      <c r="ET268" s="334">
        <v>2024.45</v>
      </c>
      <c r="EU268" s="334" t="s">
        <v>1382</v>
      </c>
      <c r="EV268" s="334">
        <v>719701.67980000004</v>
      </c>
    </row>
    <row r="269" spans="9:152" ht="13">
      <c r="I269" s="115" t="s">
        <v>2185</v>
      </c>
      <c r="J269" s="115" t="s">
        <v>1358</v>
      </c>
      <c r="K269" s="183" t="s">
        <v>375</v>
      </c>
      <c r="AI269" s="115" t="s">
        <v>1416</v>
      </c>
      <c r="AJ269" t="s">
        <v>2114</v>
      </c>
      <c r="AK269" s="115">
        <v>0</v>
      </c>
      <c r="AL269" s="115" t="s">
        <v>28</v>
      </c>
      <c r="AM269" s="115" t="s">
        <v>1848</v>
      </c>
      <c r="AN269" s="115" t="s">
        <v>1446</v>
      </c>
      <c r="AO269" s="115" t="s">
        <v>380</v>
      </c>
      <c r="AT269" s="115" t="s">
        <v>1416</v>
      </c>
      <c r="AU269" s="115" t="s">
        <v>2114</v>
      </c>
      <c r="AV269" s="115">
        <v>0</v>
      </c>
      <c r="AW269" s="115" t="s">
        <v>499</v>
      </c>
      <c r="AX269" s="115" t="s">
        <v>28</v>
      </c>
      <c r="AY269" s="115" t="s">
        <v>1843</v>
      </c>
      <c r="AZ269" s="115" t="s">
        <v>1946</v>
      </c>
      <c r="BA269" s="115"/>
      <c r="BB269" s="115"/>
      <c r="BC269" s="115">
        <v>7911</v>
      </c>
      <c r="BD269" s="115"/>
      <c r="BE269" s="115"/>
      <c r="BF269" s="115">
        <v>306.80247422680418</v>
      </c>
      <c r="BG269" s="115"/>
      <c r="BH269" s="115">
        <v>12654.573322680413</v>
      </c>
      <c r="BI269" s="115">
        <v>2312.0265979381447</v>
      </c>
      <c r="BJ269" s="115">
        <v>534.32701030927831</v>
      </c>
      <c r="BK269" s="115">
        <v>1340.4929896907217</v>
      </c>
      <c r="BL269" s="115">
        <v>852.17051546391758</v>
      </c>
      <c r="BM269" s="115">
        <v>5085.4228000000003</v>
      </c>
      <c r="BN269" s="115">
        <v>3344.9132</v>
      </c>
      <c r="BO269" s="115">
        <v>2720.9825999999998</v>
      </c>
      <c r="BP269" s="115"/>
      <c r="DA269" s="115"/>
      <c r="DB269" s="115"/>
      <c r="DR269" s="214"/>
      <c r="DY269" s="115"/>
      <c r="DZ269" s="334"/>
      <c r="EA269" s="334"/>
      <c r="EB269" s="334"/>
      <c r="EC269" s="334"/>
      <c r="ED269" s="187"/>
      <c r="EE269" s="330"/>
      <c r="EH269" s="334"/>
      <c r="EI269" s="334"/>
      <c r="EM269"/>
      <c r="EO269" s="115"/>
      <c r="EP269" s="334" t="s">
        <v>1415</v>
      </c>
      <c r="EQ269" s="334" t="s">
        <v>2114</v>
      </c>
      <c r="ER269" s="334" t="s">
        <v>1473</v>
      </c>
      <c r="ES269" s="334" t="s">
        <v>379</v>
      </c>
      <c r="ET269" s="334">
        <v>2024.48</v>
      </c>
      <c r="EU269" s="334" t="s">
        <v>397</v>
      </c>
      <c r="EV269" s="334">
        <v>858533.92839999998</v>
      </c>
    </row>
    <row r="270" spans="9:152" ht="13">
      <c r="I270" s="115" t="s">
        <v>2185</v>
      </c>
      <c r="J270" s="115" t="s">
        <v>1354</v>
      </c>
      <c r="K270" s="183">
        <v>45708</v>
      </c>
      <c r="AI270" s="115" t="s">
        <v>1416</v>
      </c>
      <c r="AJ270" t="s">
        <v>2114</v>
      </c>
      <c r="AK270" s="115">
        <v>0</v>
      </c>
      <c r="AL270" s="115" t="s">
        <v>28</v>
      </c>
      <c r="AM270" s="115" t="s">
        <v>1850</v>
      </c>
      <c r="AN270" s="115" t="s">
        <v>1446</v>
      </c>
      <c r="AO270" s="115" t="s">
        <v>380</v>
      </c>
      <c r="AT270" s="115" t="s">
        <v>1415</v>
      </c>
      <c r="AU270" s="115" t="s">
        <v>2114</v>
      </c>
      <c r="AV270" s="115">
        <v>15</v>
      </c>
      <c r="AW270" s="115" t="s">
        <v>499</v>
      </c>
      <c r="AX270" s="115" t="s">
        <v>28</v>
      </c>
      <c r="AY270" s="115" t="s">
        <v>1843</v>
      </c>
      <c r="AZ270" s="115" t="s">
        <v>1889</v>
      </c>
      <c r="BA270" s="115"/>
      <c r="BB270" s="115"/>
      <c r="BC270" s="115">
        <v>38027.168144329895</v>
      </c>
      <c r="BD270" s="115"/>
      <c r="BE270" s="115"/>
      <c r="BF270" s="115">
        <v>1286.1750515463918</v>
      </c>
      <c r="BG270" s="115"/>
      <c r="BH270" s="115">
        <v>69257.838900000002</v>
      </c>
      <c r="BI270" s="115">
        <v>11001.870206185567</v>
      </c>
      <c r="BJ270" s="115">
        <v>8076.8981443298971</v>
      </c>
      <c r="BK270" s="115">
        <v>4341.0241237113396</v>
      </c>
      <c r="BL270" s="115">
        <v>9504.4386597938155</v>
      </c>
      <c r="BM270" s="115">
        <v>21570.811600000001</v>
      </c>
      <c r="BN270" s="115">
        <v>10657.38</v>
      </c>
      <c r="BO270" s="115">
        <v>11517.72</v>
      </c>
      <c r="BP270" s="115"/>
      <c r="DA270" s="115"/>
      <c r="DB270" s="115"/>
      <c r="DR270" s="214"/>
      <c r="DY270" s="115"/>
      <c r="DZ270" s="334"/>
      <c r="EA270" s="334"/>
      <c r="EB270" s="334"/>
      <c r="EC270" s="334"/>
      <c r="ED270" s="187"/>
      <c r="EE270" s="330"/>
      <c r="EH270" s="334"/>
      <c r="EI270" s="334"/>
      <c r="EM270"/>
      <c r="EO270" s="115"/>
      <c r="EP270" s="334" t="s">
        <v>1415</v>
      </c>
      <c r="EQ270" s="334" t="s">
        <v>2114</v>
      </c>
      <c r="ER270" s="334" t="s">
        <v>1473</v>
      </c>
      <c r="ES270" s="334" t="s">
        <v>379</v>
      </c>
      <c r="ET270" s="334">
        <v>2024.48</v>
      </c>
      <c r="EU270" s="334" t="s">
        <v>1382</v>
      </c>
      <c r="EV270" s="334">
        <v>679701.67980000004</v>
      </c>
    </row>
    <row r="271" spans="9:152" ht="13">
      <c r="I271" s="115" t="s">
        <v>2185</v>
      </c>
      <c r="J271" s="115" t="s">
        <v>1365</v>
      </c>
      <c r="K271" s="183">
        <v>15</v>
      </c>
      <c r="AI271" s="115" t="s">
        <v>1416</v>
      </c>
      <c r="AJ271" t="s">
        <v>2114</v>
      </c>
      <c r="AK271" s="115">
        <v>0</v>
      </c>
      <c r="AL271" s="115" t="s">
        <v>28</v>
      </c>
      <c r="AM271" s="115" t="s">
        <v>1832</v>
      </c>
      <c r="AN271" s="115" t="s">
        <v>1447</v>
      </c>
      <c r="AO271" s="115" t="s">
        <v>1644</v>
      </c>
      <c r="AT271" s="115" t="s">
        <v>1416</v>
      </c>
      <c r="AU271" s="115" t="s">
        <v>2114</v>
      </c>
      <c r="AV271" s="115">
        <v>0</v>
      </c>
      <c r="AW271" s="115" t="s">
        <v>499</v>
      </c>
      <c r="AX271" s="115" t="s">
        <v>28</v>
      </c>
      <c r="AY271" s="115" t="s">
        <v>1849</v>
      </c>
      <c r="AZ271" s="115" t="s">
        <v>1946</v>
      </c>
      <c r="BA271" s="115"/>
      <c r="BB271" s="115"/>
      <c r="BC271" s="115">
        <v>53.289375</v>
      </c>
      <c r="BD271" s="115"/>
      <c r="BE271" s="115"/>
      <c r="BF271" s="115"/>
      <c r="BG271" s="115"/>
      <c r="BH271" s="115">
        <v>208.66515839999997</v>
      </c>
      <c r="BI271" s="115">
        <v>57.254249999999999</v>
      </c>
      <c r="BJ271" s="115">
        <v>1.2367499999999998</v>
      </c>
      <c r="BK271" s="115">
        <v>42.777000000000001</v>
      </c>
      <c r="BL271" s="115">
        <v>27.193950000000001</v>
      </c>
      <c r="BM271" s="115"/>
      <c r="BN271" s="115"/>
      <c r="BO271" s="115"/>
      <c r="BP271" s="115"/>
      <c r="DA271" s="115"/>
      <c r="DB271" s="115"/>
      <c r="DR271" s="214"/>
      <c r="DY271" s="115"/>
      <c r="DZ271" s="334"/>
      <c r="EA271" s="334"/>
      <c r="EB271" s="334"/>
      <c r="EC271" s="334"/>
      <c r="ED271" s="187"/>
      <c r="EE271" s="330"/>
      <c r="EH271" s="334"/>
      <c r="EI271" s="334"/>
      <c r="EM271"/>
      <c r="EO271" s="115"/>
      <c r="EP271" s="334" t="s">
        <v>1415</v>
      </c>
      <c r="EQ271" s="334" t="s">
        <v>2114</v>
      </c>
      <c r="ER271" s="334" t="s">
        <v>1473</v>
      </c>
      <c r="ES271" s="334" t="s">
        <v>1275</v>
      </c>
      <c r="ET271" s="334">
        <v>2024.48</v>
      </c>
      <c r="EU271" s="334" t="s">
        <v>397</v>
      </c>
      <c r="EV271" s="334">
        <v>0</v>
      </c>
    </row>
    <row r="272" spans="9:152" ht="13">
      <c r="I272" s="115" t="s">
        <v>2185</v>
      </c>
      <c r="J272" s="115" t="s">
        <v>1356</v>
      </c>
      <c r="K272" s="183" t="s">
        <v>1359</v>
      </c>
      <c r="AI272" s="115" t="s">
        <v>1416</v>
      </c>
      <c r="AJ272" t="s">
        <v>2114</v>
      </c>
      <c r="AK272" s="115">
        <v>0</v>
      </c>
      <c r="AL272" s="115" t="s">
        <v>28</v>
      </c>
      <c r="AM272" s="115" t="s">
        <v>1843</v>
      </c>
      <c r="AN272" s="115" t="s">
        <v>1447</v>
      </c>
      <c r="AO272" s="115" t="s">
        <v>1644</v>
      </c>
      <c r="AT272" s="115" t="s">
        <v>1415</v>
      </c>
      <c r="AU272" s="115" t="s">
        <v>2114</v>
      </c>
      <c r="AV272" s="115">
        <v>15</v>
      </c>
      <c r="AW272" s="115" t="s">
        <v>499</v>
      </c>
      <c r="AX272" s="115" t="s">
        <v>28</v>
      </c>
      <c r="AY272" s="115" t="s">
        <v>1849</v>
      </c>
      <c r="AZ272" s="115" t="s">
        <v>1889</v>
      </c>
      <c r="BA272" s="115"/>
      <c r="BB272" s="115"/>
      <c r="BC272" s="115">
        <v>246.25874999999999</v>
      </c>
      <c r="BD272" s="115"/>
      <c r="BE272" s="115"/>
      <c r="BF272" s="115"/>
      <c r="BG272" s="115"/>
      <c r="BH272" s="115">
        <v>1017.0526824</v>
      </c>
      <c r="BI272" s="115">
        <v>264.32984999999996</v>
      </c>
      <c r="BJ272" s="115">
        <v>16.8816375</v>
      </c>
      <c r="BK272" s="115">
        <v>132.37298999999999</v>
      </c>
      <c r="BL272" s="115">
        <v>253.69380000000001</v>
      </c>
      <c r="BM272" s="115"/>
      <c r="BN272" s="115"/>
      <c r="BO272" s="115"/>
      <c r="BP272" s="115"/>
      <c r="DA272" s="115"/>
      <c r="DB272" s="115"/>
      <c r="DR272" s="214"/>
      <c r="DY272" s="115"/>
      <c r="DZ272" s="334"/>
      <c r="EA272" s="334"/>
      <c r="EB272" s="334"/>
      <c r="EC272" s="334"/>
      <c r="ED272" s="187"/>
      <c r="EE272" s="330"/>
      <c r="EH272" s="334"/>
      <c r="EI272" s="334"/>
      <c r="EM272"/>
      <c r="EO272" s="115"/>
      <c r="EP272" s="334" t="s">
        <v>1415</v>
      </c>
      <c r="EQ272" s="334" t="s">
        <v>2114</v>
      </c>
      <c r="ER272" s="334" t="s">
        <v>1473</v>
      </c>
      <c r="ES272" s="334" t="s">
        <v>1275</v>
      </c>
      <c r="ET272" s="334">
        <v>2024.48</v>
      </c>
      <c r="EU272" s="334" t="s">
        <v>1382</v>
      </c>
      <c r="EV272" s="334">
        <v>48.56</v>
      </c>
    </row>
    <row r="273" spans="9:152" ht="13">
      <c r="I273" s="115" t="s">
        <v>2185</v>
      </c>
      <c r="J273" s="115" t="s">
        <v>1366</v>
      </c>
      <c r="K273" s="183">
        <v>3</v>
      </c>
      <c r="AI273" s="115" t="s">
        <v>1416</v>
      </c>
      <c r="AJ273" t="s">
        <v>2114</v>
      </c>
      <c r="AK273" s="115">
        <v>0</v>
      </c>
      <c r="AL273" s="115" t="s">
        <v>28</v>
      </c>
      <c r="AM273" s="115" t="s">
        <v>1848</v>
      </c>
      <c r="AN273" s="115" t="s">
        <v>1447</v>
      </c>
      <c r="AO273" s="115" t="s">
        <v>1644</v>
      </c>
      <c r="AT273" s="115" t="s">
        <v>1415</v>
      </c>
      <c r="AU273" s="115" t="s">
        <v>2114</v>
      </c>
      <c r="AV273" s="115">
        <v>15</v>
      </c>
      <c r="AW273" s="115" t="s">
        <v>499</v>
      </c>
      <c r="AX273" s="115" t="s">
        <v>28</v>
      </c>
      <c r="AY273" s="115" t="s">
        <v>1850</v>
      </c>
      <c r="AZ273" s="115" t="s">
        <v>1889</v>
      </c>
      <c r="BA273" s="115"/>
      <c r="BB273" s="115"/>
      <c r="BC273" s="115">
        <v>738.77625</v>
      </c>
      <c r="BD273" s="115"/>
      <c r="BE273" s="115"/>
      <c r="BF273" s="115">
        <v>27.887499999999999</v>
      </c>
      <c r="BG273" s="115"/>
      <c r="BH273" s="115">
        <v>113.00585360000001</v>
      </c>
      <c r="BI273" s="115">
        <v>88.109949999999998</v>
      </c>
      <c r="BJ273" s="115">
        <v>151.93473750000001</v>
      </c>
      <c r="BK273" s="115">
        <v>14.70811</v>
      </c>
      <c r="BL273" s="115">
        <v>28.188200000000002</v>
      </c>
      <c r="BM273" s="115"/>
      <c r="BN273" s="115"/>
      <c r="BO273" s="115"/>
      <c r="BP273" s="115"/>
      <c r="DA273" s="115"/>
      <c r="DB273" s="115"/>
      <c r="DR273" s="214"/>
      <c r="DY273" s="115"/>
      <c r="DZ273" s="334"/>
      <c r="EA273" s="334"/>
      <c r="EB273" s="334"/>
      <c r="EC273" s="334"/>
      <c r="ED273" s="187"/>
      <c r="EE273" s="330"/>
      <c r="EH273" s="334"/>
      <c r="EI273" s="334"/>
      <c r="EM273"/>
      <c r="EO273" s="115"/>
      <c r="EP273" s="334" t="s">
        <v>1415</v>
      </c>
      <c r="EQ273" s="334" t="s">
        <v>2114</v>
      </c>
      <c r="ER273" s="334" t="s">
        <v>1473</v>
      </c>
      <c r="ES273" s="334" t="s">
        <v>385</v>
      </c>
      <c r="ET273" s="334">
        <v>2024.48</v>
      </c>
      <c r="EU273" s="334" t="s">
        <v>397</v>
      </c>
      <c r="EV273" s="334">
        <v>0</v>
      </c>
    </row>
    <row r="274" spans="9:152" ht="13">
      <c r="I274" s="115" t="s">
        <v>2185</v>
      </c>
      <c r="J274" s="115" t="s">
        <v>1357</v>
      </c>
      <c r="K274" s="183">
        <v>13646.055541569842</v>
      </c>
      <c r="AI274" s="115" t="s">
        <v>1416</v>
      </c>
      <c r="AJ274" t="s">
        <v>2114</v>
      </c>
      <c r="AK274" s="115">
        <v>0</v>
      </c>
      <c r="AL274" s="115" t="s">
        <v>28</v>
      </c>
      <c r="AM274" s="115" t="s">
        <v>1850</v>
      </c>
      <c r="AN274" s="115" t="s">
        <v>1447</v>
      </c>
      <c r="AO274" s="115" t="s">
        <v>1644</v>
      </c>
      <c r="AT274" s="115" t="s">
        <v>1416</v>
      </c>
      <c r="AU274" s="115" t="s">
        <v>2114</v>
      </c>
      <c r="AV274" s="115">
        <v>0</v>
      </c>
      <c r="AW274" s="115" t="s">
        <v>499</v>
      </c>
      <c r="AX274" s="115" t="s">
        <v>28</v>
      </c>
      <c r="AY274" s="115" t="s">
        <v>1850</v>
      </c>
      <c r="AZ274" s="115" t="s">
        <v>1946</v>
      </c>
      <c r="BA274" s="115"/>
      <c r="BB274" s="115"/>
      <c r="BC274" s="115">
        <v>159.86812499999999</v>
      </c>
      <c r="BD274" s="115"/>
      <c r="BE274" s="115"/>
      <c r="BF274" s="115">
        <v>6.9112499999999999</v>
      </c>
      <c r="BG274" s="115"/>
      <c r="BH274" s="115">
        <v>23.185017599999995</v>
      </c>
      <c r="BI274" s="115">
        <v>19.08475</v>
      </c>
      <c r="BJ274" s="115">
        <v>11.130750000000001</v>
      </c>
      <c r="BK274" s="115">
        <v>4.7530000000000001</v>
      </c>
      <c r="BL274" s="115">
        <v>3.02155</v>
      </c>
      <c r="BM274" s="115"/>
      <c r="BN274" s="115"/>
      <c r="BO274" s="115"/>
      <c r="BP274" s="115"/>
      <c r="DA274" s="115"/>
      <c r="DB274" s="115"/>
      <c r="DR274" s="214"/>
      <c r="DY274" s="115"/>
      <c r="DZ274" s="334"/>
      <c r="EA274" s="334"/>
      <c r="EB274" s="334"/>
      <c r="EC274" s="334"/>
      <c r="ED274" s="187"/>
      <c r="EE274" s="330"/>
      <c r="EH274" s="334"/>
      <c r="EI274" s="334"/>
      <c r="EM274"/>
      <c r="EO274" s="115"/>
      <c r="EP274" s="334" t="s">
        <v>1415</v>
      </c>
      <c r="EQ274" s="334" t="s">
        <v>2114</v>
      </c>
      <c r="ER274" s="334" t="s">
        <v>1473</v>
      </c>
      <c r="ES274" s="334" t="s">
        <v>385</v>
      </c>
      <c r="ET274" s="334">
        <v>2024.48</v>
      </c>
      <c r="EU274" s="334" t="s">
        <v>1382</v>
      </c>
      <c r="EV274" s="334">
        <v>809.14</v>
      </c>
    </row>
    <row r="275" spans="9:152" ht="13">
      <c r="I275" s="115" t="s">
        <v>2193</v>
      </c>
      <c r="J275" s="115" t="s">
        <v>1363</v>
      </c>
      <c r="K275" s="183">
        <v>125</v>
      </c>
      <c r="AI275" s="115" t="s">
        <v>1416</v>
      </c>
      <c r="AJ275" t="s">
        <v>2114</v>
      </c>
      <c r="AK275" s="115">
        <v>0</v>
      </c>
      <c r="AL275" s="115" t="s">
        <v>28</v>
      </c>
      <c r="AM275" s="115" t="s">
        <v>1846</v>
      </c>
      <c r="AN275" s="115" t="s">
        <v>1447</v>
      </c>
      <c r="AO275" s="115" t="s">
        <v>1274</v>
      </c>
      <c r="AT275" s="115" t="s">
        <v>1416</v>
      </c>
      <c r="AU275" s="115" t="s">
        <v>2114</v>
      </c>
      <c r="AV275" s="115">
        <v>0</v>
      </c>
      <c r="AW275" s="115" t="s">
        <v>499</v>
      </c>
      <c r="AX275" s="115" t="s">
        <v>28</v>
      </c>
      <c r="AY275" s="115" t="s">
        <v>1832</v>
      </c>
      <c r="AZ275" s="115" t="s">
        <v>1946</v>
      </c>
      <c r="BA275" s="115"/>
      <c r="BB275" s="115"/>
      <c r="BC275" s="115">
        <v>219.75</v>
      </c>
      <c r="BD275" s="115"/>
      <c r="BE275" s="115"/>
      <c r="BF275" s="115">
        <v>7.125</v>
      </c>
      <c r="BG275" s="115"/>
      <c r="BH275" s="115">
        <v>239.02079999999995</v>
      </c>
      <c r="BI275" s="115">
        <v>78.7</v>
      </c>
      <c r="BJ275" s="115">
        <v>12.75</v>
      </c>
      <c r="BK275" s="115">
        <v>49</v>
      </c>
      <c r="BL275" s="115">
        <v>31.15</v>
      </c>
      <c r="BM275" s="115"/>
      <c r="BN275" s="115"/>
      <c r="BO275" s="115"/>
      <c r="BP275" s="115"/>
      <c r="DA275" s="115"/>
      <c r="DB275" s="115"/>
      <c r="DR275" s="214"/>
      <c r="DY275" s="115"/>
      <c r="DZ275" s="334"/>
      <c r="EA275" s="334"/>
      <c r="EB275" s="334"/>
      <c r="EC275" s="334"/>
      <c r="ED275" s="187"/>
      <c r="EE275" s="330"/>
      <c r="EH275" s="334"/>
      <c r="EI275" s="334"/>
      <c r="EM275"/>
      <c r="EO275" s="115"/>
      <c r="EP275" s="334" t="s">
        <v>1415</v>
      </c>
      <c r="EQ275" s="334" t="s">
        <v>2114</v>
      </c>
      <c r="ER275" s="334" t="s">
        <v>1473</v>
      </c>
      <c r="ES275" s="334" t="s">
        <v>2164</v>
      </c>
      <c r="ET275" s="334">
        <v>2023.47</v>
      </c>
      <c r="EU275" s="334" t="s">
        <v>397</v>
      </c>
      <c r="EV275" s="334">
        <v>184051.54800000001</v>
      </c>
    </row>
    <row r="276" spans="9:152" ht="13">
      <c r="I276" s="115" t="s">
        <v>2193</v>
      </c>
      <c r="J276" s="115" t="s">
        <v>1353</v>
      </c>
      <c r="K276" s="183" t="s">
        <v>2229</v>
      </c>
      <c r="AI276" s="115" t="s">
        <v>1416</v>
      </c>
      <c r="AJ276" t="s">
        <v>2114</v>
      </c>
      <c r="AK276" s="115">
        <v>0</v>
      </c>
      <c r="AL276" s="115" t="s">
        <v>28</v>
      </c>
      <c r="AM276" s="115" t="s">
        <v>1850</v>
      </c>
      <c r="AN276" s="115" t="s">
        <v>1447</v>
      </c>
      <c r="AO276" s="115" t="s">
        <v>1274</v>
      </c>
      <c r="AT276" s="115" t="s">
        <v>1415</v>
      </c>
      <c r="AU276" s="115" t="s">
        <v>2114</v>
      </c>
      <c r="AV276" s="115">
        <v>15</v>
      </c>
      <c r="AW276" s="115" t="s">
        <v>499</v>
      </c>
      <c r="AX276" s="115" t="s">
        <v>28</v>
      </c>
      <c r="AY276" s="115" t="s">
        <v>1832</v>
      </c>
      <c r="AZ276" s="115" t="s">
        <v>1889</v>
      </c>
      <c r="BA276" s="115"/>
      <c r="BB276" s="115"/>
      <c r="BC276" s="115">
        <v>1015.5</v>
      </c>
      <c r="BD276" s="115"/>
      <c r="BE276" s="115"/>
      <c r="BF276" s="115">
        <v>28.75</v>
      </c>
      <c r="BG276" s="115"/>
      <c r="BH276" s="115">
        <v>1165.0088000000001</v>
      </c>
      <c r="BI276" s="115">
        <v>363.34</v>
      </c>
      <c r="BJ276" s="115">
        <v>174.03750000000002</v>
      </c>
      <c r="BK276" s="115">
        <v>151.63</v>
      </c>
      <c r="BL276" s="115">
        <v>290.60000000000002</v>
      </c>
      <c r="BM276" s="115"/>
      <c r="BN276" s="115"/>
      <c r="BO276" s="115"/>
      <c r="BP276" s="115"/>
      <c r="DA276" s="115"/>
      <c r="DB276" s="115"/>
      <c r="DR276" s="214"/>
      <c r="DY276" s="115"/>
      <c r="DZ276" s="334"/>
      <c r="EA276" s="334"/>
      <c r="EB276" s="334"/>
      <c r="EC276" s="334"/>
      <c r="ED276" s="187"/>
      <c r="EE276" s="330"/>
      <c r="EH276" s="334"/>
      <c r="EI276" s="334"/>
      <c r="EM276"/>
      <c r="EO276" s="115"/>
      <c r="EP276" s="334" t="s">
        <v>1415</v>
      </c>
      <c r="EQ276" s="334" t="s">
        <v>2114</v>
      </c>
      <c r="ER276" s="334" t="s">
        <v>1473</v>
      </c>
      <c r="ES276" s="334" t="s">
        <v>2164</v>
      </c>
      <c r="ET276" s="334">
        <v>2023.47</v>
      </c>
      <c r="EU276" s="334" t="s">
        <v>1382</v>
      </c>
      <c r="EV276" s="334">
        <v>184051.54800000001</v>
      </c>
    </row>
    <row r="277" spans="9:152" ht="13">
      <c r="I277" s="115" t="s">
        <v>2193</v>
      </c>
      <c r="J277" s="115" t="s">
        <v>1369</v>
      </c>
      <c r="K277" s="183">
        <v>13</v>
      </c>
      <c r="AI277" s="115" t="s">
        <v>1416</v>
      </c>
      <c r="AJ277" t="s">
        <v>2114</v>
      </c>
      <c r="AK277" s="115">
        <v>0</v>
      </c>
      <c r="AL277" s="115" t="s">
        <v>28</v>
      </c>
      <c r="AM277" s="115" t="s">
        <v>1832</v>
      </c>
      <c r="AN277" s="115" t="s">
        <v>1447</v>
      </c>
      <c r="AO277" s="115" t="s">
        <v>1274</v>
      </c>
      <c r="AT277" s="115" t="s">
        <v>1416</v>
      </c>
      <c r="AU277" s="115" t="s">
        <v>2114</v>
      </c>
      <c r="AV277" s="115">
        <v>0</v>
      </c>
      <c r="AW277" s="115" t="s">
        <v>499</v>
      </c>
      <c r="AX277" s="115" t="s">
        <v>28</v>
      </c>
      <c r="AY277" s="115" t="s">
        <v>1846</v>
      </c>
      <c r="AZ277" s="115" t="s">
        <v>1947</v>
      </c>
      <c r="BA277" s="115"/>
      <c r="BB277" s="115"/>
      <c r="BC277" s="115">
        <v>1096.6953374999998</v>
      </c>
      <c r="BD277" s="115"/>
      <c r="BE277" s="115"/>
      <c r="BF277" s="115"/>
      <c r="BG277" s="115"/>
      <c r="BH277" s="115">
        <v>12954.334586335999</v>
      </c>
      <c r="BI277" s="115">
        <v>1810.2222449999997</v>
      </c>
      <c r="BJ277" s="115">
        <v>167.09172712499998</v>
      </c>
      <c r="BK277" s="115"/>
      <c r="BL277" s="115"/>
      <c r="BM277" s="115">
        <v>7697.2741999999998</v>
      </c>
      <c r="BN277" s="115"/>
      <c r="BO277" s="115"/>
      <c r="BP277" s="115"/>
      <c r="DA277" s="115"/>
      <c r="DB277" s="115"/>
      <c r="DR277" s="214"/>
      <c r="DY277" s="115"/>
      <c r="DZ277" s="334"/>
      <c r="EA277" s="334"/>
      <c r="EB277" s="334"/>
      <c r="EC277" s="334"/>
      <c r="ED277" s="187"/>
      <c r="EE277" s="330"/>
      <c r="EH277" s="334"/>
      <c r="EI277" s="334"/>
      <c r="EM277"/>
      <c r="EO277" s="115"/>
      <c r="EP277" s="334" t="s">
        <v>1415</v>
      </c>
      <c r="EQ277" s="334" t="s">
        <v>2114</v>
      </c>
      <c r="ER277" s="334" t="s">
        <v>1473</v>
      </c>
      <c r="ES277" s="334" t="s">
        <v>2164</v>
      </c>
      <c r="ET277" s="334">
        <v>2024.44</v>
      </c>
      <c r="EU277" s="334" t="s">
        <v>397</v>
      </c>
      <c r="EV277" s="334">
        <v>215028.45490000001</v>
      </c>
    </row>
    <row r="278" spans="9:152" ht="13">
      <c r="I278" s="115" t="s">
        <v>2193</v>
      </c>
      <c r="J278" s="115" t="s">
        <v>1355</v>
      </c>
      <c r="K278" s="183">
        <v>6</v>
      </c>
      <c r="AI278" s="115" t="s">
        <v>1416</v>
      </c>
      <c r="AJ278" t="s">
        <v>2114</v>
      </c>
      <c r="AK278" s="115">
        <v>0</v>
      </c>
      <c r="AL278" s="115" t="s">
        <v>28</v>
      </c>
      <c r="AM278" s="115" t="s">
        <v>1843</v>
      </c>
      <c r="AN278" s="115" t="s">
        <v>1447</v>
      </c>
      <c r="AO278" s="115" t="s">
        <v>1274</v>
      </c>
      <c r="AT278" s="115" t="s">
        <v>1415</v>
      </c>
      <c r="AU278" s="115" t="s">
        <v>2114</v>
      </c>
      <c r="AV278" s="115">
        <v>15</v>
      </c>
      <c r="AW278" s="115" t="s">
        <v>499</v>
      </c>
      <c r="AX278" s="115" t="s">
        <v>28</v>
      </c>
      <c r="AY278" s="115" t="s">
        <v>1846</v>
      </c>
      <c r="AZ278" s="115" t="s">
        <v>1890</v>
      </c>
      <c r="BA278" s="115"/>
      <c r="BB278" s="115"/>
      <c r="BC278" s="115">
        <v>1214.7738861250002</v>
      </c>
      <c r="BD278" s="115"/>
      <c r="BE278" s="115"/>
      <c r="BF278" s="115"/>
      <c r="BG278" s="115"/>
      <c r="BH278" s="115">
        <v>9883.3194337423993</v>
      </c>
      <c r="BI278" s="115">
        <v>1205.7482226075001</v>
      </c>
      <c r="BJ278" s="115">
        <v>121.44875105999999</v>
      </c>
      <c r="BK278" s="115">
        <v>456.5864174445</v>
      </c>
      <c r="BL278" s="115">
        <v>1010.4472326600001</v>
      </c>
      <c r="BM278" s="115">
        <v>1092.9999999999995</v>
      </c>
      <c r="BN278" s="115">
        <v>1832.99</v>
      </c>
      <c r="BO278" s="115">
        <v>2433.48</v>
      </c>
      <c r="BP278" s="115"/>
      <c r="DA278" s="115"/>
      <c r="DB278" s="115"/>
      <c r="DR278" s="214"/>
      <c r="DY278" s="115"/>
      <c r="DZ278" s="334"/>
      <c r="EA278" s="334"/>
      <c r="EB278" s="334"/>
      <c r="EC278" s="334"/>
      <c r="ED278" s="187"/>
      <c r="EE278" s="330"/>
      <c r="EH278" s="334"/>
      <c r="EI278" s="334"/>
      <c r="EM278"/>
      <c r="EO278" s="115"/>
      <c r="EP278" s="334" t="s">
        <v>1415</v>
      </c>
      <c r="EQ278" s="334" t="s">
        <v>2114</v>
      </c>
      <c r="ER278" s="334" t="s">
        <v>1473</v>
      </c>
      <c r="ES278" s="334" t="s">
        <v>2164</v>
      </c>
      <c r="ET278" s="334">
        <v>2024.44</v>
      </c>
      <c r="EU278" s="334" t="s">
        <v>1382</v>
      </c>
      <c r="EV278" s="334">
        <v>215028.45490000001</v>
      </c>
    </row>
    <row r="279" spans="9:152" ht="13">
      <c r="I279" s="115" t="s">
        <v>2193</v>
      </c>
      <c r="J279" s="115" t="s">
        <v>1361</v>
      </c>
      <c r="K279" s="183">
        <v>69.23</v>
      </c>
      <c r="AI279" s="115" t="s">
        <v>1416</v>
      </c>
      <c r="AJ279" t="s">
        <v>2114</v>
      </c>
      <c r="AK279" s="115">
        <v>0</v>
      </c>
      <c r="AL279" s="115" t="s">
        <v>28</v>
      </c>
      <c r="AM279" s="115" t="s">
        <v>1849</v>
      </c>
      <c r="AN279" s="115" t="s">
        <v>1447</v>
      </c>
      <c r="AO279" s="115" t="s">
        <v>1274</v>
      </c>
      <c r="AT279" s="115" t="s">
        <v>1415</v>
      </c>
      <c r="AU279" s="115" t="s">
        <v>2114</v>
      </c>
      <c r="AV279" s="115">
        <v>15</v>
      </c>
      <c r="AW279" s="115" t="s">
        <v>499</v>
      </c>
      <c r="AX279" s="115" t="s">
        <v>28</v>
      </c>
      <c r="AY279" s="115" t="s">
        <v>1848</v>
      </c>
      <c r="AZ279" s="115" t="s">
        <v>1890</v>
      </c>
      <c r="BA279" s="115"/>
      <c r="BB279" s="115"/>
      <c r="BC279" s="115">
        <v>7163.6985564375009</v>
      </c>
      <c r="BD279" s="115"/>
      <c r="BE279" s="115"/>
      <c r="BF279" s="115">
        <v>473.3814855</v>
      </c>
      <c r="BG279" s="115"/>
      <c r="BH279" s="115">
        <v>660.63383774863996</v>
      </c>
      <c r="BI279" s="115">
        <v>442.9588213875</v>
      </c>
      <c r="BJ279" s="115">
        <v>610.046994493125</v>
      </c>
      <c r="BK279" s="115">
        <v>71.320500184500006</v>
      </c>
      <c r="BL279" s="115">
        <v>157.83562386</v>
      </c>
      <c r="BM279" s="115"/>
      <c r="BN279" s="115"/>
      <c r="BO279" s="115"/>
      <c r="BP279" s="115"/>
      <c r="DA279" s="115"/>
      <c r="DB279" s="115"/>
      <c r="DR279" s="214"/>
      <c r="DY279" s="115"/>
      <c r="DZ279" s="334"/>
      <c r="EA279" s="334"/>
      <c r="EB279" s="334"/>
      <c r="EC279" s="334"/>
      <c r="ED279" s="187"/>
      <c r="EE279" s="330"/>
      <c r="EH279" s="334"/>
      <c r="EI279" s="334"/>
      <c r="EM279"/>
      <c r="EO279" s="115"/>
      <c r="EP279" s="334" t="s">
        <v>1415</v>
      </c>
      <c r="EQ279" s="334" t="s">
        <v>2114</v>
      </c>
      <c r="ER279" s="334" t="s">
        <v>1473</v>
      </c>
      <c r="ES279" s="334" t="s">
        <v>2164</v>
      </c>
      <c r="ET279" s="334">
        <v>2024.48</v>
      </c>
      <c r="EU279" s="334" t="s">
        <v>397</v>
      </c>
      <c r="EV279" s="334">
        <v>215028.45490000001</v>
      </c>
    </row>
    <row r="280" spans="9:152" ht="13">
      <c r="I280" s="115" t="s">
        <v>2193</v>
      </c>
      <c r="J280" s="115" t="s">
        <v>1364</v>
      </c>
      <c r="K280" s="183">
        <v>300</v>
      </c>
      <c r="AI280" s="115" t="s">
        <v>1416</v>
      </c>
      <c r="AJ280" t="s">
        <v>2114</v>
      </c>
      <c r="AK280" s="115">
        <v>0</v>
      </c>
      <c r="AL280" s="115" t="s">
        <v>28</v>
      </c>
      <c r="AM280" s="115" t="s">
        <v>1848</v>
      </c>
      <c r="AN280" s="115" t="s">
        <v>1447</v>
      </c>
      <c r="AO280" s="115" t="s">
        <v>1274</v>
      </c>
      <c r="AT280" s="115" t="s">
        <v>1416</v>
      </c>
      <c r="AU280" s="115" t="s">
        <v>2114</v>
      </c>
      <c r="AV280" s="115">
        <v>0</v>
      </c>
      <c r="AW280" s="115" t="s">
        <v>499</v>
      </c>
      <c r="AX280" s="115" t="s">
        <v>28</v>
      </c>
      <c r="AY280" s="115" t="s">
        <v>1848</v>
      </c>
      <c r="AZ280" s="115" t="s">
        <v>1947</v>
      </c>
      <c r="BA280" s="115"/>
      <c r="BB280" s="115"/>
      <c r="BC280" s="115">
        <v>6576.9746624999998</v>
      </c>
      <c r="BD280" s="115"/>
      <c r="BE280" s="115"/>
      <c r="BF280" s="115"/>
      <c r="BG280" s="115"/>
      <c r="BH280" s="115">
        <v>1058.533573056</v>
      </c>
      <c r="BI280" s="115">
        <v>772.85744250000005</v>
      </c>
      <c r="BJ280" s="115">
        <v>791.75807437500009</v>
      </c>
      <c r="BK280" s="115"/>
      <c r="BL280" s="115"/>
      <c r="BM280" s="115"/>
      <c r="BN280" s="115"/>
      <c r="BO280" s="115"/>
      <c r="BP280" s="115"/>
      <c r="DA280" s="115"/>
      <c r="DB280" s="115"/>
      <c r="DR280" s="214"/>
      <c r="DY280" s="115"/>
      <c r="DZ280" s="334"/>
      <c r="EA280" s="334"/>
      <c r="EB280" s="334"/>
      <c r="EC280" s="334"/>
      <c r="ED280" s="187"/>
      <c r="EE280" s="330"/>
      <c r="EH280" s="334"/>
      <c r="EI280" s="334"/>
      <c r="EM280"/>
      <c r="EO280" s="115"/>
      <c r="EP280" s="334" t="s">
        <v>1415</v>
      </c>
      <c r="EQ280" s="334" t="s">
        <v>2114</v>
      </c>
      <c r="ER280" s="334" t="s">
        <v>1473</v>
      </c>
      <c r="ES280" s="334" t="s">
        <v>2164</v>
      </c>
      <c r="ET280" s="334">
        <v>2024.48</v>
      </c>
      <c r="EU280" s="334" t="s">
        <v>1382</v>
      </c>
      <c r="EV280" s="334">
        <v>145028.45490000001</v>
      </c>
    </row>
    <row r="281" spans="9:152" ht="13">
      <c r="I281" s="115" t="s">
        <v>2193</v>
      </c>
      <c r="J281" s="115" t="s">
        <v>1367</v>
      </c>
      <c r="K281" s="183">
        <v>8</v>
      </c>
      <c r="AI281" s="115" t="s">
        <v>1416</v>
      </c>
      <c r="AJ281" t="s">
        <v>2114</v>
      </c>
      <c r="AK281" s="115">
        <v>0</v>
      </c>
      <c r="AL281" s="115" t="s">
        <v>28</v>
      </c>
      <c r="AM281" s="115" t="s">
        <v>1850</v>
      </c>
      <c r="AN281" s="115" t="s">
        <v>1447</v>
      </c>
      <c r="AO281" s="115" t="s">
        <v>381</v>
      </c>
      <c r="AT281" s="115" t="s">
        <v>1415</v>
      </c>
      <c r="AU281" s="115" t="s">
        <v>2114</v>
      </c>
      <c r="AV281" s="115">
        <v>15</v>
      </c>
      <c r="AW281" s="115" t="s">
        <v>499</v>
      </c>
      <c r="AX281" s="115" t="s">
        <v>28</v>
      </c>
      <c r="AY281" s="115" t="s">
        <v>1843</v>
      </c>
      <c r="AZ281" s="115" t="s">
        <v>1890</v>
      </c>
      <c r="BA281" s="115"/>
      <c r="BB281" s="115"/>
      <c r="BC281" s="115">
        <v>8303.815360824743</v>
      </c>
      <c r="BD281" s="115"/>
      <c r="BE281" s="115"/>
      <c r="BF281" s="115">
        <v>469.7335051546392</v>
      </c>
      <c r="BG281" s="115"/>
      <c r="BH281" s="115">
        <v>10007.864187628866</v>
      </c>
      <c r="BI281" s="115">
        <v>1442.2278350515464</v>
      </c>
      <c r="BJ281" s="115">
        <v>724.84979381443293</v>
      </c>
      <c r="BK281" s="115">
        <v>520.04680412371135</v>
      </c>
      <c r="BL281" s="115">
        <v>1314.7915463917527</v>
      </c>
      <c r="BM281" s="115">
        <v>1092.9999999999995</v>
      </c>
      <c r="BN281" s="115">
        <v>1832.99</v>
      </c>
      <c r="BO281" s="115">
        <v>2433.48</v>
      </c>
      <c r="BP281" s="115"/>
      <c r="DA281" s="115"/>
      <c r="DB281" s="115"/>
      <c r="DR281" s="214"/>
      <c r="DY281" s="115"/>
      <c r="DZ281" s="334"/>
      <c r="EA281" s="334"/>
      <c r="EB281" s="334"/>
      <c r="EC281" s="334"/>
      <c r="ED281" s="187"/>
      <c r="EE281" s="330"/>
      <c r="EH281" s="334"/>
      <c r="EI281" s="334"/>
      <c r="EM281"/>
      <c r="EO281" s="115"/>
      <c r="EP281" s="334" t="s">
        <v>1415</v>
      </c>
      <c r="EQ281" s="334" t="s">
        <v>2114</v>
      </c>
      <c r="ER281" s="334" t="s">
        <v>1473</v>
      </c>
      <c r="ES281" s="334" t="s">
        <v>373</v>
      </c>
      <c r="ET281" s="334">
        <v>2024.44</v>
      </c>
      <c r="EU281" s="334" t="s">
        <v>397</v>
      </c>
      <c r="EV281" s="334">
        <v>0</v>
      </c>
    </row>
    <row r="282" spans="9:152" ht="13">
      <c r="I282" s="115" t="s">
        <v>2193</v>
      </c>
      <c r="J282" s="115" t="s">
        <v>1362</v>
      </c>
      <c r="K282" s="183">
        <v>95</v>
      </c>
      <c r="AI282" s="115" t="s">
        <v>1416</v>
      </c>
      <c r="AJ282" t="s">
        <v>2114</v>
      </c>
      <c r="AK282" s="115">
        <v>0</v>
      </c>
      <c r="AL282" s="115" t="s">
        <v>28</v>
      </c>
      <c r="AM282" s="115" t="s">
        <v>1849</v>
      </c>
      <c r="AN282" s="115" t="s">
        <v>1447</v>
      </c>
      <c r="AO282" s="115" t="s">
        <v>381</v>
      </c>
      <c r="AT282" s="115" t="s">
        <v>1416</v>
      </c>
      <c r="AU282" s="115" t="s">
        <v>2114</v>
      </c>
      <c r="AV282" s="115">
        <v>0</v>
      </c>
      <c r="AW282" s="115" t="s">
        <v>499</v>
      </c>
      <c r="AX282" s="115" t="s">
        <v>28</v>
      </c>
      <c r="AY282" s="115" t="s">
        <v>1843</v>
      </c>
      <c r="AZ282" s="115" t="s">
        <v>1947</v>
      </c>
      <c r="BA282" s="115"/>
      <c r="BB282" s="115"/>
      <c r="BC282" s="115">
        <v>7911</v>
      </c>
      <c r="BD282" s="115"/>
      <c r="BE282" s="115"/>
      <c r="BF282" s="115"/>
      <c r="BG282" s="115"/>
      <c r="BH282" s="115">
        <v>14330.313815463916</v>
      </c>
      <c r="BI282" s="115">
        <v>2635.1815463917528</v>
      </c>
      <c r="BJ282" s="115">
        <v>988.50494845360822</v>
      </c>
      <c r="BK282" s="115"/>
      <c r="BL282" s="115"/>
      <c r="BM282" s="115">
        <v>7697.2741999999998</v>
      </c>
      <c r="BN282" s="115"/>
      <c r="BO282" s="115"/>
      <c r="BP282" s="115"/>
      <c r="DA282" s="115"/>
      <c r="DB282" s="115"/>
      <c r="DR282" s="214"/>
      <c r="DY282" s="115"/>
      <c r="DZ282" s="334"/>
      <c r="EA282" s="334"/>
      <c r="EB282" s="334"/>
      <c r="EC282" s="334"/>
      <c r="ED282" s="187"/>
      <c r="EE282" s="330"/>
      <c r="EH282" s="334"/>
      <c r="EI282" s="334"/>
      <c r="EM282"/>
      <c r="EO282" s="115"/>
      <c r="EP282" s="334" t="s">
        <v>1415</v>
      </c>
      <c r="EQ282" s="334" t="s">
        <v>2114</v>
      </c>
      <c r="ER282" s="334" t="s">
        <v>1473</v>
      </c>
      <c r="ES282" s="334" t="s">
        <v>373</v>
      </c>
      <c r="ET282" s="334">
        <v>2024.44</v>
      </c>
      <c r="EU282" s="334" t="s">
        <v>1382</v>
      </c>
      <c r="EV282" s="334">
        <v>8994.81</v>
      </c>
    </row>
    <row r="283" spans="9:152" ht="13">
      <c r="I283" s="115" t="s">
        <v>2193</v>
      </c>
      <c r="J283" s="115" t="s">
        <v>1368</v>
      </c>
      <c r="K283" s="183">
        <v>11.5</v>
      </c>
      <c r="AI283" s="115" t="s">
        <v>1416</v>
      </c>
      <c r="AJ283" t="s">
        <v>2114</v>
      </c>
      <c r="AK283" s="115">
        <v>0</v>
      </c>
      <c r="AL283" s="115" t="s">
        <v>28</v>
      </c>
      <c r="AM283" s="115" t="s">
        <v>1843</v>
      </c>
      <c r="AN283" s="115" t="s">
        <v>1447</v>
      </c>
      <c r="AO283" s="115" t="s">
        <v>381</v>
      </c>
      <c r="AT283" s="115" t="s">
        <v>1415</v>
      </c>
      <c r="AU283" s="115" t="s">
        <v>2114</v>
      </c>
      <c r="AV283" s="115">
        <v>15</v>
      </c>
      <c r="AW283" s="115" t="s">
        <v>499</v>
      </c>
      <c r="AX283" s="115" t="s">
        <v>28</v>
      </c>
      <c r="AY283" s="115" t="s">
        <v>1849</v>
      </c>
      <c r="AZ283" s="115" t="s">
        <v>1890</v>
      </c>
      <c r="BA283" s="115"/>
      <c r="BB283" s="115"/>
      <c r="BC283" s="115">
        <v>53.774375000000006</v>
      </c>
      <c r="BD283" s="115"/>
      <c r="BE283" s="115"/>
      <c r="BF283" s="115"/>
      <c r="BG283" s="115"/>
      <c r="BH283" s="115">
        <v>136.58364359999999</v>
      </c>
      <c r="BI283" s="115">
        <v>34.650825000000005</v>
      </c>
      <c r="BJ283" s="115">
        <v>1.5150187499999999</v>
      </c>
      <c r="BK283" s="115">
        <v>15.858044999999999</v>
      </c>
      <c r="BL283" s="115">
        <v>35.0946</v>
      </c>
      <c r="BM283" s="115"/>
      <c r="BN283" s="115"/>
      <c r="BO283" s="115"/>
      <c r="BP283" s="115"/>
      <c r="DA283" s="115"/>
      <c r="DB283" s="115"/>
      <c r="DR283" s="214"/>
      <c r="DY283" s="115"/>
      <c r="DZ283" s="334"/>
      <c r="EA283" s="334"/>
      <c r="EB283" s="334"/>
      <c r="EC283" s="334"/>
      <c r="ED283" s="187"/>
      <c r="EE283" s="330"/>
      <c r="EH283" s="334"/>
      <c r="EI283" s="334"/>
      <c r="EM283"/>
      <c r="EO283" s="115"/>
      <c r="EP283" s="334" t="s">
        <v>1415</v>
      </c>
      <c r="EQ283" s="334" t="s">
        <v>2114</v>
      </c>
      <c r="ER283" s="334" t="s">
        <v>1473</v>
      </c>
      <c r="ES283" s="334" t="s">
        <v>373</v>
      </c>
      <c r="ET283" s="334">
        <v>2024.47</v>
      </c>
      <c r="EU283" s="334" t="s">
        <v>397</v>
      </c>
      <c r="EV283" s="334">
        <v>0</v>
      </c>
    </row>
    <row r="284" spans="9:152" ht="13">
      <c r="I284" s="115" t="s">
        <v>2193</v>
      </c>
      <c r="J284" s="115" t="s">
        <v>1360</v>
      </c>
      <c r="K284" s="183">
        <v>0.45</v>
      </c>
      <c r="AI284" s="115" t="s">
        <v>1416</v>
      </c>
      <c r="AJ284" t="s">
        <v>2114</v>
      </c>
      <c r="AK284" s="115">
        <v>0</v>
      </c>
      <c r="AL284" s="115" t="s">
        <v>28</v>
      </c>
      <c r="AM284" s="115" t="s">
        <v>1848</v>
      </c>
      <c r="AN284" s="115" t="s">
        <v>1447</v>
      </c>
      <c r="AO284" s="115" t="s">
        <v>381</v>
      </c>
      <c r="AT284" s="115" t="s">
        <v>1416</v>
      </c>
      <c r="AU284" s="115" t="s">
        <v>2114</v>
      </c>
      <c r="AV284" s="115">
        <v>0</v>
      </c>
      <c r="AW284" s="115" t="s">
        <v>499</v>
      </c>
      <c r="AX284" s="115" t="s">
        <v>28</v>
      </c>
      <c r="AY284" s="115" t="s">
        <v>1849</v>
      </c>
      <c r="AZ284" s="115" t="s">
        <v>1947</v>
      </c>
      <c r="BA284" s="115"/>
      <c r="BB284" s="115"/>
      <c r="BC284" s="115">
        <v>53.289375</v>
      </c>
      <c r="BD284" s="115"/>
      <c r="BE284" s="115"/>
      <c r="BF284" s="115"/>
      <c r="BG284" s="115"/>
      <c r="BH284" s="115">
        <v>236.22122880000001</v>
      </c>
      <c r="BI284" s="115">
        <v>65.256749999999997</v>
      </c>
      <c r="BJ284" s="115">
        <v>2.2879874999999998</v>
      </c>
      <c r="BK284" s="115"/>
      <c r="BL284" s="115"/>
      <c r="BM284" s="115"/>
      <c r="BN284" s="115"/>
      <c r="BO284" s="115"/>
      <c r="BP284" s="115"/>
      <c r="DA284" s="115"/>
      <c r="DB284" s="115"/>
      <c r="DR284" s="214"/>
      <c r="DY284" s="115"/>
      <c r="DZ284" s="334"/>
      <c r="EA284" s="334"/>
      <c r="EB284" s="334"/>
      <c r="EC284" s="334"/>
      <c r="ED284" s="187"/>
      <c r="EE284" s="330"/>
      <c r="EH284" s="334"/>
      <c r="EI284" s="334"/>
      <c r="EM284"/>
      <c r="EO284" s="115"/>
      <c r="EP284" s="334" t="s">
        <v>1415</v>
      </c>
      <c r="EQ284" s="334" t="s">
        <v>2114</v>
      </c>
      <c r="ER284" s="334" t="s">
        <v>1473</v>
      </c>
      <c r="ES284" s="334" t="s">
        <v>373</v>
      </c>
      <c r="ET284" s="334">
        <v>2024.47</v>
      </c>
      <c r="EU284" s="334" t="s">
        <v>1382</v>
      </c>
      <c r="EV284" s="334">
        <v>10383.719999999999</v>
      </c>
    </row>
    <row r="285" spans="9:152" ht="13">
      <c r="I285" s="115" t="s">
        <v>2193</v>
      </c>
      <c r="J285" s="115" t="s">
        <v>1358</v>
      </c>
      <c r="K285" s="183" t="s">
        <v>375</v>
      </c>
      <c r="AI285" s="115" t="s">
        <v>1416</v>
      </c>
      <c r="AJ285" t="s">
        <v>2114</v>
      </c>
      <c r="AK285" s="115">
        <v>0</v>
      </c>
      <c r="AL285" s="115" t="s">
        <v>28</v>
      </c>
      <c r="AM285" s="115" t="s">
        <v>1832</v>
      </c>
      <c r="AN285" s="115" t="s">
        <v>1447</v>
      </c>
      <c r="AO285" s="115" t="s">
        <v>381</v>
      </c>
      <c r="AT285" s="115" t="s">
        <v>1416</v>
      </c>
      <c r="AU285" s="115" t="s">
        <v>2114</v>
      </c>
      <c r="AV285" s="115">
        <v>0</v>
      </c>
      <c r="AW285" s="115" t="s">
        <v>499</v>
      </c>
      <c r="AX285" s="115" t="s">
        <v>28</v>
      </c>
      <c r="AY285" s="115" t="s">
        <v>1850</v>
      </c>
      <c r="AZ285" s="115" t="s">
        <v>1947</v>
      </c>
      <c r="BA285" s="115"/>
      <c r="BB285" s="115"/>
      <c r="BC285" s="115">
        <v>159.86812499999999</v>
      </c>
      <c r="BD285" s="115"/>
      <c r="BE285" s="115"/>
      <c r="BF285" s="115"/>
      <c r="BG285" s="115"/>
      <c r="BH285" s="115">
        <v>26.246803200000002</v>
      </c>
      <c r="BI285" s="115">
        <v>21.75225</v>
      </c>
      <c r="BJ285" s="115">
        <v>20.591887500000002</v>
      </c>
      <c r="BK285" s="115"/>
      <c r="BL285" s="115"/>
      <c r="BM285" s="115"/>
      <c r="BN285" s="115"/>
      <c r="BO285" s="115"/>
      <c r="BP285" s="115"/>
      <c r="DA285" s="115"/>
      <c r="DB285" s="115"/>
      <c r="DR285" s="214"/>
      <c r="DY285" s="115"/>
      <c r="DZ285" s="334"/>
      <c r="EA285" s="334"/>
      <c r="EB285" s="334"/>
      <c r="EC285" s="334"/>
      <c r="ED285" s="187"/>
      <c r="EE285" s="330"/>
      <c r="EH285" s="334"/>
      <c r="EI285" s="334"/>
      <c r="EM285"/>
      <c r="EO285" s="115"/>
      <c r="EP285" s="334" t="s">
        <v>1415</v>
      </c>
      <c r="EQ285" s="334" t="s">
        <v>2114</v>
      </c>
      <c r="ER285" s="334" t="s">
        <v>1473</v>
      </c>
      <c r="ES285" s="334" t="s">
        <v>373</v>
      </c>
      <c r="ET285" s="334">
        <v>2025.03</v>
      </c>
      <c r="EU285" s="334" t="s">
        <v>397</v>
      </c>
      <c r="EV285" s="334">
        <v>0</v>
      </c>
    </row>
    <row r="286" spans="9:152" ht="13">
      <c r="I286" s="115" t="s">
        <v>2193</v>
      </c>
      <c r="J286" s="115" t="s">
        <v>1354</v>
      </c>
      <c r="K286" s="183">
        <v>45717</v>
      </c>
      <c r="AI286" s="115" t="s">
        <v>1416</v>
      </c>
      <c r="AJ286" t="s">
        <v>2114</v>
      </c>
      <c r="AK286" s="115">
        <v>0</v>
      </c>
      <c r="AL286" s="115" t="s">
        <v>28</v>
      </c>
      <c r="AM286" s="115" t="s">
        <v>1846</v>
      </c>
      <c r="AN286" s="115" t="s">
        <v>1447</v>
      </c>
      <c r="AO286" s="115" t="s">
        <v>381</v>
      </c>
      <c r="AT286" s="115" t="s">
        <v>1415</v>
      </c>
      <c r="AU286" s="115" t="s">
        <v>2114</v>
      </c>
      <c r="AV286" s="115">
        <v>15</v>
      </c>
      <c r="AW286" s="115" t="s">
        <v>499</v>
      </c>
      <c r="AX286" s="115" t="s">
        <v>28</v>
      </c>
      <c r="AY286" s="115" t="s">
        <v>1850</v>
      </c>
      <c r="AZ286" s="115" t="s">
        <v>1890</v>
      </c>
      <c r="BA286" s="115"/>
      <c r="BB286" s="115"/>
      <c r="BC286" s="115">
        <v>161.323125</v>
      </c>
      <c r="BD286" s="115"/>
      <c r="BE286" s="115"/>
      <c r="BF286" s="115">
        <v>10.185</v>
      </c>
      <c r="BG286" s="115"/>
      <c r="BH286" s="115">
        <v>15.175960400000001</v>
      </c>
      <c r="BI286" s="115">
        <v>11.550275000000001</v>
      </c>
      <c r="BJ286" s="115">
        <v>13.635168750000002</v>
      </c>
      <c r="BK286" s="115">
        <v>1.762005</v>
      </c>
      <c r="BL286" s="115">
        <v>3.8994</v>
      </c>
      <c r="BM286" s="115"/>
      <c r="BN286" s="115"/>
      <c r="BO286" s="115"/>
      <c r="BP286" s="115"/>
      <c r="DA286" s="115"/>
      <c r="DB286" s="115"/>
      <c r="DR286" s="214"/>
      <c r="DY286" s="115"/>
      <c r="DZ286" s="334"/>
      <c r="EA286" s="334"/>
      <c r="EB286" s="334"/>
      <c r="EC286" s="334"/>
      <c r="ED286" s="187"/>
      <c r="EE286" s="330"/>
      <c r="EH286" s="334"/>
      <c r="EI286" s="334"/>
      <c r="EM286"/>
      <c r="EO286" s="115"/>
      <c r="EP286" s="334" t="s">
        <v>1415</v>
      </c>
      <c r="EQ286" s="334" t="s">
        <v>2114</v>
      </c>
      <c r="ER286" s="334" t="s">
        <v>1473</v>
      </c>
      <c r="ES286" s="334" t="s">
        <v>373</v>
      </c>
      <c r="ET286" s="334">
        <v>2025.03</v>
      </c>
      <c r="EU286" s="334" t="s">
        <v>1382</v>
      </c>
      <c r="EV286" s="334">
        <v>13037.16</v>
      </c>
    </row>
    <row r="287" spans="9:152" ht="13">
      <c r="I287" s="115" t="s">
        <v>2193</v>
      </c>
      <c r="J287" s="115" t="s">
        <v>1365</v>
      </c>
      <c r="K287" s="183">
        <v>15</v>
      </c>
      <c r="AI287" s="115" t="s">
        <v>1416</v>
      </c>
      <c r="AJ287" t="s">
        <v>2114</v>
      </c>
      <c r="AK287" s="115">
        <v>0</v>
      </c>
      <c r="AL287" s="115" t="s">
        <v>28</v>
      </c>
      <c r="AM287" s="115" t="s">
        <v>1832</v>
      </c>
      <c r="AN287" s="115" t="s">
        <v>1447</v>
      </c>
      <c r="AO287" s="115" t="s">
        <v>379</v>
      </c>
      <c r="AT287" s="115" t="s">
        <v>1415</v>
      </c>
      <c r="AU287" s="115" t="s">
        <v>2114</v>
      </c>
      <c r="AV287" s="115">
        <v>15</v>
      </c>
      <c r="AW287" s="115" t="s">
        <v>499</v>
      </c>
      <c r="AX287" s="115" t="s">
        <v>28</v>
      </c>
      <c r="AY287" s="115" t="s">
        <v>1832</v>
      </c>
      <c r="AZ287" s="115" t="s">
        <v>1890</v>
      </c>
      <c r="BA287" s="115"/>
      <c r="BB287" s="115"/>
      <c r="BC287" s="115">
        <v>221.75000000000003</v>
      </c>
      <c r="BD287" s="115"/>
      <c r="BE287" s="115"/>
      <c r="BF287" s="115">
        <v>10.5</v>
      </c>
      <c r="BG287" s="115"/>
      <c r="BH287" s="115">
        <v>156.45320000000001</v>
      </c>
      <c r="BI287" s="115">
        <v>47.63</v>
      </c>
      <c r="BJ287" s="115">
        <v>15.618750000000002</v>
      </c>
      <c r="BK287" s="115">
        <v>18.164999999999999</v>
      </c>
      <c r="BL287" s="115">
        <v>40.200000000000003</v>
      </c>
      <c r="BM287" s="115"/>
      <c r="BN287" s="115"/>
      <c r="BO287" s="115"/>
      <c r="BP287" s="115"/>
      <c r="DA287" s="115"/>
      <c r="DB287" s="115"/>
      <c r="DR287" s="214"/>
      <c r="DY287" s="115"/>
      <c r="DZ287" s="334"/>
      <c r="EA287" s="334"/>
      <c r="EB287" s="334"/>
      <c r="EC287" s="334"/>
      <c r="ED287" s="187"/>
      <c r="EE287" s="330"/>
      <c r="EH287" s="334"/>
      <c r="EI287" s="334"/>
      <c r="EM287"/>
      <c r="EO287" s="115"/>
      <c r="EP287" s="334" t="s">
        <v>1415</v>
      </c>
      <c r="EQ287" s="334" t="s">
        <v>2114</v>
      </c>
      <c r="ER287" s="334" t="s">
        <v>1473</v>
      </c>
      <c r="ES287" s="334" t="s">
        <v>380</v>
      </c>
      <c r="ET287" s="334">
        <v>2024.44</v>
      </c>
      <c r="EU287" s="334" t="s">
        <v>397</v>
      </c>
      <c r="EV287" s="334">
        <v>0</v>
      </c>
    </row>
    <row r="288" spans="9:152" ht="13">
      <c r="I288" s="115" t="s">
        <v>2193</v>
      </c>
      <c r="J288" s="115" t="s">
        <v>1356</v>
      </c>
      <c r="K288" s="183" t="s">
        <v>1359</v>
      </c>
      <c r="AI288" s="115" t="s">
        <v>1416</v>
      </c>
      <c r="AJ288" t="s">
        <v>2114</v>
      </c>
      <c r="AK288" s="115">
        <v>0</v>
      </c>
      <c r="AL288" s="115" t="s">
        <v>28</v>
      </c>
      <c r="AM288" s="115" t="s">
        <v>1849</v>
      </c>
      <c r="AN288" s="115" t="s">
        <v>1447</v>
      </c>
      <c r="AO288" s="115" t="s">
        <v>379</v>
      </c>
      <c r="AT288" s="115" t="s">
        <v>1416</v>
      </c>
      <c r="AU288" s="115" t="s">
        <v>2114</v>
      </c>
      <c r="AV288" s="115">
        <v>0</v>
      </c>
      <c r="AW288" s="115" t="s">
        <v>499</v>
      </c>
      <c r="AX288" s="115" t="s">
        <v>28</v>
      </c>
      <c r="AY288" s="115" t="s">
        <v>1832</v>
      </c>
      <c r="AZ288" s="115" t="s">
        <v>1947</v>
      </c>
      <c r="BA288" s="115"/>
      <c r="BB288" s="115"/>
      <c r="BC288" s="115">
        <v>219.75</v>
      </c>
      <c r="BD288" s="115"/>
      <c r="BE288" s="115"/>
      <c r="BF288" s="115"/>
      <c r="BG288" s="115"/>
      <c r="BH288" s="115">
        <v>270.5856</v>
      </c>
      <c r="BI288" s="115">
        <v>89.7</v>
      </c>
      <c r="BJ288" s="115">
        <v>23.587500000000002</v>
      </c>
      <c r="BK288" s="115"/>
      <c r="BL288" s="115"/>
      <c r="BM288" s="115"/>
      <c r="BN288" s="115"/>
      <c r="BO288" s="115"/>
      <c r="BP288" s="115"/>
      <c r="DA288" s="115"/>
      <c r="DB288" s="115"/>
      <c r="DR288" s="214"/>
      <c r="DY288" s="115"/>
      <c r="DZ288" s="334"/>
      <c r="EA288" s="334"/>
      <c r="EB288" s="334"/>
      <c r="EC288" s="334"/>
      <c r="ED288" s="187"/>
      <c r="EE288" s="330"/>
      <c r="EH288" s="334"/>
      <c r="EI288" s="334"/>
      <c r="EM288"/>
      <c r="EO288" s="115"/>
      <c r="EP288" s="334" t="s">
        <v>1415</v>
      </c>
      <c r="EQ288" s="334" t="s">
        <v>2114</v>
      </c>
      <c r="ER288" s="334" t="s">
        <v>1473</v>
      </c>
      <c r="ES288" s="334" t="s">
        <v>380</v>
      </c>
      <c r="ET288" s="334">
        <v>2024.44</v>
      </c>
      <c r="EU288" s="334" t="s">
        <v>1382</v>
      </c>
      <c r="EV288" s="334">
        <v>1761.26</v>
      </c>
    </row>
    <row r="289" spans="9:152" ht="13">
      <c r="I289" s="115" t="s">
        <v>2193</v>
      </c>
      <c r="J289" s="115" t="s">
        <v>1366</v>
      </c>
      <c r="K289" s="183">
        <v>3</v>
      </c>
      <c r="AI289" s="115" t="s">
        <v>1416</v>
      </c>
      <c r="AJ289" t="s">
        <v>2114</v>
      </c>
      <c r="AK289" s="115">
        <v>0</v>
      </c>
      <c r="AL289" s="115" t="s">
        <v>28</v>
      </c>
      <c r="AM289" s="115" t="s">
        <v>1843</v>
      </c>
      <c r="AN289" s="115" t="s">
        <v>1447</v>
      </c>
      <c r="AO289" s="115" t="s">
        <v>379</v>
      </c>
      <c r="AT289" s="115" t="s">
        <v>1416</v>
      </c>
      <c r="AU289" s="115" t="s">
        <v>2114</v>
      </c>
      <c r="AV289" s="115">
        <v>0</v>
      </c>
      <c r="AW289" s="115" t="s">
        <v>499</v>
      </c>
      <c r="AX289" s="115" t="s">
        <v>28</v>
      </c>
      <c r="AY289" s="115" t="s">
        <v>1846</v>
      </c>
      <c r="AZ289" s="115" t="s">
        <v>1948</v>
      </c>
      <c r="BA289" s="115"/>
      <c r="BB289" s="115"/>
      <c r="BC289" s="115">
        <v>553.96214999999984</v>
      </c>
      <c r="BD289" s="115"/>
      <c r="BE289" s="115"/>
      <c r="BF289" s="115"/>
      <c r="BG289" s="115"/>
      <c r="BH289" s="115">
        <v>6806.4451136239995</v>
      </c>
      <c r="BI289" s="115">
        <v>770.90846999999997</v>
      </c>
      <c r="BJ289" s="115">
        <v>63.223896750000002</v>
      </c>
      <c r="BK289" s="115">
        <v>1245.694176</v>
      </c>
      <c r="BL289" s="115">
        <v>791.15319449999981</v>
      </c>
      <c r="BM289" s="115">
        <v>2650.3487999999998</v>
      </c>
      <c r="BN289" s="115">
        <v>3652.9940000000001</v>
      </c>
      <c r="BO289" s="115">
        <v>3416.0922</v>
      </c>
      <c r="BP289" s="115"/>
      <c r="DA289" s="115"/>
      <c r="DB289" s="115"/>
      <c r="DR289" s="214"/>
      <c r="DY289" s="115"/>
      <c r="DZ289" s="334"/>
      <c r="EA289" s="334"/>
      <c r="EB289" s="334"/>
      <c r="EC289" s="334"/>
      <c r="ED289" s="187"/>
      <c r="EE289" s="330"/>
      <c r="EH289" s="334"/>
      <c r="EI289" s="334"/>
      <c r="EM289"/>
      <c r="EO289" s="115"/>
      <c r="EP289" s="334" t="s">
        <v>1415</v>
      </c>
      <c r="EQ289" s="334" t="s">
        <v>2114</v>
      </c>
      <c r="ER289" s="334" t="s">
        <v>1473</v>
      </c>
      <c r="ES289" s="334" t="s">
        <v>380</v>
      </c>
      <c r="ET289" s="334">
        <v>2024.45</v>
      </c>
      <c r="EU289" s="334" t="s">
        <v>397</v>
      </c>
      <c r="EV289" s="334">
        <v>0</v>
      </c>
    </row>
    <row r="290" spans="9:152" ht="13">
      <c r="I290" s="115" t="s">
        <v>2193</v>
      </c>
      <c r="J290" s="115" t="s">
        <v>1357</v>
      </c>
      <c r="K290" s="183">
        <v>26353.649773602549</v>
      </c>
      <c r="AI290" s="115" t="s">
        <v>1416</v>
      </c>
      <c r="AJ290" t="s">
        <v>2114</v>
      </c>
      <c r="AK290" s="115">
        <v>0</v>
      </c>
      <c r="AL290" s="115" t="s">
        <v>28</v>
      </c>
      <c r="AM290" s="115" t="s">
        <v>1848</v>
      </c>
      <c r="AN290" s="115" t="s">
        <v>1447</v>
      </c>
      <c r="AO290" s="115" t="s">
        <v>379</v>
      </c>
      <c r="AT290" s="115" t="s">
        <v>1415</v>
      </c>
      <c r="AU290" s="115" t="s">
        <v>2114</v>
      </c>
      <c r="AV290" s="115">
        <v>15</v>
      </c>
      <c r="AW290" s="115" t="s">
        <v>499</v>
      </c>
      <c r="AX290" s="115" t="s">
        <v>28</v>
      </c>
      <c r="AY290" s="115" t="s">
        <v>1846</v>
      </c>
      <c r="AZ290" s="115" t="s">
        <v>1891</v>
      </c>
      <c r="BA290" s="115"/>
      <c r="BB290" s="115"/>
      <c r="BC290" s="115">
        <v>1342.1402574999997</v>
      </c>
      <c r="BD290" s="115"/>
      <c r="BE290" s="115"/>
      <c r="BF290" s="115"/>
      <c r="BG290" s="115"/>
      <c r="BH290" s="115">
        <v>10374.694659305598</v>
      </c>
      <c r="BI290" s="115">
        <v>1285.4901268950002</v>
      </c>
      <c r="BJ290" s="115">
        <v>128.88438887999999</v>
      </c>
      <c r="BK290" s="115">
        <v>498.68838547199999</v>
      </c>
      <c r="BL290" s="115">
        <v>1123.55699751</v>
      </c>
      <c r="BM290" s="115">
        <v>1241.9999999999995</v>
      </c>
      <c r="BN290" s="115">
        <v>1919.2</v>
      </c>
      <c r="BO290" s="115">
        <v>2536.98</v>
      </c>
      <c r="BP290" s="115"/>
      <c r="DA290" s="115"/>
      <c r="DB290" s="115"/>
      <c r="DR290" s="214"/>
      <c r="DY290" s="115"/>
      <c r="DZ290" s="334"/>
      <c r="EA290" s="334"/>
      <c r="EB290" s="334"/>
      <c r="EC290" s="334"/>
      <c r="ED290" s="187"/>
      <c r="EE290" s="330"/>
      <c r="EH290" s="334"/>
      <c r="EI290" s="334"/>
      <c r="EM290"/>
      <c r="EO290" s="115"/>
      <c r="EP290" s="334" t="s">
        <v>1415</v>
      </c>
      <c r="EQ290" s="334" t="s">
        <v>2114</v>
      </c>
      <c r="ER290" s="334" t="s">
        <v>1473</v>
      </c>
      <c r="ES290" s="334" t="s">
        <v>380</v>
      </c>
      <c r="ET290" s="334">
        <v>2024.45</v>
      </c>
      <c r="EU290" s="334" t="s">
        <v>1382</v>
      </c>
      <c r="EV290" s="334">
        <v>2447.2600000000002</v>
      </c>
    </row>
    <row r="291" spans="9:152" ht="13">
      <c r="I291" s="115" t="s">
        <v>2194</v>
      </c>
      <c r="J291" s="115" t="s">
        <v>1363</v>
      </c>
      <c r="K291" s="183">
        <v>125</v>
      </c>
      <c r="AI291" s="115" t="s">
        <v>1416</v>
      </c>
      <c r="AJ291" t="s">
        <v>2114</v>
      </c>
      <c r="AK291" s="115">
        <v>0</v>
      </c>
      <c r="AL291" s="115" t="s">
        <v>28</v>
      </c>
      <c r="AM291" s="115" t="s">
        <v>1846</v>
      </c>
      <c r="AN291" s="115" t="s">
        <v>1447</v>
      </c>
      <c r="AO291" s="115" t="s">
        <v>379</v>
      </c>
      <c r="AT291" s="115" t="s">
        <v>1416</v>
      </c>
      <c r="AU291" s="115" t="s">
        <v>2114</v>
      </c>
      <c r="AV291" s="115">
        <v>0</v>
      </c>
      <c r="AW291" s="115" t="s">
        <v>499</v>
      </c>
      <c r="AX291" s="115" t="s">
        <v>28</v>
      </c>
      <c r="AY291" s="115" t="s">
        <v>1848</v>
      </c>
      <c r="AZ291" s="115" t="s">
        <v>1948</v>
      </c>
      <c r="BA291" s="115"/>
      <c r="BB291" s="115"/>
      <c r="BC291" s="115">
        <v>3322.1578500000001</v>
      </c>
      <c r="BD291" s="115"/>
      <c r="BE291" s="115"/>
      <c r="BF291" s="115">
        <v>402.01892500000002</v>
      </c>
      <c r="BG291" s="115"/>
      <c r="BH291" s="115">
        <v>548.19152610399999</v>
      </c>
      <c r="BI291" s="115">
        <v>329.13215500000001</v>
      </c>
      <c r="BJ291" s="115">
        <v>299.58413625000009</v>
      </c>
      <c r="BK291" s="115">
        <v>197.88000000000002</v>
      </c>
      <c r="BL291" s="115">
        <v>125.67562499999998</v>
      </c>
      <c r="BM291" s="115"/>
      <c r="BN291" s="115"/>
      <c r="BO291" s="115"/>
      <c r="BP291" s="115"/>
      <c r="DA291" s="115"/>
      <c r="DB291" s="115"/>
      <c r="DR291" s="214"/>
      <c r="DY291" s="115"/>
      <c r="DZ291" s="334"/>
      <c r="EA291" s="334"/>
      <c r="EB291" s="334"/>
      <c r="EC291" s="334"/>
      <c r="ED291" s="187"/>
      <c r="EE291" s="330"/>
      <c r="EH291" s="334"/>
      <c r="EI291" s="334"/>
      <c r="EM291"/>
      <c r="EO291" s="115"/>
      <c r="EP291" s="334" t="s">
        <v>1415</v>
      </c>
      <c r="EQ291" s="334" t="s">
        <v>2114</v>
      </c>
      <c r="ER291" s="334" t="s">
        <v>1473</v>
      </c>
      <c r="ES291" s="334" t="s">
        <v>380</v>
      </c>
      <c r="ET291" s="334">
        <v>2024.47</v>
      </c>
      <c r="EU291" s="334" t="s">
        <v>397</v>
      </c>
      <c r="EV291" s="334">
        <v>0</v>
      </c>
    </row>
    <row r="292" spans="9:152" ht="13">
      <c r="I292" s="115" t="s">
        <v>2194</v>
      </c>
      <c r="J292" s="115" t="s">
        <v>1353</v>
      </c>
      <c r="K292" s="183" t="s">
        <v>2230</v>
      </c>
      <c r="AI292" s="115" t="s">
        <v>1416</v>
      </c>
      <c r="AJ292" t="s">
        <v>2114</v>
      </c>
      <c r="AK292" s="115">
        <v>0</v>
      </c>
      <c r="AL292" s="115" t="s">
        <v>28</v>
      </c>
      <c r="AM292" s="115" t="s">
        <v>1850</v>
      </c>
      <c r="AN292" s="115" t="s">
        <v>1447</v>
      </c>
      <c r="AO292" s="115" t="s">
        <v>379</v>
      </c>
      <c r="AT292" s="115" t="s">
        <v>1415</v>
      </c>
      <c r="AU292" s="115" t="s">
        <v>2114</v>
      </c>
      <c r="AV292" s="115">
        <v>15</v>
      </c>
      <c r="AW292" s="115" t="s">
        <v>499</v>
      </c>
      <c r="AX292" s="115" t="s">
        <v>28</v>
      </c>
      <c r="AY292" s="115" t="s">
        <v>1848</v>
      </c>
      <c r="AZ292" s="115" t="s">
        <v>1891</v>
      </c>
      <c r="BA292" s="115"/>
      <c r="BB292" s="115"/>
      <c r="BC292" s="115">
        <v>7914.7966012500001</v>
      </c>
      <c r="BD292" s="115"/>
      <c r="BE292" s="115"/>
      <c r="BF292" s="115">
        <v>473.3814855</v>
      </c>
      <c r="BG292" s="115"/>
      <c r="BH292" s="115">
        <v>692.33516824415983</v>
      </c>
      <c r="BI292" s="115">
        <v>472.25380957499999</v>
      </c>
      <c r="BJ292" s="115">
        <v>647.39681048249997</v>
      </c>
      <c r="BK292" s="115">
        <v>77.896984512000003</v>
      </c>
      <c r="BL292" s="115">
        <v>175.50379071000003</v>
      </c>
      <c r="BM292" s="115"/>
      <c r="BN292" s="115"/>
      <c r="BO292" s="115"/>
      <c r="BP292" s="115"/>
      <c r="DA292" s="115"/>
      <c r="DB292" s="115"/>
      <c r="DR292" s="214"/>
      <c r="DY292" s="115"/>
      <c r="DZ292" s="334"/>
      <c r="EA292" s="334"/>
      <c r="EB292" s="334"/>
      <c r="EC292" s="334"/>
      <c r="ED292" s="187"/>
      <c r="EE292" s="330"/>
      <c r="EH292" s="334"/>
      <c r="EI292" s="334"/>
      <c r="EM292"/>
      <c r="EO292" s="115"/>
      <c r="EP292" s="334" t="s">
        <v>1415</v>
      </c>
      <c r="EQ292" s="334" t="s">
        <v>2114</v>
      </c>
      <c r="ER292" s="334" t="s">
        <v>1473</v>
      </c>
      <c r="ES292" s="334" t="s">
        <v>380</v>
      </c>
      <c r="ET292" s="334">
        <v>2024.47</v>
      </c>
      <c r="EU292" s="334" t="s">
        <v>1382</v>
      </c>
      <c r="EV292" s="334">
        <v>3819.28</v>
      </c>
    </row>
    <row r="293" spans="9:152" ht="13">
      <c r="I293" s="115" t="s">
        <v>2194</v>
      </c>
      <c r="J293" s="115" t="s">
        <v>1369</v>
      </c>
      <c r="K293" s="183">
        <v>13</v>
      </c>
      <c r="AI293" s="115" t="s">
        <v>1416</v>
      </c>
      <c r="AJ293" t="s">
        <v>2114</v>
      </c>
      <c r="AK293" s="115">
        <v>0</v>
      </c>
      <c r="AL293" s="115" t="s">
        <v>28</v>
      </c>
      <c r="AM293" s="115" t="s">
        <v>1846</v>
      </c>
      <c r="AN293" s="115" t="s">
        <v>1447</v>
      </c>
      <c r="AO293" s="115" t="s">
        <v>1645</v>
      </c>
      <c r="AT293" s="115" t="s">
        <v>1415</v>
      </c>
      <c r="AU293" s="115" t="s">
        <v>2114</v>
      </c>
      <c r="AV293" s="115">
        <v>15</v>
      </c>
      <c r="AW293" s="115" t="s">
        <v>499</v>
      </c>
      <c r="AX293" s="115" t="s">
        <v>28</v>
      </c>
      <c r="AY293" s="115" t="s">
        <v>1843</v>
      </c>
      <c r="AZ293" s="115" t="s">
        <v>1891</v>
      </c>
      <c r="BA293" s="115"/>
      <c r="BB293" s="115"/>
      <c r="BC293" s="115">
        <v>9174.4521649484541</v>
      </c>
      <c r="BD293" s="115"/>
      <c r="BE293" s="115"/>
      <c r="BF293" s="115">
        <v>469.7335051546392</v>
      </c>
      <c r="BG293" s="115"/>
      <c r="BH293" s="115">
        <v>10505.215850515464</v>
      </c>
      <c r="BI293" s="115">
        <v>1537.6092783505155</v>
      </c>
      <c r="BJ293" s="115">
        <v>769.22835051546394</v>
      </c>
      <c r="BK293" s="115">
        <v>568.00051546391762</v>
      </c>
      <c r="BL293" s="115">
        <v>1461.9697938144329</v>
      </c>
      <c r="BM293" s="115">
        <v>1241.9999999999995</v>
      </c>
      <c r="BN293" s="115">
        <v>1919.2</v>
      </c>
      <c r="BO293" s="115">
        <v>2536.98</v>
      </c>
      <c r="BP293" s="115"/>
      <c r="DA293" s="115"/>
      <c r="DB293" s="115"/>
      <c r="DR293" s="214"/>
      <c r="DY293" s="115"/>
      <c r="DZ293" s="334"/>
      <c r="EA293" s="334"/>
      <c r="EB293" s="334"/>
      <c r="EC293" s="334"/>
      <c r="ED293" s="187"/>
      <c r="EE293" s="330"/>
      <c r="EH293" s="334"/>
      <c r="EI293" s="334"/>
      <c r="EM293"/>
      <c r="EO293" s="115"/>
      <c r="EP293" s="334" t="s">
        <v>1415</v>
      </c>
      <c r="EQ293" s="334" t="s">
        <v>2114</v>
      </c>
      <c r="ER293" s="334" t="s">
        <v>1473</v>
      </c>
      <c r="ES293" s="334" t="s">
        <v>380</v>
      </c>
      <c r="ET293" s="334">
        <v>2025.03</v>
      </c>
      <c r="EU293" s="334" t="s">
        <v>397</v>
      </c>
      <c r="EV293" s="334">
        <v>0</v>
      </c>
    </row>
    <row r="294" spans="9:152" ht="13">
      <c r="I294" s="115" t="s">
        <v>2194</v>
      </c>
      <c r="J294" s="115" t="s">
        <v>1355</v>
      </c>
      <c r="K294" s="183">
        <v>14</v>
      </c>
      <c r="AI294" s="115" t="s">
        <v>1416</v>
      </c>
      <c r="AJ294" t="s">
        <v>2114</v>
      </c>
      <c r="AK294" s="115">
        <v>0</v>
      </c>
      <c r="AL294" s="115" t="s">
        <v>28</v>
      </c>
      <c r="AM294" s="115" t="s">
        <v>1850</v>
      </c>
      <c r="AN294" s="115" t="s">
        <v>1447</v>
      </c>
      <c r="AO294" s="115" t="s">
        <v>1645</v>
      </c>
      <c r="AT294" s="115" t="s">
        <v>1416</v>
      </c>
      <c r="AU294" s="115" t="s">
        <v>2114</v>
      </c>
      <c r="AV294" s="115">
        <v>0</v>
      </c>
      <c r="AW294" s="115" t="s">
        <v>499</v>
      </c>
      <c r="AX294" s="115" t="s">
        <v>28</v>
      </c>
      <c r="AY294" s="115" t="s">
        <v>1843</v>
      </c>
      <c r="AZ294" s="115" t="s">
        <v>1948</v>
      </c>
      <c r="BA294" s="115"/>
      <c r="BB294" s="115"/>
      <c r="BC294" s="115">
        <v>3996</v>
      </c>
      <c r="BD294" s="115"/>
      <c r="BE294" s="115"/>
      <c r="BF294" s="115">
        <v>414.4524742268041</v>
      </c>
      <c r="BG294" s="115"/>
      <c r="BH294" s="115">
        <v>7519.0347814432989</v>
      </c>
      <c r="BI294" s="115">
        <v>1122.228969072165</v>
      </c>
      <c r="BJ294" s="115">
        <v>374.02886597938146</v>
      </c>
      <c r="BK294" s="115">
        <v>1488.2208247422682</v>
      </c>
      <c r="BL294" s="115">
        <v>945.18432989690723</v>
      </c>
      <c r="BM294" s="115">
        <v>2650.3487999999998</v>
      </c>
      <c r="BN294" s="115">
        <v>3652.9940000000001</v>
      </c>
      <c r="BO294" s="115">
        <v>3416.0922</v>
      </c>
      <c r="BP294" s="115"/>
      <c r="DA294" s="115"/>
      <c r="DB294" s="115"/>
      <c r="DR294" s="214"/>
      <c r="DY294" s="115"/>
      <c r="DZ294" s="334"/>
      <c r="EA294" s="334"/>
      <c r="EB294" s="334"/>
      <c r="EC294" s="334"/>
      <c r="ED294" s="187"/>
      <c r="EE294" s="330"/>
      <c r="EH294" s="334"/>
      <c r="EI294" s="334"/>
      <c r="EM294"/>
      <c r="EO294" s="115"/>
      <c r="EP294" s="334" t="s">
        <v>1415</v>
      </c>
      <c r="EQ294" s="334" t="s">
        <v>2114</v>
      </c>
      <c r="ER294" s="334" t="s">
        <v>1473</v>
      </c>
      <c r="ES294" s="334" t="s">
        <v>380</v>
      </c>
      <c r="ET294" s="334">
        <v>2025.03</v>
      </c>
      <c r="EU294" s="334" t="s">
        <v>1382</v>
      </c>
      <c r="EV294" s="334">
        <v>4676.79</v>
      </c>
    </row>
    <row r="295" spans="9:152" ht="13">
      <c r="I295" s="115" t="s">
        <v>2194</v>
      </c>
      <c r="J295" s="115" t="s">
        <v>1361</v>
      </c>
      <c r="K295" s="183">
        <v>69.23</v>
      </c>
      <c r="AI295" s="115" t="s">
        <v>1416</v>
      </c>
      <c r="AJ295" t="s">
        <v>2114</v>
      </c>
      <c r="AK295" s="115">
        <v>0</v>
      </c>
      <c r="AL295" s="115" t="s">
        <v>28</v>
      </c>
      <c r="AM295" s="115" t="s">
        <v>1832</v>
      </c>
      <c r="AN295" s="115" t="s">
        <v>1447</v>
      </c>
      <c r="AO295" s="115" t="s">
        <v>1645</v>
      </c>
      <c r="AT295" s="115" t="s">
        <v>1415</v>
      </c>
      <c r="AU295" s="115" t="s">
        <v>2114</v>
      </c>
      <c r="AV295" s="115">
        <v>15</v>
      </c>
      <c r="AW295" s="115" t="s">
        <v>499</v>
      </c>
      <c r="AX295" s="115" t="s">
        <v>28</v>
      </c>
      <c r="AY295" s="115" t="s">
        <v>1849</v>
      </c>
      <c r="AZ295" s="115" t="s">
        <v>1891</v>
      </c>
      <c r="BA295" s="115"/>
      <c r="BB295" s="115"/>
      <c r="BC295" s="115">
        <v>59.412499999999994</v>
      </c>
      <c r="BD295" s="115"/>
      <c r="BE295" s="115"/>
      <c r="BF295" s="115"/>
      <c r="BG295" s="115"/>
      <c r="BH295" s="115">
        <v>143.13777839999997</v>
      </c>
      <c r="BI295" s="115">
        <v>36.942450000000008</v>
      </c>
      <c r="BJ295" s="115">
        <v>1.6077749999999997</v>
      </c>
      <c r="BK295" s="115">
        <v>17.320319999999999</v>
      </c>
      <c r="BL295" s="115">
        <v>39.023099999999999</v>
      </c>
      <c r="BM295" s="115"/>
      <c r="BN295" s="115"/>
      <c r="BO295" s="115"/>
      <c r="BP295" s="115"/>
      <c r="DA295" s="115"/>
      <c r="DB295" s="115"/>
      <c r="DR295" s="214"/>
      <c r="DY295" s="115"/>
      <c r="DZ295" s="334"/>
      <c r="EA295" s="334"/>
      <c r="EB295" s="334"/>
      <c r="EC295" s="334"/>
      <c r="ED295" s="187"/>
      <c r="EE295" s="330"/>
      <c r="EH295" s="334"/>
      <c r="EI295" s="334"/>
      <c r="EM295"/>
      <c r="EO295" s="115"/>
      <c r="EP295" s="334" t="s">
        <v>1415</v>
      </c>
      <c r="EQ295" s="334" t="s">
        <v>2114</v>
      </c>
      <c r="ER295" s="334" t="s">
        <v>1243</v>
      </c>
      <c r="ES295" s="334" t="s">
        <v>386</v>
      </c>
      <c r="ET295" s="334">
        <v>2024.44</v>
      </c>
      <c r="EU295" s="334" t="s">
        <v>397</v>
      </c>
      <c r="EV295" s="334">
        <v>0</v>
      </c>
    </row>
    <row r="296" spans="9:152" ht="13">
      <c r="I296" s="115" t="s">
        <v>2194</v>
      </c>
      <c r="J296" s="115" t="s">
        <v>1364</v>
      </c>
      <c r="K296" s="183">
        <v>300</v>
      </c>
      <c r="AI296" s="115" t="s">
        <v>1416</v>
      </c>
      <c r="AJ296" t="s">
        <v>2114</v>
      </c>
      <c r="AK296" s="115">
        <v>0</v>
      </c>
      <c r="AL296" s="115" t="s">
        <v>28</v>
      </c>
      <c r="AM296" s="115" t="s">
        <v>1843</v>
      </c>
      <c r="AN296" s="115" t="s">
        <v>1447</v>
      </c>
      <c r="AO296" s="115" t="s">
        <v>1645</v>
      </c>
      <c r="AT296" s="115" t="s">
        <v>1416</v>
      </c>
      <c r="AU296" s="115" t="s">
        <v>2114</v>
      </c>
      <c r="AV296" s="115">
        <v>0</v>
      </c>
      <c r="AW296" s="115" t="s">
        <v>499</v>
      </c>
      <c r="AX296" s="115" t="s">
        <v>28</v>
      </c>
      <c r="AY296" s="115" t="s">
        <v>1849</v>
      </c>
      <c r="AZ296" s="115" t="s">
        <v>1948</v>
      </c>
      <c r="BA296" s="115"/>
      <c r="BB296" s="115"/>
      <c r="BC296" s="115">
        <v>26.917499999999997</v>
      </c>
      <c r="BD296" s="115"/>
      <c r="BE296" s="115"/>
      <c r="BF296" s="115"/>
      <c r="BG296" s="115"/>
      <c r="BH296" s="115">
        <v>122.33383919999999</v>
      </c>
      <c r="BI296" s="115">
        <v>27.790500000000002</v>
      </c>
      <c r="BJ296" s="115">
        <v>0.86572499999999997</v>
      </c>
      <c r="BK296" s="115">
        <v>47.491199999999999</v>
      </c>
      <c r="BL296" s="115">
        <v>30.162149999999993</v>
      </c>
      <c r="BM296" s="115"/>
      <c r="BN296" s="115"/>
      <c r="BO296" s="115"/>
      <c r="BP296" s="115"/>
      <c r="DA296" s="115"/>
      <c r="DB296" s="115"/>
      <c r="DR296" s="214"/>
      <c r="DY296" s="115"/>
      <c r="DZ296" s="334"/>
      <c r="EA296" s="334"/>
      <c r="EB296" s="334"/>
      <c r="EC296" s="334"/>
      <c r="ED296" s="187"/>
      <c r="EE296" s="330"/>
      <c r="EH296" s="334"/>
      <c r="EI296" s="334"/>
      <c r="EM296"/>
      <c r="EO296" s="115"/>
      <c r="EP296" s="334" t="s">
        <v>1415</v>
      </c>
      <c r="EQ296" s="334" t="s">
        <v>2114</v>
      </c>
      <c r="ER296" s="334" t="s">
        <v>1243</v>
      </c>
      <c r="ES296" s="334" t="s">
        <v>386</v>
      </c>
      <c r="ET296" s="334">
        <v>2024.44</v>
      </c>
      <c r="EU296" s="334" t="s">
        <v>1382</v>
      </c>
      <c r="EV296" s="334">
        <v>9779.9405999999999</v>
      </c>
    </row>
    <row r="297" spans="9:152" ht="13">
      <c r="I297" s="115" t="s">
        <v>2194</v>
      </c>
      <c r="J297" s="115" t="s">
        <v>1367</v>
      </c>
      <c r="K297" s="183">
        <v>8</v>
      </c>
      <c r="AI297" s="115" t="s">
        <v>1416</v>
      </c>
      <c r="AJ297" t="s">
        <v>2114</v>
      </c>
      <c r="AK297" s="115">
        <v>0</v>
      </c>
      <c r="AL297" s="115" t="s">
        <v>28</v>
      </c>
      <c r="AM297" s="115" t="s">
        <v>1848</v>
      </c>
      <c r="AN297" s="115" t="s">
        <v>1447</v>
      </c>
      <c r="AO297" s="115" t="s">
        <v>1645</v>
      </c>
      <c r="AT297" s="115" t="s">
        <v>1416</v>
      </c>
      <c r="AU297" s="115" t="s">
        <v>2114</v>
      </c>
      <c r="AV297" s="115">
        <v>0</v>
      </c>
      <c r="AW297" s="115" t="s">
        <v>499</v>
      </c>
      <c r="AX297" s="115" t="s">
        <v>28</v>
      </c>
      <c r="AY297" s="115" t="s">
        <v>1850</v>
      </c>
      <c r="AZ297" s="115" t="s">
        <v>1948</v>
      </c>
      <c r="BA297" s="115"/>
      <c r="BB297" s="115"/>
      <c r="BC297" s="115">
        <v>80.752499999999998</v>
      </c>
      <c r="BD297" s="115"/>
      <c r="BE297" s="115"/>
      <c r="BF297" s="115">
        <v>9.3362499999999997</v>
      </c>
      <c r="BG297" s="115"/>
      <c r="BH297" s="115">
        <v>13.592648799999999</v>
      </c>
      <c r="BI297" s="115">
        <v>9.2635000000000005</v>
      </c>
      <c r="BJ297" s="115">
        <v>7.7915250000000009</v>
      </c>
      <c r="BK297" s="115">
        <v>5.2768000000000006</v>
      </c>
      <c r="BL297" s="115">
        <v>3.3513499999999996</v>
      </c>
      <c r="BM297" s="115"/>
      <c r="BN297" s="115"/>
      <c r="BO297" s="115"/>
      <c r="BP297" s="115"/>
      <c r="DA297" s="115"/>
      <c r="DB297" s="115"/>
      <c r="DR297" s="214"/>
      <c r="DY297" s="115"/>
      <c r="DZ297" s="334"/>
      <c r="EA297" s="334"/>
      <c r="EB297" s="334"/>
      <c r="EC297" s="334"/>
      <c r="ED297" s="187"/>
      <c r="EE297" s="330"/>
      <c r="EH297" s="334"/>
      <c r="EI297" s="334"/>
      <c r="EM297"/>
      <c r="EO297" s="115"/>
      <c r="EP297" s="334" t="s">
        <v>1415</v>
      </c>
      <c r="EQ297" s="334" t="s">
        <v>2114</v>
      </c>
      <c r="ER297" s="334" t="s">
        <v>1243</v>
      </c>
      <c r="ES297" s="334" t="s">
        <v>386</v>
      </c>
      <c r="ET297" s="334">
        <v>2025.03</v>
      </c>
      <c r="EU297" s="334" t="s">
        <v>397</v>
      </c>
      <c r="EV297" s="334">
        <v>0</v>
      </c>
    </row>
    <row r="298" spans="9:152" ht="13">
      <c r="I298" s="115" t="s">
        <v>2194</v>
      </c>
      <c r="J298" s="115" t="s">
        <v>1362</v>
      </c>
      <c r="K298" s="183">
        <v>95</v>
      </c>
      <c r="AI298" s="115" t="s">
        <v>1416</v>
      </c>
      <c r="AJ298" t="s">
        <v>2114</v>
      </c>
      <c r="AK298" s="115">
        <v>0</v>
      </c>
      <c r="AL298" s="115" t="s">
        <v>28</v>
      </c>
      <c r="AM298" s="115" t="s">
        <v>1849</v>
      </c>
      <c r="AN298" s="115" t="s">
        <v>1447</v>
      </c>
      <c r="AO298" s="115" t="s">
        <v>1645</v>
      </c>
      <c r="AT298" s="115" t="s">
        <v>1415</v>
      </c>
      <c r="AU298" s="115" t="s">
        <v>2114</v>
      </c>
      <c r="AV298" s="115">
        <v>15</v>
      </c>
      <c r="AW298" s="115" t="s">
        <v>499</v>
      </c>
      <c r="AX298" s="115" t="s">
        <v>28</v>
      </c>
      <c r="AY298" s="115" t="s">
        <v>1850</v>
      </c>
      <c r="AZ298" s="115" t="s">
        <v>1891</v>
      </c>
      <c r="BA298" s="115"/>
      <c r="BB298" s="115"/>
      <c r="BC298" s="115">
        <v>178.23749999999998</v>
      </c>
      <c r="BD298" s="115"/>
      <c r="BE298" s="115"/>
      <c r="BF298" s="115">
        <v>10.185</v>
      </c>
      <c r="BG298" s="115"/>
      <c r="BH298" s="115">
        <v>15.904197599999998</v>
      </c>
      <c r="BI298" s="115">
        <v>12.314150000000001</v>
      </c>
      <c r="BJ298" s="115">
        <v>14.469975000000002</v>
      </c>
      <c r="BK298" s="115">
        <v>1.92448</v>
      </c>
      <c r="BL298" s="115">
        <v>4.3359000000000005</v>
      </c>
      <c r="BM298" s="115"/>
      <c r="BN298" s="115"/>
      <c r="BO298" s="115"/>
      <c r="BP298" s="115"/>
      <c r="DA298" s="115"/>
      <c r="DB298" s="115"/>
      <c r="DR298" s="214"/>
      <c r="DY298" s="115"/>
      <c r="DZ298" s="334"/>
      <c r="EA298" s="334"/>
      <c r="EB298" s="334"/>
      <c r="EC298" s="334"/>
      <c r="ED298" s="187"/>
      <c r="EE298" s="330"/>
      <c r="EH298" s="334"/>
      <c r="EI298" s="334"/>
      <c r="EM298"/>
      <c r="EO298" s="115"/>
      <c r="EP298" s="334" t="s">
        <v>1415</v>
      </c>
      <c r="EQ298" s="334" t="s">
        <v>2114</v>
      </c>
      <c r="ER298" s="334" t="s">
        <v>1243</v>
      </c>
      <c r="ES298" s="334" t="s">
        <v>386</v>
      </c>
      <c r="ET298" s="334">
        <v>2025.03</v>
      </c>
      <c r="EU298" s="334" t="s">
        <v>1382</v>
      </c>
      <c r="EV298" s="334">
        <v>58825.09</v>
      </c>
    </row>
    <row r="299" spans="9:152" ht="13">
      <c r="I299" s="115" t="s">
        <v>2194</v>
      </c>
      <c r="J299" s="115" t="s">
        <v>1368</v>
      </c>
      <c r="K299" s="183">
        <v>11.5</v>
      </c>
      <c r="AI299" s="115" t="s">
        <v>1416</v>
      </c>
      <c r="AJ299" t="s">
        <v>2114</v>
      </c>
      <c r="AK299" s="115">
        <v>0</v>
      </c>
      <c r="AL299" s="115" t="s">
        <v>28</v>
      </c>
      <c r="AM299" s="115" t="s">
        <v>1843</v>
      </c>
      <c r="AN299" s="115" t="s">
        <v>1447</v>
      </c>
      <c r="AO299" s="115" t="s">
        <v>1646</v>
      </c>
      <c r="AT299" s="115" t="s">
        <v>1416</v>
      </c>
      <c r="AU299" s="115" t="s">
        <v>2114</v>
      </c>
      <c r="AV299" s="115">
        <v>0</v>
      </c>
      <c r="AW299" s="115" t="s">
        <v>499</v>
      </c>
      <c r="AX299" s="115" t="s">
        <v>28</v>
      </c>
      <c r="AY299" s="115" t="s">
        <v>1832</v>
      </c>
      <c r="AZ299" s="115" t="s">
        <v>1948</v>
      </c>
      <c r="BA299" s="115"/>
      <c r="BB299" s="115"/>
      <c r="BC299" s="115">
        <v>110.99999999999999</v>
      </c>
      <c r="BD299" s="115"/>
      <c r="BE299" s="115"/>
      <c r="BF299" s="115">
        <v>9.625</v>
      </c>
      <c r="BG299" s="115"/>
      <c r="BH299" s="115">
        <v>140.13039999999998</v>
      </c>
      <c r="BI299" s="115">
        <v>38.200000000000003</v>
      </c>
      <c r="BJ299" s="115">
        <v>8.9250000000000007</v>
      </c>
      <c r="BK299" s="115">
        <v>54.400000000000006</v>
      </c>
      <c r="BL299" s="115">
        <v>34.549999999999997</v>
      </c>
      <c r="BM299" s="115"/>
      <c r="BN299" s="115"/>
      <c r="BO299" s="115"/>
      <c r="BP299" s="115"/>
      <c r="DA299" s="115"/>
      <c r="DB299" s="115"/>
      <c r="DR299" s="214"/>
      <c r="DY299" s="115"/>
      <c r="DZ299" s="334"/>
      <c r="EA299" s="334"/>
      <c r="EB299" s="334"/>
      <c r="EC299" s="334"/>
      <c r="ED299" s="187"/>
      <c r="EE299" s="330"/>
      <c r="EH299" s="334"/>
      <c r="EI299" s="334"/>
      <c r="EM299"/>
      <c r="EO299" s="115"/>
      <c r="EP299" s="334" t="s">
        <v>1415</v>
      </c>
      <c r="EQ299" s="334" t="s">
        <v>2114</v>
      </c>
      <c r="ER299" s="334" t="s">
        <v>301</v>
      </c>
      <c r="ES299" s="334" t="s">
        <v>386</v>
      </c>
      <c r="ET299" s="334">
        <v>2023.47</v>
      </c>
      <c r="EU299" s="334" t="s">
        <v>397</v>
      </c>
      <c r="EV299" s="334">
        <v>233207.6263</v>
      </c>
    </row>
    <row r="300" spans="9:152" ht="13">
      <c r="I300" s="115" t="s">
        <v>2194</v>
      </c>
      <c r="J300" s="115" t="s">
        <v>1360</v>
      </c>
      <c r="K300" s="183">
        <v>0.25</v>
      </c>
      <c r="AI300" s="115" t="s">
        <v>1416</v>
      </c>
      <c r="AJ300" t="s">
        <v>2114</v>
      </c>
      <c r="AK300" s="115">
        <v>0</v>
      </c>
      <c r="AL300" s="115" t="s">
        <v>28</v>
      </c>
      <c r="AM300" s="115" t="s">
        <v>1846</v>
      </c>
      <c r="AN300" s="115" t="s">
        <v>1447</v>
      </c>
      <c r="AO300" s="115" t="s">
        <v>1646</v>
      </c>
      <c r="AT300" s="115" t="s">
        <v>1415</v>
      </c>
      <c r="AU300" s="115" t="s">
        <v>2114</v>
      </c>
      <c r="AV300" s="115">
        <v>15</v>
      </c>
      <c r="AW300" s="115" t="s">
        <v>499</v>
      </c>
      <c r="AX300" s="115" t="s">
        <v>28</v>
      </c>
      <c r="AY300" s="115" t="s">
        <v>1832</v>
      </c>
      <c r="AZ300" s="115" t="s">
        <v>1891</v>
      </c>
      <c r="BA300" s="115"/>
      <c r="BB300" s="115"/>
      <c r="BC300" s="115">
        <v>244.99999999999997</v>
      </c>
      <c r="BD300" s="115"/>
      <c r="BE300" s="115"/>
      <c r="BF300" s="115">
        <v>10.5</v>
      </c>
      <c r="BG300" s="115"/>
      <c r="BH300" s="115">
        <v>163.96079999999998</v>
      </c>
      <c r="BI300" s="115">
        <v>50.780000000000008</v>
      </c>
      <c r="BJ300" s="115">
        <v>16.575000000000003</v>
      </c>
      <c r="BK300" s="115">
        <v>19.84</v>
      </c>
      <c r="BL300" s="115">
        <v>44.7</v>
      </c>
      <c r="BM300" s="115"/>
      <c r="BN300" s="115"/>
      <c r="BO300" s="115"/>
      <c r="BP300" s="115"/>
      <c r="DA300" s="115"/>
      <c r="DB300" s="115"/>
      <c r="DR300" s="214"/>
      <c r="DY300" s="115"/>
      <c r="DZ300" s="334"/>
      <c r="EA300" s="334"/>
      <c r="EB300" s="334"/>
      <c r="EC300" s="334"/>
      <c r="ED300" s="187"/>
      <c r="EE300" s="330"/>
      <c r="EH300" s="334"/>
      <c r="EI300" s="334"/>
      <c r="EM300"/>
      <c r="EO300" s="115"/>
      <c r="EP300" s="334" t="s">
        <v>1415</v>
      </c>
      <c r="EQ300" s="334" t="s">
        <v>2114</v>
      </c>
      <c r="ER300" s="334" t="s">
        <v>301</v>
      </c>
      <c r="ES300" s="334" t="s">
        <v>386</v>
      </c>
      <c r="ET300" s="334">
        <v>2023.47</v>
      </c>
      <c r="EU300" s="334" t="s">
        <v>1382</v>
      </c>
      <c r="EV300" s="334">
        <v>233207.6263</v>
      </c>
    </row>
    <row r="301" spans="9:152" ht="13">
      <c r="I301" s="115" t="s">
        <v>2194</v>
      </c>
      <c r="J301" s="115" t="s">
        <v>1358</v>
      </c>
      <c r="K301" s="183" t="s">
        <v>375</v>
      </c>
      <c r="AI301" s="115" t="s">
        <v>1416</v>
      </c>
      <c r="AJ301" t="s">
        <v>2114</v>
      </c>
      <c r="AK301" s="115">
        <v>0</v>
      </c>
      <c r="AL301" s="115" t="s">
        <v>28</v>
      </c>
      <c r="AM301" s="115" t="s">
        <v>1846</v>
      </c>
      <c r="AN301" s="115" t="s">
        <v>1447</v>
      </c>
      <c r="AO301" s="115" t="s">
        <v>1647</v>
      </c>
      <c r="AT301" s="115" t="s">
        <v>1416</v>
      </c>
      <c r="AU301" s="115" t="s">
        <v>2114</v>
      </c>
      <c r="AV301" s="115">
        <v>0</v>
      </c>
      <c r="AW301" s="115" t="s">
        <v>499</v>
      </c>
      <c r="AX301" s="115" t="s">
        <v>28</v>
      </c>
      <c r="AY301" s="115" t="s">
        <v>1846</v>
      </c>
      <c r="AZ301" s="115" t="s">
        <v>1949</v>
      </c>
      <c r="BA301" s="115"/>
      <c r="BB301" s="115"/>
      <c r="BC301" s="115">
        <v>873.36374999999975</v>
      </c>
      <c r="BD301" s="115"/>
      <c r="BE301" s="115"/>
      <c r="BF301" s="115"/>
      <c r="BG301" s="115"/>
      <c r="BH301" s="115">
        <v>6881.0762472479992</v>
      </c>
      <c r="BI301" s="115">
        <v>1291.5743999999997</v>
      </c>
      <c r="BJ301" s="115">
        <v>144.51176399999997</v>
      </c>
      <c r="BK301" s="115">
        <v>464.84543699999995</v>
      </c>
      <c r="BL301" s="115">
        <v>388.13449049999997</v>
      </c>
      <c r="BM301" s="115"/>
      <c r="BN301" s="115">
        <v>1632.7208000000001</v>
      </c>
      <c r="BO301" s="115">
        <v>2018.2842000000001</v>
      </c>
      <c r="BP301" s="115"/>
      <c r="DA301" s="115"/>
      <c r="DB301" s="115"/>
      <c r="DR301" s="214"/>
      <c r="DY301" s="115"/>
      <c r="DZ301" s="334"/>
      <c r="EA301" s="334"/>
      <c r="EB301" s="334"/>
      <c r="EC301" s="334"/>
      <c r="ED301" s="187"/>
      <c r="EE301" s="330"/>
      <c r="EH301" s="334"/>
      <c r="EI301" s="334"/>
      <c r="EM301"/>
      <c r="EO301" s="115"/>
      <c r="EP301" s="334" t="s">
        <v>1415</v>
      </c>
      <c r="EQ301" s="334" t="s">
        <v>2114</v>
      </c>
      <c r="ER301" s="334" t="s">
        <v>301</v>
      </c>
      <c r="ES301" s="334" t="s">
        <v>386</v>
      </c>
      <c r="ET301" s="334">
        <v>2024.48</v>
      </c>
      <c r="EU301" s="334" t="s">
        <v>397</v>
      </c>
      <c r="EV301" s="334">
        <v>233207.6263</v>
      </c>
    </row>
    <row r="302" spans="9:152" ht="13">
      <c r="I302" s="115" t="s">
        <v>2194</v>
      </c>
      <c r="J302" s="115" t="s">
        <v>1354</v>
      </c>
      <c r="K302" s="183">
        <v>45717</v>
      </c>
      <c r="AI302" s="115" t="s">
        <v>1416</v>
      </c>
      <c r="AJ302" t="s">
        <v>2114</v>
      </c>
      <c r="AK302" s="115">
        <v>0</v>
      </c>
      <c r="AL302" s="115" t="s">
        <v>28</v>
      </c>
      <c r="AM302" s="115" t="s">
        <v>1843</v>
      </c>
      <c r="AN302" s="115" t="s">
        <v>1447</v>
      </c>
      <c r="AO302" s="115" t="s">
        <v>1647</v>
      </c>
      <c r="AT302" s="115" t="s">
        <v>1416</v>
      </c>
      <c r="AU302" s="115" t="s">
        <v>2114</v>
      </c>
      <c r="AV302" s="115">
        <v>0</v>
      </c>
      <c r="AW302" s="115" t="s">
        <v>499</v>
      </c>
      <c r="AX302" s="115" t="s">
        <v>28</v>
      </c>
      <c r="AY302" s="115" t="s">
        <v>1848</v>
      </c>
      <c r="AZ302" s="115" t="s">
        <v>1949</v>
      </c>
      <c r="BA302" s="115"/>
      <c r="BB302" s="115"/>
      <c r="BC302" s="115">
        <v>5237.6362499999987</v>
      </c>
      <c r="BD302" s="115"/>
      <c r="BE302" s="115"/>
      <c r="BF302" s="115">
        <v>193.17792500000002</v>
      </c>
      <c r="BG302" s="115"/>
      <c r="BH302" s="115">
        <v>791.24627220799982</v>
      </c>
      <c r="BI302" s="115">
        <v>551.42559999999992</v>
      </c>
      <c r="BJ302" s="115">
        <v>684.7637400000001</v>
      </c>
      <c r="BK302" s="115">
        <v>73.841250000000002</v>
      </c>
      <c r="BL302" s="115">
        <v>61.655624999999993</v>
      </c>
      <c r="BM302" s="115"/>
      <c r="BN302" s="115"/>
      <c r="BO302" s="115"/>
      <c r="BP302" s="115"/>
      <c r="DA302" s="115"/>
      <c r="DB302" s="115"/>
      <c r="DR302" s="214"/>
      <c r="DY302" s="115"/>
      <c r="DZ302" s="334"/>
      <c r="EA302" s="334"/>
      <c r="EB302" s="334"/>
      <c r="EC302" s="334"/>
      <c r="ED302" s="187"/>
      <c r="EE302" s="330"/>
      <c r="EH302" s="334"/>
      <c r="EI302" s="334"/>
      <c r="EM302"/>
      <c r="EO302" s="115"/>
      <c r="EP302" s="334" t="s">
        <v>1415</v>
      </c>
      <c r="EQ302" s="334" t="s">
        <v>2114</v>
      </c>
      <c r="ER302" s="334" t="s">
        <v>301</v>
      </c>
      <c r="ES302" s="334" t="s">
        <v>386</v>
      </c>
      <c r="ET302" s="334">
        <v>2024.48</v>
      </c>
      <c r="EU302" s="334" t="s">
        <v>1382</v>
      </c>
      <c r="EV302" s="334">
        <v>283207.6263</v>
      </c>
    </row>
    <row r="303" spans="9:152" ht="13">
      <c r="I303" s="115" t="s">
        <v>2194</v>
      </c>
      <c r="J303" s="115" t="s">
        <v>1365</v>
      </c>
      <c r="K303" s="183">
        <v>15</v>
      </c>
      <c r="AI303" s="115" t="s">
        <v>1416</v>
      </c>
      <c r="AJ303" t="s">
        <v>2114</v>
      </c>
      <c r="AK303" s="115">
        <v>0</v>
      </c>
      <c r="AL303" s="115" t="s">
        <v>28</v>
      </c>
      <c r="AM303" s="115" t="s">
        <v>1846</v>
      </c>
      <c r="AN303" s="115" t="s">
        <v>1447</v>
      </c>
      <c r="AO303" s="115" t="s">
        <v>1639</v>
      </c>
      <c r="AT303" s="115" t="s">
        <v>1416</v>
      </c>
      <c r="AU303" s="115" t="s">
        <v>2114</v>
      </c>
      <c r="AV303" s="115">
        <v>0</v>
      </c>
      <c r="AW303" s="115" t="s">
        <v>499</v>
      </c>
      <c r="AX303" s="115" t="s">
        <v>28</v>
      </c>
      <c r="AY303" s="115" t="s">
        <v>1843</v>
      </c>
      <c r="AZ303" s="115" t="s">
        <v>1949</v>
      </c>
      <c r="BA303" s="115"/>
      <c r="BB303" s="115"/>
      <c r="BC303" s="115">
        <v>6300</v>
      </c>
      <c r="BD303" s="115"/>
      <c r="BE303" s="115"/>
      <c r="BF303" s="115">
        <v>199.15247422680412</v>
      </c>
      <c r="BG303" s="115"/>
      <c r="BH303" s="115">
        <v>7909.6108247422681</v>
      </c>
      <c r="BI303" s="115">
        <v>1880.1741237113404</v>
      </c>
      <c r="BJ303" s="115">
        <v>854.92319587628867</v>
      </c>
      <c r="BK303" s="115">
        <v>555.34711340206184</v>
      </c>
      <c r="BL303" s="115">
        <v>463.70113402061855</v>
      </c>
      <c r="BM303" s="115"/>
      <c r="BN303" s="115">
        <v>1632.7208000000001</v>
      </c>
      <c r="BO303" s="115">
        <v>2018.2842000000001</v>
      </c>
      <c r="BP303" s="115"/>
      <c r="DA303" s="115"/>
      <c r="DB303" s="115"/>
      <c r="DR303" s="214"/>
      <c r="DY303" s="115"/>
      <c r="DZ303" s="334"/>
      <c r="EA303" s="334"/>
      <c r="EB303" s="334"/>
      <c r="EC303" s="334"/>
      <c r="ED303" s="187"/>
      <c r="EE303" s="330"/>
      <c r="EH303" s="334"/>
      <c r="EI303" s="334"/>
      <c r="EM303"/>
      <c r="EO303" s="115"/>
      <c r="EP303" s="334" t="s">
        <v>1415</v>
      </c>
      <c r="EQ303" s="334" t="s">
        <v>2114</v>
      </c>
      <c r="ER303" s="334" t="s">
        <v>1242</v>
      </c>
      <c r="ES303" s="334" t="s">
        <v>386</v>
      </c>
      <c r="ET303" s="334">
        <v>2024.45</v>
      </c>
      <c r="EU303" s="334" t="s">
        <v>397</v>
      </c>
      <c r="EV303" s="334">
        <v>0</v>
      </c>
    </row>
    <row r="304" spans="9:152" ht="13">
      <c r="I304" s="115" t="s">
        <v>2194</v>
      </c>
      <c r="J304" s="115" t="s">
        <v>1356</v>
      </c>
      <c r="K304" s="183" t="s">
        <v>1359</v>
      </c>
      <c r="AI304" s="115" t="s">
        <v>1416</v>
      </c>
      <c r="AJ304" t="s">
        <v>2114</v>
      </c>
      <c r="AK304" s="115">
        <v>0</v>
      </c>
      <c r="AL304" s="115" t="s">
        <v>28</v>
      </c>
      <c r="AM304" s="115" t="s">
        <v>1843</v>
      </c>
      <c r="AN304" s="115" t="s">
        <v>1447</v>
      </c>
      <c r="AO304" s="115" t="s">
        <v>1639</v>
      </c>
      <c r="AT304" s="115" t="s">
        <v>1416</v>
      </c>
      <c r="AU304" s="115" t="s">
        <v>2114</v>
      </c>
      <c r="AV304" s="115">
        <v>0</v>
      </c>
      <c r="AW304" s="115" t="s">
        <v>499</v>
      </c>
      <c r="AX304" s="115" t="s">
        <v>28</v>
      </c>
      <c r="AY304" s="115" t="s">
        <v>1849</v>
      </c>
      <c r="AZ304" s="115" t="s">
        <v>1949</v>
      </c>
      <c r="BA304" s="115"/>
      <c r="BB304" s="115"/>
      <c r="BC304" s="115">
        <v>42.437499999999993</v>
      </c>
      <c r="BD304" s="115"/>
      <c r="BE304" s="115"/>
      <c r="BF304" s="115"/>
      <c r="BG304" s="115"/>
      <c r="BH304" s="115">
        <v>176.57367839999998</v>
      </c>
      <c r="BI304" s="115">
        <v>46.559999999999995</v>
      </c>
      <c r="BJ304" s="115">
        <v>1.9787999999999997</v>
      </c>
      <c r="BK304" s="115">
        <v>17.721899999999998</v>
      </c>
      <c r="BL304" s="115">
        <v>14.797349999999998</v>
      </c>
      <c r="BM304" s="115"/>
      <c r="BN304" s="115"/>
      <c r="BO304" s="115"/>
      <c r="BP304" s="115"/>
      <c r="DA304" s="115"/>
      <c r="DB304" s="115"/>
      <c r="DR304" s="214"/>
      <c r="DY304" s="115"/>
      <c r="DZ304" s="334"/>
      <c r="EA304" s="334"/>
      <c r="EB304" s="334"/>
      <c r="EC304" s="334"/>
      <c r="ED304" s="187"/>
      <c r="EE304" s="330"/>
      <c r="EH304" s="334"/>
      <c r="EI304" s="334"/>
      <c r="EM304"/>
      <c r="EO304" s="115"/>
      <c r="EP304" s="334" t="s">
        <v>1415</v>
      </c>
      <c r="EQ304" s="334" t="s">
        <v>2114</v>
      </c>
      <c r="ER304" s="334" t="s">
        <v>1242</v>
      </c>
      <c r="ES304" s="334" t="s">
        <v>386</v>
      </c>
      <c r="ET304" s="334">
        <v>2024.45</v>
      </c>
      <c r="EU304" s="334" t="s">
        <v>1382</v>
      </c>
      <c r="EV304" s="334">
        <v>-17388.61</v>
      </c>
    </row>
    <row r="305" spans="9:152" ht="13">
      <c r="I305" s="115" t="s">
        <v>2194</v>
      </c>
      <c r="J305" s="115" t="s">
        <v>1366</v>
      </c>
      <c r="K305" s="183">
        <v>3</v>
      </c>
      <c r="AI305" s="115" t="s">
        <v>1416</v>
      </c>
      <c r="AJ305" t="s">
        <v>2114</v>
      </c>
      <c r="AK305" s="115">
        <v>0</v>
      </c>
      <c r="AL305" s="115" t="s">
        <v>28</v>
      </c>
      <c r="AM305" s="115" t="s">
        <v>1848</v>
      </c>
      <c r="AN305" s="115" t="s">
        <v>1447</v>
      </c>
      <c r="AO305" s="115" t="s">
        <v>373</v>
      </c>
      <c r="AT305" s="115" t="s">
        <v>1416</v>
      </c>
      <c r="AU305" s="115" t="s">
        <v>2114</v>
      </c>
      <c r="AV305" s="115">
        <v>0</v>
      </c>
      <c r="AW305" s="115" t="s">
        <v>499</v>
      </c>
      <c r="AX305" s="115" t="s">
        <v>28</v>
      </c>
      <c r="AY305" s="115" t="s">
        <v>1850</v>
      </c>
      <c r="AZ305" s="115" t="s">
        <v>1949</v>
      </c>
      <c r="BA305" s="115"/>
      <c r="BB305" s="115"/>
      <c r="BC305" s="115">
        <v>127.31249999999997</v>
      </c>
      <c r="BD305" s="115"/>
      <c r="BE305" s="115"/>
      <c r="BF305" s="115">
        <v>4.4862500000000001</v>
      </c>
      <c r="BG305" s="115"/>
      <c r="BH305" s="115">
        <v>19.619297599999996</v>
      </c>
      <c r="BI305" s="115">
        <v>15.519999999999998</v>
      </c>
      <c r="BJ305" s="115">
        <v>17.809200000000001</v>
      </c>
      <c r="BK305" s="115">
        <v>1.9691000000000001</v>
      </c>
      <c r="BL305" s="115">
        <v>1.6441499999999998</v>
      </c>
      <c r="BM305" s="115"/>
      <c r="BN305" s="115"/>
      <c r="BO305" s="115"/>
      <c r="BP305" s="115"/>
      <c r="DA305" s="115"/>
      <c r="DB305" s="115"/>
      <c r="DR305" s="214"/>
      <c r="DY305" s="115"/>
      <c r="DZ305" s="334"/>
      <c r="EA305" s="334"/>
      <c r="EB305" s="334"/>
      <c r="EC305" s="334"/>
      <c r="ED305" s="187"/>
      <c r="EE305" s="330"/>
      <c r="EH305" s="334"/>
      <c r="EI305" s="334"/>
      <c r="EM305"/>
      <c r="EO305" s="115"/>
      <c r="EP305" s="334" t="s">
        <v>1415</v>
      </c>
      <c r="EQ305" s="334" t="s">
        <v>2114</v>
      </c>
      <c r="ER305" s="334" t="s">
        <v>1242</v>
      </c>
      <c r="ES305" s="334" t="s">
        <v>386</v>
      </c>
      <c r="ET305" s="334">
        <v>2024.48</v>
      </c>
      <c r="EU305" s="334" t="s">
        <v>397</v>
      </c>
      <c r="EV305" s="334">
        <v>0</v>
      </c>
    </row>
    <row r="306" spans="9:152" ht="13">
      <c r="I306" s="115" t="s">
        <v>2194</v>
      </c>
      <c r="J306" s="115" t="s">
        <v>1357</v>
      </c>
      <c r="K306" s="183">
        <v>106566.24181396513</v>
      </c>
      <c r="AI306" s="115" t="s">
        <v>1416</v>
      </c>
      <c r="AJ306" t="s">
        <v>2114</v>
      </c>
      <c r="AK306" s="115">
        <v>0</v>
      </c>
      <c r="AL306" s="115" t="s">
        <v>28</v>
      </c>
      <c r="AM306" s="115" t="s">
        <v>1850</v>
      </c>
      <c r="AN306" s="115" t="s">
        <v>1447</v>
      </c>
      <c r="AO306" s="115" t="s">
        <v>373</v>
      </c>
      <c r="AT306" s="115" t="s">
        <v>1416</v>
      </c>
      <c r="AU306" s="115" t="s">
        <v>2114</v>
      </c>
      <c r="AV306" s="115">
        <v>0</v>
      </c>
      <c r="AW306" s="115" t="s">
        <v>499</v>
      </c>
      <c r="AX306" s="115" t="s">
        <v>28</v>
      </c>
      <c r="AY306" s="115" t="s">
        <v>1832</v>
      </c>
      <c r="AZ306" s="115" t="s">
        <v>1949</v>
      </c>
      <c r="BA306" s="115"/>
      <c r="BB306" s="115"/>
      <c r="BC306" s="115">
        <v>174.99999999999997</v>
      </c>
      <c r="BD306" s="115"/>
      <c r="BE306" s="115"/>
      <c r="BF306" s="115">
        <v>4.625</v>
      </c>
      <c r="BG306" s="115"/>
      <c r="BH306" s="115">
        <v>202.26079999999996</v>
      </c>
      <c r="BI306" s="115">
        <v>63.999999999999993</v>
      </c>
      <c r="BJ306" s="115">
        <v>20.400000000000002</v>
      </c>
      <c r="BK306" s="115">
        <v>20.3</v>
      </c>
      <c r="BL306" s="115">
        <v>16.95</v>
      </c>
      <c r="BM306" s="115"/>
      <c r="BN306" s="115"/>
      <c r="BO306" s="115"/>
      <c r="BP306" s="115"/>
      <c r="DA306" s="115"/>
      <c r="DB306" s="115"/>
      <c r="DR306" s="214"/>
      <c r="DY306" s="115"/>
      <c r="DZ306" s="334"/>
      <c r="EA306" s="334"/>
      <c r="EB306" s="334"/>
      <c r="EC306" s="334"/>
      <c r="ED306" s="187"/>
      <c r="EE306" s="330"/>
      <c r="EH306" s="334"/>
      <c r="EI306" s="334"/>
      <c r="EM306"/>
      <c r="EO306" s="115"/>
      <c r="EP306" s="334" t="s">
        <v>1415</v>
      </c>
      <c r="EQ306" s="334" t="s">
        <v>2114</v>
      </c>
      <c r="ER306" s="334" t="s">
        <v>1242</v>
      </c>
      <c r="ES306" s="334" t="s">
        <v>386</v>
      </c>
      <c r="ET306" s="334">
        <v>2024.48</v>
      </c>
      <c r="EU306" s="334" t="s">
        <v>1382</v>
      </c>
      <c r="EV306" s="334">
        <v>-17232.310000000001</v>
      </c>
    </row>
    <row r="307" spans="9:152" ht="13">
      <c r="I307" s="115" t="s">
        <v>1515</v>
      </c>
      <c r="J307" s="115" t="s">
        <v>1363</v>
      </c>
      <c r="K307" s="183">
        <v>125</v>
      </c>
      <c r="AI307" s="115" t="s">
        <v>1416</v>
      </c>
      <c r="AJ307" t="s">
        <v>2114</v>
      </c>
      <c r="AK307" s="115">
        <v>0</v>
      </c>
      <c r="AL307" s="115" t="s">
        <v>28</v>
      </c>
      <c r="AM307" s="115" t="s">
        <v>1846</v>
      </c>
      <c r="AN307" s="115" t="s">
        <v>1447</v>
      </c>
      <c r="AO307" s="115" t="s">
        <v>373</v>
      </c>
      <c r="AT307" s="115" t="s">
        <v>1416</v>
      </c>
      <c r="AU307" s="115" t="s">
        <v>2114</v>
      </c>
      <c r="AV307" s="115">
        <v>0</v>
      </c>
      <c r="AW307" s="115" t="s">
        <v>499</v>
      </c>
      <c r="AX307" s="115" t="s">
        <v>28</v>
      </c>
      <c r="AY307" s="115" t="s">
        <v>1846</v>
      </c>
      <c r="AZ307" s="115" t="s">
        <v>1950</v>
      </c>
      <c r="BA307" s="115"/>
      <c r="BB307" s="115"/>
      <c r="BC307" s="115">
        <v>762.32178749999991</v>
      </c>
      <c r="BD307" s="115"/>
      <c r="BE307" s="115"/>
      <c r="BF307" s="115"/>
      <c r="BG307" s="115"/>
      <c r="BH307" s="115">
        <v>9044.3565171359987</v>
      </c>
      <c r="BI307" s="115">
        <v>1107.525048</v>
      </c>
      <c r="BJ307" s="115">
        <v>139.99577137499998</v>
      </c>
      <c r="BK307" s="115"/>
      <c r="BL307" s="115"/>
      <c r="BM307" s="115">
        <v>3622.5672</v>
      </c>
      <c r="BN307" s="115"/>
      <c r="BO307" s="115"/>
      <c r="BP307" s="115"/>
      <c r="DA307" s="115"/>
      <c r="DB307" s="115"/>
      <c r="DR307" s="214"/>
      <c r="DY307" s="115"/>
      <c r="DZ307" s="334"/>
      <c r="EA307" s="334"/>
      <c r="EB307" s="334"/>
      <c r="EC307" s="334"/>
      <c r="ED307" s="187"/>
      <c r="EE307" s="330"/>
      <c r="EH307" s="334"/>
      <c r="EI307" s="334"/>
      <c r="EM307"/>
      <c r="EO307" s="115"/>
      <c r="EP307" s="334" t="s">
        <v>1415</v>
      </c>
      <c r="EQ307" s="334" t="s">
        <v>2114</v>
      </c>
      <c r="ER307" s="334" t="s">
        <v>358</v>
      </c>
      <c r="ES307" s="334" t="s">
        <v>377</v>
      </c>
      <c r="ET307" s="334">
        <v>2023.47</v>
      </c>
      <c r="EU307" s="334" t="s">
        <v>397</v>
      </c>
      <c r="EV307" s="334">
        <v>59071.971700000002</v>
      </c>
    </row>
    <row r="308" spans="9:152" ht="13">
      <c r="I308" s="115" t="s">
        <v>1515</v>
      </c>
      <c r="J308" s="115" t="s">
        <v>1353</v>
      </c>
      <c r="K308" s="183" t="s">
        <v>2231</v>
      </c>
      <c r="AI308" s="115" t="s">
        <v>1416</v>
      </c>
      <c r="AJ308" t="s">
        <v>2114</v>
      </c>
      <c r="AK308" s="115">
        <v>0</v>
      </c>
      <c r="AL308" s="115" t="s">
        <v>28</v>
      </c>
      <c r="AM308" s="115" t="s">
        <v>1832</v>
      </c>
      <c r="AN308" s="115" t="s">
        <v>1447</v>
      </c>
      <c r="AO308" s="115" t="s">
        <v>373</v>
      </c>
      <c r="AT308" s="115" t="s">
        <v>1416</v>
      </c>
      <c r="AU308" s="115" t="s">
        <v>2114</v>
      </c>
      <c r="AV308" s="115">
        <v>0</v>
      </c>
      <c r="AW308" s="115" t="s">
        <v>499</v>
      </c>
      <c r="AX308" s="115" t="s">
        <v>28</v>
      </c>
      <c r="AY308" s="115" t="s">
        <v>1848</v>
      </c>
      <c r="AZ308" s="115" t="s">
        <v>1950</v>
      </c>
      <c r="BA308" s="115"/>
      <c r="BB308" s="115"/>
      <c r="BC308" s="115">
        <v>4571.7082124999997</v>
      </c>
      <c r="BD308" s="115"/>
      <c r="BE308" s="115"/>
      <c r="BF308" s="115"/>
      <c r="BG308" s="115"/>
      <c r="BH308" s="115">
        <v>701.2888198559998</v>
      </c>
      <c r="BI308" s="115">
        <v>472.84745200000003</v>
      </c>
      <c r="BJ308" s="115">
        <v>663.36487312500003</v>
      </c>
      <c r="BK308" s="115"/>
      <c r="BL308" s="115"/>
      <c r="BM308" s="115"/>
      <c r="BN308" s="115"/>
      <c r="BO308" s="115"/>
      <c r="BP308" s="115"/>
      <c r="DA308" s="115"/>
      <c r="DB308" s="115"/>
      <c r="DR308" s="214"/>
      <c r="DY308" s="115"/>
      <c r="DZ308" s="334"/>
      <c r="EA308" s="334"/>
      <c r="EB308" s="334"/>
      <c r="EC308" s="334"/>
      <c r="ED308" s="187"/>
      <c r="EE308" s="330"/>
      <c r="EH308" s="334"/>
      <c r="EI308" s="334"/>
      <c r="EM308"/>
      <c r="EO308" s="115"/>
      <c r="EP308" s="334" t="s">
        <v>1415</v>
      </c>
      <c r="EQ308" s="334" t="s">
        <v>2114</v>
      </c>
      <c r="ER308" s="334" t="s">
        <v>358</v>
      </c>
      <c r="ES308" s="334" t="s">
        <v>377</v>
      </c>
      <c r="ET308" s="334">
        <v>2023.47</v>
      </c>
      <c r="EU308" s="334" t="s">
        <v>1382</v>
      </c>
      <c r="EV308" s="334">
        <v>59071.971700000002</v>
      </c>
    </row>
    <row r="309" spans="9:152" ht="13">
      <c r="I309" s="115" t="s">
        <v>1515</v>
      </c>
      <c r="J309" s="115" t="s">
        <v>1369</v>
      </c>
      <c r="K309" s="183">
        <v>13</v>
      </c>
      <c r="AI309" s="115" t="s">
        <v>1416</v>
      </c>
      <c r="AJ309" t="s">
        <v>2114</v>
      </c>
      <c r="AK309" s="115">
        <v>0</v>
      </c>
      <c r="AL309" s="115" t="s">
        <v>28</v>
      </c>
      <c r="AM309" s="115" t="s">
        <v>1843</v>
      </c>
      <c r="AN309" s="115" t="s">
        <v>1447</v>
      </c>
      <c r="AO309" s="115" t="s">
        <v>373</v>
      </c>
      <c r="AT309" s="115" t="s">
        <v>1416</v>
      </c>
      <c r="AU309" s="115" t="s">
        <v>2114</v>
      </c>
      <c r="AV309" s="115">
        <v>0</v>
      </c>
      <c r="AW309" s="115" t="s">
        <v>499</v>
      </c>
      <c r="AX309" s="115" t="s">
        <v>28</v>
      </c>
      <c r="AY309" s="115" t="s">
        <v>1843</v>
      </c>
      <c r="AZ309" s="115" t="s">
        <v>1950</v>
      </c>
      <c r="BA309" s="115"/>
      <c r="BB309" s="115"/>
      <c r="BC309" s="115">
        <v>5499</v>
      </c>
      <c r="BD309" s="115"/>
      <c r="BE309" s="115"/>
      <c r="BF309" s="115"/>
      <c r="BG309" s="115"/>
      <c r="BH309" s="115">
        <v>9955.9561154639177</v>
      </c>
      <c r="BI309" s="115">
        <v>1612.2492783505156</v>
      </c>
      <c r="BJ309" s="115">
        <v>828.20680412371132</v>
      </c>
      <c r="BK309" s="115"/>
      <c r="BL309" s="115"/>
      <c r="BM309" s="115">
        <v>3622.5672</v>
      </c>
      <c r="BN309" s="115"/>
      <c r="BO309" s="115"/>
      <c r="BP309" s="115"/>
      <c r="DA309" s="115"/>
      <c r="DB309" s="115"/>
      <c r="DR309" s="214"/>
      <c r="DY309" s="115"/>
      <c r="DZ309" s="334"/>
      <c r="EA309" s="334"/>
      <c r="EB309" s="334"/>
      <c r="EC309" s="334"/>
      <c r="ED309" s="187"/>
      <c r="EE309" s="330"/>
      <c r="EH309" s="334"/>
      <c r="EI309" s="334"/>
      <c r="EM309"/>
      <c r="EO309" s="115"/>
      <c r="EP309" s="334" t="s">
        <v>1415</v>
      </c>
      <c r="EQ309" s="334" t="s">
        <v>2114</v>
      </c>
      <c r="ER309" s="334" t="s">
        <v>358</v>
      </c>
      <c r="ES309" s="334" t="s">
        <v>377</v>
      </c>
      <c r="ET309" s="334">
        <v>2024.44</v>
      </c>
      <c r="EU309" s="334" t="s">
        <v>397</v>
      </c>
      <c r="EV309" s="334">
        <v>61115.868199999997</v>
      </c>
    </row>
    <row r="310" spans="9:152" ht="13">
      <c r="I310" s="115" t="s">
        <v>1515</v>
      </c>
      <c r="J310" s="115" t="s">
        <v>1355</v>
      </c>
      <c r="K310" s="183">
        <v>12</v>
      </c>
      <c r="AI310" s="115" t="s">
        <v>1416</v>
      </c>
      <c r="AJ310" t="s">
        <v>2114</v>
      </c>
      <c r="AK310" s="115">
        <v>0</v>
      </c>
      <c r="AL310" s="115" t="s">
        <v>28</v>
      </c>
      <c r="AM310" s="115" t="s">
        <v>1849</v>
      </c>
      <c r="AN310" s="115" t="s">
        <v>1447</v>
      </c>
      <c r="AO310" s="115" t="s">
        <v>373</v>
      </c>
      <c r="AT310" s="115" t="s">
        <v>1416</v>
      </c>
      <c r="AU310" s="115" t="s">
        <v>2114</v>
      </c>
      <c r="AV310" s="115">
        <v>0</v>
      </c>
      <c r="AW310" s="115" t="s">
        <v>499</v>
      </c>
      <c r="AX310" s="115" t="s">
        <v>28</v>
      </c>
      <c r="AY310" s="115" t="s">
        <v>1849</v>
      </c>
      <c r="AZ310" s="115" t="s">
        <v>1950</v>
      </c>
      <c r="BA310" s="115"/>
      <c r="BB310" s="115"/>
      <c r="BC310" s="115">
        <v>37.041874999999997</v>
      </c>
      <c r="BD310" s="115"/>
      <c r="BE310" s="115"/>
      <c r="BF310" s="115"/>
      <c r="BG310" s="115"/>
      <c r="BH310" s="115">
        <v>156.49886879999997</v>
      </c>
      <c r="BI310" s="115">
        <v>39.925200000000004</v>
      </c>
      <c r="BJ310" s="115">
        <v>1.9169624999999995</v>
      </c>
      <c r="BK310" s="115"/>
      <c r="BL310" s="115"/>
      <c r="BM310" s="115"/>
      <c r="BN310" s="115"/>
      <c r="BO310" s="115"/>
      <c r="BP310" s="115"/>
      <c r="DA310" s="115"/>
      <c r="DB310" s="115"/>
      <c r="DR310" s="214"/>
      <c r="DY310" s="115"/>
      <c r="DZ310" s="334"/>
      <c r="EA310" s="334"/>
      <c r="EB310" s="334"/>
      <c r="EC310" s="334"/>
      <c r="ED310" s="187"/>
      <c r="EE310" s="330"/>
      <c r="EH310" s="334"/>
      <c r="EI310" s="334"/>
      <c r="EM310"/>
      <c r="EO310" s="115"/>
      <c r="EP310" s="334" t="s">
        <v>1415</v>
      </c>
      <c r="EQ310" s="334" t="s">
        <v>2114</v>
      </c>
      <c r="ER310" s="334" t="s">
        <v>358</v>
      </c>
      <c r="ES310" s="334" t="s">
        <v>377</v>
      </c>
      <c r="ET310" s="334">
        <v>2024.44</v>
      </c>
      <c r="EU310" s="334" t="s">
        <v>1382</v>
      </c>
      <c r="EV310" s="334">
        <v>61115.868199999997</v>
      </c>
    </row>
    <row r="311" spans="9:152" ht="13">
      <c r="I311" s="115" t="s">
        <v>1515</v>
      </c>
      <c r="J311" s="115" t="s">
        <v>1361</v>
      </c>
      <c r="K311" s="183">
        <v>69.23</v>
      </c>
      <c r="AI311" s="115" t="s">
        <v>1416</v>
      </c>
      <c r="AJ311" t="s">
        <v>2114</v>
      </c>
      <c r="AK311" s="115">
        <v>0</v>
      </c>
      <c r="AL311" s="115" t="s">
        <v>28</v>
      </c>
      <c r="AM311" s="115" t="s">
        <v>1850</v>
      </c>
      <c r="AN311" s="115" t="s">
        <v>1447</v>
      </c>
      <c r="AO311" s="115" t="s">
        <v>380</v>
      </c>
      <c r="AT311" s="115" t="s">
        <v>1416</v>
      </c>
      <c r="AU311" s="115" t="s">
        <v>2114</v>
      </c>
      <c r="AV311" s="115">
        <v>0</v>
      </c>
      <c r="AW311" s="115" t="s">
        <v>499</v>
      </c>
      <c r="AX311" s="115" t="s">
        <v>28</v>
      </c>
      <c r="AY311" s="115" t="s">
        <v>1850</v>
      </c>
      <c r="AZ311" s="115" t="s">
        <v>1950</v>
      </c>
      <c r="BA311" s="115"/>
      <c r="BB311" s="115"/>
      <c r="BC311" s="115">
        <v>111.12562499999999</v>
      </c>
      <c r="BD311" s="115"/>
      <c r="BE311" s="115"/>
      <c r="BF311" s="115"/>
      <c r="BG311" s="115"/>
      <c r="BH311" s="115">
        <v>17.388763199999996</v>
      </c>
      <c r="BI311" s="115">
        <v>13.308400000000001</v>
      </c>
      <c r="BJ311" s="115">
        <v>17.2526625</v>
      </c>
      <c r="BK311" s="115"/>
      <c r="BL311" s="115"/>
      <c r="BM311" s="115"/>
      <c r="BN311" s="115"/>
      <c r="BO311" s="115"/>
      <c r="BP311" s="115"/>
      <c r="DA311" s="115"/>
      <c r="DB311" s="115"/>
      <c r="DR311" s="214"/>
      <c r="DY311" s="115"/>
      <c r="DZ311" s="334"/>
      <c r="EA311" s="334"/>
      <c r="EB311" s="334"/>
      <c r="EC311" s="334"/>
      <c r="ED311" s="187"/>
      <c r="EE311" s="330"/>
      <c r="EH311" s="334"/>
      <c r="EI311" s="334"/>
      <c r="EM311"/>
      <c r="EO311" s="115"/>
      <c r="EP311" s="334" t="s">
        <v>1415</v>
      </c>
      <c r="EQ311" s="334" t="s">
        <v>2114</v>
      </c>
      <c r="ER311" s="334" t="s">
        <v>358</v>
      </c>
      <c r="ES311" s="334" t="s">
        <v>377</v>
      </c>
      <c r="ET311" s="334">
        <v>2024.48</v>
      </c>
      <c r="EU311" s="334" t="s">
        <v>397</v>
      </c>
      <c r="EV311" s="334">
        <v>61115.868199999997</v>
      </c>
    </row>
    <row r="312" spans="9:152" ht="13">
      <c r="I312" s="115" t="s">
        <v>1515</v>
      </c>
      <c r="J312" s="115" t="s">
        <v>1364</v>
      </c>
      <c r="K312" s="183">
        <v>300</v>
      </c>
      <c r="AI312" s="115" t="s">
        <v>1416</v>
      </c>
      <c r="AJ312" t="s">
        <v>2114</v>
      </c>
      <c r="AK312" s="115">
        <v>0</v>
      </c>
      <c r="AL312" s="115" t="s">
        <v>28</v>
      </c>
      <c r="AM312" s="115" t="s">
        <v>1843</v>
      </c>
      <c r="AN312" s="115" t="s">
        <v>1447</v>
      </c>
      <c r="AO312" s="115" t="s">
        <v>380</v>
      </c>
      <c r="AT312" s="115" t="s">
        <v>1416</v>
      </c>
      <c r="AU312" s="115" t="s">
        <v>2114</v>
      </c>
      <c r="AV312" s="115">
        <v>0</v>
      </c>
      <c r="AW312" s="115" t="s">
        <v>499</v>
      </c>
      <c r="AX312" s="115" t="s">
        <v>28</v>
      </c>
      <c r="AY312" s="115" t="s">
        <v>1832</v>
      </c>
      <c r="AZ312" s="115" t="s">
        <v>1950</v>
      </c>
      <c r="BA312" s="115"/>
      <c r="BB312" s="115"/>
      <c r="BC312" s="115">
        <v>152.75</v>
      </c>
      <c r="BD312" s="115"/>
      <c r="BE312" s="115"/>
      <c r="BF312" s="115"/>
      <c r="BG312" s="115"/>
      <c r="BH312" s="115">
        <v>179.26559999999998</v>
      </c>
      <c r="BI312" s="115">
        <v>54.88</v>
      </c>
      <c r="BJ312" s="115">
        <v>19.762499999999999</v>
      </c>
      <c r="BK312" s="115"/>
      <c r="BL312" s="115"/>
      <c r="BM312" s="115"/>
      <c r="BN312" s="115"/>
      <c r="BO312" s="115"/>
      <c r="BP312" s="115"/>
      <c r="DA312" s="115"/>
      <c r="DB312" s="115"/>
      <c r="DR312" s="214"/>
      <c r="DY312" s="115"/>
      <c r="DZ312" s="334"/>
      <c r="EA312" s="334"/>
      <c r="EB312" s="334"/>
      <c r="EC312" s="334"/>
      <c r="ED312" s="187"/>
      <c r="EE312" s="330"/>
      <c r="EH312" s="334"/>
      <c r="EI312" s="334"/>
      <c r="EM312"/>
      <c r="EO312" s="115"/>
      <c r="EP312" s="334" t="s">
        <v>1415</v>
      </c>
      <c r="EQ312" s="334" t="s">
        <v>2114</v>
      </c>
      <c r="ER312" s="334" t="s">
        <v>358</v>
      </c>
      <c r="ES312" s="334" t="s">
        <v>377</v>
      </c>
      <c r="ET312" s="334">
        <v>2024.48</v>
      </c>
      <c r="EU312" s="334" t="s">
        <v>1382</v>
      </c>
      <c r="EV312" s="334">
        <v>46115.868199999997</v>
      </c>
    </row>
    <row r="313" spans="9:152" ht="13">
      <c r="I313" s="115" t="s">
        <v>1515</v>
      </c>
      <c r="J313" s="115" t="s">
        <v>1367</v>
      </c>
      <c r="K313" s="183">
        <v>8</v>
      </c>
      <c r="AI313" s="115" t="s">
        <v>1416</v>
      </c>
      <c r="AJ313" t="s">
        <v>2114</v>
      </c>
      <c r="AK313" s="115">
        <v>0</v>
      </c>
      <c r="AL313" s="115" t="s">
        <v>28</v>
      </c>
      <c r="AM313" s="115" t="s">
        <v>1832</v>
      </c>
      <c r="AN313" s="115" t="s">
        <v>1447</v>
      </c>
      <c r="AO313" s="115" t="s">
        <v>380</v>
      </c>
      <c r="AT313" s="115" t="s">
        <v>1416</v>
      </c>
      <c r="AU313" s="115" t="s">
        <v>2114</v>
      </c>
      <c r="AV313" s="115">
        <v>0</v>
      </c>
      <c r="AW313" s="115" t="s">
        <v>499</v>
      </c>
      <c r="AX313" s="115" t="s">
        <v>28</v>
      </c>
      <c r="AY313" s="115" t="s">
        <v>1846</v>
      </c>
      <c r="AZ313" s="115" t="s">
        <v>1951</v>
      </c>
      <c r="BA313" s="115"/>
      <c r="BB313" s="115"/>
      <c r="BC313" s="115">
        <v>108.54663750000002</v>
      </c>
      <c r="BD313" s="115"/>
      <c r="BE313" s="115"/>
      <c r="BF313" s="115"/>
      <c r="BG313" s="115"/>
      <c r="BH313" s="115">
        <v>2987.0477279999996</v>
      </c>
      <c r="BI313" s="115">
        <v>177.59147999999996</v>
      </c>
      <c r="BJ313" s="115">
        <v>22.579963124999995</v>
      </c>
      <c r="BK313" s="115">
        <v>870.15401999999995</v>
      </c>
      <c r="BL313" s="115">
        <v>613.68757200000005</v>
      </c>
      <c r="BM313" s="115">
        <v>616.07999999999993</v>
      </c>
      <c r="BN313" s="115">
        <v>2665.5183999999999</v>
      </c>
      <c r="BO313" s="115">
        <v>2526.5808000000002</v>
      </c>
      <c r="BP313" s="115"/>
      <c r="DA313" s="115"/>
      <c r="DB313" s="115"/>
      <c r="DR313" s="214"/>
      <c r="DY313" s="115"/>
      <c r="DZ313" s="334"/>
      <c r="EA313" s="334"/>
      <c r="EB313" s="334"/>
      <c r="EC313" s="334"/>
      <c r="ED313" s="187"/>
      <c r="EE313" s="330"/>
      <c r="EH313" s="334"/>
      <c r="EI313" s="334"/>
      <c r="EM313"/>
      <c r="EO313" s="115"/>
      <c r="EP313" s="334" t="s">
        <v>1415</v>
      </c>
      <c r="EQ313" s="334" t="s">
        <v>2114</v>
      </c>
      <c r="ER313" s="334" t="s">
        <v>358</v>
      </c>
      <c r="ES313" s="334" t="s">
        <v>379</v>
      </c>
      <c r="ET313" s="334">
        <v>2024.44</v>
      </c>
      <c r="EU313" s="334" t="s">
        <v>397</v>
      </c>
      <c r="EV313" s="334">
        <v>1370.7904000000001</v>
      </c>
    </row>
    <row r="314" spans="9:152" ht="13">
      <c r="I314" s="115" t="s">
        <v>1515</v>
      </c>
      <c r="J314" s="115" t="s">
        <v>1362</v>
      </c>
      <c r="K314" s="183">
        <v>95</v>
      </c>
      <c r="AI314" s="115" t="s">
        <v>1416</v>
      </c>
      <c r="AJ314" t="s">
        <v>2114</v>
      </c>
      <c r="AK314" s="115">
        <v>0</v>
      </c>
      <c r="AL314" s="115" t="s">
        <v>28</v>
      </c>
      <c r="AM314" s="115" t="s">
        <v>1846</v>
      </c>
      <c r="AN314" s="115" t="s">
        <v>1447</v>
      </c>
      <c r="AO314" s="115" t="s">
        <v>380</v>
      </c>
      <c r="AT314" s="115" t="s">
        <v>1416</v>
      </c>
      <c r="AU314" s="115" t="s">
        <v>2114</v>
      </c>
      <c r="AV314" s="115">
        <v>0</v>
      </c>
      <c r="AW314" s="115" t="s">
        <v>499</v>
      </c>
      <c r="AX314" s="115" t="s">
        <v>28</v>
      </c>
      <c r="AY314" s="115" t="s">
        <v>1848</v>
      </c>
      <c r="AZ314" s="115" t="s">
        <v>1951</v>
      </c>
      <c r="BA314" s="115"/>
      <c r="BB314" s="115"/>
      <c r="BC314" s="115">
        <v>650.96336250000013</v>
      </c>
      <c r="BD314" s="115"/>
      <c r="BE314" s="115"/>
      <c r="BF314" s="115">
        <v>271.49329999999998</v>
      </c>
      <c r="BG314" s="115"/>
      <c r="BH314" s="115">
        <v>230.02618799999999</v>
      </c>
      <c r="BI314" s="115">
        <v>75.821020000000004</v>
      </c>
      <c r="BJ314" s="115">
        <v>106.99433437500002</v>
      </c>
      <c r="BK314" s="115">
        <v>138.22499999999999</v>
      </c>
      <c r="BL314" s="115">
        <v>97.484999999999999</v>
      </c>
      <c r="BM314" s="115"/>
      <c r="BN314" s="115"/>
      <c r="BO314" s="115"/>
      <c r="BP314" s="115"/>
      <c r="DA314" s="115"/>
      <c r="DB314" s="115"/>
      <c r="DR314" s="214"/>
      <c r="DY314" s="115"/>
      <c r="DZ314" s="334"/>
      <c r="EA314" s="334"/>
      <c r="EB314" s="334"/>
      <c r="EC314" s="334"/>
      <c r="ED314" s="187"/>
      <c r="EE314" s="330"/>
      <c r="EH314" s="334"/>
      <c r="EI314" s="334"/>
      <c r="EM314"/>
      <c r="EO314" s="115"/>
      <c r="EP314" s="334" t="s">
        <v>1415</v>
      </c>
      <c r="EQ314" s="334" t="s">
        <v>2114</v>
      </c>
      <c r="ER314" s="334" t="s">
        <v>358</v>
      </c>
      <c r="ES314" s="334" t="s">
        <v>379</v>
      </c>
      <c r="ET314" s="334">
        <v>2024.44</v>
      </c>
      <c r="EU314" s="334" t="s">
        <v>1382</v>
      </c>
      <c r="EV314" s="334">
        <v>1370.7904000000001</v>
      </c>
    </row>
    <row r="315" spans="9:152" ht="13">
      <c r="I315" s="115" t="s">
        <v>1515</v>
      </c>
      <c r="J315" s="115" t="s">
        <v>1368</v>
      </c>
      <c r="K315" s="183">
        <v>11.5</v>
      </c>
      <c r="AI315" s="115" t="s">
        <v>1416</v>
      </c>
      <c r="AJ315" t="s">
        <v>2114</v>
      </c>
      <c r="AK315" s="115">
        <v>0</v>
      </c>
      <c r="AL315" s="115" t="s">
        <v>28</v>
      </c>
      <c r="AM315" s="115" t="s">
        <v>1849</v>
      </c>
      <c r="AN315" s="115" t="s">
        <v>1447</v>
      </c>
      <c r="AO315" s="115" t="s">
        <v>380</v>
      </c>
      <c r="AT315" s="115" t="s">
        <v>1416</v>
      </c>
      <c r="AU315" s="115" t="s">
        <v>2114</v>
      </c>
      <c r="AV315" s="115">
        <v>0</v>
      </c>
      <c r="AW315" s="115" t="s">
        <v>499</v>
      </c>
      <c r="AX315" s="115" t="s">
        <v>28</v>
      </c>
      <c r="AY315" s="115" t="s">
        <v>1843</v>
      </c>
      <c r="AZ315" s="115" t="s">
        <v>1951</v>
      </c>
      <c r="BA315" s="115"/>
      <c r="BB315" s="115"/>
      <c r="BC315" s="115">
        <v>783</v>
      </c>
      <c r="BD315" s="115"/>
      <c r="BE315" s="115"/>
      <c r="BF315" s="115">
        <v>279.89</v>
      </c>
      <c r="BG315" s="115"/>
      <c r="BH315" s="115">
        <v>3286.0568835051545</v>
      </c>
      <c r="BI315" s="115">
        <v>258.52391752577319</v>
      </c>
      <c r="BJ315" s="115">
        <v>133.58175257731958</v>
      </c>
      <c r="BK315" s="115">
        <v>1039.5659793814434</v>
      </c>
      <c r="BL315" s="115">
        <v>733.1676288659794</v>
      </c>
      <c r="BM315" s="115">
        <v>616.07999999999993</v>
      </c>
      <c r="BN315" s="115">
        <v>2665.5183999999999</v>
      </c>
      <c r="BO315" s="115">
        <v>2526.5808000000002</v>
      </c>
      <c r="BP315" s="115"/>
      <c r="DA315" s="115"/>
      <c r="DB315" s="115"/>
      <c r="DR315" s="214"/>
      <c r="DY315" s="115"/>
      <c r="DZ315" s="334"/>
      <c r="EA315" s="334"/>
      <c r="EB315" s="334"/>
      <c r="EC315" s="334"/>
      <c r="ED315" s="187"/>
      <c r="EE315" s="330"/>
      <c r="EH315" s="334"/>
      <c r="EI315" s="334"/>
      <c r="EM315"/>
      <c r="EO315" s="115"/>
      <c r="EP315" s="334" t="s">
        <v>1415</v>
      </c>
      <c r="EQ315" s="334" t="s">
        <v>2114</v>
      </c>
      <c r="ER315" s="334" t="s">
        <v>358</v>
      </c>
      <c r="ES315" s="334" t="s">
        <v>376</v>
      </c>
      <c r="ET315" s="334">
        <v>2023.47</v>
      </c>
      <c r="EU315" s="334" t="s">
        <v>397</v>
      </c>
      <c r="EV315" s="334">
        <v>112842.6949</v>
      </c>
    </row>
    <row r="316" spans="9:152" ht="13">
      <c r="I316" s="115" t="s">
        <v>1515</v>
      </c>
      <c r="J316" s="115" t="s">
        <v>1360</v>
      </c>
      <c r="K316" s="183">
        <v>0.25</v>
      </c>
      <c r="AI316" s="115" t="s">
        <v>1416</v>
      </c>
      <c r="AJ316" t="s">
        <v>2114</v>
      </c>
      <c r="AK316" s="115">
        <v>0</v>
      </c>
      <c r="AL316" s="115" t="s">
        <v>28</v>
      </c>
      <c r="AM316" s="115" t="s">
        <v>1848</v>
      </c>
      <c r="AN316" s="115" t="s">
        <v>1447</v>
      </c>
      <c r="AO316" s="115" t="s">
        <v>380</v>
      </c>
      <c r="AT316" s="115" t="s">
        <v>1416</v>
      </c>
      <c r="AU316" s="115" t="s">
        <v>2114</v>
      </c>
      <c r="AV316" s="115">
        <v>0</v>
      </c>
      <c r="AW316" s="115" t="s">
        <v>499</v>
      </c>
      <c r="AX316" s="115" t="s">
        <v>28</v>
      </c>
      <c r="AY316" s="115" t="s">
        <v>1849</v>
      </c>
      <c r="AZ316" s="115" t="s">
        <v>1951</v>
      </c>
      <c r="BA316" s="115"/>
      <c r="BB316" s="115"/>
      <c r="BC316" s="115">
        <v>5.2743750000000009</v>
      </c>
      <c r="BD316" s="115"/>
      <c r="BE316" s="115"/>
      <c r="BF316" s="115"/>
      <c r="BG316" s="115"/>
      <c r="BH316" s="115">
        <v>51.332399999999993</v>
      </c>
      <c r="BI316" s="115">
        <v>6.4019999999999992</v>
      </c>
      <c r="BJ316" s="115">
        <v>0.30918749999999995</v>
      </c>
      <c r="BK316" s="115">
        <v>33.173999999999999</v>
      </c>
      <c r="BL316" s="115">
        <v>23.3964</v>
      </c>
      <c r="BM316" s="115"/>
      <c r="BN316" s="115"/>
      <c r="BO316" s="115"/>
      <c r="BP316" s="115"/>
      <c r="DA316" s="115"/>
      <c r="DB316" s="115"/>
      <c r="DR316" s="214"/>
      <c r="DY316" s="115"/>
      <c r="DZ316" s="334"/>
      <c r="EA316" s="334"/>
      <c r="EB316" s="334"/>
      <c r="EC316" s="334"/>
      <c r="ED316" s="187"/>
      <c r="EE316" s="330"/>
      <c r="EH316" s="334"/>
      <c r="EI316" s="334"/>
      <c r="EM316"/>
      <c r="EO316" s="115"/>
      <c r="EP316" s="334" t="s">
        <v>1415</v>
      </c>
      <c r="EQ316" s="334" t="s">
        <v>2114</v>
      </c>
      <c r="ER316" s="334" t="s">
        <v>358</v>
      </c>
      <c r="ES316" s="334" t="s">
        <v>376</v>
      </c>
      <c r="ET316" s="334">
        <v>2023.47</v>
      </c>
      <c r="EU316" s="334" t="s">
        <v>1382</v>
      </c>
      <c r="EV316" s="334">
        <v>112842.6949</v>
      </c>
    </row>
    <row r="317" spans="9:152" ht="13">
      <c r="I317" s="115" t="s">
        <v>1515</v>
      </c>
      <c r="J317" s="115" t="s">
        <v>1358</v>
      </c>
      <c r="K317" s="183" t="s">
        <v>375</v>
      </c>
      <c r="AI317" s="115" t="s">
        <v>1416</v>
      </c>
      <c r="AJ317" t="s">
        <v>2114</v>
      </c>
      <c r="AK317" s="115">
        <v>0</v>
      </c>
      <c r="AL317" s="115" t="s">
        <v>28</v>
      </c>
      <c r="AM317" s="115" t="s">
        <v>1848</v>
      </c>
      <c r="AN317" s="115" t="s">
        <v>1570</v>
      </c>
      <c r="AO317" s="115" t="s">
        <v>1644</v>
      </c>
      <c r="AT317" s="115" t="s">
        <v>1416</v>
      </c>
      <c r="AU317" s="115" t="s">
        <v>2114</v>
      </c>
      <c r="AV317" s="115">
        <v>0</v>
      </c>
      <c r="AW317" s="115" t="s">
        <v>499</v>
      </c>
      <c r="AX317" s="115" t="s">
        <v>28</v>
      </c>
      <c r="AY317" s="115" t="s">
        <v>1850</v>
      </c>
      <c r="AZ317" s="115" t="s">
        <v>1951</v>
      </c>
      <c r="BA317" s="115"/>
      <c r="BB317" s="115"/>
      <c r="BC317" s="115">
        <v>15.823125000000003</v>
      </c>
      <c r="BD317" s="115"/>
      <c r="BE317" s="115"/>
      <c r="BF317" s="115">
        <v>6.3049999999999997</v>
      </c>
      <c r="BG317" s="115"/>
      <c r="BH317" s="115">
        <v>5.7035999999999998</v>
      </c>
      <c r="BI317" s="115">
        <v>2.1339999999999999</v>
      </c>
      <c r="BJ317" s="115">
        <v>2.7826875000000002</v>
      </c>
      <c r="BK317" s="115">
        <v>3.6859999999999999</v>
      </c>
      <c r="BL317" s="115">
        <v>2.5996000000000001</v>
      </c>
      <c r="BM317" s="115"/>
      <c r="BN317" s="115"/>
      <c r="BO317" s="115"/>
      <c r="BP317" s="115"/>
      <c r="DA317" s="115"/>
      <c r="DB317" s="115"/>
      <c r="DR317" s="214"/>
      <c r="DY317" s="115"/>
      <c r="DZ317" s="334"/>
      <c r="EA317" s="334"/>
      <c r="EB317" s="334"/>
      <c r="EC317" s="334"/>
      <c r="ED317" s="187"/>
      <c r="EE317" s="330"/>
      <c r="EH317" s="334"/>
      <c r="EI317" s="334"/>
      <c r="EM317"/>
      <c r="EO317" s="115"/>
      <c r="EP317" s="334" t="s">
        <v>1415</v>
      </c>
      <c r="EQ317" s="334" t="s">
        <v>2114</v>
      </c>
      <c r="ER317" s="334" t="s">
        <v>358</v>
      </c>
      <c r="ES317" s="334" t="s">
        <v>376</v>
      </c>
      <c r="ET317" s="334">
        <v>2024.44</v>
      </c>
      <c r="EU317" s="334" t="s">
        <v>397</v>
      </c>
      <c r="EV317" s="334">
        <v>112842.6949</v>
      </c>
    </row>
    <row r="318" spans="9:152" ht="13">
      <c r="I318" s="115" t="s">
        <v>1515</v>
      </c>
      <c r="J318" s="115" t="s">
        <v>1354</v>
      </c>
      <c r="K318" s="183">
        <v>45112</v>
      </c>
      <c r="AI318" s="115" t="s">
        <v>1416</v>
      </c>
      <c r="AJ318" t="s">
        <v>2114</v>
      </c>
      <c r="AK318" s="115">
        <v>0</v>
      </c>
      <c r="AL318" s="115" t="s">
        <v>28</v>
      </c>
      <c r="AM318" s="115" t="s">
        <v>1843</v>
      </c>
      <c r="AN318" s="115" t="s">
        <v>1570</v>
      </c>
      <c r="AO318" s="115" t="s">
        <v>1644</v>
      </c>
      <c r="AT318" s="115" t="s">
        <v>1416</v>
      </c>
      <c r="AU318" s="115" t="s">
        <v>2114</v>
      </c>
      <c r="AV318" s="115">
        <v>0</v>
      </c>
      <c r="AW318" s="115" t="s">
        <v>499</v>
      </c>
      <c r="AX318" s="115" t="s">
        <v>28</v>
      </c>
      <c r="AY318" s="115" t="s">
        <v>1832</v>
      </c>
      <c r="AZ318" s="115" t="s">
        <v>1951</v>
      </c>
      <c r="BA318" s="115"/>
      <c r="BB318" s="115"/>
      <c r="BC318" s="115">
        <v>21.750000000000004</v>
      </c>
      <c r="BD318" s="115"/>
      <c r="BE318" s="115"/>
      <c r="BF318" s="115">
        <v>6.5</v>
      </c>
      <c r="BG318" s="115"/>
      <c r="BH318" s="115">
        <v>58.8</v>
      </c>
      <c r="BI318" s="115">
        <v>8.7999999999999989</v>
      </c>
      <c r="BJ318" s="115">
        <v>3.1875</v>
      </c>
      <c r="BK318" s="115">
        <v>38</v>
      </c>
      <c r="BL318" s="115">
        <v>26.8</v>
      </c>
      <c r="BM318" s="115"/>
      <c r="BN318" s="115"/>
      <c r="BO318" s="115"/>
      <c r="BP318" s="115"/>
      <c r="DA318" s="115"/>
      <c r="DB318" s="115"/>
      <c r="DR318" s="214"/>
      <c r="DY318" s="115"/>
      <c r="DZ318" s="334"/>
      <c r="EA318" s="334"/>
      <c r="EB318" s="334"/>
      <c r="EC318" s="334"/>
      <c r="ED318" s="187"/>
      <c r="EE318" s="330"/>
      <c r="EH318" s="334"/>
      <c r="EI318" s="334"/>
      <c r="EM318"/>
      <c r="EO318" s="115"/>
      <c r="EP318" s="334" t="s">
        <v>1415</v>
      </c>
      <c r="EQ318" s="334" t="s">
        <v>2114</v>
      </c>
      <c r="ER318" s="334" t="s">
        <v>358</v>
      </c>
      <c r="ES318" s="334" t="s">
        <v>376</v>
      </c>
      <c r="ET318" s="334">
        <v>2024.44</v>
      </c>
      <c r="EU318" s="334" t="s">
        <v>1382</v>
      </c>
      <c r="EV318" s="334">
        <v>102842.6949</v>
      </c>
    </row>
    <row r="319" spans="9:152" ht="13">
      <c r="I319" s="115" t="s">
        <v>1515</v>
      </c>
      <c r="J319" s="115" t="s">
        <v>1365</v>
      </c>
      <c r="K319" s="183">
        <v>15</v>
      </c>
      <c r="AI319" s="115" t="s">
        <v>1416</v>
      </c>
      <c r="AJ319" t="s">
        <v>2114</v>
      </c>
      <c r="AK319" s="115">
        <v>0</v>
      </c>
      <c r="AL319" s="115" t="s">
        <v>28</v>
      </c>
      <c r="AM319" s="115" t="s">
        <v>1850</v>
      </c>
      <c r="AN319" s="115" t="s">
        <v>1570</v>
      </c>
      <c r="AO319" s="115" t="s">
        <v>1644</v>
      </c>
      <c r="AT319" s="115" t="s">
        <v>1415</v>
      </c>
      <c r="AU319" s="115" t="s">
        <v>2114</v>
      </c>
      <c r="AV319" s="115">
        <v>15</v>
      </c>
      <c r="AW319" s="115" t="s">
        <v>499</v>
      </c>
      <c r="AX319" s="115" t="s">
        <v>28</v>
      </c>
      <c r="AY319" s="115" t="s">
        <v>1846</v>
      </c>
      <c r="AZ319" s="115" t="s">
        <v>1892</v>
      </c>
      <c r="BA319" s="115"/>
      <c r="BB319" s="115"/>
      <c r="BC319" s="115">
        <v>698.46074625000006</v>
      </c>
      <c r="BD319" s="115"/>
      <c r="BE319" s="115"/>
      <c r="BF319" s="115"/>
      <c r="BG319" s="115"/>
      <c r="BH319" s="115">
        <v>5523.9652111695996</v>
      </c>
      <c r="BI319" s="115">
        <v>669.57884711249994</v>
      </c>
      <c r="BJ319" s="115">
        <v>61.963648499999991</v>
      </c>
      <c r="BK319" s="115">
        <v>338.44955193449999</v>
      </c>
      <c r="BL319" s="115">
        <v>531.61589479500014</v>
      </c>
      <c r="BM319" s="115">
        <v>759.19070000000011</v>
      </c>
      <c r="BN319" s="115">
        <v>1605.85</v>
      </c>
      <c r="BO319" s="115">
        <v>1860.03</v>
      </c>
      <c r="BP319" s="115"/>
      <c r="DA319" s="115"/>
      <c r="DB319" s="115"/>
      <c r="DR319" s="214"/>
      <c r="DY319" s="115"/>
      <c r="DZ319" s="334"/>
      <c r="EA319" s="334"/>
      <c r="EB319" s="334"/>
      <c r="EC319" s="334"/>
      <c r="ED319" s="187"/>
      <c r="EE319" s="330"/>
      <c r="EH319" s="334"/>
      <c r="EI319" s="334"/>
      <c r="EM319"/>
      <c r="EO319" s="115"/>
      <c r="EP319" s="334" t="s">
        <v>1415</v>
      </c>
      <c r="EQ319" s="334" t="s">
        <v>2114</v>
      </c>
      <c r="ER319" s="334" t="s">
        <v>358</v>
      </c>
      <c r="ES319" s="334" t="s">
        <v>1641</v>
      </c>
      <c r="ET319" s="334">
        <v>2023.47</v>
      </c>
      <c r="EU319" s="334" t="s">
        <v>397</v>
      </c>
      <c r="EV319" s="334">
        <v>57107.120499999997</v>
      </c>
    </row>
    <row r="320" spans="9:152" ht="13">
      <c r="I320" s="115" t="s">
        <v>1515</v>
      </c>
      <c r="J320" s="115" t="s">
        <v>1356</v>
      </c>
      <c r="K320" s="183" t="s">
        <v>1359</v>
      </c>
      <c r="AI320" s="115" t="s">
        <v>1416</v>
      </c>
      <c r="AJ320" t="s">
        <v>2114</v>
      </c>
      <c r="AK320" s="115">
        <v>0</v>
      </c>
      <c r="AL320" s="115" t="s">
        <v>28</v>
      </c>
      <c r="AM320" s="115" t="s">
        <v>1832</v>
      </c>
      <c r="AN320" s="115" t="s">
        <v>1570</v>
      </c>
      <c r="AO320" s="115" t="s">
        <v>1644</v>
      </c>
      <c r="AT320" s="115" t="s">
        <v>1416</v>
      </c>
      <c r="AU320" s="115" t="s">
        <v>2114</v>
      </c>
      <c r="AV320" s="115">
        <v>0</v>
      </c>
      <c r="AW320" s="115" t="s">
        <v>494</v>
      </c>
      <c r="AX320" s="115" t="s">
        <v>28</v>
      </c>
      <c r="AY320" s="115" t="s">
        <v>1846</v>
      </c>
      <c r="AZ320" s="115" t="s">
        <v>1952</v>
      </c>
      <c r="BA320" s="115"/>
      <c r="BB320" s="115"/>
      <c r="BC320" s="115"/>
      <c r="BD320" s="115"/>
      <c r="BE320" s="115"/>
      <c r="BF320" s="115"/>
      <c r="BG320" s="115"/>
      <c r="BH320" s="115"/>
      <c r="BI320" s="115"/>
      <c r="BJ320" s="115"/>
      <c r="BK320" s="115">
        <v>675.51430500000004</v>
      </c>
      <c r="BL320" s="115">
        <v>496.90374299999996</v>
      </c>
      <c r="BM320" s="115"/>
      <c r="BN320" s="115">
        <v>2209.422</v>
      </c>
      <c r="BO320" s="115">
        <v>2245.326</v>
      </c>
      <c r="BP320" s="115"/>
      <c r="DA320" s="115"/>
      <c r="DB320" s="115"/>
      <c r="DR320" s="214"/>
      <c r="DY320" s="115"/>
      <c r="DZ320" s="334"/>
      <c r="EA320" s="334"/>
      <c r="EB320" s="334"/>
      <c r="EC320" s="334"/>
      <c r="ED320" s="187"/>
      <c r="EE320" s="330"/>
      <c r="EH320" s="334"/>
      <c r="EI320" s="334"/>
      <c r="EM320"/>
      <c r="EO320" s="115"/>
      <c r="EP320" s="334" t="s">
        <v>1415</v>
      </c>
      <c r="EQ320" s="334" t="s">
        <v>2114</v>
      </c>
      <c r="ER320" s="334" t="s">
        <v>358</v>
      </c>
      <c r="ES320" s="334" t="s">
        <v>1641</v>
      </c>
      <c r="ET320" s="334">
        <v>2023.47</v>
      </c>
      <c r="EU320" s="334" t="s">
        <v>1382</v>
      </c>
      <c r="EV320" s="334">
        <v>57107.120499999997</v>
      </c>
    </row>
    <row r="321" spans="9:152" ht="13">
      <c r="I321" s="115" t="s">
        <v>1515</v>
      </c>
      <c r="J321" s="115" t="s">
        <v>1366</v>
      </c>
      <c r="K321" s="183">
        <v>3</v>
      </c>
      <c r="AI321" s="115" t="s">
        <v>1416</v>
      </c>
      <c r="AJ321" t="s">
        <v>2114</v>
      </c>
      <c r="AK321" s="115">
        <v>0</v>
      </c>
      <c r="AL321" s="115" t="s">
        <v>28</v>
      </c>
      <c r="AM321" s="115" t="s">
        <v>1843</v>
      </c>
      <c r="AN321" s="115" t="s">
        <v>1570</v>
      </c>
      <c r="AO321" s="115" t="s">
        <v>1274</v>
      </c>
      <c r="AT321" s="115" t="s">
        <v>1416</v>
      </c>
      <c r="AU321" s="115" t="s">
        <v>2114</v>
      </c>
      <c r="AV321" s="115">
        <v>0</v>
      </c>
      <c r="AW321" s="115" t="s">
        <v>494</v>
      </c>
      <c r="AX321" s="115" t="s">
        <v>28</v>
      </c>
      <c r="AY321" s="115" t="s">
        <v>1848</v>
      </c>
      <c r="AZ321" s="115" t="s">
        <v>1952</v>
      </c>
      <c r="BA321" s="115"/>
      <c r="BB321" s="115"/>
      <c r="BC321" s="115"/>
      <c r="BD321" s="115"/>
      <c r="BE321" s="115"/>
      <c r="BF321" s="115">
        <v>219.28305000000003</v>
      </c>
      <c r="BG321" s="115"/>
      <c r="BH321" s="115"/>
      <c r="BI321" s="115"/>
      <c r="BJ321" s="115"/>
      <c r="BK321" s="115">
        <v>107.30624999999999</v>
      </c>
      <c r="BL321" s="115">
        <v>78.933750000000003</v>
      </c>
      <c r="BM321" s="115"/>
      <c r="BN321" s="115"/>
      <c r="BO321" s="115"/>
      <c r="BP321" s="115"/>
      <c r="DA321" s="115"/>
      <c r="DB321" s="115"/>
      <c r="DR321" s="214"/>
      <c r="DY321" s="115"/>
      <c r="DZ321" s="334"/>
      <c r="EA321" s="334"/>
      <c r="EB321" s="334"/>
      <c r="EC321" s="334"/>
      <c r="ED321" s="187"/>
      <c r="EE321" s="330"/>
      <c r="EH321" s="334"/>
      <c r="EI321" s="334"/>
      <c r="EM321"/>
      <c r="EO321" s="115"/>
      <c r="EP321" s="334" t="s">
        <v>1415</v>
      </c>
      <c r="EQ321" s="334" t="s">
        <v>2114</v>
      </c>
      <c r="ER321" s="334" t="s">
        <v>358</v>
      </c>
      <c r="ES321" s="334" t="s">
        <v>1641</v>
      </c>
      <c r="ET321" s="334">
        <v>2024.44</v>
      </c>
      <c r="EU321" s="334" t="s">
        <v>397</v>
      </c>
      <c r="EV321" s="334">
        <v>68668.844200000007</v>
      </c>
    </row>
    <row r="322" spans="9:152" ht="13">
      <c r="I322" s="115" t="s">
        <v>1515</v>
      </c>
      <c r="J322" s="115" t="s">
        <v>1357</v>
      </c>
      <c r="K322" s="183">
        <v>9735.6305853115318</v>
      </c>
      <c r="AI322" s="115" t="s">
        <v>1416</v>
      </c>
      <c r="AJ322" t="s">
        <v>2114</v>
      </c>
      <c r="AK322" s="115">
        <v>0</v>
      </c>
      <c r="AL322" s="115" t="s">
        <v>28</v>
      </c>
      <c r="AM322" s="115" t="s">
        <v>1849</v>
      </c>
      <c r="AN322" s="115" t="s">
        <v>1570</v>
      </c>
      <c r="AO322" s="115" t="s">
        <v>1274</v>
      </c>
      <c r="AT322" s="115" t="s">
        <v>1415</v>
      </c>
      <c r="AU322" s="115" t="s">
        <v>2114</v>
      </c>
      <c r="AV322" s="115">
        <v>15</v>
      </c>
      <c r="AW322" s="115" t="s">
        <v>499</v>
      </c>
      <c r="AX322" s="115" t="s">
        <v>28</v>
      </c>
      <c r="AY322" s="115" t="s">
        <v>1848</v>
      </c>
      <c r="AZ322" s="115" t="s">
        <v>1892</v>
      </c>
      <c r="BA322" s="115"/>
      <c r="BB322" s="115"/>
      <c r="BC322" s="115">
        <v>4118.9247618750005</v>
      </c>
      <c r="BD322" s="115"/>
      <c r="BE322" s="115"/>
      <c r="BF322" s="115">
        <v>304.31666924999996</v>
      </c>
      <c r="BG322" s="115"/>
      <c r="BH322" s="115">
        <v>416.61010581456003</v>
      </c>
      <c r="BI322" s="115">
        <v>245.98490081249994</v>
      </c>
      <c r="BJ322" s="115">
        <v>311.24846657812503</v>
      </c>
      <c r="BK322" s="115">
        <v>52.867081474500004</v>
      </c>
      <c r="BL322" s="115">
        <v>83.040384195000016</v>
      </c>
      <c r="BM322" s="115"/>
      <c r="BN322" s="115"/>
      <c r="BO322" s="115"/>
      <c r="BP322" s="115"/>
      <c r="DA322" s="115"/>
      <c r="DB322" s="115"/>
      <c r="DR322" s="214"/>
      <c r="DY322" s="115"/>
      <c r="DZ322" s="334"/>
      <c r="EA322" s="334"/>
      <c r="EB322" s="334"/>
      <c r="EC322" s="334"/>
      <c r="ED322" s="187"/>
      <c r="EE322" s="330"/>
      <c r="EH322" s="334"/>
      <c r="EI322" s="334"/>
      <c r="EM322"/>
      <c r="EO322" s="115"/>
      <c r="EP322" s="334" t="s">
        <v>1415</v>
      </c>
      <c r="EQ322" s="334" t="s">
        <v>2114</v>
      </c>
      <c r="ER322" s="334" t="s">
        <v>358</v>
      </c>
      <c r="ES322" s="334" t="s">
        <v>1641</v>
      </c>
      <c r="ET322" s="334">
        <v>2024.44</v>
      </c>
      <c r="EU322" s="334" t="s">
        <v>1382</v>
      </c>
      <c r="EV322" s="334">
        <v>68668.844200000007</v>
      </c>
    </row>
    <row r="323" spans="9:152" ht="13">
      <c r="I323" s="115" t="s">
        <v>1516</v>
      </c>
      <c r="J323" s="115" t="s">
        <v>1363</v>
      </c>
      <c r="K323" s="183">
        <v>125</v>
      </c>
      <c r="AI323" s="115" t="s">
        <v>1416</v>
      </c>
      <c r="AJ323" t="s">
        <v>2114</v>
      </c>
      <c r="AK323" s="115">
        <v>0</v>
      </c>
      <c r="AL323" s="115" t="s">
        <v>28</v>
      </c>
      <c r="AM323" s="115" t="s">
        <v>1832</v>
      </c>
      <c r="AN323" s="115" t="s">
        <v>1570</v>
      </c>
      <c r="AO323" s="115" t="s">
        <v>1274</v>
      </c>
      <c r="AT323" s="115" t="s">
        <v>1415</v>
      </c>
      <c r="AU323" s="115" t="s">
        <v>2114</v>
      </c>
      <c r="AV323" s="115">
        <v>15</v>
      </c>
      <c r="AW323" s="115" t="s">
        <v>499</v>
      </c>
      <c r="AX323" s="115" t="s">
        <v>28</v>
      </c>
      <c r="AY323" s="115" t="s">
        <v>1843</v>
      </c>
      <c r="AZ323" s="115" t="s">
        <v>1892</v>
      </c>
      <c r="BA323" s="115"/>
      <c r="BB323" s="115"/>
      <c r="BC323" s="115">
        <v>4774.4597938144325</v>
      </c>
      <c r="BD323" s="115"/>
      <c r="BE323" s="115"/>
      <c r="BF323" s="115">
        <v>301.97154639175255</v>
      </c>
      <c r="BG323" s="115"/>
      <c r="BH323" s="115">
        <v>5602.5058350515465</v>
      </c>
      <c r="BI323" s="115">
        <v>800.90123711340209</v>
      </c>
      <c r="BJ323" s="115">
        <v>369.8213402061856</v>
      </c>
      <c r="BK323" s="115">
        <v>385.49030927835048</v>
      </c>
      <c r="BL323" s="115">
        <v>691.7373195876288</v>
      </c>
      <c r="BM323" s="115">
        <v>759.19070000000011</v>
      </c>
      <c r="BN323" s="115">
        <v>1605.85</v>
      </c>
      <c r="BO323" s="115">
        <v>1860.03</v>
      </c>
      <c r="BP323" s="115"/>
      <c r="DA323" s="115"/>
      <c r="DB323" s="115"/>
      <c r="DR323" s="214"/>
      <c r="DY323" s="115"/>
      <c r="DZ323" s="334"/>
      <c r="EA323" s="334"/>
      <c r="EB323" s="334"/>
      <c r="EC323" s="334"/>
      <c r="ED323" s="187"/>
      <c r="EE323" s="330"/>
      <c r="EH323" s="334"/>
      <c r="EI323" s="334"/>
      <c r="EM323"/>
      <c r="EO323" s="115"/>
      <c r="EP323" s="334" t="s">
        <v>1415</v>
      </c>
      <c r="EQ323" s="334" t="s">
        <v>2114</v>
      </c>
      <c r="ER323" s="334" t="s">
        <v>358</v>
      </c>
      <c r="ES323" s="334" t="s">
        <v>1641</v>
      </c>
      <c r="ET323" s="334">
        <v>2024.48</v>
      </c>
      <c r="EU323" s="334" t="s">
        <v>397</v>
      </c>
      <c r="EV323" s="334">
        <v>68668.844200000007</v>
      </c>
    </row>
    <row r="324" spans="9:152" ht="13">
      <c r="I324" s="115" t="s">
        <v>1516</v>
      </c>
      <c r="J324" s="115" t="s">
        <v>1353</v>
      </c>
      <c r="K324" s="183" t="s">
        <v>1517</v>
      </c>
      <c r="AI324" s="115" t="s">
        <v>1416</v>
      </c>
      <c r="AJ324" t="s">
        <v>2114</v>
      </c>
      <c r="AK324" s="115">
        <v>0</v>
      </c>
      <c r="AL324" s="115" t="s">
        <v>28</v>
      </c>
      <c r="AM324" s="115" t="s">
        <v>1848</v>
      </c>
      <c r="AN324" s="115" t="s">
        <v>1570</v>
      </c>
      <c r="AO324" s="115" t="s">
        <v>1274</v>
      </c>
      <c r="AT324" s="115" t="s">
        <v>1416</v>
      </c>
      <c r="AU324" s="115" t="s">
        <v>2114</v>
      </c>
      <c r="AV324" s="115">
        <v>0</v>
      </c>
      <c r="AW324" s="115" t="s">
        <v>494</v>
      </c>
      <c r="AX324" s="115" t="s">
        <v>28</v>
      </c>
      <c r="AY324" s="115" t="s">
        <v>1843</v>
      </c>
      <c r="AZ324" s="115" t="s">
        <v>1952</v>
      </c>
      <c r="BA324" s="115"/>
      <c r="BB324" s="115"/>
      <c r="BC324" s="115"/>
      <c r="BD324" s="115"/>
      <c r="BE324" s="115"/>
      <c r="BF324" s="115">
        <v>226.06505154639174</v>
      </c>
      <c r="BG324" s="115"/>
      <c r="BH324" s="115"/>
      <c r="BI324" s="115"/>
      <c r="BJ324" s="115"/>
      <c r="BK324" s="115">
        <v>807.03154639175261</v>
      </c>
      <c r="BL324" s="115">
        <v>593.64690721649481</v>
      </c>
      <c r="BM324" s="115"/>
      <c r="BN324" s="115">
        <v>2209.422</v>
      </c>
      <c r="BO324" s="115">
        <v>2245.326</v>
      </c>
      <c r="BP324" s="115"/>
      <c r="DA324" s="115"/>
      <c r="DB324" s="115"/>
      <c r="DR324" s="214"/>
      <c r="DY324" s="115"/>
      <c r="DZ324" s="334"/>
      <c r="EA324" s="334"/>
      <c r="EB324" s="334"/>
      <c r="EC324" s="334"/>
      <c r="ED324" s="187"/>
      <c r="EE324" s="330"/>
      <c r="EH324" s="334"/>
      <c r="EI324" s="334"/>
      <c r="EM324"/>
      <c r="EO324" s="115"/>
      <c r="EP324" s="334" t="s">
        <v>1415</v>
      </c>
      <c r="EQ324" s="334" t="s">
        <v>2114</v>
      </c>
      <c r="ER324" s="334" t="s">
        <v>358</v>
      </c>
      <c r="ES324" s="334" t="s">
        <v>1641</v>
      </c>
      <c r="ET324" s="334">
        <v>2024.48</v>
      </c>
      <c r="EU324" s="334" t="s">
        <v>1382</v>
      </c>
      <c r="EV324" s="334">
        <v>53668.8442</v>
      </c>
    </row>
    <row r="325" spans="9:152" ht="13">
      <c r="I325" s="115" t="s">
        <v>1516</v>
      </c>
      <c r="J325" s="115" t="s">
        <v>1369</v>
      </c>
      <c r="K325" s="183">
        <v>13</v>
      </c>
      <c r="AI325" s="115" t="s">
        <v>1416</v>
      </c>
      <c r="AJ325" t="s">
        <v>2114</v>
      </c>
      <c r="AK325" s="115">
        <v>0</v>
      </c>
      <c r="AL325" s="115" t="s">
        <v>28</v>
      </c>
      <c r="AM325" s="115" t="s">
        <v>1850</v>
      </c>
      <c r="AN325" s="115" t="s">
        <v>1570</v>
      </c>
      <c r="AO325" s="115" t="s">
        <v>1274</v>
      </c>
      <c r="AT325" s="115" t="s">
        <v>1415</v>
      </c>
      <c r="AU325" s="115" t="s">
        <v>2114</v>
      </c>
      <c r="AV325" s="115">
        <v>15</v>
      </c>
      <c r="AW325" s="115" t="s">
        <v>499</v>
      </c>
      <c r="AX325" s="115" t="s">
        <v>28</v>
      </c>
      <c r="AY325" s="115" t="s">
        <v>1849</v>
      </c>
      <c r="AZ325" s="115" t="s">
        <v>1892</v>
      </c>
      <c r="BA325" s="115"/>
      <c r="BB325" s="115"/>
      <c r="BC325" s="115">
        <v>30.918750000000003</v>
      </c>
      <c r="BD325" s="115"/>
      <c r="BE325" s="115"/>
      <c r="BF325" s="115"/>
      <c r="BG325" s="115"/>
      <c r="BH325" s="115">
        <v>86.132624399999997</v>
      </c>
      <c r="BI325" s="115">
        <v>19.242374999999999</v>
      </c>
      <c r="BJ325" s="115">
        <v>0.77296874999999987</v>
      </c>
      <c r="BK325" s="115">
        <v>11.754944999999999</v>
      </c>
      <c r="BL325" s="115">
        <v>18.463950000000004</v>
      </c>
      <c r="BM325" s="115"/>
      <c r="BN325" s="115"/>
      <c r="BO325" s="115"/>
      <c r="BP325" s="115"/>
      <c r="DA325" s="115"/>
      <c r="DB325" s="115"/>
      <c r="DR325" s="214"/>
      <c r="DY325" s="115"/>
      <c r="DZ325" s="334"/>
      <c r="EA325" s="334"/>
      <c r="EB325" s="334"/>
      <c r="EC325" s="334"/>
      <c r="ED325" s="187"/>
      <c r="EE325" s="330"/>
      <c r="EH325" s="334"/>
      <c r="EI325" s="334"/>
      <c r="EM325"/>
      <c r="EO325" s="115"/>
      <c r="EP325" s="334" t="s">
        <v>1415</v>
      </c>
      <c r="EQ325" s="334" t="s">
        <v>2114</v>
      </c>
      <c r="ER325" s="334" t="s">
        <v>358</v>
      </c>
      <c r="ES325" s="334" t="s">
        <v>1641</v>
      </c>
      <c r="ET325" s="334">
        <v>2025.03</v>
      </c>
      <c r="EU325" s="334" t="s">
        <v>397</v>
      </c>
      <c r="EV325" s="334">
        <v>68668.844200000007</v>
      </c>
    </row>
    <row r="326" spans="9:152" ht="13">
      <c r="I326" s="115" t="s">
        <v>1516</v>
      </c>
      <c r="J326" s="115" t="s">
        <v>1355</v>
      </c>
      <c r="K326" s="183">
        <v>12</v>
      </c>
      <c r="AI326" s="115" t="s">
        <v>1416</v>
      </c>
      <c r="AJ326" t="s">
        <v>2114</v>
      </c>
      <c r="AK326" s="115">
        <v>0</v>
      </c>
      <c r="AL326" s="115" t="s">
        <v>28</v>
      </c>
      <c r="AM326" s="115" t="s">
        <v>1846</v>
      </c>
      <c r="AN326" s="115" t="s">
        <v>1570</v>
      </c>
      <c r="AO326" s="115" t="s">
        <v>1274</v>
      </c>
      <c r="AT326" s="115" t="s">
        <v>1416</v>
      </c>
      <c r="AU326" s="115" t="s">
        <v>2114</v>
      </c>
      <c r="AV326" s="115">
        <v>0</v>
      </c>
      <c r="AW326" s="115" t="s">
        <v>494</v>
      </c>
      <c r="AX326" s="115" t="s">
        <v>28</v>
      </c>
      <c r="AY326" s="115" t="s">
        <v>1849</v>
      </c>
      <c r="AZ326" s="115" t="s">
        <v>1952</v>
      </c>
      <c r="BA326" s="115"/>
      <c r="BB326" s="115"/>
      <c r="BC326" s="115"/>
      <c r="BD326" s="115"/>
      <c r="BE326" s="115"/>
      <c r="BF326" s="115"/>
      <c r="BG326" s="115"/>
      <c r="BH326" s="115"/>
      <c r="BI326" s="115"/>
      <c r="BJ326" s="115"/>
      <c r="BK326" s="115">
        <v>25.753499999999999</v>
      </c>
      <c r="BL326" s="115">
        <v>18.944099999999999</v>
      </c>
      <c r="BM326" s="115"/>
      <c r="BN326" s="115"/>
      <c r="BO326" s="115"/>
      <c r="BP326" s="115"/>
      <c r="DA326" s="115"/>
      <c r="DB326" s="115"/>
      <c r="DR326" s="214"/>
      <c r="DY326" s="115"/>
      <c r="DZ326" s="334"/>
      <c r="EA326" s="334"/>
      <c r="EB326" s="334"/>
      <c r="EC326" s="334"/>
      <c r="ED326" s="187"/>
      <c r="EE326" s="330"/>
      <c r="EH326" s="334"/>
      <c r="EI326" s="334"/>
      <c r="EM326"/>
      <c r="EO326" s="115"/>
      <c r="EP326" s="334" t="s">
        <v>1415</v>
      </c>
      <c r="EQ326" s="334" t="s">
        <v>2114</v>
      </c>
      <c r="ER326" s="334" t="s">
        <v>358</v>
      </c>
      <c r="ES326" s="334" t="s">
        <v>1641</v>
      </c>
      <c r="ET326" s="334">
        <v>2025.03</v>
      </c>
      <c r="EU326" s="334" t="s">
        <v>1382</v>
      </c>
      <c r="EV326" s="334">
        <v>59668.8442</v>
      </c>
    </row>
    <row r="327" spans="9:152" ht="13">
      <c r="I327" s="115" t="s">
        <v>1516</v>
      </c>
      <c r="J327" s="115" t="s">
        <v>1361</v>
      </c>
      <c r="K327" s="183">
        <v>69.23</v>
      </c>
      <c r="AI327" s="115" t="s">
        <v>1416</v>
      </c>
      <c r="AJ327" t="s">
        <v>2114</v>
      </c>
      <c r="AK327" s="115">
        <v>0</v>
      </c>
      <c r="AL327" s="115" t="s">
        <v>28</v>
      </c>
      <c r="AM327" s="115" t="s">
        <v>1832</v>
      </c>
      <c r="AN327" s="115" t="s">
        <v>1570</v>
      </c>
      <c r="AO327" s="115" t="s">
        <v>381</v>
      </c>
      <c r="AT327" s="115" t="s">
        <v>1416</v>
      </c>
      <c r="AU327" s="115" t="s">
        <v>2114</v>
      </c>
      <c r="AV327" s="115">
        <v>0</v>
      </c>
      <c r="AW327" s="115" t="s">
        <v>494</v>
      </c>
      <c r="AX327" s="115" t="s">
        <v>28</v>
      </c>
      <c r="AY327" s="115" t="s">
        <v>1850</v>
      </c>
      <c r="AZ327" s="115" t="s">
        <v>1952</v>
      </c>
      <c r="BA327" s="115"/>
      <c r="BB327" s="115"/>
      <c r="BC327" s="115"/>
      <c r="BD327" s="115"/>
      <c r="BE327" s="115"/>
      <c r="BF327" s="115">
        <v>5.0925000000000002</v>
      </c>
      <c r="BG327" s="115"/>
      <c r="BH327" s="115"/>
      <c r="BI327" s="115"/>
      <c r="BJ327" s="115"/>
      <c r="BK327" s="115">
        <v>2.8614999999999999</v>
      </c>
      <c r="BL327" s="115">
        <v>2.1049000000000002</v>
      </c>
      <c r="BM327" s="115"/>
      <c r="BN327" s="115"/>
      <c r="BO327" s="115"/>
      <c r="BP327" s="115"/>
      <c r="DA327" s="115"/>
      <c r="DB327" s="115"/>
      <c r="DR327" s="214"/>
      <c r="DY327" s="115"/>
      <c r="DZ327" s="334"/>
      <c r="EA327" s="334"/>
      <c r="EB327" s="334"/>
      <c r="EC327" s="334"/>
      <c r="ED327" s="187"/>
      <c r="EE327" s="330"/>
      <c r="EH327" s="334"/>
      <c r="EI327" s="334"/>
      <c r="EM327"/>
      <c r="EO327" s="115"/>
      <c r="EP327" s="334" t="s">
        <v>1415</v>
      </c>
      <c r="EQ327" s="334" t="s">
        <v>2114</v>
      </c>
      <c r="ER327" s="334" t="s">
        <v>358</v>
      </c>
      <c r="ES327" s="334" t="s">
        <v>389</v>
      </c>
      <c r="ET327" s="334">
        <v>2024.48</v>
      </c>
      <c r="EU327" s="334" t="s">
        <v>397</v>
      </c>
      <c r="EV327" s="334">
        <v>0</v>
      </c>
    </row>
    <row r="328" spans="9:152" ht="13">
      <c r="I328" s="115" t="s">
        <v>1516</v>
      </c>
      <c r="J328" s="115" t="s">
        <v>1364</v>
      </c>
      <c r="K328" s="183">
        <v>300</v>
      </c>
      <c r="AI328" s="115" t="s">
        <v>1416</v>
      </c>
      <c r="AJ328" t="s">
        <v>2114</v>
      </c>
      <c r="AK328" s="115">
        <v>0</v>
      </c>
      <c r="AL328" s="115" t="s">
        <v>28</v>
      </c>
      <c r="AM328" s="115" t="s">
        <v>1843</v>
      </c>
      <c r="AN328" s="115" t="s">
        <v>1570</v>
      </c>
      <c r="AO328" s="115" t="s">
        <v>381</v>
      </c>
      <c r="AT328" s="115" t="s">
        <v>1415</v>
      </c>
      <c r="AU328" s="115" t="s">
        <v>2114</v>
      </c>
      <c r="AV328" s="115">
        <v>15</v>
      </c>
      <c r="AW328" s="115" t="s">
        <v>499</v>
      </c>
      <c r="AX328" s="115" t="s">
        <v>28</v>
      </c>
      <c r="AY328" s="115" t="s">
        <v>1850</v>
      </c>
      <c r="AZ328" s="115" t="s">
        <v>1892</v>
      </c>
      <c r="BA328" s="115"/>
      <c r="BB328" s="115"/>
      <c r="BC328" s="115">
        <v>92.756250000000009</v>
      </c>
      <c r="BD328" s="115"/>
      <c r="BE328" s="115"/>
      <c r="BF328" s="115">
        <v>6.5474999999999994</v>
      </c>
      <c r="BG328" s="115"/>
      <c r="BH328" s="115">
        <v>9.5702916000000009</v>
      </c>
      <c r="BI328" s="115">
        <v>6.4141249999999994</v>
      </c>
      <c r="BJ328" s="115">
        <v>6.9567187500000012</v>
      </c>
      <c r="BK328" s="115">
        <v>1.3061050000000001</v>
      </c>
      <c r="BL328" s="115">
        <v>2.0515500000000002</v>
      </c>
      <c r="BM328" s="115"/>
      <c r="BN328" s="115"/>
      <c r="BO328" s="115"/>
      <c r="BP328" s="115"/>
      <c r="DA328" s="115"/>
      <c r="DB328" s="115"/>
      <c r="DR328" s="214"/>
      <c r="DY328" s="115"/>
      <c r="DZ328" s="334"/>
      <c r="EA328" s="334"/>
      <c r="EB328" s="334"/>
      <c r="EC328" s="334"/>
      <c r="ED328" s="187"/>
      <c r="EE328" s="330"/>
      <c r="EH328" s="334"/>
      <c r="EI328" s="334"/>
      <c r="EM328"/>
      <c r="EO328" s="115"/>
      <c r="EP328" s="334" t="s">
        <v>1415</v>
      </c>
      <c r="EQ328" s="334" t="s">
        <v>2114</v>
      </c>
      <c r="ER328" s="334" t="s">
        <v>358</v>
      </c>
      <c r="ES328" s="334" t="s">
        <v>389</v>
      </c>
      <c r="ET328" s="334">
        <v>2024.48</v>
      </c>
      <c r="EU328" s="334" t="s">
        <v>1382</v>
      </c>
      <c r="EV328" s="334">
        <v>11564.6</v>
      </c>
    </row>
    <row r="329" spans="9:152" ht="13">
      <c r="I329" s="115" t="s">
        <v>1516</v>
      </c>
      <c r="J329" s="115" t="s">
        <v>1367</v>
      </c>
      <c r="K329" s="183">
        <v>8</v>
      </c>
      <c r="AI329" s="115" t="s">
        <v>1416</v>
      </c>
      <c r="AJ329" t="s">
        <v>2114</v>
      </c>
      <c r="AK329" s="115">
        <v>0</v>
      </c>
      <c r="AL329" s="115" t="s">
        <v>28</v>
      </c>
      <c r="AM329" s="115" t="s">
        <v>1846</v>
      </c>
      <c r="AN329" s="115" t="s">
        <v>1570</v>
      </c>
      <c r="AO329" s="115" t="s">
        <v>381</v>
      </c>
      <c r="AT329" s="115" t="s">
        <v>1415</v>
      </c>
      <c r="AU329" s="115" t="s">
        <v>2114</v>
      </c>
      <c r="AV329" s="115">
        <v>15</v>
      </c>
      <c r="AW329" s="115" t="s">
        <v>499</v>
      </c>
      <c r="AX329" s="115" t="s">
        <v>28</v>
      </c>
      <c r="AY329" s="115" t="s">
        <v>1832</v>
      </c>
      <c r="AZ329" s="115" t="s">
        <v>1892</v>
      </c>
      <c r="BA329" s="115"/>
      <c r="BB329" s="115"/>
      <c r="BC329" s="115">
        <v>127.50000000000001</v>
      </c>
      <c r="BD329" s="115"/>
      <c r="BE329" s="115"/>
      <c r="BF329" s="115">
        <v>6.75</v>
      </c>
      <c r="BG329" s="115"/>
      <c r="BH329" s="115">
        <v>98.662800000000004</v>
      </c>
      <c r="BI329" s="115">
        <v>26.45</v>
      </c>
      <c r="BJ329" s="115">
        <v>7.9687500000000009</v>
      </c>
      <c r="BK329" s="115">
        <v>13.465</v>
      </c>
      <c r="BL329" s="115">
        <v>21.150000000000002</v>
      </c>
      <c r="BM329" s="115"/>
      <c r="BN329" s="115"/>
      <c r="BO329" s="115"/>
      <c r="BP329" s="115"/>
      <c r="DA329" s="115"/>
      <c r="DB329" s="115"/>
      <c r="DR329" s="214"/>
      <c r="DY329" s="115"/>
      <c r="DZ329" s="334"/>
      <c r="EA329" s="334"/>
      <c r="EB329" s="334"/>
      <c r="EC329" s="334"/>
      <c r="ED329" s="187"/>
      <c r="EE329" s="330"/>
      <c r="EH329" s="334"/>
      <c r="EI329" s="334"/>
      <c r="EM329"/>
      <c r="EO329" s="115"/>
      <c r="EP329" s="334" t="s">
        <v>1415</v>
      </c>
      <c r="EQ329" s="334" t="s">
        <v>2114</v>
      </c>
      <c r="ER329" s="334" t="s">
        <v>358</v>
      </c>
      <c r="ES329" s="334" t="s">
        <v>389</v>
      </c>
      <c r="ET329" s="334">
        <v>2025.03</v>
      </c>
      <c r="EU329" s="334" t="s">
        <v>397</v>
      </c>
      <c r="EV329" s="334">
        <v>0</v>
      </c>
    </row>
    <row r="330" spans="9:152" ht="13">
      <c r="I330" s="115" t="s">
        <v>1516</v>
      </c>
      <c r="J330" s="115" t="s">
        <v>1362</v>
      </c>
      <c r="K330" s="183">
        <v>95</v>
      </c>
      <c r="AI330" s="115" t="s">
        <v>1416</v>
      </c>
      <c r="AJ330" t="s">
        <v>2114</v>
      </c>
      <c r="AK330" s="115">
        <v>0</v>
      </c>
      <c r="AL330" s="115" t="s">
        <v>28</v>
      </c>
      <c r="AM330" s="115" t="s">
        <v>1849</v>
      </c>
      <c r="AN330" s="115" t="s">
        <v>1570</v>
      </c>
      <c r="AO330" s="115" t="s">
        <v>381</v>
      </c>
      <c r="AT330" s="115" t="s">
        <v>1416</v>
      </c>
      <c r="AU330" s="115" t="s">
        <v>2114</v>
      </c>
      <c r="AV330" s="115">
        <v>0</v>
      </c>
      <c r="AW330" s="115" t="s">
        <v>494</v>
      </c>
      <c r="AX330" s="115" t="s">
        <v>28</v>
      </c>
      <c r="AY330" s="115" t="s">
        <v>1832</v>
      </c>
      <c r="AZ330" s="115" t="s">
        <v>1952</v>
      </c>
      <c r="BA330" s="115"/>
      <c r="BB330" s="115"/>
      <c r="BC330" s="115"/>
      <c r="BD330" s="115"/>
      <c r="BE330" s="115"/>
      <c r="BF330" s="115">
        <v>5.25</v>
      </c>
      <c r="BG330" s="115"/>
      <c r="BH330" s="115"/>
      <c r="BI330" s="115"/>
      <c r="BJ330" s="115"/>
      <c r="BK330" s="115">
        <v>29.5</v>
      </c>
      <c r="BL330" s="115">
        <v>21.7</v>
      </c>
      <c r="BM330" s="115"/>
      <c r="BN330" s="115"/>
      <c r="BO330" s="115"/>
      <c r="BP330" s="115"/>
      <c r="DA330" s="115"/>
      <c r="DB330" s="115"/>
      <c r="DR330" s="214"/>
      <c r="DY330" s="115"/>
      <c r="DZ330" s="334"/>
      <c r="EA330" s="334"/>
      <c r="EB330" s="334"/>
      <c r="EC330" s="334"/>
      <c r="ED330" s="187"/>
      <c r="EE330" s="330"/>
      <c r="EH330" s="334"/>
      <c r="EI330" s="334"/>
      <c r="EM330"/>
      <c r="EO330" s="115"/>
      <c r="EP330" s="334" t="s">
        <v>1415</v>
      </c>
      <c r="EQ330" s="334" t="s">
        <v>2114</v>
      </c>
      <c r="ER330" s="334" t="s">
        <v>358</v>
      </c>
      <c r="ES330" s="334" t="s">
        <v>389</v>
      </c>
      <c r="ET330" s="334">
        <v>2025.03</v>
      </c>
      <c r="EU330" s="334" t="s">
        <v>1382</v>
      </c>
      <c r="EV330" s="334">
        <v>16500.34</v>
      </c>
    </row>
    <row r="331" spans="9:152" ht="13">
      <c r="I331" s="115" t="s">
        <v>1516</v>
      </c>
      <c r="J331" s="115" t="s">
        <v>1368</v>
      </c>
      <c r="K331" s="183">
        <v>11.5</v>
      </c>
      <c r="AI331" s="115" t="s">
        <v>1416</v>
      </c>
      <c r="AJ331" t="s">
        <v>2114</v>
      </c>
      <c r="AK331" s="115">
        <v>0</v>
      </c>
      <c r="AL331" s="115" t="s">
        <v>28</v>
      </c>
      <c r="AM331" s="115" t="s">
        <v>1848</v>
      </c>
      <c r="AN331" s="115" t="s">
        <v>1570</v>
      </c>
      <c r="AO331" s="115" t="s">
        <v>381</v>
      </c>
      <c r="AT331" s="115" t="s">
        <v>1416</v>
      </c>
      <c r="AU331" s="115" t="s">
        <v>2114</v>
      </c>
      <c r="AV331" s="115">
        <v>0</v>
      </c>
      <c r="AW331" s="115" t="s">
        <v>494</v>
      </c>
      <c r="AX331" s="115" t="s">
        <v>28</v>
      </c>
      <c r="AY331" s="115" t="s">
        <v>1846</v>
      </c>
      <c r="AZ331" s="115" t="s">
        <v>1953</v>
      </c>
      <c r="BA331" s="115"/>
      <c r="BB331" s="115"/>
      <c r="BC331" s="115"/>
      <c r="BD331" s="115"/>
      <c r="BE331" s="115"/>
      <c r="BF331" s="115"/>
      <c r="BG331" s="115"/>
      <c r="BH331" s="115"/>
      <c r="BI331" s="115"/>
      <c r="BJ331" s="115"/>
      <c r="BK331" s="115">
        <v>75.566006999999985</v>
      </c>
      <c r="BL331" s="115"/>
      <c r="BM331" s="115"/>
      <c r="BN331" s="115">
        <v>613.63199999999995</v>
      </c>
      <c r="BO331" s="115"/>
      <c r="BP331" s="115"/>
      <c r="DA331" s="115"/>
      <c r="DB331" s="115"/>
      <c r="DR331" s="214"/>
      <c r="DY331" s="115"/>
      <c r="DZ331" s="334"/>
      <c r="EA331" s="334"/>
      <c r="EB331" s="334"/>
      <c r="EC331" s="334"/>
      <c r="ED331" s="187"/>
      <c r="EE331" s="330"/>
      <c r="EH331" s="334"/>
      <c r="EI331" s="334"/>
      <c r="EM331"/>
      <c r="EO331" s="115"/>
      <c r="EP331" s="334" t="s">
        <v>1415</v>
      </c>
      <c r="EQ331" s="334" t="s">
        <v>2114</v>
      </c>
      <c r="ER331" s="334" t="s">
        <v>358</v>
      </c>
      <c r="ES331" s="334" t="s">
        <v>373</v>
      </c>
      <c r="ET331" s="334">
        <v>2023.47</v>
      </c>
      <c r="EU331" s="334" t="s">
        <v>397</v>
      </c>
      <c r="EV331" s="334">
        <v>25401.157999999999</v>
      </c>
    </row>
    <row r="332" spans="9:152" ht="13">
      <c r="I332" s="115" t="s">
        <v>1516</v>
      </c>
      <c r="J332" s="115" t="s">
        <v>1360</v>
      </c>
      <c r="K332" s="183">
        <v>0.47199999999999998</v>
      </c>
      <c r="AI332" s="115" t="s">
        <v>1416</v>
      </c>
      <c r="AJ332" t="s">
        <v>2114</v>
      </c>
      <c r="AK332" s="115">
        <v>0</v>
      </c>
      <c r="AL332" s="115" t="s">
        <v>28</v>
      </c>
      <c r="AM332" s="115" t="s">
        <v>1850</v>
      </c>
      <c r="AN332" s="115" t="s">
        <v>1570</v>
      </c>
      <c r="AO332" s="115" t="s">
        <v>381</v>
      </c>
      <c r="AT332" s="115" t="s">
        <v>1415</v>
      </c>
      <c r="AU332" s="115" t="s">
        <v>2114</v>
      </c>
      <c r="AV332" s="115">
        <v>15</v>
      </c>
      <c r="AW332" s="115" t="s">
        <v>494</v>
      </c>
      <c r="AX332" s="115" t="s">
        <v>28</v>
      </c>
      <c r="AY332" s="115" t="s">
        <v>1846</v>
      </c>
      <c r="AZ332" s="115" t="s">
        <v>1893</v>
      </c>
      <c r="BA332" s="115"/>
      <c r="BB332" s="115"/>
      <c r="BC332" s="115">
        <v>372.51239800000002</v>
      </c>
      <c r="BD332" s="115"/>
      <c r="BE332" s="115"/>
      <c r="BF332" s="115"/>
      <c r="BG332" s="115"/>
      <c r="BH332" s="115">
        <v>91363.043919999996</v>
      </c>
      <c r="BI332" s="115">
        <v>5282.5113600000004</v>
      </c>
      <c r="BJ332" s="115"/>
      <c r="BK332" s="115"/>
      <c r="BL332" s="115"/>
      <c r="BM332" s="115">
        <v>288.48799999999756</v>
      </c>
      <c r="BN332" s="115"/>
      <c r="BO332" s="115"/>
      <c r="BP332" s="115"/>
      <c r="DA332" s="115"/>
      <c r="DB332" s="115"/>
      <c r="DR332" s="214"/>
      <c r="DY332" s="115"/>
      <c r="DZ332" s="334"/>
      <c r="EA332" s="334"/>
      <c r="EB332" s="334"/>
      <c r="EC332" s="334"/>
      <c r="ED332" s="187"/>
      <c r="EE332" s="330"/>
      <c r="EH332" s="334"/>
      <c r="EI332" s="334"/>
      <c r="EM332"/>
      <c r="EO332" s="115"/>
      <c r="EP332" s="334" t="s">
        <v>1415</v>
      </c>
      <c r="EQ332" s="334" t="s">
        <v>2114</v>
      </c>
      <c r="ER332" s="334" t="s">
        <v>358</v>
      </c>
      <c r="ES332" s="334" t="s">
        <v>373</v>
      </c>
      <c r="ET332" s="334">
        <v>2023.47</v>
      </c>
      <c r="EU332" s="334" t="s">
        <v>1382</v>
      </c>
      <c r="EV332" s="334">
        <v>25401.157999999999</v>
      </c>
    </row>
    <row r="333" spans="9:152" ht="13">
      <c r="I333" s="115" t="s">
        <v>1516</v>
      </c>
      <c r="J333" s="115" t="s">
        <v>1358</v>
      </c>
      <c r="K333" s="183" t="s">
        <v>375</v>
      </c>
      <c r="AI333" s="115" t="s">
        <v>1416</v>
      </c>
      <c r="AJ333" t="s">
        <v>2114</v>
      </c>
      <c r="AK333" s="115">
        <v>0</v>
      </c>
      <c r="AL333" s="115" t="s">
        <v>28</v>
      </c>
      <c r="AM333" s="115" t="s">
        <v>1849</v>
      </c>
      <c r="AN333" s="115" t="s">
        <v>1570</v>
      </c>
      <c r="AO333" s="115" t="s">
        <v>379</v>
      </c>
      <c r="AT333" s="115" t="s">
        <v>1415</v>
      </c>
      <c r="AU333" s="115" t="s">
        <v>2114</v>
      </c>
      <c r="AV333" s="115">
        <v>15</v>
      </c>
      <c r="AW333" s="115" t="s">
        <v>494</v>
      </c>
      <c r="AX333" s="115" t="s">
        <v>28</v>
      </c>
      <c r="AY333" s="115" t="s">
        <v>1848</v>
      </c>
      <c r="AZ333" s="115" t="s">
        <v>1893</v>
      </c>
      <c r="BA333" s="115"/>
      <c r="BB333" s="115"/>
      <c r="BC333" s="115">
        <v>2196.7598730000004</v>
      </c>
      <c r="BD333" s="115"/>
      <c r="BE333" s="115"/>
      <c r="BF333" s="115"/>
      <c r="BG333" s="115"/>
      <c r="BH333" s="115">
        <v>253.35391200000001</v>
      </c>
      <c r="BI333" s="115">
        <v>2380.7990399999999</v>
      </c>
      <c r="BJ333" s="115"/>
      <c r="BK333" s="115"/>
      <c r="BL333" s="115"/>
      <c r="BM333" s="115"/>
      <c r="BN333" s="115"/>
      <c r="BO333" s="115"/>
      <c r="BP333" s="115"/>
      <c r="DA333" s="115"/>
      <c r="DB333" s="115"/>
      <c r="DR333" s="214"/>
      <c r="DY333" s="115"/>
      <c r="DZ333" s="334"/>
      <c r="EA333" s="334"/>
      <c r="EB333" s="334"/>
      <c r="EC333" s="334"/>
      <c r="ED333" s="187"/>
      <c r="EE333" s="330"/>
      <c r="EH333" s="334"/>
      <c r="EI333" s="334"/>
      <c r="EM333"/>
      <c r="EO333" s="115"/>
      <c r="EP333" s="334" t="s">
        <v>1415</v>
      </c>
      <c r="EQ333" s="334" t="s">
        <v>2114</v>
      </c>
      <c r="ER333" s="334" t="s">
        <v>358</v>
      </c>
      <c r="ES333" s="334" t="s">
        <v>373</v>
      </c>
      <c r="ET333" s="334">
        <v>2024.44</v>
      </c>
      <c r="EU333" s="334" t="s">
        <v>397</v>
      </c>
      <c r="EV333" s="334">
        <v>26580.800999999999</v>
      </c>
    </row>
    <row r="334" spans="9:152" ht="13">
      <c r="I334" s="115" t="s">
        <v>1516</v>
      </c>
      <c r="J334" s="115" t="s">
        <v>1354</v>
      </c>
      <c r="K334" s="183">
        <v>45112</v>
      </c>
      <c r="AI334" s="115" t="s">
        <v>1416</v>
      </c>
      <c r="AJ334" t="s">
        <v>2114</v>
      </c>
      <c r="AK334" s="115">
        <v>0</v>
      </c>
      <c r="AL334" s="115" t="s">
        <v>28</v>
      </c>
      <c r="AM334" s="115" t="s">
        <v>1850</v>
      </c>
      <c r="AN334" s="115" t="s">
        <v>1570</v>
      </c>
      <c r="AO334" s="115" t="s">
        <v>379</v>
      </c>
      <c r="AT334" s="115" t="s">
        <v>1416</v>
      </c>
      <c r="AU334" s="115" t="s">
        <v>2114</v>
      </c>
      <c r="AV334" s="115">
        <v>0</v>
      </c>
      <c r="AW334" s="115" t="s">
        <v>494</v>
      </c>
      <c r="AX334" s="115" t="s">
        <v>28</v>
      </c>
      <c r="AY334" s="115" t="s">
        <v>1848</v>
      </c>
      <c r="AZ334" s="115" t="s">
        <v>1953</v>
      </c>
      <c r="BA334" s="115"/>
      <c r="BB334" s="115"/>
      <c r="BC334" s="115"/>
      <c r="BD334" s="115"/>
      <c r="BE334" s="115"/>
      <c r="BF334" s="115"/>
      <c r="BG334" s="115"/>
      <c r="BH334" s="115"/>
      <c r="BI334" s="115"/>
      <c r="BJ334" s="115"/>
      <c r="BK334" s="115">
        <v>12.00375</v>
      </c>
      <c r="BL334" s="115"/>
      <c r="BM334" s="115"/>
      <c r="BN334" s="115"/>
      <c r="BO334" s="115"/>
      <c r="BP334" s="115"/>
      <c r="DA334" s="115"/>
      <c r="DB334" s="115"/>
      <c r="DR334" s="214"/>
      <c r="DY334" s="115"/>
      <c r="DZ334" s="334"/>
      <c r="EA334" s="334"/>
      <c r="EB334" s="334"/>
      <c r="EC334" s="334"/>
      <c r="ED334" s="187"/>
      <c r="EE334" s="330"/>
      <c r="EH334" s="334"/>
      <c r="EI334" s="334"/>
      <c r="EM334"/>
      <c r="EO334" s="115"/>
      <c r="EP334" s="334" t="s">
        <v>1415</v>
      </c>
      <c r="EQ334" s="334" t="s">
        <v>2114</v>
      </c>
      <c r="ER334" s="334" t="s">
        <v>358</v>
      </c>
      <c r="ES334" s="334" t="s">
        <v>373</v>
      </c>
      <c r="ET334" s="334">
        <v>2024.44</v>
      </c>
      <c r="EU334" s="334" t="s">
        <v>1382</v>
      </c>
      <c r="EV334" s="334">
        <v>26580.800999999999</v>
      </c>
    </row>
    <row r="335" spans="9:152" ht="13">
      <c r="I335" s="115" t="s">
        <v>1516</v>
      </c>
      <c r="J335" s="115" t="s">
        <v>1365</v>
      </c>
      <c r="K335" s="183">
        <v>15</v>
      </c>
      <c r="AI335" s="115" t="s">
        <v>1416</v>
      </c>
      <c r="AJ335" t="s">
        <v>2114</v>
      </c>
      <c r="AK335" s="115">
        <v>0</v>
      </c>
      <c r="AL335" s="115" t="s">
        <v>28</v>
      </c>
      <c r="AM335" s="115" t="s">
        <v>1843</v>
      </c>
      <c r="AN335" s="115" t="s">
        <v>1570</v>
      </c>
      <c r="AO335" s="115" t="s">
        <v>379</v>
      </c>
      <c r="AT335" s="115" t="s">
        <v>1415</v>
      </c>
      <c r="AU335" s="115" t="s">
        <v>2114</v>
      </c>
      <c r="AV335" s="115">
        <v>15</v>
      </c>
      <c r="AW335" s="115" t="s">
        <v>494</v>
      </c>
      <c r="AX335" s="115" t="s">
        <v>28</v>
      </c>
      <c r="AY335" s="115" t="s">
        <v>1843</v>
      </c>
      <c r="AZ335" s="115" t="s">
        <v>1893</v>
      </c>
      <c r="BA335" s="115"/>
      <c r="BB335" s="115"/>
      <c r="BC335" s="115">
        <v>2546.3785567010309</v>
      </c>
      <c r="BD335" s="115"/>
      <c r="BE335" s="115"/>
      <c r="BF335" s="115"/>
      <c r="BG335" s="115"/>
      <c r="BH335" s="115">
        <v>91410.807010309276</v>
      </c>
      <c r="BI335" s="115">
        <v>7751.6342268041244</v>
      </c>
      <c r="BJ335" s="115"/>
      <c r="BK335" s="115"/>
      <c r="BL335" s="115"/>
      <c r="BM335" s="115">
        <v>288.48799999999756</v>
      </c>
      <c r="BN335" s="115"/>
      <c r="BO335" s="115"/>
      <c r="BP335" s="115"/>
      <c r="DA335" s="115"/>
      <c r="DB335" s="115"/>
      <c r="DR335" s="214"/>
      <c r="DY335" s="115"/>
      <c r="DZ335" s="334"/>
      <c r="EA335" s="334"/>
      <c r="EB335" s="334"/>
      <c r="EC335" s="334"/>
      <c r="ED335" s="187"/>
      <c r="EE335" s="330"/>
      <c r="EH335" s="334"/>
      <c r="EI335" s="334"/>
      <c r="EM335"/>
      <c r="EO335" s="115"/>
      <c r="EP335" s="334" t="s">
        <v>1415</v>
      </c>
      <c r="EQ335" s="334" t="s">
        <v>2114</v>
      </c>
      <c r="ER335" s="334" t="s">
        <v>358</v>
      </c>
      <c r="ES335" s="334" t="s">
        <v>373</v>
      </c>
      <c r="ET335" s="334">
        <v>2025.03</v>
      </c>
      <c r="EU335" s="334" t="s">
        <v>397</v>
      </c>
      <c r="EV335" s="334">
        <v>26580.800999999999</v>
      </c>
    </row>
    <row r="336" spans="9:152" ht="13">
      <c r="I336" s="115" t="s">
        <v>1516</v>
      </c>
      <c r="J336" s="115" t="s">
        <v>1356</v>
      </c>
      <c r="K336" s="183" t="s">
        <v>1359</v>
      </c>
      <c r="AI336" s="115" t="s">
        <v>1416</v>
      </c>
      <c r="AJ336" t="s">
        <v>2114</v>
      </c>
      <c r="AK336" s="115">
        <v>0</v>
      </c>
      <c r="AL336" s="115" t="s">
        <v>28</v>
      </c>
      <c r="AM336" s="115" t="s">
        <v>1846</v>
      </c>
      <c r="AN336" s="115" t="s">
        <v>1570</v>
      </c>
      <c r="AO336" s="115" t="s">
        <v>379</v>
      </c>
      <c r="AT336" s="115" t="s">
        <v>1416</v>
      </c>
      <c r="AU336" s="115" t="s">
        <v>2114</v>
      </c>
      <c r="AV336" s="115">
        <v>0</v>
      </c>
      <c r="AW336" s="115" t="s">
        <v>494</v>
      </c>
      <c r="AX336" s="115" t="s">
        <v>28</v>
      </c>
      <c r="AY336" s="115" t="s">
        <v>1843</v>
      </c>
      <c r="AZ336" s="115" t="s">
        <v>1953</v>
      </c>
      <c r="BA336" s="115"/>
      <c r="BB336" s="115"/>
      <c r="BC336" s="115"/>
      <c r="BD336" s="115"/>
      <c r="BE336" s="115"/>
      <c r="BF336" s="115"/>
      <c r="BG336" s="115"/>
      <c r="BH336" s="115"/>
      <c r="BI336" s="115"/>
      <c r="BJ336" s="115"/>
      <c r="BK336" s="115">
        <v>90.278144329896904</v>
      </c>
      <c r="BL336" s="115"/>
      <c r="BM336" s="115"/>
      <c r="BN336" s="115">
        <v>613.63199999999995</v>
      </c>
      <c r="BO336" s="115"/>
      <c r="BP336" s="115"/>
      <c r="DA336" s="115"/>
      <c r="DB336" s="115"/>
      <c r="DR336" s="214"/>
      <c r="DY336" s="115"/>
      <c r="DZ336" s="334"/>
      <c r="EA336" s="334"/>
      <c r="EB336" s="334"/>
      <c r="EC336" s="334"/>
      <c r="ED336" s="187"/>
      <c r="EE336" s="330"/>
      <c r="EH336" s="334"/>
      <c r="EI336" s="334"/>
      <c r="EM336"/>
      <c r="EO336" s="115"/>
      <c r="EP336" s="334" t="s">
        <v>1415</v>
      </c>
      <c r="EQ336" s="334" t="s">
        <v>2114</v>
      </c>
      <c r="ER336" s="334" t="s">
        <v>358</v>
      </c>
      <c r="ES336" s="334" t="s">
        <v>373</v>
      </c>
      <c r="ET336" s="334">
        <v>2025.03</v>
      </c>
      <c r="EU336" s="334" t="s">
        <v>1382</v>
      </c>
      <c r="EV336" s="334">
        <v>23927.361000000001</v>
      </c>
    </row>
    <row r="337" spans="9:152" ht="13">
      <c r="I337" s="115" t="s">
        <v>1516</v>
      </c>
      <c r="J337" s="115" t="s">
        <v>1366</v>
      </c>
      <c r="K337" s="183">
        <v>3</v>
      </c>
      <c r="AI337" s="115" t="s">
        <v>1416</v>
      </c>
      <c r="AJ337" t="s">
        <v>2114</v>
      </c>
      <c r="AK337" s="115">
        <v>0</v>
      </c>
      <c r="AL337" s="115" t="s">
        <v>28</v>
      </c>
      <c r="AM337" s="115" t="s">
        <v>1848</v>
      </c>
      <c r="AN337" s="115" t="s">
        <v>1570</v>
      </c>
      <c r="AO337" s="115" t="s">
        <v>379</v>
      </c>
      <c r="AT337" s="115" t="s">
        <v>1416</v>
      </c>
      <c r="AU337" s="115" t="s">
        <v>2114</v>
      </c>
      <c r="AV337" s="115">
        <v>0</v>
      </c>
      <c r="AW337" s="115" t="s">
        <v>494</v>
      </c>
      <c r="AX337" s="115" t="s">
        <v>28</v>
      </c>
      <c r="AY337" s="115" t="s">
        <v>1849</v>
      </c>
      <c r="AZ337" s="115" t="s">
        <v>1953</v>
      </c>
      <c r="BA337" s="115"/>
      <c r="BB337" s="115"/>
      <c r="BC337" s="115"/>
      <c r="BD337" s="115"/>
      <c r="BE337" s="115"/>
      <c r="BF337" s="115"/>
      <c r="BG337" s="115"/>
      <c r="BH337" s="115"/>
      <c r="BI337" s="115"/>
      <c r="BJ337" s="115"/>
      <c r="BK337" s="115">
        <v>2.8808999999999996</v>
      </c>
      <c r="BL337" s="115"/>
      <c r="BM337" s="115"/>
      <c r="BN337" s="115"/>
      <c r="BO337" s="115"/>
      <c r="BP337" s="115"/>
      <c r="DA337" s="115"/>
      <c r="DB337" s="115"/>
      <c r="DR337" s="214"/>
      <c r="DY337" s="115"/>
      <c r="DZ337" s="334"/>
      <c r="EA337" s="334"/>
      <c r="EB337" s="334"/>
      <c r="EC337" s="334"/>
      <c r="ED337" s="187"/>
      <c r="EE337" s="330"/>
      <c r="EH337" s="334"/>
      <c r="EI337" s="334"/>
      <c r="EM337"/>
      <c r="EO337" s="115"/>
      <c r="EP337" s="334" t="s">
        <v>1415</v>
      </c>
      <c r="EQ337" s="334" t="s">
        <v>2114</v>
      </c>
      <c r="ER337" s="334" t="s">
        <v>358</v>
      </c>
      <c r="ES337" s="334" t="s">
        <v>380</v>
      </c>
      <c r="ET337" s="334">
        <v>2023.47</v>
      </c>
      <c r="EU337" s="334" t="s">
        <v>397</v>
      </c>
      <c r="EV337" s="334">
        <v>13411.4337</v>
      </c>
    </row>
    <row r="338" spans="9:152" ht="13">
      <c r="I338" s="115" t="s">
        <v>1516</v>
      </c>
      <c r="J338" s="115" t="s">
        <v>1357</v>
      </c>
      <c r="K338" s="183">
        <v>8876.34943795035</v>
      </c>
      <c r="AI338" s="115" t="s">
        <v>1416</v>
      </c>
      <c r="AJ338" t="s">
        <v>2114</v>
      </c>
      <c r="AK338" s="115">
        <v>0</v>
      </c>
      <c r="AL338" s="115" t="s">
        <v>28</v>
      </c>
      <c r="AM338" s="115" t="s">
        <v>1832</v>
      </c>
      <c r="AN338" s="115" t="s">
        <v>1570</v>
      </c>
      <c r="AO338" s="115" t="s">
        <v>379</v>
      </c>
      <c r="AT338" s="115" t="s">
        <v>1415</v>
      </c>
      <c r="AU338" s="115" t="s">
        <v>2114</v>
      </c>
      <c r="AV338" s="115">
        <v>15</v>
      </c>
      <c r="AW338" s="115" t="s">
        <v>494</v>
      </c>
      <c r="AX338" s="115" t="s">
        <v>28</v>
      </c>
      <c r="AY338" s="115" t="s">
        <v>1849</v>
      </c>
      <c r="AZ338" s="115" t="s">
        <v>1893</v>
      </c>
      <c r="BA338" s="115"/>
      <c r="BB338" s="115"/>
      <c r="BC338" s="115">
        <v>16.490000000000002</v>
      </c>
      <c r="BD338" s="115"/>
      <c r="BE338" s="115"/>
      <c r="BF338" s="115"/>
      <c r="BG338" s="115"/>
      <c r="BH338" s="115">
        <v>52.379999999999995</v>
      </c>
      <c r="BI338" s="115">
        <v>186.24</v>
      </c>
      <c r="BJ338" s="115"/>
      <c r="BK338" s="115"/>
      <c r="BL338" s="115"/>
      <c r="BM338" s="115"/>
      <c r="BN338" s="115"/>
      <c r="BO338" s="115"/>
      <c r="BP338" s="115"/>
      <c r="DA338" s="115"/>
      <c r="DB338" s="115"/>
      <c r="DR338" s="214"/>
      <c r="DY338" s="115"/>
      <c r="DZ338" s="334"/>
      <c r="EA338" s="334"/>
      <c r="EB338" s="334"/>
      <c r="EC338" s="334"/>
      <c r="ED338" s="187"/>
      <c r="EE338" s="330"/>
      <c r="EH338" s="334"/>
      <c r="EI338" s="334"/>
      <c r="EM338"/>
      <c r="EO338" s="115"/>
      <c r="EP338" s="334" t="s">
        <v>1415</v>
      </c>
      <c r="EQ338" s="334" t="s">
        <v>2114</v>
      </c>
      <c r="ER338" s="334" t="s">
        <v>358</v>
      </c>
      <c r="ES338" s="334" t="s">
        <v>380</v>
      </c>
      <c r="ET338" s="334">
        <v>2023.47</v>
      </c>
      <c r="EU338" s="334" t="s">
        <v>1382</v>
      </c>
      <c r="EV338" s="334">
        <v>13411.4337</v>
      </c>
    </row>
    <row r="339" spans="9:152" ht="13">
      <c r="I339" s="115" t="s">
        <v>1518</v>
      </c>
      <c r="J339" s="115" t="s">
        <v>1363</v>
      </c>
      <c r="K339" s="183">
        <v>125</v>
      </c>
      <c r="AI339" s="115" t="s">
        <v>1416</v>
      </c>
      <c r="AJ339" t="s">
        <v>2114</v>
      </c>
      <c r="AK339" s="115">
        <v>0</v>
      </c>
      <c r="AL339" s="115" t="s">
        <v>28</v>
      </c>
      <c r="AM339" s="115" t="s">
        <v>1846</v>
      </c>
      <c r="AN339" s="115" t="s">
        <v>1570</v>
      </c>
      <c r="AO339" s="115" t="s">
        <v>1645</v>
      </c>
      <c r="AT339" s="115" t="s">
        <v>1415</v>
      </c>
      <c r="AU339" s="115" t="s">
        <v>2114</v>
      </c>
      <c r="AV339" s="115">
        <v>15</v>
      </c>
      <c r="AW339" s="115" t="s">
        <v>494</v>
      </c>
      <c r="AX339" s="115" t="s">
        <v>28</v>
      </c>
      <c r="AY339" s="115" t="s">
        <v>1850</v>
      </c>
      <c r="AZ339" s="115" t="s">
        <v>1893</v>
      </c>
      <c r="BA339" s="115"/>
      <c r="BB339" s="115"/>
      <c r="BC339" s="115">
        <v>49.470000000000006</v>
      </c>
      <c r="BD339" s="115"/>
      <c r="BE339" s="115"/>
      <c r="BF339" s="115"/>
      <c r="BG339" s="115"/>
      <c r="BH339" s="115">
        <v>5.82</v>
      </c>
      <c r="BI339" s="115">
        <v>62.08</v>
      </c>
      <c r="BJ339" s="115"/>
      <c r="BK339" s="115"/>
      <c r="BL339" s="115"/>
      <c r="BM339" s="115"/>
      <c r="BN339" s="115"/>
      <c r="BO339" s="115"/>
      <c r="BP339" s="115"/>
      <c r="DA339" s="115"/>
      <c r="DB339" s="115"/>
      <c r="DR339" s="214"/>
      <c r="DY339" s="115"/>
      <c r="DZ339" s="334"/>
      <c r="EA339" s="334"/>
      <c r="EB339" s="334"/>
      <c r="EC339" s="334"/>
      <c r="ED339" s="187"/>
      <c r="EE339" s="330"/>
      <c r="EH339" s="334"/>
      <c r="EI339" s="334"/>
      <c r="EM339"/>
      <c r="EO339" s="115"/>
      <c r="EP339" s="334" t="s">
        <v>1415</v>
      </c>
      <c r="EQ339" s="334" t="s">
        <v>2114</v>
      </c>
      <c r="ER339" s="334" t="s">
        <v>358</v>
      </c>
      <c r="ES339" s="334" t="s">
        <v>380</v>
      </c>
      <c r="ET339" s="334">
        <v>2025.03</v>
      </c>
      <c r="EU339" s="334" t="s">
        <v>397</v>
      </c>
      <c r="EV339" s="334">
        <v>13411.4337</v>
      </c>
    </row>
    <row r="340" spans="9:152" ht="13">
      <c r="I340" s="115" t="s">
        <v>1518</v>
      </c>
      <c r="J340" s="115" t="s">
        <v>1353</v>
      </c>
      <c r="K340" s="183" t="s">
        <v>1519</v>
      </c>
      <c r="AI340" s="115" t="s">
        <v>1416</v>
      </c>
      <c r="AJ340" t="s">
        <v>2114</v>
      </c>
      <c r="AK340" s="115">
        <v>0</v>
      </c>
      <c r="AL340" s="115" t="s">
        <v>28</v>
      </c>
      <c r="AM340" s="115" t="s">
        <v>1832</v>
      </c>
      <c r="AN340" s="115" t="s">
        <v>1570</v>
      </c>
      <c r="AO340" s="115" t="s">
        <v>1645</v>
      </c>
      <c r="AT340" s="115" t="s">
        <v>1416</v>
      </c>
      <c r="AU340" s="115" t="s">
        <v>2114</v>
      </c>
      <c r="AV340" s="115">
        <v>0</v>
      </c>
      <c r="AW340" s="115" t="s">
        <v>494</v>
      </c>
      <c r="AX340" s="115" t="s">
        <v>28</v>
      </c>
      <c r="AY340" s="115" t="s">
        <v>1850</v>
      </c>
      <c r="AZ340" s="115" t="s">
        <v>1953</v>
      </c>
      <c r="BA340" s="115"/>
      <c r="BB340" s="115"/>
      <c r="BC340" s="115"/>
      <c r="BD340" s="115"/>
      <c r="BE340" s="115"/>
      <c r="BF340" s="115"/>
      <c r="BG340" s="115"/>
      <c r="BH340" s="115"/>
      <c r="BI340" s="115"/>
      <c r="BJ340" s="115"/>
      <c r="BK340" s="115">
        <v>0.3201</v>
      </c>
      <c r="BL340" s="115"/>
      <c r="BM340" s="115"/>
      <c r="BN340" s="115"/>
      <c r="BO340" s="115"/>
      <c r="BP340" s="115"/>
      <c r="DA340" s="115"/>
      <c r="DB340" s="115"/>
      <c r="DR340" s="214"/>
      <c r="DY340" s="115"/>
      <c r="DZ340" s="334"/>
      <c r="EA340" s="334"/>
      <c r="EB340" s="334"/>
      <c r="EC340" s="334"/>
      <c r="ED340" s="187"/>
      <c r="EE340" s="330"/>
      <c r="EH340" s="334"/>
      <c r="EI340" s="334"/>
      <c r="EM340"/>
      <c r="EO340" s="115"/>
      <c r="EP340" s="334" t="s">
        <v>1415</v>
      </c>
      <c r="EQ340" s="334" t="s">
        <v>2114</v>
      </c>
      <c r="ER340" s="334" t="s">
        <v>358</v>
      </c>
      <c r="ES340" s="334" t="s">
        <v>380</v>
      </c>
      <c r="ET340" s="334">
        <v>2025.03</v>
      </c>
      <c r="EU340" s="334" t="s">
        <v>1382</v>
      </c>
      <c r="EV340" s="334">
        <v>8614.5000999999993</v>
      </c>
    </row>
    <row r="341" spans="9:152" ht="13">
      <c r="I341" s="115" t="s">
        <v>1518</v>
      </c>
      <c r="J341" s="115" t="s">
        <v>1369</v>
      </c>
      <c r="K341" s="183">
        <v>13</v>
      </c>
      <c r="AI341" s="115" t="s">
        <v>1416</v>
      </c>
      <c r="AJ341" t="s">
        <v>2114</v>
      </c>
      <c r="AK341" s="115">
        <v>0</v>
      </c>
      <c r="AL341" s="115" t="s">
        <v>28</v>
      </c>
      <c r="AM341" s="115" t="s">
        <v>1843</v>
      </c>
      <c r="AN341" s="115" t="s">
        <v>1570</v>
      </c>
      <c r="AO341" s="115" t="s">
        <v>1645</v>
      </c>
      <c r="AT341" s="115" t="s">
        <v>1416</v>
      </c>
      <c r="AU341" s="115" t="s">
        <v>2114</v>
      </c>
      <c r="AV341" s="115">
        <v>0</v>
      </c>
      <c r="AW341" s="115" t="s">
        <v>494</v>
      </c>
      <c r="AX341" s="115" t="s">
        <v>28</v>
      </c>
      <c r="AY341" s="115" t="s">
        <v>1832</v>
      </c>
      <c r="AZ341" s="115" t="s">
        <v>1953</v>
      </c>
      <c r="BA341" s="115"/>
      <c r="BB341" s="115"/>
      <c r="BC341" s="115"/>
      <c r="BD341" s="115"/>
      <c r="BE341" s="115"/>
      <c r="BF341" s="115"/>
      <c r="BG341" s="115"/>
      <c r="BH341" s="115"/>
      <c r="BI341" s="115"/>
      <c r="BJ341" s="115"/>
      <c r="BK341" s="115">
        <v>3.3</v>
      </c>
      <c r="BL341" s="115"/>
      <c r="BM341" s="115"/>
      <c r="BN341" s="115"/>
      <c r="BO341" s="115"/>
      <c r="BP341" s="115"/>
      <c r="DA341" s="115"/>
      <c r="DB341" s="115"/>
      <c r="DR341" s="214"/>
      <c r="DY341" s="115"/>
      <c r="DZ341" s="334"/>
      <c r="EA341" s="334"/>
      <c r="EB341" s="334"/>
      <c r="EC341" s="334"/>
      <c r="ED341" s="187"/>
      <c r="EE341" s="330"/>
      <c r="EH341" s="334"/>
      <c r="EI341" s="334"/>
      <c r="EM341"/>
      <c r="EO341" s="115"/>
      <c r="EP341" s="334" t="s">
        <v>1415</v>
      </c>
      <c r="EQ341" s="334" t="s">
        <v>2114</v>
      </c>
      <c r="ER341" s="334" t="s">
        <v>358</v>
      </c>
      <c r="ES341" s="334" t="s">
        <v>372</v>
      </c>
      <c r="ET341" s="334">
        <v>2024.48</v>
      </c>
      <c r="EU341" s="334" t="s">
        <v>397</v>
      </c>
      <c r="EV341" s="334">
        <v>0</v>
      </c>
    </row>
    <row r="342" spans="9:152" ht="13">
      <c r="I342" s="115" t="s">
        <v>1518</v>
      </c>
      <c r="J342" s="115" t="s">
        <v>1355</v>
      </c>
      <c r="K342" s="183" t="s">
        <v>1520</v>
      </c>
      <c r="AI342" s="115" t="s">
        <v>1416</v>
      </c>
      <c r="AJ342" t="s">
        <v>2114</v>
      </c>
      <c r="AK342" s="115">
        <v>0</v>
      </c>
      <c r="AL342" s="115" t="s">
        <v>28</v>
      </c>
      <c r="AM342" s="115" t="s">
        <v>1849</v>
      </c>
      <c r="AN342" s="115" t="s">
        <v>1570</v>
      </c>
      <c r="AO342" s="115" t="s">
        <v>1645</v>
      </c>
      <c r="AT342" s="115" t="s">
        <v>1415</v>
      </c>
      <c r="AU342" s="115" t="s">
        <v>2114</v>
      </c>
      <c r="AV342" s="115">
        <v>15</v>
      </c>
      <c r="AW342" s="115" t="s">
        <v>494</v>
      </c>
      <c r="AX342" s="115" t="s">
        <v>28</v>
      </c>
      <c r="AY342" s="115" t="s">
        <v>1832</v>
      </c>
      <c r="AZ342" s="115" t="s">
        <v>1893</v>
      </c>
      <c r="BA342" s="115"/>
      <c r="BB342" s="115"/>
      <c r="BC342" s="115">
        <v>68.000000000000014</v>
      </c>
      <c r="BD342" s="115"/>
      <c r="BE342" s="115"/>
      <c r="BF342" s="115"/>
      <c r="BG342" s="115"/>
      <c r="BH342" s="115">
        <v>60</v>
      </c>
      <c r="BI342" s="115">
        <v>256</v>
      </c>
      <c r="BJ342" s="115"/>
      <c r="BK342" s="115"/>
      <c r="BL342" s="115"/>
      <c r="BM342" s="115"/>
      <c r="BN342" s="115"/>
      <c r="BO342" s="115"/>
      <c r="BP342" s="115"/>
      <c r="DA342" s="115"/>
      <c r="DB342" s="115"/>
      <c r="DR342" s="214"/>
      <c r="DY342" s="115"/>
      <c r="DZ342" s="334"/>
      <c r="EA342" s="334"/>
      <c r="EB342" s="334"/>
      <c r="EC342" s="334"/>
      <c r="ED342" s="187"/>
      <c r="EE342" s="330"/>
      <c r="EH342" s="334"/>
      <c r="EI342" s="334"/>
      <c r="EM342"/>
      <c r="EO342" s="115"/>
      <c r="EP342" s="334" t="s">
        <v>1415</v>
      </c>
      <c r="EQ342" s="334" t="s">
        <v>2114</v>
      </c>
      <c r="ER342" s="334" t="s">
        <v>358</v>
      </c>
      <c r="ES342" s="334" t="s">
        <v>372</v>
      </c>
      <c r="ET342" s="334">
        <v>2024.48</v>
      </c>
      <c r="EU342" s="334" t="s">
        <v>1382</v>
      </c>
      <c r="EV342" s="334">
        <v>166.3</v>
      </c>
    </row>
    <row r="343" spans="9:152" ht="13">
      <c r="I343" s="115" t="s">
        <v>1518</v>
      </c>
      <c r="J343" s="115" t="s">
        <v>1361</v>
      </c>
      <c r="K343" s="183">
        <v>69.23</v>
      </c>
      <c r="AI343" s="115" t="s">
        <v>1416</v>
      </c>
      <c r="AJ343" t="s">
        <v>2114</v>
      </c>
      <c r="AK343" s="115">
        <v>0</v>
      </c>
      <c r="AL343" s="115" t="s">
        <v>28</v>
      </c>
      <c r="AM343" s="115" t="s">
        <v>1848</v>
      </c>
      <c r="AN343" s="115" t="s">
        <v>1570</v>
      </c>
      <c r="AO343" s="115" t="s">
        <v>1645</v>
      </c>
      <c r="AT343" s="115" t="s">
        <v>1415</v>
      </c>
      <c r="AU343" s="115" t="s">
        <v>2114</v>
      </c>
      <c r="AV343" s="115">
        <v>15</v>
      </c>
      <c r="AW343" s="115" t="s">
        <v>494</v>
      </c>
      <c r="AX343" s="115" t="s">
        <v>28</v>
      </c>
      <c r="AY343" s="115" t="s">
        <v>1846</v>
      </c>
      <c r="AZ343" s="115" t="s">
        <v>1894</v>
      </c>
      <c r="BA343" s="115"/>
      <c r="BB343" s="115"/>
      <c r="BC343" s="115">
        <v>54.781234999999995</v>
      </c>
      <c r="BD343" s="115"/>
      <c r="BE343" s="115"/>
      <c r="BF343" s="115"/>
      <c r="BG343" s="115"/>
      <c r="BH343" s="115">
        <v>4382.7614880000001</v>
      </c>
      <c r="BI343" s="115">
        <v>433.33100999999999</v>
      </c>
      <c r="BJ343" s="115"/>
      <c r="BK343" s="115"/>
      <c r="BL343" s="115"/>
      <c r="BM343" s="115"/>
      <c r="BN343" s="115"/>
      <c r="BO343" s="115"/>
      <c r="BP343" s="115"/>
      <c r="DA343" s="115"/>
      <c r="DB343" s="115"/>
      <c r="DR343" s="214"/>
      <c r="DY343" s="115"/>
      <c r="DZ343" s="334"/>
      <c r="EA343" s="334"/>
      <c r="EB343" s="334"/>
      <c r="EC343" s="334"/>
      <c r="ED343" s="187"/>
      <c r="EE343" s="330"/>
      <c r="EH343" s="334"/>
      <c r="EI343" s="334"/>
      <c r="EM343"/>
      <c r="EO343" s="115"/>
      <c r="EP343" s="334" t="s">
        <v>1415</v>
      </c>
      <c r="EQ343" s="334" t="s">
        <v>2114</v>
      </c>
      <c r="ER343" s="334" t="s">
        <v>291</v>
      </c>
      <c r="ES343" s="334" t="s">
        <v>2164</v>
      </c>
      <c r="ET343" s="334">
        <v>2023.47</v>
      </c>
      <c r="EU343" s="334" t="s">
        <v>397</v>
      </c>
      <c r="EV343" s="334">
        <v>601239.14560000005</v>
      </c>
    </row>
    <row r="344" spans="9:152" ht="13">
      <c r="I344" s="115" t="s">
        <v>1518</v>
      </c>
      <c r="J344" s="115" t="s">
        <v>1364</v>
      </c>
      <c r="K344" s="183">
        <v>300</v>
      </c>
      <c r="AI344" s="115" t="s">
        <v>1416</v>
      </c>
      <c r="AJ344" t="s">
        <v>2114</v>
      </c>
      <c r="AK344" s="115">
        <v>0</v>
      </c>
      <c r="AL344" s="115" t="s">
        <v>28</v>
      </c>
      <c r="AM344" s="115" t="s">
        <v>1850</v>
      </c>
      <c r="AN344" s="115" t="s">
        <v>1570</v>
      </c>
      <c r="AO344" s="115" t="s">
        <v>1645</v>
      </c>
      <c r="AT344" s="115" t="s">
        <v>1415</v>
      </c>
      <c r="AU344" s="115" t="s">
        <v>2114</v>
      </c>
      <c r="AV344" s="115">
        <v>15</v>
      </c>
      <c r="AW344" s="115" t="s">
        <v>494</v>
      </c>
      <c r="AX344" s="115" t="s">
        <v>28</v>
      </c>
      <c r="AY344" s="115" t="s">
        <v>1848</v>
      </c>
      <c r="AZ344" s="115" t="s">
        <v>1894</v>
      </c>
      <c r="BA344" s="115"/>
      <c r="BB344" s="115"/>
      <c r="BC344" s="115">
        <v>323.05292250000002</v>
      </c>
      <c r="BD344" s="115"/>
      <c r="BE344" s="115"/>
      <c r="BF344" s="115"/>
      <c r="BG344" s="115"/>
      <c r="BH344" s="115">
        <v>354.69547680000005</v>
      </c>
      <c r="BI344" s="115">
        <v>195.29992124999998</v>
      </c>
      <c r="BJ344" s="115"/>
      <c r="BK344" s="115"/>
      <c r="BL344" s="115"/>
      <c r="BM344" s="115"/>
      <c r="BN344" s="115"/>
      <c r="BO344" s="115"/>
      <c r="BP344" s="115"/>
      <c r="DA344" s="115"/>
      <c r="DB344" s="115"/>
      <c r="DR344" s="214"/>
      <c r="DY344" s="115"/>
      <c r="DZ344" s="334"/>
      <c r="EA344" s="334"/>
      <c r="EB344" s="334"/>
      <c r="EC344" s="334"/>
      <c r="ED344" s="187"/>
      <c r="EE344" s="330"/>
      <c r="EH344" s="334"/>
      <c r="EI344" s="334"/>
      <c r="EM344"/>
      <c r="EO344" s="115"/>
      <c r="EP344" s="334" t="s">
        <v>1415</v>
      </c>
      <c r="EQ344" s="334" t="s">
        <v>2114</v>
      </c>
      <c r="ER344" s="334" t="s">
        <v>291</v>
      </c>
      <c r="ES344" s="334" t="s">
        <v>2164</v>
      </c>
      <c r="ET344" s="334">
        <v>2023.47</v>
      </c>
      <c r="EU344" s="334" t="s">
        <v>1382</v>
      </c>
      <c r="EV344" s="334">
        <v>601239.14560000005</v>
      </c>
    </row>
    <row r="345" spans="9:152" ht="13">
      <c r="I345" s="115" t="s">
        <v>1518</v>
      </c>
      <c r="J345" s="115" t="s">
        <v>1367</v>
      </c>
      <c r="K345" s="183">
        <v>8</v>
      </c>
      <c r="AI345" s="115" t="s">
        <v>1416</v>
      </c>
      <c r="AJ345" t="s">
        <v>2114</v>
      </c>
      <c r="AK345" s="115">
        <v>0</v>
      </c>
      <c r="AL345" s="115" t="s">
        <v>28</v>
      </c>
      <c r="AM345" s="115" t="s">
        <v>1846</v>
      </c>
      <c r="AN345" s="115" t="s">
        <v>1570</v>
      </c>
      <c r="AO345" s="115" t="s">
        <v>1646</v>
      </c>
      <c r="AT345" s="115" t="s">
        <v>1415</v>
      </c>
      <c r="AU345" s="115" t="s">
        <v>2114</v>
      </c>
      <c r="AV345" s="115">
        <v>15</v>
      </c>
      <c r="AW345" s="115" t="s">
        <v>494</v>
      </c>
      <c r="AX345" s="115" t="s">
        <v>28</v>
      </c>
      <c r="AY345" s="115" t="s">
        <v>1843</v>
      </c>
      <c r="AZ345" s="115" t="s">
        <v>1894</v>
      </c>
      <c r="BA345" s="115"/>
      <c r="BB345" s="115"/>
      <c r="BC345" s="115">
        <v>374.46742268041243</v>
      </c>
      <c r="BD345" s="115"/>
      <c r="BE345" s="115"/>
      <c r="BF345" s="115"/>
      <c r="BG345" s="115"/>
      <c r="BH345" s="115">
        <v>4449.6297938144326</v>
      </c>
      <c r="BI345" s="115">
        <v>635.87628865979377</v>
      </c>
      <c r="BJ345" s="115"/>
      <c r="BK345" s="115"/>
      <c r="BL345" s="115"/>
      <c r="BM345" s="115"/>
      <c r="BN345" s="115"/>
      <c r="BO345" s="115"/>
      <c r="BP345" s="115"/>
      <c r="DA345" s="115"/>
      <c r="DB345" s="115"/>
      <c r="DR345" s="214"/>
      <c r="DY345" s="115"/>
      <c r="DZ345" s="334"/>
      <c r="EA345" s="334"/>
      <c r="EB345" s="334"/>
      <c r="EC345" s="334"/>
      <c r="ED345" s="187"/>
      <c r="EE345" s="330"/>
      <c r="EH345" s="334"/>
      <c r="EI345" s="334"/>
      <c r="EM345"/>
      <c r="EO345" s="115"/>
      <c r="EP345" s="334" t="s">
        <v>1415</v>
      </c>
      <c r="EQ345" s="334" t="s">
        <v>2114</v>
      </c>
      <c r="ER345" s="334" t="s">
        <v>291</v>
      </c>
      <c r="ES345" s="334" t="s">
        <v>2164</v>
      </c>
      <c r="ET345" s="334">
        <v>2024.44</v>
      </c>
      <c r="EU345" s="334" t="s">
        <v>397</v>
      </c>
      <c r="EV345" s="334">
        <v>601239.14560000005</v>
      </c>
    </row>
    <row r="346" spans="9:152" ht="13">
      <c r="I346" s="115" t="s">
        <v>1518</v>
      </c>
      <c r="J346" s="115" t="s">
        <v>1362</v>
      </c>
      <c r="K346" s="183">
        <v>95</v>
      </c>
      <c r="AI346" s="115" t="s">
        <v>1416</v>
      </c>
      <c r="AJ346" t="s">
        <v>2114</v>
      </c>
      <c r="AK346" s="115">
        <v>0</v>
      </c>
      <c r="AL346" s="115" t="s">
        <v>28</v>
      </c>
      <c r="AM346" s="115" t="s">
        <v>1843</v>
      </c>
      <c r="AN346" s="115" t="s">
        <v>1570</v>
      </c>
      <c r="AO346" s="115" t="s">
        <v>1646</v>
      </c>
      <c r="AT346" s="115" t="s">
        <v>1415</v>
      </c>
      <c r="AU346" s="115" t="s">
        <v>2114</v>
      </c>
      <c r="AV346" s="115">
        <v>15</v>
      </c>
      <c r="AW346" s="115" t="s">
        <v>494</v>
      </c>
      <c r="AX346" s="115" t="s">
        <v>28</v>
      </c>
      <c r="AY346" s="115" t="s">
        <v>1849</v>
      </c>
      <c r="AZ346" s="115" t="s">
        <v>1894</v>
      </c>
      <c r="BA346" s="115"/>
      <c r="BB346" s="115"/>
      <c r="BC346" s="115">
        <v>2.4249999999999998</v>
      </c>
      <c r="BD346" s="115"/>
      <c r="BE346" s="115"/>
      <c r="BF346" s="115"/>
      <c r="BG346" s="115"/>
      <c r="BH346" s="115">
        <v>73.332000000000008</v>
      </c>
      <c r="BI346" s="115">
        <v>15.2775</v>
      </c>
      <c r="BJ346" s="115"/>
      <c r="BK346" s="115"/>
      <c r="BL346" s="115"/>
      <c r="BM346" s="115"/>
      <c r="BN346" s="115"/>
      <c r="BO346" s="115"/>
      <c r="BP346" s="115"/>
      <c r="DA346" s="115"/>
      <c r="DB346" s="115"/>
      <c r="DR346" s="214"/>
      <c r="DY346" s="115"/>
      <c r="DZ346" s="334"/>
      <c r="EA346" s="334"/>
      <c r="EB346" s="334"/>
      <c r="EC346" s="334"/>
      <c r="ED346" s="187"/>
      <c r="EE346" s="330"/>
      <c r="EH346" s="334"/>
      <c r="EI346" s="334"/>
      <c r="EM346"/>
      <c r="EO346" s="115"/>
      <c r="EP346" s="334" t="s">
        <v>1415</v>
      </c>
      <c r="EQ346" s="334" t="s">
        <v>2114</v>
      </c>
      <c r="ER346" s="334" t="s">
        <v>291</v>
      </c>
      <c r="ES346" s="334" t="s">
        <v>2164</v>
      </c>
      <c r="ET346" s="334">
        <v>2024.44</v>
      </c>
      <c r="EU346" s="334" t="s">
        <v>1382</v>
      </c>
      <c r="EV346" s="334">
        <v>601239.14560000005</v>
      </c>
    </row>
    <row r="347" spans="9:152" ht="13">
      <c r="I347" s="115" t="s">
        <v>1518</v>
      </c>
      <c r="J347" s="115" t="s">
        <v>1368</v>
      </c>
      <c r="K347" s="183">
        <v>11.5</v>
      </c>
      <c r="AI347" s="115" t="s">
        <v>1416</v>
      </c>
      <c r="AJ347" t="s">
        <v>2114</v>
      </c>
      <c r="AK347" s="115">
        <v>0</v>
      </c>
      <c r="AL347" s="115" t="s">
        <v>28</v>
      </c>
      <c r="AM347" s="115" t="s">
        <v>1846</v>
      </c>
      <c r="AN347" s="115" t="s">
        <v>1570</v>
      </c>
      <c r="AO347" s="115" t="s">
        <v>1647</v>
      </c>
      <c r="AT347" s="115" t="s">
        <v>1415</v>
      </c>
      <c r="AU347" s="115" t="s">
        <v>2114</v>
      </c>
      <c r="AV347" s="115">
        <v>15</v>
      </c>
      <c r="AW347" s="115" t="s">
        <v>494</v>
      </c>
      <c r="AX347" s="115" t="s">
        <v>28</v>
      </c>
      <c r="AY347" s="115" t="s">
        <v>1850</v>
      </c>
      <c r="AZ347" s="115" t="s">
        <v>1894</v>
      </c>
      <c r="BA347" s="115"/>
      <c r="BB347" s="115"/>
      <c r="BC347" s="115">
        <v>7.2749999999999995</v>
      </c>
      <c r="BD347" s="115"/>
      <c r="BE347" s="115"/>
      <c r="BF347" s="115"/>
      <c r="BG347" s="115"/>
      <c r="BH347" s="115">
        <v>8.1480000000000015</v>
      </c>
      <c r="BI347" s="115">
        <v>5.0925000000000002</v>
      </c>
      <c r="BJ347" s="115"/>
      <c r="BK347" s="115"/>
      <c r="BL347" s="115"/>
      <c r="BM347" s="115"/>
      <c r="BN347" s="115"/>
      <c r="BO347" s="115"/>
      <c r="BP347" s="115"/>
      <c r="DA347" s="115"/>
      <c r="DB347" s="115"/>
      <c r="DR347" s="214"/>
      <c r="DY347" s="115"/>
      <c r="DZ347" s="334"/>
      <c r="EA347" s="334"/>
      <c r="EB347" s="334"/>
      <c r="EC347" s="334"/>
      <c r="ED347" s="187"/>
      <c r="EE347" s="330"/>
      <c r="EH347" s="334"/>
      <c r="EI347" s="334"/>
      <c r="EM347"/>
      <c r="EO347" s="115"/>
      <c r="EP347" s="334" t="s">
        <v>1415</v>
      </c>
      <c r="EQ347" s="334" t="s">
        <v>2114</v>
      </c>
      <c r="ER347" s="334" t="s">
        <v>291</v>
      </c>
      <c r="ES347" s="334" t="s">
        <v>2164</v>
      </c>
      <c r="ET347" s="334">
        <v>2024.48</v>
      </c>
      <c r="EU347" s="334" t="s">
        <v>397</v>
      </c>
      <c r="EV347" s="334">
        <v>601239.14560000005</v>
      </c>
    </row>
    <row r="348" spans="9:152" ht="13">
      <c r="I348" s="115" t="s">
        <v>1518</v>
      </c>
      <c r="J348" s="115" t="s">
        <v>1360</v>
      </c>
      <c r="K348" s="183">
        <v>0.1875</v>
      </c>
      <c r="AI348" s="115" t="s">
        <v>1416</v>
      </c>
      <c r="AJ348" t="s">
        <v>2114</v>
      </c>
      <c r="AK348" s="115">
        <v>0</v>
      </c>
      <c r="AL348" s="115" t="s">
        <v>28</v>
      </c>
      <c r="AM348" s="115" t="s">
        <v>1843</v>
      </c>
      <c r="AN348" s="115" t="s">
        <v>1570</v>
      </c>
      <c r="AO348" s="115" t="s">
        <v>1647</v>
      </c>
      <c r="AT348" s="115" t="s">
        <v>1415</v>
      </c>
      <c r="AU348" s="115" t="s">
        <v>2114</v>
      </c>
      <c r="AV348" s="115">
        <v>15</v>
      </c>
      <c r="AW348" s="115" t="s">
        <v>494</v>
      </c>
      <c r="AX348" s="115" t="s">
        <v>28</v>
      </c>
      <c r="AY348" s="115" t="s">
        <v>1832</v>
      </c>
      <c r="AZ348" s="115" t="s">
        <v>1894</v>
      </c>
      <c r="BA348" s="115"/>
      <c r="BB348" s="115"/>
      <c r="BC348" s="115">
        <v>10</v>
      </c>
      <c r="BD348" s="115"/>
      <c r="BE348" s="115"/>
      <c r="BF348" s="115"/>
      <c r="BG348" s="115"/>
      <c r="BH348" s="115">
        <v>84</v>
      </c>
      <c r="BI348" s="115">
        <v>21</v>
      </c>
      <c r="BJ348" s="115"/>
      <c r="BK348" s="115"/>
      <c r="BL348" s="115"/>
      <c r="BM348" s="115"/>
      <c r="BN348" s="115"/>
      <c r="BO348" s="115"/>
      <c r="BP348" s="115"/>
      <c r="DA348" s="115"/>
      <c r="DB348" s="115"/>
      <c r="DR348" s="214"/>
      <c r="DY348" s="115"/>
      <c r="DZ348" s="334"/>
      <c r="EA348" s="334"/>
      <c r="EB348" s="334"/>
      <c r="EC348" s="334"/>
      <c r="ED348" s="187"/>
      <c r="EE348" s="330"/>
      <c r="EH348" s="334"/>
      <c r="EI348" s="334"/>
      <c r="EM348"/>
      <c r="EO348" s="115"/>
      <c r="EP348" s="334" t="s">
        <v>1415</v>
      </c>
      <c r="EQ348" s="334" t="s">
        <v>2114</v>
      </c>
      <c r="ER348" s="334" t="s">
        <v>291</v>
      </c>
      <c r="ES348" s="334" t="s">
        <v>2164</v>
      </c>
      <c r="ET348" s="334">
        <v>2024.48</v>
      </c>
      <c r="EU348" s="334" t="s">
        <v>1382</v>
      </c>
      <c r="EV348" s="334">
        <v>501239.14559999999</v>
      </c>
    </row>
    <row r="349" spans="9:152" ht="13">
      <c r="I349" s="115" t="s">
        <v>1518</v>
      </c>
      <c r="J349" s="115" t="s">
        <v>1358</v>
      </c>
      <c r="K349" s="183" t="s">
        <v>375</v>
      </c>
      <c r="AI349" s="115" t="s">
        <v>1416</v>
      </c>
      <c r="AJ349" t="s">
        <v>2114</v>
      </c>
      <c r="AK349" s="115">
        <v>0</v>
      </c>
      <c r="AL349" s="115" t="s">
        <v>28</v>
      </c>
      <c r="AM349" s="115" t="s">
        <v>1846</v>
      </c>
      <c r="AN349" s="115" t="s">
        <v>1570</v>
      </c>
      <c r="AO349" s="115" t="s">
        <v>1639</v>
      </c>
      <c r="AT349" s="115" t="s">
        <v>1416</v>
      </c>
      <c r="AU349" s="115" t="s">
        <v>2114</v>
      </c>
      <c r="AV349" s="115">
        <v>0</v>
      </c>
      <c r="AW349" s="115" t="s">
        <v>494</v>
      </c>
      <c r="AX349" s="115" t="s">
        <v>28</v>
      </c>
      <c r="AY349" s="115" t="s">
        <v>1846</v>
      </c>
      <c r="AZ349" s="115" t="s">
        <v>1954</v>
      </c>
      <c r="BA349" s="115"/>
      <c r="BB349" s="115"/>
      <c r="BC349" s="115">
        <v>24.953249999999997</v>
      </c>
      <c r="BD349" s="115"/>
      <c r="BE349" s="115"/>
      <c r="BF349" s="115"/>
      <c r="BG349" s="115"/>
      <c r="BH349" s="115">
        <v>758.53296</v>
      </c>
      <c r="BI349" s="115">
        <v>75.194400000000002</v>
      </c>
      <c r="BJ349" s="115"/>
      <c r="BK349" s="115"/>
      <c r="BL349" s="115"/>
      <c r="BM349" s="115"/>
      <c r="BN349" s="115"/>
      <c r="BO349" s="115"/>
      <c r="BP349" s="115"/>
      <c r="DA349" s="115"/>
      <c r="DB349" s="115"/>
      <c r="DR349" s="214"/>
      <c r="DY349" s="115"/>
      <c r="DZ349" s="334"/>
      <c r="EA349" s="334"/>
      <c r="EB349" s="334"/>
      <c r="EC349" s="334"/>
      <c r="ED349" s="187"/>
      <c r="EE349" s="330"/>
      <c r="EH349" s="334"/>
      <c r="EI349" s="334"/>
      <c r="EM349"/>
      <c r="EO349" s="115"/>
      <c r="EP349" s="334" t="s">
        <v>1415</v>
      </c>
      <c r="EQ349" s="334" t="s">
        <v>2114</v>
      </c>
      <c r="ER349" s="334" t="s">
        <v>1478</v>
      </c>
      <c r="ES349" s="334" t="s">
        <v>2164</v>
      </c>
      <c r="ET349" s="334">
        <v>2023.47</v>
      </c>
      <c r="EU349" s="334" t="s">
        <v>397</v>
      </c>
      <c r="EV349" s="334">
        <v>482632</v>
      </c>
    </row>
    <row r="350" spans="9:152" ht="13">
      <c r="I350" s="115" t="s">
        <v>1518</v>
      </c>
      <c r="J350" s="115" t="s">
        <v>1354</v>
      </c>
      <c r="K350" s="183">
        <v>45112</v>
      </c>
      <c r="AI350" s="115" t="s">
        <v>1416</v>
      </c>
      <c r="AJ350" t="s">
        <v>2114</v>
      </c>
      <c r="AK350" s="115">
        <v>0</v>
      </c>
      <c r="AL350" s="115" t="s">
        <v>28</v>
      </c>
      <c r="AM350" s="115" t="s">
        <v>1843</v>
      </c>
      <c r="AN350" s="115" t="s">
        <v>1570</v>
      </c>
      <c r="AO350" s="115" t="s">
        <v>1639</v>
      </c>
      <c r="AT350" s="115" t="s">
        <v>1415</v>
      </c>
      <c r="AU350" s="115" t="s">
        <v>2114</v>
      </c>
      <c r="AV350" s="115">
        <v>15</v>
      </c>
      <c r="AW350" s="115" t="s">
        <v>494</v>
      </c>
      <c r="AX350" s="115" t="s">
        <v>28</v>
      </c>
      <c r="AY350" s="115" t="s">
        <v>1846</v>
      </c>
      <c r="AZ350" s="115" t="s">
        <v>1895</v>
      </c>
      <c r="BA350" s="115"/>
      <c r="BB350" s="115"/>
      <c r="BC350" s="115">
        <v>1314.7496399999998</v>
      </c>
      <c r="BD350" s="115"/>
      <c r="BE350" s="115"/>
      <c r="BF350" s="115"/>
      <c r="BG350" s="115"/>
      <c r="BH350" s="115">
        <v>9868.1171200000008</v>
      </c>
      <c r="BI350" s="115">
        <v>1650.7847999999999</v>
      </c>
      <c r="BJ350" s="115"/>
      <c r="BK350" s="115"/>
      <c r="BL350" s="115"/>
      <c r="BM350" s="115">
        <v>2816</v>
      </c>
      <c r="BN350" s="115"/>
      <c r="BO350" s="115"/>
      <c r="BP350" s="115"/>
      <c r="DA350" s="115"/>
      <c r="DB350" s="115"/>
      <c r="DR350" s="214"/>
      <c r="DY350" s="115"/>
      <c r="DZ350" s="334"/>
      <c r="EA350" s="334"/>
      <c r="EB350" s="334"/>
      <c r="EC350" s="334"/>
      <c r="ED350" s="187"/>
      <c r="EE350" s="330"/>
      <c r="EH350" s="334"/>
      <c r="EI350" s="334"/>
      <c r="EM350"/>
      <c r="EO350" s="115"/>
      <c r="EP350" s="334" t="s">
        <v>1415</v>
      </c>
      <c r="EQ350" s="334" t="s">
        <v>2114</v>
      </c>
      <c r="ER350" s="334" t="s">
        <v>1478</v>
      </c>
      <c r="ES350" s="334" t="s">
        <v>2164</v>
      </c>
      <c r="ET350" s="334">
        <v>2023.47</v>
      </c>
      <c r="EU350" s="334" t="s">
        <v>1382</v>
      </c>
      <c r="EV350" s="334">
        <v>482632</v>
      </c>
    </row>
    <row r="351" spans="9:152" ht="13">
      <c r="I351" s="115" t="s">
        <v>1518</v>
      </c>
      <c r="J351" s="115" t="s">
        <v>1365</v>
      </c>
      <c r="K351" s="183">
        <v>15</v>
      </c>
      <c r="AI351" s="115" t="s">
        <v>1416</v>
      </c>
      <c r="AJ351" t="s">
        <v>2114</v>
      </c>
      <c r="AK351" s="115">
        <v>0</v>
      </c>
      <c r="AL351" s="115" t="s">
        <v>28</v>
      </c>
      <c r="AM351" s="115" t="s">
        <v>1832</v>
      </c>
      <c r="AN351" s="115" t="s">
        <v>1570</v>
      </c>
      <c r="AO351" s="115" t="s">
        <v>373</v>
      </c>
      <c r="AT351" s="115" t="s">
        <v>1415</v>
      </c>
      <c r="AU351" s="115" t="s">
        <v>2114</v>
      </c>
      <c r="AV351" s="115">
        <v>15</v>
      </c>
      <c r="AW351" s="115" t="s">
        <v>494</v>
      </c>
      <c r="AX351" s="115" t="s">
        <v>28</v>
      </c>
      <c r="AY351" s="115" t="s">
        <v>1848</v>
      </c>
      <c r="AZ351" s="115" t="s">
        <v>1895</v>
      </c>
      <c r="BA351" s="115"/>
      <c r="BB351" s="115"/>
      <c r="BC351" s="115">
        <v>7753.2701400000005</v>
      </c>
      <c r="BD351" s="115"/>
      <c r="BE351" s="115"/>
      <c r="BF351" s="115"/>
      <c r="BG351" s="115"/>
      <c r="BH351" s="115">
        <v>675.61043199999995</v>
      </c>
      <c r="BI351" s="115">
        <v>743.99969999999985</v>
      </c>
      <c r="BJ351" s="115"/>
      <c r="BK351" s="115"/>
      <c r="BL351" s="115"/>
      <c r="BM351" s="115"/>
      <c r="BN351" s="115"/>
      <c r="BO351" s="115"/>
      <c r="BP351" s="115"/>
      <c r="DA351" s="115"/>
      <c r="DB351" s="115"/>
      <c r="DR351" s="214"/>
      <c r="DY351" s="115"/>
      <c r="DZ351" s="334"/>
      <c r="EA351" s="334"/>
      <c r="EB351" s="334"/>
      <c r="EC351" s="334"/>
      <c r="ED351" s="187"/>
      <c r="EE351" s="330"/>
      <c r="EH351" s="334"/>
      <c r="EI351" s="334"/>
      <c r="EM351"/>
      <c r="EO351" s="115"/>
      <c r="EP351" s="334" t="s">
        <v>1415</v>
      </c>
      <c r="EQ351" s="334" t="s">
        <v>2114</v>
      </c>
      <c r="ER351" s="334" t="s">
        <v>1478</v>
      </c>
      <c r="ES351" s="334" t="s">
        <v>2164</v>
      </c>
      <c r="ET351" s="334">
        <v>2024.44</v>
      </c>
      <c r="EU351" s="334" t="s">
        <v>397</v>
      </c>
      <c r="EV351" s="334">
        <v>482632</v>
      </c>
    </row>
    <row r="352" spans="9:152" ht="13">
      <c r="I352" s="115" t="s">
        <v>1518</v>
      </c>
      <c r="J352" s="115" t="s">
        <v>1356</v>
      </c>
      <c r="K352" s="183" t="s">
        <v>1359</v>
      </c>
      <c r="AI352" s="115" t="s">
        <v>1416</v>
      </c>
      <c r="AJ352" t="s">
        <v>2114</v>
      </c>
      <c r="AK352" s="115">
        <v>0</v>
      </c>
      <c r="AL352" s="115" t="s">
        <v>28</v>
      </c>
      <c r="AM352" s="115" t="s">
        <v>1843</v>
      </c>
      <c r="AN352" s="115" t="s">
        <v>1570</v>
      </c>
      <c r="AO352" s="115" t="s">
        <v>373</v>
      </c>
      <c r="AT352" s="115" t="s">
        <v>1416</v>
      </c>
      <c r="AU352" s="115" t="s">
        <v>2114</v>
      </c>
      <c r="AV352" s="115">
        <v>0</v>
      </c>
      <c r="AW352" s="115" t="s">
        <v>494</v>
      </c>
      <c r="AX352" s="115" t="s">
        <v>28</v>
      </c>
      <c r="AY352" s="115" t="s">
        <v>1848</v>
      </c>
      <c r="AZ352" s="115" t="s">
        <v>1954</v>
      </c>
      <c r="BA352" s="115"/>
      <c r="BB352" s="115"/>
      <c r="BC352" s="115">
        <v>149.64675</v>
      </c>
      <c r="BD352" s="115"/>
      <c r="BE352" s="115"/>
      <c r="BF352" s="115"/>
      <c r="BG352" s="115"/>
      <c r="BH352" s="115">
        <v>62.59216</v>
      </c>
      <c r="BI352" s="115">
        <v>34.464100000000002</v>
      </c>
      <c r="BJ352" s="115"/>
      <c r="BK352" s="115"/>
      <c r="BL352" s="115"/>
      <c r="BM352" s="115"/>
      <c r="BN352" s="115"/>
      <c r="BO352" s="115"/>
      <c r="BP352" s="115"/>
      <c r="DA352" s="115"/>
      <c r="DB352" s="115"/>
      <c r="DR352" s="214"/>
      <c r="DY352" s="115"/>
      <c r="DZ352" s="334"/>
      <c r="EA352" s="334"/>
      <c r="EB352" s="334"/>
      <c r="EC352" s="334"/>
      <c r="ED352" s="187"/>
      <c r="EE352" s="330"/>
      <c r="EH352" s="334"/>
      <c r="EI352" s="334"/>
      <c r="EM352"/>
      <c r="EO352" s="115"/>
      <c r="EP352" s="334" t="s">
        <v>1415</v>
      </c>
      <c r="EQ352" s="334" t="s">
        <v>2114</v>
      </c>
      <c r="ER352" s="334" t="s">
        <v>1478</v>
      </c>
      <c r="ES352" s="334" t="s">
        <v>2164</v>
      </c>
      <c r="ET352" s="334">
        <v>2024.44</v>
      </c>
      <c r="EU352" s="334" t="s">
        <v>1382</v>
      </c>
      <c r="EV352" s="334">
        <v>482632</v>
      </c>
    </row>
    <row r="353" spans="9:152" ht="13">
      <c r="I353" s="115" t="s">
        <v>1518</v>
      </c>
      <c r="J353" s="115" t="s">
        <v>1366</v>
      </c>
      <c r="K353" s="183">
        <v>3</v>
      </c>
      <c r="AI353" s="115" t="s">
        <v>1416</v>
      </c>
      <c r="AJ353" t="s">
        <v>2114</v>
      </c>
      <c r="AK353" s="115">
        <v>0</v>
      </c>
      <c r="AL353" s="115" t="s">
        <v>28</v>
      </c>
      <c r="AM353" s="115" t="s">
        <v>1849</v>
      </c>
      <c r="AN353" s="115" t="s">
        <v>1570</v>
      </c>
      <c r="AO353" s="115" t="s">
        <v>373</v>
      </c>
      <c r="AT353" s="115" t="s">
        <v>1415</v>
      </c>
      <c r="AU353" s="115" t="s">
        <v>2114</v>
      </c>
      <c r="AV353" s="115">
        <v>15</v>
      </c>
      <c r="AW353" s="115" t="s">
        <v>494</v>
      </c>
      <c r="AX353" s="115" t="s">
        <v>28</v>
      </c>
      <c r="AY353" s="115" t="s">
        <v>1843</v>
      </c>
      <c r="AZ353" s="115" t="s">
        <v>1895</v>
      </c>
      <c r="BA353" s="115"/>
      <c r="BB353" s="115"/>
      <c r="BC353" s="115">
        <v>8987.2184536082477</v>
      </c>
      <c r="BD353" s="115"/>
      <c r="BE353" s="115"/>
      <c r="BF353" s="115"/>
      <c r="BG353" s="115"/>
      <c r="BH353" s="115">
        <v>9995.4853608247431</v>
      </c>
      <c r="BI353" s="115">
        <v>2422.3856701030932</v>
      </c>
      <c r="BJ353" s="115"/>
      <c r="BK353" s="115"/>
      <c r="BL353" s="115"/>
      <c r="BM353" s="115">
        <v>2816</v>
      </c>
      <c r="BN353" s="115"/>
      <c r="BO353" s="115"/>
      <c r="BP353" s="115"/>
      <c r="DA353" s="115"/>
      <c r="DB353" s="115"/>
      <c r="DR353" s="214"/>
      <c r="DY353" s="115"/>
      <c r="DZ353" s="334"/>
      <c r="EA353" s="334"/>
      <c r="EB353" s="334"/>
      <c r="EC353" s="334"/>
      <c r="ED353" s="187"/>
      <c r="EE353" s="330"/>
      <c r="EH353" s="334"/>
      <c r="EI353" s="334"/>
      <c r="EM353"/>
      <c r="EO353" s="115"/>
      <c r="EP353" s="334" t="s">
        <v>1415</v>
      </c>
      <c r="EQ353" s="334" t="s">
        <v>2114</v>
      </c>
      <c r="ER353" s="334" t="s">
        <v>1478</v>
      </c>
      <c r="ES353" s="334" t="s">
        <v>2164</v>
      </c>
      <c r="ET353" s="334">
        <v>2024.45</v>
      </c>
      <c r="EU353" s="334" t="s">
        <v>397</v>
      </c>
      <c r="EV353" s="334">
        <v>482632</v>
      </c>
    </row>
    <row r="354" spans="9:152" ht="13">
      <c r="I354" s="115" t="s">
        <v>1518</v>
      </c>
      <c r="J354" s="115" t="s">
        <v>1357</v>
      </c>
      <c r="K354" s="183">
        <v>1511.3814337884569</v>
      </c>
      <c r="AI354" s="115" t="s">
        <v>1416</v>
      </c>
      <c r="AJ354" t="s">
        <v>2114</v>
      </c>
      <c r="AK354" s="115">
        <v>0</v>
      </c>
      <c r="AL354" s="115" t="s">
        <v>28</v>
      </c>
      <c r="AM354" s="115" t="s">
        <v>1848</v>
      </c>
      <c r="AN354" s="115" t="s">
        <v>1570</v>
      </c>
      <c r="AO354" s="115" t="s">
        <v>373</v>
      </c>
      <c r="AT354" s="115" t="s">
        <v>1416</v>
      </c>
      <c r="AU354" s="115" t="s">
        <v>2114</v>
      </c>
      <c r="AV354" s="115">
        <v>0</v>
      </c>
      <c r="AW354" s="115" t="s">
        <v>494</v>
      </c>
      <c r="AX354" s="115" t="s">
        <v>28</v>
      </c>
      <c r="AY354" s="115" t="s">
        <v>1843</v>
      </c>
      <c r="AZ354" s="115" t="s">
        <v>1954</v>
      </c>
      <c r="BA354" s="115"/>
      <c r="BB354" s="115"/>
      <c r="BC354" s="115">
        <v>180</v>
      </c>
      <c r="BD354" s="115"/>
      <c r="BE354" s="115"/>
      <c r="BF354" s="115"/>
      <c r="BG354" s="115"/>
      <c r="BH354" s="115">
        <v>839.89597938144334</v>
      </c>
      <c r="BI354" s="115">
        <v>117.51092783505156</v>
      </c>
      <c r="BJ354" s="115"/>
      <c r="BK354" s="115"/>
      <c r="BL354" s="115"/>
      <c r="BM354" s="115"/>
      <c r="BN354" s="115"/>
      <c r="BO354" s="115"/>
      <c r="BP354" s="115"/>
      <c r="DA354" s="115"/>
      <c r="DB354" s="115"/>
      <c r="DR354" s="214"/>
      <c r="DY354" s="115"/>
      <c r="DZ354" s="334"/>
      <c r="EA354" s="334"/>
      <c r="EB354" s="334"/>
      <c r="EC354" s="334"/>
      <c r="ED354" s="187"/>
      <c r="EE354" s="330"/>
      <c r="EH354" s="334"/>
      <c r="EI354" s="334"/>
      <c r="EM354"/>
      <c r="EO354" s="115"/>
      <c r="EP354" s="334" t="s">
        <v>1415</v>
      </c>
      <c r="EQ354" s="334" t="s">
        <v>2114</v>
      </c>
      <c r="ER354" s="334" t="s">
        <v>1478</v>
      </c>
      <c r="ES354" s="334" t="s">
        <v>2164</v>
      </c>
      <c r="ET354" s="334">
        <v>2024.45</v>
      </c>
      <c r="EU354" s="334" t="s">
        <v>1382</v>
      </c>
      <c r="EV354" s="334">
        <v>499102.32</v>
      </c>
    </row>
    <row r="355" spans="9:152" ht="13">
      <c r="I355" s="115" t="s">
        <v>1521</v>
      </c>
      <c r="J355" s="115" t="s">
        <v>1363</v>
      </c>
      <c r="K355" s="183">
        <v>125</v>
      </c>
      <c r="AI355" s="115" t="s">
        <v>1416</v>
      </c>
      <c r="AJ355" t="s">
        <v>2114</v>
      </c>
      <c r="AK355" s="115">
        <v>0</v>
      </c>
      <c r="AL355" s="115" t="s">
        <v>28</v>
      </c>
      <c r="AM355" s="115" t="s">
        <v>1850</v>
      </c>
      <c r="AN355" s="115" t="s">
        <v>1570</v>
      </c>
      <c r="AO355" s="115" t="s">
        <v>373</v>
      </c>
      <c r="AT355" s="115" t="s">
        <v>1416</v>
      </c>
      <c r="AU355" s="115" t="s">
        <v>2114</v>
      </c>
      <c r="AV355" s="115">
        <v>0</v>
      </c>
      <c r="AW355" s="115" t="s">
        <v>494</v>
      </c>
      <c r="AX355" s="115" t="s">
        <v>28</v>
      </c>
      <c r="AY355" s="115" t="s">
        <v>1849</v>
      </c>
      <c r="AZ355" s="115" t="s">
        <v>1954</v>
      </c>
      <c r="BA355" s="115"/>
      <c r="BB355" s="115"/>
      <c r="BC355" s="115">
        <v>1.2124999999999999</v>
      </c>
      <c r="BD355" s="115"/>
      <c r="BE355" s="115"/>
      <c r="BF355" s="115"/>
      <c r="BG355" s="115"/>
      <c r="BH355" s="115">
        <v>13.968</v>
      </c>
      <c r="BI355" s="115">
        <v>2.91</v>
      </c>
      <c r="BJ355" s="115"/>
      <c r="BK355" s="115"/>
      <c r="BL355" s="115"/>
      <c r="BM355" s="115"/>
      <c r="BN355" s="115"/>
      <c r="BO355" s="115"/>
      <c r="BP355" s="115"/>
      <c r="DA355" s="115"/>
      <c r="DB355" s="115"/>
      <c r="DR355" s="214"/>
      <c r="DY355" s="115"/>
      <c r="DZ355" s="334"/>
      <c r="EA355" s="334"/>
      <c r="EB355" s="334"/>
      <c r="EC355" s="334"/>
      <c r="ED355" s="187"/>
      <c r="EE355" s="330"/>
      <c r="EH355" s="334"/>
      <c r="EI355" s="334"/>
      <c r="EM355"/>
      <c r="EO355" s="115"/>
      <c r="EP355" s="334" t="s">
        <v>1415</v>
      </c>
      <c r="EQ355" s="334" t="s">
        <v>2114</v>
      </c>
      <c r="ER355" s="334" t="s">
        <v>1478</v>
      </c>
      <c r="ES355" s="334" t="s">
        <v>2164</v>
      </c>
      <c r="ET355" s="334">
        <v>2024.48</v>
      </c>
      <c r="EU355" s="334" t="s">
        <v>397</v>
      </c>
      <c r="EV355" s="334">
        <v>482632</v>
      </c>
    </row>
    <row r="356" spans="9:152" ht="13">
      <c r="I356" s="115" t="s">
        <v>1521</v>
      </c>
      <c r="J356" s="115" t="s">
        <v>1353</v>
      </c>
      <c r="K356" s="183" t="s">
        <v>1522</v>
      </c>
      <c r="AI356" s="115" t="s">
        <v>1416</v>
      </c>
      <c r="AJ356" t="s">
        <v>2114</v>
      </c>
      <c r="AK356" s="115">
        <v>0</v>
      </c>
      <c r="AL356" s="115" t="s">
        <v>28</v>
      </c>
      <c r="AM356" s="115" t="s">
        <v>1846</v>
      </c>
      <c r="AN356" s="115" t="s">
        <v>1570</v>
      </c>
      <c r="AO356" s="115" t="s">
        <v>373</v>
      </c>
      <c r="AT356" s="115" t="s">
        <v>1415</v>
      </c>
      <c r="AU356" s="115" t="s">
        <v>2114</v>
      </c>
      <c r="AV356" s="115">
        <v>15</v>
      </c>
      <c r="AW356" s="115" t="s">
        <v>494</v>
      </c>
      <c r="AX356" s="115" t="s">
        <v>28</v>
      </c>
      <c r="AY356" s="115" t="s">
        <v>1849</v>
      </c>
      <c r="AZ356" s="115" t="s">
        <v>1895</v>
      </c>
      <c r="BA356" s="115"/>
      <c r="BB356" s="115"/>
      <c r="BC356" s="115">
        <v>58.199999999999996</v>
      </c>
      <c r="BD356" s="115"/>
      <c r="BE356" s="115"/>
      <c r="BF356" s="115"/>
      <c r="BG356" s="115"/>
      <c r="BH356" s="115">
        <v>139.68</v>
      </c>
      <c r="BI356" s="115">
        <v>58.199999999999996</v>
      </c>
      <c r="BJ356" s="115"/>
      <c r="BK356" s="115"/>
      <c r="BL356" s="115"/>
      <c r="BM356" s="115"/>
      <c r="BN356" s="115"/>
      <c r="BO356" s="115"/>
      <c r="BP356" s="115"/>
      <c r="DA356" s="115"/>
      <c r="DB356" s="115"/>
      <c r="DR356" s="214"/>
      <c r="DY356" s="115"/>
      <c r="DZ356" s="334"/>
      <c r="EA356" s="334"/>
      <c r="EB356" s="334"/>
      <c r="EC356" s="334"/>
      <c r="ED356" s="187"/>
      <c r="EE356" s="330"/>
      <c r="EH356" s="334"/>
      <c r="EI356" s="334"/>
      <c r="EM356"/>
      <c r="EO356" s="115"/>
      <c r="EP356" s="334" t="s">
        <v>1415</v>
      </c>
      <c r="EQ356" s="334" t="s">
        <v>2114</v>
      </c>
      <c r="ER356" s="334" t="s">
        <v>1478</v>
      </c>
      <c r="ES356" s="334" t="s">
        <v>2164</v>
      </c>
      <c r="ET356" s="334">
        <v>2024.48</v>
      </c>
      <c r="EU356" s="334" t="s">
        <v>1382</v>
      </c>
      <c r="EV356" s="334">
        <v>515575.24</v>
      </c>
    </row>
    <row r="357" spans="9:152" ht="13">
      <c r="I357" s="115" t="s">
        <v>1521</v>
      </c>
      <c r="J357" s="115" t="s">
        <v>1369</v>
      </c>
      <c r="K357" s="183">
        <v>13</v>
      </c>
      <c r="AI357" s="115" t="s">
        <v>1416</v>
      </c>
      <c r="AJ357" t="s">
        <v>2114</v>
      </c>
      <c r="AK357" s="115">
        <v>0</v>
      </c>
      <c r="AL357" s="115" t="s">
        <v>28</v>
      </c>
      <c r="AM357" s="115" t="s">
        <v>1846</v>
      </c>
      <c r="AN357" s="115" t="s">
        <v>1570</v>
      </c>
      <c r="AO357" s="115" t="s">
        <v>380</v>
      </c>
      <c r="AT357" s="115" t="s">
        <v>1416</v>
      </c>
      <c r="AU357" s="115" t="s">
        <v>2114</v>
      </c>
      <c r="AV357" s="115">
        <v>0</v>
      </c>
      <c r="AW357" s="115" t="s">
        <v>494</v>
      </c>
      <c r="AX357" s="115" t="s">
        <v>28</v>
      </c>
      <c r="AY357" s="115" t="s">
        <v>1850</v>
      </c>
      <c r="AZ357" s="115" t="s">
        <v>1954</v>
      </c>
      <c r="BA357" s="115"/>
      <c r="BB357" s="115"/>
      <c r="BC357" s="115">
        <v>3.6374999999999997</v>
      </c>
      <c r="BD357" s="115"/>
      <c r="BE357" s="115"/>
      <c r="BF357" s="115"/>
      <c r="BG357" s="115"/>
      <c r="BH357" s="115">
        <v>1.552</v>
      </c>
      <c r="BI357" s="115">
        <v>0.97</v>
      </c>
      <c r="BJ357" s="115"/>
      <c r="BK357" s="115"/>
      <c r="BL357" s="115"/>
      <c r="BM357" s="115"/>
      <c r="BN357" s="115"/>
      <c r="BO357" s="115"/>
      <c r="BP357" s="115"/>
      <c r="DA357" s="115"/>
      <c r="DB357" s="115"/>
      <c r="DR357" s="214"/>
      <c r="DY357" s="115"/>
      <c r="DZ357" s="334"/>
      <c r="EA357" s="334"/>
      <c r="EB357" s="334"/>
      <c r="EC357" s="334"/>
      <c r="ED357" s="187"/>
      <c r="EE357" s="330"/>
      <c r="EH357" s="334"/>
      <c r="EI357" s="334"/>
      <c r="EM357"/>
      <c r="EO357" s="115"/>
      <c r="EP357" s="334" t="s">
        <v>1415</v>
      </c>
      <c r="EQ357" s="334" t="s">
        <v>2114</v>
      </c>
      <c r="ER357" s="334" t="s">
        <v>1410</v>
      </c>
      <c r="ES357" s="334" t="s">
        <v>381</v>
      </c>
      <c r="ET357" s="334">
        <v>2024.44</v>
      </c>
      <c r="EU357" s="334" t="s">
        <v>397</v>
      </c>
      <c r="EV357" s="334">
        <v>-690.16150000000005</v>
      </c>
    </row>
    <row r="358" spans="9:152" ht="13">
      <c r="I358" s="115" t="s">
        <v>1521</v>
      </c>
      <c r="J358" s="115" t="s">
        <v>1355</v>
      </c>
      <c r="K358" s="183" t="s">
        <v>1520</v>
      </c>
      <c r="AI358" s="115" t="s">
        <v>1416</v>
      </c>
      <c r="AJ358" t="s">
        <v>2114</v>
      </c>
      <c r="AK358" s="115">
        <v>0</v>
      </c>
      <c r="AL358" s="115" t="s">
        <v>28</v>
      </c>
      <c r="AM358" s="115" t="s">
        <v>1848</v>
      </c>
      <c r="AN358" s="115" t="s">
        <v>1570</v>
      </c>
      <c r="AO358" s="115" t="s">
        <v>380</v>
      </c>
      <c r="AT358" s="115" t="s">
        <v>1415</v>
      </c>
      <c r="AU358" s="115" t="s">
        <v>2114</v>
      </c>
      <c r="AV358" s="115">
        <v>15</v>
      </c>
      <c r="AW358" s="115" t="s">
        <v>494</v>
      </c>
      <c r="AX358" s="115" t="s">
        <v>28</v>
      </c>
      <c r="AY358" s="115" t="s">
        <v>1850</v>
      </c>
      <c r="AZ358" s="115" t="s">
        <v>1895</v>
      </c>
      <c r="BA358" s="115"/>
      <c r="BB358" s="115"/>
      <c r="BC358" s="115">
        <v>174.6</v>
      </c>
      <c r="BD358" s="115"/>
      <c r="BE358" s="115"/>
      <c r="BF358" s="115"/>
      <c r="BG358" s="115"/>
      <c r="BH358" s="115">
        <v>15.52</v>
      </c>
      <c r="BI358" s="115">
        <v>19.399999999999999</v>
      </c>
      <c r="BJ358" s="115"/>
      <c r="BK358" s="115"/>
      <c r="BL358" s="115"/>
      <c r="BM358" s="115"/>
      <c r="BN358" s="115"/>
      <c r="BO358" s="115"/>
      <c r="BP358" s="115"/>
      <c r="DA358" s="115"/>
      <c r="DB358" s="115"/>
      <c r="DR358" s="214"/>
      <c r="DY358" s="115"/>
      <c r="DZ358" s="334"/>
      <c r="EA358" s="334"/>
      <c r="EB358" s="334"/>
      <c r="EC358" s="334"/>
      <c r="ED358" s="187"/>
      <c r="EE358" s="330"/>
      <c r="EH358" s="334"/>
      <c r="EI358" s="334"/>
      <c r="EM358"/>
      <c r="EO358" s="115"/>
      <c r="EP358" s="334" t="s">
        <v>1415</v>
      </c>
      <c r="EQ358" s="334" t="s">
        <v>2114</v>
      </c>
      <c r="ER358" s="334" t="s">
        <v>1410</v>
      </c>
      <c r="ES358" s="334" t="s">
        <v>381</v>
      </c>
      <c r="ET358" s="334">
        <v>2024.44</v>
      </c>
      <c r="EU358" s="334" t="s">
        <v>1382</v>
      </c>
      <c r="EV358" s="334">
        <v>0</v>
      </c>
    </row>
    <row r="359" spans="9:152" ht="13">
      <c r="I359" s="115" t="s">
        <v>1521</v>
      </c>
      <c r="J359" s="115" t="s">
        <v>1361</v>
      </c>
      <c r="K359" s="183">
        <v>69.23</v>
      </c>
      <c r="AI359" s="115" t="s">
        <v>1416</v>
      </c>
      <c r="AJ359" t="s">
        <v>2114</v>
      </c>
      <c r="AK359" s="115">
        <v>0</v>
      </c>
      <c r="AL359" s="115" t="s">
        <v>28</v>
      </c>
      <c r="AM359" s="115" t="s">
        <v>1832</v>
      </c>
      <c r="AN359" s="115" t="s">
        <v>1570</v>
      </c>
      <c r="AO359" s="115" t="s">
        <v>380</v>
      </c>
      <c r="AT359" s="115" t="s">
        <v>1416</v>
      </c>
      <c r="AU359" s="115" t="s">
        <v>2114</v>
      </c>
      <c r="AV359" s="115">
        <v>0</v>
      </c>
      <c r="AW359" s="115" t="s">
        <v>494</v>
      </c>
      <c r="AX359" s="115" t="s">
        <v>28</v>
      </c>
      <c r="AY359" s="115" t="s">
        <v>1832</v>
      </c>
      <c r="AZ359" s="115" t="s">
        <v>1954</v>
      </c>
      <c r="BA359" s="115"/>
      <c r="BB359" s="115"/>
      <c r="BC359" s="115">
        <v>5</v>
      </c>
      <c r="BD359" s="115"/>
      <c r="BE359" s="115"/>
      <c r="BF359" s="115"/>
      <c r="BG359" s="115"/>
      <c r="BH359" s="115">
        <v>16</v>
      </c>
      <c r="BI359" s="115">
        <v>4</v>
      </c>
      <c r="BJ359" s="115"/>
      <c r="BK359" s="115"/>
      <c r="BL359" s="115"/>
      <c r="BM359" s="115"/>
      <c r="BN359" s="115"/>
      <c r="BO359" s="115"/>
      <c r="BP359" s="115"/>
      <c r="DA359" s="115"/>
      <c r="DB359" s="115"/>
      <c r="DR359" s="214"/>
      <c r="DY359" s="115"/>
      <c r="DZ359" s="334"/>
      <c r="EA359" s="334"/>
      <c r="EB359" s="334"/>
      <c r="EC359" s="334"/>
      <c r="ED359" s="187"/>
      <c r="EE359" s="330"/>
      <c r="EH359" s="334"/>
      <c r="EI359" s="334"/>
      <c r="EM359"/>
      <c r="EO359" s="115"/>
      <c r="EP359" s="334" t="s">
        <v>1415</v>
      </c>
      <c r="EQ359" s="334" t="s">
        <v>2114</v>
      </c>
      <c r="ER359" s="334" t="s">
        <v>1410</v>
      </c>
      <c r="ES359" s="334" t="s">
        <v>379</v>
      </c>
      <c r="ET359" s="334">
        <v>2024.48</v>
      </c>
      <c r="EU359" s="334" t="s">
        <v>397</v>
      </c>
      <c r="EV359" s="334">
        <v>0</v>
      </c>
    </row>
    <row r="360" spans="9:152" ht="13">
      <c r="I360" s="115" t="s">
        <v>1521</v>
      </c>
      <c r="J360" s="115" t="s">
        <v>1364</v>
      </c>
      <c r="K360" s="183">
        <v>300</v>
      </c>
      <c r="AI360" s="115" t="s">
        <v>1416</v>
      </c>
      <c r="AJ360" t="s">
        <v>2114</v>
      </c>
      <c r="AK360" s="115">
        <v>0</v>
      </c>
      <c r="AL360" s="115" t="s">
        <v>28</v>
      </c>
      <c r="AM360" s="115" t="s">
        <v>1850</v>
      </c>
      <c r="AN360" s="115" t="s">
        <v>1570</v>
      </c>
      <c r="AO360" s="115" t="s">
        <v>380</v>
      </c>
      <c r="AT360" s="115" t="s">
        <v>1415</v>
      </c>
      <c r="AU360" s="115" t="s">
        <v>2114</v>
      </c>
      <c r="AV360" s="115">
        <v>15</v>
      </c>
      <c r="AW360" s="115" t="s">
        <v>494</v>
      </c>
      <c r="AX360" s="115" t="s">
        <v>28</v>
      </c>
      <c r="AY360" s="115" t="s">
        <v>1832</v>
      </c>
      <c r="AZ360" s="115" t="s">
        <v>1895</v>
      </c>
      <c r="BA360" s="115"/>
      <c r="BB360" s="115"/>
      <c r="BC360" s="115">
        <v>240</v>
      </c>
      <c r="BD360" s="115"/>
      <c r="BE360" s="115"/>
      <c r="BF360" s="115"/>
      <c r="BG360" s="115"/>
      <c r="BH360" s="115">
        <v>160</v>
      </c>
      <c r="BI360" s="115">
        <v>80</v>
      </c>
      <c r="BJ360" s="115"/>
      <c r="BK360" s="115"/>
      <c r="BL360" s="115"/>
      <c r="BM360" s="115"/>
      <c r="BN360" s="115"/>
      <c r="BO360" s="115"/>
      <c r="BP360" s="115"/>
      <c r="DA360" s="115"/>
      <c r="DB360" s="115"/>
      <c r="DR360" s="214"/>
      <c r="DY360" s="115"/>
      <c r="DZ360" s="334"/>
      <c r="EA360" s="334"/>
      <c r="EB360" s="334"/>
      <c r="EC360" s="334"/>
      <c r="ED360" s="187"/>
      <c r="EE360" s="330"/>
      <c r="EH360" s="334"/>
      <c r="EI360" s="334"/>
      <c r="EM360"/>
      <c r="EO360" s="115"/>
      <c r="EP360" s="334" t="s">
        <v>1415</v>
      </c>
      <c r="EQ360" s="334" t="s">
        <v>2114</v>
      </c>
      <c r="ER360" s="334" t="s">
        <v>1410</v>
      </c>
      <c r="ES360" s="334" t="s">
        <v>379</v>
      </c>
      <c r="ET360" s="334">
        <v>2024.48</v>
      </c>
      <c r="EU360" s="334" t="s">
        <v>1382</v>
      </c>
      <c r="EV360" s="334">
        <v>208.9</v>
      </c>
    </row>
    <row r="361" spans="9:152" ht="13">
      <c r="I361" s="115" t="s">
        <v>1521</v>
      </c>
      <c r="J361" s="115" t="s">
        <v>1367</v>
      </c>
      <c r="K361" s="183">
        <v>8</v>
      </c>
      <c r="AI361" s="115" t="s">
        <v>1416</v>
      </c>
      <c r="AJ361" t="s">
        <v>2114</v>
      </c>
      <c r="AK361" s="115">
        <v>0</v>
      </c>
      <c r="AL361" s="115" t="s">
        <v>28</v>
      </c>
      <c r="AM361" s="115" t="s">
        <v>1849</v>
      </c>
      <c r="AN361" s="115" t="s">
        <v>1570</v>
      </c>
      <c r="AO361" s="115" t="s">
        <v>380</v>
      </c>
      <c r="AT361" s="115" t="s">
        <v>1415</v>
      </c>
      <c r="AU361" s="115" t="s">
        <v>2114</v>
      </c>
      <c r="AV361" s="115">
        <v>15</v>
      </c>
      <c r="AW361" s="115" t="s">
        <v>499</v>
      </c>
      <c r="AX361" s="115" t="s">
        <v>28</v>
      </c>
      <c r="AY361" s="115" t="s">
        <v>1846</v>
      </c>
      <c r="AZ361" s="115" t="s">
        <v>1896</v>
      </c>
      <c r="BA361" s="115"/>
      <c r="BB361" s="115"/>
      <c r="BC361" s="115"/>
      <c r="BD361" s="115"/>
      <c r="BE361" s="115"/>
      <c r="BF361" s="115"/>
      <c r="BG361" s="115"/>
      <c r="BH361" s="115"/>
      <c r="BI361" s="115"/>
      <c r="BJ361" s="115"/>
      <c r="BK361" s="115">
        <v>40.216805280000003</v>
      </c>
      <c r="BL361" s="115"/>
      <c r="BM361" s="115"/>
      <c r="BN361" s="115">
        <v>73.040000000000006</v>
      </c>
      <c r="BO361" s="115"/>
      <c r="BP361" s="115"/>
      <c r="DA361" s="115"/>
      <c r="DB361" s="115"/>
      <c r="DR361" s="214"/>
      <c r="DY361" s="115"/>
      <c r="DZ361" s="334"/>
      <c r="EA361" s="334"/>
      <c r="EB361" s="334"/>
      <c r="EC361" s="334"/>
      <c r="ED361" s="187"/>
      <c r="EE361" s="330"/>
      <c r="EH361" s="334"/>
      <c r="EI361" s="334"/>
      <c r="EM361"/>
      <c r="EO361" s="115"/>
      <c r="EP361" s="334" t="s">
        <v>1415</v>
      </c>
      <c r="EQ361" s="334" t="s">
        <v>2114</v>
      </c>
      <c r="ER361" s="334" t="s">
        <v>1410</v>
      </c>
      <c r="ES361" s="334" t="s">
        <v>389</v>
      </c>
      <c r="ET361" s="334">
        <v>2023.47</v>
      </c>
      <c r="EU361" s="334" t="s">
        <v>397</v>
      </c>
      <c r="EV361" s="334">
        <v>116175.2678</v>
      </c>
    </row>
    <row r="362" spans="9:152" ht="13">
      <c r="I362" s="115" t="s">
        <v>1521</v>
      </c>
      <c r="J362" s="115" t="s">
        <v>1362</v>
      </c>
      <c r="K362" s="183">
        <v>95</v>
      </c>
      <c r="AI362" s="115" t="s">
        <v>1416</v>
      </c>
      <c r="AJ362" t="s">
        <v>2114</v>
      </c>
      <c r="AK362" s="115">
        <v>0</v>
      </c>
      <c r="AL362" s="115" t="s">
        <v>28</v>
      </c>
      <c r="AM362" s="115" t="s">
        <v>1843</v>
      </c>
      <c r="AN362" s="115" t="s">
        <v>1570</v>
      </c>
      <c r="AO362" s="115" t="s">
        <v>380</v>
      </c>
      <c r="AT362" s="115" t="s">
        <v>1415</v>
      </c>
      <c r="AU362" s="115" t="s">
        <v>2114</v>
      </c>
      <c r="AV362" s="115">
        <v>15</v>
      </c>
      <c r="AW362" s="115" t="s">
        <v>499</v>
      </c>
      <c r="AX362" s="115" t="s">
        <v>28</v>
      </c>
      <c r="AY362" s="115" t="s">
        <v>1848</v>
      </c>
      <c r="AZ362" s="115" t="s">
        <v>1896</v>
      </c>
      <c r="BA362" s="115"/>
      <c r="BB362" s="115"/>
      <c r="BC362" s="115"/>
      <c r="BD362" s="115"/>
      <c r="BE362" s="115"/>
      <c r="BF362" s="115"/>
      <c r="BG362" s="115"/>
      <c r="BH362" s="115"/>
      <c r="BI362" s="115"/>
      <c r="BJ362" s="115"/>
      <c r="BK362" s="115">
        <v>6.2820148800000002</v>
      </c>
      <c r="BL362" s="115"/>
      <c r="BM362" s="115"/>
      <c r="BN362" s="115"/>
      <c r="BO362" s="115"/>
      <c r="BP362" s="115"/>
      <c r="DA362" s="115"/>
      <c r="DB362" s="115"/>
      <c r="DR362" s="214"/>
      <c r="DY362" s="115"/>
      <c r="DZ362" s="334"/>
      <c r="EA362" s="334"/>
      <c r="EB362" s="334"/>
      <c r="EC362" s="334"/>
      <c r="ED362" s="187"/>
      <c r="EE362" s="330"/>
      <c r="EH362" s="334"/>
      <c r="EI362" s="334"/>
      <c r="EM362"/>
      <c r="EO362" s="115"/>
      <c r="EP362" s="334" t="s">
        <v>1415</v>
      </c>
      <c r="EQ362" s="334" t="s">
        <v>2114</v>
      </c>
      <c r="ER362" s="334" t="s">
        <v>1410</v>
      </c>
      <c r="ES362" s="334" t="s">
        <v>389</v>
      </c>
      <c r="ET362" s="334">
        <v>2023.47</v>
      </c>
      <c r="EU362" s="334" t="s">
        <v>1382</v>
      </c>
      <c r="EV362" s="334">
        <v>116175.2678</v>
      </c>
    </row>
    <row r="363" spans="9:152" ht="13">
      <c r="I363" s="115" t="s">
        <v>1521</v>
      </c>
      <c r="J363" s="115" t="s">
        <v>1368</v>
      </c>
      <c r="K363" s="183">
        <v>11.5</v>
      </c>
      <c r="AI363" s="115" t="s">
        <v>1416</v>
      </c>
      <c r="AJ363" t="s">
        <v>2114</v>
      </c>
      <c r="AK363" s="115">
        <v>0</v>
      </c>
      <c r="AL363" s="115" t="s">
        <v>28</v>
      </c>
      <c r="AM363" s="115" t="s">
        <v>1848</v>
      </c>
      <c r="AN363" s="115" t="s">
        <v>1571</v>
      </c>
      <c r="AO363" s="115" t="s">
        <v>1644</v>
      </c>
      <c r="AT363" s="115" t="s">
        <v>1415</v>
      </c>
      <c r="AU363" s="115" t="s">
        <v>2114</v>
      </c>
      <c r="AV363" s="115">
        <v>15</v>
      </c>
      <c r="AW363" s="115" t="s">
        <v>499</v>
      </c>
      <c r="AX363" s="115" t="s">
        <v>28</v>
      </c>
      <c r="AY363" s="115" t="s">
        <v>1843</v>
      </c>
      <c r="AZ363" s="115" t="s">
        <v>1896</v>
      </c>
      <c r="BA363" s="115"/>
      <c r="BB363" s="115"/>
      <c r="BC363" s="115"/>
      <c r="BD363" s="115"/>
      <c r="BE363" s="115"/>
      <c r="BF363" s="115"/>
      <c r="BG363" s="115"/>
      <c r="BH363" s="115"/>
      <c r="BI363" s="115"/>
      <c r="BJ363" s="115"/>
      <c r="BK363" s="115">
        <v>45.806494845360824</v>
      </c>
      <c r="BL363" s="115"/>
      <c r="BM363" s="115"/>
      <c r="BN363" s="115">
        <v>73.040000000000006</v>
      </c>
      <c r="BO363" s="115"/>
      <c r="BP363" s="115"/>
      <c r="DA363" s="115"/>
      <c r="DB363" s="115"/>
      <c r="DR363" s="214"/>
      <c r="DY363" s="115"/>
      <c r="DZ363" s="334"/>
      <c r="EA363" s="334"/>
      <c r="EB363" s="334"/>
      <c r="EC363" s="334"/>
      <c r="ED363" s="187"/>
      <c r="EE363" s="330"/>
      <c r="EH363" s="334"/>
      <c r="EI363" s="334"/>
      <c r="EM363"/>
      <c r="EO363" s="115"/>
      <c r="EP363" s="334" t="s">
        <v>1415</v>
      </c>
      <c r="EQ363" s="334" t="s">
        <v>2114</v>
      </c>
      <c r="ER363" s="334" t="s">
        <v>1410</v>
      </c>
      <c r="ES363" s="334" t="s">
        <v>389</v>
      </c>
      <c r="ET363" s="334">
        <v>2024.44</v>
      </c>
      <c r="EU363" s="334" t="s">
        <v>397</v>
      </c>
      <c r="EV363" s="334">
        <v>116469.9541</v>
      </c>
    </row>
    <row r="364" spans="9:152" ht="13">
      <c r="I364" s="115" t="s">
        <v>1521</v>
      </c>
      <c r="J364" s="115" t="s">
        <v>1360</v>
      </c>
      <c r="K364" s="183">
        <v>0.1875</v>
      </c>
      <c r="AI364" s="115" t="s">
        <v>1416</v>
      </c>
      <c r="AJ364" t="s">
        <v>2114</v>
      </c>
      <c r="AK364" s="115">
        <v>0</v>
      </c>
      <c r="AL364" s="115" t="s">
        <v>28</v>
      </c>
      <c r="AM364" s="115" t="s">
        <v>1850</v>
      </c>
      <c r="AN364" s="115" t="s">
        <v>1571</v>
      </c>
      <c r="AO364" s="115" t="s">
        <v>1644</v>
      </c>
      <c r="AT364" s="115" t="s">
        <v>1415</v>
      </c>
      <c r="AU364" s="115" t="s">
        <v>2114</v>
      </c>
      <c r="AV364" s="115">
        <v>15</v>
      </c>
      <c r="AW364" s="115" t="s">
        <v>499</v>
      </c>
      <c r="AX364" s="115" t="s">
        <v>28</v>
      </c>
      <c r="AY364" s="115" t="s">
        <v>1849</v>
      </c>
      <c r="AZ364" s="115" t="s">
        <v>1896</v>
      </c>
      <c r="BA364" s="115"/>
      <c r="BB364" s="115"/>
      <c r="BC364" s="115"/>
      <c r="BD364" s="115"/>
      <c r="BE364" s="115"/>
      <c r="BF364" s="115"/>
      <c r="BG364" s="115"/>
      <c r="BH364" s="115"/>
      <c r="BI364" s="115"/>
      <c r="BJ364" s="115"/>
      <c r="BK364" s="115">
        <v>1.3968</v>
      </c>
      <c r="BL364" s="115"/>
      <c r="BM364" s="115"/>
      <c r="BN364" s="115"/>
      <c r="BO364" s="115"/>
      <c r="BP364" s="115"/>
      <c r="DA364" s="115"/>
      <c r="DB364" s="115"/>
      <c r="DR364" s="214"/>
      <c r="DY364" s="115"/>
      <c r="DZ364" s="334"/>
      <c r="EA364" s="334"/>
      <c r="EB364" s="334"/>
      <c r="EC364" s="334"/>
      <c r="ED364" s="187"/>
      <c r="EE364" s="330"/>
      <c r="EH364" s="334"/>
      <c r="EI364" s="334"/>
      <c r="EM364"/>
      <c r="EO364" s="115"/>
      <c r="EP364" s="334" t="s">
        <v>1415</v>
      </c>
      <c r="EQ364" s="334" t="s">
        <v>2114</v>
      </c>
      <c r="ER364" s="334" t="s">
        <v>1410</v>
      </c>
      <c r="ES364" s="334" t="s">
        <v>389</v>
      </c>
      <c r="ET364" s="334">
        <v>2024.44</v>
      </c>
      <c r="EU364" s="334" t="s">
        <v>1382</v>
      </c>
      <c r="EV364" s="334">
        <v>116469.9541</v>
      </c>
    </row>
    <row r="365" spans="9:152" ht="13">
      <c r="I365" s="115" t="s">
        <v>1521</v>
      </c>
      <c r="J365" s="115" t="s">
        <v>1358</v>
      </c>
      <c r="K365" s="183" t="s">
        <v>375</v>
      </c>
      <c r="AI365" s="115" t="s">
        <v>1416</v>
      </c>
      <c r="AJ365" t="s">
        <v>2114</v>
      </c>
      <c r="AK365" s="115">
        <v>0</v>
      </c>
      <c r="AL365" s="115" t="s">
        <v>28</v>
      </c>
      <c r="AM365" s="115" t="s">
        <v>1832</v>
      </c>
      <c r="AN365" s="115" t="s">
        <v>1571</v>
      </c>
      <c r="AO365" s="115" t="s">
        <v>1644</v>
      </c>
      <c r="AT365" s="115" t="s">
        <v>1415</v>
      </c>
      <c r="AU365" s="115" t="s">
        <v>2114</v>
      </c>
      <c r="AV365" s="115">
        <v>15</v>
      </c>
      <c r="AW365" s="115" t="s">
        <v>499</v>
      </c>
      <c r="AX365" s="115" t="s">
        <v>28</v>
      </c>
      <c r="AY365" s="115" t="s">
        <v>1850</v>
      </c>
      <c r="AZ365" s="115" t="s">
        <v>1896</v>
      </c>
      <c r="BA365" s="115"/>
      <c r="BB365" s="115"/>
      <c r="BC365" s="115"/>
      <c r="BD365" s="115"/>
      <c r="BE365" s="115"/>
      <c r="BF365" s="115"/>
      <c r="BG365" s="115"/>
      <c r="BH365" s="115"/>
      <c r="BI365" s="115"/>
      <c r="BJ365" s="115"/>
      <c r="BK365" s="115">
        <v>0.1552</v>
      </c>
      <c r="BL365" s="115"/>
      <c r="BM365" s="115"/>
      <c r="BN365" s="115"/>
      <c r="BO365" s="115"/>
      <c r="BP365" s="115"/>
      <c r="DA365" s="115"/>
      <c r="DB365" s="115"/>
      <c r="DR365" s="214"/>
      <c r="DY365" s="115"/>
      <c r="DZ365" s="334"/>
      <c r="EA365" s="334"/>
      <c r="EB365" s="334"/>
      <c r="EC365" s="334"/>
      <c r="ED365" s="187"/>
      <c r="EE365" s="330"/>
      <c r="EH365" s="334"/>
      <c r="EI365" s="334"/>
      <c r="EM365"/>
      <c r="EO365" s="115"/>
      <c r="EP365" s="334" t="s">
        <v>1415</v>
      </c>
      <c r="EQ365" s="334" t="s">
        <v>2114</v>
      </c>
      <c r="ER365" s="334" t="s">
        <v>1410</v>
      </c>
      <c r="ES365" s="334" t="s">
        <v>389</v>
      </c>
      <c r="ET365" s="334">
        <v>2024.48</v>
      </c>
      <c r="EU365" s="334" t="s">
        <v>397</v>
      </c>
      <c r="EV365" s="334">
        <v>116469.9541</v>
      </c>
    </row>
    <row r="366" spans="9:152" ht="13">
      <c r="I366" s="115" t="s">
        <v>1521</v>
      </c>
      <c r="J366" s="115" t="s">
        <v>1354</v>
      </c>
      <c r="K366" s="183">
        <v>45112</v>
      </c>
      <c r="AI366" s="115" t="s">
        <v>1416</v>
      </c>
      <c r="AJ366" t="s">
        <v>2114</v>
      </c>
      <c r="AK366" s="115">
        <v>0</v>
      </c>
      <c r="AL366" s="115" t="s">
        <v>28</v>
      </c>
      <c r="AM366" s="115" t="s">
        <v>1843</v>
      </c>
      <c r="AN366" s="115" t="s">
        <v>1571</v>
      </c>
      <c r="AO366" s="115" t="s">
        <v>1644</v>
      </c>
      <c r="AT366" s="115" t="s">
        <v>1415</v>
      </c>
      <c r="AU366" s="115" t="s">
        <v>2114</v>
      </c>
      <c r="AV366" s="115">
        <v>15</v>
      </c>
      <c r="AW366" s="115" t="s">
        <v>499</v>
      </c>
      <c r="AX366" s="115" t="s">
        <v>28</v>
      </c>
      <c r="AY366" s="115" t="s">
        <v>1832</v>
      </c>
      <c r="AZ366" s="115" t="s">
        <v>1896</v>
      </c>
      <c r="BA366" s="115"/>
      <c r="BB366" s="115"/>
      <c r="BC366" s="115"/>
      <c r="BD366" s="115"/>
      <c r="BE366" s="115"/>
      <c r="BF366" s="115"/>
      <c r="BG366" s="115"/>
      <c r="BH366" s="115"/>
      <c r="BI366" s="115"/>
      <c r="BJ366" s="115"/>
      <c r="BK366" s="115">
        <v>1.6</v>
      </c>
      <c r="BL366" s="115"/>
      <c r="BM366" s="115"/>
      <c r="BN366" s="115"/>
      <c r="BO366" s="115"/>
      <c r="BP366" s="115"/>
      <c r="DA366" s="115"/>
      <c r="DB366" s="115"/>
      <c r="DR366" s="214"/>
      <c r="DY366" s="115"/>
      <c r="DZ366" s="334"/>
      <c r="EA366" s="334"/>
      <c r="EB366" s="334"/>
      <c r="EC366" s="334"/>
      <c r="ED366" s="187"/>
      <c r="EE366" s="330"/>
      <c r="EH366" s="334"/>
      <c r="EI366" s="334"/>
      <c r="EM366"/>
      <c r="EO366" s="115"/>
      <c r="EP366" s="334" t="s">
        <v>1415</v>
      </c>
      <c r="EQ366" s="334" t="s">
        <v>2114</v>
      </c>
      <c r="ER366" s="334" t="s">
        <v>1410</v>
      </c>
      <c r="ES366" s="334" t="s">
        <v>389</v>
      </c>
      <c r="ET366" s="334">
        <v>2024.48</v>
      </c>
      <c r="EU366" s="334" t="s">
        <v>1382</v>
      </c>
      <c r="EV366" s="334">
        <v>126469.9541</v>
      </c>
    </row>
    <row r="367" spans="9:152" ht="13">
      <c r="I367" s="115" t="s">
        <v>1521</v>
      </c>
      <c r="J367" s="115" t="s">
        <v>1365</v>
      </c>
      <c r="K367" s="183">
        <v>15</v>
      </c>
      <c r="AI367" s="115" t="s">
        <v>1416</v>
      </c>
      <c r="AJ367" t="s">
        <v>2114</v>
      </c>
      <c r="AK367" s="115">
        <v>0</v>
      </c>
      <c r="AL367" s="115" t="s">
        <v>28</v>
      </c>
      <c r="AM367" s="115" t="s">
        <v>1850</v>
      </c>
      <c r="AN367" s="115" t="s">
        <v>1571</v>
      </c>
      <c r="AO367" s="115" t="s">
        <v>1274</v>
      </c>
      <c r="AT367" s="115" t="s">
        <v>1415</v>
      </c>
      <c r="AU367" s="115" t="s">
        <v>2114</v>
      </c>
      <c r="AV367" s="115">
        <v>15</v>
      </c>
      <c r="AW367" s="115" t="s">
        <v>499</v>
      </c>
      <c r="AX367" s="115" t="s">
        <v>28</v>
      </c>
      <c r="AY367" s="115" t="s">
        <v>1846</v>
      </c>
      <c r="AZ367" s="115" t="s">
        <v>1897</v>
      </c>
      <c r="BA367" s="115"/>
      <c r="BB367" s="115"/>
      <c r="BC367" s="115">
        <v>1639.3284573750002</v>
      </c>
      <c r="BD367" s="115"/>
      <c r="BE367" s="115"/>
      <c r="BF367" s="115"/>
      <c r="BG367" s="115"/>
      <c r="BH367" s="115">
        <v>46043.078024582399</v>
      </c>
      <c r="BI367" s="115">
        <v>5943.9362306999992</v>
      </c>
      <c r="BJ367" s="115">
        <v>852.61980335999988</v>
      </c>
      <c r="BK367" s="115"/>
      <c r="BL367" s="115"/>
      <c r="BM367" s="115">
        <v>21884.000000000004</v>
      </c>
      <c r="BN367" s="115"/>
      <c r="BO367" s="115"/>
      <c r="BP367" s="115"/>
      <c r="DA367" s="115"/>
      <c r="DB367" s="115"/>
      <c r="DR367" s="214"/>
      <c r="DY367" s="115"/>
      <c r="DZ367" s="334"/>
      <c r="EA367" s="334"/>
      <c r="EB367" s="334"/>
      <c r="EC367" s="334"/>
      <c r="ED367" s="187"/>
      <c r="EE367" s="330"/>
      <c r="EH367" s="334"/>
      <c r="EI367" s="334"/>
      <c r="EM367"/>
      <c r="EO367" s="115"/>
      <c r="EP367" s="334" t="s">
        <v>1415</v>
      </c>
      <c r="EQ367" s="334" t="s">
        <v>2114</v>
      </c>
      <c r="ER367" s="334" t="s">
        <v>1410</v>
      </c>
      <c r="ES367" s="334" t="s">
        <v>1275</v>
      </c>
      <c r="ET367" s="334">
        <v>2023.47</v>
      </c>
      <c r="EU367" s="334" t="s">
        <v>397</v>
      </c>
      <c r="EV367" s="334">
        <v>239438.81</v>
      </c>
    </row>
    <row r="368" spans="9:152" ht="13">
      <c r="I368" s="115" t="s">
        <v>1521</v>
      </c>
      <c r="J368" s="115" t="s">
        <v>1356</v>
      </c>
      <c r="K368" s="183" t="s">
        <v>1359</v>
      </c>
      <c r="AI368" s="115" t="s">
        <v>1416</v>
      </c>
      <c r="AJ368" t="s">
        <v>2114</v>
      </c>
      <c r="AK368" s="115">
        <v>0</v>
      </c>
      <c r="AL368" s="115" t="s">
        <v>28</v>
      </c>
      <c r="AM368" s="115" t="s">
        <v>1849</v>
      </c>
      <c r="AN368" s="115" t="s">
        <v>1571</v>
      </c>
      <c r="AO368" s="115" t="s">
        <v>1274</v>
      </c>
      <c r="AT368" s="115" t="s">
        <v>1415</v>
      </c>
      <c r="AU368" s="115" t="s">
        <v>2114</v>
      </c>
      <c r="AV368" s="115">
        <v>15</v>
      </c>
      <c r="AW368" s="115" t="s">
        <v>499</v>
      </c>
      <c r="AX368" s="115" t="s">
        <v>28</v>
      </c>
      <c r="AY368" s="115" t="s">
        <v>1848</v>
      </c>
      <c r="AZ368" s="115" t="s">
        <v>1897</v>
      </c>
      <c r="BA368" s="115"/>
      <c r="BB368" s="115"/>
      <c r="BC368" s="115">
        <v>9667.3587058125013</v>
      </c>
      <c r="BD368" s="115"/>
      <c r="BE368" s="115"/>
      <c r="BF368" s="115"/>
      <c r="BG368" s="115"/>
      <c r="BH368" s="115">
        <v>3185.1788938726399</v>
      </c>
      <c r="BI368" s="115">
        <v>2183.6391194999997</v>
      </c>
      <c r="BJ368" s="115">
        <v>4282.7789001149995</v>
      </c>
      <c r="BK368" s="115"/>
      <c r="BL368" s="115"/>
      <c r="BM368" s="115"/>
      <c r="BN368" s="115"/>
      <c r="BO368" s="115"/>
      <c r="BP368" s="115"/>
      <c r="DA368" s="115"/>
      <c r="DB368" s="115"/>
      <c r="DR368" s="214"/>
      <c r="DY368" s="115"/>
      <c r="DZ368" s="334"/>
      <c r="EA368" s="334"/>
      <c r="EB368" s="334"/>
      <c r="EC368" s="334"/>
      <c r="ED368" s="187"/>
      <c r="EE368" s="330"/>
      <c r="EH368" s="334"/>
      <c r="EI368" s="334"/>
      <c r="EM368"/>
      <c r="EO368" s="115"/>
      <c r="EP368" s="334" t="s">
        <v>1415</v>
      </c>
      <c r="EQ368" s="334" t="s">
        <v>2114</v>
      </c>
      <c r="ER368" s="334" t="s">
        <v>1410</v>
      </c>
      <c r="ES368" s="334" t="s">
        <v>1275</v>
      </c>
      <c r="ET368" s="334">
        <v>2023.47</v>
      </c>
      <c r="EU368" s="334" t="s">
        <v>1382</v>
      </c>
      <c r="EV368" s="334">
        <v>239438.81</v>
      </c>
    </row>
    <row r="369" spans="9:152" ht="13">
      <c r="I369" s="115" t="s">
        <v>1521</v>
      </c>
      <c r="J369" s="115" t="s">
        <v>1366</v>
      </c>
      <c r="K369" s="183">
        <v>3</v>
      </c>
      <c r="AI369" s="115" t="s">
        <v>1416</v>
      </c>
      <c r="AJ369" t="s">
        <v>2114</v>
      </c>
      <c r="AK369" s="115">
        <v>0</v>
      </c>
      <c r="AL369" s="115" t="s">
        <v>28</v>
      </c>
      <c r="AM369" s="115" t="s">
        <v>1832</v>
      </c>
      <c r="AN369" s="115" t="s">
        <v>1571</v>
      </c>
      <c r="AO369" s="115" t="s">
        <v>1274</v>
      </c>
      <c r="AT369" s="115" t="s">
        <v>1415</v>
      </c>
      <c r="AU369" s="115" t="s">
        <v>2114</v>
      </c>
      <c r="AV369" s="115">
        <v>15</v>
      </c>
      <c r="AW369" s="115" t="s">
        <v>499</v>
      </c>
      <c r="AX369" s="115" t="s">
        <v>28</v>
      </c>
      <c r="AY369" s="115" t="s">
        <v>1843</v>
      </c>
      <c r="AZ369" s="115" t="s">
        <v>1897</v>
      </c>
      <c r="BA369" s="115"/>
      <c r="BB369" s="115"/>
      <c r="BC369" s="115">
        <v>11205.938041237112</v>
      </c>
      <c r="BD369" s="115"/>
      <c r="BE369" s="115"/>
      <c r="BF369" s="115"/>
      <c r="BG369" s="115"/>
      <c r="BH369" s="115">
        <v>46643.557939175254</v>
      </c>
      <c r="BI369" s="115">
        <v>7109.7020618556708</v>
      </c>
      <c r="BJ369" s="115">
        <v>5088.7417525773199</v>
      </c>
      <c r="BK369" s="115"/>
      <c r="BL369" s="115"/>
      <c r="BM369" s="115">
        <v>21884.000000000004</v>
      </c>
      <c r="BN369" s="115"/>
      <c r="BO369" s="115"/>
      <c r="BP369" s="115"/>
      <c r="DA369" s="115"/>
      <c r="DB369" s="115"/>
      <c r="DR369" s="214"/>
      <c r="DY369" s="115"/>
      <c r="DZ369" s="334"/>
      <c r="EA369" s="334"/>
      <c r="EB369" s="334"/>
      <c r="EC369" s="334"/>
      <c r="ED369" s="187"/>
      <c r="EE369" s="330"/>
      <c r="EH369" s="334"/>
      <c r="EI369" s="334"/>
      <c r="EM369"/>
      <c r="EO369" s="115"/>
      <c r="EP369" s="334" t="s">
        <v>1415</v>
      </c>
      <c r="EQ369" s="334" t="s">
        <v>2114</v>
      </c>
      <c r="ER369" s="334" t="s">
        <v>1410</v>
      </c>
      <c r="ES369" s="334" t="s">
        <v>1275</v>
      </c>
      <c r="ET369" s="334">
        <v>2024.44</v>
      </c>
      <c r="EU369" s="334" t="s">
        <v>397</v>
      </c>
      <c r="EV369" s="334">
        <v>244708.51</v>
      </c>
    </row>
    <row r="370" spans="9:152" ht="13">
      <c r="I370" s="115" t="s">
        <v>1521</v>
      </c>
      <c r="J370" s="115" t="s">
        <v>1357</v>
      </c>
      <c r="K370" s="183">
        <v>1308.867522613876</v>
      </c>
      <c r="AI370" s="115" t="s">
        <v>1416</v>
      </c>
      <c r="AJ370" t="s">
        <v>2114</v>
      </c>
      <c r="AK370" s="115">
        <v>0</v>
      </c>
      <c r="AL370" s="115" t="s">
        <v>28</v>
      </c>
      <c r="AM370" s="115" t="s">
        <v>1846</v>
      </c>
      <c r="AN370" s="115" t="s">
        <v>1571</v>
      </c>
      <c r="AO370" s="115" t="s">
        <v>1274</v>
      </c>
      <c r="AT370" s="115" t="s">
        <v>1415</v>
      </c>
      <c r="AU370" s="115" t="s">
        <v>2114</v>
      </c>
      <c r="AV370" s="115">
        <v>15</v>
      </c>
      <c r="AW370" s="115" t="s">
        <v>499</v>
      </c>
      <c r="AX370" s="115" t="s">
        <v>28</v>
      </c>
      <c r="AY370" s="115" t="s">
        <v>1849</v>
      </c>
      <c r="AZ370" s="115" t="s">
        <v>1897</v>
      </c>
      <c r="BA370" s="115"/>
      <c r="BB370" s="115"/>
      <c r="BC370" s="115">
        <v>72.568125000000009</v>
      </c>
      <c r="BD370" s="115"/>
      <c r="BE370" s="115"/>
      <c r="BF370" s="115"/>
      <c r="BG370" s="115"/>
      <c r="BH370" s="115">
        <v>658.52415359999998</v>
      </c>
      <c r="BI370" s="115">
        <v>170.81699999999998</v>
      </c>
      <c r="BJ370" s="115">
        <v>10.636049999999997</v>
      </c>
      <c r="BK370" s="115"/>
      <c r="BL370" s="115"/>
      <c r="BM370" s="115"/>
      <c r="BN370" s="115"/>
      <c r="BO370" s="115"/>
      <c r="BP370" s="115"/>
      <c r="DA370" s="115"/>
      <c r="DB370" s="115"/>
      <c r="DR370" s="214"/>
      <c r="DY370" s="115"/>
      <c r="DZ370" s="334"/>
      <c r="EA370" s="334"/>
      <c r="EB370" s="334"/>
      <c r="EC370" s="334"/>
      <c r="ED370" s="187"/>
      <c r="EE370" s="330"/>
      <c r="EH370" s="334"/>
      <c r="EI370" s="334"/>
      <c r="EM370"/>
      <c r="EO370" s="115"/>
      <c r="EP370" s="334" t="s">
        <v>1415</v>
      </c>
      <c r="EQ370" s="334" t="s">
        <v>2114</v>
      </c>
      <c r="ER370" s="334" t="s">
        <v>1410</v>
      </c>
      <c r="ES370" s="334" t="s">
        <v>1275</v>
      </c>
      <c r="ET370" s="334">
        <v>2024.44</v>
      </c>
      <c r="EU370" s="334" t="s">
        <v>1382</v>
      </c>
      <c r="EV370" s="334">
        <v>244708.51</v>
      </c>
    </row>
    <row r="371" spans="9:152" ht="13">
      <c r="I371" s="115" t="s">
        <v>1523</v>
      </c>
      <c r="J371" s="115" t="s">
        <v>1363</v>
      </c>
      <c r="K371" s="183">
        <v>125</v>
      </c>
      <c r="AI371" s="115" t="s">
        <v>1416</v>
      </c>
      <c r="AJ371" t="s">
        <v>2114</v>
      </c>
      <c r="AK371" s="115">
        <v>0</v>
      </c>
      <c r="AL371" s="115" t="s">
        <v>28</v>
      </c>
      <c r="AM371" s="115" t="s">
        <v>1848</v>
      </c>
      <c r="AN371" s="115" t="s">
        <v>1571</v>
      </c>
      <c r="AO371" s="115" t="s">
        <v>1274</v>
      </c>
      <c r="AT371" s="115" t="s">
        <v>1415</v>
      </c>
      <c r="AU371" s="115" t="s">
        <v>2114</v>
      </c>
      <c r="AV371" s="115">
        <v>15</v>
      </c>
      <c r="AW371" s="115" t="s">
        <v>499</v>
      </c>
      <c r="AX371" s="115" t="s">
        <v>28</v>
      </c>
      <c r="AY371" s="115" t="s">
        <v>1850</v>
      </c>
      <c r="AZ371" s="115" t="s">
        <v>1897</v>
      </c>
      <c r="BA371" s="115"/>
      <c r="BB371" s="115"/>
      <c r="BC371" s="115">
        <v>217.70437500000003</v>
      </c>
      <c r="BD371" s="115"/>
      <c r="BE371" s="115"/>
      <c r="BF371" s="115"/>
      <c r="BG371" s="115"/>
      <c r="BH371" s="115">
        <v>73.169350399999999</v>
      </c>
      <c r="BI371" s="115">
        <v>56.938999999999993</v>
      </c>
      <c r="BJ371" s="115">
        <v>95.724450000000004</v>
      </c>
      <c r="BK371" s="115"/>
      <c r="BL371" s="115"/>
      <c r="BM371" s="115"/>
      <c r="BN371" s="115"/>
      <c r="BO371" s="115"/>
      <c r="BP371" s="115"/>
      <c r="DA371" s="115"/>
      <c r="DB371" s="115"/>
      <c r="DR371" s="214"/>
      <c r="DY371" s="115"/>
      <c r="DZ371" s="334"/>
      <c r="EA371" s="334"/>
      <c r="EB371" s="334"/>
      <c r="EC371" s="334"/>
      <c r="ED371" s="187"/>
      <c r="EE371" s="330"/>
      <c r="EH371" s="334"/>
      <c r="EI371" s="334"/>
      <c r="EM371"/>
      <c r="EO371" s="115"/>
      <c r="EP371" s="334" t="s">
        <v>1415</v>
      </c>
      <c r="EQ371" s="334" t="s">
        <v>2114</v>
      </c>
      <c r="ER371" s="334" t="s">
        <v>1410</v>
      </c>
      <c r="ES371" s="334" t="s">
        <v>1275</v>
      </c>
      <c r="ET371" s="334">
        <v>2024.48</v>
      </c>
      <c r="EU371" s="334" t="s">
        <v>397</v>
      </c>
      <c r="EV371" s="334">
        <v>244708.51</v>
      </c>
    </row>
    <row r="372" spans="9:152" ht="13">
      <c r="I372" s="115" t="s">
        <v>1523</v>
      </c>
      <c r="J372" s="115" t="s">
        <v>1353</v>
      </c>
      <c r="K372" s="183" t="s">
        <v>1524</v>
      </c>
      <c r="AI372" s="115" t="s">
        <v>1416</v>
      </c>
      <c r="AJ372" t="s">
        <v>2114</v>
      </c>
      <c r="AK372" s="115">
        <v>0</v>
      </c>
      <c r="AL372" s="115" t="s">
        <v>28</v>
      </c>
      <c r="AM372" s="115" t="s">
        <v>1843</v>
      </c>
      <c r="AN372" s="115" t="s">
        <v>1571</v>
      </c>
      <c r="AO372" s="115" t="s">
        <v>1274</v>
      </c>
      <c r="AT372" s="115" t="s">
        <v>1415</v>
      </c>
      <c r="AU372" s="115" t="s">
        <v>2114</v>
      </c>
      <c r="AV372" s="115">
        <v>15</v>
      </c>
      <c r="AW372" s="115" t="s">
        <v>499</v>
      </c>
      <c r="AX372" s="115" t="s">
        <v>28</v>
      </c>
      <c r="AY372" s="115" t="s">
        <v>1832</v>
      </c>
      <c r="AZ372" s="115" t="s">
        <v>1897</v>
      </c>
      <c r="BA372" s="115"/>
      <c r="BB372" s="115"/>
      <c r="BC372" s="115">
        <v>299.25000000000006</v>
      </c>
      <c r="BD372" s="115"/>
      <c r="BE372" s="115"/>
      <c r="BF372" s="115"/>
      <c r="BG372" s="115"/>
      <c r="BH372" s="115">
        <v>754.32319999999993</v>
      </c>
      <c r="BI372" s="115">
        <v>234.79999999999998</v>
      </c>
      <c r="BJ372" s="115">
        <v>109.65</v>
      </c>
      <c r="BK372" s="115"/>
      <c r="BL372" s="115"/>
      <c r="BM372" s="115"/>
      <c r="BN372" s="115"/>
      <c r="BO372" s="115"/>
      <c r="BP372" s="115"/>
      <c r="DA372" s="115"/>
      <c r="DB372" s="115"/>
      <c r="DR372" s="214"/>
      <c r="DY372" s="115"/>
      <c r="DZ372" s="334"/>
      <c r="EA372" s="334"/>
      <c r="EB372" s="334"/>
      <c r="EC372" s="334"/>
      <c r="ED372" s="187"/>
      <c r="EE372" s="330"/>
      <c r="EH372" s="334"/>
      <c r="EI372" s="334"/>
      <c r="EM372"/>
      <c r="EO372" s="115"/>
      <c r="EP372" s="334" t="s">
        <v>1415</v>
      </c>
      <c r="EQ372" s="334" t="s">
        <v>2114</v>
      </c>
      <c r="ER372" s="334" t="s">
        <v>1410</v>
      </c>
      <c r="ES372" s="334" t="s">
        <v>1275</v>
      </c>
      <c r="ET372" s="334">
        <v>2024.48</v>
      </c>
      <c r="EU372" s="334" t="s">
        <v>1382</v>
      </c>
      <c r="EV372" s="334">
        <v>109558.51</v>
      </c>
    </row>
    <row r="373" spans="9:152" ht="13">
      <c r="I373" s="115" t="s">
        <v>1523</v>
      </c>
      <c r="J373" s="115" t="s">
        <v>1369</v>
      </c>
      <c r="K373" s="183">
        <v>13</v>
      </c>
      <c r="AI373" s="115" t="s">
        <v>1416</v>
      </c>
      <c r="AJ373" t="s">
        <v>2114</v>
      </c>
      <c r="AK373" s="115">
        <v>0</v>
      </c>
      <c r="AL373" s="115" t="s">
        <v>28</v>
      </c>
      <c r="AM373" s="115" t="s">
        <v>1849</v>
      </c>
      <c r="AN373" s="115" t="s">
        <v>1571</v>
      </c>
      <c r="AO373" s="115" t="s">
        <v>381</v>
      </c>
      <c r="AT373" s="115" t="s">
        <v>1415</v>
      </c>
      <c r="AU373" s="115" t="s">
        <v>2114</v>
      </c>
      <c r="AV373" s="115">
        <v>15</v>
      </c>
      <c r="AW373" s="115" t="s">
        <v>499</v>
      </c>
      <c r="AX373" s="115" t="s">
        <v>28</v>
      </c>
      <c r="AY373" s="115" t="s">
        <v>1846</v>
      </c>
      <c r="AZ373" s="115" t="s">
        <v>1898</v>
      </c>
      <c r="BA373" s="115"/>
      <c r="BB373" s="115"/>
      <c r="BC373" s="115">
        <v>1899.5393236249997</v>
      </c>
      <c r="BD373" s="115"/>
      <c r="BE373" s="115"/>
      <c r="BF373" s="115"/>
      <c r="BG373" s="115"/>
      <c r="BH373" s="115"/>
      <c r="BI373" s="115"/>
      <c r="BJ373" s="115"/>
      <c r="BK373" s="115"/>
      <c r="BL373" s="115"/>
      <c r="BM373" s="115"/>
      <c r="BN373" s="115"/>
      <c r="BO373" s="115"/>
      <c r="BP373" s="115"/>
      <c r="DA373" s="115"/>
      <c r="DB373" s="115"/>
      <c r="DR373" s="214"/>
      <c r="DY373" s="115"/>
      <c r="DZ373" s="334"/>
      <c r="EA373" s="334"/>
      <c r="EB373" s="334"/>
      <c r="EC373" s="334"/>
      <c r="ED373" s="187"/>
      <c r="EE373" s="330"/>
      <c r="EH373" s="334"/>
      <c r="EI373" s="334"/>
      <c r="EM373"/>
      <c r="EO373" s="115"/>
      <c r="EP373" s="334" t="s">
        <v>1415</v>
      </c>
      <c r="EQ373" s="334" t="s">
        <v>2114</v>
      </c>
      <c r="ER373" s="334" t="s">
        <v>1410</v>
      </c>
      <c r="ES373" s="334" t="s">
        <v>385</v>
      </c>
      <c r="ET373" s="334">
        <v>2023.47</v>
      </c>
      <c r="EU373" s="334" t="s">
        <v>397</v>
      </c>
      <c r="EV373" s="334">
        <v>53099.63</v>
      </c>
    </row>
    <row r="374" spans="9:152" ht="13">
      <c r="I374" s="115" t="s">
        <v>1523</v>
      </c>
      <c r="J374" s="115" t="s">
        <v>1355</v>
      </c>
      <c r="K374" s="183" t="s">
        <v>1520</v>
      </c>
      <c r="AI374" s="115" t="s">
        <v>1416</v>
      </c>
      <c r="AJ374" t="s">
        <v>2114</v>
      </c>
      <c r="AK374" s="115">
        <v>0</v>
      </c>
      <c r="AL374" s="115" t="s">
        <v>28</v>
      </c>
      <c r="AM374" s="115" t="s">
        <v>1846</v>
      </c>
      <c r="AN374" s="115" t="s">
        <v>1571</v>
      </c>
      <c r="AO374" s="115" t="s">
        <v>381</v>
      </c>
      <c r="AT374" s="115" t="s">
        <v>1415</v>
      </c>
      <c r="AU374" s="115" t="s">
        <v>2114</v>
      </c>
      <c r="AV374" s="115">
        <v>15</v>
      </c>
      <c r="AW374" s="115" t="s">
        <v>499</v>
      </c>
      <c r="AX374" s="115" t="s">
        <v>28</v>
      </c>
      <c r="AY374" s="115" t="s">
        <v>1848</v>
      </c>
      <c r="AZ374" s="115" t="s">
        <v>1898</v>
      </c>
      <c r="BA374" s="115"/>
      <c r="BB374" s="115"/>
      <c r="BC374" s="115">
        <v>11201.860087687499</v>
      </c>
      <c r="BD374" s="115"/>
      <c r="BE374" s="115"/>
      <c r="BF374" s="115"/>
      <c r="BG374" s="115"/>
      <c r="BH374" s="115"/>
      <c r="BI374" s="115"/>
      <c r="BJ374" s="115"/>
      <c r="BK374" s="115"/>
      <c r="BL374" s="115"/>
      <c r="BM374" s="115"/>
      <c r="BN374" s="115"/>
      <c r="BO374" s="115"/>
      <c r="BP374" s="115"/>
      <c r="DA374" s="115"/>
      <c r="DB374" s="115"/>
      <c r="DR374" s="214"/>
      <c r="DY374" s="115"/>
      <c r="DZ374" s="334"/>
      <c r="EA374" s="334"/>
      <c r="EB374" s="334"/>
      <c r="EC374" s="334"/>
      <c r="ED374" s="187"/>
      <c r="EE374" s="330"/>
      <c r="EH374" s="334"/>
      <c r="EI374" s="334"/>
      <c r="EM374"/>
      <c r="EO374" s="115"/>
      <c r="EP374" s="334" t="s">
        <v>1415</v>
      </c>
      <c r="EQ374" s="334" t="s">
        <v>2114</v>
      </c>
      <c r="ER374" s="334" t="s">
        <v>1410</v>
      </c>
      <c r="ES374" s="334" t="s">
        <v>385</v>
      </c>
      <c r="ET374" s="334">
        <v>2023.47</v>
      </c>
      <c r="EU374" s="334" t="s">
        <v>1382</v>
      </c>
      <c r="EV374" s="334">
        <v>53099.63</v>
      </c>
    </row>
    <row r="375" spans="9:152" ht="13">
      <c r="I375" s="115" t="s">
        <v>1523</v>
      </c>
      <c r="J375" s="115" t="s">
        <v>1361</v>
      </c>
      <c r="K375" s="183">
        <v>69.23</v>
      </c>
      <c r="AI375" s="115" t="s">
        <v>1416</v>
      </c>
      <c r="AJ375" t="s">
        <v>2114</v>
      </c>
      <c r="AK375" s="115">
        <v>0</v>
      </c>
      <c r="AL375" s="115" t="s">
        <v>28</v>
      </c>
      <c r="AM375" s="115" t="s">
        <v>1848</v>
      </c>
      <c r="AN375" s="115" t="s">
        <v>1571</v>
      </c>
      <c r="AO375" s="115" t="s">
        <v>381</v>
      </c>
      <c r="AT375" s="115" t="s">
        <v>1415</v>
      </c>
      <c r="AU375" s="115" t="s">
        <v>2114</v>
      </c>
      <c r="AV375" s="115">
        <v>15</v>
      </c>
      <c r="AW375" s="115" t="s">
        <v>499</v>
      </c>
      <c r="AX375" s="115" t="s">
        <v>28</v>
      </c>
      <c r="AY375" s="115" t="s">
        <v>1843</v>
      </c>
      <c r="AZ375" s="115" t="s">
        <v>1898</v>
      </c>
      <c r="BA375" s="115"/>
      <c r="BB375" s="115"/>
      <c r="BC375" s="115">
        <v>12984.658350515465</v>
      </c>
      <c r="BD375" s="115"/>
      <c r="BE375" s="115"/>
      <c r="BF375" s="115"/>
      <c r="BG375" s="115"/>
      <c r="BH375" s="115"/>
      <c r="BI375" s="115"/>
      <c r="BJ375" s="115"/>
      <c r="BK375" s="115"/>
      <c r="BL375" s="115"/>
      <c r="BM375" s="115"/>
      <c r="BN375" s="115"/>
      <c r="BO375" s="115"/>
      <c r="BP375" s="115"/>
      <c r="DA375" s="115"/>
      <c r="DB375" s="115"/>
      <c r="DR375" s="214"/>
      <c r="DY375" s="115"/>
      <c r="DZ375" s="334"/>
      <c r="EA375" s="334"/>
      <c r="EB375" s="334"/>
      <c r="EC375" s="334"/>
      <c r="ED375" s="187"/>
      <c r="EE375" s="330"/>
      <c r="EH375" s="334"/>
      <c r="EI375" s="334"/>
      <c r="EM375"/>
      <c r="EO375" s="115"/>
      <c r="EP375" s="334" t="s">
        <v>1415</v>
      </c>
      <c r="EQ375" s="334" t="s">
        <v>2114</v>
      </c>
      <c r="ER375" s="334" t="s">
        <v>1410</v>
      </c>
      <c r="ES375" s="334" t="s">
        <v>385</v>
      </c>
      <c r="ET375" s="334">
        <v>2024.44</v>
      </c>
      <c r="EU375" s="334" t="s">
        <v>397</v>
      </c>
      <c r="EV375" s="334">
        <v>54211.94</v>
      </c>
    </row>
    <row r="376" spans="9:152" ht="13">
      <c r="I376" s="115" t="s">
        <v>1523</v>
      </c>
      <c r="J376" s="115" t="s">
        <v>1364</v>
      </c>
      <c r="K376" s="183">
        <v>300</v>
      </c>
      <c r="AI376" s="115" t="s">
        <v>1416</v>
      </c>
      <c r="AJ376" t="s">
        <v>2114</v>
      </c>
      <c r="AK376" s="115">
        <v>0</v>
      </c>
      <c r="AL376" s="115" t="s">
        <v>28</v>
      </c>
      <c r="AM376" s="115" t="s">
        <v>1832</v>
      </c>
      <c r="AN376" s="115" t="s">
        <v>1571</v>
      </c>
      <c r="AO376" s="115" t="s">
        <v>381</v>
      </c>
      <c r="AT376" s="115" t="s">
        <v>1415</v>
      </c>
      <c r="AU376" s="115" t="s">
        <v>2114</v>
      </c>
      <c r="AV376" s="115">
        <v>15</v>
      </c>
      <c r="AW376" s="115" t="s">
        <v>499</v>
      </c>
      <c r="AX376" s="115" t="s">
        <v>28</v>
      </c>
      <c r="AY376" s="115" t="s">
        <v>1849</v>
      </c>
      <c r="AZ376" s="115" t="s">
        <v>1898</v>
      </c>
      <c r="BA376" s="115"/>
      <c r="BB376" s="115"/>
      <c r="BC376" s="115">
        <v>84.086874999999992</v>
      </c>
      <c r="BD376" s="115"/>
      <c r="BE376" s="115"/>
      <c r="BF376" s="115"/>
      <c r="BG376" s="115"/>
      <c r="BH376" s="115"/>
      <c r="BI376" s="115"/>
      <c r="BJ376" s="115"/>
      <c r="BK376" s="115"/>
      <c r="BL376" s="115"/>
      <c r="BM376" s="115"/>
      <c r="BN376" s="115"/>
      <c r="BO376" s="115"/>
      <c r="BP376" s="115"/>
      <c r="DA376" s="115"/>
      <c r="DB376" s="115"/>
      <c r="DR376" s="214"/>
      <c r="DY376" s="115"/>
      <c r="DZ376" s="334"/>
      <c r="EA376" s="334"/>
      <c r="EB376" s="334"/>
      <c r="EC376" s="334"/>
      <c r="ED376" s="187"/>
      <c r="EE376" s="330"/>
      <c r="EH376" s="334"/>
      <c r="EI376" s="334"/>
      <c r="EM376"/>
      <c r="EO376" s="115"/>
      <c r="EP376" s="334" t="s">
        <v>1415</v>
      </c>
      <c r="EQ376" s="334" t="s">
        <v>2114</v>
      </c>
      <c r="ER376" s="334" t="s">
        <v>1410</v>
      </c>
      <c r="ES376" s="334" t="s">
        <v>385</v>
      </c>
      <c r="ET376" s="334">
        <v>2024.44</v>
      </c>
      <c r="EU376" s="334" t="s">
        <v>1382</v>
      </c>
      <c r="EV376" s="334">
        <v>54211.94</v>
      </c>
    </row>
    <row r="377" spans="9:152" ht="13">
      <c r="I377" s="115" t="s">
        <v>1523</v>
      </c>
      <c r="J377" s="115" t="s">
        <v>1367</v>
      </c>
      <c r="K377" s="183">
        <v>8</v>
      </c>
      <c r="AI377" s="115" t="s">
        <v>1416</v>
      </c>
      <c r="AJ377" t="s">
        <v>2114</v>
      </c>
      <c r="AK377" s="115">
        <v>0</v>
      </c>
      <c r="AL377" s="115" t="s">
        <v>28</v>
      </c>
      <c r="AM377" s="115" t="s">
        <v>1843</v>
      </c>
      <c r="AN377" s="115" t="s">
        <v>1571</v>
      </c>
      <c r="AO377" s="115" t="s">
        <v>381</v>
      </c>
      <c r="AT377" s="115" t="s">
        <v>1415</v>
      </c>
      <c r="AU377" s="115" t="s">
        <v>2114</v>
      </c>
      <c r="AV377" s="115">
        <v>15</v>
      </c>
      <c r="AW377" s="115" t="s">
        <v>499</v>
      </c>
      <c r="AX377" s="115" t="s">
        <v>28</v>
      </c>
      <c r="AY377" s="115" t="s">
        <v>1850</v>
      </c>
      <c r="AZ377" s="115" t="s">
        <v>1898</v>
      </c>
      <c r="BA377" s="115"/>
      <c r="BB377" s="115"/>
      <c r="BC377" s="115">
        <v>252.26062499999998</v>
      </c>
      <c r="BD377" s="115"/>
      <c r="BE377" s="115"/>
      <c r="BF377" s="115"/>
      <c r="BG377" s="115"/>
      <c r="BH377" s="115"/>
      <c r="BI377" s="115"/>
      <c r="BJ377" s="115"/>
      <c r="BK377" s="115"/>
      <c r="BL377" s="115"/>
      <c r="BM377" s="115"/>
      <c r="BN377" s="115"/>
      <c r="BO377" s="115"/>
      <c r="BP377" s="115"/>
      <c r="DA377" s="115"/>
      <c r="DB377" s="115"/>
      <c r="DR377" s="214"/>
      <c r="DY377" s="115"/>
      <c r="DZ377" s="334"/>
      <c r="EA377" s="334"/>
      <c r="EB377" s="334"/>
      <c r="EC377" s="334"/>
      <c r="ED377" s="187"/>
      <c r="EE377" s="330"/>
      <c r="EH377" s="334"/>
      <c r="EI377" s="334"/>
      <c r="EM377"/>
      <c r="EO377" s="115"/>
      <c r="EP377" s="334" t="s">
        <v>1415</v>
      </c>
      <c r="EQ377" s="334" t="s">
        <v>2114</v>
      </c>
      <c r="ER377" s="334" t="s">
        <v>1410</v>
      </c>
      <c r="ES377" s="334" t="s">
        <v>385</v>
      </c>
      <c r="ET377" s="334">
        <v>2024.48</v>
      </c>
      <c r="EU377" s="334" t="s">
        <v>397</v>
      </c>
      <c r="EV377" s="334">
        <v>54211.94</v>
      </c>
    </row>
    <row r="378" spans="9:152" ht="13">
      <c r="I378" s="115" t="s">
        <v>1523</v>
      </c>
      <c r="J378" s="115" t="s">
        <v>1362</v>
      </c>
      <c r="K378" s="183">
        <v>95</v>
      </c>
      <c r="AI378" s="115" t="s">
        <v>1416</v>
      </c>
      <c r="AJ378" t="s">
        <v>2114</v>
      </c>
      <c r="AK378" s="115">
        <v>0</v>
      </c>
      <c r="AL378" s="115" t="s">
        <v>28</v>
      </c>
      <c r="AM378" s="115" t="s">
        <v>1850</v>
      </c>
      <c r="AN378" s="115" t="s">
        <v>1571</v>
      </c>
      <c r="AO378" s="115" t="s">
        <v>381</v>
      </c>
      <c r="AT378" s="115" t="s">
        <v>1415</v>
      </c>
      <c r="AU378" s="115" t="s">
        <v>2114</v>
      </c>
      <c r="AV378" s="115">
        <v>15</v>
      </c>
      <c r="AW378" s="115" t="s">
        <v>499</v>
      </c>
      <c r="AX378" s="115" t="s">
        <v>28</v>
      </c>
      <c r="AY378" s="115" t="s">
        <v>1832</v>
      </c>
      <c r="AZ378" s="115" t="s">
        <v>1898</v>
      </c>
      <c r="BA378" s="115"/>
      <c r="BB378" s="115"/>
      <c r="BC378" s="115">
        <v>346.75</v>
      </c>
      <c r="BD378" s="115"/>
      <c r="BE378" s="115"/>
      <c r="BF378" s="115"/>
      <c r="BG378" s="115"/>
      <c r="BH378" s="115"/>
      <c r="BI378" s="115"/>
      <c r="BJ378" s="115"/>
      <c r="BK378" s="115"/>
      <c r="BL378" s="115"/>
      <c r="BM378" s="115"/>
      <c r="BN378" s="115"/>
      <c r="BO378" s="115"/>
      <c r="BP378" s="115"/>
      <c r="DA378" s="115"/>
      <c r="DB378" s="115"/>
      <c r="DR378" s="214"/>
      <c r="DY378" s="115"/>
      <c r="DZ378" s="334"/>
      <c r="EA378" s="334"/>
      <c r="EB378" s="334"/>
      <c r="EC378" s="334"/>
      <c r="ED378" s="187"/>
      <c r="EE378" s="330"/>
      <c r="EH378" s="334"/>
      <c r="EI378" s="334"/>
      <c r="EM378"/>
      <c r="EO378" s="115"/>
      <c r="EP378" s="334" t="s">
        <v>1415</v>
      </c>
      <c r="EQ378" s="334" t="s">
        <v>2114</v>
      </c>
      <c r="ER378" s="334" t="s">
        <v>1410</v>
      </c>
      <c r="ES378" s="334" t="s">
        <v>385</v>
      </c>
      <c r="ET378" s="334">
        <v>2024.48</v>
      </c>
      <c r="EU378" s="334" t="s">
        <v>1382</v>
      </c>
      <c r="EV378" s="334">
        <v>54010.65</v>
      </c>
    </row>
    <row r="379" spans="9:152" ht="13">
      <c r="I379" s="115" t="s">
        <v>1523</v>
      </c>
      <c r="J379" s="115" t="s">
        <v>1368</v>
      </c>
      <c r="K379" s="183">
        <v>11.5</v>
      </c>
      <c r="AI379" s="115" t="s">
        <v>1416</v>
      </c>
      <c r="AJ379" t="s">
        <v>2114</v>
      </c>
      <c r="AK379" s="115">
        <v>0</v>
      </c>
      <c r="AL379" s="115" t="s">
        <v>28</v>
      </c>
      <c r="AM379" s="115" t="s">
        <v>1843</v>
      </c>
      <c r="AN379" s="115" t="s">
        <v>1571</v>
      </c>
      <c r="AO379" s="115" t="s">
        <v>379</v>
      </c>
      <c r="AT379" s="115" t="s">
        <v>1415</v>
      </c>
      <c r="AU379" s="115" t="s">
        <v>2114</v>
      </c>
      <c r="AV379" s="115">
        <v>15</v>
      </c>
      <c r="AW379" s="115" t="s">
        <v>499</v>
      </c>
      <c r="AX379" s="115" t="s">
        <v>28</v>
      </c>
      <c r="AY379" s="115" t="s">
        <v>1846</v>
      </c>
      <c r="AZ379" s="115" t="s">
        <v>1899</v>
      </c>
      <c r="BA379" s="115"/>
      <c r="BB379" s="115"/>
      <c r="BC379" s="115">
        <v>516.31313987499993</v>
      </c>
      <c r="BD379" s="115"/>
      <c r="BE379" s="115"/>
      <c r="BF379" s="115"/>
      <c r="BG379" s="115"/>
      <c r="BH379" s="115">
        <v>15140.4737077056</v>
      </c>
      <c r="BI379" s="115">
        <v>1700.1480291900002</v>
      </c>
      <c r="BJ379" s="115">
        <v>198.28367519999998</v>
      </c>
      <c r="BK379" s="115"/>
      <c r="BL379" s="115"/>
      <c r="BM379" s="115">
        <v>1391.9999999999995</v>
      </c>
      <c r="BN379" s="115"/>
      <c r="BO379" s="115"/>
      <c r="BP379" s="115"/>
      <c r="DA379" s="115"/>
      <c r="DB379" s="115"/>
      <c r="DR379" s="214"/>
      <c r="DY379" s="115"/>
      <c r="DZ379" s="334"/>
      <c r="EA379" s="334"/>
      <c r="EB379" s="334"/>
      <c r="EC379" s="334"/>
      <c r="ED379" s="187"/>
      <c r="EE379" s="330"/>
      <c r="EH379" s="334"/>
      <c r="EI379" s="334"/>
      <c r="EM379"/>
      <c r="EO379" s="115"/>
      <c r="EP379" s="334" t="s">
        <v>1415</v>
      </c>
      <c r="EQ379" s="334" t="s">
        <v>2114</v>
      </c>
      <c r="ER379" s="334" t="s">
        <v>1410</v>
      </c>
      <c r="ES379" s="334" t="s">
        <v>2164</v>
      </c>
      <c r="ET379" s="334">
        <v>2024.48</v>
      </c>
      <c r="EU379" s="334" t="s">
        <v>397</v>
      </c>
      <c r="EV379" s="334">
        <v>0</v>
      </c>
    </row>
    <row r="380" spans="9:152" ht="13">
      <c r="I380" s="115" t="s">
        <v>1523</v>
      </c>
      <c r="J380" s="115" t="s">
        <v>1360</v>
      </c>
      <c r="K380" s="183">
        <v>0.4</v>
      </c>
      <c r="AI380" s="115" t="s">
        <v>1416</v>
      </c>
      <c r="AJ380" t="s">
        <v>2114</v>
      </c>
      <c r="AK380" s="115">
        <v>0</v>
      </c>
      <c r="AL380" s="115" t="s">
        <v>28</v>
      </c>
      <c r="AM380" s="115" t="s">
        <v>1846</v>
      </c>
      <c r="AN380" s="115" t="s">
        <v>1571</v>
      </c>
      <c r="AO380" s="115" t="s">
        <v>379</v>
      </c>
      <c r="AT380" s="115" t="s">
        <v>1415</v>
      </c>
      <c r="AU380" s="115" t="s">
        <v>2114</v>
      </c>
      <c r="AV380" s="115">
        <v>15</v>
      </c>
      <c r="AW380" s="115" t="s">
        <v>499</v>
      </c>
      <c r="AX380" s="115" t="s">
        <v>28</v>
      </c>
      <c r="AY380" s="115" t="s">
        <v>1848</v>
      </c>
      <c r="AZ380" s="115" t="s">
        <v>1899</v>
      </c>
      <c r="BA380" s="115"/>
      <c r="BB380" s="115"/>
      <c r="BC380" s="115">
        <v>3044.7737945624995</v>
      </c>
      <c r="BD380" s="115"/>
      <c r="BE380" s="115"/>
      <c r="BF380" s="115"/>
      <c r="BG380" s="115"/>
      <c r="BH380" s="115">
        <v>1109.1023534841599</v>
      </c>
      <c r="BI380" s="115">
        <v>624.58774814999992</v>
      </c>
      <c r="BJ380" s="115">
        <v>995.99509305000004</v>
      </c>
      <c r="BK380" s="115"/>
      <c r="BL380" s="115"/>
      <c r="BM380" s="115"/>
      <c r="BN380" s="115"/>
      <c r="BO380" s="115"/>
      <c r="BP380" s="115"/>
      <c r="DA380" s="115"/>
      <c r="DB380" s="115"/>
      <c r="DR380" s="214"/>
      <c r="DY380" s="115"/>
      <c r="DZ380" s="334"/>
      <c r="EA380" s="334"/>
      <c r="EB380" s="334"/>
      <c r="EC380" s="334"/>
      <c r="ED380" s="187"/>
      <c r="EE380" s="330"/>
      <c r="EH380" s="334"/>
      <c r="EI380" s="334"/>
      <c r="EM380"/>
      <c r="EO380" s="115"/>
      <c r="EP380" s="334" t="s">
        <v>1415</v>
      </c>
      <c r="EQ380" s="334" t="s">
        <v>2114</v>
      </c>
      <c r="ER380" s="334" t="s">
        <v>1410</v>
      </c>
      <c r="ES380" s="334" t="s">
        <v>2164</v>
      </c>
      <c r="ET380" s="334">
        <v>2024.48</v>
      </c>
      <c r="EU380" s="334" t="s">
        <v>1382</v>
      </c>
      <c r="EV380" s="334">
        <v>4205.49</v>
      </c>
    </row>
    <row r="381" spans="9:152" ht="13">
      <c r="I381" s="115" t="s">
        <v>1523</v>
      </c>
      <c r="J381" s="115" t="s">
        <v>1358</v>
      </c>
      <c r="K381" s="183" t="s">
        <v>375</v>
      </c>
      <c r="AI381" s="115" t="s">
        <v>1416</v>
      </c>
      <c r="AJ381" t="s">
        <v>2114</v>
      </c>
      <c r="AK381" s="115">
        <v>0</v>
      </c>
      <c r="AL381" s="115" t="s">
        <v>28</v>
      </c>
      <c r="AM381" s="115" t="s">
        <v>1849</v>
      </c>
      <c r="AN381" s="115" t="s">
        <v>1571</v>
      </c>
      <c r="AO381" s="115" t="s">
        <v>379</v>
      </c>
      <c r="AT381" s="115" t="s">
        <v>1415</v>
      </c>
      <c r="AU381" s="115" t="s">
        <v>2114</v>
      </c>
      <c r="AV381" s="115">
        <v>15</v>
      </c>
      <c r="AW381" s="115" t="s">
        <v>499</v>
      </c>
      <c r="AX381" s="115" t="s">
        <v>28</v>
      </c>
      <c r="AY381" s="115" t="s">
        <v>1843</v>
      </c>
      <c r="AZ381" s="115" t="s">
        <v>1899</v>
      </c>
      <c r="BA381" s="115"/>
      <c r="BB381" s="115"/>
      <c r="BC381" s="115">
        <v>3529.3555670103096</v>
      </c>
      <c r="BD381" s="115"/>
      <c r="BE381" s="115"/>
      <c r="BF381" s="115"/>
      <c r="BG381" s="115"/>
      <c r="BH381" s="115">
        <v>15349.565202061856</v>
      </c>
      <c r="BI381" s="115">
        <v>2033.5927835051548</v>
      </c>
      <c r="BJ381" s="115">
        <v>1183.428350515464</v>
      </c>
      <c r="BK381" s="115"/>
      <c r="BL381" s="115"/>
      <c r="BM381" s="115">
        <v>1391.9999999999995</v>
      </c>
      <c r="BN381" s="115"/>
      <c r="BO381" s="115"/>
      <c r="BP381" s="115"/>
      <c r="DA381" s="115"/>
      <c r="DB381" s="115"/>
      <c r="DR381" s="214"/>
      <c r="DY381" s="115"/>
      <c r="DZ381" s="334"/>
      <c r="EA381" s="334"/>
      <c r="EB381" s="334"/>
      <c r="EC381" s="334"/>
      <c r="ED381" s="187"/>
      <c r="EE381" s="330"/>
      <c r="EH381" s="334"/>
      <c r="EI381" s="334"/>
      <c r="EM381"/>
      <c r="EO381" s="115"/>
      <c r="EP381" s="334" t="s">
        <v>1415</v>
      </c>
      <c r="EQ381" s="334" t="s">
        <v>2114</v>
      </c>
      <c r="ER381" s="334" t="s">
        <v>1410</v>
      </c>
      <c r="ES381" s="334" t="s">
        <v>2164</v>
      </c>
      <c r="ET381" s="334">
        <v>2025.03</v>
      </c>
      <c r="EU381" s="334" t="s">
        <v>397</v>
      </c>
      <c r="EV381" s="334">
        <v>0</v>
      </c>
    </row>
    <row r="382" spans="9:152" ht="13">
      <c r="I382" s="115" t="s">
        <v>1523</v>
      </c>
      <c r="J382" s="115" t="s">
        <v>1354</v>
      </c>
      <c r="K382" s="183">
        <v>45112</v>
      </c>
      <c r="AI382" s="115" t="s">
        <v>1416</v>
      </c>
      <c r="AJ382" t="s">
        <v>2114</v>
      </c>
      <c r="AK382" s="115">
        <v>0</v>
      </c>
      <c r="AL382" s="115" t="s">
        <v>28</v>
      </c>
      <c r="AM382" s="115" t="s">
        <v>1832</v>
      </c>
      <c r="AN382" s="115" t="s">
        <v>1571</v>
      </c>
      <c r="AO382" s="115" t="s">
        <v>379</v>
      </c>
      <c r="AT382" s="115" t="s">
        <v>1415</v>
      </c>
      <c r="AU382" s="115" t="s">
        <v>2114</v>
      </c>
      <c r="AV382" s="115">
        <v>15</v>
      </c>
      <c r="AW382" s="115" t="s">
        <v>499</v>
      </c>
      <c r="AX382" s="115" t="s">
        <v>28</v>
      </c>
      <c r="AY382" s="115" t="s">
        <v>1849</v>
      </c>
      <c r="AZ382" s="115" t="s">
        <v>1899</v>
      </c>
      <c r="BA382" s="115"/>
      <c r="BB382" s="115"/>
      <c r="BC382" s="115">
        <v>22.855624999999996</v>
      </c>
      <c r="BD382" s="115"/>
      <c r="BE382" s="115"/>
      <c r="BF382" s="115"/>
      <c r="BG382" s="115"/>
      <c r="BH382" s="115">
        <v>229.3028784</v>
      </c>
      <c r="BI382" s="115">
        <v>48.858900000000006</v>
      </c>
      <c r="BJ382" s="115">
        <v>2.4734999999999996</v>
      </c>
      <c r="BK382" s="115"/>
      <c r="BL382" s="115"/>
      <c r="BM382" s="115"/>
      <c r="BN382" s="115"/>
      <c r="BO382" s="115"/>
      <c r="BP382" s="115"/>
      <c r="DA382" s="115"/>
      <c r="DB382" s="115"/>
      <c r="DR382" s="214"/>
      <c r="DY382" s="115"/>
      <c r="DZ382" s="334"/>
      <c r="EA382" s="334"/>
      <c r="EB382" s="334"/>
      <c r="EC382" s="334"/>
      <c r="ED382" s="187"/>
      <c r="EE382" s="330"/>
      <c r="EH382" s="334"/>
      <c r="EI382" s="334"/>
      <c r="EM382"/>
      <c r="EO382" s="115"/>
      <c r="EP382" s="334" t="s">
        <v>1415</v>
      </c>
      <c r="EQ382" s="334" t="s">
        <v>2114</v>
      </c>
      <c r="ER382" s="334" t="s">
        <v>1410</v>
      </c>
      <c r="ES382" s="334" t="s">
        <v>2164</v>
      </c>
      <c r="ET382" s="334">
        <v>2025.03</v>
      </c>
      <c r="EU382" s="334" t="s">
        <v>1382</v>
      </c>
      <c r="EV382" s="334">
        <v>122311.72</v>
      </c>
    </row>
    <row r="383" spans="9:152" ht="13">
      <c r="I383" s="115" t="s">
        <v>1523</v>
      </c>
      <c r="J383" s="115" t="s">
        <v>1365</v>
      </c>
      <c r="K383" s="183">
        <v>15</v>
      </c>
      <c r="AI383" s="115" t="s">
        <v>1416</v>
      </c>
      <c r="AJ383" t="s">
        <v>2114</v>
      </c>
      <c r="AK383" s="115">
        <v>0</v>
      </c>
      <c r="AL383" s="115" t="s">
        <v>28</v>
      </c>
      <c r="AM383" s="115" t="s">
        <v>1850</v>
      </c>
      <c r="AN383" s="115" t="s">
        <v>1571</v>
      </c>
      <c r="AO383" s="115" t="s">
        <v>379</v>
      </c>
      <c r="AT383" s="115" t="s">
        <v>1415</v>
      </c>
      <c r="AU383" s="115" t="s">
        <v>2114</v>
      </c>
      <c r="AV383" s="115">
        <v>15</v>
      </c>
      <c r="AW383" s="115" t="s">
        <v>499</v>
      </c>
      <c r="AX383" s="115" t="s">
        <v>28</v>
      </c>
      <c r="AY383" s="115" t="s">
        <v>1850</v>
      </c>
      <c r="AZ383" s="115" t="s">
        <v>1899</v>
      </c>
      <c r="BA383" s="115"/>
      <c r="BB383" s="115"/>
      <c r="BC383" s="115">
        <v>68.566874999999982</v>
      </c>
      <c r="BD383" s="115"/>
      <c r="BE383" s="115"/>
      <c r="BF383" s="115"/>
      <c r="BG383" s="115"/>
      <c r="BH383" s="115">
        <v>25.478097599999998</v>
      </c>
      <c r="BI383" s="115">
        <v>16.286300000000001</v>
      </c>
      <c r="BJ383" s="115">
        <v>22.261500000000002</v>
      </c>
      <c r="BK383" s="115"/>
      <c r="BL383" s="115"/>
      <c r="BM383" s="115"/>
      <c r="BN383" s="115"/>
      <c r="BO383" s="115"/>
      <c r="BP383" s="115"/>
      <c r="DA383" s="115"/>
      <c r="DB383" s="115"/>
      <c r="DR383" s="214"/>
      <c r="DY383" s="115"/>
      <c r="DZ383" s="334"/>
      <c r="EA383" s="334"/>
      <c r="EB383" s="334"/>
      <c r="EC383" s="334"/>
      <c r="ED383" s="187"/>
      <c r="EE383" s="330"/>
      <c r="EH383" s="334"/>
      <c r="EI383" s="334"/>
      <c r="EM383"/>
      <c r="EO383" s="115"/>
      <c r="EP383" s="334" t="s">
        <v>1415</v>
      </c>
      <c r="EQ383" s="334" t="s">
        <v>2114</v>
      </c>
      <c r="ER383" s="334" t="s">
        <v>1410</v>
      </c>
      <c r="ES383" s="334" t="s">
        <v>380</v>
      </c>
      <c r="ET383" s="334">
        <v>2023.47</v>
      </c>
      <c r="EU383" s="334" t="s">
        <v>397</v>
      </c>
      <c r="EV383" s="334">
        <v>153804.73509999999</v>
      </c>
    </row>
    <row r="384" spans="9:152" ht="13">
      <c r="I384" s="115" t="s">
        <v>1523</v>
      </c>
      <c r="J384" s="115" t="s">
        <v>1356</v>
      </c>
      <c r="K384" s="183" t="s">
        <v>1359</v>
      </c>
      <c r="AI384" s="115" t="s">
        <v>1416</v>
      </c>
      <c r="AJ384" t="s">
        <v>2114</v>
      </c>
      <c r="AK384" s="115">
        <v>0</v>
      </c>
      <c r="AL384" s="115" t="s">
        <v>28</v>
      </c>
      <c r="AM384" s="115" t="s">
        <v>1848</v>
      </c>
      <c r="AN384" s="115" t="s">
        <v>1571</v>
      </c>
      <c r="AO384" s="115" t="s">
        <v>379</v>
      </c>
      <c r="AT384" s="115" t="s">
        <v>1415</v>
      </c>
      <c r="AU384" s="115" t="s">
        <v>2114</v>
      </c>
      <c r="AV384" s="115">
        <v>15</v>
      </c>
      <c r="AW384" s="115" t="s">
        <v>499</v>
      </c>
      <c r="AX384" s="115" t="s">
        <v>28</v>
      </c>
      <c r="AY384" s="115" t="s">
        <v>1832</v>
      </c>
      <c r="AZ384" s="115" t="s">
        <v>1899</v>
      </c>
      <c r="BA384" s="115"/>
      <c r="BB384" s="115"/>
      <c r="BC384" s="115">
        <v>94.249999999999986</v>
      </c>
      <c r="BD384" s="115"/>
      <c r="BE384" s="115"/>
      <c r="BF384" s="115"/>
      <c r="BG384" s="115"/>
      <c r="BH384" s="115">
        <v>262.66079999999999</v>
      </c>
      <c r="BI384" s="115">
        <v>67.160000000000011</v>
      </c>
      <c r="BJ384" s="115">
        <v>25.500000000000004</v>
      </c>
      <c r="BK384" s="115"/>
      <c r="BL384" s="115"/>
      <c r="BM384" s="115"/>
      <c r="BN384" s="115"/>
      <c r="BO384" s="115"/>
      <c r="BP384" s="115"/>
      <c r="DA384" s="115"/>
      <c r="DB384" s="115"/>
      <c r="DR384" s="214"/>
      <c r="DY384" s="115"/>
      <c r="DZ384" s="334"/>
      <c r="EA384" s="334"/>
      <c r="EB384" s="334"/>
      <c r="EC384" s="334"/>
      <c r="ED384" s="187"/>
      <c r="EE384" s="330"/>
      <c r="EH384" s="334"/>
      <c r="EI384" s="334"/>
      <c r="EM384"/>
      <c r="EO384" s="115"/>
      <c r="EP384" s="334" t="s">
        <v>1415</v>
      </c>
      <c r="EQ384" s="334" t="s">
        <v>2114</v>
      </c>
      <c r="ER384" s="334" t="s">
        <v>1410</v>
      </c>
      <c r="ES384" s="334" t="s">
        <v>380</v>
      </c>
      <c r="ET384" s="334">
        <v>2023.47</v>
      </c>
      <c r="EU384" s="334" t="s">
        <v>1382</v>
      </c>
      <c r="EV384" s="334">
        <v>153804.73509999999</v>
      </c>
    </row>
    <row r="385" spans="9:152" ht="13">
      <c r="I385" s="115" t="s">
        <v>1523</v>
      </c>
      <c r="J385" s="115" t="s">
        <v>1366</v>
      </c>
      <c r="K385" s="183">
        <v>3</v>
      </c>
      <c r="AI385" s="115" t="s">
        <v>1416</v>
      </c>
      <c r="AJ385" t="s">
        <v>2114</v>
      </c>
      <c r="AK385" s="115">
        <v>0</v>
      </c>
      <c r="AL385" s="115" t="s">
        <v>28</v>
      </c>
      <c r="AM385" s="115" t="s">
        <v>1848</v>
      </c>
      <c r="AN385" s="115" t="s">
        <v>1571</v>
      </c>
      <c r="AO385" s="115" t="s">
        <v>1645</v>
      </c>
      <c r="AT385" s="115" t="s">
        <v>1415</v>
      </c>
      <c r="AU385" s="115" t="s">
        <v>2114</v>
      </c>
      <c r="AV385" s="115">
        <v>15</v>
      </c>
      <c r="AW385" s="115" t="s">
        <v>494</v>
      </c>
      <c r="AX385" s="115" t="s">
        <v>28</v>
      </c>
      <c r="AY385" s="115" t="s">
        <v>1846</v>
      </c>
      <c r="AZ385" s="115" t="s">
        <v>1900</v>
      </c>
      <c r="BA385" s="115"/>
      <c r="BB385" s="115"/>
      <c r="BC385" s="115">
        <v>857.3263277499999</v>
      </c>
      <c r="BD385" s="115"/>
      <c r="BE385" s="115"/>
      <c r="BF385" s="115"/>
      <c r="BG385" s="115"/>
      <c r="BH385" s="115">
        <v>7784.3205085599993</v>
      </c>
      <c r="BI385" s="115">
        <v>1031.7405000000001</v>
      </c>
      <c r="BJ385" s="115"/>
      <c r="BK385" s="115"/>
      <c r="BL385" s="115"/>
      <c r="BM385" s="115">
        <v>10539.711600000001</v>
      </c>
      <c r="BN385" s="115"/>
      <c r="BO385" s="115"/>
      <c r="BP385" s="115"/>
      <c r="DA385" s="115"/>
      <c r="DB385" s="115"/>
      <c r="DR385" s="214"/>
      <c r="DY385" s="115"/>
      <c r="DZ385" s="334"/>
      <c r="EA385" s="334"/>
      <c r="EB385" s="334"/>
      <c r="EC385" s="334"/>
      <c r="ED385" s="187"/>
      <c r="EE385" s="330"/>
      <c r="EH385" s="334"/>
      <c r="EI385" s="334"/>
      <c r="EM385"/>
      <c r="EO385" s="115"/>
      <c r="EP385" s="334" t="s">
        <v>1415</v>
      </c>
      <c r="EQ385" s="334" t="s">
        <v>2114</v>
      </c>
      <c r="ER385" s="334" t="s">
        <v>1410</v>
      </c>
      <c r="ES385" s="334" t="s">
        <v>380</v>
      </c>
      <c r="ET385" s="334">
        <v>2024.44</v>
      </c>
      <c r="EU385" s="334" t="s">
        <v>397</v>
      </c>
      <c r="EV385" s="334">
        <v>159761.7016</v>
      </c>
    </row>
    <row r="386" spans="9:152" ht="13">
      <c r="I386" s="115" t="s">
        <v>1523</v>
      </c>
      <c r="J386" s="115" t="s">
        <v>1357</v>
      </c>
      <c r="K386" s="183">
        <v>9186.7624466840862</v>
      </c>
      <c r="AI386" s="115" t="s">
        <v>1416</v>
      </c>
      <c r="AJ386" t="s">
        <v>2114</v>
      </c>
      <c r="AK386" s="115">
        <v>0</v>
      </c>
      <c r="AL386" s="115" t="s">
        <v>28</v>
      </c>
      <c r="AM386" s="115" t="s">
        <v>1849</v>
      </c>
      <c r="AN386" s="115" t="s">
        <v>1571</v>
      </c>
      <c r="AO386" s="115" t="s">
        <v>1645</v>
      </c>
      <c r="AT386" s="115" t="s">
        <v>1415</v>
      </c>
      <c r="AU386" s="115" t="s">
        <v>2114</v>
      </c>
      <c r="AV386" s="115">
        <v>15</v>
      </c>
      <c r="AW386" s="115" t="s">
        <v>494</v>
      </c>
      <c r="AX386" s="115" t="s">
        <v>28</v>
      </c>
      <c r="AY386" s="115" t="s">
        <v>1848</v>
      </c>
      <c r="AZ386" s="115" t="s">
        <v>1900</v>
      </c>
      <c r="BA386" s="115"/>
      <c r="BB386" s="115"/>
      <c r="BC386" s="115">
        <v>5055.7782371249996</v>
      </c>
      <c r="BD386" s="115"/>
      <c r="BE386" s="115"/>
      <c r="BF386" s="115"/>
      <c r="BG386" s="115"/>
      <c r="BH386" s="115">
        <v>686.50465021599996</v>
      </c>
      <c r="BI386" s="115">
        <v>464.99981249999996</v>
      </c>
      <c r="BJ386" s="115"/>
      <c r="BK386" s="115"/>
      <c r="BL386" s="115"/>
      <c r="BM386" s="115"/>
      <c r="BN386" s="115"/>
      <c r="BO386" s="115"/>
      <c r="BP386" s="115"/>
      <c r="DA386" s="115"/>
      <c r="DB386" s="115"/>
      <c r="DR386" s="214"/>
      <c r="DY386" s="115"/>
      <c r="DZ386" s="334"/>
      <c r="EA386" s="334"/>
      <c r="EB386" s="334"/>
      <c r="EC386" s="334"/>
      <c r="ED386" s="187"/>
      <c r="EE386" s="330"/>
      <c r="EH386" s="334"/>
      <c r="EI386" s="334"/>
      <c r="EM386"/>
      <c r="EO386" s="115"/>
      <c r="EP386" s="334" t="s">
        <v>1415</v>
      </c>
      <c r="EQ386" s="334" t="s">
        <v>2114</v>
      </c>
      <c r="ER386" s="334" t="s">
        <v>1410</v>
      </c>
      <c r="ES386" s="334" t="s">
        <v>380</v>
      </c>
      <c r="ET386" s="334">
        <v>2024.44</v>
      </c>
      <c r="EU386" s="334" t="s">
        <v>1382</v>
      </c>
      <c r="EV386" s="334">
        <v>159761.7016</v>
      </c>
    </row>
    <row r="387" spans="9:152" ht="13">
      <c r="I387" s="115" t="s">
        <v>1525</v>
      </c>
      <c r="J387" s="115" t="s">
        <v>1363</v>
      </c>
      <c r="K387" s="183">
        <v>125</v>
      </c>
      <c r="AI387" s="115" t="s">
        <v>1416</v>
      </c>
      <c r="AJ387" t="s">
        <v>2114</v>
      </c>
      <c r="AK387" s="115">
        <v>0</v>
      </c>
      <c r="AL387" s="115" t="s">
        <v>28</v>
      </c>
      <c r="AM387" s="115" t="s">
        <v>1832</v>
      </c>
      <c r="AN387" s="115" t="s">
        <v>1571</v>
      </c>
      <c r="AO387" s="115" t="s">
        <v>1645</v>
      </c>
      <c r="AT387" s="115" t="s">
        <v>1415</v>
      </c>
      <c r="AU387" s="115" t="s">
        <v>2114</v>
      </c>
      <c r="AV387" s="115">
        <v>15</v>
      </c>
      <c r="AW387" s="115" t="s">
        <v>494</v>
      </c>
      <c r="AX387" s="115" t="s">
        <v>28</v>
      </c>
      <c r="AY387" s="115" t="s">
        <v>1843</v>
      </c>
      <c r="AZ387" s="115" t="s">
        <v>1900</v>
      </c>
      <c r="BA387" s="115"/>
      <c r="BB387" s="115"/>
      <c r="BC387" s="115">
        <v>5860.4153608247425</v>
      </c>
      <c r="BD387" s="115"/>
      <c r="BE387" s="115"/>
      <c r="BF387" s="115"/>
      <c r="BG387" s="115"/>
      <c r="BH387" s="115">
        <v>7913.742474226804</v>
      </c>
      <c r="BI387" s="115">
        <v>1513.9910309278353</v>
      </c>
      <c r="BJ387" s="115"/>
      <c r="BK387" s="115"/>
      <c r="BL387" s="115"/>
      <c r="BM387" s="115">
        <v>10539.711600000001</v>
      </c>
      <c r="BN387" s="115"/>
      <c r="BO387" s="115"/>
      <c r="BP387" s="115"/>
      <c r="DA387" s="115"/>
      <c r="DB387" s="115"/>
      <c r="DR387" s="214"/>
      <c r="DY387" s="115"/>
      <c r="DZ387" s="334"/>
      <c r="EA387" s="334"/>
      <c r="EB387" s="334"/>
      <c r="EC387" s="334"/>
      <c r="ED387" s="187"/>
      <c r="EE387" s="330"/>
      <c r="EH387" s="334"/>
      <c r="EI387" s="334"/>
      <c r="EM387"/>
      <c r="EO387" s="115"/>
      <c r="EP387" s="334" t="s">
        <v>1415</v>
      </c>
      <c r="EQ387" s="334" t="s">
        <v>2114</v>
      </c>
      <c r="ER387" s="334" t="s">
        <v>1410</v>
      </c>
      <c r="ES387" s="334" t="s">
        <v>380</v>
      </c>
      <c r="ET387" s="334">
        <v>2024.48</v>
      </c>
      <c r="EU387" s="334" t="s">
        <v>397</v>
      </c>
      <c r="EV387" s="334">
        <v>159761.7016</v>
      </c>
    </row>
    <row r="388" spans="9:152" ht="13">
      <c r="I388" s="115" t="s">
        <v>1525</v>
      </c>
      <c r="J388" s="115" t="s">
        <v>1353</v>
      </c>
      <c r="K388" s="183" t="s">
        <v>1526</v>
      </c>
      <c r="AI388" s="115" t="s">
        <v>1416</v>
      </c>
      <c r="AJ388" t="s">
        <v>2114</v>
      </c>
      <c r="AK388" s="115">
        <v>0</v>
      </c>
      <c r="AL388" s="115" t="s">
        <v>28</v>
      </c>
      <c r="AM388" s="115" t="s">
        <v>1850</v>
      </c>
      <c r="AN388" s="115" t="s">
        <v>1571</v>
      </c>
      <c r="AO388" s="115" t="s">
        <v>1645</v>
      </c>
      <c r="AT388" s="115" t="s">
        <v>1415</v>
      </c>
      <c r="AU388" s="115" t="s">
        <v>2114</v>
      </c>
      <c r="AV388" s="115">
        <v>15</v>
      </c>
      <c r="AW388" s="115" t="s">
        <v>494</v>
      </c>
      <c r="AX388" s="115" t="s">
        <v>28</v>
      </c>
      <c r="AY388" s="115" t="s">
        <v>1849</v>
      </c>
      <c r="AZ388" s="115" t="s">
        <v>1900</v>
      </c>
      <c r="BA388" s="115"/>
      <c r="BB388" s="115"/>
      <c r="BC388" s="115">
        <v>37.951249999999995</v>
      </c>
      <c r="BD388" s="115"/>
      <c r="BE388" s="115"/>
      <c r="BF388" s="115"/>
      <c r="BG388" s="115"/>
      <c r="BH388" s="115">
        <v>141.93233999999998</v>
      </c>
      <c r="BI388" s="115">
        <v>36.375</v>
      </c>
      <c r="BJ388" s="115"/>
      <c r="BK388" s="115"/>
      <c r="BL388" s="115"/>
      <c r="BM388" s="115"/>
      <c r="BN388" s="115"/>
      <c r="BO388" s="115"/>
      <c r="BP388" s="115"/>
      <c r="DA388" s="115"/>
      <c r="DB388" s="115"/>
      <c r="DR388" s="214"/>
      <c r="DY388" s="115"/>
      <c r="DZ388" s="334"/>
      <c r="EA388" s="334"/>
      <c r="EB388" s="334"/>
      <c r="EC388" s="334"/>
      <c r="ED388" s="187"/>
      <c r="EE388" s="330"/>
      <c r="EH388" s="334"/>
      <c r="EI388" s="334"/>
      <c r="EM388"/>
      <c r="EO388" s="115"/>
      <c r="EP388" s="334" t="s">
        <v>1415</v>
      </c>
      <c r="EQ388" s="334" t="s">
        <v>2114</v>
      </c>
      <c r="ER388" s="334" t="s">
        <v>1410</v>
      </c>
      <c r="ES388" s="334" t="s">
        <v>380</v>
      </c>
      <c r="ET388" s="334">
        <v>2024.48</v>
      </c>
      <c r="EU388" s="334" t="s">
        <v>1382</v>
      </c>
      <c r="EV388" s="334">
        <v>169761.7016</v>
      </c>
    </row>
    <row r="389" spans="9:152" ht="13">
      <c r="I389" s="115" t="s">
        <v>1525</v>
      </c>
      <c r="J389" s="115" t="s">
        <v>1369</v>
      </c>
      <c r="K389" s="183">
        <v>13</v>
      </c>
      <c r="AI389" s="115" t="s">
        <v>1416</v>
      </c>
      <c r="AJ389" t="s">
        <v>2114</v>
      </c>
      <c r="AK389" s="115">
        <v>0</v>
      </c>
      <c r="AL389" s="115" t="s">
        <v>28</v>
      </c>
      <c r="AM389" s="115" t="s">
        <v>1843</v>
      </c>
      <c r="AN389" s="115" t="s">
        <v>1571</v>
      </c>
      <c r="AO389" s="115" t="s">
        <v>1645</v>
      </c>
      <c r="AT389" s="115" t="s">
        <v>1415</v>
      </c>
      <c r="AU389" s="115" t="s">
        <v>2114</v>
      </c>
      <c r="AV389" s="115">
        <v>15</v>
      </c>
      <c r="AW389" s="115" t="s">
        <v>494</v>
      </c>
      <c r="AX389" s="115" t="s">
        <v>28</v>
      </c>
      <c r="AY389" s="115" t="s">
        <v>1850</v>
      </c>
      <c r="AZ389" s="115" t="s">
        <v>1900</v>
      </c>
      <c r="BA389" s="115"/>
      <c r="BB389" s="115"/>
      <c r="BC389" s="115">
        <v>113.85374999999999</v>
      </c>
      <c r="BD389" s="115"/>
      <c r="BE389" s="115"/>
      <c r="BF389" s="115"/>
      <c r="BG389" s="115"/>
      <c r="BH389" s="115">
        <v>15.77026</v>
      </c>
      <c r="BI389" s="115">
        <v>12.125</v>
      </c>
      <c r="BJ389" s="115"/>
      <c r="BK389" s="115"/>
      <c r="BL389" s="115"/>
      <c r="BM389" s="115"/>
      <c r="BN389" s="115"/>
      <c r="BO389" s="115"/>
      <c r="BP389" s="115"/>
      <c r="DA389" s="115"/>
      <c r="DB389" s="115"/>
      <c r="DR389" s="214"/>
      <c r="DY389" s="115"/>
      <c r="DZ389" s="334"/>
      <c r="EA389" s="334"/>
      <c r="EB389" s="334"/>
      <c r="EC389" s="334"/>
      <c r="ED389" s="187"/>
      <c r="EE389" s="330"/>
      <c r="EH389" s="334"/>
      <c r="EI389" s="334"/>
      <c r="EM389"/>
      <c r="EO389" s="115"/>
      <c r="EP389" s="334" t="s">
        <v>1415</v>
      </c>
      <c r="EQ389" s="334" t="s">
        <v>2114</v>
      </c>
      <c r="ER389" s="334" t="s">
        <v>1410</v>
      </c>
      <c r="ES389" s="334" t="s">
        <v>380</v>
      </c>
      <c r="ET389" s="334">
        <v>2025.03</v>
      </c>
      <c r="EU389" s="334" t="s">
        <v>397</v>
      </c>
      <c r="EV389" s="334">
        <v>159761.7016</v>
      </c>
    </row>
    <row r="390" spans="9:152" ht="13">
      <c r="I390" s="115" t="s">
        <v>1525</v>
      </c>
      <c r="J390" s="115" t="s">
        <v>1355</v>
      </c>
      <c r="K390" s="183" t="s">
        <v>1520</v>
      </c>
      <c r="AI390" s="115" t="s">
        <v>1416</v>
      </c>
      <c r="AJ390" t="s">
        <v>2114</v>
      </c>
      <c r="AK390" s="115">
        <v>0</v>
      </c>
      <c r="AL390" s="115" t="s">
        <v>28</v>
      </c>
      <c r="AM390" s="115" t="s">
        <v>1846</v>
      </c>
      <c r="AN390" s="115" t="s">
        <v>1571</v>
      </c>
      <c r="AO390" s="115" t="s">
        <v>1645</v>
      </c>
      <c r="AT390" s="115" t="s">
        <v>1415</v>
      </c>
      <c r="AU390" s="115" t="s">
        <v>2114</v>
      </c>
      <c r="AV390" s="115">
        <v>15</v>
      </c>
      <c r="AW390" s="115" t="s">
        <v>494</v>
      </c>
      <c r="AX390" s="115" t="s">
        <v>28</v>
      </c>
      <c r="AY390" s="115" t="s">
        <v>1832</v>
      </c>
      <c r="AZ390" s="115" t="s">
        <v>1900</v>
      </c>
      <c r="BA390" s="115"/>
      <c r="BB390" s="115"/>
      <c r="BC390" s="115">
        <v>156.49999999999997</v>
      </c>
      <c r="BD390" s="115"/>
      <c r="BE390" s="115"/>
      <c r="BF390" s="115"/>
      <c r="BG390" s="115"/>
      <c r="BH390" s="115">
        <v>162.57999999999998</v>
      </c>
      <c r="BI390" s="115">
        <v>50</v>
      </c>
      <c r="BJ390" s="115"/>
      <c r="BK390" s="115"/>
      <c r="BL390" s="115"/>
      <c r="BM390" s="115"/>
      <c r="BN390" s="115"/>
      <c r="BO390" s="115"/>
      <c r="BP390" s="115"/>
      <c r="DA390" s="115"/>
      <c r="DB390" s="115"/>
      <c r="DR390" s="214"/>
      <c r="DY390" s="115"/>
      <c r="DZ390" s="334"/>
      <c r="EA390" s="334"/>
      <c r="EB390" s="334"/>
      <c r="EC390" s="334"/>
      <c r="ED390" s="187"/>
      <c r="EE390" s="330"/>
      <c r="EH390" s="334"/>
      <c r="EI390" s="334"/>
      <c r="EM390"/>
      <c r="EO390" s="115"/>
      <c r="EP390" s="334" t="s">
        <v>1415</v>
      </c>
      <c r="EQ390" s="334" t="s">
        <v>2114</v>
      </c>
      <c r="ER390" s="334" t="s">
        <v>1410</v>
      </c>
      <c r="ES390" s="334" t="s">
        <v>380</v>
      </c>
      <c r="ET390" s="334">
        <v>2025.03</v>
      </c>
      <c r="EU390" s="334" t="s">
        <v>1382</v>
      </c>
      <c r="EV390" s="334">
        <v>174558.63519999999</v>
      </c>
    </row>
    <row r="391" spans="9:152" ht="13">
      <c r="I391" s="115" t="s">
        <v>1525</v>
      </c>
      <c r="J391" s="115" t="s">
        <v>1361</v>
      </c>
      <c r="K391" s="183">
        <v>69.23</v>
      </c>
      <c r="AI391" s="115" t="s">
        <v>1416</v>
      </c>
      <c r="AJ391" t="s">
        <v>2114</v>
      </c>
      <c r="AK391" s="115">
        <v>0</v>
      </c>
      <c r="AL391" s="115" t="s">
        <v>28</v>
      </c>
      <c r="AM391" s="115" t="s">
        <v>1846</v>
      </c>
      <c r="AN391" s="115" t="s">
        <v>1571</v>
      </c>
      <c r="AO391" s="115" t="s">
        <v>1646</v>
      </c>
      <c r="AT391" s="115" t="s">
        <v>1415</v>
      </c>
      <c r="AU391" s="115" t="s">
        <v>2114</v>
      </c>
      <c r="AV391" s="115">
        <v>15</v>
      </c>
      <c r="AW391" s="115" t="s">
        <v>494</v>
      </c>
      <c r="AX391" s="115" t="s">
        <v>28</v>
      </c>
      <c r="AY391" s="115" t="s">
        <v>1846</v>
      </c>
      <c r="AZ391" s="115" t="s">
        <v>1901</v>
      </c>
      <c r="BA391" s="115"/>
      <c r="BB391" s="115"/>
      <c r="BC391" s="115">
        <v>900.32959722499993</v>
      </c>
      <c r="BD391" s="115"/>
      <c r="BE391" s="115"/>
      <c r="BF391" s="115"/>
      <c r="BG391" s="115"/>
      <c r="BH391" s="115">
        <v>9442.928040292798</v>
      </c>
      <c r="BI391" s="115">
        <v>1169.7873789</v>
      </c>
      <c r="BJ391" s="115">
        <v>64.442194439999994</v>
      </c>
      <c r="BK391" s="115">
        <v>473.55288217200007</v>
      </c>
      <c r="BL391" s="115">
        <v>1033.06918563</v>
      </c>
      <c r="BM391" s="115">
        <v>8221.6196</v>
      </c>
      <c r="BN391" s="115">
        <v>1852.96</v>
      </c>
      <c r="BO391" s="115">
        <v>3272.06</v>
      </c>
      <c r="BP391" s="115"/>
      <c r="DA391" s="115"/>
      <c r="DB391" s="115"/>
      <c r="DR391" s="214"/>
      <c r="DY391" s="115"/>
      <c r="DZ391" s="334"/>
      <c r="EA391" s="334"/>
      <c r="EB391" s="334"/>
      <c r="EC391" s="334"/>
      <c r="ED391" s="187"/>
      <c r="EE391" s="330"/>
      <c r="EH391" s="334"/>
      <c r="EI391" s="334"/>
      <c r="EM391"/>
      <c r="EO391" s="115"/>
      <c r="EP391" s="334" t="s">
        <v>1415</v>
      </c>
      <c r="EQ391" s="334" t="s">
        <v>2114</v>
      </c>
      <c r="ER391" s="334" t="s">
        <v>1412</v>
      </c>
      <c r="ES391" s="334" t="s">
        <v>377</v>
      </c>
      <c r="ET391" s="334">
        <v>2023.51</v>
      </c>
      <c r="EU391" s="334" t="s">
        <v>397</v>
      </c>
      <c r="EV391" s="334">
        <v>0</v>
      </c>
    </row>
    <row r="392" spans="9:152" ht="13">
      <c r="I392" s="115" t="s">
        <v>1525</v>
      </c>
      <c r="J392" s="115" t="s">
        <v>1364</v>
      </c>
      <c r="K392" s="183">
        <v>300</v>
      </c>
      <c r="AI392" s="115" t="s">
        <v>1416</v>
      </c>
      <c r="AJ392" t="s">
        <v>2114</v>
      </c>
      <c r="AK392" s="115">
        <v>0</v>
      </c>
      <c r="AL392" s="115" t="s">
        <v>28</v>
      </c>
      <c r="AM392" s="115" t="s">
        <v>1843</v>
      </c>
      <c r="AN392" s="115" t="s">
        <v>1571</v>
      </c>
      <c r="AO392" s="115" t="s">
        <v>1646</v>
      </c>
      <c r="AT392" s="115" t="s">
        <v>1415</v>
      </c>
      <c r="AU392" s="115" t="s">
        <v>2114</v>
      </c>
      <c r="AV392" s="115">
        <v>15</v>
      </c>
      <c r="AW392" s="115" t="s">
        <v>494</v>
      </c>
      <c r="AX392" s="115" t="s">
        <v>28</v>
      </c>
      <c r="AY392" s="115" t="s">
        <v>1848</v>
      </c>
      <c r="AZ392" s="115" t="s">
        <v>1901</v>
      </c>
      <c r="BA392" s="115"/>
      <c r="BB392" s="115"/>
      <c r="BC392" s="115">
        <v>5309.3747812875008</v>
      </c>
      <c r="BD392" s="115"/>
      <c r="BE392" s="115"/>
      <c r="BF392" s="115">
        <v>924.22099549999984</v>
      </c>
      <c r="BG392" s="115"/>
      <c r="BH392" s="115">
        <v>622.83005602607989</v>
      </c>
      <c r="BI392" s="115">
        <v>527.21678741249991</v>
      </c>
      <c r="BJ392" s="115">
        <v>323.69840524124999</v>
      </c>
      <c r="BK392" s="115">
        <v>73.970725212000005</v>
      </c>
      <c r="BL392" s="115">
        <v>161.36925722999999</v>
      </c>
      <c r="BM392" s="115"/>
      <c r="BN392" s="115"/>
      <c r="BO392" s="115"/>
      <c r="BP392" s="115"/>
      <c r="DA392" s="115"/>
      <c r="DB392" s="115"/>
      <c r="DR392" s="214"/>
      <c r="DY392" s="115"/>
      <c r="DZ392" s="334"/>
      <c r="EA392" s="334"/>
      <c r="EB392" s="334"/>
      <c r="EC392" s="334"/>
      <c r="ED392" s="187"/>
      <c r="EE392" s="330"/>
      <c r="EH392" s="334"/>
      <c r="EI392" s="334"/>
      <c r="EM392"/>
      <c r="EO392" s="115"/>
      <c r="EP392" s="334" t="s">
        <v>1415</v>
      </c>
      <c r="EQ392" s="334" t="s">
        <v>2114</v>
      </c>
      <c r="ER392" s="334" t="s">
        <v>1412</v>
      </c>
      <c r="ES392" s="334" t="s">
        <v>377</v>
      </c>
      <c r="ET392" s="334">
        <v>2023.51</v>
      </c>
      <c r="EU392" s="334" t="s">
        <v>1382</v>
      </c>
      <c r="EV392" s="334">
        <v>13613.88</v>
      </c>
    </row>
    <row r="393" spans="9:152" ht="13">
      <c r="I393" s="115" t="s">
        <v>1525</v>
      </c>
      <c r="J393" s="115" t="s">
        <v>1367</v>
      </c>
      <c r="K393" s="183">
        <v>8</v>
      </c>
      <c r="AI393" s="115" t="s">
        <v>1416</v>
      </c>
      <c r="AJ393" t="s">
        <v>2114</v>
      </c>
      <c r="AK393" s="115">
        <v>0</v>
      </c>
      <c r="AL393" s="115" t="s">
        <v>28</v>
      </c>
      <c r="AM393" s="115" t="s">
        <v>1843</v>
      </c>
      <c r="AN393" s="115" t="s">
        <v>1571</v>
      </c>
      <c r="AO393" s="115" t="s">
        <v>1647</v>
      </c>
      <c r="AT393" s="115" t="s">
        <v>1415</v>
      </c>
      <c r="AU393" s="115" t="s">
        <v>2114</v>
      </c>
      <c r="AV393" s="115">
        <v>15</v>
      </c>
      <c r="AW393" s="115" t="s">
        <v>494</v>
      </c>
      <c r="AX393" s="115" t="s">
        <v>28</v>
      </c>
      <c r="AY393" s="115" t="s">
        <v>1843</v>
      </c>
      <c r="AZ393" s="115" t="s">
        <v>1901</v>
      </c>
      <c r="BA393" s="115"/>
      <c r="BB393" s="115"/>
      <c r="BC393" s="115">
        <v>6154.3722680412375</v>
      </c>
      <c r="BD393" s="115"/>
      <c r="BE393" s="115"/>
      <c r="BF393" s="115">
        <v>917.09876288659791</v>
      </c>
      <c r="BG393" s="115"/>
      <c r="BH393" s="115">
        <v>9560.3459639175253</v>
      </c>
      <c r="BI393" s="115">
        <v>1716.5630927835052</v>
      </c>
      <c r="BJ393" s="115">
        <v>384.61422680412375</v>
      </c>
      <c r="BK393" s="115">
        <v>539.3714432989691</v>
      </c>
      <c r="BL393" s="115">
        <v>1344.2272164948454</v>
      </c>
      <c r="BM393" s="115">
        <v>8221.6196</v>
      </c>
      <c r="BN393" s="115">
        <v>1852.96</v>
      </c>
      <c r="BO393" s="115">
        <v>3272.06</v>
      </c>
      <c r="BP393" s="115"/>
      <c r="DA393" s="115"/>
      <c r="DB393" s="115"/>
      <c r="DR393" s="214"/>
      <c r="DY393" s="115"/>
      <c r="DZ393" s="334"/>
      <c r="EA393" s="334"/>
      <c r="EB393" s="334"/>
      <c r="EC393" s="334"/>
      <c r="ED393" s="187"/>
      <c r="EE393" s="330"/>
      <c r="EH393" s="334"/>
      <c r="EI393" s="334"/>
      <c r="EM393"/>
      <c r="EO393" s="115"/>
      <c r="EP393" s="334" t="s">
        <v>1415</v>
      </c>
      <c r="EQ393" s="334" t="s">
        <v>2114</v>
      </c>
      <c r="ER393" s="334" t="s">
        <v>1467</v>
      </c>
      <c r="ES393" s="334" t="s">
        <v>377</v>
      </c>
      <c r="ET393" s="334">
        <v>2023.47</v>
      </c>
      <c r="EU393" s="334" t="s">
        <v>397</v>
      </c>
      <c r="EV393" s="334">
        <v>82000.918999999994</v>
      </c>
    </row>
    <row r="394" spans="9:152" ht="13">
      <c r="I394" s="115" t="s">
        <v>1525</v>
      </c>
      <c r="J394" s="115" t="s">
        <v>1362</v>
      </c>
      <c r="K394" s="183">
        <v>95</v>
      </c>
      <c r="AI394" s="115" t="s">
        <v>1416</v>
      </c>
      <c r="AJ394" t="s">
        <v>2114</v>
      </c>
      <c r="AK394" s="115">
        <v>0</v>
      </c>
      <c r="AL394" s="115" t="s">
        <v>28</v>
      </c>
      <c r="AM394" s="115" t="s">
        <v>1846</v>
      </c>
      <c r="AN394" s="115" t="s">
        <v>1571</v>
      </c>
      <c r="AO394" s="115" t="s">
        <v>1647</v>
      </c>
      <c r="AT394" s="115" t="s">
        <v>1415</v>
      </c>
      <c r="AU394" s="115" t="s">
        <v>2114</v>
      </c>
      <c r="AV394" s="115">
        <v>15</v>
      </c>
      <c r="AW394" s="115" t="s">
        <v>494</v>
      </c>
      <c r="AX394" s="115" t="s">
        <v>28</v>
      </c>
      <c r="AY394" s="115" t="s">
        <v>1849</v>
      </c>
      <c r="AZ394" s="115" t="s">
        <v>1901</v>
      </c>
      <c r="BA394" s="115"/>
      <c r="BB394" s="115"/>
      <c r="BC394" s="115">
        <v>39.854875</v>
      </c>
      <c r="BD394" s="115"/>
      <c r="BE394" s="115"/>
      <c r="BF394" s="115"/>
      <c r="BG394" s="115"/>
      <c r="BH394" s="115">
        <v>128.76784919999997</v>
      </c>
      <c r="BI394" s="115">
        <v>41.241974999999996</v>
      </c>
      <c r="BJ394" s="115">
        <v>0.80388749999999987</v>
      </c>
      <c r="BK394" s="115">
        <v>16.447320000000001</v>
      </c>
      <c r="BL394" s="115">
        <v>35.880299999999998</v>
      </c>
      <c r="BM394" s="115"/>
      <c r="BN394" s="115"/>
      <c r="BO394" s="115"/>
      <c r="BP394" s="115"/>
      <c r="DA394" s="115"/>
      <c r="DB394" s="115"/>
      <c r="DR394" s="214"/>
      <c r="DY394" s="115"/>
      <c r="DZ394" s="334"/>
      <c r="EA394" s="334"/>
      <c r="EB394" s="334"/>
      <c r="EC394" s="334"/>
      <c r="ED394" s="187"/>
      <c r="EE394" s="330"/>
      <c r="EH394" s="334"/>
      <c r="EI394" s="334"/>
      <c r="EM394"/>
      <c r="EO394" s="115"/>
      <c r="EP394" s="334" t="s">
        <v>1415</v>
      </c>
      <c r="EQ394" s="334" t="s">
        <v>2114</v>
      </c>
      <c r="ER394" s="334" t="s">
        <v>1467</v>
      </c>
      <c r="ES394" s="334" t="s">
        <v>377</v>
      </c>
      <c r="ET394" s="334">
        <v>2023.47</v>
      </c>
      <c r="EU394" s="334" t="s">
        <v>1382</v>
      </c>
      <c r="EV394" s="334">
        <v>82000.918999999994</v>
      </c>
    </row>
    <row r="395" spans="9:152" ht="13">
      <c r="I395" s="115" t="s">
        <v>1525</v>
      </c>
      <c r="J395" s="115" t="s">
        <v>1368</v>
      </c>
      <c r="K395" s="183">
        <v>11.5</v>
      </c>
      <c r="AI395" s="115" t="s">
        <v>1416</v>
      </c>
      <c r="AJ395" t="s">
        <v>2114</v>
      </c>
      <c r="AK395" s="115">
        <v>0</v>
      </c>
      <c r="AL395" s="115" t="s">
        <v>28</v>
      </c>
      <c r="AM395" s="115" t="s">
        <v>1846</v>
      </c>
      <c r="AN395" s="115" t="s">
        <v>1571</v>
      </c>
      <c r="AO395" s="115" t="s">
        <v>1639</v>
      </c>
      <c r="AT395" s="115" t="s">
        <v>1415</v>
      </c>
      <c r="AU395" s="115" t="s">
        <v>2114</v>
      </c>
      <c r="AV395" s="115">
        <v>15</v>
      </c>
      <c r="AW395" s="115" t="s">
        <v>494</v>
      </c>
      <c r="AX395" s="115" t="s">
        <v>28</v>
      </c>
      <c r="AY395" s="115" t="s">
        <v>1850</v>
      </c>
      <c r="AZ395" s="115" t="s">
        <v>1901</v>
      </c>
      <c r="BA395" s="115"/>
      <c r="BB395" s="115"/>
      <c r="BC395" s="115">
        <v>119.56462500000001</v>
      </c>
      <c r="BD395" s="115"/>
      <c r="BE395" s="115"/>
      <c r="BF395" s="115">
        <v>19.884999999999998</v>
      </c>
      <c r="BG395" s="115"/>
      <c r="BH395" s="115">
        <v>14.307538799999998</v>
      </c>
      <c r="BI395" s="115">
        <v>13.747325</v>
      </c>
      <c r="BJ395" s="115">
        <v>7.2349875000000008</v>
      </c>
      <c r="BK395" s="115">
        <v>1.82748</v>
      </c>
      <c r="BL395" s="115">
        <v>3.9866999999999999</v>
      </c>
      <c r="BM395" s="115"/>
      <c r="BN395" s="115"/>
      <c r="BO395" s="115"/>
      <c r="BP395" s="115"/>
      <c r="DA395" s="115"/>
      <c r="DB395" s="115"/>
      <c r="DR395" s="214"/>
      <c r="DY395" s="115"/>
      <c r="DZ395" s="334"/>
      <c r="EA395" s="334"/>
      <c r="EB395" s="334"/>
      <c r="EC395" s="334"/>
      <c r="ED395" s="187"/>
      <c r="EE395" s="330"/>
      <c r="EH395" s="334"/>
      <c r="EI395" s="334"/>
      <c r="EM395"/>
      <c r="EO395" s="115"/>
      <c r="EP395" s="334" t="s">
        <v>1415</v>
      </c>
      <c r="EQ395" s="334" t="s">
        <v>2114</v>
      </c>
      <c r="ER395" s="334" t="s">
        <v>1467</v>
      </c>
      <c r="ES395" s="334" t="s">
        <v>377</v>
      </c>
      <c r="ET395" s="334">
        <v>2024.47</v>
      </c>
      <c r="EU395" s="334" t="s">
        <v>397</v>
      </c>
      <c r="EV395" s="334">
        <v>82000.918999999994</v>
      </c>
    </row>
    <row r="396" spans="9:152" ht="13">
      <c r="I396" s="115" t="s">
        <v>1525</v>
      </c>
      <c r="J396" s="115" t="s">
        <v>1360</v>
      </c>
      <c r="K396" s="183">
        <v>0.28499999999999998</v>
      </c>
      <c r="AI396" s="115" t="s">
        <v>1416</v>
      </c>
      <c r="AJ396" t="s">
        <v>2114</v>
      </c>
      <c r="AK396" s="115">
        <v>0</v>
      </c>
      <c r="AL396" s="115" t="s">
        <v>28</v>
      </c>
      <c r="AM396" s="115" t="s">
        <v>1843</v>
      </c>
      <c r="AN396" s="115" t="s">
        <v>1571</v>
      </c>
      <c r="AO396" s="115" t="s">
        <v>1639</v>
      </c>
      <c r="AT396" s="115" t="s">
        <v>1415</v>
      </c>
      <c r="AU396" s="115" t="s">
        <v>2114</v>
      </c>
      <c r="AV396" s="115">
        <v>15</v>
      </c>
      <c r="AW396" s="115" t="s">
        <v>494</v>
      </c>
      <c r="AX396" s="115" t="s">
        <v>28</v>
      </c>
      <c r="AY396" s="115" t="s">
        <v>1832</v>
      </c>
      <c r="AZ396" s="115" t="s">
        <v>1901</v>
      </c>
      <c r="BA396" s="115"/>
      <c r="BB396" s="115"/>
      <c r="BC396" s="115">
        <v>164.35</v>
      </c>
      <c r="BD396" s="115"/>
      <c r="BE396" s="115"/>
      <c r="BF396" s="115">
        <v>20.5</v>
      </c>
      <c r="BG396" s="115"/>
      <c r="BH396" s="115">
        <v>147.50039999999998</v>
      </c>
      <c r="BI396" s="115">
        <v>56.690000000000005</v>
      </c>
      <c r="BJ396" s="115">
        <v>8.2875000000000014</v>
      </c>
      <c r="BK396" s="115">
        <v>18.84</v>
      </c>
      <c r="BL396" s="115">
        <v>41.1</v>
      </c>
      <c r="BM396" s="115"/>
      <c r="BN396" s="115"/>
      <c r="BO396" s="115"/>
      <c r="BP396" s="115"/>
      <c r="DA396" s="115"/>
      <c r="DB396" s="115"/>
      <c r="DR396" s="214"/>
      <c r="DY396" s="115"/>
      <c r="DZ396" s="334"/>
      <c r="EA396" s="334"/>
      <c r="EB396" s="334"/>
      <c r="EC396" s="334"/>
      <c r="ED396" s="187"/>
      <c r="EE396" s="330"/>
      <c r="EH396" s="334"/>
      <c r="EI396" s="334"/>
      <c r="EM396"/>
      <c r="EO396" s="115"/>
      <c r="EP396" s="334" t="s">
        <v>1415</v>
      </c>
      <c r="EQ396" s="334" t="s">
        <v>2114</v>
      </c>
      <c r="ER396" s="334" t="s">
        <v>1467</v>
      </c>
      <c r="ES396" s="334" t="s">
        <v>377</v>
      </c>
      <c r="ET396" s="334">
        <v>2024.47</v>
      </c>
      <c r="EU396" s="334" t="s">
        <v>1382</v>
      </c>
      <c r="EV396" s="334">
        <v>102000.91899999999</v>
      </c>
    </row>
    <row r="397" spans="9:152" ht="13">
      <c r="I397" s="115" t="s">
        <v>1525</v>
      </c>
      <c r="J397" s="115" t="s">
        <v>1358</v>
      </c>
      <c r="K397" s="183" t="s">
        <v>375</v>
      </c>
      <c r="AI397" s="115" t="s">
        <v>1416</v>
      </c>
      <c r="AJ397" t="s">
        <v>2114</v>
      </c>
      <c r="AK397" s="115">
        <v>0</v>
      </c>
      <c r="AL397" s="115" t="s">
        <v>28</v>
      </c>
      <c r="AM397" s="115" t="s">
        <v>1843</v>
      </c>
      <c r="AN397" s="115" t="s">
        <v>1571</v>
      </c>
      <c r="AO397" s="115" t="s">
        <v>373</v>
      </c>
      <c r="AT397" s="115" t="s">
        <v>1415</v>
      </c>
      <c r="AU397" s="115" t="s">
        <v>2114</v>
      </c>
      <c r="AV397" s="115">
        <v>15</v>
      </c>
      <c r="AW397" s="115" t="s">
        <v>499</v>
      </c>
      <c r="AX397" s="115" t="s">
        <v>28</v>
      </c>
      <c r="AY397" s="115" t="s">
        <v>1846</v>
      </c>
      <c r="AZ397" s="115" t="s">
        <v>1902</v>
      </c>
      <c r="BA397" s="115"/>
      <c r="BB397" s="115"/>
      <c r="BC397" s="115">
        <v>5579.4687847499999</v>
      </c>
      <c r="BD397" s="115"/>
      <c r="BE397" s="115"/>
      <c r="BF397" s="115"/>
      <c r="BG397" s="115"/>
      <c r="BH397" s="115">
        <v>24023.355774081603</v>
      </c>
      <c r="BI397" s="115">
        <v>3281.5692231075</v>
      </c>
      <c r="BJ397" s="115">
        <v>294.94696685999997</v>
      </c>
      <c r="BK397" s="115">
        <v>1327.7829618225003</v>
      </c>
      <c r="BL397" s="115">
        <v>3189.6953687700006</v>
      </c>
      <c r="BM397" s="115">
        <v>8088.3855999999996</v>
      </c>
      <c r="BN397" s="115">
        <v>3158.75</v>
      </c>
      <c r="BO397" s="115">
        <v>3736.58</v>
      </c>
      <c r="BP397" s="115"/>
      <c r="DA397" s="115"/>
      <c r="DB397" s="115"/>
      <c r="DR397" s="214"/>
      <c r="DY397" s="115"/>
      <c r="DZ397" s="334"/>
      <c r="EA397" s="334"/>
      <c r="EB397" s="334"/>
      <c r="EC397" s="334"/>
      <c r="ED397" s="187"/>
      <c r="EE397" s="330"/>
      <c r="EH397" s="334"/>
      <c r="EI397" s="334"/>
      <c r="EM397"/>
      <c r="EO397" s="115"/>
      <c r="EP397" s="334" t="s">
        <v>1415</v>
      </c>
      <c r="EQ397" s="334" t="s">
        <v>2114</v>
      </c>
      <c r="ER397" s="334" t="s">
        <v>1467</v>
      </c>
      <c r="ES397" s="334" t="s">
        <v>1641</v>
      </c>
      <c r="ET397" s="334">
        <v>2023.47</v>
      </c>
      <c r="EU397" s="334" t="s">
        <v>397</v>
      </c>
      <c r="EV397" s="334">
        <v>20577.27</v>
      </c>
    </row>
    <row r="398" spans="9:152" ht="13">
      <c r="I398" s="115" t="s">
        <v>1525</v>
      </c>
      <c r="J398" s="115" t="s">
        <v>1354</v>
      </c>
      <c r="K398" s="183">
        <v>45112</v>
      </c>
      <c r="AI398" s="115" t="s">
        <v>1416</v>
      </c>
      <c r="AJ398" t="s">
        <v>2114</v>
      </c>
      <c r="AK398" s="115">
        <v>0</v>
      </c>
      <c r="AL398" s="115" t="s">
        <v>28</v>
      </c>
      <c r="AM398" s="115" t="s">
        <v>1848</v>
      </c>
      <c r="AN398" s="115" t="s">
        <v>1571</v>
      </c>
      <c r="AO398" s="115" t="s">
        <v>373</v>
      </c>
      <c r="AT398" s="115" t="s">
        <v>1415</v>
      </c>
      <c r="AU398" s="115" t="s">
        <v>2114</v>
      </c>
      <c r="AV398" s="115">
        <v>15</v>
      </c>
      <c r="AW398" s="115" t="s">
        <v>499</v>
      </c>
      <c r="AX398" s="115" t="s">
        <v>28</v>
      </c>
      <c r="AY398" s="115" t="s">
        <v>1848</v>
      </c>
      <c r="AZ398" s="115" t="s">
        <v>1902</v>
      </c>
      <c r="BA398" s="115"/>
      <c r="BB398" s="115"/>
      <c r="BC398" s="115">
        <v>32902.940156625002</v>
      </c>
      <c r="BD398" s="115"/>
      <c r="BE398" s="115"/>
      <c r="BF398" s="115">
        <v>450.83950999999996</v>
      </c>
      <c r="BG398" s="115"/>
      <c r="BH398" s="115">
        <v>1753.5418091777603</v>
      </c>
      <c r="BI398" s="115">
        <v>1205.5585138874999</v>
      </c>
      <c r="BJ398" s="115">
        <v>1481.542700911875</v>
      </c>
      <c r="BK398" s="115">
        <v>207.40464752250003</v>
      </c>
      <c r="BL398" s="115">
        <v>498.24230517000001</v>
      </c>
      <c r="BM398" s="115"/>
      <c r="BN398" s="115"/>
      <c r="BO398" s="115"/>
      <c r="BP398" s="115"/>
      <c r="DA398" s="115"/>
      <c r="DB398" s="115"/>
      <c r="DR398" s="214"/>
      <c r="DY398" s="115"/>
      <c r="DZ398" s="334"/>
      <c r="EA398" s="334"/>
      <c r="EB398" s="334"/>
      <c r="EC398" s="334"/>
      <c r="ED398" s="187"/>
      <c r="EE398" s="330"/>
      <c r="EH398" s="334"/>
      <c r="EI398" s="334"/>
      <c r="EM398"/>
      <c r="EO398" s="115"/>
      <c r="EP398" s="334" t="s">
        <v>1415</v>
      </c>
      <c r="EQ398" s="334" t="s">
        <v>2114</v>
      </c>
      <c r="ER398" s="334" t="s">
        <v>1467</v>
      </c>
      <c r="ES398" s="334" t="s">
        <v>1641</v>
      </c>
      <c r="ET398" s="334">
        <v>2023.47</v>
      </c>
      <c r="EU398" s="334" t="s">
        <v>1382</v>
      </c>
      <c r="EV398" s="334">
        <v>20577.27</v>
      </c>
    </row>
    <row r="399" spans="9:152" ht="13">
      <c r="I399" s="115" t="s">
        <v>1525</v>
      </c>
      <c r="J399" s="115" t="s">
        <v>1365</v>
      </c>
      <c r="K399" s="183">
        <v>15</v>
      </c>
      <c r="AI399" s="115" t="s">
        <v>1416</v>
      </c>
      <c r="AJ399" t="s">
        <v>2114</v>
      </c>
      <c r="AK399" s="115">
        <v>0</v>
      </c>
      <c r="AL399" s="115" t="s">
        <v>28</v>
      </c>
      <c r="AM399" s="115" t="s">
        <v>1849</v>
      </c>
      <c r="AN399" s="115" t="s">
        <v>1571</v>
      </c>
      <c r="AO399" s="115" t="s">
        <v>373</v>
      </c>
      <c r="AT399" s="115" t="s">
        <v>1415</v>
      </c>
      <c r="AU399" s="115" t="s">
        <v>2114</v>
      </c>
      <c r="AV399" s="115">
        <v>15</v>
      </c>
      <c r="AW399" s="115" t="s">
        <v>499</v>
      </c>
      <c r="AX399" s="115" t="s">
        <v>28</v>
      </c>
      <c r="AY399" s="115" t="s">
        <v>1843</v>
      </c>
      <c r="AZ399" s="115" t="s">
        <v>1902</v>
      </c>
      <c r="BA399" s="115"/>
      <c r="BB399" s="115"/>
      <c r="BC399" s="115">
        <v>38139.508350515469</v>
      </c>
      <c r="BD399" s="115"/>
      <c r="BE399" s="115"/>
      <c r="BF399" s="115">
        <v>447.36525773195876</v>
      </c>
      <c r="BG399" s="115"/>
      <c r="BH399" s="115">
        <v>24353.938999999998</v>
      </c>
      <c r="BI399" s="115">
        <v>3925.1731958762889</v>
      </c>
      <c r="BJ399" s="115">
        <v>1760.3495876288659</v>
      </c>
      <c r="BK399" s="115">
        <v>1512.3300000000002</v>
      </c>
      <c r="BL399" s="115">
        <v>4150.4242268041244</v>
      </c>
      <c r="BM399" s="115">
        <v>8088.3855999999996</v>
      </c>
      <c r="BN399" s="115">
        <v>3158.75</v>
      </c>
      <c r="BO399" s="115">
        <v>3736.58</v>
      </c>
      <c r="BP399" s="115"/>
      <c r="DA399" s="115"/>
      <c r="DB399" s="115"/>
      <c r="DR399" s="214"/>
      <c r="DY399" s="115"/>
      <c r="DZ399" s="334"/>
      <c r="EA399" s="334"/>
      <c r="EB399" s="334"/>
      <c r="EC399" s="334"/>
      <c r="ED399" s="187"/>
      <c r="EE399" s="330"/>
      <c r="EH399" s="334"/>
      <c r="EI399" s="334"/>
      <c r="EM399"/>
      <c r="EO399" s="115"/>
      <c r="EP399" s="334" t="s">
        <v>1415</v>
      </c>
      <c r="EQ399" s="334" t="s">
        <v>2114</v>
      </c>
      <c r="ER399" s="334" t="s">
        <v>1467</v>
      </c>
      <c r="ES399" s="334" t="s">
        <v>1641</v>
      </c>
      <c r="ET399" s="334">
        <v>2024.48</v>
      </c>
      <c r="EU399" s="334" t="s">
        <v>397</v>
      </c>
      <c r="EV399" s="334">
        <v>20577.27</v>
      </c>
    </row>
    <row r="400" spans="9:152" ht="13">
      <c r="I400" s="115" t="s">
        <v>1525</v>
      </c>
      <c r="J400" s="115" t="s">
        <v>1356</v>
      </c>
      <c r="K400" s="183" t="s">
        <v>1359</v>
      </c>
      <c r="AI400" s="115" t="s">
        <v>1416</v>
      </c>
      <c r="AJ400" t="s">
        <v>2114</v>
      </c>
      <c r="AK400" s="115">
        <v>0</v>
      </c>
      <c r="AL400" s="115" t="s">
        <v>28</v>
      </c>
      <c r="AM400" s="115" t="s">
        <v>1846</v>
      </c>
      <c r="AN400" s="115" t="s">
        <v>1571</v>
      </c>
      <c r="AO400" s="115" t="s">
        <v>373</v>
      </c>
      <c r="AT400" s="115" t="s">
        <v>1415</v>
      </c>
      <c r="AU400" s="115" t="s">
        <v>2114</v>
      </c>
      <c r="AV400" s="115">
        <v>15</v>
      </c>
      <c r="AW400" s="115" t="s">
        <v>499</v>
      </c>
      <c r="AX400" s="115" t="s">
        <v>28</v>
      </c>
      <c r="AY400" s="115" t="s">
        <v>1849</v>
      </c>
      <c r="AZ400" s="115" t="s">
        <v>1902</v>
      </c>
      <c r="BA400" s="115"/>
      <c r="BB400" s="115"/>
      <c r="BC400" s="115">
        <v>246.98624999999998</v>
      </c>
      <c r="BD400" s="115"/>
      <c r="BE400" s="115"/>
      <c r="BF400" s="115"/>
      <c r="BG400" s="115"/>
      <c r="BH400" s="115">
        <v>362.53839240000002</v>
      </c>
      <c r="BI400" s="115">
        <v>94.305824999999999</v>
      </c>
      <c r="BJ400" s="115">
        <v>3.6793312499999993</v>
      </c>
      <c r="BK400" s="115">
        <v>46.116225000000007</v>
      </c>
      <c r="BL400" s="115">
        <v>110.78370000000001</v>
      </c>
      <c r="BM400" s="115"/>
      <c r="BN400" s="115"/>
      <c r="BO400" s="115"/>
      <c r="BP400" s="115"/>
      <c r="DA400" s="115"/>
      <c r="DB400" s="115"/>
      <c r="DR400" s="214"/>
      <c r="DY400" s="115"/>
      <c r="DZ400" s="334"/>
      <c r="EA400" s="334"/>
      <c r="EB400" s="334"/>
      <c r="EC400" s="334"/>
      <c r="ED400" s="187"/>
      <c r="EE400" s="330"/>
      <c r="EH400" s="334"/>
      <c r="EI400" s="334"/>
      <c r="EM400"/>
      <c r="EO400" s="115"/>
      <c r="EP400" s="334" t="s">
        <v>1415</v>
      </c>
      <c r="EQ400" s="334" t="s">
        <v>2114</v>
      </c>
      <c r="ER400" s="334" t="s">
        <v>1467</v>
      </c>
      <c r="ES400" s="334" t="s">
        <v>1641</v>
      </c>
      <c r="ET400" s="334">
        <v>2024.48</v>
      </c>
      <c r="EU400" s="334" t="s">
        <v>1382</v>
      </c>
      <c r="EV400" s="334">
        <v>35577.269999999997</v>
      </c>
    </row>
    <row r="401" spans="9:152" ht="13">
      <c r="I401" s="115" t="s">
        <v>1525</v>
      </c>
      <c r="J401" s="115" t="s">
        <v>1366</v>
      </c>
      <c r="K401" s="183">
        <v>3</v>
      </c>
      <c r="AI401" s="115" t="s">
        <v>1416</v>
      </c>
      <c r="AJ401" t="s">
        <v>2114</v>
      </c>
      <c r="AK401" s="115">
        <v>0</v>
      </c>
      <c r="AL401" s="115" t="s">
        <v>28</v>
      </c>
      <c r="AM401" s="115" t="s">
        <v>1832</v>
      </c>
      <c r="AN401" s="115" t="s">
        <v>1571</v>
      </c>
      <c r="AO401" s="115" t="s">
        <v>373</v>
      </c>
      <c r="AT401" s="115" t="s">
        <v>1415</v>
      </c>
      <c r="AU401" s="115" t="s">
        <v>2114</v>
      </c>
      <c r="AV401" s="115">
        <v>15</v>
      </c>
      <c r="AW401" s="115" t="s">
        <v>499</v>
      </c>
      <c r="AX401" s="115" t="s">
        <v>28</v>
      </c>
      <c r="AY401" s="115" t="s">
        <v>1850</v>
      </c>
      <c r="AZ401" s="115" t="s">
        <v>1902</v>
      </c>
      <c r="BA401" s="115"/>
      <c r="BB401" s="115"/>
      <c r="BC401" s="115">
        <v>740.95875000000001</v>
      </c>
      <c r="BD401" s="115"/>
      <c r="BE401" s="115"/>
      <c r="BF401" s="115">
        <v>9.6999999999999993</v>
      </c>
      <c r="BG401" s="115"/>
      <c r="BH401" s="115">
        <v>40.282043600000009</v>
      </c>
      <c r="BI401" s="115">
        <v>31.435274999999997</v>
      </c>
      <c r="BJ401" s="115">
        <v>33.113981250000002</v>
      </c>
      <c r="BK401" s="115">
        <v>5.1240250000000005</v>
      </c>
      <c r="BL401" s="115">
        <v>12.3093</v>
      </c>
      <c r="BM401" s="115"/>
      <c r="BN401" s="115"/>
      <c r="BO401" s="115"/>
      <c r="BP401" s="115"/>
      <c r="DA401" s="115"/>
      <c r="DB401" s="115"/>
      <c r="DR401" s="214"/>
      <c r="DY401" s="115"/>
      <c r="DZ401" s="334"/>
      <c r="EA401" s="334"/>
      <c r="EB401" s="334"/>
      <c r="EC401" s="334"/>
      <c r="ED401" s="187"/>
      <c r="EE401" s="330"/>
      <c r="EH401" s="334"/>
      <c r="EI401" s="334"/>
      <c r="EM401"/>
      <c r="EO401" s="115"/>
      <c r="EP401" s="334" t="s">
        <v>1415</v>
      </c>
      <c r="EQ401" s="334" t="s">
        <v>2114</v>
      </c>
      <c r="ER401" s="334" t="s">
        <v>1467</v>
      </c>
      <c r="ES401" s="334" t="s">
        <v>389</v>
      </c>
      <c r="ET401" s="334">
        <v>2024.48</v>
      </c>
      <c r="EU401" s="334" t="s">
        <v>397</v>
      </c>
      <c r="EV401" s="334">
        <v>0</v>
      </c>
    </row>
    <row r="402" spans="9:152" ht="13">
      <c r="I402" s="115" t="s">
        <v>1525</v>
      </c>
      <c r="J402" s="115" t="s">
        <v>1357</v>
      </c>
      <c r="K402" s="183">
        <v>9324.186816502388</v>
      </c>
      <c r="AI402" s="115" t="s">
        <v>1416</v>
      </c>
      <c r="AJ402" t="s">
        <v>2114</v>
      </c>
      <c r="AK402" s="115">
        <v>0</v>
      </c>
      <c r="AL402" s="115" t="s">
        <v>28</v>
      </c>
      <c r="AM402" s="115" t="s">
        <v>1850</v>
      </c>
      <c r="AN402" s="115" t="s">
        <v>1571</v>
      </c>
      <c r="AO402" s="115" t="s">
        <v>373</v>
      </c>
      <c r="AT402" s="115" t="s">
        <v>1415</v>
      </c>
      <c r="AU402" s="115" t="s">
        <v>2114</v>
      </c>
      <c r="AV402" s="115">
        <v>15</v>
      </c>
      <c r="AW402" s="115" t="s">
        <v>499</v>
      </c>
      <c r="AX402" s="115" t="s">
        <v>28</v>
      </c>
      <c r="AY402" s="115" t="s">
        <v>1832</v>
      </c>
      <c r="AZ402" s="115" t="s">
        <v>1902</v>
      </c>
      <c r="BA402" s="115"/>
      <c r="BB402" s="115"/>
      <c r="BC402" s="115">
        <v>1018.5</v>
      </c>
      <c r="BD402" s="115"/>
      <c r="BE402" s="115"/>
      <c r="BF402" s="115">
        <v>10</v>
      </c>
      <c r="BG402" s="115"/>
      <c r="BH402" s="115">
        <v>415.27880000000005</v>
      </c>
      <c r="BI402" s="115">
        <v>129.63</v>
      </c>
      <c r="BJ402" s="115">
        <v>37.931249999999999</v>
      </c>
      <c r="BK402" s="115">
        <v>52.825000000000003</v>
      </c>
      <c r="BL402" s="115">
        <v>126.9</v>
      </c>
      <c r="BM402" s="115"/>
      <c r="BN402" s="115"/>
      <c r="BO402" s="115"/>
      <c r="BP402" s="115"/>
      <c r="DA402" s="115"/>
      <c r="DB402" s="115"/>
      <c r="DR402" s="214"/>
      <c r="DY402" s="115"/>
      <c r="DZ402" s="334"/>
      <c r="EA402" s="334"/>
      <c r="EB402" s="334"/>
      <c r="EC402" s="334"/>
      <c r="ED402" s="187"/>
      <c r="EE402" s="330"/>
      <c r="EH402" s="334"/>
      <c r="EI402" s="334"/>
      <c r="EM402"/>
      <c r="EO402" s="115"/>
      <c r="EP402" s="334" t="s">
        <v>1415</v>
      </c>
      <c r="EQ402" s="334" t="s">
        <v>2114</v>
      </c>
      <c r="ER402" s="334" t="s">
        <v>1467</v>
      </c>
      <c r="ES402" s="334" t="s">
        <v>389</v>
      </c>
      <c r="ET402" s="334">
        <v>2024.48</v>
      </c>
      <c r="EU402" s="334" t="s">
        <v>1382</v>
      </c>
      <c r="EV402" s="334">
        <v>10831.96</v>
      </c>
    </row>
    <row r="403" spans="9:152" ht="13">
      <c r="I403" s="115" t="s">
        <v>1527</v>
      </c>
      <c r="J403" s="115" t="s">
        <v>1363</v>
      </c>
      <c r="K403" s="183">
        <v>125</v>
      </c>
      <c r="AI403" s="115" t="s">
        <v>1416</v>
      </c>
      <c r="AJ403" t="s">
        <v>2114</v>
      </c>
      <c r="AK403" s="115">
        <v>0</v>
      </c>
      <c r="AL403" s="115" t="s">
        <v>28</v>
      </c>
      <c r="AM403" s="115" t="s">
        <v>1843</v>
      </c>
      <c r="AN403" s="115" t="s">
        <v>1571</v>
      </c>
      <c r="AO403" s="115" t="s">
        <v>380</v>
      </c>
      <c r="AT403" s="115" t="s">
        <v>1415</v>
      </c>
      <c r="AU403" s="115" t="s">
        <v>2114</v>
      </c>
      <c r="AV403" s="115">
        <v>15</v>
      </c>
      <c r="AW403" s="115" t="s">
        <v>494</v>
      </c>
      <c r="AX403" s="115" t="s">
        <v>28</v>
      </c>
      <c r="AY403" s="115" t="s">
        <v>1846</v>
      </c>
      <c r="AZ403" s="115" t="s">
        <v>1903</v>
      </c>
      <c r="BA403" s="115"/>
      <c r="BB403" s="115"/>
      <c r="BC403" s="115"/>
      <c r="BD403" s="115"/>
      <c r="BE403" s="115"/>
      <c r="BF403" s="115"/>
      <c r="BG403" s="115"/>
      <c r="BH403" s="115"/>
      <c r="BI403" s="115"/>
      <c r="BJ403" s="115"/>
      <c r="BK403" s="115"/>
      <c r="BL403" s="115"/>
      <c r="BM403" s="115">
        <v>482632</v>
      </c>
      <c r="BN403" s="115"/>
      <c r="BO403" s="115"/>
      <c r="BP403" s="115"/>
      <c r="DA403" s="115"/>
      <c r="DB403" s="115"/>
      <c r="DR403" s="214"/>
      <c r="DY403" s="115"/>
      <c r="DZ403" s="334"/>
      <c r="EA403" s="334"/>
      <c r="EB403" s="334"/>
      <c r="EC403" s="334"/>
      <c r="ED403" s="187"/>
      <c r="EE403" s="330"/>
      <c r="EH403" s="334"/>
      <c r="EI403" s="334"/>
      <c r="EM403"/>
      <c r="EO403" s="115"/>
      <c r="EP403" s="334" t="s">
        <v>1415</v>
      </c>
      <c r="EQ403" s="334" t="s">
        <v>2114</v>
      </c>
      <c r="ER403" s="334" t="s">
        <v>1467</v>
      </c>
      <c r="ES403" s="334" t="s">
        <v>380</v>
      </c>
      <c r="ET403" s="334">
        <v>2023.47</v>
      </c>
      <c r="EU403" s="334" t="s">
        <v>397</v>
      </c>
      <c r="EV403" s="334">
        <v>53523.433599999997</v>
      </c>
    </row>
    <row r="404" spans="9:152" ht="13">
      <c r="I404" s="115" t="s">
        <v>1527</v>
      </c>
      <c r="J404" s="115" t="s">
        <v>1353</v>
      </c>
      <c r="K404" s="183" t="s">
        <v>1510</v>
      </c>
      <c r="AI404" s="115" t="s">
        <v>1416</v>
      </c>
      <c r="AJ404" t="s">
        <v>2114</v>
      </c>
      <c r="AK404" s="115">
        <v>0</v>
      </c>
      <c r="AL404" s="115" t="s">
        <v>28</v>
      </c>
      <c r="AM404" s="115" t="s">
        <v>1850</v>
      </c>
      <c r="AN404" s="115" t="s">
        <v>1571</v>
      </c>
      <c r="AO404" s="115" t="s">
        <v>380</v>
      </c>
      <c r="AT404" s="115" t="s">
        <v>1416</v>
      </c>
      <c r="AU404" s="115" t="s">
        <v>2114</v>
      </c>
      <c r="AV404" s="115">
        <v>0</v>
      </c>
      <c r="AW404" s="115" t="s">
        <v>499</v>
      </c>
      <c r="AX404" s="115" t="s">
        <v>28</v>
      </c>
      <c r="AY404" s="115" t="s">
        <v>1846</v>
      </c>
      <c r="AZ404" s="115" t="s">
        <v>1955</v>
      </c>
      <c r="BA404" s="115"/>
      <c r="BB404" s="115"/>
      <c r="BC404" s="115">
        <v>514.49999999999989</v>
      </c>
      <c r="BD404" s="115"/>
      <c r="BE404" s="115"/>
      <c r="BF404" s="115"/>
      <c r="BG404" s="115"/>
      <c r="BH404" s="115"/>
      <c r="BI404" s="115"/>
      <c r="BJ404" s="115"/>
      <c r="BK404" s="115"/>
      <c r="BL404" s="115"/>
      <c r="BM404" s="115"/>
      <c r="BN404" s="115"/>
      <c r="BO404" s="115"/>
      <c r="BP404" s="115"/>
      <c r="DA404" s="115"/>
      <c r="DB404" s="115"/>
      <c r="DR404" s="214"/>
      <c r="DY404" s="115"/>
      <c r="DZ404" s="334"/>
      <c r="EA404" s="334"/>
      <c r="EB404" s="334"/>
      <c r="EC404" s="334"/>
      <c r="ED404" s="187"/>
      <c r="EE404" s="330"/>
      <c r="EH404" s="334"/>
      <c r="EI404" s="334"/>
      <c r="EM404"/>
      <c r="EO404" s="115"/>
      <c r="EP404" s="334" t="s">
        <v>1415</v>
      </c>
      <c r="EQ404" s="334" t="s">
        <v>2114</v>
      </c>
      <c r="ER404" s="334" t="s">
        <v>1467</v>
      </c>
      <c r="ES404" s="334" t="s">
        <v>380</v>
      </c>
      <c r="ET404" s="334">
        <v>2023.47</v>
      </c>
      <c r="EU404" s="334" t="s">
        <v>1382</v>
      </c>
      <c r="EV404" s="334">
        <v>53523.433599999997</v>
      </c>
    </row>
    <row r="405" spans="9:152" ht="13">
      <c r="I405" s="115" t="s">
        <v>1527</v>
      </c>
      <c r="J405" s="115" t="s">
        <v>1369</v>
      </c>
      <c r="K405" s="183">
        <v>13</v>
      </c>
      <c r="AI405" s="115" t="s">
        <v>1416</v>
      </c>
      <c r="AJ405" t="s">
        <v>2114</v>
      </c>
      <c r="AK405" s="115">
        <v>0</v>
      </c>
      <c r="AL405" s="115" t="s">
        <v>28</v>
      </c>
      <c r="AM405" s="115" t="s">
        <v>1846</v>
      </c>
      <c r="AN405" s="115" t="s">
        <v>1571</v>
      </c>
      <c r="AO405" s="115" t="s">
        <v>380</v>
      </c>
      <c r="AT405" s="115" t="s">
        <v>1416</v>
      </c>
      <c r="AU405" s="115" t="s">
        <v>2114</v>
      </c>
      <c r="AV405" s="115">
        <v>0</v>
      </c>
      <c r="AW405" s="115" t="s">
        <v>499</v>
      </c>
      <c r="AX405" s="115" t="s">
        <v>28</v>
      </c>
      <c r="AY405" s="115" t="s">
        <v>1848</v>
      </c>
      <c r="AZ405" s="115" t="s">
        <v>1955</v>
      </c>
      <c r="BA405" s="115"/>
      <c r="BB405" s="115"/>
      <c r="BC405" s="115">
        <v>3085.4999999999995</v>
      </c>
      <c r="BD405" s="115"/>
      <c r="BE405" s="115"/>
      <c r="BF405" s="115"/>
      <c r="BG405" s="115"/>
      <c r="BH405" s="115"/>
      <c r="BI405" s="115"/>
      <c r="BJ405" s="115"/>
      <c r="BK405" s="115"/>
      <c r="BL405" s="115"/>
      <c r="BM405" s="115"/>
      <c r="BN405" s="115"/>
      <c r="BO405" s="115"/>
      <c r="BP405" s="115"/>
      <c r="DA405" s="115"/>
      <c r="DB405" s="115"/>
      <c r="DR405" s="214"/>
      <c r="DY405" s="115"/>
      <c r="DZ405" s="334"/>
      <c r="EA405" s="334"/>
      <c r="EB405" s="334"/>
      <c r="EC405" s="334"/>
      <c r="ED405" s="187"/>
      <c r="EE405" s="330"/>
      <c r="EH405" s="334"/>
      <c r="EI405" s="334"/>
      <c r="EM405"/>
      <c r="EO405" s="115"/>
      <c r="EP405" s="334" t="s">
        <v>1415</v>
      </c>
      <c r="EQ405" s="334" t="s">
        <v>2114</v>
      </c>
      <c r="ER405" s="334" t="s">
        <v>1467</v>
      </c>
      <c r="ES405" s="334" t="s">
        <v>380</v>
      </c>
      <c r="ET405" s="334">
        <v>2024.44</v>
      </c>
      <c r="EU405" s="334" t="s">
        <v>397</v>
      </c>
      <c r="EV405" s="334">
        <v>53523.433599999997</v>
      </c>
    </row>
    <row r="406" spans="9:152" ht="13">
      <c r="I406" s="115" t="s">
        <v>1527</v>
      </c>
      <c r="J406" s="115" t="s">
        <v>1355</v>
      </c>
      <c r="K406" s="183">
        <v>8</v>
      </c>
      <c r="AI406" s="115" t="s">
        <v>1416</v>
      </c>
      <c r="AJ406" t="s">
        <v>2114</v>
      </c>
      <c r="AK406" s="115">
        <v>0</v>
      </c>
      <c r="AL406" s="115" t="s">
        <v>28</v>
      </c>
      <c r="AM406" s="115" t="s">
        <v>1849</v>
      </c>
      <c r="AN406" s="115" t="s">
        <v>1571</v>
      </c>
      <c r="AO406" s="115" t="s">
        <v>380</v>
      </c>
      <c r="AT406" s="115" t="s">
        <v>1415</v>
      </c>
      <c r="AU406" s="115" t="s">
        <v>2114</v>
      </c>
      <c r="AV406" s="115">
        <v>15</v>
      </c>
      <c r="AW406" s="115" t="s">
        <v>494</v>
      </c>
      <c r="AX406" s="115" t="s">
        <v>28</v>
      </c>
      <c r="AY406" s="115" t="s">
        <v>1843</v>
      </c>
      <c r="AZ406" s="115" t="s">
        <v>1903</v>
      </c>
      <c r="BA406" s="115"/>
      <c r="BB406" s="115"/>
      <c r="BC406" s="115"/>
      <c r="BD406" s="115"/>
      <c r="BE406" s="115"/>
      <c r="BF406" s="115"/>
      <c r="BG406" s="115"/>
      <c r="BH406" s="115"/>
      <c r="BI406" s="115"/>
      <c r="BJ406" s="115"/>
      <c r="BK406" s="115"/>
      <c r="BL406" s="115"/>
      <c r="BM406" s="115">
        <v>482632</v>
      </c>
      <c r="BN406" s="115"/>
      <c r="BO406" s="115"/>
      <c r="BP406" s="115"/>
      <c r="DA406" s="115"/>
      <c r="DB406" s="115"/>
      <c r="DR406" s="214"/>
      <c r="DY406" s="115"/>
      <c r="DZ406" s="334"/>
      <c r="EA406" s="334"/>
      <c r="EB406" s="334"/>
      <c r="EC406" s="334"/>
      <c r="ED406" s="187"/>
      <c r="EE406" s="330"/>
      <c r="EH406" s="334"/>
      <c r="EI406" s="334"/>
      <c r="EM406"/>
      <c r="EO406" s="115"/>
      <c r="EP406" s="334" t="s">
        <v>1415</v>
      </c>
      <c r="EQ406" s="334" t="s">
        <v>2114</v>
      </c>
      <c r="ER406" s="334" t="s">
        <v>1467</v>
      </c>
      <c r="ES406" s="334" t="s">
        <v>380</v>
      </c>
      <c r="ET406" s="334">
        <v>2024.44</v>
      </c>
      <c r="EU406" s="334" t="s">
        <v>1382</v>
      </c>
      <c r="EV406" s="334">
        <v>53523.433599999997</v>
      </c>
    </row>
    <row r="407" spans="9:152" ht="13">
      <c r="I407" s="115" t="s">
        <v>1527</v>
      </c>
      <c r="J407" s="115" t="s">
        <v>1361</v>
      </c>
      <c r="K407" s="183">
        <v>69.23</v>
      </c>
      <c r="AI407" s="115" t="s">
        <v>1416</v>
      </c>
      <c r="AJ407" t="s">
        <v>2114</v>
      </c>
      <c r="AK407" s="115">
        <v>0</v>
      </c>
      <c r="AL407" s="115" t="s">
        <v>28</v>
      </c>
      <c r="AM407" s="115" t="s">
        <v>1848</v>
      </c>
      <c r="AN407" s="115" t="s">
        <v>1571</v>
      </c>
      <c r="AO407" s="115" t="s">
        <v>380</v>
      </c>
      <c r="AT407" s="115" t="s">
        <v>1416</v>
      </c>
      <c r="AU407" s="115" t="s">
        <v>2114</v>
      </c>
      <c r="AV407" s="115">
        <v>0</v>
      </c>
      <c r="AW407" s="115" t="s">
        <v>499</v>
      </c>
      <c r="AX407" s="115" t="s">
        <v>28</v>
      </c>
      <c r="AY407" s="115" t="s">
        <v>1843</v>
      </c>
      <c r="AZ407" s="115" t="s">
        <v>1955</v>
      </c>
      <c r="BA407" s="115"/>
      <c r="BB407" s="115"/>
      <c r="BC407" s="115">
        <v>3711.3402061855672</v>
      </c>
      <c r="BD407" s="115"/>
      <c r="BE407" s="115"/>
      <c r="BF407" s="115"/>
      <c r="BG407" s="115"/>
      <c r="BH407" s="115"/>
      <c r="BI407" s="115"/>
      <c r="BJ407" s="115"/>
      <c r="BK407" s="115"/>
      <c r="BL407" s="115"/>
      <c r="BM407" s="115"/>
      <c r="BN407" s="115"/>
      <c r="BO407" s="115"/>
      <c r="BP407" s="115"/>
      <c r="DA407" s="115"/>
      <c r="DB407" s="115"/>
      <c r="DR407" s="214"/>
      <c r="DY407" s="115"/>
      <c r="DZ407" s="334"/>
      <c r="EA407" s="334"/>
      <c r="EB407" s="334"/>
      <c r="EC407" s="334"/>
      <c r="ED407" s="187"/>
      <c r="EE407" s="330"/>
      <c r="EH407" s="334"/>
      <c r="EI407" s="334"/>
      <c r="EM407"/>
      <c r="EO407" s="115"/>
      <c r="EP407" s="334" t="s">
        <v>1415</v>
      </c>
      <c r="EQ407" s="334" t="s">
        <v>2114</v>
      </c>
      <c r="ER407" s="334" t="s">
        <v>1467</v>
      </c>
      <c r="ES407" s="334" t="s">
        <v>372</v>
      </c>
      <c r="ET407" s="334">
        <v>2023.47</v>
      </c>
      <c r="EU407" s="334" t="s">
        <v>397</v>
      </c>
      <c r="EV407" s="334">
        <v>185389.35690000001</v>
      </c>
    </row>
    <row r="408" spans="9:152" ht="13">
      <c r="I408" s="115" t="s">
        <v>1527</v>
      </c>
      <c r="J408" s="115" t="s">
        <v>1364</v>
      </c>
      <c r="K408" s="183">
        <v>300</v>
      </c>
      <c r="AI408" s="115" t="s">
        <v>1416</v>
      </c>
      <c r="AJ408" t="s">
        <v>2114</v>
      </c>
      <c r="AK408" s="115">
        <v>0</v>
      </c>
      <c r="AL408" s="115" t="s">
        <v>28</v>
      </c>
      <c r="AM408" s="115" t="s">
        <v>1832</v>
      </c>
      <c r="AN408" s="115" t="s">
        <v>1571</v>
      </c>
      <c r="AO408" s="115" t="s">
        <v>380</v>
      </c>
      <c r="AT408" s="115" t="s">
        <v>1416</v>
      </c>
      <c r="AU408" s="115" t="s">
        <v>2114</v>
      </c>
      <c r="AV408" s="115">
        <v>0</v>
      </c>
      <c r="AW408" s="115" t="s">
        <v>499</v>
      </c>
      <c r="AX408" s="115" t="s">
        <v>28</v>
      </c>
      <c r="AY408" s="115" t="s">
        <v>1849</v>
      </c>
      <c r="AZ408" s="115" t="s">
        <v>1955</v>
      </c>
      <c r="BA408" s="115"/>
      <c r="BB408" s="115"/>
      <c r="BC408" s="115">
        <v>24.999999999999996</v>
      </c>
      <c r="BD408" s="115"/>
      <c r="BE408" s="115"/>
      <c r="BF408" s="115"/>
      <c r="BG408" s="115"/>
      <c r="BH408" s="115"/>
      <c r="BI408" s="115"/>
      <c r="BJ408" s="115"/>
      <c r="BK408" s="115"/>
      <c r="BL408" s="115"/>
      <c r="BM408" s="115"/>
      <c r="BN408" s="115"/>
      <c r="BO408" s="115"/>
      <c r="BP408" s="115"/>
      <c r="DA408" s="115"/>
      <c r="DB408" s="115"/>
      <c r="DR408" s="214"/>
      <c r="DY408" s="115"/>
      <c r="DZ408" s="334"/>
      <c r="EA408" s="334"/>
      <c r="EB408" s="334"/>
      <c r="EC408" s="334"/>
      <c r="ED408" s="187"/>
      <c r="EE408" s="330"/>
      <c r="EH408" s="334"/>
      <c r="EI408" s="334"/>
      <c r="EM408"/>
      <c r="EO408" s="115"/>
      <c r="EP408" s="334" t="s">
        <v>1415</v>
      </c>
      <c r="EQ408" s="334" t="s">
        <v>2114</v>
      </c>
      <c r="ER408" s="334" t="s">
        <v>1467</v>
      </c>
      <c r="ES408" s="334" t="s">
        <v>372</v>
      </c>
      <c r="ET408" s="334">
        <v>2023.47</v>
      </c>
      <c r="EU408" s="334" t="s">
        <v>1382</v>
      </c>
      <c r="EV408" s="334">
        <v>185389.35690000001</v>
      </c>
    </row>
    <row r="409" spans="9:152" ht="13">
      <c r="I409" s="115" t="s">
        <v>1527</v>
      </c>
      <c r="J409" s="115" t="s">
        <v>1367</v>
      </c>
      <c r="K409" s="183">
        <v>8</v>
      </c>
      <c r="AI409" s="115" t="s">
        <v>1416</v>
      </c>
      <c r="AJ409" t="s">
        <v>2114</v>
      </c>
      <c r="AK409" s="115">
        <v>0</v>
      </c>
      <c r="AL409" s="115" t="s">
        <v>28</v>
      </c>
      <c r="AM409" s="115" t="s">
        <v>1848</v>
      </c>
      <c r="AN409" s="115" t="s">
        <v>1448</v>
      </c>
      <c r="AO409" s="115" t="s">
        <v>1644</v>
      </c>
      <c r="AT409" s="115" t="s">
        <v>1416</v>
      </c>
      <c r="AU409" s="115" t="s">
        <v>2114</v>
      </c>
      <c r="AV409" s="115">
        <v>0</v>
      </c>
      <c r="AW409" s="115" t="s">
        <v>499</v>
      </c>
      <c r="AX409" s="115" t="s">
        <v>28</v>
      </c>
      <c r="AY409" s="115" t="s">
        <v>1850</v>
      </c>
      <c r="AZ409" s="115" t="s">
        <v>1955</v>
      </c>
      <c r="BA409" s="115"/>
      <c r="BB409" s="115"/>
      <c r="BC409" s="115">
        <v>74.999999999999986</v>
      </c>
      <c r="BD409" s="115"/>
      <c r="BE409" s="115"/>
      <c r="BF409" s="115"/>
      <c r="BG409" s="115"/>
      <c r="BH409" s="115"/>
      <c r="BI409" s="115"/>
      <c r="BJ409" s="115"/>
      <c r="BK409" s="115"/>
      <c r="BL409" s="115"/>
      <c r="BM409" s="115"/>
      <c r="BN409" s="115"/>
      <c r="BO409" s="115"/>
      <c r="BP409" s="115"/>
      <c r="DA409" s="115"/>
      <c r="DB409" s="115"/>
      <c r="DR409" s="214"/>
      <c r="DY409" s="115"/>
      <c r="DZ409" s="334"/>
      <c r="EA409" s="334"/>
      <c r="EB409" s="334"/>
      <c r="EC409" s="334"/>
      <c r="ED409" s="187"/>
      <c r="EE409" s="330"/>
      <c r="EH409" s="334"/>
      <c r="EI409" s="334"/>
      <c r="EM409"/>
      <c r="EO409" s="115"/>
      <c r="EP409" s="334" t="s">
        <v>1415</v>
      </c>
      <c r="EQ409" s="334" t="s">
        <v>2114</v>
      </c>
      <c r="ER409" s="334" t="s">
        <v>1467</v>
      </c>
      <c r="ES409" s="334" t="s">
        <v>372</v>
      </c>
      <c r="ET409" s="334">
        <v>2024.47</v>
      </c>
      <c r="EU409" s="334" t="s">
        <v>397</v>
      </c>
      <c r="EV409" s="334">
        <v>185389.35690000001</v>
      </c>
    </row>
    <row r="410" spans="9:152" ht="13">
      <c r="I410" s="115" t="s">
        <v>1527</v>
      </c>
      <c r="J410" s="115" t="s">
        <v>1362</v>
      </c>
      <c r="K410" s="183">
        <v>95</v>
      </c>
      <c r="AI410" s="115" t="s">
        <v>1416</v>
      </c>
      <c r="AJ410" t="s">
        <v>2114</v>
      </c>
      <c r="AK410" s="115">
        <v>0</v>
      </c>
      <c r="AL410" s="115" t="s">
        <v>28</v>
      </c>
      <c r="AM410" s="115" t="s">
        <v>1832</v>
      </c>
      <c r="AN410" s="115" t="s">
        <v>1448</v>
      </c>
      <c r="AO410" s="115" t="s">
        <v>1644</v>
      </c>
      <c r="AT410" s="115" t="s">
        <v>1416</v>
      </c>
      <c r="AU410" s="115" t="s">
        <v>2114</v>
      </c>
      <c r="AV410" s="115">
        <v>0</v>
      </c>
      <c r="AW410" s="115" t="s">
        <v>499</v>
      </c>
      <c r="AX410" s="115" t="s">
        <v>28</v>
      </c>
      <c r="AY410" s="115" t="s">
        <v>1832</v>
      </c>
      <c r="AZ410" s="115" t="s">
        <v>1955</v>
      </c>
      <c r="BA410" s="115"/>
      <c r="BB410" s="115"/>
      <c r="BC410" s="115">
        <v>103.09278350515463</v>
      </c>
      <c r="BD410" s="115"/>
      <c r="BE410" s="115"/>
      <c r="BF410" s="115"/>
      <c r="BG410" s="115"/>
      <c r="BH410" s="115"/>
      <c r="BI410" s="115"/>
      <c r="BJ410" s="115"/>
      <c r="BK410" s="115"/>
      <c r="BL410" s="115"/>
      <c r="BM410" s="115"/>
      <c r="BN410" s="115"/>
      <c r="BO410" s="115"/>
      <c r="BP410" s="115"/>
      <c r="DA410" s="115"/>
      <c r="DB410" s="115"/>
      <c r="DR410" s="214"/>
      <c r="DY410" s="115"/>
      <c r="DZ410" s="334"/>
      <c r="EA410" s="334"/>
      <c r="EB410" s="334"/>
      <c r="EC410" s="334"/>
      <c r="ED410" s="187"/>
      <c r="EE410" s="330"/>
      <c r="EH410" s="334"/>
      <c r="EI410" s="334"/>
      <c r="EM410"/>
      <c r="EO410" s="115"/>
      <c r="EP410" s="334" t="s">
        <v>1415</v>
      </c>
      <c r="EQ410" s="334" t="s">
        <v>2114</v>
      </c>
      <c r="ER410" s="334" t="s">
        <v>1467</v>
      </c>
      <c r="ES410" s="334" t="s">
        <v>372</v>
      </c>
      <c r="ET410" s="334">
        <v>2024.47</v>
      </c>
      <c r="EU410" s="334" t="s">
        <v>1382</v>
      </c>
      <c r="EV410" s="334">
        <v>165389.35690000001</v>
      </c>
    </row>
    <row r="411" spans="9:152" ht="13">
      <c r="I411" s="115" t="s">
        <v>1527</v>
      </c>
      <c r="J411" s="115" t="s">
        <v>1368</v>
      </c>
      <c r="K411" s="183">
        <v>11.5</v>
      </c>
      <c r="AI411" s="115" t="s">
        <v>1416</v>
      </c>
      <c r="AJ411" t="s">
        <v>2114</v>
      </c>
      <c r="AK411" s="115">
        <v>0</v>
      </c>
      <c r="AL411" s="115" t="s">
        <v>28</v>
      </c>
      <c r="AM411" s="115" t="s">
        <v>1843</v>
      </c>
      <c r="AN411" s="115" t="s">
        <v>1448</v>
      </c>
      <c r="AO411" s="115" t="s">
        <v>1644</v>
      </c>
      <c r="AT411" s="115" t="s">
        <v>1416</v>
      </c>
      <c r="AU411" s="115" t="s">
        <v>2114</v>
      </c>
      <c r="AV411" s="115">
        <v>0</v>
      </c>
      <c r="AW411" s="115" t="s">
        <v>499</v>
      </c>
      <c r="AX411" s="115" t="s">
        <v>28</v>
      </c>
      <c r="AY411" s="115" t="s">
        <v>1846</v>
      </c>
      <c r="AZ411" s="115" t="s">
        <v>1956</v>
      </c>
      <c r="BA411" s="115"/>
      <c r="BB411" s="115"/>
      <c r="BC411" s="115"/>
      <c r="BD411" s="115"/>
      <c r="BE411" s="115"/>
      <c r="BF411" s="115"/>
      <c r="BG411" s="115"/>
      <c r="BH411" s="115"/>
      <c r="BI411" s="115"/>
      <c r="BJ411" s="115"/>
      <c r="BK411" s="115"/>
      <c r="BL411" s="115"/>
      <c r="BM411" s="115">
        <v>39600</v>
      </c>
      <c r="BN411" s="115"/>
      <c r="BO411" s="115"/>
      <c r="BP411" s="115"/>
      <c r="DA411" s="115"/>
      <c r="DB411" s="115"/>
      <c r="DR411" s="214"/>
      <c r="DY411" s="115"/>
      <c r="DZ411" s="334"/>
      <c r="EA411" s="334"/>
      <c r="EB411" s="334"/>
      <c r="EC411" s="334"/>
      <c r="ED411" s="187"/>
      <c r="EE411" s="330"/>
      <c r="EH411" s="334"/>
      <c r="EI411" s="334"/>
      <c r="EM411"/>
      <c r="EO411" s="115"/>
      <c r="EP411" s="334" t="s">
        <v>1415</v>
      </c>
      <c r="EQ411" s="334" t="s">
        <v>2114</v>
      </c>
      <c r="ER411" s="334" t="s">
        <v>1284</v>
      </c>
      <c r="ES411" s="334" t="s">
        <v>377</v>
      </c>
      <c r="ET411" s="334">
        <v>2023.47</v>
      </c>
      <c r="EU411" s="334" t="s">
        <v>397</v>
      </c>
      <c r="EV411" s="334">
        <v>148449.93969999999</v>
      </c>
    </row>
    <row r="412" spans="9:152" ht="13">
      <c r="I412" s="115" t="s">
        <v>1527</v>
      </c>
      <c r="J412" s="115" t="s">
        <v>1360</v>
      </c>
      <c r="K412" s="183">
        <v>0.28499999999999998</v>
      </c>
      <c r="AI412" s="115" t="s">
        <v>1416</v>
      </c>
      <c r="AJ412" t="s">
        <v>2114</v>
      </c>
      <c r="AK412" s="115">
        <v>0</v>
      </c>
      <c r="AL412" s="115" t="s">
        <v>28</v>
      </c>
      <c r="AM412" s="115" t="s">
        <v>1850</v>
      </c>
      <c r="AN412" s="115" t="s">
        <v>1448</v>
      </c>
      <c r="AO412" s="115" t="s">
        <v>1644</v>
      </c>
      <c r="AT412" s="115" t="s">
        <v>1415</v>
      </c>
      <c r="AU412" s="115" t="s">
        <v>2114</v>
      </c>
      <c r="AV412" s="115">
        <v>15</v>
      </c>
      <c r="AW412" s="115" t="s">
        <v>494</v>
      </c>
      <c r="AX412" s="115" t="s">
        <v>28</v>
      </c>
      <c r="AY412" s="115" t="s">
        <v>1846</v>
      </c>
      <c r="AZ412" s="115" t="s">
        <v>1904</v>
      </c>
      <c r="BA412" s="115"/>
      <c r="BB412" s="115"/>
      <c r="BC412" s="115"/>
      <c r="BD412" s="115"/>
      <c r="BE412" s="115"/>
      <c r="BF412" s="115"/>
      <c r="BG412" s="115"/>
      <c r="BH412" s="115"/>
      <c r="BI412" s="115"/>
      <c r="BJ412" s="115"/>
      <c r="BK412" s="115"/>
      <c r="BL412" s="115"/>
      <c r="BM412" s="115">
        <v>407527.43400000001</v>
      </c>
      <c r="BN412" s="115"/>
      <c r="BO412" s="115"/>
      <c r="BP412" s="115"/>
      <c r="DA412" s="115"/>
      <c r="DB412" s="115"/>
      <c r="DR412" s="214"/>
      <c r="DY412" s="115"/>
      <c r="DZ412" s="334"/>
      <c r="EA412" s="334"/>
      <c r="EB412" s="334"/>
      <c r="EC412" s="334"/>
      <c r="ED412" s="187"/>
      <c r="EE412" s="330"/>
      <c r="EH412" s="334"/>
      <c r="EI412" s="334"/>
      <c r="EM412"/>
      <c r="EO412" s="115"/>
      <c r="EP412" s="334" t="s">
        <v>1415</v>
      </c>
      <c r="EQ412" s="334" t="s">
        <v>2114</v>
      </c>
      <c r="ER412" s="334" t="s">
        <v>1284</v>
      </c>
      <c r="ES412" s="334" t="s">
        <v>377</v>
      </c>
      <c r="ET412" s="334">
        <v>2023.47</v>
      </c>
      <c r="EU412" s="334" t="s">
        <v>1382</v>
      </c>
      <c r="EV412" s="334">
        <v>148449.93969999999</v>
      </c>
    </row>
    <row r="413" spans="9:152" ht="13">
      <c r="I413" s="115" t="s">
        <v>1527</v>
      </c>
      <c r="J413" s="115" t="s">
        <v>1358</v>
      </c>
      <c r="K413" s="183" t="s">
        <v>375</v>
      </c>
      <c r="AI413" s="115" t="s">
        <v>1416</v>
      </c>
      <c r="AJ413" t="s">
        <v>2114</v>
      </c>
      <c r="AK413" s="115">
        <v>0</v>
      </c>
      <c r="AL413" s="115" t="s">
        <v>28</v>
      </c>
      <c r="AM413" s="115" t="s">
        <v>1843</v>
      </c>
      <c r="AN413" s="115" t="s">
        <v>1448</v>
      </c>
      <c r="AO413" s="115" t="s">
        <v>1274</v>
      </c>
      <c r="AT413" s="115" t="s">
        <v>1415</v>
      </c>
      <c r="AU413" s="115" t="s">
        <v>2114</v>
      </c>
      <c r="AV413" s="115">
        <v>15</v>
      </c>
      <c r="AW413" s="115" t="s">
        <v>494</v>
      </c>
      <c r="AX413" s="115" t="s">
        <v>28</v>
      </c>
      <c r="AY413" s="115" t="s">
        <v>1843</v>
      </c>
      <c r="AZ413" s="115" t="s">
        <v>1904</v>
      </c>
      <c r="BA413" s="115"/>
      <c r="BB413" s="115"/>
      <c r="BC413" s="115"/>
      <c r="BD413" s="115"/>
      <c r="BE413" s="115"/>
      <c r="BF413" s="115"/>
      <c r="BG413" s="115"/>
      <c r="BH413" s="115"/>
      <c r="BI413" s="115"/>
      <c r="BJ413" s="115"/>
      <c r="BK413" s="115"/>
      <c r="BL413" s="115"/>
      <c r="BM413" s="115">
        <v>407527.43400000001</v>
      </c>
      <c r="BN413" s="115"/>
      <c r="BO413" s="115"/>
      <c r="BP413" s="115"/>
      <c r="DA413" s="115"/>
      <c r="DB413" s="115"/>
      <c r="DR413" s="214"/>
      <c r="DY413" s="115"/>
      <c r="DZ413" s="334"/>
      <c r="EA413" s="334"/>
      <c r="EB413" s="334"/>
      <c r="EC413" s="334"/>
      <c r="ED413" s="187"/>
      <c r="EE413" s="330"/>
      <c r="EH413" s="334"/>
      <c r="EI413" s="334"/>
      <c r="EM413"/>
      <c r="EO413" s="115"/>
      <c r="EP413" s="334" t="s">
        <v>1415</v>
      </c>
      <c r="EQ413" s="334" t="s">
        <v>2114</v>
      </c>
      <c r="ER413" s="334" t="s">
        <v>1284</v>
      </c>
      <c r="ES413" s="334" t="s">
        <v>377</v>
      </c>
      <c r="ET413" s="334">
        <v>2024.47</v>
      </c>
      <c r="EU413" s="334" t="s">
        <v>397</v>
      </c>
      <c r="EV413" s="334">
        <v>148449.93969999999</v>
      </c>
    </row>
    <row r="414" spans="9:152" ht="13">
      <c r="I414" s="115" t="s">
        <v>1527</v>
      </c>
      <c r="J414" s="115" t="s">
        <v>1354</v>
      </c>
      <c r="K414" s="183">
        <v>45141</v>
      </c>
      <c r="AI414" s="115" t="s">
        <v>1416</v>
      </c>
      <c r="AJ414" t="s">
        <v>2114</v>
      </c>
      <c r="AK414" s="115">
        <v>0</v>
      </c>
      <c r="AL414" s="115" t="s">
        <v>28</v>
      </c>
      <c r="AM414" s="115" t="s">
        <v>1832</v>
      </c>
      <c r="AN414" s="115" t="s">
        <v>1448</v>
      </c>
      <c r="AO414" s="115" t="s">
        <v>1274</v>
      </c>
      <c r="AT414" s="115" t="s">
        <v>1416</v>
      </c>
      <c r="AU414" s="115" t="s">
        <v>2114</v>
      </c>
      <c r="AV414" s="115">
        <v>0</v>
      </c>
      <c r="AW414" s="115" t="s">
        <v>499</v>
      </c>
      <c r="AX414" s="115" t="s">
        <v>28</v>
      </c>
      <c r="AY414" s="115" t="s">
        <v>1843</v>
      </c>
      <c r="AZ414" s="115" t="s">
        <v>1956</v>
      </c>
      <c r="BA414" s="115"/>
      <c r="BB414" s="115"/>
      <c r="BC414" s="115"/>
      <c r="BD414" s="115"/>
      <c r="BE414" s="115"/>
      <c r="BF414" s="115"/>
      <c r="BG414" s="115"/>
      <c r="BH414" s="115"/>
      <c r="BI414" s="115"/>
      <c r="BJ414" s="115"/>
      <c r="BK414" s="115"/>
      <c r="BL414" s="115"/>
      <c r="BM414" s="115">
        <v>39600</v>
      </c>
      <c r="BN414" s="115"/>
      <c r="BO414" s="115"/>
      <c r="BP414" s="115"/>
      <c r="DA414" s="115"/>
      <c r="DB414" s="115"/>
      <c r="DR414" s="214"/>
      <c r="DY414" s="115"/>
      <c r="DZ414" s="334"/>
      <c r="EA414" s="334"/>
      <c r="EB414" s="334"/>
      <c r="EC414" s="334"/>
      <c r="ED414" s="187"/>
      <c r="EE414" s="330"/>
      <c r="EH414" s="334"/>
      <c r="EI414" s="334"/>
      <c r="EM414"/>
      <c r="EO414" s="115"/>
      <c r="EP414" s="334" t="s">
        <v>1415</v>
      </c>
      <c r="EQ414" s="334" t="s">
        <v>2114</v>
      </c>
      <c r="ER414" s="334" t="s">
        <v>1284</v>
      </c>
      <c r="ES414" s="334" t="s">
        <v>377</v>
      </c>
      <c r="ET414" s="334">
        <v>2024.47</v>
      </c>
      <c r="EU414" s="334" t="s">
        <v>1382</v>
      </c>
      <c r="EV414" s="334">
        <v>128449.9397</v>
      </c>
    </row>
    <row r="415" spans="9:152" ht="13">
      <c r="I415" s="115" t="s">
        <v>1527</v>
      </c>
      <c r="J415" s="115" t="s">
        <v>1365</v>
      </c>
      <c r="K415" s="183">
        <v>15</v>
      </c>
      <c r="AI415" s="115" t="s">
        <v>1416</v>
      </c>
      <c r="AJ415" t="s">
        <v>2114</v>
      </c>
      <c r="AK415" s="115">
        <v>0</v>
      </c>
      <c r="AL415" s="115" t="s">
        <v>28</v>
      </c>
      <c r="AM415" s="115" t="s">
        <v>1848</v>
      </c>
      <c r="AN415" s="115" t="s">
        <v>1448</v>
      </c>
      <c r="AO415" s="115" t="s">
        <v>1274</v>
      </c>
      <c r="AT415" s="115" t="s">
        <v>1415</v>
      </c>
      <c r="AU415" s="115" t="s">
        <v>2114</v>
      </c>
      <c r="AV415" s="115">
        <v>15</v>
      </c>
      <c r="AW415" s="115" t="s">
        <v>494</v>
      </c>
      <c r="AX415" s="115" t="s">
        <v>28</v>
      </c>
      <c r="AY415" s="115" t="s">
        <v>1846</v>
      </c>
      <c r="AZ415" s="115" t="s">
        <v>1905</v>
      </c>
      <c r="BA415" s="115"/>
      <c r="BB415" s="115"/>
      <c r="BC415" s="115"/>
      <c r="BD415" s="115"/>
      <c r="BE415" s="115"/>
      <c r="BF415" s="115"/>
      <c r="BG415" s="115"/>
      <c r="BH415" s="115"/>
      <c r="BI415" s="115"/>
      <c r="BJ415" s="115"/>
      <c r="BK415" s="115"/>
      <c r="BL415" s="115"/>
      <c r="BM415" s="115">
        <v>183172</v>
      </c>
      <c r="BN415" s="115"/>
      <c r="BO415" s="115"/>
      <c r="BP415" s="115"/>
      <c r="DA415" s="115"/>
      <c r="DB415" s="115"/>
      <c r="DR415" s="214"/>
      <c r="DY415" s="115"/>
      <c r="DZ415" s="334"/>
      <c r="EA415" s="334"/>
      <c r="EB415" s="334"/>
      <c r="EC415" s="334"/>
      <c r="ED415" s="187"/>
      <c r="EE415" s="330"/>
      <c r="EH415" s="334"/>
      <c r="EI415" s="334"/>
      <c r="EM415"/>
      <c r="EO415" s="115"/>
      <c r="EP415" s="334" t="s">
        <v>1415</v>
      </c>
      <c r="EQ415" s="334" t="s">
        <v>2114</v>
      </c>
      <c r="ER415" s="334" t="s">
        <v>1284</v>
      </c>
      <c r="ES415" s="334" t="s">
        <v>379</v>
      </c>
      <c r="ET415" s="334">
        <v>2025.03</v>
      </c>
      <c r="EU415" s="334" t="s">
        <v>397</v>
      </c>
      <c r="EV415" s="334">
        <v>0</v>
      </c>
    </row>
    <row r="416" spans="9:152" ht="13">
      <c r="I416" s="115" t="s">
        <v>1527</v>
      </c>
      <c r="J416" s="115" t="s">
        <v>1356</v>
      </c>
      <c r="K416" s="183" t="s">
        <v>1359</v>
      </c>
      <c r="AI416" s="115" t="s">
        <v>1416</v>
      </c>
      <c r="AJ416" t="s">
        <v>2114</v>
      </c>
      <c r="AK416" s="115">
        <v>0</v>
      </c>
      <c r="AL416" s="115" t="s">
        <v>28</v>
      </c>
      <c r="AM416" s="115" t="s">
        <v>1850</v>
      </c>
      <c r="AN416" s="115" t="s">
        <v>1448</v>
      </c>
      <c r="AO416" s="115" t="s">
        <v>1274</v>
      </c>
      <c r="AT416" s="115" t="s">
        <v>1415</v>
      </c>
      <c r="AU416" s="115" t="s">
        <v>2114</v>
      </c>
      <c r="AV416" s="115">
        <v>15</v>
      </c>
      <c r="AW416" s="115" t="s">
        <v>494</v>
      </c>
      <c r="AX416" s="115" t="s">
        <v>28</v>
      </c>
      <c r="AY416" s="115" t="s">
        <v>1843</v>
      </c>
      <c r="AZ416" s="115" t="s">
        <v>1905</v>
      </c>
      <c r="BA416" s="115"/>
      <c r="BB416" s="115"/>
      <c r="BC416" s="115"/>
      <c r="BD416" s="115"/>
      <c r="BE416" s="115"/>
      <c r="BF416" s="115"/>
      <c r="BG416" s="115"/>
      <c r="BH416" s="115"/>
      <c r="BI416" s="115"/>
      <c r="BJ416" s="115"/>
      <c r="BK416" s="115"/>
      <c r="BL416" s="115"/>
      <c r="BM416" s="115">
        <v>183172</v>
      </c>
      <c r="BN416" s="115"/>
      <c r="BO416" s="115"/>
      <c r="BP416" s="115"/>
      <c r="DA416" s="115"/>
      <c r="DB416" s="115"/>
      <c r="DR416" s="214"/>
      <c r="DY416" s="115"/>
      <c r="DZ416" s="334"/>
      <c r="EA416" s="334"/>
      <c r="EB416" s="334"/>
      <c r="EC416" s="334"/>
      <c r="ED416" s="187"/>
      <c r="EE416" s="330"/>
      <c r="EH416" s="334"/>
      <c r="EI416" s="334"/>
      <c r="EM416"/>
      <c r="EO416" s="115"/>
      <c r="EP416" s="334" t="s">
        <v>1415</v>
      </c>
      <c r="EQ416" s="334" t="s">
        <v>2114</v>
      </c>
      <c r="ER416" s="334" t="s">
        <v>1284</v>
      </c>
      <c r="ES416" s="334" t="s">
        <v>379</v>
      </c>
      <c r="ET416" s="334">
        <v>2025.03</v>
      </c>
      <c r="EU416" s="334" t="s">
        <v>1382</v>
      </c>
      <c r="EV416" s="334">
        <v>1141.25</v>
      </c>
    </row>
    <row r="417" spans="9:152" ht="13">
      <c r="I417" s="115" t="s">
        <v>1527</v>
      </c>
      <c r="J417" s="115" t="s">
        <v>1366</v>
      </c>
      <c r="K417" s="183">
        <v>3</v>
      </c>
      <c r="AI417" s="115" t="s">
        <v>1416</v>
      </c>
      <c r="AJ417" t="s">
        <v>2114</v>
      </c>
      <c r="AK417" s="115">
        <v>0</v>
      </c>
      <c r="AL417" s="115" t="s">
        <v>28</v>
      </c>
      <c r="AM417" s="115" t="s">
        <v>1846</v>
      </c>
      <c r="AN417" s="115" t="s">
        <v>1448</v>
      </c>
      <c r="AO417" s="115" t="s">
        <v>1274</v>
      </c>
      <c r="AT417" s="115" t="s">
        <v>1416</v>
      </c>
      <c r="AU417" s="115" t="s">
        <v>2114</v>
      </c>
      <c r="AV417" s="115">
        <v>0</v>
      </c>
      <c r="AW417" s="115" t="s">
        <v>499</v>
      </c>
      <c r="AX417" s="115" t="s">
        <v>28</v>
      </c>
      <c r="AY417" s="115" t="s">
        <v>1846</v>
      </c>
      <c r="AZ417" s="115" t="s">
        <v>1847</v>
      </c>
      <c r="BA417" s="115"/>
      <c r="BB417" s="115"/>
      <c r="BC417" s="115">
        <v>18585.331734375002</v>
      </c>
      <c r="BD417" s="115"/>
      <c r="BE417" s="115"/>
      <c r="BF417" s="115"/>
      <c r="BG417" s="115"/>
      <c r="BH417" s="115">
        <v>216815.93881752802</v>
      </c>
      <c r="BI417" s="115">
        <v>27272.804306999995</v>
      </c>
      <c r="BJ417" s="115">
        <v>2982.3261099999991</v>
      </c>
      <c r="BK417" s="115">
        <v>24062.048532000008</v>
      </c>
      <c r="BL417" s="115">
        <v>13852.623010500003</v>
      </c>
      <c r="BM417" s="115">
        <v>134649.53689999998</v>
      </c>
      <c r="BN417" s="115">
        <v>65029.729399999997</v>
      </c>
      <c r="BO417" s="115">
        <v>56726.310600000019</v>
      </c>
      <c r="BP417" s="115"/>
      <c r="DA417" s="115"/>
      <c r="DB417" s="115"/>
      <c r="DR417" s="214"/>
      <c r="DY417" s="115"/>
      <c r="DZ417" s="334"/>
      <c r="EA417" s="334"/>
      <c r="EB417" s="334"/>
      <c r="EC417" s="334"/>
      <c r="ED417" s="187"/>
      <c r="EE417" s="330"/>
      <c r="EH417" s="334"/>
      <c r="EI417" s="334"/>
      <c r="EM417"/>
      <c r="EO417" s="115"/>
      <c r="EP417" s="334" t="s">
        <v>1415</v>
      </c>
      <c r="EQ417" s="334" t="s">
        <v>2114</v>
      </c>
      <c r="ER417" s="334" t="s">
        <v>1284</v>
      </c>
      <c r="ES417" s="334" t="s">
        <v>376</v>
      </c>
      <c r="ET417" s="334">
        <v>2024.48</v>
      </c>
      <c r="EU417" s="334" t="s">
        <v>397</v>
      </c>
      <c r="EV417" s="334">
        <v>0</v>
      </c>
    </row>
    <row r="418" spans="9:152" ht="13">
      <c r="I418" s="115" t="s">
        <v>1527</v>
      </c>
      <c r="J418" s="115" t="s">
        <v>1357</v>
      </c>
      <c r="K418" s="183">
        <v>290.64423236411983</v>
      </c>
      <c r="AI418" s="115" t="s">
        <v>1416</v>
      </c>
      <c r="AJ418" t="s">
        <v>2114</v>
      </c>
      <c r="AK418" s="115">
        <v>0</v>
      </c>
      <c r="AL418" s="115" t="s">
        <v>28</v>
      </c>
      <c r="AM418" s="115" t="s">
        <v>1849</v>
      </c>
      <c r="AN418" s="115" t="s">
        <v>1448</v>
      </c>
      <c r="AO418" s="115" t="s">
        <v>1274</v>
      </c>
      <c r="AT418" s="115" t="s">
        <v>1415</v>
      </c>
      <c r="AU418" s="115" t="s">
        <v>2114</v>
      </c>
      <c r="AV418" s="115">
        <v>15</v>
      </c>
      <c r="AW418" s="115" t="s">
        <v>499</v>
      </c>
      <c r="AX418" s="115" t="s">
        <v>28</v>
      </c>
      <c r="AY418" s="115" t="s">
        <v>1846</v>
      </c>
      <c r="AZ418" s="115" t="s">
        <v>1847</v>
      </c>
      <c r="BA418" s="115"/>
      <c r="BB418" s="115"/>
      <c r="BC418" s="115">
        <v>57021.787511499999</v>
      </c>
      <c r="BD418" s="115"/>
      <c r="BE418" s="115"/>
      <c r="BF418" s="115"/>
      <c r="BG418" s="115"/>
      <c r="BH418" s="115">
        <v>628282.4842408367</v>
      </c>
      <c r="BI418" s="115">
        <v>80731.463347372483</v>
      </c>
      <c r="BJ418" s="115">
        <v>10758.590342499998</v>
      </c>
      <c r="BK418" s="115">
        <v>36009.624737646001</v>
      </c>
      <c r="BL418" s="115">
        <v>56864.049115590009</v>
      </c>
      <c r="BM418" s="115">
        <v>184051.54800000001</v>
      </c>
      <c r="BN418" s="115">
        <v>94256.020000000019</v>
      </c>
      <c r="BO418" s="115">
        <v>95150.51999999999</v>
      </c>
      <c r="BP418" s="115"/>
      <c r="DA418" s="115"/>
      <c r="DB418" s="115"/>
      <c r="DR418" s="214"/>
      <c r="DY418" s="115"/>
      <c r="DZ418" s="334"/>
      <c r="EA418" s="334"/>
      <c r="EB418" s="334"/>
      <c r="EC418" s="334"/>
      <c r="ED418" s="187"/>
      <c r="EE418" s="330"/>
      <c r="EH418" s="334"/>
      <c r="EI418" s="334"/>
      <c r="EM418"/>
      <c r="EO418" s="115"/>
      <c r="EP418" s="334" t="s">
        <v>1415</v>
      </c>
      <c r="EQ418" s="334" t="s">
        <v>2114</v>
      </c>
      <c r="ER418" s="334" t="s">
        <v>1284</v>
      </c>
      <c r="ES418" s="334" t="s">
        <v>376</v>
      </c>
      <c r="ET418" s="334">
        <v>2024.48</v>
      </c>
      <c r="EU418" s="334" t="s">
        <v>1382</v>
      </c>
      <c r="EV418" s="334">
        <v>5000</v>
      </c>
    </row>
    <row r="419" spans="9:152" ht="13">
      <c r="I419" s="115" t="s">
        <v>1528</v>
      </c>
      <c r="J419" s="115" t="s">
        <v>1363</v>
      </c>
      <c r="K419" s="183">
        <v>125</v>
      </c>
      <c r="AI419" s="115" t="s">
        <v>1416</v>
      </c>
      <c r="AJ419" t="s">
        <v>2114</v>
      </c>
      <c r="AK419" s="115">
        <v>0</v>
      </c>
      <c r="AL419" s="115" t="s">
        <v>28</v>
      </c>
      <c r="AM419" s="115" t="s">
        <v>1848</v>
      </c>
      <c r="AN419" s="115" t="s">
        <v>1448</v>
      </c>
      <c r="AO419" s="115" t="s">
        <v>381</v>
      </c>
      <c r="AT419" s="115" t="s">
        <v>1416</v>
      </c>
      <c r="AU419" s="115" t="s">
        <v>2114</v>
      </c>
      <c r="AV419" s="115">
        <v>0</v>
      </c>
      <c r="AW419" s="115" t="s">
        <v>499</v>
      </c>
      <c r="AX419" s="115" t="s">
        <v>28</v>
      </c>
      <c r="AY419" s="115" t="s">
        <v>1848</v>
      </c>
      <c r="AZ419" s="115" t="s">
        <v>1847</v>
      </c>
      <c r="BA419" s="115"/>
      <c r="BB419" s="115"/>
      <c r="BC419" s="115">
        <v>111457.805765625</v>
      </c>
      <c r="BD419" s="115"/>
      <c r="BE419" s="115"/>
      <c r="BF419" s="115">
        <v>5694.8330187500014</v>
      </c>
      <c r="BG419" s="115"/>
      <c r="BH419" s="115">
        <v>17033.864848088</v>
      </c>
      <c r="BI419" s="115">
        <v>11643.868505500001</v>
      </c>
      <c r="BJ419" s="115">
        <v>14131.643850000004</v>
      </c>
      <c r="BK419" s="115">
        <v>3822.2849999999999</v>
      </c>
      <c r="BL419" s="115">
        <v>2200.5056250000002</v>
      </c>
      <c r="BM419" s="115"/>
      <c r="BN419" s="115"/>
      <c r="BO419" s="115"/>
      <c r="BP419" s="115"/>
      <c r="DA419" s="115"/>
      <c r="DB419" s="115"/>
      <c r="DR419" s="214"/>
      <c r="DY419" s="115"/>
      <c r="DZ419" s="334"/>
      <c r="EA419" s="334"/>
      <c r="EB419" s="334"/>
      <c r="EC419" s="334"/>
      <c r="ED419" s="187"/>
      <c r="EE419" s="330"/>
      <c r="EH419" s="334"/>
      <c r="EI419" s="334"/>
      <c r="EM419"/>
      <c r="EO419" s="115"/>
      <c r="EP419" s="334" t="s">
        <v>1415</v>
      </c>
      <c r="EQ419" s="334" t="s">
        <v>2114</v>
      </c>
      <c r="ER419" s="334" t="s">
        <v>1284</v>
      </c>
      <c r="ES419" s="334" t="s">
        <v>1641</v>
      </c>
      <c r="ET419" s="334">
        <v>2023.47</v>
      </c>
      <c r="EU419" s="334" t="s">
        <v>397</v>
      </c>
      <c r="EV419" s="334">
        <v>36485.682099999998</v>
      </c>
    </row>
    <row r="420" spans="9:152" ht="13">
      <c r="I420" s="115" t="s">
        <v>1528</v>
      </c>
      <c r="J420" s="115" t="s">
        <v>1353</v>
      </c>
      <c r="K420" s="183" t="s">
        <v>1504</v>
      </c>
      <c r="AI420" s="115" t="s">
        <v>1416</v>
      </c>
      <c r="AJ420" t="s">
        <v>2114</v>
      </c>
      <c r="AK420" s="115">
        <v>0</v>
      </c>
      <c r="AL420" s="115" t="s">
        <v>28</v>
      </c>
      <c r="AM420" s="115" t="s">
        <v>1850</v>
      </c>
      <c r="AN420" s="115" t="s">
        <v>1448</v>
      </c>
      <c r="AO420" s="115" t="s">
        <v>381</v>
      </c>
      <c r="AT420" s="115" t="s">
        <v>1415</v>
      </c>
      <c r="AU420" s="115" t="s">
        <v>2114</v>
      </c>
      <c r="AV420" s="115">
        <v>15</v>
      </c>
      <c r="AW420" s="115" t="s">
        <v>499</v>
      </c>
      <c r="AX420" s="115" t="s">
        <v>28</v>
      </c>
      <c r="AY420" s="115" t="s">
        <v>1848</v>
      </c>
      <c r="AZ420" s="115" t="s">
        <v>1847</v>
      </c>
      <c r="BA420" s="115"/>
      <c r="BB420" s="115"/>
      <c r="BC420" s="115">
        <v>336265.78703025001</v>
      </c>
      <c r="BD420" s="115"/>
      <c r="BE420" s="115"/>
      <c r="BF420" s="115">
        <v>13674.5258876875</v>
      </c>
      <c r="BG420" s="115"/>
      <c r="BH420" s="115">
        <v>44664.995824544472</v>
      </c>
      <c r="BI420" s="115">
        <v>29658.525040912493</v>
      </c>
      <c r="BJ420" s="115">
        <v>54041.277873515632</v>
      </c>
      <c r="BK420" s="115">
        <v>5624.8375983660017</v>
      </c>
      <c r="BL420" s="115">
        <v>8882.3764143900007</v>
      </c>
      <c r="BM420" s="115"/>
      <c r="BN420" s="115"/>
      <c r="BO420" s="115"/>
      <c r="BP420" s="115"/>
      <c r="DA420" s="115"/>
      <c r="DB420" s="115"/>
      <c r="DR420" s="214"/>
      <c r="DY420" s="115"/>
      <c r="DZ420" s="334"/>
      <c r="EA420" s="334"/>
      <c r="EB420" s="334"/>
      <c r="EC420" s="334"/>
      <c r="ED420" s="187"/>
      <c r="EE420" s="330"/>
      <c r="EH420" s="334"/>
      <c r="EI420" s="334"/>
      <c r="EM420"/>
      <c r="EO420" s="115"/>
      <c r="EP420" s="334" t="s">
        <v>1415</v>
      </c>
      <c r="EQ420" s="334" t="s">
        <v>2114</v>
      </c>
      <c r="ER420" s="334" t="s">
        <v>1284</v>
      </c>
      <c r="ES420" s="334" t="s">
        <v>1641</v>
      </c>
      <c r="ET420" s="334">
        <v>2023.47</v>
      </c>
      <c r="EU420" s="334" t="s">
        <v>1382</v>
      </c>
      <c r="EV420" s="334">
        <v>36485.682099999998</v>
      </c>
    </row>
    <row r="421" spans="9:152" ht="13">
      <c r="I421" s="115" t="s">
        <v>1528</v>
      </c>
      <c r="J421" s="115" t="s">
        <v>1369</v>
      </c>
      <c r="K421" s="183">
        <v>13</v>
      </c>
      <c r="AI421" s="115" t="s">
        <v>1416</v>
      </c>
      <c r="AJ421" t="s">
        <v>2114</v>
      </c>
      <c r="AK421" s="115">
        <v>0</v>
      </c>
      <c r="AL421" s="115" t="s">
        <v>28</v>
      </c>
      <c r="AM421" s="115" t="s">
        <v>1843</v>
      </c>
      <c r="AN421" s="115" t="s">
        <v>1448</v>
      </c>
      <c r="AO421" s="115" t="s">
        <v>381</v>
      </c>
      <c r="AT421" s="115" t="s">
        <v>1416</v>
      </c>
      <c r="AU421" s="115" t="s">
        <v>2114</v>
      </c>
      <c r="AV421" s="115">
        <v>0</v>
      </c>
      <c r="AW421" s="115" t="s">
        <v>499</v>
      </c>
      <c r="AX421" s="115" t="s">
        <v>28</v>
      </c>
      <c r="AY421" s="115" t="s">
        <v>1843</v>
      </c>
      <c r="AZ421" s="115" t="s">
        <v>1847</v>
      </c>
      <c r="BA421" s="115"/>
      <c r="BB421" s="115"/>
      <c r="BC421" s="115">
        <v>134065.09020618556</v>
      </c>
      <c r="BD421" s="115"/>
      <c r="BE421" s="115"/>
      <c r="BF421" s="115">
        <v>5870.9617525773192</v>
      </c>
      <c r="BG421" s="115"/>
      <c r="BH421" s="115">
        <v>238958.12120515466</v>
      </c>
      <c r="BI421" s="115">
        <v>39701.639587628866</v>
      </c>
      <c r="BJ421" s="115">
        <v>17643.268041237116</v>
      </c>
      <c r="BK421" s="115">
        <v>28746.735670103095</v>
      </c>
      <c r="BL421" s="115">
        <v>16549.617113402062</v>
      </c>
      <c r="BM421" s="115">
        <v>134649.53689999998</v>
      </c>
      <c r="BN421" s="115">
        <v>65029.729399999997</v>
      </c>
      <c r="BO421" s="115">
        <v>56726.310600000019</v>
      </c>
      <c r="BP421" s="115"/>
      <c r="DA421" s="115"/>
      <c r="DB421" s="115"/>
      <c r="DR421" s="214"/>
      <c r="DY421" s="115"/>
      <c r="DZ421" s="334"/>
      <c r="EA421" s="334"/>
      <c r="EB421" s="334"/>
      <c r="EC421" s="334"/>
      <c r="ED421" s="187"/>
      <c r="EE421" s="330"/>
      <c r="EH421" s="334"/>
      <c r="EI421" s="334"/>
      <c r="EM421"/>
      <c r="EO421" s="115"/>
      <c r="EP421" s="334" t="s">
        <v>1415</v>
      </c>
      <c r="EQ421" s="334" t="s">
        <v>2114</v>
      </c>
      <c r="ER421" s="334" t="s">
        <v>1284</v>
      </c>
      <c r="ES421" s="334" t="s">
        <v>1641</v>
      </c>
      <c r="ET421" s="334">
        <v>2024.44</v>
      </c>
      <c r="EU421" s="334" t="s">
        <v>397</v>
      </c>
      <c r="EV421" s="334">
        <v>58914.315600000002</v>
      </c>
    </row>
    <row r="422" spans="9:152" ht="13">
      <c r="I422" s="115" t="s">
        <v>1528</v>
      </c>
      <c r="J422" s="115" t="s">
        <v>1355</v>
      </c>
      <c r="K422" s="183">
        <v>8</v>
      </c>
      <c r="AI422" s="115" t="s">
        <v>1416</v>
      </c>
      <c r="AJ422" t="s">
        <v>2114</v>
      </c>
      <c r="AK422" s="115">
        <v>0</v>
      </c>
      <c r="AL422" s="115" t="s">
        <v>28</v>
      </c>
      <c r="AM422" s="115" t="s">
        <v>1846</v>
      </c>
      <c r="AN422" s="115" t="s">
        <v>1448</v>
      </c>
      <c r="AO422" s="115" t="s">
        <v>381</v>
      </c>
      <c r="AT422" s="115" t="s">
        <v>1415</v>
      </c>
      <c r="AU422" s="115" t="s">
        <v>2114</v>
      </c>
      <c r="AV422" s="115">
        <v>15</v>
      </c>
      <c r="AW422" s="115" t="s">
        <v>499</v>
      </c>
      <c r="AX422" s="115" t="s">
        <v>28</v>
      </c>
      <c r="AY422" s="115" t="s">
        <v>1843</v>
      </c>
      <c r="AZ422" s="115" t="s">
        <v>1847</v>
      </c>
      <c r="BA422" s="115"/>
      <c r="BB422" s="115"/>
      <c r="BC422" s="115">
        <v>389783.15391752578</v>
      </c>
      <c r="BD422" s="115"/>
      <c r="BE422" s="115"/>
      <c r="BF422" s="115">
        <v>13569.14701030928</v>
      </c>
      <c r="BG422" s="115"/>
      <c r="BH422" s="115">
        <v>636702.86964329903</v>
      </c>
      <c r="BI422" s="115">
        <v>96565.07484536081</v>
      </c>
      <c r="BJ422" s="115">
        <v>64211.137422680418</v>
      </c>
      <c r="BK422" s="115">
        <v>41014.561855670101</v>
      </c>
      <c r="BL422" s="115">
        <v>74121.697319587649</v>
      </c>
      <c r="BM422" s="115">
        <v>184051.54800000001</v>
      </c>
      <c r="BN422" s="115">
        <v>94256.020000000019</v>
      </c>
      <c r="BO422" s="115">
        <v>95150.51999999999</v>
      </c>
      <c r="BP422" s="115"/>
      <c r="DA422" s="115"/>
      <c r="DB422" s="115"/>
      <c r="DR422" s="214"/>
      <c r="DY422" s="115"/>
      <c r="DZ422" s="334"/>
      <c r="EA422" s="334"/>
      <c r="EB422" s="334"/>
      <c r="EC422" s="334"/>
      <c r="ED422" s="187"/>
      <c r="EE422" s="330"/>
      <c r="EH422" s="334"/>
      <c r="EI422" s="334"/>
      <c r="EM422"/>
      <c r="EO422" s="115"/>
      <c r="EP422" s="334" t="s">
        <v>1415</v>
      </c>
      <c r="EQ422" s="334" t="s">
        <v>2114</v>
      </c>
      <c r="ER422" s="334" t="s">
        <v>1284</v>
      </c>
      <c r="ES422" s="334" t="s">
        <v>1641</v>
      </c>
      <c r="ET422" s="334">
        <v>2024.44</v>
      </c>
      <c r="EU422" s="334" t="s">
        <v>1382</v>
      </c>
      <c r="EV422" s="334">
        <v>58914.315600000002</v>
      </c>
    </row>
    <row r="423" spans="9:152" ht="13">
      <c r="I423" s="115" t="s">
        <v>1528</v>
      </c>
      <c r="J423" s="115" t="s">
        <v>1361</v>
      </c>
      <c r="K423" s="183">
        <v>69.23</v>
      </c>
      <c r="AI423" s="115" t="s">
        <v>1416</v>
      </c>
      <c r="AJ423" t="s">
        <v>2114</v>
      </c>
      <c r="AK423" s="115">
        <v>0</v>
      </c>
      <c r="AL423" s="115" t="s">
        <v>28</v>
      </c>
      <c r="AM423" s="115" t="s">
        <v>1832</v>
      </c>
      <c r="AN423" s="115" t="s">
        <v>1448</v>
      </c>
      <c r="AO423" s="115" t="s">
        <v>381</v>
      </c>
      <c r="AT423" s="115" t="s">
        <v>1415</v>
      </c>
      <c r="AU423" s="115" t="s">
        <v>2114</v>
      </c>
      <c r="AV423" s="115">
        <v>15</v>
      </c>
      <c r="AW423" s="115" t="s">
        <v>499</v>
      </c>
      <c r="AX423" s="115" t="s">
        <v>28</v>
      </c>
      <c r="AY423" s="115" t="s">
        <v>1849</v>
      </c>
      <c r="AZ423" s="115" t="s">
        <v>1847</v>
      </c>
      <c r="BA423" s="115"/>
      <c r="BB423" s="115"/>
      <c r="BC423" s="115">
        <v>2524.1824999999999</v>
      </c>
      <c r="BD423" s="115"/>
      <c r="BE423" s="115"/>
      <c r="BF423" s="115"/>
      <c r="BG423" s="115"/>
      <c r="BH423" s="115">
        <v>9234.3254651999996</v>
      </c>
      <c r="BI423" s="115">
        <v>2320.0629749999998</v>
      </c>
      <c r="BJ423" s="115">
        <v>134.20859375000001</v>
      </c>
      <c r="BK423" s="115">
        <v>1250.6772600000002</v>
      </c>
      <c r="BL423" s="115">
        <v>1974.9878999999999</v>
      </c>
      <c r="BM423" s="115"/>
      <c r="BN423" s="115"/>
      <c r="BO423" s="115"/>
      <c r="BP423" s="115"/>
      <c r="DA423" s="115"/>
      <c r="DB423" s="115"/>
      <c r="DR423" s="214"/>
      <c r="DY423" s="115"/>
      <c r="DZ423" s="334"/>
      <c r="EA423" s="334"/>
      <c r="EB423" s="334"/>
      <c r="EC423" s="334"/>
      <c r="ED423" s="187"/>
      <c r="EE423" s="330"/>
      <c r="EH423" s="334"/>
      <c r="EI423" s="334"/>
      <c r="EM423"/>
      <c r="EO423" s="115"/>
      <c r="EP423" s="334" t="s">
        <v>1415</v>
      </c>
      <c r="EQ423" s="334" t="s">
        <v>2114</v>
      </c>
      <c r="ER423" s="334" t="s">
        <v>1284</v>
      </c>
      <c r="ES423" s="334" t="s">
        <v>1641</v>
      </c>
      <c r="ET423" s="334">
        <v>2024.48</v>
      </c>
      <c r="EU423" s="334" t="s">
        <v>397</v>
      </c>
      <c r="EV423" s="334">
        <v>58914.315600000002</v>
      </c>
    </row>
    <row r="424" spans="9:152" ht="13">
      <c r="I424" s="115" t="s">
        <v>1528</v>
      </c>
      <c r="J424" s="115" t="s">
        <v>1364</v>
      </c>
      <c r="K424" s="183">
        <v>300</v>
      </c>
      <c r="AI424" s="115" t="s">
        <v>1416</v>
      </c>
      <c r="AJ424" t="s">
        <v>2114</v>
      </c>
      <c r="AK424" s="115">
        <v>0</v>
      </c>
      <c r="AL424" s="115" t="s">
        <v>28</v>
      </c>
      <c r="AM424" s="115" t="s">
        <v>1849</v>
      </c>
      <c r="AN424" s="115" t="s">
        <v>1448</v>
      </c>
      <c r="AO424" s="115" t="s">
        <v>381</v>
      </c>
      <c r="AT424" s="115" t="s">
        <v>1416</v>
      </c>
      <c r="AU424" s="115" t="s">
        <v>2114</v>
      </c>
      <c r="AV424" s="115">
        <v>0</v>
      </c>
      <c r="AW424" s="115" t="s">
        <v>499</v>
      </c>
      <c r="AX424" s="115" t="s">
        <v>28</v>
      </c>
      <c r="AY424" s="115" t="s">
        <v>1849</v>
      </c>
      <c r="AZ424" s="115" t="s">
        <v>1847</v>
      </c>
      <c r="BA424" s="115"/>
      <c r="BB424" s="115"/>
      <c r="BC424" s="115">
        <v>903.07734374999995</v>
      </c>
      <c r="BD424" s="115"/>
      <c r="BE424" s="115"/>
      <c r="BF424" s="115"/>
      <c r="BG424" s="115"/>
      <c r="BH424" s="115">
        <v>3801.2592023999996</v>
      </c>
      <c r="BI424" s="115">
        <v>983.15804999999978</v>
      </c>
      <c r="BJ424" s="115">
        <v>40.836999999999982</v>
      </c>
      <c r="BK424" s="115">
        <v>917.34840000000008</v>
      </c>
      <c r="BL424" s="115">
        <v>528.12135000000012</v>
      </c>
      <c r="BM424" s="115"/>
      <c r="BN424" s="115"/>
      <c r="BO424" s="115"/>
      <c r="BP424" s="115"/>
      <c r="DA424" s="115"/>
      <c r="DB424" s="115"/>
      <c r="DR424" s="214"/>
      <c r="DY424" s="115"/>
      <c r="DZ424" s="334"/>
      <c r="EA424" s="334"/>
      <c r="EB424" s="334"/>
      <c r="EC424" s="334"/>
      <c r="ED424" s="187"/>
      <c r="EE424" s="330"/>
      <c r="EH424" s="334"/>
      <c r="EI424" s="334"/>
      <c r="EM424"/>
      <c r="EO424" s="115"/>
      <c r="EP424" s="334" t="s">
        <v>1415</v>
      </c>
      <c r="EQ424" s="334" t="s">
        <v>2114</v>
      </c>
      <c r="ER424" s="334" t="s">
        <v>1284</v>
      </c>
      <c r="ES424" s="334" t="s">
        <v>1641</v>
      </c>
      <c r="ET424" s="334">
        <v>2024.48</v>
      </c>
      <c r="EU424" s="334" t="s">
        <v>1382</v>
      </c>
      <c r="EV424" s="334">
        <v>38914.315600000002</v>
      </c>
    </row>
    <row r="425" spans="9:152" ht="13">
      <c r="I425" s="115" t="s">
        <v>1528</v>
      </c>
      <c r="J425" s="115" t="s">
        <v>1367</v>
      </c>
      <c r="K425" s="183">
        <v>8</v>
      </c>
      <c r="AI425" s="115" t="s">
        <v>1416</v>
      </c>
      <c r="AJ425" t="s">
        <v>2114</v>
      </c>
      <c r="AK425" s="115">
        <v>0</v>
      </c>
      <c r="AL425" s="115" t="s">
        <v>28</v>
      </c>
      <c r="AM425" s="115" t="s">
        <v>1850</v>
      </c>
      <c r="AN425" s="115" t="s">
        <v>1448</v>
      </c>
      <c r="AO425" s="115" t="s">
        <v>379</v>
      </c>
      <c r="AT425" s="115" t="s">
        <v>1415</v>
      </c>
      <c r="AU425" s="115" t="s">
        <v>2114</v>
      </c>
      <c r="AV425" s="115">
        <v>15</v>
      </c>
      <c r="AW425" s="115" t="s">
        <v>499</v>
      </c>
      <c r="AX425" s="115" t="s">
        <v>28</v>
      </c>
      <c r="AY425" s="115" t="s">
        <v>1850</v>
      </c>
      <c r="AZ425" s="115" t="s">
        <v>1847</v>
      </c>
      <c r="BA425" s="115"/>
      <c r="BB425" s="115"/>
      <c r="BC425" s="115">
        <v>7572.5475000000006</v>
      </c>
      <c r="BD425" s="115"/>
      <c r="BE425" s="115"/>
      <c r="BF425" s="115">
        <v>294.21312499999999</v>
      </c>
      <c r="BG425" s="115"/>
      <c r="BH425" s="115">
        <v>1026.0361628000001</v>
      </c>
      <c r="BI425" s="115">
        <v>773.35432500000002</v>
      </c>
      <c r="BJ425" s="115">
        <v>1207.8773437500001</v>
      </c>
      <c r="BK425" s="115">
        <v>138.96413999999999</v>
      </c>
      <c r="BL425" s="115">
        <v>219.44310000000002</v>
      </c>
      <c r="BM425" s="115"/>
      <c r="BN425" s="115"/>
      <c r="BO425" s="115"/>
      <c r="BP425" s="115"/>
      <c r="DA425" s="115"/>
      <c r="DB425" s="115"/>
      <c r="DR425" s="214"/>
      <c r="DY425" s="115"/>
      <c r="DZ425" s="334"/>
      <c r="EA425" s="334"/>
      <c r="EB425" s="334"/>
      <c r="EC425" s="334"/>
      <c r="ED425" s="187"/>
      <c r="EE425" s="330"/>
      <c r="EH425" s="334"/>
      <c r="EI425" s="334"/>
      <c r="EM425"/>
      <c r="EO425" s="115"/>
      <c r="EP425" s="334" t="s">
        <v>1415</v>
      </c>
      <c r="EQ425" s="334" t="s">
        <v>2114</v>
      </c>
      <c r="ER425" s="334" t="s">
        <v>1284</v>
      </c>
      <c r="ES425" s="334" t="s">
        <v>373</v>
      </c>
      <c r="ET425" s="334">
        <v>2023.47</v>
      </c>
      <c r="EU425" s="334" t="s">
        <v>397</v>
      </c>
      <c r="EV425" s="334">
        <v>11015.4653</v>
      </c>
    </row>
    <row r="426" spans="9:152" ht="13">
      <c r="I426" s="115" t="s">
        <v>1528</v>
      </c>
      <c r="J426" s="115" t="s">
        <v>1362</v>
      </c>
      <c r="K426" s="183">
        <v>95</v>
      </c>
      <c r="AI426" s="115" t="s">
        <v>1416</v>
      </c>
      <c r="AJ426" t="s">
        <v>2114</v>
      </c>
      <c r="AK426" s="115">
        <v>0</v>
      </c>
      <c r="AL426" s="115" t="s">
        <v>28</v>
      </c>
      <c r="AM426" s="115" t="s">
        <v>1843</v>
      </c>
      <c r="AN426" s="115" t="s">
        <v>1448</v>
      </c>
      <c r="AO426" s="115" t="s">
        <v>379</v>
      </c>
      <c r="AT426" s="115" t="s">
        <v>1416</v>
      </c>
      <c r="AU426" s="115" t="s">
        <v>2114</v>
      </c>
      <c r="AV426" s="115">
        <v>0</v>
      </c>
      <c r="AW426" s="115" t="s">
        <v>499</v>
      </c>
      <c r="AX426" s="115" t="s">
        <v>28</v>
      </c>
      <c r="AY426" s="115" t="s">
        <v>1850</v>
      </c>
      <c r="AZ426" s="115" t="s">
        <v>1847</v>
      </c>
      <c r="BA426" s="115"/>
      <c r="BB426" s="115"/>
      <c r="BC426" s="115">
        <v>2709.2320312500005</v>
      </c>
      <c r="BD426" s="115"/>
      <c r="BE426" s="115"/>
      <c r="BF426" s="115">
        <v>132.25343749999999</v>
      </c>
      <c r="BG426" s="115"/>
      <c r="BH426" s="115">
        <v>422.36213359999988</v>
      </c>
      <c r="BI426" s="115">
        <v>327.71935000000008</v>
      </c>
      <c r="BJ426" s="115">
        <v>367.5329999999999</v>
      </c>
      <c r="BK426" s="115">
        <v>101.92759999999998</v>
      </c>
      <c r="BL426" s="115">
        <v>58.68014999999999</v>
      </c>
      <c r="BM426" s="115"/>
      <c r="BN426" s="115"/>
      <c r="BO426" s="115"/>
      <c r="BP426" s="115"/>
      <c r="DA426" s="115"/>
      <c r="DB426" s="115"/>
      <c r="DR426" s="214"/>
      <c r="DY426" s="115"/>
      <c r="DZ426" s="334"/>
      <c r="EA426" s="334"/>
      <c r="EB426" s="334"/>
      <c r="EC426" s="334"/>
      <c r="ED426" s="187"/>
      <c r="EE426" s="330"/>
      <c r="EH426" s="334"/>
      <c r="EI426" s="334"/>
      <c r="EM426"/>
      <c r="EO426" s="115"/>
      <c r="EP426" s="334" t="s">
        <v>1415</v>
      </c>
      <c r="EQ426" s="334" t="s">
        <v>2114</v>
      </c>
      <c r="ER426" s="334" t="s">
        <v>1284</v>
      </c>
      <c r="ES426" s="334" t="s">
        <v>373</v>
      </c>
      <c r="ET426" s="334">
        <v>2023.47</v>
      </c>
      <c r="EU426" s="334" t="s">
        <v>1382</v>
      </c>
      <c r="EV426" s="334">
        <v>11015.4653</v>
      </c>
    </row>
    <row r="427" spans="9:152" ht="13">
      <c r="I427" s="115" t="s">
        <v>1528</v>
      </c>
      <c r="J427" s="115" t="s">
        <v>1368</v>
      </c>
      <c r="K427" s="183">
        <v>11.5</v>
      </c>
      <c r="AI427" s="115" t="s">
        <v>1416</v>
      </c>
      <c r="AJ427" t="s">
        <v>2114</v>
      </c>
      <c r="AK427" s="115">
        <v>0</v>
      </c>
      <c r="AL427" s="115" t="s">
        <v>28</v>
      </c>
      <c r="AM427" s="115" t="s">
        <v>1848</v>
      </c>
      <c r="AN427" s="115" t="s">
        <v>1448</v>
      </c>
      <c r="AO427" s="115" t="s">
        <v>379</v>
      </c>
      <c r="AT427" s="115" t="s">
        <v>1415</v>
      </c>
      <c r="AU427" s="115" t="s">
        <v>2114</v>
      </c>
      <c r="AV427" s="115">
        <v>15</v>
      </c>
      <c r="AW427" s="115" t="s">
        <v>499</v>
      </c>
      <c r="AX427" s="115" t="s">
        <v>28</v>
      </c>
      <c r="AY427" s="115" t="s">
        <v>1832</v>
      </c>
      <c r="AZ427" s="115" t="s">
        <v>1847</v>
      </c>
      <c r="BA427" s="115"/>
      <c r="BB427" s="115"/>
      <c r="BC427" s="115">
        <v>10409</v>
      </c>
      <c r="BD427" s="115"/>
      <c r="BE427" s="115"/>
      <c r="BF427" s="115">
        <v>303.3125</v>
      </c>
      <c r="BG427" s="115"/>
      <c r="BH427" s="115">
        <v>10577.692400000002</v>
      </c>
      <c r="BI427" s="115">
        <v>3189.0900000000006</v>
      </c>
      <c r="BJ427" s="115">
        <v>1383.5937500000007</v>
      </c>
      <c r="BK427" s="115">
        <v>1432.6200000000001</v>
      </c>
      <c r="BL427" s="115">
        <v>2262.2999999999997</v>
      </c>
      <c r="BM427" s="115"/>
      <c r="BN427" s="115"/>
      <c r="BO427" s="115"/>
      <c r="BP427" s="115"/>
      <c r="DA427" s="115"/>
      <c r="DB427" s="115"/>
      <c r="DR427" s="214"/>
      <c r="DY427" s="115"/>
      <c r="DZ427" s="334"/>
      <c r="EA427" s="334"/>
      <c r="EB427" s="334"/>
      <c r="EC427" s="334"/>
      <c r="ED427" s="187"/>
      <c r="EE427" s="330"/>
      <c r="EH427" s="334"/>
      <c r="EI427" s="334"/>
      <c r="EM427"/>
      <c r="EO427" s="115"/>
      <c r="EP427" s="334" t="s">
        <v>1415</v>
      </c>
      <c r="EQ427" s="334" t="s">
        <v>2114</v>
      </c>
      <c r="ER427" s="334" t="s">
        <v>1284</v>
      </c>
      <c r="ES427" s="334" t="s">
        <v>380</v>
      </c>
      <c r="ET427" s="334">
        <v>2023.47</v>
      </c>
      <c r="EU427" s="334" t="s">
        <v>397</v>
      </c>
      <c r="EV427" s="334">
        <v>32008.087800000001</v>
      </c>
    </row>
    <row r="428" spans="9:152" ht="13">
      <c r="I428" s="115" t="s">
        <v>1528</v>
      </c>
      <c r="J428" s="115" t="s">
        <v>1360</v>
      </c>
      <c r="K428" s="183">
        <v>0.28499999999999998</v>
      </c>
      <c r="AI428" s="115" t="s">
        <v>1416</v>
      </c>
      <c r="AJ428" t="s">
        <v>2114</v>
      </c>
      <c r="AK428" s="115">
        <v>0</v>
      </c>
      <c r="AL428" s="115" t="s">
        <v>28</v>
      </c>
      <c r="AM428" s="115" t="s">
        <v>1832</v>
      </c>
      <c r="AN428" s="115" t="s">
        <v>1448</v>
      </c>
      <c r="AO428" s="115" t="s">
        <v>379</v>
      </c>
      <c r="AT428" s="115" t="s">
        <v>1416</v>
      </c>
      <c r="AU428" s="115" t="s">
        <v>2114</v>
      </c>
      <c r="AV428" s="115">
        <v>0</v>
      </c>
      <c r="AW428" s="115" t="s">
        <v>499</v>
      </c>
      <c r="AX428" s="115" t="s">
        <v>28</v>
      </c>
      <c r="AY428" s="115" t="s">
        <v>1832</v>
      </c>
      <c r="AZ428" s="115" t="s">
        <v>1847</v>
      </c>
      <c r="BA428" s="115"/>
      <c r="BB428" s="115"/>
      <c r="BC428" s="115">
        <v>3724.0302835051548</v>
      </c>
      <c r="BD428" s="115"/>
      <c r="BE428" s="115"/>
      <c r="BF428" s="115">
        <v>136.34375</v>
      </c>
      <c r="BG428" s="115"/>
      <c r="BH428" s="115">
        <v>4354.2487999999985</v>
      </c>
      <c r="BI428" s="115">
        <v>1351.42</v>
      </c>
      <c r="BJ428" s="115">
        <v>420.99999999999994</v>
      </c>
      <c r="BK428" s="115">
        <v>1050.8</v>
      </c>
      <c r="BL428" s="115">
        <v>604.94999999999993</v>
      </c>
      <c r="BM428" s="115"/>
      <c r="BN428" s="115"/>
      <c r="BO428" s="115"/>
      <c r="BP428" s="115"/>
      <c r="DA428" s="115"/>
      <c r="DB428" s="115"/>
      <c r="DR428" s="214"/>
      <c r="DY428" s="115"/>
      <c r="DZ428" s="334"/>
      <c r="EA428" s="334"/>
      <c r="EB428" s="334"/>
      <c r="EC428" s="334"/>
      <c r="ED428" s="187"/>
      <c r="EE428" s="330"/>
      <c r="EH428" s="334"/>
      <c r="EI428" s="334"/>
      <c r="EM428"/>
      <c r="EO428" s="115"/>
      <c r="EP428" s="334" t="s">
        <v>1415</v>
      </c>
      <c r="EQ428" s="334" t="s">
        <v>2114</v>
      </c>
      <c r="ER428" s="334" t="s">
        <v>1284</v>
      </c>
      <c r="ES428" s="334" t="s">
        <v>380</v>
      </c>
      <c r="ET428" s="334">
        <v>2023.47</v>
      </c>
      <c r="EU428" s="334" t="s">
        <v>1382</v>
      </c>
      <c r="EV428" s="334">
        <v>32008.087800000001</v>
      </c>
    </row>
    <row r="429" spans="9:152" ht="13">
      <c r="I429" s="115" t="s">
        <v>1528</v>
      </c>
      <c r="J429" s="115" t="s">
        <v>1358</v>
      </c>
      <c r="K429" s="183" t="s">
        <v>375</v>
      </c>
      <c r="AI429" s="115" t="s">
        <v>1416</v>
      </c>
      <c r="AJ429" t="s">
        <v>2114</v>
      </c>
      <c r="AK429" s="115">
        <v>0</v>
      </c>
      <c r="AL429" s="115" t="s">
        <v>28</v>
      </c>
      <c r="AM429" s="115" t="s">
        <v>1846</v>
      </c>
      <c r="AN429" s="115" t="s">
        <v>1448</v>
      </c>
      <c r="AO429" s="115" t="s">
        <v>379</v>
      </c>
      <c r="AT429" s="115" t="s">
        <v>1415</v>
      </c>
      <c r="AU429" s="115" t="s">
        <v>2114</v>
      </c>
      <c r="AV429" s="115">
        <v>15</v>
      </c>
      <c r="AW429" s="115" t="s">
        <v>494</v>
      </c>
      <c r="AX429" s="115" t="s">
        <v>28</v>
      </c>
      <c r="AY429" s="115" t="s">
        <v>1846</v>
      </c>
      <c r="AZ429" s="115" t="s">
        <v>1649</v>
      </c>
      <c r="BA429" s="115"/>
      <c r="BB429" s="115"/>
      <c r="BC429" s="115">
        <v>7629.1086922750001</v>
      </c>
      <c r="BD429" s="115"/>
      <c r="BE429" s="115"/>
      <c r="BF429" s="115"/>
      <c r="BG429" s="115"/>
      <c r="BH429" s="115">
        <v>266592.84160465276</v>
      </c>
      <c r="BI429" s="115">
        <v>106021.44743189999</v>
      </c>
      <c r="BJ429" s="115">
        <v>64.442194439999994</v>
      </c>
      <c r="BK429" s="115">
        <v>37071.348397037997</v>
      </c>
      <c r="BL429" s="115">
        <v>81895.994141994015</v>
      </c>
      <c r="BM429" s="115">
        <v>1380047.1214999999</v>
      </c>
      <c r="BN429" s="115">
        <v>480746.32</v>
      </c>
      <c r="BO429" s="115">
        <v>53099.63</v>
      </c>
      <c r="BP429" s="115"/>
      <c r="DA429" s="115"/>
      <c r="DB429" s="115"/>
      <c r="DR429" s="214"/>
      <c r="DY429" s="115"/>
      <c r="DZ429" s="334"/>
      <c r="EA429" s="334"/>
      <c r="EB429" s="334"/>
      <c r="EC429" s="334"/>
      <c r="ED429" s="187"/>
      <c r="EE429" s="330"/>
      <c r="EH429" s="334"/>
      <c r="EI429" s="334"/>
      <c r="EM429"/>
      <c r="EO429" s="115"/>
      <c r="EP429" s="334" t="s">
        <v>1415</v>
      </c>
      <c r="EQ429" s="334" t="s">
        <v>2114</v>
      </c>
      <c r="ER429" s="334" t="s">
        <v>1284</v>
      </c>
      <c r="ES429" s="334" t="s">
        <v>380</v>
      </c>
      <c r="ET429" s="334">
        <v>2024.44</v>
      </c>
      <c r="EU429" s="334" t="s">
        <v>397</v>
      </c>
      <c r="EV429" s="334">
        <v>138289.48439999999</v>
      </c>
    </row>
    <row r="430" spans="9:152" ht="13">
      <c r="I430" s="115" t="s">
        <v>1528</v>
      </c>
      <c r="J430" s="115" t="s">
        <v>1354</v>
      </c>
      <c r="K430" s="183">
        <v>45141</v>
      </c>
      <c r="AI430" s="115" t="s">
        <v>1416</v>
      </c>
      <c r="AJ430" t="s">
        <v>2114</v>
      </c>
      <c r="AK430" s="115">
        <v>0</v>
      </c>
      <c r="AL430" s="115" t="s">
        <v>28</v>
      </c>
      <c r="AM430" s="115" t="s">
        <v>1849</v>
      </c>
      <c r="AN430" s="115" t="s">
        <v>1448</v>
      </c>
      <c r="AO430" s="115" t="s">
        <v>379</v>
      </c>
      <c r="AT430" s="115" t="s">
        <v>1416</v>
      </c>
      <c r="AU430" s="115" t="s">
        <v>2114</v>
      </c>
      <c r="AV430" s="115">
        <v>0</v>
      </c>
      <c r="AW430" s="115" t="s">
        <v>494</v>
      </c>
      <c r="AX430" s="115" t="s">
        <v>28</v>
      </c>
      <c r="AY430" s="115" t="s">
        <v>1846</v>
      </c>
      <c r="AZ430" s="115" t="s">
        <v>1649</v>
      </c>
      <c r="BA430" s="115"/>
      <c r="BB430" s="115"/>
      <c r="BC430" s="115">
        <v>24.953249999999997</v>
      </c>
      <c r="BD430" s="115"/>
      <c r="BE430" s="115"/>
      <c r="BF430" s="115"/>
      <c r="BG430" s="115"/>
      <c r="BH430" s="115">
        <v>758.53296</v>
      </c>
      <c r="BI430" s="115">
        <v>75.194400000000002</v>
      </c>
      <c r="BJ430" s="115"/>
      <c r="BK430" s="115">
        <v>751.08031200000005</v>
      </c>
      <c r="BL430" s="115">
        <v>496.90374299999996</v>
      </c>
      <c r="BM430" s="115"/>
      <c r="BN430" s="115">
        <v>2823.0540000000001</v>
      </c>
      <c r="BO430" s="115">
        <v>2245.326</v>
      </c>
      <c r="BP430" s="115"/>
      <c r="DA430" s="115"/>
      <c r="DB430" s="115"/>
      <c r="DR430" s="214"/>
      <c r="DY430" s="115"/>
      <c r="DZ430" s="334"/>
      <c r="EA430" s="334"/>
      <c r="EB430" s="334"/>
      <c r="EC430" s="334"/>
      <c r="ED430" s="187"/>
      <c r="EE430" s="330"/>
      <c r="EH430" s="334"/>
      <c r="EI430" s="334"/>
      <c r="EM430"/>
      <c r="EO430" s="115"/>
      <c r="EP430" s="334" t="s">
        <v>1415</v>
      </c>
      <c r="EQ430" s="334" t="s">
        <v>2114</v>
      </c>
      <c r="ER430" s="334" t="s">
        <v>1284</v>
      </c>
      <c r="ES430" s="334" t="s">
        <v>380</v>
      </c>
      <c r="ET430" s="334">
        <v>2024.44</v>
      </c>
      <c r="EU430" s="334" t="s">
        <v>1382</v>
      </c>
      <c r="EV430" s="334">
        <v>138289.48439999999</v>
      </c>
    </row>
    <row r="431" spans="9:152" ht="13">
      <c r="I431" s="115" t="s">
        <v>1528</v>
      </c>
      <c r="J431" s="115" t="s">
        <v>1365</v>
      </c>
      <c r="K431" s="183">
        <v>15</v>
      </c>
      <c r="AI431" s="115" t="s">
        <v>1416</v>
      </c>
      <c r="AJ431" t="s">
        <v>2114</v>
      </c>
      <c r="AK431" s="115">
        <v>0</v>
      </c>
      <c r="AL431" s="115" t="s">
        <v>28</v>
      </c>
      <c r="AM431" s="115" t="s">
        <v>1843</v>
      </c>
      <c r="AN431" s="115" t="s">
        <v>1448</v>
      </c>
      <c r="AO431" s="115" t="s">
        <v>1645</v>
      </c>
      <c r="AT431" s="115" t="s">
        <v>1415</v>
      </c>
      <c r="AU431" s="115" t="s">
        <v>2114</v>
      </c>
      <c r="AV431" s="115">
        <v>15</v>
      </c>
      <c r="AW431" s="115" t="s">
        <v>494</v>
      </c>
      <c r="AX431" s="115" t="s">
        <v>28</v>
      </c>
      <c r="AY431" s="115" t="s">
        <v>1848</v>
      </c>
      <c r="AZ431" s="115" t="s">
        <v>1649</v>
      </c>
      <c r="BA431" s="115"/>
      <c r="BB431" s="115"/>
      <c r="BC431" s="115">
        <v>44989.965251962501</v>
      </c>
      <c r="BD431" s="115"/>
      <c r="BE431" s="115"/>
      <c r="BF431" s="115">
        <v>9929.7402077499992</v>
      </c>
      <c r="BG431" s="115"/>
      <c r="BH431" s="115">
        <v>12829.125956622078</v>
      </c>
      <c r="BI431" s="115">
        <v>47783.287732537494</v>
      </c>
      <c r="BJ431" s="115">
        <v>323.69840524124999</v>
      </c>
      <c r="BK431" s="115">
        <v>5790.682791197999</v>
      </c>
      <c r="BL431" s="115">
        <v>12792.459526074002</v>
      </c>
      <c r="BM431" s="115"/>
      <c r="BN431" s="115"/>
      <c r="BO431" s="115"/>
      <c r="BP431" s="115"/>
      <c r="DA431" s="115"/>
      <c r="DB431" s="115"/>
      <c r="DR431" s="214"/>
      <c r="DY431" s="115"/>
      <c r="DZ431" s="334"/>
      <c r="EA431" s="334"/>
      <c r="EB431" s="334"/>
      <c r="EC431" s="334"/>
      <c r="ED431" s="187"/>
      <c r="EE431" s="330"/>
      <c r="EH431" s="334"/>
      <c r="EI431" s="334"/>
      <c r="EM431"/>
      <c r="EO431" s="115"/>
      <c r="EP431" s="334" t="s">
        <v>1415</v>
      </c>
      <c r="EQ431" s="334" t="s">
        <v>2114</v>
      </c>
      <c r="ER431" s="334" t="s">
        <v>1284</v>
      </c>
      <c r="ES431" s="334" t="s">
        <v>380</v>
      </c>
      <c r="ET431" s="334">
        <v>2024.48</v>
      </c>
      <c r="EU431" s="334" t="s">
        <v>397</v>
      </c>
      <c r="EV431" s="334">
        <v>138289.48439999999</v>
      </c>
    </row>
    <row r="432" spans="9:152" ht="13">
      <c r="I432" s="115" t="s">
        <v>1528</v>
      </c>
      <c r="J432" s="115" t="s">
        <v>1356</v>
      </c>
      <c r="K432" s="183" t="s">
        <v>1359</v>
      </c>
      <c r="AI432" s="115" t="s">
        <v>1416</v>
      </c>
      <c r="AJ432" t="s">
        <v>2114</v>
      </c>
      <c r="AK432" s="115">
        <v>0</v>
      </c>
      <c r="AL432" s="115" t="s">
        <v>28</v>
      </c>
      <c r="AM432" s="115" t="s">
        <v>1849</v>
      </c>
      <c r="AN432" s="115" t="s">
        <v>1448</v>
      </c>
      <c r="AO432" s="115" t="s">
        <v>1645</v>
      </c>
      <c r="AT432" s="115" t="s">
        <v>1416</v>
      </c>
      <c r="AU432" s="115" t="s">
        <v>2114</v>
      </c>
      <c r="AV432" s="115">
        <v>0</v>
      </c>
      <c r="AW432" s="115" t="s">
        <v>494</v>
      </c>
      <c r="AX432" s="115" t="s">
        <v>28</v>
      </c>
      <c r="AY432" s="115" t="s">
        <v>1848</v>
      </c>
      <c r="AZ432" s="115" t="s">
        <v>1649</v>
      </c>
      <c r="BA432" s="115"/>
      <c r="BB432" s="115"/>
      <c r="BC432" s="115">
        <v>149.64675</v>
      </c>
      <c r="BD432" s="115"/>
      <c r="BE432" s="115"/>
      <c r="BF432" s="115">
        <v>219.28305000000003</v>
      </c>
      <c r="BG432" s="115"/>
      <c r="BH432" s="115">
        <v>62.59216</v>
      </c>
      <c r="BI432" s="115">
        <v>34.464100000000002</v>
      </c>
      <c r="BJ432" s="115"/>
      <c r="BK432" s="115">
        <v>119.30999999999999</v>
      </c>
      <c r="BL432" s="115">
        <v>78.933750000000003</v>
      </c>
      <c r="BM432" s="115"/>
      <c r="BN432" s="115"/>
      <c r="BO432" s="115"/>
      <c r="BP432" s="115"/>
      <c r="DA432" s="115"/>
      <c r="DB432" s="115"/>
      <c r="DR432" s="214"/>
      <c r="DY432" s="115"/>
      <c r="DZ432" s="334"/>
      <c r="EA432" s="334"/>
      <c r="EB432" s="334"/>
      <c r="EC432" s="334"/>
      <c r="ED432" s="187"/>
      <c r="EE432" s="330"/>
      <c r="EH432" s="334"/>
      <c r="EI432" s="334"/>
      <c r="EM432"/>
      <c r="EO432" s="115"/>
      <c r="EP432" s="334" t="s">
        <v>1415</v>
      </c>
      <c r="EQ432" s="334" t="s">
        <v>2114</v>
      </c>
      <c r="ER432" s="334" t="s">
        <v>1284</v>
      </c>
      <c r="ES432" s="334" t="s">
        <v>380</v>
      </c>
      <c r="ET432" s="334">
        <v>2024.48</v>
      </c>
      <c r="EU432" s="334" t="s">
        <v>1382</v>
      </c>
      <c r="EV432" s="334">
        <v>108289.4844</v>
      </c>
    </row>
    <row r="433" spans="9:152" ht="13">
      <c r="I433" s="115" t="s">
        <v>1528</v>
      </c>
      <c r="J433" s="115" t="s">
        <v>1366</v>
      </c>
      <c r="K433" s="183">
        <v>3</v>
      </c>
      <c r="AI433" s="115" t="s">
        <v>1416</v>
      </c>
      <c r="AJ433" t="s">
        <v>2114</v>
      </c>
      <c r="AK433" s="115">
        <v>0</v>
      </c>
      <c r="AL433" s="115" t="s">
        <v>28</v>
      </c>
      <c r="AM433" s="115" t="s">
        <v>1846</v>
      </c>
      <c r="AN433" s="115" t="s">
        <v>1448</v>
      </c>
      <c r="AO433" s="115" t="s">
        <v>1645</v>
      </c>
      <c r="AT433" s="115" t="s">
        <v>1416</v>
      </c>
      <c r="AU433" s="115" t="s">
        <v>2114</v>
      </c>
      <c r="AV433" s="115">
        <v>0</v>
      </c>
      <c r="AW433" s="115" t="s">
        <v>494</v>
      </c>
      <c r="AX433" s="115" t="s">
        <v>28</v>
      </c>
      <c r="AY433" s="115" t="s">
        <v>1843</v>
      </c>
      <c r="AZ433" s="115" t="s">
        <v>1649</v>
      </c>
      <c r="BA433" s="115"/>
      <c r="BB433" s="115"/>
      <c r="BC433" s="115">
        <v>180</v>
      </c>
      <c r="BD433" s="115"/>
      <c r="BE433" s="115"/>
      <c r="BF433" s="115">
        <v>226.06505154639174</v>
      </c>
      <c r="BG433" s="115"/>
      <c r="BH433" s="115">
        <v>839.89597938144334</v>
      </c>
      <c r="BI433" s="115">
        <v>117.51092783505156</v>
      </c>
      <c r="BJ433" s="115"/>
      <c r="BK433" s="115">
        <v>897.30969072164953</v>
      </c>
      <c r="BL433" s="115">
        <v>593.64690721649481</v>
      </c>
      <c r="BM433" s="115"/>
      <c r="BN433" s="115">
        <v>2823.0540000000001</v>
      </c>
      <c r="BO433" s="115">
        <v>2245.326</v>
      </c>
      <c r="BP433" s="115"/>
      <c r="DA433" s="115"/>
      <c r="DB433" s="115"/>
      <c r="DR433" s="214"/>
      <c r="DY433" s="115"/>
      <c r="DZ433" s="334"/>
      <c r="EA433" s="334"/>
      <c r="EB433" s="334"/>
      <c r="EC433" s="334"/>
      <c r="ED433" s="187"/>
      <c r="EE433" s="330"/>
      <c r="EH433" s="334"/>
      <c r="EI433" s="334"/>
      <c r="EM433"/>
      <c r="EO433" s="115"/>
      <c r="EP433" s="334" t="s">
        <v>1415</v>
      </c>
      <c r="EQ433" s="334" t="s">
        <v>2114</v>
      </c>
      <c r="ER433" s="334" t="s">
        <v>1284</v>
      </c>
      <c r="ES433" s="334" t="s">
        <v>372</v>
      </c>
      <c r="ET433" s="334">
        <v>2023.47</v>
      </c>
      <c r="EU433" s="334" t="s">
        <v>397</v>
      </c>
      <c r="EV433" s="334">
        <v>102861.43339999999</v>
      </c>
    </row>
    <row r="434" spans="9:152" ht="13">
      <c r="I434" s="115" t="s">
        <v>1528</v>
      </c>
      <c r="J434" s="115" t="s">
        <v>1357</v>
      </c>
      <c r="K434" s="183">
        <v>404400</v>
      </c>
      <c r="AI434" s="115" t="s">
        <v>1416</v>
      </c>
      <c r="AJ434" t="s">
        <v>2114</v>
      </c>
      <c r="AK434" s="115">
        <v>0</v>
      </c>
      <c r="AL434" s="115" t="s">
        <v>28</v>
      </c>
      <c r="AM434" s="115" t="s">
        <v>1832</v>
      </c>
      <c r="AN434" s="115" t="s">
        <v>1448</v>
      </c>
      <c r="AO434" s="115" t="s">
        <v>1645</v>
      </c>
      <c r="AT434" s="115" t="s">
        <v>1415</v>
      </c>
      <c r="AU434" s="115" t="s">
        <v>2114</v>
      </c>
      <c r="AV434" s="115">
        <v>15</v>
      </c>
      <c r="AW434" s="115" t="s">
        <v>494</v>
      </c>
      <c r="AX434" s="115" t="s">
        <v>28</v>
      </c>
      <c r="AY434" s="115" t="s">
        <v>1843</v>
      </c>
      <c r="AZ434" s="115" t="s">
        <v>1649</v>
      </c>
      <c r="BA434" s="115"/>
      <c r="BB434" s="115"/>
      <c r="BC434" s="115">
        <v>52150.207319587636</v>
      </c>
      <c r="BD434" s="115"/>
      <c r="BE434" s="115"/>
      <c r="BF434" s="115">
        <v>9853.2194845360827</v>
      </c>
      <c r="BG434" s="115"/>
      <c r="BH434" s="115">
        <v>269011.42880515463</v>
      </c>
      <c r="BI434" s="115">
        <v>155577.41865979382</v>
      </c>
      <c r="BJ434" s="115">
        <v>384.61422680412375</v>
      </c>
      <c r="BK434" s="115">
        <v>42223.853402061854</v>
      </c>
      <c r="BL434" s="115">
        <v>126919.68474226806</v>
      </c>
      <c r="BM434" s="115">
        <v>1380047.1214999999</v>
      </c>
      <c r="BN434" s="115">
        <v>480746.32</v>
      </c>
      <c r="BO434" s="115">
        <v>53099.63</v>
      </c>
      <c r="BP434" s="115"/>
      <c r="DA434" s="115"/>
      <c r="DB434" s="115"/>
      <c r="DR434" s="214"/>
      <c r="DY434" s="115"/>
      <c r="DZ434" s="334"/>
      <c r="EA434" s="334"/>
      <c r="EB434" s="334"/>
      <c r="EC434" s="334"/>
      <c r="ED434" s="187"/>
      <c r="EE434" s="330"/>
      <c r="EH434" s="334"/>
      <c r="EI434" s="334"/>
      <c r="EM434"/>
      <c r="EO434" s="115"/>
      <c r="EP434" s="334" t="s">
        <v>1415</v>
      </c>
      <c r="EQ434" s="334" t="s">
        <v>2114</v>
      </c>
      <c r="ER434" s="334" t="s">
        <v>1284</v>
      </c>
      <c r="ES434" s="334" t="s">
        <v>372</v>
      </c>
      <c r="ET434" s="334">
        <v>2023.47</v>
      </c>
      <c r="EU434" s="334" t="s">
        <v>1382</v>
      </c>
      <c r="EV434" s="334">
        <v>102861.43339999999</v>
      </c>
    </row>
    <row r="435" spans="9:152" ht="13">
      <c r="I435" s="115" t="s">
        <v>1529</v>
      </c>
      <c r="J435" s="115" t="s">
        <v>1363</v>
      </c>
      <c r="K435" s="183">
        <v>125</v>
      </c>
      <c r="AI435" s="115" t="s">
        <v>1416</v>
      </c>
      <c r="AJ435" t="s">
        <v>2114</v>
      </c>
      <c r="AK435" s="115">
        <v>0</v>
      </c>
      <c r="AL435" s="115" t="s">
        <v>28</v>
      </c>
      <c r="AM435" s="115" t="s">
        <v>1850</v>
      </c>
      <c r="AN435" s="115" t="s">
        <v>1448</v>
      </c>
      <c r="AO435" s="115" t="s">
        <v>1645</v>
      </c>
      <c r="AT435" s="115" t="s">
        <v>1415</v>
      </c>
      <c r="AU435" s="115" t="s">
        <v>2114</v>
      </c>
      <c r="AV435" s="115">
        <v>15</v>
      </c>
      <c r="AW435" s="115" t="s">
        <v>494</v>
      </c>
      <c r="AX435" s="115" t="s">
        <v>28</v>
      </c>
      <c r="AY435" s="115" t="s">
        <v>1849</v>
      </c>
      <c r="AZ435" s="115" t="s">
        <v>1649</v>
      </c>
      <c r="BA435" s="115"/>
      <c r="BB435" s="115"/>
      <c r="BC435" s="115">
        <v>337.71762500000006</v>
      </c>
      <c r="BD435" s="115"/>
      <c r="BE435" s="115"/>
      <c r="BF435" s="115"/>
      <c r="BG435" s="115"/>
      <c r="BH435" s="115">
        <v>2652.3751391999995</v>
      </c>
      <c r="BI435" s="115">
        <v>3737.8877249999996</v>
      </c>
      <c r="BJ435" s="115">
        <v>0.80388749999999987</v>
      </c>
      <c r="BK435" s="115">
        <v>1287.5527799999998</v>
      </c>
      <c r="BL435" s="115">
        <v>2844.3911400000006</v>
      </c>
      <c r="BM435" s="115"/>
      <c r="BN435" s="115"/>
      <c r="BO435" s="115"/>
      <c r="BP435" s="115"/>
      <c r="DA435" s="115"/>
      <c r="DB435" s="115"/>
      <c r="DR435" s="214"/>
      <c r="DY435" s="115"/>
      <c r="DZ435" s="334"/>
      <c r="EA435" s="334"/>
      <c r="EB435" s="334"/>
      <c r="EC435" s="334"/>
      <c r="ED435" s="187"/>
      <c r="EE435" s="330"/>
      <c r="EH435" s="334"/>
      <c r="EI435" s="334"/>
      <c r="EM435"/>
      <c r="EO435" s="115"/>
      <c r="EP435" s="334" t="s">
        <v>1415</v>
      </c>
      <c r="EQ435" s="334" t="s">
        <v>2114</v>
      </c>
      <c r="ER435" s="334" t="s">
        <v>1284</v>
      </c>
      <c r="ES435" s="334" t="s">
        <v>372</v>
      </c>
      <c r="ET435" s="334">
        <v>2024.48</v>
      </c>
      <c r="EU435" s="334" t="s">
        <v>397</v>
      </c>
      <c r="EV435" s="334">
        <v>102861.43339999999</v>
      </c>
    </row>
    <row r="436" spans="9:152" ht="13">
      <c r="I436" s="115" t="s">
        <v>1529</v>
      </c>
      <c r="J436" s="115" t="s">
        <v>1353</v>
      </c>
      <c r="K436" s="183" t="s">
        <v>1530</v>
      </c>
      <c r="AI436" s="115" t="s">
        <v>1416</v>
      </c>
      <c r="AJ436" t="s">
        <v>2114</v>
      </c>
      <c r="AK436" s="115">
        <v>0</v>
      </c>
      <c r="AL436" s="115" t="s">
        <v>28</v>
      </c>
      <c r="AM436" s="115" t="s">
        <v>1848</v>
      </c>
      <c r="AN436" s="115" t="s">
        <v>1448</v>
      </c>
      <c r="AO436" s="115" t="s">
        <v>1645</v>
      </c>
      <c r="AT436" s="115" t="s">
        <v>1416</v>
      </c>
      <c r="AU436" s="115" t="s">
        <v>2114</v>
      </c>
      <c r="AV436" s="115">
        <v>0</v>
      </c>
      <c r="AW436" s="115" t="s">
        <v>494</v>
      </c>
      <c r="AX436" s="115" t="s">
        <v>28</v>
      </c>
      <c r="AY436" s="115" t="s">
        <v>1849</v>
      </c>
      <c r="AZ436" s="115" t="s">
        <v>1649</v>
      </c>
      <c r="BA436" s="115"/>
      <c r="BB436" s="115"/>
      <c r="BC436" s="115">
        <v>1.2124999999999999</v>
      </c>
      <c r="BD436" s="115"/>
      <c r="BE436" s="115"/>
      <c r="BF436" s="115"/>
      <c r="BG436" s="115"/>
      <c r="BH436" s="115">
        <v>13.968</v>
      </c>
      <c r="BI436" s="115">
        <v>2.91</v>
      </c>
      <c r="BJ436" s="115"/>
      <c r="BK436" s="115">
        <v>28.634399999999999</v>
      </c>
      <c r="BL436" s="115">
        <v>18.944099999999999</v>
      </c>
      <c r="BM436" s="115"/>
      <c r="BN436" s="115"/>
      <c r="BO436" s="115"/>
      <c r="BP436" s="115"/>
      <c r="DA436" s="115"/>
      <c r="DB436" s="115"/>
      <c r="DR436" s="214"/>
      <c r="DY436" s="115"/>
      <c r="DZ436" s="334"/>
      <c r="EA436" s="334"/>
      <c r="EB436" s="334"/>
      <c r="EC436" s="334"/>
      <c r="ED436" s="187"/>
      <c r="EE436" s="330"/>
      <c r="EH436" s="334"/>
      <c r="EI436" s="334"/>
      <c r="EM436"/>
      <c r="EO436" s="115"/>
      <c r="EP436" s="334" t="s">
        <v>1415</v>
      </c>
      <c r="EQ436" s="334" t="s">
        <v>2114</v>
      </c>
      <c r="ER436" s="334" t="s">
        <v>1284</v>
      </c>
      <c r="ES436" s="334" t="s">
        <v>372</v>
      </c>
      <c r="ET436" s="334">
        <v>2024.48</v>
      </c>
      <c r="EU436" s="334" t="s">
        <v>1382</v>
      </c>
      <c r="EV436" s="334">
        <v>137861.43340000001</v>
      </c>
    </row>
    <row r="437" spans="9:152" ht="13">
      <c r="I437" s="115" t="s">
        <v>1529</v>
      </c>
      <c r="J437" s="115" t="s">
        <v>1369</v>
      </c>
      <c r="K437" s="183">
        <v>13</v>
      </c>
      <c r="AI437" s="115" t="s">
        <v>1416</v>
      </c>
      <c r="AJ437" t="s">
        <v>2114</v>
      </c>
      <c r="AK437" s="115">
        <v>0</v>
      </c>
      <c r="AL437" s="115" t="s">
        <v>28</v>
      </c>
      <c r="AM437" s="115" t="s">
        <v>1846</v>
      </c>
      <c r="AN437" s="115" t="s">
        <v>1448</v>
      </c>
      <c r="AO437" s="115" t="s">
        <v>1646</v>
      </c>
      <c r="AT437" s="115" t="s">
        <v>1416</v>
      </c>
      <c r="AU437" s="115" t="s">
        <v>2114</v>
      </c>
      <c r="AV437" s="115">
        <v>0</v>
      </c>
      <c r="AW437" s="115" t="s">
        <v>494</v>
      </c>
      <c r="AX437" s="115" t="s">
        <v>28</v>
      </c>
      <c r="AY437" s="115" t="s">
        <v>1850</v>
      </c>
      <c r="AZ437" s="115" t="s">
        <v>1649</v>
      </c>
      <c r="BA437" s="115"/>
      <c r="BB437" s="115"/>
      <c r="BC437" s="115">
        <v>3.6374999999999997</v>
      </c>
      <c r="BD437" s="115"/>
      <c r="BE437" s="115"/>
      <c r="BF437" s="115">
        <v>5.0925000000000002</v>
      </c>
      <c r="BG437" s="115"/>
      <c r="BH437" s="115">
        <v>1.552</v>
      </c>
      <c r="BI437" s="115">
        <v>0.97</v>
      </c>
      <c r="BJ437" s="115"/>
      <c r="BK437" s="115">
        <v>3.1816</v>
      </c>
      <c r="BL437" s="115">
        <v>2.1049000000000002</v>
      </c>
      <c r="BM437" s="115"/>
      <c r="BN437" s="115"/>
      <c r="BO437" s="115"/>
      <c r="BP437" s="115"/>
      <c r="DA437" s="115"/>
      <c r="DB437" s="115"/>
      <c r="DR437" s="214"/>
      <c r="DY437" s="115"/>
      <c r="DZ437" s="334"/>
      <c r="EA437" s="334"/>
      <c r="EB437" s="334"/>
      <c r="EC437" s="334"/>
      <c r="ED437" s="187"/>
      <c r="EE437" s="330"/>
      <c r="EH437" s="334"/>
      <c r="EI437" s="334"/>
      <c r="EM437"/>
      <c r="EO437" s="115"/>
      <c r="EP437" s="334" t="s">
        <v>1415</v>
      </c>
      <c r="EQ437" s="334" t="s">
        <v>2114</v>
      </c>
      <c r="ER437" s="334" t="s">
        <v>298</v>
      </c>
      <c r="ES437" s="334" t="s">
        <v>379</v>
      </c>
      <c r="ET437" s="334">
        <v>2024.44</v>
      </c>
      <c r="EU437" s="334" t="s">
        <v>397</v>
      </c>
      <c r="EV437" s="334">
        <v>2063.5250999999998</v>
      </c>
    </row>
    <row r="438" spans="9:152" ht="13">
      <c r="I438" s="115" t="s">
        <v>1529</v>
      </c>
      <c r="J438" s="115" t="s">
        <v>1355</v>
      </c>
      <c r="K438" s="183">
        <v>2</v>
      </c>
      <c r="AI438" s="115" t="s">
        <v>1416</v>
      </c>
      <c r="AJ438" t="s">
        <v>2114</v>
      </c>
      <c r="AK438" s="115">
        <v>0</v>
      </c>
      <c r="AL438" s="115" t="s">
        <v>28</v>
      </c>
      <c r="AM438" s="115" t="s">
        <v>1843</v>
      </c>
      <c r="AN438" s="115" t="s">
        <v>1448</v>
      </c>
      <c r="AO438" s="115" t="s">
        <v>1646</v>
      </c>
      <c r="AT438" s="115" t="s">
        <v>1415</v>
      </c>
      <c r="AU438" s="115" t="s">
        <v>2114</v>
      </c>
      <c r="AV438" s="115">
        <v>15</v>
      </c>
      <c r="AW438" s="115" t="s">
        <v>494</v>
      </c>
      <c r="AX438" s="115" t="s">
        <v>28</v>
      </c>
      <c r="AY438" s="115" t="s">
        <v>1850</v>
      </c>
      <c r="AZ438" s="115" t="s">
        <v>1649</v>
      </c>
      <c r="BA438" s="115"/>
      <c r="BB438" s="115"/>
      <c r="BC438" s="115">
        <v>1013.152875</v>
      </c>
      <c r="BD438" s="115"/>
      <c r="BE438" s="115"/>
      <c r="BF438" s="115">
        <v>213.64249999999998</v>
      </c>
      <c r="BG438" s="115"/>
      <c r="BH438" s="115">
        <v>294.70834879999995</v>
      </c>
      <c r="BI438" s="115">
        <v>1245.962575</v>
      </c>
      <c r="BJ438" s="115">
        <v>7.2349875000000008</v>
      </c>
      <c r="BK438" s="115">
        <v>143.06142</v>
      </c>
      <c r="BL438" s="115">
        <v>316.04345999999998</v>
      </c>
      <c r="BM438" s="115"/>
      <c r="BN438" s="115"/>
      <c r="BO438" s="115"/>
      <c r="BP438" s="115"/>
      <c r="DA438" s="115"/>
      <c r="DB438" s="115"/>
      <c r="DR438" s="214"/>
      <c r="DY438" s="115"/>
      <c r="DZ438" s="334"/>
      <c r="EA438" s="334"/>
      <c r="EB438" s="334"/>
      <c r="EC438" s="334"/>
      <c r="ED438" s="187"/>
      <c r="EE438" s="330"/>
      <c r="EH438" s="334"/>
      <c r="EI438" s="334"/>
      <c r="EM438"/>
      <c r="EO438" s="115"/>
      <c r="EP438" s="334" t="s">
        <v>1415</v>
      </c>
      <c r="EQ438" s="334" t="s">
        <v>2114</v>
      </c>
      <c r="ER438" s="334" t="s">
        <v>298</v>
      </c>
      <c r="ES438" s="334" t="s">
        <v>379</v>
      </c>
      <c r="ET438" s="334">
        <v>2024.44</v>
      </c>
      <c r="EU438" s="334" t="s">
        <v>1382</v>
      </c>
      <c r="EV438" s="334">
        <v>2063.5250999999998</v>
      </c>
    </row>
    <row r="439" spans="9:152" ht="13">
      <c r="I439" s="115" t="s">
        <v>1529</v>
      </c>
      <c r="J439" s="115" t="s">
        <v>1361</v>
      </c>
      <c r="K439" s="183">
        <v>69.23</v>
      </c>
      <c r="AI439" s="115" t="s">
        <v>1416</v>
      </c>
      <c r="AJ439" t="s">
        <v>2114</v>
      </c>
      <c r="AK439" s="115">
        <v>0</v>
      </c>
      <c r="AL439" s="115" t="s">
        <v>28</v>
      </c>
      <c r="AM439" s="115" t="s">
        <v>1843</v>
      </c>
      <c r="AN439" s="115" t="s">
        <v>1448</v>
      </c>
      <c r="AO439" s="115" t="s">
        <v>1647</v>
      </c>
      <c r="AT439" s="115" t="s">
        <v>1416</v>
      </c>
      <c r="AU439" s="115" t="s">
        <v>2114</v>
      </c>
      <c r="AV439" s="115">
        <v>0</v>
      </c>
      <c r="AW439" s="115" t="s">
        <v>494</v>
      </c>
      <c r="AX439" s="115" t="s">
        <v>28</v>
      </c>
      <c r="AY439" s="115" t="s">
        <v>1832</v>
      </c>
      <c r="AZ439" s="115" t="s">
        <v>1649</v>
      </c>
      <c r="BA439" s="115"/>
      <c r="BB439" s="115"/>
      <c r="BC439" s="115">
        <v>5</v>
      </c>
      <c r="BD439" s="115"/>
      <c r="BE439" s="115"/>
      <c r="BF439" s="115">
        <v>5.25</v>
      </c>
      <c r="BG439" s="115"/>
      <c r="BH439" s="115">
        <v>16</v>
      </c>
      <c r="BI439" s="115">
        <v>4</v>
      </c>
      <c r="BJ439" s="115"/>
      <c r="BK439" s="115">
        <v>32.799999999999997</v>
      </c>
      <c r="BL439" s="115">
        <v>21.7</v>
      </c>
      <c r="BM439" s="115"/>
      <c r="BN439" s="115"/>
      <c r="BO439" s="115"/>
      <c r="BP439" s="115"/>
      <c r="DA439" s="115"/>
      <c r="DB439" s="115"/>
      <c r="DR439" s="214"/>
      <c r="DY439" s="115"/>
      <c r="DZ439" s="334"/>
      <c r="EA439" s="334"/>
      <c r="EB439" s="334"/>
      <c r="EC439" s="334"/>
      <c r="ED439" s="187"/>
      <c r="EE439" s="330"/>
      <c r="EH439" s="334"/>
      <c r="EI439" s="334"/>
      <c r="EM439"/>
      <c r="EO439" s="115"/>
      <c r="EP439" s="334" t="s">
        <v>1415</v>
      </c>
      <c r="EQ439" s="334" t="s">
        <v>2114</v>
      </c>
      <c r="ER439" s="334" t="s">
        <v>298</v>
      </c>
      <c r="ES439" s="334" t="s">
        <v>385</v>
      </c>
      <c r="ET439" s="334">
        <v>2024.48</v>
      </c>
      <c r="EU439" s="334" t="s">
        <v>397</v>
      </c>
      <c r="EV439" s="334">
        <v>0</v>
      </c>
    </row>
    <row r="440" spans="9:152" ht="13">
      <c r="I440" s="115" t="s">
        <v>1529</v>
      </c>
      <c r="J440" s="115" t="s">
        <v>1364</v>
      </c>
      <c r="K440" s="183">
        <v>300</v>
      </c>
      <c r="AI440" s="115" t="s">
        <v>1416</v>
      </c>
      <c r="AJ440" t="s">
        <v>2114</v>
      </c>
      <c r="AK440" s="115">
        <v>0</v>
      </c>
      <c r="AL440" s="115" t="s">
        <v>28</v>
      </c>
      <c r="AM440" s="115" t="s">
        <v>1846</v>
      </c>
      <c r="AN440" s="115" t="s">
        <v>1448</v>
      </c>
      <c r="AO440" s="115" t="s">
        <v>1647</v>
      </c>
      <c r="AT440" s="115" t="s">
        <v>1415</v>
      </c>
      <c r="AU440" s="115" t="s">
        <v>2114</v>
      </c>
      <c r="AV440" s="115">
        <v>15</v>
      </c>
      <c r="AW440" s="115" t="s">
        <v>494</v>
      </c>
      <c r="AX440" s="115" t="s">
        <v>28</v>
      </c>
      <c r="AY440" s="115" t="s">
        <v>1832</v>
      </c>
      <c r="AZ440" s="115" t="s">
        <v>1649</v>
      </c>
      <c r="BA440" s="115"/>
      <c r="BB440" s="115"/>
      <c r="BC440" s="115">
        <v>1392.65</v>
      </c>
      <c r="BD440" s="115"/>
      <c r="BE440" s="115"/>
      <c r="BF440" s="115">
        <v>220.25</v>
      </c>
      <c r="BG440" s="115"/>
      <c r="BH440" s="115">
        <v>3038.2303999999995</v>
      </c>
      <c r="BI440" s="115">
        <v>5137.99</v>
      </c>
      <c r="BJ440" s="115">
        <v>8.2875000000000014</v>
      </c>
      <c r="BK440" s="115">
        <v>1474.8599999999997</v>
      </c>
      <c r="BL440" s="115">
        <v>3258.18</v>
      </c>
      <c r="BM440" s="115"/>
      <c r="BN440" s="115"/>
      <c r="BO440" s="115"/>
      <c r="BP440" s="115"/>
      <c r="DA440" s="115"/>
      <c r="DB440" s="115"/>
      <c r="DR440" s="214"/>
      <c r="DY440" s="115"/>
      <c r="DZ440" s="334"/>
      <c r="EA440" s="334"/>
      <c r="EB440" s="334"/>
      <c r="EC440" s="334"/>
      <c r="ED440" s="187"/>
      <c r="EE440" s="330"/>
      <c r="EH440" s="334"/>
      <c r="EI440" s="334"/>
      <c r="EM440"/>
      <c r="EO440" s="115"/>
      <c r="EP440" s="334" t="s">
        <v>1415</v>
      </c>
      <c r="EQ440" s="334" t="s">
        <v>2114</v>
      </c>
      <c r="ER440" s="334" t="s">
        <v>298</v>
      </c>
      <c r="ES440" s="334" t="s">
        <v>385</v>
      </c>
      <c r="ET440" s="334">
        <v>2024.48</v>
      </c>
      <c r="EU440" s="334" t="s">
        <v>1382</v>
      </c>
      <c r="EV440" s="334">
        <v>141.6</v>
      </c>
    </row>
    <row r="441" spans="9:152" ht="13">
      <c r="I441" s="115" t="s">
        <v>1529</v>
      </c>
      <c r="J441" s="115" t="s">
        <v>1367</v>
      </c>
      <c r="K441" s="183">
        <v>8</v>
      </c>
      <c r="AI441" s="115" t="s">
        <v>1416</v>
      </c>
      <c r="AJ441" t="s">
        <v>2114</v>
      </c>
      <c r="AK441" s="115">
        <v>0</v>
      </c>
      <c r="AL441" s="115" t="s">
        <v>28</v>
      </c>
      <c r="AM441" s="115" t="s">
        <v>1843</v>
      </c>
      <c r="AN441" s="115" t="s">
        <v>1448</v>
      </c>
      <c r="AO441" s="115" t="s">
        <v>1639</v>
      </c>
      <c r="AT441" s="115" t="s">
        <v>1415</v>
      </c>
      <c r="AU441" s="115" t="s">
        <v>2114</v>
      </c>
      <c r="AV441" s="115">
        <v>15</v>
      </c>
      <c r="AW441" s="115" t="s">
        <v>1679</v>
      </c>
      <c r="AX441" s="115" t="s">
        <v>28</v>
      </c>
      <c r="AY441" s="115" t="s">
        <v>1846</v>
      </c>
      <c r="AZ441" s="115" t="s">
        <v>1683</v>
      </c>
      <c r="BA441" s="115"/>
      <c r="BB441" s="115"/>
      <c r="BC441" s="115"/>
      <c r="BD441" s="115"/>
      <c r="BE441" s="115"/>
      <c r="BF441" s="115"/>
      <c r="BG441" s="115"/>
      <c r="BH441" s="115"/>
      <c r="BI441" s="115">
        <v>19244.010419999999</v>
      </c>
      <c r="BJ441" s="115"/>
      <c r="BK441" s="115"/>
      <c r="BL441" s="115">
        <v>24565.884768</v>
      </c>
      <c r="BM441" s="115"/>
      <c r="BN441" s="115"/>
      <c r="BO441" s="115"/>
      <c r="BP441" s="115">
        <v>117376.5405</v>
      </c>
      <c r="DA441" s="115"/>
      <c r="DB441" s="115"/>
      <c r="DR441" s="214"/>
      <c r="DY441" s="115"/>
      <c r="DZ441" s="334"/>
      <c r="EA441" s="334"/>
      <c r="EB441" s="334"/>
      <c r="EC441" s="334"/>
      <c r="ED441" s="187"/>
      <c r="EE441" s="330"/>
      <c r="EH441" s="334"/>
      <c r="EI441" s="334"/>
      <c r="EM441"/>
      <c r="EO441" s="115"/>
      <c r="EP441" s="334" t="s">
        <v>1415</v>
      </c>
      <c r="EQ441" s="334" t="s">
        <v>2114</v>
      </c>
      <c r="ER441" s="334" t="s">
        <v>298</v>
      </c>
      <c r="ES441" s="334" t="s">
        <v>2164</v>
      </c>
      <c r="ET441" s="334">
        <v>2024.48</v>
      </c>
      <c r="EU441" s="334" t="s">
        <v>397</v>
      </c>
      <c r="EV441" s="334">
        <v>0</v>
      </c>
    </row>
    <row r="442" spans="9:152" ht="13">
      <c r="I442" s="115" t="s">
        <v>1529</v>
      </c>
      <c r="J442" s="115" t="s">
        <v>1362</v>
      </c>
      <c r="K442" s="183">
        <v>95</v>
      </c>
      <c r="AI442" s="115" t="s">
        <v>1416</v>
      </c>
      <c r="AJ442" t="s">
        <v>2114</v>
      </c>
      <c r="AK442" s="115">
        <v>0</v>
      </c>
      <c r="AL442" s="115" t="s">
        <v>28</v>
      </c>
      <c r="AM442" s="115" t="s">
        <v>1846</v>
      </c>
      <c r="AN442" s="115" t="s">
        <v>1448</v>
      </c>
      <c r="AO442" s="115" t="s">
        <v>1639</v>
      </c>
      <c r="AT442" s="115" t="s">
        <v>1416</v>
      </c>
      <c r="AU442" s="115" t="s">
        <v>2114</v>
      </c>
      <c r="AV442" s="115">
        <v>0</v>
      </c>
      <c r="AW442" s="115" t="s">
        <v>1679</v>
      </c>
      <c r="AX442" s="115" t="s">
        <v>1842</v>
      </c>
      <c r="AY442" s="115" t="s">
        <v>1846</v>
      </c>
      <c r="AZ442" s="115" t="s">
        <v>1683</v>
      </c>
      <c r="BA442" s="115"/>
      <c r="BB442" s="115"/>
      <c r="BC442" s="115"/>
      <c r="BD442" s="115"/>
      <c r="BE442" s="115"/>
      <c r="BF442" s="115"/>
      <c r="BG442" s="115"/>
      <c r="BH442" s="115"/>
      <c r="BI442" s="115"/>
      <c r="BJ442" s="115"/>
      <c r="BK442" s="115"/>
      <c r="BL442" s="115"/>
      <c r="BM442" s="115"/>
      <c r="BN442" s="115"/>
      <c r="BO442" s="115"/>
      <c r="BP442" s="115">
        <v>7019.4058999999997</v>
      </c>
      <c r="DA442" s="115"/>
      <c r="DB442" s="115"/>
      <c r="DR442" s="214"/>
      <c r="DY442" s="115"/>
      <c r="DZ442" s="334"/>
      <c r="EA442" s="334"/>
      <c r="EB442" s="334"/>
      <c r="EC442" s="334"/>
      <c r="ED442" s="187"/>
      <c r="EE442" s="330"/>
      <c r="EH442" s="334"/>
      <c r="EI442" s="334"/>
      <c r="EM442"/>
      <c r="EO442" s="115"/>
      <c r="EP442" s="334" t="s">
        <v>1415</v>
      </c>
      <c r="EQ442" s="334" t="s">
        <v>2114</v>
      </c>
      <c r="ER442" s="334" t="s">
        <v>298</v>
      </c>
      <c r="ES442" s="334" t="s">
        <v>2164</v>
      </c>
      <c r="ET442" s="334">
        <v>2024.48</v>
      </c>
      <c r="EU442" s="334" t="s">
        <v>1382</v>
      </c>
      <c r="EV442" s="334">
        <v>2895.18</v>
      </c>
    </row>
    <row r="443" spans="9:152" ht="13">
      <c r="I443" s="115" t="s">
        <v>1529</v>
      </c>
      <c r="J443" s="115" t="s">
        <v>1368</v>
      </c>
      <c r="K443" s="183">
        <v>11.5</v>
      </c>
      <c r="AI443" s="115" t="s">
        <v>1416</v>
      </c>
      <c r="AJ443" t="s">
        <v>2114</v>
      </c>
      <c r="AK443" s="115">
        <v>0</v>
      </c>
      <c r="AL443" s="115" t="s">
        <v>28</v>
      </c>
      <c r="AM443" s="115" t="s">
        <v>1832</v>
      </c>
      <c r="AN443" s="115" t="s">
        <v>1448</v>
      </c>
      <c r="AO443" s="115" t="s">
        <v>373</v>
      </c>
      <c r="AT443" s="115" t="s">
        <v>1416</v>
      </c>
      <c r="AU443" s="115" t="s">
        <v>2114</v>
      </c>
      <c r="AV443" s="115">
        <v>0</v>
      </c>
      <c r="AW443" s="115" t="s">
        <v>1679</v>
      </c>
      <c r="AX443" s="115" t="s">
        <v>28</v>
      </c>
      <c r="AY443" s="115" t="s">
        <v>1846</v>
      </c>
      <c r="AZ443" s="115" t="s">
        <v>1683</v>
      </c>
      <c r="BA443" s="115"/>
      <c r="BB443" s="115"/>
      <c r="BC443" s="115"/>
      <c r="BD443" s="115"/>
      <c r="BE443" s="115"/>
      <c r="BF443" s="115"/>
      <c r="BG443" s="115"/>
      <c r="BH443" s="115"/>
      <c r="BI443" s="115"/>
      <c r="BJ443" s="115"/>
      <c r="BK443" s="115"/>
      <c r="BL443" s="115"/>
      <c r="BM443" s="115"/>
      <c r="BN443" s="115"/>
      <c r="BO443" s="115"/>
      <c r="BP443" s="115">
        <v>11033.339900000001</v>
      </c>
      <c r="DA443" s="115"/>
      <c r="DB443" s="115"/>
      <c r="DR443" s="214"/>
      <c r="DY443" s="115"/>
      <c r="DZ443" s="334"/>
      <c r="EA443" s="334"/>
      <c r="EB443" s="334"/>
      <c r="EC443" s="334"/>
      <c r="ED443" s="187"/>
      <c r="EE443" s="330"/>
      <c r="EH443" s="334"/>
      <c r="EI443" s="334"/>
      <c r="EM443"/>
      <c r="EO443" s="115"/>
      <c r="EP443" s="334" t="s">
        <v>1415</v>
      </c>
      <c r="EQ443" s="334" t="s">
        <v>2114</v>
      </c>
      <c r="ER443" s="334" t="s">
        <v>298</v>
      </c>
      <c r="ES443" s="334" t="s">
        <v>2164</v>
      </c>
      <c r="ET443" s="334">
        <v>2025.03</v>
      </c>
      <c r="EU443" s="334" t="s">
        <v>397</v>
      </c>
      <c r="EV443" s="334">
        <v>0</v>
      </c>
    </row>
    <row r="444" spans="9:152" ht="13">
      <c r="I444" s="115" t="s">
        <v>1529</v>
      </c>
      <c r="J444" s="115" t="s">
        <v>1360</v>
      </c>
      <c r="K444" s="183">
        <v>0.28499999999999998</v>
      </c>
      <c r="AI444" s="115" t="s">
        <v>1416</v>
      </c>
      <c r="AJ444" t="s">
        <v>2114</v>
      </c>
      <c r="AK444" s="115">
        <v>0</v>
      </c>
      <c r="AL444" s="115" t="s">
        <v>28</v>
      </c>
      <c r="AM444" s="115" t="s">
        <v>1850</v>
      </c>
      <c r="AN444" s="115" t="s">
        <v>1448</v>
      </c>
      <c r="AO444" s="115" t="s">
        <v>373</v>
      </c>
      <c r="AT444" s="115" t="s">
        <v>1415</v>
      </c>
      <c r="AU444" s="115" t="s">
        <v>2114</v>
      </c>
      <c r="AV444" s="115">
        <v>15</v>
      </c>
      <c r="AW444" s="115" t="s">
        <v>1679</v>
      </c>
      <c r="AX444" s="115" t="s">
        <v>1842</v>
      </c>
      <c r="AY444" s="115" t="s">
        <v>1846</v>
      </c>
      <c r="AZ444" s="115" t="s">
        <v>1683</v>
      </c>
      <c r="BA444" s="115"/>
      <c r="BB444" s="115"/>
      <c r="BC444" s="115"/>
      <c r="BD444" s="115"/>
      <c r="BE444" s="115"/>
      <c r="BF444" s="115"/>
      <c r="BG444" s="115"/>
      <c r="BH444" s="115"/>
      <c r="BI444" s="115">
        <v>28876.520002499998</v>
      </c>
      <c r="BJ444" s="115"/>
      <c r="BK444" s="115"/>
      <c r="BL444" s="115">
        <v>33266.30229</v>
      </c>
      <c r="BM444" s="115"/>
      <c r="BN444" s="115"/>
      <c r="BO444" s="115"/>
      <c r="BP444" s="115">
        <v>233207.6263</v>
      </c>
      <c r="DA444" s="115"/>
      <c r="DB444" s="115"/>
      <c r="DR444" s="214"/>
      <c r="DY444" s="115"/>
      <c r="DZ444" s="334"/>
      <c r="EA444" s="334"/>
      <c r="EB444" s="334"/>
      <c r="EC444" s="334"/>
      <c r="ED444" s="187"/>
      <c r="EE444" s="330"/>
      <c r="EH444" s="334"/>
      <c r="EI444" s="334"/>
      <c r="EM444"/>
      <c r="EO444" s="115"/>
      <c r="EP444" s="334" t="s">
        <v>1415</v>
      </c>
      <c r="EQ444" s="334" t="s">
        <v>2114</v>
      </c>
      <c r="ER444" s="334" t="s">
        <v>298</v>
      </c>
      <c r="ES444" s="334" t="s">
        <v>2164</v>
      </c>
      <c r="ET444" s="334">
        <v>2025.03</v>
      </c>
      <c r="EU444" s="334" t="s">
        <v>1382</v>
      </c>
      <c r="EV444" s="334">
        <v>3207.94</v>
      </c>
    </row>
    <row r="445" spans="9:152" ht="13">
      <c r="I445" s="115" t="s">
        <v>1529</v>
      </c>
      <c r="J445" s="115" t="s">
        <v>1358</v>
      </c>
      <c r="K445" s="183" t="s">
        <v>375</v>
      </c>
      <c r="AI445" s="115" t="s">
        <v>1416</v>
      </c>
      <c r="AJ445" t="s">
        <v>2114</v>
      </c>
      <c r="AK445" s="115">
        <v>0</v>
      </c>
      <c r="AL445" s="115" t="s">
        <v>28</v>
      </c>
      <c r="AM445" s="115" t="s">
        <v>1843</v>
      </c>
      <c r="AN445" s="115" t="s">
        <v>1448</v>
      </c>
      <c r="AO445" s="115" t="s">
        <v>373</v>
      </c>
      <c r="AT445" s="115" t="s">
        <v>1415</v>
      </c>
      <c r="AU445" s="115" t="s">
        <v>2114</v>
      </c>
      <c r="AV445" s="115">
        <v>15</v>
      </c>
      <c r="AW445" s="115" t="s">
        <v>1679</v>
      </c>
      <c r="AX445" s="115" t="s">
        <v>1842</v>
      </c>
      <c r="AY445" s="115" t="s">
        <v>1848</v>
      </c>
      <c r="AZ445" s="115" t="s">
        <v>1683</v>
      </c>
      <c r="BA445" s="115"/>
      <c r="BB445" s="115"/>
      <c r="BC445" s="115"/>
      <c r="BD445" s="115"/>
      <c r="BE445" s="115"/>
      <c r="BF445" s="115"/>
      <c r="BG445" s="115"/>
      <c r="BH445" s="115"/>
      <c r="BI445" s="115">
        <v>12729.214260999999</v>
      </c>
      <c r="BJ445" s="115"/>
      <c r="BK445" s="115"/>
      <c r="BL445" s="115">
        <v>5082.7505299999993</v>
      </c>
      <c r="BM445" s="115"/>
      <c r="BN445" s="115"/>
      <c r="BO445" s="115"/>
      <c r="BP445" s="115"/>
      <c r="DA445" s="115"/>
      <c r="DB445" s="115"/>
      <c r="DR445" s="214"/>
      <c r="DY445" s="115"/>
      <c r="DZ445" s="334"/>
      <c r="EA445" s="334"/>
      <c r="EB445" s="334"/>
      <c r="EC445" s="334"/>
      <c r="ED445" s="187"/>
      <c r="EE445" s="330"/>
      <c r="EH445" s="334"/>
      <c r="EI445" s="334"/>
      <c r="EM445"/>
      <c r="EO445" s="115"/>
      <c r="EP445" s="334" t="s">
        <v>1415</v>
      </c>
      <c r="EQ445" s="334" t="s">
        <v>2114</v>
      </c>
      <c r="ER445" s="334" t="s">
        <v>298</v>
      </c>
      <c r="ES445" s="334" t="s">
        <v>380</v>
      </c>
      <c r="ET445" s="334">
        <v>2024.44</v>
      </c>
      <c r="EU445" s="334" t="s">
        <v>397</v>
      </c>
      <c r="EV445" s="334">
        <v>37589.007599999997</v>
      </c>
    </row>
    <row r="446" spans="9:152" ht="13">
      <c r="I446" s="115" t="s">
        <v>1529</v>
      </c>
      <c r="J446" s="115" t="s">
        <v>1354</v>
      </c>
      <c r="K446" s="183">
        <v>45141</v>
      </c>
      <c r="AI446" s="115" t="s">
        <v>1416</v>
      </c>
      <c r="AJ446" t="s">
        <v>2114</v>
      </c>
      <c r="AK446" s="115">
        <v>0</v>
      </c>
      <c r="AL446" s="115" t="s">
        <v>28</v>
      </c>
      <c r="AM446" s="115" t="s">
        <v>1846</v>
      </c>
      <c r="AN446" s="115" t="s">
        <v>1448</v>
      </c>
      <c r="AO446" s="115" t="s">
        <v>373</v>
      </c>
      <c r="AT446" s="115" t="s">
        <v>1415</v>
      </c>
      <c r="AU446" s="115" t="s">
        <v>2114</v>
      </c>
      <c r="AV446" s="115">
        <v>15</v>
      </c>
      <c r="AW446" s="115" t="s">
        <v>1679</v>
      </c>
      <c r="AX446" s="115" t="s">
        <v>28</v>
      </c>
      <c r="AY446" s="115" t="s">
        <v>1848</v>
      </c>
      <c r="AZ446" s="115" t="s">
        <v>1683</v>
      </c>
      <c r="BA446" s="115"/>
      <c r="BB446" s="115"/>
      <c r="BC446" s="115"/>
      <c r="BD446" s="115"/>
      <c r="BE446" s="115"/>
      <c r="BF446" s="115"/>
      <c r="BG446" s="115"/>
      <c r="BH446" s="115"/>
      <c r="BI446" s="115">
        <v>8483.055848</v>
      </c>
      <c r="BJ446" s="115"/>
      <c r="BK446" s="115"/>
      <c r="BL446" s="115">
        <v>3753.4157760000007</v>
      </c>
      <c r="BM446" s="115"/>
      <c r="BN446" s="115"/>
      <c r="BO446" s="115"/>
      <c r="BP446" s="115"/>
      <c r="DA446" s="115"/>
      <c r="DB446" s="115"/>
      <c r="DR446" s="214"/>
      <c r="DY446" s="115"/>
      <c r="DZ446" s="334"/>
      <c r="EA446" s="334"/>
      <c r="EB446" s="334"/>
      <c r="EC446" s="334"/>
      <c r="ED446" s="187"/>
      <c r="EE446" s="330"/>
      <c r="EH446" s="334"/>
      <c r="EI446" s="334"/>
      <c r="EM446"/>
      <c r="EO446" s="115"/>
      <c r="EP446" s="334" t="s">
        <v>1415</v>
      </c>
      <c r="EQ446" s="334" t="s">
        <v>2114</v>
      </c>
      <c r="ER446" s="334" t="s">
        <v>298</v>
      </c>
      <c r="ES446" s="334" t="s">
        <v>380</v>
      </c>
      <c r="ET446" s="334">
        <v>2024.44</v>
      </c>
      <c r="EU446" s="334" t="s">
        <v>1382</v>
      </c>
      <c r="EV446" s="334">
        <v>37589.007599999997</v>
      </c>
    </row>
    <row r="447" spans="9:152" ht="13">
      <c r="I447" s="115" t="s">
        <v>1529</v>
      </c>
      <c r="J447" s="115" t="s">
        <v>1365</v>
      </c>
      <c r="K447" s="183">
        <v>15</v>
      </c>
      <c r="AI447" s="115" t="s">
        <v>1416</v>
      </c>
      <c r="AJ447" t="s">
        <v>2114</v>
      </c>
      <c r="AK447" s="115">
        <v>0</v>
      </c>
      <c r="AL447" s="115" t="s">
        <v>28</v>
      </c>
      <c r="AM447" s="115" t="s">
        <v>1848</v>
      </c>
      <c r="AN447" s="115" t="s">
        <v>1448</v>
      </c>
      <c r="AO447" s="115" t="s">
        <v>373</v>
      </c>
      <c r="AT447" s="115" t="s">
        <v>1415</v>
      </c>
      <c r="AU447" s="115" t="s">
        <v>2114</v>
      </c>
      <c r="AV447" s="115">
        <v>15</v>
      </c>
      <c r="AW447" s="115" t="s">
        <v>1679</v>
      </c>
      <c r="AX447" s="115" t="s">
        <v>1842</v>
      </c>
      <c r="AY447" s="115" t="s">
        <v>1843</v>
      </c>
      <c r="AZ447" s="115" t="s">
        <v>1683</v>
      </c>
      <c r="BA447" s="115"/>
      <c r="BB447" s="115"/>
      <c r="BC447" s="115"/>
      <c r="BD447" s="115"/>
      <c r="BE447" s="115"/>
      <c r="BF447" s="115"/>
      <c r="BG447" s="115"/>
      <c r="BH447" s="115"/>
      <c r="BI447" s="115">
        <v>41619.614226804129</v>
      </c>
      <c r="BJ447" s="115"/>
      <c r="BK447" s="115"/>
      <c r="BL447" s="115">
        <v>50263.379175257731</v>
      </c>
      <c r="BM447" s="115"/>
      <c r="BN447" s="115"/>
      <c r="BO447" s="115"/>
      <c r="BP447" s="115">
        <v>233207.6263</v>
      </c>
      <c r="DA447" s="115"/>
      <c r="DB447" s="115"/>
      <c r="DR447" s="214"/>
      <c r="DY447" s="115"/>
      <c r="DZ447" s="334"/>
      <c r="EA447" s="334"/>
      <c r="EB447" s="334"/>
      <c r="EC447" s="334"/>
      <c r="ED447" s="187"/>
      <c r="EE447" s="330"/>
      <c r="EH447" s="334"/>
      <c r="EI447" s="334"/>
      <c r="EM447"/>
      <c r="EO447" s="115"/>
      <c r="EP447" s="334" t="s">
        <v>1415</v>
      </c>
      <c r="EQ447" s="334" t="s">
        <v>2114</v>
      </c>
      <c r="ER447" s="334" t="s">
        <v>360</v>
      </c>
      <c r="ES447" s="334" t="s">
        <v>360</v>
      </c>
      <c r="ET447" s="334">
        <v>2023.47</v>
      </c>
      <c r="EU447" s="334" t="s">
        <v>397</v>
      </c>
      <c r="EV447" s="334">
        <v>95906.078099999999</v>
      </c>
    </row>
    <row r="448" spans="9:152" ht="13">
      <c r="I448" s="115" t="s">
        <v>1529</v>
      </c>
      <c r="J448" s="115" t="s">
        <v>1356</v>
      </c>
      <c r="K448" s="183" t="s">
        <v>1359</v>
      </c>
      <c r="AI448" s="115" t="s">
        <v>1416</v>
      </c>
      <c r="AJ448" t="s">
        <v>2114</v>
      </c>
      <c r="AK448" s="115">
        <v>0</v>
      </c>
      <c r="AL448" s="115" t="s">
        <v>28</v>
      </c>
      <c r="AM448" s="115" t="s">
        <v>1849</v>
      </c>
      <c r="AN448" s="115" t="s">
        <v>1448</v>
      </c>
      <c r="AO448" s="115" t="s">
        <v>373</v>
      </c>
      <c r="AT448" s="115" t="s">
        <v>1416</v>
      </c>
      <c r="AU448" s="115" t="s">
        <v>2114</v>
      </c>
      <c r="AV448" s="115">
        <v>0</v>
      </c>
      <c r="AW448" s="115" t="s">
        <v>1679</v>
      </c>
      <c r="AX448" s="115" t="s">
        <v>28</v>
      </c>
      <c r="AY448" s="115" t="s">
        <v>1843</v>
      </c>
      <c r="AZ448" s="115" t="s">
        <v>1683</v>
      </c>
      <c r="BA448" s="115"/>
      <c r="BB448" s="115"/>
      <c r="BC448" s="115"/>
      <c r="BD448" s="115"/>
      <c r="BE448" s="115"/>
      <c r="BF448" s="115"/>
      <c r="BG448" s="115"/>
      <c r="BH448" s="115"/>
      <c r="BI448" s="115"/>
      <c r="BJ448" s="115"/>
      <c r="BK448" s="115"/>
      <c r="BL448" s="115"/>
      <c r="BM448" s="115"/>
      <c r="BN448" s="115"/>
      <c r="BO448" s="115"/>
      <c r="BP448" s="115">
        <v>11033.339900000001</v>
      </c>
      <c r="DA448" s="115"/>
      <c r="DB448" s="115"/>
      <c r="DR448" s="214"/>
      <c r="DY448" s="115"/>
      <c r="DZ448" s="334"/>
      <c r="EA448" s="334"/>
      <c r="EB448" s="334"/>
      <c r="EC448" s="334"/>
      <c r="ED448" s="187"/>
      <c r="EE448" s="330"/>
      <c r="EH448" s="334"/>
      <c r="EI448" s="334"/>
      <c r="EM448"/>
      <c r="EO448" s="115"/>
      <c r="EP448" s="334" t="s">
        <v>1415</v>
      </c>
      <c r="EQ448" s="334" t="s">
        <v>2114</v>
      </c>
      <c r="ER448" s="334" t="s">
        <v>360</v>
      </c>
      <c r="ES448" s="334" t="s">
        <v>360</v>
      </c>
      <c r="ET448" s="334">
        <v>2023.47</v>
      </c>
      <c r="EU448" s="334" t="s">
        <v>1382</v>
      </c>
      <c r="EV448" s="334">
        <v>95906.078099999999</v>
      </c>
    </row>
    <row r="449" spans="9:152" ht="13">
      <c r="I449" s="115" t="s">
        <v>1529</v>
      </c>
      <c r="J449" s="115" t="s">
        <v>1366</v>
      </c>
      <c r="K449" s="183">
        <v>3</v>
      </c>
      <c r="AI449" s="115" t="s">
        <v>1416</v>
      </c>
      <c r="AJ449" t="s">
        <v>2114</v>
      </c>
      <c r="AK449" s="115">
        <v>0</v>
      </c>
      <c r="AL449" s="115" t="s">
        <v>28</v>
      </c>
      <c r="AM449" s="115" t="s">
        <v>1846</v>
      </c>
      <c r="AN449" s="115" t="s">
        <v>1448</v>
      </c>
      <c r="AO449" s="115" t="s">
        <v>380</v>
      </c>
      <c r="AT449" s="115" t="s">
        <v>1416</v>
      </c>
      <c r="AU449" s="115" t="s">
        <v>2114</v>
      </c>
      <c r="AV449" s="115">
        <v>0</v>
      </c>
      <c r="AW449" s="115" t="s">
        <v>1679</v>
      </c>
      <c r="AX449" s="115" t="s">
        <v>1842</v>
      </c>
      <c r="AY449" s="115" t="s">
        <v>1843</v>
      </c>
      <c r="AZ449" s="115" t="s">
        <v>1683</v>
      </c>
      <c r="BA449" s="115"/>
      <c r="BB449" s="115"/>
      <c r="BC449" s="115"/>
      <c r="BD449" s="115"/>
      <c r="BE449" s="115"/>
      <c r="BF449" s="115"/>
      <c r="BG449" s="115"/>
      <c r="BH449" s="115"/>
      <c r="BI449" s="115"/>
      <c r="BJ449" s="115"/>
      <c r="BK449" s="115"/>
      <c r="BL449" s="115"/>
      <c r="BM449" s="115"/>
      <c r="BN449" s="115"/>
      <c r="BO449" s="115"/>
      <c r="BP449" s="115">
        <v>7019.4058999999997</v>
      </c>
      <c r="DA449" s="115"/>
      <c r="DB449" s="115"/>
      <c r="DR449" s="214"/>
      <c r="DY449" s="115"/>
      <c r="DZ449" s="334"/>
      <c r="EA449" s="334"/>
      <c r="EB449" s="334"/>
      <c r="EC449" s="334"/>
      <c r="ED449" s="187"/>
      <c r="EE449" s="330"/>
      <c r="EH449" s="334"/>
      <c r="EI449" s="334"/>
      <c r="EM449"/>
      <c r="EO449" s="115"/>
      <c r="EP449" s="334" t="s">
        <v>1415</v>
      </c>
      <c r="EQ449" s="334" t="s">
        <v>2114</v>
      </c>
      <c r="ER449" s="334" t="s">
        <v>360</v>
      </c>
      <c r="ES449" s="334" t="s">
        <v>360</v>
      </c>
      <c r="ET449" s="334">
        <v>2024.44</v>
      </c>
      <c r="EU449" s="334" t="s">
        <v>397</v>
      </c>
      <c r="EV449" s="334">
        <v>124653.13</v>
      </c>
    </row>
    <row r="450" spans="9:152" ht="13">
      <c r="I450" s="115" t="s">
        <v>1529</v>
      </c>
      <c r="J450" s="115" t="s">
        <v>1357</v>
      </c>
      <c r="K450" s="183">
        <v>4714.1521008697782</v>
      </c>
      <c r="AI450" s="115" t="s">
        <v>1416</v>
      </c>
      <c r="AJ450" t="s">
        <v>2114</v>
      </c>
      <c r="AK450" s="115">
        <v>0</v>
      </c>
      <c r="AL450" s="115" t="s">
        <v>28</v>
      </c>
      <c r="AM450" s="115" t="s">
        <v>1843</v>
      </c>
      <c r="AN450" s="115" t="s">
        <v>1448</v>
      </c>
      <c r="AO450" s="115" t="s">
        <v>380</v>
      </c>
      <c r="AT450" s="115" t="s">
        <v>1415</v>
      </c>
      <c r="AU450" s="115" t="s">
        <v>2114</v>
      </c>
      <c r="AV450" s="115">
        <v>15</v>
      </c>
      <c r="AW450" s="115" t="s">
        <v>1679</v>
      </c>
      <c r="AX450" s="115" t="s">
        <v>28</v>
      </c>
      <c r="AY450" s="115" t="s">
        <v>1843</v>
      </c>
      <c r="AZ450" s="115" t="s">
        <v>1683</v>
      </c>
      <c r="BA450" s="115"/>
      <c r="BB450" s="115"/>
      <c r="BC450" s="115"/>
      <c r="BD450" s="115"/>
      <c r="BE450" s="115"/>
      <c r="BF450" s="115"/>
      <c r="BG450" s="115"/>
      <c r="BH450" s="115"/>
      <c r="BI450" s="115">
        <v>27736.316185567011</v>
      </c>
      <c r="BJ450" s="115"/>
      <c r="BK450" s="115"/>
      <c r="BL450" s="115">
        <v>37117.572371134025</v>
      </c>
      <c r="BM450" s="115"/>
      <c r="BN450" s="115"/>
      <c r="BO450" s="115"/>
      <c r="BP450" s="115">
        <v>117376.5405</v>
      </c>
      <c r="DA450" s="115"/>
      <c r="DB450" s="115"/>
      <c r="DR450" s="214"/>
      <c r="DY450" s="115"/>
      <c r="DZ450" s="334"/>
      <c r="EA450" s="334"/>
      <c r="EB450" s="334"/>
      <c r="EC450" s="334"/>
      <c r="ED450" s="187"/>
      <c r="EE450" s="330"/>
      <c r="EH450" s="334"/>
      <c r="EI450" s="334"/>
      <c r="EM450"/>
      <c r="EO450" s="115"/>
      <c r="EP450" s="334" t="s">
        <v>1415</v>
      </c>
      <c r="EQ450" s="334" t="s">
        <v>2114</v>
      </c>
      <c r="ER450" s="334" t="s">
        <v>360</v>
      </c>
      <c r="ES450" s="334" t="s">
        <v>360</v>
      </c>
      <c r="ET450" s="334">
        <v>2024.44</v>
      </c>
      <c r="EU450" s="334" t="s">
        <v>1382</v>
      </c>
      <c r="EV450" s="334">
        <v>64768.13</v>
      </c>
    </row>
    <row r="451" spans="9:152" ht="13">
      <c r="I451" t="s">
        <v>1531</v>
      </c>
      <c r="J451" t="s">
        <v>1363</v>
      </c>
      <c r="K451">
        <v>125</v>
      </c>
      <c r="AI451" s="115" t="s">
        <v>1416</v>
      </c>
      <c r="AJ451" t="s">
        <v>2114</v>
      </c>
      <c r="AK451" s="115">
        <v>0</v>
      </c>
      <c r="AL451" s="115" t="s">
        <v>28</v>
      </c>
      <c r="AM451" s="115" t="s">
        <v>1849</v>
      </c>
      <c r="AN451" s="115" t="s">
        <v>1448</v>
      </c>
      <c r="AO451" s="115" t="s">
        <v>380</v>
      </c>
      <c r="AT451" s="115" t="s">
        <v>1415</v>
      </c>
      <c r="AU451" s="115" t="s">
        <v>2114</v>
      </c>
      <c r="AV451" s="115">
        <v>15</v>
      </c>
      <c r="AW451" s="115" t="s">
        <v>1679</v>
      </c>
      <c r="AX451" s="115" t="s">
        <v>1842</v>
      </c>
      <c r="AY451" s="115" t="s">
        <v>1849</v>
      </c>
      <c r="AZ451" s="115" t="s">
        <v>1683</v>
      </c>
      <c r="BA451" s="115"/>
      <c r="BB451" s="115"/>
      <c r="BC451" s="115"/>
      <c r="BD451" s="115"/>
      <c r="BE451" s="115"/>
      <c r="BF451" s="115"/>
      <c r="BG451" s="115"/>
      <c r="BH451" s="115"/>
      <c r="BI451" s="115">
        <v>999.9487499999999</v>
      </c>
      <c r="BJ451" s="115"/>
      <c r="BK451" s="115"/>
      <c r="BL451" s="115">
        <v>1134.8999999999999</v>
      </c>
      <c r="BM451" s="115"/>
      <c r="BN451" s="115"/>
      <c r="BO451" s="115"/>
      <c r="BP451" s="115"/>
      <c r="DA451" s="115"/>
      <c r="DB451" s="115"/>
      <c r="DR451" s="214"/>
      <c r="DY451" s="115"/>
      <c r="DZ451" s="334"/>
      <c r="EA451" s="334"/>
      <c r="EB451" s="334"/>
      <c r="EC451" s="334"/>
      <c r="ED451" s="187"/>
      <c r="EE451" s="330"/>
      <c r="EH451" s="334"/>
      <c r="EI451" s="334"/>
      <c r="EM451"/>
      <c r="EO451" s="115"/>
      <c r="EP451" s="334" t="s">
        <v>1415</v>
      </c>
      <c r="EQ451" s="334" t="s">
        <v>2114</v>
      </c>
      <c r="ER451" s="334" t="s">
        <v>360</v>
      </c>
      <c r="ES451" s="334" t="s">
        <v>360</v>
      </c>
      <c r="ET451" s="334">
        <v>2024.48</v>
      </c>
      <c r="EU451" s="334" t="s">
        <v>397</v>
      </c>
      <c r="EV451" s="334">
        <v>124653.13</v>
      </c>
    </row>
    <row r="452" spans="9:152" ht="13">
      <c r="I452" t="s">
        <v>1531</v>
      </c>
      <c r="J452" t="s">
        <v>1353</v>
      </c>
      <c r="K452" t="s">
        <v>1532</v>
      </c>
      <c r="AI452" s="115" t="s">
        <v>1416</v>
      </c>
      <c r="AJ452" t="s">
        <v>2114</v>
      </c>
      <c r="AK452" s="115">
        <v>0</v>
      </c>
      <c r="AL452" s="115" t="s">
        <v>28</v>
      </c>
      <c r="AM452" s="115" t="s">
        <v>1832</v>
      </c>
      <c r="AN452" s="115" t="s">
        <v>1448</v>
      </c>
      <c r="AO452" s="115" t="s">
        <v>380</v>
      </c>
      <c r="AT452" s="115" t="s">
        <v>1415</v>
      </c>
      <c r="AU452" s="115" t="s">
        <v>2114</v>
      </c>
      <c r="AV452" s="115">
        <v>15</v>
      </c>
      <c r="AW452" s="115" t="s">
        <v>1679</v>
      </c>
      <c r="AX452" s="115" t="s">
        <v>28</v>
      </c>
      <c r="AY452" s="115" t="s">
        <v>1849</v>
      </c>
      <c r="AZ452" s="115" t="s">
        <v>1683</v>
      </c>
      <c r="BA452" s="115"/>
      <c r="BB452" s="115"/>
      <c r="BC452" s="115"/>
      <c r="BD452" s="115"/>
      <c r="BE452" s="115"/>
      <c r="BF452" s="115"/>
      <c r="BG452" s="115"/>
      <c r="BH452" s="115"/>
      <c r="BI452" s="115">
        <v>666.39</v>
      </c>
      <c r="BJ452" s="115"/>
      <c r="BK452" s="115"/>
      <c r="BL452" s="115">
        <v>838.08</v>
      </c>
      <c r="BM452" s="115"/>
      <c r="BN452" s="115"/>
      <c r="BO452" s="115"/>
      <c r="BP452" s="115"/>
      <c r="DA452" s="115"/>
      <c r="DB452" s="115"/>
      <c r="DR452" s="214"/>
      <c r="DY452" s="115"/>
      <c r="DZ452" s="334"/>
      <c r="EA452" s="334"/>
      <c r="EB452" s="334"/>
      <c r="EC452" s="334"/>
      <c r="ED452" s="187"/>
      <c r="EE452" s="330"/>
      <c r="EH452" s="334"/>
      <c r="EI452" s="334"/>
      <c r="EM452"/>
      <c r="EO452" s="115"/>
      <c r="EP452" s="334" t="s">
        <v>1415</v>
      </c>
      <c r="EQ452" s="334" t="s">
        <v>2114</v>
      </c>
      <c r="ER452" s="334" t="s">
        <v>360</v>
      </c>
      <c r="ES452" s="334" t="s">
        <v>360</v>
      </c>
      <c r="ET452" s="334">
        <v>2024.48</v>
      </c>
      <c r="EU452" s="334" t="s">
        <v>1382</v>
      </c>
      <c r="EV452" s="334">
        <v>74768.13</v>
      </c>
    </row>
    <row r="453" spans="9:152" ht="13">
      <c r="I453" t="s">
        <v>1531</v>
      </c>
      <c r="J453" t="s">
        <v>1369</v>
      </c>
      <c r="K453">
        <v>13</v>
      </c>
      <c r="AI453" s="115" t="s">
        <v>1416</v>
      </c>
      <c r="AJ453" t="s">
        <v>2114</v>
      </c>
      <c r="AK453" s="115">
        <v>0</v>
      </c>
      <c r="AL453" s="115" t="s">
        <v>28</v>
      </c>
      <c r="AM453" s="115" t="s">
        <v>1850</v>
      </c>
      <c r="AN453" s="115" t="s">
        <v>1448</v>
      </c>
      <c r="AO453" s="115" t="s">
        <v>380</v>
      </c>
      <c r="AT453" s="115" t="s">
        <v>1415</v>
      </c>
      <c r="AU453" s="115" t="s">
        <v>2114</v>
      </c>
      <c r="AV453" s="115">
        <v>15</v>
      </c>
      <c r="AW453" s="115" t="s">
        <v>1679</v>
      </c>
      <c r="AX453" s="115" t="s">
        <v>28</v>
      </c>
      <c r="AY453" s="115" t="s">
        <v>1850</v>
      </c>
      <c r="AZ453" s="115" t="s">
        <v>1683</v>
      </c>
      <c r="BA453" s="115"/>
      <c r="BB453" s="115"/>
      <c r="BC453" s="115"/>
      <c r="BD453" s="115"/>
      <c r="BE453" s="115"/>
      <c r="BF453" s="115"/>
      <c r="BG453" s="115"/>
      <c r="BH453" s="115"/>
      <c r="BI453" s="115">
        <v>222.13</v>
      </c>
      <c r="BJ453" s="115"/>
      <c r="BK453" s="115"/>
      <c r="BL453" s="115">
        <v>93.12</v>
      </c>
      <c r="BM453" s="115"/>
      <c r="BN453" s="115"/>
      <c r="BO453" s="115"/>
      <c r="BP453" s="115"/>
      <c r="DA453" s="115"/>
      <c r="DB453" s="115"/>
      <c r="DR453" s="214"/>
      <c r="DY453" s="115"/>
      <c r="DZ453" s="334"/>
      <c r="EA453" s="334"/>
      <c r="EB453" s="334"/>
      <c r="EC453" s="334"/>
      <c r="ED453" s="187"/>
      <c r="EE453" s="330"/>
      <c r="EH453" s="334"/>
      <c r="EI453" s="334"/>
      <c r="EM453"/>
      <c r="EO453" s="115"/>
      <c r="EP453" s="334" t="s">
        <v>1415</v>
      </c>
      <c r="EQ453" s="334" t="s">
        <v>2114</v>
      </c>
      <c r="ER453" s="334" t="s">
        <v>300</v>
      </c>
      <c r="ES453" s="334" t="s">
        <v>386</v>
      </c>
      <c r="ET453" s="334">
        <v>2023.47</v>
      </c>
      <c r="EU453" s="334" t="s">
        <v>397</v>
      </c>
      <c r="EV453" s="334">
        <v>117376.5405</v>
      </c>
    </row>
    <row r="454" spans="9:152" ht="13">
      <c r="I454" t="s">
        <v>1531</v>
      </c>
      <c r="J454" t="s">
        <v>1355</v>
      </c>
      <c r="K454">
        <v>10</v>
      </c>
      <c r="AI454" s="115" t="s">
        <v>1416</v>
      </c>
      <c r="AJ454" t="s">
        <v>2114</v>
      </c>
      <c r="AK454" s="115">
        <v>0</v>
      </c>
      <c r="AL454" s="115" t="s">
        <v>28</v>
      </c>
      <c r="AM454" s="115" t="s">
        <v>1848</v>
      </c>
      <c r="AN454" s="115" t="s">
        <v>1448</v>
      </c>
      <c r="AO454" s="115" t="s">
        <v>380</v>
      </c>
      <c r="AT454" s="115" t="s">
        <v>1415</v>
      </c>
      <c r="AU454" s="115" t="s">
        <v>2114</v>
      </c>
      <c r="AV454" s="115">
        <v>15</v>
      </c>
      <c r="AW454" s="115" t="s">
        <v>1679</v>
      </c>
      <c r="AX454" s="115" t="s">
        <v>1842</v>
      </c>
      <c r="AY454" s="115" t="s">
        <v>1850</v>
      </c>
      <c r="AZ454" s="115" t="s">
        <v>1683</v>
      </c>
      <c r="BA454" s="115"/>
      <c r="BB454" s="115"/>
      <c r="BC454" s="115"/>
      <c r="BD454" s="115"/>
      <c r="BE454" s="115"/>
      <c r="BF454" s="115"/>
      <c r="BG454" s="115"/>
      <c r="BH454" s="115"/>
      <c r="BI454" s="115">
        <v>333.31624999999997</v>
      </c>
      <c r="BJ454" s="115"/>
      <c r="BK454" s="115"/>
      <c r="BL454" s="115">
        <v>126.1</v>
      </c>
      <c r="BM454" s="115"/>
      <c r="BN454" s="115"/>
      <c r="BO454" s="115"/>
      <c r="BP454" s="115"/>
      <c r="DA454" s="115"/>
      <c r="DB454" s="115"/>
      <c r="DR454" s="214"/>
      <c r="DY454" s="115"/>
      <c r="DZ454" s="334"/>
      <c r="EA454" s="334"/>
      <c r="EB454" s="334"/>
      <c r="EC454" s="334"/>
      <c r="ED454" s="187"/>
      <c r="EE454" s="330"/>
      <c r="EH454" s="334"/>
      <c r="EI454" s="334"/>
      <c r="EM454"/>
      <c r="EO454" s="115"/>
      <c r="EP454" s="334" t="s">
        <v>1415</v>
      </c>
      <c r="EQ454" s="334" t="s">
        <v>2114</v>
      </c>
      <c r="ER454" s="334" t="s">
        <v>300</v>
      </c>
      <c r="ES454" s="334" t="s">
        <v>386</v>
      </c>
      <c r="ET454" s="334">
        <v>2023.47</v>
      </c>
      <c r="EU454" s="334" t="s">
        <v>1382</v>
      </c>
      <c r="EV454" s="334">
        <v>117376.5405</v>
      </c>
    </row>
    <row r="455" spans="9:152" ht="13">
      <c r="I455" t="s">
        <v>1531</v>
      </c>
      <c r="J455" t="s">
        <v>1361</v>
      </c>
      <c r="K455">
        <v>69.23</v>
      </c>
      <c r="AI455" s="115" t="s">
        <v>1416</v>
      </c>
      <c r="AJ455" t="s">
        <v>2114</v>
      </c>
      <c r="AK455" s="115">
        <v>0</v>
      </c>
      <c r="AL455" s="115" t="s">
        <v>28</v>
      </c>
      <c r="AM455" s="115" t="s">
        <v>1850</v>
      </c>
      <c r="AN455" s="115" t="s">
        <v>1449</v>
      </c>
      <c r="AO455" s="115" t="s">
        <v>1644</v>
      </c>
      <c r="AT455" s="115" t="s">
        <v>1415</v>
      </c>
      <c r="AU455" s="115" t="s">
        <v>2114</v>
      </c>
      <c r="AV455" s="115">
        <v>15</v>
      </c>
      <c r="AW455" s="115" t="s">
        <v>1679</v>
      </c>
      <c r="AX455" s="115" t="s">
        <v>1842</v>
      </c>
      <c r="AY455" s="115" t="s">
        <v>1832</v>
      </c>
      <c r="AZ455" s="115" t="s">
        <v>1683</v>
      </c>
      <c r="BA455" s="115"/>
      <c r="BB455" s="115"/>
      <c r="BC455" s="115"/>
      <c r="BD455" s="115"/>
      <c r="BE455" s="115"/>
      <c r="BF455" s="115"/>
      <c r="BG455" s="115"/>
      <c r="BH455" s="115"/>
      <c r="BI455" s="115">
        <v>1374.5</v>
      </c>
      <c r="BJ455" s="115"/>
      <c r="BK455" s="115"/>
      <c r="BL455" s="115">
        <v>1300</v>
      </c>
      <c r="BM455" s="115"/>
      <c r="BN455" s="115"/>
      <c r="BO455" s="115"/>
      <c r="BP455" s="115"/>
      <c r="DA455" s="115"/>
      <c r="DB455" s="115"/>
      <c r="DR455" s="214"/>
      <c r="DY455" s="115"/>
      <c r="DZ455" s="334"/>
      <c r="EA455" s="334"/>
      <c r="EB455" s="334"/>
      <c r="EC455" s="334"/>
      <c r="ED455" s="187"/>
      <c r="EE455" s="330"/>
      <c r="EH455" s="334"/>
      <c r="EI455" s="334"/>
      <c r="EM455"/>
      <c r="EO455" s="115"/>
      <c r="EP455" s="334" t="s">
        <v>1415</v>
      </c>
      <c r="EQ455" s="334" t="s">
        <v>2114</v>
      </c>
      <c r="ER455" s="334" t="s">
        <v>300</v>
      </c>
      <c r="ES455" s="334" t="s">
        <v>386</v>
      </c>
      <c r="ET455" s="334">
        <v>2024.48</v>
      </c>
      <c r="EU455" s="334" t="s">
        <v>397</v>
      </c>
      <c r="EV455" s="334">
        <v>117376.5405</v>
      </c>
    </row>
    <row r="456" spans="9:152" ht="13">
      <c r="I456" t="s">
        <v>1531</v>
      </c>
      <c r="J456" t="s">
        <v>1364</v>
      </c>
      <c r="K456">
        <v>300</v>
      </c>
      <c r="AI456" s="115" t="s">
        <v>1416</v>
      </c>
      <c r="AJ456" t="s">
        <v>2114</v>
      </c>
      <c r="AK456" s="115">
        <v>0</v>
      </c>
      <c r="AL456" s="115" t="s">
        <v>28</v>
      </c>
      <c r="AM456" s="115" t="s">
        <v>1832</v>
      </c>
      <c r="AN456" s="115" t="s">
        <v>1449</v>
      </c>
      <c r="AO456" s="115" t="s">
        <v>1644</v>
      </c>
      <c r="AT456" s="115" t="s">
        <v>1415</v>
      </c>
      <c r="AU456" s="115" t="s">
        <v>2114</v>
      </c>
      <c r="AV456" s="115">
        <v>15</v>
      </c>
      <c r="AW456" s="115" t="s">
        <v>1679</v>
      </c>
      <c r="AX456" s="115" t="s">
        <v>28</v>
      </c>
      <c r="AY456" s="115" t="s">
        <v>1832</v>
      </c>
      <c r="AZ456" s="115" t="s">
        <v>1683</v>
      </c>
      <c r="BA456" s="115"/>
      <c r="BB456" s="115"/>
      <c r="BC456" s="115"/>
      <c r="BD456" s="115"/>
      <c r="BE456" s="115"/>
      <c r="BF456" s="115"/>
      <c r="BG456" s="115"/>
      <c r="BH456" s="115"/>
      <c r="BI456" s="115">
        <v>916</v>
      </c>
      <c r="BJ456" s="115"/>
      <c r="BK456" s="115"/>
      <c r="BL456" s="115">
        <v>960.00000000000011</v>
      </c>
      <c r="BM456" s="115"/>
      <c r="BN456" s="115"/>
      <c r="BO456" s="115"/>
      <c r="BP456" s="115"/>
      <c r="DA456" s="115"/>
      <c r="DB456" s="115"/>
      <c r="DR456" s="214"/>
      <c r="DY456" s="115"/>
      <c r="DZ456" s="334"/>
      <c r="EA456" s="334"/>
      <c r="EB456" s="334"/>
      <c r="EC456" s="334"/>
      <c r="ED456" s="187"/>
      <c r="EE456" s="330"/>
      <c r="EH456" s="334"/>
      <c r="EI456" s="334"/>
      <c r="EM456"/>
      <c r="EO456" s="115"/>
      <c r="EP456" s="334" t="s">
        <v>1415</v>
      </c>
      <c r="EQ456" s="334" t="s">
        <v>2114</v>
      </c>
      <c r="ER456" s="334" t="s">
        <v>300</v>
      </c>
      <c r="ES456" s="334" t="s">
        <v>386</v>
      </c>
      <c r="ET456" s="334">
        <v>2024.48</v>
      </c>
      <c r="EU456" s="334" t="s">
        <v>1382</v>
      </c>
      <c r="EV456" s="334">
        <v>187376.5405</v>
      </c>
    </row>
    <row r="457" spans="9:152" ht="13">
      <c r="I457" t="s">
        <v>1531</v>
      </c>
      <c r="J457" t="s">
        <v>1367</v>
      </c>
      <c r="K457">
        <v>8</v>
      </c>
      <c r="AI457" s="115" t="s">
        <v>1416</v>
      </c>
      <c r="AJ457" t="s">
        <v>2114</v>
      </c>
      <c r="AK457" s="115">
        <v>0</v>
      </c>
      <c r="AL457" s="115" t="s">
        <v>28</v>
      </c>
      <c r="AM457" s="115" t="s">
        <v>1843</v>
      </c>
      <c r="AN457" s="115" t="s">
        <v>1449</v>
      </c>
      <c r="AO457" s="115" t="s">
        <v>1644</v>
      </c>
      <c r="AT457" s="115" t="s">
        <v>1416</v>
      </c>
      <c r="AU457" s="115" t="s">
        <v>2114</v>
      </c>
      <c r="AV457" s="115">
        <v>0</v>
      </c>
      <c r="AW457" s="115" t="s">
        <v>1680</v>
      </c>
      <c r="AX457" s="115" t="s">
        <v>28</v>
      </c>
      <c r="AY457" s="115" t="s">
        <v>1846</v>
      </c>
      <c r="AZ457" s="115" t="s">
        <v>1851</v>
      </c>
      <c r="BA457" s="115"/>
      <c r="BB457" s="115"/>
      <c r="BC457" s="115"/>
      <c r="BD457" s="115"/>
      <c r="BE457" s="115">
        <v>1357.27638</v>
      </c>
      <c r="BF457" s="115"/>
      <c r="BG457" s="115"/>
      <c r="BH457" s="115">
        <v>3223.3008269505603</v>
      </c>
      <c r="BI457" s="115"/>
      <c r="BJ457" s="115">
        <v>994.10870333333287</v>
      </c>
      <c r="BK457" s="115"/>
      <c r="BL457" s="115"/>
      <c r="BM457" s="115"/>
      <c r="BN457" s="115"/>
      <c r="BO457" s="115"/>
      <c r="BP457" s="115"/>
      <c r="DA457" s="115"/>
      <c r="DB457" s="115"/>
      <c r="DR457" s="214"/>
      <c r="DY457" s="115"/>
      <c r="DZ457" s="334"/>
      <c r="EA457" s="334"/>
      <c r="EB457" s="334"/>
      <c r="EC457" s="334"/>
      <c r="ED457" s="187"/>
      <c r="EE457" s="330"/>
      <c r="EH457" s="334"/>
      <c r="EI457" s="334"/>
      <c r="EM457"/>
      <c r="EO457" s="115"/>
      <c r="EP457" s="334"/>
      <c r="EQ457" s="334"/>
      <c r="ER457" s="334"/>
      <c r="ES457" s="334"/>
      <c r="ET457" s="334"/>
      <c r="EU457" s="334"/>
      <c r="EV457" s="334"/>
    </row>
    <row r="458" spans="9:152" ht="13">
      <c r="I458" t="s">
        <v>1531</v>
      </c>
      <c r="J458" t="s">
        <v>1362</v>
      </c>
      <c r="K458">
        <v>95</v>
      </c>
      <c r="AI458" s="115" t="s">
        <v>1416</v>
      </c>
      <c r="AJ458" t="s">
        <v>2114</v>
      </c>
      <c r="AK458" s="115">
        <v>0</v>
      </c>
      <c r="AL458" s="115" t="s">
        <v>28</v>
      </c>
      <c r="AM458" s="115" t="s">
        <v>1848</v>
      </c>
      <c r="AN458" s="115" t="s">
        <v>1449</v>
      </c>
      <c r="AO458" s="115" t="s">
        <v>1644</v>
      </c>
      <c r="AT458" s="115" t="s">
        <v>1415</v>
      </c>
      <c r="AU458" s="115" t="s">
        <v>2114</v>
      </c>
      <c r="AV458" s="115">
        <v>15</v>
      </c>
      <c r="AW458" s="115" t="s">
        <v>1680</v>
      </c>
      <c r="AX458" s="115" t="s">
        <v>28</v>
      </c>
      <c r="AY458" s="115" t="s">
        <v>1846</v>
      </c>
      <c r="AZ458" s="115" t="s">
        <v>1851</v>
      </c>
      <c r="BA458" s="115"/>
      <c r="BB458" s="115"/>
      <c r="BC458" s="115"/>
      <c r="BD458" s="115"/>
      <c r="BE458" s="115">
        <v>30816.408497999062</v>
      </c>
      <c r="BF458" s="115"/>
      <c r="BG458" s="115"/>
      <c r="BH458" s="115">
        <v>12203.913188709794</v>
      </c>
      <c r="BI458" s="115"/>
      <c r="BJ458" s="115">
        <v>4217.3026156733313</v>
      </c>
      <c r="BK458" s="115"/>
      <c r="BL458" s="115"/>
      <c r="BM458" s="115"/>
      <c r="BN458" s="115"/>
      <c r="BO458" s="115"/>
      <c r="BP458" s="115"/>
      <c r="DA458" s="115"/>
      <c r="DB458" s="115"/>
      <c r="DR458" s="214"/>
      <c r="DY458" s="115"/>
      <c r="DZ458" s="334"/>
      <c r="EA458" s="334"/>
      <c r="EB458" s="334"/>
      <c r="EC458" s="334"/>
      <c r="ED458" s="187"/>
      <c r="EE458" s="330"/>
      <c r="EH458" s="334"/>
      <c r="EI458" s="334"/>
      <c r="EM458"/>
      <c r="EO458" s="115"/>
      <c r="EP458" s="334"/>
      <c r="EQ458" s="334"/>
      <c r="ER458" s="334"/>
      <c r="ES458" s="334"/>
      <c r="ET458" s="334"/>
      <c r="EU458" s="334"/>
      <c r="EV458" s="334"/>
    </row>
    <row r="459" spans="9:152" ht="13">
      <c r="I459" t="s">
        <v>1531</v>
      </c>
      <c r="J459" t="s">
        <v>1368</v>
      </c>
      <c r="K459">
        <v>11.5</v>
      </c>
      <c r="AI459" s="115" t="s">
        <v>1416</v>
      </c>
      <c r="AJ459" t="s">
        <v>2114</v>
      </c>
      <c r="AK459" s="115">
        <v>0</v>
      </c>
      <c r="AL459" s="115" t="s">
        <v>28</v>
      </c>
      <c r="AM459" s="115" t="s">
        <v>1849</v>
      </c>
      <c r="AN459" s="115" t="s">
        <v>1449</v>
      </c>
      <c r="AO459" s="115" t="s">
        <v>1274</v>
      </c>
      <c r="AT459" s="115" t="s">
        <v>1416</v>
      </c>
      <c r="AU459" s="115" t="s">
        <v>2114</v>
      </c>
      <c r="AV459" s="115">
        <v>0</v>
      </c>
      <c r="AW459" s="115" t="s">
        <v>1680</v>
      </c>
      <c r="AX459" s="115" t="s">
        <v>28</v>
      </c>
      <c r="AY459" s="115" t="s">
        <v>1848</v>
      </c>
      <c r="AZ459" s="115" t="s">
        <v>1851</v>
      </c>
      <c r="BA459" s="115">
        <v>27151.580400000003</v>
      </c>
      <c r="BB459" s="115">
        <v>41305.073499999991</v>
      </c>
      <c r="BC459" s="115"/>
      <c r="BD459" s="115"/>
      <c r="BE459" s="115">
        <v>1265.57646</v>
      </c>
      <c r="BF459" s="115"/>
      <c r="BG459" s="115"/>
      <c r="BH459" s="115">
        <v>370.64329356176</v>
      </c>
      <c r="BI459" s="115"/>
      <c r="BJ459" s="115">
        <v>4710.5479499999992</v>
      </c>
      <c r="BK459" s="115"/>
      <c r="BL459" s="115"/>
      <c r="BM459" s="115"/>
      <c r="BN459" s="115"/>
      <c r="BO459" s="115"/>
      <c r="BP459" s="115"/>
      <c r="DA459" s="115"/>
      <c r="DB459" s="115"/>
      <c r="DR459" s="214"/>
      <c r="DY459" s="115"/>
      <c r="DZ459" s="334"/>
      <c r="EA459" s="334"/>
      <c r="EB459" s="334"/>
      <c r="EC459" s="334"/>
      <c r="ED459" s="187"/>
      <c r="EE459" s="330"/>
      <c r="EH459" s="334"/>
      <c r="EI459" s="334"/>
      <c r="EM459"/>
      <c r="EO459" s="115"/>
      <c r="EP459" s="334"/>
      <c r="EQ459" s="334"/>
      <c r="ER459" s="334"/>
      <c r="ES459" s="334"/>
      <c r="ET459" s="334"/>
      <c r="EU459" s="334"/>
      <c r="EV459" s="334"/>
    </row>
    <row r="460" spans="9:152" ht="13">
      <c r="I460" t="s">
        <v>1531</v>
      </c>
      <c r="J460" t="s">
        <v>1360</v>
      </c>
      <c r="K460">
        <v>0.22500000000000001</v>
      </c>
      <c r="AI460" s="115" t="s">
        <v>1416</v>
      </c>
      <c r="AJ460" t="s">
        <v>2114</v>
      </c>
      <c r="AK460" s="115">
        <v>0</v>
      </c>
      <c r="AL460" s="115" t="s">
        <v>28</v>
      </c>
      <c r="AM460" s="115" t="s">
        <v>1843</v>
      </c>
      <c r="AN460" s="115" t="s">
        <v>1449</v>
      </c>
      <c r="AO460" s="115" t="s">
        <v>1274</v>
      </c>
      <c r="AT460" s="115" t="s">
        <v>1415</v>
      </c>
      <c r="AU460" s="115" t="s">
        <v>2114</v>
      </c>
      <c r="AV460" s="115">
        <v>15</v>
      </c>
      <c r="AW460" s="115" t="s">
        <v>1680</v>
      </c>
      <c r="AX460" s="115" t="s">
        <v>28</v>
      </c>
      <c r="AY460" s="115" t="s">
        <v>1848</v>
      </c>
      <c r="AZ460" s="115" t="s">
        <v>1851</v>
      </c>
      <c r="BA460" s="115">
        <v>57107.120497000011</v>
      </c>
      <c r="BB460" s="115">
        <v>112842.694944</v>
      </c>
      <c r="BC460" s="115"/>
      <c r="BD460" s="115"/>
      <c r="BE460" s="115">
        <v>28255.563231372813</v>
      </c>
      <c r="BF460" s="115"/>
      <c r="BG460" s="115"/>
      <c r="BH460" s="115">
        <v>1207.5204506033313</v>
      </c>
      <c r="BI460" s="115"/>
      <c r="BJ460" s="115">
        <v>21183.855437825616</v>
      </c>
      <c r="BK460" s="115"/>
      <c r="BL460" s="115"/>
      <c r="BM460" s="115"/>
      <c r="BN460" s="115"/>
      <c r="BO460" s="115"/>
      <c r="BP460" s="115"/>
      <c r="DA460" s="115"/>
      <c r="DB460" s="115"/>
      <c r="DR460" s="214"/>
      <c r="DY460" s="115"/>
      <c r="DZ460" s="334"/>
      <c r="EA460" s="334"/>
      <c r="EB460" s="334"/>
      <c r="EC460" s="334"/>
      <c r="ED460" s="187"/>
      <c r="EE460" s="330"/>
      <c r="EH460" s="334"/>
      <c r="EI460" s="334"/>
      <c r="EM460"/>
      <c r="EO460" s="115"/>
      <c r="EP460" s="334"/>
      <c r="EQ460" s="334"/>
      <c r="ER460" s="334"/>
      <c r="ES460" s="334"/>
      <c r="ET460" s="334"/>
      <c r="EU460" s="334"/>
      <c r="EV460" s="334"/>
    </row>
    <row r="461" spans="9:152" ht="13">
      <c r="I461" t="s">
        <v>1531</v>
      </c>
      <c r="J461" t="s">
        <v>1358</v>
      </c>
      <c r="K461" t="s">
        <v>375</v>
      </c>
      <c r="AI461" s="115" t="s">
        <v>1416</v>
      </c>
      <c r="AJ461" t="s">
        <v>2114</v>
      </c>
      <c r="AK461" s="115">
        <v>0</v>
      </c>
      <c r="AL461" s="115" t="s">
        <v>28</v>
      </c>
      <c r="AM461" s="115" t="s">
        <v>1846</v>
      </c>
      <c r="AN461" s="115" t="s">
        <v>1449</v>
      </c>
      <c r="AO461" s="115" t="s">
        <v>1274</v>
      </c>
      <c r="AT461" s="115" t="s">
        <v>1416</v>
      </c>
      <c r="AU461" s="115" t="s">
        <v>2114</v>
      </c>
      <c r="AV461" s="115">
        <v>0</v>
      </c>
      <c r="AW461" s="115" t="s">
        <v>1680</v>
      </c>
      <c r="AX461" s="115" t="s">
        <v>28</v>
      </c>
      <c r="AY461" s="115" t="s">
        <v>1843</v>
      </c>
      <c r="AZ461" s="115" t="s">
        <v>1851</v>
      </c>
      <c r="BA461" s="115">
        <v>27991.32</v>
      </c>
      <c r="BB461" s="115">
        <v>42582.55</v>
      </c>
      <c r="BC461" s="115"/>
      <c r="BD461" s="115"/>
      <c r="BE461" s="115">
        <v>2703.971958762887</v>
      </c>
      <c r="BF461" s="115"/>
      <c r="BG461" s="115"/>
      <c r="BH461" s="115">
        <v>3705.0970103092786</v>
      </c>
      <c r="BI461" s="115"/>
      <c r="BJ461" s="115">
        <v>5881.0893814432984</v>
      </c>
      <c r="BK461" s="115"/>
      <c r="BL461" s="115"/>
      <c r="BM461" s="115"/>
      <c r="BN461" s="115"/>
      <c r="BO461" s="115"/>
      <c r="BP461" s="115"/>
      <c r="DA461" s="115"/>
      <c r="DB461" s="115"/>
      <c r="DR461" s="214"/>
      <c r="DY461" s="115"/>
      <c r="DZ461" s="334"/>
      <c r="EA461" s="334"/>
      <c r="EB461" s="334"/>
      <c r="EC461" s="334"/>
      <c r="ED461" s="187"/>
      <c r="EE461" s="330"/>
      <c r="EH461" s="334"/>
      <c r="EI461" s="334"/>
      <c r="EM461"/>
      <c r="EO461" s="115"/>
      <c r="EP461" s="334"/>
      <c r="EQ461" s="334"/>
      <c r="ER461" s="334"/>
      <c r="ES461" s="334"/>
      <c r="ET461" s="334"/>
      <c r="EU461" s="334"/>
      <c r="EV461" s="334"/>
    </row>
    <row r="462" spans="9:152" ht="13">
      <c r="I462" t="s">
        <v>1531</v>
      </c>
      <c r="J462" t="s">
        <v>1354</v>
      </c>
      <c r="K462">
        <v>45141</v>
      </c>
      <c r="AI462" s="115" t="s">
        <v>1416</v>
      </c>
      <c r="AJ462" t="s">
        <v>2114</v>
      </c>
      <c r="AK462" s="115">
        <v>0</v>
      </c>
      <c r="AL462" s="115" t="s">
        <v>28</v>
      </c>
      <c r="AM462" s="115" t="s">
        <v>1848</v>
      </c>
      <c r="AN462" s="115" t="s">
        <v>1449</v>
      </c>
      <c r="AO462" s="115" t="s">
        <v>1274</v>
      </c>
      <c r="AT462" s="115" t="s">
        <v>1415</v>
      </c>
      <c r="AU462" s="115" t="s">
        <v>2114</v>
      </c>
      <c r="AV462" s="115">
        <v>15</v>
      </c>
      <c r="AW462" s="115" t="s">
        <v>1680</v>
      </c>
      <c r="AX462" s="115" t="s">
        <v>28</v>
      </c>
      <c r="AY462" s="115" t="s">
        <v>1843</v>
      </c>
      <c r="AZ462" s="115" t="s">
        <v>1851</v>
      </c>
      <c r="BA462" s="115">
        <v>56666.994329896908</v>
      </c>
      <c r="BB462" s="115">
        <v>111972.85958762887</v>
      </c>
      <c r="BC462" s="115"/>
      <c r="BD462" s="115"/>
      <c r="BE462" s="115">
        <v>58360.868762886596</v>
      </c>
      <c r="BF462" s="115"/>
      <c r="BG462" s="115"/>
      <c r="BH462" s="115">
        <v>12431.558762886598</v>
      </c>
      <c r="BI462" s="115"/>
      <c r="BJ462" s="115">
        <v>25170.379175257734</v>
      </c>
      <c r="BK462" s="115"/>
      <c r="BL462" s="115"/>
      <c r="BM462" s="115"/>
      <c r="BN462" s="115"/>
      <c r="BO462" s="115"/>
      <c r="BP462" s="115"/>
      <c r="DA462" s="115"/>
      <c r="DB462" s="115"/>
      <c r="DR462" s="214"/>
      <c r="DY462" s="115"/>
      <c r="DZ462" s="334"/>
      <c r="EA462" s="334"/>
      <c r="EB462" s="334"/>
      <c r="EC462" s="334"/>
      <c r="ED462" s="187"/>
      <c r="EE462" s="330"/>
      <c r="EH462" s="334"/>
      <c r="EI462" s="334"/>
      <c r="EM462"/>
      <c r="EO462" s="115"/>
      <c r="EP462" s="334"/>
      <c r="EQ462" s="334"/>
      <c r="ER462" s="334"/>
      <c r="ES462" s="334"/>
      <c r="ET462" s="334"/>
      <c r="EU462" s="334"/>
      <c r="EV462" s="334"/>
    </row>
    <row r="463" spans="9:152" ht="13">
      <c r="I463" t="s">
        <v>1531</v>
      </c>
      <c r="J463" t="s">
        <v>1365</v>
      </c>
      <c r="K463">
        <v>15</v>
      </c>
      <c r="AI463" s="115" t="s">
        <v>1416</v>
      </c>
      <c r="AJ463" t="s">
        <v>2114</v>
      </c>
      <c r="AK463" s="115">
        <v>0</v>
      </c>
      <c r="AL463" s="115" t="s">
        <v>28</v>
      </c>
      <c r="AM463" s="115" t="s">
        <v>1850</v>
      </c>
      <c r="AN463" s="115" t="s">
        <v>1449</v>
      </c>
      <c r="AO463" s="115" t="s">
        <v>1274</v>
      </c>
      <c r="AT463" s="115" t="s">
        <v>1415</v>
      </c>
      <c r="AU463" s="115" t="s">
        <v>2114</v>
      </c>
      <c r="AV463" s="115">
        <v>15</v>
      </c>
      <c r="AW463" s="115" t="s">
        <v>1680</v>
      </c>
      <c r="AX463" s="115" t="s">
        <v>28</v>
      </c>
      <c r="AY463" s="115" t="s">
        <v>1849</v>
      </c>
      <c r="AZ463" s="115" t="s">
        <v>1851</v>
      </c>
      <c r="BA463" s="115"/>
      <c r="BB463" s="115"/>
      <c r="BC463" s="115"/>
      <c r="BD463" s="115"/>
      <c r="BE463" s="115">
        <v>607.93022187500003</v>
      </c>
      <c r="BF463" s="115"/>
      <c r="BG463" s="115"/>
      <c r="BH463" s="115">
        <v>249.65046208800004</v>
      </c>
      <c r="BI463" s="115"/>
      <c r="BJ463" s="115">
        <v>52.60896041666664</v>
      </c>
      <c r="BK463" s="115"/>
      <c r="BL463" s="115"/>
      <c r="BM463" s="115"/>
      <c r="BN463" s="115"/>
      <c r="BO463" s="115"/>
      <c r="BP463" s="115"/>
      <c r="DA463" s="115"/>
      <c r="DB463" s="115"/>
      <c r="DR463" s="214"/>
      <c r="DY463" s="115"/>
      <c r="DZ463" s="334"/>
      <c r="EA463" s="334"/>
      <c r="EB463" s="334"/>
      <c r="EC463" s="334"/>
      <c r="ED463" s="187"/>
      <c r="EE463" s="330"/>
      <c r="EH463" s="334"/>
      <c r="EI463" s="334"/>
      <c r="EM463"/>
      <c r="EO463" s="115"/>
      <c r="EP463" s="334"/>
      <c r="EQ463" s="334"/>
      <c r="ER463" s="334"/>
      <c r="ES463" s="334"/>
      <c r="ET463" s="334"/>
      <c r="EU463" s="334"/>
      <c r="EV463" s="334"/>
    </row>
    <row r="464" spans="9:152" ht="13">
      <c r="I464" t="s">
        <v>1531</v>
      </c>
      <c r="J464" t="s">
        <v>1356</v>
      </c>
      <c r="K464" t="s">
        <v>1359</v>
      </c>
      <c r="AI464" s="115" t="s">
        <v>1416</v>
      </c>
      <c r="AJ464" t="s">
        <v>2114</v>
      </c>
      <c r="AK464" s="115">
        <v>0</v>
      </c>
      <c r="AL464" s="115" t="s">
        <v>28</v>
      </c>
      <c r="AM464" s="115" t="s">
        <v>1832</v>
      </c>
      <c r="AN464" s="115" t="s">
        <v>1449</v>
      </c>
      <c r="AO464" s="115" t="s">
        <v>1274</v>
      </c>
      <c r="AT464" s="115" t="s">
        <v>1416</v>
      </c>
      <c r="AU464" s="115" t="s">
        <v>2114</v>
      </c>
      <c r="AV464" s="115">
        <v>0</v>
      </c>
      <c r="AW464" s="115" t="s">
        <v>1680</v>
      </c>
      <c r="AX464" s="115" t="s">
        <v>28</v>
      </c>
      <c r="AY464" s="115" t="s">
        <v>1849</v>
      </c>
      <c r="AZ464" s="115" t="s">
        <v>1851</v>
      </c>
      <c r="BA464" s="115"/>
      <c r="BB464" s="115"/>
      <c r="BC464" s="115"/>
      <c r="BD464" s="115"/>
      <c r="BE464" s="115">
        <v>29.390999999999998</v>
      </c>
      <c r="BF464" s="115"/>
      <c r="BG464" s="115"/>
      <c r="BH464" s="115">
        <v>82.712364048000012</v>
      </c>
      <c r="BI464" s="115"/>
      <c r="BJ464" s="115">
        <v>13.612333333333327</v>
      </c>
      <c r="BK464" s="115"/>
      <c r="BL464" s="115"/>
      <c r="BM464" s="115"/>
      <c r="BN464" s="115"/>
      <c r="BO464" s="115"/>
      <c r="BP464" s="115"/>
      <c r="DA464" s="115"/>
      <c r="DB464" s="115"/>
      <c r="DR464" s="214"/>
      <c r="DY464" s="115"/>
      <c r="DZ464" s="334"/>
      <c r="EA464" s="334"/>
      <c r="EB464" s="334"/>
      <c r="EC464" s="334"/>
      <c r="ED464" s="187"/>
      <c r="EE464" s="330"/>
      <c r="EH464" s="334"/>
      <c r="EI464" s="334"/>
      <c r="EM464"/>
      <c r="EO464" s="115"/>
      <c r="EP464" s="334"/>
      <c r="EQ464" s="334"/>
      <c r="ER464" s="334"/>
      <c r="ES464" s="334"/>
      <c r="ET464" s="334"/>
      <c r="EU464" s="334"/>
      <c r="EV464" s="334"/>
    </row>
    <row r="465" spans="9:152" ht="13">
      <c r="I465" t="s">
        <v>1531</v>
      </c>
      <c r="J465" t="s">
        <v>1366</v>
      </c>
      <c r="K465">
        <v>3</v>
      </c>
      <c r="AI465" s="115" t="s">
        <v>1416</v>
      </c>
      <c r="AJ465" t="s">
        <v>2114</v>
      </c>
      <c r="AK465" s="115">
        <v>0</v>
      </c>
      <c r="AL465" s="115" t="s">
        <v>28</v>
      </c>
      <c r="AM465" s="115" t="s">
        <v>1849</v>
      </c>
      <c r="AN465" s="115" t="s">
        <v>1449</v>
      </c>
      <c r="AO465" s="115" t="s">
        <v>381</v>
      </c>
      <c r="AT465" s="115" t="s">
        <v>1415</v>
      </c>
      <c r="AU465" s="115" t="s">
        <v>2114</v>
      </c>
      <c r="AV465" s="115">
        <v>15</v>
      </c>
      <c r="AW465" s="115" t="s">
        <v>1680</v>
      </c>
      <c r="AX465" s="115" t="s">
        <v>28</v>
      </c>
      <c r="AY465" s="115" t="s">
        <v>1850</v>
      </c>
      <c r="AZ465" s="115" t="s">
        <v>1851</v>
      </c>
      <c r="BA465" s="115">
        <v>1066.0300000000002</v>
      </c>
      <c r="BB465" s="115">
        <v>2811.06</v>
      </c>
      <c r="BC465" s="115"/>
      <c r="BD465" s="115"/>
      <c r="BE465" s="115">
        <v>607.93022187500003</v>
      </c>
      <c r="BF465" s="115"/>
      <c r="BG465" s="115"/>
      <c r="BH465" s="115">
        <v>27.738940232000004</v>
      </c>
      <c r="BI465" s="115"/>
      <c r="BJ465" s="115">
        <v>473.48064374999984</v>
      </c>
      <c r="BK465" s="115"/>
      <c r="BL465" s="115"/>
      <c r="BM465" s="115"/>
      <c r="BN465" s="115"/>
      <c r="BO465" s="115"/>
      <c r="BP465" s="115"/>
      <c r="DA465" s="115"/>
      <c r="DB465" s="115"/>
      <c r="DR465" s="214"/>
      <c r="DY465" s="115"/>
      <c r="DZ465" s="334"/>
      <c r="EA465" s="334"/>
      <c r="EB465" s="334"/>
      <c r="EC465" s="334"/>
      <c r="ED465" s="187"/>
      <c r="EE465" s="330"/>
      <c r="EH465" s="334"/>
      <c r="EI465" s="334"/>
      <c r="EM465"/>
      <c r="EO465" s="115"/>
      <c r="EP465" s="334"/>
      <c r="EQ465" s="334"/>
      <c r="ER465" s="334"/>
      <c r="ES465" s="334"/>
      <c r="ET465" s="334"/>
      <c r="EU465" s="334"/>
      <c r="EV465" s="334"/>
    </row>
    <row r="466" spans="9:152" ht="13">
      <c r="I466" t="s">
        <v>1531</v>
      </c>
      <c r="J466" t="s">
        <v>1357</v>
      </c>
      <c r="K466">
        <v>21013.264282467597</v>
      </c>
      <c r="AI466" s="115" t="s">
        <v>1416</v>
      </c>
      <c r="AJ466" t="s">
        <v>2114</v>
      </c>
      <c r="AK466" s="115">
        <v>0</v>
      </c>
      <c r="AL466" s="115" t="s">
        <v>28</v>
      </c>
      <c r="AM466" s="115" t="s">
        <v>1832</v>
      </c>
      <c r="AN466" s="115" t="s">
        <v>1449</v>
      </c>
      <c r="AO466" s="115" t="s">
        <v>381</v>
      </c>
      <c r="AT466" s="115" t="s">
        <v>1416</v>
      </c>
      <c r="AU466" s="115" t="s">
        <v>2114</v>
      </c>
      <c r="AV466" s="115">
        <v>0</v>
      </c>
      <c r="AW466" s="115" t="s">
        <v>1680</v>
      </c>
      <c r="AX466" s="115" t="s">
        <v>28</v>
      </c>
      <c r="AY466" s="115" t="s">
        <v>1850</v>
      </c>
      <c r="AZ466" s="115" t="s">
        <v>1851</v>
      </c>
      <c r="BA466" s="115">
        <v>547.08000000000004</v>
      </c>
      <c r="BB466" s="115">
        <v>1110.6499999999999</v>
      </c>
      <c r="BC466" s="115"/>
      <c r="BD466" s="115"/>
      <c r="BE466" s="115">
        <v>29.390999999999998</v>
      </c>
      <c r="BF466" s="115"/>
      <c r="BG466" s="115"/>
      <c r="BH466" s="115">
        <v>9.1902626720000011</v>
      </c>
      <c r="BI466" s="115"/>
      <c r="BJ466" s="115">
        <v>122.51099999999998</v>
      </c>
      <c r="BK466" s="115"/>
      <c r="BL466" s="115"/>
      <c r="BM466" s="115"/>
      <c r="BN466" s="115"/>
      <c r="BO466" s="115"/>
      <c r="BP466" s="115"/>
      <c r="DA466" s="115"/>
      <c r="DB466" s="115"/>
      <c r="DR466" s="214"/>
      <c r="DY466" s="115"/>
      <c r="DZ466" s="334"/>
      <c r="EA466" s="334"/>
      <c r="EB466" s="334"/>
      <c r="EC466" s="334"/>
      <c r="ED466" s="187"/>
      <c r="EE466" s="330"/>
      <c r="EH466" s="334"/>
      <c r="EI466" s="334"/>
      <c r="EM466"/>
      <c r="EO466" s="115"/>
      <c r="EP466" s="334"/>
      <c r="EQ466" s="334"/>
      <c r="ER466" s="334"/>
      <c r="ES466" s="334"/>
      <c r="ET466" s="334"/>
      <c r="EU466" s="334"/>
      <c r="EV466" s="334"/>
    </row>
    <row r="467" spans="9:152" ht="13">
      <c r="I467" t="s">
        <v>1533</v>
      </c>
      <c r="J467" t="s">
        <v>1363</v>
      </c>
      <c r="K467">
        <v>125</v>
      </c>
      <c r="AI467" s="115" t="s">
        <v>1416</v>
      </c>
      <c r="AJ467" t="s">
        <v>2114</v>
      </c>
      <c r="AK467" s="115">
        <v>0</v>
      </c>
      <c r="AL467" s="115" t="s">
        <v>28</v>
      </c>
      <c r="AM467" s="115" t="s">
        <v>1843</v>
      </c>
      <c r="AN467" s="115" t="s">
        <v>1449</v>
      </c>
      <c r="AO467" s="115" t="s">
        <v>381</v>
      </c>
      <c r="AT467" s="115" t="s">
        <v>1416</v>
      </c>
      <c r="AU467" s="115" t="s">
        <v>2114</v>
      </c>
      <c r="AV467" s="115">
        <v>0</v>
      </c>
      <c r="AW467" s="115" t="s">
        <v>1680</v>
      </c>
      <c r="AX467" s="115" t="s">
        <v>28</v>
      </c>
      <c r="AY467" s="115" t="s">
        <v>1832</v>
      </c>
      <c r="AZ467" s="115" t="s">
        <v>1851</v>
      </c>
      <c r="BA467" s="115">
        <v>564.00000000000011</v>
      </c>
      <c r="BB467" s="115">
        <v>1145</v>
      </c>
      <c r="BC467" s="115"/>
      <c r="BD467" s="115"/>
      <c r="BE467" s="115">
        <v>60.6</v>
      </c>
      <c r="BF467" s="115"/>
      <c r="BG467" s="115"/>
      <c r="BH467" s="115">
        <v>94.744976000000023</v>
      </c>
      <c r="BI467" s="115"/>
      <c r="BJ467" s="115">
        <v>140.33333333333331</v>
      </c>
      <c r="BK467" s="115"/>
      <c r="BL467" s="115"/>
      <c r="BM467" s="115"/>
      <c r="BN467" s="115"/>
      <c r="BO467" s="115"/>
      <c r="BP467" s="115"/>
      <c r="DA467" s="115"/>
      <c r="DB467" s="115"/>
      <c r="DR467" s="214"/>
      <c r="DY467" s="115"/>
      <c r="DZ467" s="334"/>
      <c r="EA467" s="334"/>
      <c r="EB467" s="334"/>
      <c r="EC467" s="334"/>
      <c r="ED467" s="187"/>
      <c r="EE467" s="330"/>
      <c r="EH467" s="334"/>
      <c r="EI467" s="334"/>
      <c r="EM467"/>
      <c r="EO467" s="115"/>
      <c r="EP467" s="334"/>
      <c r="EQ467" s="334"/>
      <c r="ER467" s="334"/>
      <c r="ES467" s="334"/>
      <c r="ET467" s="334"/>
      <c r="EU467" s="334"/>
      <c r="EV467" s="334"/>
    </row>
    <row r="468" spans="9:152" ht="13">
      <c r="I468" t="s">
        <v>1533</v>
      </c>
      <c r="J468" t="s">
        <v>1353</v>
      </c>
      <c r="K468" t="s">
        <v>1574</v>
      </c>
      <c r="AI468" s="115" t="s">
        <v>1416</v>
      </c>
      <c r="AJ468" t="s">
        <v>2114</v>
      </c>
      <c r="AK468" s="115">
        <v>0</v>
      </c>
      <c r="AL468" s="115" t="s">
        <v>28</v>
      </c>
      <c r="AM468" s="115" t="s">
        <v>1850</v>
      </c>
      <c r="AN468" s="115" t="s">
        <v>1449</v>
      </c>
      <c r="AO468" s="115" t="s">
        <v>381</v>
      </c>
      <c r="AT468" s="115" t="s">
        <v>1415</v>
      </c>
      <c r="AU468" s="115" t="s">
        <v>2114</v>
      </c>
      <c r="AV468" s="115">
        <v>15</v>
      </c>
      <c r="AW468" s="115" t="s">
        <v>1680</v>
      </c>
      <c r="AX468" s="115" t="s">
        <v>28</v>
      </c>
      <c r="AY468" s="115" t="s">
        <v>1832</v>
      </c>
      <c r="AZ468" s="115" t="s">
        <v>1851</v>
      </c>
      <c r="BA468" s="115">
        <v>1099.0000000000002</v>
      </c>
      <c r="BB468" s="115">
        <v>2898</v>
      </c>
      <c r="BC468" s="115"/>
      <c r="BD468" s="115"/>
      <c r="BE468" s="115">
        <v>1253.464375</v>
      </c>
      <c r="BF468" s="115"/>
      <c r="BG468" s="115"/>
      <c r="BH468" s="115">
        <v>285.96845600000006</v>
      </c>
      <c r="BI468" s="115"/>
      <c r="BJ468" s="115">
        <v>542.36041666666654</v>
      </c>
      <c r="BK468" s="115"/>
      <c r="BL468" s="115"/>
      <c r="BM468" s="115"/>
      <c r="BN468" s="115"/>
      <c r="BO468" s="115"/>
      <c r="BP468" s="115"/>
      <c r="DA468" s="115"/>
      <c r="DB468" s="115"/>
      <c r="DR468" s="214"/>
      <c r="DY468" s="115"/>
      <c r="DZ468" s="334"/>
      <c r="EA468" s="334"/>
      <c r="EB468" s="334"/>
      <c r="EC468" s="334"/>
      <c r="ED468" s="187"/>
      <c r="EE468" s="330"/>
      <c r="EH468" s="334"/>
      <c r="EI468" s="334"/>
      <c r="EM468"/>
      <c r="EO468" s="115"/>
      <c r="EP468" s="334"/>
      <c r="EQ468" s="334"/>
      <c r="ER468" s="334"/>
      <c r="ES468" s="334"/>
      <c r="ET468" s="334"/>
      <c r="EU468" s="334"/>
      <c r="EV468" s="334"/>
    </row>
    <row r="469" spans="9:152" ht="13">
      <c r="I469" t="s">
        <v>1533</v>
      </c>
      <c r="J469" t="s">
        <v>1369</v>
      </c>
      <c r="K469">
        <v>13</v>
      </c>
      <c r="AI469" s="115" t="s">
        <v>1416</v>
      </c>
      <c r="AJ469" t="s">
        <v>2114</v>
      </c>
      <c r="AK469" s="115">
        <v>0</v>
      </c>
      <c r="AL469" s="115" t="s">
        <v>28</v>
      </c>
      <c r="AM469" s="115" t="s">
        <v>1846</v>
      </c>
      <c r="AN469" s="115" t="s">
        <v>1449</v>
      </c>
      <c r="AO469" s="115" t="s">
        <v>381</v>
      </c>
      <c r="AT469" s="115" t="s">
        <v>1415</v>
      </c>
      <c r="AU469" s="115" t="s">
        <v>2114</v>
      </c>
      <c r="AV469" s="115">
        <v>15</v>
      </c>
      <c r="AW469" s="115" t="s">
        <v>1681</v>
      </c>
      <c r="AX469" s="115" t="s">
        <v>28</v>
      </c>
      <c r="AY469" s="115" t="s">
        <v>1846</v>
      </c>
      <c r="AZ469" s="115" t="s">
        <v>1852</v>
      </c>
      <c r="BA469" s="115"/>
      <c r="BB469" s="115"/>
      <c r="BC469" s="115"/>
      <c r="BD469" s="115"/>
      <c r="BE469" s="115">
        <v>77442.716925000001</v>
      </c>
      <c r="BF469" s="115"/>
      <c r="BG469" s="115">
        <v>70904.956526249996</v>
      </c>
      <c r="BH469" s="115">
        <v>29126.187089999999</v>
      </c>
      <c r="BI469" s="115">
        <v>90244.305809579993</v>
      </c>
      <c r="BJ469" s="115">
        <v>1828.8753100799997</v>
      </c>
      <c r="BK469" s="115"/>
      <c r="BL469" s="115"/>
      <c r="BM469" s="115"/>
      <c r="BN469" s="115"/>
      <c r="BO469" s="115"/>
      <c r="BP469" s="115"/>
      <c r="DA469" s="115"/>
      <c r="DB469" s="115"/>
      <c r="DR469" s="214"/>
      <c r="DY469" s="115"/>
      <c r="DZ469" s="334"/>
      <c r="EA469" s="334"/>
      <c r="EB469" s="334"/>
      <c r="EC469" s="334"/>
      <c r="ED469" s="187"/>
      <c r="EE469" s="330"/>
      <c r="EH469" s="334"/>
      <c r="EI469" s="334"/>
      <c r="EM469"/>
      <c r="EO469" s="115"/>
      <c r="EP469" s="334"/>
      <c r="EQ469" s="334"/>
      <c r="ER469" s="334"/>
      <c r="ES469" s="334"/>
      <c r="ET469" s="334"/>
      <c r="EU469" s="334"/>
      <c r="EV469" s="334"/>
    </row>
    <row r="470" spans="9:152" ht="13">
      <c r="I470" t="s">
        <v>1533</v>
      </c>
      <c r="J470" t="s">
        <v>1355</v>
      </c>
      <c r="K470">
        <v>10</v>
      </c>
      <c r="AI470" s="115" t="s">
        <v>1416</v>
      </c>
      <c r="AJ470" t="s">
        <v>2114</v>
      </c>
      <c r="AK470" s="115">
        <v>0</v>
      </c>
      <c r="AL470" s="115" t="s">
        <v>28</v>
      </c>
      <c r="AM470" s="115" t="s">
        <v>1848</v>
      </c>
      <c r="AN470" s="115" t="s">
        <v>1449</v>
      </c>
      <c r="AO470" s="115" t="s">
        <v>381</v>
      </c>
      <c r="AT470" s="115" t="s">
        <v>1416</v>
      </c>
      <c r="AU470" s="115" t="s">
        <v>2114</v>
      </c>
      <c r="AV470" s="115">
        <v>0</v>
      </c>
      <c r="AW470" s="115" t="s">
        <v>1681</v>
      </c>
      <c r="AX470" s="115" t="s">
        <v>1842</v>
      </c>
      <c r="AY470" s="115" t="s">
        <v>1846</v>
      </c>
      <c r="AZ470" s="115" t="s">
        <v>1852</v>
      </c>
      <c r="BA470" s="115"/>
      <c r="BB470" s="115"/>
      <c r="BC470" s="115"/>
      <c r="BD470" s="115"/>
      <c r="BE470" s="115"/>
      <c r="BF470" s="115"/>
      <c r="BG470" s="115">
        <v>2787.1979999999999</v>
      </c>
      <c r="BH470" s="115"/>
      <c r="BI470" s="115"/>
      <c r="BJ470" s="115"/>
      <c r="BK470" s="115"/>
      <c r="BL470" s="115"/>
      <c r="BM470" s="115"/>
      <c r="BN470" s="115"/>
      <c r="BO470" s="115"/>
      <c r="BP470" s="115"/>
      <c r="DA470" s="115"/>
      <c r="DB470" s="115"/>
      <c r="DR470" s="214"/>
      <c r="DY470" s="115"/>
      <c r="DZ470" s="334"/>
      <c r="EA470" s="334"/>
      <c r="EB470" s="334"/>
      <c r="EC470" s="334"/>
      <c r="ED470" s="187"/>
      <c r="EE470" s="330"/>
      <c r="EH470" s="334"/>
      <c r="EI470" s="334"/>
      <c r="EM470"/>
      <c r="EO470" s="115"/>
      <c r="EP470" s="334"/>
      <c r="EQ470" s="334"/>
      <c r="ER470" s="334"/>
      <c r="ES470" s="334"/>
      <c r="ET470" s="334"/>
      <c r="EU470" s="334"/>
      <c r="EV470" s="334"/>
    </row>
    <row r="471" spans="9:152" ht="13">
      <c r="I471" t="s">
        <v>1533</v>
      </c>
      <c r="J471" t="s">
        <v>1361</v>
      </c>
      <c r="K471">
        <v>69.23</v>
      </c>
      <c r="AI471" s="115" t="s">
        <v>1416</v>
      </c>
      <c r="AJ471" t="s">
        <v>2114</v>
      </c>
      <c r="AK471" s="115">
        <v>0</v>
      </c>
      <c r="AL471" s="115" t="s">
        <v>28</v>
      </c>
      <c r="AM471" s="115" t="s">
        <v>1846</v>
      </c>
      <c r="AN471" s="115" t="s">
        <v>1449</v>
      </c>
      <c r="AO471" s="115" t="s">
        <v>379</v>
      </c>
      <c r="AT471" s="115" t="s">
        <v>1415</v>
      </c>
      <c r="AU471" s="115" t="s">
        <v>2114</v>
      </c>
      <c r="AV471" s="115">
        <v>15</v>
      </c>
      <c r="AW471" s="115" t="s">
        <v>1681</v>
      </c>
      <c r="AX471" s="115" t="s">
        <v>1842</v>
      </c>
      <c r="AY471" s="115" t="s">
        <v>1846</v>
      </c>
      <c r="AZ471" s="115" t="s">
        <v>1852</v>
      </c>
      <c r="BA471" s="115"/>
      <c r="BB471" s="115"/>
      <c r="BC471" s="115"/>
      <c r="BD471" s="115"/>
      <c r="BE471" s="115">
        <v>42777.881729999994</v>
      </c>
      <c r="BF471" s="115"/>
      <c r="BG471" s="115">
        <v>118061.58715919999</v>
      </c>
      <c r="BH471" s="115"/>
      <c r="BI471" s="115">
        <v>43271.19657</v>
      </c>
      <c r="BJ471" s="115"/>
      <c r="BK471" s="115"/>
      <c r="BL471" s="115"/>
      <c r="BM471" s="115"/>
      <c r="BN471" s="115"/>
      <c r="BO471" s="115"/>
      <c r="BP471" s="115"/>
      <c r="DA471" s="115"/>
      <c r="DB471" s="115"/>
      <c r="DR471" s="214"/>
      <c r="DY471" s="115"/>
      <c r="DZ471" s="334"/>
      <c r="EA471" s="334"/>
      <c r="EB471" s="334"/>
      <c r="EC471" s="334"/>
      <c r="ED471" s="187"/>
      <c r="EE471" s="330"/>
      <c r="EH471" s="334"/>
      <c r="EI471" s="334"/>
      <c r="EM471"/>
      <c r="EO471" s="115"/>
      <c r="EP471" s="334"/>
      <c r="EQ471" s="334"/>
      <c r="ER471" s="334"/>
      <c r="ES471" s="334"/>
      <c r="ET471" s="334"/>
      <c r="EU471" s="334"/>
      <c r="EV471" s="334"/>
    </row>
    <row r="472" spans="9:152" ht="13">
      <c r="I472" t="s">
        <v>1533</v>
      </c>
      <c r="J472" t="s">
        <v>1364</v>
      </c>
      <c r="K472">
        <v>300</v>
      </c>
      <c r="AI472" s="115" t="s">
        <v>1416</v>
      </c>
      <c r="AJ472" t="s">
        <v>2114</v>
      </c>
      <c r="AK472" s="115">
        <v>0</v>
      </c>
      <c r="AL472" s="115" t="s">
        <v>28</v>
      </c>
      <c r="AM472" s="115" t="s">
        <v>1832</v>
      </c>
      <c r="AN472" s="115" t="s">
        <v>1449</v>
      </c>
      <c r="AO472" s="115" t="s">
        <v>379</v>
      </c>
      <c r="AT472" s="115" t="s">
        <v>1416</v>
      </c>
      <c r="AU472" s="115" t="s">
        <v>2114</v>
      </c>
      <c r="AV472" s="115">
        <v>0</v>
      </c>
      <c r="AW472" s="115" t="s">
        <v>1681</v>
      </c>
      <c r="AX472" s="115" t="s">
        <v>28</v>
      </c>
      <c r="AY472" s="115" t="s">
        <v>1846</v>
      </c>
      <c r="AZ472" s="115" t="s">
        <v>1852</v>
      </c>
      <c r="BA472" s="115"/>
      <c r="BB472" s="115"/>
      <c r="BC472" s="115"/>
      <c r="BD472" s="115"/>
      <c r="BE472" s="115"/>
      <c r="BF472" s="115"/>
      <c r="BG472" s="115"/>
      <c r="BH472" s="115">
        <v>12485.637270000003</v>
      </c>
      <c r="BI472" s="115">
        <v>10493.80047</v>
      </c>
      <c r="BJ472" s="115"/>
      <c r="BK472" s="115"/>
      <c r="BL472" s="115"/>
      <c r="BM472" s="115"/>
      <c r="BN472" s="115"/>
      <c r="BO472" s="115"/>
      <c r="BP472" s="115"/>
      <c r="DA472" s="115"/>
      <c r="DB472" s="115"/>
      <c r="DR472" s="214"/>
      <c r="DY472" s="115"/>
      <c r="DZ472" s="334"/>
      <c r="EA472" s="334"/>
      <c r="EB472" s="334"/>
      <c r="EC472" s="334"/>
      <c r="ED472" s="187"/>
      <c r="EE472" s="330"/>
      <c r="EH472" s="334"/>
      <c r="EI472" s="334"/>
      <c r="EM472"/>
      <c r="EO472" s="115"/>
      <c r="EP472" s="334"/>
      <c r="EQ472" s="334"/>
      <c r="ER472" s="334"/>
      <c r="ES472" s="334"/>
      <c r="ET472" s="334"/>
      <c r="EU472" s="334"/>
      <c r="EV472" s="334"/>
    </row>
    <row r="473" spans="9:152" ht="13">
      <c r="I473" t="s">
        <v>1533</v>
      </c>
      <c r="J473" t="s">
        <v>1367</v>
      </c>
      <c r="K473">
        <v>8</v>
      </c>
      <c r="AI473" s="115" t="s">
        <v>1416</v>
      </c>
      <c r="AJ473" t="s">
        <v>2114</v>
      </c>
      <c r="AK473" s="115">
        <v>0</v>
      </c>
      <c r="AL473" s="115" t="s">
        <v>28</v>
      </c>
      <c r="AM473" s="115" t="s">
        <v>1848</v>
      </c>
      <c r="AN473" s="115" t="s">
        <v>1449</v>
      </c>
      <c r="AO473" s="115" t="s">
        <v>379</v>
      </c>
      <c r="AT473" s="115" t="s">
        <v>1415</v>
      </c>
      <c r="AU473" s="115" t="s">
        <v>2114</v>
      </c>
      <c r="AV473" s="115">
        <v>15</v>
      </c>
      <c r="AW473" s="115" t="s">
        <v>1681</v>
      </c>
      <c r="AX473" s="115" t="s">
        <v>28</v>
      </c>
      <c r="AY473" s="115" t="s">
        <v>1848</v>
      </c>
      <c r="AZ473" s="115" t="s">
        <v>1852</v>
      </c>
      <c r="BA473" s="115">
        <v>36485.682126449996</v>
      </c>
      <c r="BB473" s="115"/>
      <c r="BC473" s="115"/>
      <c r="BD473" s="115"/>
      <c r="BE473" s="115">
        <v>71007.22282499999</v>
      </c>
      <c r="BF473" s="115"/>
      <c r="BG473" s="115">
        <v>31956.476933906248</v>
      </c>
      <c r="BH473" s="115">
        <v>2881.9007489999999</v>
      </c>
      <c r="BI473" s="115">
        <v>51464.22293792</v>
      </c>
      <c r="BJ473" s="115">
        <v>9186.5900347199986</v>
      </c>
      <c r="BK473" s="115"/>
      <c r="BL473" s="115"/>
      <c r="BM473" s="115"/>
      <c r="BN473" s="115"/>
      <c r="BO473" s="115"/>
      <c r="BP473" s="115"/>
      <c r="DA473" s="115"/>
      <c r="DB473" s="115"/>
      <c r="DR473" s="214"/>
      <c r="DY473" s="115"/>
      <c r="DZ473" s="334"/>
      <c r="EA473" s="334"/>
      <c r="EB473" s="334"/>
      <c r="EC473" s="334"/>
      <c r="ED473" s="187"/>
      <c r="EE473" s="330"/>
      <c r="EH473" s="334"/>
      <c r="EI473" s="334"/>
      <c r="EM473"/>
      <c r="EO473" s="115"/>
      <c r="EP473" s="334"/>
      <c r="EQ473" s="334"/>
      <c r="ER473" s="334"/>
      <c r="ES473" s="334"/>
      <c r="ET473" s="334"/>
      <c r="EU473" s="334"/>
      <c r="EV473" s="334"/>
    </row>
    <row r="474" spans="9:152" ht="13">
      <c r="I474" t="s">
        <v>1533</v>
      </c>
      <c r="J474" t="s">
        <v>1362</v>
      </c>
      <c r="K474">
        <v>95</v>
      </c>
      <c r="AI474" s="115" t="s">
        <v>1416</v>
      </c>
      <c r="AJ474" t="s">
        <v>2114</v>
      </c>
      <c r="AK474" s="115">
        <v>0</v>
      </c>
      <c r="AL474" s="115" t="s">
        <v>28</v>
      </c>
      <c r="AM474" s="115" t="s">
        <v>1843</v>
      </c>
      <c r="AN474" s="115" t="s">
        <v>1449</v>
      </c>
      <c r="AO474" s="115" t="s">
        <v>379</v>
      </c>
      <c r="AT474" s="115" t="s">
        <v>1415</v>
      </c>
      <c r="AU474" s="115" t="s">
        <v>2114</v>
      </c>
      <c r="AV474" s="115">
        <v>15</v>
      </c>
      <c r="AW474" s="115" t="s">
        <v>1681</v>
      </c>
      <c r="AX474" s="115" t="s">
        <v>1842</v>
      </c>
      <c r="AY474" s="115" t="s">
        <v>1848</v>
      </c>
      <c r="AZ474" s="115" t="s">
        <v>1852</v>
      </c>
      <c r="BA474" s="115">
        <v>20577.269987999996</v>
      </c>
      <c r="BB474" s="115"/>
      <c r="BC474" s="115"/>
      <c r="BD474" s="115"/>
      <c r="BE474" s="115">
        <v>39223.037369999998</v>
      </c>
      <c r="BF474" s="115"/>
      <c r="BG474" s="115">
        <v>67327.769740800009</v>
      </c>
      <c r="BH474" s="115"/>
      <c r="BI474" s="115">
        <v>19502.092136249998</v>
      </c>
      <c r="BJ474" s="115"/>
      <c r="BK474" s="115"/>
      <c r="BL474" s="115"/>
      <c r="BM474" s="115"/>
      <c r="BN474" s="115"/>
      <c r="BO474" s="115"/>
      <c r="BP474" s="115"/>
      <c r="DA474" s="115"/>
      <c r="DB474" s="115"/>
      <c r="DR474" s="214"/>
      <c r="DY474" s="115"/>
      <c r="DZ474" s="334"/>
      <c r="EA474" s="334"/>
      <c r="EB474" s="334"/>
      <c r="EC474" s="334"/>
      <c r="ED474" s="187"/>
      <c r="EE474" s="330"/>
      <c r="EH474" s="334"/>
      <c r="EI474" s="334"/>
      <c r="EM474"/>
      <c r="EO474" s="115"/>
      <c r="EP474" s="334"/>
      <c r="EQ474" s="334"/>
      <c r="ER474" s="334"/>
      <c r="ES474" s="334"/>
      <c r="ET474" s="334"/>
      <c r="EU474" s="334"/>
      <c r="EV474" s="334"/>
    </row>
    <row r="475" spans="9:152" ht="13">
      <c r="I475" t="s">
        <v>1533</v>
      </c>
      <c r="J475" t="s">
        <v>1368</v>
      </c>
      <c r="K475">
        <v>11.5</v>
      </c>
      <c r="AI475" s="115" t="s">
        <v>1416</v>
      </c>
      <c r="AJ475" t="s">
        <v>2114</v>
      </c>
      <c r="AK475" s="115">
        <v>0</v>
      </c>
      <c r="AL475" s="115" t="s">
        <v>28</v>
      </c>
      <c r="AM475" s="115" t="s">
        <v>1849</v>
      </c>
      <c r="AN475" s="115" t="s">
        <v>1449</v>
      </c>
      <c r="AO475" s="115" t="s">
        <v>379</v>
      </c>
      <c r="AT475" s="115" t="s">
        <v>1416</v>
      </c>
      <c r="AU475" s="115" t="s">
        <v>2114</v>
      </c>
      <c r="AV475" s="115">
        <v>0</v>
      </c>
      <c r="AW475" s="115" t="s">
        <v>1681</v>
      </c>
      <c r="AX475" s="115" t="s">
        <v>1842</v>
      </c>
      <c r="AY475" s="115" t="s">
        <v>1848</v>
      </c>
      <c r="AZ475" s="115" t="s">
        <v>1852</v>
      </c>
      <c r="BA475" s="115"/>
      <c r="BB475" s="115"/>
      <c r="BC475" s="115"/>
      <c r="BD475" s="115"/>
      <c r="BE475" s="115"/>
      <c r="BF475" s="115"/>
      <c r="BG475" s="115">
        <v>1616.4080000000001</v>
      </c>
      <c r="BH475" s="115"/>
      <c r="BI475" s="115"/>
      <c r="BJ475" s="115"/>
      <c r="BK475" s="115"/>
      <c r="BL475" s="115"/>
      <c r="BM475" s="115"/>
      <c r="BN475" s="115"/>
      <c r="BO475" s="115"/>
      <c r="BP475" s="115"/>
      <c r="DA475" s="115"/>
      <c r="DB475" s="115"/>
      <c r="DR475" s="214"/>
      <c r="DY475" s="115"/>
      <c r="DZ475" s="334"/>
      <c r="EA475" s="334"/>
      <c r="EB475" s="334"/>
      <c r="EC475" s="334"/>
      <c r="ED475" s="187"/>
      <c r="EE475" s="330"/>
      <c r="EH475" s="334"/>
      <c r="EI475" s="334"/>
      <c r="EM475"/>
      <c r="EO475" s="115"/>
      <c r="EP475" s="334"/>
      <c r="EQ475" s="334"/>
      <c r="ER475" s="334"/>
      <c r="ES475" s="334"/>
      <c r="ET475" s="334"/>
      <c r="EU475" s="334"/>
      <c r="EV475" s="334"/>
    </row>
    <row r="476" spans="9:152" ht="13">
      <c r="I476" t="s">
        <v>1533</v>
      </c>
      <c r="J476" t="s">
        <v>1360</v>
      </c>
      <c r="K476">
        <v>0.26700000000000002</v>
      </c>
      <c r="AI476" s="115" t="s">
        <v>1416</v>
      </c>
      <c r="AJ476" t="s">
        <v>2114</v>
      </c>
      <c r="AK476" s="115">
        <v>0</v>
      </c>
      <c r="AL476" s="115" t="s">
        <v>28</v>
      </c>
      <c r="AM476" s="115" t="s">
        <v>1850</v>
      </c>
      <c r="AN476" s="115" t="s">
        <v>1449</v>
      </c>
      <c r="AO476" s="115" t="s">
        <v>379</v>
      </c>
      <c r="AT476" s="115" t="s">
        <v>1416</v>
      </c>
      <c r="AU476" s="115" t="s">
        <v>2114</v>
      </c>
      <c r="AV476" s="115">
        <v>0</v>
      </c>
      <c r="AW476" s="115" t="s">
        <v>1681</v>
      </c>
      <c r="AX476" s="115" t="s">
        <v>28</v>
      </c>
      <c r="AY476" s="115" t="s">
        <v>1848</v>
      </c>
      <c r="AZ476" s="115" t="s">
        <v>1852</v>
      </c>
      <c r="BA476" s="115">
        <v>2358.9139</v>
      </c>
      <c r="BB476" s="115"/>
      <c r="BC476" s="115"/>
      <c r="BD476" s="115"/>
      <c r="BE476" s="115"/>
      <c r="BF476" s="115"/>
      <c r="BG476" s="115"/>
      <c r="BH476" s="115">
        <v>1435.7076700000005</v>
      </c>
      <c r="BI476" s="115">
        <v>6085.7761200000004</v>
      </c>
      <c r="BJ476" s="115"/>
      <c r="BK476" s="115"/>
      <c r="BL476" s="115"/>
      <c r="BM476" s="115"/>
      <c r="BN476" s="115"/>
      <c r="BO476" s="115"/>
      <c r="BP476" s="115"/>
      <c r="DA476" s="115"/>
      <c r="DB476" s="115"/>
      <c r="DR476" s="214"/>
      <c r="DY476" s="115"/>
      <c r="DZ476" s="334"/>
      <c r="EA476" s="334"/>
      <c r="EB476" s="334"/>
      <c r="EC476" s="334"/>
      <c r="ED476" s="187"/>
      <c r="EE476" s="330"/>
      <c r="EH476" s="334"/>
      <c r="EI476" s="334"/>
      <c r="EM476"/>
      <c r="EO476" s="115"/>
      <c r="EP476" s="334"/>
      <c r="EQ476" s="334"/>
      <c r="ER476" s="334"/>
      <c r="ES476" s="334"/>
      <c r="ET476" s="334"/>
      <c r="EU476" s="334"/>
      <c r="EV476" s="334"/>
    </row>
    <row r="477" spans="9:152" ht="13">
      <c r="I477" t="s">
        <v>1533</v>
      </c>
      <c r="J477" t="s">
        <v>1358</v>
      </c>
      <c r="K477" t="s">
        <v>375</v>
      </c>
      <c r="AI477" s="115" t="s">
        <v>1416</v>
      </c>
      <c r="AJ477" t="s">
        <v>2114</v>
      </c>
      <c r="AK477" s="115">
        <v>0</v>
      </c>
      <c r="AL477" s="115" t="s">
        <v>28</v>
      </c>
      <c r="AM477" s="115" t="s">
        <v>1846</v>
      </c>
      <c r="AN477" s="115" t="s">
        <v>1449</v>
      </c>
      <c r="AO477" s="115" t="s">
        <v>1645</v>
      </c>
      <c r="AT477" s="115" t="s">
        <v>1415</v>
      </c>
      <c r="AU477" s="115" t="s">
        <v>2114</v>
      </c>
      <c r="AV477" s="115">
        <v>15</v>
      </c>
      <c r="AW477" s="115" t="s">
        <v>1681</v>
      </c>
      <c r="AX477" s="115" t="s">
        <v>1842</v>
      </c>
      <c r="AY477" s="115" t="s">
        <v>1843</v>
      </c>
      <c r="AZ477" s="115" t="s">
        <v>1852</v>
      </c>
      <c r="BA477" s="115">
        <v>20418.680412371134</v>
      </c>
      <c r="BB477" s="115"/>
      <c r="BC477" s="115"/>
      <c r="BD477" s="115"/>
      <c r="BE477" s="115">
        <v>81013.799587628877</v>
      </c>
      <c r="BF477" s="115"/>
      <c r="BG477" s="115">
        <v>183469.9886597938</v>
      </c>
      <c r="BH477" s="115"/>
      <c r="BI477" s="115">
        <v>63496.785051546394</v>
      </c>
      <c r="BJ477" s="115"/>
      <c r="BK477" s="115"/>
      <c r="BL477" s="115"/>
      <c r="BM477" s="115"/>
      <c r="BN477" s="115"/>
      <c r="BO477" s="115"/>
      <c r="BP477" s="115"/>
      <c r="DA477" s="115"/>
      <c r="DB477" s="115"/>
      <c r="DR477" s="214"/>
      <c r="DY477" s="115"/>
      <c r="DZ477" s="334"/>
      <c r="EA477" s="334"/>
      <c r="EB477" s="334"/>
      <c r="EC477" s="334"/>
      <c r="ED477" s="187"/>
      <c r="EE477" s="330"/>
      <c r="EH477" s="334"/>
      <c r="EI477" s="334"/>
      <c r="EM477"/>
      <c r="EO477" s="115"/>
      <c r="EP477" s="334"/>
      <c r="EQ477" s="334"/>
      <c r="ER477" s="334"/>
      <c r="ES477" s="334"/>
      <c r="ET477" s="334"/>
      <c r="EU477" s="334"/>
      <c r="EV477" s="334"/>
    </row>
    <row r="478" spans="9:152" ht="13">
      <c r="I478" t="s">
        <v>1533</v>
      </c>
      <c r="J478" t="s">
        <v>1354</v>
      </c>
      <c r="K478">
        <v>45141</v>
      </c>
      <c r="AI478" s="115" t="s">
        <v>1416</v>
      </c>
      <c r="AJ478" t="s">
        <v>2114</v>
      </c>
      <c r="AK478" s="115">
        <v>0</v>
      </c>
      <c r="AL478" s="115" t="s">
        <v>28</v>
      </c>
      <c r="AM478" s="115" t="s">
        <v>1848</v>
      </c>
      <c r="AN478" s="115" t="s">
        <v>1449</v>
      </c>
      <c r="AO478" s="115" t="s">
        <v>1645</v>
      </c>
      <c r="AT478" s="115" t="s">
        <v>1416</v>
      </c>
      <c r="AU478" s="115" t="s">
        <v>2114</v>
      </c>
      <c r="AV478" s="115">
        <v>0</v>
      </c>
      <c r="AW478" s="115" t="s">
        <v>1681</v>
      </c>
      <c r="AX478" s="115" t="s">
        <v>28</v>
      </c>
      <c r="AY478" s="115" t="s">
        <v>1843</v>
      </c>
      <c r="AZ478" s="115" t="s">
        <v>1852</v>
      </c>
      <c r="BA478" s="115">
        <v>2431.87</v>
      </c>
      <c r="BB478" s="115"/>
      <c r="BC478" s="115"/>
      <c r="BD478" s="115"/>
      <c r="BE478" s="115"/>
      <c r="BF478" s="115"/>
      <c r="BG478" s="115"/>
      <c r="BH478" s="115">
        <v>14351.901958762886</v>
      </c>
      <c r="BI478" s="115">
        <v>11060.711958762888</v>
      </c>
      <c r="BJ478" s="115"/>
      <c r="BK478" s="115"/>
      <c r="BL478" s="115"/>
      <c r="BM478" s="115"/>
      <c r="BN478" s="115"/>
      <c r="BO478" s="115"/>
      <c r="BP478" s="115"/>
      <c r="DA478" s="115"/>
      <c r="DB478" s="115"/>
      <c r="DR478" s="214"/>
      <c r="DY478" s="115"/>
      <c r="DZ478" s="334"/>
      <c r="EA478" s="334"/>
      <c r="EB478" s="334"/>
      <c r="EC478" s="334"/>
      <c r="ED478" s="187"/>
      <c r="EE478" s="330"/>
      <c r="EH478" s="334"/>
      <c r="EI478" s="334"/>
      <c r="EM478"/>
      <c r="EO478" s="115"/>
      <c r="EP478" s="334"/>
      <c r="EQ478" s="334"/>
      <c r="ER478" s="334"/>
      <c r="ES478" s="334"/>
      <c r="ET478" s="334"/>
      <c r="EU478" s="334"/>
      <c r="EV478" s="334"/>
    </row>
    <row r="479" spans="9:152" ht="13">
      <c r="I479" t="s">
        <v>1533</v>
      </c>
      <c r="J479" t="s">
        <v>1365</v>
      </c>
      <c r="K479">
        <v>15</v>
      </c>
      <c r="AI479" s="115" t="s">
        <v>1416</v>
      </c>
      <c r="AJ479" t="s">
        <v>2114</v>
      </c>
      <c r="AK479" s="115">
        <v>0</v>
      </c>
      <c r="AL479" s="115" t="s">
        <v>28</v>
      </c>
      <c r="AM479" s="115" t="s">
        <v>1849</v>
      </c>
      <c r="AN479" s="115" t="s">
        <v>1449</v>
      </c>
      <c r="AO479" s="115" t="s">
        <v>1645</v>
      </c>
      <c r="AT479" s="115" t="s">
        <v>1415</v>
      </c>
      <c r="AU479" s="115" t="s">
        <v>2114</v>
      </c>
      <c r="AV479" s="115">
        <v>15</v>
      </c>
      <c r="AW479" s="115" t="s">
        <v>1681</v>
      </c>
      <c r="AX479" s="115" t="s">
        <v>28</v>
      </c>
      <c r="AY479" s="115" t="s">
        <v>1843</v>
      </c>
      <c r="AZ479" s="115" t="s">
        <v>1852</v>
      </c>
      <c r="BA479" s="115">
        <v>36204.485979381447</v>
      </c>
      <c r="BB479" s="115"/>
      <c r="BC479" s="115"/>
      <c r="BD479" s="115"/>
      <c r="BE479" s="115">
        <v>146662.91309278351</v>
      </c>
      <c r="BF479" s="115"/>
      <c r="BG479" s="115">
        <v>163370.82340206185</v>
      </c>
      <c r="BH479" s="115">
        <v>29669.492061855672</v>
      </c>
      <c r="BI479" s="115">
        <v>89316.388659793811</v>
      </c>
      <c r="BJ479" s="115">
        <v>10915.385773195876</v>
      </c>
      <c r="BK479" s="115"/>
      <c r="BL479" s="115"/>
      <c r="BM479" s="115"/>
      <c r="BN479" s="115"/>
      <c r="BO479" s="115"/>
      <c r="BP479" s="115"/>
      <c r="DA479" s="115"/>
      <c r="DB479" s="115"/>
      <c r="DR479" s="214"/>
      <c r="DY479" s="115"/>
      <c r="DZ479" s="334"/>
      <c r="EA479" s="334"/>
      <c r="EB479" s="334"/>
      <c r="EC479" s="334"/>
      <c r="ED479" s="187"/>
      <c r="EE479" s="330"/>
      <c r="EH479" s="334"/>
      <c r="EI479" s="334"/>
      <c r="EM479"/>
      <c r="EO479" s="115"/>
      <c r="EP479" s="334"/>
      <c r="EQ479" s="334"/>
      <c r="ER479" s="334"/>
      <c r="ES479" s="334"/>
      <c r="ET479" s="334"/>
      <c r="EU479" s="334"/>
      <c r="EV479" s="334"/>
    </row>
    <row r="480" spans="9:152" ht="13">
      <c r="I480" t="s">
        <v>1533</v>
      </c>
      <c r="J480" t="s">
        <v>1356</v>
      </c>
      <c r="K480" t="s">
        <v>1359</v>
      </c>
      <c r="AI480" s="115" t="s">
        <v>1416</v>
      </c>
      <c r="AJ480" t="s">
        <v>2114</v>
      </c>
      <c r="AK480" s="115">
        <v>0</v>
      </c>
      <c r="AL480" s="115" t="s">
        <v>28</v>
      </c>
      <c r="AM480" s="115" t="s">
        <v>1843</v>
      </c>
      <c r="AN480" s="115" t="s">
        <v>1449</v>
      </c>
      <c r="AO480" s="115" t="s">
        <v>1645</v>
      </c>
      <c r="AT480" s="115" t="s">
        <v>1416</v>
      </c>
      <c r="AU480" s="115" t="s">
        <v>2114</v>
      </c>
      <c r="AV480" s="115">
        <v>0</v>
      </c>
      <c r="AW480" s="115" t="s">
        <v>1681</v>
      </c>
      <c r="AX480" s="115" t="s">
        <v>1842</v>
      </c>
      <c r="AY480" s="115" t="s">
        <v>1843</v>
      </c>
      <c r="AZ480" s="115" t="s">
        <v>1852</v>
      </c>
      <c r="BA480" s="115"/>
      <c r="BB480" s="115"/>
      <c r="BC480" s="115"/>
      <c r="BD480" s="115"/>
      <c r="BE480" s="115"/>
      <c r="BF480" s="115"/>
      <c r="BG480" s="115">
        <v>4642.6168041237115</v>
      </c>
      <c r="BH480" s="115"/>
      <c r="BI480" s="115"/>
      <c r="BJ480" s="115"/>
      <c r="BK480" s="115"/>
      <c r="BL480" s="115"/>
      <c r="BM480" s="115"/>
      <c r="BN480" s="115"/>
      <c r="BO480" s="115"/>
      <c r="BP480" s="115"/>
      <c r="DA480" s="115"/>
      <c r="DB480" s="115"/>
      <c r="DR480" s="214"/>
      <c r="DY480" s="115"/>
      <c r="DZ480" s="334"/>
      <c r="EA480" s="334"/>
      <c r="EB480" s="334"/>
      <c r="EC480" s="334"/>
      <c r="ED480" s="187"/>
      <c r="EE480" s="330"/>
      <c r="EH480" s="334"/>
      <c r="EI480" s="334"/>
      <c r="EM480"/>
      <c r="EO480" s="115"/>
      <c r="EP480" s="334"/>
      <c r="EQ480" s="334"/>
      <c r="ER480" s="334"/>
      <c r="ES480" s="334"/>
      <c r="ET480" s="334"/>
      <c r="EU480" s="334"/>
      <c r="EV480" s="334"/>
    </row>
    <row r="481" spans="9:152" ht="13">
      <c r="I481" t="s">
        <v>1533</v>
      </c>
      <c r="J481" t="s">
        <v>1366</v>
      </c>
      <c r="K481">
        <v>3</v>
      </c>
      <c r="AI481" s="115" t="s">
        <v>1416</v>
      </c>
      <c r="AJ481" t="s">
        <v>2114</v>
      </c>
      <c r="AK481" s="115">
        <v>0</v>
      </c>
      <c r="AL481" s="115" t="s">
        <v>28</v>
      </c>
      <c r="AM481" s="115" t="s">
        <v>1832</v>
      </c>
      <c r="AN481" s="115" t="s">
        <v>1449</v>
      </c>
      <c r="AO481" s="115" t="s">
        <v>1645</v>
      </c>
      <c r="AT481" s="115" t="s">
        <v>1415</v>
      </c>
      <c r="AU481" s="115" t="s">
        <v>2114</v>
      </c>
      <c r="AV481" s="115">
        <v>15</v>
      </c>
      <c r="AW481" s="115" t="s">
        <v>1681</v>
      </c>
      <c r="AX481" s="115" t="s">
        <v>1842</v>
      </c>
      <c r="AY481" s="115" t="s">
        <v>1849</v>
      </c>
      <c r="AZ481" s="115" t="s">
        <v>1852</v>
      </c>
      <c r="BA481" s="115"/>
      <c r="BB481" s="115"/>
      <c r="BC481" s="115"/>
      <c r="BD481" s="115"/>
      <c r="BE481" s="115">
        <v>843.9</v>
      </c>
      <c r="BF481" s="115"/>
      <c r="BG481" s="115">
        <v>2245.8959999999997</v>
      </c>
      <c r="BH481" s="115"/>
      <c r="BI481" s="115">
        <v>1525.5675000000001</v>
      </c>
      <c r="BJ481" s="115"/>
      <c r="BK481" s="115"/>
      <c r="BL481" s="115"/>
      <c r="BM481" s="115"/>
      <c r="BN481" s="115"/>
      <c r="BO481" s="115"/>
      <c r="BP481" s="115"/>
      <c r="DA481" s="115"/>
      <c r="DB481" s="115"/>
      <c r="DR481" s="214"/>
      <c r="DY481" s="115"/>
      <c r="DZ481" s="334"/>
      <c r="EA481" s="334"/>
      <c r="EB481" s="334"/>
      <c r="EC481" s="334"/>
      <c r="ED481" s="187"/>
      <c r="EE481" s="330"/>
      <c r="EH481" s="334"/>
      <c r="EI481" s="334"/>
      <c r="EM481"/>
      <c r="EO481" s="115"/>
      <c r="EP481" s="334"/>
      <c r="EQ481" s="334"/>
      <c r="ER481" s="334"/>
      <c r="ES481" s="334"/>
      <c r="ET481" s="334"/>
      <c r="EU481" s="334"/>
      <c r="EV481" s="334"/>
    </row>
    <row r="482" spans="9:152" ht="13">
      <c r="I482" t="s">
        <v>1533</v>
      </c>
      <c r="J482" t="s">
        <v>1357</v>
      </c>
      <c r="K482">
        <v>25801.752415809955</v>
      </c>
      <c r="AI482" s="115" t="s">
        <v>1416</v>
      </c>
      <c r="AJ482" t="s">
        <v>2114</v>
      </c>
      <c r="AK482" s="115">
        <v>0</v>
      </c>
      <c r="AL482" s="115" t="s">
        <v>28</v>
      </c>
      <c r="AM482" s="115" t="s">
        <v>1850</v>
      </c>
      <c r="AN482" s="115" t="s">
        <v>1449</v>
      </c>
      <c r="AO482" s="115" t="s">
        <v>1645</v>
      </c>
      <c r="AT482" s="115" t="s">
        <v>1416</v>
      </c>
      <c r="AU482" s="115" t="s">
        <v>2114</v>
      </c>
      <c r="AV482" s="115">
        <v>0</v>
      </c>
      <c r="AW482" s="115" t="s">
        <v>1681</v>
      </c>
      <c r="AX482" s="115" t="s">
        <v>1842</v>
      </c>
      <c r="AY482" s="115" t="s">
        <v>1849</v>
      </c>
      <c r="AZ482" s="115" t="s">
        <v>1852</v>
      </c>
      <c r="BA482" s="115"/>
      <c r="BB482" s="115"/>
      <c r="BC482" s="115"/>
      <c r="BD482" s="115"/>
      <c r="BE482" s="115"/>
      <c r="BF482" s="115"/>
      <c r="BG482" s="115">
        <v>58.199999999999996</v>
      </c>
      <c r="BH482" s="115"/>
      <c r="BI482" s="115"/>
      <c r="BJ482" s="115"/>
      <c r="BK482" s="115"/>
      <c r="BL482" s="115"/>
      <c r="BM482" s="115"/>
      <c r="BN482" s="115"/>
      <c r="BO482" s="115"/>
      <c r="BP482" s="115"/>
      <c r="DA482" s="115"/>
      <c r="DB482" s="115"/>
      <c r="DR482" s="214"/>
      <c r="DY482" s="115"/>
      <c r="DZ482" s="334"/>
      <c r="EA482" s="334"/>
      <c r="EB482" s="334"/>
      <c r="EC482" s="334"/>
      <c r="ED482" s="187"/>
      <c r="EE482" s="330"/>
      <c r="EH482" s="334"/>
      <c r="EI482" s="334"/>
      <c r="EM482"/>
      <c r="EO482" s="115"/>
      <c r="EP482" s="334"/>
      <c r="EQ482" s="334"/>
      <c r="ER482" s="334"/>
      <c r="ES482" s="334"/>
      <c r="ET482" s="334"/>
      <c r="EU482" s="334"/>
      <c r="EV482" s="334"/>
    </row>
    <row r="483" spans="9:152" ht="13">
      <c r="I483" t="s">
        <v>1534</v>
      </c>
      <c r="J483" t="s">
        <v>1363</v>
      </c>
      <c r="K483">
        <v>125</v>
      </c>
      <c r="AI483" s="115" t="s">
        <v>1416</v>
      </c>
      <c r="AJ483" t="s">
        <v>2114</v>
      </c>
      <c r="AK483" s="115">
        <v>0</v>
      </c>
      <c r="AL483" s="115" t="s">
        <v>28</v>
      </c>
      <c r="AM483" s="115" t="s">
        <v>1843</v>
      </c>
      <c r="AN483" s="115" t="s">
        <v>1449</v>
      </c>
      <c r="AO483" s="115" t="s">
        <v>1646</v>
      </c>
      <c r="AT483" s="115" t="s">
        <v>1416</v>
      </c>
      <c r="AU483" s="115" t="s">
        <v>2114</v>
      </c>
      <c r="AV483" s="115">
        <v>0</v>
      </c>
      <c r="AW483" s="115" t="s">
        <v>1681</v>
      </c>
      <c r="AX483" s="115" t="s">
        <v>28</v>
      </c>
      <c r="AY483" s="115" t="s">
        <v>1849</v>
      </c>
      <c r="AZ483" s="115" t="s">
        <v>1852</v>
      </c>
      <c r="BA483" s="115"/>
      <c r="BB483" s="115"/>
      <c r="BC483" s="115"/>
      <c r="BD483" s="115"/>
      <c r="BE483" s="115"/>
      <c r="BF483" s="115"/>
      <c r="BG483" s="115"/>
      <c r="BH483" s="115">
        <v>320.39100000000008</v>
      </c>
      <c r="BI483" s="115">
        <v>219.12300000000002</v>
      </c>
      <c r="BJ483" s="115"/>
      <c r="BK483" s="115"/>
      <c r="BL483" s="115"/>
      <c r="BM483" s="115"/>
      <c r="BN483" s="115"/>
      <c r="BO483" s="115"/>
      <c r="BP483" s="115"/>
      <c r="DA483" s="115"/>
      <c r="DB483" s="115"/>
      <c r="DR483" s="214"/>
      <c r="DY483" s="115"/>
      <c r="DZ483" s="334"/>
      <c r="EA483" s="334"/>
      <c r="EB483" s="334"/>
      <c r="EC483" s="334"/>
      <c r="ED483" s="187"/>
      <c r="EE483" s="330"/>
      <c r="EH483" s="334"/>
      <c r="EI483" s="334"/>
      <c r="EM483"/>
      <c r="EO483" s="115"/>
      <c r="EP483" s="334"/>
      <c r="EQ483" s="334"/>
      <c r="ER483" s="334"/>
      <c r="ES483" s="334"/>
      <c r="ET483" s="334"/>
      <c r="EU483" s="334"/>
      <c r="EV483" s="334"/>
    </row>
    <row r="484" spans="9:152" ht="13">
      <c r="I484" t="s">
        <v>1534</v>
      </c>
      <c r="J484" t="s">
        <v>1353</v>
      </c>
      <c r="K484" t="s">
        <v>1575</v>
      </c>
      <c r="AI484" s="115" t="s">
        <v>1416</v>
      </c>
      <c r="AJ484" t="s">
        <v>2114</v>
      </c>
      <c r="AK484" s="115">
        <v>0</v>
      </c>
      <c r="AL484" s="115" t="s">
        <v>28</v>
      </c>
      <c r="AM484" s="115" t="s">
        <v>1846</v>
      </c>
      <c r="AN484" s="115" t="s">
        <v>1449</v>
      </c>
      <c r="AO484" s="115" t="s">
        <v>1646</v>
      </c>
      <c r="AT484" s="115" t="s">
        <v>1415</v>
      </c>
      <c r="AU484" s="115" t="s">
        <v>2114</v>
      </c>
      <c r="AV484" s="115">
        <v>15</v>
      </c>
      <c r="AW484" s="115" t="s">
        <v>1681</v>
      </c>
      <c r="AX484" s="115" t="s">
        <v>28</v>
      </c>
      <c r="AY484" s="115" t="s">
        <v>1849</v>
      </c>
      <c r="AZ484" s="115" t="s">
        <v>1852</v>
      </c>
      <c r="BA484" s="115"/>
      <c r="BB484" s="115"/>
      <c r="BC484" s="115"/>
      <c r="BD484" s="115"/>
      <c r="BE484" s="115">
        <v>1527.75</v>
      </c>
      <c r="BF484" s="115"/>
      <c r="BG484" s="115">
        <v>2499.8221874999999</v>
      </c>
      <c r="BH484" s="115">
        <v>595.82249999999999</v>
      </c>
      <c r="BI484" s="115">
        <v>1716.7253999999998</v>
      </c>
      <c r="BJ484" s="115">
        <v>22.814399999999996</v>
      </c>
      <c r="BK484" s="115"/>
      <c r="BL484" s="115"/>
      <c r="BM484" s="115"/>
      <c r="BN484" s="115"/>
      <c r="BO484" s="115"/>
      <c r="BP484" s="115"/>
      <c r="DA484" s="115"/>
      <c r="DB484" s="115"/>
      <c r="DR484" s="214"/>
      <c r="DY484" s="115"/>
      <c r="DZ484" s="334"/>
      <c r="EA484" s="334"/>
      <c r="EB484" s="334"/>
      <c r="EC484" s="334"/>
      <c r="ED484" s="187"/>
      <c r="EE484" s="330"/>
      <c r="EH484" s="334"/>
      <c r="EI484" s="334"/>
      <c r="EM484"/>
      <c r="EO484" s="115"/>
      <c r="EP484" s="334"/>
      <c r="EQ484" s="334"/>
      <c r="ER484" s="334"/>
      <c r="ES484" s="334"/>
      <c r="ET484" s="334"/>
      <c r="EU484" s="334"/>
      <c r="EV484" s="334"/>
    </row>
    <row r="485" spans="9:152" ht="13">
      <c r="I485" t="s">
        <v>1534</v>
      </c>
      <c r="J485" t="s">
        <v>1369</v>
      </c>
      <c r="K485">
        <v>13</v>
      </c>
      <c r="AI485" s="115" t="s">
        <v>1416</v>
      </c>
      <c r="AJ485" t="s">
        <v>2114</v>
      </c>
      <c r="AK485" s="115">
        <v>0</v>
      </c>
      <c r="AL485" s="115" t="s">
        <v>28</v>
      </c>
      <c r="AM485" s="115" t="s">
        <v>1843</v>
      </c>
      <c r="AN485" s="115" t="s">
        <v>1449</v>
      </c>
      <c r="AO485" s="115" t="s">
        <v>1647</v>
      </c>
      <c r="AT485" s="115" t="s">
        <v>1416</v>
      </c>
      <c r="AU485" s="115" t="s">
        <v>2114</v>
      </c>
      <c r="AV485" s="115">
        <v>0</v>
      </c>
      <c r="AW485" s="115" t="s">
        <v>1681</v>
      </c>
      <c r="AX485" s="115" t="s">
        <v>28</v>
      </c>
      <c r="AY485" s="115" t="s">
        <v>1850</v>
      </c>
      <c r="AZ485" s="115" t="s">
        <v>1852</v>
      </c>
      <c r="BA485" s="115">
        <v>47.529999999999994</v>
      </c>
      <c r="BB485" s="115"/>
      <c r="BC485" s="115"/>
      <c r="BD485" s="115"/>
      <c r="BE485" s="115"/>
      <c r="BF485" s="115"/>
      <c r="BG485" s="115"/>
      <c r="BH485" s="115">
        <v>35.599000000000011</v>
      </c>
      <c r="BI485" s="115">
        <v>146.08200000000002</v>
      </c>
      <c r="BJ485" s="115"/>
      <c r="BK485" s="115"/>
      <c r="BL485" s="115"/>
      <c r="BM485" s="115"/>
      <c r="BN485" s="115"/>
      <c r="BO485" s="115"/>
      <c r="BP485" s="115"/>
      <c r="DA485" s="115"/>
      <c r="DB485" s="115"/>
      <c r="DR485" s="214"/>
      <c r="DY485" s="115"/>
      <c r="DZ485" s="334"/>
      <c r="EA485" s="334"/>
      <c r="EB485" s="334"/>
      <c r="EC485" s="334"/>
      <c r="ED485" s="187"/>
      <c r="EE485" s="330"/>
      <c r="EH485" s="334"/>
      <c r="EI485" s="334"/>
      <c r="EM485"/>
      <c r="EO485" s="115"/>
      <c r="EP485" s="334"/>
      <c r="EQ485" s="334"/>
      <c r="ER485" s="334"/>
      <c r="ES485" s="334"/>
      <c r="ET485" s="334"/>
      <c r="EU485" s="334"/>
      <c r="EV485" s="334"/>
    </row>
    <row r="486" spans="9:152" ht="13">
      <c r="I486" t="s">
        <v>1534</v>
      </c>
      <c r="J486" t="s">
        <v>1355</v>
      </c>
      <c r="K486">
        <v>10</v>
      </c>
      <c r="AI486" s="115" t="s">
        <v>1416</v>
      </c>
      <c r="AJ486" t="s">
        <v>2114</v>
      </c>
      <c r="AK486" s="115">
        <v>0</v>
      </c>
      <c r="AL486" s="115" t="s">
        <v>28</v>
      </c>
      <c r="AM486" s="115" t="s">
        <v>1846</v>
      </c>
      <c r="AN486" s="115" t="s">
        <v>1449</v>
      </c>
      <c r="AO486" s="115" t="s">
        <v>1647</v>
      </c>
      <c r="AT486" s="115" t="s">
        <v>1415</v>
      </c>
      <c r="AU486" s="115" t="s">
        <v>2114</v>
      </c>
      <c r="AV486" s="115">
        <v>15</v>
      </c>
      <c r="AW486" s="115" t="s">
        <v>1681</v>
      </c>
      <c r="AX486" s="115" t="s">
        <v>1842</v>
      </c>
      <c r="AY486" s="115" t="s">
        <v>1850</v>
      </c>
      <c r="AZ486" s="115" t="s">
        <v>1852</v>
      </c>
      <c r="BA486" s="115">
        <v>384.11999999999995</v>
      </c>
      <c r="BB486" s="115"/>
      <c r="BC486" s="115"/>
      <c r="BD486" s="115"/>
      <c r="BE486" s="115">
        <v>843.9</v>
      </c>
      <c r="BF486" s="115"/>
      <c r="BG486" s="115">
        <v>1497.2640000000001</v>
      </c>
      <c r="BH486" s="115"/>
      <c r="BI486" s="115">
        <v>508.52250000000004</v>
      </c>
      <c r="BJ486" s="115"/>
      <c r="BK486" s="115"/>
      <c r="BL486" s="115"/>
      <c r="BM486" s="115"/>
      <c r="BN486" s="115"/>
      <c r="BO486" s="115"/>
      <c r="BP486" s="115"/>
      <c r="DA486" s="115"/>
      <c r="DB486" s="115"/>
      <c r="DR486" s="214"/>
      <c r="DY486" s="115"/>
      <c r="DZ486" s="334"/>
      <c r="EA486" s="334"/>
      <c r="EB486" s="334"/>
      <c r="EC486" s="334"/>
      <c r="ED486" s="187"/>
      <c r="EE486" s="330"/>
      <c r="EH486" s="334"/>
      <c r="EI486" s="334"/>
      <c r="EM486"/>
      <c r="EO486" s="115"/>
      <c r="EP486" s="334"/>
      <c r="EQ486" s="334"/>
      <c r="ER486" s="334"/>
      <c r="ES486" s="334"/>
      <c r="ET486" s="334"/>
      <c r="EU486" s="334"/>
      <c r="EV486" s="334"/>
    </row>
    <row r="487" spans="9:152" ht="13">
      <c r="I487" t="s">
        <v>1534</v>
      </c>
      <c r="J487" t="s">
        <v>1361</v>
      </c>
      <c r="K487">
        <v>69.23</v>
      </c>
      <c r="AI487" s="115" t="s">
        <v>1416</v>
      </c>
      <c r="AJ487" t="s">
        <v>2114</v>
      </c>
      <c r="AK487" s="115">
        <v>0</v>
      </c>
      <c r="AL487" s="115" t="s">
        <v>28</v>
      </c>
      <c r="AM487" s="115" t="s">
        <v>1843</v>
      </c>
      <c r="AN487" s="115" t="s">
        <v>1449</v>
      </c>
      <c r="AO487" s="115" t="s">
        <v>1639</v>
      </c>
      <c r="AT487" s="115" t="s">
        <v>1416</v>
      </c>
      <c r="AU487" s="115" t="s">
        <v>2114</v>
      </c>
      <c r="AV487" s="115">
        <v>0</v>
      </c>
      <c r="AW487" s="115" t="s">
        <v>1681</v>
      </c>
      <c r="AX487" s="115" t="s">
        <v>1842</v>
      </c>
      <c r="AY487" s="115" t="s">
        <v>1850</v>
      </c>
      <c r="AZ487" s="115" t="s">
        <v>1852</v>
      </c>
      <c r="BA487" s="115"/>
      <c r="BB487" s="115"/>
      <c r="BC487" s="115"/>
      <c r="BD487" s="115"/>
      <c r="BE487" s="115"/>
      <c r="BF487" s="115"/>
      <c r="BG487" s="115">
        <v>38.800000000000004</v>
      </c>
      <c r="BH487" s="115"/>
      <c r="BI487" s="115"/>
      <c r="BJ487" s="115"/>
      <c r="BK487" s="115"/>
      <c r="BL487" s="115"/>
      <c r="BM487" s="115"/>
      <c r="BN487" s="115"/>
      <c r="BO487" s="115"/>
      <c r="BP487" s="115"/>
      <c r="DB487" s="115"/>
      <c r="DR487" s="214"/>
      <c r="DY487" s="115"/>
      <c r="DZ487" s="334"/>
      <c r="EA487" s="334"/>
      <c r="EB487" s="334"/>
      <c r="EC487" s="334"/>
      <c r="ED487" s="187"/>
      <c r="EE487" s="330"/>
      <c r="EH487" s="334"/>
      <c r="EI487" s="334"/>
      <c r="EM487"/>
      <c r="EO487" s="115"/>
      <c r="EP487" s="334"/>
      <c r="EQ487" s="334"/>
      <c r="ER487" s="334"/>
      <c r="ES487" s="334"/>
      <c r="ET487" s="334"/>
      <c r="EU487" s="334"/>
      <c r="EV487" s="334"/>
    </row>
    <row r="488" spans="9:152" ht="13">
      <c r="I488" t="s">
        <v>1534</v>
      </c>
      <c r="J488" t="s">
        <v>1364</v>
      </c>
      <c r="K488">
        <v>300</v>
      </c>
      <c r="AI488" s="115" t="s">
        <v>1416</v>
      </c>
      <c r="AJ488" t="s">
        <v>2114</v>
      </c>
      <c r="AK488" s="115">
        <v>0</v>
      </c>
      <c r="AL488" s="115" t="s">
        <v>28</v>
      </c>
      <c r="AM488" s="115" t="s">
        <v>1846</v>
      </c>
      <c r="AN488" s="115" t="s">
        <v>1449</v>
      </c>
      <c r="AO488" s="115" t="s">
        <v>1639</v>
      </c>
      <c r="AT488" s="115" t="s">
        <v>1415</v>
      </c>
      <c r="AU488" s="115" t="s">
        <v>2114</v>
      </c>
      <c r="AV488" s="115">
        <v>15</v>
      </c>
      <c r="AW488" s="115" t="s">
        <v>1681</v>
      </c>
      <c r="AX488" s="115" t="s">
        <v>28</v>
      </c>
      <c r="AY488" s="115" t="s">
        <v>1850</v>
      </c>
      <c r="AZ488" s="115" t="s">
        <v>1852</v>
      </c>
      <c r="BA488" s="115">
        <v>681.08550000000002</v>
      </c>
      <c r="BB488" s="115"/>
      <c r="BC488" s="115"/>
      <c r="BD488" s="115"/>
      <c r="BE488" s="115">
        <v>1527.75</v>
      </c>
      <c r="BF488" s="115"/>
      <c r="BG488" s="115">
        <v>833.27406250000001</v>
      </c>
      <c r="BH488" s="115">
        <v>66.202500000000001</v>
      </c>
      <c r="BI488" s="115">
        <v>1144.4836</v>
      </c>
      <c r="BJ488" s="115">
        <v>205.3296</v>
      </c>
      <c r="BK488" s="115"/>
      <c r="BL488" s="115"/>
      <c r="BM488" s="115"/>
      <c r="BN488" s="115"/>
      <c r="BO488" s="115"/>
      <c r="BP488" s="115"/>
      <c r="DB488" s="115"/>
      <c r="DR488" s="214"/>
      <c r="DY488" s="115"/>
      <c r="DZ488" s="334"/>
      <c r="EA488" s="334"/>
      <c r="EB488" s="334"/>
      <c r="EC488" s="334"/>
      <c r="ED488" s="187"/>
      <c r="EE488" s="330"/>
      <c r="EH488" s="334"/>
      <c r="EI488" s="334"/>
      <c r="EM488"/>
      <c r="EO488" s="115"/>
      <c r="EP488" s="334"/>
      <c r="EQ488" s="334"/>
      <c r="ER488" s="334"/>
      <c r="ES488" s="334"/>
      <c r="ET488" s="334"/>
      <c r="EU488" s="334"/>
      <c r="EV488" s="334"/>
    </row>
    <row r="489" spans="9:152" ht="13">
      <c r="I489" t="s">
        <v>1534</v>
      </c>
      <c r="J489" t="s">
        <v>1367</v>
      </c>
      <c r="K489">
        <v>8</v>
      </c>
      <c r="AI489" s="115" t="s">
        <v>1416</v>
      </c>
      <c r="AJ489" t="s">
        <v>2114</v>
      </c>
      <c r="AK489" s="115">
        <v>0</v>
      </c>
      <c r="AL489" s="115" t="s">
        <v>28</v>
      </c>
      <c r="AM489" s="115" t="s">
        <v>1843</v>
      </c>
      <c r="AN489" s="115" t="s">
        <v>1449</v>
      </c>
      <c r="AO489" s="115" t="s">
        <v>373</v>
      </c>
      <c r="AT489" s="115" t="s">
        <v>1416</v>
      </c>
      <c r="AU489" s="115" t="s">
        <v>2114</v>
      </c>
      <c r="AV489" s="115">
        <v>0</v>
      </c>
      <c r="AW489" s="115" t="s">
        <v>1681</v>
      </c>
      <c r="AX489" s="115" t="s">
        <v>28</v>
      </c>
      <c r="AY489" s="115" t="s">
        <v>1832</v>
      </c>
      <c r="AZ489" s="115" t="s">
        <v>1852</v>
      </c>
      <c r="BA489" s="115">
        <v>48.999999999999993</v>
      </c>
      <c r="BB489" s="115"/>
      <c r="BC489" s="115"/>
      <c r="BD489" s="115"/>
      <c r="BE489" s="115"/>
      <c r="BF489" s="115"/>
      <c r="BG489" s="115"/>
      <c r="BH489" s="115">
        <v>367.00000000000006</v>
      </c>
      <c r="BI489" s="115">
        <v>376.50000000000006</v>
      </c>
      <c r="BJ489" s="115"/>
      <c r="BK489" s="115"/>
      <c r="BL489" s="115"/>
      <c r="BM489" s="115"/>
      <c r="BN489" s="115"/>
      <c r="BO489" s="115"/>
      <c r="BP489" s="115"/>
      <c r="DB489" s="115"/>
      <c r="DR489" s="214"/>
      <c r="DY489" s="115"/>
      <c r="DZ489" s="334"/>
      <c r="EA489" s="334"/>
      <c r="EB489" s="334"/>
      <c r="EC489" s="334"/>
      <c r="ED489" s="187"/>
      <c r="EE489" s="330"/>
      <c r="EH489" s="334"/>
      <c r="EI489" s="334"/>
      <c r="EM489"/>
      <c r="EO489" s="115"/>
      <c r="EP489" s="334"/>
      <c r="EQ489" s="334"/>
      <c r="ER489" s="334"/>
      <c r="ES489" s="334"/>
      <c r="ET489" s="334"/>
      <c r="EU489" s="334"/>
      <c r="EV489" s="334"/>
    </row>
    <row r="490" spans="9:152" ht="13">
      <c r="I490" t="s">
        <v>1534</v>
      </c>
      <c r="J490" t="s">
        <v>1362</v>
      </c>
      <c r="K490">
        <v>95</v>
      </c>
      <c r="AI490" s="115" t="s">
        <v>1416</v>
      </c>
      <c r="AJ490" t="s">
        <v>2114</v>
      </c>
      <c r="AK490" s="115">
        <v>0</v>
      </c>
      <c r="AL490" s="115" t="s">
        <v>28</v>
      </c>
      <c r="AM490" s="115" t="s">
        <v>1850</v>
      </c>
      <c r="AN490" s="115" t="s">
        <v>1449</v>
      </c>
      <c r="AO490" s="115" t="s">
        <v>373</v>
      </c>
      <c r="AT490" s="115" t="s">
        <v>1415</v>
      </c>
      <c r="AU490" s="115" t="s">
        <v>2114</v>
      </c>
      <c r="AV490" s="115">
        <v>15</v>
      </c>
      <c r="AW490" s="115" t="s">
        <v>1681</v>
      </c>
      <c r="AX490" s="115" t="s">
        <v>28</v>
      </c>
      <c r="AY490" s="115" t="s">
        <v>1832</v>
      </c>
      <c r="AZ490" s="115" t="s">
        <v>1852</v>
      </c>
      <c r="BA490" s="115">
        <v>702.15000000000009</v>
      </c>
      <c r="BB490" s="115"/>
      <c r="BC490" s="115"/>
      <c r="BD490" s="115"/>
      <c r="BE490" s="115">
        <v>3150</v>
      </c>
      <c r="BF490" s="115"/>
      <c r="BG490" s="115">
        <v>3436.1817010309278</v>
      </c>
      <c r="BH490" s="115">
        <v>682.5</v>
      </c>
      <c r="BI490" s="115">
        <v>2949.7</v>
      </c>
      <c r="BJ490" s="115">
        <v>235.20000000000002</v>
      </c>
      <c r="BK490" s="115"/>
      <c r="BL490" s="115"/>
      <c r="BM490" s="115"/>
      <c r="BN490" s="115"/>
      <c r="BO490" s="115"/>
      <c r="BP490" s="115"/>
      <c r="DB490" s="115"/>
      <c r="DR490" s="214"/>
      <c r="DY490" s="115"/>
      <c r="DZ490" s="334"/>
      <c r="EA490" s="334"/>
      <c r="EB490" s="334"/>
      <c r="EC490" s="334"/>
      <c r="ED490" s="187"/>
      <c r="EE490" s="330"/>
      <c r="EH490" s="334"/>
      <c r="EI490" s="334"/>
      <c r="EM490"/>
      <c r="EO490" s="115"/>
      <c r="EP490" s="334"/>
      <c r="EQ490" s="334"/>
      <c r="ER490" s="334"/>
      <c r="ES490" s="334"/>
      <c r="ET490" s="334"/>
      <c r="EU490" s="334"/>
      <c r="EV490" s="334"/>
    </row>
    <row r="491" spans="9:152" ht="13">
      <c r="I491" t="s">
        <v>1534</v>
      </c>
      <c r="J491" t="s">
        <v>1368</v>
      </c>
      <c r="K491">
        <v>11.5</v>
      </c>
      <c r="AI491" s="115" t="s">
        <v>1416</v>
      </c>
      <c r="AJ491" t="s">
        <v>2114</v>
      </c>
      <c r="AK491" s="115">
        <v>0</v>
      </c>
      <c r="AL491" s="115" t="s">
        <v>28</v>
      </c>
      <c r="AM491" s="115" t="s">
        <v>1849</v>
      </c>
      <c r="AN491" s="115" t="s">
        <v>1449</v>
      </c>
      <c r="AO491" s="115" t="s">
        <v>373</v>
      </c>
      <c r="AT491" s="115" t="s">
        <v>1415</v>
      </c>
      <c r="AU491" s="115" t="s">
        <v>2114</v>
      </c>
      <c r="AV491" s="115">
        <v>15</v>
      </c>
      <c r="AW491" s="115" t="s">
        <v>1681</v>
      </c>
      <c r="AX491" s="115" t="s">
        <v>1842</v>
      </c>
      <c r="AY491" s="115" t="s">
        <v>1832</v>
      </c>
      <c r="AZ491" s="115" t="s">
        <v>1852</v>
      </c>
      <c r="BA491" s="115">
        <v>395.99999999999994</v>
      </c>
      <c r="BB491" s="115"/>
      <c r="BC491" s="115"/>
      <c r="BD491" s="115"/>
      <c r="BE491" s="115">
        <v>1740</v>
      </c>
      <c r="BF491" s="115"/>
      <c r="BG491" s="115">
        <v>3858.9278350515465</v>
      </c>
      <c r="BH491" s="115"/>
      <c r="BI491" s="115">
        <v>2097</v>
      </c>
      <c r="BJ491" s="115"/>
      <c r="BK491" s="115"/>
      <c r="BL491" s="115"/>
      <c r="BM491" s="115"/>
      <c r="BN491" s="115"/>
      <c r="BO491" s="115"/>
      <c r="BP491" s="115"/>
      <c r="DB491" s="115"/>
      <c r="DR491" s="214"/>
      <c r="DY491" s="115"/>
      <c r="DZ491" s="334"/>
      <c r="EA491" s="334"/>
      <c r="EB491" s="334"/>
      <c r="EC491" s="334"/>
      <c r="ED491" s="187"/>
      <c r="EE491" s="330"/>
      <c r="EH491" s="334"/>
      <c r="EI491" s="334"/>
      <c r="EM491"/>
      <c r="EO491" s="115"/>
      <c r="EP491" s="334"/>
      <c r="EQ491" s="334"/>
      <c r="ER491" s="334"/>
      <c r="ES491" s="334"/>
      <c r="ET491" s="334"/>
      <c r="EU491" s="334"/>
      <c r="EV491" s="334"/>
    </row>
    <row r="492" spans="9:152" ht="13">
      <c r="I492" t="s">
        <v>1534</v>
      </c>
      <c r="J492" t="s">
        <v>1360</v>
      </c>
      <c r="K492">
        <v>0.36499999999999999</v>
      </c>
      <c r="AI492" s="115" t="s">
        <v>1416</v>
      </c>
      <c r="AJ492" t="s">
        <v>2114</v>
      </c>
      <c r="AK492" s="115">
        <v>0</v>
      </c>
      <c r="AL492" s="115" t="s">
        <v>28</v>
      </c>
      <c r="AM492" s="115" t="s">
        <v>1846</v>
      </c>
      <c r="AN492" s="115" t="s">
        <v>1449</v>
      </c>
      <c r="AO492" s="115" t="s">
        <v>373</v>
      </c>
      <c r="AT492" s="115" t="s">
        <v>1416</v>
      </c>
      <c r="AU492" s="115" t="s">
        <v>2114</v>
      </c>
      <c r="AV492" s="115">
        <v>0</v>
      </c>
      <c r="AW492" s="115" t="s">
        <v>1681</v>
      </c>
      <c r="AX492" s="115" t="s">
        <v>1842</v>
      </c>
      <c r="AY492" s="115" t="s">
        <v>1832</v>
      </c>
      <c r="AZ492" s="115" t="s">
        <v>1852</v>
      </c>
      <c r="BA492" s="115"/>
      <c r="BB492" s="115"/>
      <c r="BC492" s="115"/>
      <c r="BD492" s="115"/>
      <c r="BE492" s="115"/>
      <c r="BF492" s="115"/>
      <c r="BG492" s="115">
        <v>100</v>
      </c>
      <c r="BH492" s="115"/>
      <c r="BI492" s="115"/>
      <c r="BJ492" s="115"/>
      <c r="BK492" s="115"/>
      <c r="BL492" s="115"/>
      <c r="BM492" s="115"/>
      <c r="BN492" s="115"/>
      <c r="BO492" s="115"/>
      <c r="BP492" s="115"/>
      <c r="DB492" s="115"/>
      <c r="DR492" s="214"/>
      <c r="DY492" s="115"/>
      <c r="DZ492" s="334"/>
      <c r="EA492" s="334"/>
      <c r="EB492" s="334"/>
      <c r="EC492" s="334"/>
      <c r="ED492" s="187"/>
      <c r="EE492" s="330"/>
      <c r="EH492" s="334"/>
      <c r="EI492" s="334"/>
      <c r="EM492"/>
      <c r="EO492" s="115"/>
      <c r="EP492" s="334"/>
      <c r="EQ492" s="334"/>
      <c r="ER492" s="334"/>
      <c r="ES492" s="334"/>
      <c r="ET492" s="334"/>
      <c r="EU492" s="334"/>
      <c r="EV492" s="334"/>
    </row>
    <row r="493" spans="9:152" ht="13">
      <c r="I493" t="s">
        <v>1534</v>
      </c>
      <c r="J493" t="s">
        <v>1358</v>
      </c>
      <c r="K493" t="s">
        <v>375</v>
      </c>
      <c r="AI493" s="115" t="s">
        <v>1416</v>
      </c>
      <c r="AJ493" t="s">
        <v>2114</v>
      </c>
      <c r="AK493" s="115">
        <v>0</v>
      </c>
      <c r="AL493" s="115" t="s">
        <v>28</v>
      </c>
      <c r="AM493" s="115" t="s">
        <v>1848</v>
      </c>
      <c r="AN493" s="115" t="s">
        <v>1449</v>
      </c>
      <c r="AO493" s="115" t="s">
        <v>373</v>
      </c>
      <c r="AT493" s="115" t="s">
        <v>1415</v>
      </c>
      <c r="AU493" s="115" t="s">
        <v>2114</v>
      </c>
      <c r="AV493" s="115">
        <v>15</v>
      </c>
      <c r="AW493" s="115" t="s">
        <v>1682</v>
      </c>
      <c r="AX493" s="115" t="s">
        <v>28</v>
      </c>
      <c r="AY493" s="115" t="s">
        <v>1846</v>
      </c>
      <c r="AZ493" s="115" t="s">
        <v>1853</v>
      </c>
      <c r="BA493" s="115"/>
      <c r="BB493" s="115"/>
      <c r="BC493" s="115"/>
      <c r="BD493" s="115">
        <v>49831.396140285004</v>
      </c>
      <c r="BE493" s="115">
        <v>50271.878229389993</v>
      </c>
      <c r="BF493" s="115"/>
      <c r="BG493" s="115">
        <v>30166.079780399999</v>
      </c>
      <c r="BH493" s="115"/>
      <c r="BI493" s="115"/>
      <c r="BJ493" s="115"/>
      <c r="BK493" s="115"/>
      <c r="BL493" s="115"/>
      <c r="BM493" s="115"/>
      <c r="BN493" s="115"/>
      <c r="BO493" s="115"/>
      <c r="BP493" s="115"/>
      <c r="DB493" s="115"/>
      <c r="DR493" s="214"/>
      <c r="DY493" s="115"/>
      <c r="DZ493" s="334"/>
      <c r="EA493" s="334"/>
      <c r="EB493" s="334"/>
      <c r="EC493" s="334"/>
      <c r="ED493" s="187"/>
      <c r="EE493" s="330"/>
      <c r="EH493" s="334"/>
      <c r="EI493" s="334"/>
      <c r="EM493"/>
      <c r="EO493" s="115"/>
      <c r="EP493" s="334"/>
      <c r="EQ493" s="334"/>
      <c r="ER493" s="334"/>
      <c r="ES493" s="334"/>
      <c r="ET493" s="334"/>
      <c r="EU493" s="334"/>
      <c r="EV493" s="334"/>
    </row>
    <row r="494" spans="9:152" ht="13">
      <c r="I494" t="s">
        <v>1534</v>
      </c>
      <c r="J494" t="s">
        <v>1354</v>
      </c>
      <c r="K494">
        <v>45141</v>
      </c>
      <c r="AI494" s="115" t="s">
        <v>1416</v>
      </c>
      <c r="AJ494" t="s">
        <v>2114</v>
      </c>
      <c r="AK494" s="115">
        <v>0</v>
      </c>
      <c r="AL494" s="115" t="s">
        <v>28</v>
      </c>
      <c r="AM494" s="115" t="s">
        <v>1832</v>
      </c>
      <c r="AN494" s="115" t="s">
        <v>1449</v>
      </c>
      <c r="AO494" s="115" t="s">
        <v>373</v>
      </c>
      <c r="AT494" s="115" t="s">
        <v>1416</v>
      </c>
      <c r="AU494" s="115" t="s">
        <v>2114</v>
      </c>
      <c r="AV494" s="115">
        <v>0</v>
      </c>
      <c r="AW494" s="115" t="s">
        <v>1682</v>
      </c>
      <c r="AX494" s="115" t="s">
        <v>28</v>
      </c>
      <c r="AY494" s="115" t="s">
        <v>1846</v>
      </c>
      <c r="AZ494" s="115" t="s">
        <v>1853</v>
      </c>
      <c r="BA494" s="115"/>
      <c r="BB494" s="115"/>
      <c r="BC494" s="115"/>
      <c r="BD494" s="115">
        <v>18801.973174999999</v>
      </c>
      <c r="BE494" s="115">
        <v>4053.9113000000002</v>
      </c>
      <c r="BF494" s="115"/>
      <c r="BG494" s="115">
        <v>17540.766080000001</v>
      </c>
      <c r="BH494" s="115"/>
      <c r="BI494" s="115"/>
      <c r="BJ494" s="115"/>
      <c r="BK494" s="115"/>
      <c r="BL494" s="115"/>
      <c r="BM494" s="115"/>
      <c r="BN494" s="115"/>
      <c r="BO494" s="115"/>
      <c r="BP494" s="115"/>
      <c r="DB494" s="115"/>
      <c r="DR494" s="214"/>
      <c r="DY494" s="115"/>
      <c r="DZ494" s="334"/>
      <c r="EA494" s="334"/>
      <c r="EB494" s="334"/>
      <c r="EC494" s="334"/>
      <c r="ED494" s="187"/>
      <c r="EE494" s="330"/>
      <c r="EH494" s="334"/>
      <c r="EI494" s="334"/>
      <c r="EM494"/>
      <c r="EO494" s="115"/>
      <c r="EP494" s="334"/>
      <c r="EQ494" s="334"/>
      <c r="ER494" s="334"/>
      <c r="ES494" s="334"/>
      <c r="ET494" s="334"/>
      <c r="EU494" s="334"/>
      <c r="EV494" s="334"/>
    </row>
    <row r="495" spans="9:152" ht="13">
      <c r="I495" t="s">
        <v>1534</v>
      </c>
      <c r="J495" t="s">
        <v>1365</v>
      </c>
      <c r="K495">
        <v>15</v>
      </c>
      <c r="AI495" s="115" t="s">
        <v>1416</v>
      </c>
      <c r="AJ495" t="s">
        <v>2114</v>
      </c>
      <c r="AK495" s="115">
        <v>0</v>
      </c>
      <c r="AL495" s="115" t="s">
        <v>28</v>
      </c>
      <c r="AM495" s="115" t="s">
        <v>1850</v>
      </c>
      <c r="AN495" s="115" t="s">
        <v>1449</v>
      </c>
      <c r="AO495" s="115" t="s">
        <v>380</v>
      </c>
      <c r="AT495" s="115" t="s">
        <v>1415</v>
      </c>
      <c r="AU495" s="115" t="s">
        <v>2114</v>
      </c>
      <c r="AV495" s="115">
        <v>15</v>
      </c>
      <c r="AW495" s="115" t="s">
        <v>1682</v>
      </c>
      <c r="AX495" s="115" t="s">
        <v>28</v>
      </c>
      <c r="AY495" s="115" t="s">
        <v>1848</v>
      </c>
      <c r="AZ495" s="115" t="s">
        <v>1853</v>
      </c>
      <c r="BA495" s="115"/>
      <c r="BB495" s="115"/>
      <c r="BC495" s="115"/>
      <c r="BD495" s="115">
        <v>46074.681981135</v>
      </c>
      <c r="BE495" s="115">
        <v>46094.282341909988</v>
      </c>
      <c r="BF495" s="115"/>
      <c r="BG495" s="115">
        <v>6451.1294135999997</v>
      </c>
      <c r="BH495" s="115"/>
      <c r="BI495" s="115"/>
      <c r="BJ495" s="115"/>
      <c r="BK495" s="115"/>
      <c r="BL495" s="115"/>
      <c r="BM495" s="115"/>
      <c r="BN495" s="115"/>
      <c r="BO495" s="115"/>
      <c r="BP495" s="115"/>
      <c r="DB495" s="115"/>
      <c r="DR495" s="214"/>
      <c r="DY495" s="115"/>
      <c r="DZ495" s="334"/>
      <c r="EA495" s="334"/>
      <c r="EB495" s="334"/>
      <c r="EC495" s="334"/>
      <c r="ED495" s="187"/>
      <c r="EE495" s="330"/>
      <c r="EH495" s="334"/>
      <c r="EI495" s="334"/>
      <c r="EM495"/>
      <c r="EO495" s="115"/>
      <c r="EP495" s="334"/>
      <c r="EQ495" s="334"/>
      <c r="ER495" s="334"/>
      <c r="ES495" s="334"/>
      <c r="ET495" s="334"/>
      <c r="EU495" s="334"/>
      <c r="EV495" s="334"/>
    </row>
    <row r="496" spans="9:152" ht="13">
      <c r="I496" t="s">
        <v>1534</v>
      </c>
      <c r="J496" t="s">
        <v>1356</v>
      </c>
      <c r="K496" t="s">
        <v>1359</v>
      </c>
      <c r="AI496" s="115" t="s">
        <v>1416</v>
      </c>
      <c r="AJ496" t="s">
        <v>2114</v>
      </c>
      <c r="AK496" s="115">
        <v>0</v>
      </c>
      <c r="AL496" s="115" t="s">
        <v>28</v>
      </c>
      <c r="AM496" s="115" t="s">
        <v>1849</v>
      </c>
      <c r="AN496" s="115" t="s">
        <v>1449</v>
      </c>
      <c r="AO496" s="115" t="s">
        <v>380</v>
      </c>
      <c r="AT496" s="115" t="s">
        <v>1416</v>
      </c>
      <c r="AU496" s="115" t="s">
        <v>2114</v>
      </c>
      <c r="AV496" s="115">
        <v>0</v>
      </c>
      <c r="AW496" s="115" t="s">
        <v>1682</v>
      </c>
      <c r="AX496" s="115" t="s">
        <v>28</v>
      </c>
      <c r="AY496" s="115" t="s">
        <v>1848</v>
      </c>
      <c r="AZ496" s="115" t="s">
        <v>1853</v>
      </c>
      <c r="BA496" s="115"/>
      <c r="BB496" s="115"/>
      <c r="BC496" s="115"/>
      <c r="BD496" s="115">
        <v>17679.115725</v>
      </c>
      <c r="BE496" s="115">
        <v>3780.0221000000006</v>
      </c>
      <c r="BF496" s="115"/>
      <c r="BG496" s="115">
        <v>3814.7228799999998</v>
      </c>
      <c r="BH496" s="115"/>
      <c r="BI496" s="115"/>
      <c r="BJ496" s="115"/>
      <c r="BK496" s="115"/>
      <c r="BL496" s="115"/>
      <c r="BM496" s="115"/>
      <c r="BN496" s="115"/>
      <c r="BO496" s="115"/>
      <c r="BP496" s="115"/>
      <c r="DB496" s="115"/>
      <c r="DR496" s="214"/>
      <c r="DY496" s="115"/>
      <c r="DZ496" s="334"/>
      <c r="EA496" s="334"/>
      <c r="EB496" s="334"/>
      <c r="EC496" s="334"/>
      <c r="ED496" s="187"/>
      <c r="EE496" s="330"/>
      <c r="EH496" s="334"/>
      <c r="EI496" s="334"/>
      <c r="EM496"/>
      <c r="EO496" s="115"/>
      <c r="EP496" s="334"/>
      <c r="EQ496" s="334"/>
      <c r="ER496" s="334"/>
      <c r="ES496" s="334"/>
      <c r="ET496" s="334"/>
      <c r="EU496" s="334"/>
      <c r="EV496" s="334"/>
    </row>
    <row r="497" spans="9:152" ht="13">
      <c r="I497" t="s">
        <v>1534</v>
      </c>
      <c r="J497" t="s">
        <v>1366</v>
      </c>
      <c r="K497">
        <v>3</v>
      </c>
      <c r="AI497" s="115" t="s">
        <v>1416</v>
      </c>
      <c r="AJ497" t="s">
        <v>2114</v>
      </c>
      <c r="AK497" s="115">
        <v>0</v>
      </c>
      <c r="AL497" s="115" t="s">
        <v>28</v>
      </c>
      <c r="AM497" s="115" t="s">
        <v>1846</v>
      </c>
      <c r="AN497" s="115" t="s">
        <v>1449</v>
      </c>
      <c r="AO497" s="115" t="s">
        <v>380</v>
      </c>
      <c r="AT497" s="115" t="s">
        <v>1415</v>
      </c>
      <c r="AU497" s="115" t="s">
        <v>2114</v>
      </c>
      <c r="AV497" s="115">
        <v>15</v>
      </c>
      <c r="AW497" s="115" t="s">
        <v>1682</v>
      </c>
      <c r="AX497" s="115" t="s">
        <v>28</v>
      </c>
      <c r="AY497" s="115" t="s">
        <v>1843</v>
      </c>
      <c r="AZ497" s="115" t="s">
        <v>1853</v>
      </c>
      <c r="BA497" s="115"/>
      <c r="BB497" s="115"/>
      <c r="BC497" s="115"/>
      <c r="BD497" s="115">
        <v>94753.2475257732</v>
      </c>
      <c r="BE497" s="115">
        <v>95206.113608247426</v>
      </c>
      <c r="BF497" s="115"/>
      <c r="BG497" s="115">
        <v>35159.003298969074</v>
      </c>
      <c r="BH497" s="115"/>
      <c r="BI497" s="115"/>
      <c r="BJ497" s="115"/>
      <c r="BK497" s="115"/>
      <c r="BL497" s="115"/>
      <c r="BM497" s="115"/>
      <c r="BN497" s="115"/>
      <c r="BO497" s="115"/>
      <c r="BP497" s="115"/>
      <c r="DB497" s="115"/>
      <c r="DR497" s="214"/>
      <c r="DY497" s="115"/>
      <c r="DZ497" s="334"/>
      <c r="EA497" s="334"/>
      <c r="EB497" s="334"/>
      <c r="EC497" s="334"/>
      <c r="ED497" s="187"/>
      <c r="EE497" s="330"/>
      <c r="EH497" s="334"/>
      <c r="EI497" s="334"/>
      <c r="EM497"/>
      <c r="EO497" s="115"/>
      <c r="EP497" s="334"/>
      <c r="EQ497" s="334"/>
      <c r="ER497" s="334"/>
      <c r="ES497" s="334"/>
      <c r="ET497" s="334"/>
      <c r="EU497" s="334"/>
      <c r="EV497" s="334"/>
    </row>
    <row r="498" spans="9:152" ht="13">
      <c r="I498" t="s">
        <v>1534</v>
      </c>
      <c r="J498" t="s">
        <v>1357</v>
      </c>
      <c r="K498">
        <v>2275.2254608076328</v>
      </c>
      <c r="AI498" s="115" t="s">
        <v>1416</v>
      </c>
      <c r="AJ498" t="s">
        <v>2114</v>
      </c>
      <c r="AK498" s="115">
        <v>0</v>
      </c>
      <c r="AL498" s="115" t="s">
        <v>28</v>
      </c>
      <c r="AM498" s="115" t="s">
        <v>1843</v>
      </c>
      <c r="AN498" s="115" t="s">
        <v>1449</v>
      </c>
      <c r="AO498" s="115" t="s">
        <v>380</v>
      </c>
      <c r="AT498" s="115" t="s">
        <v>1416</v>
      </c>
      <c r="AU498" s="115" t="s">
        <v>2114</v>
      </c>
      <c r="AV498" s="115">
        <v>0</v>
      </c>
      <c r="AW498" s="115" t="s">
        <v>1682</v>
      </c>
      <c r="AX498" s="115" t="s">
        <v>28</v>
      </c>
      <c r="AY498" s="115" t="s">
        <v>1843</v>
      </c>
      <c r="AZ498" s="115" t="s">
        <v>1853</v>
      </c>
      <c r="BA498" s="115"/>
      <c r="BB498" s="115"/>
      <c r="BC498" s="115"/>
      <c r="BD498" s="115">
        <v>37609.370000000003</v>
      </c>
      <c r="BE498" s="115">
        <v>8076.22</v>
      </c>
      <c r="BF498" s="115"/>
      <c r="BG498" s="115">
        <v>21913.151237113405</v>
      </c>
      <c r="BH498" s="115"/>
      <c r="BI498" s="115"/>
      <c r="BJ498" s="115"/>
      <c r="BK498" s="115"/>
      <c r="BL498" s="115"/>
      <c r="BM498" s="115"/>
      <c r="BN498" s="115"/>
      <c r="BO498" s="115"/>
      <c r="BP498" s="115"/>
      <c r="DB498" s="115"/>
      <c r="DR498" s="214"/>
      <c r="DY498" s="115"/>
      <c r="DZ498" s="334"/>
      <c r="EA498" s="334"/>
      <c r="EB498" s="334"/>
      <c r="EC498" s="334"/>
      <c r="ED498" s="187"/>
      <c r="EE498" s="330"/>
      <c r="EH498" s="334"/>
      <c r="EI498" s="334"/>
      <c r="EM498"/>
      <c r="EO498" s="115"/>
      <c r="EP498" s="334"/>
      <c r="EQ498" s="334"/>
      <c r="ER498" s="334"/>
      <c r="ES498" s="334"/>
      <c r="ET498" s="334"/>
      <c r="EU498" s="334"/>
      <c r="EV498" s="334"/>
    </row>
    <row r="499" spans="9:152" ht="13">
      <c r="I499" t="s">
        <v>1535</v>
      </c>
      <c r="J499" t="s">
        <v>1363</v>
      </c>
      <c r="K499">
        <v>125</v>
      </c>
      <c r="AI499" s="115" t="s">
        <v>1416</v>
      </c>
      <c r="AJ499" t="s">
        <v>2114</v>
      </c>
      <c r="AK499" s="115">
        <v>0</v>
      </c>
      <c r="AL499" s="115" t="s">
        <v>28</v>
      </c>
      <c r="AM499" s="115" t="s">
        <v>1832</v>
      </c>
      <c r="AN499" s="115" t="s">
        <v>1449</v>
      </c>
      <c r="AO499" s="115" t="s">
        <v>380</v>
      </c>
      <c r="AT499" s="115" t="s">
        <v>1415</v>
      </c>
      <c r="AU499" s="115" t="s">
        <v>2114</v>
      </c>
      <c r="AV499" s="115">
        <v>15</v>
      </c>
      <c r="AW499" s="115" t="s">
        <v>1682</v>
      </c>
      <c r="AX499" s="115" t="s">
        <v>28</v>
      </c>
      <c r="AY499" s="115" t="s">
        <v>1849</v>
      </c>
      <c r="AZ499" s="115" t="s">
        <v>1853</v>
      </c>
      <c r="BA499" s="115"/>
      <c r="BB499" s="115"/>
      <c r="BC499" s="115"/>
      <c r="BD499" s="115">
        <v>947.94704999999999</v>
      </c>
      <c r="BE499" s="115">
        <v>991.7376999999999</v>
      </c>
      <c r="BF499" s="115"/>
      <c r="BG499" s="115">
        <v>573.85199999999998</v>
      </c>
      <c r="BH499" s="115"/>
      <c r="BI499" s="115"/>
      <c r="BJ499" s="115"/>
      <c r="BK499" s="115"/>
      <c r="BL499" s="115"/>
      <c r="BM499" s="115"/>
      <c r="BN499" s="115"/>
      <c r="BO499" s="115"/>
      <c r="BP499" s="115"/>
      <c r="DB499" s="115"/>
      <c r="DR499" s="214"/>
      <c r="DY499" s="115"/>
      <c r="DZ499" s="334"/>
      <c r="EA499" s="334"/>
      <c r="EB499" s="334"/>
      <c r="EC499" s="334"/>
      <c r="ED499" s="187"/>
      <c r="EE499" s="330"/>
      <c r="EH499" s="334"/>
      <c r="EI499" s="334"/>
      <c r="EM499"/>
      <c r="EO499" s="115"/>
      <c r="EP499" s="334"/>
      <c r="EQ499" s="334"/>
      <c r="ER499" s="334"/>
      <c r="ES499" s="334"/>
      <c r="ET499" s="334"/>
      <c r="EU499" s="334"/>
      <c r="EV499" s="334"/>
    </row>
    <row r="500" spans="9:152" ht="13">
      <c r="I500" t="s">
        <v>1535</v>
      </c>
      <c r="J500" t="s">
        <v>1353</v>
      </c>
      <c r="K500" t="s">
        <v>1576</v>
      </c>
      <c r="AI500" s="115" t="s">
        <v>1416</v>
      </c>
      <c r="AJ500" t="s">
        <v>2114</v>
      </c>
      <c r="AK500" s="115">
        <v>0</v>
      </c>
      <c r="AL500" s="115" t="s">
        <v>28</v>
      </c>
      <c r="AM500" s="115" t="s">
        <v>1848</v>
      </c>
      <c r="AN500" s="115" t="s">
        <v>1449</v>
      </c>
      <c r="AO500" s="115" t="s">
        <v>380</v>
      </c>
      <c r="AT500" s="115" t="s">
        <v>1416</v>
      </c>
      <c r="AU500" s="115" t="s">
        <v>2114</v>
      </c>
      <c r="AV500" s="115">
        <v>0</v>
      </c>
      <c r="AW500" s="115" t="s">
        <v>1682</v>
      </c>
      <c r="AX500" s="115" t="s">
        <v>28</v>
      </c>
      <c r="AY500" s="115" t="s">
        <v>1849</v>
      </c>
      <c r="AZ500" s="115" t="s">
        <v>1853</v>
      </c>
      <c r="BA500" s="115"/>
      <c r="BB500" s="115"/>
      <c r="BC500" s="115"/>
      <c r="BD500" s="115">
        <v>392.60750000000002</v>
      </c>
      <c r="BE500" s="115">
        <v>87.784999999999997</v>
      </c>
      <c r="BF500" s="115"/>
      <c r="BG500" s="115">
        <v>366.27199999999999</v>
      </c>
      <c r="BH500" s="115"/>
      <c r="BI500" s="115"/>
      <c r="BJ500" s="115"/>
      <c r="BK500" s="115"/>
      <c r="BL500" s="115"/>
      <c r="BM500" s="115"/>
      <c r="BN500" s="115"/>
      <c r="BO500" s="115"/>
      <c r="BP500" s="115"/>
      <c r="DB500" s="115"/>
      <c r="DR500" s="214"/>
      <c r="DY500" s="115"/>
      <c r="DZ500" s="334"/>
      <c r="EA500" s="334"/>
      <c r="EB500" s="334"/>
      <c r="EC500" s="334"/>
      <c r="ED500" s="187"/>
      <c r="EE500" s="330"/>
      <c r="EH500" s="334"/>
      <c r="EI500" s="334"/>
      <c r="EM500"/>
      <c r="EO500" s="115"/>
      <c r="EP500" s="334"/>
      <c r="EQ500" s="334"/>
      <c r="ER500" s="334"/>
      <c r="ES500" s="334"/>
      <c r="ET500" s="334"/>
      <c r="EU500" s="334"/>
      <c r="EV500" s="334"/>
    </row>
    <row r="501" spans="9:152" ht="13">
      <c r="I501" t="s">
        <v>1535</v>
      </c>
      <c r="J501" t="s">
        <v>1369</v>
      </c>
      <c r="K501">
        <v>13</v>
      </c>
      <c r="AI501" s="115" t="s">
        <v>1416</v>
      </c>
      <c r="AJ501" t="s">
        <v>2114</v>
      </c>
      <c r="AK501" s="115">
        <v>0</v>
      </c>
      <c r="AL501" s="115" t="s">
        <v>28</v>
      </c>
      <c r="AM501" s="115" t="s">
        <v>1843</v>
      </c>
      <c r="AN501" s="115" t="s">
        <v>1450</v>
      </c>
      <c r="AO501" s="115" t="s">
        <v>1644</v>
      </c>
      <c r="AT501" s="115" t="s">
        <v>1415</v>
      </c>
      <c r="AU501" s="115" t="s">
        <v>2114</v>
      </c>
      <c r="AV501" s="115">
        <v>15</v>
      </c>
      <c r="AW501" s="115" t="s">
        <v>1682</v>
      </c>
      <c r="AX501" s="115" t="s">
        <v>28</v>
      </c>
      <c r="AY501" s="115" t="s">
        <v>1850</v>
      </c>
      <c r="AZ501" s="115" t="s">
        <v>1853</v>
      </c>
      <c r="BA501" s="115"/>
      <c r="BB501" s="115"/>
      <c r="BC501" s="115"/>
      <c r="BD501" s="115">
        <v>947.94704999999999</v>
      </c>
      <c r="BE501" s="115">
        <v>991.7376999999999</v>
      </c>
      <c r="BF501" s="115"/>
      <c r="BG501" s="115">
        <v>143.46299999999999</v>
      </c>
      <c r="BH501" s="115"/>
      <c r="BI501" s="115"/>
      <c r="BJ501" s="115"/>
      <c r="BK501" s="115"/>
      <c r="BL501" s="115"/>
      <c r="BM501" s="115"/>
      <c r="BN501" s="115"/>
      <c r="BO501" s="115"/>
      <c r="BP501" s="115"/>
      <c r="DB501" s="115"/>
      <c r="DR501" s="214"/>
      <c r="DY501" s="115"/>
      <c r="DZ501" s="334"/>
      <c r="EA501" s="334"/>
      <c r="EB501" s="334"/>
      <c r="EC501" s="334"/>
      <c r="ED501" s="187"/>
      <c r="EE501" s="330"/>
      <c r="EH501" s="334"/>
      <c r="EI501" s="334"/>
      <c r="EM501"/>
      <c r="EO501" s="115"/>
      <c r="EP501" s="334"/>
      <c r="EQ501" s="334"/>
      <c r="ER501" s="334"/>
      <c r="ES501" s="334"/>
      <c r="ET501" s="334"/>
      <c r="EU501" s="334"/>
      <c r="EV501" s="334"/>
    </row>
    <row r="502" spans="9:152" ht="13">
      <c r="I502" t="s">
        <v>1535</v>
      </c>
      <c r="J502" t="s">
        <v>1355</v>
      </c>
      <c r="K502">
        <v>6</v>
      </c>
      <c r="AI502" s="115" t="s">
        <v>1416</v>
      </c>
      <c r="AJ502" t="s">
        <v>2114</v>
      </c>
      <c r="AK502" s="115">
        <v>0</v>
      </c>
      <c r="AL502" s="115" t="s">
        <v>28</v>
      </c>
      <c r="AM502" s="115" t="s">
        <v>1832</v>
      </c>
      <c r="AN502" s="115" t="s">
        <v>1450</v>
      </c>
      <c r="AO502" s="115" t="s">
        <v>1644</v>
      </c>
      <c r="AT502" s="115" t="s">
        <v>1416</v>
      </c>
      <c r="AU502" s="115" t="s">
        <v>2114</v>
      </c>
      <c r="AV502" s="115">
        <v>0</v>
      </c>
      <c r="AW502" s="115" t="s">
        <v>1682</v>
      </c>
      <c r="AX502" s="115" t="s">
        <v>28</v>
      </c>
      <c r="AY502" s="115" t="s">
        <v>1850</v>
      </c>
      <c r="AZ502" s="115" t="s">
        <v>1853</v>
      </c>
      <c r="BA502" s="115"/>
      <c r="BB502" s="115"/>
      <c r="BC502" s="115"/>
      <c r="BD502" s="115">
        <v>392.60750000000002</v>
      </c>
      <c r="BE502" s="115">
        <v>87.784999999999997</v>
      </c>
      <c r="BF502" s="115"/>
      <c r="BG502" s="115">
        <v>91.567999999999998</v>
      </c>
      <c r="BH502" s="115"/>
      <c r="BI502" s="115"/>
      <c r="BJ502" s="115"/>
      <c r="BK502" s="115"/>
      <c r="BL502" s="115"/>
      <c r="BM502" s="115"/>
      <c r="BN502" s="115"/>
      <c r="BO502" s="115"/>
      <c r="BP502" s="115"/>
      <c r="DB502" s="115"/>
      <c r="DR502" s="214"/>
      <c r="DY502" s="115"/>
      <c r="DZ502" s="334"/>
      <c r="EA502" s="334"/>
      <c r="EB502" s="334"/>
      <c r="EC502" s="334"/>
      <c r="ED502" s="187"/>
      <c r="EE502" s="330"/>
      <c r="EH502" s="334"/>
      <c r="EI502" s="334"/>
      <c r="EM502"/>
      <c r="EO502" s="115"/>
      <c r="EP502" s="334"/>
      <c r="EQ502" s="334"/>
      <c r="ER502" s="334"/>
      <c r="ES502" s="334"/>
      <c r="ET502" s="334"/>
      <c r="EU502" s="334"/>
      <c r="EV502" s="334"/>
    </row>
    <row r="503" spans="9:152" ht="13">
      <c r="I503" t="s">
        <v>1535</v>
      </c>
      <c r="J503" t="s">
        <v>1361</v>
      </c>
      <c r="K503">
        <v>69.23</v>
      </c>
      <c r="AI503" s="115" t="s">
        <v>1416</v>
      </c>
      <c r="AJ503" t="s">
        <v>2114</v>
      </c>
      <c r="AK503" s="115">
        <v>0</v>
      </c>
      <c r="AL503" s="115" t="s">
        <v>28</v>
      </c>
      <c r="AM503" s="115" t="s">
        <v>1850</v>
      </c>
      <c r="AN503" s="115" t="s">
        <v>1450</v>
      </c>
      <c r="AO503" s="115" t="s">
        <v>1644</v>
      </c>
      <c r="AT503" s="115" t="s">
        <v>1415</v>
      </c>
      <c r="AU503" s="115" t="s">
        <v>2114</v>
      </c>
      <c r="AV503" s="115">
        <v>15</v>
      </c>
      <c r="AW503" s="115" t="s">
        <v>1682</v>
      </c>
      <c r="AX503" s="115" t="s">
        <v>28</v>
      </c>
      <c r="AY503" s="115" t="s">
        <v>1832</v>
      </c>
      <c r="AZ503" s="115" t="s">
        <v>1853</v>
      </c>
      <c r="BA503" s="115"/>
      <c r="BB503" s="115"/>
      <c r="BC503" s="115"/>
      <c r="BD503" s="115">
        <v>1954.53</v>
      </c>
      <c r="BE503" s="115">
        <v>2044.8199999999997</v>
      </c>
      <c r="BF503" s="115"/>
      <c r="BG503" s="115">
        <v>739.5</v>
      </c>
      <c r="BH503" s="115"/>
      <c r="BI503" s="115"/>
      <c r="BJ503" s="115"/>
      <c r="BK503" s="115"/>
      <c r="BL503" s="115"/>
      <c r="BM503" s="115"/>
      <c r="BN503" s="115"/>
      <c r="BO503" s="115"/>
      <c r="BP503" s="115"/>
      <c r="DB503" s="115"/>
      <c r="DR503" s="214"/>
      <c r="DY503" s="115"/>
      <c r="DZ503" s="334"/>
      <c r="EA503" s="334"/>
      <c r="EB503" s="334"/>
      <c r="EC503" s="334"/>
      <c r="ED503" s="187"/>
      <c r="EE503" s="330"/>
      <c r="EH503" s="334"/>
      <c r="EI503" s="334"/>
      <c r="EM503"/>
      <c r="EO503" s="115"/>
      <c r="EP503" s="334"/>
      <c r="EQ503" s="334"/>
      <c r="ER503" s="334"/>
      <c r="ES503" s="334"/>
      <c r="ET503" s="334"/>
      <c r="EU503" s="334"/>
      <c r="EV503" s="334"/>
    </row>
    <row r="504" spans="9:152" ht="13">
      <c r="I504" t="s">
        <v>1535</v>
      </c>
      <c r="J504" t="s">
        <v>1364</v>
      </c>
      <c r="K504">
        <v>300</v>
      </c>
      <c r="AI504" s="115" t="s">
        <v>1416</v>
      </c>
      <c r="AJ504" t="s">
        <v>2114</v>
      </c>
      <c r="AK504" s="115">
        <v>0</v>
      </c>
      <c r="AL504" s="115" t="s">
        <v>28</v>
      </c>
      <c r="AM504" s="115" t="s">
        <v>1848</v>
      </c>
      <c r="AN504" s="115" t="s">
        <v>1450</v>
      </c>
      <c r="AO504" s="115" t="s">
        <v>1644</v>
      </c>
      <c r="AT504" s="115" t="s">
        <v>1416</v>
      </c>
      <c r="AU504" s="115" t="s">
        <v>2114</v>
      </c>
      <c r="AV504" s="115">
        <v>0</v>
      </c>
      <c r="AW504" s="115" t="s">
        <v>1682</v>
      </c>
      <c r="AX504" s="115" t="s">
        <v>28</v>
      </c>
      <c r="AY504" s="115" t="s">
        <v>1832</v>
      </c>
      <c r="AZ504" s="115" t="s">
        <v>1853</v>
      </c>
      <c r="BA504" s="115"/>
      <c r="BB504" s="115"/>
      <c r="BC504" s="115"/>
      <c r="BD504" s="115">
        <v>809.5</v>
      </c>
      <c r="BE504" s="115">
        <v>181.00000000000003</v>
      </c>
      <c r="BF504" s="115"/>
      <c r="BG504" s="115">
        <v>472</v>
      </c>
      <c r="BH504" s="115"/>
      <c r="BI504" s="115"/>
      <c r="BJ504" s="115"/>
      <c r="BK504" s="115"/>
      <c r="BL504" s="115"/>
      <c r="BM504" s="115"/>
      <c r="BN504" s="115"/>
      <c r="BO504" s="115"/>
      <c r="BP504" s="115"/>
      <c r="DB504" s="115"/>
      <c r="DR504" s="214"/>
      <c r="DY504" s="115"/>
      <c r="DZ504" s="334"/>
      <c r="EA504" s="334"/>
      <c r="EB504" s="334"/>
      <c r="EC504" s="334"/>
      <c r="ED504" s="187"/>
      <c r="EE504" s="330"/>
      <c r="EH504" s="334"/>
      <c r="EI504" s="334"/>
      <c r="EM504"/>
      <c r="EO504" s="115"/>
      <c r="EP504" s="334"/>
      <c r="EQ504" s="334"/>
      <c r="ER504" s="334"/>
      <c r="ES504" s="334"/>
      <c r="ET504" s="334"/>
      <c r="EU504" s="334"/>
      <c r="EV504" s="334"/>
    </row>
    <row r="505" spans="9:152" ht="13">
      <c r="I505" t="s">
        <v>1535</v>
      </c>
      <c r="J505" t="s">
        <v>1367</v>
      </c>
      <c r="K505">
        <v>8</v>
      </c>
      <c r="AI505" s="115" t="s">
        <v>1416</v>
      </c>
      <c r="AJ505" t="s">
        <v>2114</v>
      </c>
      <c r="AK505" s="115">
        <v>0</v>
      </c>
      <c r="AL505" s="115" t="s">
        <v>28</v>
      </c>
      <c r="AM505" s="115" t="s">
        <v>1843</v>
      </c>
      <c r="AN505" s="115" t="s">
        <v>1450</v>
      </c>
      <c r="AO505" s="115" t="s">
        <v>1274</v>
      </c>
      <c r="AT505" s="115" t="s">
        <v>1415</v>
      </c>
      <c r="AU505" s="115" t="s">
        <v>2114</v>
      </c>
      <c r="AV505" s="115">
        <v>15</v>
      </c>
      <c r="AW505" s="115" t="s">
        <v>1577</v>
      </c>
      <c r="AX505" s="115" t="s">
        <v>28</v>
      </c>
      <c r="AY505" s="115" t="s">
        <v>1846</v>
      </c>
      <c r="AZ505" s="115" t="s">
        <v>1854</v>
      </c>
      <c r="BA505" s="115"/>
      <c r="BB505" s="115"/>
      <c r="BC505" s="115">
        <v>64650.896203775003</v>
      </c>
      <c r="BD505" s="115">
        <v>49831.396140285004</v>
      </c>
      <c r="BE505" s="115">
        <v>158531.00365238904</v>
      </c>
      <c r="BF505" s="115"/>
      <c r="BG505" s="115">
        <v>101071.03630665</v>
      </c>
      <c r="BH505" s="115">
        <v>936205.42612419929</v>
      </c>
      <c r="BI505" s="115">
        <v>296241.22700885247</v>
      </c>
      <c r="BJ505" s="115">
        <v>16869.210462693325</v>
      </c>
      <c r="BK505" s="115">
        <v>73080.973134683998</v>
      </c>
      <c r="BL505" s="115">
        <v>163325.92802558403</v>
      </c>
      <c r="BM505" s="115">
        <v>1564098.6694999998</v>
      </c>
      <c r="BN505" s="115">
        <v>575002.34000000008</v>
      </c>
      <c r="BO505" s="115">
        <v>148250.15</v>
      </c>
      <c r="BP505" s="115">
        <v>117376.5405</v>
      </c>
      <c r="DB505" s="115"/>
      <c r="DR505" s="214"/>
      <c r="DY505" s="115"/>
      <c r="DZ505" s="334"/>
      <c r="EA505" s="334"/>
      <c r="EB505" s="334"/>
      <c r="EC505" s="334"/>
      <c r="ED505" s="187"/>
      <c r="EE505" s="330"/>
      <c r="EH505" s="334"/>
      <c r="EI505" s="334"/>
      <c r="EM505"/>
      <c r="EO505" s="115"/>
      <c r="EP505" s="334"/>
      <c r="EQ505" s="334"/>
      <c r="ER505" s="334"/>
      <c r="ES505" s="334"/>
      <c r="ET505" s="334"/>
      <c r="EU505" s="334"/>
      <c r="EV505" s="334"/>
    </row>
    <row r="506" spans="9:152" ht="13">
      <c r="I506" t="s">
        <v>1535</v>
      </c>
      <c r="J506" t="s">
        <v>1362</v>
      </c>
      <c r="K506">
        <v>95</v>
      </c>
      <c r="AI506" s="115" t="s">
        <v>1416</v>
      </c>
      <c r="AJ506" t="s">
        <v>2114</v>
      </c>
      <c r="AK506" s="115">
        <v>0</v>
      </c>
      <c r="AL506" s="115" t="s">
        <v>28</v>
      </c>
      <c r="AM506" s="115" t="s">
        <v>1849</v>
      </c>
      <c r="AN506" s="115" t="s">
        <v>1450</v>
      </c>
      <c r="AO506" s="115" t="s">
        <v>1274</v>
      </c>
      <c r="AT506" s="115" t="s">
        <v>1415</v>
      </c>
      <c r="AU506" s="115" t="s">
        <v>2114</v>
      </c>
      <c r="AV506" s="115">
        <v>15</v>
      </c>
      <c r="AW506" s="115" t="s">
        <v>1577</v>
      </c>
      <c r="AX506" s="115" t="s">
        <v>1842</v>
      </c>
      <c r="AY506" s="115" t="s">
        <v>1846</v>
      </c>
      <c r="AZ506" s="115" t="s">
        <v>1854</v>
      </c>
      <c r="BA506" s="115"/>
      <c r="BB506" s="115"/>
      <c r="BC506" s="115"/>
      <c r="BD506" s="115"/>
      <c r="BE506" s="115">
        <v>42777.881729999994</v>
      </c>
      <c r="BF506" s="115"/>
      <c r="BG506" s="115">
        <v>118061.58715919999</v>
      </c>
      <c r="BH506" s="115"/>
      <c r="BI506" s="115">
        <v>72147.716572499994</v>
      </c>
      <c r="BJ506" s="115"/>
      <c r="BK506" s="115"/>
      <c r="BL506" s="115">
        <v>33266.30229</v>
      </c>
      <c r="BM506" s="115"/>
      <c r="BN506" s="115"/>
      <c r="BO506" s="115"/>
      <c r="BP506" s="115">
        <v>233207.6263</v>
      </c>
      <c r="DB506" s="115"/>
      <c r="DR506" s="214"/>
      <c r="DY506" s="115"/>
      <c r="DZ506" s="334"/>
      <c r="EA506" s="334"/>
      <c r="EB506" s="334"/>
      <c r="EC506" s="334"/>
      <c r="ED506" s="187"/>
      <c r="EE506" s="330"/>
      <c r="EH506" s="334"/>
      <c r="EI506" s="334"/>
      <c r="EM506"/>
      <c r="EO506" s="115"/>
      <c r="EP506" s="334"/>
      <c r="EQ506" s="334"/>
      <c r="ER506" s="334"/>
      <c r="ES506" s="334"/>
      <c r="ET506" s="334"/>
      <c r="EU506" s="334"/>
      <c r="EV506" s="334"/>
    </row>
    <row r="507" spans="9:152" ht="13">
      <c r="I507" t="s">
        <v>1535</v>
      </c>
      <c r="J507" t="s">
        <v>1368</v>
      </c>
      <c r="K507">
        <v>11.5</v>
      </c>
      <c r="AI507" s="115" t="s">
        <v>1416</v>
      </c>
      <c r="AJ507" t="s">
        <v>2114</v>
      </c>
      <c r="AK507" s="115">
        <v>0</v>
      </c>
      <c r="AL507" s="115" t="s">
        <v>28</v>
      </c>
      <c r="AM507" s="115" t="s">
        <v>1850</v>
      </c>
      <c r="AN507" s="115" t="s">
        <v>1450</v>
      </c>
      <c r="AO507" s="115" t="s">
        <v>1274</v>
      </c>
      <c r="AT507" s="115" t="s">
        <v>1416</v>
      </c>
      <c r="AU507" s="115" t="s">
        <v>2114</v>
      </c>
      <c r="AV507" s="115">
        <v>0</v>
      </c>
      <c r="AW507" s="115" t="s">
        <v>1577</v>
      </c>
      <c r="AX507" s="115" t="s">
        <v>28</v>
      </c>
      <c r="AY507" s="115" t="s">
        <v>1846</v>
      </c>
      <c r="AZ507" s="115" t="s">
        <v>1854</v>
      </c>
      <c r="BA507" s="115"/>
      <c r="BB507" s="115"/>
      <c r="BC507" s="115">
        <v>18610.284984375001</v>
      </c>
      <c r="BD507" s="115">
        <v>18801.973174999999</v>
      </c>
      <c r="BE507" s="115">
        <v>5411.18768</v>
      </c>
      <c r="BF507" s="115"/>
      <c r="BG507" s="115">
        <v>17540.766080000001</v>
      </c>
      <c r="BH507" s="115">
        <v>233283.40987447859</v>
      </c>
      <c r="BI507" s="115">
        <v>37841.799176999994</v>
      </c>
      <c r="BJ507" s="115">
        <v>3976.4348133333319</v>
      </c>
      <c r="BK507" s="115">
        <v>24813.128844000006</v>
      </c>
      <c r="BL507" s="115">
        <v>14349.526753500004</v>
      </c>
      <c r="BM507" s="115">
        <v>134649.53689999998</v>
      </c>
      <c r="BN507" s="115">
        <v>67852.7834</v>
      </c>
      <c r="BO507" s="115">
        <v>58971.63660000002</v>
      </c>
      <c r="BP507" s="115">
        <v>11033.339900000001</v>
      </c>
      <c r="DB507" s="115"/>
      <c r="DR507" s="214"/>
      <c r="DY507" s="115"/>
      <c r="DZ507" s="334"/>
      <c r="EA507" s="334"/>
      <c r="EB507" s="334"/>
      <c r="EC507" s="334"/>
      <c r="ED507" s="187"/>
      <c r="EE507" s="330"/>
      <c r="EH507" s="334"/>
      <c r="EI507" s="334"/>
      <c r="EM507"/>
      <c r="EO507" s="115"/>
      <c r="EP507" s="334"/>
      <c r="EQ507" s="334"/>
      <c r="ER507" s="334"/>
      <c r="ES507" s="334"/>
      <c r="ET507" s="334"/>
      <c r="EU507" s="334"/>
      <c r="EV507" s="334"/>
    </row>
    <row r="508" spans="9:152" ht="13">
      <c r="I508" t="s">
        <v>1535</v>
      </c>
      <c r="J508" t="s">
        <v>1360</v>
      </c>
      <c r="K508">
        <v>0.33500000000000002</v>
      </c>
      <c r="AI508" s="115" t="s">
        <v>1416</v>
      </c>
      <c r="AJ508" t="s">
        <v>2114</v>
      </c>
      <c r="AK508" s="115">
        <v>0</v>
      </c>
      <c r="AL508" s="115" t="s">
        <v>28</v>
      </c>
      <c r="AM508" s="115" t="s">
        <v>1832</v>
      </c>
      <c r="AN508" s="115" t="s">
        <v>1450</v>
      </c>
      <c r="AO508" s="115" t="s">
        <v>1274</v>
      </c>
      <c r="AT508" s="115" t="s">
        <v>1416</v>
      </c>
      <c r="AU508" s="115" t="s">
        <v>2114</v>
      </c>
      <c r="AV508" s="115">
        <v>0</v>
      </c>
      <c r="AW508" s="115" t="s">
        <v>1577</v>
      </c>
      <c r="AX508" s="115" t="s">
        <v>1842</v>
      </c>
      <c r="AY508" s="115" t="s">
        <v>1846</v>
      </c>
      <c r="AZ508" s="115" t="s">
        <v>1854</v>
      </c>
      <c r="BA508" s="115"/>
      <c r="BB508" s="115"/>
      <c r="BC508" s="115"/>
      <c r="BD508" s="115"/>
      <c r="BE508" s="115"/>
      <c r="BF508" s="115"/>
      <c r="BG508" s="115">
        <v>2787.1979999999999</v>
      </c>
      <c r="BH508" s="115"/>
      <c r="BI508" s="115"/>
      <c r="BJ508" s="115"/>
      <c r="BK508" s="115"/>
      <c r="BL508" s="115"/>
      <c r="BM508" s="115"/>
      <c r="BN508" s="115"/>
      <c r="BO508" s="115"/>
      <c r="BP508" s="115">
        <v>7019.4058999999997</v>
      </c>
      <c r="DB508" s="115"/>
      <c r="DR508" s="214"/>
      <c r="DY508" s="115"/>
      <c r="DZ508" s="334"/>
      <c r="EA508" s="334"/>
      <c r="EB508" s="334"/>
      <c r="EC508" s="334"/>
      <c r="ED508" s="187"/>
      <c r="EE508" s="330"/>
      <c r="EH508" s="334"/>
      <c r="EI508" s="334"/>
      <c r="EM508"/>
      <c r="EO508" s="115"/>
      <c r="EP508" s="334"/>
      <c r="EQ508" s="334"/>
      <c r="ER508" s="334"/>
      <c r="ES508" s="334"/>
      <c r="ET508" s="334"/>
      <c r="EU508" s="334"/>
      <c r="EV508" s="334"/>
    </row>
    <row r="509" spans="9:152" ht="13">
      <c r="I509" t="s">
        <v>1535</v>
      </c>
      <c r="J509" t="s">
        <v>1358</v>
      </c>
      <c r="K509" t="s">
        <v>375</v>
      </c>
      <c r="AI509" s="115" t="s">
        <v>1416</v>
      </c>
      <c r="AJ509" t="s">
        <v>2114</v>
      </c>
      <c r="AK509" s="115">
        <v>0</v>
      </c>
      <c r="AL509" s="115" t="s">
        <v>28</v>
      </c>
      <c r="AM509" s="115" t="s">
        <v>1846</v>
      </c>
      <c r="AN509" s="115" t="s">
        <v>1450</v>
      </c>
      <c r="AO509" s="115" t="s">
        <v>1274</v>
      </c>
      <c r="AT509" s="115" t="s">
        <v>1415</v>
      </c>
      <c r="AU509" s="115" t="s">
        <v>2114</v>
      </c>
      <c r="AV509" s="115">
        <v>15</v>
      </c>
      <c r="AW509" s="115" t="s">
        <v>1577</v>
      </c>
      <c r="AX509" s="115" t="s">
        <v>28</v>
      </c>
      <c r="AY509" s="115" t="s">
        <v>1848</v>
      </c>
      <c r="AZ509" s="115" t="s">
        <v>1854</v>
      </c>
      <c r="BA509" s="115">
        <v>93592.802623449999</v>
      </c>
      <c r="BB509" s="115">
        <v>112842.694944</v>
      </c>
      <c r="BC509" s="115">
        <v>381255.75228221249</v>
      </c>
      <c r="BD509" s="115">
        <v>46074.681981135</v>
      </c>
      <c r="BE509" s="115">
        <v>145357.0683982828</v>
      </c>
      <c r="BF509" s="115">
        <v>23604.266095437499</v>
      </c>
      <c r="BG509" s="115">
        <v>38407.606347506247</v>
      </c>
      <c r="BH509" s="115">
        <v>61583.542980769882</v>
      </c>
      <c r="BI509" s="115">
        <v>137389.09155936999</v>
      </c>
      <c r="BJ509" s="115">
        <v>84735.421751302492</v>
      </c>
      <c r="BK509" s="115">
        <v>11415.520389564001</v>
      </c>
      <c r="BL509" s="115">
        <v>25428.251716464005</v>
      </c>
      <c r="BM509" s="115"/>
      <c r="BN509" s="115"/>
      <c r="BO509" s="115"/>
      <c r="BP509" s="115"/>
      <c r="DB509" s="115"/>
      <c r="DR509" s="214"/>
      <c r="DY509" s="115"/>
      <c r="DZ509" s="334"/>
      <c r="EA509" s="334"/>
      <c r="EB509" s="334"/>
      <c r="EC509" s="334"/>
      <c r="ED509" s="187"/>
      <c r="EE509" s="330"/>
      <c r="EH509" s="334"/>
      <c r="EI509" s="334"/>
      <c r="EM509"/>
      <c r="EO509" s="115"/>
      <c r="EP509" s="334"/>
      <c r="EQ509" s="334"/>
      <c r="ER509" s="334"/>
      <c r="ES509" s="334"/>
      <c r="ET509" s="334"/>
      <c r="EU509" s="334"/>
      <c r="EV509" s="334"/>
    </row>
    <row r="510" spans="9:152" ht="13">
      <c r="I510" t="s">
        <v>1535</v>
      </c>
      <c r="J510" t="s">
        <v>1354</v>
      </c>
      <c r="K510">
        <v>45141</v>
      </c>
      <c r="AI510" s="115" t="s">
        <v>1416</v>
      </c>
      <c r="AJ510" t="s">
        <v>2114</v>
      </c>
      <c r="AK510" s="115">
        <v>0</v>
      </c>
      <c r="AL510" s="115" t="s">
        <v>28</v>
      </c>
      <c r="AM510" s="115" t="s">
        <v>1848</v>
      </c>
      <c r="AN510" s="115" t="s">
        <v>1450</v>
      </c>
      <c r="AO510" s="115" t="s">
        <v>1274</v>
      </c>
      <c r="AT510" s="115" t="s">
        <v>1416</v>
      </c>
      <c r="AU510" s="115" t="s">
        <v>2114</v>
      </c>
      <c r="AV510" s="115">
        <v>0</v>
      </c>
      <c r="AW510" s="115" t="s">
        <v>1577</v>
      </c>
      <c r="AX510" s="115" t="s">
        <v>28</v>
      </c>
      <c r="AY510" s="115" t="s">
        <v>1848</v>
      </c>
      <c r="AZ510" s="115" t="s">
        <v>1854</v>
      </c>
      <c r="BA510" s="115">
        <v>29510.494300000002</v>
      </c>
      <c r="BB510" s="115">
        <v>41305.073499999991</v>
      </c>
      <c r="BC510" s="115">
        <v>111607.452515625</v>
      </c>
      <c r="BD510" s="115">
        <v>17679.115725</v>
      </c>
      <c r="BE510" s="115">
        <v>5045.5985600000004</v>
      </c>
      <c r="BF510" s="115">
        <v>5914.1160687500014</v>
      </c>
      <c r="BG510" s="115">
        <v>3814.7228799999998</v>
      </c>
      <c r="BH510" s="115">
        <v>18902.80797164976</v>
      </c>
      <c r="BI510" s="115">
        <v>17764.108725500002</v>
      </c>
      <c r="BJ510" s="115">
        <v>18842.191800000004</v>
      </c>
      <c r="BK510" s="115">
        <v>3941.5949999999998</v>
      </c>
      <c r="BL510" s="115">
        <v>2279.4393750000004</v>
      </c>
      <c r="BM510" s="115"/>
      <c r="BN510" s="115"/>
      <c r="BO510" s="115"/>
      <c r="BP510" s="115"/>
      <c r="DB510" s="115"/>
      <c r="DR510" s="214"/>
      <c r="DY510" s="115"/>
      <c r="DZ510" s="334"/>
      <c r="EA510" s="334"/>
      <c r="EB510" s="334"/>
      <c r="EC510" s="334"/>
      <c r="ED510" s="187"/>
      <c r="EE510" s="330"/>
      <c r="EH510" s="334"/>
      <c r="EI510" s="334"/>
      <c r="EM510"/>
      <c r="EO510" s="115"/>
      <c r="EP510" s="334"/>
      <c r="EQ510" s="334"/>
      <c r="ER510" s="334"/>
      <c r="ES510" s="334"/>
      <c r="ET510" s="334"/>
      <c r="EU510" s="334"/>
      <c r="EV510" s="334"/>
    </row>
    <row r="511" spans="9:152" ht="13">
      <c r="I511" t="s">
        <v>1535</v>
      </c>
      <c r="J511" t="s">
        <v>1365</v>
      </c>
      <c r="K511">
        <v>15</v>
      </c>
      <c r="AI511" s="115" t="s">
        <v>1416</v>
      </c>
      <c r="AJ511" t="s">
        <v>2114</v>
      </c>
      <c r="AK511" s="115">
        <v>0</v>
      </c>
      <c r="AL511" s="115" t="s">
        <v>28</v>
      </c>
      <c r="AM511" s="115" t="s">
        <v>1849</v>
      </c>
      <c r="AN511" s="115" t="s">
        <v>1450</v>
      </c>
      <c r="AO511" s="115" t="s">
        <v>381</v>
      </c>
      <c r="AT511" s="115" t="s">
        <v>1416</v>
      </c>
      <c r="AU511" s="115" t="s">
        <v>2114</v>
      </c>
      <c r="AV511" s="115">
        <v>0</v>
      </c>
      <c r="AW511" s="115" t="s">
        <v>1577</v>
      </c>
      <c r="AX511" s="115" t="s">
        <v>1842</v>
      </c>
      <c r="AY511" s="115" t="s">
        <v>1848</v>
      </c>
      <c r="AZ511" s="115" t="s">
        <v>1854</v>
      </c>
      <c r="BA511" s="115"/>
      <c r="BB511" s="115"/>
      <c r="BC511" s="115"/>
      <c r="BD511" s="115"/>
      <c r="BE511" s="115"/>
      <c r="BF511" s="115"/>
      <c r="BG511" s="115">
        <v>1616.4080000000001</v>
      </c>
      <c r="BH511" s="115"/>
      <c r="BI511" s="115"/>
      <c r="BJ511" s="115"/>
      <c r="BK511" s="115"/>
      <c r="BL511" s="115"/>
      <c r="BM511" s="115"/>
      <c r="BN511" s="115"/>
      <c r="BO511" s="115"/>
      <c r="BP511" s="115"/>
      <c r="DB511" s="115"/>
      <c r="DR511" s="214"/>
      <c r="DY511" s="115"/>
      <c r="DZ511" s="334"/>
      <c r="EA511" s="334"/>
      <c r="EB511" s="334"/>
      <c r="EC511" s="334"/>
      <c r="ED511" s="187"/>
      <c r="EE511" s="330"/>
      <c r="EH511" s="334"/>
      <c r="EI511" s="334"/>
      <c r="EM511"/>
      <c r="EO511" s="115"/>
      <c r="EP511" s="334"/>
      <c r="EQ511" s="334"/>
      <c r="ER511" s="334"/>
      <c r="ES511" s="334"/>
      <c r="ET511" s="334"/>
      <c r="EU511" s="334"/>
      <c r="EV511" s="334"/>
    </row>
    <row r="512" spans="9:152" ht="13">
      <c r="I512" t="s">
        <v>1535</v>
      </c>
      <c r="J512" t="s">
        <v>1356</v>
      </c>
      <c r="K512" t="s">
        <v>1359</v>
      </c>
      <c r="AI512" s="115" t="s">
        <v>1416</v>
      </c>
      <c r="AJ512" t="s">
        <v>2114</v>
      </c>
      <c r="AK512" s="115">
        <v>0</v>
      </c>
      <c r="AL512" s="115" t="s">
        <v>28</v>
      </c>
      <c r="AM512" s="115" t="s">
        <v>1832</v>
      </c>
      <c r="AN512" s="115" t="s">
        <v>1450</v>
      </c>
      <c r="AO512" s="115" t="s">
        <v>381</v>
      </c>
      <c r="AT512" s="115" t="s">
        <v>1415</v>
      </c>
      <c r="AU512" s="115" t="s">
        <v>2114</v>
      </c>
      <c r="AV512" s="115">
        <v>15</v>
      </c>
      <c r="AW512" s="115" t="s">
        <v>1577</v>
      </c>
      <c r="AX512" s="115" t="s">
        <v>1842</v>
      </c>
      <c r="AY512" s="115" t="s">
        <v>1848</v>
      </c>
      <c r="AZ512" s="115" t="s">
        <v>1854</v>
      </c>
      <c r="BA512" s="115">
        <v>20577.269987999996</v>
      </c>
      <c r="BB512" s="115"/>
      <c r="BC512" s="115"/>
      <c r="BD512" s="115"/>
      <c r="BE512" s="115">
        <v>39223.037369999998</v>
      </c>
      <c r="BF512" s="115"/>
      <c r="BG512" s="115">
        <v>67327.769740800009</v>
      </c>
      <c r="BH512" s="115"/>
      <c r="BI512" s="115">
        <v>32231.306397249995</v>
      </c>
      <c r="BJ512" s="115"/>
      <c r="BK512" s="115"/>
      <c r="BL512" s="115">
        <v>5082.7505299999993</v>
      </c>
      <c r="BM512" s="115"/>
      <c r="BN512" s="115"/>
      <c r="BO512" s="115"/>
      <c r="BP512" s="115"/>
      <c r="DB512" s="115"/>
      <c r="DR512" s="214"/>
      <c r="DY512" s="115"/>
      <c r="DZ512" s="334"/>
      <c r="EA512" s="334"/>
      <c r="EB512" s="334"/>
      <c r="EC512" s="334"/>
      <c r="ED512" s="187"/>
      <c r="EE512" s="330"/>
      <c r="EH512" s="334"/>
      <c r="EI512" s="334"/>
      <c r="EM512"/>
      <c r="EO512" s="115"/>
      <c r="EP512" s="334"/>
      <c r="EQ512" s="334"/>
      <c r="ER512" s="334"/>
      <c r="ES512" s="334"/>
      <c r="ET512" s="334"/>
      <c r="EU512" s="334"/>
      <c r="EV512" s="334"/>
    </row>
    <row r="513" spans="9:152" ht="13">
      <c r="I513" t="s">
        <v>1535</v>
      </c>
      <c r="J513" t="s">
        <v>1366</v>
      </c>
      <c r="K513">
        <v>3</v>
      </c>
      <c r="AI513" s="115" t="s">
        <v>1416</v>
      </c>
      <c r="AJ513" t="s">
        <v>2114</v>
      </c>
      <c r="AK513" s="115">
        <v>0</v>
      </c>
      <c r="AL513" s="115" t="s">
        <v>28</v>
      </c>
      <c r="AM513" s="115" t="s">
        <v>1843</v>
      </c>
      <c r="AN513" s="115" t="s">
        <v>1450</v>
      </c>
      <c r="AO513" s="115" t="s">
        <v>381</v>
      </c>
      <c r="AT513" s="115" t="s">
        <v>1415</v>
      </c>
      <c r="AU513" s="115" t="s">
        <v>2114</v>
      </c>
      <c r="AV513" s="115">
        <v>15</v>
      </c>
      <c r="AW513" s="115" t="s">
        <v>1577</v>
      </c>
      <c r="AX513" s="115" t="s">
        <v>1842</v>
      </c>
      <c r="AY513" s="115" t="s">
        <v>1843</v>
      </c>
      <c r="AZ513" s="115" t="s">
        <v>1854</v>
      </c>
      <c r="BA513" s="115">
        <v>20418.680412371134</v>
      </c>
      <c r="BB513" s="115"/>
      <c r="BC513" s="115"/>
      <c r="BD513" s="115"/>
      <c r="BE513" s="115">
        <v>81013.799587628877</v>
      </c>
      <c r="BF513" s="115"/>
      <c r="BG513" s="115">
        <v>183469.9886597938</v>
      </c>
      <c r="BH513" s="115"/>
      <c r="BI513" s="115">
        <v>105116.39927835052</v>
      </c>
      <c r="BJ513" s="115"/>
      <c r="BK513" s="115"/>
      <c r="BL513" s="115">
        <v>50263.379175257731</v>
      </c>
      <c r="BM513" s="115"/>
      <c r="BN513" s="115"/>
      <c r="BO513" s="115"/>
      <c r="BP513" s="115">
        <v>233207.6263</v>
      </c>
      <c r="DB513" s="115"/>
      <c r="DR513" s="214"/>
      <c r="DY513" s="115"/>
      <c r="DZ513" s="334"/>
      <c r="EA513" s="334"/>
      <c r="EB513" s="334"/>
      <c r="EC513" s="334"/>
      <c r="ED513" s="187"/>
      <c r="EE513" s="330"/>
      <c r="EH513" s="334"/>
      <c r="EI513" s="334"/>
      <c r="EM513"/>
      <c r="EO513" s="115"/>
      <c r="EP513" s="334"/>
      <c r="EQ513" s="334"/>
      <c r="ER513" s="334"/>
      <c r="ES513" s="334"/>
      <c r="ET513" s="334"/>
      <c r="EU513" s="334"/>
      <c r="EV513" s="334"/>
    </row>
    <row r="514" spans="9:152" ht="13">
      <c r="I514" t="s">
        <v>1535</v>
      </c>
      <c r="J514" t="s">
        <v>1357</v>
      </c>
      <c r="K514">
        <v>10451.907282649992</v>
      </c>
      <c r="AI514" s="115" t="s">
        <v>1416</v>
      </c>
      <c r="AJ514" t="s">
        <v>2114</v>
      </c>
      <c r="AK514" s="115">
        <v>0</v>
      </c>
      <c r="AL514" s="115" t="s">
        <v>28</v>
      </c>
      <c r="AM514" s="115" t="s">
        <v>1846</v>
      </c>
      <c r="AN514" s="115" t="s">
        <v>1450</v>
      </c>
      <c r="AO514" s="115" t="s">
        <v>381</v>
      </c>
      <c r="AT514" s="115" t="s">
        <v>1416</v>
      </c>
      <c r="AU514" s="115" t="s">
        <v>2114</v>
      </c>
      <c r="AV514" s="115">
        <v>0</v>
      </c>
      <c r="AW514" s="115" t="s">
        <v>1577</v>
      </c>
      <c r="AX514" s="115" t="s">
        <v>1842</v>
      </c>
      <c r="AY514" s="115" t="s">
        <v>1843</v>
      </c>
      <c r="AZ514" s="115" t="s">
        <v>1854</v>
      </c>
      <c r="BA514" s="115"/>
      <c r="BB514" s="115"/>
      <c r="BC514" s="115"/>
      <c r="BD514" s="115"/>
      <c r="BE514" s="115"/>
      <c r="BF514" s="115"/>
      <c r="BG514" s="115">
        <v>4642.6168041237115</v>
      </c>
      <c r="BH514" s="115"/>
      <c r="BI514" s="115"/>
      <c r="BJ514" s="115"/>
      <c r="BK514" s="115"/>
      <c r="BL514" s="115"/>
      <c r="BM514" s="115"/>
      <c r="BN514" s="115"/>
      <c r="BO514" s="115"/>
      <c r="BP514" s="115">
        <v>7019.4058999999997</v>
      </c>
      <c r="DB514" s="115"/>
      <c r="DR514" s="214"/>
      <c r="DY514" s="115"/>
      <c r="DZ514" s="334"/>
      <c r="EA514" s="334"/>
      <c r="EB514" s="334"/>
      <c r="EC514" s="334"/>
      <c r="ED514" s="187"/>
      <c r="EE514" s="330"/>
      <c r="EH514" s="334"/>
      <c r="EI514" s="334"/>
      <c r="EM514"/>
      <c r="EO514" s="115"/>
      <c r="EP514" s="334"/>
      <c r="EQ514" s="334"/>
      <c r="ER514" s="334"/>
      <c r="ES514" s="334"/>
      <c r="ET514" s="334"/>
      <c r="EU514" s="334"/>
      <c r="EV514" s="334"/>
    </row>
    <row r="515" spans="9:152" ht="13">
      <c r="I515" t="s">
        <v>2196</v>
      </c>
      <c r="J515" t="s">
        <v>1363</v>
      </c>
      <c r="K515">
        <v>125</v>
      </c>
      <c r="AI515" s="115" t="s">
        <v>1416</v>
      </c>
      <c r="AJ515" t="s">
        <v>2114</v>
      </c>
      <c r="AK515" s="115">
        <v>0</v>
      </c>
      <c r="AL515" s="115" t="s">
        <v>28</v>
      </c>
      <c r="AM515" s="115" t="s">
        <v>1850</v>
      </c>
      <c r="AN515" s="115" t="s">
        <v>1450</v>
      </c>
      <c r="AO515" s="115" t="s">
        <v>381</v>
      </c>
      <c r="AT515" s="115" t="s">
        <v>1416</v>
      </c>
      <c r="AU515" s="115" t="s">
        <v>2114</v>
      </c>
      <c r="AV515" s="115">
        <v>0</v>
      </c>
      <c r="AW515" s="115" t="s">
        <v>1577</v>
      </c>
      <c r="AX515" s="115" t="s">
        <v>28</v>
      </c>
      <c r="AY515" s="115" t="s">
        <v>1843</v>
      </c>
      <c r="AZ515" s="115" t="s">
        <v>1854</v>
      </c>
      <c r="BA515" s="115">
        <v>30423.19</v>
      </c>
      <c r="BB515" s="115">
        <v>42582.55</v>
      </c>
      <c r="BC515" s="115">
        <v>134245.09020618556</v>
      </c>
      <c r="BD515" s="115">
        <v>37609.370000000003</v>
      </c>
      <c r="BE515" s="115">
        <v>10780.191958762887</v>
      </c>
      <c r="BF515" s="115">
        <v>6097.0268041237114</v>
      </c>
      <c r="BG515" s="115">
        <v>21913.151237113405</v>
      </c>
      <c r="BH515" s="115">
        <v>257855.01615360827</v>
      </c>
      <c r="BI515" s="115">
        <v>50879.862474226808</v>
      </c>
      <c r="BJ515" s="115">
        <v>23524.357422680412</v>
      </c>
      <c r="BK515" s="115">
        <v>29644.045360824744</v>
      </c>
      <c r="BL515" s="115">
        <v>17143.264020618557</v>
      </c>
      <c r="BM515" s="115">
        <v>134649.53689999998</v>
      </c>
      <c r="BN515" s="115">
        <v>67852.7834</v>
      </c>
      <c r="BO515" s="115">
        <v>58971.63660000002</v>
      </c>
      <c r="BP515" s="115">
        <v>11033.339900000001</v>
      </c>
      <c r="DB515" s="115"/>
      <c r="DR515" s="214"/>
      <c r="DY515" s="115"/>
      <c r="DZ515" s="334"/>
      <c r="EA515" s="334"/>
      <c r="EB515" s="334"/>
      <c r="EC515" s="334"/>
      <c r="ED515" s="187"/>
      <c r="EE515" s="330"/>
      <c r="EH515" s="334"/>
      <c r="EI515" s="334"/>
      <c r="EM515"/>
      <c r="EO515" s="115"/>
      <c r="EP515" s="334"/>
      <c r="EQ515" s="334"/>
      <c r="ER515" s="334"/>
      <c r="ES515" s="334"/>
      <c r="ET515" s="334"/>
      <c r="EU515" s="334"/>
      <c r="EV515" s="334"/>
    </row>
    <row r="516" spans="9:152" ht="13">
      <c r="I516" t="s">
        <v>2196</v>
      </c>
      <c r="J516" t="s">
        <v>1353</v>
      </c>
      <c r="K516" t="s">
        <v>2232</v>
      </c>
      <c r="AI516" s="115" t="s">
        <v>1416</v>
      </c>
      <c r="AJ516" t="s">
        <v>2114</v>
      </c>
      <c r="AK516" s="115">
        <v>0</v>
      </c>
      <c r="AL516" s="115" t="s">
        <v>28</v>
      </c>
      <c r="AM516" s="115" t="s">
        <v>1848</v>
      </c>
      <c r="AN516" s="115" t="s">
        <v>1450</v>
      </c>
      <c r="AO516" s="115" t="s">
        <v>381</v>
      </c>
      <c r="AT516" s="115" t="s">
        <v>1415</v>
      </c>
      <c r="AU516" s="115" t="s">
        <v>2114</v>
      </c>
      <c r="AV516" s="115">
        <v>15</v>
      </c>
      <c r="AW516" s="115" t="s">
        <v>1577</v>
      </c>
      <c r="AX516" s="115" t="s">
        <v>28</v>
      </c>
      <c r="AY516" s="115" t="s">
        <v>1843</v>
      </c>
      <c r="AZ516" s="115" t="s">
        <v>1854</v>
      </c>
      <c r="BA516" s="115">
        <v>92871.480309278355</v>
      </c>
      <c r="BB516" s="115">
        <v>111972.85958762887</v>
      </c>
      <c r="BC516" s="115">
        <v>441933.36123711342</v>
      </c>
      <c r="BD516" s="115">
        <v>94753.2475257732</v>
      </c>
      <c r="BE516" s="115">
        <v>300229.89546391752</v>
      </c>
      <c r="BF516" s="115">
        <v>23422.366494845362</v>
      </c>
      <c r="BG516" s="115">
        <v>198529.82670103092</v>
      </c>
      <c r="BH516" s="115">
        <v>947815.34927319584</v>
      </c>
      <c r="BI516" s="115">
        <v>369195.19835051545</v>
      </c>
      <c r="BJ516" s="115">
        <v>100681.51659793816</v>
      </c>
      <c r="BK516" s="115">
        <v>83238.415257731947</v>
      </c>
      <c r="BL516" s="115">
        <v>238158.9544329897</v>
      </c>
      <c r="BM516" s="115">
        <v>1564098.6694999998</v>
      </c>
      <c r="BN516" s="115">
        <v>575002.34000000008</v>
      </c>
      <c r="BO516" s="115">
        <v>148250.15</v>
      </c>
      <c r="BP516" s="115">
        <v>117376.5405</v>
      </c>
      <c r="DB516" s="115"/>
      <c r="DR516" s="214"/>
      <c r="DY516" s="115"/>
      <c r="DZ516" s="334"/>
      <c r="EA516" s="334"/>
      <c r="EB516" s="334"/>
      <c r="EC516" s="334"/>
      <c r="ED516" s="187"/>
      <c r="EE516" s="330"/>
      <c r="EH516" s="334"/>
      <c r="EI516" s="334"/>
      <c r="EM516"/>
      <c r="EO516" s="115"/>
      <c r="EP516" s="334"/>
      <c r="EQ516" s="334"/>
      <c r="ER516" s="334"/>
      <c r="ES516" s="334"/>
      <c r="ET516" s="334"/>
      <c r="EU516" s="334"/>
      <c r="EV516" s="334"/>
    </row>
    <row r="517" spans="9:152" ht="13">
      <c r="I517" t="s">
        <v>2196</v>
      </c>
      <c r="J517" t="s">
        <v>1369</v>
      </c>
      <c r="K517">
        <v>13</v>
      </c>
      <c r="AI517" s="115" t="s">
        <v>1416</v>
      </c>
      <c r="AJ517" t="s">
        <v>2114</v>
      </c>
      <c r="AK517" s="115">
        <v>0</v>
      </c>
      <c r="AL517" s="115" t="s">
        <v>28</v>
      </c>
      <c r="AM517" s="115" t="s">
        <v>1843</v>
      </c>
      <c r="AN517" s="115" t="s">
        <v>1450</v>
      </c>
      <c r="AO517" s="115" t="s">
        <v>379</v>
      </c>
      <c r="AT517" s="115" t="s">
        <v>1416</v>
      </c>
      <c r="AU517" s="115" t="s">
        <v>2114</v>
      </c>
      <c r="AV517" s="115">
        <v>0</v>
      </c>
      <c r="AW517" s="115" t="s">
        <v>1577</v>
      </c>
      <c r="AX517" s="115" t="s">
        <v>1842</v>
      </c>
      <c r="AY517" s="115" t="s">
        <v>1849</v>
      </c>
      <c r="AZ517" s="115" t="s">
        <v>1854</v>
      </c>
      <c r="BA517" s="115"/>
      <c r="BB517" s="115"/>
      <c r="BC517" s="115"/>
      <c r="BD517" s="115"/>
      <c r="BE517" s="115"/>
      <c r="BF517" s="115"/>
      <c r="BG517" s="115">
        <v>58.199999999999996</v>
      </c>
      <c r="BH517" s="115"/>
      <c r="BI517" s="115"/>
      <c r="BJ517" s="115"/>
      <c r="BK517" s="115"/>
      <c r="BL517" s="115"/>
      <c r="BM517" s="115"/>
      <c r="BN517" s="115"/>
      <c r="BO517" s="115"/>
      <c r="BP517" s="115"/>
      <c r="DB517" s="115"/>
      <c r="DR517" s="214"/>
      <c r="DY517" s="115"/>
      <c r="DZ517" s="334"/>
      <c r="EA517" s="334"/>
      <c r="EB517" s="334"/>
      <c r="EC517" s="334"/>
      <c r="ED517" s="187"/>
      <c r="EE517" s="330"/>
      <c r="EH517" s="334"/>
      <c r="EI517" s="334"/>
      <c r="EM517"/>
      <c r="EO517" s="115"/>
      <c r="EP517" s="334"/>
      <c r="EQ517" s="334"/>
      <c r="ER517" s="334"/>
      <c r="ES517" s="334"/>
      <c r="ET517" s="334"/>
      <c r="EU517" s="334"/>
      <c r="EV517" s="334"/>
    </row>
    <row r="518" spans="9:152" ht="13">
      <c r="I518" t="s">
        <v>2196</v>
      </c>
      <c r="J518" t="s">
        <v>1355</v>
      </c>
      <c r="K518">
        <v>6</v>
      </c>
      <c r="AI518" s="115" t="s">
        <v>1416</v>
      </c>
      <c r="AJ518" t="s">
        <v>2114</v>
      </c>
      <c r="AK518" s="115">
        <v>0</v>
      </c>
      <c r="AL518" s="115" t="s">
        <v>28</v>
      </c>
      <c r="AM518" s="115" t="s">
        <v>1848</v>
      </c>
      <c r="AN518" s="115" t="s">
        <v>1450</v>
      </c>
      <c r="AO518" s="115" t="s">
        <v>379</v>
      </c>
      <c r="AT518" s="115" t="s">
        <v>1415</v>
      </c>
      <c r="AU518" s="115" t="s">
        <v>2114</v>
      </c>
      <c r="AV518" s="115">
        <v>15</v>
      </c>
      <c r="AW518" s="115" t="s">
        <v>1577</v>
      </c>
      <c r="AX518" s="115" t="s">
        <v>28</v>
      </c>
      <c r="AY518" s="115" t="s">
        <v>1849</v>
      </c>
      <c r="AZ518" s="115" t="s">
        <v>1854</v>
      </c>
      <c r="BA518" s="115"/>
      <c r="BB518" s="115"/>
      <c r="BC518" s="115">
        <v>2861.9001250000001</v>
      </c>
      <c r="BD518" s="115">
        <v>947.94704999999999</v>
      </c>
      <c r="BE518" s="115">
        <v>3127.4179218749996</v>
      </c>
      <c r="BF518" s="115"/>
      <c r="BG518" s="115">
        <v>3073.6741874999998</v>
      </c>
      <c r="BH518" s="115">
        <v>12732.173566488</v>
      </c>
      <c r="BI518" s="115">
        <v>8441.0660999999982</v>
      </c>
      <c r="BJ518" s="115">
        <v>210.43584166666665</v>
      </c>
      <c r="BK518" s="115">
        <v>2538.2300399999999</v>
      </c>
      <c r="BL518" s="115">
        <v>5657.4590400000006</v>
      </c>
      <c r="BM518" s="115"/>
      <c r="BN518" s="115"/>
      <c r="BO518" s="115"/>
      <c r="BP518" s="115"/>
      <c r="DB518" s="115"/>
      <c r="DR518" s="214"/>
      <c r="DY518" s="115"/>
      <c r="DZ518" s="334"/>
      <c r="EA518" s="334"/>
      <c r="EB518" s="334"/>
      <c r="EC518" s="334"/>
      <c r="ED518" s="187"/>
      <c r="EE518" s="330"/>
      <c r="EH518" s="334"/>
      <c r="EI518" s="334"/>
      <c r="EM518"/>
      <c r="EO518" s="115"/>
      <c r="EP518" s="334"/>
      <c r="EQ518" s="334"/>
      <c r="ER518" s="334"/>
      <c r="ES518" s="334"/>
      <c r="ET518" s="334"/>
      <c r="EU518" s="334"/>
      <c r="EV518" s="334"/>
    </row>
    <row r="519" spans="9:152" ht="13">
      <c r="I519" t="s">
        <v>2196</v>
      </c>
      <c r="J519" t="s">
        <v>1361</v>
      </c>
      <c r="K519">
        <v>69.23</v>
      </c>
      <c r="AI519" s="115" t="s">
        <v>1416</v>
      </c>
      <c r="AJ519" t="s">
        <v>2114</v>
      </c>
      <c r="AK519" s="115">
        <v>0</v>
      </c>
      <c r="AL519" s="115" t="s">
        <v>28</v>
      </c>
      <c r="AM519" s="115" t="s">
        <v>1850</v>
      </c>
      <c r="AN519" s="115" t="s">
        <v>1450</v>
      </c>
      <c r="AO519" s="115" t="s">
        <v>379</v>
      </c>
      <c r="AT519" s="115" t="s">
        <v>1416</v>
      </c>
      <c r="AU519" s="115" t="s">
        <v>2114</v>
      </c>
      <c r="AV519" s="115">
        <v>0</v>
      </c>
      <c r="AW519" s="115" t="s">
        <v>1577</v>
      </c>
      <c r="AX519" s="115" t="s">
        <v>28</v>
      </c>
      <c r="AY519" s="115" t="s">
        <v>1849</v>
      </c>
      <c r="AZ519" s="115" t="s">
        <v>1854</v>
      </c>
      <c r="BA519" s="115"/>
      <c r="BB519" s="115"/>
      <c r="BC519" s="115">
        <v>904.28984374999993</v>
      </c>
      <c r="BD519" s="115">
        <v>392.60750000000002</v>
      </c>
      <c r="BE519" s="115">
        <v>117.17599999999999</v>
      </c>
      <c r="BF519" s="115"/>
      <c r="BG519" s="115">
        <v>366.27199999999999</v>
      </c>
      <c r="BH519" s="115">
        <v>4218.3305664479994</v>
      </c>
      <c r="BI519" s="115">
        <v>1205.1910499999999</v>
      </c>
      <c r="BJ519" s="115">
        <v>54.449333333333307</v>
      </c>
      <c r="BK519" s="115">
        <v>945.98280000000011</v>
      </c>
      <c r="BL519" s="115">
        <v>547.06545000000017</v>
      </c>
      <c r="BM519" s="115"/>
      <c r="BN519" s="115"/>
      <c r="BO519" s="115"/>
      <c r="BP519" s="115"/>
      <c r="DB519" s="115"/>
      <c r="DR519" s="214"/>
      <c r="DY519" s="115"/>
      <c r="DZ519" s="334"/>
      <c r="EA519" s="334"/>
      <c r="EB519" s="334"/>
      <c r="EC519" s="334"/>
      <c r="ED519" s="187"/>
      <c r="EE519" s="330"/>
      <c r="EH519" s="334"/>
      <c r="EI519" s="334"/>
      <c r="EM519"/>
      <c r="EO519" s="115"/>
      <c r="EP519" s="334"/>
      <c r="EQ519" s="334"/>
      <c r="ER519" s="334"/>
      <c r="ES519" s="334"/>
      <c r="ET519" s="334"/>
      <c r="EU519" s="334"/>
      <c r="EV519" s="334"/>
    </row>
    <row r="520" spans="9:152" ht="13">
      <c r="I520" t="s">
        <v>2196</v>
      </c>
      <c r="J520" t="s">
        <v>1364</v>
      </c>
      <c r="K520">
        <v>300</v>
      </c>
      <c r="AI520" s="115" t="s">
        <v>1416</v>
      </c>
      <c r="AJ520" t="s">
        <v>2114</v>
      </c>
      <c r="AK520" s="115">
        <v>0</v>
      </c>
      <c r="AL520" s="115" t="s">
        <v>28</v>
      </c>
      <c r="AM520" s="115" t="s">
        <v>1832</v>
      </c>
      <c r="AN520" s="115" t="s">
        <v>1450</v>
      </c>
      <c r="AO520" s="115" t="s">
        <v>379</v>
      </c>
      <c r="AT520" s="115" t="s">
        <v>1415</v>
      </c>
      <c r="AU520" s="115" t="s">
        <v>2114</v>
      </c>
      <c r="AV520" s="115">
        <v>15</v>
      </c>
      <c r="AW520" s="115" t="s">
        <v>1577</v>
      </c>
      <c r="AX520" s="115" t="s">
        <v>1842</v>
      </c>
      <c r="AY520" s="115" t="s">
        <v>1849</v>
      </c>
      <c r="AZ520" s="115" t="s">
        <v>1854</v>
      </c>
      <c r="BA520" s="115"/>
      <c r="BB520" s="115"/>
      <c r="BC520" s="115"/>
      <c r="BD520" s="115"/>
      <c r="BE520" s="115">
        <v>843.9</v>
      </c>
      <c r="BF520" s="115"/>
      <c r="BG520" s="115">
        <v>2245.8959999999997</v>
      </c>
      <c r="BH520" s="115"/>
      <c r="BI520" s="115">
        <v>2525.5162500000001</v>
      </c>
      <c r="BJ520" s="115"/>
      <c r="BK520" s="115"/>
      <c r="BL520" s="115">
        <v>1134.8999999999999</v>
      </c>
      <c r="BM520" s="115"/>
      <c r="BN520" s="115"/>
      <c r="BO520" s="115"/>
      <c r="BP520" s="115"/>
      <c r="DB520" s="115"/>
      <c r="DR520" s="214"/>
      <c r="DY520" s="115"/>
      <c r="DZ520" s="334"/>
      <c r="EA520" s="334"/>
      <c r="EB520" s="334"/>
      <c r="EC520" s="334"/>
      <c r="ED520" s="187"/>
      <c r="EE520" s="330"/>
      <c r="EH520" s="334"/>
      <c r="EI520" s="334"/>
      <c r="EM520"/>
      <c r="EO520" s="115"/>
      <c r="EP520" s="334"/>
      <c r="EQ520" s="334"/>
      <c r="ER520" s="334"/>
      <c r="ES520" s="334"/>
      <c r="ET520" s="334"/>
      <c r="EU520" s="334"/>
      <c r="EV520" s="334"/>
    </row>
    <row r="521" spans="9:152" ht="13">
      <c r="I521" t="s">
        <v>2196</v>
      </c>
      <c r="J521" t="s">
        <v>1367</v>
      </c>
      <c r="K521">
        <v>8</v>
      </c>
      <c r="AI521" s="115" t="s">
        <v>1416</v>
      </c>
      <c r="AJ521" t="s">
        <v>2114</v>
      </c>
      <c r="AK521" s="115">
        <v>0</v>
      </c>
      <c r="AL521" s="115" t="s">
        <v>28</v>
      </c>
      <c r="AM521" s="115" t="s">
        <v>1849</v>
      </c>
      <c r="AN521" s="115" t="s">
        <v>1450</v>
      </c>
      <c r="AO521" s="115" t="s">
        <v>379</v>
      </c>
      <c r="AT521" s="115" t="s">
        <v>1416</v>
      </c>
      <c r="AU521" s="115" t="s">
        <v>2114</v>
      </c>
      <c r="AV521" s="115">
        <v>0</v>
      </c>
      <c r="AW521" s="115" t="s">
        <v>1577</v>
      </c>
      <c r="AX521" s="115" t="s">
        <v>1842</v>
      </c>
      <c r="AY521" s="115" t="s">
        <v>1850</v>
      </c>
      <c r="AZ521" s="115" t="s">
        <v>1854</v>
      </c>
      <c r="BA521" s="115"/>
      <c r="BB521" s="115"/>
      <c r="BC521" s="115"/>
      <c r="BD521" s="115"/>
      <c r="BE521" s="115"/>
      <c r="BF521" s="115"/>
      <c r="BG521" s="115">
        <v>38.800000000000004</v>
      </c>
      <c r="BH521" s="115"/>
      <c r="BI521" s="115"/>
      <c r="BJ521" s="115"/>
      <c r="BK521" s="115"/>
      <c r="BL521" s="115"/>
      <c r="BM521" s="115"/>
      <c r="BN521" s="115"/>
      <c r="BO521" s="115"/>
      <c r="BP521" s="115"/>
      <c r="DB521" s="115"/>
      <c r="DR521" s="214"/>
      <c r="DY521" s="115"/>
      <c r="DZ521" s="334"/>
      <c r="EA521" s="334"/>
      <c r="EB521" s="334"/>
      <c r="EC521" s="334"/>
      <c r="ED521" s="187"/>
      <c r="EE521" s="330"/>
      <c r="EH521" s="334"/>
      <c r="EI521" s="334"/>
      <c r="EM521"/>
      <c r="EO521" s="115"/>
      <c r="EP521" s="334"/>
      <c r="EQ521" s="334"/>
      <c r="ER521" s="334"/>
      <c r="ES521" s="334"/>
      <c r="ET521" s="334"/>
      <c r="EU521" s="334"/>
      <c r="EV521" s="334"/>
    </row>
    <row r="522" spans="9:152" ht="13">
      <c r="I522" t="s">
        <v>2196</v>
      </c>
      <c r="J522" t="s">
        <v>1362</v>
      </c>
      <c r="K522">
        <v>95</v>
      </c>
      <c r="AI522" s="115" t="s">
        <v>1416</v>
      </c>
      <c r="AJ522" t="s">
        <v>2114</v>
      </c>
      <c r="AK522" s="115">
        <v>0</v>
      </c>
      <c r="AL522" s="115" t="s">
        <v>28</v>
      </c>
      <c r="AM522" s="115" t="s">
        <v>1846</v>
      </c>
      <c r="AN522" s="115" t="s">
        <v>1450</v>
      </c>
      <c r="AO522" s="115" t="s">
        <v>379</v>
      </c>
      <c r="AT522" s="115" t="s">
        <v>1415</v>
      </c>
      <c r="AU522" s="115" t="s">
        <v>2114</v>
      </c>
      <c r="AV522" s="115">
        <v>15</v>
      </c>
      <c r="AW522" s="115" t="s">
        <v>1577</v>
      </c>
      <c r="AX522" s="115" t="s">
        <v>28</v>
      </c>
      <c r="AY522" s="115" t="s">
        <v>1850</v>
      </c>
      <c r="AZ522" s="115" t="s">
        <v>1854</v>
      </c>
      <c r="BA522" s="115">
        <v>1747.1155000000003</v>
      </c>
      <c r="BB522" s="115">
        <v>2811.06</v>
      </c>
      <c r="BC522" s="115">
        <v>8585.7003750000003</v>
      </c>
      <c r="BD522" s="115">
        <v>947.94704999999999</v>
      </c>
      <c r="BE522" s="115">
        <v>3127.4179218749996</v>
      </c>
      <c r="BF522" s="115">
        <v>507.85562499999997</v>
      </c>
      <c r="BG522" s="115">
        <v>976.73706249999998</v>
      </c>
      <c r="BH522" s="115">
        <v>1414.685951832</v>
      </c>
      <c r="BI522" s="115">
        <v>3385.9305000000004</v>
      </c>
      <c r="BJ522" s="115">
        <v>1893.9225750000001</v>
      </c>
      <c r="BK522" s="115">
        <v>282.02555999999998</v>
      </c>
      <c r="BL522" s="115">
        <v>628.60656000000006</v>
      </c>
      <c r="BM522" s="115"/>
      <c r="BN522" s="115"/>
      <c r="BO522" s="115"/>
      <c r="BP522" s="115"/>
      <c r="DB522" s="115"/>
      <c r="DR522" s="214"/>
      <c r="DY522" s="115"/>
      <c r="DZ522" s="334"/>
      <c r="EA522" s="334"/>
      <c r="EB522" s="334"/>
      <c r="EC522" s="334"/>
      <c r="ED522" s="187"/>
      <c r="EE522" s="330"/>
      <c r="EH522" s="334"/>
      <c r="EI522" s="334"/>
      <c r="EM522"/>
      <c r="EO522" s="115"/>
      <c r="EP522" s="334"/>
      <c r="EQ522" s="334"/>
      <c r="ER522" s="334"/>
      <c r="ES522" s="334"/>
      <c r="ET522" s="334"/>
      <c r="EU522" s="334"/>
      <c r="EV522" s="334"/>
    </row>
    <row r="523" spans="9:152" ht="13">
      <c r="I523" t="s">
        <v>2196</v>
      </c>
      <c r="J523" t="s">
        <v>1368</v>
      </c>
      <c r="K523">
        <v>11.5</v>
      </c>
      <c r="AI523" s="115" t="s">
        <v>1416</v>
      </c>
      <c r="AJ523" t="s">
        <v>2114</v>
      </c>
      <c r="AK523" s="115">
        <v>0</v>
      </c>
      <c r="AL523" s="115" t="s">
        <v>28</v>
      </c>
      <c r="AM523" s="115" t="s">
        <v>1846</v>
      </c>
      <c r="AN523" s="115" t="s">
        <v>1450</v>
      </c>
      <c r="AO523" s="115" t="s">
        <v>1645</v>
      </c>
      <c r="AT523" s="115" t="s">
        <v>1416</v>
      </c>
      <c r="AU523" s="115" t="s">
        <v>2114</v>
      </c>
      <c r="AV523" s="115">
        <v>0</v>
      </c>
      <c r="AW523" s="115" t="s">
        <v>1577</v>
      </c>
      <c r="AX523" s="115" t="s">
        <v>28</v>
      </c>
      <c r="AY523" s="115" t="s">
        <v>1850</v>
      </c>
      <c r="AZ523" s="115" t="s">
        <v>1854</v>
      </c>
      <c r="BA523" s="115">
        <v>594.61</v>
      </c>
      <c r="BB523" s="115">
        <v>1110.6499999999999</v>
      </c>
      <c r="BC523" s="115">
        <v>2712.8695312500004</v>
      </c>
      <c r="BD523" s="115">
        <v>392.60750000000002</v>
      </c>
      <c r="BE523" s="115">
        <v>117.17599999999999</v>
      </c>
      <c r="BF523" s="115">
        <v>137.34593749999999</v>
      </c>
      <c r="BG523" s="115">
        <v>91.567999999999998</v>
      </c>
      <c r="BH523" s="115">
        <v>468.70339627199991</v>
      </c>
      <c r="BI523" s="115">
        <v>474.7713500000001</v>
      </c>
      <c r="BJ523" s="115">
        <v>490.04399999999987</v>
      </c>
      <c r="BK523" s="115">
        <v>105.10919999999999</v>
      </c>
      <c r="BL523" s="115">
        <v>60.785049999999991</v>
      </c>
      <c r="BM523" s="115"/>
      <c r="BN523" s="115"/>
      <c r="BO523" s="115"/>
      <c r="BP523" s="115"/>
      <c r="DB523" s="115"/>
      <c r="DR523" s="214"/>
      <c r="DY523" s="115"/>
      <c r="DZ523" s="334"/>
      <c r="EA523" s="334"/>
      <c r="EB523" s="334"/>
      <c r="EC523" s="334"/>
      <c r="ED523" s="187"/>
      <c r="EE523" s="330"/>
      <c r="EH523" s="334"/>
      <c r="EI523" s="334"/>
      <c r="EM523"/>
      <c r="EO523" s="115"/>
      <c r="EP523" s="334"/>
      <c r="EQ523" s="334"/>
      <c r="ER523" s="334"/>
      <c r="ES523" s="334"/>
      <c r="ET523" s="334"/>
      <c r="EU523" s="334"/>
      <c r="EV523" s="334"/>
    </row>
    <row r="524" spans="9:152" ht="13">
      <c r="I524" t="s">
        <v>2196</v>
      </c>
      <c r="J524" t="s">
        <v>1360</v>
      </c>
      <c r="K524">
        <v>0.25</v>
      </c>
      <c r="AI524" s="115" t="s">
        <v>1416</v>
      </c>
      <c r="AJ524" t="s">
        <v>2114</v>
      </c>
      <c r="AK524" s="115">
        <v>0</v>
      </c>
      <c r="AL524" s="115" t="s">
        <v>28</v>
      </c>
      <c r="AM524" s="115" t="s">
        <v>1848</v>
      </c>
      <c r="AN524" s="115" t="s">
        <v>1450</v>
      </c>
      <c r="AO524" s="115" t="s">
        <v>1645</v>
      </c>
      <c r="AT524" s="115" t="s">
        <v>1415</v>
      </c>
      <c r="AU524" s="115" t="s">
        <v>2114</v>
      </c>
      <c r="AV524" s="115">
        <v>15</v>
      </c>
      <c r="AW524" s="115" t="s">
        <v>1577</v>
      </c>
      <c r="AX524" s="115" t="s">
        <v>1842</v>
      </c>
      <c r="AY524" s="115" t="s">
        <v>1850</v>
      </c>
      <c r="AZ524" s="115" t="s">
        <v>1854</v>
      </c>
      <c r="BA524" s="115">
        <v>384.11999999999995</v>
      </c>
      <c r="BB524" s="115"/>
      <c r="BC524" s="115"/>
      <c r="BD524" s="115"/>
      <c r="BE524" s="115">
        <v>843.9</v>
      </c>
      <c r="BF524" s="115"/>
      <c r="BG524" s="115">
        <v>1497.2640000000001</v>
      </c>
      <c r="BH524" s="115"/>
      <c r="BI524" s="115">
        <v>841.83875</v>
      </c>
      <c r="BJ524" s="115"/>
      <c r="BK524" s="115"/>
      <c r="BL524" s="115">
        <v>126.1</v>
      </c>
      <c r="BM524" s="115"/>
      <c r="BN524" s="115"/>
      <c r="BO524" s="115"/>
      <c r="BP524" s="115"/>
      <c r="DB524" s="115"/>
      <c r="DR524" s="214"/>
      <c r="DY524" s="115"/>
      <c r="DZ524" s="334"/>
      <c r="EA524" s="334"/>
      <c r="EB524" s="334"/>
      <c r="EC524" s="334"/>
      <c r="ED524" s="187"/>
      <c r="EE524" s="330"/>
      <c r="EH524" s="334"/>
      <c r="EI524" s="334"/>
      <c r="EM524"/>
      <c r="EO524" s="115"/>
      <c r="EP524" s="334"/>
      <c r="EQ524" s="334"/>
      <c r="ER524" s="334"/>
      <c r="ES524" s="334"/>
      <c r="ET524" s="334"/>
      <c r="EU524" s="334"/>
      <c r="EV524" s="334"/>
    </row>
    <row r="525" spans="9:152" ht="13">
      <c r="I525" t="s">
        <v>2196</v>
      </c>
      <c r="J525" t="s">
        <v>1358</v>
      </c>
      <c r="K525" t="s">
        <v>375</v>
      </c>
      <c r="AI525" s="115" t="s">
        <v>1416</v>
      </c>
      <c r="AJ525" t="s">
        <v>2114</v>
      </c>
      <c r="AK525" s="115">
        <v>0</v>
      </c>
      <c r="AL525" s="115" t="s">
        <v>28</v>
      </c>
      <c r="AM525" s="115" t="s">
        <v>1843</v>
      </c>
      <c r="AN525" s="115" t="s">
        <v>1450</v>
      </c>
      <c r="AO525" s="115" t="s">
        <v>1645</v>
      </c>
      <c r="AT525" s="115" t="s">
        <v>1415</v>
      </c>
      <c r="AU525" s="115" t="s">
        <v>2114</v>
      </c>
      <c r="AV525" s="115">
        <v>15</v>
      </c>
      <c r="AW525" s="115" t="s">
        <v>1577</v>
      </c>
      <c r="AX525" s="115" t="s">
        <v>1842</v>
      </c>
      <c r="AY525" s="115" t="s">
        <v>1832</v>
      </c>
      <c r="AZ525" s="115" t="s">
        <v>1854</v>
      </c>
      <c r="BA525" s="115">
        <v>395.99999999999994</v>
      </c>
      <c r="BB525" s="115"/>
      <c r="BC525" s="115"/>
      <c r="BD525" s="115"/>
      <c r="BE525" s="115">
        <v>1740</v>
      </c>
      <c r="BF525" s="115"/>
      <c r="BG525" s="115">
        <v>3858.9278350515465</v>
      </c>
      <c r="BH525" s="115"/>
      <c r="BI525" s="115">
        <v>3471.5</v>
      </c>
      <c r="BJ525" s="115"/>
      <c r="BK525" s="115"/>
      <c r="BL525" s="115">
        <v>1300</v>
      </c>
      <c r="BM525" s="115"/>
      <c r="BN525" s="115"/>
      <c r="BO525" s="115"/>
      <c r="BP525" s="115"/>
      <c r="DB525" s="115"/>
      <c r="DR525" s="214"/>
      <c r="DY525" s="115"/>
      <c r="DZ525" s="334"/>
      <c r="EA525" s="334"/>
      <c r="EB525" s="334"/>
      <c r="EC525" s="334"/>
      <c r="ED525" s="187"/>
      <c r="EE525" s="330"/>
      <c r="EH525" s="334"/>
      <c r="EI525" s="334"/>
      <c r="EM525"/>
      <c r="EO525" s="115"/>
      <c r="EP525" s="334"/>
      <c r="EQ525" s="334"/>
      <c r="ER525" s="334"/>
      <c r="ES525" s="334"/>
      <c r="ET525" s="334"/>
      <c r="EU525" s="334"/>
      <c r="EV525" s="334"/>
    </row>
    <row r="526" spans="9:152" ht="13">
      <c r="I526" t="s">
        <v>2196</v>
      </c>
      <c r="J526" t="s">
        <v>1354</v>
      </c>
      <c r="K526">
        <v>45751</v>
      </c>
      <c r="AI526" s="115" t="s">
        <v>1416</v>
      </c>
      <c r="AJ526" t="s">
        <v>2114</v>
      </c>
      <c r="AK526" s="115">
        <v>0</v>
      </c>
      <c r="AL526" s="115" t="s">
        <v>28</v>
      </c>
      <c r="AM526" s="115" t="s">
        <v>1850</v>
      </c>
      <c r="AN526" s="115" t="s">
        <v>1450</v>
      </c>
      <c r="AO526" s="115" t="s">
        <v>1645</v>
      </c>
      <c r="AT526" s="115" t="s">
        <v>1415</v>
      </c>
      <c r="AU526" s="115" t="s">
        <v>2114</v>
      </c>
      <c r="AV526" s="115">
        <v>15</v>
      </c>
      <c r="AW526" s="115" t="s">
        <v>1577</v>
      </c>
      <c r="AX526" s="115" t="s">
        <v>28</v>
      </c>
      <c r="AY526" s="115" t="s">
        <v>1832</v>
      </c>
      <c r="AZ526" s="115" t="s">
        <v>1854</v>
      </c>
      <c r="BA526" s="115">
        <v>1801.1500000000003</v>
      </c>
      <c r="BB526" s="115">
        <v>2898</v>
      </c>
      <c r="BC526" s="115">
        <v>11801.65</v>
      </c>
      <c r="BD526" s="115">
        <v>1954.53</v>
      </c>
      <c r="BE526" s="115">
        <v>6448.2843749999993</v>
      </c>
      <c r="BF526" s="115">
        <v>523.5625</v>
      </c>
      <c r="BG526" s="115">
        <v>4175.6817010309278</v>
      </c>
      <c r="BH526" s="115">
        <v>14584.391256000001</v>
      </c>
      <c r="BI526" s="115">
        <v>12192.779999999999</v>
      </c>
      <c r="BJ526" s="115">
        <v>2169.4416666666671</v>
      </c>
      <c r="BK526" s="115">
        <v>2907.4799999999996</v>
      </c>
      <c r="BL526" s="115">
        <v>6480.48</v>
      </c>
      <c r="BM526" s="115"/>
      <c r="BN526" s="115"/>
      <c r="BO526" s="115"/>
      <c r="BP526" s="115"/>
      <c r="DB526" s="115"/>
      <c r="DR526" s="214"/>
      <c r="DY526" s="115"/>
      <c r="DZ526" s="334"/>
      <c r="EA526" s="334"/>
      <c r="EB526" s="334"/>
      <c r="EC526" s="334"/>
      <c r="ED526" s="187"/>
      <c r="EE526" s="330"/>
      <c r="EH526" s="334"/>
      <c r="EI526" s="334"/>
      <c r="EM526"/>
      <c r="EO526" s="115"/>
      <c r="EP526" s="334"/>
      <c r="EQ526" s="334"/>
      <c r="ER526" s="334"/>
      <c r="ES526" s="334"/>
      <c r="ET526" s="334"/>
      <c r="EU526" s="334"/>
      <c r="EV526" s="334"/>
    </row>
    <row r="527" spans="9:152" ht="13">
      <c r="I527" t="s">
        <v>2196</v>
      </c>
      <c r="J527" t="s">
        <v>1365</v>
      </c>
      <c r="K527">
        <v>15</v>
      </c>
      <c r="AI527" s="115" t="s">
        <v>1416</v>
      </c>
      <c r="AJ527" t="s">
        <v>2114</v>
      </c>
      <c r="AK527" s="115">
        <v>0</v>
      </c>
      <c r="AL527" s="115" t="s">
        <v>28</v>
      </c>
      <c r="AM527" s="115" t="s">
        <v>1849</v>
      </c>
      <c r="AN527" s="115" t="s">
        <v>1450</v>
      </c>
      <c r="AO527" s="115" t="s">
        <v>1645</v>
      </c>
      <c r="AT527" s="115" t="s">
        <v>1416</v>
      </c>
      <c r="AU527" s="115" t="s">
        <v>2114</v>
      </c>
      <c r="AV527" s="115">
        <v>0</v>
      </c>
      <c r="AW527" s="115" t="s">
        <v>1577</v>
      </c>
      <c r="AX527" s="115" t="s">
        <v>28</v>
      </c>
      <c r="AY527" s="115" t="s">
        <v>1832</v>
      </c>
      <c r="AZ527" s="115" t="s">
        <v>1854</v>
      </c>
      <c r="BA527" s="115">
        <v>613.00000000000011</v>
      </c>
      <c r="BB527" s="115">
        <v>1145</v>
      </c>
      <c r="BC527" s="115">
        <v>3729.0302835051548</v>
      </c>
      <c r="BD527" s="115">
        <v>809.5</v>
      </c>
      <c r="BE527" s="115">
        <v>241.60000000000002</v>
      </c>
      <c r="BF527" s="115">
        <v>141.59375</v>
      </c>
      <c r="BG527" s="115">
        <v>472</v>
      </c>
      <c r="BH527" s="115">
        <v>4831.9937759999984</v>
      </c>
      <c r="BI527" s="115">
        <v>1731.92</v>
      </c>
      <c r="BJ527" s="115">
        <v>561.33333333333326</v>
      </c>
      <c r="BK527" s="115">
        <v>1083.5999999999999</v>
      </c>
      <c r="BL527" s="115">
        <v>626.65</v>
      </c>
      <c r="BM527" s="115"/>
      <c r="BN527" s="115"/>
      <c r="BO527" s="115"/>
      <c r="BP527" s="115"/>
      <c r="DB527" s="115"/>
      <c r="DR527" s="214"/>
      <c r="DY527" s="115"/>
      <c r="DZ527" s="334"/>
      <c r="EA527" s="334"/>
      <c r="EB527" s="334"/>
      <c r="EC527" s="334"/>
      <c r="ED527" s="187"/>
      <c r="EE527" s="330"/>
      <c r="EH527" s="334"/>
      <c r="EI527" s="334"/>
      <c r="EM527"/>
      <c r="EO527" s="115"/>
      <c r="EP527" s="334"/>
      <c r="EQ527" s="334"/>
      <c r="ER527" s="334"/>
      <c r="ES527" s="334"/>
      <c r="ET527" s="334"/>
      <c r="EU527" s="334"/>
      <c r="EV527" s="334"/>
    </row>
    <row r="528" spans="9:152" ht="13">
      <c r="I528" t="s">
        <v>2196</v>
      </c>
      <c r="J528" t="s">
        <v>1356</v>
      </c>
      <c r="K528" t="s">
        <v>1359</v>
      </c>
      <c r="AI528" s="115" t="s">
        <v>1416</v>
      </c>
      <c r="AJ528" t="s">
        <v>2114</v>
      </c>
      <c r="AK528" s="115">
        <v>0</v>
      </c>
      <c r="AL528" s="115" t="s">
        <v>28</v>
      </c>
      <c r="AM528" s="115" t="s">
        <v>1832</v>
      </c>
      <c r="AN528" s="115" t="s">
        <v>1450</v>
      </c>
      <c r="AO528" s="115" t="s">
        <v>1645</v>
      </c>
      <c r="AT528" s="115" t="s">
        <v>1416</v>
      </c>
      <c r="AU528" s="115" t="s">
        <v>2114</v>
      </c>
      <c r="AV528" s="115">
        <v>0</v>
      </c>
      <c r="AW528" s="115" t="s">
        <v>1577</v>
      </c>
      <c r="AX528" s="115" t="s">
        <v>1842</v>
      </c>
      <c r="AY528" s="115" t="s">
        <v>1832</v>
      </c>
      <c r="AZ528" s="115" t="s">
        <v>1854</v>
      </c>
      <c r="BA528" s="115"/>
      <c r="BB528" s="115"/>
      <c r="BC528" s="115"/>
      <c r="BD528" s="115"/>
      <c r="BE528" s="115"/>
      <c r="BF528" s="115"/>
      <c r="BG528" s="115">
        <v>100</v>
      </c>
      <c r="BH528" s="115"/>
      <c r="BI528" s="115"/>
      <c r="BJ528" s="115"/>
      <c r="BK528" s="115"/>
      <c r="BL528" s="115"/>
      <c r="BM528" s="115"/>
      <c r="BN528" s="115"/>
      <c r="BO528" s="115"/>
      <c r="BP528" s="115"/>
      <c r="DB528" s="115"/>
      <c r="DR528" s="214"/>
      <c r="DY528" s="115"/>
      <c r="DZ528" s="334"/>
      <c r="EA528" s="334"/>
      <c r="EB528" s="334"/>
      <c r="EC528" s="334"/>
      <c r="ED528" s="187"/>
      <c r="EE528" s="330"/>
      <c r="EH528" s="334"/>
      <c r="EI528" s="334"/>
      <c r="EM528"/>
      <c r="EO528" s="115"/>
      <c r="EP528" s="334"/>
      <c r="EQ528" s="334"/>
      <c r="ER528" s="334"/>
      <c r="ES528" s="334"/>
      <c r="ET528" s="334"/>
      <c r="EU528" s="334"/>
      <c r="EV528" s="334"/>
    </row>
    <row r="529" spans="9:152" ht="13">
      <c r="I529" t="s">
        <v>2196</v>
      </c>
      <c r="J529" t="s">
        <v>1366</v>
      </c>
      <c r="K529">
        <v>3</v>
      </c>
      <c r="AI529" s="115" t="s">
        <v>1416</v>
      </c>
      <c r="AJ529" t="s">
        <v>2114</v>
      </c>
      <c r="AK529" s="115">
        <v>0</v>
      </c>
      <c r="AL529" s="115" t="s">
        <v>28</v>
      </c>
      <c r="AM529" s="115" t="s">
        <v>1846</v>
      </c>
      <c r="AN529" s="115" t="s">
        <v>1450</v>
      </c>
      <c r="AO529" s="115" t="s">
        <v>1646</v>
      </c>
      <c r="AT529" s="115" t="s">
        <v>1415</v>
      </c>
      <c r="AU529" s="115" t="s">
        <v>2114</v>
      </c>
      <c r="AV529" s="115">
        <v>16</v>
      </c>
      <c r="AW529" s="115" t="s">
        <v>1680</v>
      </c>
      <c r="AX529" s="115" t="s">
        <v>28</v>
      </c>
      <c r="AY529" s="115" t="s">
        <v>1848</v>
      </c>
      <c r="AZ529" s="115" t="s">
        <v>1864</v>
      </c>
      <c r="BA529" s="115">
        <v>11561.7236675</v>
      </c>
      <c r="BB529" s="115"/>
      <c r="BC529" s="115"/>
      <c r="BD529" s="115"/>
      <c r="BE529" s="115"/>
      <c r="BF529" s="115"/>
      <c r="BG529" s="115"/>
      <c r="BH529" s="115"/>
      <c r="BI529" s="115"/>
      <c r="BJ529" s="115"/>
      <c r="BK529" s="115"/>
      <c r="BL529" s="115"/>
      <c r="BM529" s="115"/>
      <c r="BN529" s="115"/>
      <c r="BO529" s="115"/>
      <c r="BP529" s="115"/>
      <c r="DB529" s="115"/>
      <c r="DR529" s="214"/>
      <c r="DY529" s="115"/>
      <c r="DZ529" s="334"/>
      <c r="EA529" s="334"/>
      <c r="EB529" s="334"/>
      <c r="EC529" s="334"/>
      <c r="ED529" s="187"/>
      <c r="EE529" s="330"/>
      <c r="EH529" s="334"/>
      <c r="EI529" s="334"/>
      <c r="EM529"/>
      <c r="EO529" s="115"/>
      <c r="EP529" s="334"/>
      <c r="EQ529" s="334"/>
      <c r="ER529" s="334"/>
      <c r="ES529" s="334"/>
      <c r="ET529" s="334"/>
      <c r="EU529" s="334"/>
      <c r="EV529" s="334"/>
    </row>
    <row r="530" spans="9:152" ht="13">
      <c r="I530" t="s">
        <v>2196</v>
      </c>
      <c r="J530" t="s">
        <v>1357</v>
      </c>
      <c r="K530">
        <v>4193.8770575787257</v>
      </c>
      <c r="AI530" s="115" t="s">
        <v>1416</v>
      </c>
      <c r="AJ530" t="s">
        <v>2114</v>
      </c>
      <c r="AK530" s="115">
        <v>0</v>
      </c>
      <c r="AL530" s="115" t="s">
        <v>28</v>
      </c>
      <c r="AM530" s="115" t="s">
        <v>1843</v>
      </c>
      <c r="AN530" s="115" t="s">
        <v>1450</v>
      </c>
      <c r="AO530" s="115" t="s">
        <v>1646</v>
      </c>
      <c r="AT530" s="115" t="s">
        <v>1415</v>
      </c>
      <c r="AU530" s="115" t="s">
        <v>2114</v>
      </c>
      <c r="AV530" s="115">
        <v>16</v>
      </c>
      <c r="AW530" s="115" t="s">
        <v>1680</v>
      </c>
      <c r="AX530" s="115" t="s">
        <v>28</v>
      </c>
      <c r="AY530" s="115" t="s">
        <v>1843</v>
      </c>
      <c r="AZ530" s="115" t="s">
        <v>1864</v>
      </c>
      <c r="BA530" s="115">
        <v>11472.617113402062</v>
      </c>
      <c r="BB530" s="115"/>
      <c r="BC530" s="115"/>
      <c r="BD530" s="115"/>
      <c r="BE530" s="115"/>
      <c r="BF530" s="115"/>
      <c r="BG530" s="115"/>
      <c r="BH530" s="115"/>
      <c r="BI530" s="115"/>
      <c r="BJ530" s="115"/>
      <c r="BK530" s="115"/>
      <c r="BL530" s="115"/>
      <c r="BM530" s="115"/>
      <c r="BN530" s="115"/>
      <c r="BO530" s="115"/>
      <c r="BP530" s="115"/>
      <c r="DB530" s="115"/>
      <c r="DR530" s="214"/>
      <c r="DY530" s="115"/>
      <c r="DZ530" s="334"/>
      <c r="EA530" s="334"/>
      <c r="EB530" s="334"/>
      <c r="EC530" s="334"/>
      <c r="ED530" s="187"/>
      <c r="EE530" s="330"/>
      <c r="EH530" s="334"/>
      <c r="EI530" s="334"/>
      <c r="EM530"/>
      <c r="EO530" s="115"/>
      <c r="EP530" s="334"/>
      <c r="EQ530" s="334"/>
      <c r="ER530" s="334"/>
      <c r="ES530" s="334"/>
      <c r="ET530" s="334"/>
      <c r="EU530" s="334"/>
      <c r="EV530" s="334"/>
    </row>
    <row r="531" spans="9:152" ht="13">
      <c r="AI531" s="115" t="s">
        <v>1416</v>
      </c>
      <c r="AJ531" t="s">
        <v>2114</v>
      </c>
      <c r="AK531" s="115">
        <v>0</v>
      </c>
      <c r="AL531" s="115" t="s">
        <v>28</v>
      </c>
      <c r="AM531" s="115" t="s">
        <v>1843</v>
      </c>
      <c r="AN531" s="115" t="s">
        <v>1450</v>
      </c>
      <c r="AO531" s="115" t="s">
        <v>1647</v>
      </c>
      <c r="AT531" s="115" t="s">
        <v>1415</v>
      </c>
      <c r="AU531" s="115" t="s">
        <v>2114</v>
      </c>
      <c r="AV531" s="115">
        <v>16</v>
      </c>
      <c r="AW531" s="115" t="s">
        <v>1680</v>
      </c>
      <c r="AX531" s="115" t="s">
        <v>28</v>
      </c>
      <c r="AY531" s="115" t="s">
        <v>1850</v>
      </c>
      <c r="AZ531" s="115" t="s">
        <v>1864</v>
      </c>
      <c r="BA531" s="115">
        <v>215.82500000000002</v>
      </c>
      <c r="BB531" s="115"/>
      <c r="BC531" s="115"/>
      <c r="BD531" s="115"/>
      <c r="BE531" s="115"/>
      <c r="BF531" s="115"/>
      <c r="BG531" s="115"/>
      <c r="BH531" s="115"/>
      <c r="BI531" s="115"/>
      <c r="BJ531" s="115"/>
      <c r="BK531" s="115"/>
      <c r="BL531" s="115"/>
      <c r="BM531" s="115"/>
      <c r="BN531" s="115"/>
      <c r="BO531" s="115"/>
      <c r="BP531" s="115"/>
      <c r="DB531" s="115"/>
      <c r="DR531" s="214"/>
      <c r="DY531" s="115"/>
      <c r="DZ531" s="334"/>
      <c r="EA531" s="334"/>
      <c r="EB531" s="334"/>
      <c r="EC531" s="334"/>
      <c r="ED531" s="187"/>
      <c r="EE531" s="330"/>
      <c r="EH531" s="334"/>
      <c r="EI531" s="334"/>
      <c r="EM531"/>
      <c r="EO531" s="115"/>
      <c r="EP531" s="334"/>
      <c r="EQ531" s="334"/>
      <c r="ER531" s="334"/>
      <c r="ES531" s="334"/>
      <c r="ET531" s="334"/>
      <c r="EU531" s="334"/>
      <c r="EV531" s="334"/>
    </row>
    <row r="532" spans="9:152" ht="13">
      <c r="AI532" s="115" t="s">
        <v>1416</v>
      </c>
      <c r="AJ532" t="s">
        <v>2114</v>
      </c>
      <c r="AK532" s="115">
        <v>0</v>
      </c>
      <c r="AL532" s="115" t="s">
        <v>28</v>
      </c>
      <c r="AM532" s="115" t="s">
        <v>1846</v>
      </c>
      <c r="AN532" s="115" t="s">
        <v>1450</v>
      </c>
      <c r="AO532" s="115" t="s">
        <v>1647</v>
      </c>
      <c r="AT532" s="115" t="s">
        <v>1415</v>
      </c>
      <c r="AU532" s="115" t="s">
        <v>2114</v>
      </c>
      <c r="AV532" s="115">
        <v>16</v>
      </c>
      <c r="AW532" s="115" t="s">
        <v>1680</v>
      </c>
      <c r="AX532" s="115" t="s">
        <v>28</v>
      </c>
      <c r="AY532" s="115" t="s">
        <v>1832</v>
      </c>
      <c r="AZ532" s="115" t="s">
        <v>1864</v>
      </c>
      <c r="BA532" s="115">
        <v>222.50000000000003</v>
      </c>
      <c r="BB532" s="115"/>
      <c r="BC532" s="115"/>
      <c r="BD532" s="115"/>
      <c r="BE532" s="115"/>
      <c r="BF532" s="115"/>
      <c r="BG532" s="115"/>
      <c r="BH532" s="115"/>
      <c r="BI532" s="115"/>
      <c r="BJ532" s="115"/>
      <c r="BK532" s="115"/>
      <c r="BL532" s="115"/>
      <c r="BM532" s="115"/>
      <c r="BN532" s="115"/>
      <c r="BO532" s="115"/>
      <c r="BP532" s="115"/>
      <c r="DB532" s="115"/>
      <c r="DR532" s="214"/>
      <c r="DY532" s="115"/>
      <c r="DZ532" s="334"/>
      <c r="EA532" s="334"/>
      <c r="EB532" s="334"/>
      <c r="EC532" s="334"/>
      <c r="ED532" s="187"/>
      <c r="EE532" s="330"/>
      <c r="EH532" s="334"/>
      <c r="EI532" s="334"/>
      <c r="EM532"/>
      <c r="EO532" s="115"/>
      <c r="EP532" s="334"/>
      <c r="EQ532" s="334"/>
      <c r="ER532" s="334"/>
      <c r="ES532" s="334"/>
      <c r="ET532" s="334"/>
      <c r="EU532" s="334"/>
      <c r="EV532" s="334"/>
    </row>
    <row r="533" spans="9:152" ht="13">
      <c r="AI533" s="115" t="s">
        <v>1416</v>
      </c>
      <c r="AJ533" t="s">
        <v>2114</v>
      </c>
      <c r="AK533" s="115">
        <v>0</v>
      </c>
      <c r="AL533" s="115" t="s">
        <v>28</v>
      </c>
      <c r="AM533" s="115" t="s">
        <v>1846</v>
      </c>
      <c r="AN533" s="115" t="s">
        <v>1450</v>
      </c>
      <c r="AO533" s="115" t="s">
        <v>1639</v>
      </c>
      <c r="AT533" s="115" t="s">
        <v>1415</v>
      </c>
      <c r="AU533" s="115" t="s">
        <v>2114</v>
      </c>
      <c r="AV533" s="115">
        <v>16</v>
      </c>
      <c r="AW533" s="115" t="s">
        <v>1680</v>
      </c>
      <c r="AX533" s="115" t="s">
        <v>28</v>
      </c>
      <c r="AY533" s="115" t="s">
        <v>1846</v>
      </c>
      <c r="AZ533" s="115" t="s">
        <v>1865</v>
      </c>
      <c r="BA533" s="115"/>
      <c r="BB533" s="115"/>
      <c r="BC533" s="115"/>
      <c r="BD533" s="115"/>
      <c r="BE533" s="115">
        <v>1066.2509946150001</v>
      </c>
      <c r="BF533" s="115"/>
      <c r="BG533" s="115"/>
      <c r="BH533" s="115">
        <v>1247.3689620928537</v>
      </c>
      <c r="BI533" s="115"/>
      <c r="BJ533" s="115">
        <v>195.85372819999995</v>
      </c>
      <c r="BK533" s="115"/>
      <c r="BL533" s="115"/>
      <c r="BM533" s="115"/>
      <c r="BN533" s="115"/>
      <c r="BO533" s="115"/>
      <c r="BP533" s="115"/>
      <c r="DB533" s="115"/>
      <c r="DR533" s="214"/>
      <c r="DY533" s="115"/>
      <c r="DZ533" s="334"/>
      <c r="EA533" s="334"/>
      <c r="EB533" s="334"/>
      <c r="EC533" s="334"/>
      <c r="ED533" s="187"/>
      <c r="EE533" s="330"/>
      <c r="EH533" s="334"/>
      <c r="EI533" s="334"/>
      <c r="EM533"/>
      <c r="EO533" s="115"/>
      <c r="EP533" s="334"/>
      <c r="EQ533" s="334"/>
      <c r="ER533" s="334"/>
      <c r="ES533" s="334"/>
      <c r="ET533" s="334"/>
      <c r="EU533" s="334"/>
      <c r="EV533" s="334"/>
    </row>
    <row r="534" spans="9:152" ht="13">
      <c r="AI534" s="115" t="s">
        <v>1416</v>
      </c>
      <c r="AJ534" t="s">
        <v>2114</v>
      </c>
      <c r="AK534" s="115">
        <v>0</v>
      </c>
      <c r="AL534" s="115" t="s">
        <v>28</v>
      </c>
      <c r="AM534" s="115" t="s">
        <v>1843</v>
      </c>
      <c r="AN534" s="115" t="s">
        <v>1450</v>
      </c>
      <c r="AO534" s="115" t="s">
        <v>1639</v>
      </c>
      <c r="AT534" s="115" t="s">
        <v>1415</v>
      </c>
      <c r="AU534" s="115" t="s">
        <v>2114</v>
      </c>
      <c r="AV534" s="115">
        <v>16</v>
      </c>
      <c r="AW534" s="115" t="s">
        <v>1680</v>
      </c>
      <c r="AX534" s="115" t="s">
        <v>28</v>
      </c>
      <c r="AY534" s="115" t="s">
        <v>1848</v>
      </c>
      <c r="AZ534" s="115" t="s">
        <v>1865</v>
      </c>
      <c r="BA534" s="115"/>
      <c r="BB534" s="115">
        <v>22116.856704000002</v>
      </c>
      <c r="BC534" s="115"/>
      <c r="BD534" s="115"/>
      <c r="BE534" s="115">
        <v>977.64547743500009</v>
      </c>
      <c r="BF534" s="115"/>
      <c r="BG534" s="115"/>
      <c r="BH534" s="115">
        <v>123.42135738628699</v>
      </c>
      <c r="BI534" s="115"/>
      <c r="BJ534" s="115">
        <v>983.78927083124984</v>
      </c>
      <c r="BK534" s="115"/>
      <c r="BL534" s="115"/>
      <c r="BM534" s="115"/>
      <c r="BN534" s="115"/>
      <c r="BO534" s="115"/>
      <c r="BP534" s="115"/>
      <c r="DB534" s="115"/>
      <c r="DR534" s="214"/>
      <c r="DY534" s="115"/>
      <c r="DZ534" s="334"/>
      <c r="EA534" s="334"/>
      <c r="EB534" s="334"/>
      <c r="EC534" s="334"/>
      <c r="ED534" s="187"/>
      <c r="EE534" s="330"/>
      <c r="EH534" s="334"/>
      <c r="EI534" s="334"/>
      <c r="EM534"/>
      <c r="EO534" s="115"/>
      <c r="EP534" s="334"/>
      <c r="EQ534" s="334"/>
      <c r="ER534" s="334"/>
      <c r="ES534" s="334"/>
      <c r="ET534" s="334"/>
      <c r="EU534" s="334"/>
      <c r="EV534" s="334"/>
    </row>
    <row r="535" spans="9:152" ht="13">
      <c r="AI535" s="115" t="s">
        <v>1416</v>
      </c>
      <c r="AJ535" t="s">
        <v>2114</v>
      </c>
      <c r="AK535" s="115">
        <v>0</v>
      </c>
      <c r="AL535" s="115" t="s">
        <v>28</v>
      </c>
      <c r="AM535" s="115" t="s">
        <v>1843</v>
      </c>
      <c r="AN535" s="115" t="s">
        <v>1450</v>
      </c>
      <c r="AO535" s="115" t="s">
        <v>373</v>
      </c>
      <c r="AT535" s="115" t="s">
        <v>1415</v>
      </c>
      <c r="AU535" s="115" t="s">
        <v>2114</v>
      </c>
      <c r="AV535" s="115">
        <v>16</v>
      </c>
      <c r="AW535" s="115" t="s">
        <v>1680</v>
      </c>
      <c r="AX535" s="115" t="s">
        <v>28</v>
      </c>
      <c r="AY535" s="115" t="s">
        <v>1843</v>
      </c>
      <c r="AZ535" s="115" t="s">
        <v>1865</v>
      </c>
      <c r="BA535" s="115"/>
      <c r="BB535" s="115">
        <v>21946.371340206188</v>
      </c>
      <c r="BC535" s="115"/>
      <c r="BD535" s="115"/>
      <c r="BE535" s="115">
        <v>2019.2922680412373</v>
      </c>
      <c r="BF535" s="115"/>
      <c r="BG535" s="115"/>
      <c r="BH535" s="115">
        <v>1270.6367010309277</v>
      </c>
      <c r="BI535" s="115"/>
      <c r="BJ535" s="115">
        <v>1168.9254639175258</v>
      </c>
      <c r="BK535" s="115"/>
      <c r="BL535" s="115"/>
      <c r="BM535" s="115"/>
      <c r="BN535" s="115"/>
      <c r="BO535" s="115"/>
      <c r="BP535" s="115"/>
      <c r="DB535" s="115"/>
      <c r="DR535" s="214"/>
      <c r="DY535" s="115"/>
      <c r="DZ535" s="334"/>
      <c r="EA535" s="334"/>
      <c r="EB535" s="334"/>
      <c r="EC535" s="334"/>
      <c r="ED535" s="187"/>
      <c r="EE535" s="330"/>
      <c r="EH535" s="334"/>
      <c r="EI535" s="334"/>
      <c r="EM535"/>
      <c r="EO535" s="115"/>
      <c r="EP535" s="334"/>
      <c r="EQ535" s="334"/>
      <c r="ER535" s="334"/>
      <c r="ES535" s="334"/>
      <c r="ET535" s="334"/>
      <c r="EU535" s="334"/>
      <c r="EV535" s="334"/>
    </row>
    <row r="536" spans="9:152" ht="13">
      <c r="AI536" s="115" t="s">
        <v>1416</v>
      </c>
      <c r="AJ536" t="s">
        <v>2114</v>
      </c>
      <c r="AK536" s="115">
        <v>0</v>
      </c>
      <c r="AL536" s="115" t="s">
        <v>28</v>
      </c>
      <c r="AM536" s="115" t="s">
        <v>1849</v>
      </c>
      <c r="AN536" s="115" t="s">
        <v>1450</v>
      </c>
      <c r="AO536" s="115" t="s">
        <v>373</v>
      </c>
      <c r="AT536" s="115" t="s">
        <v>1415</v>
      </c>
      <c r="AU536" s="115" t="s">
        <v>2114</v>
      </c>
      <c r="AV536" s="115">
        <v>16</v>
      </c>
      <c r="AW536" s="115" t="s">
        <v>1680</v>
      </c>
      <c r="AX536" s="115" t="s">
        <v>28</v>
      </c>
      <c r="AY536" s="115" t="s">
        <v>1849</v>
      </c>
      <c r="AZ536" s="115" t="s">
        <v>1865</v>
      </c>
      <c r="BA536" s="115"/>
      <c r="BB536" s="115"/>
      <c r="BC536" s="115"/>
      <c r="BD536" s="115"/>
      <c r="BE536" s="115">
        <v>21.034450000000003</v>
      </c>
      <c r="BF536" s="115"/>
      <c r="BG536" s="115"/>
      <c r="BH536" s="115">
        <v>25.516916825400003</v>
      </c>
      <c r="BI536" s="115"/>
      <c r="BJ536" s="115">
        <v>2.4431874999999992</v>
      </c>
      <c r="BK536" s="115"/>
      <c r="BL536" s="115"/>
      <c r="BM536" s="115"/>
      <c r="BN536" s="115"/>
      <c r="BO536" s="115"/>
      <c r="BP536" s="115"/>
      <c r="DB536" s="115"/>
      <c r="DR536" s="214"/>
      <c r="DY536" s="115"/>
      <c r="DZ536" s="334"/>
      <c r="EA536" s="334"/>
      <c r="EB536" s="334"/>
      <c r="EC536" s="334"/>
      <c r="ED536" s="187"/>
      <c r="EE536" s="330"/>
      <c r="EH536" s="334"/>
      <c r="EI536" s="334"/>
      <c r="EM536"/>
      <c r="EO536" s="115"/>
      <c r="EP536" s="334"/>
      <c r="EQ536" s="334"/>
      <c r="ER536" s="334"/>
      <c r="ES536" s="334"/>
      <c r="ET536" s="334"/>
      <c r="EU536" s="334"/>
      <c r="EV536" s="334"/>
    </row>
    <row r="537" spans="9:152" ht="13">
      <c r="AI537" s="115" t="s">
        <v>1416</v>
      </c>
      <c r="AJ537" t="s">
        <v>2114</v>
      </c>
      <c r="AK537" s="115">
        <v>0</v>
      </c>
      <c r="AL537" s="115" t="s">
        <v>28</v>
      </c>
      <c r="AM537" s="115" t="s">
        <v>1846</v>
      </c>
      <c r="AN537" s="115" t="s">
        <v>1450</v>
      </c>
      <c r="AO537" s="115" t="s">
        <v>373</v>
      </c>
      <c r="AT537" s="115" t="s">
        <v>1415</v>
      </c>
      <c r="AU537" s="115" t="s">
        <v>2114</v>
      </c>
      <c r="AV537" s="115">
        <v>16</v>
      </c>
      <c r="AW537" s="115" t="s">
        <v>1680</v>
      </c>
      <c r="AX537" s="115" t="s">
        <v>28</v>
      </c>
      <c r="AY537" s="115" t="s">
        <v>1850</v>
      </c>
      <c r="AZ537" s="115" t="s">
        <v>1865</v>
      </c>
      <c r="BA537" s="115"/>
      <c r="BB537" s="115">
        <v>550.96</v>
      </c>
      <c r="BC537" s="115"/>
      <c r="BD537" s="115"/>
      <c r="BE537" s="115">
        <v>21.034450000000003</v>
      </c>
      <c r="BF537" s="115"/>
      <c r="BG537" s="115"/>
      <c r="BH537" s="115">
        <v>2.8352129806000006</v>
      </c>
      <c r="BI537" s="115"/>
      <c r="BJ537" s="115">
        <v>21.988687499999997</v>
      </c>
      <c r="BK537" s="115"/>
      <c r="BL537" s="115"/>
      <c r="BM537" s="115"/>
      <c r="BN537" s="115"/>
      <c r="BO537" s="115"/>
      <c r="BP537" s="115"/>
      <c r="DB537" s="115"/>
      <c r="DR537" s="214"/>
      <c r="DY537" s="115"/>
      <c r="DZ537" s="334"/>
      <c r="EA537" s="334"/>
      <c r="EB537" s="334"/>
      <c r="EC537" s="334"/>
      <c r="ED537" s="187"/>
      <c r="EE537" s="330"/>
      <c r="EH537" s="334"/>
      <c r="EI537" s="334"/>
      <c r="EM537"/>
      <c r="EO537" s="115"/>
      <c r="EP537" s="334"/>
      <c r="EQ537" s="334"/>
      <c r="ER537" s="334"/>
      <c r="ES537" s="334"/>
      <c r="ET537" s="334"/>
      <c r="EU537" s="334"/>
      <c r="EV537" s="334"/>
    </row>
    <row r="538" spans="9:152" ht="13">
      <c r="AI538" s="115" t="s">
        <v>1416</v>
      </c>
      <c r="AJ538" t="s">
        <v>2114</v>
      </c>
      <c r="AK538" s="115">
        <v>0</v>
      </c>
      <c r="AL538" s="115" t="s">
        <v>28</v>
      </c>
      <c r="AM538" s="115" t="s">
        <v>1832</v>
      </c>
      <c r="AN538" s="115" t="s">
        <v>1450</v>
      </c>
      <c r="AO538" s="115" t="s">
        <v>373</v>
      </c>
      <c r="AT538" s="115" t="s">
        <v>1415</v>
      </c>
      <c r="AU538" s="115" t="s">
        <v>2114</v>
      </c>
      <c r="AV538" s="115">
        <v>16</v>
      </c>
      <c r="AW538" s="115" t="s">
        <v>1680</v>
      </c>
      <c r="AX538" s="115" t="s">
        <v>28</v>
      </c>
      <c r="AY538" s="115" t="s">
        <v>1832</v>
      </c>
      <c r="AZ538" s="115" t="s">
        <v>1865</v>
      </c>
      <c r="BA538" s="115"/>
      <c r="BB538" s="115">
        <v>568</v>
      </c>
      <c r="BC538" s="115"/>
      <c r="BD538" s="115"/>
      <c r="BE538" s="115">
        <v>43.370000000000005</v>
      </c>
      <c r="BF538" s="115"/>
      <c r="BG538" s="115"/>
      <c r="BH538" s="115">
        <v>29.228999800000004</v>
      </c>
      <c r="BI538" s="115"/>
      <c r="BJ538" s="115">
        <v>25.1875</v>
      </c>
      <c r="BK538" s="115"/>
      <c r="BL538" s="115"/>
      <c r="BM538" s="115"/>
      <c r="BN538" s="115"/>
      <c r="BO538" s="115"/>
      <c r="BP538" s="115"/>
      <c r="DB538" s="115"/>
      <c r="DR538" s="214"/>
      <c r="DY538" s="115"/>
      <c r="DZ538" s="334"/>
      <c r="EA538" s="334"/>
      <c r="EB538" s="334"/>
      <c r="EC538" s="334"/>
      <c r="ED538" s="187"/>
      <c r="EE538" s="330"/>
      <c r="EH538" s="334"/>
      <c r="EI538" s="334"/>
      <c r="EM538"/>
      <c r="EO538" s="115"/>
      <c r="EP538" s="334"/>
      <c r="EQ538" s="334"/>
      <c r="ER538" s="334"/>
      <c r="ES538" s="334"/>
      <c r="ET538" s="334"/>
      <c r="EU538" s="334"/>
      <c r="EV538" s="334"/>
    </row>
    <row r="539" spans="9:152" ht="13">
      <c r="AI539" s="115" t="s">
        <v>1416</v>
      </c>
      <c r="AJ539" t="s">
        <v>2114</v>
      </c>
      <c r="AK539" s="115">
        <v>0</v>
      </c>
      <c r="AL539" s="115" t="s">
        <v>28</v>
      </c>
      <c r="AM539" s="115" t="s">
        <v>1848</v>
      </c>
      <c r="AN539" s="115" t="s">
        <v>1450</v>
      </c>
      <c r="AO539" s="115" t="s">
        <v>373</v>
      </c>
      <c r="AT539" s="115" t="s">
        <v>1415</v>
      </c>
      <c r="AU539" s="115" t="s">
        <v>2114</v>
      </c>
      <c r="AV539" s="115">
        <v>16</v>
      </c>
      <c r="AW539" s="115" t="s">
        <v>1681</v>
      </c>
      <c r="AX539" s="115" t="s">
        <v>28</v>
      </c>
      <c r="AY539" s="115" t="s">
        <v>1846</v>
      </c>
      <c r="AZ539" s="115" t="s">
        <v>1866</v>
      </c>
      <c r="BA539" s="115"/>
      <c r="BB539" s="115"/>
      <c r="BC539" s="115"/>
      <c r="BD539" s="115"/>
      <c r="BE539" s="115"/>
      <c r="BF539" s="115"/>
      <c r="BG539" s="115"/>
      <c r="BH539" s="115">
        <v>1877.7322079999999</v>
      </c>
      <c r="BI539" s="115">
        <v>1376.748063</v>
      </c>
      <c r="BJ539" s="115"/>
      <c r="BK539" s="115"/>
      <c r="BL539" s="115"/>
      <c r="BM539" s="115"/>
      <c r="BN539" s="115"/>
      <c r="BO539" s="115"/>
      <c r="BP539" s="115"/>
      <c r="DB539" s="115"/>
      <c r="DR539" s="214"/>
      <c r="DY539" s="115"/>
      <c r="DZ539" s="334"/>
      <c r="EA539" s="334"/>
      <c r="EB539" s="334"/>
      <c r="EC539" s="334"/>
      <c r="ED539" s="187"/>
      <c r="EE539" s="330"/>
      <c r="EH539" s="334"/>
      <c r="EI539" s="334"/>
      <c r="EM539"/>
      <c r="EO539" s="115"/>
      <c r="EP539" s="334"/>
      <c r="EQ539" s="334"/>
      <c r="ER539" s="334"/>
      <c r="ES539" s="334"/>
      <c r="ET539" s="334"/>
      <c r="EU539" s="334"/>
      <c r="EV539" s="334"/>
    </row>
    <row r="540" spans="9:152" ht="13">
      <c r="AI540" s="115" t="s">
        <v>1416</v>
      </c>
      <c r="AJ540" t="s">
        <v>2114</v>
      </c>
      <c r="AK540" s="115">
        <v>0</v>
      </c>
      <c r="AL540" s="115" t="s">
        <v>28</v>
      </c>
      <c r="AM540" s="115" t="s">
        <v>1850</v>
      </c>
      <c r="AN540" s="115" t="s">
        <v>1450</v>
      </c>
      <c r="AO540" s="115" t="s">
        <v>373</v>
      </c>
      <c r="AT540" s="115" t="s">
        <v>1415</v>
      </c>
      <c r="AU540" s="115" t="s">
        <v>2114</v>
      </c>
      <c r="AV540" s="115">
        <v>16</v>
      </c>
      <c r="AW540" s="115" t="s">
        <v>1681</v>
      </c>
      <c r="AX540" s="115" t="s">
        <v>28</v>
      </c>
      <c r="AY540" s="115" t="s">
        <v>1848</v>
      </c>
      <c r="AZ540" s="115" t="s">
        <v>1866</v>
      </c>
      <c r="BA540" s="115">
        <v>311.77681799999999</v>
      </c>
      <c r="BB540" s="115"/>
      <c r="BC540" s="115"/>
      <c r="BD540" s="115"/>
      <c r="BE540" s="115"/>
      <c r="BF540" s="115"/>
      <c r="BG540" s="115"/>
      <c r="BH540" s="115">
        <v>185.79286879999998</v>
      </c>
      <c r="BI540" s="115">
        <v>785.12731199999996</v>
      </c>
      <c r="BJ540" s="115"/>
      <c r="BK540" s="115"/>
      <c r="BL540" s="115"/>
      <c r="BM540" s="115"/>
      <c r="BN540" s="115"/>
      <c r="BO540" s="115"/>
      <c r="BP540" s="115"/>
      <c r="DB540" s="115"/>
      <c r="DR540" s="214"/>
      <c r="DY540" s="115"/>
      <c r="DZ540" s="334"/>
      <c r="EA540" s="334"/>
      <c r="EB540" s="334"/>
      <c r="EC540" s="334"/>
      <c r="ED540" s="187"/>
      <c r="EE540" s="330"/>
      <c r="EH540" s="334"/>
      <c r="EI540" s="334"/>
      <c r="EM540"/>
      <c r="EO540" s="115"/>
      <c r="EP540" s="334"/>
      <c r="EQ540" s="334"/>
      <c r="ER540" s="334"/>
      <c r="ES540" s="334"/>
      <c r="ET540" s="334"/>
      <c r="EU540" s="334"/>
      <c r="EV540" s="334"/>
    </row>
    <row r="541" spans="9:152" ht="13">
      <c r="AI541" s="115" t="s">
        <v>1416</v>
      </c>
      <c r="AJ541" t="s">
        <v>2114</v>
      </c>
      <c r="AK541" s="115">
        <v>0</v>
      </c>
      <c r="AL541" s="115" t="s">
        <v>28</v>
      </c>
      <c r="AM541" s="115" t="s">
        <v>1848</v>
      </c>
      <c r="AN541" s="115" t="s">
        <v>1450</v>
      </c>
      <c r="AO541" s="115" t="s">
        <v>380</v>
      </c>
      <c r="AT541" s="115" t="s">
        <v>1415</v>
      </c>
      <c r="AU541" s="115" t="s">
        <v>2114</v>
      </c>
      <c r="AV541" s="115">
        <v>16</v>
      </c>
      <c r="AW541" s="115" t="s">
        <v>1681</v>
      </c>
      <c r="AX541" s="115" t="s">
        <v>28</v>
      </c>
      <c r="AY541" s="115" t="s">
        <v>1843</v>
      </c>
      <c r="AZ541" s="115" t="s">
        <v>1866</v>
      </c>
      <c r="BA541" s="115">
        <v>309.37391752577321</v>
      </c>
      <c r="BB541" s="115"/>
      <c r="BC541" s="115"/>
      <c r="BD541" s="115"/>
      <c r="BE541" s="115"/>
      <c r="BF541" s="115"/>
      <c r="BG541" s="115"/>
      <c r="BH541" s="115">
        <v>1912.7584536082475</v>
      </c>
      <c r="BI541" s="115">
        <v>1391.0238144329899</v>
      </c>
      <c r="BJ541" s="115"/>
      <c r="BK541" s="115"/>
      <c r="BL541" s="115"/>
      <c r="BM541" s="115"/>
      <c r="BN541" s="115"/>
      <c r="BO541" s="115"/>
      <c r="BP541" s="115"/>
      <c r="DB541" s="115"/>
      <c r="DR541" s="214"/>
      <c r="DY541" s="115"/>
      <c r="DZ541" s="334"/>
      <c r="EA541" s="334"/>
      <c r="EB541" s="334"/>
      <c r="EC541" s="334"/>
      <c r="ED541" s="187"/>
      <c r="EE541" s="330"/>
      <c r="EH541" s="334"/>
      <c r="EI541" s="334"/>
      <c r="EM541"/>
      <c r="EO541" s="115"/>
      <c r="EP541" s="334"/>
      <c r="EQ541" s="334"/>
      <c r="ER541" s="334"/>
      <c r="ES541" s="334"/>
      <c r="ET541" s="334"/>
      <c r="EU541" s="334"/>
      <c r="EV541" s="334"/>
    </row>
    <row r="542" spans="9:152" ht="13">
      <c r="AI542" s="115" t="s">
        <v>1416</v>
      </c>
      <c r="AJ542" t="s">
        <v>2114</v>
      </c>
      <c r="AK542" s="115">
        <v>0</v>
      </c>
      <c r="AL542" s="115" t="s">
        <v>28</v>
      </c>
      <c r="AM542" s="115" t="s">
        <v>1850</v>
      </c>
      <c r="AN542" s="115" t="s">
        <v>1450</v>
      </c>
      <c r="AO542" s="115" t="s">
        <v>380</v>
      </c>
      <c r="AT542" s="115" t="s">
        <v>1415</v>
      </c>
      <c r="AU542" s="115" t="s">
        <v>2114</v>
      </c>
      <c r="AV542" s="115">
        <v>16</v>
      </c>
      <c r="AW542" s="115" t="s">
        <v>1681</v>
      </c>
      <c r="AX542" s="115" t="s">
        <v>28</v>
      </c>
      <c r="AY542" s="115" t="s">
        <v>1849</v>
      </c>
      <c r="AZ542" s="115" t="s">
        <v>1866</v>
      </c>
      <c r="BA542" s="115"/>
      <c r="BB542" s="115"/>
      <c r="BC542" s="115"/>
      <c r="BD542" s="115"/>
      <c r="BE542" s="115"/>
      <c r="BF542" s="115"/>
      <c r="BG542" s="115"/>
      <c r="BH542" s="115">
        <v>38.411999999999999</v>
      </c>
      <c r="BI542" s="115">
        <v>26.189999999999998</v>
      </c>
      <c r="BJ542" s="115"/>
      <c r="BK542" s="115"/>
      <c r="BL542" s="115"/>
      <c r="BM542" s="115"/>
      <c r="BN542" s="115"/>
      <c r="BO542" s="115"/>
      <c r="BP542" s="115"/>
      <c r="DB542" s="115"/>
      <c r="DR542" s="214"/>
      <c r="DY542" s="115"/>
      <c r="DZ542" s="334"/>
      <c r="EA542" s="334"/>
      <c r="EB542" s="334"/>
      <c r="EC542" s="334"/>
      <c r="ED542" s="187"/>
      <c r="EE542" s="330"/>
      <c r="EH542" s="334"/>
      <c r="EI542" s="334"/>
      <c r="EM542"/>
      <c r="EO542" s="115"/>
      <c r="EP542" s="334"/>
      <c r="EQ542" s="334"/>
      <c r="ER542" s="334"/>
      <c r="ES542" s="334"/>
      <c r="ET542" s="334"/>
      <c r="EU542" s="334"/>
      <c r="EV542" s="334"/>
    </row>
    <row r="543" spans="9:152" ht="13">
      <c r="AI543" s="115" t="s">
        <v>1416</v>
      </c>
      <c r="AJ543" t="s">
        <v>2114</v>
      </c>
      <c r="AK543" s="115">
        <v>0</v>
      </c>
      <c r="AL543" s="115" t="s">
        <v>28</v>
      </c>
      <c r="AM543" s="115" t="s">
        <v>1843</v>
      </c>
      <c r="AN543" s="115" t="s">
        <v>1450</v>
      </c>
      <c r="AO543" s="115" t="s">
        <v>380</v>
      </c>
      <c r="AT543" s="115" t="s">
        <v>1415</v>
      </c>
      <c r="AU543" s="115" t="s">
        <v>2114</v>
      </c>
      <c r="AV543" s="115">
        <v>16</v>
      </c>
      <c r="AW543" s="115" t="s">
        <v>1681</v>
      </c>
      <c r="AX543" s="115" t="s">
        <v>28</v>
      </c>
      <c r="AY543" s="115" t="s">
        <v>1850</v>
      </c>
      <c r="AZ543" s="115" t="s">
        <v>1866</v>
      </c>
      <c r="BA543" s="115">
        <v>5.82</v>
      </c>
      <c r="BB543" s="115"/>
      <c r="BC543" s="115"/>
      <c r="BD543" s="115"/>
      <c r="BE543" s="115"/>
      <c r="BF543" s="115"/>
      <c r="BG543" s="115"/>
      <c r="BH543" s="115">
        <v>4.2679999999999998</v>
      </c>
      <c r="BI543" s="115">
        <v>17.46</v>
      </c>
      <c r="BJ543" s="115"/>
      <c r="BK543" s="115"/>
      <c r="BL543" s="115"/>
      <c r="BM543" s="115"/>
      <c r="BN543" s="115"/>
      <c r="BO543" s="115"/>
      <c r="BP543" s="115"/>
      <c r="DB543" s="115"/>
      <c r="DR543" s="214"/>
      <c r="DY543" s="115"/>
      <c r="DZ543" s="334"/>
      <c r="EA543" s="334"/>
      <c r="EB543" s="334"/>
      <c r="EC543" s="334"/>
      <c r="ED543" s="187"/>
      <c r="EE543" s="330"/>
      <c r="EH543" s="334"/>
      <c r="EI543" s="334"/>
      <c r="EM543"/>
      <c r="EO543" s="115"/>
      <c r="EP543" s="334"/>
      <c r="EQ543" s="334"/>
      <c r="ER543" s="334"/>
      <c r="ES543" s="334"/>
      <c r="ET543" s="334"/>
      <c r="EU543" s="334"/>
      <c r="EV543" s="334"/>
    </row>
    <row r="544" spans="9:152" ht="13">
      <c r="AI544" s="115" t="s">
        <v>1416</v>
      </c>
      <c r="AJ544" t="s">
        <v>2114</v>
      </c>
      <c r="AK544" s="115">
        <v>0</v>
      </c>
      <c r="AL544" s="115" t="s">
        <v>28</v>
      </c>
      <c r="AM544" s="115" t="s">
        <v>1832</v>
      </c>
      <c r="AN544" s="115" t="s">
        <v>1450</v>
      </c>
      <c r="AO544" s="115" t="s">
        <v>380</v>
      </c>
      <c r="AT544" s="115" t="s">
        <v>1415</v>
      </c>
      <c r="AU544" s="115" t="s">
        <v>2114</v>
      </c>
      <c r="AV544" s="115">
        <v>16</v>
      </c>
      <c r="AW544" s="115" t="s">
        <v>1681</v>
      </c>
      <c r="AX544" s="115" t="s">
        <v>28</v>
      </c>
      <c r="AY544" s="115" t="s">
        <v>1832</v>
      </c>
      <c r="AZ544" s="115" t="s">
        <v>1866</v>
      </c>
      <c r="BA544" s="115">
        <v>6.0000000000000009</v>
      </c>
      <c r="BB544" s="115"/>
      <c r="BC544" s="115"/>
      <c r="BD544" s="115"/>
      <c r="BE544" s="115"/>
      <c r="BF544" s="115"/>
      <c r="BG544" s="115"/>
      <c r="BH544" s="115">
        <v>44</v>
      </c>
      <c r="BI544" s="115">
        <v>45</v>
      </c>
      <c r="BJ544" s="115"/>
      <c r="BK544" s="115"/>
      <c r="BL544" s="115"/>
      <c r="BM544" s="115"/>
      <c r="BN544" s="115"/>
      <c r="BO544" s="115"/>
      <c r="BP544" s="115"/>
      <c r="DB544" s="115"/>
      <c r="DR544" s="214"/>
      <c r="DY544" s="115"/>
      <c r="DZ544" s="334"/>
      <c r="EA544" s="334"/>
      <c r="EB544" s="334"/>
      <c r="EC544" s="334"/>
      <c r="ED544" s="187"/>
      <c r="EE544" s="330"/>
      <c r="EH544" s="334"/>
      <c r="EI544" s="334"/>
      <c r="EM544"/>
      <c r="EO544" s="115"/>
      <c r="EP544" s="334"/>
      <c r="EQ544" s="334"/>
      <c r="ER544" s="334"/>
      <c r="ES544" s="334"/>
      <c r="ET544" s="334"/>
      <c r="EU544" s="334"/>
      <c r="EV544" s="334"/>
    </row>
    <row r="545" spans="35:152" ht="13">
      <c r="AI545" s="115" t="s">
        <v>1416</v>
      </c>
      <c r="AJ545" t="s">
        <v>2114</v>
      </c>
      <c r="AK545" s="115">
        <v>0</v>
      </c>
      <c r="AL545" s="115" t="s">
        <v>28</v>
      </c>
      <c r="AM545" s="115" t="s">
        <v>1849</v>
      </c>
      <c r="AN545" s="115" t="s">
        <v>1450</v>
      </c>
      <c r="AO545" s="115" t="s">
        <v>380</v>
      </c>
      <c r="AT545" s="115" t="s">
        <v>1415</v>
      </c>
      <c r="AU545" s="115" t="s">
        <v>2114</v>
      </c>
      <c r="AV545" s="115">
        <v>16</v>
      </c>
      <c r="AW545" s="115" t="s">
        <v>1682</v>
      </c>
      <c r="AX545" s="115" t="s">
        <v>28</v>
      </c>
      <c r="AY545" s="115" t="s">
        <v>1846</v>
      </c>
      <c r="AZ545" s="115" t="s">
        <v>1871</v>
      </c>
      <c r="BA545" s="115"/>
      <c r="BB545" s="115"/>
      <c r="BC545" s="115"/>
      <c r="BD545" s="115">
        <v>14936.547947385418</v>
      </c>
      <c r="BE545" s="115"/>
      <c r="BF545" s="115"/>
      <c r="BG545" s="115"/>
      <c r="BH545" s="115"/>
      <c r="BI545" s="115"/>
      <c r="BJ545" s="115"/>
      <c r="BK545" s="115"/>
      <c r="BL545" s="115"/>
      <c r="BM545" s="115"/>
      <c r="BN545" s="115"/>
      <c r="BO545" s="115"/>
      <c r="BP545" s="115"/>
      <c r="DB545" s="115"/>
      <c r="DR545" s="214"/>
      <c r="DY545" s="115"/>
      <c r="DZ545" s="334"/>
      <c r="EA545" s="334"/>
      <c r="EB545" s="334"/>
      <c r="EC545" s="334"/>
      <c r="ED545" s="187"/>
      <c r="EE545" s="330"/>
      <c r="EH545" s="334"/>
      <c r="EI545" s="334"/>
      <c r="EM545"/>
      <c r="EO545" s="115"/>
      <c r="EP545" s="334"/>
      <c r="EQ545" s="334"/>
      <c r="ER545" s="334"/>
      <c r="ES545" s="334"/>
      <c r="ET545" s="334"/>
      <c r="EU545" s="334"/>
      <c r="EV545" s="334"/>
    </row>
    <row r="546" spans="35:152" ht="13">
      <c r="AI546" s="115" t="s">
        <v>1416</v>
      </c>
      <c r="AJ546" t="s">
        <v>2114</v>
      </c>
      <c r="AK546" s="115">
        <v>0</v>
      </c>
      <c r="AL546" s="115" t="s">
        <v>28</v>
      </c>
      <c r="AM546" s="115" t="s">
        <v>1846</v>
      </c>
      <c r="AN546" s="115" t="s">
        <v>1450</v>
      </c>
      <c r="AO546" s="115" t="s">
        <v>380</v>
      </c>
      <c r="AT546" s="115" t="s">
        <v>1415</v>
      </c>
      <c r="AU546" s="115" t="s">
        <v>2114</v>
      </c>
      <c r="AV546" s="115">
        <v>16</v>
      </c>
      <c r="AW546" s="115" t="s">
        <v>1682</v>
      </c>
      <c r="AX546" s="115" t="s">
        <v>28</v>
      </c>
      <c r="AY546" s="115" t="s">
        <v>1848</v>
      </c>
      <c r="AZ546" s="115" t="s">
        <v>1871</v>
      </c>
      <c r="BA546" s="115"/>
      <c r="BB546" s="115"/>
      <c r="BC546" s="115"/>
      <c r="BD546" s="115">
        <v>13810.504017072917</v>
      </c>
      <c r="BE546" s="115"/>
      <c r="BF546" s="115"/>
      <c r="BG546" s="115"/>
      <c r="BH546" s="115"/>
      <c r="BI546" s="115"/>
      <c r="BJ546" s="115"/>
      <c r="BK546" s="115"/>
      <c r="BL546" s="115"/>
      <c r="BM546" s="115"/>
      <c r="BN546" s="115"/>
      <c r="BO546" s="115"/>
      <c r="BP546" s="115"/>
      <c r="DB546" s="115"/>
      <c r="DR546" s="214"/>
      <c r="DY546" s="115"/>
      <c r="DZ546" s="334"/>
      <c r="EA546" s="334"/>
      <c r="EB546" s="334"/>
      <c r="EC546" s="334"/>
      <c r="ED546" s="187"/>
      <c r="EE546" s="330"/>
      <c r="EH546" s="334"/>
      <c r="EI546" s="334"/>
      <c r="EM546"/>
      <c r="EO546" s="115"/>
      <c r="EP546" s="334"/>
      <c r="EQ546" s="334"/>
      <c r="ER546" s="334"/>
      <c r="ES546" s="334"/>
      <c r="ET546" s="334"/>
      <c r="EU546" s="334"/>
      <c r="EV546" s="334"/>
    </row>
    <row r="547" spans="35:152" ht="13">
      <c r="AI547" s="115" t="s">
        <v>1416</v>
      </c>
      <c r="AJ547" t="s">
        <v>2114</v>
      </c>
      <c r="AK547" s="115">
        <v>0</v>
      </c>
      <c r="AL547" s="115" t="s">
        <v>28</v>
      </c>
      <c r="AM547" s="115" t="s">
        <v>1848</v>
      </c>
      <c r="AN547" s="115" t="s">
        <v>1451</v>
      </c>
      <c r="AO547" s="115" t="s">
        <v>1274</v>
      </c>
      <c r="AT547" s="115" t="s">
        <v>1415</v>
      </c>
      <c r="AU547" s="115" t="s">
        <v>2114</v>
      </c>
      <c r="AV547" s="115">
        <v>16</v>
      </c>
      <c r="AW547" s="115" t="s">
        <v>1682</v>
      </c>
      <c r="AX547" s="115" t="s">
        <v>28</v>
      </c>
      <c r="AY547" s="115" t="s">
        <v>1843</v>
      </c>
      <c r="AZ547" s="115" t="s">
        <v>1871</v>
      </c>
      <c r="BA547" s="115"/>
      <c r="BB547" s="115"/>
      <c r="BC547" s="115"/>
      <c r="BD547" s="115">
        <v>28401.500515463918</v>
      </c>
      <c r="BE547" s="115"/>
      <c r="BF547" s="115"/>
      <c r="BG547" s="115"/>
      <c r="BH547" s="115"/>
      <c r="BI547" s="115"/>
      <c r="BJ547" s="115"/>
      <c r="BK547" s="115"/>
      <c r="BL547" s="115"/>
      <c r="BM547" s="115"/>
      <c r="BN547" s="115"/>
      <c r="BO547" s="115"/>
      <c r="BP547" s="115"/>
      <c r="DB547" s="115"/>
      <c r="DR547" s="214"/>
      <c r="DY547" s="115"/>
      <c r="DZ547" s="334"/>
      <c r="EA547" s="334"/>
      <c r="EB547" s="334"/>
      <c r="EC547" s="334"/>
      <c r="ED547" s="187"/>
      <c r="EE547" s="330"/>
      <c r="EH547" s="334"/>
      <c r="EI547" s="334"/>
      <c r="EM547"/>
      <c r="EO547" s="115"/>
      <c r="EP547" s="334"/>
      <c r="EQ547" s="334"/>
      <c r="ER547" s="334"/>
      <c r="ES547" s="334"/>
      <c r="ET547" s="334"/>
      <c r="EU547" s="334"/>
      <c r="EV547" s="334"/>
    </row>
    <row r="548" spans="35:152" ht="13">
      <c r="AI548" s="115" t="s">
        <v>1416</v>
      </c>
      <c r="AJ548" t="s">
        <v>2114</v>
      </c>
      <c r="AK548" s="115">
        <v>0</v>
      </c>
      <c r="AL548" s="115" t="s">
        <v>28</v>
      </c>
      <c r="AM548" s="115" t="s">
        <v>1849</v>
      </c>
      <c r="AN548" s="115" t="s">
        <v>1451</v>
      </c>
      <c r="AO548" s="115" t="s">
        <v>1274</v>
      </c>
      <c r="AT548" s="115" t="s">
        <v>1415</v>
      </c>
      <c r="AU548" s="115" t="s">
        <v>2114</v>
      </c>
      <c r="AV548" s="115">
        <v>16</v>
      </c>
      <c r="AW548" s="115" t="s">
        <v>1682</v>
      </c>
      <c r="AX548" s="115" t="s">
        <v>28</v>
      </c>
      <c r="AY548" s="115" t="s">
        <v>1849</v>
      </c>
      <c r="AZ548" s="115" t="s">
        <v>1871</v>
      </c>
      <c r="BA548" s="115"/>
      <c r="BB548" s="115"/>
      <c r="BC548" s="115"/>
      <c r="BD548" s="115">
        <v>284.13927083333334</v>
      </c>
      <c r="BE548" s="115"/>
      <c r="BF548" s="115"/>
      <c r="BG548" s="115"/>
      <c r="BH548" s="115"/>
      <c r="BI548" s="115"/>
      <c r="BJ548" s="115"/>
      <c r="BK548" s="115"/>
      <c r="BL548" s="115"/>
      <c r="BM548" s="115"/>
      <c r="BN548" s="115"/>
      <c r="BO548" s="115"/>
      <c r="BP548" s="115"/>
      <c r="DB548" s="115"/>
      <c r="DR548" s="214"/>
      <c r="DY548" s="115"/>
      <c r="DZ548" s="334"/>
      <c r="EA548" s="334"/>
      <c r="EB548" s="334"/>
      <c r="EC548" s="334"/>
      <c r="ED548" s="187"/>
      <c r="EE548" s="330"/>
      <c r="EH548" s="334"/>
      <c r="EI548" s="334"/>
      <c r="EM548"/>
      <c r="EO548" s="115"/>
      <c r="EP548" s="334"/>
      <c r="EQ548" s="334"/>
      <c r="ER548" s="334"/>
      <c r="ES548" s="334"/>
      <c r="ET548" s="334"/>
      <c r="EU548" s="334"/>
      <c r="EV548" s="334"/>
    </row>
    <row r="549" spans="35:152" ht="13">
      <c r="AI549" s="115" t="s">
        <v>1416</v>
      </c>
      <c r="AJ549" t="s">
        <v>2114</v>
      </c>
      <c r="AK549" s="115">
        <v>0</v>
      </c>
      <c r="AL549" s="115" t="s">
        <v>28</v>
      </c>
      <c r="AM549" s="115" t="s">
        <v>1850</v>
      </c>
      <c r="AN549" s="115" t="s">
        <v>1451</v>
      </c>
      <c r="AO549" s="115" t="s">
        <v>1274</v>
      </c>
      <c r="AT549" s="115" t="s">
        <v>1415</v>
      </c>
      <c r="AU549" s="115" t="s">
        <v>2114</v>
      </c>
      <c r="AV549" s="115">
        <v>16</v>
      </c>
      <c r="AW549" s="115" t="s">
        <v>1682</v>
      </c>
      <c r="AX549" s="115" t="s">
        <v>28</v>
      </c>
      <c r="AY549" s="115" t="s">
        <v>1850</v>
      </c>
      <c r="AZ549" s="115" t="s">
        <v>1871</v>
      </c>
      <c r="BA549" s="115"/>
      <c r="BB549" s="115"/>
      <c r="BC549" s="115"/>
      <c r="BD549" s="115">
        <v>284.13927083333334</v>
      </c>
      <c r="BE549" s="115"/>
      <c r="BF549" s="115"/>
      <c r="BG549" s="115"/>
      <c r="BH549" s="115"/>
      <c r="BI549" s="115"/>
      <c r="BJ549" s="115"/>
      <c r="BK549" s="115"/>
      <c r="BL549" s="115"/>
      <c r="BM549" s="115"/>
      <c r="BN549" s="115"/>
      <c r="BO549" s="115"/>
      <c r="BP549" s="115"/>
      <c r="DB549" s="115"/>
      <c r="DR549" s="214"/>
      <c r="DY549" s="115"/>
      <c r="DZ549" s="334"/>
      <c r="EA549" s="334"/>
      <c r="EB549" s="334"/>
      <c r="EC549" s="334"/>
      <c r="ED549" s="187"/>
      <c r="EE549" s="330"/>
      <c r="EH549" s="334"/>
      <c r="EI549" s="334"/>
      <c r="EM549"/>
      <c r="EO549" s="115"/>
      <c r="EP549" s="334"/>
      <c r="EQ549" s="334"/>
      <c r="ER549" s="334"/>
      <c r="ES549" s="334"/>
      <c r="ET549" s="334"/>
      <c r="EU549" s="334"/>
      <c r="EV549" s="334"/>
    </row>
    <row r="550" spans="35:152" ht="13">
      <c r="AI550" s="115" t="s">
        <v>1416</v>
      </c>
      <c r="AJ550" t="s">
        <v>2114</v>
      </c>
      <c r="AK550" s="115">
        <v>0</v>
      </c>
      <c r="AL550" s="115" t="s">
        <v>28</v>
      </c>
      <c r="AM550" s="115" t="s">
        <v>1832</v>
      </c>
      <c r="AN550" s="115" t="s">
        <v>1451</v>
      </c>
      <c r="AO550" s="115" t="s">
        <v>1274</v>
      </c>
      <c r="AT550" s="115" t="s">
        <v>1415</v>
      </c>
      <c r="AU550" s="115" t="s">
        <v>2114</v>
      </c>
      <c r="AV550" s="115">
        <v>16</v>
      </c>
      <c r="AW550" s="115" t="s">
        <v>1682</v>
      </c>
      <c r="AX550" s="115" t="s">
        <v>28</v>
      </c>
      <c r="AY550" s="115" t="s">
        <v>1832</v>
      </c>
      <c r="AZ550" s="115" t="s">
        <v>1871</v>
      </c>
      <c r="BA550" s="115"/>
      <c r="BB550" s="115"/>
      <c r="BC550" s="115"/>
      <c r="BD550" s="115">
        <v>585.85416666666674</v>
      </c>
      <c r="BE550" s="115"/>
      <c r="BF550" s="115"/>
      <c r="BG550" s="115"/>
      <c r="BH550" s="115"/>
      <c r="BI550" s="115"/>
      <c r="BJ550" s="115"/>
      <c r="BK550" s="115"/>
      <c r="BL550" s="115"/>
      <c r="BM550" s="115"/>
      <c r="BN550" s="115"/>
      <c r="BO550" s="115"/>
      <c r="BP550" s="115"/>
      <c r="DB550" s="115"/>
      <c r="DR550" s="214"/>
      <c r="DY550" s="115"/>
      <c r="DZ550" s="334"/>
      <c r="EA550" s="334"/>
      <c r="EB550" s="334"/>
      <c r="EC550" s="334"/>
      <c r="ED550" s="187"/>
      <c r="EE550" s="330"/>
      <c r="EH550" s="334"/>
      <c r="EI550" s="334"/>
      <c r="EM550"/>
      <c r="EO550" s="115"/>
      <c r="EP550" s="334"/>
      <c r="EQ550" s="334"/>
      <c r="ER550" s="334"/>
      <c r="ES550" s="334"/>
      <c r="ET550" s="334"/>
      <c r="EU550" s="334"/>
      <c r="EV550" s="334"/>
    </row>
    <row r="551" spans="35:152" ht="13">
      <c r="AI551" s="115" t="s">
        <v>1416</v>
      </c>
      <c r="AJ551" t="s">
        <v>2114</v>
      </c>
      <c r="AK551" s="115">
        <v>0</v>
      </c>
      <c r="AL551" s="115" t="s">
        <v>28</v>
      </c>
      <c r="AM551" s="115" t="s">
        <v>1846</v>
      </c>
      <c r="AN551" s="115" t="s">
        <v>1451</v>
      </c>
      <c r="AO551" s="115" t="s">
        <v>1274</v>
      </c>
      <c r="AT551" s="115" t="s">
        <v>1415</v>
      </c>
      <c r="AU551" s="115" t="s">
        <v>2114</v>
      </c>
      <c r="AV551" s="115">
        <v>16</v>
      </c>
      <c r="AW551" s="115" t="s">
        <v>1682</v>
      </c>
      <c r="AX551" s="115" t="s">
        <v>28</v>
      </c>
      <c r="AY551" s="115" t="s">
        <v>1846</v>
      </c>
      <c r="AZ551" s="115" t="s">
        <v>1872</v>
      </c>
      <c r="BA551" s="115"/>
      <c r="BB551" s="115"/>
      <c r="BC551" s="115"/>
      <c r="BD551" s="115"/>
      <c r="BE551" s="115">
        <v>157.3439328</v>
      </c>
      <c r="BF551" s="115"/>
      <c r="BG551" s="115"/>
      <c r="BH551" s="115"/>
      <c r="BI551" s="115"/>
      <c r="BJ551" s="115"/>
      <c r="BK551" s="115"/>
      <c r="BL551" s="115"/>
      <c r="BM551" s="115"/>
      <c r="BN551" s="115"/>
      <c r="BO551" s="115"/>
      <c r="BP551" s="115"/>
      <c r="DR551" s="214"/>
      <c r="DY551" s="115"/>
      <c r="DZ551" s="334"/>
      <c r="EA551" s="334"/>
      <c r="EB551" s="334"/>
      <c r="EC551" s="334"/>
      <c r="ED551" s="187"/>
      <c r="EE551" s="330"/>
      <c r="EH551" s="334"/>
      <c r="EI551" s="334"/>
      <c r="EM551"/>
      <c r="EO551" s="115"/>
      <c r="EP551" s="334"/>
      <c r="EQ551" s="334"/>
      <c r="ER551" s="334"/>
      <c r="ES551" s="334"/>
      <c r="ET551" s="334"/>
      <c r="EU551" s="334"/>
      <c r="EV551" s="334"/>
    </row>
    <row r="552" spans="35:152" ht="13">
      <c r="AI552" s="115" t="s">
        <v>1416</v>
      </c>
      <c r="AJ552" t="s">
        <v>2114</v>
      </c>
      <c r="AK552" s="115">
        <v>0</v>
      </c>
      <c r="AL552" s="115" t="s">
        <v>28</v>
      </c>
      <c r="AM552" s="115" t="s">
        <v>1843</v>
      </c>
      <c r="AN552" s="115" t="s">
        <v>1451</v>
      </c>
      <c r="AO552" s="115" t="s">
        <v>1274</v>
      </c>
      <c r="AT552" s="115" t="s">
        <v>1415</v>
      </c>
      <c r="AU552" s="115" t="s">
        <v>2114</v>
      </c>
      <c r="AV552" s="115">
        <v>16</v>
      </c>
      <c r="AW552" s="115" t="s">
        <v>1682</v>
      </c>
      <c r="AX552" s="115" t="s">
        <v>28</v>
      </c>
      <c r="AY552" s="115" t="s">
        <v>1848</v>
      </c>
      <c r="AZ552" s="115" t="s">
        <v>1872</v>
      </c>
      <c r="BA552" s="115"/>
      <c r="BB552" s="115"/>
      <c r="BC552" s="115"/>
      <c r="BD552" s="115"/>
      <c r="BE552" s="115">
        <v>144.26864319999999</v>
      </c>
      <c r="BF552" s="115"/>
      <c r="BG552" s="115"/>
      <c r="BH552" s="115"/>
      <c r="BI552" s="115"/>
      <c r="BJ552" s="115"/>
      <c r="BK552" s="115"/>
      <c r="BL552" s="115"/>
      <c r="BM552" s="115"/>
      <c r="BN552" s="115"/>
      <c r="BO552" s="115"/>
      <c r="BP552" s="115"/>
      <c r="DR552" s="214"/>
      <c r="DY552" s="115"/>
      <c r="DZ552" s="334"/>
      <c r="EA552" s="334"/>
      <c r="EB552" s="334"/>
      <c r="EC552" s="334"/>
      <c r="ED552" s="187"/>
      <c r="EE552" s="330"/>
      <c r="EH552" s="334"/>
      <c r="EI552" s="334"/>
      <c r="EM552"/>
      <c r="EO552" s="115"/>
      <c r="EP552" s="334"/>
      <c r="EQ552" s="334"/>
      <c r="ER552" s="334"/>
      <c r="ES552" s="334"/>
      <c r="ET552" s="334"/>
      <c r="EU552" s="334"/>
      <c r="EV552" s="334"/>
    </row>
    <row r="553" spans="35:152" ht="13">
      <c r="AI553" s="115" t="s">
        <v>1416</v>
      </c>
      <c r="AJ553" t="s">
        <v>2114</v>
      </c>
      <c r="AK553" s="115">
        <v>0</v>
      </c>
      <c r="AL553" s="115" t="s">
        <v>28</v>
      </c>
      <c r="AM553" s="115" t="s">
        <v>1832</v>
      </c>
      <c r="AN553" s="115" t="s">
        <v>1451</v>
      </c>
      <c r="AO553" s="115" t="s">
        <v>379</v>
      </c>
      <c r="AT553" s="115" t="s">
        <v>1415</v>
      </c>
      <c r="AU553" s="115" t="s">
        <v>2114</v>
      </c>
      <c r="AV553" s="115">
        <v>16</v>
      </c>
      <c r="AW553" s="115" t="s">
        <v>1682</v>
      </c>
      <c r="AX553" s="115" t="s">
        <v>28</v>
      </c>
      <c r="AY553" s="115" t="s">
        <v>1843</v>
      </c>
      <c r="AZ553" s="115" t="s">
        <v>1872</v>
      </c>
      <c r="BA553" s="115"/>
      <c r="BB553" s="115"/>
      <c r="BC553" s="115"/>
      <c r="BD553" s="115"/>
      <c r="BE553" s="115">
        <v>297.98175257731958</v>
      </c>
      <c r="BF553" s="115"/>
      <c r="BG553" s="115"/>
      <c r="BH553" s="115"/>
      <c r="BI553" s="115"/>
      <c r="BJ553" s="115"/>
      <c r="BK553" s="115"/>
      <c r="BL553" s="115"/>
      <c r="BM553" s="115"/>
      <c r="BN553" s="115"/>
      <c r="BO553" s="115"/>
      <c r="BP553" s="115"/>
      <c r="DR553" s="214"/>
      <c r="DY553" s="115"/>
      <c r="DZ553" s="334"/>
      <c r="EA553" s="334"/>
      <c r="EB553" s="334"/>
      <c r="EC553" s="334"/>
      <c r="ED553" s="187"/>
      <c r="EE553" s="330"/>
      <c r="EH553" s="334"/>
      <c r="EI553" s="334"/>
      <c r="EM553"/>
      <c r="EO553" s="115"/>
      <c r="EP553" s="334"/>
      <c r="EQ553" s="334"/>
      <c r="ER553" s="334"/>
      <c r="ES553" s="334"/>
      <c r="ET553" s="334"/>
      <c r="EU553" s="334"/>
      <c r="EV553" s="334"/>
    </row>
    <row r="554" spans="35:152" ht="13">
      <c r="AI554" s="115" t="s">
        <v>1416</v>
      </c>
      <c r="AJ554" t="s">
        <v>2114</v>
      </c>
      <c r="AK554" s="115">
        <v>0</v>
      </c>
      <c r="AL554" s="115" t="s">
        <v>28</v>
      </c>
      <c r="AM554" s="115" t="s">
        <v>1846</v>
      </c>
      <c r="AN554" s="115" t="s">
        <v>1451</v>
      </c>
      <c r="AO554" s="115" t="s">
        <v>379</v>
      </c>
      <c r="AT554" s="115" t="s">
        <v>1415</v>
      </c>
      <c r="AU554" s="115" t="s">
        <v>2114</v>
      </c>
      <c r="AV554" s="115">
        <v>16</v>
      </c>
      <c r="AW554" s="115" t="s">
        <v>1682</v>
      </c>
      <c r="AX554" s="115" t="s">
        <v>28</v>
      </c>
      <c r="AY554" s="115" t="s">
        <v>1849</v>
      </c>
      <c r="AZ554" s="115" t="s">
        <v>1872</v>
      </c>
      <c r="BA554" s="115"/>
      <c r="BB554" s="115"/>
      <c r="BC554" s="115"/>
      <c r="BD554" s="115"/>
      <c r="BE554" s="115">
        <v>3.1040000000000001</v>
      </c>
      <c r="BF554" s="115"/>
      <c r="BG554" s="115"/>
      <c r="BH554" s="115"/>
      <c r="BI554" s="115"/>
      <c r="BJ554" s="115"/>
      <c r="BK554" s="115"/>
      <c r="BL554" s="115"/>
      <c r="BM554" s="115"/>
      <c r="BN554" s="115"/>
      <c r="BO554" s="115"/>
      <c r="BP554" s="115"/>
      <c r="DR554" s="214"/>
      <c r="DY554" s="115"/>
      <c r="DZ554" s="334"/>
      <c r="EA554" s="334"/>
      <c r="EB554" s="334"/>
      <c r="EC554" s="334"/>
      <c r="ED554" s="187"/>
      <c r="EE554" s="330"/>
      <c r="EH554" s="334"/>
      <c r="EI554" s="334"/>
      <c r="EM554"/>
      <c r="EO554" s="115"/>
      <c r="EP554" s="334"/>
      <c r="EQ554" s="334"/>
      <c r="ER554" s="334"/>
      <c r="ES554" s="334"/>
      <c r="ET554" s="334"/>
      <c r="EU554" s="334"/>
      <c r="EV554" s="334"/>
    </row>
    <row r="555" spans="35:152" ht="13">
      <c r="AI555" s="115" t="s">
        <v>1416</v>
      </c>
      <c r="AJ555" t="s">
        <v>2114</v>
      </c>
      <c r="AK555" s="115">
        <v>0</v>
      </c>
      <c r="AL555" s="115" t="s">
        <v>28</v>
      </c>
      <c r="AM555" s="115" t="s">
        <v>1848</v>
      </c>
      <c r="AN555" s="115" t="s">
        <v>1451</v>
      </c>
      <c r="AO555" s="115" t="s">
        <v>379</v>
      </c>
      <c r="AT555" s="115" t="s">
        <v>1415</v>
      </c>
      <c r="AU555" s="115" t="s">
        <v>2114</v>
      </c>
      <c r="AV555" s="115">
        <v>16</v>
      </c>
      <c r="AW555" s="115" t="s">
        <v>1682</v>
      </c>
      <c r="AX555" s="115" t="s">
        <v>28</v>
      </c>
      <c r="AY555" s="115" t="s">
        <v>1850</v>
      </c>
      <c r="AZ555" s="115" t="s">
        <v>1872</v>
      </c>
      <c r="BA555" s="115"/>
      <c r="BB555" s="115"/>
      <c r="BC555" s="115"/>
      <c r="BD555" s="115"/>
      <c r="BE555" s="115">
        <v>3.1040000000000001</v>
      </c>
      <c r="BF555" s="115"/>
      <c r="BG555" s="115"/>
      <c r="BH555" s="115"/>
      <c r="BI555" s="115"/>
      <c r="BJ555" s="115"/>
      <c r="BK555" s="115"/>
      <c r="BL555" s="115"/>
      <c r="BM555" s="115"/>
      <c r="BN555" s="115"/>
      <c r="BO555" s="115"/>
      <c r="BP555" s="115"/>
      <c r="DR555" s="214"/>
      <c r="DY555" s="115"/>
      <c r="DZ555" s="334"/>
      <c r="EA555" s="334"/>
      <c r="EB555" s="334"/>
      <c r="EC555" s="334"/>
      <c r="ED555" s="187"/>
      <c r="EE555" s="330"/>
      <c r="EH555" s="334"/>
      <c r="EI555" s="334"/>
      <c r="EM555"/>
      <c r="EO555" s="115"/>
      <c r="EP555" s="334"/>
      <c r="EQ555" s="334"/>
      <c r="ER555" s="334"/>
      <c r="ES555" s="334"/>
      <c r="ET555" s="334"/>
      <c r="EU555" s="334"/>
      <c r="EV555" s="334"/>
    </row>
    <row r="556" spans="35:152" ht="13">
      <c r="AI556" s="115" t="s">
        <v>1416</v>
      </c>
      <c r="AJ556" t="s">
        <v>2114</v>
      </c>
      <c r="AK556" s="115">
        <v>0</v>
      </c>
      <c r="AL556" s="115" t="s">
        <v>28</v>
      </c>
      <c r="AM556" s="115" t="s">
        <v>1843</v>
      </c>
      <c r="AN556" s="115" t="s">
        <v>1451</v>
      </c>
      <c r="AO556" s="115" t="s">
        <v>379</v>
      </c>
      <c r="AT556" s="115" t="s">
        <v>1415</v>
      </c>
      <c r="AU556" s="115" t="s">
        <v>2114</v>
      </c>
      <c r="AV556" s="115">
        <v>16</v>
      </c>
      <c r="AW556" s="115" t="s">
        <v>1682</v>
      </c>
      <c r="AX556" s="115" t="s">
        <v>28</v>
      </c>
      <c r="AY556" s="115" t="s">
        <v>1832</v>
      </c>
      <c r="AZ556" s="115" t="s">
        <v>1872</v>
      </c>
      <c r="BA556" s="115"/>
      <c r="BB556" s="115"/>
      <c r="BC556" s="115"/>
      <c r="BD556" s="115"/>
      <c r="BE556" s="115">
        <v>6.4</v>
      </c>
      <c r="BF556" s="115"/>
      <c r="BG556" s="115"/>
      <c r="BH556" s="115"/>
      <c r="BI556" s="115"/>
      <c r="BJ556" s="115"/>
      <c r="BK556" s="115"/>
      <c r="BL556" s="115"/>
      <c r="BM556" s="115"/>
      <c r="BN556" s="115"/>
      <c r="BO556" s="115"/>
      <c r="BP556" s="115"/>
      <c r="DR556" s="214"/>
      <c r="DY556" s="115"/>
      <c r="DZ556" s="334"/>
      <c r="EA556" s="334"/>
      <c r="EB556" s="334"/>
      <c r="EC556" s="334"/>
      <c r="ED556" s="187"/>
      <c r="EE556" s="330"/>
      <c r="EH556" s="334"/>
      <c r="EI556" s="334"/>
      <c r="EM556"/>
      <c r="EO556" s="115"/>
      <c r="EP556" s="334"/>
      <c r="EQ556" s="334"/>
      <c r="ER556" s="334"/>
      <c r="ES556" s="334"/>
      <c r="ET556" s="334"/>
      <c r="EU556" s="334"/>
      <c r="EV556" s="334"/>
    </row>
    <row r="557" spans="35:152" ht="13">
      <c r="AI557" s="115" t="s">
        <v>1416</v>
      </c>
      <c r="AJ557" t="s">
        <v>2114</v>
      </c>
      <c r="AK557" s="115">
        <v>0</v>
      </c>
      <c r="AL557" s="115" t="s">
        <v>28</v>
      </c>
      <c r="AM557" s="115" t="s">
        <v>1849</v>
      </c>
      <c r="AN557" s="115" t="s">
        <v>1451</v>
      </c>
      <c r="AO557" s="115" t="s">
        <v>379</v>
      </c>
      <c r="AT557" s="115" t="s">
        <v>1415</v>
      </c>
      <c r="AU557" s="115" t="s">
        <v>2114</v>
      </c>
      <c r="AV557" s="115">
        <v>16</v>
      </c>
      <c r="AW557" s="115" t="s">
        <v>1682</v>
      </c>
      <c r="AX557" s="115" t="s">
        <v>28</v>
      </c>
      <c r="AY557" s="115" t="s">
        <v>1846</v>
      </c>
      <c r="AZ557" s="115" t="s">
        <v>1873</v>
      </c>
      <c r="BA557" s="115"/>
      <c r="BB557" s="115"/>
      <c r="BC557" s="115"/>
      <c r="BD557" s="115"/>
      <c r="BE557" s="115">
        <v>1342.3404267000001</v>
      </c>
      <c r="BF557" s="115"/>
      <c r="BG557" s="115">
        <v>12019.718793726113</v>
      </c>
      <c r="BH557" s="115"/>
      <c r="BI557" s="115"/>
      <c r="BJ557" s="115"/>
      <c r="BK557" s="115"/>
      <c r="BL557" s="115"/>
      <c r="BM557" s="115"/>
      <c r="BN557" s="115"/>
      <c r="BO557" s="115"/>
      <c r="BP557" s="115"/>
      <c r="DR557" s="214"/>
      <c r="DY557" s="115"/>
      <c r="DZ557" s="334"/>
      <c r="EA557" s="334"/>
      <c r="EB557" s="334"/>
      <c r="EC557" s="334"/>
      <c r="ED557" s="187"/>
      <c r="EE557" s="330"/>
      <c r="EH557" s="334"/>
      <c r="EI557" s="334"/>
      <c r="EM557"/>
      <c r="EO557" s="115"/>
      <c r="EP557" s="334"/>
      <c r="EQ557" s="334"/>
      <c r="ER557" s="334"/>
      <c r="ES557" s="334"/>
      <c r="ET557" s="334"/>
      <c r="EU557" s="334"/>
      <c r="EV557" s="334"/>
    </row>
    <row r="558" spans="35:152" ht="13">
      <c r="AI558" s="115" t="s">
        <v>1416</v>
      </c>
      <c r="AJ558" t="s">
        <v>2114</v>
      </c>
      <c r="AK558" s="115">
        <v>0</v>
      </c>
      <c r="AL558" s="115" t="s">
        <v>28</v>
      </c>
      <c r="AM558" s="115" t="s">
        <v>1850</v>
      </c>
      <c r="AN558" s="115" t="s">
        <v>1451</v>
      </c>
      <c r="AO558" s="115" t="s">
        <v>379</v>
      </c>
      <c r="AT558" s="115" t="s">
        <v>1415</v>
      </c>
      <c r="AU558" s="115" t="s">
        <v>2114</v>
      </c>
      <c r="AV558" s="115">
        <v>16</v>
      </c>
      <c r="AW558" s="115" t="s">
        <v>1682</v>
      </c>
      <c r="AX558" s="115" t="s">
        <v>28</v>
      </c>
      <c r="AY558" s="115" t="s">
        <v>1848</v>
      </c>
      <c r="AZ558" s="115" t="s">
        <v>1873</v>
      </c>
      <c r="BA558" s="115"/>
      <c r="BB558" s="115"/>
      <c r="BC558" s="115"/>
      <c r="BD558" s="115"/>
      <c r="BE558" s="115">
        <v>1230.7918623</v>
      </c>
      <c r="BF558" s="115"/>
      <c r="BG558" s="115">
        <v>2570.461989687778</v>
      </c>
      <c r="BH558" s="115"/>
      <c r="BI558" s="115"/>
      <c r="BJ558" s="115"/>
      <c r="BK558" s="115"/>
      <c r="BL558" s="115"/>
      <c r="BM558" s="115"/>
      <c r="BN558" s="115"/>
      <c r="BO558" s="115"/>
      <c r="BP558" s="115"/>
      <c r="DR558" s="214"/>
      <c r="DY558" s="115"/>
      <c r="DZ558" s="334"/>
      <c r="EA558" s="334"/>
      <c r="EB558" s="334"/>
      <c r="EC558" s="334"/>
      <c r="ED558" s="187"/>
      <c r="EE558" s="330"/>
      <c r="EH558" s="334"/>
      <c r="EI558" s="334"/>
      <c r="EM558"/>
      <c r="EO558" s="115"/>
      <c r="EP558" s="334"/>
      <c r="EQ558" s="334"/>
      <c r="ER558" s="334"/>
      <c r="ES558" s="334"/>
      <c r="ET558" s="334"/>
      <c r="EU558" s="334"/>
      <c r="EV558" s="334"/>
    </row>
    <row r="559" spans="35:152" ht="13">
      <c r="AI559" s="115" t="s">
        <v>1416</v>
      </c>
      <c r="AJ559" t="s">
        <v>2114</v>
      </c>
      <c r="AK559" s="115">
        <v>0</v>
      </c>
      <c r="AL559" s="115" t="s">
        <v>28</v>
      </c>
      <c r="AM559" s="115" t="s">
        <v>1846</v>
      </c>
      <c r="AN559" s="115" t="s">
        <v>1451</v>
      </c>
      <c r="AO559" s="115" t="s">
        <v>1639</v>
      </c>
      <c r="AT559" s="115" t="s">
        <v>1415</v>
      </c>
      <c r="AU559" s="115" t="s">
        <v>2114</v>
      </c>
      <c r="AV559" s="115">
        <v>16</v>
      </c>
      <c r="AW559" s="115" t="s">
        <v>1682</v>
      </c>
      <c r="AX559" s="115" t="s">
        <v>28</v>
      </c>
      <c r="AY559" s="115" t="s">
        <v>1843</v>
      </c>
      <c r="AZ559" s="115" t="s">
        <v>1873</v>
      </c>
      <c r="BA559" s="115"/>
      <c r="BB559" s="115"/>
      <c r="BC559" s="115"/>
      <c r="BD559" s="115"/>
      <c r="BE559" s="115">
        <v>2542.1571134020619</v>
      </c>
      <c r="BF559" s="115"/>
      <c r="BG559" s="115">
        <v>14377.944845360826</v>
      </c>
      <c r="BH559" s="115"/>
      <c r="BI559" s="115"/>
      <c r="BJ559" s="115"/>
      <c r="BK559" s="115"/>
      <c r="BL559" s="115"/>
      <c r="BM559" s="115"/>
      <c r="BN559" s="115"/>
      <c r="BO559" s="115"/>
      <c r="BP559" s="115"/>
      <c r="DR559" s="214"/>
      <c r="DY559" s="115"/>
      <c r="DZ559" s="334"/>
      <c r="EA559" s="334"/>
      <c r="EB559" s="334"/>
      <c r="EC559" s="334"/>
      <c r="ED559" s="187"/>
      <c r="EE559" s="330"/>
      <c r="EH559" s="334"/>
      <c r="EI559" s="334"/>
      <c r="EM559"/>
      <c r="EO559" s="115"/>
      <c r="EP559" s="334"/>
      <c r="EQ559" s="334"/>
      <c r="ER559" s="334"/>
      <c r="ES559" s="334"/>
      <c r="ET559" s="334"/>
      <c r="EU559" s="334"/>
      <c r="EV559" s="334"/>
    </row>
    <row r="560" spans="35:152" ht="13">
      <c r="AI560" s="115" t="s">
        <v>1416</v>
      </c>
      <c r="AJ560" t="s">
        <v>2114</v>
      </c>
      <c r="AK560" s="115">
        <v>0</v>
      </c>
      <c r="AL560" s="115" t="s">
        <v>28</v>
      </c>
      <c r="AM560" s="115" t="s">
        <v>1843</v>
      </c>
      <c r="AN560" s="115" t="s">
        <v>1451</v>
      </c>
      <c r="AO560" s="115" t="s">
        <v>1639</v>
      </c>
      <c r="AT560" s="115" t="s">
        <v>1415</v>
      </c>
      <c r="AU560" s="115" t="s">
        <v>2114</v>
      </c>
      <c r="AV560" s="115">
        <v>16</v>
      </c>
      <c r="AW560" s="115" t="s">
        <v>1682</v>
      </c>
      <c r="AX560" s="115" t="s">
        <v>28</v>
      </c>
      <c r="AY560" s="115" t="s">
        <v>1849</v>
      </c>
      <c r="AZ560" s="115" t="s">
        <v>1873</v>
      </c>
      <c r="BA560" s="115"/>
      <c r="BB560" s="115"/>
      <c r="BC560" s="115"/>
      <c r="BD560" s="115"/>
      <c r="BE560" s="115">
        <v>26.481000000000002</v>
      </c>
      <c r="BF560" s="115"/>
      <c r="BG560" s="115">
        <v>228.65217222222225</v>
      </c>
      <c r="BH560" s="115"/>
      <c r="BI560" s="115"/>
      <c r="BJ560" s="115"/>
      <c r="BK560" s="115"/>
      <c r="BL560" s="115"/>
      <c r="BM560" s="115"/>
      <c r="BN560" s="115"/>
      <c r="BO560" s="115"/>
      <c r="BP560" s="115"/>
      <c r="DR560" s="214"/>
      <c r="DY560" s="115"/>
      <c r="DZ560" s="334"/>
      <c r="EA560" s="334"/>
      <c r="EB560" s="334"/>
      <c r="EC560" s="334"/>
      <c r="ED560" s="187"/>
      <c r="EE560" s="330"/>
      <c r="EH560" s="334"/>
      <c r="EI560" s="334"/>
      <c r="EM560"/>
      <c r="EO560" s="115"/>
      <c r="EP560" s="334"/>
      <c r="EQ560" s="334"/>
      <c r="ER560" s="334"/>
      <c r="ES560" s="334"/>
      <c r="ET560" s="334"/>
      <c r="EU560" s="334"/>
      <c r="EV560" s="334"/>
    </row>
    <row r="561" spans="35:152" ht="13">
      <c r="AI561" s="115" t="s">
        <v>1416</v>
      </c>
      <c r="AJ561" t="s">
        <v>2114</v>
      </c>
      <c r="AK561" s="115">
        <v>0</v>
      </c>
      <c r="AL561" s="115" t="s">
        <v>28</v>
      </c>
      <c r="AM561" s="115" t="s">
        <v>1843</v>
      </c>
      <c r="AN561" s="115" t="s">
        <v>1451</v>
      </c>
      <c r="AO561" s="115" t="s">
        <v>373</v>
      </c>
      <c r="AT561" s="115" t="s">
        <v>1415</v>
      </c>
      <c r="AU561" s="115" t="s">
        <v>2114</v>
      </c>
      <c r="AV561" s="115">
        <v>16</v>
      </c>
      <c r="AW561" s="115" t="s">
        <v>1682</v>
      </c>
      <c r="AX561" s="115" t="s">
        <v>28</v>
      </c>
      <c r="AY561" s="115" t="s">
        <v>1850</v>
      </c>
      <c r="AZ561" s="115" t="s">
        <v>1873</v>
      </c>
      <c r="BA561" s="115"/>
      <c r="BB561" s="115"/>
      <c r="BC561" s="115"/>
      <c r="BD561" s="115"/>
      <c r="BE561" s="115">
        <v>26.481000000000002</v>
      </c>
      <c r="BF561" s="115"/>
      <c r="BG561" s="115">
        <v>57.163043055555562</v>
      </c>
      <c r="BH561" s="115"/>
      <c r="BI561" s="115"/>
      <c r="BJ561" s="115"/>
      <c r="BK561" s="115"/>
      <c r="BL561" s="115"/>
      <c r="BM561" s="115"/>
      <c r="BN561" s="115"/>
      <c r="BO561" s="115"/>
      <c r="BP561" s="115"/>
      <c r="DR561" s="214"/>
      <c r="DY561" s="115"/>
      <c r="DZ561" s="334"/>
      <c r="EA561" s="334"/>
      <c r="EB561" s="334"/>
      <c r="EC561" s="334"/>
      <c r="ED561" s="187"/>
      <c r="EE561" s="330"/>
      <c r="EH561" s="334"/>
      <c r="EI561" s="334"/>
      <c r="EM561"/>
      <c r="EO561" s="115"/>
      <c r="EP561" s="334"/>
      <c r="EQ561" s="334"/>
      <c r="ER561" s="334"/>
      <c r="ES561" s="334"/>
      <c r="ET561" s="334"/>
      <c r="EU561" s="334"/>
      <c r="EV561" s="334"/>
    </row>
    <row r="562" spans="35:152" ht="13">
      <c r="AI562" s="115" t="s">
        <v>1416</v>
      </c>
      <c r="AJ562" t="s">
        <v>2114</v>
      </c>
      <c r="AK562" s="115">
        <v>0</v>
      </c>
      <c r="AL562" s="115" t="s">
        <v>28</v>
      </c>
      <c r="AM562" s="115" t="s">
        <v>1849</v>
      </c>
      <c r="AN562" s="115" t="s">
        <v>1451</v>
      </c>
      <c r="AO562" s="115" t="s">
        <v>373</v>
      </c>
      <c r="AT562" s="115" t="s">
        <v>1415</v>
      </c>
      <c r="AU562" s="115" t="s">
        <v>2114</v>
      </c>
      <c r="AV562" s="115">
        <v>16</v>
      </c>
      <c r="AW562" s="115" t="s">
        <v>1682</v>
      </c>
      <c r="AX562" s="115" t="s">
        <v>28</v>
      </c>
      <c r="AY562" s="115" t="s">
        <v>1832</v>
      </c>
      <c r="AZ562" s="115" t="s">
        <v>1873</v>
      </c>
      <c r="BA562" s="115"/>
      <c r="BB562" s="115"/>
      <c r="BC562" s="115"/>
      <c r="BD562" s="115"/>
      <c r="BE562" s="115">
        <v>54.6</v>
      </c>
      <c r="BF562" s="115"/>
      <c r="BG562" s="115">
        <v>294.65486111111113</v>
      </c>
      <c r="BH562" s="115"/>
      <c r="BI562" s="115"/>
      <c r="BJ562" s="115"/>
      <c r="BK562" s="115"/>
      <c r="BL562" s="115"/>
      <c r="BM562" s="115"/>
      <c r="BN562" s="115"/>
      <c r="BO562" s="115"/>
      <c r="BP562" s="115"/>
      <c r="DR562" s="214"/>
      <c r="DY562" s="115"/>
      <c r="DZ562" s="334"/>
      <c r="EA562" s="334"/>
      <c r="EB562" s="334"/>
      <c r="EC562" s="334"/>
      <c r="ED562" s="187"/>
      <c r="EE562" s="330"/>
      <c r="EH562" s="334"/>
      <c r="EI562" s="334"/>
      <c r="EM562"/>
      <c r="EO562" s="115"/>
      <c r="EP562" s="334"/>
      <c r="EQ562" s="334"/>
      <c r="ER562" s="334"/>
      <c r="ES562" s="334"/>
      <c r="ET562" s="334"/>
      <c r="EU562" s="334"/>
      <c r="EV562" s="334"/>
    </row>
    <row r="563" spans="35:152" ht="13">
      <c r="AI563" s="115" t="s">
        <v>1416</v>
      </c>
      <c r="AJ563" t="s">
        <v>2114</v>
      </c>
      <c r="AK563" s="115">
        <v>0</v>
      </c>
      <c r="AL563" s="115" t="s">
        <v>28</v>
      </c>
      <c r="AM563" s="115" t="s">
        <v>1850</v>
      </c>
      <c r="AN563" s="115" t="s">
        <v>1451</v>
      </c>
      <c r="AO563" s="115" t="s">
        <v>373</v>
      </c>
      <c r="AT563" s="115" t="s">
        <v>1415</v>
      </c>
      <c r="AU563" s="115" t="s">
        <v>2114</v>
      </c>
      <c r="AV563" s="115">
        <v>16</v>
      </c>
      <c r="AW563" s="115" t="s">
        <v>494</v>
      </c>
      <c r="AX563" s="115" t="s">
        <v>28</v>
      </c>
      <c r="AY563" s="115" t="s">
        <v>1846</v>
      </c>
      <c r="AZ563" s="115" t="s">
        <v>1874</v>
      </c>
      <c r="BA563" s="115"/>
      <c r="BB563" s="115"/>
      <c r="BC563" s="115"/>
      <c r="BD563" s="115"/>
      <c r="BE563" s="115"/>
      <c r="BF563" s="115"/>
      <c r="BG563" s="115"/>
      <c r="BH563" s="115"/>
      <c r="BI563" s="115"/>
      <c r="BJ563" s="115"/>
      <c r="BK563" s="115">
        <v>2140.539461028</v>
      </c>
      <c r="BL563" s="115"/>
      <c r="BM563" s="115"/>
      <c r="BN563" s="115">
        <v>698.88</v>
      </c>
      <c r="BO563" s="115"/>
      <c r="BP563" s="115"/>
      <c r="DR563" s="214"/>
      <c r="DY563" s="115"/>
      <c r="DZ563" s="334"/>
      <c r="EA563" s="334"/>
      <c r="EB563" s="334"/>
      <c r="EC563" s="334"/>
      <c r="ED563" s="187"/>
      <c r="EE563" s="330"/>
      <c r="EH563" s="334"/>
      <c r="EI563" s="334"/>
      <c r="EM563"/>
      <c r="EO563" s="115"/>
      <c r="EP563" s="334"/>
      <c r="EQ563" s="334"/>
      <c r="ER563" s="334"/>
      <c r="ES563" s="334"/>
      <c r="ET563" s="334"/>
      <c r="EU563" s="334"/>
      <c r="EV563" s="334"/>
    </row>
    <row r="564" spans="35:152" ht="13">
      <c r="AI564" s="115" t="s">
        <v>1416</v>
      </c>
      <c r="AJ564" t="s">
        <v>2114</v>
      </c>
      <c r="AK564" s="115">
        <v>0</v>
      </c>
      <c r="AL564" s="115" t="s">
        <v>28</v>
      </c>
      <c r="AM564" s="115" t="s">
        <v>1846</v>
      </c>
      <c r="AN564" s="115" t="s">
        <v>1451</v>
      </c>
      <c r="AO564" s="115" t="s">
        <v>373</v>
      </c>
      <c r="AT564" s="115" t="s">
        <v>1415</v>
      </c>
      <c r="AU564" s="115" t="s">
        <v>2114</v>
      </c>
      <c r="AV564" s="115">
        <v>16</v>
      </c>
      <c r="AW564" s="115" t="s">
        <v>494</v>
      </c>
      <c r="AX564" s="115" t="s">
        <v>28</v>
      </c>
      <c r="AY564" s="115" t="s">
        <v>1848</v>
      </c>
      <c r="AZ564" s="115" t="s">
        <v>1874</v>
      </c>
      <c r="BA564" s="115"/>
      <c r="BB564" s="115"/>
      <c r="BC564" s="115"/>
      <c r="BD564" s="115"/>
      <c r="BE564" s="115"/>
      <c r="BF564" s="115"/>
      <c r="BG564" s="115"/>
      <c r="BH564" s="115"/>
      <c r="BI564" s="115"/>
      <c r="BJ564" s="115"/>
      <c r="BK564" s="115">
        <v>334.36024198799998</v>
      </c>
      <c r="BL564" s="115"/>
      <c r="BM564" s="115"/>
      <c r="BN564" s="115"/>
      <c r="BO564" s="115"/>
      <c r="BP564" s="115"/>
      <c r="DR564" s="214"/>
      <c r="DY564" s="115"/>
      <c r="DZ564" s="334"/>
      <c r="EA564" s="334"/>
      <c r="EB564" s="334"/>
      <c r="EC564" s="334"/>
      <c r="ED564" s="187"/>
      <c r="EE564" s="330"/>
      <c r="EH564" s="334"/>
      <c r="EI564" s="334"/>
      <c r="EM564"/>
      <c r="EO564" s="115"/>
      <c r="EP564" s="334"/>
      <c r="EQ564" s="334"/>
      <c r="ER564" s="334"/>
      <c r="ES564" s="334"/>
      <c r="ET564" s="334"/>
      <c r="EU564" s="334"/>
      <c r="EV564" s="334"/>
    </row>
    <row r="565" spans="35:152" ht="13">
      <c r="AI565" s="115" t="s">
        <v>1416</v>
      </c>
      <c r="AJ565" t="s">
        <v>2114</v>
      </c>
      <c r="AK565" s="115">
        <v>0</v>
      </c>
      <c r="AL565" s="115" t="s">
        <v>28</v>
      </c>
      <c r="AM565" s="115" t="s">
        <v>1848</v>
      </c>
      <c r="AN565" s="115" t="s">
        <v>1451</v>
      </c>
      <c r="AO565" s="115" t="s">
        <v>373</v>
      </c>
      <c r="AT565" s="115" t="s">
        <v>1415</v>
      </c>
      <c r="AU565" s="115" t="s">
        <v>2114</v>
      </c>
      <c r="AV565" s="115">
        <v>16</v>
      </c>
      <c r="AW565" s="115" t="s">
        <v>494</v>
      </c>
      <c r="AX565" s="115" t="s">
        <v>28</v>
      </c>
      <c r="AY565" s="115" t="s">
        <v>1843</v>
      </c>
      <c r="AZ565" s="115" t="s">
        <v>1874</v>
      </c>
      <c r="BA565" s="115"/>
      <c r="BB565" s="115"/>
      <c r="BC565" s="115"/>
      <c r="BD565" s="115"/>
      <c r="BE565" s="115"/>
      <c r="BF565" s="115"/>
      <c r="BG565" s="115"/>
      <c r="BH565" s="115"/>
      <c r="BI565" s="115"/>
      <c r="BJ565" s="115"/>
      <c r="BK565" s="115">
        <v>2438.050618556701</v>
      </c>
      <c r="BL565" s="115"/>
      <c r="BM565" s="115"/>
      <c r="BN565" s="115">
        <v>698.88</v>
      </c>
      <c r="BO565" s="115"/>
      <c r="BP565" s="115"/>
      <c r="DR565" s="214"/>
      <c r="DY565" s="115"/>
      <c r="DZ565" s="334"/>
      <c r="EA565" s="334"/>
      <c r="EB565" s="334"/>
      <c r="EC565" s="334"/>
      <c r="ED565" s="187"/>
      <c r="EE565" s="330"/>
      <c r="EH565" s="334"/>
      <c r="EI565" s="334"/>
      <c r="EM565"/>
      <c r="EO565" s="115"/>
      <c r="EP565" s="334"/>
      <c r="EQ565" s="334"/>
      <c r="ER565" s="334"/>
      <c r="ES565" s="334"/>
      <c r="ET565" s="334"/>
      <c r="EU565" s="334"/>
      <c r="EV565" s="334"/>
    </row>
    <row r="566" spans="35:152" ht="13">
      <c r="AI566" s="115" t="s">
        <v>1416</v>
      </c>
      <c r="AJ566" t="s">
        <v>2114</v>
      </c>
      <c r="AK566" s="115">
        <v>0</v>
      </c>
      <c r="AL566" s="115" t="s">
        <v>28</v>
      </c>
      <c r="AM566" s="115" t="s">
        <v>1832</v>
      </c>
      <c r="AN566" s="115" t="s">
        <v>1451</v>
      </c>
      <c r="AO566" s="115" t="s">
        <v>373</v>
      </c>
      <c r="AT566" s="115" t="s">
        <v>1415</v>
      </c>
      <c r="AU566" s="115" t="s">
        <v>2114</v>
      </c>
      <c r="AV566" s="115">
        <v>16</v>
      </c>
      <c r="AW566" s="115" t="s">
        <v>494</v>
      </c>
      <c r="AX566" s="115" t="s">
        <v>28</v>
      </c>
      <c r="AY566" s="115" t="s">
        <v>1849</v>
      </c>
      <c r="AZ566" s="115" t="s">
        <v>1874</v>
      </c>
      <c r="BA566" s="115"/>
      <c r="BB566" s="115"/>
      <c r="BC566" s="115"/>
      <c r="BD566" s="115"/>
      <c r="BE566" s="115"/>
      <c r="BF566" s="115"/>
      <c r="BG566" s="115"/>
      <c r="BH566" s="115"/>
      <c r="BI566" s="115"/>
      <c r="BJ566" s="115"/>
      <c r="BK566" s="115">
        <v>74.344679999999997</v>
      </c>
      <c r="BL566" s="115"/>
      <c r="BM566" s="115"/>
      <c r="BN566" s="115"/>
      <c r="BO566" s="115"/>
      <c r="BP566" s="115"/>
      <c r="DR566" s="214"/>
      <c r="DY566" s="115"/>
      <c r="DZ566" s="334"/>
      <c r="EA566" s="334"/>
      <c r="EB566" s="334"/>
      <c r="EC566" s="334"/>
      <c r="ED566" s="187"/>
      <c r="EE566" s="330"/>
      <c r="EH566" s="334"/>
      <c r="EI566" s="334"/>
      <c r="EM566"/>
      <c r="EO566" s="115"/>
      <c r="EP566" s="334"/>
      <c r="EQ566" s="334"/>
      <c r="ER566" s="334"/>
      <c r="ES566" s="334"/>
      <c r="ET566" s="334"/>
      <c r="EU566" s="334"/>
      <c r="EV566" s="334"/>
    </row>
    <row r="567" spans="35:152" ht="13">
      <c r="AI567" s="115" t="s">
        <v>1416</v>
      </c>
      <c r="AJ567" t="s">
        <v>2114</v>
      </c>
      <c r="AK567" s="115">
        <v>0</v>
      </c>
      <c r="AL567" s="115" t="s">
        <v>28</v>
      </c>
      <c r="AM567" s="115" t="s">
        <v>1848</v>
      </c>
      <c r="AN567" s="115" t="s">
        <v>1451</v>
      </c>
      <c r="AO567" s="115" t="s">
        <v>380</v>
      </c>
      <c r="AT567" s="115" t="s">
        <v>1415</v>
      </c>
      <c r="AU567" s="115" t="s">
        <v>2114</v>
      </c>
      <c r="AV567" s="115">
        <v>16</v>
      </c>
      <c r="AW567" s="115" t="s">
        <v>494</v>
      </c>
      <c r="AX567" s="115" t="s">
        <v>28</v>
      </c>
      <c r="AY567" s="115" t="s">
        <v>1850</v>
      </c>
      <c r="AZ567" s="115" t="s">
        <v>1874</v>
      </c>
      <c r="BA567" s="115"/>
      <c r="BB567" s="115"/>
      <c r="BC567" s="115"/>
      <c r="BD567" s="115"/>
      <c r="BE567" s="115"/>
      <c r="BF567" s="115"/>
      <c r="BG567" s="115"/>
      <c r="BH567" s="115"/>
      <c r="BI567" s="115"/>
      <c r="BJ567" s="115"/>
      <c r="BK567" s="115">
        <v>8.2605199999999996</v>
      </c>
      <c r="BL567" s="115"/>
      <c r="BM567" s="115"/>
      <c r="BN567" s="115"/>
      <c r="BO567" s="115"/>
      <c r="BP567" s="115"/>
      <c r="DR567" s="214"/>
      <c r="DY567" s="115"/>
      <c r="DZ567" s="334"/>
      <c r="EA567" s="334"/>
      <c r="EB567" s="334"/>
      <c r="EC567" s="334"/>
      <c r="ED567" s="187"/>
      <c r="EE567" s="330"/>
      <c r="EH567" s="334"/>
      <c r="EI567" s="334"/>
      <c r="EM567"/>
      <c r="EO567" s="115"/>
      <c r="EP567" s="334"/>
      <c r="EQ567" s="334"/>
      <c r="ER567" s="334"/>
      <c r="ES567" s="334"/>
      <c r="ET567" s="334"/>
      <c r="EU567" s="334"/>
      <c r="EV567" s="334"/>
    </row>
    <row r="568" spans="35:152" ht="13">
      <c r="AI568" s="115" t="s">
        <v>1416</v>
      </c>
      <c r="AJ568" t="s">
        <v>2114</v>
      </c>
      <c r="AK568" s="115">
        <v>0</v>
      </c>
      <c r="AL568" s="115" t="s">
        <v>28</v>
      </c>
      <c r="AM568" s="115" t="s">
        <v>1846</v>
      </c>
      <c r="AN568" s="115" t="s">
        <v>1451</v>
      </c>
      <c r="AO568" s="115" t="s">
        <v>380</v>
      </c>
      <c r="AT568" s="115" t="s">
        <v>1415</v>
      </c>
      <c r="AU568" s="115" t="s">
        <v>2114</v>
      </c>
      <c r="AV568" s="115">
        <v>16</v>
      </c>
      <c r="AW568" s="115" t="s">
        <v>494</v>
      </c>
      <c r="AX568" s="115" t="s">
        <v>28</v>
      </c>
      <c r="AY568" s="115" t="s">
        <v>1832</v>
      </c>
      <c r="AZ568" s="115" t="s">
        <v>1874</v>
      </c>
      <c r="BA568" s="115"/>
      <c r="BB568" s="115"/>
      <c r="BC568" s="115"/>
      <c r="BD568" s="115"/>
      <c r="BE568" s="115"/>
      <c r="BF568" s="115"/>
      <c r="BG568" s="115"/>
      <c r="BH568" s="115"/>
      <c r="BI568" s="115"/>
      <c r="BJ568" s="115"/>
      <c r="BK568" s="115">
        <v>85.16</v>
      </c>
      <c r="BL568" s="115"/>
      <c r="BM568" s="115"/>
      <c r="BN568" s="115"/>
      <c r="BO568" s="115"/>
      <c r="BP568" s="115"/>
      <c r="DR568" s="214"/>
      <c r="DY568" s="115"/>
      <c r="DZ568" s="334"/>
      <c r="EA568" s="334"/>
      <c r="EB568" s="334"/>
      <c r="EC568" s="334"/>
      <c r="ED568" s="187"/>
      <c r="EE568" s="330"/>
      <c r="EH568" s="334"/>
      <c r="EI568" s="334"/>
      <c r="EM568"/>
      <c r="EO568" s="115"/>
      <c r="EP568" s="334"/>
      <c r="EQ568" s="334"/>
      <c r="ER568" s="334"/>
      <c r="ES568" s="334"/>
      <c r="ET568" s="334"/>
      <c r="EU568" s="334"/>
      <c r="EV568" s="334"/>
    </row>
    <row r="569" spans="35:152" ht="13">
      <c r="AI569" s="115" t="s">
        <v>1416</v>
      </c>
      <c r="AJ569" t="s">
        <v>2114</v>
      </c>
      <c r="AK569" s="115">
        <v>0</v>
      </c>
      <c r="AL569" s="115" t="s">
        <v>28</v>
      </c>
      <c r="AM569" s="115" t="s">
        <v>1849</v>
      </c>
      <c r="AN569" s="115" t="s">
        <v>1451</v>
      </c>
      <c r="AO569" s="115" t="s">
        <v>380</v>
      </c>
      <c r="AT569" s="115" t="s">
        <v>1415</v>
      </c>
      <c r="AU569" s="115" t="s">
        <v>2114</v>
      </c>
      <c r="AV569" s="115">
        <v>16</v>
      </c>
      <c r="AW569" s="115" t="s">
        <v>494</v>
      </c>
      <c r="AX569" s="115" t="s">
        <v>28</v>
      </c>
      <c r="AY569" s="115" t="s">
        <v>1846</v>
      </c>
      <c r="AZ569" s="115" t="s">
        <v>1875</v>
      </c>
      <c r="BA569" s="115"/>
      <c r="BB569" s="115"/>
      <c r="BC569" s="115">
        <v>796.38220381249994</v>
      </c>
      <c r="BD569" s="115"/>
      <c r="BE569" s="115"/>
      <c r="BF569" s="115"/>
      <c r="BG569" s="115"/>
      <c r="BH569" s="115"/>
      <c r="BI569" s="115"/>
      <c r="BJ569" s="115"/>
      <c r="BK569" s="115">
        <v>7.5406509900000183</v>
      </c>
      <c r="BL569" s="115">
        <v>254.87400346200005</v>
      </c>
      <c r="BM569" s="115">
        <v>15010.9545</v>
      </c>
      <c r="BN569" s="115">
        <v>78</v>
      </c>
      <c r="BO569" s="115"/>
      <c r="BP569" s="115"/>
      <c r="DR569" s="214"/>
      <c r="DY569" s="115"/>
      <c r="DZ569" s="334"/>
      <c r="EA569" s="334"/>
      <c r="EB569" s="334"/>
      <c r="EC569" s="334"/>
      <c r="ED569" s="187"/>
      <c r="EE569" s="330"/>
      <c r="EH569" s="334"/>
      <c r="EI569" s="334"/>
      <c r="EM569"/>
      <c r="EO569" s="115"/>
      <c r="EP569" s="334"/>
      <c r="EQ569" s="334"/>
      <c r="ER569" s="334"/>
      <c r="ES569" s="334"/>
      <c r="ET569" s="334"/>
      <c r="EU569" s="334"/>
      <c r="EV569" s="334"/>
    </row>
    <row r="570" spans="35:152" ht="13">
      <c r="AI570" s="115" t="s">
        <v>1416</v>
      </c>
      <c r="AJ570" t="s">
        <v>2114</v>
      </c>
      <c r="AK570" s="115">
        <v>0</v>
      </c>
      <c r="AL570" s="115" t="s">
        <v>28</v>
      </c>
      <c r="AM570" s="115" t="s">
        <v>1850</v>
      </c>
      <c r="AN570" s="115" t="s">
        <v>1451</v>
      </c>
      <c r="AO570" s="115" t="s">
        <v>380</v>
      </c>
      <c r="AT570" s="115" t="s">
        <v>1415</v>
      </c>
      <c r="AU570" s="115" t="s">
        <v>2114</v>
      </c>
      <c r="AV570" s="115">
        <v>16</v>
      </c>
      <c r="AW570" s="115" t="s">
        <v>494</v>
      </c>
      <c r="AX570" s="115" t="s">
        <v>28</v>
      </c>
      <c r="AY570" s="115" t="s">
        <v>1848</v>
      </c>
      <c r="AZ570" s="115" t="s">
        <v>1875</v>
      </c>
      <c r="BA570" s="115"/>
      <c r="BB570" s="115"/>
      <c r="BC570" s="115">
        <v>4696.3818608437505</v>
      </c>
      <c r="BD570" s="115"/>
      <c r="BE570" s="115"/>
      <c r="BF570" s="115"/>
      <c r="BG570" s="115"/>
      <c r="BH570" s="115"/>
      <c r="BI570" s="115"/>
      <c r="BJ570" s="115"/>
      <c r="BK570" s="115">
        <v>1.1778777900000028</v>
      </c>
      <c r="BL570" s="115">
        <v>39.812269302000004</v>
      </c>
      <c r="BM570" s="115"/>
      <c r="BN570" s="115"/>
      <c r="BO570" s="115"/>
      <c r="BP570" s="115"/>
      <c r="DR570" s="214"/>
      <c r="DY570" s="115"/>
      <c r="DZ570" s="334"/>
      <c r="EA570" s="334"/>
      <c r="EB570" s="334"/>
      <c r="EC570" s="334"/>
      <c r="ED570" s="187"/>
      <c r="EE570" s="330"/>
      <c r="EH570" s="334"/>
      <c r="EI570" s="334"/>
      <c r="EM570"/>
      <c r="EO570" s="115"/>
      <c r="EP570" s="334"/>
      <c r="EQ570" s="334"/>
      <c r="ER570" s="334"/>
      <c r="ES570" s="334"/>
      <c r="ET570" s="334"/>
      <c r="EU570" s="334"/>
      <c r="EV570" s="334"/>
    </row>
    <row r="571" spans="35:152" ht="13">
      <c r="AI571" s="115" t="s">
        <v>1416</v>
      </c>
      <c r="AJ571" t="s">
        <v>2114</v>
      </c>
      <c r="AK571" s="115">
        <v>0</v>
      </c>
      <c r="AL571" s="115" t="s">
        <v>28</v>
      </c>
      <c r="AM571" s="115" t="s">
        <v>1832</v>
      </c>
      <c r="AN571" s="115" t="s">
        <v>1451</v>
      </c>
      <c r="AO571" s="115" t="s">
        <v>380</v>
      </c>
      <c r="AT571" s="115" t="s">
        <v>1415</v>
      </c>
      <c r="AU571" s="115" t="s">
        <v>2114</v>
      </c>
      <c r="AV571" s="115">
        <v>16</v>
      </c>
      <c r="AW571" s="115" t="s">
        <v>494</v>
      </c>
      <c r="AX571" s="115" t="s">
        <v>28</v>
      </c>
      <c r="AY571" s="115" t="s">
        <v>1843</v>
      </c>
      <c r="AZ571" s="115" t="s">
        <v>1875</v>
      </c>
      <c r="BA571" s="115"/>
      <c r="BB571" s="115"/>
      <c r="BC571" s="115">
        <v>5443.8203092783506</v>
      </c>
      <c r="BD571" s="115"/>
      <c r="BE571" s="115"/>
      <c r="BF571" s="115"/>
      <c r="BG571" s="115"/>
      <c r="BH571" s="115"/>
      <c r="BI571" s="115"/>
      <c r="BJ571" s="115"/>
      <c r="BK571" s="115">
        <v>8.5887628865979373</v>
      </c>
      <c r="BL571" s="115">
        <v>290.29865979381441</v>
      </c>
      <c r="BM571" s="115">
        <v>15010.9545</v>
      </c>
      <c r="BN571" s="115">
        <v>78</v>
      </c>
      <c r="BO571" s="115"/>
      <c r="BP571" s="115"/>
      <c r="DR571" s="214"/>
      <c r="DY571" s="115"/>
      <c r="DZ571" s="334"/>
      <c r="EA571" s="334"/>
      <c r="EB571" s="334"/>
      <c r="EC571" s="334"/>
      <c r="ED571" s="187"/>
      <c r="EE571" s="330"/>
      <c r="EH571" s="334"/>
      <c r="EI571" s="334"/>
      <c r="EM571"/>
      <c r="EO571" s="115"/>
      <c r="EP571" s="334"/>
      <c r="EQ571" s="334"/>
      <c r="ER571" s="334"/>
      <c r="ES571" s="334"/>
      <c r="ET571" s="334"/>
      <c r="EU571" s="334"/>
      <c r="EV571" s="334"/>
    </row>
    <row r="572" spans="35:152" ht="13">
      <c r="AI572" s="115" t="s">
        <v>1416</v>
      </c>
      <c r="AJ572" t="s">
        <v>2114</v>
      </c>
      <c r="AK572" s="115">
        <v>0</v>
      </c>
      <c r="AL572" s="115" t="s">
        <v>28</v>
      </c>
      <c r="AM572" s="115" t="s">
        <v>1843</v>
      </c>
      <c r="AN572" s="115" t="s">
        <v>1451</v>
      </c>
      <c r="AO572" s="115" t="s">
        <v>380</v>
      </c>
      <c r="AT572" s="115" t="s">
        <v>1415</v>
      </c>
      <c r="AU572" s="115" t="s">
        <v>2114</v>
      </c>
      <c r="AV572" s="115">
        <v>16</v>
      </c>
      <c r="AW572" s="115" t="s">
        <v>494</v>
      </c>
      <c r="AX572" s="115" t="s">
        <v>28</v>
      </c>
      <c r="AY572" s="115" t="s">
        <v>1849</v>
      </c>
      <c r="AZ572" s="115" t="s">
        <v>1875</v>
      </c>
      <c r="BA572" s="115"/>
      <c r="BB572" s="115"/>
      <c r="BC572" s="115">
        <v>35.253437499999997</v>
      </c>
      <c r="BD572" s="115"/>
      <c r="BE572" s="115"/>
      <c r="BF572" s="115"/>
      <c r="BG572" s="115"/>
      <c r="BH572" s="115"/>
      <c r="BI572" s="115"/>
      <c r="BJ572" s="115"/>
      <c r="BK572" s="115">
        <v>0.26190000000000063</v>
      </c>
      <c r="BL572" s="115">
        <v>8.8522200000000009</v>
      </c>
      <c r="BM572" s="115"/>
      <c r="BN572" s="115"/>
      <c r="BO572" s="115"/>
      <c r="BP572" s="115"/>
      <c r="DR572" s="214"/>
      <c r="DY572" s="115"/>
      <c r="DZ572" s="334"/>
      <c r="EA572" s="334"/>
      <c r="EB572" s="334"/>
      <c r="EC572" s="334"/>
      <c r="ED572" s="187"/>
      <c r="EE572" s="330"/>
      <c r="EH572" s="334"/>
      <c r="EI572" s="334"/>
      <c r="EM572"/>
      <c r="EO572" s="115"/>
      <c r="EP572" s="334"/>
      <c r="EQ572" s="334"/>
      <c r="ER572" s="334"/>
      <c r="ES572" s="334"/>
      <c r="ET572" s="334"/>
      <c r="EU572" s="334"/>
      <c r="EV572" s="334"/>
    </row>
    <row r="573" spans="35:152" ht="13">
      <c r="AI573" s="115" t="s">
        <v>1416</v>
      </c>
      <c r="AJ573" t="s">
        <v>2114</v>
      </c>
      <c r="AK573" s="115">
        <v>0</v>
      </c>
      <c r="AL573" s="115" t="s">
        <v>28</v>
      </c>
      <c r="AM573" s="115" t="s">
        <v>1850</v>
      </c>
      <c r="AN573" s="115" t="s">
        <v>1452</v>
      </c>
      <c r="AO573" s="115" t="s">
        <v>1644</v>
      </c>
      <c r="AT573" s="115" t="s">
        <v>1415</v>
      </c>
      <c r="AU573" s="115" t="s">
        <v>2114</v>
      </c>
      <c r="AV573" s="115">
        <v>16</v>
      </c>
      <c r="AW573" s="115" t="s">
        <v>494</v>
      </c>
      <c r="AX573" s="115" t="s">
        <v>28</v>
      </c>
      <c r="AY573" s="115" t="s">
        <v>1850</v>
      </c>
      <c r="AZ573" s="115" t="s">
        <v>1875</v>
      </c>
      <c r="BA573" s="115"/>
      <c r="BB573" s="115"/>
      <c r="BC573" s="115">
        <v>105.7603125</v>
      </c>
      <c r="BD573" s="115"/>
      <c r="BE573" s="115"/>
      <c r="BF573" s="115"/>
      <c r="BG573" s="115"/>
      <c r="BH573" s="115"/>
      <c r="BI573" s="115"/>
      <c r="BJ573" s="115"/>
      <c r="BK573" s="115">
        <v>2.910000000000007E-2</v>
      </c>
      <c r="BL573" s="115">
        <v>0.98358000000000012</v>
      </c>
      <c r="BM573" s="115"/>
      <c r="BN573" s="115"/>
      <c r="BO573" s="115"/>
      <c r="BP573" s="115"/>
      <c r="DR573" s="214"/>
      <c r="DY573" s="115"/>
      <c r="DZ573" s="334"/>
      <c r="EA573" s="334"/>
      <c r="EB573" s="334"/>
      <c r="EC573" s="334"/>
      <c r="ED573" s="187"/>
      <c r="EE573" s="330"/>
      <c r="EH573" s="334"/>
      <c r="EI573" s="334"/>
      <c r="EM573"/>
      <c r="EO573" s="115"/>
      <c r="EP573" s="334"/>
      <c r="EQ573" s="334"/>
      <c r="ER573" s="334"/>
      <c r="ES573" s="334"/>
      <c r="ET573" s="334"/>
      <c r="EU573" s="334"/>
      <c r="EV573" s="334"/>
    </row>
    <row r="574" spans="35:152" ht="13">
      <c r="AI574" s="115" t="s">
        <v>1416</v>
      </c>
      <c r="AJ574" t="s">
        <v>2114</v>
      </c>
      <c r="AK574" s="115">
        <v>0</v>
      </c>
      <c r="AL574" s="115" t="s">
        <v>28</v>
      </c>
      <c r="AM574" s="115" t="s">
        <v>1843</v>
      </c>
      <c r="AN574" s="115" t="s">
        <v>1452</v>
      </c>
      <c r="AO574" s="115" t="s">
        <v>1644</v>
      </c>
      <c r="AT574" s="115" t="s">
        <v>1415</v>
      </c>
      <c r="AU574" s="115" t="s">
        <v>2114</v>
      </c>
      <c r="AV574" s="115">
        <v>16</v>
      </c>
      <c r="AW574" s="115" t="s">
        <v>494</v>
      </c>
      <c r="AX574" s="115" t="s">
        <v>28</v>
      </c>
      <c r="AY574" s="115" t="s">
        <v>1832</v>
      </c>
      <c r="AZ574" s="115" t="s">
        <v>1875</v>
      </c>
      <c r="BA574" s="115"/>
      <c r="BB574" s="115"/>
      <c r="BC574" s="115">
        <v>145.375</v>
      </c>
      <c r="BD574" s="115"/>
      <c r="BE574" s="115"/>
      <c r="BF574" s="115"/>
      <c r="BG574" s="115"/>
      <c r="BH574" s="115"/>
      <c r="BI574" s="115"/>
      <c r="BJ574" s="115"/>
      <c r="BK574" s="115">
        <v>0.30000000000000071</v>
      </c>
      <c r="BL574" s="115">
        <v>10.14</v>
      </c>
      <c r="BM574" s="115"/>
      <c r="BN574" s="115"/>
      <c r="BO574" s="115"/>
      <c r="BP574" s="115"/>
      <c r="DR574" s="214"/>
      <c r="DY574" s="115"/>
      <c r="DZ574" s="334"/>
      <c r="EA574" s="334"/>
      <c r="EB574" s="334"/>
      <c r="EC574" s="334"/>
      <c r="ED574" s="187"/>
      <c r="EE574" s="330"/>
      <c r="EH574" s="334"/>
      <c r="EI574" s="334"/>
      <c r="EM574"/>
      <c r="EO574" s="115"/>
      <c r="EP574" s="334"/>
      <c r="EQ574" s="334"/>
      <c r="ER574" s="334"/>
      <c r="ES574" s="334"/>
      <c r="ET574" s="334"/>
      <c r="EU574" s="334"/>
      <c r="EV574" s="334"/>
    </row>
    <row r="575" spans="35:152" ht="13">
      <c r="AI575" s="115" t="s">
        <v>1416</v>
      </c>
      <c r="AJ575" t="s">
        <v>2114</v>
      </c>
      <c r="AK575" s="115">
        <v>0</v>
      </c>
      <c r="AL575" s="115" t="s">
        <v>28</v>
      </c>
      <c r="AM575" s="115" t="s">
        <v>1832</v>
      </c>
      <c r="AN575" s="115" t="s">
        <v>1452</v>
      </c>
      <c r="AO575" s="115" t="s">
        <v>1644</v>
      </c>
      <c r="AT575" s="115" t="s">
        <v>1415</v>
      </c>
      <c r="AU575" s="115" t="s">
        <v>2114</v>
      </c>
      <c r="AV575" s="115">
        <v>16</v>
      </c>
      <c r="AW575" s="115" t="s">
        <v>494</v>
      </c>
      <c r="AX575" s="115" t="s">
        <v>28</v>
      </c>
      <c r="AY575" s="115" t="s">
        <v>1846</v>
      </c>
      <c r="AZ575" s="115" t="s">
        <v>1876</v>
      </c>
      <c r="BA575" s="115"/>
      <c r="BB575" s="115"/>
      <c r="BC575" s="115"/>
      <c r="BD575" s="115"/>
      <c r="BE575" s="115"/>
      <c r="BF575" s="115"/>
      <c r="BG575" s="115"/>
      <c r="BH575" s="115"/>
      <c r="BI575" s="115">
        <v>3688.4722875000002</v>
      </c>
      <c r="BJ575" s="115"/>
      <c r="BK575" s="115"/>
      <c r="BL575" s="115"/>
      <c r="BM575" s="115"/>
      <c r="BN575" s="115">
        <v>3384.5</v>
      </c>
      <c r="BO575" s="115"/>
      <c r="BP575" s="115"/>
      <c r="DR575" s="214"/>
      <c r="DY575" s="115"/>
      <c r="DZ575" s="334"/>
      <c r="EA575" s="334"/>
      <c r="EB575" s="334"/>
      <c r="EC575" s="334"/>
      <c r="ED575" s="187"/>
      <c r="EE575" s="330"/>
      <c r="EH575" s="334"/>
      <c r="EI575" s="334"/>
      <c r="EM575"/>
      <c r="EO575" s="115"/>
      <c r="EP575" s="334"/>
      <c r="EQ575" s="334"/>
      <c r="ER575" s="334"/>
      <c r="ES575" s="334"/>
      <c r="ET575" s="334"/>
      <c r="EU575" s="334"/>
      <c r="EV575" s="334"/>
    </row>
    <row r="576" spans="35:152" ht="13">
      <c r="AI576" s="115" t="s">
        <v>1416</v>
      </c>
      <c r="AJ576" t="s">
        <v>2114</v>
      </c>
      <c r="AK576" s="115">
        <v>0</v>
      </c>
      <c r="AL576" s="115" t="s">
        <v>28</v>
      </c>
      <c r="AM576" s="115" t="s">
        <v>1848</v>
      </c>
      <c r="AN576" s="115" t="s">
        <v>1452</v>
      </c>
      <c r="AO576" s="115" t="s">
        <v>1644</v>
      </c>
      <c r="AT576" s="115" t="s">
        <v>1415</v>
      </c>
      <c r="AU576" s="115" t="s">
        <v>2114</v>
      </c>
      <c r="AV576" s="115">
        <v>16</v>
      </c>
      <c r="AW576" s="115" t="s">
        <v>494</v>
      </c>
      <c r="AX576" s="115" t="s">
        <v>28</v>
      </c>
      <c r="AY576" s="115" t="s">
        <v>1848</v>
      </c>
      <c r="AZ576" s="115" t="s">
        <v>1876</v>
      </c>
      <c r="BA576" s="115"/>
      <c r="BB576" s="115"/>
      <c r="BC576" s="115"/>
      <c r="BD576" s="115"/>
      <c r="BE576" s="115"/>
      <c r="BF576" s="115"/>
      <c r="BG576" s="115"/>
      <c r="BH576" s="115"/>
      <c r="BI576" s="115">
        <v>1662.3743296875</v>
      </c>
      <c r="BJ576" s="115"/>
      <c r="BK576" s="115"/>
      <c r="BL576" s="115"/>
      <c r="BM576" s="115"/>
      <c r="BN576" s="115"/>
      <c r="BO576" s="115"/>
      <c r="BP576" s="115"/>
      <c r="DR576" s="214"/>
      <c r="DY576" s="115"/>
      <c r="DZ576" s="334"/>
      <c r="EA576" s="334"/>
      <c r="EB576" s="334"/>
      <c r="EC576" s="334"/>
      <c r="ED576" s="187"/>
      <c r="EE576" s="330"/>
      <c r="EH576" s="334"/>
      <c r="EI576" s="334"/>
      <c r="EM576"/>
      <c r="EO576" s="115"/>
      <c r="EP576" s="334"/>
      <c r="EQ576" s="334"/>
      <c r="ER576" s="334"/>
      <c r="ES576" s="334"/>
      <c r="ET576" s="334"/>
      <c r="EU576" s="334"/>
      <c r="EV576" s="334"/>
    </row>
    <row r="577" spans="35:152" ht="13">
      <c r="AI577" s="115" t="s">
        <v>1416</v>
      </c>
      <c r="AJ577" t="s">
        <v>2114</v>
      </c>
      <c r="AK577" s="115">
        <v>0</v>
      </c>
      <c r="AL577" s="115" t="s">
        <v>28</v>
      </c>
      <c r="AM577" s="115" t="s">
        <v>1832</v>
      </c>
      <c r="AN577" s="115" t="s">
        <v>1452</v>
      </c>
      <c r="AO577" s="115" t="s">
        <v>1274</v>
      </c>
      <c r="AT577" s="115" t="s">
        <v>1415</v>
      </c>
      <c r="AU577" s="115" t="s">
        <v>2114</v>
      </c>
      <c r="AV577" s="115">
        <v>16</v>
      </c>
      <c r="AW577" s="115" t="s">
        <v>494</v>
      </c>
      <c r="AX577" s="115" t="s">
        <v>28</v>
      </c>
      <c r="AY577" s="115" t="s">
        <v>1843</v>
      </c>
      <c r="AZ577" s="115" t="s">
        <v>1876</v>
      </c>
      <c r="BA577" s="115"/>
      <c r="BB577" s="115"/>
      <c r="BC577" s="115"/>
      <c r="BD577" s="115"/>
      <c r="BE577" s="115"/>
      <c r="BF577" s="115"/>
      <c r="BG577" s="115"/>
      <c r="BH577" s="115"/>
      <c r="BI577" s="115">
        <v>5525.45587628866</v>
      </c>
      <c r="BJ577" s="115"/>
      <c r="BK577" s="115"/>
      <c r="BL577" s="115"/>
      <c r="BM577" s="115"/>
      <c r="BN577" s="115">
        <v>3384.5</v>
      </c>
      <c r="BO577" s="115"/>
      <c r="BP577" s="115"/>
      <c r="DR577" s="214"/>
      <c r="DY577" s="115"/>
      <c r="DZ577" s="334"/>
      <c r="EA577" s="334"/>
      <c r="EB577" s="334"/>
      <c r="EC577" s="334"/>
      <c r="ED577" s="187"/>
      <c r="EE577" s="330"/>
      <c r="EH577" s="334"/>
      <c r="EI577" s="334"/>
      <c r="EM577"/>
      <c r="EO577" s="115"/>
      <c r="EP577" s="334"/>
      <c r="EQ577" s="334"/>
      <c r="ER577" s="334"/>
      <c r="ES577" s="334"/>
      <c r="ET577" s="334"/>
      <c r="EU577" s="334"/>
      <c r="EV577" s="334"/>
    </row>
    <row r="578" spans="35:152" ht="13">
      <c r="AI578" s="115" t="s">
        <v>1416</v>
      </c>
      <c r="AJ578" t="s">
        <v>2114</v>
      </c>
      <c r="AK578" s="115">
        <v>0</v>
      </c>
      <c r="AL578" s="115" t="s">
        <v>28</v>
      </c>
      <c r="AM578" s="115" t="s">
        <v>1850</v>
      </c>
      <c r="AN578" s="115" t="s">
        <v>1452</v>
      </c>
      <c r="AO578" s="115" t="s">
        <v>1274</v>
      </c>
      <c r="AT578" s="115" t="s">
        <v>1415</v>
      </c>
      <c r="AU578" s="115" t="s">
        <v>2114</v>
      </c>
      <c r="AV578" s="115">
        <v>16</v>
      </c>
      <c r="AW578" s="115" t="s">
        <v>494</v>
      </c>
      <c r="AX578" s="115" t="s">
        <v>28</v>
      </c>
      <c r="AY578" s="115" t="s">
        <v>1849</v>
      </c>
      <c r="AZ578" s="115" t="s">
        <v>1876</v>
      </c>
      <c r="BA578" s="115"/>
      <c r="BB578" s="115"/>
      <c r="BC578" s="115"/>
      <c r="BD578" s="115"/>
      <c r="BE578" s="115"/>
      <c r="BF578" s="115"/>
      <c r="BG578" s="115"/>
      <c r="BH578" s="115"/>
      <c r="BI578" s="115">
        <v>130.04062500000001</v>
      </c>
      <c r="BJ578" s="115"/>
      <c r="BK578" s="115"/>
      <c r="BL578" s="115"/>
      <c r="BM578" s="115"/>
      <c r="BN578" s="115"/>
      <c r="BO578" s="115"/>
      <c r="BP578" s="115"/>
      <c r="DR578" s="214"/>
      <c r="DY578" s="115"/>
      <c r="DZ578" s="334"/>
      <c r="EA578" s="334"/>
      <c r="EB578" s="334"/>
      <c r="EC578" s="334"/>
      <c r="ED578" s="187"/>
      <c r="EE578" s="330"/>
      <c r="EH578" s="334"/>
      <c r="EI578" s="334"/>
      <c r="EM578"/>
      <c r="EO578" s="115"/>
      <c r="EP578" s="334"/>
      <c r="EQ578" s="334"/>
      <c r="ER578" s="334"/>
      <c r="ES578" s="334"/>
      <c r="ET578" s="334"/>
      <c r="EU578" s="334"/>
      <c r="EV578" s="334"/>
    </row>
    <row r="579" spans="35:152" ht="13">
      <c r="AI579" s="115" t="s">
        <v>1416</v>
      </c>
      <c r="AJ579" t="s">
        <v>2114</v>
      </c>
      <c r="AK579" s="115">
        <v>0</v>
      </c>
      <c r="AL579" s="115" t="s">
        <v>28</v>
      </c>
      <c r="AM579" s="115" t="s">
        <v>1849</v>
      </c>
      <c r="AN579" s="115" t="s">
        <v>1452</v>
      </c>
      <c r="AO579" s="115" t="s">
        <v>1274</v>
      </c>
      <c r="AT579" s="115" t="s">
        <v>1415</v>
      </c>
      <c r="AU579" s="115" t="s">
        <v>2114</v>
      </c>
      <c r="AV579" s="115">
        <v>16</v>
      </c>
      <c r="AW579" s="115" t="s">
        <v>494</v>
      </c>
      <c r="AX579" s="115" t="s">
        <v>28</v>
      </c>
      <c r="AY579" s="115" t="s">
        <v>1850</v>
      </c>
      <c r="AZ579" s="115" t="s">
        <v>1876</v>
      </c>
      <c r="BA579" s="115"/>
      <c r="BB579" s="115"/>
      <c r="BC579" s="115"/>
      <c r="BD579" s="115"/>
      <c r="BE579" s="115"/>
      <c r="BF579" s="115"/>
      <c r="BG579" s="115"/>
      <c r="BH579" s="115"/>
      <c r="BI579" s="115">
        <v>43.346875000000004</v>
      </c>
      <c r="BJ579" s="115"/>
      <c r="BK579" s="115"/>
      <c r="BL579" s="115"/>
      <c r="BM579" s="115"/>
      <c r="BN579" s="115"/>
      <c r="BO579" s="115"/>
      <c r="BP579" s="115"/>
      <c r="DR579" s="214"/>
      <c r="DY579" s="115"/>
      <c r="DZ579" s="334"/>
      <c r="EA579" s="334"/>
      <c r="EB579" s="334"/>
      <c r="EC579" s="334"/>
      <c r="ED579" s="187"/>
      <c r="EE579" s="330"/>
      <c r="EH579" s="334"/>
      <c r="EI579" s="334"/>
      <c r="EM579"/>
      <c r="EO579" s="115"/>
      <c r="EP579" s="334"/>
      <c r="EQ579" s="334"/>
      <c r="ER579" s="334"/>
      <c r="ES579" s="334"/>
      <c r="ET579" s="334"/>
      <c r="EU579" s="334"/>
      <c r="EV579" s="334"/>
    </row>
    <row r="580" spans="35:152" ht="13">
      <c r="AI580" s="115" t="s">
        <v>1416</v>
      </c>
      <c r="AJ580" t="s">
        <v>2114</v>
      </c>
      <c r="AK580" s="115">
        <v>0</v>
      </c>
      <c r="AL580" s="115" t="s">
        <v>28</v>
      </c>
      <c r="AM580" s="115" t="s">
        <v>1843</v>
      </c>
      <c r="AN580" s="115" t="s">
        <v>1452</v>
      </c>
      <c r="AO580" s="115" t="s">
        <v>1274</v>
      </c>
      <c r="AT580" s="115" t="s">
        <v>1415</v>
      </c>
      <c r="AU580" s="115" t="s">
        <v>2114</v>
      </c>
      <c r="AV580" s="115">
        <v>16</v>
      </c>
      <c r="AW580" s="115" t="s">
        <v>494</v>
      </c>
      <c r="AX580" s="115" t="s">
        <v>28</v>
      </c>
      <c r="AY580" s="115" t="s">
        <v>1832</v>
      </c>
      <c r="AZ580" s="115" t="s">
        <v>1876</v>
      </c>
      <c r="BA580" s="115"/>
      <c r="BB580" s="115"/>
      <c r="BC580" s="115"/>
      <c r="BD580" s="115"/>
      <c r="BE580" s="115"/>
      <c r="BF580" s="115"/>
      <c r="BG580" s="115"/>
      <c r="BH580" s="115"/>
      <c r="BI580" s="115">
        <v>178.75000000000003</v>
      </c>
      <c r="BJ580" s="115"/>
      <c r="BK580" s="115"/>
      <c r="BL580" s="115"/>
      <c r="BM580" s="115"/>
      <c r="BN580" s="115"/>
      <c r="BO580" s="115"/>
      <c r="BP580" s="115"/>
      <c r="DR580" s="214"/>
      <c r="DY580" s="115"/>
      <c r="DZ580" s="334"/>
      <c r="EA580" s="334"/>
      <c r="EB580" s="334"/>
      <c r="EC580" s="334"/>
      <c r="ED580" s="187"/>
      <c r="EE580" s="330"/>
      <c r="EH580" s="334"/>
      <c r="EI580" s="334"/>
      <c r="EM580"/>
      <c r="EO580" s="115"/>
      <c r="EP580" s="334"/>
      <c r="EQ580" s="334"/>
      <c r="ER580" s="334"/>
      <c r="ES580" s="334"/>
      <c r="ET580" s="334"/>
      <c r="EU580" s="334"/>
      <c r="EV580" s="334"/>
    </row>
    <row r="581" spans="35:152" ht="13">
      <c r="AI581" s="115" t="s">
        <v>1416</v>
      </c>
      <c r="AJ581" t="s">
        <v>2114</v>
      </c>
      <c r="AK581" s="115">
        <v>0</v>
      </c>
      <c r="AL581" s="115" t="s">
        <v>28</v>
      </c>
      <c r="AM581" s="115" t="s">
        <v>1848</v>
      </c>
      <c r="AN581" s="115" t="s">
        <v>1452</v>
      </c>
      <c r="AO581" s="115" t="s">
        <v>1274</v>
      </c>
      <c r="AT581" s="115" t="s">
        <v>1415</v>
      </c>
      <c r="AU581" s="115" t="s">
        <v>2114</v>
      </c>
      <c r="AV581" s="115">
        <v>16</v>
      </c>
      <c r="AW581" s="115" t="s">
        <v>494</v>
      </c>
      <c r="AX581" s="115" t="s">
        <v>28</v>
      </c>
      <c r="AY581" s="115" t="s">
        <v>1846</v>
      </c>
      <c r="AZ581" s="115" t="s">
        <v>1877</v>
      </c>
      <c r="BA581" s="115"/>
      <c r="BB581" s="115"/>
      <c r="BC581" s="115">
        <v>471.11862099999991</v>
      </c>
      <c r="BD581" s="115"/>
      <c r="BE581" s="115"/>
      <c r="BF581" s="115"/>
      <c r="BG581" s="115"/>
      <c r="BH581" s="115">
        <v>6932.569460832</v>
      </c>
      <c r="BI581" s="115">
        <v>417.81363288</v>
      </c>
      <c r="BJ581" s="115"/>
      <c r="BK581" s="115"/>
      <c r="BL581" s="115"/>
      <c r="BM581" s="115">
        <v>4996.4291000000003</v>
      </c>
      <c r="BN581" s="115">
        <v>1108.32</v>
      </c>
      <c r="BO581" s="115">
        <v>1112.31</v>
      </c>
      <c r="BP581" s="115"/>
      <c r="DR581" s="214"/>
      <c r="DY581" s="115"/>
      <c r="DZ581" s="334"/>
      <c r="EA581" s="334"/>
      <c r="EB581" s="334"/>
      <c r="EC581" s="334"/>
      <c r="ED581" s="187"/>
      <c r="EE581" s="330"/>
      <c r="EH581" s="334"/>
      <c r="EI581" s="334"/>
      <c r="EM581"/>
      <c r="EO581" s="115"/>
      <c r="EP581" s="334"/>
      <c r="EQ581" s="334"/>
      <c r="ER581" s="334"/>
      <c r="ES581" s="334"/>
      <c r="ET581" s="334"/>
      <c r="EU581" s="334"/>
      <c r="EV581" s="334"/>
    </row>
    <row r="582" spans="35:152" ht="13">
      <c r="AI582" s="115" t="s">
        <v>1416</v>
      </c>
      <c r="AJ582" t="s">
        <v>2114</v>
      </c>
      <c r="AK582" s="115">
        <v>0</v>
      </c>
      <c r="AL582" s="115" t="s">
        <v>28</v>
      </c>
      <c r="AM582" s="115" t="s">
        <v>1846</v>
      </c>
      <c r="AN582" s="115" t="s">
        <v>1452</v>
      </c>
      <c r="AO582" s="115" t="s">
        <v>1274</v>
      </c>
      <c r="AT582" s="115" t="s">
        <v>1415</v>
      </c>
      <c r="AU582" s="115" t="s">
        <v>2114</v>
      </c>
      <c r="AV582" s="115">
        <v>16</v>
      </c>
      <c r="AW582" s="115" t="s">
        <v>494</v>
      </c>
      <c r="AX582" s="115" t="s">
        <v>28</v>
      </c>
      <c r="AY582" s="115" t="s">
        <v>1848</v>
      </c>
      <c r="AZ582" s="115" t="s">
        <v>1877</v>
      </c>
      <c r="BA582" s="115"/>
      <c r="BB582" s="115"/>
      <c r="BC582" s="115">
        <v>2778.2551334999998</v>
      </c>
      <c r="BD582" s="115"/>
      <c r="BE582" s="115"/>
      <c r="BF582" s="115">
        <v>157.79382849999999</v>
      </c>
      <c r="BG582" s="115"/>
      <c r="BH582" s="115">
        <v>532.78638667519999</v>
      </c>
      <c r="BI582" s="115">
        <v>188.30632406999996</v>
      </c>
      <c r="BJ582" s="115"/>
      <c r="BK582" s="115"/>
      <c r="BL582" s="115"/>
      <c r="BM582" s="115"/>
      <c r="BN582" s="115"/>
      <c r="BO582" s="115"/>
      <c r="BP582" s="115"/>
      <c r="DR582" s="214"/>
      <c r="DY582" s="115"/>
      <c r="DZ582" s="334"/>
      <c r="EA582" s="334"/>
      <c r="EB582" s="334"/>
      <c r="EC582" s="334"/>
      <c r="ED582" s="187"/>
      <c r="EE582" s="330"/>
      <c r="EH582" s="334"/>
      <c r="EI582" s="334"/>
      <c r="EM582"/>
      <c r="EO582" s="115"/>
      <c r="EP582" s="334"/>
      <c r="EQ582" s="334"/>
      <c r="ER582" s="334"/>
      <c r="ES582" s="334"/>
      <c r="ET582" s="334"/>
      <c r="EU582" s="334"/>
      <c r="EV582" s="334"/>
    </row>
    <row r="583" spans="35:152" ht="13">
      <c r="AI583" s="115" t="s">
        <v>1416</v>
      </c>
      <c r="AJ583" t="s">
        <v>2114</v>
      </c>
      <c r="AK583" s="115">
        <v>0</v>
      </c>
      <c r="AL583" s="115" t="s">
        <v>28</v>
      </c>
      <c r="AM583" s="115" t="s">
        <v>1850</v>
      </c>
      <c r="AN583" s="115" t="s">
        <v>1452</v>
      </c>
      <c r="AO583" s="115" t="s">
        <v>381</v>
      </c>
      <c r="AT583" s="115" t="s">
        <v>1415</v>
      </c>
      <c r="AU583" s="115" t="s">
        <v>2114</v>
      </c>
      <c r="AV583" s="115">
        <v>16</v>
      </c>
      <c r="AW583" s="115" t="s">
        <v>494</v>
      </c>
      <c r="AX583" s="115" t="s">
        <v>28</v>
      </c>
      <c r="AY583" s="115" t="s">
        <v>1843</v>
      </c>
      <c r="AZ583" s="115" t="s">
        <v>1877</v>
      </c>
      <c r="BA583" s="115"/>
      <c r="BB583" s="115"/>
      <c r="BC583" s="115">
        <v>3220.4198969072163</v>
      </c>
      <c r="BD583" s="115"/>
      <c r="BE583" s="115"/>
      <c r="BF583" s="115">
        <v>156.5778350515464</v>
      </c>
      <c r="BG583" s="115"/>
      <c r="BH583" s="115">
        <v>7033.0120731958768</v>
      </c>
      <c r="BI583" s="115">
        <v>625.89886597938141</v>
      </c>
      <c r="BJ583" s="115"/>
      <c r="BK583" s="115"/>
      <c r="BL583" s="115"/>
      <c r="BM583" s="115">
        <v>4996.4291000000003</v>
      </c>
      <c r="BN583" s="115">
        <v>1108.32</v>
      </c>
      <c r="BO583" s="115">
        <v>1112.31</v>
      </c>
      <c r="BP583" s="115"/>
      <c r="DR583" s="214"/>
      <c r="DY583" s="115"/>
      <c r="DZ583" s="334"/>
      <c r="EA583" s="334"/>
      <c r="EB583" s="334"/>
      <c r="EC583" s="334"/>
      <c r="ED583" s="187"/>
      <c r="EE583" s="330"/>
      <c r="EH583" s="334"/>
      <c r="EI583" s="334"/>
      <c r="EM583"/>
      <c r="EO583" s="115"/>
      <c r="EP583" s="334"/>
      <c r="EQ583" s="334"/>
      <c r="ER583" s="334"/>
      <c r="ES583" s="334"/>
      <c r="ET583" s="334"/>
      <c r="EU583" s="334"/>
      <c r="EV583" s="334"/>
    </row>
    <row r="584" spans="35:152" ht="13">
      <c r="AI584" s="115" t="s">
        <v>1416</v>
      </c>
      <c r="AJ584" t="s">
        <v>2114</v>
      </c>
      <c r="AK584" s="115">
        <v>0</v>
      </c>
      <c r="AL584" s="115" t="s">
        <v>28</v>
      </c>
      <c r="AM584" s="115" t="s">
        <v>1848</v>
      </c>
      <c r="AN584" s="115" t="s">
        <v>1452</v>
      </c>
      <c r="AO584" s="115" t="s">
        <v>381</v>
      </c>
      <c r="AT584" s="115" t="s">
        <v>1415</v>
      </c>
      <c r="AU584" s="115" t="s">
        <v>2114</v>
      </c>
      <c r="AV584" s="115">
        <v>16</v>
      </c>
      <c r="AW584" s="115" t="s">
        <v>494</v>
      </c>
      <c r="AX584" s="115" t="s">
        <v>28</v>
      </c>
      <c r="AY584" s="115" t="s">
        <v>1849</v>
      </c>
      <c r="AZ584" s="115" t="s">
        <v>1877</v>
      </c>
      <c r="BA584" s="115"/>
      <c r="BB584" s="115"/>
      <c r="BC584" s="115">
        <v>20.854999999999997</v>
      </c>
      <c r="BD584" s="115"/>
      <c r="BE584" s="115"/>
      <c r="BF584" s="115"/>
      <c r="BG584" s="115"/>
      <c r="BH584" s="115">
        <v>110.15164800000001</v>
      </c>
      <c r="BI584" s="115">
        <v>14.730419999999999</v>
      </c>
      <c r="BJ584" s="115"/>
      <c r="BK584" s="115"/>
      <c r="BL584" s="115"/>
      <c r="BM584" s="115"/>
      <c r="BN584" s="115"/>
      <c r="BO584" s="115"/>
      <c r="BP584" s="115"/>
      <c r="DR584" s="214"/>
      <c r="DY584" s="115"/>
      <c r="DZ584" s="334"/>
      <c r="EA584" s="334"/>
      <c r="EB584" s="334"/>
      <c r="EC584" s="334"/>
      <c r="ED584" s="187"/>
      <c r="EE584" s="330"/>
      <c r="EH584" s="334"/>
      <c r="EI584" s="334"/>
      <c r="EM584"/>
      <c r="EO584" s="115"/>
      <c r="EP584" s="334"/>
      <c r="EQ584" s="334"/>
      <c r="ER584" s="334"/>
      <c r="ES584" s="334"/>
      <c r="ET584" s="334"/>
      <c r="EU584" s="334"/>
      <c r="EV584" s="334"/>
    </row>
    <row r="585" spans="35:152" ht="13">
      <c r="AI585" s="115" t="s">
        <v>1416</v>
      </c>
      <c r="AJ585" t="s">
        <v>2114</v>
      </c>
      <c r="AK585" s="115">
        <v>0</v>
      </c>
      <c r="AL585" s="115" t="s">
        <v>28</v>
      </c>
      <c r="AM585" s="115" t="s">
        <v>1832</v>
      </c>
      <c r="AN585" s="115" t="s">
        <v>1452</v>
      </c>
      <c r="AO585" s="115" t="s">
        <v>381</v>
      </c>
      <c r="AT585" s="115" t="s">
        <v>1415</v>
      </c>
      <c r="AU585" s="115" t="s">
        <v>2114</v>
      </c>
      <c r="AV585" s="115">
        <v>16</v>
      </c>
      <c r="AW585" s="115" t="s">
        <v>494</v>
      </c>
      <c r="AX585" s="115" t="s">
        <v>28</v>
      </c>
      <c r="AY585" s="115" t="s">
        <v>1850</v>
      </c>
      <c r="AZ585" s="115" t="s">
        <v>1877</v>
      </c>
      <c r="BA585" s="115"/>
      <c r="BB585" s="115"/>
      <c r="BC585" s="115">
        <v>62.564999999999991</v>
      </c>
      <c r="BD585" s="115"/>
      <c r="BE585" s="115"/>
      <c r="BF585" s="115">
        <v>3.395</v>
      </c>
      <c r="BG585" s="115"/>
      <c r="BH585" s="115">
        <v>12.239072</v>
      </c>
      <c r="BI585" s="115">
        <v>4.9101399999999993</v>
      </c>
      <c r="BJ585" s="115"/>
      <c r="BK585" s="115"/>
      <c r="BL585" s="115"/>
      <c r="BM585" s="115"/>
      <c r="BN585" s="115"/>
      <c r="BO585" s="115"/>
      <c r="BP585" s="115"/>
      <c r="DR585" s="214"/>
      <c r="DY585" s="115"/>
      <c r="DZ585" s="334"/>
      <c r="EA585" s="334"/>
      <c r="EB585" s="334"/>
      <c r="EC585" s="334"/>
      <c r="ED585" s="187"/>
      <c r="EE585" s="330"/>
      <c r="EH585" s="334"/>
      <c r="EI585" s="334"/>
      <c r="EM585"/>
      <c r="EO585" s="115"/>
      <c r="EP585" s="334"/>
      <c r="EQ585" s="334"/>
      <c r="ER585" s="334"/>
      <c r="ES585" s="334"/>
      <c r="ET585" s="334"/>
      <c r="EU585" s="334"/>
      <c r="EV585" s="334"/>
    </row>
    <row r="586" spans="35:152" ht="13">
      <c r="AI586" s="115" t="s">
        <v>1416</v>
      </c>
      <c r="AJ586" t="s">
        <v>2114</v>
      </c>
      <c r="AK586" s="115">
        <v>0</v>
      </c>
      <c r="AL586" s="115" t="s">
        <v>28</v>
      </c>
      <c r="AM586" s="115" t="s">
        <v>1843</v>
      </c>
      <c r="AN586" s="115" t="s">
        <v>1452</v>
      </c>
      <c r="AO586" s="115" t="s">
        <v>381</v>
      </c>
      <c r="AT586" s="115" t="s">
        <v>1415</v>
      </c>
      <c r="AU586" s="115" t="s">
        <v>2114</v>
      </c>
      <c r="AV586" s="115">
        <v>16</v>
      </c>
      <c r="AW586" s="115" t="s">
        <v>494</v>
      </c>
      <c r="AX586" s="115" t="s">
        <v>28</v>
      </c>
      <c r="AY586" s="115" t="s">
        <v>1832</v>
      </c>
      <c r="AZ586" s="115" t="s">
        <v>1877</v>
      </c>
      <c r="BA586" s="115"/>
      <c r="BB586" s="115"/>
      <c r="BC586" s="115">
        <v>85.999999999999986</v>
      </c>
      <c r="BD586" s="115"/>
      <c r="BE586" s="115"/>
      <c r="BF586" s="115">
        <v>3.5</v>
      </c>
      <c r="BG586" s="115"/>
      <c r="BH586" s="115">
        <v>126.176</v>
      </c>
      <c r="BI586" s="115">
        <v>20.247999999999998</v>
      </c>
      <c r="BJ586" s="115"/>
      <c r="BK586" s="115"/>
      <c r="BL586" s="115"/>
      <c r="BM586" s="115"/>
      <c r="BN586" s="115"/>
      <c r="BO586" s="115"/>
      <c r="BP586" s="115"/>
      <c r="DR586" s="214"/>
      <c r="DY586" s="115"/>
      <c r="DZ586" s="334"/>
      <c r="EA586" s="334"/>
      <c r="EB586" s="334"/>
      <c r="EC586" s="334"/>
      <c r="ED586" s="187"/>
      <c r="EE586" s="330"/>
      <c r="EH586" s="334"/>
      <c r="EI586" s="334"/>
      <c r="EM586"/>
      <c r="EO586" s="115"/>
      <c r="EP586" s="334"/>
      <c r="EQ586" s="334"/>
      <c r="ER586" s="334"/>
      <c r="ES586" s="334"/>
      <c r="ET586" s="334"/>
      <c r="EU586" s="334"/>
      <c r="EV586" s="334"/>
    </row>
    <row r="587" spans="35:152" ht="13">
      <c r="AI587" s="115" t="s">
        <v>1416</v>
      </c>
      <c r="AJ587" t="s">
        <v>2114</v>
      </c>
      <c r="AK587" s="115">
        <v>0</v>
      </c>
      <c r="AL587" s="115" t="s">
        <v>28</v>
      </c>
      <c r="AM587" s="115" t="s">
        <v>1846</v>
      </c>
      <c r="AN587" s="115" t="s">
        <v>1452</v>
      </c>
      <c r="AO587" s="115" t="s">
        <v>381</v>
      </c>
      <c r="AT587" s="115" t="s">
        <v>1415</v>
      </c>
      <c r="AU587" s="115" t="s">
        <v>2114</v>
      </c>
      <c r="AV587" s="115">
        <v>16</v>
      </c>
      <c r="AW587" s="115" t="s">
        <v>499</v>
      </c>
      <c r="AX587" s="115" t="s">
        <v>28</v>
      </c>
      <c r="AY587" s="115" t="s">
        <v>1846</v>
      </c>
      <c r="AZ587" s="115" t="s">
        <v>1878</v>
      </c>
      <c r="BA587" s="115"/>
      <c r="BB587" s="115"/>
      <c r="BC587" s="115">
        <v>997.01847699999996</v>
      </c>
      <c r="BD587" s="115"/>
      <c r="BE587" s="115"/>
      <c r="BF587" s="115"/>
      <c r="BG587" s="115"/>
      <c r="BH587" s="115">
        <v>5941.3829094000002</v>
      </c>
      <c r="BI587" s="115">
        <v>622.74630015000014</v>
      </c>
      <c r="BJ587" s="115">
        <v>116.63745599999999</v>
      </c>
      <c r="BK587" s="115"/>
      <c r="BL587" s="115"/>
      <c r="BM587" s="115">
        <v>993.99999999999977</v>
      </c>
      <c r="BN587" s="115">
        <v>2692.92</v>
      </c>
      <c r="BO587" s="115">
        <v>1302.5999999999999</v>
      </c>
      <c r="BP587" s="115"/>
      <c r="DR587" s="214"/>
      <c r="DY587" s="115"/>
      <c r="DZ587" s="334"/>
      <c r="EA587" s="334"/>
      <c r="EB587" s="334"/>
      <c r="EC587" s="334"/>
      <c r="ED587" s="187"/>
      <c r="EE587" s="330"/>
      <c r="EH587" s="334"/>
      <c r="EI587" s="334"/>
      <c r="EM587"/>
      <c r="EO587" s="115"/>
      <c r="EP587" s="334"/>
      <c r="EQ587" s="334"/>
      <c r="ER587" s="334"/>
      <c r="ES587" s="334"/>
      <c r="ET587" s="334"/>
      <c r="EU587" s="334"/>
      <c r="EV587" s="334"/>
    </row>
    <row r="588" spans="35:152" ht="13">
      <c r="AI588" s="115" t="s">
        <v>1416</v>
      </c>
      <c r="AJ588" t="s">
        <v>2114</v>
      </c>
      <c r="AK588" s="115">
        <v>0</v>
      </c>
      <c r="AL588" s="115" t="s">
        <v>28</v>
      </c>
      <c r="AM588" s="115" t="s">
        <v>1849</v>
      </c>
      <c r="AN588" s="115" t="s">
        <v>1452</v>
      </c>
      <c r="AO588" s="115" t="s">
        <v>381</v>
      </c>
      <c r="AT588" s="115" t="s">
        <v>1415</v>
      </c>
      <c r="AU588" s="115" t="s">
        <v>2114</v>
      </c>
      <c r="AV588" s="115">
        <v>16</v>
      </c>
      <c r="AW588" s="115" t="s">
        <v>499</v>
      </c>
      <c r="AX588" s="115" t="s">
        <v>28</v>
      </c>
      <c r="AY588" s="115" t="s">
        <v>1848</v>
      </c>
      <c r="AZ588" s="115" t="s">
        <v>1878</v>
      </c>
      <c r="BA588" s="115"/>
      <c r="BB588" s="115"/>
      <c r="BC588" s="115">
        <v>5879.5631895000006</v>
      </c>
      <c r="BD588" s="115"/>
      <c r="BE588" s="115"/>
      <c r="BF588" s="115">
        <v>428.29753449999998</v>
      </c>
      <c r="BG588" s="115"/>
      <c r="BH588" s="115">
        <v>434.71308734000007</v>
      </c>
      <c r="BI588" s="115">
        <v>228.77990775000001</v>
      </c>
      <c r="BJ588" s="115">
        <v>585.87946650000004</v>
      </c>
      <c r="BK588" s="115"/>
      <c r="BL588" s="115"/>
      <c r="BM588" s="115"/>
      <c r="BN588" s="115"/>
      <c r="BO588" s="115"/>
      <c r="BP588" s="115"/>
      <c r="DR588" s="214"/>
      <c r="DY588" s="115"/>
      <c r="DZ588" s="334"/>
      <c r="EA588" s="334"/>
      <c r="EB588" s="334"/>
      <c r="EC588" s="334"/>
      <c r="ED588" s="187"/>
      <c r="EE588" s="330"/>
      <c r="EH588" s="334"/>
      <c r="EI588" s="334"/>
      <c r="EM588"/>
      <c r="EO588" s="115"/>
      <c r="EP588" s="334"/>
      <c r="EQ588" s="334"/>
      <c r="ER588" s="334"/>
      <c r="ES588" s="334"/>
      <c r="ET588" s="334"/>
      <c r="EU588" s="334"/>
      <c r="EV588" s="334"/>
    </row>
    <row r="589" spans="35:152" ht="13">
      <c r="AI589" s="115" t="s">
        <v>1416</v>
      </c>
      <c r="AJ589" t="s">
        <v>2114</v>
      </c>
      <c r="AK589" s="115">
        <v>0</v>
      </c>
      <c r="AL589" s="115" t="s">
        <v>28</v>
      </c>
      <c r="AM589" s="115" t="s">
        <v>1832</v>
      </c>
      <c r="AN589" s="115" t="s">
        <v>1452</v>
      </c>
      <c r="AO589" s="115" t="s">
        <v>379</v>
      </c>
      <c r="AT589" s="115" t="s">
        <v>1415</v>
      </c>
      <c r="AU589" s="115" t="s">
        <v>2114</v>
      </c>
      <c r="AV589" s="115">
        <v>16</v>
      </c>
      <c r="AW589" s="115" t="s">
        <v>499</v>
      </c>
      <c r="AX589" s="115" t="s">
        <v>28</v>
      </c>
      <c r="AY589" s="115" t="s">
        <v>1843</v>
      </c>
      <c r="AZ589" s="115" t="s">
        <v>1878</v>
      </c>
      <c r="BA589" s="115"/>
      <c r="BB589" s="115"/>
      <c r="BC589" s="115">
        <v>6815.3073195876295</v>
      </c>
      <c r="BD589" s="115"/>
      <c r="BE589" s="115"/>
      <c r="BF589" s="115">
        <v>424.99701030927832</v>
      </c>
      <c r="BG589" s="115"/>
      <c r="BH589" s="115">
        <v>6023.3364030927842</v>
      </c>
      <c r="BI589" s="115">
        <v>760.42639175257739</v>
      </c>
      <c r="BJ589" s="115">
        <v>696.13432989690727</v>
      </c>
      <c r="BK589" s="115"/>
      <c r="BL589" s="115"/>
      <c r="BM589" s="115">
        <v>993.99999999999977</v>
      </c>
      <c r="BN589" s="115">
        <v>2692.92</v>
      </c>
      <c r="BO589" s="115">
        <v>1302.5999999999999</v>
      </c>
      <c r="BP589" s="115"/>
      <c r="DR589" s="214"/>
      <c r="DY589" s="115"/>
      <c r="DZ589" s="334"/>
      <c r="EA589" s="334"/>
      <c r="EB589" s="334"/>
      <c r="EC589" s="334"/>
      <c r="ED589" s="187"/>
      <c r="EE589" s="330"/>
      <c r="EH589" s="334"/>
      <c r="EI589" s="334"/>
      <c r="EM589"/>
      <c r="EO589" s="115"/>
      <c r="EP589" s="334"/>
      <c r="EQ589" s="334"/>
      <c r="ER589" s="334"/>
      <c r="ES589" s="334"/>
      <c r="ET589" s="334"/>
      <c r="EU589" s="334"/>
      <c r="EV589" s="334"/>
    </row>
    <row r="590" spans="35:152" ht="13">
      <c r="AI590" s="115" t="s">
        <v>1416</v>
      </c>
      <c r="AJ590" t="s">
        <v>2114</v>
      </c>
      <c r="AK590" s="115">
        <v>0</v>
      </c>
      <c r="AL590" s="115" t="s">
        <v>28</v>
      </c>
      <c r="AM590" s="115" t="s">
        <v>1846</v>
      </c>
      <c r="AN590" s="115" t="s">
        <v>1452</v>
      </c>
      <c r="AO590" s="115" t="s">
        <v>379</v>
      </c>
      <c r="AT590" s="115" t="s">
        <v>1415</v>
      </c>
      <c r="AU590" s="115" t="s">
        <v>2114</v>
      </c>
      <c r="AV590" s="115">
        <v>16</v>
      </c>
      <c r="AW590" s="115" t="s">
        <v>499</v>
      </c>
      <c r="AX590" s="115" t="s">
        <v>28</v>
      </c>
      <c r="AY590" s="115" t="s">
        <v>1849</v>
      </c>
      <c r="AZ590" s="115" t="s">
        <v>1878</v>
      </c>
      <c r="BA590" s="115"/>
      <c r="BB590" s="115"/>
      <c r="BC590" s="115">
        <v>44.134999999999998</v>
      </c>
      <c r="BD590" s="115"/>
      <c r="BE590" s="115"/>
      <c r="BF590" s="115"/>
      <c r="BG590" s="115"/>
      <c r="BH590" s="115">
        <v>89.875350000000012</v>
      </c>
      <c r="BI590" s="115">
        <v>17.896500000000003</v>
      </c>
      <c r="BJ590" s="115">
        <v>1.4549999999999998</v>
      </c>
      <c r="BK590" s="115"/>
      <c r="BL590" s="115"/>
      <c r="BM590" s="115"/>
      <c r="BN590" s="115"/>
      <c r="BO590" s="115"/>
      <c r="BP590" s="115"/>
      <c r="DR590" s="214"/>
      <c r="DY590" s="115"/>
      <c r="DZ590" s="334"/>
      <c r="EA590" s="334"/>
      <c r="EB590" s="334"/>
      <c r="EC590" s="334"/>
      <c r="ED590" s="187"/>
      <c r="EE590" s="330"/>
      <c r="EH590" s="334"/>
      <c r="EI590" s="334"/>
      <c r="EM590"/>
      <c r="EO590" s="115"/>
      <c r="EP590" s="334"/>
      <c r="EQ590" s="334"/>
      <c r="ER590" s="334"/>
      <c r="ES590" s="334"/>
      <c r="ET590" s="334"/>
      <c r="EU590" s="334"/>
      <c r="EV590" s="334"/>
    </row>
    <row r="591" spans="35:152" ht="13">
      <c r="AI591" s="115" t="s">
        <v>1416</v>
      </c>
      <c r="AJ591" t="s">
        <v>2114</v>
      </c>
      <c r="AK591" s="115">
        <v>0</v>
      </c>
      <c r="AL591" s="115" t="s">
        <v>28</v>
      </c>
      <c r="AM591" s="115" t="s">
        <v>1848</v>
      </c>
      <c r="AN591" s="115" t="s">
        <v>1452</v>
      </c>
      <c r="AO591" s="115" t="s">
        <v>379</v>
      </c>
      <c r="AT591" s="115" t="s">
        <v>1415</v>
      </c>
      <c r="AU591" s="115" t="s">
        <v>2114</v>
      </c>
      <c r="AV591" s="115">
        <v>16</v>
      </c>
      <c r="AW591" s="115" t="s">
        <v>499</v>
      </c>
      <c r="AX591" s="115" t="s">
        <v>28</v>
      </c>
      <c r="AY591" s="115" t="s">
        <v>1850</v>
      </c>
      <c r="AZ591" s="115" t="s">
        <v>1878</v>
      </c>
      <c r="BA591" s="115"/>
      <c r="BB591" s="115"/>
      <c r="BC591" s="115">
        <v>132.405</v>
      </c>
      <c r="BD591" s="115"/>
      <c r="BE591" s="115"/>
      <c r="BF591" s="115">
        <v>9.2149999999999999</v>
      </c>
      <c r="BG591" s="115"/>
      <c r="BH591" s="115">
        <v>9.9861500000000021</v>
      </c>
      <c r="BI591" s="115">
        <v>5.9655000000000005</v>
      </c>
      <c r="BJ591" s="115">
        <v>13.095000000000001</v>
      </c>
      <c r="BK591" s="115"/>
      <c r="BL591" s="115"/>
      <c r="BM591" s="115"/>
      <c r="BN591" s="115"/>
      <c r="BO591" s="115"/>
      <c r="BP591" s="115"/>
      <c r="DR591" s="214"/>
      <c r="DY591" s="115"/>
      <c r="DZ591" s="334"/>
      <c r="EA591" s="334"/>
      <c r="EB591" s="334"/>
      <c r="EC591" s="334"/>
      <c r="ED591" s="187"/>
      <c r="EE591" s="330"/>
      <c r="EH591" s="334"/>
      <c r="EI591" s="334"/>
      <c r="EM591"/>
      <c r="EO591" s="115"/>
      <c r="EP591" s="334"/>
      <c r="EQ591" s="334"/>
      <c r="ER591" s="334"/>
      <c r="ES591" s="334"/>
      <c r="ET591" s="334"/>
      <c r="EU591" s="334"/>
      <c r="EV591" s="334"/>
    </row>
    <row r="592" spans="35:152" ht="13">
      <c r="AI592" s="115" t="s">
        <v>1416</v>
      </c>
      <c r="AJ592" t="s">
        <v>2114</v>
      </c>
      <c r="AK592" s="115">
        <v>0</v>
      </c>
      <c r="AL592" s="115" t="s">
        <v>28</v>
      </c>
      <c r="AM592" s="115" t="s">
        <v>1843</v>
      </c>
      <c r="AN592" s="115" t="s">
        <v>1452</v>
      </c>
      <c r="AO592" s="115" t="s">
        <v>379</v>
      </c>
      <c r="AT592" s="115" t="s">
        <v>1415</v>
      </c>
      <c r="AU592" s="115" t="s">
        <v>2114</v>
      </c>
      <c r="AV592" s="115">
        <v>16</v>
      </c>
      <c r="AW592" s="115" t="s">
        <v>499</v>
      </c>
      <c r="AX592" s="115" t="s">
        <v>28</v>
      </c>
      <c r="AY592" s="115" t="s">
        <v>1832</v>
      </c>
      <c r="AZ592" s="115" t="s">
        <v>1878</v>
      </c>
      <c r="BA592" s="115"/>
      <c r="BB592" s="115"/>
      <c r="BC592" s="115">
        <v>182</v>
      </c>
      <c r="BD592" s="115"/>
      <c r="BE592" s="115"/>
      <c r="BF592" s="115">
        <v>9.5</v>
      </c>
      <c r="BG592" s="115"/>
      <c r="BH592" s="115">
        <v>102.95</v>
      </c>
      <c r="BI592" s="115">
        <v>24.6</v>
      </c>
      <c r="BJ592" s="115">
        <v>15.000000000000002</v>
      </c>
      <c r="BK592" s="115"/>
      <c r="BL592" s="115"/>
      <c r="BM592" s="115"/>
      <c r="BN592" s="115"/>
      <c r="BO592" s="115"/>
      <c r="BP592" s="115"/>
      <c r="DR592" s="214"/>
      <c r="DY592" s="115"/>
      <c r="DZ592" s="334"/>
      <c r="EA592" s="334"/>
      <c r="EB592" s="334"/>
      <c r="EC592" s="334"/>
      <c r="ED592" s="187"/>
      <c r="EE592" s="330"/>
      <c r="EH592" s="334"/>
      <c r="EI592" s="334"/>
      <c r="EM592"/>
      <c r="EO592" s="115"/>
      <c r="EP592" s="334"/>
      <c r="EQ592" s="334"/>
      <c r="ER592" s="334"/>
      <c r="ES592" s="334"/>
      <c r="ET592" s="334"/>
      <c r="EU592" s="334"/>
      <c r="EV592" s="334"/>
    </row>
    <row r="593" spans="35:152" ht="13">
      <c r="AI593" s="115" t="s">
        <v>1416</v>
      </c>
      <c r="AJ593" t="s">
        <v>2114</v>
      </c>
      <c r="AK593" s="115">
        <v>0</v>
      </c>
      <c r="AL593" s="115" t="s">
        <v>28</v>
      </c>
      <c r="AM593" s="115" t="s">
        <v>1849</v>
      </c>
      <c r="AN593" s="115" t="s">
        <v>1452</v>
      </c>
      <c r="AO593" s="115" t="s">
        <v>379</v>
      </c>
      <c r="AT593" s="115" t="s">
        <v>1415</v>
      </c>
      <c r="AU593" s="115" t="s">
        <v>2114</v>
      </c>
      <c r="AV593" s="115">
        <v>16</v>
      </c>
      <c r="AW593" s="115" t="s">
        <v>499</v>
      </c>
      <c r="AX593" s="115" t="s">
        <v>28</v>
      </c>
      <c r="AY593" s="115" t="s">
        <v>1846</v>
      </c>
      <c r="AZ593" s="115" t="s">
        <v>1879</v>
      </c>
      <c r="BA593" s="115"/>
      <c r="BB593" s="115"/>
      <c r="BC593" s="115">
        <v>345.1217805</v>
      </c>
      <c r="BD593" s="115"/>
      <c r="BE593" s="115"/>
      <c r="BF593" s="115"/>
      <c r="BG593" s="115"/>
      <c r="BH593" s="115">
        <v>5613.2635506577999</v>
      </c>
      <c r="BI593" s="115"/>
      <c r="BJ593" s="115"/>
      <c r="BK593" s="115"/>
      <c r="BL593" s="115"/>
      <c r="BM593" s="115">
        <v>3842.8982000000001</v>
      </c>
      <c r="BN593" s="115"/>
      <c r="BO593" s="115"/>
      <c r="BP593" s="115"/>
      <c r="DR593" s="214"/>
      <c r="DY593" s="115"/>
      <c r="DZ593" s="334"/>
      <c r="EA593" s="334"/>
      <c r="EB593" s="334"/>
      <c r="EC593" s="334"/>
      <c r="ED593" s="187"/>
      <c r="EE593" s="330"/>
      <c r="EH593" s="334"/>
      <c r="EI593" s="334"/>
      <c r="EM593"/>
      <c r="EO593" s="115"/>
      <c r="EP593" s="334"/>
      <c r="EQ593" s="334"/>
      <c r="ER593" s="334"/>
      <c r="ES593" s="334"/>
      <c r="ET593" s="334"/>
      <c r="EU593" s="334"/>
      <c r="EV593" s="334"/>
    </row>
    <row r="594" spans="35:152" ht="13">
      <c r="AI594" s="115" t="s">
        <v>1416</v>
      </c>
      <c r="AJ594" t="s">
        <v>2114</v>
      </c>
      <c r="AK594" s="115">
        <v>0</v>
      </c>
      <c r="AL594" s="115" t="s">
        <v>28</v>
      </c>
      <c r="AM594" s="115" t="s">
        <v>1850</v>
      </c>
      <c r="AN594" s="115" t="s">
        <v>1452</v>
      </c>
      <c r="AO594" s="115" t="s">
        <v>379</v>
      </c>
      <c r="AT594" s="115" t="s">
        <v>1415</v>
      </c>
      <c r="AU594" s="115" t="s">
        <v>2114</v>
      </c>
      <c r="AV594" s="115">
        <v>16</v>
      </c>
      <c r="AW594" s="115" t="s">
        <v>499</v>
      </c>
      <c r="AX594" s="115" t="s">
        <v>28</v>
      </c>
      <c r="AY594" s="115" t="s">
        <v>1848</v>
      </c>
      <c r="AZ594" s="115" t="s">
        <v>1879</v>
      </c>
      <c r="BA594" s="115"/>
      <c r="BB594" s="115"/>
      <c r="BC594" s="115">
        <v>2035.2334117500002</v>
      </c>
      <c r="BD594" s="115"/>
      <c r="BE594" s="115"/>
      <c r="BF594" s="115"/>
      <c r="BG594" s="115"/>
      <c r="BH594" s="115">
        <v>224.75300000257997</v>
      </c>
      <c r="BI594" s="115"/>
      <c r="BJ594" s="115"/>
      <c r="BK594" s="115"/>
      <c r="BL594" s="115"/>
      <c r="BM594" s="115"/>
      <c r="BN594" s="115"/>
      <c r="BO594" s="115"/>
      <c r="BP594" s="115"/>
      <c r="DR594" s="214"/>
      <c r="DY594" s="115"/>
      <c r="DZ594" s="334"/>
      <c r="EA594" s="334"/>
      <c r="EB594" s="334"/>
      <c r="EC594" s="334"/>
      <c r="ED594" s="187"/>
      <c r="EE594" s="330"/>
      <c r="EH594" s="334"/>
      <c r="EI594" s="334"/>
      <c r="EM594"/>
      <c r="EO594" s="115"/>
      <c r="EP594" s="334"/>
      <c r="EQ594" s="334"/>
      <c r="ER594" s="334"/>
      <c r="ES594" s="334"/>
      <c r="ET594" s="334"/>
      <c r="EU594" s="334"/>
      <c r="EV594" s="334"/>
    </row>
    <row r="595" spans="35:152" ht="13">
      <c r="AI595" s="115" t="s">
        <v>1416</v>
      </c>
      <c r="AJ595" t="s">
        <v>2114</v>
      </c>
      <c r="AK595" s="115">
        <v>0</v>
      </c>
      <c r="AL595" s="115" t="s">
        <v>28</v>
      </c>
      <c r="AM595" s="115" t="s">
        <v>1846</v>
      </c>
      <c r="AN595" s="115" t="s">
        <v>1452</v>
      </c>
      <c r="AO595" s="115" t="s">
        <v>1645</v>
      </c>
      <c r="AT595" s="115" t="s">
        <v>1415</v>
      </c>
      <c r="AU595" s="115" t="s">
        <v>2114</v>
      </c>
      <c r="AV595" s="115">
        <v>16</v>
      </c>
      <c r="AW595" s="115" t="s">
        <v>499</v>
      </c>
      <c r="AX595" s="115" t="s">
        <v>28</v>
      </c>
      <c r="AY595" s="115" t="s">
        <v>1843</v>
      </c>
      <c r="AZ595" s="115" t="s">
        <v>1879</v>
      </c>
      <c r="BA595" s="115"/>
      <c r="BB595" s="115"/>
      <c r="BC595" s="115">
        <v>2359.144845360825</v>
      </c>
      <c r="BD595" s="115"/>
      <c r="BE595" s="115"/>
      <c r="BF595" s="115"/>
      <c r="BG595" s="115"/>
      <c r="BH595" s="115">
        <v>5655.6347226804119</v>
      </c>
      <c r="BI595" s="115"/>
      <c r="BJ595" s="115"/>
      <c r="BK595" s="115"/>
      <c r="BL595" s="115"/>
      <c r="BM595" s="115">
        <v>3842.8982000000001</v>
      </c>
      <c r="BN595" s="115"/>
      <c r="BO595" s="115"/>
      <c r="BP595" s="115"/>
      <c r="DR595" s="214"/>
      <c r="DY595" s="115"/>
      <c r="DZ595" s="334"/>
      <c r="EA595" s="334"/>
      <c r="EB595" s="334"/>
      <c r="EC595" s="334"/>
      <c r="ED595" s="187"/>
      <c r="EE595" s="330"/>
      <c r="EH595" s="334"/>
      <c r="EI595" s="334"/>
      <c r="EM595"/>
      <c r="EO595" s="115"/>
      <c r="EP595" s="334"/>
      <c r="EQ595" s="334"/>
      <c r="ER595" s="334"/>
      <c r="ES595" s="334"/>
      <c r="ET595" s="334"/>
      <c r="EU595" s="334"/>
      <c r="EV595" s="334"/>
    </row>
    <row r="596" spans="35:152" ht="13">
      <c r="AI596" s="115" t="s">
        <v>1416</v>
      </c>
      <c r="AJ596" t="s">
        <v>2114</v>
      </c>
      <c r="AK596" s="115">
        <v>0</v>
      </c>
      <c r="AL596" s="115" t="s">
        <v>28</v>
      </c>
      <c r="AM596" s="115" t="s">
        <v>1848</v>
      </c>
      <c r="AN596" s="115" t="s">
        <v>1452</v>
      </c>
      <c r="AO596" s="115" t="s">
        <v>1645</v>
      </c>
      <c r="AT596" s="115" t="s">
        <v>1415</v>
      </c>
      <c r="AU596" s="115" t="s">
        <v>2114</v>
      </c>
      <c r="AV596" s="115">
        <v>16</v>
      </c>
      <c r="AW596" s="115" t="s">
        <v>499</v>
      </c>
      <c r="AX596" s="115" t="s">
        <v>28</v>
      </c>
      <c r="AY596" s="115" t="s">
        <v>1849</v>
      </c>
      <c r="AZ596" s="115" t="s">
        <v>1879</v>
      </c>
      <c r="BA596" s="115"/>
      <c r="BB596" s="115"/>
      <c r="BC596" s="115">
        <v>15.277500000000002</v>
      </c>
      <c r="BD596" s="115"/>
      <c r="BE596" s="115"/>
      <c r="BF596" s="115"/>
      <c r="BG596" s="115"/>
      <c r="BH596" s="115">
        <v>46.466865449999993</v>
      </c>
      <c r="BI596" s="115"/>
      <c r="BJ596" s="115"/>
      <c r="BK596" s="115"/>
      <c r="BL596" s="115"/>
      <c r="BM596" s="115"/>
      <c r="BN596" s="115"/>
      <c r="BO596" s="115"/>
      <c r="BP596" s="115"/>
      <c r="DR596" s="214"/>
      <c r="DY596" s="115"/>
      <c r="DZ596" s="334"/>
      <c r="EA596" s="334"/>
      <c r="EB596" s="334"/>
      <c r="EC596" s="334"/>
      <c r="ED596" s="187"/>
      <c r="EE596" s="330"/>
      <c r="EH596" s="334"/>
      <c r="EI596" s="334"/>
      <c r="EM596"/>
      <c r="EO596" s="115"/>
      <c r="EP596" s="334"/>
      <c r="EQ596" s="334"/>
      <c r="ER596" s="334"/>
      <c r="ES596" s="334"/>
      <c r="ET596" s="334"/>
      <c r="EU596" s="334"/>
      <c r="EV596" s="334"/>
    </row>
    <row r="597" spans="35:152" ht="13">
      <c r="AI597" s="115" t="s">
        <v>1416</v>
      </c>
      <c r="AJ597" t="s">
        <v>2114</v>
      </c>
      <c r="AK597" s="115">
        <v>0</v>
      </c>
      <c r="AL597" s="115" t="s">
        <v>28</v>
      </c>
      <c r="AM597" s="115" t="s">
        <v>1850</v>
      </c>
      <c r="AN597" s="115" t="s">
        <v>1452</v>
      </c>
      <c r="AO597" s="115" t="s">
        <v>1645</v>
      </c>
      <c r="AT597" s="115" t="s">
        <v>1415</v>
      </c>
      <c r="AU597" s="115" t="s">
        <v>2114</v>
      </c>
      <c r="AV597" s="115">
        <v>16</v>
      </c>
      <c r="AW597" s="115" t="s">
        <v>499</v>
      </c>
      <c r="AX597" s="115" t="s">
        <v>28</v>
      </c>
      <c r="AY597" s="115" t="s">
        <v>1850</v>
      </c>
      <c r="AZ597" s="115" t="s">
        <v>1879</v>
      </c>
      <c r="BA597" s="115"/>
      <c r="BB597" s="115"/>
      <c r="BC597" s="115">
        <v>45.832500000000003</v>
      </c>
      <c r="BD597" s="115"/>
      <c r="BE597" s="115"/>
      <c r="BF597" s="115"/>
      <c r="BG597" s="115"/>
      <c r="BH597" s="115">
        <v>5.1629850499999996</v>
      </c>
      <c r="BI597" s="115"/>
      <c r="BJ597" s="115"/>
      <c r="BK597" s="115"/>
      <c r="BL597" s="115"/>
      <c r="BM597" s="115"/>
      <c r="BN597" s="115"/>
      <c r="BO597" s="115"/>
      <c r="BP597" s="115"/>
      <c r="DR597" s="214"/>
      <c r="DY597" s="115"/>
      <c r="DZ597" s="334"/>
      <c r="EA597" s="334"/>
      <c r="EB597" s="334"/>
      <c r="EC597" s="334"/>
      <c r="ED597" s="187"/>
      <c r="EE597" s="330"/>
      <c r="EH597" s="334"/>
      <c r="EI597" s="334"/>
      <c r="EM597"/>
      <c r="EO597" s="115"/>
      <c r="EP597" s="334"/>
      <c r="EQ597" s="334"/>
      <c r="ER597" s="334"/>
      <c r="ES597" s="334"/>
      <c r="ET597" s="334"/>
      <c r="EU597" s="334"/>
      <c r="EV597" s="334"/>
    </row>
    <row r="598" spans="35:152" ht="13">
      <c r="AI598" s="115" t="s">
        <v>1416</v>
      </c>
      <c r="AJ598" t="s">
        <v>2114</v>
      </c>
      <c r="AK598" s="115">
        <v>0</v>
      </c>
      <c r="AL598" s="115" t="s">
        <v>28</v>
      </c>
      <c r="AM598" s="115" t="s">
        <v>1849</v>
      </c>
      <c r="AN598" s="115" t="s">
        <v>1452</v>
      </c>
      <c r="AO598" s="115" t="s">
        <v>1645</v>
      </c>
      <c r="AT598" s="115" t="s">
        <v>1415</v>
      </c>
      <c r="AU598" s="115" t="s">
        <v>2114</v>
      </c>
      <c r="AV598" s="115">
        <v>16</v>
      </c>
      <c r="AW598" s="115" t="s">
        <v>499</v>
      </c>
      <c r="AX598" s="115" t="s">
        <v>28</v>
      </c>
      <c r="AY598" s="115" t="s">
        <v>1832</v>
      </c>
      <c r="AZ598" s="115" t="s">
        <v>1879</v>
      </c>
      <c r="BA598" s="115"/>
      <c r="BB598" s="115"/>
      <c r="BC598" s="115">
        <v>63.000000000000007</v>
      </c>
      <c r="BD598" s="115"/>
      <c r="BE598" s="115"/>
      <c r="BF598" s="115"/>
      <c r="BG598" s="115"/>
      <c r="BH598" s="115">
        <v>53.226649999999992</v>
      </c>
      <c r="BI598" s="115"/>
      <c r="BJ598" s="115"/>
      <c r="BK598" s="115"/>
      <c r="BL598" s="115"/>
      <c r="BM598" s="115"/>
      <c r="BN598" s="115"/>
      <c r="BO598" s="115"/>
      <c r="BP598" s="115"/>
      <c r="DR598" s="214"/>
      <c r="DY598" s="115"/>
      <c r="DZ598" s="334"/>
      <c r="EA598" s="334"/>
      <c r="EB598" s="334"/>
      <c r="EC598" s="334"/>
      <c r="ED598" s="187"/>
      <c r="EE598" s="330"/>
      <c r="EH598" s="334"/>
      <c r="EI598" s="334"/>
      <c r="EM598"/>
      <c r="EO598" s="115"/>
      <c r="EP598" s="334"/>
      <c r="EQ598" s="334"/>
      <c r="ER598" s="334"/>
      <c r="ES598" s="334"/>
      <c r="ET598" s="334"/>
      <c r="EU598" s="334"/>
      <c r="EV598" s="334"/>
    </row>
    <row r="599" spans="35:152" ht="13">
      <c r="AI599" s="115" t="s">
        <v>1416</v>
      </c>
      <c r="AJ599" t="s">
        <v>2114</v>
      </c>
      <c r="AK599" s="115">
        <v>0</v>
      </c>
      <c r="AL599" s="115" t="s">
        <v>28</v>
      </c>
      <c r="AM599" s="115" t="s">
        <v>1843</v>
      </c>
      <c r="AN599" s="115" t="s">
        <v>1452</v>
      </c>
      <c r="AO599" s="115" t="s">
        <v>1645</v>
      </c>
      <c r="AT599" s="115" t="s">
        <v>1415</v>
      </c>
      <c r="AU599" s="115" t="s">
        <v>2114</v>
      </c>
      <c r="AV599" s="115">
        <v>16</v>
      </c>
      <c r="AW599" s="115" t="s">
        <v>499</v>
      </c>
      <c r="AX599" s="115" t="s">
        <v>28</v>
      </c>
      <c r="AY599" s="115" t="s">
        <v>1846</v>
      </c>
      <c r="AZ599" s="115" t="s">
        <v>1880</v>
      </c>
      <c r="BA599" s="115"/>
      <c r="BB599" s="115"/>
      <c r="BC599" s="115">
        <v>1250.381688875</v>
      </c>
      <c r="BD599" s="115"/>
      <c r="BE599" s="115"/>
      <c r="BF599" s="115"/>
      <c r="BG599" s="115"/>
      <c r="BH599" s="115">
        <v>13285.648134722</v>
      </c>
      <c r="BI599" s="115"/>
      <c r="BJ599" s="115"/>
      <c r="BK599" s="115"/>
      <c r="BL599" s="115"/>
      <c r="BM599" s="115">
        <v>8113.9758000000002</v>
      </c>
      <c r="BN599" s="115">
        <v>5641.31</v>
      </c>
      <c r="BO599" s="115">
        <v>6387.64</v>
      </c>
      <c r="BP599" s="115"/>
      <c r="DR599" s="214"/>
      <c r="DY599" s="115"/>
      <c r="DZ599" s="334"/>
      <c r="EA599" s="334"/>
      <c r="EB599" s="334"/>
      <c r="EC599" s="334"/>
      <c r="ED599" s="187"/>
      <c r="EE599" s="330"/>
      <c r="EH599" s="334"/>
      <c r="EI599" s="334"/>
      <c r="EM599"/>
      <c r="EO599" s="115"/>
      <c r="EP599" s="334"/>
      <c r="EQ599" s="334"/>
      <c r="ER599" s="334"/>
      <c r="ES599" s="334"/>
      <c r="ET599" s="334"/>
      <c r="EU599" s="334"/>
      <c r="EV599" s="334"/>
    </row>
    <row r="600" spans="35:152" ht="13">
      <c r="AI600" s="115" t="s">
        <v>1416</v>
      </c>
      <c r="AJ600" t="s">
        <v>2114</v>
      </c>
      <c r="AK600" s="115">
        <v>0</v>
      </c>
      <c r="AL600" s="115" t="s">
        <v>28</v>
      </c>
      <c r="AM600" s="115" t="s">
        <v>1832</v>
      </c>
      <c r="AN600" s="115" t="s">
        <v>1452</v>
      </c>
      <c r="AO600" s="115" t="s">
        <v>1645</v>
      </c>
      <c r="AT600" s="115" t="s">
        <v>1415</v>
      </c>
      <c r="AU600" s="115" t="s">
        <v>2114</v>
      </c>
      <c r="AV600" s="115">
        <v>16</v>
      </c>
      <c r="AW600" s="115" t="s">
        <v>499</v>
      </c>
      <c r="AX600" s="115" t="s">
        <v>28</v>
      </c>
      <c r="AY600" s="115" t="s">
        <v>1848</v>
      </c>
      <c r="AZ600" s="115" t="s">
        <v>1880</v>
      </c>
      <c r="BA600" s="115"/>
      <c r="BB600" s="115"/>
      <c r="BC600" s="115">
        <v>7373.6829560625001</v>
      </c>
      <c r="BD600" s="115"/>
      <c r="BE600" s="115"/>
      <c r="BF600" s="115">
        <v>1375.0605054999999</v>
      </c>
      <c r="BG600" s="115"/>
      <c r="BH600" s="115">
        <v>556.35885690420002</v>
      </c>
      <c r="BI600" s="115"/>
      <c r="BJ600" s="115"/>
      <c r="BK600" s="115"/>
      <c r="BL600" s="115"/>
      <c r="BM600" s="115"/>
      <c r="BN600" s="115"/>
      <c r="BO600" s="115"/>
      <c r="BP600" s="115"/>
      <c r="DR600" s="214"/>
      <c r="DY600" s="115"/>
      <c r="DZ600" s="334"/>
      <c r="EA600" s="334"/>
      <c r="EB600" s="334"/>
      <c r="EC600" s="334"/>
      <c r="ED600" s="187"/>
      <c r="EE600" s="330"/>
      <c r="EH600" s="334"/>
      <c r="EI600" s="334"/>
      <c r="EM600"/>
      <c r="EO600" s="115"/>
      <c r="EP600" s="334"/>
      <c r="EQ600" s="334"/>
      <c r="ER600" s="334"/>
      <c r="ES600" s="334"/>
      <c r="ET600" s="334"/>
      <c r="EU600" s="334"/>
      <c r="EV600" s="334"/>
    </row>
    <row r="601" spans="35:152" ht="13">
      <c r="AI601" s="115" t="s">
        <v>1416</v>
      </c>
      <c r="AJ601" t="s">
        <v>2114</v>
      </c>
      <c r="AK601" s="115">
        <v>0</v>
      </c>
      <c r="AL601" s="115" t="s">
        <v>28</v>
      </c>
      <c r="AM601" s="115" t="s">
        <v>1843</v>
      </c>
      <c r="AN601" s="115" t="s">
        <v>1452</v>
      </c>
      <c r="AO601" s="115" t="s">
        <v>1646</v>
      </c>
      <c r="AT601" s="115" t="s">
        <v>1415</v>
      </c>
      <c r="AU601" s="115" t="s">
        <v>2114</v>
      </c>
      <c r="AV601" s="115">
        <v>16</v>
      </c>
      <c r="AW601" s="115" t="s">
        <v>499</v>
      </c>
      <c r="AX601" s="115" t="s">
        <v>28</v>
      </c>
      <c r="AY601" s="115" t="s">
        <v>1843</v>
      </c>
      <c r="AZ601" s="115" t="s">
        <v>1880</v>
      </c>
      <c r="BA601" s="115"/>
      <c r="BB601" s="115"/>
      <c r="BC601" s="115">
        <v>8547.2191752577328</v>
      </c>
      <c r="BD601" s="115"/>
      <c r="BE601" s="115"/>
      <c r="BF601" s="115">
        <v>1364.4640206185568</v>
      </c>
      <c r="BG601" s="115"/>
      <c r="BH601" s="115">
        <v>13390.534607216494</v>
      </c>
      <c r="BI601" s="115"/>
      <c r="BJ601" s="115"/>
      <c r="BK601" s="115"/>
      <c r="BL601" s="115"/>
      <c r="BM601" s="115">
        <v>8113.9758000000002</v>
      </c>
      <c r="BN601" s="115">
        <v>5641.31</v>
      </c>
      <c r="BO601" s="115">
        <v>6387.64</v>
      </c>
      <c r="BP601" s="115"/>
      <c r="DR601" s="214"/>
      <c r="DY601" s="115"/>
      <c r="DZ601" s="334"/>
      <c r="EA601" s="334"/>
      <c r="EB601" s="334"/>
      <c r="EC601" s="334"/>
      <c r="ED601" s="187"/>
      <c r="EE601" s="330"/>
      <c r="EH601" s="334"/>
      <c r="EI601" s="334"/>
      <c r="EM601"/>
      <c r="EO601" s="115"/>
      <c r="EP601" s="334"/>
      <c r="EQ601" s="334"/>
      <c r="ER601" s="334"/>
      <c r="ES601" s="334"/>
      <c r="ET601" s="334"/>
      <c r="EU601" s="334"/>
      <c r="EV601" s="334"/>
    </row>
    <row r="602" spans="35:152" ht="13">
      <c r="AI602" s="115" t="s">
        <v>1416</v>
      </c>
      <c r="AJ602" t="s">
        <v>2114</v>
      </c>
      <c r="AK602" s="115">
        <v>0</v>
      </c>
      <c r="AL602" s="115" t="s">
        <v>28</v>
      </c>
      <c r="AM602" s="115" t="s">
        <v>1846</v>
      </c>
      <c r="AN602" s="115" t="s">
        <v>1452</v>
      </c>
      <c r="AO602" s="115" t="s">
        <v>1646</v>
      </c>
      <c r="AT602" s="115" t="s">
        <v>1415</v>
      </c>
      <c r="AU602" s="115" t="s">
        <v>2114</v>
      </c>
      <c r="AV602" s="115">
        <v>16</v>
      </c>
      <c r="AW602" s="115" t="s">
        <v>499</v>
      </c>
      <c r="AX602" s="115" t="s">
        <v>28</v>
      </c>
      <c r="AY602" s="115" t="s">
        <v>1849</v>
      </c>
      <c r="AZ602" s="115" t="s">
        <v>1880</v>
      </c>
      <c r="BA602" s="115"/>
      <c r="BB602" s="115"/>
      <c r="BC602" s="115">
        <v>55.350625000000001</v>
      </c>
      <c r="BD602" s="115"/>
      <c r="BE602" s="115"/>
      <c r="BF602" s="115"/>
      <c r="BG602" s="115"/>
      <c r="BH602" s="115">
        <v>115.02517049999999</v>
      </c>
      <c r="BI602" s="115"/>
      <c r="BJ602" s="115"/>
      <c r="BK602" s="115"/>
      <c r="BL602" s="115"/>
      <c r="BM602" s="115"/>
      <c r="BN602" s="115"/>
      <c r="BO602" s="115"/>
      <c r="BP602" s="115"/>
      <c r="DR602" s="214"/>
      <c r="DY602" s="115"/>
      <c r="DZ602" s="334"/>
      <c r="EA602" s="334"/>
      <c r="EB602" s="334"/>
      <c r="EC602" s="334"/>
      <c r="ED602" s="187"/>
      <c r="EE602" s="330"/>
      <c r="EH602" s="334"/>
      <c r="EI602" s="334"/>
      <c r="EM602"/>
      <c r="EO602" s="115"/>
      <c r="EP602" s="334"/>
      <c r="EQ602" s="334"/>
      <c r="ER602" s="334"/>
      <c r="ES602" s="334"/>
      <c r="ET602" s="334"/>
      <c r="EU602" s="334"/>
      <c r="EV602" s="334"/>
    </row>
    <row r="603" spans="35:152" ht="13">
      <c r="AI603" s="115" t="s">
        <v>1416</v>
      </c>
      <c r="AJ603" t="s">
        <v>2114</v>
      </c>
      <c r="AK603" s="115">
        <v>0</v>
      </c>
      <c r="AL603" s="115" t="s">
        <v>28</v>
      </c>
      <c r="AM603" s="115" t="s">
        <v>1846</v>
      </c>
      <c r="AN603" s="115" t="s">
        <v>1452</v>
      </c>
      <c r="AO603" s="115" t="s">
        <v>1647</v>
      </c>
      <c r="AT603" s="115" t="s">
        <v>1415</v>
      </c>
      <c r="AU603" s="115" t="s">
        <v>2114</v>
      </c>
      <c r="AV603" s="115">
        <v>16</v>
      </c>
      <c r="AW603" s="115" t="s">
        <v>499</v>
      </c>
      <c r="AX603" s="115" t="s">
        <v>28</v>
      </c>
      <c r="AY603" s="115" t="s">
        <v>1850</v>
      </c>
      <c r="AZ603" s="115" t="s">
        <v>1880</v>
      </c>
      <c r="BA603" s="115"/>
      <c r="BB603" s="115"/>
      <c r="BC603" s="115">
        <v>166.051875</v>
      </c>
      <c r="BD603" s="115"/>
      <c r="BE603" s="115"/>
      <c r="BF603" s="115">
        <v>29.585000000000001</v>
      </c>
      <c r="BG603" s="115"/>
      <c r="BH603" s="115">
        <v>12.7805745</v>
      </c>
      <c r="BI603" s="115"/>
      <c r="BJ603" s="115"/>
      <c r="BK603" s="115"/>
      <c r="BL603" s="115"/>
      <c r="BM603" s="115"/>
      <c r="BN603" s="115"/>
      <c r="BO603" s="115"/>
      <c r="BP603" s="115"/>
      <c r="DR603" s="214"/>
      <c r="DY603" s="115"/>
      <c r="DZ603" s="334"/>
      <c r="EA603" s="334"/>
      <c r="EB603" s="334"/>
      <c r="EC603" s="334"/>
      <c r="ED603" s="187"/>
      <c r="EE603" s="330"/>
      <c r="EH603" s="334"/>
      <c r="EI603" s="334"/>
      <c r="EM603"/>
      <c r="EO603" s="115"/>
      <c r="EP603" s="334"/>
      <c r="EQ603" s="334"/>
      <c r="ER603" s="334"/>
      <c r="ES603" s="334"/>
      <c r="ET603" s="334"/>
      <c r="EU603" s="334"/>
      <c r="EV603" s="334"/>
    </row>
    <row r="604" spans="35:152" ht="13">
      <c r="AI604" s="115" t="s">
        <v>1416</v>
      </c>
      <c r="AJ604" t="s">
        <v>2114</v>
      </c>
      <c r="AK604" s="115">
        <v>0</v>
      </c>
      <c r="AL604" s="115" t="s">
        <v>28</v>
      </c>
      <c r="AM604" s="115" t="s">
        <v>1843</v>
      </c>
      <c r="AN604" s="115" t="s">
        <v>1452</v>
      </c>
      <c r="AO604" s="115" t="s">
        <v>1647</v>
      </c>
      <c r="AT604" s="115" t="s">
        <v>1415</v>
      </c>
      <c r="AU604" s="115" t="s">
        <v>2114</v>
      </c>
      <c r="AV604" s="115">
        <v>16</v>
      </c>
      <c r="AW604" s="115" t="s">
        <v>499</v>
      </c>
      <c r="AX604" s="115" t="s">
        <v>28</v>
      </c>
      <c r="AY604" s="115" t="s">
        <v>1832</v>
      </c>
      <c r="AZ604" s="115" t="s">
        <v>1880</v>
      </c>
      <c r="BA604" s="115"/>
      <c r="BB604" s="115"/>
      <c r="BC604" s="115">
        <v>228.25</v>
      </c>
      <c r="BD604" s="115"/>
      <c r="BE604" s="115"/>
      <c r="BF604" s="115">
        <v>30.5</v>
      </c>
      <c r="BG604" s="115"/>
      <c r="BH604" s="115">
        <v>131.7585</v>
      </c>
      <c r="BI604" s="115"/>
      <c r="BJ604" s="115"/>
      <c r="BK604" s="115"/>
      <c r="BL604" s="115"/>
      <c r="BM604" s="115"/>
      <c r="BN604" s="115"/>
      <c r="BO604" s="115"/>
      <c r="BP604" s="115"/>
      <c r="DR604" s="214"/>
      <c r="DY604" s="115"/>
      <c r="DZ604" s="334"/>
      <c r="EA604" s="334"/>
      <c r="EB604" s="334"/>
      <c r="EC604" s="334"/>
      <c r="ED604" s="187"/>
      <c r="EE604" s="330"/>
      <c r="EH604" s="334"/>
      <c r="EI604" s="334"/>
      <c r="EM604"/>
      <c r="EO604" s="115"/>
      <c r="EP604" s="334"/>
      <c r="EQ604" s="334"/>
      <c r="ER604" s="334"/>
      <c r="ES604" s="334"/>
      <c r="ET604" s="334"/>
      <c r="EU604" s="334"/>
      <c r="EV604" s="334"/>
    </row>
    <row r="605" spans="35:152" ht="13">
      <c r="AI605" s="115" t="s">
        <v>1416</v>
      </c>
      <c r="AJ605" t="s">
        <v>2114</v>
      </c>
      <c r="AK605" s="115">
        <v>0</v>
      </c>
      <c r="AL605" s="115" t="s">
        <v>28</v>
      </c>
      <c r="AM605" s="115" t="s">
        <v>1843</v>
      </c>
      <c r="AN605" s="115" t="s">
        <v>1452</v>
      </c>
      <c r="AO605" s="115" t="s">
        <v>1639</v>
      </c>
      <c r="AT605" s="115" t="s">
        <v>1415</v>
      </c>
      <c r="AU605" s="115" t="s">
        <v>2114</v>
      </c>
      <c r="AV605" s="115">
        <v>16</v>
      </c>
      <c r="AW605" s="115" t="s">
        <v>499</v>
      </c>
      <c r="AX605" s="115" t="s">
        <v>28</v>
      </c>
      <c r="AY605" s="115" t="s">
        <v>1846</v>
      </c>
      <c r="AZ605" s="115" t="s">
        <v>1882</v>
      </c>
      <c r="BA605" s="115"/>
      <c r="BB605" s="115"/>
      <c r="BC605" s="115">
        <v>1368.1613441250001</v>
      </c>
      <c r="BD605" s="115"/>
      <c r="BE605" s="115"/>
      <c r="BF605" s="115"/>
      <c r="BG605" s="115"/>
      <c r="BH605" s="115">
        <v>30352.802558390402</v>
      </c>
      <c r="BI605" s="115">
        <v>4108.6066875750003</v>
      </c>
      <c r="BJ605" s="115">
        <v>470.92372859999995</v>
      </c>
      <c r="BK605" s="115"/>
      <c r="BL605" s="115"/>
      <c r="BM605" s="115">
        <v>8406.463600000001</v>
      </c>
      <c r="BN605" s="115">
        <v>5933.04</v>
      </c>
      <c r="BO605" s="115">
        <v>5074.13</v>
      </c>
      <c r="BP605" s="115"/>
      <c r="DR605" s="214"/>
      <c r="DY605" s="115"/>
      <c r="DZ605" s="334"/>
      <c r="EA605" s="334"/>
      <c r="EB605" s="334"/>
      <c r="EC605" s="334"/>
      <c r="ED605" s="187"/>
      <c r="EE605" s="330"/>
      <c r="EH605" s="334"/>
      <c r="EI605" s="334"/>
      <c r="EM605"/>
      <c r="EO605" s="115"/>
      <c r="EP605" s="334"/>
      <c r="EQ605" s="334"/>
      <c r="ER605" s="334"/>
      <c r="ES605" s="334"/>
      <c r="ET605" s="334"/>
      <c r="EU605" s="334"/>
      <c r="EV605" s="334"/>
    </row>
    <row r="606" spans="35:152" ht="13">
      <c r="AI606" s="115" t="s">
        <v>1416</v>
      </c>
      <c r="AJ606" t="s">
        <v>2114</v>
      </c>
      <c r="AK606" s="115">
        <v>0</v>
      </c>
      <c r="AL606" s="115" t="s">
        <v>28</v>
      </c>
      <c r="AM606" s="115" t="s">
        <v>1846</v>
      </c>
      <c r="AN606" s="115" t="s">
        <v>1452</v>
      </c>
      <c r="AO606" s="115" t="s">
        <v>1639</v>
      </c>
      <c r="AT606" s="115" t="s">
        <v>1415</v>
      </c>
      <c r="AU606" s="115" t="s">
        <v>2114</v>
      </c>
      <c r="AV606" s="115">
        <v>16</v>
      </c>
      <c r="AW606" s="115" t="s">
        <v>499</v>
      </c>
      <c r="AX606" s="115" t="s">
        <v>28</v>
      </c>
      <c r="AY606" s="115" t="s">
        <v>1848</v>
      </c>
      <c r="AZ606" s="115" t="s">
        <v>1882</v>
      </c>
      <c r="BA606" s="115"/>
      <c r="BB606" s="115"/>
      <c r="BC606" s="115">
        <v>8068.2467394375008</v>
      </c>
      <c r="BD606" s="115"/>
      <c r="BE606" s="115"/>
      <c r="BF606" s="115">
        <v>529.73642424999991</v>
      </c>
      <c r="BG606" s="115"/>
      <c r="BH606" s="115">
        <v>2187.9947865014401</v>
      </c>
      <c r="BI606" s="115">
        <v>1509.3893913750001</v>
      </c>
      <c r="BJ606" s="115">
        <v>2365.48834599375</v>
      </c>
      <c r="BK606" s="115"/>
      <c r="BL606" s="115"/>
      <c r="BM606" s="115"/>
      <c r="BN606" s="115"/>
      <c r="BO606" s="115"/>
      <c r="BP606" s="115"/>
      <c r="DR606" s="214"/>
      <c r="DY606" s="115"/>
      <c r="DZ606" s="334"/>
      <c r="EA606" s="334"/>
      <c r="EB606" s="334"/>
      <c r="EC606" s="334"/>
      <c r="ED606" s="187"/>
      <c r="EE606" s="330"/>
      <c r="EH606" s="334"/>
      <c r="EI606" s="334"/>
      <c r="EM606"/>
      <c r="EO606" s="115"/>
      <c r="EP606" s="334"/>
      <c r="EQ606" s="334"/>
      <c r="ER606" s="334"/>
      <c r="ES606" s="334"/>
      <c r="ET606" s="334"/>
      <c r="EU606" s="334"/>
      <c r="EV606" s="334"/>
    </row>
    <row r="607" spans="35:152" ht="13">
      <c r="AI607" s="115" t="s">
        <v>1416</v>
      </c>
      <c r="AJ607" t="s">
        <v>2114</v>
      </c>
      <c r="AK607" s="115">
        <v>0</v>
      </c>
      <c r="AL607" s="115" t="s">
        <v>28</v>
      </c>
      <c r="AM607" s="115" t="s">
        <v>1849</v>
      </c>
      <c r="AN607" s="115" t="s">
        <v>1452</v>
      </c>
      <c r="AO607" s="115" t="s">
        <v>373</v>
      </c>
      <c r="AT607" s="115" t="s">
        <v>1415</v>
      </c>
      <c r="AU607" s="115" t="s">
        <v>2114</v>
      </c>
      <c r="AV607" s="115">
        <v>16</v>
      </c>
      <c r="AW607" s="115" t="s">
        <v>499</v>
      </c>
      <c r="AX607" s="115" t="s">
        <v>28</v>
      </c>
      <c r="AY607" s="115" t="s">
        <v>1843</v>
      </c>
      <c r="AZ607" s="115" t="s">
        <v>1882</v>
      </c>
      <c r="BA607" s="115"/>
      <c r="BB607" s="115"/>
      <c r="BC607" s="115">
        <v>9352.3242268041231</v>
      </c>
      <c r="BD607" s="115"/>
      <c r="BE607" s="115"/>
      <c r="BF607" s="115">
        <v>525.65412371134028</v>
      </c>
      <c r="BG607" s="115"/>
      <c r="BH607" s="115">
        <v>30765.290164948456</v>
      </c>
      <c r="BI607" s="115">
        <v>5016.9593814432992</v>
      </c>
      <c r="BJ607" s="115">
        <v>2810.642268041237</v>
      </c>
      <c r="BK607" s="115"/>
      <c r="BL607" s="115"/>
      <c r="BM607" s="115">
        <v>8406.463600000001</v>
      </c>
      <c r="BN607" s="115">
        <v>5933.04</v>
      </c>
      <c r="BO607" s="115">
        <v>5074.13</v>
      </c>
      <c r="BP607" s="115"/>
      <c r="DR607" s="214"/>
      <c r="DY607" s="115"/>
      <c r="DZ607" s="334"/>
      <c r="EA607" s="334"/>
      <c r="EB607" s="334"/>
      <c r="EC607" s="334"/>
      <c r="ED607" s="187"/>
      <c r="EE607" s="330"/>
      <c r="EH607" s="334"/>
      <c r="EI607" s="334"/>
      <c r="EM607"/>
      <c r="EO607" s="115"/>
      <c r="EP607" s="334"/>
      <c r="EQ607" s="334"/>
      <c r="ER607" s="334"/>
      <c r="ES607" s="334"/>
      <c r="ET607" s="334"/>
      <c r="EU607" s="334"/>
      <c r="EV607" s="334"/>
    </row>
    <row r="608" spans="35:152" ht="13">
      <c r="AI608" s="115" t="s">
        <v>1416</v>
      </c>
      <c r="AJ608" t="s">
        <v>2114</v>
      </c>
      <c r="AK608" s="115">
        <v>0</v>
      </c>
      <c r="AL608" s="115" t="s">
        <v>28</v>
      </c>
      <c r="AM608" s="115" t="s">
        <v>1850</v>
      </c>
      <c r="AN608" s="115" t="s">
        <v>1452</v>
      </c>
      <c r="AO608" s="115" t="s">
        <v>373</v>
      </c>
      <c r="AT608" s="115" t="s">
        <v>1415</v>
      </c>
      <c r="AU608" s="115" t="s">
        <v>2114</v>
      </c>
      <c r="AV608" s="115">
        <v>16</v>
      </c>
      <c r="AW608" s="115" t="s">
        <v>499</v>
      </c>
      <c r="AX608" s="115" t="s">
        <v>28</v>
      </c>
      <c r="AY608" s="115" t="s">
        <v>1849</v>
      </c>
      <c r="AZ608" s="115" t="s">
        <v>1882</v>
      </c>
      <c r="BA608" s="115"/>
      <c r="BB608" s="115"/>
      <c r="BC608" s="115">
        <v>60.564375000000005</v>
      </c>
      <c r="BD608" s="115"/>
      <c r="BE608" s="115"/>
      <c r="BF608" s="115"/>
      <c r="BG608" s="115"/>
      <c r="BH608" s="115">
        <v>452.35996560000007</v>
      </c>
      <c r="BI608" s="115">
        <v>118.07325</v>
      </c>
      <c r="BJ608" s="115">
        <v>5.8745624999999988</v>
      </c>
      <c r="BK608" s="115"/>
      <c r="BL608" s="115"/>
      <c r="BM608" s="115"/>
      <c r="BN608" s="115"/>
      <c r="BO608" s="115"/>
      <c r="BP608" s="115"/>
      <c r="DR608" s="214"/>
      <c r="DY608" s="115"/>
      <c r="DZ608" s="334"/>
      <c r="EA608" s="334"/>
      <c r="EB608" s="334"/>
      <c r="EC608" s="334"/>
      <c r="ED608" s="187"/>
      <c r="EE608" s="330"/>
      <c r="EH608" s="334"/>
      <c r="EI608" s="334"/>
      <c r="EM608"/>
      <c r="EO608" s="115"/>
      <c r="EP608" s="334"/>
      <c r="EQ608" s="334"/>
      <c r="ER608" s="334"/>
      <c r="ES608" s="334"/>
      <c r="ET608" s="334"/>
      <c r="EU608" s="334"/>
      <c r="EV608" s="334"/>
    </row>
    <row r="609" spans="35:152" ht="13">
      <c r="AI609" s="115" t="s">
        <v>1416</v>
      </c>
      <c r="AJ609" t="s">
        <v>2114</v>
      </c>
      <c r="AK609" s="115">
        <v>0</v>
      </c>
      <c r="AL609" s="115" t="s">
        <v>28</v>
      </c>
      <c r="AM609" s="115" t="s">
        <v>1848</v>
      </c>
      <c r="AN609" s="115" t="s">
        <v>1452</v>
      </c>
      <c r="AO609" s="115" t="s">
        <v>373</v>
      </c>
      <c r="AT609" s="115" t="s">
        <v>1415</v>
      </c>
      <c r="AU609" s="115" t="s">
        <v>2114</v>
      </c>
      <c r="AV609" s="115">
        <v>16</v>
      </c>
      <c r="AW609" s="115" t="s">
        <v>499</v>
      </c>
      <c r="AX609" s="115" t="s">
        <v>28</v>
      </c>
      <c r="AY609" s="115" t="s">
        <v>1850</v>
      </c>
      <c r="AZ609" s="115" t="s">
        <v>1882</v>
      </c>
      <c r="BA609" s="115"/>
      <c r="BB609" s="115"/>
      <c r="BC609" s="115">
        <v>181.69312500000001</v>
      </c>
      <c r="BD609" s="115"/>
      <c r="BE609" s="115"/>
      <c r="BF609" s="115">
        <v>11.397499999999999</v>
      </c>
      <c r="BG609" s="115"/>
      <c r="BH609" s="115">
        <v>50.262218400000009</v>
      </c>
      <c r="BI609" s="115">
        <v>39.357750000000003</v>
      </c>
      <c r="BJ609" s="115">
        <v>52.871062500000008</v>
      </c>
      <c r="BK609" s="115"/>
      <c r="BL609" s="115"/>
      <c r="BM609" s="115"/>
      <c r="BN609" s="115"/>
      <c r="BO609" s="115"/>
      <c r="BP609" s="115"/>
      <c r="DR609" s="214"/>
      <c r="DY609" s="115"/>
      <c r="DZ609" s="334"/>
      <c r="EA609" s="334"/>
      <c r="EB609" s="334"/>
      <c r="EC609" s="334"/>
      <c r="ED609" s="187"/>
      <c r="EE609" s="330"/>
      <c r="EH609" s="334"/>
      <c r="EI609" s="334"/>
      <c r="EM609"/>
      <c r="EO609" s="115"/>
      <c r="EP609" s="334"/>
      <c r="EQ609" s="334"/>
      <c r="ER609" s="334"/>
      <c r="ES609" s="334"/>
      <c r="ET609" s="334"/>
      <c r="EU609" s="334"/>
      <c r="EV609" s="334"/>
    </row>
    <row r="610" spans="35:152" ht="13">
      <c r="AI610" s="115" t="s">
        <v>1416</v>
      </c>
      <c r="AJ610" t="s">
        <v>2114</v>
      </c>
      <c r="AK610" s="115">
        <v>0</v>
      </c>
      <c r="AL610" s="115" t="s">
        <v>28</v>
      </c>
      <c r="AM610" s="115" t="s">
        <v>1843</v>
      </c>
      <c r="AN610" s="115" t="s">
        <v>1452</v>
      </c>
      <c r="AO610" s="115" t="s">
        <v>373</v>
      </c>
      <c r="AT610" s="115" t="s">
        <v>1415</v>
      </c>
      <c r="AU610" s="115" t="s">
        <v>2114</v>
      </c>
      <c r="AV610" s="115">
        <v>16</v>
      </c>
      <c r="AW610" s="115" t="s">
        <v>499</v>
      </c>
      <c r="AX610" s="115" t="s">
        <v>28</v>
      </c>
      <c r="AY610" s="115" t="s">
        <v>1832</v>
      </c>
      <c r="AZ610" s="115" t="s">
        <v>1882</v>
      </c>
      <c r="BA610" s="115"/>
      <c r="BB610" s="115"/>
      <c r="BC610" s="115">
        <v>249.75000000000003</v>
      </c>
      <c r="BD610" s="115"/>
      <c r="BE610" s="115"/>
      <c r="BF610" s="115">
        <v>11.75</v>
      </c>
      <c r="BG610" s="115"/>
      <c r="BH610" s="115">
        <v>518.16720000000009</v>
      </c>
      <c r="BI610" s="115">
        <v>162.30000000000001</v>
      </c>
      <c r="BJ610" s="115">
        <v>60.562500000000007</v>
      </c>
      <c r="BK610" s="115"/>
      <c r="BL610" s="115"/>
      <c r="BM610" s="115"/>
      <c r="BN610" s="115"/>
      <c r="BO610" s="115"/>
      <c r="BP610" s="115"/>
      <c r="DR610" s="214"/>
      <c r="DY610" s="115"/>
      <c r="DZ610" s="334"/>
      <c r="EA610" s="334"/>
      <c r="EB610" s="334"/>
      <c r="EC610" s="334"/>
      <c r="ED610" s="187"/>
      <c r="EE610" s="330"/>
      <c r="EH610" s="334"/>
      <c r="EI610" s="334"/>
      <c r="EM610"/>
      <c r="EO610" s="115"/>
      <c r="EP610" s="334"/>
      <c r="EQ610" s="334"/>
      <c r="ER610" s="334"/>
      <c r="ES610" s="334"/>
      <c r="ET610" s="334"/>
      <c r="EU610" s="334"/>
      <c r="EV610" s="334"/>
    </row>
    <row r="611" spans="35:152" ht="13">
      <c r="AI611" s="115" t="s">
        <v>1416</v>
      </c>
      <c r="AJ611" t="s">
        <v>2114</v>
      </c>
      <c r="AK611" s="115">
        <v>0</v>
      </c>
      <c r="AL611" s="115" t="s">
        <v>28</v>
      </c>
      <c r="AM611" s="115" t="s">
        <v>1832</v>
      </c>
      <c r="AN611" s="115" t="s">
        <v>1452</v>
      </c>
      <c r="AO611" s="115" t="s">
        <v>373</v>
      </c>
      <c r="AT611" s="115" t="s">
        <v>1415</v>
      </c>
      <c r="AU611" s="115" t="s">
        <v>2114</v>
      </c>
      <c r="AV611" s="115">
        <v>16</v>
      </c>
      <c r="AW611" s="115" t="s">
        <v>499</v>
      </c>
      <c r="AX611" s="115" t="s">
        <v>28</v>
      </c>
      <c r="AY611" s="115" t="s">
        <v>1846</v>
      </c>
      <c r="AZ611" s="115" t="s">
        <v>1906</v>
      </c>
      <c r="BA611" s="115"/>
      <c r="BB611" s="115"/>
      <c r="BC611" s="115">
        <v>125.99684049999999</v>
      </c>
      <c r="BD611" s="115"/>
      <c r="BE611" s="115"/>
      <c r="BF611" s="115"/>
      <c r="BG611" s="115"/>
      <c r="BH611" s="115"/>
      <c r="BI611" s="115"/>
      <c r="BJ611" s="115"/>
      <c r="BK611" s="115"/>
      <c r="BL611" s="115"/>
      <c r="BM611" s="115"/>
      <c r="BN611" s="115"/>
      <c r="BO611" s="115"/>
      <c r="BP611" s="115"/>
      <c r="DR611" s="214"/>
      <c r="DY611" s="115"/>
      <c r="DZ611" s="334"/>
      <c r="EA611" s="334"/>
      <c r="EB611" s="334"/>
      <c r="EC611" s="334"/>
      <c r="ED611" s="187"/>
      <c r="EE611" s="330"/>
      <c r="EH611" s="334"/>
      <c r="EI611" s="334"/>
      <c r="EM611"/>
      <c r="EO611" s="115"/>
      <c r="EP611" s="334"/>
      <c r="EQ611" s="334"/>
      <c r="ER611" s="334"/>
      <c r="ES611" s="334"/>
      <c r="ET611" s="334"/>
      <c r="EU611" s="334"/>
      <c r="EV611" s="334"/>
    </row>
    <row r="612" spans="35:152" ht="13">
      <c r="AI612" s="115" t="s">
        <v>1416</v>
      </c>
      <c r="AJ612" t="s">
        <v>2114</v>
      </c>
      <c r="AK612" s="115">
        <v>0</v>
      </c>
      <c r="AL612" s="115" t="s">
        <v>28</v>
      </c>
      <c r="AM612" s="115" t="s">
        <v>1846</v>
      </c>
      <c r="AN612" s="115" t="s">
        <v>1452</v>
      </c>
      <c r="AO612" s="115" t="s">
        <v>373</v>
      </c>
      <c r="AT612" s="115" t="s">
        <v>1415</v>
      </c>
      <c r="AU612" s="115" t="s">
        <v>2114</v>
      </c>
      <c r="AV612" s="115">
        <v>16</v>
      </c>
      <c r="AW612" s="115" t="s">
        <v>499</v>
      </c>
      <c r="AX612" s="115" t="s">
        <v>28</v>
      </c>
      <c r="AY612" s="115" t="s">
        <v>1848</v>
      </c>
      <c r="AZ612" s="115" t="s">
        <v>1906</v>
      </c>
      <c r="BA612" s="115"/>
      <c r="BB612" s="115"/>
      <c r="BC612" s="115">
        <v>743.02172174999998</v>
      </c>
      <c r="BD612" s="115"/>
      <c r="BE612" s="115"/>
      <c r="BF612" s="115"/>
      <c r="BG612" s="115"/>
      <c r="BH612" s="115"/>
      <c r="BI612" s="115"/>
      <c r="BJ612" s="115"/>
      <c r="BK612" s="115"/>
      <c r="BL612" s="115"/>
      <c r="BM612" s="115"/>
      <c r="BN612" s="115"/>
      <c r="BO612" s="115"/>
      <c r="BP612" s="115"/>
      <c r="DR612" s="214"/>
      <c r="DY612" s="115"/>
      <c r="DZ612" s="334"/>
      <c r="EA612" s="334"/>
      <c r="EB612" s="334"/>
      <c r="EC612" s="334"/>
      <c r="ED612" s="187"/>
      <c r="EE612" s="330"/>
      <c r="EH612" s="334"/>
      <c r="EI612" s="334"/>
      <c r="EM612"/>
      <c r="EO612" s="115"/>
      <c r="EP612" s="334"/>
      <c r="EQ612" s="334"/>
      <c r="ER612" s="334"/>
      <c r="ES612" s="334"/>
      <c r="ET612" s="334"/>
      <c r="EU612" s="334"/>
      <c r="EV612" s="334"/>
    </row>
    <row r="613" spans="35:152" ht="13">
      <c r="AI613" s="115" t="s">
        <v>1416</v>
      </c>
      <c r="AJ613" t="s">
        <v>2114</v>
      </c>
      <c r="AK613" s="115">
        <v>0</v>
      </c>
      <c r="AL613" s="115" t="s">
        <v>28</v>
      </c>
      <c r="AM613" s="115" t="s">
        <v>1849</v>
      </c>
      <c r="AN613" s="115" t="s">
        <v>1452</v>
      </c>
      <c r="AO613" s="115" t="s">
        <v>380</v>
      </c>
      <c r="AT613" s="115" t="s">
        <v>1415</v>
      </c>
      <c r="AU613" s="115" t="s">
        <v>2114</v>
      </c>
      <c r="AV613" s="115">
        <v>16</v>
      </c>
      <c r="AW613" s="115" t="s">
        <v>499</v>
      </c>
      <c r="AX613" s="115" t="s">
        <v>28</v>
      </c>
      <c r="AY613" s="115" t="s">
        <v>1843</v>
      </c>
      <c r="AZ613" s="115" t="s">
        <v>1906</v>
      </c>
      <c r="BA613" s="115"/>
      <c r="BB613" s="115"/>
      <c r="BC613" s="115">
        <v>861.27505154639175</v>
      </c>
      <c r="BD613" s="115"/>
      <c r="BE613" s="115"/>
      <c r="BF613" s="115"/>
      <c r="BG613" s="115"/>
      <c r="BH613" s="115"/>
      <c r="BI613" s="115"/>
      <c r="BJ613" s="115"/>
      <c r="BK613" s="115"/>
      <c r="BL613" s="115"/>
      <c r="BM613" s="115"/>
      <c r="BN613" s="115"/>
      <c r="BO613" s="115"/>
      <c r="BP613" s="115"/>
      <c r="DR613" s="214"/>
      <c r="DY613" s="115"/>
      <c r="DZ613" s="334"/>
      <c r="EA613" s="334"/>
      <c r="EB613" s="334"/>
      <c r="EC613" s="334"/>
      <c r="ED613" s="187"/>
      <c r="EE613" s="330"/>
      <c r="EH613" s="334"/>
      <c r="EI613" s="334"/>
      <c r="EM613"/>
      <c r="EO613" s="115"/>
      <c r="EP613" s="334"/>
      <c r="EQ613" s="334"/>
      <c r="ER613" s="334"/>
      <c r="ES613" s="334"/>
      <c r="ET613" s="334"/>
      <c r="EU613" s="334"/>
      <c r="EV613" s="334"/>
    </row>
    <row r="614" spans="35:152" ht="13">
      <c r="AI614" s="115" t="s">
        <v>1416</v>
      </c>
      <c r="AJ614" t="s">
        <v>2114</v>
      </c>
      <c r="AK614" s="115">
        <v>0</v>
      </c>
      <c r="AL614" s="115" t="s">
        <v>28</v>
      </c>
      <c r="AM614" s="115" t="s">
        <v>1848</v>
      </c>
      <c r="AN614" s="115" t="s">
        <v>1452</v>
      </c>
      <c r="AO614" s="115" t="s">
        <v>380</v>
      </c>
      <c r="AT614" s="115" t="s">
        <v>1415</v>
      </c>
      <c r="AU614" s="115" t="s">
        <v>2114</v>
      </c>
      <c r="AV614" s="115">
        <v>16</v>
      </c>
      <c r="AW614" s="115" t="s">
        <v>499</v>
      </c>
      <c r="AX614" s="115" t="s">
        <v>28</v>
      </c>
      <c r="AY614" s="115" t="s">
        <v>1849</v>
      </c>
      <c r="AZ614" s="115" t="s">
        <v>1906</v>
      </c>
      <c r="BA614" s="115"/>
      <c r="BB614" s="115"/>
      <c r="BC614" s="115">
        <v>5.5774999999999997</v>
      </c>
      <c r="BD614" s="115"/>
      <c r="BE614" s="115"/>
      <c r="BF614" s="115"/>
      <c r="BG614" s="115"/>
      <c r="BH614" s="115"/>
      <c r="BI614" s="115"/>
      <c r="BJ614" s="115"/>
      <c r="BK614" s="115"/>
      <c r="BL614" s="115"/>
      <c r="BM614" s="115"/>
      <c r="BN614" s="115"/>
      <c r="BO614" s="115"/>
      <c r="BP614" s="115"/>
      <c r="DR614" s="214"/>
      <c r="DY614" s="115"/>
      <c r="DZ614" s="334"/>
      <c r="EA614" s="334"/>
      <c r="EB614" s="334"/>
      <c r="EC614" s="334"/>
      <c r="ED614" s="187"/>
      <c r="EE614" s="330"/>
      <c r="EH614" s="334"/>
      <c r="EI614" s="334"/>
      <c r="EM614"/>
      <c r="EO614" s="115"/>
      <c r="EP614" s="334"/>
      <c r="EQ614" s="334"/>
      <c r="ER614" s="334"/>
      <c r="ES614" s="334"/>
      <c r="ET614" s="334"/>
      <c r="EU614" s="334"/>
      <c r="EV614" s="334"/>
    </row>
    <row r="615" spans="35:152" ht="13">
      <c r="AI615" s="115" t="s">
        <v>1416</v>
      </c>
      <c r="AJ615" t="s">
        <v>2114</v>
      </c>
      <c r="AK615" s="115">
        <v>0</v>
      </c>
      <c r="AL615" s="115" t="s">
        <v>28</v>
      </c>
      <c r="AM615" s="115" t="s">
        <v>1850</v>
      </c>
      <c r="AN615" s="115" t="s">
        <v>1452</v>
      </c>
      <c r="AO615" s="115" t="s">
        <v>380</v>
      </c>
      <c r="AT615" s="115" t="s">
        <v>1415</v>
      </c>
      <c r="AU615" s="115" t="s">
        <v>2114</v>
      </c>
      <c r="AV615" s="115">
        <v>16</v>
      </c>
      <c r="AW615" s="115" t="s">
        <v>499</v>
      </c>
      <c r="AX615" s="115" t="s">
        <v>28</v>
      </c>
      <c r="AY615" s="115" t="s">
        <v>1850</v>
      </c>
      <c r="AZ615" s="115" t="s">
        <v>1906</v>
      </c>
      <c r="BA615" s="115"/>
      <c r="BB615" s="115"/>
      <c r="BC615" s="115">
        <v>16.732499999999998</v>
      </c>
      <c r="BD615" s="115"/>
      <c r="BE615" s="115"/>
      <c r="BF615" s="115"/>
      <c r="BG615" s="115"/>
      <c r="BH615" s="115"/>
      <c r="BI615" s="115"/>
      <c r="BJ615" s="115"/>
      <c r="BK615" s="115"/>
      <c r="BL615" s="115"/>
      <c r="BM615" s="115"/>
      <c r="BN615" s="115"/>
      <c r="BO615" s="115"/>
      <c r="BP615" s="115"/>
      <c r="DR615" s="214"/>
      <c r="DY615" s="115"/>
      <c r="DZ615" s="334"/>
      <c r="EA615" s="334"/>
      <c r="EB615" s="334"/>
      <c r="EC615" s="334"/>
      <c r="ED615" s="187"/>
      <c r="EE615" s="330"/>
      <c r="EH615" s="334"/>
      <c r="EI615" s="334"/>
      <c r="EM615"/>
      <c r="EO615" s="115"/>
      <c r="EP615" s="334"/>
      <c r="EQ615" s="334"/>
      <c r="ER615" s="334"/>
      <c r="ES615" s="334"/>
      <c r="ET615" s="334"/>
      <c r="EU615" s="334"/>
      <c r="EV615" s="334"/>
    </row>
    <row r="616" spans="35:152" ht="13">
      <c r="AI616" s="115" t="s">
        <v>1416</v>
      </c>
      <c r="AJ616" t="s">
        <v>2114</v>
      </c>
      <c r="AK616" s="115">
        <v>0</v>
      </c>
      <c r="AL616" s="115" t="s">
        <v>28</v>
      </c>
      <c r="AM616" s="115" t="s">
        <v>1846</v>
      </c>
      <c r="AN616" s="115" t="s">
        <v>1452</v>
      </c>
      <c r="AO616" s="115" t="s">
        <v>380</v>
      </c>
      <c r="AT616" s="115" t="s">
        <v>1415</v>
      </c>
      <c r="AU616" s="115" t="s">
        <v>2114</v>
      </c>
      <c r="AV616" s="115">
        <v>16</v>
      </c>
      <c r="AW616" s="115" t="s">
        <v>499</v>
      </c>
      <c r="AX616" s="115" t="s">
        <v>28</v>
      </c>
      <c r="AY616" s="115" t="s">
        <v>1832</v>
      </c>
      <c r="AZ616" s="115" t="s">
        <v>1906</v>
      </c>
      <c r="BA616" s="115"/>
      <c r="BB616" s="115"/>
      <c r="BC616" s="115">
        <v>23</v>
      </c>
      <c r="BD616" s="115"/>
      <c r="BE616" s="115"/>
      <c r="BF616" s="115"/>
      <c r="BG616" s="115"/>
      <c r="BH616" s="115"/>
      <c r="BI616" s="115"/>
      <c r="BJ616" s="115"/>
      <c r="BK616" s="115"/>
      <c r="BL616" s="115"/>
      <c r="BM616" s="115"/>
      <c r="BN616" s="115"/>
      <c r="BO616" s="115"/>
      <c r="BP616" s="115"/>
      <c r="DR616" s="214"/>
      <c r="DY616" s="115"/>
      <c r="DZ616" s="334"/>
      <c r="EA616" s="334"/>
      <c r="EB616" s="334"/>
      <c r="EC616" s="334"/>
      <c r="ED616" s="187"/>
      <c r="EE616" s="330"/>
      <c r="EH616" s="334"/>
      <c r="EI616" s="334"/>
      <c r="EM616"/>
      <c r="EO616" s="115"/>
      <c r="EP616" s="334"/>
      <c r="EQ616" s="334"/>
      <c r="ER616" s="334"/>
      <c r="ES616" s="334"/>
      <c r="ET616" s="334"/>
      <c r="EU616" s="334"/>
      <c r="EV616" s="334"/>
    </row>
    <row r="617" spans="35:152" ht="13">
      <c r="AI617" s="115" t="s">
        <v>1416</v>
      </c>
      <c r="AJ617" t="s">
        <v>2114</v>
      </c>
      <c r="AK617" s="115">
        <v>0</v>
      </c>
      <c r="AL617" s="115" t="s">
        <v>28</v>
      </c>
      <c r="AM617" s="115" t="s">
        <v>1832</v>
      </c>
      <c r="AN617" s="115" t="s">
        <v>1452</v>
      </c>
      <c r="AO617" s="115" t="s">
        <v>380</v>
      </c>
      <c r="AT617" s="115" t="s">
        <v>1415</v>
      </c>
      <c r="AU617" s="115" t="s">
        <v>2114</v>
      </c>
      <c r="AV617" s="115">
        <v>16</v>
      </c>
      <c r="AW617" s="115" t="s">
        <v>499</v>
      </c>
      <c r="AX617" s="115" t="s">
        <v>28</v>
      </c>
      <c r="AY617" s="115" t="s">
        <v>1846</v>
      </c>
      <c r="AZ617" s="115" t="s">
        <v>1907</v>
      </c>
      <c r="BA617" s="115"/>
      <c r="BB617" s="115"/>
      <c r="BC617" s="115">
        <v>2242.6068078124999</v>
      </c>
      <c r="BD617" s="115"/>
      <c r="BE617" s="115"/>
      <c r="BF617" s="115"/>
      <c r="BG617" s="115"/>
      <c r="BH617" s="115"/>
      <c r="BI617" s="115"/>
      <c r="BJ617" s="115"/>
      <c r="BK617" s="115"/>
      <c r="BL617" s="115"/>
      <c r="BM617" s="115"/>
      <c r="BN617" s="115"/>
      <c r="BO617" s="115"/>
      <c r="BP617" s="115"/>
      <c r="DR617" s="214"/>
      <c r="DY617" s="115"/>
      <c r="DZ617" s="334"/>
      <c r="EA617" s="334"/>
      <c r="EB617" s="334"/>
      <c r="EC617" s="334"/>
      <c r="ED617" s="187"/>
      <c r="EE617" s="330"/>
      <c r="EH617" s="334"/>
      <c r="EI617" s="334"/>
      <c r="EM617"/>
      <c r="EO617" s="115"/>
      <c r="EP617" s="334"/>
      <c r="EQ617" s="334"/>
      <c r="ER617" s="334"/>
      <c r="ES617" s="334"/>
      <c r="ET617" s="334"/>
      <c r="EU617" s="334"/>
      <c r="EV617" s="334"/>
    </row>
    <row r="618" spans="35:152" ht="13">
      <c r="AI618" s="115" t="s">
        <v>1416</v>
      </c>
      <c r="AJ618" t="s">
        <v>2114</v>
      </c>
      <c r="AK618" s="115">
        <v>0</v>
      </c>
      <c r="AL618" s="115" t="s">
        <v>28</v>
      </c>
      <c r="AM618" s="115" t="s">
        <v>1843</v>
      </c>
      <c r="AN618" s="115" t="s">
        <v>1452</v>
      </c>
      <c r="AO618" s="115" t="s">
        <v>380</v>
      </c>
      <c r="AT618" s="115" t="s">
        <v>1415</v>
      </c>
      <c r="AU618" s="115" t="s">
        <v>2114</v>
      </c>
      <c r="AV618" s="115">
        <v>16</v>
      </c>
      <c r="AW618" s="115" t="s">
        <v>499</v>
      </c>
      <c r="AX618" s="115" t="s">
        <v>28</v>
      </c>
      <c r="AY618" s="115" t="s">
        <v>1848</v>
      </c>
      <c r="AZ618" s="115" t="s">
        <v>1907</v>
      </c>
      <c r="BA618" s="115"/>
      <c r="BB618" s="115"/>
      <c r="BC618" s="115">
        <v>13224.979014843751</v>
      </c>
      <c r="BD618" s="115"/>
      <c r="BE618" s="115"/>
      <c r="BF618" s="115"/>
      <c r="BG618" s="115"/>
      <c r="BH618" s="115"/>
      <c r="BI618" s="115"/>
      <c r="BJ618" s="115"/>
      <c r="BK618" s="115"/>
      <c r="BL618" s="115"/>
      <c r="BM618" s="115"/>
      <c r="BN618" s="115"/>
      <c r="BO618" s="115"/>
      <c r="BP618" s="115"/>
      <c r="DR618" s="214"/>
      <c r="DY618" s="115"/>
      <c r="DZ618" s="334"/>
      <c r="EA618" s="334"/>
      <c r="EB618" s="334"/>
      <c r="EC618" s="334"/>
      <c r="ED618" s="187"/>
      <c r="EE618" s="330"/>
      <c r="EH618" s="334"/>
      <c r="EI618" s="334"/>
      <c r="EM618"/>
      <c r="EO618" s="115"/>
      <c r="EP618" s="334"/>
      <c r="EQ618" s="334"/>
      <c r="ER618" s="334"/>
      <c r="ES618" s="334"/>
      <c r="ET618" s="334"/>
      <c r="EU618" s="334"/>
      <c r="EV618" s="334"/>
    </row>
    <row r="619" spans="35:152" ht="13">
      <c r="AI619" s="115" t="s">
        <v>1416</v>
      </c>
      <c r="AJ619" t="s">
        <v>2114</v>
      </c>
      <c r="AK619" s="115">
        <v>0</v>
      </c>
      <c r="AL619" s="115" t="s">
        <v>28</v>
      </c>
      <c r="AM619" s="115" t="s">
        <v>1832</v>
      </c>
      <c r="AN619" s="115" t="s">
        <v>1453</v>
      </c>
      <c r="AO619" s="115" t="s">
        <v>1644</v>
      </c>
      <c r="AT619" s="115" t="s">
        <v>1415</v>
      </c>
      <c r="AU619" s="115" t="s">
        <v>2114</v>
      </c>
      <c r="AV619" s="115">
        <v>16</v>
      </c>
      <c r="AW619" s="115" t="s">
        <v>499</v>
      </c>
      <c r="AX619" s="115" t="s">
        <v>28</v>
      </c>
      <c r="AY619" s="115" t="s">
        <v>1843</v>
      </c>
      <c r="AZ619" s="115" t="s">
        <v>1907</v>
      </c>
      <c r="BA619" s="115"/>
      <c r="BB619" s="115"/>
      <c r="BC619" s="115">
        <v>15329.760618556702</v>
      </c>
      <c r="BD619" s="115"/>
      <c r="BE619" s="115"/>
      <c r="BF619" s="115"/>
      <c r="BG619" s="115"/>
      <c r="BH619" s="115"/>
      <c r="BI619" s="115"/>
      <c r="BJ619" s="115"/>
      <c r="BK619" s="115"/>
      <c r="BL619" s="115"/>
      <c r="BM619" s="115"/>
      <c r="BN619" s="115"/>
      <c r="BO619" s="115"/>
      <c r="BP619" s="115"/>
      <c r="DR619" s="214"/>
      <c r="DY619" s="115"/>
      <c r="DZ619" s="334"/>
      <c r="EA619" s="334"/>
      <c r="EB619" s="334"/>
      <c r="EC619" s="334"/>
      <c r="ED619" s="187"/>
      <c r="EE619" s="330"/>
      <c r="EH619" s="334"/>
      <c r="EI619" s="334"/>
      <c r="EM619"/>
      <c r="EO619" s="115"/>
      <c r="EP619" s="334"/>
      <c r="EQ619" s="334"/>
      <c r="ER619" s="334"/>
      <c r="ES619" s="334"/>
      <c r="ET619" s="334"/>
      <c r="EU619" s="334"/>
      <c r="EV619" s="334"/>
    </row>
    <row r="620" spans="35:152" ht="13">
      <c r="AI620" s="115" t="s">
        <v>1416</v>
      </c>
      <c r="AJ620" t="s">
        <v>2114</v>
      </c>
      <c r="AK620" s="115">
        <v>0</v>
      </c>
      <c r="AL620" s="115" t="s">
        <v>28</v>
      </c>
      <c r="AM620" s="115" t="s">
        <v>1850</v>
      </c>
      <c r="AN620" s="115" t="s">
        <v>1453</v>
      </c>
      <c r="AO620" s="115" t="s">
        <v>1644</v>
      </c>
      <c r="AT620" s="115" t="s">
        <v>1415</v>
      </c>
      <c r="AU620" s="115" t="s">
        <v>2114</v>
      </c>
      <c r="AV620" s="115">
        <v>16</v>
      </c>
      <c r="AW620" s="115" t="s">
        <v>499</v>
      </c>
      <c r="AX620" s="115" t="s">
        <v>28</v>
      </c>
      <c r="AY620" s="115" t="s">
        <v>1849</v>
      </c>
      <c r="AZ620" s="115" t="s">
        <v>1907</v>
      </c>
      <c r="BA620" s="115"/>
      <c r="BB620" s="115"/>
      <c r="BC620" s="115">
        <v>99.2734375</v>
      </c>
      <c r="BD620" s="115"/>
      <c r="BE620" s="115"/>
      <c r="BF620" s="115"/>
      <c r="BG620" s="115"/>
      <c r="BH620" s="115"/>
      <c r="BI620" s="115"/>
      <c r="BJ620" s="115"/>
      <c r="BK620" s="115"/>
      <c r="BL620" s="115"/>
      <c r="BM620" s="115"/>
      <c r="BN620" s="115"/>
      <c r="BO620" s="115"/>
      <c r="BP620" s="115"/>
      <c r="DR620" s="214"/>
      <c r="DY620" s="115"/>
      <c r="DZ620" s="334"/>
      <c r="EA620" s="334"/>
      <c r="EB620" s="334"/>
      <c r="EC620" s="334"/>
      <c r="ED620" s="187"/>
      <c r="EE620" s="330"/>
      <c r="EH620" s="334"/>
      <c r="EI620" s="334"/>
      <c r="EM620"/>
      <c r="EO620" s="115"/>
      <c r="EP620" s="334"/>
      <c r="EQ620" s="334"/>
      <c r="ER620" s="334"/>
      <c r="ES620" s="334"/>
      <c r="ET620" s="334"/>
      <c r="EU620" s="334"/>
      <c r="EV620" s="334"/>
    </row>
    <row r="621" spans="35:152" ht="13">
      <c r="AI621" s="115" t="s">
        <v>1416</v>
      </c>
      <c r="AJ621" t="s">
        <v>2114</v>
      </c>
      <c r="AK621" s="115">
        <v>0</v>
      </c>
      <c r="AL621" s="115" t="s">
        <v>28</v>
      </c>
      <c r="AM621" s="115" t="s">
        <v>1843</v>
      </c>
      <c r="AN621" s="115" t="s">
        <v>1453</v>
      </c>
      <c r="AO621" s="115" t="s">
        <v>1644</v>
      </c>
      <c r="AT621" s="115" t="s">
        <v>1415</v>
      </c>
      <c r="AU621" s="115" t="s">
        <v>2114</v>
      </c>
      <c r="AV621" s="115">
        <v>16</v>
      </c>
      <c r="AW621" s="115" t="s">
        <v>499</v>
      </c>
      <c r="AX621" s="115" t="s">
        <v>28</v>
      </c>
      <c r="AY621" s="115" t="s">
        <v>1850</v>
      </c>
      <c r="AZ621" s="115" t="s">
        <v>1907</v>
      </c>
      <c r="BA621" s="115"/>
      <c r="BB621" s="115"/>
      <c r="BC621" s="115">
        <v>297.8203125</v>
      </c>
      <c r="BD621" s="115"/>
      <c r="BE621" s="115"/>
      <c r="BF621" s="115"/>
      <c r="BG621" s="115"/>
      <c r="BH621" s="115"/>
      <c r="BI621" s="115"/>
      <c r="BJ621" s="115"/>
      <c r="BK621" s="115"/>
      <c r="BL621" s="115"/>
      <c r="BM621" s="115"/>
      <c r="BN621" s="115"/>
      <c r="BO621" s="115"/>
      <c r="BP621" s="115"/>
      <c r="DR621" s="214"/>
      <c r="DY621" s="115"/>
      <c r="DZ621" s="334"/>
      <c r="EA621" s="334"/>
      <c r="EB621" s="334"/>
      <c r="EC621" s="334"/>
      <c r="ED621" s="187"/>
      <c r="EE621" s="330"/>
      <c r="EH621" s="334"/>
      <c r="EI621" s="334"/>
      <c r="EM621"/>
      <c r="EO621" s="115"/>
      <c r="EP621" s="334"/>
      <c r="EQ621" s="334"/>
      <c r="ER621" s="334"/>
      <c r="ES621" s="334"/>
      <c r="ET621" s="334"/>
      <c r="EU621" s="334"/>
      <c r="EV621" s="334"/>
    </row>
    <row r="622" spans="35:152" ht="13">
      <c r="AI622" s="115" t="s">
        <v>1416</v>
      </c>
      <c r="AJ622" t="s">
        <v>2114</v>
      </c>
      <c r="AK622" s="115">
        <v>0</v>
      </c>
      <c r="AL622" s="115" t="s">
        <v>28</v>
      </c>
      <c r="AM622" s="115" t="s">
        <v>1848</v>
      </c>
      <c r="AN622" s="115" t="s">
        <v>1453</v>
      </c>
      <c r="AO622" s="115" t="s">
        <v>1644</v>
      </c>
      <c r="AT622" s="115" t="s">
        <v>1415</v>
      </c>
      <c r="AU622" s="115" t="s">
        <v>2114</v>
      </c>
      <c r="AV622" s="115">
        <v>16</v>
      </c>
      <c r="AW622" s="115" t="s">
        <v>499</v>
      </c>
      <c r="AX622" s="115" t="s">
        <v>28</v>
      </c>
      <c r="AY622" s="115" t="s">
        <v>1832</v>
      </c>
      <c r="AZ622" s="115" t="s">
        <v>1907</v>
      </c>
      <c r="BA622" s="115"/>
      <c r="BB622" s="115"/>
      <c r="BC622" s="115">
        <v>409.375</v>
      </c>
      <c r="BD622" s="115"/>
      <c r="BE622" s="115"/>
      <c r="BF622" s="115"/>
      <c r="BG622" s="115"/>
      <c r="BH622" s="115"/>
      <c r="BI622" s="115"/>
      <c r="BJ622" s="115"/>
      <c r="BK622" s="115"/>
      <c r="BL622" s="115"/>
      <c r="BM622" s="115"/>
      <c r="BN622" s="115"/>
      <c r="BO622" s="115"/>
      <c r="BP622" s="115"/>
      <c r="DR622" s="214"/>
      <c r="DY622" s="115"/>
      <c r="DZ622" s="334"/>
      <c r="EA622" s="334"/>
      <c r="EB622" s="334"/>
      <c r="EC622" s="334"/>
      <c r="ED622" s="187"/>
      <c r="EE622" s="330"/>
      <c r="EH622" s="334"/>
      <c r="EI622" s="334"/>
      <c r="EM622"/>
      <c r="EO622" s="115"/>
      <c r="EP622" s="334"/>
      <c r="EQ622" s="334"/>
      <c r="ER622" s="334"/>
      <c r="ES622" s="334"/>
      <c r="ET622" s="334"/>
      <c r="EU622" s="334"/>
      <c r="EV622" s="334"/>
    </row>
    <row r="623" spans="35:152" ht="13">
      <c r="AI623" s="115" t="s">
        <v>1416</v>
      </c>
      <c r="AJ623" t="s">
        <v>2114</v>
      </c>
      <c r="AK623" s="115">
        <v>0</v>
      </c>
      <c r="AL623" s="115" t="s">
        <v>28</v>
      </c>
      <c r="AM623" s="115" t="s">
        <v>1832</v>
      </c>
      <c r="AN623" s="115" t="s">
        <v>1453</v>
      </c>
      <c r="AO623" s="115" t="s">
        <v>1274</v>
      </c>
      <c r="AT623" s="115" t="s">
        <v>1415</v>
      </c>
      <c r="AU623" s="115" t="s">
        <v>2114</v>
      </c>
      <c r="AV623" s="115">
        <v>16</v>
      </c>
      <c r="AW623" s="115" t="s">
        <v>499</v>
      </c>
      <c r="AX623" s="115" t="s">
        <v>28</v>
      </c>
      <c r="AY623" s="115" t="s">
        <v>1846</v>
      </c>
      <c r="AZ623" s="115" t="s">
        <v>1887</v>
      </c>
      <c r="BA623" s="115"/>
      <c r="BB623" s="115"/>
      <c r="BC623" s="115">
        <v>487.27908532499987</v>
      </c>
      <c r="BD623" s="115"/>
      <c r="BE623" s="115"/>
      <c r="BF623" s="115"/>
      <c r="BG623" s="115"/>
      <c r="BH623" s="115">
        <v>8725.3097757728028</v>
      </c>
      <c r="BI623" s="115"/>
      <c r="BJ623" s="115"/>
      <c r="BK623" s="115"/>
      <c r="BL623" s="115"/>
      <c r="BM623" s="115">
        <v>2252.0921999999996</v>
      </c>
      <c r="BN623" s="115"/>
      <c r="BO623" s="115"/>
      <c r="BP623" s="115"/>
      <c r="DR623" s="214"/>
      <c r="DY623" s="115"/>
      <c r="DZ623" s="334"/>
      <c r="EA623" s="334"/>
      <c r="EB623" s="334"/>
      <c r="EC623" s="334"/>
      <c r="ED623" s="187"/>
      <c r="EE623" s="330"/>
      <c r="EH623" s="334"/>
      <c r="EI623" s="334"/>
      <c r="EM623"/>
      <c r="EO623" s="115"/>
      <c r="EP623" s="334"/>
      <c r="EQ623" s="334"/>
      <c r="ER623" s="334"/>
      <c r="ES623" s="334"/>
      <c r="ET623" s="334"/>
      <c r="EU623" s="334"/>
      <c r="EV623" s="334"/>
    </row>
    <row r="624" spans="35:152" ht="13">
      <c r="AI624" s="115" t="s">
        <v>1416</v>
      </c>
      <c r="AJ624" t="s">
        <v>2114</v>
      </c>
      <c r="AK624" s="115">
        <v>0</v>
      </c>
      <c r="AL624" s="115" t="s">
        <v>28</v>
      </c>
      <c r="AM624" s="115" t="s">
        <v>1850</v>
      </c>
      <c r="AN624" s="115" t="s">
        <v>1453</v>
      </c>
      <c r="AO624" s="115" t="s">
        <v>1274</v>
      </c>
      <c r="AT624" s="115" t="s">
        <v>1415</v>
      </c>
      <c r="AU624" s="115" t="s">
        <v>2114</v>
      </c>
      <c r="AV624" s="115">
        <v>16</v>
      </c>
      <c r="AW624" s="115" t="s">
        <v>499</v>
      </c>
      <c r="AX624" s="115" t="s">
        <v>28</v>
      </c>
      <c r="AY624" s="115" t="s">
        <v>1848</v>
      </c>
      <c r="AZ624" s="115" t="s">
        <v>1887</v>
      </c>
      <c r="BA624" s="115"/>
      <c r="BB624" s="115"/>
      <c r="BC624" s="115">
        <v>2873.5557456374995</v>
      </c>
      <c r="BD624" s="115"/>
      <c r="BE624" s="115"/>
      <c r="BF624" s="115"/>
      <c r="BG624" s="115"/>
      <c r="BH624" s="115">
        <v>624.47685645408012</v>
      </c>
      <c r="BI624" s="115"/>
      <c r="BJ624" s="115"/>
      <c r="BK624" s="115"/>
      <c r="BL624" s="115"/>
      <c r="BM624" s="115"/>
      <c r="BN624" s="115"/>
      <c r="BO624" s="115"/>
      <c r="BP624" s="115"/>
      <c r="DR624" s="214"/>
      <c r="DY624" s="115"/>
      <c r="DZ624" s="334"/>
      <c r="EA624" s="334"/>
      <c r="EB624" s="334"/>
      <c r="EC624" s="334"/>
      <c r="ED624" s="187"/>
      <c r="EE624" s="330"/>
      <c r="EH624" s="334"/>
      <c r="EI624" s="334"/>
      <c r="EM624"/>
      <c r="EO624" s="115"/>
      <c r="EP624" s="334"/>
      <c r="EQ624" s="334"/>
      <c r="ER624" s="334"/>
      <c r="ES624" s="334"/>
      <c r="ET624" s="334"/>
      <c r="EU624" s="334"/>
      <c r="EV624" s="334"/>
    </row>
    <row r="625" spans="35:152" ht="13">
      <c r="AI625" s="115" t="s">
        <v>1416</v>
      </c>
      <c r="AJ625" t="s">
        <v>2114</v>
      </c>
      <c r="AK625" s="115">
        <v>0</v>
      </c>
      <c r="AL625" s="115" t="s">
        <v>28</v>
      </c>
      <c r="AM625" s="115" t="s">
        <v>1843</v>
      </c>
      <c r="AN625" s="115" t="s">
        <v>1453</v>
      </c>
      <c r="AO625" s="115" t="s">
        <v>1274</v>
      </c>
      <c r="AT625" s="115" t="s">
        <v>1415</v>
      </c>
      <c r="AU625" s="115" t="s">
        <v>2114</v>
      </c>
      <c r="AV625" s="115">
        <v>16</v>
      </c>
      <c r="AW625" s="115" t="s">
        <v>499</v>
      </c>
      <c r="AX625" s="115" t="s">
        <v>28</v>
      </c>
      <c r="AY625" s="115" t="s">
        <v>1843</v>
      </c>
      <c r="AZ625" s="115" t="s">
        <v>1887</v>
      </c>
      <c r="BA625" s="115"/>
      <c r="BB625" s="115"/>
      <c r="BC625" s="115">
        <v>3330.8878350515465</v>
      </c>
      <c r="BD625" s="115"/>
      <c r="BE625" s="115"/>
      <c r="BF625" s="115"/>
      <c r="BG625" s="115"/>
      <c r="BH625" s="115">
        <v>8843.0380814432992</v>
      </c>
      <c r="BI625" s="115"/>
      <c r="BJ625" s="115"/>
      <c r="BK625" s="115"/>
      <c r="BL625" s="115"/>
      <c r="BM625" s="115">
        <v>2252.0921999999996</v>
      </c>
      <c r="BN625" s="115"/>
      <c r="BO625" s="115"/>
      <c r="BP625" s="115"/>
      <c r="DR625" s="214"/>
      <c r="DY625" s="115"/>
      <c r="DZ625" s="334"/>
      <c r="EA625" s="334"/>
      <c r="EB625" s="334"/>
      <c r="EC625" s="334"/>
      <c r="ED625" s="187"/>
      <c r="EE625" s="330"/>
      <c r="EH625" s="334"/>
      <c r="EI625" s="334"/>
      <c r="EM625"/>
      <c r="EO625" s="115"/>
      <c r="EP625" s="334"/>
      <c r="EQ625" s="334"/>
      <c r="ER625" s="334"/>
      <c r="ES625" s="334"/>
      <c r="ET625" s="334"/>
      <c r="EU625" s="334"/>
      <c r="EV625" s="334"/>
    </row>
    <row r="626" spans="35:152" ht="13">
      <c r="AI626" s="115" t="s">
        <v>1416</v>
      </c>
      <c r="AJ626" t="s">
        <v>2114</v>
      </c>
      <c r="AK626" s="115">
        <v>0</v>
      </c>
      <c r="AL626" s="115" t="s">
        <v>28</v>
      </c>
      <c r="AM626" s="115" t="s">
        <v>1849</v>
      </c>
      <c r="AN626" s="115" t="s">
        <v>1453</v>
      </c>
      <c r="AO626" s="115" t="s">
        <v>1274</v>
      </c>
      <c r="AT626" s="115" t="s">
        <v>1415</v>
      </c>
      <c r="AU626" s="115" t="s">
        <v>2114</v>
      </c>
      <c r="AV626" s="115">
        <v>16</v>
      </c>
      <c r="AW626" s="115" t="s">
        <v>499</v>
      </c>
      <c r="AX626" s="115" t="s">
        <v>28</v>
      </c>
      <c r="AY626" s="115" t="s">
        <v>1849</v>
      </c>
      <c r="AZ626" s="115" t="s">
        <v>1887</v>
      </c>
      <c r="BA626" s="115"/>
      <c r="BB626" s="115"/>
      <c r="BC626" s="115">
        <v>21.570374999999995</v>
      </c>
      <c r="BD626" s="115"/>
      <c r="BE626" s="115"/>
      <c r="BF626" s="115"/>
      <c r="BG626" s="115"/>
      <c r="BH626" s="115">
        <v>129.10831920000004</v>
      </c>
      <c r="BI626" s="115"/>
      <c r="BJ626" s="115"/>
      <c r="BK626" s="115"/>
      <c r="BL626" s="115"/>
      <c r="BM626" s="115"/>
      <c r="BN626" s="115"/>
      <c r="BO626" s="115"/>
      <c r="BP626" s="115"/>
      <c r="DR626" s="214"/>
      <c r="DY626" s="115"/>
      <c r="DZ626" s="334"/>
      <c r="EA626" s="334"/>
      <c r="EB626" s="334"/>
      <c r="EC626" s="334"/>
      <c r="ED626" s="187"/>
      <c r="EE626" s="330"/>
      <c r="EH626" s="334"/>
      <c r="EI626" s="334"/>
      <c r="EM626"/>
      <c r="EO626" s="115"/>
      <c r="EP626" s="334"/>
      <c r="EQ626" s="334"/>
      <c r="ER626" s="334"/>
      <c r="ES626" s="334"/>
      <c r="ET626" s="334"/>
      <c r="EU626" s="334"/>
      <c r="EV626" s="334"/>
    </row>
    <row r="627" spans="35:152" ht="13">
      <c r="AI627" s="115" t="s">
        <v>1416</v>
      </c>
      <c r="AJ627" t="s">
        <v>2114</v>
      </c>
      <c r="AK627" s="115">
        <v>0</v>
      </c>
      <c r="AL627" s="115" t="s">
        <v>28</v>
      </c>
      <c r="AM627" s="115" t="s">
        <v>1846</v>
      </c>
      <c r="AN627" s="115" t="s">
        <v>1453</v>
      </c>
      <c r="AO627" s="115" t="s">
        <v>1274</v>
      </c>
      <c r="AT627" s="115" t="s">
        <v>1415</v>
      </c>
      <c r="AU627" s="115" t="s">
        <v>2114</v>
      </c>
      <c r="AV627" s="115">
        <v>16</v>
      </c>
      <c r="AW627" s="115" t="s">
        <v>499</v>
      </c>
      <c r="AX627" s="115" t="s">
        <v>28</v>
      </c>
      <c r="AY627" s="115" t="s">
        <v>1850</v>
      </c>
      <c r="AZ627" s="115" t="s">
        <v>1887</v>
      </c>
      <c r="BA627" s="115"/>
      <c r="BB627" s="115"/>
      <c r="BC627" s="115">
        <v>64.711124999999981</v>
      </c>
      <c r="BD627" s="115"/>
      <c r="BE627" s="115"/>
      <c r="BF627" s="115"/>
      <c r="BG627" s="115"/>
      <c r="BH627" s="115">
        <v>14.345368800000003</v>
      </c>
      <c r="BI627" s="115"/>
      <c r="BJ627" s="115"/>
      <c r="BK627" s="115"/>
      <c r="BL627" s="115"/>
      <c r="BM627" s="115"/>
      <c r="BN627" s="115"/>
      <c r="BO627" s="115"/>
      <c r="BP627" s="115"/>
      <c r="DR627" s="214"/>
      <c r="DY627" s="115"/>
      <c r="DZ627" s="334"/>
      <c r="EA627" s="334"/>
      <c r="EB627" s="334"/>
      <c r="EC627" s="334"/>
      <c r="ED627" s="187"/>
      <c r="EE627" s="330"/>
      <c r="EH627" s="334"/>
      <c r="EI627" s="334"/>
      <c r="EM627"/>
      <c r="EO627" s="115"/>
      <c r="EP627" s="334"/>
      <c r="EQ627" s="334"/>
      <c r="ER627" s="334"/>
      <c r="ES627" s="334"/>
      <c r="ET627" s="334"/>
      <c r="EU627" s="334"/>
      <c r="EV627" s="334"/>
    </row>
    <row r="628" spans="35:152" ht="13">
      <c r="AI628" s="115" t="s">
        <v>1416</v>
      </c>
      <c r="AJ628" t="s">
        <v>2114</v>
      </c>
      <c r="AK628" s="115">
        <v>0</v>
      </c>
      <c r="AL628" s="115" t="s">
        <v>28</v>
      </c>
      <c r="AM628" s="115" t="s">
        <v>1848</v>
      </c>
      <c r="AN628" s="115" t="s">
        <v>1453</v>
      </c>
      <c r="AO628" s="115" t="s">
        <v>1274</v>
      </c>
      <c r="AT628" s="115" t="s">
        <v>1415</v>
      </c>
      <c r="AU628" s="115" t="s">
        <v>2114</v>
      </c>
      <c r="AV628" s="115">
        <v>16</v>
      </c>
      <c r="AW628" s="115" t="s">
        <v>499</v>
      </c>
      <c r="AX628" s="115" t="s">
        <v>28</v>
      </c>
      <c r="AY628" s="115" t="s">
        <v>1832</v>
      </c>
      <c r="AZ628" s="115" t="s">
        <v>1887</v>
      </c>
      <c r="BA628" s="115"/>
      <c r="BB628" s="115"/>
      <c r="BC628" s="115">
        <v>88.949999999999989</v>
      </c>
      <c r="BD628" s="115"/>
      <c r="BE628" s="115"/>
      <c r="BF628" s="115"/>
      <c r="BG628" s="115"/>
      <c r="BH628" s="115">
        <v>147.89040000000003</v>
      </c>
      <c r="BI628" s="115"/>
      <c r="BJ628" s="115"/>
      <c r="BK628" s="115"/>
      <c r="BL628" s="115"/>
      <c r="BM628" s="115"/>
      <c r="BN628" s="115"/>
      <c r="BO628" s="115"/>
      <c r="BP628" s="115"/>
      <c r="DR628" s="214"/>
      <c r="DY628" s="115"/>
      <c r="DZ628" s="334"/>
      <c r="EA628" s="334"/>
      <c r="EB628" s="334"/>
      <c r="EC628" s="334"/>
      <c r="ED628" s="187"/>
      <c r="EE628" s="330"/>
      <c r="EH628" s="334"/>
      <c r="EI628" s="334"/>
      <c r="EM628"/>
      <c r="EO628" s="115"/>
      <c r="EP628" s="334"/>
      <c r="EQ628" s="334"/>
      <c r="ER628" s="334"/>
      <c r="ES628" s="334"/>
      <c r="ET628" s="334"/>
      <c r="EU628" s="334"/>
      <c r="EV628" s="334"/>
    </row>
    <row r="629" spans="35:152" ht="13">
      <c r="AI629" s="115" t="s">
        <v>1416</v>
      </c>
      <c r="AJ629" t="s">
        <v>2114</v>
      </c>
      <c r="AK629" s="115">
        <v>0</v>
      </c>
      <c r="AL629" s="115" t="s">
        <v>28</v>
      </c>
      <c r="AM629" s="115" t="s">
        <v>1848</v>
      </c>
      <c r="AN629" s="115" t="s">
        <v>1453</v>
      </c>
      <c r="AO629" s="115" t="s">
        <v>381</v>
      </c>
      <c r="AT629" s="115" t="s">
        <v>1415</v>
      </c>
      <c r="AU629" s="115" t="s">
        <v>2114</v>
      </c>
      <c r="AV629" s="115">
        <v>16</v>
      </c>
      <c r="AW629" s="115" t="s">
        <v>499</v>
      </c>
      <c r="AX629" s="115" t="s">
        <v>28</v>
      </c>
      <c r="AY629" s="115" t="s">
        <v>1846</v>
      </c>
      <c r="AZ629" s="115" t="s">
        <v>1889</v>
      </c>
      <c r="BA629" s="115"/>
      <c r="BB629" s="115"/>
      <c r="BC629" s="115">
        <v>388.26200306250001</v>
      </c>
      <c r="BD629" s="115"/>
      <c r="BE629" s="115"/>
      <c r="BF629" s="115"/>
      <c r="BG629" s="115"/>
      <c r="BH629" s="115">
        <v>7470.3185421148819</v>
      </c>
      <c r="BI629" s="115"/>
      <c r="BJ629" s="115"/>
      <c r="BK629" s="115"/>
      <c r="BL629" s="115"/>
      <c r="BM629" s="115">
        <v>2427.8914999999997</v>
      </c>
      <c r="BN629" s="115"/>
      <c r="BO629" s="115"/>
      <c r="BP629" s="115"/>
      <c r="DR629" s="214"/>
      <c r="DY629" s="115"/>
      <c r="DZ629" s="334"/>
      <c r="EA629" s="334"/>
      <c r="EB629" s="334"/>
      <c r="EC629" s="334"/>
      <c r="ED629" s="187"/>
      <c r="EE629" s="330"/>
      <c r="EH629" s="334"/>
      <c r="EI629" s="334"/>
      <c r="EM629"/>
      <c r="EO629" s="115"/>
      <c r="EP629" s="334"/>
      <c r="EQ629" s="334"/>
      <c r="ER629" s="334"/>
      <c r="ES629" s="334"/>
      <c r="ET629" s="334"/>
      <c r="EU629" s="334"/>
      <c r="EV629" s="334"/>
    </row>
    <row r="630" spans="35:152" ht="13">
      <c r="AI630" s="115" t="s">
        <v>1416</v>
      </c>
      <c r="AJ630" t="s">
        <v>2114</v>
      </c>
      <c r="AK630" s="115">
        <v>0</v>
      </c>
      <c r="AL630" s="115" t="s">
        <v>28</v>
      </c>
      <c r="AM630" s="115" t="s">
        <v>1850</v>
      </c>
      <c r="AN630" s="115" t="s">
        <v>1453</v>
      </c>
      <c r="AO630" s="115" t="s">
        <v>381</v>
      </c>
      <c r="AT630" s="115" t="s">
        <v>1415</v>
      </c>
      <c r="AU630" s="115" t="s">
        <v>2114</v>
      </c>
      <c r="AV630" s="115">
        <v>16</v>
      </c>
      <c r="AW630" s="115" t="s">
        <v>499</v>
      </c>
      <c r="AX630" s="115" t="s">
        <v>28</v>
      </c>
      <c r="AY630" s="115" t="s">
        <v>1848</v>
      </c>
      <c r="AZ630" s="115" t="s">
        <v>1889</v>
      </c>
      <c r="BA630" s="115"/>
      <c r="BB630" s="115"/>
      <c r="BC630" s="115">
        <v>2289.6375882187504</v>
      </c>
      <c r="BD630" s="115"/>
      <c r="BE630" s="115"/>
      <c r="BF630" s="115"/>
      <c r="BG630" s="115"/>
      <c r="BH630" s="115">
        <v>545.24227840476806</v>
      </c>
      <c r="BI630" s="115"/>
      <c r="BJ630" s="115"/>
      <c r="BK630" s="115"/>
      <c r="BL630" s="115"/>
      <c r="BM630" s="115"/>
      <c r="BN630" s="115"/>
      <c r="BO630" s="115"/>
      <c r="BP630" s="115"/>
      <c r="DR630" s="214"/>
      <c r="DY630" s="115"/>
      <c r="DZ630" s="334"/>
      <c r="EA630" s="334"/>
      <c r="EB630" s="334"/>
      <c r="EC630" s="334"/>
      <c r="ED630" s="187"/>
      <c r="EE630" s="330"/>
      <c r="EH630" s="334"/>
      <c r="EI630" s="334"/>
      <c r="EM630"/>
      <c r="EO630" s="115"/>
      <c r="EP630" s="334"/>
      <c r="EQ630" s="334"/>
      <c r="ER630" s="334"/>
      <c r="ES630" s="334"/>
      <c r="ET630" s="334"/>
      <c r="EU630" s="334"/>
      <c r="EV630" s="334"/>
    </row>
    <row r="631" spans="35:152" ht="13">
      <c r="AI631" s="115" t="s">
        <v>1416</v>
      </c>
      <c r="AJ631" t="s">
        <v>2114</v>
      </c>
      <c r="AK631" s="115">
        <v>0</v>
      </c>
      <c r="AL631" s="115" t="s">
        <v>28</v>
      </c>
      <c r="AM631" s="115" t="s">
        <v>1849</v>
      </c>
      <c r="AN631" s="115" t="s">
        <v>1453</v>
      </c>
      <c r="AO631" s="115" t="s">
        <v>381</v>
      </c>
      <c r="AT631" s="115" t="s">
        <v>1415</v>
      </c>
      <c r="AU631" s="115" t="s">
        <v>2114</v>
      </c>
      <c r="AV631" s="115">
        <v>16</v>
      </c>
      <c r="AW631" s="115" t="s">
        <v>499</v>
      </c>
      <c r="AX631" s="115" t="s">
        <v>28</v>
      </c>
      <c r="AY631" s="115" t="s">
        <v>1843</v>
      </c>
      <c r="AZ631" s="115" t="s">
        <v>1889</v>
      </c>
      <c r="BA631" s="115"/>
      <c r="BB631" s="115"/>
      <c r="BC631" s="115">
        <v>2654.0379381443299</v>
      </c>
      <c r="BD631" s="115"/>
      <c r="BE631" s="115"/>
      <c r="BF631" s="115"/>
      <c r="BG631" s="115"/>
      <c r="BH631" s="115">
        <v>7573.1093154639175</v>
      </c>
      <c r="BI631" s="115"/>
      <c r="BJ631" s="115"/>
      <c r="BK631" s="115"/>
      <c r="BL631" s="115"/>
      <c r="BM631" s="115">
        <v>2427.8914999999997</v>
      </c>
      <c r="BN631" s="115"/>
      <c r="BO631" s="115"/>
      <c r="BP631" s="115"/>
      <c r="DR631" s="214"/>
      <c r="DY631" s="115"/>
      <c r="DZ631" s="334"/>
      <c r="EA631" s="334"/>
      <c r="EB631" s="334"/>
      <c r="EC631" s="334"/>
      <c r="ED631" s="187"/>
      <c r="EE631" s="330"/>
      <c r="EH631" s="334"/>
      <c r="EI631" s="334"/>
      <c r="EM631"/>
      <c r="EO631" s="115"/>
      <c r="EP631" s="334"/>
      <c r="EQ631" s="334"/>
      <c r="ER631" s="334"/>
      <c r="ES631" s="334"/>
      <c r="ET631" s="334"/>
      <c r="EU631" s="334"/>
      <c r="EV631" s="334"/>
    </row>
    <row r="632" spans="35:152" ht="13">
      <c r="AI632" s="115" t="s">
        <v>1416</v>
      </c>
      <c r="AJ632" t="s">
        <v>2114</v>
      </c>
      <c r="AK632" s="115">
        <v>0</v>
      </c>
      <c r="AL632" s="115" t="s">
        <v>28</v>
      </c>
      <c r="AM632" s="115" t="s">
        <v>1843</v>
      </c>
      <c r="AN632" s="115" t="s">
        <v>1453</v>
      </c>
      <c r="AO632" s="115" t="s">
        <v>381</v>
      </c>
      <c r="AT632" s="115" t="s">
        <v>1415</v>
      </c>
      <c r="AU632" s="115" t="s">
        <v>2114</v>
      </c>
      <c r="AV632" s="115">
        <v>16</v>
      </c>
      <c r="AW632" s="115" t="s">
        <v>499</v>
      </c>
      <c r="AX632" s="115" t="s">
        <v>28</v>
      </c>
      <c r="AY632" s="115" t="s">
        <v>1849</v>
      </c>
      <c r="AZ632" s="115" t="s">
        <v>1889</v>
      </c>
      <c r="BA632" s="115"/>
      <c r="BB632" s="115"/>
      <c r="BC632" s="115">
        <v>17.1871875</v>
      </c>
      <c r="BD632" s="115"/>
      <c r="BE632" s="115"/>
      <c r="BF632" s="115"/>
      <c r="BG632" s="115"/>
      <c r="BH632" s="115">
        <v>112.72685832000003</v>
      </c>
      <c r="BI632" s="115"/>
      <c r="BJ632" s="115"/>
      <c r="BK632" s="115"/>
      <c r="BL632" s="115"/>
      <c r="BM632" s="115"/>
      <c r="BN632" s="115"/>
      <c r="BO632" s="115"/>
      <c r="BP632" s="115"/>
      <c r="DR632" s="214"/>
      <c r="DY632" s="115"/>
      <c r="DZ632" s="334"/>
      <c r="EA632" s="334"/>
      <c r="EB632" s="334"/>
      <c r="EC632" s="334"/>
      <c r="ED632" s="187"/>
      <c r="EE632" s="330"/>
      <c r="EH632" s="334"/>
      <c r="EI632" s="334"/>
      <c r="EM632"/>
      <c r="EO632" s="115"/>
      <c r="EP632" s="334"/>
      <c r="EQ632" s="334"/>
      <c r="ER632" s="334"/>
      <c r="ES632" s="334"/>
      <c r="ET632" s="334"/>
      <c r="EU632" s="334"/>
      <c r="EV632" s="334"/>
    </row>
    <row r="633" spans="35:152" ht="13">
      <c r="AI633" s="115" t="s">
        <v>1416</v>
      </c>
      <c r="AJ633" t="s">
        <v>2114</v>
      </c>
      <c r="AK633" s="115">
        <v>0</v>
      </c>
      <c r="AL633" s="115" t="s">
        <v>28</v>
      </c>
      <c r="AM633" s="115" t="s">
        <v>1832</v>
      </c>
      <c r="AN633" s="115" t="s">
        <v>1453</v>
      </c>
      <c r="AO633" s="115" t="s">
        <v>381</v>
      </c>
      <c r="AT633" s="115" t="s">
        <v>1415</v>
      </c>
      <c r="AU633" s="115" t="s">
        <v>2114</v>
      </c>
      <c r="AV633" s="115">
        <v>16</v>
      </c>
      <c r="AW633" s="115" t="s">
        <v>499</v>
      </c>
      <c r="AX633" s="115" t="s">
        <v>28</v>
      </c>
      <c r="AY633" s="115" t="s">
        <v>1850</v>
      </c>
      <c r="AZ633" s="115" t="s">
        <v>1889</v>
      </c>
      <c r="BA633" s="115"/>
      <c r="BB633" s="115"/>
      <c r="BC633" s="115">
        <v>51.561562500000001</v>
      </c>
      <c r="BD633" s="115"/>
      <c r="BE633" s="115"/>
      <c r="BF633" s="115"/>
      <c r="BG633" s="115"/>
      <c r="BH633" s="115">
        <v>12.525206480000003</v>
      </c>
      <c r="BI633" s="115"/>
      <c r="BJ633" s="115"/>
      <c r="BK633" s="115"/>
      <c r="BL633" s="115"/>
      <c r="BM633" s="115"/>
      <c r="BN633" s="115"/>
      <c r="BO633" s="115"/>
      <c r="BP633" s="115"/>
      <c r="DR633" s="214"/>
      <c r="DY633" s="115"/>
      <c r="DZ633" s="334"/>
      <c r="EA633" s="334"/>
      <c r="EB633" s="334"/>
      <c r="EC633" s="334"/>
      <c r="ED633" s="187"/>
      <c r="EE633" s="330"/>
      <c r="EH633" s="334"/>
      <c r="EI633" s="334"/>
      <c r="EM633"/>
      <c r="EO633" s="115"/>
      <c r="EP633" s="334"/>
      <c r="EQ633" s="334"/>
      <c r="ER633" s="334"/>
      <c r="ES633" s="334"/>
      <c r="ET633" s="334"/>
      <c r="EU633" s="334"/>
      <c r="EV633" s="334"/>
    </row>
    <row r="634" spans="35:152" ht="13">
      <c r="AI634" s="115" t="s">
        <v>1416</v>
      </c>
      <c r="AJ634" t="s">
        <v>2114</v>
      </c>
      <c r="AK634" s="115">
        <v>0</v>
      </c>
      <c r="AL634" s="115" t="s">
        <v>28</v>
      </c>
      <c r="AM634" s="115" t="s">
        <v>1846</v>
      </c>
      <c r="AN634" s="115" t="s">
        <v>1453</v>
      </c>
      <c r="AO634" s="115" t="s">
        <v>381</v>
      </c>
      <c r="AT634" s="115" t="s">
        <v>1415</v>
      </c>
      <c r="AU634" s="115" t="s">
        <v>2114</v>
      </c>
      <c r="AV634" s="115">
        <v>16</v>
      </c>
      <c r="AW634" s="115" t="s">
        <v>499</v>
      </c>
      <c r="AX634" s="115" t="s">
        <v>28</v>
      </c>
      <c r="AY634" s="115" t="s">
        <v>1832</v>
      </c>
      <c r="AZ634" s="115" t="s">
        <v>1889</v>
      </c>
      <c r="BA634" s="115"/>
      <c r="BB634" s="115"/>
      <c r="BC634" s="115">
        <v>70.875</v>
      </c>
      <c r="BD634" s="115"/>
      <c r="BE634" s="115"/>
      <c r="BF634" s="115"/>
      <c r="BG634" s="115"/>
      <c r="BH634" s="115">
        <v>129.12584000000004</v>
      </c>
      <c r="BI634" s="115"/>
      <c r="BJ634" s="115"/>
      <c r="BK634" s="115"/>
      <c r="BL634" s="115"/>
      <c r="BM634" s="115"/>
      <c r="BN634" s="115"/>
      <c r="BO634" s="115"/>
      <c r="BP634" s="115"/>
      <c r="DR634" s="214"/>
      <c r="DY634" s="115"/>
      <c r="DZ634" s="334"/>
      <c r="EA634" s="334"/>
      <c r="EB634" s="334"/>
      <c r="EC634" s="334"/>
      <c r="ED634" s="187"/>
      <c r="EE634" s="330"/>
      <c r="EH634" s="334"/>
      <c r="EI634" s="334"/>
      <c r="EM634"/>
      <c r="EO634" s="115"/>
      <c r="EP634" s="334"/>
      <c r="EQ634" s="334"/>
      <c r="ER634" s="334"/>
      <c r="ES634" s="334"/>
      <c r="ET634" s="334"/>
      <c r="EU634" s="334"/>
      <c r="EV634" s="334"/>
    </row>
    <row r="635" spans="35:152" ht="13">
      <c r="AI635" s="115" t="s">
        <v>1416</v>
      </c>
      <c r="AJ635" t="s">
        <v>2114</v>
      </c>
      <c r="AK635" s="115">
        <v>0</v>
      </c>
      <c r="AL635" s="115" t="s">
        <v>28</v>
      </c>
      <c r="AM635" s="115" t="s">
        <v>1849</v>
      </c>
      <c r="AN635" s="115" t="s">
        <v>1453</v>
      </c>
      <c r="AO635" s="115" t="s">
        <v>379</v>
      </c>
      <c r="AT635" s="115" t="s">
        <v>1415</v>
      </c>
      <c r="AU635" s="115" t="s">
        <v>2114</v>
      </c>
      <c r="AV635" s="115">
        <v>16</v>
      </c>
      <c r="AW635" s="115" t="s">
        <v>499</v>
      </c>
      <c r="AX635" s="115" t="s">
        <v>28</v>
      </c>
      <c r="AY635" s="115" t="s">
        <v>1846</v>
      </c>
      <c r="AZ635" s="115" t="s">
        <v>1891</v>
      </c>
      <c r="BA635" s="115"/>
      <c r="BB635" s="115"/>
      <c r="BC635" s="115">
        <v>128.05113681249998</v>
      </c>
      <c r="BD635" s="115"/>
      <c r="BE635" s="115"/>
      <c r="BF635" s="115"/>
      <c r="BG635" s="115"/>
      <c r="BH635" s="115">
        <v>4816.9558757264003</v>
      </c>
      <c r="BI635" s="115"/>
      <c r="BJ635" s="115"/>
      <c r="BK635" s="115"/>
      <c r="BL635" s="115"/>
      <c r="BM635" s="115">
        <v>696</v>
      </c>
      <c r="BN635" s="115">
        <v>1642.24</v>
      </c>
      <c r="BO635" s="115">
        <v>2016.68</v>
      </c>
      <c r="BP635" s="115"/>
      <c r="DR635" s="214"/>
      <c r="DY635" s="115"/>
      <c r="DZ635" s="334"/>
      <c r="EA635" s="334"/>
      <c r="EB635" s="334"/>
      <c r="EC635" s="334"/>
      <c r="ED635" s="187"/>
      <c r="EE635" s="330"/>
      <c r="EH635" s="334"/>
      <c r="EI635" s="334"/>
      <c r="EM635"/>
      <c r="EO635" s="115"/>
      <c r="EP635" s="334"/>
      <c r="EQ635" s="334"/>
      <c r="ER635" s="334"/>
      <c r="ES635" s="334"/>
      <c r="ET635" s="334"/>
      <c r="EU635" s="334"/>
      <c r="EV635" s="334"/>
    </row>
    <row r="636" spans="35:152" ht="13">
      <c r="AI636" s="115" t="s">
        <v>1416</v>
      </c>
      <c r="AJ636" t="s">
        <v>2114</v>
      </c>
      <c r="AK636" s="115">
        <v>0</v>
      </c>
      <c r="AL636" s="115" t="s">
        <v>28</v>
      </c>
      <c r="AM636" s="115" t="s">
        <v>1848</v>
      </c>
      <c r="AN636" s="115" t="s">
        <v>1453</v>
      </c>
      <c r="AO636" s="115" t="s">
        <v>379</v>
      </c>
      <c r="AT636" s="115" t="s">
        <v>1415</v>
      </c>
      <c r="AU636" s="115" t="s">
        <v>2114</v>
      </c>
      <c r="AV636" s="115">
        <v>16</v>
      </c>
      <c r="AW636" s="115" t="s">
        <v>499</v>
      </c>
      <c r="AX636" s="115" t="s">
        <v>28</v>
      </c>
      <c r="AY636" s="115" t="s">
        <v>1848</v>
      </c>
      <c r="AZ636" s="115" t="s">
        <v>1891</v>
      </c>
      <c r="BA636" s="115"/>
      <c r="BB636" s="115"/>
      <c r="BC636" s="115">
        <v>755.13620634375002</v>
      </c>
      <c r="BD636" s="115"/>
      <c r="BE636" s="115"/>
      <c r="BF636" s="115">
        <v>360.67160799999999</v>
      </c>
      <c r="BG636" s="115"/>
      <c r="BH636" s="115">
        <v>259.96307105104</v>
      </c>
      <c r="BI636" s="115"/>
      <c r="BJ636" s="115"/>
      <c r="BK636" s="115"/>
      <c r="BL636" s="115"/>
      <c r="BM636" s="115"/>
      <c r="BN636" s="115"/>
      <c r="BO636" s="115"/>
      <c r="BP636" s="115"/>
      <c r="DR636" s="214"/>
      <c r="DY636" s="115"/>
      <c r="DZ636" s="334"/>
      <c r="EA636" s="334"/>
      <c r="EB636" s="334"/>
      <c r="EC636" s="334"/>
      <c r="ED636" s="187"/>
      <c r="EE636" s="330"/>
      <c r="EH636" s="334"/>
      <c r="EI636" s="334"/>
      <c r="EM636"/>
      <c r="EO636" s="115"/>
      <c r="EP636" s="334"/>
      <c r="EQ636" s="334"/>
      <c r="ER636" s="334"/>
      <c r="ES636" s="334"/>
      <c r="ET636" s="334"/>
      <c r="EU636" s="334"/>
      <c r="EV636" s="334"/>
    </row>
    <row r="637" spans="35:152" ht="13">
      <c r="AI637" s="115" t="s">
        <v>1416</v>
      </c>
      <c r="AJ637" t="s">
        <v>2114</v>
      </c>
      <c r="AK637" s="115">
        <v>0</v>
      </c>
      <c r="AL637" s="115" t="s">
        <v>28</v>
      </c>
      <c r="AM637" s="115" t="s">
        <v>1843</v>
      </c>
      <c r="AN637" s="115" t="s">
        <v>1453</v>
      </c>
      <c r="AO637" s="115" t="s">
        <v>379</v>
      </c>
      <c r="AT637" s="115" t="s">
        <v>1415</v>
      </c>
      <c r="AU637" s="115" t="s">
        <v>2114</v>
      </c>
      <c r="AV637" s="115">
        <v>16</v>
      </c>
      <c r="AW637" s="115" t="s">
        <v>499</v>
      </c>
      <c r="AX637" s="115" t="s">
        <v>28</v>
      </c>
      <c r="AY637" s="115" t="s">
        <v>1843</v>
      </c>
      <c r="AZ637" s="115" t="s">
        <v>1891</v>
      </c>
      <c r="BA637" s="115"/>
      <c r="BB637" s="115"/>
      <c r="BC637" s="115">
        <v>875.31762886597937</v>
      </c>
      <c r="BD637" s="115"/>
      <c r="BE637" s="115"/>
      <c r="BF637" s="115">
        <v>357.89216494845363</v>
      </c>
      <c r="BG637" s="115"/>
      <c r="BH637" s="115">
        <v>4865.9649721649475</v>
      </c>
      <c r="BI637" s="115"/>
      <c r="BJ637" s="115"/>
      <c r="BK637" s="115"/>
      <c r="BL637" s="115"/>
      <c r="BM637" s="115">
        <v>696</v>
      </c>
      <c r="BN637" s="115">
        <v>1642.24</v>
      </c>
      <c r="BO637" s="115">
        <v>2016.68</v>
      </c>
      <c r="BP637" s="115"/>
      <c r="DR637" s="214"/>
      <c r="DY637" s="115"/>
      <c r="DZ637" s="334"/>
      <c r="EA637" s="334"/>
      <c r="EB637" s="334"/>
      <c r="EC637" s="334"/>
      <c r="ED637" s="187"/>
      <c r="EE637" s="330"/>
      <c r="EH637" s="334"/>
      <c r="EI637" s="334"/>
      <c r="EM637"/>
      <c r="EO637" s="115"/>
      <c r="EP637" s="334"/>
      <c r="EQ637" s="334"/>
      <c r="ER637" s="334"/>
      <c r="ES637" s="334"/>
      <c r="ET637" s="334"/>
      <c r="EU637" s="334"/>
      <c r="EV637" s="334"/>
    </row>
    <row r="638" spans="35:152" ht="13">
      <c r="AI638" s="115" t="s">
        <v>1416</v>
      </c>
      <c r="AJ638" t="s">
        <v>2114</v>
      </c>
      <c r="AK638" s="115">
        <v>0</v>
      </c>
      <c r="AL638" s="115" t="s">
        <v>28</v>
      </c>
      <c r="AM638" s="115" t="s">
        <v>1832</v>
      </c>
      <c r="AN638" s="115" t="s">
        <v>1453</v>
      </c>
      <c r="AO638" s="115" t="s">
        <v>379</v>
      </c>
      <c r="AT638" s="115" t="s">
        <v>1415</v>
      </c>
      <c r="AU638" s="115" t="s">
        <v>2114</v>
      </c>
      <c r="AV638" s="115">
        <v>16</v>
      </c>
      <c r="AW638" s="115" t="s">
        <v>499</v>
      </c>
      <c r="AX638" s="115" t="s">
        <v>28</v>
      </c>
      <c r="AY638" s="115" t="s">
        <v>1849</v>
      </c>
      <c r="AZ638" s="115" t="s">
        <v>1891</v>
      </c>
      <c r="BA638" s="115"/>
      <c r="BB638" s="115"/>
      <c r="BC638" s="115">
        <v>5.6684374999999996</v>
      </c>
      <c r="BD638" s="115"/>
      <c r="BE638" s="115"/>
      <c r="BF638" s="115"/>
      <c r="BG638" s="115"/>
      <c r="BH638" s="115">
        <v>53.746419600000003</v>
      </c>
      <c r="BI638" s="115"/>
      <c r="BJ638" s="115"/>
      <c r="BK638" s="115"/>
      <c r="BL638" s="115"/>
      <c r="BM638" s="115"/>
      <c r="BN638" s="115"/>
      <c r="BO638" s="115"/>
      <c r="BP638" s="115"/>
      <c r="DR638" s="214"/>
      <c r="DY638" s="115"/>
      <c r="DZ638" s="334"/>
      <c r="EA638" s="334"/>
      <c r="EB638" s="334"/>
      <c r="EC638" s="334"/>
      <c r="ED638" s="187"/>
      <c r="EE638" s="330"/>
      <c r="EH638" s="334"/>
      <c r="EI638" s="334"/>
      <c r="EM638"/>
      <c r="EO638" s="115"/>
      <c r="EP638" s="334"/>
      <c r="EQ638" s="334"/>
      <c r="ER638" s="334"/>
      <c r="ES638" s="334"/>
      <c r="ET638" s="334"/>
      <c r="EU638" s="334"/>
      <c r="EV638" s="334"/>
    </row>
    <row r="639" spans="35:152" ht="13">
      <c r="AI639" s="115" t="s">
        <v>1416</v>
      </c>
      <c r="AJ639" t="s">
        <v>2114</v>
      </c>
      <c r="AK639" s="115">
        <v>0</v>
      </c>
      <c r="AL639" s="115" t="s">
        <v>28</v>
      </c>
      <c r="AM639" s="115" t="s">
        <v>1846</v>
      </c>
      <c r="AN639" s="115" t="s">
        <v>1453</v>
      </c>
      <c r="AO639" s="115" t="s">
        <v>379</v>
      </c>
      <c r="AT639" s="115" t="s">
        <v>1415</v>
      </c>
      <c r="AU639" s="115" t="s">
        <v>2114</v>
      </c>
      <c r="AV639" s="115">
        <v>16</v>
      </c>
      <c r="AW639" s="115" t="s">
        <v>499</v>
      </c>
      <c r="AX639" s="115" t="s">
        <v>28</v>
      </c>
      <c r="AY639" s="115" t="s">
        <v>1850</v>
      </c>
      <c r="AZ639" s="115" t="s">
        <v>1891</v>
      </c>
      <c r="BA639" s="115"/>
      <c r="BB639" s="115"/>
      <c r="BC639" s="115">
        <v>17.005312499999999</v>
      </c>
      <c r="BD639" s="115"/>
      <c r="BE639" s="115"/>
      <c r="BF639" s="115">
        <v>7.76</v>
      </c>
      <c r="BG639" s="115"/>
      <c r="BH639" s="115">
        <v>5.9718244</v>
      </c>
      <c r="BI639" s="115"/>
      <c r="BJ639" s="115"/>
      <c r="BK639" s="115"/>
      <c r="BL639" s="115"/>
      <c r="BM639" s="115"/>
      <c r="BN639" s="115"/>
      <c r="BO639" s="115"/>
      <c r="BP639" s="115"/>
      <c r="DR639" s="214"/>
      <c r="DY639" s="115"/>
      <c r="DZ639" s="334"/>
      <c r="EA639" s="334"/>
      <c r="EB639" s="334"/>
      <c r="EC639" s="334"/>
      <c r="ED639" s="187"/>
      <c r="EE639" s="330"/>
      <c r="EH639" s="334"/>
      <c r="EI639" s="334"/>
      <c r="EM639"/>
      <c r="EO639" s="115"/>
      <c r="EP639" s="334"/>
      <c r="EQ639" s="334"/>
      <c r="ER639" s="334"/>
      <c r="ES639" s="334"/>
      <c r="ET639" s="334"/>
      <c r="EU639" s="334"/>
      <c r="EV639" s="334"/>
    </row>
    <row r="640" spans="35:152" ht="13">
      <c r="AI640" s="115" t="s">
        <v>1416</v>
      </c>
      <c r="AJ640" t="s">
        <v>2114</v>
      </c>
      <c r="AK640" s="115">
        <v>0</v>
      </c>
      <c r="AL640" s="115" t="s">
        <v>28</v>
      </c>
      <c r="AM640" s="115" t="s">
        <v>1850</v>
      </c>
      <c r="AN640" s="115" t="s">
        <v>1453</v>
      </c>
      <c r="AO640" s="115" t="s">
        <v>379</v>
      </c>
      <c r="AT640" s="115" t="s">
        <v>1415</v>
      </c>
      <c r="AU640" s="115" t="s">
        <v>2114</v>
      </c>
      <c r="AV640" s="115">
        <v>16</v>
      </c>
      <c r="AW640" s="115" t="s">
        <v>499</v>
      </c>
      <c r="AX640" s="115" t="s">
        <v>28</v>
      </c>
      <c r="AY640" s="115" t="s">
        <v>1832</v>
      </c>
      <c r="AZ640" s="115" t="s">
        <v>1891</v>
      </c>
      <c r="BA640" s="115"/>
      <c r="BB640" s="115"/>
      <c r="BC640" s="115">
        <v>23.375</v>
      </c>
      <c r="BD640" s="115"/>
      <c r="BE640" s="115"/>
      <c r="BF640" s="115">
        <v>8</v>
      </c>
      <c r="BG640" s="115"/>
      <c r="BH640" s="115">
        <v>61.565199999999997</v>
      </c>
      <c r="BI640" s="115"/>
      <c r="BJ640" s="115"/>
      <c r="BK640" s="115"/>
      <c r="BL640" s="115"/>
      <c r="BM640" s="115"/>
      <c r="BN640" s="115"/>
      <c r="BO640" s="115"/>
      <c r="BP640" s="115"/>
      <c r="DR640" s="214"/>
      <c r="DY640" s="115"/>
      <c r="DZ640" s="334"/>
      <c r="EA640" s="334"/>
      <c r="EB640" s="334"/>
      <c r="EC640" s="334"/>
      <c r="ED640" s="187"/>
      <c r="EE640" s="330"/>
      <c r="EH640" s="334"/>
      <c r="EI640" s="334"/>
      <c r="EM640"/>
      <c r="EO640" s="115"/>
      <c r="EP640" s="334"/>
      <c r="EQ640" s="334"/>
      <c r="ER640" s="334"/>
      <c r="ES640" s="334"/>
      <c r="ET640" s="334"/>
      <c r="EU640" s="334"/>
      <c r="EV640" s="334"/>
    </row>
    <row r="641" spans="35:152" ht="13">
      <c r="AI641" s="115" t="s">
        <v>1416</v>
      </c>
      <c r="AJ641" t="s">
        <v>2114</v>
      </c>
      <c r="AK641" s="115">
        <v>0</v>
      </c>
      <c r="AL641" s="115" t="s">
        <v>28</v>
      </c>
      <c r="AM641" s="115" t="s">
        <v>1850</v>
      </c>
      <c r="AN641" s="115" t="s">
        <v>1453</v>
      </c>
      <c r="AO641" s="115" t="s">
        <v>1645</v>
      </c>
      <c r="AT641" s="115" t="s">
        <v>1415</v>
      </c>
      <c r="AU641" s="115" t="s">
        <v>2114</v>
      </c>
      <c r="AV641" s="115">
        <v>16</v>
      </c>
      <c r="AW641" s="115" t="s">
        <v>494</v>
      </c>
      <c r="AX641" s="115" t="s">
        <v>28</v>
      </c>
      <c r="AY641" s="115" t="s">
        <v>1846</v>
      </c>
      <c r="AZ641" s="115" t="s">
        <v>1908</v>
      </c>
      <c r="BA641" s="115"/>
      <c r="BB641" s="115"/>
      <c r="BC641" s="115">
        <v>306.77491600000002</v>
      </c>
      <c r="BD641" s="115"/>
      <c r="BE641" s="115"/>
      <c r="BF641" s="115"/>
      <c r="BG641" s="115"/>
      <c r="BH641" s="115">
        <v>5680</v>
      </c>
      <c r="BI641" s="115">
        <v>206.34809999999999</v>
      </c>
      <c r="BJ641" s="115"/>
      <c r="BK641" s="115"/>
      <c r="BL641" s="115"/>
      <c r="BM641" s="115"/>
      <c r="BN641" s="115"/>
      <c r="BO641" s="115"/>
      <c r="BP641" s="115"/>
      <c r="DR641" s="214"/>
      <c r="DY641" s="115"/>
      <c r="DZ641" s="334"/>
      <c r="EA641" s="334"/>
      <c r="EB641" s="334"/>
      <c r="EC641" s="334"/>
      <c r="ED641" s="187"/>
      <c r="EE641" s="330"/>
      <c r="EH641" s="334"/>
      <c r="EI641" s="334"/>
      <c r="EM641"/>
      <c r="EO641" s="115"/>
      <c r="EP641" s="334"/>
      <c r="EQ641" s="334"/>
      <c r="ER641" s="334"/>
      <c r="ES641" s="334"/>
      <c r="ET641" s="334"/>
      <c r="EU641" s="334"/>
      <c r="EV641" s="334"/>
    </row>
    <row r="642" spans="35:152" ht="13">
      <c r="AI642" s="115" t="s">
        <v>1416</v>
      </c>
      <c r="AJ642" t="s">
        <v>2114</v>
      </c>
      <c r="AK642" s="115">
        <v>0</v>
      </c>
      <c r="AL642" s="115" t="s">
        <v>28</v>
      </c>
      <c r="AM642" s="115" t="s">
        <v>1849</v>
      </c>
      <c r="AN642" s="115" t="s">
        <v>1453</v>
      </c>
      <c r="AO642" s="115" t="s">
        <v>1645</v>
      </c>
      <c r="AT642" s="115" t="s">
        <v>1415</v>
      </c>
      <c r="AU642" s="115" t="s">
        <v>2114</v>
      </c>
      <c r="AV642" s="115">
        <v>16</v>
      </c>
      <c r="AW642" s="115" t="s">
        <v>494</v>
      </c>
      <c r="AX642" s="115" t="s">
        <v>28</v>
      </c>
      <c r="AY642" s="115" t="s">
        <v>1848</v>
      </c>
      <c r="AZ642" s="115" t="s">
        <v>1908</v>
      </c>
      <c r="BA642" s="115"/>
      <c r="BB642" s="115"/>
      <c r="BC642" s="115">
        <v>1809.0963660000002</v>
      </c>
      <c r="BD642" s="115"/>
      <c r="BE642" s="115"/>
      <c r="BF642" s="115"/>
      <c r="BG642" s="115"/>
      <c r="BH642" s="115"/>
      <c r="BI642" s="115">
        <v>92.999962499999981</v>
      </c>
      <c r="BJ642" s="115"/>
      <c r="BK642" s="115"/>
      <c r="BL642" s="115"/>
      <c r="BM642" s="115"/>
      <c r="BN642" s="115"/>
      <c r="BO642" s="115"/>
      <c r="BP642" s="115"/>
      <c r="DR642" s="214"/>
      <c r="DY642" s="115"/>
      <c r="DZ642" s="334"/>
      <c r="EA642" s="334"/>
      <c r="EB642" s="334"/>
      <c r="EC642" s="334"/>
      <c r="ED642" s="187"/>
      <c r="EE642" s="330"/>
      <c r="EH642" s="334"/>
      <c r="EI642" s="334"/>
      <c r="EM642"/>
      <c r="EO642" s="115"/>
      <c r="EP642" s="334"/>
      <c r="EQ642" s="334"/>
      <c r="ER642" s="334"/>
      <c r="ES642" s="334"/>
      <c r="ET642" s="334"/>
      <c r="EU642" s="334"/>
      <c r="EV642" s="334"/>
    </row>
    <row r="643" spans="35:152" ht="13">
      <c r="AI643" s="115" t="s">
        <v>1416</v>
      </c>
      <c r="AJ643" t="s">
        <v>2114</v>
      </c>
      <c r="AK643" s="115">
        <v>0</v>
      </c>
      <c r="AL643" s="115" t="s">
        <v>28</v>
      </c>
      <c r="AM643" s="115" t="s">
        <v>1832</v>
      </c>
      <c r="AN643" s="115" t="s">
        <v>1453</v>
      </c>
      <c r="AO643" s="115" t="s">
        <v>1645</v>
      </c>
      <c r="AT643" s="115" t="s">
        <v>1415</v>
      </c>
      <c r="AU643" s="115" t="s">
        <v>2114</v>
      </c>
      <c r="AV643" s="115">
        <v>16</v>
      </c>
      <c r="AW643" s="115" t="s">
        <v>494</v>
      </c>
      <c r="AX643" s="115" t="s">
        <v>28</v>
      </c>
      <c r="AY643" s="115" t="s">
        <v>1843</v>
      </c>
      <c r="AZ643" s="115" t="s">
        <v>1908</v>
      </c>
      <c r="BA643" s="115"/>
      <c r="BB643" s="115"/>
      <c r="BC643" s="115">
        <v>2097.0176288659795</v>
      </c>
      <c r="BD643" s="115"/>
      <c r="BE643" s="115"/>
      <c r="BF643" s="115"/>
      <c r="BG643" s="115"/>
      <c r="BH643" s="115">
        <v>5680</v>
      </c>
      <c r="BI643" s="115">
        <v>309.11639175257733</v>
      </c>
      <c r="BJ643" s="115"/>
      <c r="BK643" s="115"/>
      <c r="BL643" s="115"/>
      <c r="BM643" s="115"/>
      <c r="BN643" s="115"/>
      <c r="BO643" s="115"/>
      <c r="BP643" s="115"/>
      <c r="DR643" s="214"/>
      <c r="DY643" s="115"/>
      <c r="DZ643" s="334"/>
      <c r="EA643" s="334"/>
      <c r="EB643" s="334"/>
      <c r="EC643" s="334"/>
      <c r="ED643" s="187"/>
      <c r="EE643" s="330"/>
      <c r="EH643" s="334"/>
      <c r="EI643" s="334"/>
      <c r="EM643"/>
      <c r="EO643" s="115"/>
      <c r="EP643" s="334"/>
      <c r="EQ643" s="334"/>
      <c r="ER643" s="334"/>
      <c r="ES643" s="334"/>
      <c r="ET643" s="334"/>
      <c r="EU643" s="334"/>
      <c r="EV643" s="334"/>
    </row>
    <row r="644" spans="35:152" ht="13">
      <c r="AI644" s="115" t="s">
        <v>1416</v>
      </c>
      <c r="AJ644" t="s">
        <v>2114</v>
      </c>
      <c r="AK644" s="115">
        <v>0</v>
      </c>
      <c r="AL644" s="115" t="s">
        <v>28</v>
      </c>
      <c r="AM644" s="115" t="s">
        <v>1843</v>
      </c>
      <c r="AN644" s="115" t="s">
        <v>1453</v>
      </c>
      <c r="AO644" s="115" t="s">
        <v>1645</v>
      </c>
      <c r="AT644" s="115" t="s">
        <v>1415</v>
      </c>
      <c r="AU644" s="115" t="s">
        <v>2114</v>
      </c>
      <c r="AV644" s="115">
        <v>16</v>
      </c>
      <c r="AW644" s="115" t="s">
        <v>494</v>
      </c>
      <c r="AX644" s="115" t="s">
        <v>28</v>
      </c>
      <c r="AY644" s="115" t="s">
        <v>1849</v>
      </c>
      <c r="AZ644" s="115" t="s">
        <v>1908</v>
      </c>
      <c r="BA644" s="115"/>
      <c r="BB644" s="115"/>
      <c r="BC644" s="115">
        <v>13.58</v>
      </c>
      <c r="BD644" s="115"/>
      <c r="BE644" s="115"/>
      <c r="BF644" s="115"/>
      <c r="BG644" s="115"/>
      <c r="BH644" s="115"/>
      <c r="BI644" s="115">
        <v>7.2749999999999995</v>
      </c>
      <c r="BJ644" s="115"/>
      <c r="BK644" s="115"/>
      <c r="BL644" s="115"/>
      <c r="BM644" s="115"/>
      <c r="BN644" s="115"/>
      <c r="BO644" s="115"/>
      <c r="BP644" s="115"/>
      <c r="DR644" s="214"/>
      <c r="DY644" s="115"/>
      <c r="DZ644" s="334"/>
      <c r="EA644" s="334"/>
      <c r="EB644" s="334"/>
      <c r="EC644" s="334"/>
      <c r="ED644" s="187"/>
      <c r="EE644" s="330"/>
      <c r="EH644" s="334"/>
      <c r="EI644" s="334"/>
      <c r="EM644"/>
      <c r="EO644" s="115"/>
      <c r="EP644" s="334"/>
      <c r="EQ644" s="334"/>
      <c r="ER644" s="334"/>
      <c r="ES644" s="334"/>
      <c r="ET644" s="334"/>
      <c r="EU644" s="334"/>
      <c r="EV644" s="334"/>
    </row>
    <row r="645" spans="35:152" ht="13">
      <c r="AI645" s="115" t="s">
        <v>1416</v>
      </c>
      <c r="AJ645" t="s">
        <v>2114</v>
      </c>
      <c r="AK645" s="115">
        <v>0</v>
      </c>
      <c r="AL645" s="115" t="s">
        <v>28</v>
      </c>
      <c r="AM645" s="115" t="s">
        <v>1848</v>
      </c>
      <c r="AN645" s="115" t="s">
        <v>1453</v>
      </c>
      <c r="AO645" s="115" t="s">
        <v>1645</v>
      </c>
      <c r="AT645" s="115" t="s">
        <v>1415</v>
      </c>
      <c r="AU645" s="115" t="s">
        <v>2114</v>
      </c>
      <c r="AV645" s="115">
        <v>16</v>
      </c>
      <c r="AW645" s="115" t="s">
        <v>494</v>
      </c>
      <c r="AX645" s="115" t="s">
        <v>28</v>
      </c>
      <c r="AY645" s="115" t="s">
        <v>1850</v>
      </c>
      <c r="AZ645" s="115" t="s">
        <v>1908</v>
      </c>
      <c r="BA645" s="115"/>
      <c r="BB645" s="115"/>
      <c r="BC645" s="115">
        <v>40.74</v>
      </c>
      <c r="BD645" s="115"/>
      <c r="BE645" s="115"/>
      <c r="BF645" s="115"/>
      <c r="BG645" s="115"/>
      <c r="BH645" s="115"/>
      <c r="BI645" s="115">
        <v>2.4249999999999998</v>
      </c>
      <c r="BJ645" s="115"/>
      <c r="BK645" s="115"/>
      <c r="BL645" s="115"/>
      <c r="BM645" s="115"/>
      <c r="BN645" s="115"/>
      <c r="BO645" s="115"/>
      <c r="BP645" s="115"/>
      <c r="DR645" s="214"/>
      <c r="DY645" s="115"/>
      <c r="DZ645" s="334"/>
      <c r="EA645" s="334"/>
      <c r="EB645" s="334"/>
      <c r="EC645" s="334"/>
      <c r="ED645" s="187"/>
      <c r="EE645" s="330"/>
      <c r="EH645" s="334"/>
      <c r="EI645" s="334"/>
      <c r="EM645"/>
      <c r="EO645" s="115"/>
      <c r="EP645" s="334"/>
      <c r="EQ645" s="334"/>
      <c r="ER645" s="334"/>
      <c r="ES645" s="334"/>
      <c r="ET645" s="334"/>
      <c r="EU645" s="334"/>
      <c r="EV645" s="334"/>
    </row>
    <row r="646" spans="35:152" ht="13">
      <c r="AI646" s="115" t="s">
        <v>1416</v>
      </c>
      <c r="AJ646" t="s">
        <v>2114</v>
      </c>
      <c r="AK646" s="115">
        <v>0</v>
      </c>
      <c r="AL646" s="115" t="s">
        <v>28</v>
      </c>
      <c r="AM646" s="115" t="s">
        <v>1846</v>
      </c>
      <c r="AN646" s="115" t="s">
        <v>1453</v>
      </c>
      <c r="AO646" s="115" t="s">
        <v>1645</v>
      </c>
      <c r="AT646" s="115" t="s">
        <v>1415</v>
      </c>
      <c r="AU646" s="115" t="s">
        <v>2114</v>
      </c>
      <c r="AV646" s="115">
        <v>16</v>
      </c>
      <c r="AW646" s="115" t="s">
        <v>494</v>
      </c>
      <c r="AX646" s="115" t="s">
        <v>28</v>
      </c>
      <c r="AY646" s="115" t="s">
        <v>1832</v>
      </c>
      <c r="AZ646" s="115" t="s">
        <v>1908</v>
      </c>
      <c r="BA646" s="115"/>
      <c r="BB646" s="115"/>
      <c r="BC646" s="115">
        <v>56</v>
      </c>
      <c r="BD646" s="115"/>
      <c r="BE646" s="115"/>
      <c r="BF646" s="115"/>
      <c r="BG646" s="115"/>
      <c r="BH646" s="115"/>
      <c r="BI646" s="115">
        <v>10</v>
      </c>
      <c r="BJ646" s="115"/>
      <c r="BK646" s="115"/>
      <c r="BL646" s="115"/>
      <c r="BM646" s="115"/>
      <c r="BN646" s="115"/>
      <c r="BO646" s="115"/>
      <c r="BP646" s="115"/>
      <c r="DR646" s="214"/>
      <c r="DY646" s="115"/>
      <c r="DZ646" s="334"/>
      <c r="EA646" s="334"/>
      <c r="EB646" s="334"/>
      <c r="EC646" s="334"/>
      <c r="ED646" s="187"/>
      <c r="EE646" s="330"/>
      <c r="EH646" s="334"/>
      <c r="EI646" s="334"/>
      <c r="EM646"/>
      <c r="EO646" s="115"/>
      <c r="EP646" s="334"/>
      <c r="EQ646" s="334"/>
      <c r="ER646" s="334"/>
      <c r="ES646" s="334"/>
      <c r="ET646" s="334"/>
      <c r="EU646" s="334"/>
      <c r="EV646" s="334"/>
    </row>
    <row r="647" spans="35:152" ht="13">
      <c r="AI647" s="115" t="s">
        <v>1416</v>
      </c>
      <c r="AJ647" t="s">
        <v>2114</v>
      </c>
      <c r="AK647" s="115">
        <v>0</v>
      </c>
      <c r="AL647" s="115" t="s">
        <v>28</v>
      </c>
      <c r="AM647" s="115" t="s">
        <v>1843</v>
      </c>
      <c r="AN647" s="115" t="s">
        <v>1453</v>
      </c>
      <c r="AO647" s="115" t="s">
        <v>1646</v>
      </c>
      <c r="AT647" s="115" t="s">
        <v>1415</v>
      </c>
      <c r="AU647" s="115" t="s">
        <v>2114</v>
      </c>
      <c r="AV647" s="115">
        <v>16</v>
      </c>
      <c r="AW647" s="115" t="s">
        <v>494</v>
      </c>
      <c r="AX647" s="115" t="s">
        <v>28</v>
      </c>
      <c r="AY647" s="115" t="s">
        <v>1846</v>
      </c>
      <c r="AZ647" s="115" t="s">
        <v>1909</v>
      </c>
      <c r="BA647" s="115"/>
      <c r="BB647" s="115"/>
      <c r="BC647" s="115"/>
      <c r="BD647" s="115"/>
      <c r="BE647" s="115"/>
      <c r="BF647" s="115"/>
      <c r="BG647" s="115"/>
      <c r="BH647" s="115">
        <v>208.70292800000001</v>
      </c>
      <c r="BI647" s="115">
        <v>20.634810000000002</v>
      </c>
      <c r="BJ647" s="115"/>
      <c r="BK647" s="115"/>
      <c r="BL647" s="115"/>
      <c r="BM647" s="115"/>
      <c r="BN647" s="115"/>
      <c r="BO647" s="115"/>
      <c r="BP647" s="115"/>
      <c r="DR647" s="214"/>
      <c r="DY647" s="115"/>
      <c r="DZ647" s="334"/>
      <c r="EA647" s="334"/>
      <c r="EB647" s="334"/>
      <c r="EC647" s="334"/>
      <c r="ED647" s="187"/>
      <c r="EE647" s="330"/>
      <c r="EH647" s="334"/>
      <c r="EI647" s="334"/>
      <c r="EM647"/>
      <c r="EO647" s="115"/>
      <c r="EP647" s="334"/>
      <c r="EQ647" s="334"/>
      <c r="ER647" s="334"/>
      <c r="ES647" s="334"/>
      <c r="ET647" s="334"/>
      <c r="EU647" s="334"/>
      <c r="EV647" s="334"/>
    </row>
    <row r="648" spans="35:152" ht="13">
      <c r="AI648" s="115" t="s">
        <v>1416</v>
      </c>
      <c r="AJ648" t="s">
        <v>2114</v>
      </c>
      <c r="AK648" s="115">
        <v>0</v>
      </c>
      <c r="AL648" s="115" t="s">
        <v>28</v>
      </c>
      <c r="AM648" s="115" t="s">
        <v>1846</v>
      </c>
      <c r="AN648" s="115" t="s">
        <v>1453</v>
      </c>
      <c r="AO648" s="115" t="s">
        <v>1646</v>
      </c>
      <c r="AT648" s="115" t="s">
        <v>1415</v>
      </c>
      <c r="AU648" s="115" t="s">
        <v>2114</v>
      </c>
      <c r="AV648" s="115">
        <v>16</v>
      </c>
      <c r="AW648" s="115" t="s">
        <v>494</v>
      </c>
      <c r="AX648" s="115" t="s">
        <v>28</v>
      </c>
      <c r="AY648" s="115" t="s">
        <v>1848</v>
      </c>
      <c r="AZ648" s="115" t="s">
        <v>1909</v>
      </c>
      <c r="BA648" s="115"/>
      <c r="BB648" s="115"/>
      <c r="BC648" s="115"/>
      <c r="BD648" s="115"/>
      <c r="BE648" s="115"/>
      <c r="BF648" s="115"/>
      <c r="BG648" s="115"/>
      <c r="BH648" s="115">
        <v>16.8902608</v>
      </c>
      <c r="BI648" s="115">
        <v>9.2999962499999995</v>
      </c>
      <c r="BJ648" s="115"/>
      <c r="BK648" s="115"/>
      <c r="BL648" s="115"/>
      <c r="BM648" s="115"/>
      <c r="BN648" s="115"/>
      <c r="BO648" s="115"/>
      <c r="BP648" s="115"/>
      <c r="DR648" s="214"/>
      <c r="DY648" s="115"/>
      <c r="DZ648" s="334"/>
      <c r="EA648" s="334"/>
      <c r="EB648" s="334"/>
      <c r="EC648" s="334"/>
      <c r="ED648" s="187"/>
      <c r="EE648" s="330"/>
      <c r="EH648" s="334"/>
      <c r="EI648" s="334"/>
      <c r="EM648"/>
      <c r="EO648" s="115"/>
      <c r="EP648" s="334"/>
      <c r="EQ648" s="334"/>
      <c r="ER648" s="334"/>
      <c r="ES648" s="334"/>
      <c r="ET648" s="334"/>
      <c r="EU648" s="334"/>
      <c r="EV648" s="334"/>
    </row>
    <row r="649" spans="35:152" ht="13">
      <c r="AI649" s="115" t="s">
        <v>1416</v>
      </c>
      <c r="AJ649" t="s">
        <v>2114</v>
      </c>
      <c r="AK649" s="115">
        <v>0</v>
      </c>
      <c r="AL649" s="115" t="s">
        <v>28</v>
      </c>
      <c r="AM649" s="115" t="s">
        <v>1843</v>
      </c>
      <c r="AN649" s="115" t="s">
        <v>1453</v>
      </c>
      <c r="AO649" s="115" t="s">
        <v>1647</v>
      </c>
      <c r="AT649" s="115" t="s">
        <v>1415</v>
      </c>
      <c r="AU649" s="115" t="s">
        <v>2114</v>
      </c>
      <c r="AV649" s="115">
        <v>16</v>
      </c>
      <c r="AW649" s="115" t="s">
        <v>494</v>
      </c>
      <c r="AX649" s="115" t="s">
        <v>28</v>
      </c>
      <c r="AY649" s="115" t="s">
        <v>1843</v>
      </c>
      <c r="AZ649" s="115" t="s">
        <v>1909</v>
      </c>
      <c r="BA649" s="115"/>
      <c r="BB649" s="115"/>
      <c r="BC649" s="115"/>
      <c r="BD649" s="115"/>
      <c r="BE649" s="115"/>
      <c r="BF649" s="115"/>
      <c r="BG649" s="115"/>
      <c r="BH649" s="115">
        <v>211.88711340206186</v>
      </c>
      <c r="BI649" s="115">
        <v>30.911649484536085</v>
      </c>
      <c r="BJ649" s="115"/>
      <c r="BK649" s="115"/>
      <c r="BL649" s="115"/>
      <c r="BM649" s="115"/>
      <c r="BN649" s="115"/>
      <c r="BO649" s="115"/>
      <c r="BP649" s="115"/>
      <c r="DR649" s="214"/>
      <c r="DY649" s="115"/>
      <c r="DZ649" s="334"/>
      <c r="EA649" s="334"/>
      <c r="EB649" s="334"/>
      <c r="EC649" s="334"/>
      <c r="ED649" s="187"/>
      <c r="EE649" s="330"/>
      <c r="EH649" s="334"/>
      <c r="EI649" s="334"/>
      <c r="EM649"/>
      <c r="EO649" s="115"/>
      <c r="EP649" s="334"/>
      <c r="EQ649" s="334"/>
      <c r="ER649" s="334"/>
      <c r="ES649" s="334"/>
      <c r="ET649" s="334"/>
      <c r="EU649" s="334"/>
      <c r="EV649" s="334"/>
    </row>
    <row r="650" spans="35:152" ht="13">
      <c r="AI650" s="115" t="s">
        <v>1416</v>
      </c>
      <c r="AJ650" t="s">
        <v>2114</v>
      </c>
      <c r="AK650" s="115">
        <v>0</v>
      </c>
      <c r="AL650" s="115" t="s">
        <v>28</v>
      </c>
      <c r="AM650" s="115" t="s">
        <v>1846</v>
      </c>
      <c r="AN650" s="115" t="s">
        <v>1453</v>
      </c>
      <c r="AO650" s="115" t="s">
        <v>1647</v>
      </c>
      <c r="AT650" s="115" t="s">
        <v>1415</v>
      </c>
      <c r="AU650" s="115" t="s">
        <v>2114</v>
      </c>
      <c r="AV650" s="115">
        <v>16</v>
      </c>
      <c r="AW650" s="115" t="s">
        <v>494</v>
      </c>
      <c r="AX650" s="115" t="s">
        <v>28</v>
      </c>
      <c r="AY650" s="115" t="s">
        <v>1849</v>
      </c>
      <c r="AZ650" s="115" t="s">
        <v>1909</v>
      </c>
      <c r="BA650" s="115"/>
      <c r="BB650" s="115"/>
      <c r="BC650" s="115"/>
      <c r="BD650" s="115"/>
      <c r="BE650" s="115"/>
      <c r="BF650" s="115"/>
      <c r="BG650" s="115"/>
      <c r="BH650" s="115">
        <v>3.492</v>
      </c>
      <c r="BI650" s="115">
        <v>0.72750000000000004</v>
      </c>
      <c r="BJ650" s="115"/>
      <c r="BK650" s="115"/>
      <c r="BL650" s="115"/>
      <c r="BM650" s="115"/>
      <c r="BN650" s="115"/>
      <c r="BO650" s="115"/>
      <c r="BP650" s="115"/>
      <c r="DR650" s="214"/>
      <c r="DY650" s="115"/>
      <c r="DZ650" s="334"/>
      <c r="EA650" s="334"/>
      <c r="EB650" s="334"/>
      <c r="EC650" s="334"/>
      <c r="ED650" s="187"/>
      <c r="EE650" s="330"/>
      <c r="EH650" s="334"/>
      <c r="EI650" s="334"/>
      <c r="EM650"/>
      <c r="EO650" s="115"/>
      <c r="EP650" s="334"/>
      <c r="EQ650" s="334"/>
      <c r="ER650" s="334"/>
      <c r="ES650" s="334"/>
      <c r="ET650" s="334"/>
      <c r="EU650" s="334"/>
      <c r="EV650" s="334"/>
    </row>
    <row r="651" spans="35:152" ht="13">
      <c r="AI651" s="115" t="s">
        <v>1416</v>
      </c>
      <c r="AJ651" t="s">
        <v>2114</v>
      </c>
      <c r="AK651" s="115">
        <v>0</v>
      </c>
      <c r="AL651" s="115" t="s">
        <v>28</v>
      </c>
      <c r="AM651" s="115" t="s">
        <v>1850</v>
      </c>
      <c r="AN651" s="115" t="s">
        <v>1453</v>
      </c>
      <c r="AO651" s="115" t="s">
        <v>373</v>
      </c>
      <c r="AT651" s="115" t="s">
        <v>1415</v>
      </c>
      <c r="AU651" s="115" t="s">
        <v>2114</v>
      </c>
      <c r="AV651" s="115">
        <v>16</v>
      </c>
      <c r="AW651" s="115" t="s">
        <v>494</v>
      </c>
      <c r="AX651" s="115" t="s">
        <v>28</v>
      </c>
      <c r="AY651" s="115" t="s">
        <v>1850</v>
      </c>
      <c r="AZ651" s="115" t="s">
        <v>1909</v>
      </c>
      <c r="BA651" s="115"/>
      <c r="BB651" s="115"/>
      <c r="BC651" s="115"/>
      <c r="BD651" s="115"/>
      <c r="BE651" s="115"/>
      <c r="BF651" s="115"/>
      <c r="BG651" s="115"/>
      <c r="BH651" s="115">
        <v>0.38800000000000001</v>
      </c>
      <c r="BI651" s="115">
        <v>0.24249999999999999</v>
      </c>
      <c r="BJ651" s="115"/>
      <c r="BK651" s="115"/>
      <c r="BL651" s="115"/>
      <c r="BM651" s="115"/>
      <c r="BN651" s="115"/>
      <c r="BO651" s="115"/>
      <c r="BP651" s="115"/>
      <c r="DR651" s="214"/>
      <c r="DY651" s="115"/>
      <c r="DZ651" s="334"/>
      <c r="EA651" s="334"/>
      <c r="EB651" s="334"/>
      <c r="EC651" s="334"/>
      <c r="ED651" s="187"/>
      <c r="EE651" s="330"/>
      <c r="EH651" s="334"/>
      <c r="EI651" s="334"/>
      <c r="EM651"/>
      <c r="EO651" s="115"/>
      <c r="EP651" s="334"/>
      <c r="EQ651" s="334"/>
      <c r="ER651" s="334"/>
      <c r="ES651" s="334"/>
      <c r="ET651" s="334"/>
      <c r="EU651" s="334"/>
      <c r="EV651" s="334"/>
    </row>
    <row r="652" spans="35:152" ht="13">
      <c r="AI652" s="115" t="s">
        <v>1416</v>
      </c>
      <c r="AJ652" t="s">
        <v>2114</v>
      </c>
      <c r="AK652" s="115">
        <v>0</v>
      </c>
      <c r="AL652" s="115" t="s">
        <v>28</v>
      </c>
      <c r="AM652" s="115" t="s">
        <v>1832</v>
      </c>
      <c r="AN652" s="115" t="s">
        <v>1453</v>
      </c>
      <c r="AO652" s="115" t="s">
        <v>373</v>
      </c>
      <c r="AT652" s="115" t="s">
        <v>1415</v>
      </c>
      <c r="AU652" s="115" t="s">
        <v>2114</v>
      </c>
      <c r="AV652" s="115">
        <v>16</v>
      </c>
      <c r="AW652" s="115" t="s">
        <v>494</v>
      </c>
      <c r="AX652" s="115" t="s">
        <v>28</v>
      </c>
      <c r="AY652" s="115" t="s">
        <v>1832</v>
      </c>
      <c r="AZ652" s="115" t="s">
        <v>1909</v>
      </c>
      <c r="BA652" s="115"/>
      <c r="BB652" s="115"/>
      <c r="BC652" s="115"/>
      <c r="BD652" s="115"/>
      <c r="BE652" s="115"/>
      <c r="BF652" s="115"/>
      <c r="BG652" s="115"/>
      <c r="BH652" s="115">
        <v>4</v>
      </c>
      <c r="BI652" s="115">
        <v>1</v>
      </c>
      <c r="BJ652" s="115"/>
      <c r="BK652" s="115"/>
      <c r="BL652" s="115"/>
      <c r="BM652" s="115"/>
      <c r="BN652" s="115"/>
      <c r="BO652" s="115"/>
      <c r="BP652" s="115"/>
      <c r="DR652" s="214"/>
      <c r="DY652" s="115"/>
      <c r="DZ652" s="334"/>
      <c r="EA652" s="334"/>
      <c r="EB652" s="334"/>
      <c r="EC652" s="334"/>
      <c r="ED652" s="187"/>
      <c r="EE652" s="330"/>
      <c r="EH652" s="334"/>
      <c r="EI652" s="334"/>
      <c r="EM652"/>
      <c r="EO652" s="115"/>
      <c r="EP652" s="334"/>
      <c r="EQ652" s="334"/>
      <c r="ER652" s="334"/>
      <c r="ES652" s="334"/>
      <c r="ET652" s="334"/>
      <c r="EU652" s="334"/>
      <c r="EV652" s="334"/>
    </row>
    <row r="653" spans="35:152" ht="13">
      <c r="AI653" s="115" t="s">
        <v>1416</v>
      </c>
      <c r="AJ653" t="s">
        <v>2114</v>
      </c>
      <c r="AK653" s="115">
        <v>0</v>
      </c>
      <c r="AL653" s="115" t="s">
        <v>28</v>
      </c>
      <c r="AM653" s="115" t="s">
        <v>1848</v>
      </c>
      <c r="AN653" s="115" t="s">
        <v>1453</v>
      </c>
      <c r="AO653" s="115" t="s">
        <v>373</v>
      </c>
      <c r="AT653" s="115" t="s">
        <v>1415</v>
      </c>
      <c r="AU653" s="115" t="s">
        <v>2114</v>
      </c>
      <c r="AV653" s="115">
        <v>16</v>
      </c>
      <c r="AW653" s="115" t="s">
        <v>494</v>
      </c>
      <c r="AX653" s="115" t="s">
        <v>28</v>
      </c>
      <c r="AY653" s="115" t="s">
        <v>1846</v>
      </c>
      <c r="AZ653" s="115" t="s">
        <v>1910</v>
      </c>
      <c r="BA653" s="115"/>
      <c r="BB653" s="115"/>
      <c r="BC653" s="115">
        <v>164.34370499999997</v>
      </c>
      <c r="BD653" s="115"/>
      <c r="BE653" s="115"/>
      <c r="BF653" s="115"/>
      <c r="BG653" s="115"/>
      <c r="BH653" s="115">
        <v>1233.5146400000001</v>
      </c>
      <c r="BI653" s="115">
        <v>206.34809999999999</v>
      </c>
      <c r="BJ653" s="115"/>
      <c r="BK653" s="115"/>
      <c r="BL653" s="115"/>
      <c r="BM653" s="115">
        <v>352</v>
      </c>
      <c r="BN653" s="115"/>
      <c r="BO653" s="115"/>
      <c r="BP653" s="115"/>
      <c r="DR653" s="214"/>
      <c r="DY653" s="115"/>
      <c r="DZ653" s="334"/>
      <c r="EA653" s="334"/>
      <c r="EB653" s="334"/>
      <c r="EC653" s="334"/>
      <c r="ED653" s="187"/>
      <c r="EE653" s="330"/>
      <c r="EH653" s="334"/>
      <c r="EI653" s="334"/>
      <c r="EM653"/>
      <c r="EO653" s="115"/>
      <c r="EP653" s="334"/>
      <c r="EQ653" s="334"/>
      <c r="ER653" s="334"/>
      <c r="ES653" s="334"/>
      <c r="ET653" s="334"/>
      <c r="EU653" s="334"/>
      <c r="EV653" s="334"/>
    </row>
    <row r="654" spans="35:152" ht="13">
      <c r="AI654" s="115" t="s">
        <v>1416</v>
      </c>
      <c r="AJ654" t="s">
        <v>2114</v>
      </c>
      <c r="AK654" s="115">
        <v>0</v>
      </c>
      <c r="AL654" s="115" t="s">
        <v>28</v>
      </c>
      <c r="AM654" s="115" t="s">
        <v>1846</v>
      </c>
      <c r="AN654" s="115" t="s">
        <v>1453</v>
      </c>
      <c r="AO654" s="115" t="s">
        <v>373</v>
      </c>
      <c r="AT654" s="115" t="s">
        <v>1415</v>
      </c>
      <c r="AU654" s="115" t="s">
        <v>2114</v>
      </c>
      <c r="AV654" s="115">
        <v>16</v>
      </c>
      <c r="AW654" s="115" t="s">
        <v>494</v>
      </c>
      <c r="AX654" s="115" t="s">
        <v>28</v>
      </c>
      <c r="AY654" s="115" t="s">
        <v>1848</v>
      </c>
      <c r="AZ654" s="115" t="s">
        <v>1910</v>
      </c>
      <c r="BA654" s="115"/>
      <c r="BB654" s="115"/>
      <c r="BC654" s="115">
        <v>969.15876750000007</v>
      </c>
      <c r="BD654" s="115"/>
      <c r="BE654" s="115"/>
      <c r="BF654" s="115"/>
      <c r="BG654" s="115"/>
      <c r="BH654" s="115">
        <v>84.451303999999993</v>
      </c>
      <c r="BI654" s="115">
        <v>92.999962499999981</v>
      </c>
      <c r="BJ654" s="115"/>
      <c r="BK654" s="115"/>
      <c r="BL654" s="115"/>
      <c r="BM654" s="115"/>
      <c r="BN654" s="115"/>
      <c r="BO654" s="115"/>
      <c r="BP654" s="115"/>
      <c r="DR654" s="214"/>
      <c r="DY654" s="115"/>
      <c r="DZ654" s="334"/>
      <c r="EA654" s="334"/>
      <c r="EB654" s="334"/>
      <c r="EC654" s="334"/>
      <c r="ED654" s="187"/>
      <c r="EE654" s="330"/>
      <c r="EH654" s="334"/>
      <c r="EI654" s="334"/>
      <c r="EM654"/>
      <c r="EO654" s="115"/>
      <c r="EP654" s="334"/>
      <c r="EQ654" s="334"/>
      <c r="ER654" s="334"/>
      <c r="ES654" s="334"/>
      <c r="ET654" s="334"/>
      <c r="EU654" s="334"/>
      <c r="EV654" s="334"/>
    </row>
    <row r="655" spans="35:152" ht="13">
      <c r="AI655" s="115" t="s">
        <v>1416</v>
      </c>
      <c r="AJ655" t="s">
        <v>2114</v>
      </c>
      <c r="AK655" s="115">
        <v>0</v>
      </c>
      <c r="AL655" s="115" t="s">
        <v>28</v>
      </c>
      <c r="AM655" s="115" t="s">
        <v>1843</v>
      </c>
      <c r="AN655" s="115" t="s">
        <v>1453</v>
      </c>
      <c r="AO655" s="115" t="s">
        <v>373</v>
      </c>
      <c r="AT655" s="115" t="s">
        <v>1415</v>
      </c>
      <c r="AU655" s="115" t="s">
        <v>2114</v>
      </c>
      <c r="AV655" s="115">
        <v>16</v>
      </c>
      <c r="AW655" s="115" t="s">
        <v>494</v>
      </c>
      <c r="AX655" s="115" t="s">
        <v>28</v>
      </c>
      <c r="AY655" s="115" t="s">
        <v>1843</v>
      </c>
      <c r="AZ655" s="115" t="s">
        <v>1910</v>
      </c>
      <c r="BA655" s="115"/>
      <c r="BB655" s="115"/>
      <c r="BC655" s="115">
        <v>1123.4022680412372</v>
      </c>
      <c r="BD655" s="115"/>
      <c r="BE655" s="115"/>
      <c r="BF655" s="115"/>
      <c r="BG655" s="115"/>
      <c r="BH655" s="115">
        <v>1249.4356701030929</v>
      </c>
      <c r="BI655" s="115">
        <v>309.11639175257733</v>
      </c>
      <c r="BJ655" s="115"/>
      <c r="BK655" s="115"/>
      <c r="BL655" s="115"/>
      <c r="BM655" s="115">
        <v>352</v>
      </c>
      <c r="BN655" s="115"/>
      <c r="BO655" s="115"/>
      <c r="BP655" s="115"/>
      <c r="DR655" s="214"/>
      <c r="DY655" s="115"/>
      <c r="DZ655" s="334"/>
      <c r="EA655" s="334"/>
      <c r="EB655" s="334"/>
      <c r="EC655" s="334"/>
      <c r="ED655" s="187"/>
      <c r="EE655" s="330"/>
      <c r="EH655" s="334"/>
      <c r="EI655" s="334"/>
      <c r="EM655"/>
      <c r="EO655" s="115"/>
      <c r="EP655" s="334"/>
      <c r="EQ655" s="334"/>
      <c r="ER655" s="334"/>
      <c r="ES655" s="334"/>
      <c r="ET655" s="334"/>
      <c r="EU655" s="334"/>
      <c r="EV655" s="334"/>
    </row>
    <row r="656" spans="35:152" ht="13">
      <c r="AI656" s="115" t="s">
        <v>1416</v>
      </c>
      <c r="AJ656" t="s">
        <v>2114</v>
      </c>
      <c r="AK656" s="115">
        <v>0</v>
      </c>
      <c r="AL656" s="115" t="s">
        <v>28</v>
      </c>
      <c r="AM656" s="115" t="s">
        <v>1849</v>
      </c>
      <c r="AN656" s="115" t="s">
        <v>1453</v>
      </c>
      <c r="AO656" s="115" t="s">
        <v>373</v>
      </c>
      <c r="AT656" s="115" t="s">
        <v>1415</v>
      </c>
      <c r="AU656" s="115" t="s">
        <v>2114</v>
      </c>
      <c r="AV656" s="115">
        <v>16</v>
      </c>
      <c r="AW656" s="115" t="s">
        <v>494</v>
      </c>
      <c r="AX656" s="115" t="s">
        <v>28</v>
      </c>
      <c r="AY656" s="115" t="s">
        <v>1849</v>
      </c>
      <c r="AZ656" s="115" t="s">
        <v>1910</v>
      </c>
      <c r="BA656" s="115"/>
      <c r="BB656" s="115"/>
      <c r="BC656" s="115">
        <v>7.2749999999999995</v>
      </c>
      <c r="BD656" s="115"/>
      <c r="BE656" s="115"/>
      <c r="BF656" s="115"/>
      <c r="BG656" s="115"/>
      <c r="BH656" s="115">
        <v>17.46</v>
      </c>
      <c r="BI656" s="115">
        <v>7.2749999999999995</v>
      </c>
      <c r="BJ656" s="115"/>
      <c r="BK656" s="115"/>
      <c r="BL656" s="115"/>
      <c r="BM656" s="115"/>
      <c r="BN656" s="115"/>
      <c r="BO656" s="115"/>
      <c r="BP656" s="115"/>
      <c r="DR656" s="214"/>
      <c r="DY656" s="115"/>
      <c r="DZ656" s="334"/>
      <c r="EA656" s="334"/>
      <c r="EB656" s="334"/>
      <c r="EC656" s="334"/>
      <c r="ED656" s="187"/>
      <c r="EE656" s="330"/>
      <c r="EH656" s="334"/>
      <c r="EI656" s="334"/>
      <c r="EM656"/>
      <c r="EO656" s="115"/>
      <c r="EP656" s="334"/>
      <c r="EQ656" s="334"/>
      <c r="ER656" s="334"/>
      <c r="ES656" s="334"/>
      <c r="ET656" s="334"/>
      <c r="EU656" s="334"/>
      <c r="EV656" s="334"/>
    </row>
    <row r="657" spans="35:152" ht="13">
      <c r="AI657" s="115" t="s">
        <v>1416</v>
      </c>
      <c r="AJ657" t="s">
        <v>2114</v>
      </c>
      <c r="AK657" s="115">
        <v>0</v>
      </c>
      <c r="AL657" s="115" t="s">
        <v>28</v>
      </c>
      <c r="AM657" s="115" t="s">
        <v>1846</v>
      </c>
      <c r="AN657" s="115" t="s">
        <v>1453</v>
      </c>
      <c r="AO657" s="115" t="s">
        <v>380</v>
      </c>
      <c r="AT657" s="115" t="s">
        <v>1415</v>
      </c>
      <c r="AU657" s="115" t="s">
        <v>2114</v>
      </c>
      <c r="AV657" s="115">
        <v>16</v>
      </c>
      <c r="AW657" s="115" t="s">
        <v>494</v>
      </c>
      <c r="AX657" s="115" t="s">
        <v>28</v>
      </c>
      <c r="AY657" s="115" t="s">
        <v>1850</v>
      </c>
      <c r="AZ657" s="115" t="s">
        <v>1910</v>
      </c>
      <c r="BA657" s="115"/>
      <c r="BB657" s="115"/>
      <c r="BC657" s="115">
        <v>21.824999999999999</v>
      </c>
      <c r="BD657" s="115"/>
      <c r="BE657" s="115"/>
      <c r="BF657" s="115"/>
      <c r="BG657" s="115"/>
      <c r="BH657" s="115">
        <v>1.94</v>
      </c>
      <c r="BI657" s="115">
        <v>2.4249999999999998</v>
      </c>
      <c r="BJ657" s="115"/>
      <c r="BK657" s="115"/>
      <c r="BL657" s="115"/>
      <c r="BM657" s="115"/>
      <c r="BN657" s="115"/>
      <c r="BO657" s="115"/>
      <c r="BP657" s="115"/>
      <c r="DR657" s="214"/>
      <c r="DY657" s="115"/>
      <c r="DZ657" s="334"/>
      <c r="EA657" s="334"/>
      <c r="EB657" s="334"/>
      <c r="EC657" s="334"/>
      <c r="ED657" s="187"/>
      <c r="EE657" s="330"/>
      <c r="EH657" s="334"/>
      <c r="EI657" s="334"/>
      <c r="EM657"/>
      <c r="EO657" s="115"/>
      <c r="EP657" s="334"/>
      <c r="EQ657" s="334"/>
      <c r="ER657" s="334"/>
      <c r="ES657" s="334"/>
      <c r="ET657" s="334"/>
      <c r="EU657" s="334"/>
      <c r="EV657" s="334"/>
    </row>
    <row r="658" spans="35:152" ht="13">
      <c r="AI658" s="115" t="s">
        <v>1416</v>
      </c>
      <c r="AJ658" t="s">
        <v>2114</v>
      </c>
      <c r="AK658" s="115">
        <v>0</v>
      </c>
      <c r="AL658" s="115" t="s">
        <v>28</v>
      </c>
      <c r="AM658" s="115" t="s">
        <v>1850</v>
      </c>
      <c r="AN658" s="115" t="s">
        <v>1453</v>
      </c>
      <c r="AO658" s="115" t="s">
        <v>380</v>
      </c>
      <c r="AT658" s="115" t="s">
        <v>1415</v>
      </c>
      <c r="AU658" s="115" t="s">
        <v>2114</v>
      </c>
      <c r="AV658" s="115">
        <v>16</v>
      </c>
      <c r="AW658" s="115" t="s">
        <v>494</v>
      </c>
      <c r="AX658" s="115" t="s">
        <v>28</v>
      </c>
      <c r="AY658" s="115" t="s">
        <v>1832</v>
      </c>
      <c r="AZ658" s="115" t="s">
        <v>1910</v>
      </c>
      <c r="BA658" s="115"/>
      <c r="BB658" s="115"/>
      <c r="BC658" s="115">
        <v>30</v>
      </c>
      <c r="BD658" s="115"/>
      <c r="BE658" s="115"/>
      <c r="BF658" s="115"/>
      <c r="BG658" s="115"/>
      <c r="BH658" s="115">
        <v>20</v>
      </c>
      <c r="BI658" s="115">
        <v>10</v>
      </c>
      <c r="BJ658" s="115"/>
      <c r="BK658" s="115"/>
      <c r="BL658" s="115"/>
      <c r="BM658" s="115"/>
      <c r="BN658" s="115"/>
      <c r="BO658" s="115"/>
      <c r="BP658" s="115"/>
      <c r="DR658" s="214"/>
      <c r="DY658" s="115"/>
      <c r="DZ658" s="334"/>
      <c r="EA658" s="334"/>
      <c r="EB658" s="334"/>
      <c r="EC658" s="334"/>
      <c r="ED658" s="187"/>
      <c r="EE658" s="330"/>
      <c r="EH658" s="334"/>
      <c r="EI658" s="334"/>
      <c r="EM658"/>
      <c r="EO658" s="115"/>
      <c r="EP658" s="334"/>
      <c r="EQ658" s="334"/>
      <c r="ER658" s="334"/>
      <c r="ES658" s="334"/>
      <c r="ET658" s="334"/>
      <c r="EU658" s="334"/>
      <c r="EV658" s="334"/>
    </row>
    <row r="659" spans="35:152" ht="13">
      <c r="AI659" s="115" t="s">
        <v>1416</v>
      </c>
      <c r="AJ659" t="s">
        <v>2114</v>
      </c>
      <c r="AK659" s="115">
        <v>0</v>
      </c>
      <c r="AL659" s="115" t="s">
        <v>28</v>
      </c>
      <c r="AM659" s="115" t="s">
        <v>1832</v>
      </c>
      <c r="AN659" s="115" t="s">
        <v>1453</v>
      </c>
      <c r="AO659" s="115" t="s">
        <v>380</v>
      </c>
      <c r="AT659" s="115" t="s">
        <v>1415</v>
      </c>
      <c r="AU659" s="115" t="s">
        <v>2114</v>
      </c>
      <c r="AV659" s="115">
        <v>16</v>
      </c>
      <c r="AW659" s="115" t="s">
        <v>499</v>
      </c>
      <c r="AX659" s="115" t="s">
        <v>28</v>
      </c>
      <c r="AY659" s="115" t="s">
        <v>1846</v>
      </c>
      <c r="AZ659" s="115" t="s">
        <v>1911</v>
      </c>
      <c r="BA659" s="115"/>
      <c r="BB659" s="115"/>
      <c r="BC659" s="115">
        <v>714.89511674999994</v>
      </c>
      <c r="BD659" s="115"/>
      <c r="BE659" s="115"/>
      <c r="BF659" s="115"/>
      <c r="BG659" s="115"/>
      <c r="BH659" s="115"/>
      <c r="BI659" s="115"/>
      <c r="BJ659" s="115"/>
      <c r="BK659" s="115"/>
      <c r="BL659" s="115"/>
      <c r="BM659" s="115"/>
      <c r="BN659" s="115"/>
      <c r="BO659" s="115"/>
      <c r="BP659" s="115"/>
      <c r="DR659" s="214"/>
      <c r="DY659" s="115"/>
      <c r="DZ659" s="334"/>
      <c r="EA659" s="334"/>
      <c r="EB659" s="334"/>
      <c r="EC659" s="334"/>
      <c r="ED659" s="187"/>
      <c r="EE659" s="330"/>
      <c r="EH659" s="334"/>
      <c r="EI659" s="334"/>
      <c r="EM659"/>
      <c r="EO659" s="115"/>
      <c r="EP659" s="334"/>
      <c r="EQ659" s="334"/>
      <c r="ER659" s="334"/>
      <c r="ES659" s="334"/>
      <c r="ET659" s="334"/>
      <c r="EU659" s="334"/>
      <c r="EV659" s="334"/>
    </row>
    <row r="660" spans="35:152" ht="13">
      <c r="AI660" s="115" t="s">
        <v>1416</v>
      </c>
      <c r="AJ660" t="s">
        <v>2114</v>
      </c>
      <c r="AK660" s="115">
        <v>0</v>
      </c>
      <c r="AL660" s="115" t="s">
        <v>28</v>
      </c>
      <c r="AM660" s="115" t="s">
        <v>1843</v>
      </c>
      <c r="AN660" s="115" t="s">
        <v>1453</v>
      </c>
      <c r="AO660" s="115" t="s">
        <v>380</v>
      </c>
      <c r="AT660" s="115" t="s">
        <v>1415</v>
      </c>
      <c r="AU660" s="115" t="s">
        <v>2114</v>
      </c>
      <c r="AV660" s="115">
        <v>16</v>
      </c>
      <c r="AW660" s="115" t="s">
        <v>499</v>
      </c>
      <c r="AX660" s="115" t="s">
        <v>28</v>
      </c>
      <c r="AY660" s="115" t="s">
        <v>1848</v>
      </c>
      <c r="AZ660" s="115" t="s">
        <v>1911</v>
      </c>
      <c r="BA660" s="115"/>
      <c r="BB660" s="115"/>
      <c r="BC660" s="115">
        <v>4215.8406386249999</v>
      </c>
      <c r="BD660" s="115"/>
      <c r="BE660" s="115"/>
      <c r="BF660" s="115"/>
      <c r="BG660" s="115"/>
      <c r="BH660" s="115"/>
      <c r="BI660" s="115"/>
      <c r="BJ660" s="115"/>
      <c r="BK660" s="115"/>
      <c r="BL660" s="115"/>
      <c r="BM660" s="115"/>
      <c r="BN660" s="115"/>
      <c r="BO660" s="115"/>
      <c r="BP660" s="115"/>
      <c r="DR660" s="214"/>
      <c r="DY660" s="115"/>
      <c r="DZ660" s="334"/>
      <c r="EA660" s="334"/>
      <c r="EB660" s="334"/>
      <c r="EC660" s="334"/>
      <c r="ED660" s="187"/>
      <c r="EE660" s="330"/>
      <c r="EH660" s="334"/>
      <c r="EI660" s="334"/>
      <c r="EM660"/>
      <c r="EO660" s="115"/>
      <c r="EP660" s="334"/>
      <c r="EQ660" s="334"/>
      <c r="ER660" s="334"/>
      <c r="ES660" s="334"/>
      <c r="ET660" s="334"/>
      <c r="EU660" s="334"/>
      <c r="EV660" s="334"/>
    </row>
    <row r="661" spans="35:152" ht="13">
      <c r="AI661" s="115" t="s">
        <v>1416</v>
      </c>
      <c r="AJ661" t="s">
        <v>2114</v>
      </c>
      <c r="AK661" s="115">
        <v>0</v>
      </c>
      <c r="AL661" s="115" t="s">
        <v>28</v>
      </c>
      <c r="AM661" s="115" t="s">
        <v>1849</v>
      </c>
      <c r="AN661" s="115" t="s">
        <v>1453</v>
      </c>
      <c r="AO661" s="115" t="s">
        <v>380</v>
      </c>
      <c r="AT661" s="115" t="s">
        <v>1415</v>
      </c>
      <c r="AU661" s="115" t="s">
        <v>2114</v>
      </c>
      <c r="AV661" s="115">
        <v>16</v>
      </c>
      <c r="AW661" s="115" t="s">
        <v>499</v>
      </c>
      <c r="AX661" s="115" t="s">
        <v>28</v>
      </c>
      <c r="AY661" s="115" t="s">
        <v>1843</v>
      </c>
      <c r="AZ661" s="115" t="s">
        <v>1911</v>
      </c>
      <c r="BA661" s="115"/>
      <c r="BB661" s="115"/>
      <c r="BC661" s="115">
        <v>4886.8</v>
      </c>
      <c r="BD661" s="115"/>
      <c r="BE661" s="115"/>
      <c r="BF661" s="115"/>
      <c r="BG661" s="115"/>
      <c r="BH661" s="115"/>
      <c r="BI661" s="115"/>
      <c r="BJ661" s="115"/>
      <c r="BK661" s="115"/>
      <c r="BL661" s="115"/>
      <c r="BM661" s="115"/>
      <c r="BN661" s="115"/>
      <c r="BO661" s="115"/>
      <c r="BP661" s="115"/>
      <c r="DR661" s="214"/>
      <c r="DY661" s="115"/>
      <c r="DZ661" s="334"/>
      <c r="EA661" s="334"/>
      <c r="EB661" s="334"/>
      <c r="EC661" s="334"/>
      <c r="ED661" s="187"/>
      <c r="EE661" s="330"/>
      <c r="EH661" s="334"/>
      <c r="EI661" s="334"/>
      <c r="EM661"/>
      <c r="EO661" s="115"/>
      <c r="EP661" s="334"/>
      <c r="EQ661" s="334"/>
      <c r="ER661" s="334"/>
      <c r="ES661" s="334"/>
      <c r="ET661" s="334"/>
      <c r="EU661" s="334"/>
      <c r="EV661" s="334"/>
    </row>
    <row r="662" spans="35:152" ht="13">
      <c r="AI662" s="115" t="s">
        <v>1416</v>
      </c>
      <c r="AJ662" t="s">
        <v>2114</v>
      </c>
      <c r="AK662" s="115">
        <v>0</v>
      </c>
      <c r="AL662" s="115" t="s">
        <v>28</v>
      </c>
      <c r="AM662" s="115" t="s">
        <v>1848</v>
      </c>
      <c r="AN662" s="115" t="s">
        <v>1453</v>
      </c>
      <c r="AO662" s="115" t="s">
        <v>380</v>
      </c>
      <c r="AT662" s="115" t="s">
        <v>1415</v>
      </c>
      <c r="AU662" s="115" t="s">
        <v>2114</v>
      </c>
      <c r="AV662" s="115">
        <v>16</v>
      </c>
      <c r="AW662" s="115" t="s">
        <v>499</v>
      </c>
      <c r="AX662" s="115" t="s">
        <v>28</v>
      </c>
      <c r="AY662" s="115" t="s">
        <v>1849</v>
      </c>
      <c r="AZ662" s="115" t="s">
        <v>1911</v>
      </c>
      <c r="BA662" s="115"/>
      <c r="BB662" s="115"/>
      <c r="BC662" s="115">
        <v>31.646249999999998</v>
      </c>
      <c r="BD662" s="115"/>
      <c r="BE662" s="115"/>
      <c r="BF662" s="115"/>
      <c r="BG662" s="115"/>
      <c r="BH662" s="115"/>
      <c r="BI662" s="115"/>
      <c r="BJ662" s="115"/>
      <c r="BK662" s="115"/>
      <c r="BL662" s="115"/>
      <c r="BM662" s="115"/>
      <c r="BN662" s="115"/>
      <c r="BO662" s="115"/>
      <c r="BP662" s="115"/>
      <c r="DR662" s="214"/>
      <c r="DY662" s="115"/>
      <c r="DZ662" s="334"/>
      <c r="EA662" s="334"/>
      <c r="EB662" s="334"/>
      <c r="EC662" s="334"/>
      <c r="ED662" s="187"/>
      <c r="EE662" s="330"/>
      <c r="EH662" s="334"/>
      <c r="EI662" s="334"/>
      <c r="EM662"/>
      <c r="EO662" s="115"/>
      <c r="EP662" s="334"/>
      <c r="EQ662" s="334"/>
      <c r="ER662" s="334"/>
      <c r="ES662" s="334"/>
      <c r="ET662" s="334"/>
      <c r="EU662" s="334"/>
      <c r="EV662" s="334"/>
    </row>
    <row r="663" spans="35:152" ht="13">
      <c r="AI663" s="115" t="s">
        <v>1416</v>
      </c>
      <c r="AJ663" t="s">
        <v>2114</v>
      </c>
      <c r="AK663" s="115">
        <v>0</v>
      </c>
      <c r="AL663" s="115" t="s">
        <v>28</v>
      </c>
      <c r="AM663" s="115" t="s">
        <v>1843</v>
      </c>
      <c r="AN663" s="115" t="s">
        <v>1454</v>
      </c>
      <c r="AO663" s="115" t="s">
        <v>1274</v>
      </c>
      <c r="AT663" s="115" t="s">
        <v>1415</v>
      </c>
      <c r="AU663" s="115" t="s">
        <v>2114</v>
      </c>
      <c r="AV663" s="115">
        <v>16</v>
      </c>
      <c r="AW663" s="115" t="s">
        <v>499</v>
      </c>
      <c r="AX663" s="115" t="s">
        <v>28</v>
      </c>
      <c r="AY663" s="115" t="s">
        <v>1850</v>
      </c>
      <c r="AZ663" s="115" t="s">
        <v>1911</v>
      </c>
      <c r="BA663" s="115"/>
      <c r="BB663" s="115"/>
      <c r="BC663" s="115">
        <v>94.938749999999999</v>
      </c>
      <c r="BD663" s="115"/>
      <c r="BE663" s="115"/>
      <c r="BF663" s="115"/>
      <c r="BG663" s="115"/>
      <c r="BH663" s="115"/>
      <c r="BI663" s="115"/>
      <c r="BJ663" s="115"/>
      <c r="BK663" s="115"/>
      <c r="BL663" s="115"/>
      <c r="BM663" s="115"/>
      <c r="BN663" s="115"/>
      <c r="BO663" s="115"/>
      <c r="BP663" s="115"/>
      <c r="DR663" s="214"/>
      <c r="DY663" s="115"/>
      <c r="DZ663" s="334"/>
      <c r="EA663" s="334"/>
      <c r="EB663" s="334"/>
      <c r="EC663" s="334"/>
      <c r="ED663" s="187"/>
      <c r="EE663" s="330"/>
      <c r="EH663" s="334"/>
      <c r="EI663" s="334"/>
      <c r="EM663"/>
      <c r="EO663" s="115"/>
      <c r="EP663" s="334"/>
      <c r="EQ663" s="334"/>
      <c r="ER663" s="334"/>
      <c r="ES663" s="334"/>
      <c r="ET663" s="334"/>
      <c r="EU663" s="334"/>
      <c r="EV663" s="334"/>
    </row>
    <row r="664" spans="35:152" ht="13">
      <c r="AI664" s="115" t="s">
        <v>1416</v>
      </c>
      <c r="AJ664" t="s">
        <v>2114</v>
      </c>
      <c r="AK664" s="115">
        <v>0</v>
      </c>
      <c r="AL664" s="115" t="s">
        <v>28</v>
      </c>
      <c r="AM664" s="115" t="s">
        <v>1848</v>
      </c>
      <c r="AN664" s="115" t="s">
        <v>1454</v>
      </c>
      <c r="AO664" s="115" t="s">
        <v>1274</v>
      </c>
      <c r="AT664" s="115" t="s">
        <v>1415</v>
      </c>
      <c r="AU664" s="115" t="s">
        <v>2114</v>
      </c>
      <c r="AV664" s="115">
        <v>16</v>
      </c>
      <c r="AW664" s="115" t="s">
        <v>499</v>
      </c>
      <c r="AX664" s="115" t="s">
        <v>28</v>
      </c>
      <c r="AY664" s="115" t="s">
        <v>1832</v>
      </c>
      <c r="AZ664" s="115" t="s">
        <v>1911</v>
      </c>
      <c r="BA664" s="115"/>
      <c r="BB664" s="115"/>
      <c r="BC664" s="115">
        <v>130.5</v>
      </c>
      <c r="BD664" s="115"/>
      <c r="BE664" s="115"/>
      <c r="BF664" s="115"/>
      <c r="BG664" s="115"/>
      <c r="BH664" s="115"/>
      <c r="BI664" s="115"/>
      <c r="BJ664" s="115"/>
      <c r="BK664" s="115"/>
      <c r="BL664" s="115"/>
      <c r="BM664" s="115"/>
      <c r="BN664" s="115"/>
      <c r="BO664" s="115"/>
      <c r="BP664" s="115"/>
      <c r="DR664" s="214"/>
      <c r="DY664" s="115"/>
      <c r="DZ664" s="334"/>
      <c r="EA664" s="334"/>
      <c r="EB664" s="334"/>
      <c r="EC664" s="334"/>
      <c r="ED664" s="187"/>
      <c r="EE664" s="330"/>
      <c r="EH664" s="334"/>
      <c r="EI664" s="334"/>
      <c r="EM664"/>
      <c r="EO664" s="115"/>
      <c r="EP664" s="334"/>
      <c r="EQ664" s="334"/>
      <c r="ER664" s="334"/>
      <c r="ES664" s="334"/>
      <c r="ET664" s="334"/>
      <c r="EU664" s="334"/>
      <c r="EV664" s="334"/>
    </row>
    <row r="665" spans="35:152" ht="13">
      <c r="AI665" s="115" t="s">
        <v>1416</v>
      </c>
      <c r="AJ665" t="s">
        <v>2114</v>
      </c>
      <c r="AK665" s="115">
        <v>0</v>
      </c>
      <c r="AL665" s="115" t="s">
        <v>28</v>
      </c>
      <c r="AM665" s="115" t="s">
        <v>1832</v>
      </c>
      <c r="AN665" s="115" t="s">
        <v>1454</v>
      </c>
      <c r="AO665" s="115" t="s">
        <v>1274</v>
      </c>
      <c r="AT665" s="115" t="s">
        <v>1415</v>
      </c>
      <c r="AU665" s="115" t="s">
        <v>2114</v>
      </c>
      <c r="AV665" s="115">
        <v>16</v>
      </c>
      <c r="AW665" s="115" t="s">
        <v>499</v>
      </c>
      <c r="AX665" s="115" t="s">
        <v>28</v>
      </c>
      <c r="AY665" s="115" t="s">
        <v>1846</v>
      </c>
      <c r="AZ665" s="115" t="s">
        <v>1912</v>
      </c>
      <c r="BA665" s="115"/>
      <c r="BB665" s="115"/>
      <c r="BC665" s="115">
        <v>12.325777875</v>
      </c>
      <c r="BD665" s="115"/>
      <c r="BE665" s="115"/>
      <c r="BF665" s="115"/>
      <c r="BG665" s="115"/>
      <c r="BH665" s="115">
        <v>2304.4895279999996</v>
      </c>
      <c r="BI665" s="115"/>
      <c r="BJ665" s="115"/>
      <c r="BK665" s="115"/>
      <c r="BL665" s="115"/>
      <c r="BM665" s="115"/>
      <c r="BN665" s="115"/>
      <c r="BO665" s="115"/>
      <c r="BP665" s="115"/>
      <c r="DR665" s="214"/>
      <c r="DY665" s="115"/>
      <c r="DZ665" s="334"/>
      <c r="EA665" s="334"/>
      <c r="EB665" s="334"/>
      <c r="EC665" s="334"/>
      <c r="ED665" s="187"/>
      <c r="EE665" s="330"/>
      <c r="EH665" s="334"/>
      <c r="EI665" s="334"/>
      <c r="EM665"/>
      <c r="EO665" s="115"/>
      <c r="EP665" s="334"/>
      <c r="EQ665" s="334"/>
      <c r="ER665" s="334"/>
      <c r="ES665" s="334"/>
      <c r="ET665" s="334"/>
      <c r="EU665" s="334"/>
      <c r="EV665" s="334"/>
    </row>
    <row r="666" spans="35:152" ht="13">
      <c r="AI666" s="115" t="s">
        <v>1416</v>
      </c>
      <c r="AJ666" t="s">
        <v>2114</v>
      </c>
      <c r="AK666" s="115">
        <v>0</v>
      </c>
      <c r="AL666" s="115" t="s">
        <v>28</v>
      </c>
      <c r="AM666" s="115" t="s">
        <v>1846</v>
      </c>
      <c r="AN666" s="115" t="s">
        <v>1454</v>
      </c>
      <c r="AO666" s="115" t="s">
        <v>1274</v>
      </c>
      <c r="AT666" s="115" t="s">
        <v>1415</v>
      </c>
      <c r="AU666" s="115" t="s">
        <v>2114</v>
      </c>
      <c r="AV666" s="115">
        <v>16</v>
      </c>
      <c r="AW666" s="115" t="s">
        <v>499</v>
      </c>
      <c r="AX666" s="115" t="s">
        <v>28</v>
      </c>
      <c r="AY666" s="115" t="s">
        <v>1848</v>
      </c>
      <c r="AZ666" s="115" t="s">
        <v>1912</v>
      </c>
      <c r="BA666" s="115"/>
      <c r="BB666" s="115"/>
      <c r="BC666" s="115">
        <v>72.686907562500011</v>
      </c>
      <c r="BD666" s="115"/>
      <c r="BE666" s="115"/>
      <c r="BF666" s="115"/>
      <c r="BG666" s="115"/>
      <c r="BH666" s="115">
        <v>228.01852079999998</v>
      </c>
      <c r="BI666" s="115"/>
      <c r="BJ666" s="115"/>
      <c r="BK666" s="115"/>
      <c r="BL666" s="115"/>
      <c r="BM666" s="115"/>
      <c r="BN666" s="115"/>
      <c r="BO666" s="115"/>
      <c r="BP666" s="115"/>
      <c r="DR666" s="214"/>
      <c r="DY666" s="115"/>
      <c r="DZ666" s="334"/>
      <c r="EA666" s="334"/>
      <c r="EB666" s="334"/>
      <c r="EC666" s="334"/>
      <c r="ED666" s="187"/>
      <c r="EE666" s="330"/>
      <c r="EH666" s="334"/>
      <c r="EI666" s="334"/>
      <c r="EM666"/>
      <c r="EO666" s="115"/>
      <c r="EP666" s="334"/>
      <c r="EQ666" s="334"/>
      <c r="ER666" s="334"/>
      <c r="ES666" s="334"/>
      <c r="ET666" s="334"/>
      <c r="EU666" s="334"/>
      <c r="EV666" s="334"/>
    </row>
    <row r="667" spans="35:152" ht="13">
      <c r="AI667" s="115" t="s">
        <v>1416</v>
      </c>
      <c r="AJ667" t="s">
        <v>2114</v>
      </c>
      <c r="AK667" s="115">
        <v>0</v>
      </c>
      <c r="AL667" s="115" t="s">
        <v>28</v>
      </c>
      <c r="AM667" s="115" t="s">
        <v>1849</v>
      </c>
      <c r="AN667" s="115" t="s">
        <v>1454</v>
      </c>
      <c r="AO667" s="115" t="s">
        <v>1274</v>
      </c>
      <c r="AT667" s="115" t="s">
        <v>1415</v>
      </c>
      <c r="AU667" s="115" t="s">
        <v>2114</v>
      </c>
      <c r="AV667" s="115">
        <v>16</v>
      </c>
      <c r="AW667" s="115" t="s">
        <v>499</v>
      </c>
      <c r="AX667" s="115" t="s">
        <v>28</v>
      </c>
      <c r="AY667" s="115" t="s">
        <v>1843</v>
      </c>
      <c r="AZ667" s="115" t="s">
        <v>1912</v>
      </c>
      <c r="BA667" s="115"/>
      <c r="BB667" s="115"/>
      <c r="BC667" s="115">
        <v>84.255154639175259</v>
      </c>
      <c r="BD667" s="115"/>
      <c r="BE667" s="115"/>
      <c r="BF667" s="115"/>
      <c r="BG667" s="115"/>
      <c r="BH667" s="115">
        <v>2347.4762886597941</v>
      </c>
      <c r="BI667" s="115"/>
      <c r="BJ667" s="115"/>
      <c r="BK667" s="115"/>
      <c r="BL667" s="115"/>
      <c r="BM667" s="115"/>
      <c r="BN667" s="115"/>
      <c r="BO667" s="115"/>
      <c r="BP667" s="115"/>
      <c r="DR667" s="214"/>
      <c r="DY667" s="115"/>
      <c r="DZ667" s="334"/>
      <c r="EA667" s="334"/>
      <c r="EB667" s="334"/>
      <c r="EC667" s="334"/>
      <c r="ED667" s="187"/>
      <c r="EE667" s="330"/>
      <c r="EH667" s="334"/>
      <c r="EI667" s="334"/>
      <c r="EM667"/>
      <c r="EO667" s="115"/>
      <c r="EP667" s="334"/>
      <c r="EQ667" s="334"/>
      <c r="ER667" s="334"/>
      <c r="ES667" s="334"/>
      <c r="ET667" s="334"/>
      <c r="EU667" s="334"/>
      <c r="EV667" s="334"/>
    </row>
    <row r="668" spans="35:152" ht="13">
      <c r="AI668" s="115" t="s">
        <v>1416</v>
      </c>
      <c r="AJ668" t="s">
        <v>2114</v>
      </c>
      <c r="AK668" s="115">
        <v>0</v>
      </c>
      <c r="AL668" s="115" t="s">
        <v>28</v>
      </c>
      <c r="AM668" s="115" t="s">
        <v>1850</v>
      </c>
      <c r="AN668" s="115" t="s">
        <v>1454</v>
      </c>
      <c r="AO668" s="115" t="s">
        <v>1274</v>
      </c>
      <c r="AT668" s="115" t="s">
        <v>1415</v>
      </c>
      <c r="AU668" s="115" t="s">
        <v>2114</v>
      </c>
      <c r="AV668" s="115">
        <v>16</v>
      </c>
      <c r="AW668" s="115" t="s">
        <v>499</v>
      </c>
      <c r="AX668" s="115" t="s">
        <v>28</v>
      </c>
      <c r="AY668" s="115" t="s">
        <v>1849</v>
      </c>
      <c r="AZ668" s="115" t="s">
        <v>1912</v>
      </c>
      <c r="BA668" s="115"/>
      <c r="BB668" s="115"/>
      <c r="BC668" s="115">
        <v>0.54562500000000003</v>
      </c>
      <c r="BD668" s="115"/>
      <c r="BE668" s="115"/>
      <c r="BF668" s="115"/>
      <c r="BG668" s="115"/>
      <c r="BH668" s="115">
        <v>47.141999999999996</v>
      </c>
      <c r="BI668" s="115"/>
      <c r="BJ668" s="115"/>
      <c r="BK668" s="115"/>
      <c r="BL668" s="115"/>
      <c r="BM668" s="115"/>
      <c r="BN668" s="115"/>
      <c r="BO668" s="115"/>
      <c r="BP668" s="115"/>
      <c r="DR668" s="214"/>
      <c r="DY668" s="115"/>
      <c r="DZ668" s="334"/>
      <c r="EA668" s="334"/>
      <c r="EB668" s="334"/>
      <c r="EC668" s="334"/>
      <c r="ED668" s="187"/>
      <c r="EE668" s="330"/>
      <c r="EH668" s="334"/>
      <c r="EI668" s="334"/>
      <c r="EM668"/>
      <c r="EO668" s="115"/>
      <c r="EP668" s="334"/>
      <c r="EQ668" s="334"/>
      <c r="ER668" s="334"/>
      <c r="ES668" s="334"/>
      <c r="ET668" s="334"/>
      <c r="EU668" s="334"/>
      <c r="EV668" s="334"/>
    </row>
    <row r="669" spans="35:152" ht="13">
      <c r="AI669" s="115" t="s">
        <v>1416</v>
      </c>
      <c r="AJ669" t="s">
        <v>2114</v>
      </c>
      <c r="AK669" s="115">
        <v>0</v>
      </c>
      <c r="AL669" s="115" t="s">
        <v>28</v>
      </c>
      <c r="AM669" s="115" t="s">
        <v>1832</v>
      </c>
      <c r="AN669" s="115" t="s">
        <v>1454</v>
      </c>
      <c r="AO669" s="115" t="s">
        <v>379</v>
      </c>
      <c r="AT669" s="115" t="s">
        <v>1415</v>
      </c>
      <c r="AU669" s="115" t="s">
        <v>2114</v>
      </c>
      <c r="AV669" s="115">
        <v>16</v>
      </c>
      <c r="AW669" s="115" t="s">
        <v>499</v>
      </c>
      <c r="AX669" s="115" t="s">
        <v>28</v>
      </c>
      <c r="AY669" s="115" t="s">
        <v>1850</v>
      </c>
      <c r="AZ669" s="115" t="s">
        <v>1912</v>
      </c>
      <c r="BA669" s="115"/>
      <c r="BB669" s="115"/>
      <c r="BC669" s="115">
        <v>1.6368750000000001</v>
      </c>
      <c r="BD669" s="115"/>
      <c r="BE669" s="115"/>
      <c r="BF669" s="115"/>
      <c r="BG669" s="115"/>
      <c r="BH669" s="115">
        <v>5.2379999999999995</v>
      </c>
      <c r="BI669" s="115"/>
      <c r="BJ669" s="115"/>
      <c r="BK669" s="115"/>
      <c r="BL669" s="115"/>
      <c r="BM669" s="115"/>
      <c r="BN669" s="115"/>
      <c r="BO669" s="115"/>
      <c r="BP669" s="115"/>
      <c r="DR669" s="214"/>
      <c r="DY669" s="115"/>
      <c r="DZ669" s="334"/>
      <c r="EA669" s="334"/>
      <c r="EB669" s="334"/>
      <c r="EC669" s="334"/>
      <c r="ED669" s="187"/>
      <c r="EE669" s="330"/>
      <c r="EH669" s="334"/>
      <c r="EI669" s="334"/>
      <c r="EM669"/>
      <c r="EO669" s="115"/>
      <c r="EP669" s="334"/>
      <c r="EQ669" s="334"/>
      <c r="ER669" s="334"/>
      <c r="ES669" s="334"/>
      <c r="ET669" s="334"/>
      <c r="EU669" s="334"/>
      <c r="EV669" s="334"/>
    </row>
    <row r="670" spans="35:152" ht="13">
      <c r="AI670" s="115" t="s">
        <v>1416</v>
      </c>
      <c r="AJ670" t="s">
        <v>2114</v>
      </c>
      <c r="AK670" s="115">
        <v>0</v>
      </c>
      <c r="AL670" s="115" t="s">
        <v>28</v>
      </c>
      <c r="AM670" s="115" t="s">
        <v>1849</v>
      </c>
      <c r="AN670" s="115" t="s">
        <v>1454</v>
      </c>
      <c r="AO670" s="115" t="s">
        <v>379</v>
      </c>
      <c r="AT670" s="115" t="s">
        <v>1415</v>
      </c>
      <c r="AU670" s="115" t="s">
        <v>2114</v>
      </c>
      <c r="AV670" s="115">
        <v>16</v>
      </c>
      <c r="AW670" s="115" t="s">
        <v>499</v>
      </c>
      <c r="AX670" s="115" t="s">
        <v>28</v>
      </c>
      <c r="AY670" s="115" t="s">
        <v>1832</v>
      </c>
      <c r="AZ670" s="115" t="s">
        <v>1912</v>
      </c>
      <c r="BA670" s="115"/>
      <c r="BB670" s="115"/>
      <c r="BC670" s="115">
        <v>2.25</v>
      </c>
      <c r="BD670" s="115"/>
      <c r="BE670" s="115"/>
      <c r="BF670" s="115"/>
      <c r="BG670" s="115"/>
      <c r="BH670" s="115">
        <v>54</v>
      </c>
      <c r="BI670" s="115"/>
      <c r="BJ670" s="115"/>
      <c r="BK670" s="115"/>
      <c r="BL670" s="115"/>
      <c r="BM670" s="115"/>
      <c r="BN670" s="115"/>
      <c r="BO670" s="115"/>
      <c r="BP670" s="115"/>
      <c r="DR670" s="214"/>
      <c r="DY670" s="115"/>
      <c r="DZ670" s="334"/>
      <c r="EA670" s="334"/>
      <c r="EB670" s="334"/>
      <c r="EC670" s="334"/>
      <c r="ED670" s="187"/>
      <c r="EE670" s="330"/>
      <c r="EH670" s="334"/>
      <c r="EI670" s="334"/>
      <c r="EM670"/>
      <c r="EO670" s="115"/>
      <c r="EP670" s="334"/>
      <c r="EQ670" s="334"/>
      <c r="ER670" s="334"/>
      <c r="ES670" s="334"/>
      <c r="ET670" s="334"/>
      <c r="EU670" s="334"/>
      <c r="EV670" s="334"/>
    </row>
    <row r="671" spans="35:152" ht="13">
      <c r="AI671" s="115" t="s">
        <v>1416</v>
      </c>
      <c r="AJ671" t="s">
        <v>2114</v>
      </c>
      <c r="AK671" s="115">
        <v>0</v>
      </c>
      <c r="AL671" s="115" t="s">
        <v>28</v>
      </c>
      <c r="AM671" s="115" t="s">
        <v>1843</v>
      </c>
      <c r="AN671" s="115" t="s">
        <v>1454</v>
      </c>
      <c r="AO671" s="115" t="s">
        <v>379</v>
      </c>
      <c r="AT671" s="115" t="s">
        <v>1415</v>
      </c>
      <c r="AU671" s="115" t="s">
        <v>2114</v>
      </c>
      <c r="AV671" s="115">
        <v>16</v>
      </c>
      <c r="AW671" s="115" t="s">
        <v>494</v>
      </c>
      <c r="AX671" s="115" t="s">
        <v>28</v>
      </c>
      <c r="AY671" s="115" t="s">
        <v>1846</v>
      </c>
      <c r="AZ671" s="115" t="s">
        <v>1901</v>
      </c>
      <c r="BA671" s="115"/>
      <c r="BB671" s="115"/>
      <c r="BC671" s="115">
        <v>1343.2358821999999</v>
      </c>
      <c r="BD671" s="115"/>
      <c r="BE671" s="115"/>
      <c r="BF671" s="115"/>
      <c r="BG671" s="115"/>
      <c r="BH671" s="115"/>
      <c r="BI671" s="115"/>
      <c r="BJ671" s="115"/>
      <c r="BK671" s="115"/>
      <c r="BL671" s="115"/>
      <c r="BM671" s="115"/>
      <c r="BN671" s="115"/>
      <c r="BO671" s="115"/>
      <c r="BP671" s="115"/>
      <c r="DR671" s="214"/>
      <c r="DY671" s="115"/>
      <c r="DZ671" s="334"/>
      <c r="EA671" s="334"/>
      <c r="EB671" s="334"/>
      <c r="EC671" s="334"/>
      <c r="ED671" s="187"/>
      <c r="EE671" s="330"/>
      <c r="EH671" s="334"/>
      <c r="EI671" s="334"/>
      <c r="EM671"/>
      <c r="EO671" s="115"/>
      <c r="EP671" s="334"/>
      <c r="EQ671" s="334"/>
      <c r="ER671" s="334"/>
      <c r="ES671" s="334"/>
      <c r="ET671" s="334"/>
      <c r="EU671" s="334"/>
      <c r="EV671" s="334"/>
    </row>
    <row r="672" spans="35:152" ht="13">
      <c r="AI672" s="115" t="s">
        <v>1416</v>
      </c>
      <c r="AJ672" t="s">
        <v>2114</v>
      </c>
      <c r="AK672" s="115">
        <v>0</v>
      </c>
      <c r="AL672" s="115" t="s">
        <v>28</v>
      </c>
      <c r="AM672" s="115" t="s">
        <v>1848</v>
      </c>
      <c r="AN672" s="115" t="s">
        <v>1454</v>
      </c>
      <c r="AO672" s="115" t="s">
        <v>379</v>
      </c>
      <c r="AT672" s="115" t="s">
        <v>1415</v>
      </c>
      <c r="AU672" s="115" t="s">
        <v>2114</v>
      </c>
      <c r="AV672" s="115">
        <v>16</v>
      </c>
      <c r="AW672" s="115" t="s">
        <v>494</v>
      </c>
      <c r="AX672" s="115" t="s">
        <v>28</v>
      </c>
      <c r="AY672" s="115" t="s">
        <v>1848</v>
      </c>
      <c r="AZ672" s="115" t="s">
        <v>1901</v>
      </c>
      <c r="BA672" s="115"/>
      <c r="BB672" s="115"/>
      <c r="BC672" s="115">
        <v>7921.2576596999997</v>
      </c>
      <c r="BD672" s="115"/>
      <c r="BE672" s="115"/>
      <c r="BF672" s="115"/>
      <c r="BG672" s="115"/>
      <c r="BH672" s="115"/>
      <c r="BI672" s="115"/>
      <c r="BJ672" s="115"/>
      <c r="BK672" s="115"/>
      <c r="BL672" s="115"/>
      <c r="BM672" s="115"/>
      <c r="BN672" s="115"/>
      <c r="BO672" s="115"/>
      <c r="BP672" s="115"/>
      <c r="DR672" s="214"/>
      <c r="DY672" s="115"/>
      <c r="DZ672" s="334"/>
      <c r="EA672" s="334"/>
      <c r="EB672" s="334"/>
      <c r="EC672" s="334"/>
      <c r="ED672" s="187"/>
      <c r="EE672" s="330"/>
      <c r="EH672" s="334"/>
      <c r="EI672" s="334"/>
      <c r="EM672"/>
      <c r="EO672" s="115"/>
      <c r="EP672" s="334"/>
      <c r="EQ672" s="334"/>
      <c r="ER672" s="334"/>
      <c r="ES672" s="334"/>
      <c r="ET672" s="334"/>
      <c r="EU672" s="334"/>
      <c r="EV672" s="334"/>
    </row>
    <row r="673" spans="35:152" ht="13">
      <c r="AI673" s="115" t="s">
        <v>1416</v>
      </c>
      <c r="AJ673" t="s">
        <v>2114</v>
      </c>
      <c r="AK673" s="115">
        <v>0</v>
      </c>
      <c r="AL673" s="115" t="s">
        <v>28</v>
      </c>
      <c r="AM673" s="115" t="s">
        <v>1846</v>
      </c>
      <c r="AN673" s="115" t="s">
        <v>1454</v>
      </c>
      <c r="AO673" s="115" t="s">
        <v>379</v>
      </c>
      <c r="AT673" s="115" t="s">
        <v>1415</v>
      </c>
      <c r="AU673" s="115" t="s">
        <v>2114</v>
      </c>
      <c r="AV673" s="115">
        <v>16</v>
      </c>
      <c r="AW673" s="115" t="s">
        <v>494</v>
      </c>
      <c r="AX673" s="115" t="s">
        <v>28</v>
      </c>
      <c r="AY673" s="115" t="s">
        <v>1843</v>
      </c>
      <c r="AZ673" s="115" t="s">
        <v>1901</v>
      </c>
      <c r="BA673" s="115"/>
      <c r="BB673" s="115"/>
      <c r="BC673" s="115">
        <v>9181.9415463917521</v>
      </c>
      <c r="BD673" s="115"/>
      <c r="BE673" s="115"/>
      <c r="BF673" s="115"/>
      <c r="BG673" s="115"/>
      <c r="BH673" s="115"/>
      <c r="BI673" s="115"/>
      <c r="BJ673" s="115"/>
      <c r="BK673" s="115"/>
      <c r="BL673" s="115"/>
      <c r="BM673" s="115"/>
      <c r="BN673" s="115"/>
      <c r="BO673" s="115"/>
      <c r="BP673" s="115"/>
      <c r="DR673" s="214"/>
      <c r="DY673" s="115"/>
      <c r="DZ673" s="334"/>
      <c r="EA673" s="334"/>
      <c r="EB673" s="334"/>
      <c r="EC673" s="334"/>
      <c r="ED673" s="187"/>
      <c r="EE673" s="330"/>
      <c r="EH673" s="334"/>
      <c r="EI673" s="334"/>
      <c r="EM673"/>
      <c r="EO673" s="115"/>
      <c r="EP673" s="334"/>
      <c r="EQ673" s="334"/>
      <c r="ER673" s="334"/>
      <c r="ES673" s="334"/>
      <c r="ET673" s="334"/>
      <c r="EU673" s="334"/>
      <c r="EV673" s="334"/>
    </row>
    <row r="674" spans="35:152" ht="13">
      <c r="AI674" s="115" t="s">
        <v>1416</v>
      </c>
      <c r="AJ674" t="s">
        <v>2114</v>
      </c>
      <c r="AK674" s="115">
        <v>0</v>
      </c>
      <c r="AL674" s="115" t="s">
        <v>28</v>
      </c>
      <c r="AM674" s="115" t="s">
        <v>1850</v>
      </c>
      <c r="AN674" s="115" t="s">
        <v>1454</v>
      </c>
      <c r="AO674" s="115" t="s">
        <v>379</v>
      </c>
      <c r="AT674" s="115" t="s">
        <v>1415</v>
      </c>
      <c r="AU674" s="115" t="s">
        <v>2114</v>
      </c>
      <c r="AV674" s="115">
        <v>16</v>
      </c>
      <c r="AW674" s="115" t="s">
        <v>494</v>
      </c>
      <c r="AX674" s="115" t="s">
        <v>28</v>
      </c>
      <c r="AY674" s="115" t="s">
        <v>1849</v>
      </c>
      <c r="AZ674" s="115" t="s">
        <v>1901</v>
      </c>
      <c r="BA674" s="115"/>
      <c r="BB674" s="115"/>
      <c r="BC674" s="115">
        <v>59.460999999999999</v>
      </c>
      <c r="BD674" s="115"/>
      <c r="BE674" s="115"/>
      <c r="BF674" s="115"/>
      <c r="BG674" s="115"/>
      <c r="BH674" s="115"/>
      <c r="BI674" s="115"/>
      <c r="BJ674" s="115"/>
      <c r="BK674" s="115"/>
      <c r="BL674" s="115"/>
      <c r="BM674" s="115"/>
      <c r="BN674" s="115"/>
      <c r="BO674" s="115"/>
      <c r="BP674" s="115"/>
      <c r="DR674" s="214"/>
      <c r="DY674" s="115"/>
      <c r="DZ674" s="334"/>
      <c r="EA674" s="334"/>
      <c r="EB674" s="334"/>
      <c r="EC674" s="334"/>
      <c r="ED674" s="187"/>
      <c r="EE674" s="330"/>
      <c r="EH674" s="334"/>
      <c r="EI674" s="334"/>
      <c r="EM674"/>
      <c r="EO674" s="115"/>
      <c r="EP674" s="334"/>
      <c r="EQ674" s="334"/>
      <c r="ER674" s="334"/>
      <c r="ES674" s="334"/>
      <c r="ET674" s="334"/>
      <c r="EU674" s="334"/>
      <c r="EV674" s="334"/>
    </row>
    <row r="675" spans="35:152" ht="13">
      <c r="AI675" s="115" t="s">
        <v>1416</v>
      </c>
      <c r="AJ675" t="s">
        <v>2114</v>
      </c>
      <c r="AK675" s="115">
        <v>0</v>
      </c>
      <c r="AL675" s="115" t="s">
        <v>28</v>
      </c>
      <c r="AM675" s="115" t="s">
        <v>1843</v>
      </c>
      <c r="AN675" s="115" t="s">
        <v>1454</v>
      </c>
      <c r="AO675" s="115" t="s">
        <v>1639</v>
      </c>
      <c r="AT675" s="115" t="s">
        <v>1415</v>
      </c>
      <c r="AU675" s="115" t="s">
        <v>2114</v>
      </c>
      <c r="AV675" s="115">
        <v>16</v>
      </c>
      <c r="AW675" s="115" t="s">
        <v>494</v>
      </c>
      <c r="AX675" s="115" t="s">
        <v>28</v>
      </c>
      <c r="AY675" s="115" t="s">
        <v>1850</v>
      </c>
      <c r="AZ675" s="115" t="s">
        <v>1901</v>
      </c>
      <c r="BA675" s="115"/>
      <c r="BB675" s="115"/>
      <c r="BC675" s="115">
        <v>178.38299999999998</v>
      </c>
      <c r="BD675" s="115"/>
      <c r="BE675" s="115"/>
      <c r="BF675" s="115"/>
      <c r="BG675" s="115"/>
      <c r="BH675" s="115"/>
      <c r="BI675" s="115"/>
      <c r="BJ675" s="115"/>
      <c r="BK675" s="115"/>
      <c r="BL675" s="115"/>
      <c r="BM675" s="115"/>
      <c r="BN675" s="115"/>
      <c r="BO675" s="115"/>
      <c r="BP675" s="115"/>
      <c r="DR675" s="214"/>
      <c r="DY675" s="115"/>
      <c r="DZ675" s="334"/>
      <c r="EA675" s="334"/>
      <c r="EB675" s="334"/>
      <c r="EC675" s="334"/>
      <c r="ED675" s="187"/>
      <c r="EE675" s="330"/>
      <c r="EH675" s="334"/>
      <c r="EI675" s="334"/>
      <c r="EM675"/>
      <c r="EO675" s="115"/>
      <c r="EP675" s="334"/>
      <c r="EQ675" s="334"/>
      <c r="ER675" s="334"/>
      <c r="ES675" s="334"/>
      <c r="ET675" s="334"/>
      <c r="EU675" s="334"/>
      <c r="EV675" s="334"/>
    </row>
    <row r="676" spans="35:152" ht="13">
      <c r="AI676" s="115" t="s">
        <v>1416</v>
      </c>
      <c r="AJ676" t="s">
        <v>2114</v>
      </c>
      <c r="AK676" s="115">
        <v>0</v>
      </c>
      <c r="AL676" s="115" t="s">
        <v>28</v>
      </c>
      <c r="AM676" s="115" t="s">
        <v>1846</v>
      </c>
      <c r="AN676" s="115" t="s">
        <v>1454</v>
      </c>
      <c r="AO676" s="115" t="s">
        <v>1639</v>
      </c>
      <c r="AT676" s="115" t="s">
        <v>1415</v>
      </c>
      <c r="AU676" s="115" t="s">
        <v>2114</v>
      </c>
      <c r="AV676" s="115">
        <v>16</v>
      </c>
      <c r="AW676" s="115" t="s">
        <v>494</v>
      </c>
      <c r="AX676" s="115" t="s">
        <v>28</v>
      </c>
      <c r="AY676" s="115" t="s">
        <v>1832</v>
      </c>
      <c r="AZ676" s="115" t="s">
        <v>1901</v>
      </c>
      <c r="BA676" s="115"/>
      <c r="BB676" s="115"/>
      <c r="BC676" s="115">
        <v>245.2</v>
      </c>
      <c r="BD676" s="115"/>
      <c r="BE676" s="115"/>
      <c r="BF676" s="115"/>
      <c r="BG676" s="115"/>
      <c r="BH676" s="115"/>
      <c r="BI676" s="115"/>
      <c r="BJ676" s="115"/>
      <c r="BK676" s="115"/>
      <c r="BL676" s="115"/>
      <c r="BM676" s="115"/>
      <c r="BN676" s="115"/>
      <c r="BO676" s="115"/>
      <c r="BP676" s="115"/>
      <c r="DR676" s="214"/>
      <c r="DY676" s="115"/>
      <c r="DZ676" s="334"/>
      <c r="EA676" s="334"/>
      <c r="EB676" s="334"/>
      <c r="EC676" s="334"/>
      <c r="ED676" s="187"/>
      <c r="EE676" s="330"/>
      <c r="EH676" s="334"/>
      <c r="EI676" s="334"/>
      <c r="EM676"/>
      <c r="EO676" s="115"/>
      <c r="EP676" s="334"/>
      <c r="EQ676" s="334"/>
      <c r="ER676" s="334"/>
      <c r="ES676" s="334"/>
      <c r="ET676" s="334"/>
      <c r="EU676" s="334"/>
      <c r="EV676" s="334"/>
    </row>
    <row r="677" spans="35:152" ht="13">
      <c r="AI677" s="115" t="s">
        <v>1416</v>
      </c>
      <c r="AJ677" t="s">
        <v>2114</v>
      </c>
      <c r="AK677" s="115">
        <v>0</v>
      </c>
      <c r="AL677" s="115" t="s">
        <v>28</v>
      </c>
      <c r="AM677" s="115" t="s">
        <v>1848</v>
      </c>
      <c r="AN677" s="115" t="s">
        <v>1454</v>
      </c>
      <c r="AO677" s="115" t="s">
        <v>373</v>
      </c>
      <c r="AT677" s="115" t="s">
        <v>1415</v>
      </c>
      <c r="AU677" s="115" t="s">
        <v>2114</v>
      </c>
      <c r="AV677" s="115">
        <v>16</v>
      </c>
      <c r="AW677" s="115" t="s">
        <v>494</v>
      </c>
      <c r="AX677" s="115" t="s">
        <v>28</v>
      </c>
      <c r="AY677" s="115" t="s">
        <v>1846</v>
      </c>
      <c r="AZ677" s="115" t="s">
        <v>1913</v>
      </c>
      <c r="BA677" s="115"/>
      <c r="BB677" s="115"/>
      <c r="BC677" s="115">
        <v>876.49975999999992</v>
      </c>
      <c r="BD677" s="115"/>
      <c r="BE677" s="115"/>
      <c r="BF677" s="115"/>
      <c r="BG677" s="115"/>
      <c r="BH677" s="115"/>
      <c r="BI677" s="115"/>
      <c r="BJ677" s="115"/>
      <c r="BK677" s="115"/>
      <c r="BL677" s="115"/>
      <c r="BM677" s="115"/>
      <c r="BN677" s="115"/>
      <c r="BO677" s="115"/>
      <c r="BP677" s="115"/>
      <c r="DR677" s="214"/>
      <c r="DY677" s="115"/>
      <c r="DZ677" s="334"/>
      <c r="EA677" s="334"/>
      <c r="EB677" s="334"/>
      <c r="EC677" s="334"/>
      <c r="ED677" s="187"/>
      <c r="EE677" s="330"/>
      <c r="EH677" s="334"/>
      <c r="EI677" s="334"/>
      <c r="EM677"/>
      <c r="EO677" s="115"/>
      <c r="EP677" s="334"/>
      <c r="EQ677" s="334"/>
      <c r="ER677" s="334"/>
      <c r="ES677" s="334"/>
      <c r="ET677" s="334"/>
      <c r="EU677" s="334"/>
      <c r="EV677" s="334"/>
    </row>
    <row r="678" spans="35:152" ht="13">
      <c r="AI678" s="115" t="s">
        <v>1416</v>
      </c>
      <c r="AJ678" t="s">
        <v>2114</v>
      </c>
      <c r="AK678" s="115">
        <v>0</v>
      </c>
      <c r="AL678" s="115" t="s">
        <v>28</v>
      </c>
      <c r="AM678" s="115" t="s">
        <v>1832</v>
      </c>
      <c r="AN678" s="115" t="s">
        <v>1454</v>
      </c>
      <c r="AO678" s="115" t="s">
        <v>373</v>
      </c>
      <c r="AT678" s="115" t="s">
        <v>1415</v>
      </c>
      <c r="AU678" s="115" t="s">
        <v>2114</v>
      </c>
      <c r="AV678" s="115">
        <v>16</v>
      </c>
      <c r="AW678" s="115" t="s">
        <v>494</v>
      </c>
      <c r="AX678" s="115" t="s">
        <v>28</v>
      </c>
      <c r="AY678" s="115" t="s">
        <v>1848</v>
      </c>
      <c r="AZ678" s="115" t="s">
        <v>1913</v>
      </c>
      <c r="BA678" s="115"/>
      <c r="BB678" s="115"/>
      <c r="BC678" s="115">
        <v>5168.8467600000004</v>
      </c>
      <c r="BD678" s="115"/>
      <c r="BE678" s="115"/>
      <c r="BF678" s="115"/>
      <c r="BG678" s="115"/>
      <c r="BH678" s="115"/>
      <c r="BI678" s="115"/>
      <c r="BJ678" s="115"/>
      <c r="BK678" s="115"/>
      <c r="BL678" s="115"/>
      <c r="BM678" s="115"/>
      <c r="BN678" s="115"/>
      <c r="BO678" s="115"/>
      <c r="BP678" s="115"/>
      <c r="DR678" s="214"/>
      <c r="DY678" s="115"/>
      <c r="DZ678" s="334"/>
      <c r="EA678" s="334"/>
      <c r="EB678" s="334"/>
      <c r="EC678" s="334"/>
      <c r="ED678" s="187"/>
      <c r="EE678" s="330"/>
      <c r="EH678" s="334"/>
      <c r="EI678" s="334"/>
      <c r="EM678"/>
      <c r="EO678" s="115"/>
      <c r="EP678" s="334"/>
      <c r="EQ678" s="334"/>
      <c r="ER678" s="334"/>
      <c r="ES678" s="334"/>
      <c r="ET678" s="334"/>
      <c r="EU678" s="334"/>
      <c r="EV678" s="334"/>
    </row>
    <row r="679" spans="35:152" ht="13">
      <c r="AI679" s="115" t="s">
        <v>1416</v>
      </c>
      <c r="AJ679" t="s">
        <v>2114</v>
      </c>
      <c r="AK679" s="115">
        <v>0</v>
      </c>
      <c r="AL679" s="115" t="s">
        <v>28</v>
      </c>
      <c r="AM679" s="115" t="s">
        <v>1846</v>
      </c>
      <c r="AN679" s="115" t="s">
        <v>1454</v>
      </c>
      <c r="AO679" s="115" t="s">
        <v>373</v>
      </c>
      <c r="AT679" s="115" t="s">
        <v>1415</v>
      </c>
      <c r="AU679" s="115" t="s">
        <v>2114</v>
      </c>
      <c r="AV679" s="115">
        <v>16</v>
      </c>
      <c r="AW679" s="115" t="s">
        <v>494</v>
      </c>
      <c r="AX679" s="115" t="s">
        <v>28</v>
      </c>
      <c r="AY679" s="115" t="s">
        <v>1843</v>
      </c>
      <c r="AZ679" s="115" t="s">
        <v>1913</v>
      </c>
      <c r="BA679" s="115"/>
      <c r="BB679" s="115"/>
      <c r="BC679" s="115">
        <v>5991.4789690721645</v>
      </c>
      <c r="BD679" s="115"/>
      <c r="BE679" s="115"/>
      <c r="BF679" s="115"/>
      <c r="BG679" s="115"/>
      <c r="BH679" s="115"/>
      <c r="BI679" s="115"/>
      <c r="BJ679" s="115"/>
      <c r="BK679" s="115"/>
      <c r="BL679" s="115"/>
      <c r="BM679" s="115"/>
      <c r="BN679" s="115"/>
      <c r="BO679" s="115"/>
      <c r="BP679" s="115"/>
      <c r="DR679" s="214"/>
      <c r="DY679" s="115"/>
      <c r="DZ679" s="334"/>
      <c r="EA679" s="334"/>
      <c r="EB679" s="334"/>
      <c r="EC679" s="334"/>
      <c r="ED679" s="187"/>
      <c r="EE679" s="330"/>
      <c r="EH679" s="334"/>
      <c r="EI679" s="334"/>
      <c r="EM679"/>
      <c r="EO679" s="115"/>
      <c r="EP679" s="334"/>
      <c r="EQ679" s="334"/>
      <c r="ER679" s="334"/>
      <c r="ES679" s="334"/>
      <c r="ET679" s="334"/>
      <c r="EU679" s="334"/>
      <c r="EV679" s="334"/>
    </row>
    <row r="680" spans="35:152" ht="13">
      <c r="AI680" s="115" t="s">
        <v>1416</v>
      </c>
      <c r="AJ680" t="s">
        <v>2114</v>
      </c>
      <c r="AK680" s="115">
        <v>0</v>
      </c>
      <c r="AL680" s="115" t="s">
        <v>28</v>
      </c>
      <c r="AM680" s="115" t="s">
        <v>1843</v>
      </c>
      <c r="AN680" s="115" t="s">
        <v>1454</v>
      </c>
      <c r="AO680" s="115" t="s">
        <v>373</v>
      </c>
      <c r="AT680" s="115" t="s">
        <v>1415</v>
      </c>
      <c r="AU680" s="115" t="s">
        <v>2114</v>
      </c>
      <c r="AV680" s="115">
        <v>16</v>
      </c>
      <c r="AW680" s="115" t="s">
        <v>494</v>
      </c>
      <c r="AX680" s="115" t="s">
        <v>28</v>
      </c>
      <c r="AY680" s="115" t="s">
        <v>1849</v>
      </c>
      <c r="AZ680" s="115" t="s">
        <v>1913</v>
      </c>
      <c r="BA680" s="115"/>
      <c r="BB680" s="115"/>
      <c r="BC680" s="115">
        <v>38.799999999999997</v>
      </c>
      <c r="BD680" s="115"/>
      <c r="BE680" s="115"/>
      <c r="BF680" s="115"/>
      <c r="BG680" s="115"/>
      <c r="BH680" s="115"/>
      <c r="BI680" s="115"/>
      <c r="BJ680" s="115"/>
      <c r="BK680" s="115"/>
      <c r="BL680" s="115"/>
      <c r="BM680" s="115"/>
      <c r="BN680" s="115"/>
      <c r="BO680" s="115"/>
      <c r="BP680" s="115"/>
      <c r="DR680" s="214"/>
      <c r="DY680" s="115"/>
      <c r="DZ680" s="334"/>
      <c r="EA680" s="334"/>
      <c r="EB680" s="334"/>
      <c r="EC680" s="334"/>
      <c r="ED680" s="187"/>
      <c r="EE680" s="330"/>
      <c r="EH680" s="334"/>
      <c r="EI680" s="334"/>
      <c r="EM680"/>
      <c r="EO680" s="115"/>
      <c r="EP680" s="334"/>
      <c r="EQ680" s="334"/>
      <c r="ER680" s="334"/>
      <c r="ES680" s="334"/>
      <c r="ET680" s="334"/>
      <c r="EU680" s="334"/>
      <c r="EV680" s="334"/>
    </row>
    <row r="681" spans="35:152" ht="13">
      <c r="AI681" s="115" t="s">
        <v>1416</v>
      </c>
      <c r="AJ681" t="s">
        <v>2114</v>
      </c>
      <c r="AK681" s="115">
        <v>0</v>
      </c>
      <c r="AL681" s="115" t="s">
        <v>28</v>
      </c>
      <c r="AM681" s="115" t="s">
        <v>1849</v>
      </c>
      <c r="AN681" s="115" t="s">
        <v>1454</v>
      </c>
      <c r="AO681" s="115" t="s">
        <v>373</v>
      </c>
      <c r="AT681" s="115" t="s">
        <v>1415</v>
      </c>
      <c r="AU681" s="115" t="s">
        <v>2114</v>
      </c>
      <c r="AV681" s="115">
        <v>16</v>
      </c>
      <c r="AW681" s="115" t="s">
        <v>494</v>
      </c>
      <c r="AX681" s="115" t="s">
        <v>28</v>
      </c>
      <c r="AY681" s="115" t="s">
        <v>1850</v>
      </c>
      <c r="AZ681" s="115" t="s">
        <v>1913</v>
      </c>
      <c r="BA681" s="115"/>
      <c r="BB681" s="115"/>
      <c r="BC681" s="115">
        <v>116.39999999999999</v>
      </c>
      <c r="BD681" s="115"/>
      <c r="BE681" s="115"/>
      <c r="BF681" s="115"/>
      <c r="BG681" s="115"/>
      <c r="BH681" s="115"/>
      <c r="BI681" s="115"/>
      <c r="BJ681" s="115"/>
      <c r="BK681" s="115"/>
      <c r="BL681" s="115"/>
      <c r="BM681" s="115"/>
      <c r="BN681" s="115"/>
      <c r="BO681" s="115"/>
      <c r="BP681" s="115"/>
      <c r="DR681" s="214"/>
      <c r="DY681" s="115"/>
      <c r="DZ681" s="334"/>
      <c r="EA681" s="334"/>
      <c r="EB681" s="334"/>
      <c r="EC681" s="334"/>
      <c r="ED681" s="187"/>
      <c r="EE681" s="330"/>
      <c r="EH681" s="334"/>
      <c r="EI681" s="334"/>
      <c r="EM681"/>
      <c r="EO681" s="115"/>
      <c r="EP681" s="334"/>
      <c r="EQ681" s="334"/>
      <c r="ER681" s="334"/>
      <c r="ES681" s="334"/>
      <c r="ET681" s="334"/>
      <c r="EU681" s="334"/>
      <c r="EV681" s="334"/>
    </row>
    <row r="682" spans="35:152" ht="13">
      <c r="AI682" s="115" t="s">
        <v>1416</v>
      </c>
      <c r="AJ682" t="s">
        <v>2114</v>
      </c>
      <c r="AK682" s="115">
        <v>0</v>
      </c>
      <c r="AL682" s="115" t="s">
        <v>28</v>
      </c>
      <c r="AM682" s="115" t="s">
        <v>1850</v>
      </c>
      <c r="AN682" s="115" t="s">
        <v>1454</v>
      </c>
      <c r="AO682" s="115" t="s">
        <v>373</v>
      </c>
      <c r="AT682" s="115" t="s">
        <v>1415</v>
      </c>
      <c r="AU682" s="115" t="s">
        <v>2114</v>
      </c>
      <c r="AV682" s="115">
        <v>16</v>
      </c>
      <c r="AW682" s="115" t="s">
        <v>494</v>
      </c>
      <c r="AX682" s="115" t="s">
        <v>28</v>
      </c>
      <c r="AY682" s="115" t="s">
        <v>1832</v>
      </c>
      <c r="AZ682" s="115" t="s">
        <v>1913</v>
      </c>
      <c r="BA682" s="115"/>
      <c r="BB682" s="115"/>
      <c r="BC682" s="115">
        <v>160</v>
      </c>
      <c r="BD682" s="115"/>
      <c r="BE682" s="115"/>
      <c r="BF682" s="115"/>
      <c r="BG682" s="115"/>
      <c r="BH682" s="115"/>
      <c r="BI682" s="115"/>
      <c r="BJ682" s="115"/>
      <c r="BK682" s="115"/>
      <c r="BL682" s="115"/>
      <c r="BM682" s="115"/>
      <c r="BN682" s="115"/>
      <c r="BO682" s="115"/>
      <c r="BP682" s="115"/>
      <c r="DR682" s="214"/>
      <c r="DY682" s="115"/>
      <c r="DZ682" s="334"/>
      <c r="EA682" s="334"/>
      <c r="EB682" s="334"/>
      <c r="EC682" s="334"/>
      <c r="ED682" s="187"/>
      <c r="EE682" s="330"/>
      <c r="EH682" s="334"/>
      <c r="EI682" s="334"/>
      <c r="EM682"/>
      <c r="EO682" s="115"/>
      <c r="EP682" s="334"/>
      <c r="EQ682" s="334"/>
      <c r="ER682" s="334"/>
      <c r="ES682" s="334"/>
      <c r="ET682" s="334"/>
      <c r="EU682" s="334"/>
      <c r="EV682" s="334"/>
    </row>
    <row r="683" spans="35:152" ht="13">
      <c r="AI683" s="115" t="s">
        <v>1416</v>
      </c>
      <c r="AJ683" t="s">
        <v>2114</v>
      </c>
      <c r="AK683" s="115">
        <v>0</v>
      </c>
      <c r="AL683" s="115" t="s">
        <v>28</v>
      </c>
      <c r="AM683" s="115" t="s">
        <v>1849</v>
      </c>
      <c r="AN683" s="115" t="s">
        <v>1454</v>
      </c>
      <c r="AO683" s="115" t="s">
        <v>380</v>
      </c>
      <c r="AT683" s="115" t="s">
        <v>1415</v>
      </c>
      <c r="AU683" s="115" t="s">
        <v>2114</v>
      </c>
      <c r="AV683" s="115">
        <v>16</v>
      </c>
      <c r="AW683" s="115" t="s">
        <v>499</v>
      </c>
      <c r="AX683" s="115" t="s">
        <v>28</v>
      </c>
      <c r="AY683" s="115" t="s">
        <v>1846</v>
      </c>
      <c r="AZ683" s="115" t="s">
        <v>1902</v>
      </c>
      <c r="BA683" s="115"/>
      <c r="BB683" s="115"/>
      <c r="BC683" s="115">
        <v>708.7322278124999</v>
      </c>
      <c r="BD683" s="115"/>
      <c r="BE683" s="115"/>
      <c r="BF683" s="115"/>
      <c r="BG683" s="115"/>
      <c r="BH683" s="115">
        <v>7176.5072930263996</v>
      </c>
      <c r="BI683" s="115"/>
      <c r="BJ683" s="115"/>
      <c r="BK683" s="115"/>
      <c r="BL683" s="115"/>
      <c r="BM683" s="115">
        <v>4243.5856000000013</v>
      </c>
      <c r="BN683" s="115"/>
      <c r="BO683" s="115"/>
      <c r="BP683" s="115"/>
      <c r="DR683" s="214"/>
      <c r="DY683" s="115"/>
      <c r="DZ683" s="334"/>
      <c r="EA683" s="334"/>
      <c r="EB683" s="334"/>
      <c r="EC683" s="334"/>
      <c r="ED683" s="187"/>
      <c r="EE683" s="330"/>
      <c r="EH683" s="334"/>
      <c r="EI683" s="334"/>
      <c r="EM683"/>
      <c r="EO683" s="115"/>
      <c r="EP683" s="334"/>
      <c r="EQ683" s="334"/>
      <c r="ER683" s="334"/>
      <c r="ES683" s="334"/>
      <c r="ET683" s="334"/>
      <c r="EU683" s="334"/>
      <c r="EV683" s="334"/>
    </row>
    <row r="684" spans="35:152" ht="13">
      <c r="AI684" s="115" t="s">
        <v>1416</v>
      </c>
      <c r="AJ684" t="s">
        <v>2114</v>
      </c>
      <c r="AK684" s="115">
        <v>0</v>
      </c>
      <c r="AL684" s="115" t="s">
        <v>28</v>
      </c>
      <c r="AM684" s="115" t="s">
        <v>1843</v>
      </c>
      <c r="AN684" s="115" t="s">
        <v>1454</v>
      </c>
      <c r="AO684" s="115" t="s">
        <v>380</v>
      </c>
      <c r="AT684" s="115" t="s">
        <v>1415</v>
      </c>
      <c r="AU684" s="115" t="s">
        <v>2114</v>
      </c>
      <c r="AV684" s="115">
        <v>16</v>
      </c>
      <c r="AW684" s="115" t="s">
        <v>499</v>
      </c>
      <c r="AX684" s="115" t="s">
        <v>28</v>
      </c>
      <c r="AY684" s="115" t="s">
        <v>1848</v>
      </c>
      <c r="AZ684" s="115" t="s">
        <v>1902</v>
      </c>
      <c r="BA684" s="115"/>
      <c r="BB684" s="115"/>
      <c r="BC684" s="115">
        <v>4179.4971848437499</v>
      </c>
      <c r="BD684" s="115"/>
      <c r="BE684" s="115"/>
      <c r="BF684" s="115"/>
      <c r="BG684" s="115"/>
      <c r="BH684" s="115">
        <v>289.62659158103997</v>
      </c>
      <c r="BI684" s="115"/>
      <c r="BJ684" s="115"/>
      <c r="BK684" s="115"/>
      <c r="BL684" s="115"/>
      <c r="BM684" s="115"/>
      <c r="BN684" s="115"/>
      <c r="BO684" s="115"/>
      <c r="BP684" s="115"/>
      <c r="DR684" s="214"/>
      <c r="DY684" s="115"/>
      <c r="DZ684" s="334"/>
      <c r="EA684" s="334"/>
      <c r="EB684" s="334"/>
      <c r="EC684" s="334"/>
      <c r="ED684" s="187"/>
      <c r="EE684" s="330"/>
      <c r="EH684" s="334"/>
      <c r="EI684" s="334"/>
      <c r="EM684"/>
      <c r="EO684" s="115"/>
      <c r="EP684" s="334"/>
      <c r="EQ684" s="334"/>
      <c r="ER684" s="334"/>
      <c r="ES684" s="334"/>
      <c r="ET684" s="334"/>
      <c r="EU684" s="334"/>
      <c r="EV684" s="334"/>
    </row>
    <row r="685" spans="35:152" ht="13">
      <c r="AI685" s="115" t="s">
        <v>1416</v>
      </c>
      <c r="AJ685" t="s">
        <v>2114</v>
      </c>
      <c r="AK685" s="115">
        <v>0</v>
      </c>
      <c r="AL685" s="115" t="s">
        <v>28</v>
      </c>
      <c r="AM685" s="115" t="s">
        <v>1848</v>
      </c>
      <c r="AN685" s="115" t="s">
        <v>1454</v>
      </c>
      <c r="AO685" s="115" t="s">
        <v>380</v>
      </c>
      <c r="AT685" s="115" t="s">
        <v>1415</v>
      </c>
      <c r="AU685" s="115" t="s">
        <v>2114</v>
      </c>
      <c r="AV685" s="115">
        <v>16</v>
      </c>
      <c r="AW685" s="115" t="s">
        <v>499</v>
      </c>
      <c r="AX685" s="115" t="s">
        <v>28</v>
      </c>
      <c r="AY685" s="115" t="s">
        <v>1843</v>
      </c>
      <c r="AZ685" s="115" t="s">
        <v>1902</v>
      </c>
      <c r="BA685" s="115"/>
      <c r="BB685" s="115"/>
      <c r="BC685" s="115">
        <v>4844.6724742268043</v>
      </c>
      <c r="BD685" s="115"/>
      <c r="BE685" s="115"/>
      <c r="BF685" s="115"/>
      <c r="BG685" s="115"/>
      <c r="BH685" s="115">
        <v>7231.1086505154635</v>
      </c>
      <c r="BI685" s="115"/>
      <c r="BJ685" s="115"/>
      <c r="BK685" s="115"/>
      <c r="BL685" s="115"/>
      <c r="BM685" s="115">
        <v>4243.5856000000013</v>
      </c>
      <c r="BN685" s="115"/>
      <c r="BO685" s="115"/>
      <c r="BP685" s="115"/>
      <c r="DR685" s="214"/>
      <c r="DY685" s="115"/>
      <c r="DZ685" s="334"/>
      <c r="EA685" s="334"/>
      <c r="EB685" s="334"/>
      <c r="EC685" s="334"/>
      <c r="ED685" s="187"/>
      <c r="EE685" s="330"/>
      <c r="EH685" s="334"/>
      <c r="EI685" s="334"/>
      <c r="EM685"/>
      <c r="EO685" s="115"/>
      <c r="EP685" s="334"/>
      <c r="EQ685" s="334"/>
      <c r="ER685" s="334"/>
      <c r="ES685" s="334"/>
      <c r="ET685" s="334"/>
      <c r="EU685" s="334"/>
      <c r="EV685" s="334"/>
    </row>
    <row r="686" spans="35:152" ht="13">
      <c r="AI686" s="115" t="s">
        <v>1416</v>
      </c>
      <c r="AJ686" t="s">
        <v>2114</v>
      </c>
      <c r="AK686" s="115">
        <v>0</v>
      </c>
      <c r="AL686" s="115" t="s">
        <v>28</v>
      </c>
      <c r="AM686" s="115" t="s">
        <v>1846</v>
      </c>
      <c r="AN686" s="115" t="s">
        <v>1454</v>
      </c>
      <c r="AO686" s="115" t="s">
        <v>380</v>
      </c>
      <c r="AT686" s="115" t="s">
        <v>1415</v>
      </c>
      <c r="AU686" s="115" t="s">
        <v>2114</v>
      </c>
      <c r="AV686" s="115">
        <v>16</v>
      </c>
      <c r="AW686" s="115" t="s">
        <v>499</v>
      </c>
      <c r="AX686" s="115" t="s">
        <v>28</v>
      </c>
      <c r="AY686" s="115" t="s">
        <v>1849</v>
      </c>
      <c r="AZ686" s="115" t="s">
        <v>1902</v>
      </c>
      <c r="BA686" s="115"/>
      <c r="BB686" s="115"/>
      <c r="BC686" s="115">
        <v>31.373437499999998</v>
      </c>
      <c r="BD686" s="115"/>
      <c r="BE686" s="115"/>
      <c r="BF686" s="115"/>
      <c r="BG686" s="115"/>
      <c r="BH686" s="115">
        <v>59.8792446</v>
      </c>
      <c r="BI686" s="115"/>
      <c r="BJ686" s="115"/>
      <c r="BK686" s="115"/>
      <c r="BL686" s="115"/>
      <c r="BM686" s="115"/>
      <c r="BN686" s="115"/>
      <c r="BO686" s="115"/>
      <c r="BP686" s="115"/>
      <c r="DR686" s="214"/>
      <c r="DY686" s="115"/>
      <c r="DZ686" s="334"/>
      <c r="EA686" s="334"/>
      <c r="EB686" s="334"/>
      <c r="EC686" s="334"/>
      <c r="ED686" s="187"/>
      <c r="EE686" s="330"/>
      <c r="EH686" s="334"/>
      <c r="EI686" s="334"/>
      <c r="EM686"/>
      <c r="EO686" s="115"/>
      <c r="EP686" s="334"/>
      <c r="EQ686" s="334"/>
      <c r="ER686" s="334"/>
      <c r="ES686" s="334"/>
      <c r="ET686" s="334"/>
      <c r="EU686" s="334"/>
      <c r="EV686" s="334"/>
    </row>
    <row r="687" spans="35:152" ht="13">
      <c r="AI687" s="115" t="s">
        <v>1416</v>
      </c>
      <c r="AJ687" t="s">
        <v>2114</v>
      </c>
      <c r="AK687" s="115">
        <v>0</v>
      </c>
      <c r="AL687" s="115" t="s">
        <v>28</v>
      </c>
      <c r="AM687" s="115" t="s">
        <v>1850</v>
      </c>
      <c r="AN687" s="115" t="s">
        <v>1454</v>
      </c>
      <c r="AO687" s="115" t="s">
        <v>380</v>
      </c>
      <c r="AT687" s="115" t="s">
        <v>1415</v>
      </c>
      <c r="AU687" s="115" t="s">
        <v>2114</v>
      </c>
      <c r="AV687" s="115">
        <v>16</v>
      </c>
      <c r="AW687" s="115" t="s">
        <v>499</v>
      </c>
      <c r="AX687" s="115" t="s">
        <v>28</v>
      </c>
      <c r="AY687" s="115" t="s">
        <v>1850</v>
      </c>
      <c r="AZ687" s="115" t="s">
        <v>1902</v>
      </c>
      <c r="BA687" s="115"/>
      <c r="BB687" s="115"/>
      <c r="BC687" s="115">
        <v>94.120312499999997</v>
      </c>
      <c r="BD687" s="115"/>
      <c r="BE687" s="115"/>
      <c r="BF687" s="115"/>
      <c r="BG687" s="115"/>
      <c r="BH687" s="115">
        <v>6.6532494</v>
      </c>
      <c r="BI687" s="115"/>
      <c r="BJ687" s="115"/>
      <c r="BK687" s="115"/>
      <c r="BL687" s="115"/>
      <c r="BM687" s="115"/>
      <c r="BN687" s="115"/>
      <c r="BO687" s="115"/>
      <c r="BP687" s="115"/>
      <c r="DR687" s="214"/>
      <c r="DY687" s="115"/>
      <c r="DZ687" s="334"/>
      <c r="EA687" s="334"/>
      <c r="EB687" s="334"/>
      <c r="EC687" s="334"/>
      <c r="ED687" s="187"/>
      <c r="EE687" s="330"/>
      <c r="EH687" s="334"/>
      <c r="EI687" s="334"/>
      <c r="EM687"/>
      <c r="EO687" s="115"/>
      <c r="EP687" s="334"/>
      <c r="EQ687" s="334"/>
      <c r="ER687" s="334"/>
      <c r="ES687" s="334"/>
      <c r="ET687" s="334"/>
      <c r="EU687" s="334"/>
      <c r="EV687" s="334"/>
    </row>
    <row r="688" spans="35:152" ht="13">
      <c r="AI688" s="115" t="s">
        <v>1416</v>
      </c>
      <c r="AJ688" t="s">
        <v>2114</v>
      </c>
      <c r="AK688" s="115">
        <v>0</v>
      </c>
      <c r="AL688" s="115" t="s">
        <v>28</v>
      </c>
      <c r="AM688" s="115" t="s">
        <v>1832</v>
      </c>
      <c r="AN688" s="115" t="s">
        <v>1454</v>
      </c>
      <c r="AO688" s="115" t="s">
        <v>380</v>
      </c>
      <c r="AT688" s="115" t="s">
        <v>1415</v>
      </c>
      <c r="AU688" s="115" t="s">
        <v>2114</v>
      </c>
      <c r="AV688" s="115">
        <v>16</v>
      </c>
      <c r="AW688" s="115" t="s">
        <v>499</v>
      </c>
      <c r="AX688" s="115" t="s">
        <v>28</v>
      </c>
      <c r="AY688" s="115" t="s">
        <v>1832</v>
      </c>
      <c r="AZ688" s="115" t="s">
        <v>1902</v>
      </c>
      <c r="BA688" s="115"/>
      <c r="BB688" s="115"/>
      <c r="BC688" s="115">
        <v>129.375</v>
      </c>
      <c r="BD688" s="115"/>
      <c r="BE688" s="115"/>
      <c r="BF688" s="115"/>
      <c r="BG688" s="115"/>
      <c r="BH688" s="115">
        <v>68.590199999999996</v>
      </c>
      <c r="BI688" s="115"/>
      <c r="BJ688" s="115"/>
      <c r="BK688" s="115"/>
      <c r="BL688" s="115"/>
      <c r="BM688" s="115"/>
      <c r="BN688" s="115"/>
      <c r="BO688" s="115"/>
      <c r="BP688" s="115"/>
      <c r="DR688" s="214"/>
      <c r="DY688" s="115"/>
      <c r="DZ688" s="334"/>
      <c r="EA688" s="334"/>
      <c r="EB688" s="334"/>
      <c r="EC688" s="334"/>
      <c r="ED688" s="187"/>
      <c r="EE688" s="330"/>
      <c r="EH688" s="334"/>
      <c r="EI688" s="334"/>
      <c r="EM688"/>
      <c r="EO688" s="115"/>
      <c r="EP688" s="334"/>
      <c r="EQ688" s="334"/>
      <c r="ER688" s="334"/>
      <c r="ES688" s="334"/>
      <c r="ET688" s="334"/>
      <c r="EU688" s="334"/>
      <c r="EV688" s="334"/>
    </row>
    <row r="689" spans="35:152" ht="13">
      <c r="AI689" s="115" t="s">
        <v>1416</v>
      </c>
      <c r="AJ689" t="s">
        <v>2114</v>
      </c>
      <c r="AK689" s="115">
        <v>0</v>
      </c>
      <c r="AL689" s="115" t="s">
        <v>28</v>
      </c>
      <c r="AM689" s="115" t="s">
        <v>1850</v>
      </c>
      <c r="AN689" s="115" t="s">
        <v>1462</v>
      </c>
      <c r="AO689" s="115" t="s">
        <v>1644</v>
      </c>
      <c r="AT689" s="115" t="s">
        <v>1415</v>
      </c>
      <c r="AU689" s="115" t="s">
        <v>2114</v>
      </c>
      <c r="AV689" s="115">
        <v>16</v>
      </c>
      <c r="AW689" s="115" t="s">
        <v>499</v>
      </c>
      <c r="AX689" s="115" t="s">
        <v>28</v>
      </c>
      <c r="AY689" s="115" t="s">
        <v>1846</v>
      </c>
      <c r="AZ689" s="115" t="s">
        <v>1847</v>
      </c>
      <c r="BA689" s="115"/>
      <c r="BB689" s="115"/>
      <c r="BC689" s="115">
        <v>8768.8322864500005</v>
      </c>
      <c r="BD689" s="115"/>
      <c r="BE689" s="115"/>
      <c r="BF689" s="115"/>
      <c r="BG689" s="115"/>
      <c r="BH689" s="115">
        <v>85686.678167810693</v>
      </c>
      <c r="BI689" s="115">
        <v>4731.3529877250003</v>
      </c>
      <c r="BJ689" s="115">
        <v>587.56118459999993</v>
      </c>
      <c r="BK689" s="115"/>
      <c r="BL689" s="115"/>
      <c r="BM689" s="115">
        <v>30976.906899999998</v>
      </c>
      <c r="BN689" s="115">
        <v>15909.51</v>
      </c>
      <c r="BO689" s="115">
        <v>14781.05</v>
      </c>
      <c r="BP689" s="115"/>
      <c r="DR689" s="214"/>
      <c r="DY689" s="115"/>
      <c r="DZ689" s="334"/>
      <c r="EA689" s="334"/>
      <c r="EB689" s="334"/>
      <c r="EC689" s="334"/>
      <c r="ED689" s="187"/>
      <c r="EE689" s="330"/>
      <c r="EH689" s="334"/>
      <c r="EI689" s="334"/>
      <c r="EM689"/>
      <c r="EO689" s="115"/>
      <c r="EP689" s="334"/>
      <c r="EQ689" s="334"/>
      <c r="ER689" s="334"/>
      <c r="ES689" s="334"/>
      <c r="ET689" s="334"/>
      <c r="EU689" s="334"/>
      <c r="EV689" s="334"/>
    </row>
    <row r="690" spans="35:152" ht="13">
      <c r="AI690" s="115" t="s">
        <v>1416</v>
      </c>
      <c r="AJ690" t="s">
        <v>2114</v>
      </c>
      <c r="AK690" s="115">
        <v>0</v>
      </c>
      <c r="AL690" s="115" t="s">
        <v>28</v>
      </c>
      <c r="AM690" s="115" t="s">
        <v>1843</v>
      </c>
      <c r="AN690" s="115" t="s">
        <v>1462</v>
      </c>
      <c r="AO690" s="115" t="s">
        <v>1644</v>
      </c>
      <c r="AT690" s="115" t="s">
        <v>1415</v>
      </c>
      <c r="AU690" s="115" t="s">
        <v>2114</v>
      </c>
      <c r="AV690" s="115">
        <v>16</v>
      </c>
      <c r="AW690" s="115" t="s">
        <v>499</v>
      </c>
      <c r="AX690" s="115" t="s">
        <v>28</v>
      </c>
      <c r="AY690" s="115" t="s">
        <v>1848</v>
      </c>
      <c r="AZ690" s="115" t="s">
        <v>1847</v>
      </c>
      <c r="BA690" s="115"/>
      <c r="BB690" s="115"/>
      <c r="BC690" s="115">
        <v>51711.081304575004</v>
      </c>
      <c r="BD690" s="115"/>
      <c r="BE690" s="115"/>
      <c r="BF690" s="115">
        <v>2693.76607225</v>
      </c>
      <c r="BG690" s="115"/>
      <c r="BH690" s="115">
        <v>5351.1470490391484</v>
      </c>
      <c r="BI690" s="115">
        <v>1738.1692991250002</v>
      </c>
      <c r="BJ690" s="115">
        <v>2951.3678124937501</v>
      </c>
      <c r="BK690" s="115"/>
      <c r="BL690" s="115"/>
      <c r="BM690" s="115"/>
      <c r="BN690" s="115"/>
      <c r="BO690" s="115"/>
      <c r="BP690" s="115"/>
      <c r="DR690" s="214"/>
      <c r="DY690" s="115"/>
      <c r="DZ690" s="334"/>
      <c r="EA690" s="334"/>
      <c r="EB690" s="334"/>
      <c r="EC690" s="334"/>
      <c r="ED690" s="187"/>
      <c r="EE690" s="330"/>
      <c r="EH690" s="334"/>
      <c r="EI690" s="334"/>
      <c r="EM690"/>
      <c r="EO690" s="115"/>
      <c r="EP690" s="334"/>
      <c r="EQ690" s="334"/>
      <c r="ER690" s="334"/>
      <c r="ES690" s="334"/>
      <c r="ET690" s="334"/>
      <c r="EU690" s="334"/>
      <c r="EV690" s="334"/>
    </row>
    <row r="691" spans="35:152" ht="13">
      <c r="AI691" s="115" t="s">
        <v>1416</v>
      </c>
      <c r="AJ691" t="s">
        <v>2114</v>
      </c>
      <c r="AK691" s="115">
        <v>0</v>
      </c>
      <c r="AL691" s="115" t="s">
        <v>28</v>
      </c>
      <c r="AM691" s="115" t="s">
        <v>1848</v>
      </c>
      <c r="AN691" s="115" t="s">
        <v>1462</v>
      </c>
      <c r="AO691" s="115" t="s">
        <v>1644</v>
      </c>
      <c r="AT691" s="115" t="s">
        <v>1415</v>
      </c>
      <c r="AU691" s="115" t="s">
        <v>2114</v>
      </c>
      <c r="AV691" s="115">
        <v>16</v>
      </c>
      <c r="AW691" s="115" t="s">
        <v>499</v>
      </c>
      <c r="AX691" s="115" t="s">
        <v>28</v>
      </c>
      <c r="AY691" s="115" t="s">
        <v>1843</v>
      </c>
      <c r="AZ691" s="115" t="s">
        <v>1847</v>
      </c>
      <c r="BA691" s="115"/>
      <c r="BB691" s="115"/>
      <c r="BC691" s="115">
        <v>59941.002268041244</v>
      </c>
      <c r="BD691" s="115"/>
      <c r="BE691" s="115"/>
      <c r="BF691" s="115">
        <v>2673.0073195876289</v>
      </c>
      <c r="BG691" s="115"/>
      <c r="BH691" s="115">
        <v>86695.493206185565</v>
      </c>
      <c r="BI691" s="115">
        <v>5777.3857731958769</v>
      </c>
      <c r="BJ691" s="115">
        <v>3506.7765979381443</v>
      </c>
      <c r="BK691" s="115"/>
      <c r="BL691" s="115"/>
      <c r="BM691" s="115">
        <v>30976.906899999998</v>
      </c>
      <c r="BN691" s="115">
        <v>15909.51</v>
      </c>
      <c r="BO691" s="115">
        <v>14781.05</v>
      </c>
      <c r="BP691" s="115"/>
      <c r="DR691" s="214"/>
      <c r="DY691" s="115"/>
      <c r="DZ691" s="334"/>
      <c r="EA691" s="334"/>
      <c r="EB691" s="334"/>
      <c r="EC691" s="334"/>
      <c r="ED691" s="187"/>
      <c r="EE691" s="330"/>
      <c r="EH691" s="334"/>
      <c r="EI691" s="334"/>
      <c r="EM691"/>
      <c r="EO691" s="115"/>
      <c r="EP691" s="334"/>
      <c r="EQ691" s="334"/>
      <c r="ER691" s="334"/>
      <c r="ES691" s="334"/>
      <c r="ET691" s="334"/>
      <c r="EU691" s="334"/>
      <c r="EV691" s="334"/>
    </row>
    <row r="692" spans="35:152" ht="13">
      <c r="AI692" s="115" t="s">
        <v>1416</v>
      </c>
      <c r="AJ692" t="s">
        <v>2114</v>
      </c>
      <c r="AK692" s="115">
        <v>0</v>
      </c>
      <c r="AL692" s="115" t="s">
        <v>28</v>
      </c>
      <c r="AM692" s="115" t="s">
        <v>1832</v>
      </c>
      <c r="AN692" s="115" t="s">
        <v>1462</v>
      </c>
      <c r="AO692" s="115" t="s">
        <v>1644</v>
      </c>
      <c r="AT692" s="115" t="s">
        <v>1415</v>
      </c>
      <c r="AU692" s="115" t="s">
        <v>2114</v>
      </c>
      <c r="AV692" s="115">
        <v>16</v>
      </c>
      <c r="AW692" s="115" t="s">
        <v>499</v>
      </c>
      <c r="AX692" s="115" t="s">
        <v>28</v>
      </c>
      <c r="AY692" s="115" t="s">
        <v>1849</v>
      </c>
      <c r="AZ692" s="115" t="s">
        <v>1847</v>
      </c>
      <c r="BA692" s="115"/>
      <c r="BB692" s="115"/>
      <c r="BC692" s="115">
        <v>388.16974999999996</v>
      </c>
      <c r="BD692" s="115"/>
      <c r="BE692" s="115"/>
      <c r="BF692" s="115"/>
      <c r="BG692" s="115"/>
      <c r="BH692" s="115">
        <v>1106.3301932700001</v>
      </c>
      <c r="BI692" s="115">
        <v>135.96975</v>
      </c>
      <c r="BJ692" s="115">
        <v>7.3295624999999989</v>
      </c>
      <c r="BK692" s="115"/>
      <c r="BL692" s="115"/>
      <c r="BM692" s="115"/>
      <c r="BN692" s="115"/>
      <c r="BO692" s="115"/>
      <c r="BP692" s="115"/>
      <c r="DR692" s="214"/>
      <c r="DY692" s="115"/>
      <c r="DZ692" s="334"/>
      <c r="EA692" s="334"/>
      <c r="EB692" s="334"/>
      <c r="EC692" s="334"/>
      <c r="ED692" s="187"/>
      <c r="EE692" s="330"/>
      <c r="EH692" s="334"/>
      <c r="EI692" s="334"/>
      <c r="EM692"/>
      <c r="EO692" s="115"/>
      <c r="EP692" s="334"/>
      <c r="EQ692" s="334"/>
      <c r="ER692" s="334"/>
      <c r="ES692" s="334"/>
      <c r="ET692" s="334"/>
      <c r="EU692" s="334"/>
      <c r="EV692" s="334"/>
    </row>
    <row r="693" spans="35:152" ht="13">
      <c r="AI693" s="115" t="s">
        <v>1416</v>
      </c>
      <c r="AJ693" t="s">
        <v>2114</v>
      </c>
      <c r="AK693" s="115">
        <v>0</v>
      </c>
      <c r="AL693" s="115" t="s">
        <v>28</v>
      </c>
      <c r="AM693" s="115" t="s">
        <v>1846</v>
      </c>
      <c r="AN693" s="115" t="s">
        <v>1462</v>
      </c>
      <c r="AO693" s="115" t="s">
        <v>1274</v>
      </c>
      <c r="AT693" s="115" t="s">
        <v>1415</v>
      </c>
      <c r="AU693" s="115" t="s">
        <v>2114</v>
      </c>
      <c r="AV693" s="115">
        <v>16</v>
      </c>
      <c r="AW693" s="115" t="s">
        <v>499</v>
      </c>
      <c r="AX693" s="115" t="s">
        <v>28</v>
      </c>
      <c r="AY693" s="115" t="s">
        <v>1850</v>
      </c>
      <c r="AZ693" s="115" t="s">
        <v>1847</v>
      </c>
      <c r="BA693" s="115"/>
      <c r="BB693" s="115"/>
      <c r="BC693" s="115">
        <v>1164.5092499999998</v>
      </c>
      <c r="BD693" s="115"/>
      <c r="BE693" s="115"/>
      <c r="BF693" s="115">
        <v>57.957499999999996</v>
      </c>
      <c r="BG693" s="115"/>
      <c r="BH693" s="115">
        <v>122.92557703000003</v>
      </c>
      <c r="BI693" s="115">
        <v>45.323250000000002</v>
      </c>
      <c r="BJ693" s="115">
        <v>65.966062500000007</v>
      </c>
      <c r="BK693" s="115"/>
      <c r="BL693" s="115"/>
      <c r="BM693" s="115"/>
      <c r="BN693" s="115"/>
      <c r="BO693" s="115"/>
      <c r="BP693" s="115"/>
      <c r="DR693" s="214"/>
      <c r="DY693" s="115"/>
      <c r="DZ693" s="334"/>
      <c r="EA693" s="334"/>
      <c r="EB693" s="334"/>
      <c r="EC693" s="334"/>
      <c r="ED693" s="187"/>
      <c r="EE693" s="330"/>
      <c r="EH693" s="334"/>
      <c r="EI693" s="334"/>
      <c r="EM693"/>
      <c r="EO693" s="115"/>
      <c r="EP693" s="334"/>
      <c r="EQ693" s="334"/>
      <c r="ER693" s="334"/>
      <c r="ES693" s="334"/>
      <c r="ET693" s="334"/>
      <c r="EU693" s="334"/>
      <c r="EV693" s="334"/>
    </row>
    <row r="694" spans="35:152" ht="13">
      <c r="AI694" s="115" t="s">
        <v>1416</v>
      </c>
      <c r="AJ694" t="s">
        <v>2114</v>
      </c>
      <c r="AK694" s="115">
        <v>0</v>
      </c>
      <c r="AL694" s="115" t="s">
        <v>28</v>
      </c>
      <c r="AM694" s="115" t="s">
        <v>1850</v>
      </c>
      <c r="AN694" s="115" t="s">
        <v>1462</v>
      </c>
      <c r="AO694" s="115" t="s">
        <v>1274</v>
      </c>
      <c r="AT694" s="115" t="s">
        <v>1415</v>
      </c>
      <c r="AU694" s="115" t="s">
        <v>2114</v>
      </c>
      <c r="AV694" s="115">
        <v>16</v>
      </c>
      <c r="AW694" s="115" t="s">
        <v>499</v>
      </c>
      <c r="AX694" s="115" t="s">
        <v>28</v>
      </c>
      <c r="AY694" s="115" t="s">
        <v>1832</v>
      </c>
      <c r="AZ694" s="115" t="s">
        <v>1847</v>
      </c>
      <c r="BA694" s="115"/>
      <c r="BB694" s="115"/>
      <c r="BC694" s="115">
        <v>1600.7</v>
      </c>
      <c r="BD694" s="115"/>
      <c r="BE694" s="115"/>
      <c r="BF694" s="115">
        <v>59.75</v>
      </c>
      <c r="BG694" s="115"/>
      <c r="BH694" s="115">
        <v>1267.2739900000001</v>
      </c>
      <c r="BI694" s="115">
        <v>186.9</v>
      </c>
      <c r="BJ694" s="115">
        <v>75.562500000000014</v>
      </c>
      <c r="BK694" s="115"/>
      <c r="BL694" s="115"/>
      <c r="BM694" s="115"/>
      <c r="BN694" s="115"/>
      <c r="BO694" s="115"/>
      <c r="BP694" s="115"/>
      <c r="DR694" s="214"/>
      <c r="DY694" s="115"/>
      <c r="DZ694" s="334"/>
      <c r="EA694" s="334"/>
      <c r="EB694" s="334"/>
      <c r="EC694" s="334"/>
      <c r="ED694" s="187"/>
      <c r="EE694" s="330"/>
      <c r="EH694" s="334"/>
      <c r="EI694" s="334"/>
      <c r="EM694"/>
      <c r="EO694" s="115"/>
      <c r="EP694" s="334"/>
      <c r="EQ694" s="334"/>
      <c r="ER694" s="334"/>
      <c r="ES694" s="334"/>
      <c r="ET694" s="334"/>
      <c r="EU694" s="334"/>
      <c r="EV694" s="334"/>
    </row>
    <row r="695" spans="35:152" ht="13">
      <c r="AI695" s="115" t="s">
        <v>1416</v>
      </c>
      <c r="AJ695" t="s">
        <v>2114</v>
      </c>
      <c r="AK695" s="115">
        <v>0</v>
      </c>
      <c r="AL695" s="115" t="s">
        <v>28</v>
      </c>
      <c r="AM695" s="115" t="s">
        <v>1848</v>
      </c>
      <c r="AN695" s="115" t="s">
        <v>1462</v>
      </c>
      <c r="AO695" s="115" t="s">
        <v>1274</v>
      </c>
      <c r="AT695" s="115" t="s">
        <v>1415</v>
      </c>
      <c r="AU695" s="115" t="s">
        <v>2114</v>
      </c>
      <c r="AV695" s="115">
        <v>16</v>
      </c>
      <c r="AW695" s="115" t="s">
        <v>494</v>
      </c>
      <c r="AX695" s="115" t="s">
        <v>28</v>
      </c>
      <c r="AY695" s="115" t="s">
        <v>1846</v>
      </c>
      <c r="AZ695" s="115" t="s">
        <v>1649</v>
      </c>
      <c r="BA695" s="115"/>
      <c r="BB695" s="115"/>
      <c r="BC695" s="115">
        <v>3958.3550880124994</v>
      </c>
      <c r="BD695" s="115"/>
      <c r="BE695" s="115"/>
      <c r="BF695" s="115"/>
      <c r="BG695" s="115"/>
      <c r="BH695" s="115">
        <v>14054.787028832001</v>
      </c>
      <c r="BI695" s="115">
        <v>4539.6169303799998</v>
      </c>
      <c r="BJ695" s="115"/>
      <c r="BK695" s="115">
        <v>2148.0801120179999</v>
      </c>
      <c r="BL695" s="115">
        <v>254.87400346200005</v>
      </c>
      <c r="BM695" s="115">
        <v>20359.383600000001</v>
      </c>
      <c r="BN695" s="115">
        <v>5269.7</v>
      </c>
      <c r="BO695" s="115">
        <v>1112.31</v>
      </c>
      <c r="BP695" s="115"/>
      <c r="DR695" s="214"/>
      <c r="DY695" s="115"/>
      <c r="DZ695" s="334"/>
      <c r="EA695" s="334"/>
      <c r="EB695" s="334"/>
      <c r="EC695" s="334"/>
      <c r="ED695" s="187"/>
      <c r="EE695" s="330"/>
      <c r="EH695" s="334"/>
      <c r="EI695" s="334"/>
      <c r="EM695"/>
      <c r="EO695" s="115"/>
      <c r="EP695" s="334"/>
      <c r="EQ695" s="334"/>
      <c r="ER695" s="334"/>
      <c r="ES695" s="334"/>
      <c r="ET695" s="334"/>
      <c r="EU695" s="334"/>
      <c r="EV695" s="334"/>
    </row>
    <row r="696" spans="35:152" ht="13">
      <c r="AI696" s="115" t="s">
        <v>1416</v>
      </c>
      <c r="AJ696" t="s">
        <v>2114</v>
      </c>
      <c r="AK696" s="115">
        <v>0</v>
      </c>
      <c r="AL696" s="115" t="s">
        <v>28</v>
      </c>
      <c r="AM696" s="115" t="s">
        <v>1849</v>
      </c>
      <c r="AN696" s="115" t="s">
        <v>1462</v>
      </c>
      <c r="AO696" s="115" t="s">
        <v>1274</v>
      </c>
      <c r="AT696" s="115" t="s">
        <v>1415</v>
      </c>
      <c r="AU696" s="115" t="s">
        <v>2114</v>
      </c>
      <c r="AV696" s="115">
        <v>16</v>
      </c>
      <c r="AW696" s="115" t="s">
        <v>494</v>
      </c>
      <c r="AX696" s="115" t="s">
        <v>28</v>
      </c>
      <c r="AY696" s="115" t="s">
        <v>1848</v>
      </c>
      <c r="AZ696" s="115" t="s">
        <v>1649</v>
      </c>
      <c r="BA696" s="115"/>
      <c r="BB696" s="115"/>
      <c r="BC696" s="115">
        <v>23342.996547543753</v>
      </c>
      <c r="BD696" s="115"/>
      <c r="BE696" s="115"/>
      <c r="BF696" s="115">
        <v>157.79382849999999</v>
      </c>
      <c r="BG696" s="115"/>
      <c r="BH696" s="115">
        <v>634.12795147520001</v>
      </c>
      <c r="BI696" s="115">
        <v>2045.9805750075</v>
      </c>
      <c r="BJ696" s="115"/>
      <c r="BK696" s="115">
        <v>335.53811977800001</v>
      </c>
      <c r="BL696" s="115">
        <v>39.812269302000004</v>
      </c>
      <c r="BM696" s="115"/>
      <c r="BN696" s="115"/>
      <c r="BO696" s="115"/>
      <c r="BP696" s="115"/>
      <c r="DR696" s="214"/>
      <c r="DY696" s="115"/>
      <c r="DZ696" s="334"/>
      <c r="EA696" s="334"/>
      <c r="EB696" s="334"/>
      <c r="EC696" s="334"/>
      <c r="ED696" s="187"/>
      <c r="EE696" s="330"/>
      <c r="EH696" s="334"/>
      <c r="EI696" s="334"/>
      <c r="EM696"/>
      <c r="EO696" s="115"/>
      <c r="EP696" s="334"/>
      <c r="EQ696" s="334"/>
      <c r="ER696" s="334"/>
      <c r="ES696" s="334"/>
      <c r="ET696" s="334"/>
      <c r="EU696" s="334"/>
      <c r="EV696" s="334"/>
    </row>
    <row r="697" spans="35:152" ht="13">
      <c r="AI697" s="115" t="s">
        <v>1416</v>
      </c>
      <c r="AJ697" t="s">
        <v>2114</v>
      </c>
      <c r="AK697" s="115">
        <v>0</v>
      </c>
      <c r="AL697" s="115" t="s">
        <v>28</v>
      </c>
      <c r="AM697" s="115" t="s">
        <v>1832</v>
      </c>
      <c r="AN697" s="115" t="s">
        <v>1462</v>
      </c>
      <c r="AO697" s="115" t="s">
        <v>1274</v>
      </c>
      <c r="AT697" s="115" t="s">
        <v>1415</v>
      </c>
      <c r="AU697" s="115" t="s">
        <v>2114</v>
      </c>
      <c r="AV697" s="115">
        <v>16</v>
      </c>
      <c r="AW697" s="115" t="s">
        <v>494</v>
      </c>
      <c r="AX697" s="115" t="s">
        <v>28</v>
      </c>
      <c r="AY697" s="115" t="s">
        <v>1843</v>
      </c>
      <c r="AZ697" s="115" t="s">
        <v>1649</v>
      </c>
      <c r="BA697" s="115"/>
      <c r="BB697" s="115"/>
      <c r="BC697" s="115">
        <v>27058.080618556705</v>
      </c>
      <c r="BD697" s="115"/>
      <c r="BE697" s="115"/>
      <c r="BF697" s="115">
        <v>156.5778350515464</v>
      </c>
      <c r="BG697" s="115"/>
      <c r="BH697" s="115">
        <v>14174.334856701033</v>
      </c>
      <c r="BI697" s="115">
        <v>6800.4991752577316</v>
      </c>
      <c r="BJ697" s="115"/>
      <c r="BK697" s="115">
        <v>2446.639381443299</v>
      </c>
      <c r="BL697" s="115">
        <v>290.29865979381441</v>
      </c>
      <c r="BM697" s="115">
        <v>20359.383600000001</v>
      </c>
      <c r="BN697" s="115">
        <v>5269.7</v>
      </c>
      <c r="BO697" s="115">
        <v>1112.31</v>
      </c>
      <c r="BP697" s="115"/>
      <c r="DR697" s="214"/>
      <c r="DY697" s="115"/>
      <c r="DZ697" s="334"/>
      <c r="EA697" s="334"/>
      <c r="EB697" s="334"/>
      <c r="EC697" s="334"/>
      <c r="ED697" s="187"/>
      <c r="EE697" s="330"/>
      <c r="EH697" s="334"/>
      <c r="EI697" s="334"/>
      <c r="EM697"/>
      <c r="EO697" s="115"/>
      <c r="EP697" s="334"/>
      <c r="EQ697" s="334"/>
      <c r="ER697" s="334"/>
      <c r="ES697" s="334"/>
      <c r="ET697" s="334"/>
      <c r="EU697" s="334"/>
      <c r="EV697" s="334"/>
    </row>
    <row r="698" spans="35:152" ht="13">
      <c r="AI698" s="115" t="s">
        <v>1416</v>
      </c>
      <c r="AJ698" t="s">
        <v>2114</v>
      </c>
      <c r="AK698" s="115">
        <v>0</v>
      </c>
      <c r="AL698" s="115" t="s">
        <v>28</v>
      </c>
      <c r="AM698" s="115" t="s">
        <v>1843</v>
      </c>
      <c r="AN698" s="115" t="s">
        <v>1462</v>
      </c>
      <c r="AO698" s="115" t="s">
        <v>1274</v>
      </c>
      <c r="AT698" s="115" t="s">
        <v>1415</v>
      </c>
      <c r="AU698" s="115" t="s">
        <v>2114</v>
      </c>
      <c r="AV698" s="115">
        <v>16</v>
      </c>
      <c r="AW698" s="115" t="s">
        <v>494</v>
      </c>
      <c r="AX698" s="115" t="s">
        <v>28</v>
      </c>
      <c r="AY698" s="115" t="s">
        <v>1849</v>
      </c>
      <c r="AZ698" s="115" t="s">
        <v>1649</v>
      </c>
      <c r="BA698" s="115"/>
      <c r="BB698" s="115"/>
      <c r="BC698" s="115">
        <v>175.22443750000002</v>
      </c>
      <c r="BD698" s="115"/>
      <c r="BE698" s="115"/>
      <c r="BF698" s="115"/>
      <c r="BG698" s="115"/>
      <c r="BH698" s="115">
        <v>131.10364800000002</v>
      </c>
      <c r="BI698" s="115">
        <v>160.04854500000002</v>
      </c>
      <c r="BJ698" s="115"/>
      <c r="BK698" s="115">
        <v>74.606579999999994</v>
      </c>
      <c r="BL698" s="115">
        <v>8.8522200000000009</v>
      </c>
      <c r="BM698" s="115"/>
      <c r="BN698" s="115"/>
      <c r="BO698" s="115"/>
      <c r="BP698" s="115"/>
      <c r="DR698" s="214"/>
      <c r="DY698" s="115"/>
      <c r="DZ698" s="334"/>
      <c r="EA698" s="334"/>
      <c r="EB698" s="334"/>
      <c r="EC698" s="334"/>
      <c r="ED698" s="187"/>
      <c r="EE698" s="330"/>
      <c r="EH698" s="334"/>
      <c r="EI698" s="334"/>
      <c r="EM698"/>
      <c r="EO698" s="115"/>
      <c r="EP698" s="334"/>
      <c r="EQ698" s="334"/>
      <c r="ER698" s="334"/>
      <c r="ES698" s="334"/>
      <c r="ET698" s="334"/>
      <c r="EU698" s="334"/>
      <c r="EV698" s="334"/>
    </row>
    <row r="699" spans="35:152" ht="13">
      <c r="AI699" s="115" t="s">
        <v>1416</v>
      </c>
      <c r="AJ699" t="s">
        <v>2114</v>
      </c>
      <c r="AK699" s="115">
        <v>0</v>
      </c>
      <c r="AL699" s="115" t="s">
        <v>28</v>
      </c>
      <c r="AM699" s="115" t="s">
        <v>1848</v>
      </c>
      <c r="AN699" s="115" t="s">
        <v>1462</v>
      </c>
      <c r="AO699" s="115" t="s">
        <v>381</v>
      </c>
      <c r="AT699" s="115" t="s">
        <v>1415</v>
      </c>
      <c r="AU699" s="115" t="s">
        <v>2114</v>
      </c>
      <c r="AV699" s="115">
        <v>16</v>
      </c>
      <c r="AW699" s="115" t="s">
        <v>494</v>
      </c>
      <c r="AX699" s="115" t="s">
        <v>28</v>
      </c>
      <c r="AY699" s="115" t="s">
        <v>1850</v>
      </c>
      <c r="AZ699" s="115" t="s">
        <v>1649</v>
      </c>
      <c r="BA699" s="115"/>
      <c r="BB699" s="115"/>
      <c r="BC699" s="115">
        <v>525.67331249999995</v>
      </c>
      <c r="BD699" s="115"/>
      <c r="BE699" s="115"/>
      <c r="BF699" s="115">
        <v>3.395</v>
      </c>
      <c r="BG699" s="115"/>
      <c r="BH699" s="115">
        <v>14.567072</v>
      </c>
      <c r="BI699" s="115">
        <v>53.349514999999997</v>
      </c>
      <c r="BJ699" s="115"/>
      <c r="BK699" s="115">
        <v>8.2896199999999993</v>
      </c>
      <c r="BL699" s="115">
        <v>0.98358000000000012</v>
      </c>
      <c r="BM699" s="115"/>
      <c r="BN699" s="115"/>
      <c r="BO699" s="115"/>
      <c r="BP699" s="115"/>
      <c r="DR699" s="214"/>
      <c r="DY699" s="115"/>
      <c r="DZ699" s="334"/>
      <c r="EA699" s="334"/>
      <c r="EB699" s="334"/>
      <c r="EC699" s="334"/>
      <c r="ED699" s="187"/>
      <c r="EE699" s="330"/>
      <c r="EH699" s="334"/>
      <c r="EI699" s="334"/>
      <c r="EM699"/>
      <c r="EO699" s="115"/>
      <c r="EP699" s="334"/>
      <c r="EQ699" s="334"/>
      <c r="ER699" s="334"/>
      <c r="ES699" s="334"/>
      <c r="ET699" s="334"/>
      <c r="EU699" s="334"/>
      <c r="EV699" s="334"/>
    </row>
    <row r="700" spans="35:152" ht="13">
      <c r="AI700" s="115" t="s">
        <v>1416</v>
      </c>
      <c r="AJ700" t="s">
        <v>2114</v>
      </c>
      <c r="AK700" s="115">
        <v>0</v>
      </c>
      <c r="AL700" s="115" t="s">
        <v>28</v>
      </c>
      <c r="AM700" s="115" t="s">
        <v>1846</v>
      </c>
      <c r="AN700" s="115" t="s">
        <v>1462</v>
      </c>
      <c r="AO700" s="115" t="s">
        <v>381</v>
      </c>
      <c r="AT700" s="115" t="s">
        <v>1415</v>
      </c>
      <c r="AU700" s="115" t="s">
        <v>2114</v>
      </c>
      <c r="AV700" s="115">
        <v>16</v>
      </c>
      <c r="AW700" s="115" t="s">
        <v>494</v>
      </c>
      <c r="AX700" s="115" t="s">
        <v>28</v>
      </c>
      <c r="AY700" s="115" t="s">
        <v>1832</v>
      </c>
      <c r="AZ700" s="115" t="s">
        <v>1649</v>
      </c>
      <c r="BA700" s="115"/>
      <c r="BB700" s="115"/>
      <c r="BC700" s="115">
        <v>722.57500000000005</v>
      </c>
      <c r="BD700" s="115"/>
      <c r="BE700" s="115"/>
      <c r="BF700" s="115">
        <v>3.5</v>
      </c>
      <c r="BG700" s="115"/>
      <c r="BH700" s="115">
        <v>150.17599999999999</v>
      </c>
      <c r="BI700" s="115">
        <v>219.99800000000002</v>
      </c>
      <c r="BJ700" s="115"/>
      <c r="BK700" s="115">
        <v>85.46</v>
      </c>
      <c r="BL700" s="115">
        <v>10.14</v>
      </c>
      <c r="BM700" s="115"/>
      <c r="BN700" s="115"/>
      <c r="BO700" s="115"/>
      <c r="BP700" s="115"/>
      <c r="DR700" s="214"/>
      <c r="DY700" s="115"/>
      <c r="DZ700" s="334"/>
      <c r="EA700" s="334"/>
      <c r="EB700" s="334"/>
      <c r="EC700" s="334"/>
      <c r="ED700" s="187"/>
      <c r="EE700" s="330"/>
      <c r="EH700" s="334"/>
      <c r="EI700" s="334"/>
      <c r="EM700"/>
      <c r="EO700" s="115"/>
      <c r="EP700" s="334"/>
      <c r="EQ700" s="334"/>
      <c r="ER700" s="334"/>
      <c r="ES700" s="334"/>
      <c r="ET700" s="334"/>
      <c r="EU700" s="334"/>
      <c r="EV700" s="334"/>
    </row>
    <row r="701" spans="35:152" ht="13">
      <c r="AI701" s="115" t="s">
        <v>1416</v>
      </c>
      <c r="AJ701" t="s">
        <v>2114</v>
      </c>
      <c r="AK701" s="115">
        <v>0</v>
      </c>
      <c r="AL701" s="115" t="s">
        <v>28</v>
      </c>
      <c r="AM701" s="115" t="s">
        <v>1832</v>
      </c>
      <c r="AN701" s="115" t="s">
        <v>1462</v>
      </c>
      <c r="AO701" s="115" t="s">
        <v>381</v>
      </c>
      <c r="AT701" s="115" t="s">
        <v>1415</v>
      </c>
      <c r="AU701" s="115" t="s">
        <v>2114</v>
      </c>
      <c r="AV701" s="115">
        <v>16</v>
      </c>
      <c r="AW701" s="115" t="s">
        <v>1680</v>
      </c>
      <c r="AX701" s="115" t="s">
        <v>28</v>
      </c>
      <c r="AY701" s="115" t="s">
        <v>1846</v>
      </c>
      <c r="AZ701" s="115" t="s">
        <v>1851</v>
      </c>
      <c r="BA701" s="115"/>
      <c r="BB701" s="115"/>
      <c r="BC701" s="115"/>
      <c r="BD701" s="115"/>
      <c r="BE701" s="115">
        <v>1066.2509946150001</v>
      </c>
      <c r="BF701" s="115"/>
      <c r="BG701" s="115"/>
      <c r="BH701" s="115">
        <v>1247.3689620928537</v>
      </c>
      <c r="BI701" s="115"/>
      <c r="BJ701" s="115">
        <v>195.85372819999995</v>
      </c>
      <c r="BK701" s="115"/>
      <c r="BL701" s="115"/>
      <c r="BM701" s="115"/>
      <c r="BN701" s="115"/>
      <c r="BO701" s="115"/>
      <c r="BP701" s="115"/>
      <c r="DR701" s="214"/>
      <c r="DY701" s="115"/>
      <c r="DZ701" s="334"/>
      <c r="EA701" s="334"/>
      <c r="EB701" s="334"/>
      <c r="EC701" s="334"/>
      <c r="ED701" s="187"/>
      <c r="EE701" s="330"/>
      <c r="EH701" s="334"/>
      <c r="EI701" s="334"/>
      <c r="EM701"/>
      <c r="EO701" s="115"/>
      <c r="EP701" s="334"/>
      <c r="EQ701" s="334"/>
      <c r="ER701" s="334"/>
      <c r="ES701" s="334"/>
      <c r="ET701" s="334"/>
      <c r="EU701" s="334"/>
      <c r="EV701" s="334"/>
    </row>
    <row r="702" spans="35:152" ht="13">
      <c r="AI702" s="115" t="s">
        <v>1416</v>
      </c>
      <c r="AJ702" t="s">
        <v>2114</v>
      </c>
      <c r="AK702" s="115">
        <v>0</v>
      </c>
      <c r="AL702" s="115" t="s">
        <v>28</v>
      </c>
      <c r="AM702" s="115" t="s">
        <v>1850</v>
      </c>
      <c r="AN702" s="115" t="s">
        <v>1462</v>
      </c>
      <c r="AO702" s="115" t="s">
        <v>381</v>
      </c>
      <c r="AT702" s="115" t="s">
        <v>1415</v>
      </c>
      <c r="AU702" s="115" t="s">
        <v>2114</v>
      </c>
      <c r="AV702" s="115">
        <v>16</v>
      </c>
      <c r="AW702" s="115" t="s">
        <v>1680</v>
      </c>
      <c r="AX702" s="115" t="s">
        <v>28</v>
      </c>
      <c r="AY702" s="115" t="s">
        <v>1848</v>
      </c>
      <c r="AZ702" s="115" t="s">
        <v>1851</v>
      </c>
      <c r="BA702" s="115">
        <v>11561.7236675</v>
      </c>
      <c r="BB702" s="115">
        <v>22116.856704000002</v>
      </c>
      <c r="BC702" s="115"/>
      <c r="BD702" s="115"/>
      <c r="BE702" s="115">
        <v>977.64547743500009</v>
      </c>
      <c r="BF702" s="115"/>
      <c r="BG702" s="115"/>
      <c r="BH702" s="115">
        <v>123.42135738628699</v>
      </c>
      <c r="BI702" s="115"/>
      <c r="BJ702" s="115">
        <v>983.78927083124984</v>
      </c>
      <c r="BK702" s="115"/>
      <c r="BL702" s="115"/>
      <c r="BM702" s="115"/>
      <c r="BN702" s="115"/>
      <c r="BO702" s="115"/>
      <c r="BP702" s="115"/>
      <c r="DR702" s="214"/>
      <c r="DY702" s="115"/>
      <c r="DZ702" s="334"/>
      <c r="EA702" s="334"/>
      <c r="EB702" s="334"/>
      <c r="EC702" s="334"/>
      <c r="ED702" s="187"/>
      <c r="EE702" s="330"/>
      <c r="EH702" s="334"/>
      <c r="EI702" s="334"/>
      <c r="EM702"/>
      <c r="EO702" s="115"/>
      <c r="EP702" s="334"/>
      <c r="EQ702" s="334"/>
      <c r="ER702" s="334"/>
      <c r="ES702" s="334"/>
      <c r="ET702" s="334"/>
      <c r="EU702" s="334"/>
      <c r="EV702" s="334"/>
    </row>
    <row r="703" spans="35:152" ht="13">
      <c r="AI703" s="115" t="s">
        <v>1416</v>
      </c>
      <c r="AJ703" t="s">
        <v>2114</v>
      </c>
      <c r="AK703" s="115">
        <v>0</v>
      </c>
      <c r="AL703" s="115" t="s">
        <v>28</v>
      </c>
      <c r="AM703" s="115" t="s">
        <v>1849</v>
      </c>
      <c r="AN703" s="115" t="s">
        <v>1462</v>
      </c>
      <c r="AO703" s="115" t="s">
        <v>381</v>
      </c>
      <c r="AT703" s="115" t="s">
        <v>1415</v>
      </c>
      <c r="AU703" s="115" t="s">
        <v>2114</v>
      </c>
      <c r="AV703" s="115">
        <v>16</v>
      </c>
      <c r="AW703" s="115" t="s">
        <v>1680</v>
      </c>
      <c r="AX703" s="115" t="s">
        <v>28</v>
      </c>
      <c r="AY703" s="115" t="s">
        <v>1843</v>
      </c>
      <c r="AZ703" s="115" t="s">
        <v>1851</v>
      </c>
      <c r="BA703" s="115">
        <v>11472.617113402062</v>
      </c>
      <c r="BB703" s="115">
        <v>21946.371340206188</v>
      </c>
      <c r="BC703" s="115"/>
      <c r="BD703" s="115"/>
      <c r="BE703" s="115">
        <v>2019.2922680412373</v>
      </c>
      <c r="BF703" s="115"/>
      <c r="BG703" s="115"/>
      <c r="BH703" s="115">
        <v>1270.6367010309277</v>
      </c>
      <c r="BI703" s="115"/>
      <c r="BJ703" s="115">
        <v>1168.9254639175258</v>
      </c>
      <c r="BK703" s="115"/>
      <c r="BL703" s="115"/>
      <c r="BM703" s="115"/>
      <c r="BN703" s="115"/>
      <c r="BO703" s="115"/>
      <c r="BP703" s="115"/>
      <c r="DR703" s="214"/>
      <c r="DY703" s="115"/>
      <c r="DZ703" s="334"/>
      <c r="EA703" s="334"/>
      <c r="EB703" s="334"/>
      <c r="EC703" s="334"/>
      <c r="ED703" s="187"/>
      <c r="EE703" s="330"/>
      <c r="EH703" s="334"/>
      <c r="EI703" s="334"/>
      <c r="EM703"/>
      <c r="EO703" s="115"/>
      <c r="EP703" s="334"/>
      <c r="EQ703" s="334"/>
      <c r="ER703" s="334"/>
      <c r="ES703" s="334"/>
      <c r="ET703" s="334"/>
      <c r="EU703" s="334"/>
      <c r="EV703" s="334"/>
    </row>
    <row r="704" spans="35:152" ht="13">
      <c r="AI704" s="115" t="s">
        <v>1416</v>
      </c>
      <c r="AJ704" t="s">
        <v>2114</v>
      </c>
      <c r="AK704" s="115">
        <v>0</v>
      </c>
      <c r="AL704" s="115" t="s">
        <v>28</v>
      </c>
      <c r="AM704" s="115" t="s">
        <v>1843</v>
      </c>
      <c r="AN704" s="115" t="s">
        <v>1462</v>
      </c>
      <c r="AO704" s="115" t="s">
        <v>381</v>
      </c>
      <c r="AT704" s="115" t="s">
        <v>1415</v>
      </c>
      <c r="AU704" s="115" t="s">
        <v>2114</v>
      </c>
      <c r="AV704" s="115">
        <v>16</v>
      </c>
      <c r="AW704" s="115" t="s">
        <v>1680</v>
      </c>
      <c r="AX704" s="115" t="s">
        <v>28</v>
      </c>
      <c r="AY704" s="115" t="s">
        <v>1849</v>
      </c>
      <c r="AZ704" s="115" t="s">
        <v>1851</v>
      </c>
      <c r="BA704" s="115"/>
      <c r="BB704" s="115"/>
      <c r="BC704" s="115"/>
      <c r="BD704" s="115"/>
      <c r="BE704" s="115">
        <v>21.034450000000003</v>
      </c>
      <c r="BF704" s="115"/>
      <c r="BG704" s="115"/>
      <c r="BH704" s="115">
        <v>25.516916825400003</v>
      </c>
      <c r="BI704" s="115"/>
      <c r="BJ704" s="115">
        <v>2.4431874999999992</v>
      </c>
      <c r="BK704" s="115"/>
      <c r="BL704" s="115"/>
      <c r="BM704" s="115"/>
      <c r="BN704" s="115"/>
      <c r="BO704" s="115"/>
      <c r="BP704" s="115"/>
      <c r="DR704" s="214"/>
      <c r="DY704" s="115"/>
      <c r="DZ704" s="334"/>
      <c r="EA704" s="334"/>
      <c r="EB704" s="334"/>
      <c r="EC704" s="334"/>
      <c r="ED704" s="187"/>
      <c r="EE704" s="330"/>
      <c r="EH704" s="334"/>
      <c r="EI704" s="334"/>
      <c r="EM704"/>
      <c r="EO704" s="115"/>
      <c r="EP704" s="334"/>
      <c r="EQ704" s="334"/>
      <c r="ER704" s="334"/>
      <c r="ES704" s="334"/>
      <c r="ET704" s="334"/>
      <c r="EU704" s="334"/>
      <c r="EV704" s="334"/>
    </row>
    <row r="705" spans="35:152" ht="13">
      <c r="AI705" s="115" t="s">
        <v>1416</v>
      </c>
      <c r="AJ705" t="s">
        <v>2114</v>
      </c>
      <c r="AK705" s="115">
        <v>0</v>
      </c>
      <c r="AL705" s="115" t="s">
        <v>28</v>
      </c>
      <c r="AM705" s="115" t="s">
        <v>1848</v>
      </c>
      <c r="AN705" s="115" t="s">
        <v>1462</v>
      </c>
      <c r="AO705" s="115" t="s">
        <v>379</v>
      </c>
      <c r="AT705" s="115" t="s">
        <v>1415</v>
      </c>
      <c r="AU705" s="115" t="s">
        <v>2114</v>
      </c>
      <c r="AV705" s="115">
        <v>16</v>
      </c>
      <c r="AW705" s="115" t="s">
        <v>1680</v>
      </c>
      <c r="AX705" s="115" t="s">
        <v>28</v>
      </c>
      <c r="AY705" s="115" t="s">
        <v>1850</v>
      </c>
      <c r="AZ705" s="115" t="s">
        <v>1851</v>
      </c>
      <c r="BA705" s="115">
        <v>215.82500000000002</v>
      </c>
      <c r="BB705" s="115">
        <v>550.96</v>
      </c>
      <c r="BC705" s="115"/>
      <c r="BD705" s="115"/>
      <c r="BE705" s="115">
        <v>21.034450000000003</v>
      </c>
      <c r="BF705" s="115"/>
      <c r="BG705" s="115"/>
      <c r="BH705" s="115">
        <v>2.8352129806000006</v>
      </c>
      <c r="BI705" s="115"/>
      <c r="BJ705" s="115">
        <v>21.988687499999997</v>
      </c>
      <c r="BK705" s="115"/>
      <c r="BL705" s="115"/>
      <c r="BM705" s="115"/>
      <c r="BN705" s="115"/>
      <c r="BO705" s="115"/>
      <c r="BP705" s="115"/>
      <c r="DR705" s="214"/>
      <c r="DY705" s="115"/>
      <c r="DZ705" s="334"/>
      <c r="EA705" s="334"/>
      <c r="EB705" s="334"/>
      <c r="EC705" s="334"/>
      <c r="ED705" s="187"/>
      <c r="EE705" s="330"/>
      <c r="EH705" s="334"/>
      <c r="EI705" s="334"/>
      <c r="EM705"/>
      <c r="EO705" s="115"/>
      <c r="EP705" s="334"/>
      <c r="EQ705" s="334"/>
      <c r="ER705" s="334"/>
      <c r="ES705" s="334"/>
      <c r="ET705" s="334"/>
      <c r="EU705" s="334"/>
      <c r="EV705" s="334"/>
    </row>
    <row r="706" spans="35:152" ht="13">
      <c r="AI706" s="115" t="s">
        <v>1416</v>
      </c>
      <c r="AJ706" t="s">
        <v>2114</v>
      </c>
      <c r="AK706" s="115">
        <v>0</v>
      </c>
      <c r="AL706" s="115" t="s">
        <v>28</v>
      </c>
      <c r="AM706" s="115" t="s">
        <v>1849</v>
      </c>
      <c r="AN706" s="115" t="s">
        <v>1462</v>
      </c>
      <c r="AO706" s="115" t="s">
        <v>379</v>
      </c>
      <c r="AT706" s="115" t="s">
        <v>1415</v>
      </c>
      <c r="AU706" s="115" t="s">
        <v>2114</v>
      </c>
      <c r="AV706" s="115">
        <v>16</v>
      </c>
      <c r="AW706" s="115" t="s">
        <v>1680</v>
      </c>
      <c r="AX706" s="115" t="s">
        <v>28</v>
      </c>
      <c r="AY706" s="115" t="s">
        <v>1832</v>
      </c>
      <c r="AZ706" s="115" t="s">
        <v>1851</v>
      </c>
      <c r="BA706" s="115">
        <v>222.50000000000003</v>
      </c>
      <c r="BB706" s="115">
        <v>568</v>
      </c>
      <c r="BC706" s="115"/>
      <c r="BD706" s="115"/>
      <c r="BE706" s="115">
        <v>43.370000000000005</v>
      </c>
      <c r="BF706" s="115"/>
      <c r="BG706" s="115"/>
      <c r="BH706" s="115">
        <v>29.228999800000004</v>
      </c>
      <c r="BI706" s="115"/>
      <c r="BJ706" s="115">
        <v>25.1875</v>
      </c>
      <c r="BK706" s="115"/>
      <c r="BL706" s="115"/>
      <c r="BM706" s="115"/>
      <c r="BN706" s="115"/>
      <c r="BO706" s="115"/>
      <c r="BP706" s="115"/>
      <c r="DR706" s="214"/>
      <c r="DY706" s="115"/>
      <c r="DZ706" s="334"/>
      <c r="EA706" s="334"/>
      <c r="EB706" s="334"/>
      <c r="EC706" s="334"/>
      <c r="ED706" s="187"/>
      <c r="EE706" s="330"/>
      <c r="EH706" s="334"/>
      <c r="EI706" s="334"/>
      <c r="EM706"/>
      <c r="EO706" s="115"/>
      <c r="EP706" s="334"/>
      <c r="EQ706" s="334"/>
      <c r="ER706" s="334"/>
      <c r="ES706" s="334"/>
      <c r="ET706" s="334"/>
      <c r="EU706" s="334"/>
      <c r="EV706" s="334"/>
    </row>
    <row r="707" spans="35:152" ht="13">
      <c r="AI707" s="115" t="s">
        <v>1416</v>
      </c>
      <c r="AJ707" t="s">
        <v>2114</v>
      </c>
      <c r="AK707" s="115">
        <v>0</v>
      </c>
      <c r="AL707" s="115" t="s">
        <v>28</v>
      </c>
      <c r="AM707" s="115" t="s">
        <v>1832</v>
      </c>
      <c r="AN707" s="115" t="s">
        <v>1462</v>
      </c>
      <c r="AO707" s="115" t="s">
        <v>379</v>
      </c>
      <c r="AT707" s="115" t="s">
        <v>1415</v>
      </c>
      <c r="AU707" s="115" t="s">
        <v>2114</v>
      </c>
      <c r="AV707" s="115">
        <v>16</v>
      </c>
      <c r="AW707" s="115" t="s">
        <v>1681</v>
      </c>
      <c r="AX707" s="115" t="s">
        <v>28</v>
      </c>
      <c r="AY707" s="115" t="s">
        <v>1846</v>
      </c>
      <c r="AZ707" s="115" t="s">
        <v>1852</v>
      </c>
      <c r="BA707" s="115"/>
      <c r="BB707" s="115"/>
      <c r="BC707" s="115"/>
      <c r="BD707" s="115"/>
      <c r="BE707" s="115"/>
      <c r="BF707" s="115"/>
      <c r="BG707" s="115"/>
      <c r="BH707" s="115">
        <v>1877.7322079999999</v>
      </c>
      <c r="BI707" s="115">
        <v>1376.748063</v>
      </c>
      <c r="BJ707" s="115"/>
      <c r="BK707" s="115"/>
      <c r="BL707" s="115"/>
      <c r="BM707" s="115"/>
      <c r="BN707" s="115"/>
      <c r="BO707" s="115"/>
      <c r="BP707" s="115"/>
      <c r="DR707" s="214"/>
      <c r="DY707" s="115"/>
      <c r="DZ707" s="334"/>
      <c r="EA707" s="334"/>
      <c r="EB707" s="334"/>
      <c r="EC707" s="334"/>
      <c r="ED707" s="187"/>
      <c r="EE707" s="330"/>
      <c r="EH707" s="334"/>
      <c r="EI707" s="334"/>
      <c r="EM707"/>
      <c r="EO707" s="115"/>
      <c r="EP707" s="334"/>
      <c r="EQ707" s="334"/>
      <c r="ER707" s="334"/>
      <c r="ES707" s="334"/>
      <c r="ET707" s="334"/>
      <c r="EU707" s="334"/>
      <c r="EV707" s="334"/>
    </row>
    <row r="708" spans="35:152" ht="13">
      <c r="AI708" s="115" t="s">
        <v>1416</v>
      </c>
      <c r="AJ708" t="s">
        <v>2114</v>
      </c>
      <c r="AK708" s="115">
        <v>0</v>
      </c>
      <c r="AL708" s="115" t="s">
        <v>28</v>
      </c>
      <c r="AM708" s="115" t="s">
        <v>1843</v>
      </c>
      <c r="AN708" s="115" t="s">
        <v>1462</v>
      </c>
      <c r="AO708" s="115" t="s">
        <v>379</v>
      </c>
      <c r="AT708" s="115" t="s">
        <v>1415</v>
      </c>
      <c r="AU708" s="115" t="s">
        <v>2114</v>
      </c>
      <c r="AV708" s="115">
        <v>16</v>
      </c>
      <c r="AW708" s="115" t="s">
        <v>1681</v>
      </c>
      <c r="AX708" s="115" t="s">
        <v>28</v>
      </c>
      <c r="AY708" s="115" t="s">
        <v>1848</v>
      </c>
      <c r="AZ708" s="115" t="s">
        <v>1852</v>
      </c>
      <c r="BA708" s="115">
        <v>311.77681799999999</v>
      </c>
      <c r="BB708" s="115"/>
      <c r="BC708" s="115"/>
      <c r="BD708" s="115"/>
      <c r="BE708" s="115"/>
      <c r="BF708" s="115"/>
      <c r="BG708" s="115"/>
      <c r="BH708" s="115">
        <v>185.79286879999998</v>
      </c>
      <c r="BI708" s="115">
        <v>785.12731199999996</v>
      </c>
      <c r="BJ708" s="115"/>
      <c r="BK708" s="115"/>
      <c r="BL708" s="115"/>
      <c r="BM708" s="115"/>
      <c r="BN708" s="115"/>
      <c r="BO708" s="115"/>
      <c r="BP708" s="115"/>
      <c r="DR708" s="214"/>
      <c r="DY708" s="115"/>
      <c r="DZ708" s="334"/>
      <c r="EA708" s="334"/>
      <c r="EB708" s="334"/>
      <c r="EC708" s="334"/>
      <c r="ED708" s="187"/>
      <c r="EE708" s="330"/>
      <c r="EH708" s="334"/>
      <c r="EI708" s="334"/>
      <c r="EM708"/>
      <c r="EO708" s="115"/>
      <c r="EP708" s="334"/>
      <c r="EQ708" s="334"/>
      <c r="ER708" s="334"/>
      <c r="ES708" s="334"/>
      <c r="ET708" s="334"/>
      <c r="EU708" s="334"/>
      <c r="EV708" s="334"/>
    </row>
    <row r="709" spans="35:152" ht="13">
      <c r="AI709" s="115" t="s">
        <v>1416</v>
      </c>
      <c r="AJ709" t="s">
        <v>2114</v>
      </c>
      <c r="AK709" s="115">
        <v>0</v>
      </c>
      <c r="AL709" s="115" t="s">
        <v>28</v>
      </c>
      <c r="AM709" s="115" t="s">
        <v>1850</v>
      </c>
      <c r="AN709" s="115" t="s">
        <v>1462</v>
      </c>
      <c r="AO709" s="115" t="s">
        <v>379</v>
      </c>
      <c r="AT709" s="115" t="s">
        <v>1415</v>
      </c>
      <c r="AU709" s="115" t="s">
        <v>2114</v>
      </c>
      <c r="AV709" s="115">
        <v>16</v>
      </c>
      <c r="AW709" s="115" t="s">
        <v>1681</v>
      </c>
      <c r="AX709" s="115" t="s">
        <v>28</v>
      </c>
      <c r="AY709" s="115" t="s">
        <v>1843</v>
      </c>
      <c r="AZ709" s="115" t="s">
        <v>1852</v>
      </c>
      <c r="BA709" s="115">
        <v>309.37391752577321</v>
      </c>
      <c r="BB709" s="115"/>
      <c r="BC709" s="115"/>
      <c r="BD709" s="115"/>
      <c r="BE709" s="115"/>
      <c r="BF709" s="115"/>
      <c r="BG709" s="115"/>
      <c r="BH709" s="115">
        <v>1912.7584536082475</v>
      </c>
      <c r="BI709" s="115">
        <v>1391.0238144329899</v>
      </c>
      <c r="BJ709" s="115"/>
      <c r="BK709" s="115"/>
      <c r="BL709" s="115"/>
      <c r="BM709" s="115"/>
      <c r="BN709" s="115"/>
      <c r="BO709" s="115"/>
      <c r="BP709" s="115"/>
      <c r="DR709" s="214"/>
      <c r="DY709" s="115"/>
      <c r="DZ709" s="334"/>
      <c r="EA709" s="334"/>
      <c r="EB709" s="334"/>
      <c r="EC709" s="334"/>
      <c r="ED709" s="187"/>
      <c r="EE709" s="330"/>
      <c r="EH709" s="334"/>
      <c r="EI709" s="334"/>
      <c r="EM709"/>
      <c r="EO709" s="115"/>
      <c r="EP709" s="334"/>
      <c r="EQ709" s="334"/>
      <c r="ER709" s="334"/>
      <c r="ES709" s="334"/>
      <c r="ET709" s="334"/>
      <c r="EU709" s="334"/>
      <c r="EV709" s="334"/>
    </row>
    <row r="710" spans="35:152" ht="13">
      <c r="AI710" s="115" t="s">
        <v>1416</v>
      </c>
      <c r="AJ710" t="s">
        <v>2114</v>
      </c>
      <c r="AK710" s="115">
        <v>0</v>
      </c>
      <c r="AL710" s="115" t="s">
        <v>28</v>
      </c>
      <c r="AM710" s="115" t="s">
        <v>1846</v>
      </c>
      <c r="AN710" s="115" t="s">
        <v>1462</v>
      </c>
      <c r="AO710" s="115" t="s">
        <v>379</v>
      </c>
      <c r="AT710" s="115" t="s">
        <v>1415</v>
      </c>
      <c r="AU710" s="115" t="s">
        <v>2114</v>
      </c>
      <c r="AV710" s="115">
        <v>16</v>
      </c>
      <c r="AW710" s="115" t="s">
        <v>1681</v>
      </c>
      <c r="AX710" s="115" t="s">
        <v>28</v>
      </c>
      <c r="AY710" s="115" t="s">
        <v>1849</v>
      </c>
      <c r="AZ710" s="115" t="s">
        <v>1852</v>
      </c>
      <c r="BA710" s="115"/>
      <c r="BB710" s="115"/>
      <c r="BC710" s="115"/>
      <c r="BD710" s="115"/>
      <c r="BE710" s="115"/>
      <c r="BF710" s="115"/>
      <c r="BG710" s="115"/>
      <c r="BH710" s="115">
        <v>38.411999999999999</v>
      </c>
      <c r="BI710" s="115">
        <v>26.189999999999998</v>
      </c>
      <c r="BJ710" s="115"/>
      <c r="BK710" s="115"/>
      <c r="BL710" s="115"/>
      <c r="BM710" s="115"/>
      <c r="BN710" s="115"/>
      <c r="BO710" s="115"/>
      <c r="BP710" s="115"/>
      <c r="DR710" s="214"/>
      <c r="DY710" s="115"/>
      <c r="DZ710" s="334"/>
      <c r="EA710" s="334"/>
      <c r="EB710" s="334"/>
      <c r="EC710" s="334"/>
      <c r="ED710" s="187"/>
      <c r="EE710" s="330"/>
      <c r="EH710" s="334"/>
      <c r="EI710" s="334"/>
      <c r="EM710"/>
      <c r="EO710" s="115"/>
      <c r="EP710" s="334"/>
      <c r="EQ710" s="334"/>
      <c r="ER710" s="334"/>
      <c r="ES710" s="334"/>
      <c r="ET710" s="334"/>
      <c r="EU710" s="334"/>
      <c r="EV710" s="334"/>
    </row>
    <row r="711" spans="35:152" ht="13">
      <c r="AI711" s="115" t="s">
        <v>1416</v>
      </c>
      <c r="AJ711" t="s">
        <v>2114</v>
      </c>
      <c r="AK711" s="115">
        <v>0</v>
      </c>
      <c r="AL711" s="115" t="s">
        <v>28</v>
      </c>
      <c r="AM711" s="115" t="s">
        <v>1850</v>
      </c>
      <c r="AN711" s="115" t="s">
        <v>1462</v>
      </c>
      <c r="AO711" s="115" t="s">
        <v>1645</v>
      </c>
      <c r="AT711" s="115" t="s">
        <v>1415</v>
      </c>
      <c r="AU711" s="115" t="s">
        <v>2114</v>
      </c>
      <c r="AV711" s="115">
        <v>16</v>
      </c>
      <c r="AW711" s="115" t="s">
        <v>1681</v>
      </c>
      <c r="AX711" s="115" t="s">
        <v>28</v>
      </c>
      <c r="AY711" s="115" t="s">
        <v>1850</v>
      </c>
      <c r="AZ711" s="115" t="s">
        <v>1852</v>
      </c>
      <c r="BA711" s="115">
        <v>5.82</v>
      </c>
      <c r="BB711" s="115"/>
      <c r="BC711" s="115"/>
      <c r="BD711" s="115"/>
      <c r="BE711" s="115"/>
      <c r="BF711" s="115"/>
      <c r="BG711" s="115"/>
      <c r="BH711" s="115">
        <v>4.2679999999999998</v>
      </c>
      <c r="BI711" s="115">
        <v>17.46</v>
      </c>
      <c r="BJ711" s="115"/>
      <c r="BK711" s="115"/>
      <c r="BL711" s="115"/>
      <c r="BM711" s="115"/>
      <c r="BN711" s="115"/>
      <c r="BO711" s="115"/>
      <c r="BP711" s="115"/>
      <c r="DR711" s="214"/>
      <c r="DY711" s="115"/>
      <c r="DZ711" s="334"/>
      <c r="EA711" s="334"/>
      <c r="EB711" s="334"/>
      <c r="EC711" s="334"/>
      <c r="ED711" s="187"/>
      <c r="EE711" s="330"/>
      <c r="EH711" s="334"/>
      <c r="EI711" s="334"/>
      <c r="EM711"/>
      <c r="EO711" s="115"/>
      <c r="EP711" s="334"/>
      <c r="EQ711" s="334"/>
      <c r="ER711" s="334"/>
      <c r="ES711" s="334"/>
      <c r="ET711" s="334"/>
      <c r="EU711" s="334"/>
      <c r="EV711" s="334"/>
    </row>
    <row r="712" spans="35:152" ht="13">
      <c r="AI712" s="115" t="s">
        <v>1416</v>
      </c>
      <c r="AJ712" t="s">
        <v>2114</v>
      </c>
      <c r="AK712" s="115">
        <v>0</v>
      </c>
      <c r="AL712" s="115" t="s">
        <v>28</v>
      </c>
      <c r="AM712" s="115" t="s">
        <v>1849</v>
      </c>
      <c r="AN712" s="115" t="s">
        <v>1462</v>
      </c>
      <c r="AO712" s="115" t="s">
        <v>1645</v>
      </c>
      <c r="AT712" s="115" t="s">
        <v>1415</v>
      </c>
      <c r="AU712" s="115" t="s">
        <v>2114</v>
      </c>
      <c r="AV712" s="115">
        <v>16</v>
      </c>
      <c r="AW712" s="115" t="s">
        <v>1681</v>
      </c>
      <c r="AX712" s="115" t="s">
        <v>28</v>
      </c>
      <c r="AY712" s="115" t="s">
        <v>1832</v>
      </c>
      <c r="AZ712" s="115" t="s">
        <v>1852</v>
      </c>
      <c r="BA712" s="115">
        <v>6.0000000000000009</v>
      </c>
      <c r="BB712" s="115"/>
      <c r="BC712" s="115"/>
      <c r="BD712" s="115"/>
      <c r="BE712" s="115"/>
      <c r="BF712" s="115"/>
      <c r="BG712" s="115"/>
      <c r="BH712" s="115">
        <v>44</v>
      </c>
      <c r="BI712" s="115">
        <v>45</v>
      </c>
      <c r="BJ712" s="115"/>
      <c r="BK712" s="115"/>
      <c r="BL712" s="115"/>
      <c r="BM712" s="115"/>
      <c r="BN712" s="115"/>
      <c r="BO712" s="115"/>
      <c r="BP712" s="115"/>
      <c r="DR712" s="214"/>
      <c r="DY712" s="115"/>
      <c r="DZ712" s="334"/>
      <c r="EA712" s="334"/>
      <c r="EB712" s="334"/>
      <c r="EC712" s="334"/>
      <c r="ED712" s="187"/>
      <c r="EE712" s="330"/>
      <c r="EH712" s="334"/>
      <c r="EI712" s="334"/>
      <c r="EM712"/>
      <c r="EO712" s="115"/>
      <c r="EP712" s="334"/>
      <c r="EQ712" s="334"/>
      <c r="ER712" s="334"/>
      <c r="ES712" s="334"/>
      <c r="ET712" s="334"/>
      <c r="EU712" s="334"/>
      <c r="EV712" s="334"/>
    </row>
    <row r="713" spans="35:152" ht="13">
      <c r="AI713" s="115" t="s">
        <v>1416</v>
      </c>
      <c r="AJ713" t="s">
        <v>2114</v>
      </c>
      <c r="AK713" s="115">
        <v>0</v>
      </c>
      <c r="AL713" s="115" t="s">
        <v>28</v>
      </c>
      <c r="AM713" s="115" t="s">
        <v>1832</v>
      </c>
      <c r="AN713" s="115" t="s">
        <v>1462</v>
      </c>
      <c r="AO713" s="115" t="s">
        <v>1645</v>
      </c>
      <c r="AT713" s="115" t="s">
        <v>1415</v>
      </c>
      <c r="AU713" s="115" t="s">
        <v>2114</v>
      </c>
      <c r="AV713" s="115">
        <v>16</v>
      </c>
      <c r="AW713" s="115" t="s">
        <v>1682</v>
      </c>
      <c r="AX713" s="115" t="s">
        <v>28</v>
      </c>
      <c r="AY713" s="115" t="s">
        <v>1846</v>
      </c>
      <c r="AZ713" s="115" t="s">
        <v>1853</v>
      </c>
      <c r="BA713" s="115"/>
      <c r="BB713" s="115"/>
      <c r="BC713" s="115"/>
      <c r="BD713" s="115">
        <v>14936.547947385418</v>
      </c>
      <c r="BE713" s="115">
        <v>1499.6843595</v>
      </c>
      <c r="BF713" s="115"/>
      <c r="BG713" s="115">
        <v>12019.718793726113</v>
      </c>
      <c r="BH713" s="115"/>
      <c r="BI713" s="115"/>
      <c r="BJ713" s="115"/>
      <c r="BK713" s="115"/>
      <c r="BL713" s="115"/>
      <c r="BM713" s="115"/>
      <c r="BN713" s="115"/>
      <c r="BO713" s="115"/>
      <c r="BP713" s="115"/>
      <c r="DR713" s="214"/>
      <c r="DY713" s="115"/>
      <c r="DZ713" s="334"/>
      <c r="EA713" s="334"/>
      <c r="EB713" s="334"/>
      <c r="EC713" s="334"/>
      <c r="ED713" s="187"/>
      <c r="EE713" s="330"/>
      <c r="EH713" s="334"/>
      <c r="EI713" s="334"/>
      <c r="EM713"/>
      <c r="EO713" s="115"/>
      <c r="EP713" s="334"/>
      <c r="EQ713" s="334"/>
      <c r="ER713" s="334"/>
      <c r="ES713" s="334"/>
      <c r="ET713" s="334"/>
      <c r="EU713" s="334"/>
      <c r="EV713" s="334"/>
    </row>
    <row r="714" spans="35:152" ht="13">
      <c r="AI714" s="115" t="s">
        <v>1416</v>
      </c>
      <c r="AJ714" t="s">
        <v>2114</v>
      </c>
      <c r="AK714" s="115">
        <v>0</v>
      </c>
      <c r="AL714" s="115" t="s">
        <v>28</v>
      </c>
      <c r="AM714" s="115" t="s">
        <v>1846</v>
      </c>
      <c r="AN714" s="115" t="s">
        <v>1462</v>
      </c>
      <c r="AO714" s="115" t="s">
        <v>1645</v>
      </c>
      <c r="AT714" s="115" t="s">
        <v>1415</v>
      </c>
      <c r="AU714" s="115" t="s">
        <v>2114</v>
      </c>
      <c r="AV714" s="115">
        <v>16</v>
      </c>
      <c r="AW714" s="115" t="s">
        <v>1682</v>
      </c>
      <c r="AX714" s="115" t="s">
        <v>28</v>
      </c>
      <c r="AY714" s="115" t="s">
        <v>1848</v>
      </c>
      <c r="AZ714" s="115" t="s">
        <v>1853</v>
      </c>
      <c r="BA714" s="115"/>
      <c r="BB714" s="115"/>
      <c r="BC714" s="115"/>
      <c r="BD714" s="115">
        <v>13810.504017072917</v>
      </c>
      <c r="BE714" s="115">
        <v>1375.0605055000001</v>
      </c>
      <c r="BF714" s="115"/>
      <c r="BG714" s="115">
        <v>2570.461989687778</v>
      </c>
      <c r="BH714" s="115"/>
      <c r="BI714" s="115"/>
      <c r="BJ714" s="115"/>
      <c r="BK714" s="115"/>
      <c r="BL714" s="115"/>
      <c r="BM714" s="115"/>
      <c r="BN714" s="115"/>
      <c r="BO714" s="115"/>
      <c r="BP714" s="115"/>
      <c r="DR714" s="214"/>
      <c r="DY714" s="115"/>
      <c r="DZ714" s="334"/>
      <c r="EA714" s="334"/>
      <c r="EB714" s="334"/>
      <c r="EC714" s="334"/>
      <c r="ED714" s="187"/>
      <c r="EE714" s="330"/>
      <c r="EH714" s="334"/>
      <c r="EI714" s="334"/>
      <c r="EM714"/>
      <c r="EO714" s="115"/>
      <c r="EP714" s="334"/>
      <c r="EQ714" s="334"/>
      <c r="ER714" s="334"/>
      <c r="ES714" s="334"/>
      <c r="ET714" s="334"/>
      <c r="EU714" s="334"/>
      <c r="EV714" s="334"/>
    </row>
    <row r="715" spans="35:152" ht="13">
      <c r="AI715" s="115" t="s">
        <v>1416</v>
      </c>
      <c r="AJ715" t="s">
        <v>2114</v>
      </c>
      <c r="AK715" s="115">
        <v>0</v>
      </c>
      <c r="AL715" s="115" t="s">
        <v>28</v>
      </c>
      <c r="AM715" s="115" t="s">
        <v>1843</v>
      </c>
      <c r="AN715" s="115" t="s">
        <v>1462</v>
      </c>
      <c r="AO715" s="115" t="s">
        <v>1645</v>
      </c>
      <c r="AT715" s="115" t="s">
        <v>1415</v>
      </c>
      <c r="AU715" s="115" t="s">
        <v>2114</v>
      </c>
      <c r="AV715" s="115">
        <v>16</v>
      </c>
      <c r="AW715" s="115" t="s">
        <v>1682</v>
      </c>
      <c r="AX715" s="115" t="s">
        <v>28</v>
      </c>
      <c r="AY715" s="115" t="s">
        <v>1843</v>
      </c>
      <c r="AZ715" s="115" t="s">
        <v>1853</v>
      </c>
      <c r="BA715" s="115"/>
      <c r="BB715" s="115"/>
      <c r="BC715" s="115"/>
      <c r="BD715" s="115">
        <v>28401.500515463918</v>
      </c>
      <c r="BE715" s="115">
        <v>2840.1388659793815</v>
      </c>
      <c r="BF715" s="115"/>
      <c r="BG715" s="115">
        <v>14377.944845360826</v>
      </c>
      <c r="BH715" s="115"/>
      <c r="BI715" s="115"/>
      <c r="BJ715" s="115"/>
      <c r="BK715" s="115"/>
      <c r="BL715" s="115"/>
      <c r="BM715" s="115"/>
      <c r="BN715" s="115"/>
      <c r="BO715" s="115"/>
      <c r="BP715" s="115"/>
      <c r="DR715" s="214"/>
      <c r="DY715" s="115"/>
      <c r="DZ715" s="334"/>
      <c r="EA715" s="334"/>
      <c r="EB715" s="334"/>
      <c r="EC715" s="334"/>
      <c r="ED715" s="187"/>
      <c r="EE715" s="330"/>
      <c r="EH715" s="334"/>
      <c r="EI715" s="334"/>
      <c r="EM715"/>
      <c r="EO715" s="115"/>
      <c r="EP715" s="334"/>
      <c r="EQ715" s="334"/>
      <c r="ER715" s="334"/>
      <c r="ES715" s="334"/>
      <c r="ET715" s="334"/>
      <c r="EU715" s="334"/>
      <c r="EV715" s="334"/>
    </row>
    <row r="716" spans="35:152" ht="13">
      <c r="AI716" s="115" t="s">
        <v>1416</v>
      </c>
      <c r="AJ716" t="s">
        <v>2114</v>
      </c>
      <c r="AK716" s="115">
        <v>0</v>
      </c>
      <c r="AL716" s="115" t="s">
        <v>28</v>
      </c>
      <c r="AM716" s="115" t="s">
        <v>1848</v>
      </c>
      <c r="AN716" s="115" t="s">
        <v>1462</v>
      </c>
      <c r="AO716" s="115" t="s">
        <v>1645</v>
      </c>
      <c r="AT716" s="115" t="s">
        <v>1415</v>
      </c>
      <c r="AU716" s="115" t="s">
        <v>2114</v>
      </c>
      <c r="AV716" s="115">
        <v>16</v>
      </c>
      <c r="AW716" s="115" t="s">
        <v>1682</v>
      </c>
      <c r="AX716" s="115" t="s">
        <v>28</v>
      </c>
      <c r="AY716" s="115" t="s">
        <v>1849</v>
      </c>
      <c r="AZ716" s="115" t="s">
        <v>1853</v>
      </c>
      <c r="BA716" s="115"/>
      <c r="BB716" s="115"/>
      <c r="BC716" s="115"/>
      <c r="BD716" s="115">
        <v>284.13927083333334</v>
      </c>
      <c r="BE716" s="115">
        <v>29.585000000000001</v>
      </c>
      <c r="BF716" s="115"/>
      <c r="BG716" s="115">
        <v>228.65217222222225</v>
      </c>
      <c r="BH716" s="115"/>
      <c r="BI716" s="115"/>
      <c r="BJ716" s="115"/>
      <c r="BK716" s="115"/>
      <c r="BL716" s="115"/>
      <c r="BM716" s="115"/>
      <c r="BN716" s="115"/>
      <c r="BO716" s="115"/>
      <c r="BP716" s="115"/>
      <c r="DR716" s="214"/>
      <c r="DY716" s="115"/>
      <c r="DZ716" s="334"/>
      <c r="EA716" s="334"/>
      <c r="EB716" s="334"/>
      <c r="EC716" s="334"/>
      <c r="ED716" s="187"/>
      <c r="EE716" s="330"/>
      <c r="EH716" s="334"/>
      <c r="EI716" s="334"/>
      <c r="EM716"/>
      <c r="EO716" s="115"/>
      <c r="EP716" s="334"/>
      <c r="EQ716" s="334"/>
      <c r="ER716" s="334"/>
      <c r="ES716" s="334"/>
      <c r="ET716" s="334"/>
      <c r="EU716" s="334"/>
      <c r="EV716" s="334"/>
    </row>
    <row r="717" spans="35:152" ht="13">
      <c r="AI717" s="115" t="s">
        <v>1416</v>
      </c>
      <c r="AJ717" t="s">
        <v>2114</v>
      </c>
      <c r="AK717" s="115">
        <v>0</v>
      </c>
      <c r="AL717" s="115" t="s">
        <v>28</v>
      </c>
      <c r="AM717" s="115" t="s">
        <v>1843</v>
      </c>
      <c r="AN717" s="115" t="s">
        <v>1462</v>
      </c>
      <c r="AO717" s="115" t="s">
        <v>1646</v>
      </c>
      <c r="AT717" s="115" t="s">
        <v>1415</v>
      </c>
      <c r="AU717" s="115" t="s">
        <v>2114</v>
      </c>
      <c r="AV717" s="115">
        <v>16</v>
      </c>
      <c r="AW717" s="115" t="s">
        <v>1682</v>
      </c>
      <c r="AX717" s="115" t="s">
        <v>28</v>
      </c>
      <c r="AY717" s="115" t="s">
        <v>1850</v>
      </c>
      <c r="AZ717" s="115" t="s">
        <v>1853</v>
      </c>
      <c r="BA717" s="115"/>
      <c r="BB717" s="115"/>
      <c r="BC717" s="115"/>
      <c r="BD717" s="115">
        <v>284.13927083333334</v>
      </c>
      <c r="BE717" s="115">
        <v>29.585000000000001</v>
      </c>
      <c r="BF717" s="115"/>
      <c r="BG717" s="115">
        <v>57.163043055555562</v>
      </c>
      <c r="BH717" s="115"/>
      <c r="BI717" s="115"/>
      <c r="BJ717" s="115"/>
      <c r="BK717" s="115"/>
      <c r="BL717" s="115"/>
      <c r="BM717" s="115"/>
      <c r="BN717" s="115"/>
      <c r="BO717" s="115"/>
      <c r="BP717" s="115"/>
      <c r="DR717" s="214"/>
      <c r="DY717" s="115"/>
      <c r="DZ717" s="334"/>
      <c r="EA717" s="334"/>
      <c r="EB717" s="334"/>
      <c r="EC717" s="334"/>
      <c r="ED717" s="187"/>
      <c r="EE717" s="330"/>
      <c r="EH717" s="334"/>
      <c r="EI717" s="334"/>
      <c r="EM717"/>
      <c r="EO717" s="115"/>
      <c r="EP717" s="334"/>
      <c r="EQ717" s="334"/>
      <c r="ER717" s="334"/>
      <c r="ES717" s="334"/>
      <c r="ET717" s="334"/>
      <c r="EU717" s="334"/>
      <c r="EV717" s="334"/>
    </row>
    <row r="718" spans="35:152" ht="13">
      <c r="AI718" s="115" t="s">
        <v>1416</v>
      </c>
      <c r="AJ718" t="s">
        <v>2114</v>
      </c>
      <c r="AK718" s="115">
        <v>0</v>
      </c>
      <c r="AL718" s="115" t="s">
        <v>28</v>
      </c>
      <c r="AM718" s="115" t="s">
        <v>1846</v>
      </c>
      <c r="AN718" s="115" t="s">
        <v>1462</v>
      </c>
      <c r="AO718" s="115" t="s">
        <v>1646</v>
      </c>
      <c r="AT718" s="115" t="s">
        <v>1415</v>
      </c>
      <c r="AU718" s="115" t="s">
        <v>2114</v>
      </c>
      <c r="AV718" s="115">
        <v>16</v>
      </c>
      <c r="AW718" s="115" t="s">
        <v>1682</v>
      </c>
      <c r="AX718" s="115" t="s">
        <v>28</v>
      </c>
      <c r="AY718" s="115" t="s">
        <v>1832</v>
      </c>
      <c r="AZ718" s="115" t="s">
        <v>1853</v>
      </c>
      <c r="BA718" s="115"/>
      <c r="BB718" s="115"/>
      <c r="BC718" s="115"/>
      <c r="BD718" s="115">
        <v>585.85416666666674</v>
      </c>
      <c r="BE718" s="115">
        <v>61</v>
      </c>
      <c r="BF718" s="115"/>
      <c r="BG718" s="115">
        <v>294.65486111111113</v>
      </c>
      <c r="BH718" s="115"/>
      <c r="BI718" s="115"/>
      <c r="BJ718" s="115"/>
      <c r="BK718" s="115"/>
      <c r="BL718" s="115"/>
      <c r="BM718" s="115"/>
      <c r="BN718" s="115"/>
      <c r="BO718" s="115"/>
      <c r="BP718" s="115"/>
      <c r="DR718" s="214"/>
      <c r="DY718" s="115"/>
      <c r="DZ718" s="334"/>
      <c r="EA718" s="334"/>
      <c r="EB718" s="334"/>
      <c r="EC718" s="334"/>
      <c r="ED718" s="187"/>
      <c r="EE718" s="330"/>
      <c r="EH718" s="334"/>
      <c r="EI718" s="334"/>
      <c r="EM718"/>
      <c r="EO718" s="115"/>
      <c r="EP718" s="334"/>
      <c r="EQ718" s="334"/>
      <c r="ER718" s="334"/>
      <c r="ES718" s="334"/>
      <c r="ET718" s="334"/>
      <c r="EU718" s="334"/>
      <c r="EV718" s="334"/>
    </row>
    <row r="719" spans="35:152" ht="13">
      <c r="AI719" s="115" t="s">
        <v>1416</v>
      </c>
      <c r="AJ719" t="s">
        <v>2114</v>
      </c>
      <c r="AK719" s="115">
        <v>0</v>
      </c>
      <c r="AL719" s="115" t="s">
        <v>28</v>
      </c>
      <c r="AM719" s="115" t="s">
        <v>1843</v>
      </c>
      <c r="AN719" s="115" t="s">
        <v>1462</v>
      </c>
      <c r="AO719" s="115" t="s">
        <v>1647</v>
      </c>
      <c r="AT719" s="115" t="s">
        <v>1415</v>
      </c>
      <c r="AU719" s="115" t="s">
        <v>2114</v>
      </c>
      <c r="AV719" s="115">
        <v>16</v>
      </c>
      <c r="AW719" s="115" t="s">
        <v>1577</v>
      </c>
      <c r="AX719" s="115" t="s">
        <v>28</v>
      </c>
      <c r="AY719" s="115" t="s">
        <v>1846</v>
      </c>
      <c r="AZ719" s="115" t="s">
        <v>1854</v>
      </c>
      <c r="BA719" s="115"/>
      <c r="BB719" s="115"/>
      <c r="BC719" s="115">
        <v>12727.187374462501</v>
      </c>
      <c r="BD719" s="115">
        <v>14936.547947385418</v>
      </c>
      <c r="BE719" s="115">
        <v>2565.9353541150003</v>
      </c>
      <c r="BF719" s="115"/>
      <c r="BG719" s="115">
        <v>12019.718793726113</v>
      </c>
      <c r="BH719" s="115">
        <v>102866.56636673554</v>
      </c>
      <c r="BI719" s="115">
        <v>10647.717981105001</v>
      </c>
      <c r="BJ719" s="115">
        <v>783.41491279999991</v>
      </c>
      <c r="BK719" s="115">
        <v>2148.0801120179999</v>
      </c>
      <c r="BL719" s="115">
        <v>254.87400346200005</v>
      </c>
      <c r="BM719" s="115">
        <v>51336.290500000003</v>
      </c>
      <c r="BN719" s="115">
        <v>21179.21</v>
      </c>
      <c r="BO719" s="115">
        <v>15893.359999999999</v>
      </c>
      <c r="BP719" s="115"/>
      <c r="DR719" s="214"/>
      <c r="DY719" s="115"/>
      <c r="DZ719" s="334"/>
      <c r="EA719" s="334"/>
      <c r="EB719" s="334"/>
      <c r="EC719" s="334"/>
      <c r="ED719" s="187"/>
      <c r="EE719" s="330"/>
      <c r="EH719" s="334"/>
      <c r="EI719" s="334"/>
      <c r="EM719"/>
      <c r="EO719" s="115"/>
      <c r="EP719" s="334"/>
      <c r="EQ719" s="334"/>
      <c r="ER719" s="334"/>
      <c r="ES719" s="334"/>
      <c r="ET719" s="334"/>
      <c r="EU719" s="334"/>
      <c r="EV719" s="334"/>
    </row>
    <row r="720" spans="35:152" ht="13">
      <c r="AI720" s="115" t="s">
        <v>1416</v>
      </c>
      <c r="AJ720" t="s">
        <v>2114</v>
      </c>
      <c r="AK720" s="115">
        <v>0</v>
      </c>
      <c r="AL720" s="115" t="s">
        <v>28</v>
      </c>
      <c r="AM720" s="115" t="s">
        <v>1846</v>
      </c>
      <c r="AN720" s="115" t="s">
        <v>1462</v>
      </c>
      <c r="AO720" s="115" t="s">
        <v>1647</v>
      </c>
      <c r="AT720" s="115" t="s">
        <v>1415</v>
      </c>
      <c r="AU720" s="115" t="s">
        <v>2114</v>
      </c>
      <c r="AV720" s="115">
        <v>16</v>
      </c>
      <c r="AW720" s="115" t="s">
        <v>1577</v>
      </c>
      <c r="AX720" s="115" t="s">
        <v>28</v>
      </c>
      <c r="AY720" s="115" t="s">
        <v>1848</v>
      </c>
      <c r="AZ720" s="115" t="s">
        <v>1854</v>
      </c>
      <c r="BA720" s="115">
        <v>11873.500485500001</v>
      </c>
      <c r="BB720" s="115">
        <v>22116.856704000002</v>
      </c>
      <c r="BC720" s="115">
        <v>75054.07785211876</v>
      </c>
      <c r="BD720" s="115">
        <v>13810.504017072917</v>
      </c>
      <c r="BE720" s="115">
        <v>2352.7059829350001</v>
      </c>
      <c r="BF720" s="115">
        <v>2851.55990075</v>
      </c>
      <c r="BG720" s="115">
        <v>2570.461989687778</v>
      </c>
      <c r="BH720" s="115">
        <v>6294.4892267006353</v>
      </c>
      <c r="BI720" s="115">
        <v>4569.2771861325</v>
      </c>
      <c r="BJ720" s="115">
        <v>3935.1570833249998</v>
      </c>
      <c r="BK720" s="115">
        <v>335.53811977800001</v>
      </c>
      <c r="BL720" s="115">
        <v>39.812269302000004</v>
      </c>
      <c r="BM720" s="115"/>
      <c r="BN720" s="115"/>
      <c r="BO720" s="115"/>
      <c r="BP720" s="115"/>
      <c r="DR720" s="214"/>
      <c r="DY720" s="115"/>
      <c r="DZ720" s="334"/>
      <c r="EA720" s="334"/>
      <c r="EB720" s="334"/>
      <c r="EC720" s="334"/>
      <c r="ED720" s="187"/>
      <c r="EE720" s="330"/>
      <c r="EH720" s="334"/>
      <c r="EI720" s="334"/>
      <c r="EM720"/>
      <c r="EO720" s="115"/>
      <c r="EP720" s="334"/>
      <c r="EQ720" s="334"/>
      <c r="ER720" s="334"/>
      <c r="ES720" s="334"/>
      <c r="ET720" s="334"/>
      <c r="EU720" s="334"/>
      <c r="EV720" s="334"/>
    </row>
    <row r="721" spans="35:152" ht="13">
      <c r="AI721" s="115" t="s">
        <v>1416</v>
      </c>
      <c r="AJ721" t="s">
        <v>2114</v>
      </c>
      <c r="AK721" s="115">
        <v>0</v>
      </c>
      <c r="AL721" s="115" t="s">
        <v>28</v>
      </c>
      <c r="AM721" s="115" t="s">
        <v>1846</v>
      </c>
      <c r="AN721" s="115" t="s">
        <v>1462</v>
      </c>
      <c r="AO721" s="115" t="s">
        <v>1639</v>
      </c>
      <c r="AT721" s="115" t="s">
        <v>1415</v>
      </c>
      <c r="AU721" s="115" t="s">
        <v>2114</v>
      </c>
      <c r="AV721" s="115">
        <v>16</v>
      </c>
      <c r="AW721" s="115" t="s">
        <v>1577</v>
      </c>
      <c r="AX721" s="115" t="s">
        <v>28</v>
      </c>
      <c r="AY721" s="115" t="s">
        <v>1843</v>
      </c>
      <c r="AZ721" s="115" t="s">
        <v>1854</v>
      </c>
      <c r="BA721" s="115">
        <v>11781.991030927835</v>
      </c>
      <c r="BB721" s="115">
        <v>21946.371340206188</v>
      </c>
      <c r="BC721" s="115">
        <v>86999.082886597957</v>
      </c>
      <c r="BD721" s="115">
        <v>28401.500515463918</v>
      </c>
      <c r="BE721" s="115">
        <v>4859.4311340206186</v>
      </c>
      <c r="BF721" s="115">
        <v>2829.5851546391755</v>
      </c>
      <c r="BG721" s="115">
        <v>14377.944845360826</v>
      </c>
      <c r="BH721" s="115">
        <v>104053.22321752578</v>
      </c>
      <c r="BI721" s="115">
        <v>13968.908762886598</v>
      </c>
      <c r="BJ721" s="115">
        <v>4675.7020618556699</v>
      </c>
      <c r="BK721" s="115">
        <v>2446.639381443299</v>
      </c>
      <c r="BL721" s="115">
        <v>290.29865979381441</v>
      </c>
      <c r="BM721" s="115">
        <v>51336.290500000003</v>
      </c>
      <c r="BN721" s="115">
        <v>21179.21</v>
      </c>
      <c r="BO721" s="115">
        <v>15893.359999999999</v>
      </c>
      <c r="BP721" s="115"/>
      <c r="DR721" s="214"/>
      <c r="DY721" s="115"/>
      <c r="DZ721" s="334"/>
      <c r="EA721" s="334"/>
      <c r="EB721" s="334"/>
      <c r="EC721" s="334"/>
      <c r="ED721" s="187"/>
      <c r="EE721" s="330"/>
      <c r="EH721" s="334"/>
      <c r="EI721" s="334"/>
      <c r="EM721"/>
      <c r="EO721" s="115"/>
      <c r="EP721" s="334"/>
      <c r="EQ721" s="334"/>
      <c r="ER721" s="334"/>
      <c r="ES721" s="334"/>
      <c r="ET721" s="334"/>
      <c r="EU721" s="334"/>
      <c r="EV721" s="334"/>
    </row>
    <row r="722" spans="35:152" ht="13">
      <c r="AI722" s="115" t="s">
        <v>1416</v>
      </c>
      <c r="AJ722" t="s">
        <v>2114</v>
      </c>
      <c r="AK722" s="115">
        <v>0</v>
      </c>
      <c r="AL722" s="115" t="s">
        <v>28</v>
      </c>
      <c r="AM722" s="115" t="s">
        <v>1843</v>
      </c>
      <c r="AN722" s="115" t="s">
        <v>1462</v>
      </c>
      <c r="AO722" s="115" t="s">
        <v>1639</v>
      </c>
      <c r="AT722" s="115" t="s">
        <v>1415</v>
      </c>
      <c r="AU722" s="115" t="s">
        <v>2114</v>
      </c>
      <c r="AV722" s="115">
        <v>16</v>
      </c>
      <c r="AW722" s="115" t="s">
        <v>1577</v>
      </c>
      <c r="AX722" s="115" t="s">
        <v>28</v>
      </c>
      <c r="AY722" s="115" t="s">
        <v>1849</v>
      </c>
      <c r="AZ722" s="115" t="s">
        <v>1854</v>
      </c>
      <c r="BA722" s="115"/>
      <c r="BB722" s="115"/>
      <c r="BC722" s="115">
        <v>563.39418750000004</v>
      </c>
      <c r="BD722" s="115">
        <v>284.13927083333334</v>
      </c>
      <c r="BE722" s="115">
        <v>50.619450000000001</v>
      </c>
      <c r="BF722" s="115"/>
      <c r="BG722" s="115">
        <v>228.65217222222225</v>
      </c>
      <c r="BH722" s="115">
        <v>1301.3627580954001</v>
      </c>
      <c r="BI722" s="115">
        <v>322.20829500000002</v>
      </c>
      <c r="BJ722" s="115">
        <v>9.7727499999999985</v>
      </c>
      <c r="BK722" s="115">
        <v>74.606579999999994</v>
      </c>
      <c r="BL722" s="115">
        <v>8.8522200000000009</v>
      </c>
      <c r="BM722" s="115"/>
      <c r="BN722" s="115"/>
      <c r="BO722" s="115"/>
      <c r="BP722" s="115"/>
      <c r="DR722" s="214"/>
      <c r="DY722" s="115"/>
      <c r="DZ722" s="334"/>
      <c r="EA722" s="334"/>
      <c r="EB722" s="334"/>
      <c r="EC722" s="334"/>
      <c r="ED722" s="187"/>
      <c r="EE722" s="330"/>
      <c r="EH722" s="334"/>
      <c r="EI722" s="334"/>
      <c r="EM722"/>
      <c r="EO722" s="115"/>
      <c r="EP722" s="334"/>
      <c r="EQ722" s="334"/>
      <c r="ER722" s="334"/>
      <c r="ES722" s="334"/>
      <c r="ET722" s="334"/>
      <c r="EU722" s="334"/>
      <c r="EV722" s="334"/>
    </row>
    <row r="723" spans="35:152" ht="13">
      <c r="AI723" s="115" t="s">
        <v>1416</v>
      </c>
      <c r="AJ723" t="s">
        <v>2114</v>
      </c>
      <c r="AK723" s="115">
        <v>0</v>
      </c>
      <c r="AL723" s="115" t="s">
        <v>28</v>
      </c>
      <c r="AM723" s="115" t="s">
        <v>1846</v>
      </c>
      <c r="AN723" s="115" t="s">
        <v>1462</v>
      </c>
      <c r="AO723" s="115" t="s">
        <v>373</v>
      </c>
      <c r="AT723" s="115" t="s">
        <v>1415</v>
      </c>
      <c r="AU723" s="115" t="s">
        <v>2114</v>
      </c>
      <c r="AV723" s="115">
        <v>16</v>
      </c>
      <c r="AW723" s="115" t="s">
        <v>1577</v>
      </c>
      <c r="AX723" s="115" t="s">
        <v>28</v>
      </c>
      <c r="AY723" s="115" t="s">
        <v>1850</v>
      </c>
      <c r="AZ723" s="115" t="s">
        <v>1854</v>
      </c>
      <c r="BA723" s="115">
        <v>221.64500000000001</v>
      </c>
      <c r="BB723" s="115">
        <v>550.96</v>
      </c>
      <c r="BC723" s="115">
        <v>1690.1825624999997</v>
      </c>
      <c r="BD723" s="115">
        <v>284.13927083333334</v>
      </c>
      <c r="BE723" s="115">
        <v>50.619450000000001</v>
      </c>
      <c r="BF723" s="115">
        <v>61.352499999999999</v>
      </c>
      <c r="BG723" s="115">
        <v>57.163043055555562</v>
      </c>
      <c r="BH723" s="115">
        <v>144.59586201060003</v>
      </c>
      <c r="BI723" s="115">
        <v>116.13276500000001</v>
      </c>
      <c r="BJ723" s="115">
        <v>87.954750000000004</v>
      </c>
      <c r="BK723" s="115">
        <v>8.2896199999999993</v>
      </c>
      <c r="BL723" s="115">
        <v>0.98358000000000012</v>
      </c>
      <c r="BM723" s="115"/>
      <c r="BN723" s="115"/>
      <c r="BO723" s="115"/>
      <c r="BP723" s="115"/>
      <c r="DR723" s="214"/>
      <c r="DY723" s="115"/>
      <c r="DZ723" s="334"/>
      <c r="EA723" s="334"/>
      <c r="EB723" s="334"/>
      <c r="EC723" s="334"/>
      <c r="ED723" s="187"/>
      <c r="EE723" s="330"/>
      <c r="EH723" s="334"/>
      <c r="EI723" s="334"/>
      <c r="EM723"/>
      <c r="EO723" s="115"/>
      <c r="EP723" s="334"/>
      <c r="EQ723" s="334"/>
      <c r="ER723" s="334"/>
      <c r="ES723" s="334"/>
      <c r="ET723" s="334"/>
      <c r="EU723" s="334"/>
      <c r="EV723" s="334"/>
    </row>
    <row r="724" spans="35:152" ht="13">
      <c r="AI724" s="115" t="s">
        <v>1416</v>
      </c>
      <c r="AJ724" t="s">
        <v>2114</v>
      </c>
      <c r="AK724" s="115">
        <v>0</v>
      </c>
      <c r="AL724" s="115" t="s">
        <v>28</v>
      </c>
      <c r="AM724" s="115" t="s">
        <v>1850</v>
      </c>
      <c r="AN724" s="115" t="s">
        <v>1462</v>
      </c>
      <c r="AO724" s="115" t="s">
        <v>373</v>
      </c>
      <c r="AT724" s="115" t="s">
        <v>1415</v>
      </c>
      <c r="AU724" s="115" t="s">
        <v>2114</v>
      </c>
      <c r="AV724" s="115">
        <v>16</v>
      </c>
      <c r="AW724" s="115" t="s">
        <v>1577</v>
      </c>
      <c r="AX724" s="115" t="s">
        <v>28</v>
      </c>
      <c r="AY724" s="115" t="s">
        <v>1832</v>
      </c>
      <c r="AZ724" s="115" t="s">
        <v>1854</v>
      </c>
      <c r="BA724" s="115">
        <v>228.50000000000003</v>
      </c>
      <c r="BB724" s="115">
        <v>568</v>
      </c>
      <c r="BC724" s="115">
        <v>2323.2750000000001</v>
      </c>
      <c r="BD724" s="115">
        <v>585.85416666666674</v>
      </c>
      <c r="BE724" s="115">
        <v>104.37</v>
      </c>
      <c r="BF724" s="115">
        <v>63.25</v>
      </c>
      <c r="BG724" s="115">
        <v>294.65486111111113</v>
      </c>
      <c r="BH724" s="115">
        <v>1490.6789898000002</v>
      </c>
      <c r="BI724" s="115">
        <v>451.89800000000002</v>
      </c>
      <c r="BJ724" s="115">
        <v>100.75000000000001</v>
      </c>
      <c r="BK724" s="115">
        <v>85.46</v>
      </c>
      <c r="BL724" s="115">
        <v>10.14</v>
      </c>
      <c r="BM724" s="115"/>
      <c r="BN724" s="115"/>
      <c r="BO724" s="115"/>
      <c r="BP724" s="115"/>
      <c r="DR724" s="214"/>
      <c r="DY724" s="115"/>
      <c r="DZ724" s="334"/>
      <c r="EA724" s="334"/>
      <c r="EB724" s="334"/>
      <c r="EC724" s="334"/>
      <c r="ED724" s="187"/>
      <c r="EE724" s="330"/>
      <c r="EH724" s="334"/>
      <c r="EI724" s="334"/>
      <c r="EM724"/>
      <c r="EO724" s="115"/>
      <c r="EP724" s="334"/>
      <c r="EQ724" s="334"/>
      <c r="ER724" s="334"/>
      <c r="ES724" s="334"/>
      <c r="ET724" s="334"/>
      <c r="EU724" s="334"/>
      <c r="EV724" s="334"/>
    </row>
    <row r="725" spans="35:152" ht="13">
      <c r="AI725" s="115" t="s">
        <v>1416</v>
      </c>
      <c r="AJ725" t="s">
        <v>2114</v>
      </c>
      <c r="AK725" s="115">
        <v>0</v>
      </c>
      <c r="AL725" s="115" t="s">
        <v>28</v>
      </c>
      <c r="AM725" s="115" t="s">
        <v>1848</v>
      </c>
      <c r="AN725" s="115" t="s">
        <v>1462</v>
      </c>
      <c r="AO725" s="115" t="s">
        <v>373</v>
      </c>
      <c r="AT725" s="115" t="s">
        <v>1415</v>
      </c>
      <c r="AU725" s="115" t="s">
        <v>2114</v>
      </c>
      <c r="AV725" s="115">
        <v>0</v>
      </c>
      <c r="AW725" s="115" t="s">
        <v>1679</v>
      </c>
      <c r="AX725" s="115" t="s">
        <v>28</v>
      </c>
      <c r="AY725" s="115" t="s">
        <v>1846</v>
      </c>
      <c r="AZ725" s="115" t="s">
        <v>1862</v>
      </c>
      <c r="BA725" s="115"/>
      <c r="BB725" s="115"/>
      <c r="BC725" s="115"/>
      <c r="BD725" s="115"/>
      <c r="BE725" s="115"/>
      <c r="BF725" s="115"/>
      <c r="BG725" s="115"/>
      <c r="BH725" s="115"/>
      <c r="BI725" s="115"/>
      <c r="BJ725" s="115"/>
      <c r="BK725" s="115"/>
      <c r="BL725" s="115"/>
      <c r="BM725" s="115"/>
      <c r="BN725" s="115"/>
      <c r="BO725" s="115"/>
      <c r="BP725" s="115">
        <v>102793.2355</v>
      </c>
      <c r="DR725" s="214"/>
      <c r="DY725" s="115"/>
      <c r="DZ725" s="334"/>
      <c r="EA725" s="334"/>
      <c r="EB725" s="334"/>
      <c r="EC725" s="334"/>
      <c r="ED725" s="187"/>
      <c r="EE725" s="330"/>
      <c r="EH725" s="334"/>
      <c r="EI725" s="334"/>
      <c r="EM725"/>
      <c r="EO725" s="115"/>
      <c r="EP725" s="334"/>
      <c r="EQ725" s="334"/>
      <c r="ER725" s="334"/>
      <c r="ES725" s="334"/>
      <c r="ET725" s="334"/>
      <c r="EU725" s="334"/>
      <c r="EV725" s="334"/>
    </row>
    <row r="726" spans="35:152" ht="13">
      <c r="AI726" s="115" t="s">
        <v>1416</v>
      </c>
      <c r="AJ726" t="s">
        <v>2114</v>
      </c>
      <c r="AK726" s="115">
        <v>0</v>
      </c>
      <c r="AL726" s="115" t="s">
        <v>28</v>
      </c>
      <c r="AM726" s="115" t="s">
        <v>1843</v>
      </c>
      <c r="AN726" s="115" t="s">
        <v>1462</v>
      </c>
      <c r="AO726" s="115" t="s">
        <v>373</v>
      </c>
      <c r="AT726" s="115" t="s">
        <v>1415</v>
      </c>
      <c r="AU726" s="115" t="s">
        <v>2114</v>
      </c>
      <c r="AV726" s="115">
        <v>0</v>
      </c>
      <c r="AW726" s="115" t="s">
        <v>1679</v>
      </c>
      <c r="AX726" s="115" t="s">
        <v>28</v>
      </c>
      <c r="AY726" s="115" t="s">
        <v>1843</v>
      </c>
      <c r="AZ726" s="115" t="s">
        <v>1862</v>
      </c>
      <c r="BA726" s="115"/>
      <c r="BB726" s="115"/>
      <c r="BC726" s="115"/>
      <c r="BD726" s="115"/>
      <c r="BE726" s="115"/>
      <c r="BF726" s="115"/>
      <c r="BG726" s="115"/>
      <c r="BH726" s="115"/>
      <c r="BI726" s="115"/>
      <c r="BJ726" s="115"/>
      <c r="BK726" s="115"/>
      <c r="BL726" s="115"/>
      <c r="BM726" s="115"/>
      <c r="BN726" s="115"/>
      <c r="BO726" s="115"/>
      <c r="BP726" s="115">
        <v>102793.2355</v>
      </c>
      <c r="DR726" s="214"/>
      <c r="DY726" s="115"/>
      <c r="DZ726" s="334"/>
      <c r="EA726" s="334"/>
      <c r="EB726" s="334"/>
      <c r="EC726" s="334"/>
      <c r="ED726" s="187"/>
      <c r="EE726" s="330"/>
      <c r="EH726" s="334"/>
      <c r="EI726" s="334"/>
      <c r="EM726"/>
      <c r="EO726" s="115"/>
      <c r="EP726" s="334"/>
      <c r="EQ726" s="334"/>
      <c r="ER726" s="334"/>
      <c r="ES726" s="334"/>
      <c r="ET726" s="334"/>
      <c r="EU726" s="334"/>
      <c r="EV726" s="334"/>
    </row>
    <row r="727" spans="35:152" ht="13">
      <c r="AI727" s="115" t="s">
        <v>1416</v>
      </c>
      <c r="AJ727" t="s">
        <v>2114</v>
      </c>
      <c r="AK727" s="115">
        <v>0</v>
      </c>
      <c r="AL727" s="115" t="s">
        <v>28</v>
      </c>
      <c r="AM727" s="115" t="s">
        <v>1832</v>
      </c>
      <c r="AN727" s="115" t="s">
        <v>1462</v>
      </c>
      <c r="AO727" s="115" t="s">
        <v>373</v>
      </c>
      <c r="AT727" s="115" t="s">
        <v>1415</v>
      </c>
      <c r="AU727" s="115" t="s">
        <v>2114</v>
      </c>
      <c r="AV727" s="115">
        <v>0</v>
      </c>
      <c r="AW727" s="115" t="s">
        <v>1679</v>
      </c>
      <c r="AX727" s="115" t="s">
        <v>1842</v>
      </c>
      <c r="AY727" s="115" t="s">
        <v>1846</v>
      </c>
      <c r="AZ727" s="115" t="s">
        <v>1863</v>
      </c>
      <c r="BA727" s="115"/>
      <c r="BB727" s="115"/>
      <c r="BC727" s="115"/>
      <c r="BD727" s="115"/>
      <c r="BE727" s="115"/>
      <c r="BF727" s="115"/>
      <c r="BG727" s="115"/>
      <c r="BH727" s="115"/>
      <c r="BI727" s="115"/>
      <c r="BJ727" s="115"/>
      <c r="BK727" s="115"/>
      <c r="BL727" s="115"/>
      <c r="BM727" s="115"/>
      <c r="BN727" s="115"/>
      <c r="BO727" s="115"/>
      <c r="BP727" s="115">
        <v>189740.78510000001</v>
      </c>
      <c r="DR727" s="214"/>
      <c r="DY727" s="115"/>
      <c r="DZ727" s="334"/>
      <c r="EA727" s="334"/>
      <c r="EB727" s="334"/>
      <c r="EC727" s="334"/>
      <c r="ED727" s="187"/>
      <c r="EE727" s="330"/>
      <c r="EH727" s="334"/>
      <c r="EI727" s="334"/>
      <c r="EM727"/>
      <c r="EO727" s="115"/>
      <c r="EP727" s="334"/>
      <c r="EQ727" s="334"/>
      <c r="ER727" s="334"/>
      <c r="ES727" s="334"/>
      <c r="ET727" s="334"/>
      <c r="EU727" s="334"/>
      <c r="EV727" s="334"/>
    </row>
    <row r="728" spans="35:152" ht="13">
      <c r="AI728" s="115" t="s">
        <v>1416</v>
      </c>
      <c r="AJ728" t="s">
        <v>2114</v>
      </c>
      <c r="AK728" s="115">
        <v>0</v>
      </c>
      <c r="AL728" s="115" t="s">
        <v>28</v>
      </c>
      <c r="AM728" s="115" t="s">
        <v>1849</v>
      </c>
      <c r="AN728" s="115" t="s">
        <v>1462</v>
      </c>
      <c r="AO728" s="115" t="s">
        <v>373</v>
      </c>
      <c r="AT728" s="115" t="s">
        <v>1415</v>
      </c>
      <c r="AU728" s="115" t="s">
        <v>2114</v>
      </c>
      <c r="AV728" s="115">
        <v>0</v>
      </c>
      <c r="AW728" s="115" t="s">
        <v>1679</v>
      </c>
      <c r="AX728" s="115" t="s">
        <v>1842</v>
      </c>
      <c r="AY728" s="115" t="s">
        <v>1843</v>
      </c>
      <c r="AZ728" s="115" t="s">
        <v>1863</v>
      </c>
      <c r="BA728" s="115"/>
      <c r="BB728" s="115"/>
      <c r="BC728" s="115"/>
      <c r="BD728" s="115"/>
      <c r="BE728" s="115"/>
      <c r="BF728" s="115"/>
      <c r="BG728" s="115"/>
      <c r="BH728" s="115"/>
      <c r="BI728" s="115"/>
      <c r="BJ728" s="115"/>
      <c r="BK728" s="115"/>
      <c r="BL728" s="115"/>
      <c r="BM728" s="115"/>
      <c r="BN728" s="115"/>
      <c r="BO728" s="115"/>
      <c r="BP728" s="115">
        <v>189740.78510000001</v>
      </c>
      <c r="DR728" s="214"/>
      <c r="DY728" s="115"/>
      <c r="DZ728" s="334"/>
      <c r="EA728" s="334"/>
      <c r="EB728" s="334"/>
      <c r="EC728" s="334"/>
      <c r="ED728" s="187"/>
      <c r="EE728" s="330"/>
      <c r="EH728" s="334"/>
      <c r="EI728" s="334"/>
      <c r="EM728"/>
      <c r="EO728" s="115"/>
      <c r="EP728" s="334"/>
      <c r="EQ728" s="334"/>
      <c r="ER728" s="334"/>
      <c r="ES728" s="334"/>
      <c r="ET728" s="334"/>
      <c r="EU728" s="334"/>
      <c r="EV728" s="334"/>
    </row>
    <row r="729" spans="35:152" ht="13">
      <c r="AI729" s="115" t="s">
        <v>1416</v>
      </c>
      <c r="AJ729" t="s">
        <v>2114</v>
      </c>
      <c r="AK729" s="115">
        <v>0</v>
      </c>
      <c r="AL729" s="115" t="s">
        <v>28</v>
      </c>
      <c r="AM729" s="115" t="s">
        <v>1849</v>
      </c>
      <c r="AN729" s="115" t="s">
        <v>1462</v>
      </c>
      <c r="AO729" s="115" t="s">
        <v>380</v>
      </c>
      <c r="AT729" s="115" t="s">
        <v>1415</v>
      </c>
      <c r="AU729" s="115" t="s">
        <v>2114</v>
      </c>
      <c r="AV729" s="115">
        <v>0</v>
      </c>
      <c r="AW729" s="115" t="s">
        <v>1680</v>
      </c>
      <c r="AX729" s="115" t="s">
        <v>28</v>
      </c>
      <c r="AY729" s="115" t="s">
        <v>1848</v>
      </c>
      <c r="AZ729" s="115" t="s">
        <v>1864</v>
      </c>
      <c r="BA729" s="115">
        <v>40115.283916</v>
      </c>
      <c r="BB729" s="115"/>
      <c r="BC729" s="115"/>
      <c r="BD729" s="115"/>
      <c r="BE729" s="115"/>
      <c r="BF729" s="115"/>
      <c r="BG729" s="115"/>
      <c r="BH729" s="115"/>
      <c r="BI729" s="115"/>
      <c r="BJ729" s="115"/>
      <c r="BK729" s="115"/>
      <c r="BL729" s="115"/>
      <c r="BM729" s="115"/>
      <c r="BN729" s="115"/>
      <c r="BO729" s="115"/>
      <c r="BP729" s="115"/>
      <c r="DR729" s="214"/>
      <c r="DY729" s="115"/>
      <c r="DZ729" s="334"/>
      <c r="EA729" s="334"/>
      <c r="EB729" s="334"/>
      <c r="EC729" s="334"/>
      <c r="ED729" s="187"/>
      <c r="EE729" s="330"/>
      <c r="EH729" s="334"/>
      <c r="EI729" s="334"/>
      <c r="EM729"/>
      <c r="EO729" s="115"/>
      <c r="EP729" s="334"/>
      <c r="EQ729" s="334"/>
      <c r="ER729" s="334"/>
      <c r="ES729" s="334"/>
      <c r="ET729" s="334"/>
      <c r="EU729" s="334"/>
      <c r="EV729" s="334"/>
    </row>
    <row r="730" spans="35:152" ht="13">
      <c r="AI730" s="115" t="s">
        <v>1416</v>
      </c>
      <c r="AJ730" t="s">
        <v>2114</v>
      </c>
      <c r="AK730" s="115">
        <v>0</v>
      </c>
      <c r="AL730" s="115" t="s">
        <v>28</v>
      </c>
      <c r="AM730" s="115" t="s">
        <v>1850</v>
      </c>
      <c r="AN730" s="115" t="s">
        <v>1462</v>
      </c>
      <c r="AO730" s="115" t="s">
        <v>380</v>
      </c>
      <c r="AT730" s="115" t="s">
        <v>1415</v>
      </c>
      <c r="AU730" s="115" t="s">
        <v>2114</v>
      </c>
      <c r="AV730" s="115">
        <v>0</v>
      </c>
      <c r="AW730" s="115" t="s">
        <v>1680</v>
      </c>
      <c r="AX730" s="115" t="s">
        <v>28</v>
      </c>
      <c r="AY730" s="115" t="s">
        <v>1843</v>
      </c>
      <c r="AZ730" s="115" t="s">
        <v>1864</v>
      </c>
      <c r="BA730" s="115">
        <v>39806.114329896911</v>
      </c>
      <c r="BB730" s="115"/>
      <c r="BC730" s="115"/>
      <c r="BD730" s="115"/>
      <c r="BE730" s="115"/>
      <c r="BF730" s="115"/>
      <c r="BG730" s="115"/>
      <c r="BH730" s="115"/>
      <c r="BI730" s="115"/>
      <c r="BJ730" s="115"/>
      <c r="BK730" s="115"/>
      <c r="BL730" s="115"/>
      <c r="BM730" s="115"/>
      <c r="BN730" s="115"/>
      <c r="BO730" s="115"/>
      <c r="BP730" s="115"/>
      <c r="DR730" s="214"/>
      <c r="DY730" s="115"/>
      <c r="DZ730" s="334"/>
      <c r="EA730" s="334"/>
      <c r="EB730" s="334"/>
      <c r="EC730" s="334"/>
      <c r="ED730" s="187"/>
      <c r="EE730" s="330"/>
      <c r="EH730" s="334"/>
      <c r="EI730" s="334"/>
      <c r="EM730"/>
      <c r="EO730" s="115"/>
      <c r="EP730" s="334"/>
      <c r="EQ730" s="334"/>
      <c r="ER730" s="334"/>
      <c r="ES730" s="334"/>
      <c r="ET730" s="334"/>
      <c r="EU730" s="334"/>
      <c r="EV730" s="334"/>
    </row>
    <row r="731" spans="35:152" ht="13">
      <c r="AI731" s="115" t="s">
        <v>1416</v>
      </c>
      <c r="AJ731" t="s">
        <v>2114</v>
      </c>
      <c r="AK731" s="115">
        <v>0</v>
      </c>
      <c r="AL731" s="115" t="s">
        <v>28</v>
      </c>
      <c r="AM731" s="115" t="s">
        <v>1848</v>
      </c>
      <c r="AN731" s="115" t="s">
        <v>1462</v>
      </c>
      <c r="AO731" s="115" t="s">
        <v>380</v>
      </c>
      <c r="AT731" s="115" t="s">
        <v>1415</v>
      </c>
      <c r="AU731" s="115" t="s">
        <v>2114</v>
      </c>
      <c r="AV731" s="115">
        <v>0</v>
      </c>
      <c r="AW731" s="115" t="s">
        <v>1680</v>
      </c>
      <c r="AX731" s="115" t="s">
        <v>28</v>
      </c>
      <c r="AY731" s="115" t="s">
        <v>1850</v>
      </c>
      <c r="AZ731" s="115" t="s">
        <v>1864</v>
      </c>
      <c r="BA731" s="115">
        <v>748.84</v>
      </c>
      <c r="BB731" s="115"/>
      <c r="BC731" s="115"/>
      <c r="BD731" s="115"/>
      <c r="BE731" s="115"/>
      <c r="BF731" s="115"/>
      <c r="BG731" s="115"/>
      <c r="BH731" s="115"/>
      <c r="BI731" s="115"/>
      <c r="BJ731" s="115"/>
      <c r="BK731" s="115"/>
      <c r="BL731" s="115"/>
      <c r="BM731" s="115"/>
      <c r="BN731" s="115"/>
      <c r="BO731" s="115"/>
      <c r="BP731" s="115"/>
      <c r="DR731" s="214"/>
      <c r="DY731" s="115"/>
      <c r="DZ731" s="334"/>
      <c r="EA731" s="334"/>
      <c r="EB731" s="334"/>
      <c r="EC731" s="334"/>
      <c r="ED731" s="187"/>
      <c r="EE731" s="330"/>
      <c r="EH731" s="334"/>
      <c r="EI731" s="334"/>
      <c r="EM731"/>
      <c r="EO731" s="115"/>
      <c r="EP731" s="334"/>
      <c r="EQ731" s="334"/>
      <c r="ER731" s="334"/>
      <c r="ES731" s="334"/>
      <c r="ET731" s="334"/>
      <c r="EU731" s="334"/>
      <c r="EV731" s="334"/>
    </row>
    <row r="732" spans="35:152" ht="13">
      <c r="AI732" s="115" t="s">
        <v>1416</v>
      </c>
      <c r="AJ732" t="s">
        <v>2114</v>
      </c>
      <c r="AK732" s="115">
        <v>0</v>
      </c>
      <c r="AL732" s="115" t="s">
        <v>28</v>
      </c>
      <c r="AM732" s="115" t="s">
        <v>1832</v>
      </c>
      <c r="AN732" s="115" t="s">
        <v>1462</v>
      </c>
      <c r="AO732" s="115" t="s">
        <v>380</v>
      </c>
      <c r="AT732" s="115" t="s">
        <v>1415</v>
      </c>
      <c r="AU732" s="115" t="s">
        <v>2114</v>
      </c>
      <c r="AV732" s="115">
        <v>0</v>
      </c>
      <c r="AW732" s="115" t="s">
        <v>1680</v>
      </c>
      <c r="AX732" s="115" t="s">
        <v>28</v>
      </c>
      <c r="AY732" s="115" t="s">
        <v>1832</v>
      </c>
      <c r="AZ732" s="115" t="s">
        <v>1864</v>
      </c>
      <c r="BA732" s="115">
        <v>772</v>
      </c>
      <c r="BB732" s="115"/>
      <c r="BC732" s="115"/>
      <c r="BD732" s="115"/>
      <c r="BE732" s="115"/>
      <c r="BF732" s="115"/>
      <c r="BG732" s="115"/>
      <c r="BH732" s="115"/>
      <c r="BI732" s="115"/>
      <c r="BJ732" s="115"/>
      <c r="BK732" s="115"/>
      <c r="BL732" s="115"/>
      <c r="BM732" s="115"/>
      <c r="BN732" s="115"/>
      <c r="BO732" s="115"/>
      <c r="BP732" s="115"/>
      <c r="DR732" s="214"/>
      <c r="DY732" s="115"/>
      <c r="DZ732" s="334"/>
      <c r="EA732" s="334"/>
      <c r="EB732" s="334"/>
      <c r="EC732" s="334"/>
      <c r="ED732" s="187"/>
      <c r="EE732" s="330"/>
      <c r="EH732" s="334"/>
      <c r="EI732" s="334"/>
      <c r="EM732"/>
      <c r="EO732" s="115"/>
      <c r="EP732" s="334"/>
      <c r="EQ732" s="334"/>
      <c r="ER732" s="334"/>
      <c r="ES732" s="334"/>
      <c r="ET732" s="334"/>
      <c r="EU732" s="334"/>
      <c r="EV732" s="334"/>
    </row>
    <row r="733" spans="35:152" ht="13">
      <c r="AI733" s="115" t="s">
        <v>1416</v>
      </c>
      <c r="AJ733" t="s">
        <v>2114</v>
      </c>
      <c r="AK733" s="115">
        <v>0</v>
      </c>
      <c r="AL733" s="115" t="s">
        <v>28</v>
      </c>
      <c r="AM733" s="115" t="s">
        <v>1843</v>
      </c>
      <c r="AN733" s="115" t="s">
        <v>1462</v>
      </c>
      <c r="AO733" s="115" t="s">
        <v>380</v>
      </c>
      <c r="AT733" s="115" t="s">
        <v>1415</v>
      </c>
      <c r="AU733" s="115" t="s">
        <v>2114</v>
      </c>
      <c r="AV733" s="115">
        <v>0</v>
      </c>
      <c r="AW733" s="115" t="s">
        <v>1680</v>
      </c>
      <c r="AX733" s="115" t="s">
        <v>28</v>
      </c>
      <c r="AY733" s="115" t="s">
        <v>1846</v>
      </c>
      <c r="AZ733" s="115" t="s">
        <v>1865</v>
      </c>
      <c r="BA733" s="115"/>
      <c r="BB733" s="115"/>
      <c r="BC733" s="115"/>
      <c r="BD733" s="115"/>
      <c r="BE733" s="115">
        <v>19474.999432425</v>
      </c>
      <c r="BF733" s="115"/>
      <c r="BG733" s="115"/>
      <c r="BH733" s="115">
        <v>11468.034033264865</v>
      </c>
      <c r="BI733" s="115"/>
      <c r="BJ733" s="115">
        <v>3678.3727703666664</v>
      </c>
      <c r="BK733" s="115"/>
      <c r="BL733" s="115"/>
      <c r="BM733" s="115"/>
      <c r="BN733" s="115"/>
      <c r="BO733" s="115"/>
      <c r="BP733" s="115"/>
      <c r="DR733" s="214"/>
      <c r="DY733" s="115"/>
      <c r="DZ733" s="334"/>
      <c r="EA733" s="334"/>
      <c r="EB733" s="334"/>
      <c r="EC733" s="334"/>
      <c r="ED733" s="187"/>
      <c r="EE733" s="330"/>
      <c r="EH733" s="334"/>
      <c r="EI733" s="334"/>
      <c r="EM733"/>
      <c r="EO733" s="115"/>
      <c r="EP733" s="334"/>
      <c r="EQ733" s="334"/>
      <c r="ER733" s="334"/>
      <c r="ES733" s="334"/>
      <c r="ET733" s="334"/>
      <c r="EU733" s="334"/>
      <c r="EV733" s="334"/>
    </row>
    <row r="734" spans="35:152" ht="13">
      <c r="AI734" s="115" t="s">
        <v>1416</v>
      </c>
      <c r="AJ734" t="s">
        <v>2114</v>
      </c>
      <c r="AK734" s="115">
        <v>0</v>
      </c>
      <c r="AL734" s="115" t="s">
        <v>28</v>
      </c>
      <c r="AM734" s="115" t="s">
        <v>1846</v>
      </c>
      <c r="AN734" s="115" t="s">
        <v>1462</v>
      </c>
      <c r="AO734" s="115" t="s">
        <v>380</v>
      </c>
      <c r="AT734" s="115" t="s">
        <v>1415</v>
      </c>
      <c r="AU734" s="115" t="s">
        <v>2114</v>
      </c>
      <c r="AV734" s="115">
        <v>0</v>
      </c>
      <c r="AW734" s="115" t="s">
        <v>1680</v>
      </c>
      <c r="AX734" s="115" t="s">
        <v>28</v>
      </c>
      <c r="AY734" s="115" t="s">
        <v>1848</v>
      </c>
      <c r="AZ734" s="115" t="s">
        <v>1865</v>
      </c>
      <c r="BA734" s="115"/>
      <c r="BB734" s="115">
        <v>72931.113744000017</v>
      </c>
      <c r="BC734" s="115"/>
      <c r="BD734" s="115"/>
      <c r="BE734" s="115">
        <v>17856.625892324999</v>
      </c>
      <c r="BF734" s="115"/>
      <c r="BG734" s="115"/>
      <c r="BH734" s="115">
        <v>1134.7086306868705</v>
      </c>
      <c r="BI734" s="115"/>
      <c r="BJ734" s="115">
        <v>18476.766814003124</v>
      </c>
      <c r="BK734" s="115"/>
      <c r="BL734" s="115"/>
      <c r="BM734" s="115"/>
      <c r="BN734" s="115"/>
      <c r="BO734" s="115"/>
      <c r="BP734" s="115"/>
      <c r="DR734" s="214"/>
      <c r="DY734" s="115"/>
      <c r="DZ734" s="334"/>
      <c r="EA734" s="334"/>
      <c r="EB734" s="334"/>
      <c r="EC734" s="334"/>
      <c r="ED734" s="187"/>
      <c r="EE734" s="330"/>
      <c r="EH734" s="334"/>
      <c r="EI734" s="334"/>
      <c r="EM734"/>
      <c r="EO734" s="115"/>
      <c r="EP734" s="334"/>
      <c r="EQ734" s="334"/>
      <c r="ER734" s="334"/>
      <c r="ES734" s="334"/>
      <c r="ET734" s="334"/>
      <c r="EU734" s="334"/>
      <c r="EV734" s="334"/>
    </row>
    <row r="735" spans="35:152" ht="13">
      <c r="AI735" s="115" t="s">
        <v>1416</v>
      </c>
      <c r="AJ735" t="s">
        <v>2114</v>
      </c>
      <c r="AK735" s="115">
        <v>0</v>
      </c>
      <c r="AL735" s="115" t="s">
        <v>28</v>
      </c>
      <c r="AM735" s="115" t="s">
        <v>1846</v>
      </c>
      <c r="AN735" s="115" t="s">
        <v>1418</v>
      </c>
      <c r="AO735" s="115" t="s">
        <v>1643</v>
      </c>
      <c r="AT735" s="115" t="s">
        <v>1415</v>
      </c>
      <c r="AU735" s="115" t="s">
        <v>2114</v>
      </c>
      <c r="AV735" s="115">
        <v>0</v>
      </c>
      <c r="AW735" s="115" t="s">
        <v>1680</v>
      </c>
      <c r="AX735" s="115" t="s">
        <v>28</v>
      </c>
      <c r="AY735" s="115" t="s">
        <v>1843</v>
      </c>
      <c r="AZ735" s="115" t="s">
        <v>1865</v>
      </c>
      <c r="BA735" s="115"/>
      <c r="BB735" s="115">
        <v>72368.932371134026</v>
      </c>
      <c r="BC735" s="115"/>
      <c r="BD735" s="115"/>
      <c r="BE735" s="115">
        <v>36882.230618556707</v>
      </c>
      <c r="BF735" s="115"/>
      <c r="BG735" s="115"/>
      <c r="BH735" s="115">
        <v>11681.952886597939</v>
      </c>
      <c r="BI735" s="115"/>
      <c r="BJ735" s="115">
        <v>21953.851958762887</v>
      </c>
      <c r="BK735" s="115"/>
      <c r="BL735" s="115"/>
      <c r="BM735" s="115"/>
      <c r="BN735" s="115"/>
      <c r="BO735" s="115"/>
      <c r="BP735" s="115"/>
      <c r="DR735" s="214"/>
      <c r="DY735" s="115"/>
      <c r="DZ735" s="334"/>
      <c r="EA735" s="334"/>
      <c r="EB735" s="334"/>
      <c r="EC735" s="334"/>
      <c r="ED735" s="187"/>
      <c r="EE735" s="330"/>
      <c r="EH735" s="334"/>
      <c r="EI735" s="334"/>
      <c r="EM735"/>
      <c r="EO735" s="115"/>
      <c r="EP735" s="334"/>
      <c r="EQ735" s="334"/>
      <c r="ER735" s="334"/>
      <c r="ES735" s="334"/>
      <c r="ET735" s="334"/>
      <c r="EU735" s="334"/>
      <c r="EV735" s="334"/>
    </row>
    <row r="736" spans="35:152" ht="13">
      <c r="AI736" s="115" t="s">
        <v>1416</v>
      </c>
      <c r="AJ736" t="s">
        <v>2114</v>
      </c>
      <c r="AK736" s="115">
        <v>0</v>
      </c>
      <c r="AL736" s="115" t="s">
        <v>28</v>
      </c>
      <c r="AM736" s="115" t="s">
        <v>1832</v>
      </c>
      <c r="AN736" s="115" t="s">
        <v>1418</v>
      </c>
      <c r="AO736" s="115" t="s">
        <v>1643</v>
      </c>
      <c r="AT736" s="115" t="s">
        <v>1415</v>
      </c>
      <c r="AU736" s="115" t="s">
        <v>2114</v>
      </c>
      <c r="AV736" s="115">
        <v>0</v>
      </c>
      <c r="AW736" s="115" t="s">
        <v>1680</v>
      </c>
      <c r="AX736" s="115" t="s">
        <v>28</v>
      </c>
      <c r="AY736" s="115" t="s">
        <v>1849</v>
      </c>
      <c r="AZ736" s="115" t="s">
        <v>1865</v>
      </c>
      <c r="BA736" s="115"/>
      <c r="BB736" s="115"/>
      <c r="BC736" s="115"/>
      <c r="BD736" s="115"/>
      <c r="BE736" s="115">
        <v>384.19274999999999</v>
      </c>
      <c r="BF736" s="115"/>
      <c r="BG736" s="115"/>
      <c r="BH736" s="115">
        <v>234.59688309600003</v>
      </c>
      <c r="BI736" s="115"/>
      <c r="BJ736" s="115">
        <v>45.886052083333325</v>
      </c>
      <c r="BK736" s="115"/>
      <c r="BL736" s="115"/>
      <c r="BM736" s="115"/>
      <c r="BN736" s="115"/>
      <c r="BO736" s="115"/>
      <c r="BP736" s="115"/>
      <c r="DR736" s="214"/>
      <c r="DY736" s="115"/>
      <c r="DZ736" s="334"/>
      <c r="EA736" s="334"/>
      <c r="EB736" s="334"/>
      <c r="EC736" s="334"/>
      <c r="ED736" s="187"/>
      <c r="EE736" s="330"/>
      <c r="EH736" s="334"/>
      <c r="EI736" s="334"/>
      <c r="EM736"/>
      <c r="EO736" s="115"/>
      <c r="EP736" s="334"/>
      <c r="EQ736" s="334"/>
      <c r="ER736" s="334"/>
      <c r="ES736" s="334"/>
      <c r="ET736" s="334"/>
      <c r="EU736" s="334"/>
      <c r="EV736" s="334"/>
    </row>
    <row r="737" spans="35:152" ht="13">
      <c r="AI737" s="115" t="s">
        <v>1416</v>
      </c>
      <c r="AJ737" t="s">
        <v>2114</v>
      </c>
      <c r="AK737" s="115">
        <v>0</v>
      </c>
      <c r="AL737" s="115" t="s">
        <v>28</v>
      </c>
      <c r="AM737" s="115" t="s">
        <v>1843</v>
      </c>
      <c r="AN737" s="115" t="s">
        <v>1418</v>
      </c>
      <c r="AO737" s="115" t="s">
        <v>1643</v>
      </c>
      <c r="AT737" s="115" t="s">
        <v>1415</v>
      </c>
      <c r="AU737" s="115" t="s">
        <v>2114</v>
      </c>
      <c r="AV737" s="115">
        <v>0</v>
      </c>
      <c r="AW737" s="115" t="s">
        <v>1680</v>
      </c>
      <c r="AX737" s="115" t="s">
        <v>28</v>
      </c>
      <c r="AY737" s="115" t="s">
        <v>1850</v>
      </c>
      <c r="AZ737" s="115" t="s">
        <v>1865</v>
      </c>
      <c r="BA737" s="115"/>
      <c r="BB737" s="115">
        <v>1816.8100000000004</v>
      </c>
      <c r="BC737" s="115"/>
      <c r="BD737" s="115"/>
      <c r="BE737" s="115">
        <v>384.19274999999999</v>
      </c>
      <c r="BF737" s="115"/>
      <c r="BG737" s="115"/>
      <c r="BH737" s="115">
        <v>26.066320344000005</v>
      </c>
      <c r="BI737" s="115"/>
      <c r="BJ737" s="115">
        <v>412.97446875000003</v>
      </c>
      <c r="BK737" s="115"/>
      <c r="BL737" s="115"/>
      <c r="BM737" s="115"/>
      <c r="BN737" s="115"/>
      <c r="BO737" s="115"/>
      <c r="BP737" s="115"/>
      <c r="DR737" s="214"/>
      <c r="DY737" s="115"/>
      <c r="DZ737" s="334"/>
      <c r="EA737" s="334"/>
      <c r="EB737" s="334"/>
      <c r="EC737" s="334"/>
      <c r="ED737" s="187"/>
      <c r="EE737" s="330"/>
      <c r="EH737" s="334"/>
      <c r="EI737" s="334"/>
      <c r="EM737"/>
      <c r="EO737" s="115"/>
      <c r="EP737" s="334"/>
      <c r="EQ737" s="334"/>
      <c r="ER737" s="334"/>
      <c r="ES737" s="334"/>
      <c r="ET737" s="334"/>
      <c r="EU737" s="334"/>
      <c r="EV737" s="334"/>
    </row>
    <row r="738" spans="35:152" ht="13">
      <c r="AI738" s="115" t="s">
        <v>1416</v>
      </c>
      <c r="AJ738" t="s">
        <v>2114</v>
      </c>
      <c r="AK738" s="115">
        <v>0</v>
      </c>
      <c r="AL738" s="115" t="s">
        <v>28</v>
      </c>
      <c r="AM738" s="115" t="s">
        <v>1848</v>
      </c>
      <c r="AN738" s="115" t="s">
        <v>1418</v>
      </c>
      <c r="AO738" s="115" t="s">
        <v>1643</v>
      </c>
      <c r="AT738" s="115" t="s">
        <v>1415</v>
      </c>
      <c r="AU738" s="115" t="s">
        <v>2114</v>
      </c>
      <c r="AV738" s="115">
        <v>0</v>
      </c>
      <c r="AW738" s="115" t="s">
        <v>1680</v>
      </c>
      <c r="AX738" s="115" t="s">
        <v>28</v>
      </c>
      <c r="AY738" s="115" t="s">
        <v>1832</v>
      </c>
      <c r="AZ738" s="115" t="s">
        <v>1865</v>
      </c>
      <c r="BA738" s="115"/>
      <c r="BB738" s="115">
        <v>1873.0000000000005</v>
      </c>
      <c r="BC738" s="115"/>
      <c r="BD738" s="115"/>
      <c r="BE738" s="115">
        <v>792.15</v>
      </c>
      <c r="BF738" s="115"/>
      <c r="BG738" s="115"/>
      <c r="BH738" s="115">
        <v>268.72495200000003</v>
      </c>
      <c r="BI738" s="115"/>
      <c r="BJ738" s="115">
        <v>473.05208333333337</v>
      </c>
      <c r="BK738" s="115"/>
      <c r="BL738" s="115"/>
      <c r="BM738" s="115"/>
      <c r="BN738" s="115"/>
      <c r="BO738" s="115"/>
      <c r="BP738" s="115"/>
      <c r="DR738" s="214"/>
      <c r="DY738" s="115"/>
      <c r="DZ738" s="334"/>
      <c r="EA738" s="334"/>
      <c r="EB738" s="334"/>
      <c r="EC738" s="334"/>
      <c r="ED738" s="187"/>
      <c r="EE738" s="330"/>
      <c r="EH738" s="334"/>
      <c r="EI738" s="334"/>
      <c r="EM738"/>
      <c r="EO738" s="115"/>
      <c r="EP738" s="334"/>
      <c r="EQ738" s="334"/>
      <c r="ER738" s="334"/>
      <c r="ES738" s="334"/>
      <c r="ET738" s="334"/>
      <c r="EU738" s="334"/>
      <c r="EV738" s="334"/>
    </row>
    <row r="739" spans="35:152" ht="13">
      <c r="AI739" s="115" t="s">
        <v>1416</v>
      </c>
      <c r="AJ739" t="s">
        <v>2114</v>
      </c>
      <c r="AK739" s="115">
        <v>0</v>
      </c>
      <c r="AL739" s="115" t="s">
        <v>28</v>
      </c>
      <c r="AM739" s="115" t="s">
        <v>1849</v>
      </c>
      <c r="AN739" s="115" t="s">
        <v>1418</v>
      </c>
      <c r="AO739" s="115" t="s">
        <v>1643</v>
      </c>
      <c r="AT739" s="115" t="s">
        <v>1415</v>
      </c>
      <c r="AU739" s="115" t="s">
        <v>2114</v>
      </c>
      <c r="AV739" s="115">
        <v>0</v>
      </c>
      <c r="AW739" s="115" t="s">
        <v>1681</v>
      </c>
      <c r="AX739" s="115" t="s">
        <v>28</v>
      </c>
      <c r="AY739" s="115" t="s">
        <v>1846</v>
      </c>
      <c r="AZ739" s="115" t="s">
        <v>1866</v>
      </c>
      <c r="BA739" s="115"/>
      <c r="BB739" s="115"/>
      <c r="BC739" s="115"/>
      <c r="BD739" s="115"/>
      <c r="BE739" s="115">
        <v>61462.473749999997</v>
      </c>
      <c r="BF739" s="115"/>
      <c r="BG739" s="115">
        <v>78212.33041387501</v>
      </c>
      <c r="BH739" s="115">
        <v>25541.425601999999</v>
      </c>
      <c r="BI739" s="115">
        <v>78826.5669903042</v>
      </c>
      <c r="BJ739" s="115">
        <v>1492.9594367999996</v>
      </c>
      <c r="BK739" s="115"/>
      <c r="BL739" s="115"/>
      <c r="BM739" s="115"/>
      <c r="BN739" s="115"/>
      <c r="BO739" s="115"/>
      <c r="BP739" s="115"/>
      <c r="DR739" s="214"/>
      <c r="DY739" s="115"/>
      <c r="DZ739" s="334"/>
      <c r="EA739" s="334"/>
      <c r="EB739" s="334"/>
      <c r="EC739" s="334"/>
      <c r="ED739" s="187"/>
      <c r="EE739" s="330"/>
      <c r="EH739" s="334"/>
      <c r="EI739" s="334"/>
      <c r="EM739"/>
      <c r="EO739" s="115"/>
      <c r="EP739" s="334"/>
      <c r="EQ739" s="334"/>
      <c r="ER739" s="334"/>
      <c r="ES739" s="334"/>
      <c r="ET739" s="334"/>
      <c r="EU739" s="334"/>
      <c r="EV739" s="334"/>
    </row>
    <row r="740" spans="35:152" ht="13">
      <c r="AI740" s="115" t="s">
        <v>1416</v>
      </c>
      <c r="AJ740" t="s">
        <v>2114</v>
      </c>
      <c r="AK740" s="115">
        <v>0</v>
      </c>
      <c r="AL740" s="115" t="s">
        <v>28</v>
      </c>
      <c r="AM740" s="115" t="s">
        <v>1850</v>
      </c>
      <c r="AN740" s="115" t="s">
        <v>1418</v>
      </c>
      <c r="AO740" s="115" t="s">
        <v>1643</v>
      </c>
      <c r="AT740" s="115" t="s">
        <v>1415</v>
      </c>
      <c r="AU740" s="115" t="s">
        <v>2114</v>
      </c>
      <c r="AV740" s="115">
        <v>0</v>
      </c>
      <c r="AW740" s="115" t="s">
        <v>1681</v>
      </c>
      <c r="AX740" s="115" t="s">
        <v>28</v>
      </c>
      <c r="AY740" s="115" t="s">
        <v>1848</v>
      </c>
      <c r="AZ740" s="115" t="s">
        <v>1866</v>
      </c>
      <c r="BA740" s="115">
        <v>37417.21929583099</v>
      </c>
      <c r="BB740" s="115"/>
      <c r="BC740" s="115"/>
      <c r="BD740" s="115"/>
      <c r="BE740" s="115">
        <v>56354.938749999994</v>
      </c>
      <c r="BF740" s="115"/>
      <c r="BG740" s="115">
        <v>35249.870464171872</v>
      </c>
      <c r="BH740" s="115">
        <v>2527.2052721999999</v>
      </c>
      <c r="BI740" s="115">
        <v>44952.9527722208</v>
      </c>
      <c r="BJ740" s="115">
        <v>7499.257171199999</v>
      </c>
      <c r="BK740" s="115"/>
      <c r="BL740" s="115"/>
      <c r="BM740" s="115"/>
      <c r="BN740" s="115"/>
      <c r="BO740" s="115"/>
      <c r="BP740" s="115"/>
      <c r="DR740" s="214"/>
      <c r="DY740" s="115"/>
      <c r="DZ740" s="334"/>
      <c r="EA740" s="334"/>
      <c r="EB740" s="334"/>
      <c r="EC740" s="334"/>
      <c r="ED740" s="187"/>
      <c r="EE740" s="330"/>
      <c r="EH740" s="334"/>
      <c r="EI740" s="334"/>
      <c r="EM740"/>
      <c r="EO740" s="115"/>
      <c r="EP740" s="334"/>
      <c r="EQ740" s="334"/>
      <c r="ER740" s="334"/>
      <c r="ES740" s="334"/>
      <c r="ET740" s="334"/>
      <c r="EU740" s="334"/>
      <c r="EV740" s="334"/>
    </row>
    <row r="741" spans="35:152" ht="13">
      <c r="AI741" s="115" t="s">
        <v>1416</v>
      </c>
      <c r="AJ741" t="s">
        <v>2114</v>
      </c>
      <c r="AK741" s="115">
        <v>0</v>
      </c>
      <c r="AL741" s="115" t="s">
        <v>28</v>
      </c>
      <c r="AM741" s="115" t="s">
        <v>1850</v>
      </c>
      <c r="AN741" s="115" t="s">
        <v>1418</v>
      </c>
      <c r="AO741" s="115" t="s">
        <v>1642</v>
      </c>
      <c r="AT741" s="115" t="s">
        <v>1415</v>
      </c>
      <c r="AU741" s="115" t="s">
        <v>2114</v>
      </c>
      <c r="AV741" s="115">
        <v>0</v>
      </c>
      <c r="AW741" s="115" t="s">
        <v>1681</v>
      </c>
      <c r="AX741" s="115" t="s">
        <v>28</v>
      </c>
      <c r="AY741" s="115" t="s">
        <v>1843</v>
      </c>
      <c r="AZ741" s="115" t="s">
        <v>1866</v>
      </c>
      <c r="BA741" s="115">
        <v>37128.843711340211</v>
      </c>
      <c r="BB741" s="115"/>
      <c r="BC741" s="115"/>
      <c r="BD741" s="115"/>
      <c r="BE741" s="115">
        <v>116399.13731958762</v>
      </c>
      <c r="BF741" s="115"/>
      <c r="BG741" s="115">
        <v>180167.06484536084</v>
      </c>
      <c r="BH741" s="115">
        <v>26017.862268041241</v>
      </c>
      <c r="BI741" s="115">
        <v>78084.791752577323</v>
      </c>
      <c r="BJ741" s="115">
        <v>8910.5189690721654</v>
      </c>
      <c r="BK741" s="115"/>
      <c r="BL741" s="115"/>
      <c r="BM741" s="115"/>
      <c r="BN741" s="115"/>
      <c r="BO741" s="115"/>
      <c r="BP741" s="115"/>
      <c r="DR741" s="214"/>
      <c r="DY741" s="115"/>
      <c r="DZ741" s="334"/>
      <c r="EA741" s="334"/>
      <c r="EB741" s="334"/>
      <c r="EC741" s="334"/>
      <c r="ED741" s="187"/>
      <c r="EE741" s="330"/>
      <c r="EH741" s="334"/>
      <c r="EI741" s="334"/>
      <c r="EM741"/>
      <c r="EO741" s="115"/>
      <c r="EP741" s="334"/>
      <c r="EQ741" s="334"/>
      <c r="ER741" s="334"/>
      <c r="ES741" s="334"/>
      <c r="ET741" s="334"/>
      <c r="EU741" s="334"/>
      <c r="EV741" s="334"/>
    </row>
    <row r="742" spans="35:152" ht="13">
      <c r="AI742" s="115" t="s">
        <v>1416</v>
      </c>
      <c r="AJ742" t="s">
        <v>2114</v>
      </c>
      <c r="AK742" s="115">
        <v>0</v>
      </c>
      <c r="AL742" s="115" t="s">
        <v>28</v>
      </c>
      <c r="AM742" s="115" t="s">
        <v>1832</v>
      </c>
      <c r="AN742" s="115" t="s">
        <v>1418</v>
      </c>
      <c r="AO742" s="115" t="s">
        <v>1642</v>
      </c>
      <c r="AT742" s="115" t="s">
        <v>1415</v>
      </c>
      <c r="AU742" s="115" t="s">
        <v>2114</v>
      </c>
      <c r="AV742" s="115">
        <v>0</v>
      </c>
      <c r="AW742" s="115" t="s">
        <v>1681</v>
      </c>
      <c r="AX742" s="115" t="s">
        <v>28</v>
      </c>
      <c r="AY742" s="115" t="s">
        <v>1849</v>
      </c>
      <c r="AZ742" s="115" t="s">
        <v>1866</v>
      </c>
      <c r="BA742" s="115"/>
      <c r="BB742" s="115"/>
      <c r="BC742" s="115"/>
      <c r="BD742" s="115"/>
      <c r="BE742" s="115">
        <v>1212.5</v>
      </c>
      <c r="BF742" s="115"/>
      <c r="BG742" s="115">
        <v>2757.4506562500001</v>
      </c>
      <c r="BH742" s="115">
        <v>522.4905</v>
      </c>
      <c r="BI742" s="115">
        <v>1499.5247460000001</v>
      </c>
      <c r="BJ742" s="115">
        <v>18.623999999999995</v>
      </c>
      <c r="BK742" s="115"/>
      <c r="BL742" s="115"/>
      <c r="BM742" s="115"/>
      <c r="BN742" s="115"/>
      <c r="BO742" s="115"/>
      <c r="BP742" s="115"/>
      <c r="DR742" s="214"/>
      <c r="DY742" s="115"/>
      <c r="DZ742" s="334"/>
      <c r="EA742" s="334"/>
      <c r="EB742" s="334"/>
      <c r="EC742" s="334"/>
      <c r="ED742" s="187"/>
      <c r="EE742" s="330"/>
      <c r="EH742" s="334"/>
      <c r="EI742" s="334"/>
      <c r="EM742"/>
      <c r="EO742" s="115"/>
      <c r="EP742" s="334"/>
      <c r="EQ742" s="334"/>
      <c r="ER742" s="334"/>
      <c r="ES742" s="334"/>
      <c r="ET742" s="334"/>
      <c r="EU742" s="334"/>
      <c r="EV742" s="334"/>
    </row>
    <row r="743" spans="35:152" ht="13">
      <c r="AI743" s="115" t="s">
        <v>1416</v>
      </c>
      <c r="AJ743" t="s">
        <v>2114</v>
      </c>
      <c r="AK743" s="115">
        <v>0</v>
      </c>
      <c r="AL743" s="115" t="s">
        <v>28</v>
      </c>
      <c r="AM743" s="115" t="s">
        <v>1848</v>
      </c>
      <c r="AN743" s="115" t="s">
        <v>1418</v>
      </c>
      <c r="AO743" s="115" t="s">
        <v>1642</v>
      </c>
      <c r="AT743" s="115" t="s">
        <v>1415</v>
      </c>
      <c r="AU743" s="115" t="s">
        <v>2114</v>
      </c>
      <c r="AV743" s="115">
        <v>0</v>
      </c>
      <c r="AW743" s="115" t="s">
        <v>1681</v>
      </c>
      <c r="AX743" s="115" t="s">
        <v>28</v>
      </c>
      <c r="AY743" s="115" t="s">
        <v>1850</v>
      </c>
      <c r="AZ743" s="115" t="s">
        <v>1866</v>
      </c>
      <c r="BA743" s="115">
        <v>698.4746899999999</v>
      </c>
      <c r="BB743" s="115"/>
      <c r="BC743" s="115"/>
      <c r="BD743" s="115"/>
      <c r="BE743" s="115">
        <v>1212.5</v>
      </c>
      <c r="BF743" s="115"/>
      <c r="BG743" s="115">
        <v>919.15021875000002</v>
      </c>
      <c r="BH743" s="115">
        <v>58.054499999999997</v>
      </c>
      <c r="BI743" s="115">
        <v>999.68316400000003</v>
      </c>
      <c r="BJ743" s="115">
        <v>167.61599999999999</v>
      </c>
      <c r="BK743" s="115"/>
      <c r="BL743" s="115"/>
      <c r="BM743" s="115"/>
      <c r="BN743" s="115"/>
      <c r="BO743" s="115"/>
      <c r="BP743" s="115"/>
      <c r="DR743" s="214"/>
      <c r="DY743" s="115"/>
      <c r="DZ743" s="334"/>
      <c r="EA743" s="334"/>
      <c r="EB743" s="334"/>
      <c r="EC743" s="334"/>
      <c r="ED743" s="187"/>
      <c r="EE743" s="330"/>
      <c r="EH743" s="334"/>
      <c r="EI743" s="334"/>
      <c r="EM743"/>
      <c r="EO743" s="115"/>
      <c r="EP743" s="334"/>
      <c r="EQ743" s="334"/>
      <c r="ER743" s="334"/>
      <c r="ES743" s="334"/>
      <c r="ET743" s="334"/>
      <c r="EU743" s="334"/>
      <c r="EV743" s="334"/>
    </row>
    <row r="744" spans="35:152" ht="13">
      <c r="AI744" s="115" t="s">
        <v>1416</v>
      </c>
      <c r="AJ744" t="s">
        <v>2114</v>
      </c>
      <c r="AK744" s="115">
        <v>0</v>
      </c>
      <c r="AL744" s="115" t="s">
        <v>28</v>
      </c>
      <c r="AM744" s="115" t="s">
        <v>1843</v>
      </c>
      <c r="AN744" s="115" t="s">
        <v>1418</v>
      </c>
      <c r="AO744" s="115" t="s">
        <v>1642</v>
      </c>
      <c r="AT744" s="115" t="s">
        <v>1415</v>
      </c>
      <c r="AU744" s="115" t="s">
        <v>2114</v>
      </c>
      <c r="AV744" s="115">
        <v>0</v>
      </c>
      <c r="AW744" s="115" t="s">
        <v>1681</v>
      </c>
      <c r="AX744" s="115" t="s">
        <v>28</v>
      </c>
      <c r="AY744" s="115" t="s">
        <v>1832</v>
      </c>
      <c r="AZ744" s="115" t="s">
        <v>1866</v>
      </c>
      <c r="BA744" s="115">
        <v>720.07699999999988</v>
      </c>
      <c r="BB744" s="115"/>
      <c r="BC744" s="115"/>
      <c r="BD744" s="115"/>
      <c r="BE744" s="115">
        <v>2500</v>
      </c>
      <c r="BF744" s="115"/>
      <c r="BG744" s="115">
        <v>3790.3101804123712</v>
      </c>
      <c r="BH744" s="115">
        <v>598.5</v>
      </c>
      <c r="BI744" s="115">
        <v>2576.5030000000002</v>
      </c>
      <c r="BJ744" s="115">
        <v>191.99999999999997</v>
      </c>
      <c r="BK744" s="115"/>
      <c r="BL744" s="115"/>
      <c r="BM744" s="115"/>
      <c r="BN744" s="115"/>
      <c r="BO744" s="115"/>
      <c r="BP744" s="115"/>
      <c r="DR744" s="214"/>
      <c r="DY744" s="115"/>
      <c r="DZ744" s="334"/>
      <c r="EA744" s="334"/>
      <c r="EB744" s="334"/>
      <c r="EC744" s="334"/>
      <c r="ED744" s="187"/>
      <c r="EE744" s="330"/>
      <c r="EH744" s="334"/>
      <c r="EI744" s="334"/>
      <c r="EM744"/>
      <c r="EO744" s="115"/>
      <c r="EP744" s="334"/>
      <c r="EQ744" s="334"/>
      <c r="ER744" s="334"/>
      <c r="ES744" s="334"/>
      <c r="ET744" s="334"/>
      <c r="EU744" s="334"/>
      <c r="EV744" s="334"/>
    </row>
    <row r="745" spans="35:152" ht="13">
      <c r="AI745" s="115" t="s">
        <v>1416</v>
      </c>
      <c r="AJ745" t="s">
        <v>2114</v>
      </c>
      <c r="AK745" s="115">
        <v>0</v>
      </c>
      <c r="AL745" s="115" t="s">
        <v>28</v>
      </c>
      <c r="AM745" s="115" t="s">
        <v>1850</v>
      </c>
      <c r="AN745" s="115" t="s">
        <v>1418</v>
      </c>
      <c r="AO745" s="115" t="s">
        <v>379</v>
      </c>
      <c r="AT745" s="115" t="s">
        <v>1415</v>
      </c>
      <c r="AU745" s="115" t="s">
        <v>2114</v>
      </c>
      <c r="AV745" s="115">
        <v>0</v>
      </c>
      <c r="AW745" s="115" t="s">
        <v>1679</v>
      </c>
      <c r="AX745" s="115" t="s">
        <v>28</v>
      </c>
      <c r="AY745" s="115" t="s">
        <v>1846</v>
      </c>
      <c r="AZ745" s="115" t="s">
        <v>1867</v>
      </c>
      <c r="BA745" s="115"/>
      <c r="BB745" s="115"/>
      <c r="BC745" s="115"/>
      <c r="BD745" s="115"/>
      <c r="BE745" s="115"/>
      <c r="BF745" s="115"/>
      <c r="BG745" s="115"/>
      <c r="BH745" s="115"/>
      <c r="BI745" s="115">
        <v>19328.045399999999</v>
      </c>
      <c r="BJ745" s="115"/>
      <c r="BK745" s="115"/>
      <c r="BL745" s="115">
        <v>25589.463300000003</v>
      </c>
      <c r="BM745" s="115"/>
      <c r="BN745" s="115"/>
      <c r="BO745" s="115"/>
      <c r="BP745" s="115"/>
      <c r="DR745" s="214"/>
      <c r="DY745" s="115"/>
      <c r="DZ745" s="334"/>
      <c r="EA745" s="334"/>
      <c r="EB745" s="334"/>
      <c r="EC745" s="334"/>
      <c r="ED745" s="187"/>
      <c r="EE745" s="330"/>
      <c r="EH745" s="334"/>
      <c r="EI745" s="334"/>
      <c r="EM745"/>
      <c r="EO745" s="115"/>
      <c r="EP745" s="334"/>
      <c r="EQ745" s="334"/>
      <c r="ER745" s="334"/>
      <c r="ES745" s="334"/>
      <c r="ET745" s="334"/>
      <c r="EU745" s="334"/>
      <c r="EV745" s="334"/>
    </row>
    <row r="746" spans="35:152" ht="13">
      <c r="AI746" s="115" t="s">
        <v>1416</v>
      </c>
      <c r="AJ746" t="s">
        <v>2114</v>
      </c>
      <c r="AK746" s="115">
        <v>0</v>
      </c>
      <c r="AL746" s="115" t="s">
        <v>28</v>
      </c>
      <c r="AM746" s="115" t="s">
        <v>1832</v>
      </c>
      <c r="AN746" s="115" t="s">
        <v>1418</v>
      </c>
      <c r="AO746" s="115" t="s">
        <v>379</v>
      </c>
      <c r="AT746" s="115" t="s">
        <v>1415</v>
      </c>
      <c r="AU746" s="115" t="s">
        <v>2114</v>
      </c>
      <c r="AV746" s="115">
        <v>0</v>
      </c>
      <c r="AW746" s="115" t="s">
        <v>1679</v>
      </c>
      <c r="AX746" s="115" t="s">
        <v>28</v>
      </c>
      <c r="AY746" s="115" t="s">
        <v>1848</v>
      </c>
      <c r="AZ746" s="115" t="s">
        <v>1867</v>
      </c>
      <c r="BA746" s="115"/>
      <c r="BB746" s="115"/>
      <c r="BC746" s="115"/>
      <c r="BD746" s="115"/>
      <c r="BE746" s="115"/>
      <c r="BF746" s="115"/>
      <c r="BG746" s="115"/>
      <c r="BH746" s="115"/>
      <c r="BI746" s="115">
        <v>8520.0997599999992</v>
      </c>
      <c r="BJ746" s="115"/>
      <c r="BK746" s="115"/>
      <c r="BL746" s="115">
        <v>3909.8081000000002</v>
      </c>
      <c r="BM746" s="115"/>
      <c r="BN746" s="115"/>
      <c r="BO746" s="115"/>
      <c r="BP746" s="115"/>
      <c r="DR746" s="214"/>
      <c r="DY746" s="115"/>
      <c r="DZ746" s="334"/>
      <c r="EA746" s="334"/>
      <c r="EB746" s="334"/>
      <c r="EC746" s="334"/>
      <c r="ED746" s="187"/>
      <c r="EE746" s="330"/>
      <c r="EH746" s="334"/>
      <c r="EI746" s="334"/>
      <c r="EM746"/>
      <c r="EO746" s="115"/>
      <c r="EP746" s="334"/>
      <c r="EQ746" s="334"/>
      <c r="ER746" s="334"/>
      <c r="ES746" s="334"/>
      <c r="ET746" s="334"/>
      <c r="EU746" s="334"/>
      <c r="EV746" s="334"/>
    </row>
    <row r="747" spans="35:152" ht="13">
      <c r="AI747" s="115" t="s">
        <v>1416</v>
      </c>
      <c r="AJ747" t="s">
        <v>2114</v>
      </c>
      <c r="AK747" s="115">
        <v>0</v>
      </c>
      <c r="AL747" s="115" t="s">
        <v>28</v>
      </c>
      <c r="AM747" s="115" t="s">
        <v>1849</v>
      </c>
      <c r="AN747" s="115" t="s">
        <v>1418</v>
      </c>
      <c r="AO747" s="115" t="s">
        <v>379</v>
      </c>
      <c r="AT747" s="115" t="s">
        <v>1415</v>
      </c>
      <c r="AU747" s="115" t="s">
        <v>2114</v>
      </c>
      <c r="AV747" s="115">
        <v>0</v>
      </c>
      <c r="AW747" s="115" t="s">
        <v>1679</v>
      </c>
      <c r="AX747" s="115" t="s">
        <v>28</v>
      </c>
      <c r="AY747" s="115" t="s">
        <v>1843</v>
      </c>
      <c r="AZ747" s="115" t="s">
        <v>1867</v>
      </c>
      <c r="BA747" s="115"/>
      <c r="BB747" s="115"/>
      <c r="BC747" s="115"/>
      <c r="BD747" s="115"/>
      <c r="BE747" s="115"/>
      <c r="BF747" s="115"/>
      <c r="BG747" s="115"/>
      <c r="BH747" s="115"/>
      <c r="BI747" s="115">
        <v>27881.981237113403</v>
      </c>
      <c r="BJ747" s="115"/>
      <c r="BK747" s="115"/>
      <c r="BL747" s="115">
        <v>28149.337835051549</v>
      </c>
      <c r="BM747" s="115"/>
      <c r="BN747" s="115"/>
      <c r="BO747" s="115"/>
      <c r="BP747" s="115"/>
      <c r="DR747" s="214"/>
      <c r="DY747" s="115"/>
      <c r="DZ747" s="334"/>
      <c r="EA747" s="334"/>
      <c r="EB747" s="334"/>
      <c r="EC747" s="334"/>
      <c r="ED747" s="187"/>
      <c r="EE747" s="330"/>
      <c r="EH747" s="334"/>
      <c r="EI747" s="334"/>
      <c r="EM747"/>
      <c r="EO747" s="115"/>
      <c r="EP747" s="334"/>
      <c r="EQ747" s="334"/>
      <c r="ER747" s="334"/>
      <c r="ES747" s="334"/>
      <c r="ET747" s="334"/>
      <c r="EU747" s="334"/>
      <c r="EV747" s="334"/>
    </row>
    <row r="748" spans="35:152" ht="13">
      <c r="AI748" s="115" t="s">
        <v>1416</v>
      </c>
      <c r="AJ748" t="s">
        <v>2114</v>
      </c>
      <c r="AK748" s="115">
        <v>0</v>
      </c>
      <c r="AL748" s="115" t="s">
        <v>28</v>
      </c>
      <c r="AM748" s="115" t="s">
        <v>1846</v>
      </c>
      <c r="AN748" s="115" t="s">
        <v>1418</v>
      </c>
      <c r="AO748" s="115" t="s">
        <v>379</v>
      </c>
      <c r="AT748" s="115" t="s">
        <v>1415</v>
      </c>
      <c r="AU748" s="115" t="s">
        <v>2114</v>
      </c>
      <c r="AV748" s="115">
        <v>0</v>
      </c>
      <c r="AW748" s="115" t="s">
        <v>1679</v>
      </c>
      <c r="AX748" s="115" t="s">
        <v>28</v>
      </c>
      <c r="AY748" s="115" t="s">
        <v>1849</v>
      </c>
      <c r="AZ748" s="115" t="s">
        <v>1867</v>
      </c>
      <c r="BA748" s="115"/>
      <c r="BB748" s="115"/>
      <c r="BC748" s="115"/>
      <c r="BD748" s="115"/>
      <c r="BE748" s="115"/>
      <c r="BF748" s="115"/>
      <c r="BG748" s="115"/>
      <c r="BH748" s="115"/>
      <c r="BI748" s="115">
        <v>669.3</v>
      </c>
      <c r="BJ748" s="115"/>
      <c r="BK748" s="115"/>
      <c r="BL748" s="115">
        <v>873</v>
      </c>
      <c r="BM748" s="115"/>
      <c r="BN748" s="115"/>
      <c r="BO748" s="115"/>
      <c r="BP748" s="115"/>
      <c r="DR748" s="214"/>
      <c r="DY748" s="115"/>
      <c r="DZ748" s="334"/>
      <c r="EA748" s="334"/>
      <c r="EB748" s="334"/>
      <c r="EC748" s="334"/>
      <c r="ED748" s="187"/>
      <c r="EE748" s="330"/>
      <c r="EH748" s="334"/>
      <c r="EI748" s="334"/>
      <c r="EM748"/>
      <c r="EO748" s="115"/>
      <c r="EP748" s="334"/>
      <c r="EQ748" s="334"/>
      <c r="ER748" s="334"/>
      <c r="ES748" s="334"/>
      <c r="ET748" s="334"/>
      <c r="EU748" s="334"/>
      <c r="EV748" s="334"/>
    </row>
    <row r="749" spans="35:152" ht="13">
      <c r="AI749" s="115" t="s">
        <v>1416</v>
      </c>
      <c r="AJ749" t="s">
        <v>2114</v>
      </c>
      <c r="AK749" s="115">
        <v>0</v>
      </c>
      <c r="AL749" s="115" t="s">
        <v>28</v>
      </c>
      <c r="AM749" s="115" t="s">
        <v>1848</v>
      </c>
      <c r="AN749" s="115" t="s">
        <v>1418</v>
      </c>
      <c r="AO749" s="115" t="s">
        <v>379</v>
      </c>
      <c r="AT749" s="115" t="s">
        <v>1415</v>
      </c>
      <c r="AU749" s="115" t="s">
        <v>2114</v>
      </c>
      <c r="AV749" s="115">
        <v>0</v>
      </c>
      <c r="AW749" s="115" t="s">
        <v>1679</v>
      </c>
      <c r="AX749" s="115" t="s">
        <v>28</v>
      </c>
      <c r="AY749" s="115" t="s">
        <v>1850</v>
      </c>
      <c r="AZ749" s="115" t="s">
        <v>1867</v>
      </c>
      <c r="BA749" s="115"/>
      <c r="BB749" s="115"/>
      <c r="BC749" s="115"/>
      <c r="BD749" s="115"/>
      <c r="BE749" s="115"/>
      <c r="BF749" s="115"/>
      <c r="BG749" s="115"/>
      <c r="BH749" s="115"/>
      <c r="BI749" s="115">
        <v>223.1</v>
      </c>
      <c r="BJ749" s="115"/>
      <c r="BK749" s="115"/>
      <c r="BL749" s="115">
        <v>97.000000000000014</v>
      </c>
      <c r="BM749" s="115"/>
      <c r="BN749" s="115"/>
      <c r="BO749" s="115"/>
      <c r="BP749" s="115"/>
      <c r="DR749" s="214"/>
      <c r="DY749" s="115"/>
      <c r="DZ749" s="334"/>
      <c r="EA749" s="334"/>
      <c r="EB749" s="334"/>
      <c r="EC749" s="334"/>
      <c r="ED749" s="187"/>
      <c r="EE749" s="330"/>
      <c r="EH749" s="334"/>
      <c r="EI749" s="334"/>
      <c r="EM749"/>
      <c r="EO749" s="115"/>
      <c r="EP749" s="334"/>
      <c r="EQ749" s="334"/>
      <c r="ER749" s="334"/>
      <c r="ES749" s="334"/>
      <c r="ET749" s="334"/>
      <c r="EU749" s="334"/>
      <c r="EV749" s="334"/>
    </row>
    <row r="750" spans="35:152" ht="13">
      <c r="AI750" s="115" t="s">
        <v>1416</v>
      </c>
      <c r="AJ750" t="s">
        <v>2114</v>
      </c>
      <c r="AK750" s="115">
        <v>0</v>
      </c>
      <c r="AL750" s="115" t="s">
        <v>28</v>
      </c>
      <c r="AM750" s="115" t="s">
        <v>1843</v>
      </c>
      <c r="AN750" s="115" t="s">
        <v>1418</v>
      </c>
      <c r="AO750" s="115" t="s">
        <v>379</v>
      </c>
      <c r="AT750" s="115" t="s">
        <v>1415</v>
      </c>
      <c r="AU750" s="115" t="s">
        <v>2114</v>
      </c>
      <c r="AV750" s="115">
        <v>0</v>
      </c>
      <c r="AW750" s="115" t="s">
        <v>1679</v>
      </c>
      <c r="AX750" s="115" t="s">
        <v>28</v>
      </c>
      <c r="AY750" s="115" t="s">
        <v>1832</v>
      </c>
      <c r="AZ750" s="115" t="s">
        <v>1867</v>
      </c>
      <c r="BA750" s="115"/>
      <c r="BB750" s="115"/>
      <c r="BC750" s="115"/>
      <c r="BD750" s="115"/>
      <c r="BE750" s="115"/>
      <c r="BF750" s="115"/>
      <c r="BG750" s="115"/>
      <c r="BH750" s="115"/>
      <c r="BI750" s="115">
        <v>920</v>
      </c>
      <c r="BJ750" s="115"/>
      <c r="BK750" s="115"/>
      <c r="BL750" s="115">
        <v>1000</v>
      </c>
      <c r="BM750" s="115"/>
      <c r="BN750" s="115"/>
      <c r="BO750" s="115"/>
      <c r="BP750" s="115"/>
      <c r="DR750" s="214"/>
      <c r="DY750" s="115"/>
      <c r="DZ750" s="334"/>
      <c r="EA750" s="334"/>
      <c r="EB750" s="334"/>
      <c r="EC750" s="334"/>
      <c r="ED750" s="187"/>
      <c r="EE750" s="330"/>
      <c r="EH750" s="334"/>
      <c r="EI750" s="334"/>
      <c r="EM750"/>
      <c r="EO750" s="115"/>
      <c r="EP750" s="334"/>
      <c r="EQ750" s="334"/>
      <c r="ER750" s="334"/>
      <c r="ES750" s="334"/>
      <c r="ET750" s="334"/>
      <c r="EU750" s="334"/>
      <c r="EV750" s="334"/>
    </row>
    <row r="751" spans="35:152" ht="13">
      <c r="AI751" s="115" t="s">
        <v>1416</v>
      </c>
      <c r="AJ751" t="s">
        <v>2114</v>
      </c>
      <c r="AK751" s="115">
        <v>0</v>
      </c>
      <c r="AL751" s="115" t="s">
        <v>28</v>
      </c>
      <c r="AM751" s="115" t="s">
        <v>1850</v>
      </c>
      <c r="AN751" s="115" t="s">
        <v>1418</v>
      </c>
      <c r="AO751" s="115" t="s">
        <v>373</v>
      </c>
      <c r="AT751" s="115" t="s">
        <v>1415</v>
      </c>
      <c r="AU751" s="115" t="s">
        <v>2114</v>
      </c>
      <c r="AV751" s="115">
        <v>0</v>
      </c>
      <c r="AW751" s="115" t="s">
        <v>1679</v>
      </c>
      <c r="AX751" s="115" t="s">
        <v>1842</v>
      </c>
      <c r="AY751" s="115" t="s">
        <v>1846</v>
      </c>
      <c r="AZ751" s="115" t="s">
        <v>1868</v>
      </c>
      <c r="BA751" s="115"/>
      <c r="BB751" s="115"/>
      <c r="BC751" s="115"/>
      <c r="BD751" s="115"/>
      <c r="BE751" s="115"/>
      <c r="BF751" s="115"/>
      <c r="BG751" s="115"/>
      <c r="BH751" s="115"/>
      <c r="BI751" s="115">
        <v>28971.059354999998</v>
      </c>
      <c r="BJ751" s="115"/>
      <c r="BK751" s="115"/>
      <c r="BL751" s="115">
        <v>31986.829125</v>
      </c>
      <c r="BM751" s="115"/>
      <c r="BN751" s="115"/>
      <c r="BO751" s="115"/>
      <c r="BP751" s="115"/>
      <c r="DR751" s="214"/>
      <c r="DY751" s="115"/>
      <c r="DZ751" s="334"/>
      <c r="EA751" s="334"/>
      <c r="EB751" s="334"/>
      <c r="EC751" s="334"/>
      <c r="ED751" s="187"/>
      <c r="EE751" s="330"/>
      <c r="EH751" s="334"/>
      <c r="EI751" s="334"/>
      <c r="EM751"/>
      <c r="EO751" s="115"/>
      <c r="EP751" s="334"/>
      <c r="EQ751" s="334"/>
      <c r="ER751" s="334"/>
      <c r="ES751" s="334"/>
      <c r="ET751" s="334"/>
      <c r="EU751" s="334"/>
      <c r="EV751" s="334"/>
    </row>
    <row r="752" spans="35:152" ht="13">
      <c r="AI752" s="115" t="s">
        <v>1416</v>
      </c>
      <c r="AJ752" t="s">
        <v>2114</v>
      </c>
      <c r="AK752" s="115">
        <v>0</v>
      </c>
      <c r="AL752" s="115" t="s">
        <v>28</v>
      </c>
      <c r="AM752" s="115" t="s">
        <v>1848</v>
      </c>
      <c r="AN752" s="115" t="s">
        <v>1418</v>
      </c>
      <c r="AO752" s="115" t="s">
        <v>373</v>
      </c>
      <c r="AT752" s="115" t="s">
        <v>1415</v>
      </c>
      <c r="AU752" s="115" t="s">
        <v>2114</v>
      </c>
      <c r="AV752" s="115">
        <v>0</v>
      </c>
      <c r="AW752" s="115" t="s">
        <v>1679</v>
      </c>
      <c r="AX752" s="115" t="s">
        <v>1842</v>
      </c>
      <c r="AY752" s="115" t="s">
        <v>1848</v>
      </c>
      <c r="AZ752" s="115" t="s">
        <v>1868</v>
      </c>
      <c r="BA752" s="115"/>
      <c r="BB752" s="115"/>
      <c r="BC752" s="115"/>
      <c r="BD752" s="115"/>
      <c r="BE752" s="115"/>
      <c r="BF752" s="115"/>
      <c r="BG752" s="115"/>
      <c r="BH752" s="115"/>
      <c r="BI752" s="115">
        <v>12770.888661999998</v>
      </c>
      <c r="BJ752" s="115"/>
      <c r="BK752" s="115"/>
      <c r="BL752" s="115">
        <v>4887.2601249999998</v>
      </c>
      <c r="BM752" s="115"/>
      <c r="BN752" s="115"/>
      <c r="BO752" s="115"/>
      <c r="BP752" s="115"/>
      <c r="DR752" s="214"/>
      <c r="DY752" s="115"/>
      <c r="DZ752" s="334"/>
      <c r="EA752" s="334"/>
      <c r="EB752" s="334"/>
      <c r="EC752" s="334"/>
      <c r="ED752" s="187"/>
      <c r="EE752" s="330"/>
      <c r="EH752" s="334"/>
      <c r="EI752" s="334"/>
      <c r="EM752"/>
      <c r="EO752" s="115"/>
      <c r="EP752" s="334"/>
      <c r="EQ752" s="334"/>
      <c r="ER752" s="334"/>
      <c r="ES752" s="334"/>
      <c r="ET752" s="334"/>
      <c r="EU752" s="334"/>
      <c r="EV752" s="334"/>
    </row>
    <row r="753" spans="35:152" ht="13">
      <c r="AI753" s="115" t="s">
        <v>1416</v>
      </c>
      <c r="AJ753" t="s">
        <v>2114</v>
      </c>
      <c r="AK753" s="115">
        <v>0</v>
      </c>
      <c r="AL753" s="115" t="s">
        <v>28</v>
      </c>
      <c r="AM753" s="115" t="s">
        <v>1843</v>
      </c>
      <c r="AN753" s="115" t="s">
        <v>1418</v>
      </c>
      <c r="AO753" s="115" t="s">
        <v>373</v>
      </c>
      <c r="AT753" s="115" t="s">
        <v>1415</v>
      </c>
      <c r="AU753" s="115" t="s">
        <v>2114</v>
      </c>
      <c r="AV753" s="115">
        <v>0</v>
      </c>
      <c r="AW753" s="115" t="s">
        <v>1679</v>
      </c>
      <c r="AX753" s="115" t="s">
        <v>1842</v>
      </c>
      <c r="AY753" s="115" t="s">
        <v>1843</v>
      </c>
      <c r="AZ753" s="115" t="s">
        <v>1868</v>
      </c>
      <c r="BA753" s="115"/>
      <c r="BB753" s="115"/>
      <c r="BC753" s="115"/>
      <c r="BD753" s="115"/>
      <c r="BE753" s="115"/>
      <c r="BF753" s="115"/>
      <c r="BG753" s="115"/>
      <c r="BH753" s="115"/>
      <c r="BI753" s="115">
        <v>41792.665463917525</v>
      </c>
      <c r="BJ753" s="115"/>
      <c r="BK753" s="115"/>
      <c r="BL753" s="115">
        <v>35186.672268041235</v>
      </c>
      <c r="BM753" s="115"/>
      <c r="BN753" s="115"/>
      <c r="BO753" s="115"/>
      <c r="BP753" s="115"/>
      <c r="DR753" s="214"/>
      <c r="DY753" s="115"/>
      <c r="DZ753" s="334"/>
      <c r="EA753" s="334"/>
      <c r="EB753" s="334"/>
      <c r="EC753" s="334"/>
      <c r="ED753" s="187"/>
      <c r="EE753" s="330"/>
      <c r="EH753" s="334"/>
      <c r="EI753" s="334"/>
      <c r="EM753"/>
      <c r="EO753" s="115"/>
      <c r="EP753" s="334"/>
      <c r="EQ753" s="334"/>
      <c r="ER753" s="334"/>
      <c r="ES753" s="334"/>
      <c r="ET753" s="334"/>
      <c r="EU753" s="334"/>
      <c r="EV753" s="334"/>
    </row>
    <row r="754" spans="35:152" ht="13">
      <c r="AI754" s="115" t="s">
        <v>1416</v>
      </c>
      <c r="AJ754" t="s">
        <v>2114</v>
      </c>
      <c r="AK754" s="115">
        <v>0</v>
      </c>
      <c r="AL754" s="115" t="s">
        <v>28</v>
      </c>
      <c r="AM754" s="115" t="s">
        <v>1849</v>
      </c>
      <c r="AN754" s="115" t="s">
        <v>1418</v>
      </c>
      <c r="AO754" s="115" t="s">
        <v>373</v>
      </c>
      <c r="AT754" s="115" t="s">
        <v>1415</v>
      </c>
      <c r="AU754" s="115" t="s">
        <v>2114</v>
      </c>
      <c r="AV754" s="115">
        <v>0</v>
      </c>
      <c r="AW754" s="115" t="s">
        <v>1679</v>
      </c>
      <c r="AX754" s="115" t="s">
        <v>1842</v>
      </c>
      <c r="AY754" s="115" t="s">
        <v>1849</v>
      </c>
      <c r="AZ754" s="115" t="s">
        <v>1868</v>
      </c>
      <c r="BA754" s="115"/>
      <c r="BB754" s="115"/>
      <c r="BC754" s="115"/>
      <c r="BD754" s="115"/>
      <c r="BE754" s="115"/>
      <c r="BF754" s="115"/>
      <c r="BG754" s="115"/>
      <c r="BH754" s="115"/>
      <c r="BI754" s="115">
        <v>1003.2224999999999</v>
      </c>
      <c r="BJ754" s="115"/>
      <c r="BK754" s="115"/>
      <c r="BL754" s="115">
        <v>1091.25</v>
      </c>
      <c r="BM754" s="115"/>
      <c r="BN754" s="115"/>
      <c r="BO754" s="115"/>
      <c r="BP754" s="115"/>
      <c r="DR754" s="214"/>
      <c r="DY754" s="115"/>
      <c r="DZ754" s="334"/>
      <c r="EA754" s="334"/>
      <c r="EB754" s="334"/>
      <c r="EC754" s="334"/>
      <c r="ED754" s="187"/>
      <c r="EE754" s="330"/>
      <c r="EH754" s="334"/>
      <c r="EI754" s="334"/>
      <c r="EM754"/>
      <c r="EO754" s="115"/>
      <c r="EP754" s="334"/>
      <c r="EQ754" s="334"/>
      <c r="ER754" s="334"/>
      <c r="ES754" s="334"/>
      <c r="ET754" s="334"/>
      <c r="EU754" s="334"/>
      <c r="EV754" s="334"/>
    </row>
    <row r="755" spans="35:152" ht="13">
      <c r="AI755" s="115" t="s">
        <v>1416</v>
      </c>
      <c r="AJ755" t="s">
        <v>2114</v>
      </c>
      <c r="AK755" s="115">
        <v>0</v>
      </c>
      <c r="AL755" s="115" t="s">
        <v>28</v>
      </c>
      <c r="AM755" s="115" t="s">
        <v>1832</v>
      </c>
      <c r="AN755" s="115" t="s">
        <v>1418</v>
      </c>
      <c r="AO755" s="115" t="s">
        <v>373</v>
      </c>
      <c r="AT755" s="115" t="s">
        <v>1415</v>
      </c>
      <c r="AU755" s="115" t="s">
        <v>2114</v>
      </c>
      <c r="AV755" s="115">
        <v>0</v>
      </c>
      <c r="AW755" s="115" t="s">
        <v>1679</v>
      </c>
      <c r="AX755" s="115" t="s">
        <v>1842</v>
      </c>
      <c r="AY755" s="115" t="s">
        <v>1850</v>
      </c>
      <c r="AZ755" s="115" t="s">
        <v>1868</v>
      </c>
      <c r="BA755" s="115"/>
      <c r="BB755" s="115"/>
      <c r="BC755" s="115"/>
      <c r="BD755" s="115"/>
      <c r="BE755" s="115"/>
      <c r="BF755" s="115"/>
      <c r="BG755" s="115"/>
      <c r="BH755" s="115"/>
      <c r="BI755" s="115">
        <v>334.40749999999997</v>
      </c>
      <c r="BJ755" s="115"/>
      <c r="BK755" s="115"/>
      <c r="BL755" s="115">
        <v>121.25</v>
      </c>
      <c r="BM755" s="115"/>
      <c r="BN755" s="115"/>
      <c r="BO755" s="115"/>
      <c r="BP755" s="115"/>
      <c r="DR755" s="214"/>
      <c r="DY755" s="115"/>
      <c r="DZ755" s="334"/>
      <c r="EA755" s="334"/>
      <c r="EB755" s="334"/>
      <c r="EC755" s="334"/>
      <c r="ED755" s="187"/>
      <c r="EE755" s="330"/>
      <c r="EH755" s="334"/>
      <c r="EI755" s="334"/>
      <c r="EM755"/>
      <c r="EO755" s="115"/>
      <c r="EP755" s="334"/>
      <c r="EQ755" s="334"/>
      <c r="ER755" s="334"/>
      <c r="ES755" s="334"/>
      <c r="ET755" s="334"/>
      <c r="EU755" s="334"/>
      <c r="EV755" s="334"/>
    </row>
    <row r="756" spans="35:152" ht="13">
      <c r="AI756" s="115" t="s">
        <v>1416</v>
      </c>
      <c r="AJ756" t="s">
        <v>2114</v>
      </c>
      <c r="AK756" s="115">
        <v>0</v>
      </c>
      <c r="AL756" s="115" t="s">
        <v>28</v>
      </c>
      <c r="AM756" s="115" t="s">
        <v>1846</v>
      </c>
      <c r="AN756" s="115" t="s">
        <v>1418</v>
      </c>
      <c r="AO756" s="115" t="s">
        <v>373</v>
      </c>
      <c r="AT756" s="115" t="s">
        <v>1415</v>
      </c>
      <c r="AU756" s="115" t="s">
        <v>2114</v>
      </c>
      <c r="AV756" s="115">
        <v>0</v>
      </c>
      <c r="AW756" s="115" t="s">
        <v>1679</v>
      </c>
      <c r="AX756" s="115" t="s">
        <v>1842</v>
      </c>
      <c r="AY756" s="115" t="s">
        <v>1832</v>
      </c>
      <c r="AZ756" s="115" t="s">
        <v>1868</v>
      </c>
      <c r="BA756" s="115"/>
      <c r="BB756" s="115"/>
      <c r="BC756" s="115"/>
      <c r="BD756" s="115"/>
      <c r="BE756" s="115"/>
      <c r="BF756" s="115"/>
      <c r="BG756" s="115"/>
      <c r="BH756" s="115"/>
      <c r="BI756" s="115">
        <v>1379</v>
      </c>
      <c r="BJ756" s="115"/>
      <c r="BK756" s="115"/>
      <c r="BL756" s="115">
        <v>1250</v>
      </c>
      <c r="BM756" s="115"/>
      <c r="BN756" s="115"/>
      <c r="BO756" s="115"/>
      <c r="BP756" s="115"/>
      <c r="DR756" s="214"/>
      <c r="DY756" s="115"/>
      <c r="DZ756" s="334"/>
      <c r="EA756" s="334"/>
      <c r="EB756" s="334"/>
      <c r="EC756" s="334"/>
      <c r="ED756" s="187"/>
      <c r="EE756" s="330"/>
      <c r="EH756" s="334"/>
      <c r="EI756" s="334"/>
      <c r="EM756"/>
      <c r="EO756" s="115"/>
      <c r="EP756" s="334"/>
      <c r="EQ756" s="334"/>
      <c r="ER756" s="334"/>
      <c r="ES756" s="334"/>
      <c r="ET756" s="334"/>
      <c r="EU756" s="334"/>
      <c r="EV756" s="334"/>
    </row>
    <row r="757" spans="35:152" ht="13">
      <c r="AI757" s="115" t="s">
        <v>1416</v>
      </c>
      <c r="AJ757" t="s">
        <v>2114</v>
      </c>
      <c r="AK757" s="115">
        <v>0</v>
      </c>
      <c r="AL757" s="115" t="s">
        <v>28</v>
      </c>
      <c r="AM757" s="115" t="s">
        <v>1849</v>
      </c>
      <c r="AN757" s="115" t="s">
        <v>1421</v>
      </c>
      <c r="AO757" s="115" t="s">
        <v>1643</v>
      </c>
      <c r="AT757" s="115" t="s">
        <v>1415</v>
      </c>
      <c r="AU757" s="115" t="s">
        <v>2114</v>
      </c>
      <c r="AV757" s="115">
        <v>0</v>
      </c>
      <c r="AW757" s="115" t="s">
        <v>1681</v>
      </c>
      <c r="AX757" s="115" t="s">
        <v>1842</v>
      </c>
      <c r="AY757" s="115" t="s">
        <v>1846</v>
      </c>
      <c r="AZ757" s="115" t="s">
        <v>1869</v>
      </c>
      <c r="BA757" s="115"/>
      <c r="BB757" s="115"/>
      <c r="BC757" s="115"/>
      <c r="BD757" s="115"/>
      <c r="BE757" s="115">
        <v>38352.583619999998</v>
      </c>
      <c r="BF757" s="115"/>
      <c r="BG757" s="115">
        <v>80505.540112799994</v>
      </c>
      <c r="BH757" s="115"/>
      <c r="BI757" s="115">
        <v>31447.450440000001</v>
      </c>
      <c r="BJ757" s="115"/>
      <c r="BK757" s="115"/>
      <c r="BL757" s="115"/>
      <c r="BM757" s="115"/>
      <c r="BN757" s="115"/>
      <c r="BO757" s="115"/>
      <c r="BP757" s="115"/>
      <c r="DR757" s="214"/>
      <c r="DY757" s="115"/>
      <c r="DZ757" s="334"/>
      <c r="EA757" s="334"/>
      <c r="EB757" s="334"/>
      <c r="EC757" s="334"/>
      <c r="ED757" s="187"/>
      <c r="EE757" s="330"/>
      <c r="EH757" s="334"/>
      <c r="EI757" s="334"/>
      <c r="EM757"/>
      <c r="EO757" s="115"/>
      <c r="EP757" s="334"/>
      <c r="EQ757" s="334"/>
      <c r="ER757" s="334"/>
      <c r="ES757" s="334"/>
      <c r="ET757" s="334"/>
      <c r="EU757" s="334"/>
      <c r="EV757" s="334"/>
    </row>
    <row r="758" spans="35:152" ht="13">
      <c r="AI758" s="115" t="s">
        <v>1416</v>
      </c>
      <c r="AJ758" t="s">
        <v>2114</v>
      </c>
      <c r="AK758" s="115">
        <v>0</v>
      </c>
      <c r="AL758" s="115" t="s">
        <v>28</v>
      </c>
      <c r="AM758" s="115" t="s">
        <v>1850</v>
      </c>
      <c r="AN758" s="115" t="s">
        <v>1421</v>
      </c>
      <c r="AO758" s="115" t="s">
        <v>1643</v>
      </c>
      <c r="AT758" s="115" t="s">
        <v>1415</v>
      </c>
      <c r="AU758" s="115" t="s">
        <v>2114</v>
      </c>
      <c r="AV758" s="115">
        <v>0</v>
      </c>
      <c r="AW758" s="115" t="s">
        <v>1681</v>
      </c>
      <c r="AX758" s="115" t="s">
        <v>1842</v>
      </c>
      <c r="AY758" s="115" t="s">
        <v>1848</v>
      </c>
      <c r="AZ758" s="115" t="s">
        <v>1869</v>
      </c>
      <c r="BA758" s="115">
        <v>24318.591803999996</v>
      </c>
      <c r="BB758" s="115"/>
      <c r="BC758" s="115"/>
      <c r="BD758" s="115"/>
      <c r="BE758" s="115">
        <v>35165.481780000002</v>
      </c>
      <c r="BF758" s="115"/>
      <c r="BG758" s="115">
        <v>45910.431987200005</v>
      </c>
      <c r="BH758" s="115"/>
      <c r="BI758" s="115">
        <v>14173.194285000001</v>
      </c>
      <c r="BJ758" s="115"/>
      <c r="BK758" s="115"/>
      <c r="BL758" s="115"/>
      <c r="BM758" s="115"/>
      <c r="BN758" s="115"/>
      <c r="BO758" s="115"/>
      <c r="BP758" s="115"/>
      <c r="DR758" s="214"/>
      <c r="DY758" s="115"/>
      <c r="DZ758" s="334"/>
      <c r="EA758" s="334"/>
      <c r="EB758" s="334"/>
      <c r="EC758" s="334"/>
      <c r="ED758" s="187"/>
      <c r="EE758" s="330"/>
      <c r="EH758" s="334"/>
      <c r="EI758" s="334"/>
      <c r="EM758"/>
      <c r="EO758" s="115"/>
      <c r="EP758" s="334"/>
      <c r="EQ758" s="334"/>
      <c r="ER758" s="334"/>
      <c r="ES758" s="334"/>
      <c r="ET758" s="334"/>
      <c r="EU758" s="334"/>
      <c r="EV758" s="334"/>
    </row>
    <row r="759" spans="35:152" ht="13">
      <c r="AI759" s="115" t="s">
        <v>1416</v>
      </c>
      <c r="AJ759" t="s">
        <v>2114</v>
      </c>
      <c r="AK759" s="115">
        <v>0</v>
      </c>
      <c r="AL759" s="115" t="s">
        <v>28</v>
      </c>
      <c r="AM759" s="115" t="s">
        <v>1832</v>
      </c>
      <c r="AN759" s="115" t="s">
        <v>1421</v>
      </c>
      <c r="AO759" s="115" t="s">
        <v>1643</v>
      </c>
      <c r="AT759" s="115" t="s">
        <v>1415</v>
      </c>
      <c r="AU759" s="115" t="s">
        <v>2114</v>
      </c>
      <c r="AV759" s="115">
        <v>0</v>
      </c>
      <c r="AW759" s="115" t="s">
        <v>1681</v>
      </c>
      <c r="AX759" s="115" t="s">
        <v>1842</v>
      </c>
      <c r="AY759" s="115" t="s">
        <v>1843</v>
      </c>
      <c r="AZ759" s="115" t="s">
        <v>1869</v>
      </c>
      <c r="BA759" s="115">
        <v>24131.167731958765</v>
      </c>
      <c r="BB759" s="115"/>
      <c r="BC759" s="115"/>
      <c r="BD759" s="115"/>
      <c r="BE759" s="115">
        <v>72633.061752577327</v>
      </c>
      <c r="BF759" s="115"/>
      <c r="BG759" s="115">
        <v>125079.0169072165</v>
      </c>
      <c r="BH759" s="115"/>
      <c r="BI759" s="115">
        <v>46187.108144329897</v>
      </c>
      <c r="BJ759" s="115"/>
      <c r="BK759" s="115"/>
      <c r="BL759" s="115"/>
      <c r="BM759" s="115"/>
      <c r="BN759" s="115"/>
      <c r="BO759" s="115"/>
      <c r="BP759" s="115"/>
      <c r="DR759" s="214"/>
      <c r="DY759" s="115"/>
      <c r="DZ759" s="334"/>
      <c r="EA759" s="334"/>
      <c r="EB759" s="334"/>
      <c r="EC759" s="334"/>
      <c r="ED759" s="187"/>
      <c r="EE759" s="330"/>
      <c r="EH759" s="334"/>
      <c r="EI759" s="334"/>
      <c r="EM759"/>
      <c r="EO759" s="115"/>
      <c r="EP759" s="334"/>
      <c r="EQ759" s="334"/>
      <c r="ER759" s="334"/>
      <c r="ES759" s="334"/>
      <c r="ET759" s="334"/>
      <c r="EU759" s="334"/>
      <c r="EV759" s="334"/>
    </row>
    <row r="760" spans="35:152" ht="13">
      <c r="AI760" s="115" t="s">
        <v>1416</v>
      </c>
      <c r="AJ760" t="s">
        <v>2114</v>
      </c>
      <c r="AK760" s="115">
        <v>0</v>
      </c>
      <c r="AL760" s="115" t="s">
        <v>28</v>
      </c>
      <c r="AM760" s="115" t="s">
        <v>1848</v>
      </c>
      <c r="AN760" s="115" t="s">
        <v>1421</v>
      </c>
      <c r="AO760" s="115" t="s">
        <v>1643</v>
      </c>
      <c r="AT760" s="115" t="s">
        <v>1415</v>
      </c>
      <c r="AU760" s="115" t="s">
        <v>2114</v>
      </c>
      <c r="AV760" s="115">
        <v>0</v>
      </c>
      <c r="AW760" s="115" t="s">
        <v>1681</v>
      </c>
      <c r="AX760" s="115" t="s">
        <v>1842</v>
      </c>
      <c r="AY760" s="115" t="s">
        <v>1849</v>
      </c>
      <c r="AZ760" s="115" t="s">
        <v>1869</v>
      </c>
      <c r="BA760" s="115"/>
      <c r="BB760" s="115"/>
      <c r="BC760" s="115"/>
      <c r="BD760" s="115"/>
      <c r="BE760" s="115">
        <v>756.6</v>
      </c>
      <c r="BF760" s="115"/>
      <c r="BG760" s="115">
        <v>1531.4639999999999</v>
      </c>
      <c r="BH760" s="115"/>
      <c r="BI760" s="115">
        <v>1108.71</v>
      </c>
      <c r="BJ760" s="115"/>
      <c r="BK760" s="115"/>
      <c r="BL760" s="115"/>
      <c r="BM760" s="115"/>
      <c r="BN760" s="115"/>
      <c r="BO760" s="115"/>
      <c r="BP760" s="115"/>
      <c r="DR760" s="214"/>
      <c r="DY760" s="115"/>
      <c r="DZ760" s="334"/>
      <c r="EA760" s="334"/>
      <c r="EB760" s="334"/>
      <c r="EC760" s="334"/>
      <c r="ED760" s="187"/>
      <c r="EE760" s="330"/>
      <c r="EH760" s="334"/>
      <c r="EI760" s="334"/>
      <c r="EM760"/>
      <c r="EO760" s="115"/>
      <c r="EP760" s="334"/>
      <c r="EQ760" s="334"/>
      <c r="ER760" s="334"/>
      <c r="ES760" s="334"/>
      <c r="ET760" s="334"/>
      <c r="EU760" s="334"/>
      <c r="EV760" s="334"/>
    </row>
    <row r="761" spans="35:152" ht="13">
      <c r="AI761" s="115" t="s">
        <v>1416</v>
      </c>
      <c r="AJ761" t="s">
        <v>2114</v>
      </c>
      <c r="AK761" s="115">
        <v>0</v>
      </c>
      <c r="AL761" s="115" t="s">
        <v>28</v>
      </c>
      <c r="AM761" s="115" t="s">
        <v>1843</v>
      </c>
      <c r="AN761" s="115" t="s">
        <v>1421</v>
      </c>
      <c r="AO761" s="115" t="s">
        <v>1643</v>
      </c>
      <c r="AT761" s="115" t="s">
        <v>1415</v>
      </c>
      <c r="AU761" s="115" t="s">
        <v>2114</v>
      </c>
      <c r="AV761" s="115">
        <v>0</v>
      </c>
      <c r="AW761" s="115" t="s">
        <v>1681</v>
      </c>
      <c r="AX761" s="115" t="s">
        <v>1842</v>
      </c>
      <c r="AY761" s="115" t="s">
        <v>1850</v>
      </c>
      <c r="AZ761" s="115" t="s">
        <v>1869</v>
      </c>
      <c r="BA761" s="115">
        <v>453.96</v>
      </c>
      <c r="BB761" s="115"/>
      <c r="BC761" s="115"/>
      <c r="BD761" s="115"/>
      <c r="BE761" s="115">
        <v>756.6</v>
      </c>
      <c r="BF761" s="115"/>
      <c r="BG761" s="115">
        <v>1020.9760000000001</v>
      </c>
      <c r="BH761" s="115"/>
      <c r="BI761" s="115">
        <v>369.57000000000005</v>
      </c>
      <c r="BJ761" s="115"/>
      <c r="BK761" s="115"/>
      <c r="BL761" s="115"/>
      <c r="BM761" s="115"/>
      <c r="BN761" s="115"/>
      <c r="BO761" s="115"/>
      <c r="BP761" s="115"/>
      <c r="DR761" s="214"/>
      <c r="DY761" s="115"/>
      <c r="DZ761" s="334"/>
      <c r="EA761" s="334"/>
      <c r="EB761" s="334"/>
      <c r="EC761" s="334"/>
      <c r="ED761" s="187"/>
      <c r="EE761" s="330"/>
      <c r="EH761" s="334"/>
      <c r="EI761" s="334"/>
      <c r="EM761"/>
      <c r="EO761" s="115"/>
      <c r="EP761" s="334"/>
      <c r="EQ761" s="334"/>
      <c r="ER761" s="334"/>
      <c r="ES761" s="334"/>
      <c r="ET761" s="334"/>
      <c r="EU761" s="334"/>
      <c r="EV761" s="334"/>
    </row>
    <row r="762" spans="35:152" ht="13">
      <c r="AI762" s="115" t="s">
        <v>1416</v>
      </c>
      <c r="AJ762" t="s">
        <v>2114</v>
      </c>
      <c r="AK762" s="115">
        <v>0</v>
      </c>
      <c r="AL762" s="115" t="s">
        <v>28</v>
      </c>
      <c r="AM762" s="115" t="s">
        <v>1846</v>
      </c>
      <c r="AN762" s="115" t="s">
        <v>1421</v>
      </c>
      <c r="AO762" s="115" t="s">
        <v>1643</v>
      </c>
      <c r="AT762" s="115" t="s">
        <v>1415</v>
      </c>
      <c r="AU762" s="115" t="s">
        <v>2114</v>
      </c>
      <c r="AV762" s="115">
        <v>0</v>
      </c>
      <c r="AW762" s="115" t="s">
        <v>1681</v>
      </c>
      <c r="AX762" s="115" t="s">
        <v>1842</v>
      </c>
      <c r="AY762" s="115" t="s">
        <v>1832</v>
      </c>
      <c r="AZ762" s="115" t="s">
        <v>1869</v>
      </c>
      <c r="BA762" s="115">
        <v>468</v>
      </c>
      <c r="BB762" s="115"/>
      <c r="BC762" s="115"/>
      <c r="BD762" s="115"/>
      <c r="BE762" s="115">
        <v>1560</v>
      </c>
      <c r="BF762" s="115"/>
      <c r="BG762" s="115">
        <v>2631.3814432989693</v>
      </c>
      <c r="BH762" s="115"/>
      <c r="BI762" s="115">
        <v>1524.0000000000002</v>
      </c>
      <c r="BJ762" s="115"/>
      <c r="BK762" s="115"/>
      <c r="BL762" s="115"/>
      <c r="BM762" s="115"/>
      <c r="BN762" s="115"/>
      <c r="BO762" s="115"/>
      <c r="BP762" s="115"/>
      <c r="DR762" s="214"/>
      <c r="DY762" s="115"/>
      <c r="DZ762" s="334"/>
      <c r="EA762" s="334"/>
      <c r="EB762" s="334"/>
      <c r="EC762" s="334"/>
      <c r="ED762" s="187"/>
      <c r="EE762" s="330"/>
      <c r="EH762" s="334"/>
      <c r="EI762" s="334"/>
      <c r="EM762"/>
      <c r="EO762" s="115"/>
      <c r="EP762" s="334"/>
      <c r="EQ762" s="334"/>
      <c r="ER762" s="334"/>
      <c r="ES762" s="334"/>
      <c r="ET762" s="334"/>
      <c r="EU762" s="334"/>
      <c r="EV762" s="334"/>
    </row>
    <row r="763" spans="35:152" ht="13">
      <c r="AI763" s="115" t="s">
        <v>1416</v>
      </c>
      <c r="AJ763" t="s">
        <v>2114</v>
      </c>
      <c r="AK763" s="115">
        <v>0</v>
      </c>
      <c r="AL763" s="115" t="s">
        <v>28</v>
      </c>
      <c r="AM763" s="115" t="s">
        <v>1850</v>
      </c>
      <c r="AN763" s="115" t="s">
        <v>1421</v>
      </c>
      <c r="AO763" s="115" t="s">
        <v>372</v>
      </c>
      <c r="AT763" s="115" t="s">
        <v>1415</v>
      </c>
      <c r="AU763" s="115" t="s">
        <v>2114</v>
      </c>
      <c r="AV763" s="115">
        <v>0</v>
      </c>
      <c r="AW763" s="115" t="s">
        <v>1682</v>
      </c>
      <c r="AX763" s="115" t="s">
        <v>28</v>
      </c>
      <c r="AY763" s="115" t="s">
        <v>1846</v>
      </c>
      <c r="AZ763" s="115" t="s">
        <v>1871</v>
      </c>
      <c r="BA763" s="115"/>
      <c r="BB763" s="115"/>
      <c r="BC763" s="115"/>
      <c r="BD763" s="115">
        <v>33039.658931894999</v>
      </c>
      <c r="BE763" s="115"/>
      <c r="BF763" s="115"/>
      <c r="BG763" s="115"/>
      <c r="BH763" s="115"/>
      <c r="BI763" s="115"/>
      <c r="BJ763" s="115"/>
      <c r="BK763" s="115"/>
      <c r="BL763" s="115"/>
      <c r="BM763" s="115"/>
      <c r="BN763" s="115"/>
      <c r="BO763" s="115"/>
      <c r="BP763" s="115"/>
      <c r="DR763" s="214"/>
      <c r="DY763" s="115"/>
      <c r="DZ763" s="334"/>
      <c r="EA763" s="334"/>
      <c r="EB763" s="334"/>
      <c r="EC763" s="334"/>
      <c r="ED763" s="187"/>
      <c r="EE763" s="330"/>
      <c r="EH763" s="334"/>
      <c r="EI763" s="334"/>
      <c r="EM763"/>
      <c r="EO763" s="115"/>
      <c r="EP763" s="334"/>
      <c r="EQ763" s="334"/>
      <c r="ER763" s="334"/>
      <c r="ES763" s="334"/>
      <c r="ET763" s="334"/>
      <c r="EU763" s="334"/>
      <c r="EV763" s="334"/>
    </row>
    <row r="764" spans="35:152" ht="13">
      <c r="AI764" s="115" t="s">
        <v>1416</v>
      </c>
      <c r="AJ764" t="s">
        <v>2114</v>
      </c>
      <c r="AK764" s="115">
        <v>0</v>
      </c>
      <c r="AL764" s="115" t="s">
        <v>28</v>
      </c>
      <c r="AM764" s="115" t="s">
        <v>1849</v>
      </c>
      <c r="AN764" s="115" t="s">
        <v>1421</v>
      </c>
      <c r="AO764" s="115" t="s">
        <v>372</v>
      </c>
      <c r="AT764" s="115" t="s">
        <v>1415</v>
      </c>
      <c r="AU764" s="115" t="s">
        <v>2114</v>
      </c>
      <c r="AV764" s="115">
        <v>0</v>
      </c>
      <c r="AW764" s="115" t="s">
        <v>1682</v>
      </c>
      <c r="AX764" s="115" t="s">
        <v>28</v>
      </c>
      <c r="AY764" s="115" t="s">
        <v>1848</v>
      </c>
      <c r="AZ764" s="115" t="s">
        <v>1871</v>
      </c>
      <c r="BA764" s="115"/>
      <c r="BB764" s="115"/>
      <c r="BC764" s="115"/>
      <c r="BD764" s="115">
        <v>30548.848636844999</v>
      </c>
      <c r="BE764" s="115"/>
      <c r="BF764" s="115"/>
      <c r="BG764" s="115"/>
      <c r="BH764" s="115"/>
      <c r="BI764" s="115"/>
      <c r="BJ764" s="115"/>
      <c r="BK764" s="115"/>
      <c r="BL764" s="115"/>
      <c r="BM764" s="115"/>
      <c r="BN764" s="115"/>
      <c r="BO764" s="115"/>
      <c r="BP764" s="115"/>
      <c r="DR764" s="214"/>
      <c r="DY764" s="115"/>
      <c r="DZ764" s="334"/>
      <c r="EA764" s="334"/>
      <c r="EB764" s="334"/>
      <c r="EC764" s="334"/>
      <c r="ED764" s="187"/>
      <c r="EE764" s="330"/>
      <c r="EH764" s="334"/>
      <c r="EI764" s="334"/>
      <c r="EM764"/>
      <c r="EO764" s="115"/>
      <c r="EP764" s="334"/>
      <c r="EQ764" s="334"/>
      <c r="ER764" s="334"/>
      <c r="ES764" s="334"/>
      <c r="ET764" s="334"/>
      <c r="EU764" s="334"/>
      <c r="EV764" s="334"/>
    </row>
    <row r="765" spans="35:152" ht="13">
      <c r="AI765" s="115" t="s">
        <v>1416</v>
      </c>
      <c r="AJ765" t="s">
        <v>2114</v>
      </c>
      <c r="AK765" s="115">
        <v>0</v>
      </c>
      <c r="AL765" s="115" t="s">
        <v>28</v>
      </c>
      <c r="AM765" s="115" t="s">
        <v>1846</v>
      </c>
      <c r="AN765" s="115" t="s">
        <v>1421</v>
      </c>
      <c r="AO765" s="115" t="s">
        <v>372</v>
      </c>
      <c r="AT765" s="115" t="s">
        <v>1415</v>
      </c>
      <c r="AU765" s="115" t="s">
        <v>2114</v>
      </c>
      <c r="AV765" s="115">
        <v>0</v>
      </c>
      <c r="AW765" s="115" t="s">
        <v>1682</v>
      </c>
      <c r="AX765" s="115" t="s">
        <v>28</v>
      </c>
      <c r="AY765" s="115" t="s">
        <v>1843</v>
      </c>
      <c r="AZ765" s="115" t="s">
        <v>1871</v>
      </c>
      <c r="BA765" s="115"/>
      <c r="BB765" s="115"/>
      <c r="BC765" s="115"/>
      <c r="BD765" s="115">
        <v>62824.147525773195</v>
      </c>
      <c r="BE765" s="115"/>
      <c r="BF765" s="115"/>
      <c r="BG765" s="115"/>
      <c r="BH765" s="115"/>
      <c r="BI765" s="115"/>
      <c r="BJ765" s="115"/>
      <c r="BK765" s="115"/>
      <c r="BL765" s="115"/>
      <c r="BM765" s="115"/>
      <c r="BN765" s="115"/>
      <c r="BO765" s="115"/>
      <c r="BP765" s="115"/>
      <c r="DR765" s="214"/>
      <c r="DY765" s="115"/>
      <c r="DZ765" s="334"/>
      <c r="EA765" s="334"/>
      <c r="EB765" s="334"/>
      <c r="EC765" s="334"/>
      <c r="ED765" s="187"/>
      <c r="EE765" s="330"/>
      <c r="EH765" s="334"/>
      <c r="EI765" s="334"/>
      <c r="EM765"/>
      <c r="EO765" s="115"/>
      <c r="EP765" s="334"/>
      <c r="EQ765" s="334"/>
      <c r="ER765" s="334"/>
      <c r="ES765" s="334"/>
      <c r="ET765" s="334"/>
      <c r="EU765" s="334"/>
      <c r="EV765" s="334"/>
    </row>
    <row r="766" spans="35:152" ht="13">
      <c r="AI766" s="115" t="s">
        <v>1416</v>
      </c>
      <c r="AJ766" t="s">
        <v>2114</v>
      </c>
      <c r="AK766" s="115">
        <v>0</v>
      </c>
      <c r="AL766" s="115" t="s">
        <v>28</v>
      </c>
      <c r="AM766" s="115" t="s">
        <v>1843</v>
      </c>
      <c r="AN766" s="115" t="s">
        <v>1421</v>
      </c>
      <c r="AO766" s="115" t="s">
        <v>372</v>
      </c>
      <c r="AT766" s="115" t="s">
        <v>1415</v>
      </c>
      <c r="AU766" s="115" t="s">
        <v>2114</v>
      </c>
      <c r="AV766" s="115">
        <v>0</v>
      </c>
      <c r="AW766" s="115" t="s">
        <v>1682</v>
      </c>
      <c r="AX766" s="115" t="s">
        <v>28</v>
      </c>
      <c r="AY766" s="115" t="s">
        <v>1849</v>
      </c>
      <c r="AZ766" s="115" t="s">
        <v>1871</v>
      </c>
      <c r="BA766" s="115"/>
      <c r="BB766" s="115"/>
      <c r="BC766" s="115"/>
      <c r="BD766" s="115">
        <v>628.51634999999999</v>
      </c>
      <c r="BE766" s="115"/>
      <c r="BF766" s="115"/>
      <c r="BG766" s="115"/>
      <c r="BH766" s="115"/>
      <c r="BI766" s="115"/>
      <c r="BJ766" s="115"/>
      <c r="BK766" s="115"/>
      <c r="BL766" s="115"/>
      <c r="BM766" s="115"/>
      <c r="BN766" s="115"/>
      <c r="BO766" s="115"/>
      <c r="BP766" s="115"/>
      <c r="DR766" s="214"/>
      <c r="DY766" s="115"/>
      <c r="DZ766" s="334"/>
      <c r="EA766" s="334"/>
      <c r="EB766" s="334"/>
      <c r="EC766" s="334"/>
      <c r="ED766" s="187"/>
      <c r="EE766" s="330"/>
      <c r="EH766" s="334"/>
      <c r="EI766" s="334"/>
      <c r="EM766"/>
      <c r="EO766" s="115"/>
      <c r="EP766" s="334"/>
      <c r="EQ766" s="334"/>
      <c r="ER766" s="334"/>
      <c r="ES766" s="334"/>
      <c r="ET766" s="334"/>
      <c r="EU766" s="334"/>
      <c r="EV766" s="334"/>
    </row>
    <row r="767" spans="35:152" ht="13">
      <c r="AI767" s="115" t="s">
        <v>1416</v>
      </c>
      <c r="AJ767" t="s">
        <v>2114</v>
      </c>
      <c r="AK767" s="115">
        <v>0</v>
      </c>
      <c r="AL767" s="115" t="s">
        <v>28</v>
      </c>
      <c r="AM767" s="115" t="s">
        <v>1848</v>
      </c>
      <c r="AN767" s="115" t="s">
        <v>1421</v>
      </c>
      <c r="AO767" s="115" t="s">
        <v>372</v>
      </c>
      <c r="AT767" s="115" t="s">
        <v>1415</v>
      </c>
      <c r="AU767" s="115" t="s">
        <v>2114</v>
      </c>
      <c r="AV767" s="115">
        <v>0</v>
      </c>
      <c r="AW767" s="115" t="s">
        <v>1682</v>
      </c>
      <c r="AX767" s="115" t="s">
        <v>28</v>
      </c>
      <c r="AY767" s="115" t="s">
        <v>1850</v>
      </c>
      <c r="AZ767" s="115" t="s">
        <v>1871</v>
      </c>
      <c r="BA767" s="115"/>
      <c r="BB767" s="115"/>
      <c r="BC767" s="115"/>
      <c r="BD767" s="115">
        <v>628.51634999999999</v>
      </c>
      <c r="BE767" s="115"/>
      <c r="BF767" s="115"/>
      <c r="BG767" s="115"/>
      <c r="BH767" s="115"/>
      <c r="BI767" s="115"/>
      <c r="BJ767" s="115"/>
      <c r="BK767" s="115"/>
      <c r="BL767" s="115"/>
      <c r="BM767" s="115"/>
      <c r="BN767" s="115"/>
      <c r="BO767" s="115"/>
      <c r="BP767" s="115"/>
      <c r="DR767" s="214"/>
      <c r="DY767" s="115"/>
      <c r="DZ767" s="334"/>
      <c r="EA767" s="334"/>
      <c r="EB767" s="334"/>
      <c r="EC767" s="334"/>
      <c r="ED767" s="187"/>
      <c r="EE767" s="330"/>
      <c r="EH767" s="334"/>
      <c r="EI767" s="334"/>
      <c r="EM767"/>
      <c r="EO767" s="115"/>
      <c r="EP767" s="334"/>
      <c r="EQ767" s="334"/>
      <c r="ER767" s="334"/>
      <c r="ES767" s="334"/>
      <c r="ET767" s="334"/>
      <c r="EU767" s="334"/>
      <c r="EV767" s="334"/>
    </row>
    <row r="768" spans="35:152" ht="13">
      <c r="AI768" s="115" t="s">
        <v>1416</v>
      </c>
      <c r="AJ768" t="s">
        <v>2114</v>
      </c>
      <c r="AK768" s="115">
        <v>0</v>
      </c>
      <c r="AL768" s="115" t="s">
        <v>28</v>
      </c>
      <c r="AM768" s="115" t="s">
        <v>1832</v>
      </c>
      <c r="AN768" s="115" t="s">
        <v>1421</v>
      </c>
      <c r="AO768" s="115" t="s">
        <v>372</v>
      </c>
      <c r="AT768" s="115" t="s">
        <v>1415</v>
      </c>
      <c r="AU768" s="115" t="s">
        <v>2114</v>
      </c>
      <c r="AV768" s="115">
        <v>0</v>
      </c>
      <c r="AW768" s="115" t="s">
        <v>1682</v>
      </c>
      <c r="AX768" s="115" t="s">
        <v>28</v>
      </c>
      <c r="AY768" s="115" t="s">
        <v>1832</v>
      </c>
      <c r="AZ768" s="115" t="s">
        <v>1871</v>
      </c>
      <c r="BA768" s="115"/>
      <c r="BB768" s="115"/>
      <c r="BC768" s="115"/>
      <c r="BD768" s="115">
        <v>1295.9100000000001</v>
      </c>
      <c r="BE768" s="115"/>
      <c r="BF768" s="115"/>
      <c r="BG768" s="115"/>
      <c r="BH768" s="115"/>
      <c r="BI768" s="115"/>
      <c r="BJ768" s="115"/>
      <c r="BK768" s="115"/>
      <c r="BL768" s="115"/>
      <c r="BM768" s="115"/>
      <c r="BN768" s="115"/>
      <c r="BO768" s="115"/>
      <c r="BP768" s="115"/>
      <c r="DR768" s="214"/>
      <c r="DY768" s="115"/>
      <c r="DZ768" s="334"/>
      <c r="EA768" s="334"/>
      <c r="EB768" s="334"/>
      <c r="EC768" s="334"/>
      <c r="ED768" s="187"/>
      <c r="EE768" s="330"/>
      <c r="EH768" s="334"/>
      <c r="EI768" s="334"/>
      <c r="EM768"/>
      <c r="EO768" s="115"/>
      <c r="EP768" s="334"/>
      <c r="EQ768" s="334"/>
      <c r="ER768" s="334"/>
      <c r="ES768" s="334"/>
      <c r="ET768" s="334"/>
      <c r="EU768" s="334"/>
      <c r="EV768" s="334"/>
    </row>
    <row r="769" spans="35:152" ht="13">
      <c r="AI769" s="115" t="s">
        <v>1416</v>
      </c>
      <c r="AJ769" t="s">
        <v>2114</v>
      </c>
      <c r="AK769" s="115">
        <v>0</v>
      </c>
      <c r="AL769" s="115" t="s">
        <v>28</v>
      </c>
      <c r="AM769" s="115" t="s">
        <v>1850</v>
      </c>
      <c r="AN769" s="115" t="s">
        <v>1456</v>
      </c>
      <c r="AO769" s="115" t="s">
        <v>1644</v>
      </c>
      <c r="AT769" s="115" t="s">
        <v>1415</v>
      </c>
      <c r="AU769" s="115" t="s">
        <v>2114</v>
      </c>
      <c r="AV769" s="115">
        <v>0</v>
      </c>
      <c r="AW769" s="115" t="s">
        <v>1682</v>
      </c>
      <c r="AX769" s="115" t="s">
        <v>28</v>
      </c>
      <c r="AY769" s="115" t="s">
        <v>1846</v>
      </c>
      <c r="AZ769" s="115" t="s">
        <v>1872</v>
      </c>
      <c r="BA769" s="115"/>
      <c r="BB769" s="115"/>
      <c r="BC769" s="115"/>
      <c r="BD769" s="115"/>
      <c r="BE769" s="115">
        <v>12983.332954950001</v>
      </c>
      <c r="BF769" s="115"/>
      <c r="BG769" s="115"/>
      <c r="BH769" s="115"/>
      <c r="BI769" s="115"/>
      <c r="BJ769" s="115"/>
      <c r="BK769" s="115"/>
      <c r="BL769" s="115"/>
      <c r="BM769" s="115"/>
      <c r="BN769" s="115"/>
      <c r="BO769" s="115"/>
      <c r="BP769" s="115"/>
      <c r="DR769" s="214"/>
      <c r="DY769" s="115"/>
      <c r="DZ769" s="334"/>
      <c r="EA769" s="334"/>
      <c r="EB769" s="334"/>
      <c r="EC769" s="334"/>
      <c r="ED769" s="187"/>
      <c r="EE769" s="330"/>
      <c r="EH769" s="334"/>
      <c r="EI769" s="334"/>
      <c r="EM769"/>
      <c r="EO769" s="115"/>
      <c r="EP769" s="334"/>
      <c r="EQ769" s="334"/>
      <c r="ER769" s="334"/>
      <c r="ES769" s="334"/>
      <c r="ET769" s="334"/>
      <c r="EU769" s="334"/>
      <c r="EV769" s="334"/>
    </row>
    <row r="770" spans="35:152" ht="13">
      <c r="AI770" s="115" t="s">
        <v>1416</v>
      </c>
      <c r="AJ770" t="s">
        <v>2114</v>
      </c>
      <c r="AK770" s="115">
        <v>0</v>
      </c>
      <c r="AL770" s="115" t="s">
        <v>28</v>
      </c>
      <c r="AM770" s="115" t="s">
        <v>1843</v>
      </c>
      <c r="AN770" s="115" t="s">
        <v>1456</v>
      </c>
      <c r="AO770" s="115" t="s">
        <v>1644</v>
      </c>
      <c r="AT770" s="115" t="s">
        <v>1415</v>
      </c>
      <c r="AU770" s="115" t="s">
        <v>2114</v>
      </c>
      <c r="AV770" s="115">
        <v>0</v>
      </c>
      <c r="AW770" s="115" t="s">
        <v>1682</v>
      </c>
      <c r="AX770" s="115" t="s">
        <v>28</v>
      </c>
      <c r="AY770" s="115" t="s">
        <v>1848</v>
      </c>
      <c r="AZ770" s="115" t="s">
        <v>1872</v>
      </c>
      <c r="BA770" s="115"/>
      <c r="BB770" s="115"/>
      <c r="BC770" s="115"/>
      <c r="BD770" s="115"/>
      <c r="BE770" s="115">
        <v>11904.417261550001</v>
      </c>
      <c r="BF770" s="115"/>
      <c r="BG770" s="115"/>
      <c r="BH770" s="115"/>
      <c r="BI770" s="115"/>
      <c r="BJ770" s="115"/>
      <c r="BK770" s="115"/>
      <c r="BL770" s="115"/>
      <c r="BM770" s="115"/>
      <c r="BN770" s="115"/>
      <c r="BO770" s="115"/>
      <c r="BP770" s="115"/>
      <c r="DR770" s="214"/>
      <c r="DY770" s="115"/>
      <c r="DZ770" s="334"/>
      <c r="EA770" s="334"/>
      <c r="EB770" s="334"/>
      <c r="EC770" s="334"/>
      <c r="ED770" s="187"/>
      <c r="EE770" s="330"/>
      <c r="EH770" s="334"/>
      <c r="EI770" s="334"/>
      <c r="EM770"/>
      <c r="EO770" s="115"/>
      <c r="EP770" s="334"/>
      <c r="EQ770" s="334"/>
      <c r="ER770" s="334"/>
      <c r="ES770" s="334"/>
      <c r="ET770" s="334"/>
      <c r="EU770" s="334"/>
      <c r="EV770" s="334"/>
    </row>
    <row r="771" spans="35:152" ht="13">
      <c r="AI771" s="115" t="s">
        <v>1416</v>
      </c>
      <c r="AJ771" t="s">
        <v>2114</v>
      </c>
      <c r="AK771" s="115">
        <v>0</v>
      </c>
      <c r="AL771" s="115" t="s">
        <v>28</v>
      </c>
      <c r="AM771" s="115" t="s">
        <v>1832</v>
      </c>
      <c r="AN771" s="115" t="s">
        <v>1456</v>
      </c>
      <c r="AO771" s="115" t="s">
        <v>1644</v>
      </c>
      <c r="AT771" s="115" t="s">
        <v>1415</v>
      </c>
      <c r="AU771" s="115" t="s">
        <v>2114</v>
      </c>
      <c r="AV771" s="115">
        <v>0</v>
      </c>
      <c r="AW771" s="115" t="s">
        <v>1682</v>
      </c>
      <c r="AX771" s="115" t="s">
        <v>28</v>
      </c>
      <c r="AY771" s="115" t="s">
        <v>1843</v>
      </c>
      <c r="AZ771" s="115" t="s">
        <v>1872</v>
      </c>
      <c r="BA771" s="115"/>
      <c r="BB771" s="115"/>
      <c r="BC771" s="115"/>
      <c r="BD771" s="115"/>
      <c r="BE771" s="115">
        <v>24588.15381443299</v>
      </c>
      <c r="BF771" s="115"/>
      <c r="BG771" s="115"/>
      <c r="BH771" s="115"/>
      <c r="BI771" s="115"/>
      <c r="BJ771" s="115"/>
      <c r="BK771" s="115"/>
      <c r="BL771" s="115"/>
      <c r="BM771" s="115"/>
      <c r="BN771" s="115"/>
      <c r="BO771" s="115"/>
      <c r="BP771" s="115"/>
      <c r="DR771" s="214"/>
      <c r="DY771" s="115"/>
      <c r="DZ771" s="334"/>
      <c r="EA771" s="334"/>
      <c r="EB771" s="334"/>
      <c r="EC771" s="334"/>
      <c r="ED771" s="187"/>
      <c r="EE771" s="330"/>
      <c r="EH771" s="334"/>
      <c r="EI771" s="334"/>
      <c r="EM771"/>
      <c r="EO771" s="115"/>
      <c r="EP771" s="334"/>
      <c r="EQ771" s="334"/>
      <c r="ER771" s="334"/>
      <c r="ES771" s="334"/>
      <c r="ET771" s="334"/>
      <c r="EU771" s="334"/>
      <c r="EV771" s="334"/>
    </row>
    <row r="772" spans="35:152" ht="13">
      <c r="AI772" s="115" t="s">
        <v>1416</v>
      </c>
      <c r="AJ772" t="s">
        <v>2114</v>
      </c>
      <c r="AK772" s="115">
        <v>0</v>
      </c>
      <c r="AL772" s="115" t="s">
        <v>28</v>
      </c>
      <c r="AM772" s="115" t="s">
        <v>1848</v>
      </c>
      <c r="AN772" s="115" t="s">
        <v>1456</v>
      </c>
      <c r="AO772" s="115" t="s">
        <v>1644</v>
      </c>
      <c r="AT772" s="115" t="s">
        <v>1415</v>
      </c>
      <c r="AU772" s="115" t="s">
        <v>2114</v>
      </c>
      <c r="AV772" s="115">
        <v>0</v>
      </c>
      <c r="AW772" s="115" t="s">
        <v>1682</v>
      </c>
      <c r="AX772" s="115" t="s">
        <v>28</v>
      </c>
      <c r="AY772" s="115" t="s">
        <v>1849</v>
      </c>
      <c r="AZ772" s="115" t="s">
        <v>1872</v>
      </c>
      <c r="BA772" s="115"/>
      <c r="BB772" s="115"/>
      <c r="BC772" s="115"/>
      <c r="BD772" s="115"/>
      <c r="BE772" s="115">
        <v>256.12850000000003</v>
      </c>
      <c r="BF772" s="115"/>
      <c r="BG772" s="115"/>
      <c r="BH772" s="115"/>
      <c r="BI772" s="115"/>
      <c r="BJ772" s="115"/>
      <c r="BK772" s="115"/>
      <c r="BL772" s="115"/>
      <c r="BM772" s="115"/>
      <c r="BN772" s="115"/>
      <c r="BO772" s="115"/>
      <c r="BP772" s="115"/>
      <c r="DR772" s="214"/>
      <c r="DY772" s="115"/>
      <c r="DZ772" s="334"/>
      <c r="EA772" s="334"/>
      <c r="EB772" s="334"/>
      <c r="EC772" s="334"/>
      <c r="ED772" s="187"/>
      <c r="EE772" s="330"/>
      <c r="EH772" s="334"/>
      <c r="EI772" s="334"/>
      <c r="EM772"/>
      <c r="EO772" s="115"/>
      <c r="EP772" s="334"/>
      <c r="EQ772" s="334"/>
      <c r="ER772" s="334"/>
      <c r="ES772" s="334"/>
      <c r="ET772" s="334"/>
      <c r="EU772" s="334"/>
      <c r="EV772" s="334"/>
    </row>
    <row r="773" spans="35:152" ht="13">
      <c r="AI773" s="115" t="s">
        <v>1416</v>
      </c>
      <c r="AJ773" t="s">
        <v>2114</v>
      </c>
      <c r="AK773" s="115">
        <v>0</v>
      </c>
      <c r="AL773" s="115" t="s">
        <v>28</v>
      </c>
      <c r="AM773" s="115" t="s">
        <v>1846</v>
      </c>
      <c r="AN773" s="115" t="s">
        <v>1456</v>
      </c>
      <c r="AO773" s="115" t="s">
        <v>381</v>
      </c>
      <c r="AT773" s="115" t="s">
        <v>1415</v>
      </c>
      <c r="AU773" s="115" t="s">
        <v>2114</v>
      </c>
      <c r="AV773" s="115">
        <v>0</v>
      </c>
      <c r="AW773" s="115" t="s">
        <v>1682</v>
      </c>
      <c r="AX773" s="115" t="s">
        <v>28</v>
      </c>
      <c r="AY773" s="115" t="s">
        <v>1850</v>
      </c>
      <c r="AZ773" s="115" t="s">
        <v>1872</v>
      </c>
      <c r="BA773" s="115"/>
      <c r="BB773" s="115"/>
      <c r="BC773" s="115"/>
      <c r="BD773" s="115"/>
      <c r="BE773" s="115">
        <v>256.12850000000003</v>
      </c>
      <c r="BF773" s="115"/>
      <c r="BG773" s="115"/>
      <c r="BH773" s="115"/>
      <c r="BI773" s="115"/>
      <c r="BJ773" s="115"/>
      <c r="BK773" s="115"/>
      <c r="BL773" s="115"/>
      <c r="BM773" s="115"/>
      <c r="BN773" s="115"/>
      <c r="BO773" s="115"/>
      <c r="BP773" s="115"/>
      <c r="DR773" s="214"/>
      <c r="DY773" s="115"/>
      <c r="DZ773" s="334"/>
      <c r="EA773" s="334"/>
      <c r="EB773" s="334"/>
      <c r="EC773" s="334"/>
      <c r="ED773" s="187"/>
      <c r="EE773" s="330"/>
      <c r="EH773" s="334"/>
      <c r="EI773" s="334"/>
      <c r="EM773"/>
      <c r="EO773" s="115"/>
      <c r="EP773" s="334"/>
      <c r="EQ773" s="334"/>
      <c r="ER773" s="334"/>
      <c r="ES773" s="334"/>
      <c r="ET773" s="334"/>
      <c r="EU773" s="334"/>
      <c r="EV773" s="334"/>
    </row>
    <row r="774" spans="35:152" ht="13">
      <c r="AI774" s="115" t="s">
        <v>1416</v>
      </c>
      <c r="AJ774" t="s">
        <v>2114</v>
      </c>
      <c r="AK774" s="115">
        <v>0</v>
      </c>
      <c r="AL774" s="115" t="s">
        <v>28</v>
      </c>
      <c r="AM774" s="115" t="s">
        <v>1848</v>
      </c>
      <c r="AN774" s="115" t="s">
        <v>1456</v>
      </c>
      <c r="AO774" s="115" t="s">
        <v>381</v>
      </c>
      <c r="AT774" s="115" t="s">
        <v>1415</v>
      </c>
      <c r="AU774" s="115" t="s">
        <v>2114</v>
      </c>
      <c r="AV774" s="115">
        <v>0</v>
      </c>
      <c r="AW774" s="115" t="s">
        <v>1682</v>
      </c>
      <c r="AX774" s="115" t="s">
        <v>28</v>
      </c>
      <c r="AY774" s="115" t="s">
        <v>1832</v>
      </c>
      <c r="AZ774" s="115" t="s">
        <v>1872</v>
      </c>
      <c r="BA774" s="115"/>
      <c r="BB774" s="115"/>
      <c r="BC774" s="115"/>
      <c r="BD774" s="115"/>
      <c r="BE774" s="115">
        <v>528.1</v>
      </c>
      <c r="BF774" s="115"/>
      <c r="BG774" s="115"/>
      <c r="BH774" s="115"/>
      <c r="BI774" s="115"/>
      <c r="BJ774" s="115"/>
      <c r="BK774" s="115"/>
      <c r="BL774" s="115"/>
      <c r="BM774" s="115"/>
      <c r="BN774" s="115"/>
      <c r="BO774" s="115"/>
      <c r="BP774" s="115"/>
      <c r="DR774" s="214"/>
      <c r="DY774" s="115"/>
      <c r="DZ774" s="334"/>
      <c r="EA774" s="334"/>
      <c r="EB774" s="334"/>
      <c r="EC774" s="334"/>
      <c r="ED774" s="187"/>
      <c r="EE774" s="330"/>
      <c r="EH774" s="334"/>
      <c r="EI774" s="334"/>
      <c r="EM774"/>
      <c r="EO774" s="115"/>
      <c r="EP774" s="334"/>
      <c r="EQ774" s="334"/>
      <c r="ER774" s="334"/>
      <c r="ES774" s="334"/>
      <c r="ET774" s="334"/>
      <c r="EU774" s="334"/>
      <c r="EV774" s="334"/>
    </row>
    <row r="775" spans="35:152" ht="13">
      <c r="AI775" s="115" t="s">
        <v>1416</v>
      </c>
      <c r="AJ775" t="s">
        <v>2114</v>
      </c>
      <c r="AK775" s="115">
        <v>0</v>
      </c>
      <c r="AL775" s="115" t="s">
        <v>28</v>
      </c>
      <c r="AM775" s="115" t="s">
        <v>1832</v>
      </c>
      <c r="AN775" s="115" t="s">
        <v>1456</v>
      </c>
      <c r="AO775" s="115" t="s">
        <v>381</v>
      </c>
      <c r="AT775" s="115" t="s">
        <v>1415</v>
      </c>
      <c r="AU775" s="115" t="s">
        <v>2114</v>
      </c>
      <c r="AV775" s="115">
        <v>0</v>
      </c>
      <c r="AW775" s="115" t="s">
        <v>1682</v>
      </c>
      <c r="AX775" s="115" t="s">
        <v>28</v>
      </c>
      <c r="AY775" s="115" t="s">
        <v>1846</v>
      </c>
      <c r="AZ775" s="115" t="s">
        <v>1873</v>
      </c>
      <c r="BA775" s="115"/>
      <c r="BB775" s="115"/>
      <c r="BC775" s="115"/>
      <c r="BD775" s="115"/>
      <c r="BE775" s="115">
        <v>23084.075891025001</v>
      </c>
      <c r="BF775" s="115"/>
      <c r="BG775" s="115">
        <v>24109.408116579998</v>
      </c>
      <c r="BH775" s="115"/>
      <c r="BI775" s="115"/>
      <c r="BJ775" s="115"/>
      <c r="BK775" s="115"/>
      <c r="BL775" s="115"/>
      <c r="BM775" s="115"/>
      <c r="BN775" s="115"/>
      <c r="BO775" s="115"/>
      <c r="BP775" s="115"/>
      <c r="DR775" s="214"/>
      <c r="DY775" s="115"/>
      <c r="DZ775" s="334"/>
      <c r="EA775" s="334"/>
      <c r="EB775" s="334"/>
      <c r="EC775" s="334"/>
      <c r="ED775" s="187"/>
      <c r="EE775" s="330"/>
      <c r="EH775" s="334"/>
      <c r="EI775" s="334"/>
      <c r="EM775"/>
      <c r="EO775" s="115"/>
      <c r="EP775" s="334"/>
      <c r="EQ775" s="334"/>
      <c r="ER775" s="334"/>
      <c r="ES775" s="334"/>
      <c r="ET775" s="334"/>
      <c r="EU775" s="334"/>
      <c r="EV775" s="334"/>
    </row>
    <row r="776" spans="35:152" ht="13">
      <c r="AI776" s="115" t="s">
        <v>1416</v>
      </c>
      <c r="AJ776" t="s">
        <v>2114</v>
      </c>
      <c r="AK776" s="115">
        <v>0</v>
      </c>
      <c r="AL776" s="115" t="s">
        <v>28</v>
      </c>
      <c r="AM776" s="115" t="s">
        <v>1849</v>
      </c>
      <c r="AN776" s="115" t="s">
        <v>1456</v>
      </c>
      <c r="AO776" s="115" t="s">
        <v>381</v>
      </c>
      <c r="AT776" s="115" t="s">
        <v>1415</v>
      </c>
      <c r="AU776" s="115" t="s">
        <v>2114</v>
      </c>
      <c r="AV776" s="115">
        <v>0</v>
      </c>
      <c r="AW776" s="115" t="s">
        <v>1682</v>
      </c>
      <c r="AX776" s="115" t="s">
        <v>28</v>
      </c>
      <c r="AY776" s="115" t="s">
        <v>1848</v>
      </c>
      <c r="AZ776" s="115" t="s">
        <v>1873</v>
      </c>
      <c r="BA776" s="115"/>
      <c r="BB776" s="115"/>
      <c r="BC776" s="115"/>
      <c r="BD776" s="115"/>
      <c r="BE776" s="115">
        <v>21165.787895725</v>
      </c>
      <c r="BF776" s="115"/>
      <c r="BG776" s="115">
        <v>5155.8874397199988</v>
      </c>
      <c r="BH776" s="115"/>
      <c r="BI776" s="115"/>
      <c r="BJ776" s="115"/>
      <c r="BK776" s="115"/>
      <c r="BL776" s="115"/>
      <c r="BM776" s="115"/>
      <c r="BN776" s="115"/>
      <c r="BO776" s="115"/>
      <c r="BP776" s="115"/>
      <c r="DR776" s="214"/>
      <c r="DY776" s="115"/>
      <c r="DZ776" s="334"/>
      <c r="EA776" s="334"/>
      <c r="EB776" s="334"/>
      <c r="EC776" s="334"/>
      <c r="ED776" s="187"/>
      <c r="EE776" s="330"/>
      <c r="EH776" s="334"/>
      <c r="EI776" s="334"/>
      <c r="EM776"/>
      <c r="EO776" s="115"/>
      <c r="EP776" s="334"/>
      <c r="EQ776" s="334"/>
      <c r="ER776" s="334"/>
      <c r="ES776" s="334"/>
      <c r="ET776" s="334"/>
      <c r="EU776" s="334"/>
      <c r="EV776" s="334"/>
    </row>
    <row r="777" spans="35:152" ht="13">
      <c r="AI777" s="115" t="s">
        <v>1416</v>
      </c>
      <c r="AJ777" t="s">
        <v>2114</v>
      </c>
      <c r="AK777" s="115">
        <v>0</v>
      </c>
      <c r="AL777" s="115" t="s">
        <v>28</v>
      </c>
      <c r="AM777" s="115" t="s">
        <v>1843</v>
      </c>
      <c r="AN777" s="115" t="s">
        <v>1456</v>
      </c>
      <c r="AO777" s="115" t="s">
        <v>381</v>
      </c>
      <c r="AT777" s="115" t="s">
        <v>1415</v>
      </c>
      <c r="AU777" s="115" t="s">
        <v>2114</v>
      </c>
      <c r="AV777" s="115">
        <v>0</v>
      </c>
      <c r="AW777" s="115" t="s">
        <v>1682</v>
      </c>
      <c r="AX777" s="115" t="s">
        <v>28</v>
      </c>
      <c r="AY777" s="115" t="s">
        <v>1843</v>
      </c>
      <c r="AZ777" s="115" t="s">
        <v>1873</v>
      </c>
      <c r="BA777" s="115"/>
      <c r="BB777" s="115"/>
      <c r="BC777" s="115"/>
      <c r="BD777" s="115"/>
      <c r="BE777" s="115">
        <v>43717.188041237117</v>
      </c>
      <c r="BF777" s="115"/>
      <c r="BG777" s="115">
        <v>28093.542371134019</v>
      </c>
      <c r="BH777" s="115"/>
      <c r="BI777" s="115"/>
      <c r="BJ777" s="115"/>
      <c r="BK777" s="115"/>
      <c r="BL777" s="115"/>
      <c r="BM777" s="115"/>
      <c r="BN777" s="115"/>
      <c r="BO777" s="115"/>
      <c r="BP777" s="115"/>
      <c r="DR777" s="214"/>
      <c r="DY777" s="115"/>
      <c r="DZ777" s="334"/>
      <c r="EA777" s="334"/>
      <c r="EB777" s="334"/>
      <c r="EC777" s="334"/>
      <c r="ED777" s="187"/>
      <c r="EE777" s="330"/>
      <c r="EH777" s="334"/>
      <c r="EI777" s="334"/>
      <c r="EM777"/>
      <c r="EO777" s="115"/>
      <c r="EP777" s="334"/>
      <c r="EQ777" s="334"/>
      <c r="ER777" s="334"/>
      <c r="ES777" s="334"/>
      <c r="ET777" s="334"/>
      <c r="EU777" s="334"/>
      <c r="EV777" s="334"/>
    </row>
    <row r="778" spans="35:152" ht="13">
      <c r="AI778" s="115" t="s">
        <v>1416</v>
      </c>
      <c r="AJ778" t="s">
        <v>2114</v>
      </c>
      <c r="AK778" s="115">
        <v>0</v>
      </c>
      <c r="AL778" s="115" t="s">
        <v>28</v>
      </c>
      <c r="AM778" s="115" t="s">
        <v>1850</v>
      </c>
      <c r="AN778" s="115" t="s">
        <v>1456</v>
      </c>
      <c r="AO778" s="115" t="s">
        <v>381</v>
      </c>
      <c r="AT778" s="115" t="s">
        <v>1415</v>
      </c>
      <c r="AU778" s="115" t="s">
        <v>2114</v>
      </c>
      <c r="AV778" s="115">
        <v>0</v>
      </c>
      <c r="AW778" s="115" t="s">
        <v>1682</v>
      </c>
      <c r="AX778" s="115" t="s">
        <v>28</v>
      </c>
      <c r="AY778" s="115" t="s">
        <v>1849</v>
      </c>
      <c r="AZ778" s="115" t="s">
        <v>1873</v>
      </c>
      <c r="BA778" s="115"/>
      <c r="BB778" s="115"/>
      <c r="BC778" s="115"/>
      <c r="BD778" s="115"/>
      <c r="BE778" s="115">
        <v>455.39075000000003</v>
      </c>
      <c r="BF778" s="115"/>
      <c r="BG778" s="115">
        <v>458.63539999999995</v>
      </c>
      <c r="BH778" s="115"/>
      <c r="BI778" s="115"/>
      <c r="BJ778" s="115"/>
      <c r="BK778" s="115"/>
      <c r="BL778" s="115"/>
      <c r="BM778" s="115"/>
      <c r="BN778" s="115"/>
      <c r="BO778" s="115"/>
      <c r="BP778" s="115"/>
      <c r="DR778" s="214"/>
      <c r="DY778" s="115"/>
      <c r="DZ778" s="334"/>
      <c r="EA778" s="334"/>
      <c r="EB778" s="334"/>
      <c r="EC778" s="334"/>
      <c r="ED778" s="187"/>
      <c r="EE778" s="330"/>
      <c r="EH778" s="334"/>
      <c r="EI778" s="334"/>
      <c r="EM778"/>
      <c r="EO778" s="115"/>
      <c r="EP778" s="334"/>
      <c r="EQ778" s="334"/>
      <c r="ER778" s="334"/>
      <c r="ES778" s="334"/>
      <c r="ET778" s="334"/>
      <c r="EU778" s="334"/>
      <c r="EV778" s="334"/>
    </row>
    <row r="779" spans="35:152" ht="13">
      <c r="AI779" s="115" t="s">
        <v>1416</v>
      </c>
      <c r="AJ779" t="s">
        <v>2114</v>
      </c>
      <c r="AK779" s="115">
        <v>0</v>
      </c>
      <c r="AL779" s="115" t="s">
        <v>28</v>
      </c>
      <c r="AM779" s="115" t="s">
        <v>1849</v>
      </c>
      <c r="AN779" s="115" t="s">
        <v>1456</v>
      </c>
      <c r="AO779" s="115" t="s">
        <v>1645</v>
      </c>
      <c r="AT779" s="115" t="s">
        <v>1415</v>
      </c>
      <c r="AU779" s="115" t="s">
        <v>2114</v>
      </c>
      <c r="AV779" s="115">
        <v>0</v>
      </c>
      <c r="AW779" s="115" t="s">
        <v>1682</v>
      </c>
      <c r="AX779" s="115" t="s">
        <v>28</v>
      </c>
      <c r="AY779" s="115" t="s">
        <v>1850</v>
      </c>
      <c r="AZ779" s="115" t="s">
        <v>1873</v>
      </c>
      <c r="BA779" s="115"/>
      <c r="BB779" s="115"/>
      <c r="BC779" s="115"/>
      <c r="BD779" s="115"/>
      <c r="BE779" s="115">
        <v>455.39075000000003</v>
      </c>
      <c r="BF779" s="115"/>
      <c r="BG779" s="115">
        <v>114.65884999999999</v>
      </c>
      <c r="BH779" s="115"/>
      <c r="BI779" s="115"/>
      <c r="BJ779" s="115"/>
      <c r="BK779" s="115"/>
      <c r="BL779" s="115"/>
      <c r="BM779" s="115"/>
      <c r="BN779" s="115"/>
      <c r="BO779" s="115"/>
      <c r="BP779" s="115"/>
      <c r="DR779" s="214"/>
      <c r="DY779" s="115"/>
      <c r="DZ779" s="334"/>
      <c r="EA779" s="334"/>
      <c r="EB779" s="334"/>
      <c r="EC779" s="334"/>
      <c r="ED779" s="187"/>
      <c r="EE779" s="330"/>
      <c r="EH779" s="334"/>
      <c r="EI779" s="334"/>
      <c r="EM779"/>
      <c r="EO779" s="115"/>
      <c r="EP779" s="334"/>
      <c r="EQ779" s="334"/>
      <c r="ER779" s="334"/>
      <c r="ES779" s="334"/>
      <c r="ET779" s="334"/>
      <c r="EU779" s="334"/>
      <c r="EV779" s="334"/>
    </row>
    <row r="780" spans="35:152" ht="13">
      <c r="AI780" s="115" t="s">
        <v>1416</v>
      </c>
      <c r="AJ780" t="s">
        <v>2114</v>
      </c>
      <c r="AK780" s="115">
        <v>0</v>
      </c>
      <c r="AL780" s="115" t="s">
        <v>28</v>
      </c>
      <c r="AM780" s="115" t="s">
        <v>1850</v>
      </c>
      <c r="AN780" s="115" t="s">
        <v>1456</v>
      </c>
      <c r="AO780" s="115" t="s">
        <v>1645</v>
      </c>
      <c r="AT780" s="115" t="s">
        <v>1415</v>
      </c>
      <c r="AU780" s="115" t="s">
        <v>2114</v>
      </c>
      <c r="AV780" s="115">
        <v>0</v>
      </c>
      <c r="AW780" s="115" t="s">
        <v>1682</v>
      </c>
      <c r="AX780" s="115" t="s">
        <v>28</v>
      </c>
      <c r="AY780" s="115" t="s">
        <v>1832</v>
      </c>
      <c r="AZ780" s="115" t="s">
        <v>1873</v>
      </c>
      <c r="BA780" s="115"/>
      <c r="BB780" s="115"/>
      <c r="BC780" s="115"/>
      <c r="BD780" s="115"/>
      <c r="BE780" s="115">
        <v>938.95</v>
      </c>
      <c r="BF780" s="115"/>
      <c r="BG780" s="115">
        <v>591.02499999999998</v>
      </c>
      <c r="BH780" s="115"/>
      <c r="BI780" s="115"/>
      <c r="BJ780" s="115"/>
      <c r="BK780" s="115"/>
      <c r="BL780" s="115"/>
      <c r="BM780" s="115"/>
      <c r="BN780" s="115"/>
      <c r="BO780" s="115"/>
      <c r="BP780" s="115"/>
      <c r="DR780" s="214"/>
      <c r="DY780" s="115"/>
      <c r="DZ780" s="334"/>
      <c r="EA780" s="334"/>
      <c r="EB780" s="334"/>
      <c r="EC780" s="334"/>
      <c r="ED780" s="187"/>
      <c r="EE780" s="330"/>
      <c r="EH780" s="334"/>
      <c r="EI780" s="334"/>
      <c r="EM780"/>
      <c r="EO780" s="115"/>
      <c r="EP780" s="334"/>
      <c r="EQ780" s="334"/>
      <c r="ER780" s="334"/>
      <c r="ES780" s="334"/>
      <c r="ET780" s="334"/>
      <c r="EU780" s="334"/>
      <c r="EV780" s="334"/>
    </row>
    <row r="781" spans="35:152" ht="13">
      <c r="AI781" s="115" t="s">
        <v>1416</v>
      </c>
      <c r="AJ781" t="s">
        <v>2114</v>
      </c>
      <c r="AK781" s="115">
        <v>0</v>
      </c>
      <c r="AL781" s="115" t="s">
        <v>28</v>
      </c>
      <c r="AM781" s="115" t="s">
        <v>1843</v>
      </c>
      <c r="AN781" s="115" t="s">
        <v>1456</v>
      </c>
      <c r="AO781" s="115" t="s">
        <v>1645</v>
      </c>
      <c r="AT781" s="115" t="s">
        <v>1415</v>
      </c>
      <c r="AU781" s="115" t="s">
        <v>2114</v>
      </c>
      <c r="AV781" s="115">
        <v>0</v>
      </c>
      <c r="AW781" s="115" t="s">
        <v>494</v>
      </c>
      <c r="AX781" s="115" t="s">
        <v>28</v>
      </c>
      <c r="AY781" s="115" t="s">
        <v>1846</v>
      </c>
      <c r="AZ781" s="115" t="s">
        <v>1874</v>
      </c>
      <c r="BA781" s="115"/>
      <c r="BB781" s="115"/>
      <c r="BC781" s="115"/>
      <c r="BD781" s="115"/>
      <c r="BE781" s="115"/>
      <c r="BF781" s="115"/>
      <c r="BG781" s="115"/>
      <c r="BH781" s="115"/>
      <c r="BI781" s="115"/>
      <c r="BJ781" s="115"/>
      <c r="BK781" s="115">
        <v>34272.258749550005</v>
      </c>
      <c r="BL781" s="115"/>
      <c r="BM781" s="115"/>
      <c r="BN781" s="115">
        <v>232237.61</v>
      </c>
      <c r="BO781" s="115"/>
      <c r="BP781" s="115"/>
      <c r="DR781" s="214"/>
      <c r="DY781" s="115"/>
      <c r="DZ781" s="334"/>
      <c r="EA781" s="334"/>
      <c r="EB781" s="334"/>
      <c r="EC781" s="334"/>
      <c r="ED781" s="187"/>
      <c r="EE781" s="330"/>
      <c r="EH781" s="334"/>
      <c r="EI781" s="334"/>
      <c r="EM781"/>
      <c r="EO781" s="115"/>
      <c r="EP781" s="334"/>
      <c r="EQ781" s="334"/>
      <c r="ER781" s="334"/>
      <c r="ES781" s="334"/>
      <c r="ET781" s="334"/>
      <c r="EU781" s="334"/>
      <c r="EV781" s="334"/>
    </row>
    <row r="782" spans="35:152" ht="13">
      <c r="AI782" s="115" t="s">
        <v>1416</v>
      </c>
      <c r="AJ782" t="s">
        <v>2114</v>
      </c>
      <c r="AK782" s="115">
        <v>0</v>
      </c>
      <c r="AL782" s="115" t="s">
        <v>28</v>
      </c>
      <c r="AM782" s="115" t="s">
        <v>1848</v>
      </c>
      <c r="AN782" s="115" t="s">
        <v>1456</v>
      </c>
      <c r="AO782" s="115" t="s">
        <v>1645</v>
      </c>
      <c r="AT782" s="115" t="s">
        <v>1415</v>
      </c>
      <c r="AU782" s="115" t="s">
        <v>2114</v>
      </c>
      <c r="AV782" s="115">
        <v>0</v>
      </c>
      <c r="AW782" s="115" t="s">
        <v>494</v>
      </c>
      <c r="AX782" s="115" t="s">
        <v>28</v>
      </c>
      <c r="AY782" s="115" t="s">
        <v>1848</v>
      </c>
      <c r="AZ782" s="115" t="s">
        <v>1874</v>
      </c>
      <c r="BA782" s="115"/>
      <c r="BB782" s="115"/>
      <c r="BC782" s="115"/>
      <c r="BD782" s="115"/>
      <c r="BE782" s="115"/>
      <c r="BF782" s="115"/>
      <c r="BG782" s="115"/>
      <c r="BH782" s="115"/>
      <c r="BI782" s="115"/>
      <c r="BJ782" s="115"/>
      <c r="BK782" s="115">
        <v>5353.4545555499999</v>
      </c>
      <c r="BL782" s="115"/>
      <c r="BM782" s="115"/>
      <c r="BN782" s="115"/>
      <c r="BO782" s="115"/>
      <c r="BP782" s="115"/>
      <c r="DR782" s="214"/>
      <c r="DY782" s="115"/>
      <c r="DZ782" s="334"/>
      <c r="EA782" s="334"/>
      <c r="EB782" s="334"/>
      <c r="EC782" s="334"/>
      <c r="ED782" s="187"/>
      <c r="EE782" s="330"/>
      <c r="EH782" s="334"/>
      <c r="EI782" s="334"/>
      <c r="EM782"/>
      <c r="EO782" s="115"/>
      <c r="EP782" s="334"/>
      <c r="EQ782" s="334"/>
      <c r="ER782" s="334"/>
      <c r="ES782" s="334"/>
      <c r="ET782" s="334"/>
      <c r="EU782" s="334"/>
      <c r="EV782" s="334"/>
    </row>
    <row r="783" spans="35:152" ht="13">
      <c r="AI783" s="115" t="s">
        <v>1416</v>
      </c>
      <c r="AJ783" t="s">
        <v>2114</v>
      </c>
      <c r="AK783" s="115">
        <v>0</v>
      </c>
      <c r="AL783" s="115" t="s">
        <v>28</v>
      </c>
      <c r="AM783" s="115" t="s">
        <v>1846</v>
      </c>
      <c r="AN783" s="115" t="s">
        <v>1456</v>
      </c>
      <c r="AO783" s="115" t="s">
        <v>1645</v>
      </c>
      <c r="AT783" s="115" t="s">
        <v>1415</v>
      </c>
      <c r="AU783" s="115" t="s">
        <v>2114</v>
      </c>
      <c r="AV783" s="115">
        <v>0</v>
      </c>
      <c r="AW783" s="115" t="s">
        <v>494</v>
      </c>
      <c r="AX783" s="115" t="s">
        <v>28</v>
      </c>
      <c r="AY783" s="115" t="s">
        <v>1843</v>
      </c>
      <c r="AZ783" s="115" t="s">
        <v>1874</v>
      </c>
      <c r="BA783" s="115"/>
      <c r="BB783" s="115"/>
      <c r="BC783" s="115"/>
      <c r="BD783" s="115"/>
      <c r="BE783" s="115"/>
      <c r="BF783" s="115"/>
      <c r="BG783" s="115"/>
      <c r="BH783" s="115"/>
      <c r="BI783" s="115"/>
      <c r="BJ783" s="115"/>
      <c r="BK783" s="115">
        <v>39035.721443298971</v>
      </c>
      <c r="BL783" s="115"/>
      <c r="BM783" s="115"/>
      <c r="BN783" s="115">
        <v>232237.61</v>
      </c>
      <c r="BO783" s="115"/>
      <c r="BP783" s="115"/>
      <c r="DR783" s="214"/>
      <c r="DY783" s="115"/>
      <c r="DZ783" s="334"/>
      <c r="EA783" s="334"/>
      <c r="EB783" s="334"/>
      <c r="EC783" s="334"/>
      <c r="ED783" s="187"/>
      <c r="EE783" s="330"/>
      <c r="EH783" s="334"/>
      <c r="EI783" s="334"/>
      <c r="EM783"/>
      <c r="EO783" s="115"/>
      <c r="EP783" s="334"/>
      <c r="EQ783" s="334"/>
      <c r="ER783" s="334"/>
      <c r="ES783" s="334"/>
      <c r="ET783" s="334"/>
      <c r="EU783" s="334"/>
      <c r="EV783" s="334"/>
    </row>
    <row r="784" spans="35:152" ht="13">
      <c r="AI784" s="115" t="s">
        <v>1416</v>
      </c>
      <c r="AJ784" t="s">
        <v>2114</v>
      </c>
      <c r="AK784" s="115">
        <v>0</v>
      </c>
      <c r="AL784" s="115" t="s">
        <v>28</v>
      </c>
      <c r="AM784" s="115" t="s">
        <v>1832</v>
      </c>
      <c r="AN784" s="115" t="s">
        <v>1456</v>
      </c>
      <c r="AO784" s="115" t="s">
        <v>1645</v>
      </c>
      <c r="AT784" s="115" t="s">
        <v>1415</v>
      </c>
      <c r="AU784" s="115" t="s">
        <v>2114</v>
      </c>
      <c r="AV784" s="115">
        <v>0</v>
      </c>
      <c r="AW784" s="115" t="s">
        <v>494</v>
      </c>
      <c r="AX784" s="115" t="s">
        <v>28</v>
      </c>
      <c r="AY784" s="115" t="s">
        <v>1849</v>
      </c>
      <c r="AZ784" s="115" t="s">
        <v>1874</v>
      </c>
      <c r="BA784" s="115"/>
      <c r="BB784" s="115"/>
      <c r="BC784" s="115"/>
      <c r="BD784" s="115"/>
      <c r="BE784" s="115"/>
      <c r="BF784" s="115"/>
      <c r="BG784" s="115"/>
      <c r="BH784" s="115"/>
      <c r="BI784" s="115"/>
      <c r="BJ784" s="115"/>
      <c r="BK784" s="115">
        <v>1190.3355000000001</v>
      </c>
      <c r="BL784" s="115"/>
      <c r="BM784" s="115"/>
      <c r="BN784" s="115"/>
      <c r="BO784" s="115"/>
      <c r="BP784" s="115"/>
      <c r="DR784" s="214"/>
      <c r="DY784" s="115"/>
      <c r="DZ784" s="334"/>
      <c r="EA784" s="334"/>
      <c r="EB784" s="334"/>
      <c r="EC784" s="334"/>
      <c r="ED784" s="187"/>
      <c r="EE784" s="330"/>
      <c r="EH784" s="334"/>
      <c r="EI784" s="334"/>
      <c r="EM784"/>
      <c r="EO784" s="115"/>
      <c r="EP784" s="334"/>
      <c r="EQ784" s="334"/>
      <c r="ER784" s="334"/>
      <c r="ES784" s="334"/>
      <c r="ET784" s="334"/>
      <c r="EU784" s="334"/>
      <c r="EV784" s="334"/>
    </row>
    <row r="785" spans="35:152" ht="13">
      <c r="AI785" s="115" t="s">
        <v>1416</v>
      </c>
      <c r="AJ785" t="s">
        <v>2114</v>
      </c>
      <c r="AK785" s="115">
        <v>0</v>
      </c>
      <c r="AL785" s="115" t="s">
        <v>28</v>
      </c>
      <c r="AM785" s="115" t="s">
        <v>1846</v>
      </c>
      <c r="AN785" s="115" t="s">
        <v>1456</v>
      </c>
      <c r="AO785" s="115" t="s">
        <v>1646</v>
      </c>
      <c r="AT785" s="115" t="s">
        <v>1415</v>
      </c>
      <c r="AU785" s="115" t="s">
        <v>2114</v>
      </c>
      <c r="AV785" s="115">
        <v>0</v>
      </c>
      <c r="AW785" s="115" t="s">
        <v>494</v>
      </c>
      <c r="AX785" s="115" t="s">
        <v>28</v>
      </c>
      <c r="AY785" s="115" t="s">
        <v>1850</v>
      </c>
      <c r="AZ785" s="115" t="s">
        <v>1874</v>
      </c>
      <c r="BA785" s="115"/>
      <c r="BB785" s="115"/>
      <c r="BC785" s="115"/>
      <c r="BD785" s="115"/>
      <c r="BE785" s="115"/>
      <c r="BF785" s="115"/>
      <c r="BG785" s="115"/>
      <c r="BH785" s="115"/>
      <c r="BI785" s="115"/>
      <c r="BJ785" s="115"/>
      <c r="BK785" s="115">
        <v>132.2595</v>
      </c>
      <c r="BL785" s="115"/>
      <c r="BM785" s="115"/>
      <c r="BN785" s="115"/>
      <c r="BO785" s="115"/>
      <c r="BP785" s="115"/>
      <c r="DR785" s="214"/>
      <c r="DY785" s="115"/>
      <c r="DZ785" s="334"/>
      <c r="EA785" s="334"/>
      <c r="EB785" s="334"/>
      <c r="EC785" s="334"/>
      <c r="ED785" s="187"/>
      <c r="EE785" s="330"/>
      <c r="EH785" s="334"/>
      <c r="EI785" s="334"/>
      <c r="EM785"/>
      <c r="EO785" s="115"/>
      <c r="EP785" s="334"/>
      <c r="EQ785" s="334"/>
      <c r="ER785" s="334"/>
      <c r="ES785" s="334"/>
      <c r="ET785" s="334"/>
      <c r="EU785" s="334"/>
      <c r="EV785" s="334"/>
    </row>
    <row r="786" spans="35:152" ht="13">
      <c r="AI786" s="115" t="s">
        <v>1416</v>
      </c>
      <c r="AJ786" t="s">
        <v>2114</v>
      </c>
      <c r="AK786" s="115">
        <v>0</v>
      </c>
      <c r="AL786" s="115" t="s">
        <v>28</v>
      </c>
      <c r="AM786" s="115" t="s">
        <v>1843</v>
      </c>
      <c r="AN786" s="115" t="s">
        <v>1456</v>
      </c>
      <c r="AO786" s="115" t="s">
        <v>1646</v>
      </c>
      <c r="AT786" s="115" t="s">
        <v>1415</v>
      </c>
      <c r="AU786" s="115" t="s">
        <v>2114</v>
      </c>
      <c r="AV786" s="115">
        <v>0</v>
      </c>
      <c r="AW786" s="115" t="s">
        <v>494</v>
      </c>
      <c r="AX786" s="115" t="s">
        <v>28</v>
      </c>
      <c r="AY786" s="115" t="s">
        <v>1832</v>
      </c>
      <c r="AZ786" s="115" t="s">
        <v>1874</v>
      </c>
      <c r="BA786" s="115"/>
      <c r="BB786" s="115"/>
      <c r="BC786" s="115"/>
      <c r="BD786" s="115"/>
      <c r="BE786" s="115"/>
      <c r="BF786" s="115"/>
      <c r="BG786" s="115"/>
      <c r="BH786" s="115"/>
      <c r="BI786" s="115"/>
      <c r="BJ786" s="115"/>
      <c r="BK786" s="115">
        <v>1363.5</v>
      </c>
      <c r="BL786" s="115"/>
      <c r="BM786" s="115"/>
      <c r="BN786" s="115"/>
      <c r="BO786" s="115"/>
      <c r="BP786" s="115"/>
      <c r="DR786" s="214"/>
      <c r="DY786" s="115"/>
      <c r="DZ786" s="334"/>
      <c r="EA786" s="334"/>
      <c r="EB786" s="334"/>
      <c r="EC786" s="334"/>
      <c r="ED786" s="187"/>
      <c r="EE786" s="330"/>
      <c r="EH786" s="334"/>
      <c r="EI786" s="334"/>
      <c r="EM786"/>
      <c r="EO786" s="115"/>
      <c r="EP786" s="334"/>
      <c r="EQ786" s="334"/>
      <c r="ER786" s="334"/>
      <c r="ES786" s="334"/>
      <c r="ET786" s="334"/>
      <c r="EU786" s="334"/>
      <c r="EV786" s="334"/>
    </row>
    <row r="787" spans="35:152" ht="13">
      <c r="AI787" s="115" t="s">
        <v>1416</v>
      </c>
      <c r="AJ787" t="s">
        <v>2114</v>
      </c>
      <c r="AK787" s="115">
        <v>0</v>
      </c>
      <c r="AL787" s="115" t="s">
        <v>28</v>
      </c>
      <c r="AM787" s="115" t="s">
        <v>1846</v>
      </c>
      <c r="AN787" s="115" t="s">
        <v>1456</v>
      </c>
      <c r="AO787" s="115" t="s">
        <v>1647</v>
      </c>
      <c r="AT787" s="115" t="s">
        <v>1415</v>
      </c>
      <c r="AU787" s="115" t="s">
        <v>2114</v>
      </c>
      <c r="AV787" s="115">
        <v>0</v>
      </c>
      <c r="AW787" s="115" t="s">
        <v>494</v>
      </c>
      <c r="AX787" s="115" t="s">
        <v>28</v>
      </c>
      <c r="AY787" s="115" t="s">
        <v>1846</v>
      </c>
      <c r="AZ787" s="115" t="s">
        <v>1875</v>
      </c>
      <c r="BA787" s="115"/>
      <c r="BB787" s="115"/>
      <c r="BC787" s="115">
        <v>2662.3680209999998</v>
      </c>
      <c r="BD787" s="115"/>
      <c r="BE787" s="115"/>
      <c r="BF787" s="115"/>
      <c r="BG787" s="115"/>
      <c r="BH787" s="115">
        <v>43766.28744</v>
      </c>
      <c r="BI787" s="115">
        <v>25050.659339999998</v>
      </c>
      <c r="BJ787" s="115"/>
      <c r="BK787" s="115">
        <v>135.73171782000074</v>
      </c>
      <c r="BL787" s="115">
        <v>11334.352503069</v>
      </c>
      <c r="BM787" s="115">
        <v>163902.44619999998</v>
      </c>
      <c r="BN787" s="115">
        <v>20786.2</v>
      </c>
      <c r="BO787" s="115">
        <v>428.6</v>
      </c>
      <c r="BP787" s="115"/>
      <c r="DR787" s="214"/>
      <c r="DY787" s="115"/>
      <c r="DZ787" s="334"/>
      <c r="EA787" s="334"/>
      <c r="EB787" s="334"/>
      <c r="EC787" s="334"/>
      <c r="ED787" s="187"/>
      <c r="EE787" s="330"/>
      <c r="EH787" s="334"/>
      <c r="EI787" s="334"/>
      <c r="EM787"/>
      <c r="EO787" s="115"/>
      <c r="EP787" s="334"/>
      <c r="EQ787" s="334"/>
      <c r="ER787" s="334"/>
      <c r="ES787" s="334"/>
      <c r="ET787" s="334"/>
      <c r="EU787" s="334"/>
      <c r="EV787" s="334"/>
    </row>
    <row r="788" spans="35:152" ht="13">
      <c r="AI788" s="115" t="s">
        <v>1416</v>
      </c>
      <c r="AJ788" t="s">
        <v>2114</v>
      </c>
      <c r="AK788" s="115">
        <v>0</v>
      </c>
      <c r="AL788" s="115" t="s">
        <v>28</v>
      </c>
      <c r="AM788" s="115" t="s">
        <v>1843</v>
      </c>
      <c r="AN788" s="115" t="s">
        <v>1456</v>
      </c>
      <c r="AO788" s="115" t="s">
        <v>1647</v>
      </c>
      <c r="AT788" s="115" t="s">
        <v>1415</v>
      </c>
      <c r="AU788" s="115" t="s">
        <v>2114</v>
      </c>
      <c r="AV788" s="115">
        <v>0</v>
      </c>
      <c r="AW788" s="115" t="s">
        <v>494</v>
      </c>
      <c r="AX788" s="115" t="s">
        <v>28</v>
      </c>
      <c r="AY788" s="115" t="s">
        <v>1848</v>
      </c>
      <c r="AZ788" s="115" t="s">
        <v>1875</v>
      </c>
      <c r="BA788" s="115"/>
      <c r="BB788" s="115"/>
      <c r="BC788" s="115">
        <v>15700.372033499998</v>
      </c>
      <c r="BD788" s="115"/>
      <c r="BE788" s="115"/>
      <c r="BF788" s="115">
        <v>90.167901999999998</v>
      </c>
      <c r="BG788" s="115"/>
      <c r="BH788" s="115">
        <v>1773.477384</v>
      </c>
      <c r="BI788" s="115">
        <v>11290.195447499998</v>
      </c>
      <c r="BJ788" s="115"/>
      <c r="BK788" s="115">
        <v>21.20180022000012</v>
      </c>
      <c r="BL788" s="115">
        <v>1770.4681061489998</v>
      </c>
      <c r="BM788" s="115"/>
      <c r="BN788" s="115"/>
      <c r="BO788" s="115"/>
      <c r="BP788" s="115"/>
      <c r="DR788" s="214"/>
      <c r="DY788" s="115"/>
      <c r="DZ788" s="334"/>
      <c r="EA788" s="334"/>
      <c r="EB788" s="334"/>
      <c r="EC788" s="334"/>
      <c r="ED788" s="187"/>
      <c r="EE788" s="330"/>
      <c r="EH788" s="334"/>
      <c r="EI788" s="334"/>
      <c r="EM788"/>
      <c r="EO788" s="115"/>
      <c r="EP788" s="334"/>
      <c r="EQ788" s="334"/>
      <c r="ER788" s="334"/>
      <c r="ES788" s="334"/>
      <c r="ET788" s="334"/>
      <c r="EU788" s="334"/>
      <c r="EV788" s="334"/>
    </row>
    <row r="789" spans="35:152" ht="13">
      <c r="AI789" s="115" t="s">
        <v>1416</v>
      </c>
      <c r="AJ789" t="s">
        <v>2114</v>
      </c>
      <c r="AK789" s="115">
        <v>0</v>
      </c>
      <c r="AL789" s="115" t="s">
        <v>28</v>
      </c>
      <c r="AM789" s="115" t="s">
        <v>1832</v>
      </c>
      <c r="AN789" s="115" t="s">
        <v>1455</v>
      </c>
      <c r="AO789" s="115" t="s">
        <v>1644</v>
      </c>
      <c r="AT789" s="115" t="s">
        <v>1415</v>
      </c>
      <c r="AU789" s="115" t="s">
        <v>2114</v>
      </c>
      <c r="AV789" s="115">
        <v>0</v>
      </c>
      <c r="AW789" s="115" t="s">
        <v>494</v>
      </c>
      <c r="AX789" s="115" t="s">
        <v>28</v>
      </c>
      <c r="AY789" s="115" t="s">
        <v>1843</v>
      </c>
      <c r="AZ789" s="115" t="s">
        <v>1875</v>
      </c>
      <c r="BA789" s="115"/>
      <c r="BB789" s="115"/>
      <c r="BC789" s="115">
        <v>18199.117422680411</v>
      </c>
      <c r="BD789" s="115"/>
      <c r="BE789" s="115"/>
      <c r="BF789" s="115">
        <v>89.473092783505152</v>
      </c>
      <c r="BG789" s="115"/>
      <c r="BH789" s="115">
        <v>44100.628969072161</v>
      </c>
      <c r="BI789" s="115">
        <v>36792.092680412366</v>
      </c>
      <c r="BJ789" s="115"/>
      <c r="BK789" s="115">
        <v>154.59690721649486</v>
      </c>
      <c r="BL789" s="115">
        <v>12957.350412371135</v>
      </c>
      <c r="BM789" s="115">
        <v>163902.44619999998</v>
      </c>
      <c r="BN789" s="115">
        <v>20786.2</v>
      </c>
      <c r="BO789" s="115">
        <v>428.6</v>
      </c>
      <c r="BP789" s="115"/>
      <c r="DR789" s="214"/>
      <c r="DY789" s="115"/>
      <c r="DZ789" s="334"/>
      <c r="EA789" s="334"/>
      <c r="EB789" s="334"/>
      <c r="EC789" s="334"/>
      <c r="ED789" s="187"/>
      <c r="EE789" s="330"/>
      <c r="EH789" s="334"/>
      <c r="EI789" s="334"/>
      <c r="EM789"/>
      <c r="EO789" s="115"/>
      <c r="EP789" s="334"/>
      <c r="EQ789" s="334"/>
      <c r="ER789" s="334"/>
      <c r="ES789" s="334"/>
      <c r="ET789" s="334"/>
      <c r="EU789" s="334"/>
      <c r="EV789" s="334"/>
    </row>
    <row r="790" spans="35:152" ht="13">
      <c r="AI790" s="115" t="s">
        <v>1416</v>
      </c>
      <c r="AJ790" t="s">
        <v>2114</v>
      </c>
      <c r="AK790" s="115">
        <v>0</v>
      </c>
      <c r="AL790" s="115" t="s">
        <v>28</v>
      </c>
      <c r="AM790" s="115" t="s">
        <v>1843</v>
      </c>
      <c r="AN790" s="115" t="s">
        <v>1455</v>
      </c>
      <c r="AO790" s="115" t="s">
        <v>1644</v>
      </c>
      <c r="AT790" s="115" t="s">
        <v>1415</v>
      </c>
      <c r="AU790" s="115" t="s">
        <v>2114</v>
      </c>
      <c r="AV790" s="115">
        <v>0</v>
      </c>
      <c r="AW790" s="115" t="s">
        <v>494</v>
      </c>
      <c r="AX790" s="115" t="s">
        <v>28</v>
      </c>
      <c r="AY790" s="115" t="s">
        <v>1849</v>
      </c>
      <c r="AZ790" s="115" t="s">
        <v>1875</v>
      </c>
      <c r="BA790" s="115"/>
      <c r="BB790" s="115"/>
      <c r="BC790" s="115">
        <v>117.85499999999999</v>
      </c>
      <c r="BD790" s="115"/>
      <c r="BE790" s="115"/>
      <c r="BF790" s="115"/>
      <c r="BG790" s="115"/>
      <c r="BH790" s="115">
        <v>366.65999999999997</v>
      </c>
      <c r="BI790" s="115">
        <v>883.18499999999995</v>
      </c>
      <c r="BJ790" s="115"/>
      <c r="BK790" s="115">
        <v>4.7142000000000257</v>
      </c>
      <c r="BL790" s="115">
        <v>393.66189000000003</v>
      </c>
      <c r="BM790" s="115"/>
      <c r="BN790" s="115"/>
      <c r="BO790" s="115"/>
      <c r="BP790" s="115"/>
      <c r="DR790" s="214"/>
      <c r="DY790" s="115"/>
      <c r="DZ790" s="334"/>
      <c r="EA790" s="334"/>
      <c r="EB790" s="334"/>
      <c r="EC790" s="334"/>
      <c r="ED790" s="187"/>
      <c r="EE790" s="330"/>
      <c r="EH790" s="334"/>
      <c r="EI790" s="334"/>
      <c r="EM790"/>
      <c r="EO790" s="115"/>
      <c r="EP790" s="334"/>
      <c r="EQ790" s="334"/>
      <c r="ER790" s="334"/>
      <c r="ES790" s="334"/>
      <c r="ET790" s="334"/>
      <c r="EU790" s="334"/>
      <c r="EV790" s="334"/>
    </row>
    <row r="791" spans="35:152" ht="13">
      <c r="AI791" s="115" t="s">
        <v>1416</v>
      </c>
      <c r="AJ791" t="s">
        <v>2114</v>
      </c>
      <c r="AK791" s="115">
        <v>0</v>
      </c>
      <c r="AL791" s="115" t="s">
        <v>28</v>
      </c>
      <c r="AM791" s="115" t="s">
        <v>1848</v>
      </c>
      <c r="AN791" s="115" t="s">
        <v>1455</v>
      </c>
      <c r="AO791" s="115" t="s">
        <v>1644</v>
      </c>
      <c r="AT791" s="115" t="s">
        <v>1415</v>
      </c>
      <c r="AU791" s="115" t="s">
        <v>2114</v>
      </c>
      <c r="AV791" s="115">
        <v>0</v>
      </c>
      <c r="AW791" s="115" t="s">
        <v>494</v>
      </c>
      <c r="AX791" s="115" t="s">
        <v>28</v>
      </c>
      <c r="AY791" s="115" t="s">
        <v>1850</v>
      </c>
      <c r="AZ791" s="115" t="s">
        <v>1875</v>
      </c>
      <c r="BA791" s="115"/>
      <c r="BB791" s="115"/>
      <c r="BC791" s="115">
        <v>353.56499999999994</v>
      </c>
      <c r="BD791" s="115"/>
      <c r="BE791" s="115"/>
      <c r="BF791" s="115">
        <v>1.94</v>
      </c>
      <c r="BG791" s="115"/>
      <c r="BH791" s="115">
        <v>40.74</v>
      </c>
      <c r="BI791" s="115">
        <v>294.39499999999998</v>
      </c>
      <c r="BJ791" s="115"/>
      <c r="BK791" s="115">
        <v>0.52380000000000293</v>
      </c>
      <c r="BL791" s="115">
        <v>43.740209999999998</v>
      </c>
      <c r="BM791" s="115"/>
      <c r="BN791" s="115"/>
      <c r="BO791" s="115"/>
      <c r="BP791" s="115"/>
      <c r="DR791" s="214"/>
      <c r="DY791" s="115"/>
      <c r="DZ791" s="334"/>
      <c r="EA791" s="334"/>
      <c r="EB791" s="334"/>
      <c r="EC791" s="334"/>
      <c r="ED791" s="187"/>
      <c r="EE791" s="330"/>
      <c r="EH791" s="334"/>
      <c r="EI791" s="334"/>
      <c r="EM791"/>
      <c r="EO791" s="115"/>
      <c r="EP791" s="334"/>
      <c r="EQ791" s="334"/>
      <c r="ER791" s="334"/>
      <c r="ES791" s="334"/>
      <c r="ET791" s="334"/>
      <c r="EU791" s="334"/>
      <c r="EV791" s="334"/>
    </row>
    <row r="792" spans="35:152" ht="13">
      <c r="AI792" s="115" t="s">
        <v>1416</v>
      </c>
      <c r="AJ792" t="s">
        <v>2114</v>
      </c>
      <c r="AK792" s="115">
        <v>0</v>
      </c>
      <c r="AL792" s="115" t="s">
        <v>28</v>
      </c>
      <c r="AM792" s="115" t="s">
        <v>1850</v>
      </c>
      <c r="AN792" s="115" t="s">
        <v>1455</v>
      </c>
      <c r="AO792" s="115" t="s">
        <v>1644</v>
      </c>
      <c r="AT792" s="115" t="s">
        <v>1415</v>
      </c>
      <c r="AU792" s="115" t="s">
        <v>2114</v>
      </c>
      <c r="AV792" s="115">
        <v>0</v>
      </c>
      <c r="AW792" s="115" t="s">
        <v>494</v>
      </c>
      <c r="AX792" s="115" t="s">
        <v>28</v>
      </c>
      <c r="AY792" s="115" t="s">
        <v>1832</v>
      </c>
      <c r="AZ792" s="115" t="s">
        <v>1875</v>
      </c>
      <c r="BA792" s="115"/>
      <c r="BB792" s="115"/>
      <c r="BC792" s="115">
        <v>485.99999999999994</v>
      </c>
      <c r="BD792" s="115"/>
      <c r="BE792" s="115"/>
      <c r="BF792" s="115">
        <v>2</v>
      </c>
      <c r="BG792" s="115"/>
      <c r="BH792" s="115">
        <v>420</v>
      </c>
      <c r="BI792" s="115">
        <v>1214</v>
      </c>
      <c r="BJ792" s="115"/>
      <c r="BK792" s="115">
        <v>5.4000000000000297</v>
      </c>
      <c r="BL792" s="115">
        <v>450.93</v>
      </c>
      <c r="BM792" s="115"/>
      <c r="BN792" s="115"/>
      <c r="BO792" s="115"/>
      <c r="BP792" s="115"/>
      <c r="DR792" s="214"/>
      <c r="DY792" s="115"/>
      <c r="DZ792" s="334"/>
      <c r="EA792" s="334"/>
      <c r="EB792" s="334"/>
      <c r="EC792" s="334"/>
      <c r="ED792" s="187"/>
      <c r="EE792" s="330"/>
      <c r="EH792" s="334"/>
      <c r="EI792" s="334"/>
      <c r="EM792"/>
      <c r="EO792" s="115"/>
      <c r="EP792" s="334"/>
      <c r="EQ792" s="334"/>
      <c r="ER792" s="334"/>
      <c r="ES792" s="334"/>
      <c r="ET792" s="334"/>
      <c r="EU792" s="334"/>
      <c r="EV792" s="334"/>
    </row>
    <row r="793" spans="35:152" ht="13">
      <c r="AI793" s="115" t="s">
        <v>1416</v>
      </c>
      <c r="AJ793" t="s">
        <v>2114</v>
      </c>
      <c r="AK793" s="115">
        <v>0</v>
      </c>
      <c r="AL793" s="115" t="s">
        <v>28</v>
      </c>
      <c r="AM793" s="115" t="s">
        <v>1848</v>
      </c>
      <c r="AN793" s="115" t="s">
        <v>1455</v>
      </c>
      <c r="AO793" s="115" t="s">
        <v>1274</v>
      </c>
      <c r="AT793" s="115" t="s">
        <v>1415</v>
      </c>
      <c r="AU793" s="115" t="s">
        <v>2114</v>
      </c>
      <c r="AV793" s="115">
        <v>0</v>
      </c>
      <c r="AW793" s="115" t="s">
        <v>494</v>
      </c>
      <c r="AX793" s="115" t="s">
        <v>28</v>
      </c>
      <c r="AY793" s="115" t="s">
        <v>1846</v>
      </c>
      <c r="AZ793" s="115" t="s">
        <v>1876</v>
      </c>
      <c r="BA793" s="115"/>
      <c r="BB793" s="115"/>
      <c r="BC793" s="115"/>
      <c r="BD793" s="115"/>
      <c r="BE793" s="115"/>
      <c r="BF793" s="115"/>
      <c r="BG793" s="115"/>
      <c r="BH793" s="115"/>
      <c r="BI793" s="115">
        <v>36007.743450000009</v>
      </c>
      <c r="BJ793" s="115"/>
      <c r="BK793" s="115"/>
      <c r="BL793" s="115">
        <v>53270.928918855003</v>
      </c>
      <c r="BM793" s="115">
        <v>5315.3567999999996</v>
      </c>
      <c r="BN793" s="115">
        <v>195804.15</v>
      </c>
      <c r="BO793" s="115">
        <v>38722.120000000003</v>
      </c>
      <c r="BP793" s="115"/>
      <c r="DR793" s="214"/>
      <c r="DY793" s="115"/>
      <c r="DZ793" s="334"/>
      <c r="EA793" s="334"/>
      <c r="EB793" s="334"/>
      <c r="EC793" s="334"/>
      <c r="ED793" s="187"/>
      <c r="EE793" s="330"/>
      <c r="EH793" s="334"/>
      <c r="EI793" s="334"/>
      <c r="EM793"/>
      <c r="EO793" s="115"/>
      <c r="EP793" s="334"/>
      <c r="EQ793" s="334"/>
      <c r="ER793" s="334"/>
      <c r="ES793" s="334"/>
      <c r="ET793" s="334"/>
      <c r="EU793" s="334"/>
      <c r="EV793" s="334"/>
    </row>
    <row r="794" spans="35:152" ht="13">
      <c r="AI794" s="115" t="s">
        <v>1416</v>
      </c>
      <c r="AJ794" t="s">
        <v>2114</v>
      </c>
      <c r="AK794" s="115">
        <v>0</v>
      </c>
      <c r="AL794" s="115" t="s">
        <v>28</v>
      </c>
      <c r="AM794" s="115" t="s">
        <v>1850</v>
      </c>
      <c r="AN794" s="115" t="s">
        <v>1455</v>
      </c>
      <c r="AO794" s="115" t="s">
        <v>1274</v>
      </c>
      <c r="AT794" s="115" t="s">
        <v>1415</v>
      </c>
      <c r="AU794" s="115" t="s">
        <v>2114</v>
      </c>
      <c r="AV794" s="115">
        <v>0</v>
      </c>
      <c r="AW794" s="115" t="s">
        <v>494</v>
      </c>
      <c r="AX794" s="115" t="s">
        <v>28</v>
      </c>
      <c r="AY794" s="115" t="s">
        <v>1848</v>
      </c>
      <c r="AZ794" s="115" t="s">
        <v>1876</v>
      </c>
      <c r="BA794" s="115"/>
      <c r="BB794" s="115"/>
      <c r="BC794" s="115"/>
      <c r="BD794" s="115"/>
      <c r="BE794" s="115"/>
      <c r="BF794" s="115">
        <v>7506.4778414999992</v>
      </c>
      <c r="BG794" s="115"/>
      <c r="BH794" s="115"/>
      <c r="BI794" s="115">
        <v>16228.493456250002</v>
      </c>
      <c r="BJ794" s="115"/>
      <c r="BK794" s="115"/>
      <c r="BL794" s="115">
        <v>8321.1176474549993</v>
      </c>
      <c r="BM794" s="115"/>
      <c r="BN794" s="115"/>
      <c r="BO794" s="115"/>
      <c r="BP794" s="115"/>
      <c r="DR794" s="214"/>
      <c r="DY794" s="115"/>
      <c r="DZ794" s="334"/>
      <c r="EA794" s="334"/>
      <c r="EB794" s="334"/>
      <c r="EC794" s="334"/>
      <c r="ED794" s="187"/>
      <c r="EE794" s="330"/>
      <c r="EH794" s="334"/>
      <c r="EI794" s="334"/>
      <c r="EM794"/>
      <c r="EO794" s="115"/>
      <c r="EP794" s="334"/>
      <c r="EQ794" s="334"/>
      <c r="ER794" s="334"/>
      <c r="ES794" s="334"/>
      <c r="ET794" s="334"/>
      <c r="EU794" s="334"/>
      <c r="EV794" s="334"/>
    </row>
    <row r="795" spans="35:152" ht="13">
      <c r="AI795" s="115" t="s">
        <v>1416</v>
      </c>
      <c r="AJ795" t="s">
        <v>2114</v>
      </c>
      <c r="AK795" s="115">
        <v>0</v>
      </c>
      <c r="AL795" s="115" t="s">
        <v>28</v>
      </c>
      <c r="AM795" s="115" t="s">
        <v>1846</v>
      </c>
      <c r="AN795" s="115" t="s">
        <v>1455</v>
      </c>
      <c r="AO795" s="115" t="s">
        <v>1274</v>
      </c>
      <c r="AT795" s="115" t="s">
        <v>1415</v>
      </c>
      <c r="AU795" s="115" t="s">
        <v>2114</v>
      </c>
      <c r="AV795" s="115">
        <v>0</v>
      </c>
      <c r="AW795" s="115" t="s">
        <v>494</v>
      </c>
      <c r="AX795" s="115" t="s">
        <v>28</v>
      </c>
      <c r="AY795" s="115" t="s">
        <v>1843</v>
      </c>
      <c r="AZ795" s="115" t="s">
        <v>1876</v>
      </c>
      <c r="BA795" s="115"/>
      <c r="BB795" s="115"/>
      <c r="BC795" s="115"/>
      <c r="BD795" s="115"/>
      <c r="BE795" s="115"/>
      <c r="BF795" s="115">
        <v>7448.6312371134027</v>
      </c>
      <c r="BG795" s="115"/>
      <c r="BH795" s="115"/>
      <c r="BI795" s="115">
        <v>52884.84494845361</v>
      </c>
      <c r="BJ795" s="115"/>
      <c r="BK795" s="115"/>
      <c r="BL795" s="115">
        <v>59804.209072164951</v>
      </c>
      <c r="BM795" s="115">
        <v>5315.3567999999996</v>
      </c>
      <c r="BN795" s="115">
        <v>195804.15</v>
      </c>
      <c r="BO795" s="115">
        <v>38722.120000000003</v>
      </c>
      <c r="BP795" s="115"/>
      <c r="DR795" s="214"/>
      <c r="DY795" s="115"/>
      <c r="DZ795" s="334"/>
      <c r="EA795" s="334"/>
      <c r="EB795" s="334"/>
      <c r="EC795" s="334"/>
      <c r="ED795" s="187"/>
      <c r="EE795" s="330"/>
      <c r="EH795" s="334"/>
      <c r="EI795" s="334"/>
      <c r="EM795"/>
      <c r="EO795" s="115"/>
      <c r="EP795" s="334"/>
      <c r="EQ795" s="334"/>
      <c r="ER795" s="334"/>
      <c r="ES795" s="334"/>
      <c r="ET795" s="334"/>
      <c r="EU795" s="334"/>
      <c r="EV795" s="334"/>
    </row>
    <row r="796" spans="35:152" ht="13">
      <c r="AI796" s="115" t="s">
        <v>1416</v>
      </c>
      <c r="AJ796" t="s">
        <v>2114</v>
      </c>
      <c r="AK796" s="115">
        <v>0</v>
      </c>
      <c r="AL796" s="115" t="s">
        <v>28</v>
      </c>
      <c r="AM796" s="115" t="s">
        <v>1832</v>
      </c>
      <c r="AN796" s="115" t="s">
        <v>1455</v>
      </c>
      <c r="AO796" s="115" t="s">
        <v>1274</v>
      </c>
      <c r="AT796" s="115" t="s">
        <v>1415</v>
      </c>
      <c r="AU796" s="115" t="s">
        <v>2114</v>
      </c>
      <c r="AV796" s="115">
        <v>0</v>
      </c>
      <c r="AW796" s="115" t="s">
        <v>494</v>
      </c>
      <c r="AX796" s="115" t="s">
        <v>28</v>
      </c>
      <c r="AY796" s="115" t="s">
        <v>1849</v>
      </c>
      <c r="AZ796" s="115" t="s">
        <v>1876</v>
      </c>
      <c r="BA796" s="115"/>
      <c r="BB796" s="115"/>
      <c r="BC796" s="115"/>
      <c r="BD796" s="115"/>
      <c r="BE796" s="115"/>
      <c r="BF796" s="115"/>
      <c r="BG796" s="115"/>
      <c r="BH796" s="115"/>
      <c r="BI796" s="115">
        <v>1269.4875000000002</v>
      </c>
      <c r="BJ796" s="115"/>
      <c r="BK796" s="115"/>
      <c r="BL796" s="115">
        <v>1850.19255</v>
      </c>
      <c r="BM796" s="115"/>
      <c r="BN796" s="115"/>
      <c r="BO796" s="115"/>
      <c r="BP796" s="115"/>
      <c r="DR796" s="214"/>
      <c r="DY796" s="115"/>
      <c r="DZ796" s="334"/>
      <c r="EA796" s="334"/>
      <c r="EB796" s="334"/>
      <c r="EC796" s="334"/>
      <c r="ED796" s="187"/>
      <c r="EE796" s="330"/>
      <c r="EH796" s="334"/>
      <c r="EI796" s="334"/>
      <c r="EM796"/>
      <c r="EO796" s="115"/>
      <c r="EP796" s="334"/>
      <c r="EQ796" s="334"/>
      <c r="ER796" s="334"/>
      <c r="ES796" s="334"/>
      <c r="ET796" s="334"/>
      <c r="EU796" s="334"/>
      <c r="EV796" s="334"/>
    </row>
    <row r="797" spans="35:152" ht="13">
      <c r="AI797" s="115" t="s">
        <v>1416</v>
      </c>
      <c r="AJ797" t="s">
        <v>2114</v>
      </c>
      <c r="AK797" s="115">
        <v>0</v>
      </c>
      <c r="AL797" s="115" t="s">
        <v>28</v>
      </c>
      <c r="AM797" s="115" t="s">
        <v>1849</v>
      </c>
      <c r="AN797" s="115" t="s">
        <v>1455</v>
      </c>
      <c r="AO797" s="115" t="s">
        <v>1274</v>
      </c>
      <c r="AT797" s="115" t="s">
        <v>1415</v>
      </c>
      <c r="AU797" s="115" t="s">
        <v>2114</v>
      </c>
      <c r="AV797" s="115">
        <v>0</v>
      </c>
      <c r="AW797" s="115" t="s">
        <v>494</v>
      </c>
      <c r="AX797" s="115" t="s">
        <v>28</v>
      </c>
      <c r="AY797" s="115" t="s">
        <v>1850</v>
      </c>
      <c r="AZ797" s="115" t="s">
        <v>1876</v>
      </c>
      <c r="BA797" s="115"/>
      <c r="BB797" s="115"/>
      <c r="BC797" s="115"/>
      <c r="BD797" s="115"/>
      <c r="BE797" s="115"/>
      <c r="BF797" s="115">
        <v>161.505</v>
      </c>
      <c r="BG797" s="115"/>
      <c r="BH797" s="115"/>
      <c r="BI797" s="115">
        <v>423.16250000000008</v>
      </c>
      <c r="BJ797" s="115"/>
      <c r="BK797" s="115"/>
      <c r="BL797" s="115">
        <v>205.57695000000001</v>
      </c>
      <c r="BM797" s="115"/>
      <c r="BN797" s="115"/>
      <c r="BO797" s="115"/>
      <c r="BP797" s="115"/>
      <c r="DR797" s="214"/>
      <c r="DY797" s="115"/>
      <c r="DZ797" s="334"/>
      <c r="EA797" s="334"/>
      <c r="EB797" s="334"/>
      <c r="EC797" s="334"/>
      <c r="ED797" s="187"/>
      <c r="EE797" s="330"/>
      <c r="EH797" s="334"/>
      <c r="EI797" s="334"/>
      <c r="EM797"/>
      <c r="EO797" s="115"/>
      <c r="EP797" s="334"/>
      <c r="EQ797" s="334"/>
      <c r="ER797" s="334"/>
      <c r="ES797" s="334"/>
      <c r="ET797" s="334"/>
      <c r="EU797" s="334"/>
      <c r="EV797" s="334"/>
    </row>
    <row r="798" spans="35:152" ht="13">
      <c r="AI798" s="115" t="s">
        <v>1416</v>
      </c>
      <c r="AJ798" t="s">
        <v>2114</v>
      </c>
      <c r="AK798" s="115">
        <v>0</v>
      </c>
      <c r="AL798" s="115" t="s">
        <v>28</v>
      </c>
      <c r="AM798" s="115" t="s">
        <v>1843</v>
      </c>
      <c r="AN798" s="115" t="s">
        <v>1455</v>
      </c>
      <c r="AO798" s="115" t="s">
        <v>1274</v>
      </c>
      <c r="AT798" s="115" t="s">
        <v>1415</v>
      </c>
      <c r="AU798" s="115" t="s">
        <v>2114</v>
      </c>
      <c r="AV798" s="115">
        <v>0</v>
      </c>
      <c r="AW798" s="115" t="s">
        <v>494</v>
      </c>
      <c r="AX798" s="115" t="s">
        <v>28</v>
      </c>
      <c r="AY798" s="115" t="s">
        <v>1832</v>
      </c>
      <c r="AZ798" s="115" t="s">
        <v>1876</v>
      </c>
      <c r="BA798" s="115"/>
      <c r="BB798" s="115"/>
      <c r="BC798" s="115"/>
      <c r="BD798" s="115"/>
      <c r="BE798" s="115"/>
      <c r="BF798" s="115">
        <v>166.5</v>
      </c>
      <c r="BG798" s="115"/>
      <c r="BH798" s="115"/>
      <c r="BI798" s="115">
        <v>1745.0000000000005</v>
      </c>
      <c r="BJ798" s="115"/>
      <c r="BK798" s="115"/>
      <c r="BL798" s="115">
        <v>2119.35</v>
      </c>
      <c r="BM798" s="115"/>
      <c r="BN798" s="115"/>
      <c r="BO798" s="115"/>
      <c r="BP798" s="115"/>
      <c r="DR798" s="214"/>
      <c r="DY798" s="115"/>
      <c r="DZ798" s="334"/>
      <c r="EA798" s="334"/>
      <c r="EB798" s="334"/>
      <c r="EC798" s="334"/>
      <c r="ED798" s="187"/>
      <c r="EE798" s="330"/>
      <c r="EH798" s="334"/>
      <c r="EI798" s="334"/>
      <c r="EM798"/>
      <c r="EO798" s="115"/>
      <c r="EP798" s="334"/>
      <c r="EQ798" s="334"/>
      <c r="ER798" s="334"/>
      <c r="ES798" s="334"/>
      <c r="ET798" s="334"/>
      <c r="EU798" s="334"/>
      <c r="EV798" s="334"/>
    </row>
    <row r="799" spans="35:152" ht="13">
      <c r="AI799" s="115" t="s">
        <v>1416</v>
      </c>
      <c r="AJ799" t="s">
        <v>2114</v>
      </c>
      <c r="AK799" s="115">
        <v>0</v>
      </c>
      <c r="AL799" s="115" t="s">
        <v>28</v>
      </c>
      <c r="AM799" s="115" t="s">
        <v>1843</v>
      </c>
      <c r="AN799" s="115" t="s">
        <v>1455</v>
      </c>
      <c r="AO799" s="115" t="s">
        <v>381</v>
      </c>
      <c r="AT799" s="115" t="s">
        <v>1415</v>
      </c>
      <c r="AU799" s="115" t="s">
        <v>2114</v>
      </c>
      <c r="AV799" s="115">
        <v>0</v>
      </c>
      <c r="AW799" s="115" t="s">
        <v>494</v>
      </c>
      <c r="AX799" s="115" t="s">
        <v>28</v>
      </c>
      <c r="AY799" s="115" t="s">
        <v>1846</v>
      </c>
      <c r="AZ799" s="115" t="s">
        <v>1877</v>
      </c>
      <c r="BA799" s="115"/>
      <c r="BB799" s="115"/>
      <c r="BC799" s="115">
        <v>849.10914249999973</v>
      </c>
      <c r="BD799" s="115"/>
      <c r="BE799" s="115"/>
      <c r="BF799" s="115"/>
      <c r="BG799" s="115"/>
      <c r="BH799" s="115">
        <v>120812.21967337281</v>
      </c>
      <c r="BI799" s="115">
        <v>36102.663575999999</v>
      </c>
      <c r="BJ799" s="115">
        <v>29.742551279999997</v>
      </c>
      <c r="BK799" s="115"/>
      <c r="BL799" s="115">
        <v>16188.269545332005</v>
      </c>
      <c r="BM799" s="115">
        <v>65724.761100000003</v>
      </c>
      <c r="BN799" s="115">
        <v>22720.560000000001</v>
      </c>
      <c r="BO799" s="115">
        <v>26231.200000000001</v>
      </c>
      <c r="BP799" s="115"/>
      <c r="DR799" s="214"/>
      <c r="DY799" s="115"/>
      <c r="DZ799" s="334"/>
      <c r="EA799" s="334"/>
      <c r="EB799" s="334"/>
      <c r="EC799" s="334"/>
      <c r="ED799" s="187"/>
      <c r="EE799" s="330"/>
      <c r="EH799" s="334"/>
      <c r="EI799" s="334"/>
      <c r="EM799"/>
      <c r="EO799" s="115"/>
      <c r="EP799" s="334"/>
      <c r="EQ799" s="334"/>
      <c r="ER799" s="334"/>
      <c r="ES799" s="334"/>
      <c r="ET799" s="334"/>
      <c r="EU799" s="334"/>
      <c r="EV799" s="334"/>
    </row>
    <row r="800" spans="35:152" ht="13">
      <c r="AI800" s="115" t="s">
        <v>1416</v>
      </c>
      <c r="AJ800" t="s">
        <v>2114</v>
      </c>
      <c r="AK800" s="115">
        <v>0</v>
      </c>
      <c r="AL800" s="115" t="s">
        <v>28</v>
      </c>
      <c r="AM800" s="115" t="s">
        <v>1850</v>
      </c>
      <c r="AN800" s="115" t="s">
        <v>1455</v>
      </c>
      <c r="AO800" s="115" t="s">
        <v>381</v>
      </c>
      <c r="AT800" s="115" t="s">
        <v>1415</v>
      </c>
      <c r="AU800" s="115" t="s">
        <v>2114</v>
      </c>
      <c r="AV800" s="115">
        <v>0</v>
      </c>
      <c r="AW800" s="115" t="s">
        <v>494</v>
      </c>
      <c r="AX800" s="115" t="s">
        <v>28</v>
      </c>
      <c r="AY800" s="115" t="s">
        <v>1848</v>
      </c>
      <c r="AZ800" s="115" t="s">
        <v>1877</v>
      </c>
      <c r="BA800" s="115"/>
      <c r="BB800" s="115"/>
      <c r="BC800" s="115">
        <v>5007.320298749999</v>
      </c>
      <c r="BD800" s="115"/>
      <c r="BE800" s="115"/>
      <c r="BF800" s="115">
        <v>3595.44509225</v>
      </c>
      <c r="BG800" s="115"/>
      <c r="BH800" s="115">
        <v>7873.7767918140808</v>
      </c>
      <c r="BI800" s="115">
        <v>16271.273438999995</v>
      </c>
      <c r="BJ800" s="115">
        <v>149.39926395750001</v>
      </c>
      <c r="BK800" s="115"/>
      <c r="BL800" s="115">
        <v>2528.6680395720005</v>
      </c>
      <c r="BM800" s="115"/>
      <c r="BN800" s="115"/>
      <c r="BO800" s="115"/>
      <c r="BP800" s="115"/>
      <c r="DR800" s="214"/>
      <c r="DY800" s="115"/>
      <c r="DZ800" s="334"/>
      <c r="EA800" s="334"/>
      <c r="EB800" s="334"/>
      <c r="EC800" s="334"/>
      <c r="ED800" s="187"/>
      <c r="EE800" s="330"/>
      <c r="EH800" s="334"/>
      <c r="EI800" s="334"/>
      <c r="EM800"/>
      <c r="EO800" s="115"/>
      <c r="EP800" s="334"/>
      <c r="EQ800" s="334"/>
      <c r="ER800" s="334"/>
      <c r="ES800" s="334"/>
      <c r="ET800" s="334"/>
      <c r="EU800" s="334"/>
      <c r="EV800" s="334"/>
    </row>
    <row r="801" spans="35:152" ht="13">
      <c r="AI801" s="115" t="s">
        <v>1416</v>
      </c>
      <c r="AJ801" t="s">
        <v>2114</v>
      </c>
      <c r="AK801" s="115">
        <v>0</v>
      </c>
      <c r="AL801" s="115" t="s">
        <v>28</v>
      </c>
      <c r="AM801" s="115" t="s">
        <v>1846</v>
      </c>
      <c r="AN801" s="115" t="s">
        <v>1455</v>
      </c>
      <c r="AO801" s="115" t="s">
        <v>381</v>
      </c>
      <c r="AT801" s="115" t="s">
        <v>1415</v>
      </c>
      <c r="AU801" s="115" t="s">
        <v>2114</v>
      </c>
      <c r="AV801" s="115">
        <v>0</v>
      </c>
      <c r="AW801" s="115" t="s">
        <v>494</v>
      </c>
      <c r="AX801" s="115" t="s">
        <v>28</v>
      </c>
      <c r="AY801" s="115" t="s">
        <v>1843</v>
      </c>
      <c r="AZ801" s="115" t="s">
        <v>1877</v>
      </c>
      <c r="BA801" s="115"/>
      <c r="BB801" s="115"/>
      <c r="BC801" s="115">
        <v>5804.2452577319591</v>
      </c>
      <c r="BD801" s="115"/>
      <c r="BE801" s="115"/>
      <c r="BF801" s="115">
        <v>3567.7377319587627</v>
      </c>
      <c r="BG801" s="115"/>
      <c r="BH801" s="115">
        <v>122296.60880721649</v>
      </c>
      <c r="BI801" s="115">
        <v>53024.254845360825</v>
      </c>
      <c r="BJ801" s="115">
        <v>177.51422680412369</v>
      </c>
      <c r="BK801" s="115"/>
      <c r="BL801" s="115">
        <v>17679.368762886599</v>
      </c>
      <c r="BM801" s="115">
        <v>65724.761100000003</v>
      </c>
      <c r="BN801" s="115">
        <v>22720.560000000001</v>
      </c>
      <c r="BO801" s="115">
        <v>26231.200000000001</v>
      </c>
      <c r="BP801" s="115"/>
      <c r="DR801" s="214"/>
      <c r="DY801" s="115"/>
      <c r="DZ801" s="334"/>
      <c r="EA801" s="334"/>
      <c r="EB801" s="334"/>
      <c r="EC801" s="334"/>
      <c r="ED801" s="187"/>
      <c r="EE801" s="330"/>
      <c r="EH801" s="334"/>
      <c r="EI801" s="334"/>
      <c r="EM801"/>
      <c r="EO801" s="115"/>
      <c r="EP801" s="334"/>
      <c r="EQ801" s="334"/>
      <c r="ER801" s="334"/>
      <c r="ES801" s="334"/>
      <c r="ET801" s="334"/>
      <c r="EU801" s="334"/>
      <c r="EV801" s="334"/>
    </row>
    <row r="802" spans="35:152" ht="13">
      <c r="AI802" s="115" t="s">
        <v>1416</v>
      </c>
      <c r="AJ802" t="s">
        <v>2114</v>
      </c>
      <c r="AK802" s="115">
        <v>0</v>
      </c>
      <c r="AL802" s="115" t="s">
        <v>28</v>
      </c>
      <c r="AM802" s="115" t="s">
        <v>1848</v>
      </c>
      <c r="AN802" s="115" t="s">
        <v>1455</v>
      </c>
      <c r="AO802" s="115" t="s">
        <v>381</v>
      </c>
      <c r="AT802" s="115" t="s">
        <v>1415</v>
      </c>
      <c r="AU802" s="115" t="s">
        <v>2114</v>
      </c>
      <c r="AV802" s="115">
        <v>0</v>
      </c>
      <c r="AW802" s="115" t="s">
        <v>494</v>
      </c>
      <c r="AX802" s="115" t="s">
        <v>28</v>
      </c>
      <c r="AY802" s="115" t="s">
        <v>1849</v>
      </c>
      <c r="AZ802" s="115" t="s">
        <v>1877</v>
      </c>
      <c r="BA802" s="115"/>
      <c r="BB802" s="115"/>
      <c r="BC802" s="115">
        <v>37.587499999999991</v>
      </c>
      <c r="BD802" s="115"/>
      <c r="BE802" s="115"/>
      <c r="BF802" s="115"/>
      <c r="BG802" s="115"/>
      <c r="BH802" s="115">
        <v>1627.8747192000001</v>
      </c>
      <c r="BI802" s="115">
        <v>1272.8339999999998</v>
      </c>
      <c r="BJ802" s="115">
        <v>0.37102499999999994</v>
      </c>
      <c r="BK802" s="115"/>
      <c r="BL802" s="115">
        <v>562.24692000000005</v>
      </c>
      <c r="BM802" s="115"/>
      <c r="BN802" s="115"/>
      <c r="BO802" s="115"/>
      <c r="BP802" s="115"/>
      <c r="DR802" s="214"/>
      <c r="DY802" s="115"/>
      <c r="DZ802" s="334"/>
      <c r="EA802" s="334"/>
      <c r="EB802" s="334"/>
      <c r="EC802" s="334"/>
      <c r="ED802" s="187"/>
      <c r="EE802" s="330"/>
      <c r="EH802" s="334"/>
      <c r="EI802" s="334"/>
      <c r="EM802"/>
      <c r="EO802" s="115"/>
      <c r="EP802" s="334"/>
      <c r="EQ802" s="334"/>
      <c r="ER802" s="334"/>
      <c r="ES802" s="334"/>
      <c r="ET802" s="334"/>
      <c r="EU802" s="334"/>
      <c r="EV802" s="334"/>
    </row>
    <row r="803" spans="35:152" ht="13">
      <c r="AI803" s="115" t="s">
        <v>1416</v>
      </c>
      <c r="AJ803" t="s">
        <v>2114</v>
      </c>
      <c r="AK803" s="115">
        <v>0</v>
      </c>
      <c r="AL803" s="115" t="s">
        <v>28</v>
      </c>
      <c r="AM803" s="115" t="s">
        <v>1849</v>
      </c>
      <c r="AN803" s="115" t="s">
        <v>1455</v>
      </c>
      <c r="AO803" s="115" t="s">
        <v>381</v>
      </c>
      <c r="AT803" s="115" t="s">
        <v>1415</v>
      </c>
      <c r="AU803" s="115" t="s">
        <v>2114</v>
      </c>
      <c r="AV803" s="115">
        <v>0</v>
      </c>
      <c r="AW803" s="115" t="s">
        <v>494</v>
      </c>
      <c r="AX803" s="115" t="s">
        <v>28</v>
      </c>
      <c r="AY803" s="115" t="s">
        <v>1850</v>
      </c>
      <c r="AZ803" s="115" t="s">
        <v>1877</v>
      </c>
      <c r="BA803" s="115"/>
      <c r="BB803" s="115"/>
      <c r="BC803" s="115">
        <v>112.76249999999997</v>
      </c>
      <c r="BD803" s="115"/>
      <c r="BE803" s="115"/>
      <c r="BF803" s="115">
        <v>77.357500000000002</v>
      </c>
      <c r="BG803" s="115"/>
      <c r="BH803" s="115">
        <v>180.87496880000003</v>
      </c>
      <c r="BI803" s="115">
        <v>424.27799999999991</v>
      </c>
      <c r="BJ803" s="115">
        <v>3.3392250000000003</v>
      </c>
      <c r="BK803" s="115"/>
      <c r="BL803" s="115">
        <v>62.471880000000006</v>
      </c>
      <c r="BM803" s="115"/>
      <c r="BN803" s="115"/>
      <c r="BO803" s="115"/>
      <c r="BP803" s="115"/>
      <c r="DR803" s="214"/>
      <c r="DY803" s="115"/>
      <c r="DZ803" s="334"/>
      <c r="EA803" s="334"/>
      <c r="EB803" s="334"/>
      <c r="EC803" s="334"/>
      <c r="ED803" s="187"/>
      <c r="EE803" s="330"/>
      <c r="EH803" s="334"/>
      <c r="EI803" s="334"/>
      <c r="EM803"/>
      <c r="EO803" s="115"/>
      <c r="EP803" s="334"/>
      <c r="EQ803" s="334"/>
      <c r="ER803" s="334"/>
      <c r="ES803" s="334"/>
      <c r="ET803" s="334"/>
      <c r="EU803" s="334"/>
      <c r="EV803" s="334"/>
    </row>
    <row r="804" spans="35:152" ht="13">
      <c r="AI804" s="115" t="s">
        <v>1416</v>
      </c>
      <c r="AJ804" t="s">
        <v>2114</v>
      </c>
      <c r="AK804" s="115">
        <v>0</v>
      </c>
      <c r="AL804" s="115" t="s">
        <v>28</v>
      </c>
      <c r="AM804" s="115" t="s">
        <v>1832</v>
      </c>
      <c r="AN804" s="115" t="s">
        <v>1455</v>
      </c>
      <c r="AO804" s="115" t="s">
        <v>381</v>
      </c>
      <c r="AT804" s="115" t="s">
        <v>1415</v>
      </c>
      <c r="AU804" s="115" t="s">
        <v>2114</v>
      </c>
      <c r="AV804" s="115">
        <v>0</v>
      </c>
      <c r="AW804" s="115" t="s">
        <v>494</v>
      </c>
      <c r="AX804" s="115" t="s">
        <v>28</v>
      </c>
      <c r="AY804" s="115" t="s">
        <v>1832</v>
      </c>
      <c r="AZ804" s="115" t="s">
        <v>1877</v>
      </c>
      <c r="BA804" s="115"/>
      <c r="BB804" s="115"/>
      <c r="BC804" s="115">
        <v>154.99999999999997</v>
      </c>
      <c r="BD804" s="115"/>
      <c r="BE804" s="115"/>
      <c r="BF804" s="115">
        <v>79.75</v>
      </c>
      <c r="BG804" s="115"/>
      <c r="BH804" s="115">
        <v>1864.6904000000002</v>
      </c>
      <c r="BI804" s="115">
        <v>1749.5999999999997</v>
      </c>
      <c r="BJ804" s="115">
        <v>3.8250000000000002</v>
      </c>
      <c r="BK804" s="115"/>
      <c r="BL804" s="115">
        <v>644.04</v>
      </c>
      <c r="BM804" s="115"/>
      <c r="BN804" s="115"/>
      <c r="BO804" s="115"/>
      <c r="BP804" s="115"/>
      <c r="DR804" s="214"/>
      <c r="DY804" s="115"/>
      <c r="DZ804" s="334"/>
      <c r="EA804" s="334"/>
      <c r="EB804" s="334"/>
      <c r="EC804" s="334"/>
      <c r="ED804" s="187"/>
      <c r="EE804" s="330"/>
      <c r="EH804" s="334"/>
      <c r="EI804" s="334"/>
      <c r="EM804"/>
      <c r="EO804" s="115"/>
      <c r="EP804" s="334"/>
      <c r="EQ804" s="334"/>
      <c r="ER804" s="334"/>
      <c r="ES804" s="334"/>
      <c r="ET804" s="334"/>
      <c r="EU804" s="334"/>
      <c r="EV804" s="334"/>
    </row>
    <row r="805" spans="35:152" ht="13">
      <c r="AI805" s="115" t="s">
        <v>1416</v>
      </c>
      <c r="AJ805" t="s">
        <v>2114</v>
      </c>
      <c r="AK805" s="115">
        <v>0</v>
      </c>
      <c r="AL805" s="115" t="s">
        <v>28</v>
      </c>
      <c r="AM805" s="115" t="s">
        <v>1850</v>
      </c>
      <c r="AN805" s="115" t="s">
        <v>1455</v>
      </c>
      <c r="AO805" s="115" t="s">
        <v>379</v>
      </c>
      <c r="AT805" s="115" t="s">
        <v>1415</v>
      </c>
      <c r="AU805" s="115" t="s">
        <v>2114</v>
      </c>
      <c r="AV805" s="115">
        <v>0</v>
      </c>
      <c r="AW805" s="115" t="s">
        <v>499</v>
      </c>
      <c r="AX805" s="115" t="s">
        <v>28</v>
      </c>
      <c r="AY805" s="115" t="s">
        <v>1846</v>
      </c>
      <c r="AZ805" s="115" t="s">
        <v>1878</v>
      </c>
      <c r="BA805" s="115"/>
      <c r="BB805" s="115"/>
      <c r="BC805" s="115">
        <v>2476.1118219999994</v>
      </c>
      <c r="BD805" s="115"/>
      <c r="BE805" s="115"/>
      <c r="BF805" s="115"/>
      <c r="BG805" s="115"/>
      <c r="BH805" s="115">
        <v>48140.8533876</v>
      </c>
      <c r="BI805" s="115">
        <v>5002.2223133999996</v>
      </c>
      <c r="BJ805" s="115">
        <v>929.21173279999971</v>
      </c>
      <c r="BK805" s="115">
        <v>8177.8359986550004</v>
      </c>
      <c r="BL805" s="115">
        <v>2965.9893894000006</v>
      </c>
      <c r="BM805" s="115">
        <v>9862.0000000000018</v>
      </c>
      <c r="BN805" s="115">
        <v>14557.56</v>
      </c>
      <c r="BO805" s="115">
        <v>8208.98</v>
      </c>
      <c r="BP805" s="115"/>
      <c r="DR805" s="214"/>
      <c r="DY805" s="115"/>
      <c r="DZ805" s="334"/>
      <c r="EA805" s="334"/>
      <c r="EB805" s="334"/>
      <c r="EC805" s="334"/>
      <c r="ED805" s="187"/>
      <c r="EE805" s="330"/>
      <c r="EH805" s="334"/>
      <c r="EI805" s="334"/>
      <c r="EM805"/>
      <c r="EO805" s="115"/>
      <c r="EP805" s="334"/>
      <c r="EQ805" s="334"/>
      <c r="ER805" s="334"/>
      <c r="ES805" s="334"/>
      <c r="ET805" s="334"/>
      <c r="EU805" s="334"/>
      <c r="EV805" s="334"/>
    </row>
    <row r="806" spans="35:152" ht="13">
      <c r="AI806" s="115" t="s">
        <v>1416</v>
      </c>
      <c r="AJ806" t="s">
        <v>2114</v>
      </c>
      <c r="AK806" s="115">
        <v>0</v>
      </c>
      <c r="AL806" s="115" t="s">
        <v>28</v>
      </c>
      <c r="AM806" s="115" t="s">
        <v>1832</v>
      </c>
      <c r="AN806" s="115" t="s">
        <v>1455</v>
      </c>
      <c r="AO806" s="115" t="s">
        <v>379</v>
      </c>
      <c r="AT806" s="115" t="s">
        <v>1415</v>
      </c>
      <c r="AU806" s="115" t="s">
        <v>2114</v>
      </c>
      <c r="AV806" s="115">
        <v>0</v>
      </c>
      <c r="AW806" s="115" t="s">
        <v>499</v>
      </c>
      <c r="AX806" s="115" t="s">
        <v>28</v>
      </c>
      <c r="AY806" s="115" t="s">
        <v>1848</v>
      </c>
      <c r="AZ806" s="115" t="s">
        <v>1878</v>
      </c>
      <c r="BA806" s="115"/>
      <c r="BB806" s="115"/>
      <c r="BC806" s="115">
        <v>14601.992096999998</v>
      </c>
      <c r="BD806" s="115"/>
      <c r="BE806" s="115"/>
      <c r="BF806" s="115">
        <v>2637.4111334999998</v>
      </c>
      <c r="BG806" s="115"/>
      <c r="BH806" s="115">
        <v>3586.2246243600002</v>
      </c>
      <c r="BI806" s="115">
        <v>1837.6792589999998</v>
      </c>
      <c r="BJ806" s="115">
        <v>4667.5064164499991</v>
      </c>
      <c r="BK806" s="115">
        <v>1277.408463255</v>
      </c>
      <c r="BL806" s="115">
        <v>463.29859740000001</v>
      </c>
      <c r="BM806" s="115"/>
      <c r="BN806" s="115"/>
      <c r="BO806" s="115"/>
      <c r="BP806" s="115"/>
      <c r="DR806" s="214"/>
      <c r="DY806" s="115"/>
      <c r="DZ806" s="334"/>
      <c r="EA806" s="334"/>
      <c r="EB806" s="334"/>
      <c r="EC806" s="334"/>
      <c r="ED806" s="187"/>
      <c r="EE806" s="330"/>
      <c r="EH806" s="334"/>
      <c r="EI806" s="334"/>
      <c r="EM806"/>
      <c r="EO806" s="115"/>
      <c r="EP806" s="334"/>
      <c r="EQ806" s="334"/>
      <c r="ER806" s="334"/>
      <c r="ES806" s="334"/>
      <c r="ET806" s="334"/>
      <c r="EU806" s="334"/>
      <c r="EV806" s="334"/>
    </row>
    <row r="807" spans="35:152" ht="13">
      <c r="AI807" s="115" t="s">
        <v>1416</v>
      </c>
      <c r="AJ807" t="s">
        <v>2114</v>
      </c>
      <c r="AK807" s="115">
        <v>0</v>
      </c>
      <c r="AL807" s="115" t="s">
        <v>28</v>
      </c>
      <c r="AM807" s="115" t="s">
        <v>1846</v>
      </c>
      <c r="AN807" s="115" t="s">
        <v>1455</v>
      </c>
      <c r="AO807" s="115" t="s">
        <v>379</v>
      </c>
      <c r="AT807" s="115" t="s">
        <v>1415</v>
      </c>
      <c r="AU807" s="115" t="s">
        <v>2114</v>
      </c>
      <c r="AV807" s="115">
        <v>0</v>
      </c>
      <c r="AW807" s="115" t="s">
        <v>499</v>
      </c>
      <c r="AX807" s="115" t="s">
        <v>28</v>
      </c>
      <c r="AY807" s="115" t="s">
        <v>1843</v>
      </c>
      <c r="AZ807" s="115" t="s">
        <v>1878</v>
      </c>
      <c r="BA807" s="115"/>
      <c r="BB807" s="115"/>
      <c r="BC807" s="115">
        <v>16925.928144329897</v>
      </c>
      <c r="BD807" s="115"/>
      <c r="BE807" s="115"/>
      <c r="BF807" s="115">
        <v>2617.0865979381447</v>
      </c>
      <c r="BG807" s="115"/>
      <c r="BH807" s="115">
        <v>48816.939663917532</v>
      </c>
      <c r="BI807" s="115">
        <v>5988.564639175258</v>
      </c>
      <c r="BJ807" s="115">
        <v>5545.8698969072166</v>
      </c>
      <c r="BK807" s="115">
        <v>9314.4642268041243</v>
      </c>
      <c r="BL807" s="115">
        <v>3088.9282474226807</v>
      </c>
      <c r="BM807" s="115">
        <v>9862.0000000000018</v>
      </c>
      <c r="BN807" s="115">
        <v>14557.56</v>
      </c>
      <c r="BO807" s="115">
        <v>8208.98</v>
      </c>
      <c r="BP807" s="115"/>
      <c r="DR807" s="214"/>
      <c r="DY807" s="115"/>
      <c r="DZ807" s="334"/>
      <c r="EA807" s="334"/>
      <c r="EB807" s="334"/>
      <c r="EC807" s="334"/>
      <c r="ED807" s="187"/>
      <c r="EE807" s="330"/>
      <c r="EH807" s="334"/>
      <c r="EI807" s="334"/>
      <c r="EM807"/>
      <c r="EO807" s="115"/>
      <c r="EP807" s="334"/>
      <c r="EQ807" s="334"/>
      <c r="ER807" s="334"/>
      <c r="ES807" s="334"/>
      <c r="ET807" s="334"/>
      <c r="EU807" s="334"/>
      <c r="EV807" s="334"/>
    </row>
    <row r="808" spans="35:152" ht="13">
      <c r="AI808" s="115" t="s">
        <v>1416</v>
      </c>
      <c r="AJ808" t="s">
        <v>2114</v>
      </c>
      <c r="AK808" s="115">
        <v>0</v>
      </c>
      <c r="AL808" s="115" t="s">
        <v>28</v>
      </c>
      <c r="AM808" s="115" t="s">
        <v>1843</v>
      </c>
      <c r="AN808" s="115" t="s">
        <v>1455</v>
      </c>
      <c r="AO808" s="115" t="s">
        <v>379</v>
      </c>
      <c r="AT808" s="115" t="s">
        <v>1415</v>
      </c>
      <c r="AU808" s="115" t="s">
        <v>2114</v>
      </c>
      <c r="AV808" s="115">
        <v>0</v>
      </c>
      <c r="AW808" s="115" t="s">
        <v>499</v>
      </c>
      <c r="AX808" s="115" t="s">
        <v>28</v>
      </c>
      <c r="AY808" s="115" t="s">
        <v>1849</v>
      </c>
      <c r="AZ808" s="115" t="s">
        <v>1878</v>
      </c>
      <c r="BA808" s="115"/>
      <c r="BB808" s="115"/>
      <c r="BC808" s="115">
        <v>109.60999999999999</v>
      </c>
      <c r="BD808" s="115"/>
      <c r="BE808" s="115"/>
      <c r="BF808" s="115"/>
      <c r="BG808" s="115"/>
      <c r="BH808" s="115">
        <v>741.43889999999999</v>
      </c>
      <c r="BI808" s="115">
        <v>143.75399999999999</v>
      </c>
      <c r="BJ808" s="115">
        <v>11.591499999999996</v>
      </c>
      <c r="BK808" s="115">
        <v>284.03055000000001</v>
      </c>
      <c r="BL808" s="115">
        <v>103.01400000000001</v>
      </c>
      <c r="BM808" s="115"/>
      <c r="BN808" s="115"/>
      <c r="BO808" s="115"/>
      <c r="BP808" s="115"/>
      <c r="DR808" s="214"/>
      <c r="DY808" s="115"/>
      <c r="DZ808" s="334"/>
      <c r="EA808" s="334"/>
      <c r="EB808" s="334"/>
      <c r="EC808" s="334"/>
      <c r="ED808" s="187"/>
      <c r="EE808" s="330"/>
      <c r="EH808" s="334"/>
      <c r="EI808" s="334"/>
      <c r="EM808"/>
      <c r="EO808" s="115"/>
      <c r="EP808" s="334"/>
      <c r="EQ808" s="334"/>
      <c r="ER808" s="334"/>
      <c r="ES808" s="334"/>
      <c r="ET808" s="334"/>
      <c r="EU808" s="334"/>
      <c r="EV808" s="334"/>
    </row>
    <row r="809" spans="35:152" ht="13">
      <c r="AI809" s="115" t="s">
        <v>1416</v>
      </c>
      <c r="AJ809" t="s">
        <v>2114</v>
      </c>
      <c r="AK809" s="115">
        <v>0</v>
      </c>
      <c r="AL809" s="115" t="s">
        <v>28</v>
      </c>
      <c r="AM809" s="115" t="s">
        <v>1848</v>
      </c>
      <c r="AN809" s="115" t="s">
        <v>1455</v>
      </c>
      <c r="AO809" s="115" t="s">
        <v>379</v>
      </c>
      <c r="AT809" s="115" t="s">
        <v>1415</v>
      </c>
      <c r="AU809" s="115" t="s">
        <v>2114</v>
      </c>
      <c r="AV809" s="115">
        <v>0</v>
      </c>
      <c r="AW809" s="115" t="s">
        <v>499</v>
      </c>
      <c r="AX809" s="115" t="s">
        <v>28</v>
      </c>
      <c r="AY809" s="115" t="s">
        <v>1850</v>
      </c>
      <c r="AZ809" s="115" t="s">
        <v>1878</v>
      </c>
      <c r="BA809" s="115"/>
      <c r="BB809" s="115"/>
      <c r="BC809" s="115">
        <v>328.82999999999993</v>
      </c>
      <c r="BD809" s="115"/>
      <c r="BE809" s="115"/>
      <c r="BF809" s="115">
        <v>56.744999999999997</v>
      </c>
      <c r="BG809" s="115"/>
      <c r="BH809" s="115">
        <v>82.382100000000008</v>
      </c>
      <c r="BI809" s="115">
        <v>47.917999999999999</v>
      </c>
      <c r="BJ809" s="115">
        <v>104.3235</v>
      </c>
      <c r="BK809" s="115">
        <v>31.558949999999999</v>
      </c>
      <c r="BL809" s="115">
        <v>11.446</v>
      </c>
      <c r="BM809" s="115"/>
      <c r="BN809" s="115"/>
      <c r="BO809" s="115"/>
      <c r="BP809" s="115"/>
      <c r="DR809" s="214"/>
      <c r="DY809" s="115"/>
      <c r="DZ809" s="334"/>
      <c r="EA809" s="334"/>
      <c r="EB809" s="334"/>
      <c r="EC809" s="334"/>
      <c r="ED809" s="187"/>
      <c r="EE809" s="330"/>
      <c r="EH809" s="334"/>
      <c r="EI809" s="334"/>
      <c r="EM809"/>
      <c r="EO809" s="115"/>
      <c r="EP809" s="334"/>
      <c r="EQ809" s="334"/>
      <c r="ER809" s="334"/>
      <c r="ES809" s="334"/>
      <c r="ET809" s="334"/>
      <c r="EU809" s="334"/>
      <c r="EV809" s="334"/>
    </row>
    <row r="810" spans="35:152" ht="13">
      <c r="AI810" s="115" t="s">
        <v>1416</v>
      </c>
      <c r="AJ810" t="s">
        <v>2114</v>
      </c>
      <c r="AK810" s="115">
        <v>0</v>
      </c>
      <c r="AL810" s="115" t="s">
        <v>28</v>
      </c>
      <c r="AM810" s="115" t="s">
        <v>1849</v>
      </c>
      <c r="AN810" s="115" t="s">
        <v>1455</v>
      </c>
      <c r="AO810" s="115" t="s">
        <v>379</v>
      </c>
      <c r="AT810" s="115" t="s">
        <v>1415</v>
      </c>
      <c r="AU810" s="115" t="s">
        <v>2114</v>
      </c>
      <c r="AV810" s="115">
        <v>0</v>
      </c>
      <c r="AW810" s="115" t="s">
        <v>499</v>
      </c>
      <c r="AX810" s="115" t="s">
        <v>28</v>
      </c>
      <c r="AY810" s="115" t="s">
        <v>1832</v>
      </c>
      <c r="AZ810" s="115" t="s">
        <v>1878</v>
      </c>
      <c r="BA810" s="115"/>
      <c r="BB810" s="115"/>
      <c r="BC810" s="115">
        <v>451.99999999999994</v>
      </c>
      <c r="BD810" s="115"/>
      <c r="BE810" s="115"/>
      <c r="BF810" s="115">
        <v>58.5</v>
      </c>
      <c r="BG810" s="115"/>
      <c r="BH810" s="115">
        <v>849.30000000000007</v>
      </c>
      <c r="BI810" s="115">
        <v>197.6</v>
      </c>
      <c r="BJ810" s="115">
        <v>119.5</v>
      </c>
      <c r="BK810" s="115">
        <v>325.35000000000002</v>
      </c>
      <c r="BL810" s="115">
        <v>118</v>
      </c>
      <c r="BM810" s="115"/>
      <c r="BN810" s="115"/>
      <c r="BO810" s="115"/>
      <c r="BP810" s="115"/>
      <c r="DR810" s="214"/>
      <c r="DY810" s="115"/>
      <c r="DZ810" s="334"/>
      <c r="EA810" s="334"/>
      <c r="EB810" s="334"/>
      <c r="EC810" s="334"/>
      <c r="ED810" s="187"/>
      <c r="EE810" s="330"/>
      <c r="EH810" s="334"/>
      <c r="EI810" s="334"/>
      <c r="EM810"/>
      <c r="EO810" s="115"/>
      <c r="EP810" s="334"/>
      <c r="EQ810" s="334"/>
      <c r="ER810" s="334"/>
      <c r="ES810" s="334"/>
      <c r="ET810" s="334"/>
      <c r="EU810" s="334"/>
      <c r="EV810" s="334"/>
    </row>
    <row r="811" spans="35:152" ht="13">
      <c r="AI811" s="115" t="s">
        <v>1416</v>
      </c>
      <c r="AJ811" t="s">
        <v>2114</v>
      </c>
      <c r="AK811" s="115">
        <v>0</v>
      </c>
      <c r="AL811" s="115" t="s">
        <v>28</v>
      </c>
      <c r="AM811" s="115" t="s">
        <v>1832</v>
      </c>
      <c r="AN811" s="115" t="s">
        <v>1455</v>
      </c>
      <c r="AO811" s="115" t="s">
        <v>1645</v>
      </c>
      <c r="AT811" s="115" t="s">
        <v>1415</v>
      </c>
      <c r="AU811" s="115" t="s">
        <v>2114</v>
      </c>
      <c r="AV811" s="115">
        <v>0</v>
      </c>
      <c r="AW811" s="115" t="s">
        <v>499</v>
      </c>
      <c r="AX811" s="115" t="s">
        <v>28</v>
      </c>
      <c r="AY811" s="115" t="s">
        <v>1846</v>
      </c>
      <c r="AZ811" s="115" t="s">
        <v>1914</v>
      </c>
      <c r="BA811" s="115"/>
      <c r="BB811" s="115"/>
      <c r="BC811" s="115">
        <v>2277.5298451250001</v>
      </c>
      <c r="BD811" s="115"/>
      <c r="BE811" s="115"/>
      <c r="BF811" s="115"/>
      <c r="BG811" s="115"/>
      <c r="BH811" s="115">
        <v>68200.602689248</v>
      </c>
      <c r="BI811" s="115">
        <v>9498.1468218000009</v>
      </c>
      <c r="BJ811" s="115">
        <v>1179.7878674399999</v>
      </c>
      <c r="BK811" s="115">
        <v>4642.024749444</v>
      </c>
      <c r="BL811" s="115">
        <v>7947.8461434600003</v>
      </c>
      <c r="BM811" s="115">
        <v>16486.672800000004</v>
      </c>
      <c r="BN811" s="115">
        <v>12952.72</v>
      </c>
      <c r="BO811" s="115">
        <v>11926.12</v>
      </c>
      <c r="BP811" s="115"/>
      <c r="DR811" s="214"/>
      <c r="DY811" s="115"/>
      <c r="DZ811" s="334"/>
      <c r="EA811" s="334"/>
      <c r="EB811" s="334"/>
      <c r="EC811" s="334"/>
      <c r="ED811" s="187"/>
      <c r="EE811" s="330"/>
      <c r="EH811" s="334"/>
      <c r="EI811" s="334"/>
      <c r="EM811"/>
      <c r="EO811" s="115"/>
      <c r="EP811" s="334"/>
      <c r="EQ811" s="334"/>
      <c r="ER811" s="334"/>
      <c r="ES811" s="334"/>
      <c r="ET811" s="334"/>
      <c r="EU811" s="334"/>
      <c r="EV811" s="334"/>
    </row>
    <row r="812" spans="35:152" ht="13">
      <c r="AI812" s="115" t="s">
        <v>1416</v>
      </c>
      <c r="AJ812" t="s">
        <v>2114</v>
      </c>
      <c r="AK812" s="115">
        <v>0</v>
      </c>
      <c r="AL812" s="115" t="s">
        <v>28</v>
      </c>
      <c r="AM812" s="115" t="s">
        <v>1849</v>
      </c>
      <c r="AN812" s="115" t="s">
        <v>1455</v>
      </c>
      <c r="AO812" s="115" t="s">
        <v>1645</v>
      </c>
      <c r="AT812" s="115" t="s">
        <v>1415</v>
      </c>
      <c r="AU812" s="115" t="s">
        <v>2114</v>
      </c>
      <c r="AV812" s="115">
        <v>0</v>
      </c>
      <c r="AW812" s="115" t="s">
        <v>499</v>
      </c>
      <c r="AX812" s="115" t="s">
        <v>28</v>
      </c>
      <c r="AY812" s="115" t="s">
        <v>1848</v>
      </c>
      <c r="AZ812" s="115" t="s">
        <v>1914</v>
      </c>
      <c r="BA812" s="115"/>
      <c r="BB812" s="115"/>
      <c r="BC812" s="115">
        <v>13430.925252937501</v>
      </c>
      <c r="BD812" s="115"/>
      <c r="BE812" s="115"/>
      <c r="BF812" s="115">
        <v>1155.2762443749998</v>
      </c>
      <c r="BG812" s="115"/>
      <c r="BH812" s="115">
        <v>4658.6041728128002</v>
      </c>
      <c r="BI812" s="115">
        <v>3489.3585929999999</v>
      </c>
      <c r="BJ812" s="115">
        <v>5926.1708036475002</v>
      </c>
      <c r="BK812" s="115">
        <v>725.10156752399996</v>
      </c>
      <c r="BL812" s="115">
        <v>1241.48319066</v>
      </c>
      <c r="BM812" s="115"/>
      <c r="BN812" s="115"/>
      <c r="BO812" s="115"/>
      <c r="BP812" s="115"/>
      <c r="DR812" s="214"/>
      <c r="DY812" s="115"/>
      <c r="DZ812" s="334"/>
      <c r="EA812" s="334"/>
      <c r="EB812" s="334"/>
      <c r="EC812" s="334"/>
      <c r="ED812" s="187"/>
      <c r="EE812" s="330"/>
      <c r="EH812" s="334"/>
      <c r="EI812" s="334"/>
      <c r="EM812"/>
      <c r="EO812" s="115"/>
      <c r="EP812" s="334"/>
      <c r="EQ812" s="334"/>
      <c r="ER812" s="334"/>
      <c r="ES812" s="334"/>
      <c r="ET812" s="334"/>
      <c r="EU812" s="334"/>
      <c r="EV812" s="334"/>
    </row>
    <row r="813" spans="35:152" ht="13">
      <c r="AI813" s="115" t="s">
        <v>1416</v>
      </c>
      <c r="AJ813" t="s">
        <v>2114</v>
      </c>
      <c r="AK813" s="115">
        <v>0</v>
      </c>
      <c r="AL813" s="115" t="s">
        <v>28</v>
      </c>
      <c r="AM813" s="115" t="s">
        <v>1850</v>
      </c>
      <c r="AN813" s="115" t="s">
        <v>1455</v>
      </c>
      <c r="AO813" s="115" t="s">
        <v>1645</v>
      </c>
      <c r="AT813" s="115" t="s">
        <v>1415</v>
      </c>
      <c r="AU813" s="115" t="s">
        <v>2114</v>
      </c>
      <c r="AV813" s="115">
        <v>0</v>
      </c>
      <c r="AW813" s="115" t="s">
        <v>499</v>
      </c>
      <c r="AX813" s="115" t="s">
        <v>28</v>
      </c>
      <c r="AY813" s="115" t="s">
        <v>1843</v>
      </c>
      <c r="AZ813" s="115" t="s">
        <v>1914</v>
      </c>
      <c r="BA813" s="115"/>
      <c r="BB813" s="115"/>
      <c r="BC813" s="115">
        <v>15568.483608247423</v>
      </c>
      <c r="BD813" s="115"/>
      <c r="BE813" s="115"/>
      <c r="BF813" s="115">
        <v>1146.3734020618556</v>
      </c>
      <c r="BG813" s="115"/>
      <c r="BH813" s="115">
        <v>69078.857405154646</v>
      </c>
      <c r="BI813" s="115">
        <v>11370.999278350517</v>
      </c>
      <c r="BJ813" s="115">
        <v>7041.398453608248</v>
      </c>
      <c r="BK813" s="115">
        <v>5287.2145360824743</v>
      </c>
      <c r="BL813" s="115">
        <v>8135.3827835051543</v>
      </c>
      <c r="BM813" s="115">
        <v>16486.672800000004</v>
      </c>
      <c r="BN813" s="115">
        <v>12952.72</v>
      </c>
      <c r="BO813" s="115">
        <v>11926.12</v>
      </c>
      <c r="BP813" s="115"/>
      <c r="DR813" s="214"/>
      <c r="DY813" s="115"/>
      <c r="DZ813" s="334"/>
      <c r="EA813" s="334"/>
      <c r="EB813" s="334"/>
      <c r="EC813" s="334"/>
      <c r="ED813" s="187"/>
      <c r="EE813" s="330"/>
      <c r="EH813" s="334"/>
      <c r="EI813" s="334"/>
      <c r="EM813"/>
      <c r="EO813" s="115"/>
      <c r="EP813" s="334"/>
      <c r="EQ813" s="334"/>
      <c r="ER813" s="334"/>
      <c r="ES813" s="334"/>
      <c r="ET813" s="334"/>
      <c r="EU813" s="334"/>
      <c r="EV813" s="334"/>
    </row>
    <row r="814" spans="35:152" ht="13">
      <c r="AI814" s="115" t="s">
        <v>1416</v>
      </c>
      <c r="AJ814" t="s">
        <v>2114</v>
      </c>
      <c r="AK814" s="115">
        <v>0</v>
      </c>
      <c r="AL814" s="115" t="s">
        <v>28</v>
      </c>
      <c r="AM814" s="115" t="s">
        <v>1848</v>
      </c>
      <c r="AN814" s="115" t="s">
        <v>1455</v>
      </c>
      <c r="AO814" s="115" t="s">
        <v>1645</v>
      </c>
      <c r="AT814" s="115" t="s">
        <v>1415</v>
      </c>
      <c r="AU814" s="115" t="s">
        <v>2114</v>
      </c>
      <c r="AV814" s="115">
        <v>0</v>
      </c>
      <c r="AW814" s="115" t="s">
        <v>499</v>
      </c>
      <c r="AX814" s="115" t="s">
        <v>28</v>
      </c>
      <c r="AY814" s="115" t="s">
        <v>1849</v>
      </c>
      <c r="AZ814" s="115" t="s">
        <v>1914</v>
      </c>
      <c r="BA814" s="115"/>
      <c r="BB814" s="115"/>
      <c r="BC814" s="115">
        <v>100.81937500000001</v>
      </c>
      <c r="BD814" s="115"/>
      <c r="BE814" s="115"/>
      <c r="BF814" s="115"/>
      <c r="BG814" s="115"/>
      <c r="BH814" s="115">
        <v>963.14947199999995</v>
      </c>
      <c r="BI814" s="115">
        <v>272.95800000000003</v>
      </c>
      <c r="BJ814" s="115">
        <v>14.717324999999997</v>
      </c>
      <c r="BK814" s="115">
        <v>161.22564</v>
      </c>
      <c r="BL814" s="115">
        <v>276.04259999999999</v>
      </c>
      <c r="BM814" s="115"/>
      <c r="BN814" s="115"/>
      <c r="BO814" s="115"/>
      <c r="BP814" s="115"/>
      <c r="DR814" s="214"/>
      <c r="DY814" s="115"/>
      <c r="DZ814" s="334"/>
      <c r="EA814" s="334"/>
      <c r="EB814" s="334"/>
      <c r="EC814" s="334"/>
      <c r="ED814" s="187"/>
      <c r="EE814" s="330"/>
      <c r="EH814" s="334"/>
      <c r="EI814" s="334"/>
      <c r="EM814"/>
      <c r="EO814" s="115"/>
      <c r="EP814" s="334"/>
      <c r="EQ814" s="334"/>
      <c r="ER814" s="334"/>
      <c r="ES814" s="334"/>
      <c r="ET814" s="334"/>
      <c r="EU814" s="334"/>
      <c r="EV814" s="334"/>
    </row>
    <row r="815" spans="35:152" ht="13">
      <c r="AI815" s="115" t="s">
        <v>1416</v>
      </c>
      <c r="AJ815" t="s">
        <v>2114</v>
      </c>
      <c r="AK815" s="115">
        <v>0</v>
      </c>
      <c r="AL815" s="115" t="s">
        <v>28</v>
      </c>
      <c r="AM815" s="115" t="s">
        <v>1843</v>
      </c>
      <c r="AN815" s="115" t="s">
        <v>1455</v>
      </c>
      <c r="AO815" s="115" t="s">
        <v>1645</v>
      </c>
      <c r="AT815" s="115" t="s">
        <v>1415</v>
      </c>
      <c r="AU815" s="115" t="s">
        <v>2114</v>
      </c>
      <c r="AV815" s="115">
        <v>0</v>
      </c>
      <c r="AW815" s="115" t="s">
        <v>499</v>
      </c>
      <c r="AX815" s="115" t="s">
        <v>28</v>
      </c>
      <c r="AY815" s="115" t="s">
        <v>1850</v>
      </c>
      <c r="AZ815" s="115" t="s">
        <v>1914</v>
      </c>
      <c r="BA815" s="115"/>
      <c r="BB815" s="115"/>
      <c r="BC815" s="115">
        <v>302.458125</v>
      </c>
      <c r="BD815" s="115"/>
      <c r="BE815" s="115"/>
      <c r="BF815" s="115">
        <v>24.856249999999999</v>
      </c>
      <c r="BG815" s="115"/>
      <c r="BH815" s="115">
        <v>107.01660800000001</v>
      </c>
      <c r="BI815" s="115">
        <v>90.986000000000004</v>
      </c>
      <c r="BJ815" s="115">
        <v>132.45592500000001</v>
      </c>
      <c r="BK815" s="115">
        <v>17.913959999999999</v>
      </c>
      <c r="BL815" s="115">
        <v>30.671400000000002</v>
      </c>
      <c r="BM815" s="115"/>
      <c r="BN815" s="115"/>
      <c r="BO815" s="115"/>
      <c r="BP815" s="115"/>
      <c r="DR815" s="214"/>
      <c r="DY815" s="115"/>
      <c r="DZ815" s="334"/>
      <c r="EA815" s="334"/>
      <c r="EB815" s="334"/>
      <c r="EC815" s="334"/>
      <c r="ED815" s="187"/>
      <c r="EE815" s="330"/>
      <c r="EH815" s="334"/>
      <c r="EI815" s="334"/>
      <c r="EM815"/>
      <c r="EO815" s="115"/>
      <c r="EP815" s="334"/>
      <c r="EQ815" s="334"/>
      <c r="ER815" s="334"/>
      <c r="ES815" s="334"/>
      <c r="ET815" s="334"/>
      <c r="EU815" s="334"/>
      <c r="EV815" s="334"/>
    </row>
    <row r="816" spans="35:152" ht="13">
      <c r="AI816" s="115" t="s">
        <v>1416</v>
      </c>
      <c r="AJ816" t="s">
        <v>2114</v>
      </c>
      <c r="AK816" s="115">
        <v>0</v>
      </c>
      <c r="AL816" s="115" t="s">
        <v>28</v>
      </c>
      <c r="AM816" s="115" t="s">
        <v>1846</v>
      </c>
      <c r="AN816" s="115" t="s">
        <v>1455</v>
      </c>
      <c r="AO816" s="115" t="s">
        <v>1645</v>
      </c>
      <c r="AT816" s="115" t="s">
        <v>1415</v>
      </c>
      <c r="AU816" s="115" t="s">
        <v>2114</v>
      </c>
      <c r="AV816" s="115">
        <v>0</v>
      </c>
      <c r="AW816" s="115" t="s">
        <v>499</v>
      </c>
      <c r="AX816" s="115" t="s">
        <v>28</v>
      </c>
      <c r="AY816" s="115" t="s">
        <v>1832</v>
      </c>
      <c r="AZ816" s="115" t="s">
        <v>1914</v>
      </c>
      <c r="BA816" s="115"/>
      <c r="BB816" s="115"/>
      <c r="BC816" s="115">
        <v>415.75000000000006</v>
      </c>
      <c r="BD816" s="115"/>
      <c r="BE816" s="115"/>
      <c r="BF816" s="115">
        <v>25.625</v>
      </c>
      <c r="BG816" s="115"/>
      <c r="BH816" s="115">
        <v>1103.2639999999999</v>
      </c>
      <c r="BI816" s="115">
        <v>375.20000000000005</v>
      </c>
      <c r="BJ816" s="115">
        <v>151.72499999999999</v>
      </c>
      <c r="BK816" s="115">
        <v>184.68</v>
      </c>
      <c r="BL816" s="115">
        <v>316.2</v>
      </c>
      <c r="BM816" s="115"/>
      <c r="BN816" s="115"/>
      <c r="BO816" s="115"/>
      <c r="BP816" s="115"/>
      <c r="DR816" s="214"/>
      <c r="DY816" s="115"/>
      <c r="DZ816" s="334"/>
      <c r="EA816" s="334"/>
      <c r="EB816" s="334"/>
      <c r="EC816" s="334"/>
      <c r="ED816" s="187"/>
      <c r="EE816" s="330"/>
      <c r="EH816" s="334"/>
      <c r="EI816" s="334"/>
      <c r="EM816"/>
      <c r="EO816" s="115"/>
      <c r="EP816" s="334"/>
      <c r="EQ816" s="334"/>
      <c r="ER816" s="334"/>
      <c r="ES816" s="334"/>
      <c r="ET816" s="334"/>
      <c r="EU816" s="334"/>
      <c r="EV816" s="334"/>
    </row>
    <row r="817" spans="35:152" ht="13">
      <c r="AI817" s="115" t="s">
        <v>1416</v>
      </c>
      <c r="AJ817" t="s">
        <v>2114</v>
      </c>
      <c r="AK817" s="115">
        <v>0</v>
      </c>
      <c r="AL817" s="115" t="s">
        <v>28</v>
      </c>
      <c r="AM817" s="115" t="s">
        <v>1843</v>
      </c>
      <c r="AN817" s="115" t="s">
        <v>1455</v>
      </c>
      <c r="AO817" s="115" t="s">
        <v>1646</v>
      </c>
      <c r="AT817" s="115" t="s">
        <v>1415</v>
      </c>
      <c r="AU817" s="115" t="s">
        <v>2114</v>
      </c>
      <c r="AV817" s="115">
        <v>0</v>
      </c>
      <c r="AW817" s="115" t="s">
        <v>499</v>
      </c>
      <c r="AX817" s="115" t="s">
        <v>28</v>
      </c>
      <c r="AY817" s="115" t="s">
        <v>1846</v>
      </c>
      <c r="AZ817" s="115" t="s">
        <v>1915</v>
      </c>
      <c r="BA817" s="115"/>
      <c r="BB817" s="115"/>
      <c r="BC817" s="115">
        <v>2481.5899455000003</v>
      </c>
      <c r="BD817" s="115"/>
      <c r="BE817" s="115"/>
      <c r="BF817" s="115"/>
      <c r="BG817" s="115"/>
      <c r="BH817" s="115">
        <v>64060.285639968002</v>
      </c>
      <c r="BI817" s="115">
        <v>8860.2115875000018</v>
      </c>
      <c r="BJ817" s="115">
        <v>912.10490591999985</v>
      </c>
      <c r="BK817" s="115">
        <v>5117.0857618140008</v>
      </c>
      <c r="BL817" s="115">
        <v>8671.7486385000011</v>
      </c>
      <c r="BM817" s="115">
        <v>21138.682400000002</v>
      </c>
      <c r="BN817" s="115">
        <v>14045.4</v>
      </c>
      <c r="BO817" s="115">
        <v>14224.28</v>
      </c>
      <c r="BP817" s="115"/>
      <c r="DR817" s="214"/>
      <c r="DY817" s="115"/>
      <c r="DZ817" s="334"/>
      <c r="EA817" s="334"/>
      <c r="EB817" s="334"/>
      <c r="EC817" s="334"/>
      <c r="ED817" s="187"/>
      <c r="EE817" s="330"/>
      <c r="EH817" s="334"/>
      <c r="EI817" s="334"/>
      <c r="EM817"/>
      <c r="EO817" s="115"/>
      <c r="EP817" s="334"/>
      <c r="EQ817" s="334"/>
      <c r="ER817" s="334"/>
      <c r="ES817" s="334"/>
      <c r="ET817" s="334"/>
      <c r="EU817" s="334"/>
      <c r="EV817" s="334"/>
    </row>
    <row r="818" spans="35:152" ht="13">
      <c r="AI818" s="115" t="s">
        <v>1416</v>
      </c>
      <c r="AJ818" t="s">
        <v>2114</v>
      </c>
      <c r="AK818" s="115">
        <v>0</v>
      </c>
      <c r="AL818" s="115" t="s">
        <v>28</v>
      </c>
      <c r="AM818" s="115" t="s">
        <v>1846</v>
      </c>
      <c r="AN818" s="115" t="s">
        <v>1455</v>
      </c>
      <c r="AO818" s="115" t="s">
        <v>1646</v>
      </c>
      <c r="AT818" s="115" t="s">
        <v>1415</v>
      </c>
      <c r="AU818" s="115" t="s">
        <v>2114</v>
      </c>
      <c r="AV818" s="115">
        <v>0</v>
      </c>
      <c r="AW818" s="115" t="s">
        <v>499</v>
      </c>
      <c r="AX818" s="115" t="s">
        <v>28</v>
      </c>
      <c r="AY818" s="115" t="s">
        <v>1848</v>
      </c>
      <c r="AZ818" s="115" t="s">
        <v>1915</v>
      </c>
      <c r="BA818" s="115"/>
      <c r="BB818" s="115"/>
      <c r="BC818" s="115">
        <v>14634.297389250003</v>
      </c>
      <c r="BD818" s="115"/>
      <c r="BE818" s="115"/>
      <c r="BF818" s="115">
        <v>1718.8256318749998</v>
      </c>
      <c r="BG818" s="115"/>
      <c r="BH818" s="115">
        <v>4510.6454882048001</v>
      </c>
      <c r="BI818" s="115">
        <v>3254.9986875000004</v>
      </c>
      <c r="BJ818" s="115">
        <v>4581.5774280300002</v>
      </c>
      <c r="BK818" s="115">
        <v>799.30786829400006</v>
      </c>
      <c r="BL818" s="115">
        <v>1354.5594584999999</v>
      </c>
      <c r="BM818" s="115"/>
      <c r="BN818" s="115"/>
      <c r="BO818" s="115"/>
      <c r="BP818" s="115"/>
      <c r="DR818" s="214"/>
      <c r="DY818" s="115"/>
      <c r="DZ818" s="334"/>
      <c r="EA818" s="334"/>
      <c r="EB818" s="334"/>
      <c r="EC818" s="334"/>
      <c r="ED818" s="187"/>
      <c r="EE818" s="330"/>
      <c r="EH818" s="334"/>
      <c r="EI818" s="334"/>
      <c r="EM818"/>
      <c r="EO818" s="115"/>
      <c r="EP818" s="334"/>
      <c r="EQ818" s="334"/>
      <c r="ER818" s="334"/>
      <c r="ES818" s="334"/>
      <c r="ET818" s="334"/>
      <c r="EU818" s="334"/>
      <c r="EV818" s="334"/>
    </row>
    <row r="819" spans="35:152" ht="13">
      <c r="AI819" s="115" t="s">
        <v>1416</v>
      </c>
      <c r="AJ819" t="s">
        <v>2114</v>
      </c>
      <c r="AK819" s="115">
        <v>0</v>
      </c>
      <c r="AL819" s="115" t="s">
        <v>28</v>
      </c>
      <c r="AM819" s="115" t="s">
        <v>1846</v>
      </c>
      <c r="AN819" s="115" t="s">
        <v>1455</v>
      </c>
      <c r="AO819" s="115" t="s">
        <v>1647</v>
      </c>
      <c r="AT819" s="115" t="s">
        <v>1415</v>
      </c>
      <c r="AU819" s="115" t="s">
        <v>2114</v>
      </c>
      <c r="AV819" s="115">
        <v>0</v>
      </c>
      <c r="AW819" s="115" t="s">
        <v>499</v>
      </c>
      <c r="AX819" s="115" t="s">
        <v>28</v>
      </c>
      <c r="AY819" s="115" t="s">
        <v>1843</v>
      </c>
      <c r="AZ819" s="115" t="s">
        <v>1915</v>
      </c>
      <c r="BA819" s="115"/>
      <c r="BB819" s="115"/>
      <c r="BC819" s="115">
        <v>16963.374845360828</v>
      </c>
      <c r="BD819" s="115"/>
      <c r="BE819" s="115"/>
      <c r="BF819" s="115">
        <v>1705.5800000000002</v>
      </c>
      <c r="BG819" s="115"/>
      <c r="BH819" s="115">
        <v>64910.64666494845</v>
      </c>
      <c r="BI819" s="115">
        <v>10607.275463917525</v>
      </c>
      <c r="BJ819" s="115">
        <v>5443.7702061855671</v>
      </c>
      <c r="BK819" s="115">
        <v>5828.3037113402061</v>
      </c>
      <c r="BL819" s="115">
        <v>8876.3663917525773</v>
      </c>
      <c r="BM819" s="115">
        <v>21138.682400000002</v>
      </c>
      <c r="BN819" s="115">
        <v>14045.4</v>
      </c>
      <c r="BO819" s="115">
        <v>14224.28</v>
      </c>
      <c r="BP819" s="115"/>
      <c r="DR819" s="214"/>
      <c r="DY819" s="115"/>
      <c r="DZ819" s="334"/>
      <c r="EA819" s="334"/>
      <c r="EB819" s="334"/>
      <c r="EC819" s="334"/>
      <c r="ED819" s="187"/>
      <c r="EE819" s="330"/>
      <c r="EH819" s="334"/>
      <c r="EI819" s="334"/>
      <c r="EM819"/>
      <c r="EO819" s="115"/>
      <c r="EP819" s="334"/>
      <c r="EQ819" s="334"/>
      <c r="ER819" s="334"/>
      <c r="ES819" s="334"/>
      <c r="ET819" s="334"/>
      <c r="EU819" s="334"/>
      <c r="EV819" s="334"/>
    </row>
    <row r="820" spans="35:152" ht="13">
      <c r="AI820" s="115" t="s">
        <v>1416</v>
      </c>
      <c r="AJ820" t="s">
        <v>2114</v>
      </c>
      <c r="AK820" s="115">
        <v>0</v>
      </c>
      <c r="AL820" s="115" t="s">
        <v>28</v>
      </c>
      <c r="AM820" s="115" t="s">
        <v>1843</v>
      </c>
      <c r="AN820" s="115" t="s">
        <v>1455</v>
      </c>
      <c r="AO820" s="115" t="s">
        <v>1647</v>
      </c>
      <c r="AT820" s="115" t="s">
        <v>1415</v>
      </c>
      <c r="AU820" s="115" t="s">
        <v>2114</v>
      </c>
      <c r="AV820" s="115">
        <v>0</v>
      </c>
      <c r="AW820" s="115" t="s">
        <v>499</v>
      </c>
      <c r="AX820" s="115" t="s">
        <v>28</v>
      </c>
      <c r="AY820" s="115" t="s">
        <v>1849</v>
      </c>
      <c r="AZ820" s="115" t="s">
        <v>1915</v>
      </c>
      <c r="BA820" s="115"/>
      <c r="BB820" s="115"/>
      <c r="BC820" s="115">
        <v>109.85250000000002</v>
      </c>
      <c r="BD820" s="115"/>
      <c r="BE820" s="115"/>
      <c r="BF820" s="115"/>
      <c r="BG820" s="115"/>
      <c r="BH820" s="115">
        <v>932.55955199999994</v>
      </c>
      <c r="BI820" s="115">
        <v>254.62500000000006</v>
      </c>
      <c r="BJ820" s="115">
        <v>11.378099999999998</v>
      </c>
      <c r="BK820" s="115">
        <v>177.72534000000002</v>
      </c>
      <c r="BL820" s="115">
        <v>301.185</v>
      </c>
      <c r="BM820" s="115"/>
      <c r="BN820" s="115"/>
      <c r="BO820" s="115"/>
      <c r="BP820" s="115"/>
      <c r="DR820" s="214"/>
      <c r="DY820" s="115"/>
      <c r="DZ820" s="334"/>
      <c r="EA820" s="334"/>
      <c r="EB820" s="334"/>
      <c r="EC820" s="334"/>
      <c r="ED820" s="187"/>
      <c r="EE820" s="330"/>
      <c r="EH820" s="334"/>
      <c r="EI820" s="334"/>
      <c r="EM820"/>
      <c r="EO820" s="115"/>
      <c r="EP820" s="334"/>
      <c r="EQ820" s="334"/>
      <c r="ER820" s="334"/>
      <c r="ES820" s="334"/>
      <c r="ET820" s="334"/>
      <c r="EU820" s="334"/>
      <c r="EV820" s="334"/>
    </row>
    <row r="821" spans="35:152" ht="13">
      <c r="AI821" s="115" t="s">
        <v>1416</v>
      </c>
      <c r="AJ821" t="s">
        <v>2114</v>
      </c>
      <c r="AK821" s="115">
        <v>0</v>
      </c>
      <c r="AL821" s="115" t="s">
        <v>28</v>
      </c>
      <c r="AM821" s="115" t="s">
        <v>1843</v>
      </c>
      <c r="AN821" s="115" t="s">
        <v>1455</v>
      </c>
      <c r="AO821" s="115" t="s">
        <v>1639</v>
      </c>
      <c r="AT821" s="115" t="s">
        <v>1415</v>
      </c>
      <c r="AU821" s="115" t="s">
        <v>2114</v>
      </c>
      <c r="AV821" s="115">
        <v>0</v>
      </c>
      <c r="AW821" s="115" t="s">
        <v>499</v>
      </c>
      <c r="AX821" s="115" t="s">
        <v>28</v>
      </c>
      <c r="AY821" s="115" t="s">
        <v>1850</v>
      </c>
      <c r="AZ821" s="115" t="s">
        <v>1915</v>
      </c>
      <c r="BA821" s="115"/>
      <c r="BB821" s="115"/>
      <c r="BC821" s="115">
        <v>329.55750000000006</v>
      </c>
      <c r="BD821" s="115"/>
      <c r="BE821" s="115"/>
      <c r="BF821" s="115">
        <v>36.981249999999996</v>
      </c>
      <c r="BG821" s="115"/>
      <c r="BH821" s="115">
        <v>103.617728</v>
      </c>
      <c r="BI821" s="115">
        <v>84.875000000000014</v>
      </c>
      <c r="BJ821" s="115">
        <v>102.4029</v>
      </c>
      <c r="BK821" s="115">
        <v>19.747260000000001</v>
      </c>
      <c r="BL821" s="115">
        <v>33.464999999999996</v>
      </c>
      <c r="BM821" s="115"/>
      <c r="BN821" s="115"/>
      <c r="BO821" s="115"/>
      <c r="BP821" s="115"/>
      <c r="DR821" s="214"/>
      <c r="DY821" s="115"/>
      <c r="DZ821" s="334"/>
      <c r="EA821" s="334"/>
      <c r="EB821" s="334"/>
      <c r="EC821" s="334"/>
      <c r="ED821" s="187"/>
      <c r="EE821" s="330"/>
      <c r="EH821" s="334"/>
      <c r="EI821" s="334"/>
      <c r="EM821"/>
      <c r="EO821" s="115"/>
      <c r="EP821" s="334"/>
      <c r="EQ821" s="334"/>
      <c r="ER821" s="334"/>
      <c r="ES821" s="334"/>
      <c r="ET821" s="334"/>
      <c r="EU821" s="334"/>
      <c r="EV821" s="334"/>
    </row>
    <row r="822" spans="35:152" ht="13">
      <c r="AI822" s="115" t="s">
        <v>1416</v>
      </c>
      <c r="AJ822" t="s">
        <v>2114</v>
      </c>
      <c r="AK822" s="115">
        <v>0</v>
      </c>
      <c r="AL822" s="115" t="s">
        <v>28</v>
      </c>
      <c r="AM822" s="115" t="s">
        <v>1846</v>
      </c>
      <c r="AN822" s="115" t="s">
        <v>1455</v>
      </c>
      <c r="AO822" s="115" t="s">
        <v>1639</v>
      </c>
      <c r="AT822" s="115" t="s">
        <v>1415</v>
      </c>
      <c r="AU822" s="115" t="s">
        <v>2114</v>
      </c>
      <c r="AV822" s="115">
        <v>0</v>
      </c>
      <c r="AW822" s="115" t="s">
        <v>499</v>
      </c>
      <c r="AX822" s="115" t="s">
        <v>28</v>
      </c>
      <c r="AY822" s="115" t="s">
        <v>1832</v>
      </c>
      <c r="AZ822" s="115" t="s">
        <v>1915</v>
      </c>
      <c r="BA822" s="115"/>
      <c r="BB822" s="115"/>
      <c r="BC822" s="115">
        <v>453.00000000000011</v>
      </c>
      <c r="BD822" s="115"/>
      <c r="BE822" s="115"/>
      <c r="BF822" s="115">
        <v>38.125</v>
      </c>
      <c r="BG822" s="115"/>
      <c r="BH822" s="115">
        <v>1068.2239999999999</v>
      </c>
      <c r="BI822" s="115">
        <v>350.00000000000006</v>
      </c>
      <c r="BJ822" s="115">
        <v>117.30000000000001</v>
      </c>
      <c r="BK822" s="115">
        <v>203.58</v>
      </c>
      <c r="BL822" s="115">
        <v>345</v>
      </c>
      <c r="BM822" s="115"/>
      <c r="BN822" s="115"/>
      <c r="BO822" s="115"/>
      <c r="BP822" s="115"/>
      <c r="DR822" s="214"/>
      <c r="DY822" s="115"/>
      <c r="DZ822" s="334"/>
      <c r="EA822" s="334"/>
      <c r="EB822" s="334"/>
      <c r="EC822" s="334"/>
      <c r="ED822" s="187"/>
      <c r="EE822" s="330"/>
      <c r="EH822" s="334"/>
      <c r="EI822" s="334"/>
      <c r="EM822"/>
      <c r="EO822" s="115"/>
      <c r="EP822" s="334"/>
      <c r="EQ822" s="334"/>
      <c r="ER822" s="334"/>
      <c r="ES822" s="334"/>
      <c r="ET822" s="334"/>
      <c r="EU822" s="334"/>
      <c r="EV822" s="334"/>
    </row>
    <row r="823" spans="35:152" ht="13">
      <c r="AI823" s="115" t="s">
        <v>1416</v>
      </c>
      <c r="AJ823" t="s">
        <v>2114</v>
      </c>
      <c r="AK823" s="115">
        <v>0</v>
      </c>
      <c r="AL823" s="115" t="s">
        <v>28</v>
      </c>
      <c r="AM823" s="115" t="s">
        <v>1846</v>
      </c>
      <c r="AN823" s="115" t="s">
        <v>1455</v>
      </c>
      <c r="AO823" s="115" t="s">
        <v>373</v>
      </c>
      <c r="AT823" s="115" t="s">
        <v>1415</v>
      </c>
      <c r="AU823" s="115" t="s">
        <v>2114</v>
      </c>
      <c r="AV823" s="115">
        <v>0</v>
      </c>
      <c r="AW823" s="115" t="s">
        <v>499</v>
      </c>
      <c r="AX823" s="115" t="s">
        <v>28</v>
      </c>
      <c r="AY823" s="115" t="s">
        <v>1846</v>
      </c>
      <c r="AZ823" s="115" t="s">
        <v>1916</v>
      </c>
      <c r="BA823" s="115"/>
      <c r="BB823" s="115"/>
      <c r="BC823" s="115">
        <v>713.52558587499993</v>
      </c>
      <c r="BD823" s="115"/>
      <c r="BE823" s="115"/>
      <c r="BF823" s="115"/>
      <c r="BG823" s="115"/>
      <c r="BH823" s="115">
        <v>7200.7560575696007</v>
      </c>
      <c r="BI823" s="115">
        <v>874.6294581374998</v>
      </c>
      <c r="BJ823" s="115">
        <v>61.963648499999991</v>
      </c>
      <c r="BK823" s="115">
        <v>228.48172499699999</v>
      </c>
      <c r="BL823" s="115">
        <v>418.50612994499994</v>
      </c>
      <c r="BM823" s="115">
        <v>935.38110000000006</v>
      </c>
      <c r="BN823" s="115">
        <v>1326.94</v>
      </c>
      <c r="BO823" s="115">
        <v>1756.53</v>
      </c>
      <c r="BP823" s="115"/>
      <c r="DR823" s="214"/>
      <c r="DY823" s="115"/>
      <c r="DZ823" s="334"/>
      <c r="EA823" s="334"/>
      <c r="EB823" s="334"/>
      <c r="EC823" s="334"/>
      <c r="ED823" s="187"/>
      <c r="EE823" s="330"/>
      <c r="EH823" s="334"/>
      <c r="EI823" s="334"/>
      <c r="EM823"/>
      <c r="EO823" s="115"/>
      <c r="EP823" s="334"/>
      <c r="EQ823" s="334"/>
      <c r="ER823" s="334"/>
      <c r="ES823" s="334"/>
      <c r="ET823" s="334"/>
      <c r="EU823" s="334"/>
      <c r="EV823" s="334"/>
    </row>
    <row r="824" spans="35:152" ht="13">
      <c r="AI824" s="115" t="s">
        <v>1416</v>
      </c>
      <c r="AJ824" t="s">
        <v>2114</v>
      </c>
      <c r="AK824" s="115">
        <v>0</v>
      </c>
      <c r="AL824" s="115" t="s">
        <v>28</v>
      </c>
      <c r="AM824" s="115" t="s">
        <v>1843</v>
      </c>
      <c r="AN824" s="115" t="s">
        <v>1455</v>
      </c>
      <c r="AO824" s="115" t="s">
        <v>373</v>
      </c>
      <c r="AT824" s="115" t="s">
        <v>1415</v>
      </c>
      <c r="AU824" s="115" t="s">
        <v>2114</v>
      </c>
      <c r="AV824" s="115">
        <v>0</v>
      </c>
      <c r="AW824" s="115" t="s">
        <v>499</v>
      </c>
      <c r="AX824" s="115" t="s">
        <v>28</v>
      </c>
      <c r="AY824" s="115" t="s">
        <v>1848</v>
      </c>
      <c r="AZ824" s="115" t="s">
        <v>1916</v>
      </c>
      <c r="BA824" s="115"/>
      <c r="BB824" s="115"/>
      <c r="BC824" s="115">
        <v>4207.764315562501</v>
      </c>
      <c r="BD824" s="115"/>
      <c r="BE824" s="115"/>
      <c r="BF824" s="115">
        <v>304.31666924999996</v>
      </c>
      <c r="BG824" s="115"/>
      <c r="BH824" s="115">
        <v>523.01874885456004</v>
      </c>
      <c r="BI824" s="115">
        <v>321.31487043749991</v>
      </c>
      <c r="BJ824" s="115">
        <v>311.24846657812503</v>
      </c>
      <c r="BK824" s="115">
        <v>35.689697037000002</v>
      </c>
      <c r="BL824" s="115">
        <v>65.372217344999996</v>
      </c>
      <c r="BM824" s="115"/>
      <c r="BN824" s="115"/>
      <c r="BO824" s="115"/>
      <c r="BP824" s="115"/>
      <c r="DR824" s="214"/>
      <c r="DY824" s="115"/>
      <c r="DZ824" s="334"/>
      <c r="EA824" s="334"/>
      <c r="EB824" s="334"/>
      <c r="EC824" s="334"/>
      <c r="ED824" s="187"/>
      <c r="EE824" s="330"/>
      <c r="EH824" s="334"/>
      <c r="EI824" s="334"/>
      <c r="EM824"/>
      <c r="EO824" s="115"/>
      <c r="EP824" s="334"/>
      <c r="EQ824" s="334"/>
      <c r="ER824" s="334"/>
      <c r="ES824" s="334"/>
      <c r="ET824" s="334"/>
      <c r="EU824" s="334"/>
      <c r="EV824" s="334"/>
    </row>
    <row r="825" spans="35:152" ht="13">
      <c r="AI825" s="115" t="s">
        <v>1416</v>
      </c>
      <c r="AJ825" t="s">
        <v>2114</v>
      </c>
      <c r="AK825" s="115">
        <v>0</v>
      </c>
      <c r="AL825" s="115" t="s">
        <v>28</v>
      </c>
      <c r="AM825" s="115" t="s">
        <v>1832</v>
      </c>
      <c r="AN825" s="115" t="s">
        <v>1455</v>
      </c>
      <c r="AO825" s="115" t="s">
        <v>373</v>
      </c>
      <c r="AT825" s="115" t="s">
        <v>1415</v>
      </c>
      <c r="AU825" s="115" t="s">
        <v>2114</v>
      </c>
      <c r="AV825" s="115">
        <v>0</v>
      </c>
      <c r="AW825" s="115" t="s">
        <v>499</v>
      </c>
      <c r="AX825" s="115" t="s">
        <v>28</v>
      </c>
      <c r="AY825" s="115" t="s">
        <v>1843</v>
      </c>
      <c r="AZ825" s="115" t="s">
        <v>1916</v>
      </c>
      <c r="BA825" s="115"/>
      <c r="BB825" s="115"/>
      <c r="BC825" s="115">
        <v>4877.4383505154647</v>
      </c>
      <c r="BD825" s="115"/>
      <c r="BE825" s="115"/>
      <c r="BF825" s="115">
        <v>301.97154639175255</v>
      </c>
      <c r="BG825" s="115"/>
      <c r="BH825" s="115">
        <v>7299.3572041237112</v>
      </c>
      <c r="BI825" s="115">
        <v>1047.089587628866</v>
      </c>
      <c r="BJ825" s="115">
        <v>369.8213402061856</v>
      </c>
      <c r="BK825" s="115">
        <v>260.23814432989695</v>
      </c>
      <c r="BL825" s="115">
        <v>428.38113402061856</v>
      </c>
      <c r="BM825" s="115">
        <v>935.38110000000006</v>
      </c>
      <c r="BN825" s="115">
        <v>1326.94</v>
      </c>
      <c r="BO825" s="115">
        <v>1756.53</v>
      </c>
      <c r="BP825" s="115"/>
      <c r="DR825" s="214"/>
      <c r="DY825" s="115"/>
      <c r="DZ825" s="334"/>
      <c r="EA825" s="334"/>
      <c r="EB825" s="334"/>
      <c r="EC825" s="334"/>
      <c r="ED825" s="187"/>
      <c r="EE825" s="330"/>
      <c r="EH825" s="334"/>
      <c r="EI825" s="334"/>
      <c r="EM825"/>
      <c r="EO825" s="115"/>
      <c r="EP825" s="334"/>
      <c r="EQ825" s="334"/>
      <c r="ER825" s="334"/>
      <c r="ES825" s="334"/>
      <c r="ET825" s="334"/>
      <c r="EU825" s="334"/>
      <c r="EV825" s="334"/>
    </row>
    <row r="826" spans="35:152" ht="13">
      <c r="AI826" s="115" t="s">
        <v>1416</v>
      </c>
      <c r="AJ826" t="s">
        <v>2114</v>
      </c>
      <c r="AK826" s="115">
        <v>0</v>
      </c>
      <c r="AL826" s="115" t="s">
        <v>28</v>
      </c>
      <c r="AM826" s="115" t="s">
        <v>1848</v>
      </c>
      <c r="AN826" s="115" t="s">
        <v>1455</v>
      </c>
      <c r="AO826" s="115" t="s">
        <v>373</v>
      </c>
      <c r="AT826" s="115" t="s">
        <v>1415</v>
      </c>
      <c r="AU826" s="115" t="s">
        <v>2114</v>
      </c>
      <c r="AV826" s="115">
        <v>0</v>
      </c>
      <c r="AW826" s="115" t="s">
        <v>499</v>
      </c>
      <c r="AX826" s="115" t="s">
        <v>28</v>
      </c>
      <c r="AY826" s="115" t="s">
        <v>1849</v>
      </c>
      <c r="AZ826" s="115" t="s">
        <v>1916</v>
      </c>
      <c r="BA826" s="115"/>
      <c r="BB826" s="115"/>
      <c r="BC826" s="115">
        <v>31.585625</v>
      </c>
      <c r="BD826" s="115"/>
      <c r="BE826" s="115"/>
      <c r="BF826" s="115"/>
      <c r="BG826" s="115"/>
      <c r="BH826" s="115">
        <v>108.13222440000001</v>
      </c>
      <c r="BI826" s="115">
        <v>25.135124999999995</v>
      </c>
      <c r="BJ826" s="115">
        <v>0.77296874999999987</v>
      </c>
      <c r="BK826" s="115">
        <v>7.9355699999999993</v>
      </c>
      <c r="BL826" s="115">
        <v>14.535449999999997</v>
      </c>
      <c r="BM826" s="115"/>
      <c r="BN826" s="115"/>
      <c r="BO826" s="115"/>
      <c r="BP826" s="115"/>
      <c r="DR826" s="214"/>
      <c r="DY826" s="115"/>
      <c r="DZ826" s="334"/>
      <c r="EA826" s="334"/>
      <c r="EB826" s="334"/>
      <c r="EC826" s="334"/>
      <c r="ED826" s="187"/>
      <c r="EE826" s="330"/>
      <c r="EH826" s="334"/>
      <c r="EI826" s="334"/>
      <c r="EM826"/>
      <c r="EO826" s="115"/>
      <c r="EP826" s="334"/>
      <c r="EQ826" s="334"/>
      <c r="ER826" s="334"/>
      <c r="ES826" s="334"/>
      <c r="ET826" s="334"/>
      <c r="EU826" s="334"/>
      <c r="EV826" s="334"/>
    </row>
    <row r="827" spans="35:152" ht="13">
      <c r="AI827" s="115" t="s">
        <v>1416</v>
      </c>
      <c r="AJ827" t="s">
        <v>2114</v>
      </c>
      <c r="AK827" s="115">
        <v>0</v>
      </c>
      <c r="AL827" s="115" t="s">
        <v>28</v>
      </c>
      <c r="AM827" s="115" t="s">
        <v>1849</v>
      </c>
      <c r="AN827" s="115" t="s">
        <v>1455</v>
      </c>
      <c r="AO827" s="115" t="s">
        <v>373</v>
      </c>
      <c r="AT827" s="115" t="s">
        <v>1415</v>
      </c>
      <c r="AU827" s="115" t="s">
        <v>2114</v>
      </c>
      <c r="AV827" s="115">
        <v>0</v>
      </c>
      <c r="AW827" s="115" t="s">
        <v>499</v>
      </c>
      <c r="AX827" s="115" t="s">
        <v>28</v>
      </c>
      <c r="AY827" s="115" t="s">
        <v>1850</v>
      </c>
      <c r="AZ827" s="115" t="s">
        <v>1916</v>
      </c>
      <c r="BA827" s="115"/>
      <c r="BB827" s="115"/>
      <c r="BC827" s="115">
        <v>94.756875000000008</v>
      </c>
      <c r="BD827" s="115"/>
      <c r="BE827" s="115"/>
      <c r="BF827" s="115">
        <v>6.5474999999999994</v>
      </c>
      <c r="BG827" s="115"/>
      <c r="BH827" s="115">
        <v>12.014691600000001</v>
      </c>
      <c r="BI827" s="115">
        <v>8.3783749999999984</v>
      </c>
      <c r="BJ827" s="115">
        <v>6.9567187500000012</v>
      </c>
      <c r="BK827" s="115">
        <v>0.88173000000000001</v>
      </c>
      <c r="BL827" s="115">
        <v>1.6150499999999999</v>
      </c>
      <c r="BM827" s="115"/>
      <c r="BN827" s="115"/>
      <c r="BO827" s="115"/>
      <c r="BP827" s="115"/>
      <c r="DR827" s="214"/>
      <c r="DY827" s="115"/>
      <c r="DZ827" s="334"/>
      <c r="EA827" s="334"/>
      <c r="EB827" s="334"/>
      <c r="EC827" s="334"/>
      <c r="ED827" s="187"/>
      <c r="EE827" s="330"/>
      <c r="EH827" s="334"/>
      <c r="EI827" s="334"/>
      <c r="EM827"/>
      <c r="EO827" s="115"/>
      <c r="EP827" s="334"/>
      <c r="EQ827" s="334"/>
      <c r="ER827" s="334"/>
      <c r="ES827" s="334"/>
      <c r="ET827" s="334"/>
      <c r="EU827" s="334"/>
      <c r="EV827" s="334"/>
    </row>
    <row r="828" spans="35:152" ht="13">
      <c r="AI828" s="115" t="s">
        <v>1416</v>
      </c>
      <c r="AJ828" t="s">
        <v>2114</v>
      </c>
      <c r="AK828" s="115">
        <v>0</v>
      </c>
      <c r="AL828" s="115" t="s">
        <v>28</v>
      </c>
      <c r="AM828" s="115" t="s">
        <v>1850</v>
      </c>
      <c r="AN828" s="115" t="s">
        <v>1455</v>
      </c>
      <c r="AO828" s="115" t="s">
        <v>373</v>
      </c>
      <c r="AT828" s="115" t="s">
        <v>1415</v>
      </c>
      <c r="AU828" s="115" t="s">
        <v>2114</v>
      </c>
      <c r="AV828" s="115">
        <v>0</v>
      </c>
      <c r="AW828" s="115" t="s">
        <v>499</v>
      </c>
      <c r="AX828" s="115" t="s">
        <v>28</v>
      </c>
      <c r="AY828" s="115" t="s">
        <v>1832</v>
      </c>
      <c r="AZ828" s="115" t="s">
        <v>1916</v>
      </c>
      <c r="BA828" s="115"/>
      <c r="BB828" s="115"/>
      <c r="BC828" s="115">
        <v>130.25</v>
      </c>
      <c r="BD828" s="115"/>
      <c r="BE828" s="115"/>
      <c r="BF828" s="115">
        <v>6.75</v>
      </c>
      <c r="BG828" s="115"/>
      <c r="BH828" s="115">
        <v>123.86280000000001</v>
      </c>
      <c r="BI828" s="115">
        <v>34.549999999999997</v>
      </c>
      <c r="BJ828" s="115">
        <v>7.9687500000000009</v>
      </c>
      <c r="BK828" s="115">
        <v>9.09</v>
      </c>
      <c r="BL828" s="115">
        <v>16.649999999999999</v>
      </c>
      <c r="BM828" s="115"/>
      <c r="BN828" s="115"/>
      <c r="BO828" s="115"/>
      <c r="BP828" s="115"/>
      <c r="DR828" s="214"/>
      <c r="DY828" s="115"/>
      <c r="DZ828" s="334"/>
      <c r="EA828" s="334"/>
      <c r="EB828" s="334"/>
      <c r="EC828" s="334"/>
      <c r="ED828" s="187"/>
      <c r="EE828" s="330"/>
      <c r="EH828" s="334"/>
      <c r="EI828" s="334"/>
      <c r="EM828"/>
      <c r="EO828" s="115"/>
      <c r="EP828" s="334"/>
      <c r="EQ828" s="334"/>
      <c r="ER828" s="334"/>
      <c r="ES828" s="334"/>
      <c r="ET828" s="334"/>
      <c r="EU828" s="334"/>
      <c r="EV828" s="334"/>
    </row>
    <row r="829" spans="35:152" ht="13">
      <c r="AI829" s="115" t="s">
        <v>1416</v>
      </c>
      <c r="AJ829" t="s">
        <v>2114</v>
      </c>
      <c r="AK829" s="115">
        <v>0</v>
      </c>
      <c r="AL829" s="115" t="s">
        <v>28</v>
      </c>
      <c r="AM829" s="115" t="s">
        <v>1832</v>
      </c>
      <c r="AN829" s="115" t="s">
        <v>1455</v>
      </c>
      <c r="AO829" s="115" t="s">
        <v>380</v>
      </c>
      <c r="AT829" s="115" t="s">
        <v>1415</v>
      </c>
      <c r="AU829" s="115" t="s">
        <v>2114</v>
      </c>
      <c r="AV829" s="115">
        <v>0</v>
      </c>
      <c r="AW829" s="115" t="s">
        <v>499</v>
      </c>
      <c r="AX829" s="115" t="s">
        <v>28</v>
      </c>
      <c r="AY829" s="115" t="s">
        <v>1846</v>
      </c>
      <c r="AZ829" s="115" t="s">
        <v>1917</v>
      </c>
      <c r="BA829" s="115"/>
      <c r="BB829" s="115"/>
      <c r="BC829" s="115">
        <v>999.75753874999987</v>
      </c>
      <c r="BD829" s="115"/>
      <c r="BE829" s="115"/>
      <c r="BF829" s="115"/>
      <c r="BG829" s="115"/>
      <c r="BH829" s="115">
        <v>20901.171858671998</v>
      </c>
      <c r="BI829" s="115">
        <v>2460.6073322999996</v>
      </c>
      <c r="BJ829" s="115">
        <v>262.72586963999993</v>
      </c>
      <c r="BK829" s="115">
        <v>1443.531954519</v>
      </c>
      <c r="BL829" s="115">
        <v>2490.9283770299999</v>
      </c>
      <c r="BM829" s="115">
        <v>8919.7011999999995</v>
      </c>
      <c r="BN829" s="115">
        <v>4980.8999999999996</v>
      </c>
      <c r="BO829" s="115">
        <v>5387.26</v>
      </c>
      <c r="BP829" s="115"/>
      <c r="DR829" s="214"/>
      <c r="DY829" s="115"/>
      <c r="DZ829" s="334"/>
      <c r="EA829" s="334"/>
      <c r="EB829" s="334"/>
      <c r="EC829" s="334"/>
      <c r="ED829" s="187"/>
      <c r="EE829" s="330"/>
      <c r="EH829" s="334"/>
      <c r="EI829" s="334"/>
      <c r="EM829"/>
      <c r="EO829" s="115"/>
      <c r="EP829" s="334"/>
      <c r="EQ829" s="334"/>
      <c r="ER829" s="334"/>
      <c r="ES829" s="334"/>
      <c r="ET829" s="334"/>
      <c r="EU829" s="334"/>
      <c r="EV829" s="334"/>
    </row>
    <row r="830" spans="35:152" ht="13">
      <c r="AI830" s="115" t="s">
        <v>1416</v>
      </c>
      <c r="AJ830" t="s">
        <v>2114</v>
      </c>
      <c r="AK830" s="115">
        <v>0</v>
      </c>
      <c r="AL830" s="115" t="s">
        <v>28</v>
      </c>
      <c r="AM830" s="115" t="s">
        <v>1843</v>
      </c>
      <c r="AN830" s="115" t="s">
        <v>1455</v>
      </c>
      <c r="AO830" s="115" t="s">
        <v>380</v>
      </c>
      <c r="AT830" s="115" t="s">
        <v>1415</v>
      </c>
      <c r="AU830" s="115" t="s">
        <v>2114</v>
      </c>
      <c r="AV830" s="115">
        <v>0</v>
      </c>
      <c r="AW830" s="115" t="s">
        <v>499</v>
      </c>
      <c r="AX830" s="115" t="s">
        <v>28</v>
      </c>
      <c r="AY830" s="115" t="s">
        <v>1848</v>
      </c>
      <c r="AZ830" s="115" t="s">
        <v>1917</v>
      </c>
      <c r="BA830" s="115"/>
      <c r="BB830" s="115"/>
      <c r="BC830" s="115">
        <v>5895.7158356249993</v>
      </c>
      <c r="BD830" s="115"/>
      <c r="BE830" s="115"/>
      <c r="BF830" s="115">
        <v>662.17053031249998</v>
      </c>
      <c r="BG830" s="115"/>
      <c r="BH830" s="115">
        <v>1451.7010254991997</v>
      </c>
      <c r="BI830" s="115">
        <v>903.95963549999988</v>
      </c>
      <c r="BJ830" s="115">
        <v>1319.6934982912499</v>
      </c>
      <c r="BK830" s="115">
        <v>225.48507159900001</v>
      </c>
      <c r="BL830" s="115">
        <v>389.09229663000002</v>
      </c>
      <c r="BM830" s="115"/>
      <c r="BN830" s="115"/>
      <c r="BO830" s="115"/>
      <c r="BP830" s="115"/>
      <c r="DR830" s="214"/>
      <c r="DY830" s="115"/>
      <c r="DZ830" s="334"/>
      <c r="EA830" s="334"/>
      <c r="EB830" s="334"/>
      <c r="EC830" s="334"/>
      <c r="ED830" s="187"/>
      <c r="EE830" s="330"/>
      <c r="EH830" s="334"/>
      <c r="EI830" s="334"/>
      <c r="EM830"/>
      <c r="EO830" s="115"/>
      <c r="EP830" s="334"/>
      <c r="EQ830" s="334"/>
      <c r="ER830" s="334"/>
      <c r="ES830" s="334"/>
      <c r="ET830" s="334"/>
      <c r="EU830" s="334"/>
      <c r="EV830" s="334"/>
    </row>
    <row r="831" spans="35:152" ht="13">
      <c r="AI831" s="115" t="s">
        <v>1416</v>
      </c>
      <c r="AJ831" t="s">
        <v>2114</v>
      </c>
      <c r="AK831" s="115">
        <v>0</v>
      </c>
      <c r="AL831" s="115" t="s">
        <v>28</v>
      </c>
      <c r="AM831" s="115" t="s">
        <v>1849</v>
      </c>
      <c r="AN831" s="115" t="s">
        <v>1455</v>
      </c>
      <c r="AO831" s="115" t="s">
        <v>380</v>
      </c>
      <c r="AT831" s="115" t="s">
        <v>1415</v>
      </c>
      <c r="AU831" s="115" t="s">
        <v>2114</v>
      </c>
      <c r="AV831" s="115">
        <v>0</v>
      </c>
      <c r="AW831" s="115" t="s">
        <v>499</v>
      </c>
      <c r="AX831" s="115" t="s">
        <v>28</v>
      </c>
      <c r="AY831" s="115" t="s">
        <v>1843</v>
      </c>
      <c r="AZ831" s="115" t="s">
        <v>1917</v>
      </c>
      <c r="BA831" s="115"/>
      <c r="BB831" s="115"/>
      <c r="BC831" s="115">
        <v>6834.0307216494848</v>
      </c>
      <c r="BD831" s="115"/>
      <c r="BE831" s="115"/>
      <c r="BF831" s="115">
        <v>657.06773195876281</v>
      </c>
      <c r="BG831" s="115"/>
      <c r="BH831" s="115">
        <v>21174.851054639177</v>
      </c>
      <c r="BI831" s="115">
        <v>2945.7919587628867</v>
      </c>
      <c r="BJ831" s="115">
        <v>1568.0424742268042</v>
      </c>
      <c r="BK831" s="115">
        <v>1644.1668041237112</v>
      </c>
      <c r="BL831" s="115">
        <v>2549.7041237113403</v>
      </c>
      <c r="BM831" s="115">
        <v>8919.7011999999995</v>
      </c>
      <c r="BN831" s="115">
        <v>4980.8999999999996</v>
      </c>
      <c r="BO831" s="115">
        <v>5387.26</v>
      </c>
      <c r="BP831" s="115"/>
      <c r="DR831" s="214"/>
      <c r="DY831" s="115"/>
      <c r="DZ831" s="334"/>
      <c r="EA831" s="334"/>
      <c r="EB831" s="334"/>
      <c r="EC831" s="334"/>
      <c r="ED831" s="187"/>
      <c r="EE831" s="330"/>
      <c r="EH831" s="334"/>
      <c r="EI831" s="334"/>
      <c r="EM831"/>
      <c r="EO831" s="115"/>
      <c r="EP831" s="334"/>
      <c r="EQ831" s="334"/>
      <c r="ER831" s="334"/>
      <c r="ES831" s="334"/>
      <c r="ET831" s="334"/>
      <c r="EU831" s="334"/>
      <c r="EV831" s="334"/>
    </row>
    <row r="832" spans="35:152" ht="13">
      <c r="AI832" s="115" t="s">
        <v>1416</v>
      </c>
      <c r="AJ832" t="s">
        <v>2114</v>
      </c>
      <c r="AK832" s="115">
        <v>0</v>
      </c>
      <c r="AL832" s="115" t="s">
        <v>28</v>
      </c>
      <c r="AM832" s="115" t="s">
        <v>1848</v>
      </c>
      <c r="AN832" s="115" t="s">
        <v>1455</v>
      </c>
      <c r="AO832" s="115" t="s">
        <v>380</v>
      </c>
      <c r="AT832" s="115" t="s">
        <v>1415</v>
      </c>
      <c r="AU832" s="115" t="s">
        <v>2114</v>
      </c>
      <c r="AV832" s="115">
        <v>0</v>
      </c>
      <c r="AW832" s="115" t="s">
        <v>499</v>
      </c>
      <c r="AX832" s="115" t="s">
        <v>28</v>
      </c>
      <c r="AY832" s="115" t="s">
        <v>1849</v>
      </c>
      <c r="AZ832" s="115" t="s">
        <v>1917</v>
      </c>
      <c r="BA832" s="115"/>
      <c r="BB832" s="115"/>
      <c r="BC832" s="115">
        <v>44.256249999999994</v>
      </c>
      <c r="BD832" s="115"/>
      <c r="BE832" s="115"/>
      <c r="BF832" s="115"/>
      <c r="BG832" s="115"/>
      <c r="BH832" s="115">
        <v>300.13390799999996</v>
      </c>
      <c r="BI832" s="115">
        <v>70.712999999999994</v>
      </c>
      <c r="BJ832" s="115">
        <v>3.2773874999999988</v>
      </c>
      <c r="BK832" s="115">
        <v>50.136389999999999</v>
      </c>
      <c r="BL832" s="115">
        <v>86.514299999999992</v>
      </c>
      <c r="BM832" s="115"/>
      <c r="BN832" s="115"/>
      <c r="BO832" s="115"/>
      <c r="BP832" s="115"/>
      <c r="DR832" s="214"/>
      <c r="DY832" s="115"/>
      <c r="DZ832" s="334"/>
      <c r="EA832" s="334"/>
      <c r="EB832" s="334"/>
      <c r="EC832" s="334"/>
      <c r="ED832" s="187"/>
      <c r="EE832" s="330"/>
      <c r="EH832" s="334"/>
      <c r="EI832" s="334"/>
      <c r="EM832"/>
      <c r="EO832" s="115"/>
      <c r="EP832" s="334"/>
      <c r="EQ832" s="334"/>
      <c r="ER832" s="334"/>
      <c r="ES832" s="334"/>
      <c r="ET832" s="334"/>
      <c r="EU832" s="334"/>
      <c r="EV832" s="334"/>
    </row>
    <row r="833" spans="35:152" ht="13">
      <c r="AI833" s="115" t="s">
        <v>1416</v>
      </c>
      <c r="AJ833" t="s">
        <v>2114</v>
      </c>
      <c r="AK833" s="115">
        <v>0</v>
      </c>
      <c r="AL833" s="115" t="s">
        <v>28</v>
      </c>
      <c r="AM833" s="115" t="s">
        <v>1850</v>
      </c>
      <c r="AN833" s="115" t="s">
        <v>1455</v>
      </c>
      <c r="AO833" s="115" t="s">
        <v>380</v>
      </c>
      <c r="AT833" s="115" t="s">
        <v>1415</v>
      </c>
      <c r="AU833" s="115" t="s">
        <v>2114</v>
      </c>
      <c r="AV833" s="115">
        <v>0</v>
      </c>
      <c r="AW833" s="115" t="s">
        <v>499</v>
      </c>
      <c r="AX833" s="115" t="s">
        <v>28</v>
      </c>
      <c r="AY833" s="115" t="s">
        <v>1850</v>
      </c>
      <c r="AZ833" s="115" t="s">
        <v>1917</v>
      </c>
      <c r="BA833" s="115"/>
      <c r="BB833" s="115"/>
      <c r="BC833" s="115">
        <v>132.76874999999998</v>
      </c>
      <c r="BD833" s="115"/>
      <c r="BE833" s="115"/>
      <c r="BF833" s="115">
        <v>14.246874999999999</v>
      </c>
      <c r="BG833" s="115"/>
      <c r="BH833" s="115">
        <v>33.348211999999997</v>
      </c>
      <c r="BI833" s="115">
        <v>23.570999999999998</v>
      </c>
      <c r="BJ833" s="115">
        <v>29.496487499999997</v>
      </c>
      <c r="BK833" s="115">
        <v>5.5707100000000001</v>
      </c>
      <c r="BL833" s="115">
        <v>9.6127000000000002</v>
      </c>
      <c r="BM833" s="115"/>
      <c r="BN833" s="115"/>
      <c r="BO833" s="115"/>
      <c r="BP833" s="115"/>
      <c r="DR833" s="214"/>
      <c r="DY833" s="115"/>
      <c r="DZ833" s="334"/>
      <c r="EA833" s="334"/>
      <c r="EB833" s="334"/>
      <c r="EC833" s="334"/>
      <c r="ED833" s="187"/>
      <c r="EE833" s="330"/>
      <c r="EH833" s="334"/>
      <c r="EI833" s="334"/>
      <c r="EM833"/>
      <c r="EO833" s="115"/>
      <c r="EP833" s="334"/>
      <c r="EQ833" s="334"/>
      <c r="ER833" s="334"/>
      <c r="ES833" s="334"/>
      <c r="ET833" s="334"/>
      <c r="EU833" s="334"/>
      <c r="EV833" s="334"/>
    </row>
    <row r="834" spans="35:152" ht="13">
      <c r="AI834" s="115" t="s">
        <v>1416</v>
      </c>
      <c r="AJ834" t="s">
        <v>2114</v>
      </c>
      <c r="AK834" s="115">
        <v>0</v>
      </c>
      <c r="AL834" s="115" t="s">
        <v>28</v>
      </c>
      <c r="AM834" s="115" t="s">
        <v>1846</v>
      </c>
      <c r="AN834" s="115" t="s">
        <v>1455</v>
      </c>
      <c r="AO834" s="115" t="s">
        <v>380</v>
      </c>
      <c r="AT834" s="115" t="s">
        <v>1415</v>
      </c>
      <c r="AU834" s="115" t="s">
        <v>2114</v>
      </c>
      <c r="AV834" s="115">
        <v>0</v>
      </c>
      <c r="AW834" s="115" t="s">
        <v>499</v>
      </c>
      <c r="AX834" s="115" t="s">
        <v>28</v>
      </c>
      <c r="AY834" s="115" t="s">
        <v>1832</v>
      </c>
      <c r="AZ834" s="115" t="s">
        <v>1917</v>
      </c>
      <c r="BA834" s="115"/>
      <c r="BB834" s="115"/>
      <c r="BC834" s="115">
        <v>182.49999999999997</v>
      </c>
      <c r="BD834" s="115"/>
      <c r="BE834" s="115"/>
      <c r="BF834" s="115">
        <v>14.6875</v>
      </c>
      <c r="BG834" s="115"/>
      <c r="BH834" s="115">
        <v>343.79599999999994</v>
      </c>
      <c r="BI834" s="115">
        <v>97.199999999999989</v>
      </c>
      <c r="BJ834" s="115">
        <v>33.787499999999994</v>
      </c>
      <c r="BK834" s="115">
        <v>57.43</v>
      </c>
      <c r="BL834" s="115">
        <v>99.1</v>
      </c>
      <c r="BM834" s="115"/>
      <c r="BN834" s="115"/>
      <c r="BO834" s="115"/>
      <c r="BP834" s="115"/>
      <c r="DR834" s="214"/>
      <c r="DY834" s="115"/>
      <c r="DZ834" s="334"/>
      <c r="EA834" s="334"/>
      <c r="EB834" s="334"/>
      <c r="EC834" s="334"/>
      <c r="ED834" s="187"/>
      <c r="EE834" s="330"/>
      <c r="EH834" s="334"/>
      <c r="EI834" s="334"/>
      <c r="EM834"/>
      <c r="EO834" s="115"/>
      <c r="EP834" s="334"/>
      <c r="EQ834" s="334"/>
      <c r="ER834" s="334"/>
      <c r="ES834" s="334"/>
      <c r="ET834" s="334"/>
      <c r="EU834" s="334"/>
      <c r="EV834" s="334"/>
    </row>
    <row r="835" spans="35:152" ht="13">
      <c r="AI835" s="115" t="s">
        <v>1416</v>
      </c>
      <c r="AJ835" t="s">
        <v>2114</v>
      </c>
      <c r="AK835" s="115">
        <v>0</v>
      </c>
      <c r="AL835" s="115" t="s">
        <v>28</v>
      </c>
      <c r="AM835" s="115" t="s">
        <v>1849</v>
      </c>
      <c r="AN835" s="115" t="s">
        <v>1457</v>
      </c>
      <c r="AO835" s="115" t="s">
        <v>381</v>
      </c>
      <c r="AT835" s="115" t="s">
        <v>1415</v>
      </c>
      <c r="AU835" s="115" t="s">
        <v>2114</v>
      </c>
      <c r="AV835" s="115">
        <v>0</v>
      </c>
      <c r="AW835" s="115" t="s">
        <v>499</v>
      </c>
      <c r="AX835" s="115" t="s">
        <v>28</v>
      </c>
      <c r="AY835" s="115" t="s">
        <v>1846</v>
      </c>
      <c r="AZ835" s="115" t="s">
        <v>1918</v>
      </c>
      <c r="BA835" s="115"/>
      <c r="BB835" s="115"/>
      <c r="BC835" s="115">
        <v>3097.8788392499996</v>
      </c>
      <c r="BD835" s="115"/>
      <c r="BE835" s="115"/>
      <c r="BF835" s="115"/>
      <c r="BG835" s="115"/>
      <c r="BH835" s="115">
        <v>67767.374010681611</v>
      </c>
      <c r="BI835" s="115">
        <v>9891.5402162850005</v>
      </c>
      <c r="BJ835" s="115">
        <v>817.92016019999994</v>
      </c>
      <c r="BK835" s="115">
        <v>4571.6453402039997</v>
      </c>
      <c r="BL835" s="115">
        <v>9106.5928455899993</v>
      </c>
      <c r="BM835" s="115">
        <v>27908.199000000001</v>
      </c>
      <c r="BN835" s="115">
        <v>12356.48</v>
      </c>
      <c r="BO835" s="115">
        <v>14531.98</v>
      </c>
      <c r="BP835" s="115"/>
      <c r="DR835" s="214"/>
      <c r="DY835" s="115"/>
      <c r="DZ835" s="334"/>
      <c r="EA835" s="334"/>
      <c r="EB835" s="334"/>
      <c r="EC835" s="334"/>
      <c r="ED835" s="187"/>
      <c r="EE835" s="330"/>
      <c r="EH835" s="334"/>
      <c r="EI835" s="334"/>
      <c r="EM835"/>
      <c r="EO835" s="115"/>
      <c r="EP835" s="334"/>
      <c r="EQ835" s="334"/>
      <c r="ER835" s="334"/>
      <c r="ES835" s="334"/>
      <c r="ET835" s="334"/>
      <c r="EU835" s="334"/>
      <c r="EV835" s="334"/>
    </row>
    <row r="836" spans="35:152" ht="13">
      <c r="AI836" s="115" t="s">
        <v>1416</v>
      </c>
      <c r="AJ836" t="s">
        <v>2114</v>
      </c>
      <c r="AK836" s="115">
        <v>0</v>
      </c>
      <c r="AL836" s="115" t="s">
        <v>28</v>
      </c>
      <c r="AM836" s="115" t="s">
        <v>1848</v>
      </c>
      <c r="AN836" s="115" t="s">
        <v>1457</v>
      </c>
      <c r="AO836" s="115" t="s">
        <v>381</v>
      </c>
      <c r="AT836" s="115" t="s">
        <v>1415</v>
      </c>
      <c r="AU836" s="115" t="s">
        <v>2114</v>
      </c>
      <c r="AV836" s="115">
        <v>0</v>
      </c>
      <c r="AW836" s="115" t="s">
        <v>499</v>
      </c>
      <c r="AX836" s="115" t="s">
        <v>28</v>
      </c>
      <c r="AY836" s="115" t="s">
        <v>1848</v>
      </c>
      <c r="AZ836" s="115" t="s">
        <v>1918</v>
      </c>
      <c r="BA836" s="115"/>
      <c r="BB836" s="115"/>
      <c r="BC836" s="115">
        <v>18268.642767375</v>
      </c>
      <c r="BD836" s="115"/>
      <c r="BE836" s="115"/>
      <c r="BF836" s="115">
        <v>1648.3819584374996</v>
      </c>
      <c r="BG836" s="115"/>
      <c r="BH836" s="115">
        <v>4867.8947724377604</v>
      </c>
      <c r="BI836" s="115">
        <v>3633.880534725</v>
      </c>
      <c r="BJ836" s="115">
        <v>4108.4797588312495</v>
      </c>
      <c r="BK836" s="115">
        <v>714.10804148399995</v>
      </c>
      <c r="BL836" s="115">
        <v>1422.4837443899999</v>
      </c>
      <c r="BM836" s="115"/>
      <c r="BN836" s="115"/>
      <c r="BO836" s="115"/>
      <c r="BP836" s="115"/>
      <c r="DR836" s="214"/>
      <c r="DY836" s="115"/>
      <c r="DZ836" s="334"/>
      <c r="EA836" s="334"/>
      <c r="EB836" s="334"/>
      <c r="EC836" s="334"/>
      <c r="ED836" s="187"/>
      <c r="EE836" s="330"/>
      <c r="EH836" s="334"/>
      <c r="EI836" s="334"/>
      <c r="EM836"/>
      <c r="EO836" s="115"/>
      <c r="EP836" s="334"/>
      <c r="EQ836" s="334"/>
      <c r="ER836" s="334"/>
      <c r="ES836" s="334"/>
      <c r="ET836" s="334"/>
      <c r="EU836" s="334"/>
      <c r="EV836" s="334"/>
    </row>
    <row r="837" spans="35:152" ht="13">
      <c r="AI837" s="115" t="s">
        <v>1416</v>
      </c>
      <c r="AJ837" t="s">
        <v>2114</v>
      </c>
      <c r="AK837" s="115">
        <v>0</v>
      </c>
      <c r="AL837" s="115" t="s">
        <v>28</v>
      </c>
      <c r="AM837" s="115" t="s">
        <v>1846</v>
      </c>
      <c r="AN837" s="115" t="s">
        <v>1457</v>
      </c>
      <c r="AO837" s="115" t="s">
        <v>381</v>
      </c>
      <c r="AT837" s="115" t="s">
        <v>1415</v>
      </c>
      <c r="AU837" s="115" t="s">
        <v>2114</v>
      </c>
      <c r="AV837" s="115">
        <v>0</v>
      </c>
      <c r="AW837" s="115" t="s">
        <v>499</v>
      </c>
      <c r="AX837" s="115" t="s">
        <v>28</v>
      </c>
      <c r="AY837" s="115" t="s">
        <v>1843</v>
      </c>
      <c r="AZ837" s="115" t="s">
        <v>1918</v>
      </c>
      <c r="BA837" s="115"/>
      <c r="BB837" s="115"/>
      <c r="BC837" s="115">
        <v>21176.133505154641</v>
      </c>
      <c r="BD837" s="115"/>
      <c r="BE837" s="115"/>
      <c r="BF837" s="115">
        <v>1635.6791752577319</v>
      </c>
      <c r="BG837" s="115"/>
      <c r="BH837" s="115">
        <v>68685.084811340203</v>
      </c>
      <c r="BI837" s="115">
        <v>11841.962371134021</v>
      </c>
      <c r="BJ837" s="115">
        <v>4881.6417525773195</v>
      </c>
      <c r="BK837" s="115">
        <v>5207.0531958762886</v>
      </c>
      <c r="BL837" s="115">
        <v>9321.4711340206177</v>
      </c>
      <c r="BM837" s="115">
        <v>27908.199000000001</v>
      </c>
      <c r="BN837" s="115">
        <v>12356.48</v>
      </c>
      <c r="BO837" s="115">
        <v>14531.98</v>
      </c>
      <c r="BP837" s="115"/>
      <c r="DR837" s="214"/>
      <c r="DY837" s="115"/>
      <c r="DZ837" s="334"/>
      <c r="EA837" s="334"/>
      <c r="EB837" s="334"/>
      <c r="EC837" s="334"/>
      <c r="ED837" s="187"/>
      <c r="EE837" s="330"/>
      <c r="EH837" s="334"/>
      <c r="EI837" s="334"/>
      <c r="EM837"/>
      <c r="EO837" s="115"/>
      <c r="EP837" s="334"/>
      <c r="EQ837" s="334"/>
      <c r="ER837" s="334"/>
      <c r="ES837" s="334"/>
      <c r="ET837" s="334"/>
      <c r="EU837" s="334"/>
      <c r="EV837" s="334"/>
    </row>
    <row r="838" spans="35:152" ht="13">
      <c r="AI838" s="115" t="s">
        <v>1416</v>
      </c>
      <c r="AJ838" t="s">
        <v>2114</v>
      </c>
      <c r="AK838" s="115">
        <v>0</v>
      </c>
      <c r="AL838" s="115" t="s">
        <v>28</v>
      </c>
      <c r="AM838" s="115" t="s">
        <v>1843</v>
      </c>
      <c r="AN838" s="115" t="s">
        <v>1457</v>
      </c>
      <c r="AO838" s="115" t="s">
        <v>381</v>
      </c>
      <c r="AT838" s="115" t="s">
        <v>1415</v>
      </c>
      <c r="AU838" s="115" t="s">
        <v>2114</v>
      </c>
      <c r="AV838" s="115">
        <v>0</v>
      </c>
      <c r="AW838" s="115" t="s">
        <v>499</v>
      </c>
      <c r="AX838" s="115" t="s">
        <v>28</v>
      </c>
      <c r="AY838" s="115" t="s">
        <v>1849</v>
      </c>
      <c r="AZ838" s="115" t="s">
        <v>1918</v>
      </c>
      <c r="BA838" s="115"/>
      <c r="BB838" s="115"/>
      <c r="BC838" s="115">
        <v>137.13374999999999</v>
      </c>
      <c r="BD838" s="115"/>
      <c r="BE838" s="115"/>
      <c r="BF838" s="115"/>
      <c r="BG838" s="115"/>
      <c r="BH838" s="115">
        <v>1006.4195424000001</v>
      </c>
      <c r="BI838" s="115">
        <v>284.26335</v>
      </c>
      <c r="BJ838" s="115">
        <v>10.203187499999999</v>
      </c>
      <c r="BK838" s="115">
        <v>158.78124</v>
      </c>
      <c r="BL838" s="115">
        <v>316.28789999999998</v>
      </c>
      <c r="BM838" s="115"/>
      <c r="BN838" s="115"/>
      <c r="BO838" s="115"/>
      <c r="BP838" s="115"/>
      <c r="DR838" s="214"/>
      <c r="DY838" s="115"/>
      <c r="DZ838" s="334"/>
      <c r="EA838" s="334"/>
      <c r="EB838" s="334"/>
      <c r="EC838" s="334"/>
      <c r="ED838" s="187"/>
      <c r="EE838" s="330"/>
      <c r="EH838" s="334"/>
      <c r="EI838" s="334"/>
      <c r="EM838"/>
      <c r="EO838" s="115"/>
      <c r="EP838" s="334"/>
      <c r="EQ838" s="334"/>
      <c r="ER838" s="334"/>
      <c r="ES838" s="334"/>
      <c r="ET838" s="334"/>
      <c r="EU838" s="334"/>
      <c r="EV838" s="334"/>
    </row>
    <row r="839" spans="35:152" ht="13">
      <c r="AI839" s="115" t="s">
        <v>1416</v>
      </c>
      <c r="AJ839" t="s">
        <v>2114</v>
      </c>
      <c r="AK839" s="115">
        <v>0</v>
      </c>
      <c r="AL839" s="115" t="s">
        <v>28</v>
      </c>
      <c r="AM839" s="115" t="s">
        <v>1832</v>
      </c>
      <c r="AN839" s="115" t="s">
        <v>1457</v>
      </c>
      <c r="AO839" s="115" t="s">
        <v>381</v>
      </c>
      <c r="AT839" s="115" t="s">
        <v>1415</v>
      </c>
      <c r="AU839" s="115" t="s">
        <v>2114</v>
      </c>
      <c r="AV839" s="115">
        <v>0</v>
      </c>
      <c r="AW839" s="115" t="s">
        <v>499</v>
      </c>
      <c r="AX839" s="115" t="s">
        <v>28</v>
      </c>
      <c r="AY839" s="115" t="s">
        <v>1850</v>
      </c>
      <c r="AZ839" s="115" t="s">
        <v>1918</v>
      </c>
      <c r="BA839" s="115"/>
      <c r="BB839" s="115"/>
      <c r="BC839" s="115">
        <v>411.40125</v>
      </c>
      <c r="BD839" s="115"/>
      <c r="BE839" s="115"/>
      <c r="BF839" s="115">
        <v>35.465624999999996</v>
      </c>
      <c r="BG839" s="115"/>
      <c r="BH839" s="115">
        <v>111.82439360000001</v>
      </c>
      <c r="BI839" s="115">
        <v>94.754450000000006</v>
      </c>
      <c r="BJ839" s="115">
        <v>91.828687500000001</v>
      </c>
      <c r="BK839" s="115">
        <v>17.64236</v>
      </c>
      <c r="BL839" s="115">
        <v>35.143099999999997</v>
      </c>
      <c r="BM839" s="115"/>
      <c r="BN839" s="115"/>
      <c r="BO839" s="115"/>
      <c r="BP839" s="115"/>
      <c r="DR839" s="214"/>
      <c r="DY839" s="115"/>
      <c r="DZ839" s="334"/>
      <c r="EA839" s="334"/>
      <c r="EB839" s="334"/>
      <c r="EC839" s="334"/>
      <c r="ED839" s="187"/>
      <c r="EE839" s="330"/>
      <c r="EH839" s="334"/>
      <c r="EI839" s="334"/>
      <c r="EM839"/>
      <c r="EO839" s="115"/>
      <c r="EP839" s="334"/>
      <c r="EQ839" s="334"/>
      <c r="ER839" s="334"/>
      <c r="ES839" s="334"/>
      <c r="ET839" s="334"/>
      <c r="EU839" s="334"/>
      <c r="EV839" s="334"/>
    </row>
    <row r="840" spans="35:152" ht="13">
      <c r="AI840" s="115" t="s">
        <v>1416</v>
      </c>
      <c r="AJ840" t="s">
        <v>2114</v>
      </c>
      <c r="AK840" s="115">
        <v>0</v>
      </c>
      <c r="AL840" s="115" t="s">
        <v>28</v>
      </c>
      <c r="AM840" s="115" t="s">
        <v>1850</v>
      </c>
      <c r="AN840" s="115" t="s">
        <v>1457</v>
      </c>
      <c r="AO840" s="115" t="s">
        <v>381</v>
      </c>
      <c r="AT840" s="115" t="s">
        <v>1415</v>
      </c>
      <c r="AU840" s="115" t="s">
        <v>2114</v>
      </c>
      <c r="AV840" s="115">
        <v>0</v>
      </c>
      <c r="AW840" s="115" t="s">
        <v>499</v>
      </c>
      <c r="AX840" s="115" t="s">
        <v>28</v>
      </c>
      <c r="AY840" s="115" t="s">
        <v>1832</v>
      </c>
      <c r="AZ840" s="115" t="s">
        <v>1918</v>
      </c>
      <c r="BA840" s="115"/>
      <c r="BB840" s="115"/>
      <c r="BC840" s="115">
        <v>565.5</v>
      </c>
      <c r="BD840" s="115"/>
      <c r="BE840" s="115"/>
      <c r="BF840" s="115">
        <v>36.5625</v>
      </c>
      <c r="BG840" s="115"/>
      <c r="BH840" s="115">
        <v>1152.8288</v>
      </c>
      <c r="BI840" s="115">
        <v>390.74</v>
      </c>
      <c r="BJ840" s="115">
        <v>105.1875</v>
      </c>
      <c r="BK840" s="115">
        <v>181.88</v>
      </c>
      <c r="BL840" s="115">
        <v>362.3</v>
      </c>
      <c r="BM840" s="115"/>
      <c r="BN840" s="115"/>
      <c r="BO840" s="115"/>
      <c r="BP840" s="115"/>
      <c r="DR840" s="214"/>
      <c r="DY840" s="115"/>
      <c r="DZ840" s="334"/>
      <c r="EA840" s="334"/>
      <c r="EB840" s="334"/>
      <c r="EC840" s="334"/>
      <c r="ED840" s="187"/>
      <c r="EE840" s="330"/>
      <c r="EH840" s="334"/>
      <c r="EI840" s="334"/>
      <c r="EM840"/>
      <c r="EO840" s="115"/>
      <c r="EP840" s="334"/>
      <c r="EQ840" s="334"/>
      <c r="ER840" s="334"/>
      <c r="ES840" s="334"/>
      <c r="ET840" s="334"/>
      <c r="EU840" s="334"/>
      <c r="EV840" s="334"/>
    </row>
    <row r="841" spans="35:152" ht="13">
      <c r="AI841" s="115" t="s">
        <v>1416</v>
      </c>
      <c r="AJ841" t="s">
        <v>2114</v>
      </c>
      <c r="AK841" s="115">
        <v>0</v>
      </c>
      <c r="AL841" s="115" t="s">
        <v>28</v>
      </c>
      <c r="AM841" s="115" t="s">
        <v>1846</v>
      </c>
      <c r="AN841" s="115" t="s">
        <v>1457</v>
      </c>
      <c r="AO841" s="115" t="s">
        <v>1646</v>
      </c>
      <c r="AT841" s="115" t="s">
        <v>1415</v>
      </c>
      <c r="AU841" s="115" t="s">
        <v>2114</v>
      </c>
      <c r="AV841" s="115">
        <v>0</v>
      </c>
      <c r="AW841" s="115" t="s">
        <v>499</v>
      </c>
      <c r="AX841" s="115" t="s">
        <v>28</v>
      </c>
      <c r="AY841" s="115" t="s">
        <v>1846</v>
      </c>
      <c r="AZ841" s="115" t="s">
        <v>1919</v>
      </c>
      <c r="BA841" s="115"/>
      <c r="BB841" s="115"/>
      <c r="BC841" s="115">
        <v>2057.0353742500001</v>
      </c>
      <c r="BD841" s="115"/>
      <c r="BE841" s="115"/>
      <c r="BF841" s="115"/>
      <c r="BG841" s="115"/>
      <c r="BH841" s="115">
        <v>47564.96897047681</v>
      </c>
      <c r="BI841" s="115">
        <v>6783.3779913900016</v>
      </c>
      <c r="BJ841" s="115">
        <v>639.46485251999991</v>
      </c>
      <c r="BK841" s="115">
        <v>3622.7800906289999</v>
      </c>
      <c r="BL841" s="115">
        <v>5929.4652284700005</v>
      </c>
      <c r="BM841" s="115">
        <v>21345.420000000002</v>
      </c>
      <c r="BN841" s="115">
        <v>10579.78</v>
      </c>
      <c r="BO841" s="115">
        <v>10169.42</v>
      </c>
      <c r="BP841" s="115"/>
      <c r="DR841" s="214"/>
      <c r="DY841" s="115"/>
      <c r="DZ841" s="334"/>
      <c r="EA841" s="334"/>
      <c r="EB841" s="334"/>
      <c r="EC841" s="334"/>
      <c r="ED841" s="187"/>
      <c r="EE841" s="330"/>
      <c r="EH841" s="334"/>
      <c r="EI841" s="334"/>
      <c r="EM841"/>
      <c r="EO841" s="115"/>
      <c r="EP841" s="334"/>
      <c r="EQ841" s="334"/>
      <c r="ER841" s="334"/>
      <c r="ES841" s="334"/>
      <c r="ET841" s="334"/>
      <c r="EU841" s="334"/>
      <c r="EV841" s="334"/>
    </row>
    <row r="842" spans="35:152" ht="13">
      <c r="AI842" s="115" t="s">
        <v>1416</v>
      </c>
      <c r="AJ842" t="s">
        <v>2114</v>
      </c>
      <c r="AK842" s="115">
        <v>0</v>
      </c>
      <c r="AL842" s="115" t="s">
        <v>28</v>
      </c>
      <c r="AM842" s="115" t="s">
        <v>1843</v>
      </c>
      <c r="AN842" s="115" t="s">
        <v>1457</v>
      </c>
      <c r="AO842" s="115" t="s">
        <v>1646</v>
      </c>
      <c r="AT842" s="115" t="s">
        <v>1415</v>
      </c>
      <c r="AU842" s="115" t="s">
        <v>2114</v>
      </c>
      <c r="AV842" s="115">
        <v>0</v>
      </c>
      <c r="AW842" s="115" t="s">
        <v>499</v>
      </c>
      <c r="AX842" s="115" t="s">
        <v>28</v>
      </c>
      <c r="AY842" s="115" t="s">
        <v>1848</v>
      </c>
      <c r="AZ842" s="115" t="s">
        <v>1919</v>
      </c>
      <c r="BA842" s="115"/>
      <c r="BB842" s="115"/>
      <c r="BC842" s="115">
        <v>12130.637239874999</v>
      </c>
      <c r="BD842" s="115"/>
      <c r="BE842" s="115"/>
      <c r="BF842" s="115">
        <v>1225.7199178124999</v>
      </c>
      <c r="BG842" s="115"/>
      <c r="BH842" s="115">
        <v>3130.8733273484804</v>
      </c>
      <c r="BI842" s="115">
        <v>2492.0269951500004</v>
      </c>
      <c r="BJ842" s="115">
        <v>3212.0841750862501</v>
      </c>
      <c r="BK842" s="115">
        <v>565.89175290899993</v>
      </c>
      <c r="BL842" s="115">
        <v>926.20456887</v>
      </c>
      <c r="BM842" s="115"/>
      <c r="BN842" s="115"/>
      <c r="BO842" s="115"/>
      <c r="BP842" s="115"/>
      <c r="DR842" s="214"/>
      <c r="DY842" s="115"/>
      <c r="DZ842" s="334"/>
      <c r="EA842" s="334"/>
      <c r="EB842" s="334"/>
      <c r="EC842" s="334"/>
      <c r="ED842" s="187"/>
      <c r="EE842" s="330"/>
      <c r="EH842" s="334"/>
      <c r="EI842" s="334"/>
      <c r="EM842"/>
      <c r="EO842" s="115"/>
      <c r="EP842" s="334"/>
      <c r="EQ842" s="334"/>
      <c r="ER842" s="334"/>
      <c r="ES842" s="334"/>
      <c r="ET842" s="334"/>
      <c r="EU842" s="334"/>
      <c r="EV842" s="334"/>
    </row>
    <row r="843" spans="35:152" ht="13">
      <c r="AI843" s="115" t="s">
        <v>1416</v>
      </c>
      <c r="AJ843" t="s">
        <v>2114</v>
      </c>
      <c r="AK843" s="115">
        <v>0</v>
      </c>
      <c r="AL843" s="115" t="s">
        <v>28</v>
      </c>
      <c r="AM843" s="115" t="s">
        <v>1832</v>
      </c>
      <c r="AN843" s="115" t="s">
        <v>1420</v>
      </c>
      <c r="AO843" s="115" t="s">
        <v>1643</v>
      </c>
      <c r="AT843" s="115" t="s">
        <v>1415</v>
      </c>
      <c r="AU843" s="115" t="s">
        <v>2114</v>
      </c>
      <c r="AV843" s="115">
        <v>0</v>
      </c>
      <c r="AW843" s="115" t="s">
        <v>499</v>
      </c>
      <c r="AX843" s="115" t="s">
        <v>28</v>
      </c>
      <c r="AY843" s="115" t="s">
        <v>1843</v>
      </c>
      <c r="AZ843" s="115" t="s">
        <v>1919</v>
      </c>
      <c r="BA843" s="115"/>
      <c r="BB843" s="115"/>
      <c r="BC843" s="115">
        <v>14061.252164948453</v>
      </c>
      <c r="BD843" s="115"/>
      <c r="BE843" s="115"/>
      <c r="BF843" s="115">
        <v>1216.2742268041238</v>
      </c>
      <c r="BG843" s="115"/>
      <c r="BH843" s="115">
        <v>48155.211083505157</v>
      </c>
      <c r="BI843" s="115">
        <v>8120.9301030927836</v>
      </c>
      <c r="BJ843" s="115">
        <v>3816.5562886597941</v>
      </c>
      <c r="BK843" s="115">
        <v>4126.3061855670103</v>
      </c>
      <c r="BL843" s="115">
        <v>6069.3763917525775</v>
      </c>
      <c r="BM843" s="115">
        <v>21345.420000000002</v>
      </c>
      <c r="BN843" s="115">
        <v>10579.78</v>
      </c>
      <c r="BO843" s="115">
        <v>10169.42</v>
      </c>
      <c r="BP843" s="115"/>
      <c r="DR843" s="214"/>
      <c r="DY843" s="115"/>
      <c r="DZ843" s="334"/>
      <c r="EA843" s="334"/>
      <c r="EB843" s="334"/>
      <c r="EC843" s="334"/>
      <c r="ED843" s="187"/>
      <c r="EE843" s="330"/>
      <c r="EH843" s="334"/>
      <c r="EI843" s="334"/>
      <c r="EM843"/>
      <c r="EO843" s="115"/>
      <c r="EP843" s="334"/>
      <c r="EQ843" s="334"/>
      <c r="ER843" s="334"/>
      <c r="ES843" s="334"/>
      <c r="ET843" s="334"/>
      <c r="EU843" s="334"/>
      <c r="EV843" s="334"/>
    </row>
    <row r="844" spans="35:152" ht="13">
      <c r="AI844" s="115" t="s">
        <v>1416</v>
      </c>
      <c r="AJ844" t="s">
        <v>2114</v>
      </c>
      <c r="AK844" s="115">
        <v>0</v>
      </c>
      <c r="AL844" s="115" t="s">
        <v>28</v>
      </c>
      <c r="AM844" s="115" t="s">
        <v>1846</v>
      </c>
      <c r="AN844" s="115" t="s">
        <v>1420</v>
      </c>
      <c r="AO844" s="115" t="s">
        <v>1643</v>
      </c>
      <c r="AT844" s="115" t="s">
        <v>1415</v>
      </c>
      <c r="AU844" s="115" t="s">
        <v>2114</v>
      </c>
      <c r="AV844" s="115">
        <v>0</v>
      </c>
      <c r="AW844" s="115" t="s">
        <v>499</v>
      </c>
      <c r="AX844" s="115" t="s">
        <v>28</v>
      </c>
      <c r="AY844" s="115" t="s">
        <v>1849</v>
      </c>
      <c r="AZ844" s="115" t="s">
        <v>1919</v>
      </c>
      <c r="BA844" s="115"/>
      <c r="BB844" s="115"/>
      <c r="BC844" s="115">
        <v>91.058750000000003</v>
      </c>
      <c r="BD844" s="115"/>
      <c r="BE844" s="115"/>
      <c r="BF844" s="115"/>
      <c r="BG844" s="115"/>
      <c r="BH844" s="115">
        <v>647.2966752000001</v>
      </c>
      <c r="BI844" s="115">
        <v>194.94090000000006</v>
      </c>
      <c r="BJ844" s="115">
        <v>7.977037499999998</v>
      </c>
      <c r="BK844" s="115">
        <v>125.82548999999999</v>
      </c>
      <c r="BL844" s="115">
        <v>205.94070000000002</v>
      </c>
      <c r="BM844" s="115"/>
      <c r="BN844" s="115"/>
      <c r="BO844" s="115"/>
      <c r="BP844" s="115"/>
      <c r="DR844" s="214"/>
      <c r="DY844" s="115"/>
      <c r="DZ844" s="334"/>
      <c r="EA844" s="334"/>
      <c r="EB844" s="334"/>
      <c r="EC844" s="334"/>
      <c r="ED844" s="187"/>
      <c r="EE844" s="330"/>
      <c r="EH844" s="334"/>
      <c r="EI844" s="334"/>
      <c r="EM844"/>
      <c r="EO844" s="115"/>
      <c r="EP844" s="334"/>
      <c r="EQ844" s="334"/>
      <c r="ER844" s="334"/>
      <c r="ES844" s="334"/>
      <c r="ET844" s="334"/>
      <c r="EU844" s="334"/>
      <c r="EV844" s="334"/>
    </row>
    <row r="845" spans="35:152" ht="13">
      <c r="AI845" s="115" t="s">
        <v>1416</v>
      </c>
      <c r="AJ845" t="s">
        <v>2114</v>
      </c>
      <c r="AK845" s="115">
        <v>0</v>
      </c>
      <c r="AL845" s="115" t="s">
        <v>28</v>
      </c>
      <c r="AM845" s="115" t="s">
        <v>1848</v>
      </c>
      <c r="AN845" s="115" t="s">
        <v>1420</v>
      </c>
      <c r="AO845" s="115" t="s">
        <v>1643</v>
      </c>
      <c r="AT845" s="115" t="s">
        <v>1415</v>
      </c>
      <c r="AU845" s="115" t="s">
        <v>2114</v>
      </c>
      <c r="AV845" s="115">
        <v>0</v>
      </c>
      <c r="AW845" s="115" t="s">
        <v>499</v>
      </c>
      <c r="AX845" s="115" t="s">
        <v>28</v>
      </c>
      <c r="AY845" s="115" t="s">
        <v>1850</v>
      </c>
      <c r="AZ845" s="115" t="s">
        <v>1919</v>
      </c>
      <c r="BA845" s="115"/>
      <c r="BB845" s="115"/>
      <c r="BC845" s="115">
        <v>273.17624999999998</v>
      </c>
      <c r="BD845" s="115"/>
      <c r="BE845" s="115"/>
      <c r="BF845" s="115">
        <v>26.371874999999999</v>
      </c>
      <c r="BG845" s="115"/>
      <c r="BH845" s="115">
        <v>71.921852800000011</v>
      </c>
      <c r="BI845" s="115">
        <v>64.980300000000014</v>
      </c>
      <c r="BJ845" s="115">
        <v>71.793337500000007</v>
      </c>
      <c r="BK845" s="115">
        <v>13.980609999999999</v>
      </c>
      <c r="BL845" s="115">
        <v>22.882300000000001</v>
      </c>
      <c r="BM845" s="115"/>
      <c r="BN845" s="115"/>
      <c r="BO845" s="115"/>
      <c r="BP845" s="115"/>
      <c r="DR845" s="214"/>
      <c r="DY845" s="115"/>
      <c r="DZ845" s="334"/>
      <c r="EA845" s="334"/>
      <c r="EB845" s="334"/>
      <c r="EC845" s="334"/>
      <c r="ED845" s="187"/>
      <c r="EE845" s="330"/>
      <c r="EH845" s="334"/>
      <c r="EI845" s="334"/>
      <c r="EM845"/>
      <c r="EO845" s="115"/>
      <c r="EP845" s="334"/>
      <c r="EQ845" s="334"/>
      <c r="ER845" s="334"/>
      <c r="ES845" s="334"/>
      <c r="ET845" s="334"/>
      <c r="EU845" s="334"/>
      <c r="EV845" s="334"/>
    </row>
    <row r="846" spans="35:152" ht="13">
      <c r="AI846" s="115" t="s">
        <v>1416</v>
      </c>
      <c r="AJ846" t="s">
        <v>2114</v>
      </c>
      <c r="AK846" s="115">
        <v>0</v>
      </c>
      <c r="AL846" s="115" t="s">
        <v>28</v>
      </c>
      <c r="AM846" s="115" t="s">
        <v>1843</v>
      </c>
      <c r="AN846" s="115" t="s">
        <v>1420</v>
      </c>
      <c r="AO846" s="115" t="s">
        <v>1643</v>
      </c>
      <c r="AT846" s="115" t="s">
        <v>1415</v>
      </c>
      <c r="AU846" s="115" t="s">
        <v>2114</v>
      </c>
      <c r="AV846" s="115">
        <v>0</v>
      </c>
      <c r="AW846" s="115" t="s">
        <v>499</v>
      </c>
      <c r="AX846" s="115" t="s">
        <v>28</v>
      </c>
      <c r="AY846" s="115" t="s">
        <v>1832</v>
      </c>
      <c r="AZ846" s="115" t="s">
        <v>1919</v>
      </c>
      <c r="BA846" s="115"/>
      <c r="BB846" s="115"/>
      <c r="BC846" s="115">
        <v>375.5</v>
      </c>
      <c r="BD846" s="115"/>
      <c r="BE846" s="115"/>
      <c r="BF846" s="115">
        <v>27.1875</v>
      </c>
      <c r="BG846" s="115"/>
      <c r="BH846" s="115">
        <v>741.46240000000012</v>
      </c>
      <c r="BI846" s="115">
        <v>267.96000000000009</v>
      </c>
      <c r="BJ846" s="115">
        <v>82.237499999999997</v>
      </c>
      <c r="BK846" s="115">
        <v>144.13</v>
      </c>
      <c r="BL846" s="115">
        <v>235.9</v>
      </c>
      <c r="BM846" s="115"/>
      <c r="BN846" s="115"/>
      <c r="BO846" s="115"/>
      <c r="BP846" s="115"/>
      <c r="DR846" s="214"/>
      <c r="DY846" s="115"/>
      <c r="DZ846" s="334"/>
      <c r="EA846" s="334"/>
      <c r="EB846" s="334"/>
      <c r="EC846" s="334"/>
      <c r="ED846" s="187"/>
      <c r="EE846" s="330"/>
      <c r="EH846" s="334"/>
      <c r="EI846" s="334"/>
      <c r="EM846"/>
      <c r="EO846" s="115"/>
      <c r="EP846" s="334"/>
      <c r="EQ846" s="334"/>
      <c r="ER846" s="334"/>
      <c r="ES846" s="334"/>
      <c r="ET846" s="334"/>
      <c r="EU846" s="334"/>
      <c r="EV846" s="334"/>
    </row>
    <row r="847" spans="35:152" ht="13">
      <c r="AI847" s="115" t="s">
        <v>1416</v>
      </c>
      <c r="AJ847" t="s">
        <v>2114</v>
      </c>
      <c r="AK847" s="115">
        <v>0</v>
      </c>
      <c r="AL847" s="115" t="s">
        <v>28</v>
      </c>
      <c r="AM847" s="115" t="s">
        <v>1849</v>
      </c>
      <c r="AN847" s="115" t="s">
        <v>1420</v>
      </c>
      <c r="AO847" s="115" t="s">
        <v>1643</v>
      </c>
      <c r="AT847" s="115" t="s">
        <v>1415</v>
      </c>
      <c r="AU847" s="115" t="s">
        <v>2114</v>
      </c>
      <c r="AV847" s="115">
        <v>0</v>
      </c>
      <c r="AW847" s="115" t="s">
        <v>499</v>
      </c>
      <c r="AX847" s="115" t="s">
        <v>28</v>
      </c>
      <c r="AY847" s="115" t="s">
        <v>1846</v>
      </c>
      <c r="AZ847" s="115" t="s">
        <v>1920</v>
      </c>
      <c r="BA847" s="115"/>
      <c r="BB847" s="115"/>
      <c r="BC847" s="115">
        <v>512.20454724999991</v>
      </c>
      <c r="BD847" s="115"/>
      <c r="BE847" s="115"/>
      <c r="BF847" s="115"/>
      <c r="BG847" s="115"/>
      <c r="BH847" s="115">
        <v>15158.5917029056</v>
      </c>
      <c r="BI847" s="115">
        <v>1659.6442047900002</v>
      </c>
      <c r="BJ847" s="115">
        <v>198.28367519999998</v>
      </c>
      <c r="BK847" s="115">
        <v>715.85913398399998</v>
      </c>
      <c r="BL847" s="115">
        <v>1307.0461716</v>
      </c>
      <c r="BM847" s="115">
        <v>1122</v>
      </c>
      <c r="BN847" s="115">
        <v>3284.48</v>
      </c>
      <c r="BO847" s="115">
        <v>4033.36</v>
      </c>
      <c r="BP847" s="115"/>
      <c r="DR847" s="214"/>
      <c r="DY847" s="115"/>
      <c r="DZ847" s="334"/>
      <c r="EA847" s="334"/>
      <c r="EB847" s="334"/>
      <c r="EC847" s="334"/>
      <c r="ED847" s="187"/>
      <c r="EE847" s="330"/>
      <c r="EH847" s="334"/>
      <c r="EI847" s="334"/>
      <c r="EM847"/>
      <c r="EO847" s="115"/>
      <c r="EP847" s="334"/>
      <c r="EQ847" s="334"/>
      <c r="ER847" s="334"/>
      <c r="ES847" s="334"/>
      <c r="ET847" s="334"/>
      <c r="EU847" s="334"/>
      <c r="EV847" s="334"/>
    </row>
    <row r="848" spans="35:152" ht="13">
      <c r="AI848" s="115" t="s">
        <v>1416</v>
      </c>
      <c r="AJ848" t="s">
        <v>2114</v>
      </c>
      <c r="AK848" s="115">
        <v>0</v>
      </c>
      <c r="AL848" s="115" t="s">
        <v>28</v>
      </c>
      <c r="AM848" s="115" t="s">
        <v>1850</v>
      </c>
      <c r="AN848" s="115" t="s">
        <v>1420</v>
      </c>
      <c r="AO848" s="115" t="s">
        <v>1643</v>
      </c>
      <c r="AT848" s="115" t="s">
        <v>1415</v>
      </c>
      <c r="AU848" s="115" t="s">
        <v>2114</v>
      </c>
      <c r="AV848" s="115">
        <v>0</v>
      </c>
      <c r="AW848" s="115" t="s">
        <v>499</v>
      </c>
      <c r="AX848" s="115" t="s">
        <v>28</v>
      </c>
      <c r="AY848" s="115" t="s">
        <v>1848</v>
      </c>
      <c r="AZ848" s="115" t="s">
        <v>1920</v>
      </c>
      <c r="BA848" s="115"/>
      <c r="BB848" s="115"/>
      <c r="BC848" s="115">
        <v>3020.5448253750001</v>
      </c>
      <c r="BD848" s="115"/>
      <c r="BE848" s="115"/>
      <c r="BF848" s="115">
        <v>450.83950999999996</v>
      </c>
      <c r="BG848" s="115"/>
      <c r="BH848" s="115">
        <v>1039.85228420416</v>
      </c>
      <c r="BI848" s="115">
        <v>609.70775415000003</v>
      </c>
      <c r="BJ848" s="115">
        <v>995.99509305000004</v>
      </c>
      <c r="BK848" s="115">
        <v>111.81986486400001</v>
      </c>
      <c r="BL848" s="115">
        <v>204.16548360000002</v>
      </c>
      <c r="BM848" s="115"/>
      <c r="BN848" s="115"/>
      <c r="BO848" s="115"/>
      <c r="BP848" s="115"/>
      <c r="DR848" s="214"/>
      <c r="DY848" s="115"/>
      <c r="DZ848" s="334"/>
      <c r="EA848" s="334"/>
      <c r="EB848" s="334"/>
      <c r="EC848" s="334"/>
      <c r="ED848" s="187"/>
      <c r="EE848" s="330"/>
      <c r="EH848" s="334"/>
      <c r="EI848" s="334"/>
      <c r="EM848"/>
      <c r="EO848" s="115"/>
      <c r="EP848" s="334"/>
      <c r="EQ848" s="334"/>
      <c r="ER848" s="334"/>
      <c r="ES848" s="334"/>
      <c r="ET848" s="334"/>
      <c r="EU848" s="334"/>
      <c r="EV848" s="334"/>
    </row>
    <row r="849" spans="35:152" ht="13">
      <c r="AI849" s="115" t="s">
        <v>1416</v>
      </c>
      <c r="AJ849" t="s">
        <v>2114</v>
      </c>
      <c r="AK849" s="115">
        <v>0</v>
      </c>
      <c r="AL849" s="115" t="s">
        <v>28</v>
      </c>
      <c r="AM849" s="115" t="s">
        <v>1832</v>
      </c>
      <c r="AN849" s="115" t="s">
        <v>1284</v>
      </c>
      <c r="AO849" s="115" t="s">
        <v>379</v>
      </c>
      <c r="AT849" s="115" t="s">
        <v>1415</v>
      </c>
      <c r="AU849" s="115" t="s">
        <v>2114</v>
      </c>
      <c r="AV849" s="115">
        <v>0</v>
      </c>
      <c r="AW849" s="115" t="s">
        <v>499</v>
      </c>
      <c r="AX849" s="115" t="s">
        <v>28</v>
      </c>
      <c r="AY849" s="115" t="s">
        <v>1843</v>
      </c>
      <c r="AZ849" s="115" t="s">
        <v>1920</v>
      </c>
      <c r="BA849" s="115"/>
      <c r="BB849" s="115"/>
      <c r="BC849" s="115">
        <v>3501.2705154639175</v>
      </c>
      <c r="BD849" s="115"/>
      <c r="BE849" s="115"/>
      <c r="BF849" s="115">
        <v>447.36525773195876</v>
      </c>
      <c r="BG849" s="115"/>
      <c r="BH849" s="115">
        <v>15354.627882474228</v>
      </c>
      <c r="BI849" s="115">
        <v>1986.8942268041237</v>
      </c>
      <c r="BJ849" s="115">
        <v>1183.428350515464</v>
      </c>
      <c r="BK849" s="115">
        <v>815.3555670103093</v>
      </c>
      <c r="BL849" s="115">
        <v>1337.8871134020619</v>
      </c>
      <c r="BM849" s="115">
        <v>1122</v>
      </c>
      <c r="BN849" s="115">
        <v>3284.48</v>
      </c>
      <c r="BO849" s="115">
        <v>4033.36</v>
      </c>
      <c r="BP849" s="115"/>
      <c r="DR849" s="214"/>
      <c r="DY849" s="115"/>
      <c r="DZ849" s="334"/>
      <c r="EA849" s="334"/>
      <c r="EB849" s="334"/>
      <c r="EC849" s="334"/>
      <c r="ED849" s="187"/>
      <c r="EE849" s="330"/>
      <c r="EH849" s="334"/>
      <c r="EI849" s="334"/>
      <c r="EM849"/>
      <c r="EO849" s="115"/>
      <c r="EP849" s="334"/>
      <c r="EQ849" s="334"/>
      <c r="ER849" s="334"/>
      <c r="ES849" s="334"/>
      <c r="ET849" s="334"/>
      <c r="EU849" s="334"/>
      <c r="EV849" s="334"/>
    </row>
    <row r="850" spans="35:152" ht="13">
      <c r="AI850" s="115" t="s">
        <v>1416</v>
      </c>
      <c r="AJ850" t="s">
        <v>2114</v>
      </c>
      <c r="AK850" s="115">
        <v>0</v>
      </c>
      <c r="AL850" s="115" t="s">
        <v>28</v>
      </c>
      <c r="AM850" s="115" t="s">
        <v>1849</v>
      </c>
      <c r="AN850" s="115" t="s">
        <v>1284</v>
      </c>
      <c r="AO850" s="115" t="s">
        <v>379</v>
      </c>
      <c r="AT850" s="115" t="s">
        <v>1415</v>
      </c>
      <c r="AU850" s="115" t="s">
        <v>2114</v>
      </c>
      <c r="AV850" s="115">
        <v>0</v>
      </c>
      <c r="AW850" s="115" t="s">
        <v>499</v>
      </c>
      <c r="AX850" s="115" t="s">
        <v>28</v>
      </c>
      <c r="AY850" s="115" t="s">
        <v>1849</v>
      </c>
      <c r="AZ850" s="115" t="s">
        <v>1920</v>
      </c>
      <c r="BA850" s="115"/>
      <c r="BB850" s="115"/>
      <c r="BC850" s="115">
        <v>22.673749999999998</v>
      </c>
      <c r="BD850" s="115"/>
      <c r="BE850" s="115"/>
      <c r="BF850" s="115"/>
      <c r="BG850" s="115"/>
      <c r="BH850" s="115">
        <v>214.98567840000001</v>
      </c>
      <c r="BI850" s="115">
        <v>47.694900000000004</v>
      </c>
      <c r="BJ850" s="115">
        <v>2.4734999999999996</v>
      </c>
      <c r="BK850" s="115">
        <v>24.863039999999998</v>
      </c>
      <c r="BL850" s="115">
        <v>45.396000000000001</v>
      </c>
      <c r="BM850" s="115"/>
      <c r="BN850" s="115"/>
      <c r="BO850" s="115"/>
      <c r="BP850" s="115"/>
      <c r="DR850" s="214"/>
      <c r="DY850" s="115"/>
      <c r="DZ850" s="334"/>
      <c r="EA850" s="334"/>
      <c r="EB850" s="334"/>
      <c r="EC850" s="334"/>
      <c r="ED850" s="187"/>
      <c r="EE850" s="330"/>
      <c r="EH850" s="334"/>
      <c r="EI850" s="334"/>
      <c r="EM850"/>
      <c r="EO850" s="115"/>
      <c r="EP850" s="334"/>
      <c r="EQ850" s="334"/>
      <c r="ER850" s="334"/>
      <c r="ES850" s="334"/>
      <c r="ET850" s="334"/>
      <c r="EU850" s="334"/>
      <c r="EV850" s="334"/>
    </row>
    <row r="851" spans="35:152" ht="13">
      <c r="AI851" s="115" t="s">
        <v>1416</v>
      </c>
      <c r="AJ851" t="s">
        <v>2114</v>
      </c>
      <c r="AK851" s="115">
        <v>0</v>
      </c>
      <c r="AL851" s="115" t="s">
        <v>28</v>
      </c>
      <c r="AM851" s="115" t="s">
        <v>1846</v>
      </c>
      <c r="AN851" s="115" t="s">
        <v>1284</v>
      </c>
      <c r="AO851" s="115" t="s">
        <v>379</v>
      </c>
      <c r="AT851" s="115" t="s">
        <v>1415</v>
      </c>
      <c r="AU851" s="115" t="s">
        <v>2114</v>
      </c>
      <c r="AV851" s="115">
        <v>0</v>
      </c>
      <c r="AW851" s="115" t="s">
        <v>499</v>
      </c>
      <c r="AX851" s="115" t="s">
        <v>28</v>
      </c>
      <c r="AY851" s="115" t="s">
        <v>1850</v>
      </c>
      <c r="AZ851" s="115" t="s">
        <v>1920</v>
      </c>
      <c r="BA851" s="115"/>
      <c r="BB851" s="115"/>
      <c r="BC851" s="115">
        <v>68.021249999999995</v>
      </c>
      <c r="BD851" s="115"/>
      <c r="BE851" s="115"/>
      <c r="BF851" s="115">
        <v>9.6999999999999993</v>
      </c>
      <c r="BG851" s="115"/>
      <c r="BH851" s="115">
        <v>23.8872976</v>
      </c>
      <c r="BI851" s="115">
        <v>15.898300000000001</v>
      </c>
      <c r="BJ851" s="115">
        <v>22.261500000000002</v>
      </c>
      <c r="BK851" s="115">
        <v>2.7625600000000001</v>
      </c>
      <c r="BL851" s="115">
        <v>5.0440000000000005</v>
      </c>
      <c r="BM851" s="115"/>
      <c r="BN851" s="115"/>
      <c r="BO851" s="115"/>
      <c r="BP851" s="115"/>
      <c r="DR851" s="214"/>
      <c r="DY851" s="115"/>
      <c r="DZ851" s="334"/>
      <c r="EA851" s="334"/>
      <c r="EB851" s="334"/>
      <c r="EC851" s="334"/>
      <c r="ED851" s="187"/>
      <c r="EE851" s="330"/>
      <c r="EH851" s="334"/>
      <c r="EI851" s="334"/>
      <c r="EM851"/>
      <c r="EO851" s="115"/>
      <c r="EP851" s="334"/>
      <c r="EQ851" s="334"/>
      <c r="ER851" s="334"/>
      <c r="ES851" s="334"/>
      <c r="ET851" s="334"/>
      <c r="EU851" s="334"/>
      <c r="EV851" s="334"/>
    </row>
    <row r="852" spans="35:152" ht="13">
      <c r="AI852" s="115" t="s">
        <v>1416</v>
      </c>
      <c r="AJ852" t="s">
        <v>2114</v>
      </c>
      <c r="AK852" s="115">
        <v>0</v>
      </c>
      <c r="AL852" s="115" t="s">
        <v>28</v>
      </c>
      <c r="AM852" s="115" t="s">
        <v>1850</v>
      </c>
      <c r="AN852" s="115" t="s">
        <v>1284</v>
      </c>
      <c r="AO852" s="115" t="s">
        <v>379</v>
      </c>
      <c r="AT852" s="115" t="s">
        <v>1415</v>
      </c>
      <c r="AU852" s="115" t="s">
        <v>2114</v>
      </c>
      <c r="AV852" s="115">
        <v>0</v>
      </c>
      <c r="AW852" s="115" t="s">
        <v>499</v>
      </c>
      <c r="AX852" s="115" t="s">
        <v>28</v>
      </c>
      <c r="AY852" s="115" t="s">
        <v>1832</v>
      </c>
      <c r="AZ852" s="115" t="s">
        <v>1920</v>
      </c>
      <c r="BA852" s="115"/>
      <c r="BB852" s="115"/>
      <c r="BC852" s="115">
        <v>93.5</v>
      </c>
      <c r="BD852" s="115"/>
      <c r="BE852" s="115"/>
      <c r="BF852" s="115">
        <v>10</v>
      </c>
      <c r="BG852" s="115"/>
      <c r="BH852" s="115">
        <v>246.26079999999999</v>
      </c>
      <c r="BI852" s="115">
        <v>65.56</v>
      </c>
      <c r="BJ852" s="115">
        <v>25.500000000000004</v>
      </c>
      <c r="BK852" s="115">
        <v>28.48</v>
      </c>
      <c r="BL852" s="115">
        <v>52</v>
      </c>
      <c r="BM852" s="115"/>
      <c r="BN852" s="115"/>
      <c r="BO852" s="115"/>
      <c r="BP852" s="115"/>
      <c r="DR852" s="214"/>
      <c r="DY852" s="115"/>
      <c r="DZ852" s="334"/>
      <c r="EA852" s="334"/>
      <c r="EB852" s="334"/>
      <c r="EC852" s="334"/>
      <c r="ED852" s="187"/>
      <c r="EE852" s="330"/>
      <c r="EH852" s="334"/>
      <c r="EI852" s="334"/>
      <c r="EM852"/>
      <c r="EO852" s="115"/>
      <c r="EP852" s="334"/>
      <c r="EQ852" s="334"/>
      <c r="ER852" s="334"/>
      <c r="ES852" s="334"/>
      <c r="ET852" s="334"/>
      <c r="EU852" s="334"/>
      <c r="EV852" s="334"/>
    </row>
    <row r="853" spans="35:152" ht="13">
      <c r="AI853" s="115" t="s">
        <v>1416</v>
      </c>
      <c r="AJ853" t="s">
        <v>2114</v>
      </c>
      <c r="AK853" s="115">
        <v>0</v>
      </c>
      <c r="AL853" s="115" t="s">
        <v>28</v>
      </c>
      <c r="AM853" s="115" t="s">
        <v>1843</v>
      </c>
      <c r="AN853" s="115" t="s">
        <v>1284</v>
      </c>
      <c r="AO853" s="115" t="s">
        <v>379</v>
      </c>
      <c r="AT853" s="115" t="s">
        <v>1415</v>
      </c>
      <c r="AU853" s="115" t="s">
        <v>2114</v>
      </c>
      <c r="AV853" s="115">
        <v>0</v>
      </c>
      <c r="AW853" s="115" t="s">
        <v>499</v>
      </c>
      <c r="AX853" s="115" t="s">
        <v>28</v>
      </c>
      <c r="AY853" s="115" t="s">
        <v>1846</v>
      </c>
      <c r="AZ853" s="115" t="s">
        <v>1921</v>
      </c>
      <c r="BA853" s="115"/>
      <c r="BB853" s="115"/>
      <c r="BC853" s="115">
        <v>2926.6874798750005</v>
      </c>
      <c r="BD853" s="115"/>
      <c r="BE853" s="115"/>
      <c r="BF853" s="115"/>
      <c r="BG853" s="115"/>
      <c r="BH853" s="115">
        <v>80723.244543808032</v>
      </c>
      <c r="BI853" s="115">
        <v>10651.493221589999</v>
      </c>
      <c r="BJ853" s="115">
        <v>1526.7842990399995</v>
      </c>
      <c r="BK853" s="115">
        <v>5453.9015060340007</v>
      </c>
      <c r="BL853" s="115">
        <v>9305.1633216600003</v>
      </c>
      <c r="BM853" s="115">
        <v>23252.725699999999</v>
      </c>
      <c r="BN853" s="115">
        <v>14562.12</v>
      </c>
      <c r="BO853" s="115">
        <v>13168.12</v>
      </c>
      <c r="BP853" s="115"/>
      <c r="DR853" s="214"/>
      <c r="DY853" s="115"/>
      <c r="DZ853" s="334"/>
      <c r="EA853" s="334"/>
      <c r="EB853" s="334"/>
      <c r="EC853" s="334"/>
      <c r="ED853" s="187"/>
      <c r="EE853" s="330"/>
      <c r="EH853" s="334"/>
      <c r="EI853" s="334"/>
      <c r="EM853"/>
      <c r="EO853" s="115"/>
      <c r="EP853" s="334"/>
      <c r="EQ853" s="334"/>
      <c r="ER853" s="334"/>
      <c r="ES853" s="334"/>
      <c r="ET853" s="334"/>
      <c r="EU853" s="334"/>
      <c r="EV853" s="334"/>
    </row>
    <row r="854" spans="35:152" ht="13">
      <c r="AI854" s="115" t="s">
        <v>1416</v>
      </c>
      <c r="AJ854" t="s">
        <v>2114</v>
      </c>
      <c r="AK854" s="115">
        <v>0</v>
      </c>
      <c r="AL854" s="115" t="s">
        <v>28</v>
      </c>
      <c r="AM854" s="115" t="s">
        <v>1848</v>
      </c>
      <c r="AN854" s="115" t="s">
        <v>1284</v>
      </c>
      <c r="AO854" s="115" t="s">
        <v>379</v>
      </c>
      <c r="AT854" s="115" t="s">
        <v>1415</v>
      </c>
      <c r="AU854" s="115" t="s">
        <v>2114</v>
      </c>
      <c r="AV854" s="115">
        <v>0</v>
      </c>
      <c r="AW854" s="115" t="s">
        <v>499</v>
      </c>
      <c r="AX854" s="115" t="s">
        <v>28</v>
      </c>
      <c r="AY854" s="115" t="s">
        <v>1848</v>
      </c>
      <c r="AZ854" s="115" t="s">
        <v>1921</v>
      </c>
      <c r="BA854" s="115"/>
      <c r="BB854" s="115"/>
      <c r="BC854" s="115">
        <v>17259.102384562502</v>
      </c>
      <c r="BD854" s="115"/>
      <c r="BE854" s="115"/>
      <c r="BF854" s="115">
        <v>1155.2762443749998</v>
      </c>
      <c r="BG854" s="115"/>
      <c r="BH854" s="115">
        <v>5938.3792336288025</v>
      </c>
      <c r="BI854" s="115">
        <v>3913.0664221499992</v>
      </c>
      <c r="BJ854" s="115">
        <v>7669.1622164849987</v>
      </c>
      <c r="BK854" s="115">
        <v>851.91974291400004</v>
      </c>
      <c r="BL854" s="115">
        <v>1453.5011928599999</v>
      </c>
      <c r="BM854" s="115"/>
      <c r="BN854" s="115"/>
      <c r="BO854" s="115"/>
      <c r="BP854" s="115"/>
      <c r="DR854" s="214"/>
      <c r="DY854" s="115"/>
      <c r="DZ854" s="334"/>
      <c r="EA854" s="334"/>
      <c r="EB854" s="334"/>
      <c r="EC854" s="334"/>
      <c r="ED854" s="187"/>
      <c r="EE854" s="330"/>
      <c r="EH854" s="334"/>
      <c r="EI854" s="334"/>
      <c r="EM854"/>
      <c r="EO854" s="115"/>
      <c r="EP854" s="334"/>
      <c r="EQ854" s="334"/>
      <c r="ER854" s="334"/>
      <c r="ES854" s="334"/>
      <c r="ET854" s="334"/>
      <c r="EU854" s="334"/>
      <c r="EV854" s="334"/>
    </row>
    <row r="855" spans="35:152" ht="13">
      <c r="AI855" s="115" t="s">
        <v>1416</v>
      </c>
      <c r="AJ855" t="s">
        <v>2114</v>
      </c>
      <c r="AK855" s="115">
        <v>0</v>
      </c>
      <c r="AL855" s="115" t="s">
        <v>28</v>
      </c>
      <c r="AM855" s="115" t="s">
        <v>1850</v>
      </c>
      <c r="AN855" s="115" t="s">
        <v>1284</v>
      </c>
      <c r="AO855" s="115" t="s">
        <v>1641</v>
      </c>
      <c r="AT855" s="115" t="s">
        <v>1415</v>
      </c>
      <c r="AU855" s="115" t="s">
        <v>2114</v>
      </c>
      <c r="AV855" s="115">
        <v>0</v>
      </c>
      <c r="AW855" s="115" t="s">
        <v>499</v>
      </c>
      <c r="AX855" s="115" t="s">
        <v>28</v>
      </c>
      <c r="AY855" s="115" t="s">
        <v>1843</v>
      </c>
      <c r="AZ855" s="115" t="s">
        <v>1921</v>
      </c>
      <c r="BA855" s="115"/>
      <c r="BB855" s="115"/>
      <c r="BC855" s="115">
        <v>20005.922783505157</v>
      </c>
      <c r="BD855" s="115"/>
      <c r="BE855" s="115"/>
      <c r="BF855" s="115">
        <v>1146.3734020618556</v>
      </c>
      <c r="BG855" s="115"/>
      <c r="BH855" s="115">
        <v>81842.766446391746</v>
      </c>
      <c r="BI855" s="115">
        <v>12751.76350515464</v>
      </c>
      <c r="BJ855" s="115">
        <v>9112.3979381443296</v>
      </c>
      <c r="BK855" s="115">
        <v>6211.9331958762887</v>
      </c>
      <c r="BL855" s="115">
        <v>9524.727113402063</v>
      </c>
      <c r="BM855" s="115">
        <v>23252.725699999999</v>
      </c>
      <c r="BN855" s="115">
        <v>14562.12</v>
      </c>
      <c r="BO855" s="115">
        <v>13168.12</v>
      </c>
      <c r="BP855" s="115"/>
      <c r="DR855" s="214"/>
      <c r="DY855" s="115"/>
      <c r="DZ855" s="334"/>
      <c r="EA855" s="334"/>
      <c r="EB855" s="334"/>
      <c r="EC855" s="334"/>
      <c r="ED855" s="187"/>
      <c r="EE855" s="330"/>
      <c r="EH855" s="334"/>
      <c r="EI855" s="334"/>
      <c r="EM855"/>
      <c r="EO855" s="115"/>
      <c r="EP855" s="334"/>
      <c r="EQ855" s="334"/>
      <c r="ER855" s="334"/>
      <c r="ES855" s="334"/>
      <c r="ET855" s="334"/>
      <c r="EU855" s="334"/>
      <c r="EV855" s="334"/>
    </row>
    <row r="856" spans="35:152" ht="13">
      <c r="AI856" s="115" t="s">
        <v>1416</v>
      </c>
      <c r="AJ856" t="s">
        <v>2114</v>
      </c>
      <c r="AK856" s="115">
        <v>0</v>
      </c>
      <c r="AL856" s="115" t="s">
        <v>28</v>
      </c>
      <c r="AM856" s="115" t="s">
        <v>1832</v>
      </c>
      <c r="AN856" s="115" t="s">
        <v>1284</v>
      </c>
      <c r="AO856" s="115" t="s">
        <v>1641</v>
      </c>
      <c r="AT856" s="115" t="s">
        <v>1415</v>
      </c>
      <c r="AU856" s="115" t="s">
        <v>2114</v>
      </c>
      <c r="AV856" s="115">
        <v>0</v>
      </c>
      <c r="AW856" s="115" t="s">
        <v>499</v>
      </c>
      <c r="AX856" s="115" t="s">
        <v>28</v>
      </c>
      <c r="AY856" s="115" t="s">
        <v>1849</v>
      </c>
      <c r="AZ856" s="115" t="s">
        <v>1921</v>
      </c>
      <c r="BA856" s="115"/>
      <c r="BB856" s="115"/>
      <c r="BC856" s="115">
        <v>129.55562500000002</v>
      </c>
      <c r="BD856" s="115"/>
      <c r="BE856" s="115"/>
      <c r="BF856" s="115"/>
      <c r="BG856" s="115"/>
      <c r="BH856" s="115">
        <v>1227.7383120000006</v>
      </c>
      <c r="BI856" s="115">
        <v>306.10289999999998</v>
      </c>
      <c r="BJ856" s="115">
        <v>19.045949999999994</v>
      </c>
      <c r="BK856" s="115">
        <v>189.42354</v>
      </c>
      <c r="BL856" s="115">
        <v>323.18459999999999</v>
      </c>
      <c r="BM856" s="115"/>
      <c r="BN856" s="115"/>
      <c r="BO856" s="115"/>
      <c r="BP856" s="115"/>
      <c r="DR856" s="214"/>
      <c r="DY856" s="115"/>
      <c r="DZ856" s="334"/>
      <c r="EA856" s="334"/>
      <c r="EB856" s="334"/>
      <c r="EC856" s="334"/>
      <c r="ED856" s="187"/>
      <c r="EE856" s="330"/>
      <c r="EH856" s="334"/>
      <c r="EI856" s="334"/>
      <c r="EM856"/>
      <c r="EO856" s="115"/>
      <c r="EP856" s="334"/>
      <c r="EQ856" s="334"/>
      <c r="ER856" s="334"/>
      <c r="ES856" s="334"/>
      <c r="ET856" s="334"/>
      <c r="EU856" s="334"/>
      <c r="EV856" s="334"/>
    </row>
    <row r="857" spans="35:152" ht="13">
      <c r="AI857" s="115" t="s">
        <v>1416</v>
      </c>
      <c r="AJ857" t="s">
        <v>2114</v>
      </c>
      <c r="AK857" s="115">
        <v>0</v>
      </c>
      <c r="AL857" s="115" t="s">
        <v>28</v>
      </c>
      <c r="AM857" s="115" t="s">
        <v>1843</v>
      </c>
      <c r="AN857" s="115" t="s">
        <v>1284</v>
      </c>
      <c r="AO857" s="115" t="s">
        <v>1641</v>
      </c>
      <c r="AT857" s="115" t="s">
        <v>1415</v>
      </c>
      <c r="AU857" s="115" t="s">
        <v>2114</v>
      </c>
      <c r="AV857" s="115">
        <v>0</v>
      </c>
      <c r="AW857" s="115" t="s">
        <v>499</v>
      </c>
      <c r="AX857" s="115" t="s">
        <v>28</v>
      </c>
      <c r="AY857" s="115" t="s">
        <v>1850</v>
      </c>
      <c r="AZ857" s="115" t="s">
        <v>1921</v>
      </c>
      <c r="BA857" s="115"/>
      <c r="BB857" s="115"/>
      <c r="BC857" s="115">
        <v>388.66687500000006</v>
      </c>
      <c r="BD857" s="115"/>
      <c r="BE857" s="115"/>
      <c r="BF857" s="115">
        <v>24.856249999999999</v>
      </c>
      <c r="BG857" s="115"/>
      <c r="BH857" s="115">
        <v>136.41536800000006</v>
      </c>
      <c r="BI857" s="115">
        <v>102.03429999999999</v>
      </c>
      <c r="BJ857" s="115">
        <v>171.41354999999999</v>
      </c>
      <c r="BK857" s="115">
        <v>21.047060000000002</v>
      </c>
      <c r="BL857" s="115">
        <v>35.909399999999998</v>
      </c>
      <c r="BM857" s="115"/>
      <c r="BN857" s="115"/>
      <c r="BO857" s="115"/>
      <c r="BP857" s="115"/>
      <c r="DR857" s="214"/>
      <c r="DY857" s="115"/>
      <c r="DZ857" s="334"/>
      <c r="EA857" s="334"/>
      <c r="EB857" s="334"/>
      <c r="EC857" s="334"/>
      <c r="ED857" s="187"/>
      <c r="EE857" s="330"/>
      <c r="EH857" s="334"/>
      <c r="EI857" s="334"/>
      <c r="EM857"/>
      <c r="EO857" s="115"/>
      <c r="EP857" s="334"/>
      <c r="EQ857" s="334"/>
      <c r="ER857" s="334"/>
      <c r="ES857" s="334"/>
      <c r="ET857" s="334"/>
      <c r="EU857" s="334"/>
      <c r="EV857" s="334"/>
    </row>
    <row r="858" spans="35:152" ht="13">
      <c r="AI858" s="115" t="s">
        <v>1416</v>
      </c>
      <c r="AJ858" t="s">
        <v>2114</v>
      </c>
      <c r="AK858" s="115">
        <v>0</v>
      </c>
      <c r="AL858" s="115" t="s">
        <v>28</v>
      </c>
      <c r="AM858" s="115" t="s">
        <v>1848</v>
      </c>
      <c r="AN858" s="115" t="s">
        <v>1284</v>
      </c>
      <c r="AO858" s="115" t="s">
        <v>1641</v>
      </c>
      <c r="AT858" s="115" t="s">
        <v>1415</v>
      </c>
      <c r="AU858" s="115" t="s">
        <v>2114</v>
      </c>
      <c r="AV858" s="115">
        <v>0</v>
      </c>
      <c r="AW858" s="115" t="s">
        <v>499</v>
      </c>
      <c r="AX858" s="115" t="s">
        <v>28</v>
      </c>
      <c r="AY858" s="115" t="s">
        <v>1832</v>
      </c>
      <c r="AZ858" s="115" t="s">
        <v>1921</v>
      </c>
      <c r="BA858" s="115"/>
      <c r="BB858" s="115"/>
      <c r="BC858" s="115">
        <v>534.25000000000011</v>
      </c>
      <c r="BD858" s="115"/>
      <c r="BE858" s="115"/>
      <c r="BF858" s="115">
        <v>25.625</v>
      </c>
      <c r="BG858" s="115"/>
      <c r="BH858" s="115">
        <v>1406.3440000000007</v>
      </c>
      <c r="BI858" s="115">
        <v>420.75999999999993</v>
      </c>
      <c r="BJ858" s="115">
        <v>196.35</v>
      </c>
      <c r="BK858" s="115">
        <v>216.98</v>
      </c>
      <c r="BL858" s="115">
        <v>370.2</v>
      </c>
      <c r="BM858" s="115"/>
      <c r="BN858" s="115"/>
      <c r="BO858" s="115"/>
      <c r="BP858" s="115"/>
      <c r="DR858" s="214"/>
      <c r="DY858" s="115"/>
      <c r="DZ858" s="334"/>
      <c r="EA858" s="334"/>
      <c r="EB858" s="334"/>
      <c r="EC858" s="334"/>
      <c r="ED858" s="187"/>
      <c r="EE858" s="330"/>
      <c r="EH858" s="334"/>
      <c r="EI858" s="334"/>
      <c r="EM858"/>
      <c r="EO858" s="115"/>
      <c r="EP858" s="334"/>
      <c r="EQ858" s="334"/>
      <c r="ER858" s="334"/>
      <c r="ES858" s="334"/>
      <c r="ET858" s="334"/>
      <c r="EU858" s="334"/>
      <c r="EV858" s="334"/>
    </row>
    <row r="859" spans="35:152" ht="13">
      <c r="AI859" s="115" t="s">
        <v>1416</v>
      </c>
      <c r="AJ859" t="s">
        <v>2114</v>
      </c>
      <c r="AK859" s="115">
        <v>0</v>
      </c>
      <c r="AL859" s="115" t="s">
        <v>28</v>
      </c>
      <c r="AM859" s="115" t="s">
        <v>1850</v>
      </c>
      <c r="AN859" s="115" t="s">
        <v>1284</v>
      </c>
      <c r="AO859" s="115" t="s">
        <v>380</v>
      </c>
      <c r="AT859" s="115" t="s">
        <v>1415</v>
      </c>
      <c r="AU859" s="115" t="s">
        <v>2114</v>
      </c>
      <c r="AV859" s="115">
        <v>0</v>
      </c>
      <c r="AW859" s="115" t="s">
        <v>499</v>
      </c>
      <c r="AX859" s="115" t="s">
        <v>28</v>
      </c>
      <c r="AY859" s="115" t="s">
        <v>1846</v>
      </c>
      <c r="AZ859" s="115" t="s">
        <v>1922</v>
      </c>
      <c r="BA859" s="115"/>
      <c r="BB859" s="115"/>
      <c r="BC859" s="115">
        <v>2726.735972125</v>
      </c>
      <c r="BD859" s="115"/>
      <c r="BE859" s="115"/>
      <c r="BF859" s="115"/>
      <c r="BG859" s="115"/>
      <c r="BH859" s="115">
        <v>76199.809131328017</v>
      </c>
      <c r="BI859" s="115">
        <v>10499.603880090002</v>
      </c>
      <c r="BJ859" s="115">
        <v>1278.9297050399998</v>
      </c>
      <c r="BK859" s="115">
        <v>5803.2850019040006</v>
      </c>
      <c r="BL859" s="115">
        <v>9775.1972333699996</v>
      </c>
      <c r="BM859" s="115">
        <v>40257.794000000002</v>
      </c>
      <c r="BN859" s="115">
        <v>15478.48</v>
      </c>
      <c r="BO859" s="115">
        <v>13688.42</v>
      </c>
      <c r="BP859" s="115"/>
      <c r="DR859" s="214"/>
      <c r="DY859" s="115"/>
      <c r="DZ859" s="334"/>
      <c r="EA859" s="334"/>
      <c r="EB859" s="334"/>
      <c r="EC859" s="334"/>
      <c r="ED859" s="187"/>
      <c r="EE859" s="330"/>
      <c r="EH859" s="334"/>
      <c r="EI859" s="334"/>
      <c r="EM859"/>
      <c r="EO859" s="115"/>
      <c r="EP859" s="334"/>
      <c r="EQ859" s="334"/>
      <c r="ER859" s="334"/>
      <c r="ES859" s="334"/>
      <c r="ET859" s="334"/>
      <c r="EU859" s="334"/>
      <c r="EV859" s="334"/>
    </row>
    <row r="860" spans="35:152" ht="13">
      <c r="AI860" s="115" t="s">
        <v>1416</v>
      </c>
      <c r="AJ860" t="s">
        <v>2114</v>
      </c>
      <c r="AK860" s="115">
        <v>0</v>
      </c>
      <c r="AL860" s="115" t="s">
        <v>28</v>
      </c>
      <c r="AM860" s="115" t="s">
        <v>1849</v>
      </c>
      <c r="AN860" s="115" t="s">
        <v>1284</v>
      </c>
      <c r="AO860" s="115" t="s">
        <v>380</v>
      </c>
      <c r="AT860" s="115" t="s">
        <v>1415</v>
      </c>
      <c r="AU860" s="115" t="s">
        <v>2114</v>
      </c>
      <c r="AV860" s="115">
        <v>0</v>
      </c>
      <c r="AW860" s="115" t="s">
        <v>499</v>
      </c>
      <c r="AX860" s="115" t="s">
        <v>28</v>
      </c>
      <c r="AY860" s="115" t="s">
        <v>1848</v>
      </c>
      <c r="AZ860" s="115" t="s">
        <v>1922</v>
      </c>
      <c r="BA860" s="115"/>
      <c r="BB860" s="115"/>
      <c r="BC860" s="115">
        <v>16079.959217437499</v>
      </c>
      <c r="BD860" s="115"/>
      <c r="BE860" s="115"/>
      <c r="BF860" s="115">
        <v>1225.7199178124999</v>
      </c>
      <c r="BG860" s="115"/>
      <c r="BH860" s="115">
        <v>5336.0725335008019</v>
      </c>
      <c r="BI860" s="115">
        <v>3857.2664446500003</v>
      </c>
      <c r="BJ860" s="115">
        <v>6424.1683501725001</v>
      </c>
      <c r="BK860" s="115">
        <v>906.49474718400006</v>
      </c>
      <c r="BL860" s="115">
        <v>1526.9222417699998</v>
      </c>
      <c r="BM860" s="115"/>
      <c r="BN860" s="115"/>
      <c r="BO860" s="115"/>
      <c r="BP860" s="115"/>
      <c r="DR860" s="214"/>
      <c r="DY860" s="115"/>
      <c r="DZ860" s="334"/>
      <c r="EA860" s="334"/>
      <c r="EB860" s="334"/>
      <c r="EC860" s="334"/>
      <c r="ED860" s="187"/>
      <c r="EE860" s="330"/>
      <c r="EH860" s="334"/>
      <c r="EI860" s="334"/>
      <c r="EM860"/>
      <c r="EO860" s="115"/>
      <c r="EP860" s="334"/>
      <c r="EQ860" s="334"/>
      <c r="ER860" s="334"/>
      <c r="ES860" s="334"/>
      <c r="ET860" s="334"/>
      <c r="EU860" s="334"/>
      <c r="EV860" s="334"/>
    </row>
    <row r="861" spans="35:152" ht="13">
      <c r="AI861" s="115" t="s">
        <v>1416</v>
      </c>
      <c r="AJ861" t="s">
        <v>2114</v>
      </c>
      <c r="AK861" s="115">
        <v>0</v>
      </c>
      <c r="AL861" s="115" t="s">
        <v>28</v>
      </c>
      <c r="AM861" s="115" t="s">
        <v>1848</v>
      </c>
      <c r="AN861" s="115" t="s">
        <v>1284</v>
      </c>
      <c r="AO861" s="115" t="s">
        <v>380</v>
      </c>
      <c r="AT861" s="115" t="s">
        <v>1415</v>
      </c>
      <c r="AU861" s="115" t="s">
        <v>2114</v>
      </c>
      <c r="AV861" s="115">
        <v>0</v>
      </c>
      <c r="AW861" s="115" t="s">
        <v>499</v>
      </c>
      <c r="AX861" s="115" t="s">
        <v>28</v>
      </c>
      <c r="AY861" s="115" t="s">
        <v>1843</v>
      </c>
      <c r="AZ861" s="115" t="s">
        <v>1922</v>
      </c>
      <c r="BA861" s="115"/>
      <c r="BB861" s="115"/>
      <c r="BC861" s="115">
        <v>18639.116597938144</v>
      </c>
      <c r="BD861" s="115"/>
      <c r="BE861" s="115"/>
      <c r="BF861" s="115">
        <v>1216.2742268041238</v>
      </c>
      <c r="BG861" s="115"/>
      <c r="BH861" s="115">
        <v>77205.782291752577</v>
      </c>
      <c r="BI861" s="115">
        <v>12569.924536082475</v>
      </c>
      <c r="BJ861" s="115">
        <v>7633.1125773195881</v>
      </c>
      <c r="BK861" s="115">
        <v>6609.8770103092793</v>
      </c>
      <c r="BL861" s="115">
        <v>10005.851855670102</v>
      </c>
      <c r="BM861" s="115">
        <v>40257.794000000002</v>
      </c>
      <c r="BN861" s="115">
        <v>15478.48</v>
      </c>
      <c r="BO861" s="115">
        <v>13688.42</v>
      </c>
      <c r="BP861" s="115"/>
      <c r="DR861" s="214"/>
      <c r="DY861" s="115"/>
      <c r="DZ861" s="334"/>
      <c r="EA861" s="334"/>
      <c r="EB861" s="334"/>
      <c r="EC861" s="334"/>
      <c r="ED861" s="187"/>
      <c r="EE861" s="330"/>
      <c r="EH861" s="334"/>
      <c r="EI861" s="334"/>
      <c r="EM861"/>
      <c r="EO861" s="115"/>
      <c r="EP861" s="334"/>
      <c r="EQ861" s="334"/>
      <c r="ER861" s="334"/>
      <c r="ES861" s="334"/>
      <c r="ET861" s="334"/>
      <c r="EU861" s="334"/>
      <c r="EV861" s="334"/>
    </row>
    <row r="862" spans="35:152" ht="13">
      <c r="AI862" s="115" t="s">
        <v>1416</v>
      </c>
      <c r="AJ862" t="s">
        <v>2114</v>
      </c>
      <c r="AK862" s="115">
        <v>0</v>
      </c>
      <c r="AL862" s="115" t="s">
        <v>28</v>
      </c>
      <c r="AM862" s="115" t="s">
        <v>1843</v>
      </c>
      <c r="AN862" s="115" t="s">
        <v>1284</v>
      </c>
      <c r="AO862" s="115" t="s">
        <v>380</v>
      </c>
      <c r="AT862" s="115" t="s">
        <v>1415</v>
      </c>
      <c r="AU862" s="115" t="s">
        <v>2114</v>
      </c>
      <c r="AV862" s="115">
        <v>0</v>
      </c>
      <c r="AW862" s="115" t="s">
        <v>499</v>
      </c>
      <c r="AX862" s="115" t="s">
        <v>28</v>
      </c>
      <c r="AY862" s="115" t="s">
        <v>1849</v>
      </c>
      <c r="AZ862" s="115" t="s">
        <v>1922</v>
      </c>
      <c r="BA862" s="115"/>
      <c r="BB862" s="115"/>
      <c r="BC862" s="115">
        <v>120.704375</v>
      </c>
      <c r="BD862" s="115"/>
      <c r="BE862" s="115"/>
      <c r="BF862" s="115"/>
      <c r="BG862" s="115"/>
      <c r="BH862" s="115">
        <v>1103.2135920000005</v>
      </c>
      <c r="BI862" s="115">
        <v>301.73790000000008</v>
      </c>
      <c r="BJ862" s="115">
        <v>15.954074999999996</v>
      </c>
      <c r="BK862" s="115">
        <v>201.55824000000001</v>
      </c>
      <c r="BL862" s="115">
        <v>339.50969999999995</v>
      </c>
      <c r="BM862" s="115"/>
      <c r="BN862" s="115"/>
      <c r="BO862" s="115"/>
      <c r="BP862" s="115"/>
      <c r="DR862" s="214"/>
      <c r="DY862" s="115"/>
      <c r="DZ862" s="334"/>
      <c r="EA862" s="334"/>
      <c r="EB862" s="334"/>
      <c r="EC862" s="334"/>
      <c r="ED862" s="187"/>
      <c r="EE862" s="330"/>
      <c r="EH862" s="334"/>
      <c r="EI862" s="334"/>
      <c r="EM862"/>
      <c r="EO862" s="115"/>
      <c r="EP862" s="334"/>
      <c r="EQ862" s="334"/>
      <c r="ER862" s="334"/>
      <c r="ES862" s="334"/>
      <c r="ET862" s="334"/>
      <c r="EU862" s="334"/>
      <c r="EV862" s="334"/>
    </row>
    <row r="863" spans="35:152" ht="13">
      <c r="AI863" s="115" t="s">
        <v>1416</v>
      </c>
      <c r="AJ863" t="s">
        <v>2114</v>
      </c>
      <c r="AK863" s="115">
        <v>0</v>
      </c>
      <c r="AL863" s="115" t="s">
        <v>28</v>
      </c>
      <c r="AM863" s="115" t="s">
        <v>1832</v>
      </c>
      <c r="AN863" s="115" t="s">
        <v>1284</v>
      </c>
      <c r="AO863" s="115" t="s">
        <v>380</v>
      </c>
      <c r="AT863" s="115" t="s">
        <v>1415</v>
      </c>
      <c r="AU863" s="115" t="s">
        <v>2114</v>
      </c>
      <c r="AV863" s="115">
        <v>0</v>
      </c>
      <c r="AW863" s="115" t="s">
        <v>499</v>
      </c>
      <c r="AX863" s="115" t="s">
        <v>28</v>
      </c>
      <c r="AY863" s="115" t="s">
        <v>1850</v>
      </c>
      <c r="AZ863" s="115" t="s">
        <v>1922</v>
      </c>
      <c r="BA863" s="115"/>
      <c r="BB863" s="115"/>
      <c r="BC863" s="115">
        <v>362.11312499999997</v>
      </c>
      <c r="BD863" s="115"/>
      <c r="BE863" s="115"/>
      <c r="BF863" s="115">
        <v>26.371874999999999</v>
      </c>
      <c r="BG863" s="115"/>
      <c r="BH863" s="115">
        <v>122.57928800000005</v>
      </c>
      <c r="BI863" s="115">
        <v>100.57930000000002</v>
      </c>
      <c r="BJ863" s="115">
        <v>143.58667500000001</v>
      </c>
      <c r="BK863" s="115">
        <v>22.39536</v>
      </c>
      <c r="BL863" s="115">
        <v>37.723299999999995</v>
      </c>
      <c r="BM863" s="115"/>
      <c r="BN863" s="115"/>
      <c r="BO863" s="115"/>
      <c r="BP863" s="115"/>
      <c r="DR863" s="214"/>
      <c r="DY863" s="115"/>
      <c r="DZ863" s="334"/>
      <c r="EA863" s="334"/>
      <c r="EB863" s="334"/>
      <c r="EC863" s="334"/>
      <c r="ED863" s="187"/>
      <c r="EE863" s="330"/>
      <c r="EH863" s="334"/>
      <c r="EI863" s="334"/>
      <c r="EM863"/>
      <c r="EO863" s="115"/>
      <c r="EP863" s="334"/>
      <c r="EQ863" s="334"/>
      <c r="ER863" s="334"/>
      <c r="ES863" s="334"/>
      <c r="ET863" s="334"/>
      <c r="EU863" s="334"/>
      <c r="EV863" s="334"/>
    </row>
    <row r="864" spans="35:152" ht="13">
      <c r="AI864" s="115" t="s">
        <v>1416</v>
      </c>
      <c r="AJ864" t="s">
        <v>2114</v>
      </c>
      <c r="AK864" s="115">
        <v>0</v>
      </c>
      <c r="AL864" s="115" t="s">
        <v>28</v>
      </c>
      <c r="AM864" s="115" t="s">
        <v>1846</v>
      </c>
      <c r="AN864" s="115" t="s">
        <v>1284</v>
      </c>
      <c r="AO864" s="115" t="s">
        <v>380</v>
      </c>
      <c r="AT864" s="115" t="s">
        <v>1415</v>
      </c>
      <c r="AU864" s="115" t="s">
        <v>2114</v>
      </c>
      <c r="AV864" s="115">
        <v>0</v>
      </c>
      <c r="AW864" s="115" t="s">
        <v>499</v>
      </c>
      <c r="AX864" s="115" t="s">
        <v>28</v>
      </c>
      <c r="AY864" s="115" t="s">
        <v>1832</v>
      </c>
      <c r="AZ864" s="115" t="s">
        <v>1922</v>
      </c>
      <c r="BA864" s="115"/>
      <c r="BB864" s="115"/>
      <c r="BC864" s="115">
        <v>497.75</v>
      </c>
      <c r="BD864" s="115"/>
      <c r="BE864" s="115"/>
      <c r="BF864" s="115">
        <v>27.1875</v>
      </c>
      <c r="BG864" s="115"/>
      <c r="BH864" s="115">
        <v>1263.7040000000004</v>
      </c>
      <c r="BI864" s="115">
        <v>414.7600000000001</v>
      </c>
      <c r="BJ864" s="115">
        <v>164.47499999999999</v>
      </c>
      <c r="BK864" s="115">
        <v>230.88</v>
      </c>
      <c r="BL864" s="115">
        <v>388.9</v>
      </c>
      <c r="BM864" s="115"/>
      <c r="BN864" s="115"/>
      <c r="BO864" s="115"/>
      <c r="BP864" s="115"/>
      <c r="DR864" s="214"/>
      <c r="DY864" s="115"/>
      <c r="DZ864" s="334"/>
      <c r="EA864" s="334"/>
      <c r="EB864" s="334"/>
      <c r="EC864" s="334"/>
      <c r="ED864" s="187"/>
      <c r="EE864" s="330"/>
      <c r="EH864" s="334"/>
      <c r="EI864" s="334"/>
      <c r="EM864"/>
      <c r="EO864" s="115"/>
      <c r="EP864" s="334"/>
      <c r="EQ864" s="334"/>
      <c r="ER864" s="334"/>
      <c r="ES864" s="334"/>
      <c r="ET864" s="334"/>
      <c r="EU864" s="334"/>
      <c r="EV864" s="334"/>
    </row>
    <row r="865" spans="35:152" ht="13">
      <c r="AI865" s="115" t="s">
        <v>1416</v>
      </c>
      <c r="AJ865" t="s">
        <v>2114</v>
      </c>
      <c r="AK865" s="115">
        <v>0</v>
      </c>
      <c r="AL865" s="115" t="s">
        <v>28</v>
      </c>
      <c r="AM865" s="115" t="s">
        <v>1832</v>
      </c>
      <c r="AN865" s="115" t="s">
        <v>360</v>
      </c>
      <c r="AO865" s="115" t="s">
        <v>360</v>
      </c>
      <c r="AT865" s="115" t="s">
        <v>1415</v>
      </c>
      <c r="AU865" s="115" t="s">
        <v>2114</v>
      </c>
      <c r="AV865" s="115">
        <v>0</v>
      </c>
      <c r="AW865" s="115" t="s">
        <v>499</v>
      </c>
      <c r="AX865" s="115" t="s">
        <v>28</v>
      </c>
      <c r="AY865" s="115" t="s">
        <v>1846</v>
      </c>
      <c r="AZ865" s="115" t="s">
        <v>1923</v>
      </c>
      <c r="BA865" s="115"/>
      <c r="BB865" s="115"/>
      <c r="BC865" s="115">
        <v>512.20454724999991</v>
      </c>
      <c r="BD865" s="115"/>
      <c r="BE865" s="115"/>
      <c r="BF865" s="115"/>
      <c r="BG865" s="115"/>
      <c r="BH865" s="115">
        <v>7579.2958514528</v>
      </c>
      <c r="BI865" s="115">
        <v>829.82210239500012</v>
      </c>
      <c r="BJ865" s="115">
        <v>99.141837599999988</v>
      </c>
      <c r="BK865" s="115">
        <v>357.92956699199999</v>
      </c>
      <c r="BL865" s="115">
        <v>653.52308579999999</v>
      </c>
      <c r="BM865" s="115">
        <v>561</v>
      </c>
      <c r="BN865" s="115">
        <v>1642.24</v>
      </c>
      <c r="BO865" s="115">
        <v>2016.68</v>
      </c>
      <c r="BP865" s="115"/>
      <c r="DR865" s="214"/>
      <c r="DY865" s="115"/>
      <c r="DZ865" s="334"/>
      <c r="EA865" s="334"/>
      <c r="EB865" s="334"/>
      <c r="EC865" s="334"/>
      <c r="ED865" s="187"/>
      <c r="EE865" s="330"/>
      <c r="EH865" s="334"/>
      <c r="EI865" s="334"/>
      <c r="EM865"/>
      <c r="EO865" s="115"/>
      <c r="EP865" s="334"/>
      <c r="EQ865" s="334"/>
      <c r="ER865" s="334"/>
      <c r="ES865" s="334"/>
      <c r="ET865" s="334"/>
      <c r="EU865" s="334"/>
      <c r="EV865" s="334"/>
    </row>
    <row r="866" spans="35:152" ht="13">
      <c r="AI866" s="115" t="s">
        <v>1416</v>
      </c>
      <c r="AJ866" t="s">
        <v>2114</v>
      </c>
      <c r="AK866" s="115">
        <v>0</v>
      </c>
      <c r="AL866" s="115" t="s">
        <v>28</v>
      </c>
      <c r="AM866" s="115" t="s">
        <v>1848</v>
      </c>
      <c r="AN866" s="115" t="s">
        <v>360</v>
      </c>
      <c r="AO866" s="115" t="s">
        <v>360</v>
      </c>
      <c r="AT866" s="115" t="s">
        <v>1415</v>
      </c>
      <c r="AU866" s="115" t="s">
        <v>2114</v>
      </c>
      <c r="AV866" s="115">
        <v>0</v>
      </c>
      <c r="AW866" s="115" t="s">
        <v>499</v>
      </c>
      <c r="AX866" s="115" t="s">
        <v>28</v>
      </c>
      <c r="AY866" s="115" t="s">
        <v>1848</v>
      </c>
      <c r="AZ866" s="115" t="s">
        <v>1923</v>
      </c>
      <c r="BA866" s="115"/>
      <c r="BB866" s="115"/>
      <c r="BC866" s="115">
        <v>3020.5448253750001</v>
      </c>
      <c r="BD866" s="115"/>
      <c r="BE866" s="115"/>
      <c r="BF866" s="115">
        <v>360.67160799999999</v>
      </c>
      <c r="BG866" s="115"/>
      <c r="BH866" s="115">
        <v>519.92614210208001</v>
      </c>
      <c r="BI866" s="115">
        <v>304.85387707500001</v>
      </c>
      <c r="BJ866" s="115">
        <v>497.99754652500002</v>
      </c>
      <c r="BK866" s="115">
        <v>55.909932432000005</v>
      </c>
      <c r="BL866" s="115">
        <v>102.08274180000001</v>
      </c>
      <c r="BM866" s="115"/>
      <c r="BN866" s="115"/>
      <c r="BO866" s="115"/>
      <c r="BP866" s="115"/>
      <c r="DR866" s="214"/>
      <c r="DY866" s="115"/>
      <c r="DZ866" s="334"/>
      <c r="EA866" s="334"/>
      <c r="EB866" s="334"/>
      <c r="EC866" s="334"/>
      <c r="ED866" s="187"/>
      <c r="EE866" s="330"/>
      <c r="EH866" s="334"/>
      <c r="EI866" s="334"/>
      <c r="EM866"/>
      <c r="EO866" s="115"/>
      <c r="EP866" s="334"/>
      <c r="EQ866" s="334"/>
      <c r="ER866" s="334"/>
      <c r="ES866" s="334"/>
      <c r="ET866" s="334"/>
      <c r="EU866" s="334"/>
      <c r="EV866" s="334"/>
    </row>
    <row r="867" spans="35:152" ht="13">
      <c r="AI867" s="115" t="s">
        <v>1416</v>
      </c>
      <c r="AJ867" t="s">
        <v>2114</v>
      </c>
      <c r="AK867" s="115">
        <v>0</v>
      </c>
      <c r="AL867" s="115" t="s">
        <v>28</v>
      </c>
      <c r="AM867" s="115" t="s">
        <v>1846</v>
      </c>
      <c r="AN867" s="115" t="s">
        <v>360</v>
      </c>
      <c r="AO867" s="115" t="s">
        <v>360</v>
      </c>
      <c r="AT867" s="115" t="s">
        <v>1415</v>
      </c>
      <c r="AU867" s="115" t="s">
        <v>2114</v>
      </c>
      <c r="AV867" s="115">
        <v>0</v>
      </c>
      <c r="AW867" s="115" t="s">
        <v>499</v>
      </c>
      <c r="AX867" s="115" t="s">
        <v>28</v>
      </c>
      <c r="AY867" s="115" t="s">
        <v>1843</v>
      </c>
      <c r="AZ867" s="115" t="s">
        <v>1923</v>
      </c>
      <c r="BA867" s="115"/>
      <c r="BB867" s="115"/>
      <c r="BC867" s="115">
        <v>3501.2705154639175</v>
      </c>
      <c r="BD867" s="115"/>
      <c r="BE867" s="115"/>
      <c r="BF867" s="115">
        <v>357.89216494845363</v>
      </c>
      <c r="BG867" s="115"/>
      <c r="BH867" s="115">
        <v>7677.3139412371138</v>
      </c>
      <c r="BI867" s="115">
        <v>993.44711340206186</v>
      </c>
      <c r="BJ867" s="115">
        <v>591.71412371134022</v>
      </c>
      <c r="BK867" s="115">
        <v>407.67783505154637</v>
      </c>
      <c r="BL867" s="115">
        <v>668.94360824742273</v>
      </c>
      <c r="BM867" s="115">
        <v>561</v>
      </c>
      <c r="BN867" s="115">
        <v>1642.24</v>
      </c>
      <c r="BO867" s="115">
        <v>2016.68</v>
      </c>
      <c r="BP867" s="115"/>
      <c r="DR867" s="214"/>
      <c r="DY867" s="115"/>
      <c r="DZ867" s="334"/>
      <c r="EA867" s="334"/>
      <c r="EB867" s="334"/>
      <c r="EC867" s="334"/>
      <c r="ED867" s="187"/>
      <c r="EE867" s="330"/>
      <c r="EH867" s="334"/>
      <c r="EI867" s="334"/>
      <c r="EM867"/>
      <c r="EO867" s="115"/>
      <c r="EP867" s="334"/>
      <c r="EQ867" s="334"/>
      <c r="ER867" s="334"/>
      <c r="ES867" s="334"/>
      <c r="ET867" s="334"/>
      <c r="EU867" s="334"/>
      <c r="EV867" s="334"/>
    </row>
    <row r="868" spans="35:152" ht="13">
      <c r="AI868" s="115" t="s">
        <v>1416</v>
      </c>
      <c r="AJ868" t="s">
        <v>2114</v>
      </c>
      <c r="AK868" s="115">
        <v>0</v>
      </c>
      <c r="AL868" s="115" t="s">
        <v>28</v>
      </c>
      <c r="AM868" s="115" t="s">
        <v>1843</v>
      </c>
      <c r="AN868" s="115" t="s">
        <v>360</v>
      </c>
      <c r="AO868" s="115" t="s">
        <v>360</v>
      </c>
      <c r="AT868" s="115" t="s">
        <v>1415</v>
      </c>
      <c r="AU868" s="115" t="s">
        <v>2114</v>
      </c>
      <c r="AV868" s="115">
        <v>0</v>
      </c>
      <c r="AW868" s="115" t="s">
        <v>499</v>
      </c>
      <c r="AX868" s="115" t="s">
        <v>28</v>
      </c>
      <c r="AY868" s="115" t="s">
        <v>1849</v>
      </c>
      <c r="AZ868" s="115" t="s">
        <v>1923</v>
      </c>
      <c r="BA868" s="115"/>
      <c r="BB868" s="115"/>
      <c r="BC868" s="115">
        <v>22.673749999999998</v>
      </c>
      <c r="BD868" s="115"/>
      <c r="BE868" s="115"/>
      <c r="BF868" s="115"/>
      <c r="BG868" s="115"/>
      <c r="BH868" s="115">
        <v>107.49283920000001</v>
      </c>
      <c r="BI868" s="115">
        <v>23.847450000000002</v>
      </c>
      <c r="BJ868" s="115">
        <v>1.2367499999999998</v>
      </c>
      <c r="BK868" s="115">
        <v>12.431519999999999</v>
      </c>
      <c r="BL868" s="115">
        <v>22.698</v>
      </c>
      <c r="BM868" s="115"/>
      <c r="BN868" s="115"/>
      <c r="BO868" s="115"/>
      <c r="BP868" s="115"/>
      <c r="DR868" s="214"/>
      <c r="DY868" s="115"/>
      <c r="DZ868" s="334"/>
      <c r="EA868" s="334"/>
      <c r="EB868" s="334"/>
      <c r="EC868" s="334"/>
      <c r="ED868" s="187"/>
      <c r="EE868" s="330"/>
      <c r="EH868" s="334"/>
      <c r="EI868" s="334"/>
      <c r="EM868"/>
      <c r="EO868" s="115"/>
      <c r="EP868" s="334"/>
      <c r="EQ868" s="334"/>
      <c r="ER868" s="334"/>
      <c r="ES868" s="334"/>
      <c r="ET868" s="334"/>
      <c r="EU868" s="334"/>
      <c r="EV868" s="334"/>
    </row>
    <row r="869" spans="35:152" ht="13">
      <c r="AI869" s="115" t="s">
        <v>1416</v>
      </c>
      <c r="AJ869" t="s">
        <v>2114</v>
      </c>
      <c r="AK869" s="115">
        <v>0</v>
      </c>
      <c r="AL869" s="115" t="s">
        <v>28</v>
      </c>
      <c r="AM869" s="115" t="s">
        <v>1850</v>
      </c>
      <c r="AN869" s="115" t="s">
        <v>360</v>
      </c>
      <c r="AO869" s="115" t="s">
        <v>360</v>
      </c>
      <c r="AT869" s="115" t="s">
        <v>1415</v>
      </c>
      <c r="AU869" s="115" t="s">
        <v>2114</v>
      </c>
      <c r="AV869" s="115">
        <v>0</v>
      </c>
      <c r="AW869" s="115" t="s">
        <v>499</v>
      </c>
      <c r="AX869" s="115" t="s">
        <v>28</v>
      </c>
      <c r="AY869" s="115" t="s">
        <v>1850</v>
      </c>
      <c r="AZ869" s="115" t="s">
        <v>1923</v>
      </c>
      <c r="BA869" s="115"/>
      <c r="BB869" s="115"/>
      <c r="BC869" s="115">
        <v>68.021249999999995</v>
      </c>
      <c r="BD869" s="115"/>
      <c r="BE869" s="115"/>
      <c r="BF869" s="115">
        <v>7.76</v>
      </c>
      <c r="BG869" s="115"/>
      <c r="BH869" s="115">
        <v>11.9436488</v>
      </c>
      <c r="BI869" s="115">
        <v>7.9491500000000004</v>
      </c>
      <c r="BJ869" s="115">
        <v>11.130750000000001</v>
      </c>
      <c r="BK869" s="115">
        <v>1.3812800000000001</v>
      </c>
      <c r="BL869" s="115">
        <v>2.5220000000000002</v>
      </c>
      <c r="BM869" s="115"/>
      <c r="BN869" s="115"/>
      <c r="BO869" s="115"/>
      <c r="BP869" s="115"/>
      <c r="DR869" s="214"/>
      <c r="DY869" s="115"/>
      <c r="DZ869" s="334"/>
      <c r="EA869" s="334"/>
      <c r="EB869" s="334"/>
      <c r="EC869" s="334"/>
      <c r="ED869" s="187"/>
      <c r="EE869" s="330"/>
      <c r="EH869" s="334"/>
      <c r="EI869" s="334"/>
      <c r="EM869"/>
      <c r="EO869" s="115"/>
      <c r="EP869" s="334"/>
      <c r="EQ869" s="334"/>
      <c r="ER869" s="334"/>
      <c r="ES869" s="334"/>
      <c r="ET869" s="334"/>
      <c r="EU869" s="334"/>
      <c r="EV869" s="334"/>
    </row>
    <row r="870" spans="35:152" ht="13">
      <c r="AI870" s="115" t="s">
        <v>1416</v>
      </c>
      <c r="AJ870" t="s">
        <v>2114</v>
      </c>
      <c r="AK870" s="115">
        <v>0</v>
      </c>
      <c r="AL870" s="115" t="s">
        <v>28</v>
      </c>
      <c r="AM870" s="115" t="s">
        <v>1849</v>
      </c>
      <c r="AN870" s="115" t="s">
        <v>360</v>
      </c>
      <c r="AO870" s="115" t="s">
        <v>360</v>
      </c>
      <c r="AT870" s="115" t="s">
        <v>1415</v>
      </c>
      <c r="AU870" s="115" t="s">
        <v>2114</v>
      </c>
      <c r="AV870" s="115">
        <v>0</v>
      </c>
      <c r="AW870" s="115" t="s">
        <v>499</v>
      </c>
      <c r="AX870" s="115" t="s">
        <v>28</v>
      </c>
      <c r="AY870" s="115" t="s">
        <v>1832</v>
      </c>
      <c r="AZ870" s="115" t="s">
        <v>1923</v>
      </c>
      <c r="BA870" s="115"/>
      <c r="BB870" s="115"/>
      <c r="BC870" s="115">
        <v>93.5</v>
      </c>
      <c r="BD870" s="115"/>
      <c r="BE870" s="115"/>
      <c r="BF870" s="115">
        <v>8</v>
      </c>
      <c r="BG870" s="115"/>
      <c r="BH870" s="115">
        <v>123.13039999999999</v>
      </c>
      <c r="BI870" s="115">
        <v>32.78</v>
      </c>
      <c r="BJ870" s="115">
        <v>12.750000000000002</v>
      </c>
      <c r="BK870" s="115">
        <v>14.24</v>
      </c>
      <c r="BL870" s="115">
        <v>26</v>
      </c>
      <c r="BM870" s="115"/>
      <c r="BN870" s="115"/>
      <c r="BO870" s="115"/>
      <c r="BP870" s="115"/>
      <c r="DR870" s="214"/>
      <c r="DY870" s="115"/>
      <c r="DZ870" s="334"/>
      <c r="EA870" s="334"/>
      <c r="EB870" s="334"/>
      <c r="EC870" s="334"/>
      <c r="ED870" s="187"/>
      <c r="EE870" s="330"/>
      <c r="EH870" s="334"/>
      <c r="EI870" s="334"/>
      <c r="EM870"/>
      <c r="EO870" s="115"/>
      <c r="EP870" s="334"/>
      <c r="EQ870" s="334"/>
      <c r="ER870" s="334"/>
      <c r="ES870" s="334"/>
      <c r="ET870" s="334"/>
      <c r="EU870" s="334"/>
      <c r="EV870" s="334"/>
    </row>
    <row r="871" spans="35:152" ht="13">
      <c r="AI871" s="115" t="s">
        <v>1416</v>
      </c>
      <c r="AJ871" t="s">
        <v>2114</v>
      </c>
      <c r="AK871" s="115">
        <v>0</v>
      </c>
      <c r="AL871" s="115" t="s">
        <v>28</v>
      </c>
      <c r="AM871" s="115" t="s">
        <v>1843</v>
      </c>
      <c r="AN871" s="115" t="s">
        <v>1628</v>
      </c>
      <c r="AO871" s="115" t="s">
        <v>1644</v>
      </c>
      <c r="AT871" s="115" t="s">
        <v>1415</v>
      </c>
      <c r="AU871" s="115" t="s">
        <v>2114</v>
      </c>
      <c r="AV871" s="115">
        <v>0</v>
      </c>
      <c r="AW871" s="115" t="s">
        <v>499</v>
      </c>
      <c r="AX871" s="115" t="s">
        <v>28</v>
      </c>
      <c r="AY871" s="115" t="s">
        <v>1846</v>
      </c>
      <c r="AZ871" s="115" t="s">
        <v>1924</v>
      </c>
      <c r="BA871" s="115"/>
      <c r="BB871" s="115"/>
      <c r="BC871" s="115">
        <v>2647.3031813750003</v>
      </c>
      <c r="BD871" s="115"/>
      <c r="BE871" s="115"/>
      <c r="BF871" s="115"/>
      <c r="BG871" s="115"/>
      <c r="BH871" s="115">
        <v>76422.046657468818</v>
      </c>
      <c r="BI871" s="115">
        <v>10294.553269065</v>
      </c>
      <c r="BJ871" s="115">
        <v>1174.8307755599999</v>
      </c>
      <c r="BK871" s="115">
        <v>5900.0566896090004</v>
      </c>
      <c r="BL871" s="115">
        <v>9566.5725559800012</v>
      </c>
      <c r="BM871" s="115">
        <v>43632.914799999999</v>
      </c>
      <c r="BN871" s="115">
        <v>15704.62</v>
      </c>
      <c r="BO871" s="115">
        <v>13587.72</v>
      </c>
      <c r="BP871" s="115"/>
      <c r="DR871" s="214"/>
      <c r="DY871" s="115"/>
      <c r="DZ871" s="334"/>
      <c r="EA871" s="334"/>
      <c r="EB871" s="334"/>
      <c r="EC871" s="334"/>
      <c r="ED871" s="187"/>
      <c r="EE871" s="330"/>
      <c r="EH871" s="334"/>
      <c r="EI871" s="334"/>
      <c r="EM871"/>
      <c r="EO871" s="115"/>
      <c r="EP871" s="334"/>
      <c r="EQ871" s="334"/>
      <c r="ER871" s="334"/>
      <c r="ES871" s="334"/>
      <c r="ET871" s="334"/>
      <c r="EU871" s="334"/>
      <c r="EV871" s="334"/>
    </row>
    <row r="872" spans="35:152" ht="13">
      <c r="AI872" s="115" t="s">
        <v>1416</v>
      </c>
      <c r="AJ872" t="s">
        <v>2114</v>
      </c>
      <c r="AK872" s="115">
        <v>0</v>
      </c>
      <c r="AL872" s="115" t="s">
        <v>28</v>
      </c>
      <c r="AM872" s="115" t="s">
        <v>1848</v>
      </c>
      <c r="AN872" s="115" t="s">
        <v>1628</v>
      </c>
      <c r="AO872" s="115" t="s">
        <v>1644</v>
      </c>
      <c r="AT872" s="115" t="s">
        <v>1415</v>
      </c>
      <c r="AU872" s="115" t="s">
        <v>2114</v>
      </c>
      <c r="AV872" s="115">
        <v>0</v>
      </c>
      <c r="AW872" s="115" t="s">
        <v>499</v>
      </c>
      <c r="AX872" s="115" t="s">
        <v>28</v>
      </c>
      <c r="AY872" s="115" t="s">
        <v>1848</v>
      </c>
      <c r="AZ872" s="115" t="s">
        <v>1924</v>
      </c>
      <c r="BA872" s="115"/>
      <c r="BB872" s="115"/>
      <c r="BC872" s="115">
        <v>15611.532479812502</v>
      </c>
      <c r="BD872" s="115"/>
      <c r="BE872" s="115"/>
      <c r="BF872" s="115">
        <v>1296.1635912499999</v>
      </c>
      <c r="BG872" s="115"/>
      <c r="BH872" s="115">
        <v>5518.9704115996819</v>
      </c>
      <c r="BI872" s="115">
        <v>3781.9364750249997</v>
      </c>
      <c r="BJ872" s="115">
        <v>5901.27092632125</v>
      </c>
      <c r="BK872" s="115">
        <v>921.6108454890001</v>
      </c>
      <c r="BL872" s="115">
        <v>1494.3342895800004</v>
      </c>
      <c r="BM872" s="115"/>
      <c r="BN872" s="115"/>
      <c r="BO872" s="115"/>
      <c r="BP872" s="115"/>
      <c r="DR872" s="214"/>
      <c r="DY872" s="115"/>
      <c r="DZ872" s="334"/>
      <c r="EA872" s="334"/>
      <c r="EB872" s="334"/>
      <c r="EC872" s="334"/>
      <c r="ED872" s="187"/>
      <c r="EE872" s="330"/>
      <c r="EH872" s="334"/>
      <c r="EI872" s="334"/>
      <c r="EM872"/>
      <c r="EO872" s="115"/>
      <c r="EP872" s="334"/>
      <c r="EQ872" s="334"/>
      <c r="ER872" s="334"/>
      <c r="ES872" s="334"/>
      <c r="ET872" s="334"/>
      <c r="EU872" s="334"/>
      <c r="EV872" s="334"/>
    </row>
    <row r="873" spans="35:152" ht="13">
      <c r="AI873" s="115" t="s">
        <v>1416</v>
      </c>
      <c r="AJ873" t="s">
        <v>2114</v>
      </c>
      <c r="AK873" s="115">
        <v>0</v>
      </c>
      <c r="AL873" s="115" t="s">
        <v>28</v>
      </c>
      <c r="AM873" s="115" t="s">
        <v>1832</v>
      </c>
      <c r="AN873" s="115" t="s">
        <v>1628</v>
      </c>
      <c r="AO873" s="115" t="s">
        <v>1644</v>
      </c>
      <c r="AT873" s="115" t="s">
        <v>1415</v>
      </c>
      <c r="AU873" s="115" t="s">
        <v>2114</v>
      </c>
      <c r="AV873" s="115">
        <v>0</v>
      </c>
      <c r="AW873" s="115" t="s">
        <v>499</v>
      </c>
      <c r="AX873" s="115" t="s">
        <v>28</v>
      </c>
      <c r="AY873" s="115" t="s">
        <v>1843</v>
      </c>
      <c r="AZ873" s="115" t="s">
        <v>1924</v>
      </c>
      <c r="BA873" s="115"/>
      <c r="BB873" s="115"/>
      <c r="BC873" s="115">
        <v>18096.138865979385</v>
      </c>
      <c r="BD873" s="115"/>
      <c r="BE873" s="115"/>
      <c r="BF873" s="115">
        <v>1286.1750515463918</v>
      </c>
      <c r="BG873" s="115"/>
      <c r="BH873" s="115">
        <v>77462.500318556704</v>
      </c>
      <c r="BI873" s="115">
        <v>12324.441855670104</v>
      </c>
      <c r="BJ873" s="115">
        <v>7011.8126804123713</v>
      </c>
      <c r="BK873" s="115">
        <v>6720.0989690721653</v>
      </c>
      <c r="BL873" s="115">
        <v>9792.3045360824744</v>
      </c>
      <c r="BM873" s="115">
        <v>43632.914799999999</v>
      </c>
      <c r="BN873" s="115">
        <v>15704.62</v>
      </c>
      <c r="BO873" s="115">
        <v>13587.72</v>
      </c>
      <c r="BP873" s="115"/>
      <c r="DR873" s="214"/>
      <c r="DY873" s="115"/>
      <c r="DZ873" s="334"/>
      <c r="EA873" s="334"/>
      <c r="EB873" s="334"/>
      <c r="EC873" s="334"/>
      <c r="ED873" s="187"/>
      <c r="EE873" s="330"/>
      <c r="EH873" s="334"/>
      <c r="EI873" s="334"/>
      <c r="EM873"/>
      <c r="EO873" s="115"/>
      <c r="EP873" s="334"/>
      <c r="EQ873" s="334"/>
      <c r="ER873" s="334"/>
      <c r="ES873" s="334"/>
      <c r="ET873" s="334"/>
      <c r="EU873" s="334"/>
      <c r="EV873" s="334"/>
    </row>
    <row r="874" spans="35:152" ht="13">
      <c r="AI874" s="115" t="s">
        <v>1416</v>
      </c>
      <c r="AJ874" t="s">
        <v>2114</v>
      </c>
      <c r="AK874" s="115">
        <v>0</v>
      </c>
      <c r="AL874" s="115" t="s">
        <v>28</v>
      </c>
      <c r="AM874" s="115" t="s">
        <v>1850</v>
      </c>
      <c r="AN874" s="115" t="s">
        <v>1628</v>
      </c>
      <c r="AO874" s="115" t="s">
        <v>1644</v>
      </c>
      <c r="AT874" s="115" t="s">
        <v>1415</v>
      </c>
      <c r="AU874" s="115" t="s">
        <v>2114</v>
      </c>
      <c r="AV874" s="115">
        <v>0</v>
      </c>
      <c r="AW874" s="115" t="s">
        <v>499</v>
      </c>
      <c r="AX874" s="115" t="s">
        <v>28</v>
      </c>
      <c r="AY874" s="115" t="s">
        <v>1849</v>
      </c>
      <c r="AZ874" s="115" t="s">
        <v>1924</v>
      </c>
      <c r="BA874" s="115"/>
      <c r="BB874" s="115"/>
      <c r="BC874" s="115">
        <v>117.18812500000001</v>
      </c>
      <c r="BD874" s="115"/>
      <c r="BE874" s="115"/>
      <c r="BF874" s="115"/>
      <c r="BG874" s="115"/>
      <c r="BH874" s="115">
        <v>1141.0270632000004</v>
      </c>
      <c r="BI874" s="115">
        <v>295.84514999999999</v>
      </c>
      <c r="BJ874" s="115">
        <v>14.655487499999998</v>
      </c>
      <c r="BK874" s="115">
        <v>204.91928999999999</v>
      </c>
      <c r="BL874" s="115">
        <v>332.2638</v>
      </c>
      <c r="BM874" s="115"/>
      <c r="BN874" s="115"/>
      <c r="BO874" s="115"/>
      <c r="BP874" s="115"/>
      <c r="DR874" s="214"/>
      <c r="DY874" s="115"/>
      <c r="DZ874" s="334"/>
      <c r="EA874" s="334"/>
      <c r="EB874" s="334"/>
      <c r="EC874" s="334"/>
      <c r="ED874" s="187"/>
      <c r="EE874" s="330"/>
      <c r="EH874" s="334"/>
      <c r="EI874" s="334"/>
      <c r="EM874"/>
      <c r="EO874" s="115"/>
      <c r="EP874" s="334"/>
      <c r="EQ874" s="334"/>
      <c r="ER874" s="334"/>
      <c r="ES874" s="334"/>
      <c r="ET874" s="334"/>
      <c r="EU874" s="334"/>
      <c r="EV874" s="334"/>
    </row>
    <row r="875" spans="35:152" ht="13">
      <c r="AI875" s="115" t="s">
        <v>1416</v>
      </c>
      <c r="AJ875" t="s">
        <v>2114</v>
      </c>
      <c r="AK875" s="115">
        <v>0</v>
      </c>
      <c r="AL875" s="115" t="s">
        <v>28</v>
      </c>
      <c r="AM875" s="115" t="s">
        <v>1849</v>
      </c>
      <c r="AN875" s="115" t="s">
        <v>1628</v>
      </c>
      <c r="AO875" s="115" t="s">
        <v>1274</v>
      </c>
      <c r="AT875" s="115" t="s">
        <v>1415</v>
      </c>
      <c r="AU875" s="115" t="s">
        <v>2114</v>
      </c>
      <c r="AV875" s="115">
        <v>0</v>
      </c>
      <c r="AW875" s="115" t="s">
        <v>499</v>
      </c>
      <c r="AX875" s="115" t="s">
        <v>28</v>
      </c>
      <c r="AY875" s="115" t="s">
        <v>1850</v>
      </c>
      <c r="AZ875" s="115" t="s">
        <v>1924</v>
      </c>
      <c r="BA875" s="115"/>
      <c r="BB875" s="115"/>
      <c r="BC875" s="115">
        <v>351.56437500000004</v>
      </c>
      <c r="BD875" s="115"/>
      <c r="BE875" s="115"/>
      <c r="BF875" s="115">
        <v>27.887499999999999</v>
      </c>
      <c r="BG875" s="115"/>
      <c r="BH875" s="115">
        <v>126.78078480000005</v>
      </c>
      <c r="BI875" s="115">
        <v>98.615049999999997</v>
      </c>
      <c r="BJ875" s="115">
        <v>131.89938750000002</v>
      </c>
      <c r="BK875" s="115">
        <v>22.768810000000002</v>
      </c>
      <c r="BL875" s="115">
        <v>36.918200000000006</v>
      </c>
      <c r="BM875" s="115"/>
      <c r="BN875" s="115"/>
      <c r="BO875" s="115"/>
      <c r="BP875" s="115"/>
      <c r="DR875" s="214"/>
      <c r="DY875" s="115"/>
      <c r="DZ875" s="334"/>
      <c r="EA875" s="334"/>
      <c r="EB875" s="334"/>
      <c r="EC875" s="334"/>
      <c r="ED875" s="187"/>
      <c r="EE875" s="330"/>
      <c r="EH875" s="334"/>
      <c r="EI875" s="334"/>
      <c r="EM875"/>
      <c r="EO875" s="115"/>
      <c r="EP875" s="334"/>
      <c r="EQ875" s="334"/>
      <c r="ER875" s="334"/>
      <c r="ES875" s="334"/>
      <c r="ET875" s="334"/>
      <c r="EU875" s="334"/>
      <c r="EV875" s="334"/>
    </row>
    <row r="876" spans="35:152" ht="13">
      <c r="AI876" s="115" t="s">
        <v>1416</v>
      </c>
      <c r="AJ876" t="s">
        <v>2114</v>
      </c>
      <c r="AK876" s="115">
        <v>0</v>
      </c>
      <c r="AL876" s="115" t="s">
        <v>28</v>
      </c>
      <c r="AM876" s="115" t="s">
        <v>1848</v>
      </c>
      <c r="AN876" s="115" t="s">
        <v>1628</v>
      </c>
      <c r="AO876" s="115" t="s">
        <v>1274</v>
      </c>
      <c r="AT876" s="115" t="s">
        <v>1415</v>
      </c>
      <c r="AU876" s="115" t="s">
        <v>2114</v>
      </c>
      <c r="AV876" s="115">
        <v>0</v>
      </c>
      <c r="AW876" s="115" t="s">
        <v>499</v>
      </c>
      <c r="AX876" s="115" t="s">
        <v>28</v>
      </c>
      <c r="AY876" s="115" t="s">
        <v>1832</v>
      </c>
      <c r="AZ876" s="115" t="s">
        <v>1924</v>
      </c>
      <c r="BA876" s="115"/>
      <c r="BB876" s="115"/>
      <c r="BC876" s="115">
        <v>483.25000000000006</v>
      </c>
      <c r="BD876" s="115"/>
      <c r="BE876" s="115"/>
      <c r="BF876" s="115">
        <v>28.75</v>
      </c>
      <c r="BG876" s="115"/>
      <c r="BH876" s="115">
        <v>1307.0184000000004</v>
      </c>
      <c r="BI876" s="115">
        <v>406.66</v>
      </c>
      <c r="BJ876" s="115">
        <v>151.08750000000001</v>
      </c>
      <c r="BK876" s="115">
        <v>234.73</v>
      </c>
      <c r="BL876" s="115">
        <v>380.6</v>
      </c>
      <c r="BM876" s="115"/>
      <c r="BN876" s="115"/>
      <c r="BO876" s="115"/>
      <c r="BP876" s="115"/>
      <c r="DR876" s="214"/>
      <c r="DY876" s="115"/>
      <c r="DZ876" s="334"/>
      <c r="EA876" s="334"/>
      <c r="EB876" s="334"/>
      <c r="EC876" s="334"/>
      <c r="ED876" s="187"/>
      <c r="EE876" s="330"/>
      <c r="EH876" s="334"/>
      <c r="EI876" s="334"/>
      <c r="EM876"/>
      <c r="EO876" s="115"/>
      <c r="EP876" s="334"/>
      <c r="EQ876" s="334"/>
      <c r="ER876" s="334"/>
      <c r="ES876" s="334"/>
      <c r="ET876" s="334"/>
      <c r="EU876" s="334"/>
      <c r="EV876" s="334"/>
    </row>
    <row r="877" spans="35:152" ht="13">
      <c r="AI877" s="115" t="s">
        <v>1416</v>
      </c>
      <c r="AJ877" t="s">
        <v>2114</v>
      </c>
      <c r="AK877" s="115">
        <v>0</v>
      </c>
      <c r="AL877" s="115" t="s">
        <v>28</v>
      </c>
      <c r="AM877" s="115" t="s">
        <v>1846</v>
      </c>
      <c r="AN877" s="115" t="s">
        <v>1628</v>
      </c>
      <c r="AO877" s="115" t="s">
        <v>1274</v>
      </c>
      <c r="AT877" s="115" t="s">
        <v>1415</v>
      </c>
      <c r="AU877" s="115" t="s">
        <v>2114</v>
      </c>
      <c r="AV877" s="115">
        <v>0</v>
      </c>
      <c r="AW877" s="115" t="s">
        <v>499</v>
      </c>
      <c r="AX877" s="115" t="s">
        <v>28</v>
      </c>
      <c r="AY877" s="115" t="s">
        <v>1846</v>
      </c>
      <c r="AZ877" s="115" t="s">
        <v>1925</v>
      </c>
      <c r="BA877" s="115"/>
      <c r="BB877" s="115"/>
      <c r="BC877" s="115">
        <v>512.20454724999991</v>
      </c>
      <c r="BD877" s="115"/>
      <c r="BE877" s="115"/>
      <c r="BF877" s="115"/>
      <c r="BG877" s="115"/>
      <c r="BH877" s="115">
        <v>7579.2958514528</v>
      </c>
      <c r="BI877" s="115">
        <v>829.82210239500012</v>
      </c>
      <c r="BJ877" s="115">
        <v>99.141837599999988</v>
      </c>
      <c r="BK877" s="115">
        <v>357.92956699199999</v>
      </c>
      <c r="BL877" s="115">
        <v>653.52308579999999</v>
      </c>
      <c r="BM877" s="115">
        <v>561</v>
      </c>
      <c r="BN877" s="115">
        <v>1642.24</v>
      </c>
      <c r="BO877" s="115">
        <v>2016.68</v>
      </c>
      <c r="BP877" s="115"/>
      <c r="DR877" s="214"/>
      <c r="DY877" s="115"/>
      <c r="DZ877" s="334"/>
      <c r="EA877" s="334"/>
      <c r="EB877" s="334"/>
      <c r="EC877" s="334"/>
      <c r="ED877" s="187"/>
      <c r="EE877" s="330"/>
      <c r="EH877" s="334"/>
      <c r="EI877" s="334"/>
      <c r="EM877"/>
      <c r="EO877" s="115"/>
      <c r="EP877" s="334"/>
      <c r="EQ877" s="334"/>
      <c r="ER877" s="334"/>
      <c r="ES877" s="334"/>
      <c r="ET877" s="334"/>
      <c r="EU877" s="334"/>
      <c r="EV877" s="334"/>
    </row>
    <row r="878" spans="35:152" ht="13">
      <c r="AI878" s="115" t="s">
        <v>1416</v>
      </c>
      <c r="AJ878" t="s">
        <v>2114</v>
      </c>
      <c r="AK878" s="115">
        <v>0</v>
      </c>
      <c r="AL878" s="115" t="s">
        <v>28</v>
      </c>
      <c r="AM878" s="115" t="s">
        <v>1832</v>
      </c>
      <c r="AN878" s="115" t="s">
        <v>1628</v>
      </c>
      <c r="AO878" s="115" t="s">
        <v>1274</v>
      </c>
      <c r="AT878" s="115" t="s">
        <v>1415</v>
      </c>
      <c r="AU878" s="115" t="s">
        <v>2114</v>
      </c>
      <c r="AV878" s="115">
        <v>0</v>
      </c>
      <c r="AW878" s="115" t="s">
        <v>499</v>
      </c>
      <c r="AX878" s="115" t="s">
        <v>28</v>
      </c>
      <c r="AY878" s="115" t="s">
        <v>1848</v>
      </c>
      <c r="AZ878" s="115" t="s">
        <v>1925</v>
      </c>
      <c r="BA878" s="115"/>
      <c r="BB878" s="115"/>
      <c r="BC878" s="115">
        <v>3020.5448253750001</v>
      </c>
      <c r="BD878" s="115"/>
      <c r="BE878" s="115"/>
      <c r="BF878" s="115">
        <v>360.67160799999999</v>
      </c>
      <c r="BG878" s="115"/>
      <c r="BH878" s="115">
        <v>519.92614210208001</v>
      </c>
      <c r="BI878" s="115">
        <v>304.85387707500001</v>
      </c>
      <c r="BJ878" s="115">
        <v>497.99754652500002</v>
      </c>
      <c r="BK878" s="115">
        <v>55.909932432000005</v>
      </c>
      <c r="BL878" s="115">
        <v>102.08274180000001</v>
      </c>
      <c r="BM878" s="115"/>
      <c r="BN878" s="115"/>
      <c r="BO878" s="115"/>
      <c r="BP878" s="115"/>
      <c r="DR878" s="214"/>
      <c r="DY878" s="115"/>
      <c r="DZ878" s="334"/>
      <c r="EA878" s="334"/>
      <c r="EB878" s="334"/>
      <c r="EC878" s="334"/>
      <c r="ED878" s="187"/>
      <c r="EE878" s="330"/>
      <c r="EH878" s="334"/>
      <c r="EI878" s="334"/>
      <c r="EM878"/>
      <c r="EO878" s="115"/>
      <c r="EP878" s="334"/>
      <c r="EQ878" s="334"/>
      <c r="ER878" s="334"/>
      <c r="ES878" s="334"/>
      <c r="ET878" s="334"/>
      <c r="EU878" s="334"/>
      <c r="EV878" s="334"/>
    </row>
    <row r="879" spans="35:152" ht="13">
      <c r="AI879" s="115" t="s">
        <v>1416</v>
      </c>
      <c r="AJ879" t="s">
        <v>2114</v>
      </c>
      <c r="AK879" s="115">
        <v>0</v>
      </c>
      <c r="AL879" s="115" t="s">
        <v>28</v>
      </c>
      <c r="AM879" s="115" t="s">
        <v>1850</v>
      </c>
      <c r="AN879" s="115" t="s">
        <v>1628</v>
      </c>
      <c r="AO879" s="115" t="s">
        <v>1274</v>
      </c>
      <c r="AT879" s="115" t="s">
        <v>1415</v>
      </c>
      <c r="AU879" s="115" t="s">
        <v>2114</v>
      </c>
      <c r="AV879" s="115">
        <v>0</v>
      </c>
      <c r="AW879" s="115" t="s">
        <v>499</v>
      </c>
      <c r="AX879" s="115" t="s">
        <v>28</v>
      </c>
      <c r="AY879" s="115" t="s">
        <v>1843</v>
      </c>
      <c r="AZ879" s="115" t="s">
        <v>1925</v>
      </c>
      <c r="BA879" s="115"/>
      <c r="BB879" s="115"/>
      <c r="BC879" s="115">
        <v>3501.2705154639175</v>
      </c>
      <c r="BD879" s="115"/>
      <c r="BE879" s="115"/>
      <c r="BF879" s="115">
        <v>357.89216494845363</v>
      </c>
      <c r="BG879" s="115"/>
      <c r="BH879" s="115">
        <v>7677.3139412371138</v>
      </c>
      <c r="BI879" s="115">
        <v>993.44711340206186</v>
      </c>
      <c r="BJ879" s="115">
        <v>591.71412371134022</v>
      </c>
      <c r="BK879" s="115">
        <v>407.67783505154637</v>
      </c>
      <c r="BL879" s="115">
        <v>668.94360824742273</v>
      </c>
      <c r="BM879" s="115">
        <v>561</v>
      </c>
      <c r="BN879" s="115">
        <v>1642.24</v>
      </c>
      <c r="BO879" s="115">
        <v>2016.68</v>
      </c>
      <c r="BP879" s="115"/>
      <c r="DR879" s="214"/>
      <c r="DY879" s="115"/>
      <c r="DZ879" s="334"/>
      <c r="EA879" s="334"/>
      <c r="EB879" s="334"/>
      <c r="EC879" s="334"/>
      <c r="ED879" s="187"/>
      <c r="EE879" s="330"/>
      <c r="EH879" s="334"/>
      <c r="EI879" s="334"/>
      <c r="EM879"/>
      <c r="EO879" s="115"/>
      <c r="EP879" s="334"/>
      <c r="EQ879" s="334"/>
      <c r="ER879" s="334"/>
      <c r="ES879" s="334"/>
      <c r="ET879" s="334"/>
      <c r="EU879" s="334"/>
      <c r="EV879" s="334"/>
    </row>
    <row r="880" spans="35:152" ht="13">
      <c r="AI880" s="115" t="s">
        <v>1416</v>
      </c>
      <c r="AJ880" t="s">
        <v>2114</v>
      </c>
      <c r="AK880" s="115">
        <v>0</v>
      </c>
      <c r="AL880" s="115" t="s">
        <v>28</v>
      </c>
      <c r="AM880" s="115" t="s">
        <v>1843</v>
      </c>
      <c r="AN880" s="115" t="s">
        <v>1628</v>
      </c>
      <c r="AO880" s="115" t="s">
        <v>1274</v>
      </c>
      <c r="AT880" s="115" t="s">
        <v>1415</v>
      </c>
      <c r="AU880" s="115" t="s">
        <v>2114</v>
      </c>
      <c r="AV880" s="115">
        <v>0</v>
      </c>
      <c r="AW880" s="115" t="s">
        <v>499</v>
      </c>
      <c r="AX880" s="115" t="s">
        <v>28</v>
      </c>
      <c r="AY880" s="115" t="s">
        <v>1849</v>
      </c>
      <c r="AZ880" s="115" t="s">
        <v>1925</v>
      </c>
      <c r="BA880" s="115"/>
      <c r="BB880" s="115"/>
      <c r="BC880" s="115">
        <v>22.673749999999998</v>
      </c>
      <c r="BD880" s="115"/>
      <c r="BE880" s="115"/>
      <c r="BF880" s="115"/>
      <c r="BG880" s="115"/>
      <c r="BH880" s="115">
        <v>107.49283920000001</v>
      </c>
      <c r="BI880" s="115">
        <v>23.847450000000002</v>
      </c>
      <c r="BJ880" s="115">
        <v>1.2367499999999998</v>
      </c>
      <c r="BK880" s="115">
        <v>12.431519999999999</v>
      </c>
      <c r="BL880" s="115">
        <v>22.698</v>
      </c>
      <c r="BM880" s="115"/>
      <c r="BN880" s="115"/>
      <c r="BO880" s="115"/>
      <c r="BP880" s="115"/>
      <c r="DR880" s="214"/>
      <c r="DY880" s="115"/>
      <c r="DZ880" s="334"/>
      <c r="EA880" s="334"/>
      <c r="EB880" s="334"/>
      <c r="EC880" s="334"/>
      <c r="ED880" s="187"/>
      <c r="EE880" s="330"/>
      <c r="EH880" s="334"/>
      <c r="EI880" s="334"/>
      <c r="EM880"/>
      <c r="EO880" s="115"/>
      <c r="EP880" s="334"/>
      <c r="EQ880" s="334"/>
      <c r="ER880" s="334"/>
      <c r="ES880" s="334"/>
      <c r="ET880" s="334"/>
      <c r="EU880" s="334"/>
      <c r="EV880" s="334"/>
    </row>
    <row r="881" spans="35:152" ht="13">
      <c r="AI881" s="115" t="s">
        <v>1416</v>
      </c>
      <c r="AJ881" t="s">
        <v>2114</v>
      </c>
      <c r="AK881" s="115">
        <v>0</v>
      </c>
      <c r="AL881" s="115" t="s">
        <v>28</v>
      </c>
      <c r="AM881" s="115" t="s">
        <v>1832</v>
      </c>
      <c r="AN881" s="115" t="s">
        <v>1628</v>
      </c>
      <c r="AO881" s="115" t="s">
        <v>381</v>
      </c>
      <c r="AT881" s="115" t="s">
        <v>1415</v>
      </c>
      <c r="AU881" s="115" t="s">
        <v>2114</v>
      </c>
      <c r="AV881" s="115">
        <v>0</v>
      </c>
      <c r="AW881" s="115" t="s">
        <v>499</v>
      </c>
      <c r="AX881" s="115" t="s">
        <v>28</v>
      </c>
      <c r="AY881" s="115" t="s">
        <v>1850</v>
      </c>
      <c r="AZ881" s="115" t="s">
        <v>1925</v>
      </c>
      <c r="BA881" s="115"/>
      <c r="BB881" s="115"/>
      <c r="BC881" s="115">
        <v>68.021249999999995</v>
      </c>
      <c r="BD881" s="115"/>
      <c r="BE881" s="115"/>
      <c r="BF881" s="115">
        <v>7.76</v>
      </c>
      <c r="BG881" s="115"/>
      <c r="BH881" s="115">
        <v>11.9436488</v>
      </c>
      <c r="BI881" s="115">
        <v>7.9491500000000004</v>
      </c>
      <c r="BJ881" s="115">
        <v>11.130750000000001</v>
      </c>
      <c r="BK881" s="115">
        <v>1.3812800000000001</v>
      </c>
      <c r="BL881" s="115">
        <v>2.5220000000000002</v>
      </c>
      <c r="BM881" s="115"/>
      <c r="BN881" s="115"/>
      <c r="BO881" s="115"/>
      <c r="BP881" s="115"/>
      <c r="DR881" s="214"/>
      <c r="DY881" s="115"/>
      <c r="DZ881" s="334"/>
      <c r="EA881" s="334"/>
      <c r="EB881" s="334"/>
      <c r="EC881" s="334"/>
      <c r="ED881" s="187"/>
      <c r="EE881" s="330"/>
      <c r="EH881" s="334"/>
      <c r="EI881" s="334"/>
      <c r="EM881"/>
      <c r="EO881" s="115"/>
      <c r="EP881" s="334"/>
      <c r="EQ881" s="334"/>
      <c r="ER881" s="334"/>
      <c r="ES881" s="334"/>
      <c r="ET881" s="334"/>
      <c r="EU881" s="334"/>
      <c r="EV881" s="334"/>
    </row>
    <row r="882" spans="35:152" ht="13">
      <c r="AI882" s="115" t="s">
        <v>1416</v>
      </c>
      <c r="AJ882" t="s">
        <v>2114</v>
      </c>
      <c r="AK882" s="115">
        <v>0</v>
      </c>
      <c r="AL882" s="115" t="s">
        <v>28</v>
      </c>
      <c r="AM882" s="115" t="s">
        <v>1846</v>
      </c>
      <c r="AN882" s="115" t="s">
        <v>1628</v>
      </c>
      <c r="AO882" s="115" t="s">
        <v>381</v>
      </c>
      <c r="AT882" s="115" t="s">
        <v>1415</v>
      </c>
      <c r="AU882" s="115" t="s">
        <v>2114</v>
      </c>
      <c r="AV882" s="115">
        <v>0</v>
      </c>
      <c r="AW882" s="115" t="s">
        <v>499</v>
      </c>
      <c r="AX882" s="115" t="s">
        <v>28</v>
      </c>
      <c r="AY882" s="115" t="s">
        <v>1832</v>
      </c>
      <c r="AZ882" s="115" t="s">
        <v>1925</v>
      </c>
      <c r="BA882" s="115"/>
      <c r="BB882" s="115"/>
      <c r="BC882" s="115">
        <v>93.5</v>
      </c>
      <c r="BD882" s="115"/>
      <c r="BE882" s="115"/>
      <c r="BF882" s="115">
        <v>8</v>
      </c>
      <c r="BG882" s="115"/>
      <c r="BH882" s="115">
        <v>123.13039999999999</v>
      </c>
      <c r="BI882" s="115">
        <v>32.78</v>
      </c>
      <c r="BJ882" s="115">
        <v>12.750000000000002</v>
      </c>
      <c r="BK882" s="115">
        <v>14.24</v>
      </c>
      <c r="BL882" s="115">
        <v>26</v>
      </c>
      <c r="BM882" s="115"/>
      <c r="BN882" s="115"/>
      <c r="BO882" s="115"/>
      <c r="BP882" s="115"/>
      <c r="DR882" s="214"/>
      <c r="DY882" s="115"/>
      <c r="DZ882" s="334"/>
      <c r="EA882" s="334"/>
      <c r="EB882" s="334"/>
      <c r="EC882" s="334"/>
      <c r="ED882" s="187"/>
      <c r="EE882" s="330"/>
      <c r="EH882" s="334"/>
      <c r="EI882" s="334"/>
      <c r="EM882"/>
      <c r="EO882" s="115"/>
      <c r="EP882" s="334"/>
      <c r="EQ882" s="334"/>
      <c r="ER882" s="334"/>
      <c r="ES882" s="334"/>
      <c r="ET882" s="334"/>
      <c r="EU882" s="334"/>
      <c r="EV882" s="334"/>
    </row>
    <row r="883" spans="35:152" ht="13">
      <c r="AI883" s="115" t="s">
        <v>1416</v>
      </c>
      <c r="AJ883" t="s">
        <v>2114</v>
      </c>
      <c r="AK883" s="115">
        <v>0</v>
      </c>
      <c r="AL883" s="115" t="s">
        <v>28</v>
      </c>
      <c r="AM883" s="115" t="s">
        <v>1849</v>
      </c>
      <c r="AN883" s="115" t="s">
        <v>1628</v>
      </c>
      <c r="AO883" s="115" t="s">
        <v>381</v>
      </c>
      <c r="AT883" s="115" t="s">
        <v>1415</v>
      </c>
      <c r="AU883" s="115" t="s">
        <v>2114</v>
      </c>
      <c r="AV883" s="115">
        <v>0</v>
      </c>
      <c r="AW883" s="115" t="s">
        <v>499</v>
      </c>
      <c r="AX883" s="115" t="s">
        <v>28</v>
      </c>
      <c r="AY883" s="115" t="s">
        <v>1846</v>
      </c>
      <c r="AZ883" s="115" t="s">
        <v>1926</v>
      </c>
      <c r="BA883" s="115"/>
      <c r="BB883" s="115"/>
      <c r="BC883" s="115">
        <v>512.20454724999991</v>
      </c>
      <c r="BD883" s="115"/>
      <c r="BE883" s="115"/>
      <c r="BF883" s="115"/>
      <c r="BG883" s="115"/>
      <c r="BH883" s="115">
        <v>15158.5917029056</v>
      </c>
      <c r="BI883" s="115">
        <v>1659.6442047900002</v>
      </c>
      <c r="BJ883" s="115">
        <v>198.28367519999998</v>
      </c>
      <c r="BK883" s="115">
        <v>715.85913398399998</v>
      </c>
      <c r="BL883" s="115">
        <v>1307.0461716</v>
      </c>
      <c r="BM883" s="115">
        <v>1122</v>
      </c>
      <c r="BN883" s="115">
        <v>3284.48</v>
      </c>
      <c r="BO883" s="115">
        <v>4033.36</v>
      </c>
      <c r="BP883" s="115"/>
      <c r="DR883" s="214"/>
      <c r="DY883" s="115"/>
      <c r="DZ883" s="334"/>
      <c r="EA883" s="334"/>
      <c r="EB883" s="334"/>
      <c r="EC883" s="334"/>
      <c r="ED883" s="187"/>
      <c r="EE883" s="330"/>
      <c r="EH883" s="334"/>
      <c r="EI883" s="334"/>
      <c r="EM883"/>
      <c r="EO883" s="115"/>
      <c r="EP883" s="334"/>
      <c r="EQ883" s="334"/>
      <c r="ER883" s="334"/>
      <c r="ES883" s="334"/>
      <c r="ET883" s="334"/>
      <c r="EU883" s="334"/>
      <c r="EV883" s="334"/>
    </row>
    <row r="884" spans="35:152" ht="13">
      <c r="AI884" s="115" t="s">
        <v>1416</v>
      </c>
      <c r="AJ884" t="s">
        <v>2114</v>
      </c>
      <c r="AK884" s="115">
        <v>0</v>
      </c>
      <c r="AL884" s="115" t="s">
        <v>28</v>
      </c>
      <c r="AM884" s="115" t="s">
        <v>1848</v>
      </c>
      <c r="AN884" s="115" t="s">
        <v>1628</v>
      </c>
      <c r="AO884" s="115" t="s">
        <v>381</v>
      </c>
      <c r="AT884" s="115" t="s">
        <v>1415</v>
      </c>
      <c r="AU884" s="115" t="s">
        <v>2114</v>
      </c>
      <c r="AV884" s="115">
        <v>0</v>
      </c>
      <c r="AW884" s="115" t="s">
        <v>499</v>
      </c>
      <c r="AX884" s="115" t="s">
        <v>28</v>
      </c>
      <c r="AY884" s="115" t="s">
        <v>1848</v>
      </c>
      <c r="AZ884" s="115" t="s">
        <v>1926</v>
      </c>
      <c r="BA884" s="115"/>
      <c r="BB884" s="115"/>
      <c r="BC884" s="115">
        <v>3020.5448253750001</v>
      </c>
      <c r="BD884" s="115"/>
      <c r="BE884" s="115"/>
      <c r="BF884" s="115">
        <v>450.83950999999996</v>
      </c>
      <c r="BG884" s="115"/>
      <c r="BH884" s="115">
        <v>1039.85228420416</v>
      </c>
      <c r="BI884" s="115">
        <v>609.70775415000003</v>
      </c>
      <c r="BJ884" s="115">
        <v>995.99509305000004</v>
      </c>
      <c r="BK884" s="115">
        <v>111.81986486400001</v>
      </c>
      <c r="BL884" s="115">
        <v>204.16548360000002</v>
      </c>
      <c r="BM884" s="115"/>
      <c r="BN884" s="115"/>
      <c r="BO884" s="115"/>
      <c r="BP884" s="115"/>
      <c r="DR884" s="214"/>
      <c r="DY884" s="115"/>
      <c r="DZ884" s="334"/>
      <c r="EA884" s="334"/>
      <c r="EB884" s="334"/>
      <c r="EC884" s="334"/>
      <c r="ED884" s="187"/>
      <c r="EE884" s="330"/>
      <c r="EH884" s="334"/>
      <c r="EI884" s="334"/>
      <c r="EM884"/>
      <c r="EO884" s="115"/>
      <c r="EP884" s="334"/>
      <c r="EQ884" s="334"/>
      <c r="ER884" s="334"/>
      <c r="ES884" s="334"/>
      <c r="ET884" s="334"/>
      <c r="EU884" s="334"/>
      <c r="EV884" s="334"/>
    </row>
    <row r="885" spans="35:152" ht="13">
      <c r="AI885" s="115" t="s">
        <v>1416</v>
      </c>
      <c r="AJ885" t="s">
        <v>2114</v>
      </c>
      <c r="AK885" s="115">
        <v>0</v>
      </c>
      <c r="AL885" s="115" t="s">
        <v>28</v>
      </c>
      <c r="AM885" s="115" t="s">
        <v>1843</v>
      </c>
      <c r="AN885" s="115" t="s">
        <v>1628</v>
      </c>
      <c r="AO885" s="115" t="s">
        <v>381</v>
      </c>
      <c r="AT885" s="115" t="s">
        <v>1415</v>
      </c>
      <c r="AU885" s="115" t="s">
        <v>2114</v>
      </c>
      <c r="AV885" s="115">
        <v>0</v>
      </c>
      <c r="AW885" s="115" t="s">
        <v>499</v>
      </c>
      <c r="AX885" s="115" t="s">
        <v>28</v>
      </c>
      <c r="AY885" s="115" t="s">
        <v>1843</v>
      </c>
      <c r="AZ885" s="115" t="s">
        <v>1926</v>
      </c>
      <c r="BA885" s="115"/>
      <c r="BB885" s="115"/>
      <c r="BC885" s="115">
        <v>3501.2705154639175</v>
      </c>
      <c r="BD885" s="115"/>
      <c r="BE885" s="115"/>
      <c r="BF885" s="115">
        <v>447.36525773195876</v>
      </c>
      <c r="BG885" s="115"/>
      <c r="BH885" s="115">
        <v>15354.627882474228</v>
      </c>
      <c r="BI885" s="115">
        <v>1986.8942268041237</v>
      </c>
      <c r="BJ885" s="115">
        <v>1183.428350515464</v>
      </c>
      <c r="BK885" s="115">
        <v>815.3555670103093</v>
      </c>
      <c r="BL885" s="115">
        <v>1337.8871134020619</v>
      </c>
      <c r="BM885" s="115">
        <v>1122</v>
      </c>
      <c r="BN885" s="115">
        <v>3284.48</v>
      </c>
      <c r="BO885" s="115">
        <v>4033.36</v>
      </c>
      <c r="BP885" s="115"/>
      <c r="DR885" s="214"/>
      <c r="DY885" s="115"/>
      <c r="DZ885" s="334"/>
      <c r="EA885" s="334"/>
      <c r="EB885" s="334"/>
      <c r="EC885" s="334"/>
      <c r="ED885" s="187"/>
      <c r="EE885" s="330"/>
      <c r="EH885" s="334"/>
      <c r="EI885" s="334"/>
      <c r="EM885"/>
      <c r="EO885" s="115"/>
      <c r="EP885" s="334"/>
      <c r="EQ885" s="334"/>
      <c r="ER885" s="334"/>
      <c r="ES885" s="334"/>
      <c r="ET885" s="334"/>
      <c r="EU885" s="334"/>
      <c r="EV885" s="334"/>
    </row>
    <row r="886" spans="35:152" ht="13">
      <c r="AI886" s="115" t="s">
        <v>1416</v>
      </c>
      <c r="AJ886" t="s">
        <v>2114</v>
      </c>
      <c r="AK886" s="115">
        <v>0</v>
      </c>
      <c r="AL886" s="115" t="s">
        <v>28</v>
      </c>
      <c r="AM886" s="115" t="s">
        <v>1850</v>
      </c>
      <c r="AN886" s="115" t="s">
        <v>1628</v>
      </c>
      <c r="AO886" s="115" t="s">
        <v>381</v>
      </c>
      <c r="AT886" s="115" t="s">
        <v>1415</v>
      </c>
      <c r="AU886" s="115" t="s">
        <v>2114</v>
      </c>
      <c r="AV886" s="115">
        <v>0</v>
      </c>
      <c r="AW886" s="115" t="s">
        <v>499</v>
      </c>
      <c r="AX886" s="115" t="s">
        <v>28</v>
      </c>
      <c r="AY886" s="115" t="s">
        <v>1849</v>
      </c>
      <c r="AZ886" s="115" t="s">
        <v>1926</v>
      </c>
      <c r="BA886" s="115"/>
      <c r="BB886" s="115"/>
      <c r="BC886" s="115">
        <v>22.673749999999998</v>
      </c>
      <c r="BD886" s="115"/>
      <c r="BE886" s="115"/>
      <c r="BF886" s="115"/>
      <c r="BG886" s="115"/>
      <c r="BH886" s="115">
        <v>214.98567840000001</v>
      </c>
      <c r="BI886" s="115">
        <v>47.694900000000004</v>
      </c>
      <c r="BJ886" s="115">
        <v>2.4734999999999996</v>
      </c>
      <c r="BK886" s="115">
        <v>24.863039999999998</v>
      </c>
      <c r="BL886" s="115">
        <v>45.396000000000001</v>
      </c>
      <c r="BM886" s="115"/>
      <c r="BN886" s="115"/>
      <c r="BO886" s="115"/>
      <c r="BP886" s="115"/>
      <c r="DR886" s="214"/>
      <c r="DY886" s="115"/>
      <c r="DZ886" s="334"/>
      <c r="EA886" s="334"/>
      <c r="EB886" s="334"/>
      <c r="EC886" s="334"/>
      <c r="ED886" s="187"/>
      <c r="EE886" s="330"/>
      <c r="EH886" s="334"/>
      <c r="EI886" s="334"/>
      <c r="EM886"/>
      <c r="EO886" s="115"/>
      <c r="EP886" s="334"/>
      <c r="EQ886" s="334"/>
      <c r="ER886" s="334"/>
      <c r="ES886" s="334"/>
      <c r="ET886" s="334"/>
      <c r="EU886" s="334"/>
      <c r="EV886" s="334"/>
    </row>
    <row r="887" spans="35:152" ht="13">
      <c r="AI887" s="115" t="s">
        <v>1416</v>
      </c>
      <c r="AJ887" t="s">
        <v>2114</v>
      </c>
      <c r="AK887" s="115">
        <v>0</v>
      </c>
      <c r="AL887" s="115" t="s">
        <v>28</v>
      </c>
      <c r="AM887" s="115" t="s">
        <v>1832</v>
      </c>
      <c r="AN887" s="115" t="s">
        <v>1628</v>
      </c>
      <c r="AO887" s="115" t="s">
        <v>379</v>
      </c>
      <c r="AT887" s="115" t="s">
        <v>1415</v>
      </c>
      <c r="AU887" s="115" t="s">
        <v>2114</v>
      </c>
      <c r="AV887" s="115">
        <v>0</v>
      </c>
      <c r="AW887" s="115" t="s">
        <v>499</v>
      </c>
      <c r="AX887" s="115" t="s">
        <v>28</v>
      </c>
      <c r="AY887" s="115" t="s">
        <v>1850</v>
      </c>
      <c r="AZ887" s="115" t="s">
        <v>1926</v>
      </c>
      <c r="BA887" s="115"/>
      <c r="BB887" s="115"/>
      <c r="BC887" s="115">
        <v>68.021249999999995</v>
      </c>
      <c r="BD887" s="115"/>
      <c r="BE887" s="115"/>
      <c r="BF887" s="115">
        <v>9.6999999999999993</v>
      </c>
      <c r="BG887" s="115"/>
      <c r="BH887" s="115">
        <v>23.8872976</v>
      </c>
      <c r="BI887" s="115">
        <v>15.898300000000001</v>
      </c>
      <c r="BJ887" s="115">
        <v>22.261500000000002</v>
      </c>
      <c r="BK887" s="115">
        <v>2.7625600000000001</v>
      </c>
      <c r="BL887" s="115">
        <v>5.0440000000000005</v>
      </c>
      <c r="BM887" s="115"/>
      <c r="BN887" s="115"/>
      <c r="BO887" s="115"/>
      <c r="BP887" s="115"/>
      <c r="DR887" s="214"/>
      <c r="DY887" s="115"/>
      <c r="DZ887" s="334"/>
      <c r="EA887" s="334"/>
      <c r="EB887" s="334"/>
      <c r="EC887" s="334"/>
      <c r="ED887" s="187"/>
      <c r="EE887" s="330"/>
      <c r="EH887" s="334"/>
      <c r="EI887" s="334"/>
      <c r="EM887"/>
      <c r="EO887" s="115"/>
      <c r="EP887" s="334"/>
      <c r="EQ887" s="334"/>
      <c r="ER887" s="334"/>
      <c r="ES887" s="334"/>
      <c r="ET887" s="334"/>
      <c r="EU887" s="334"/>
      <c r="EV887" s="334"/>
    </row>
    <row r="888" spans="35:152" ht="13">
      <c r="AI888" s="115" t="s">
        <v>1416</v>
      </c>
      <c r="AJ888" t="s">
        <v>2114</v>
      </c>
      <c r="AK888" s="115">
        <v>0</v>
      </c>
      <c r="AL888" s="115" t="s">
        <v>28</v>
      </c>
      <c r="AM888" s="115" t="s">
        <v>1848</v>
      </c>
      <c r="AN888" s="115" t="s">
        <v>1628</v>
      </c>
      <c r="AO888" s="115" t="s">
        <v>379</v>
      </c>
      <c r="AT888" s="115" t="s">
        <v>1415</v>
      </c>
      <c r="AU888" s="115" t="s">
        <v>2114</v>
      </c>
      <c r="AV888" s="115">
        <v>0</v>
      </c>
      <c r="AW888" s="115" t="s">
        <v>499</v>
      </c>
      <c r="AX888" s="115" t="s">
        <v>28</v>
      </c>
      <c r="AY888" s="115" t="s">
        <v>1832</v>
      </c>
      <c r="AZ888" s="115" t="s">
        <v>1926</v>
      </c>
      <c r="BA888" s="115"/>
      <c r="BB888" s="115"/>
      <c r="BC888" s="115">
        <v>93.5</v>
      </c>
      <c r="BD888" s="115"/>
      <c r="BE888" s="115"/>
      <c r="BF888" s="115">
        <v>10</v>
      </c>
      <c r="BG888" s="115"/>
      <c r="BH888" s="115">
        <v>246.26079999999999</v>
      </c>
      <c r="BI888" s="115">
        <v>65.56</v>
      </c>
      <c r="BJ888" s="115">
        <v>25.500000000000004</v>
      </c>
      <c r="BK888" s="115">
        <v>28.48</v>
      </c>
      <c r="BL888" s="115">
        <v>52</v>
      </c>
      <c r="BM888" s="115"/>
      <c r="BN888" s="115"/>
      <c r="BO888" s="115"/>
      <c r="BP888" s="115"/>
      <c r="DR888" s="214"/>
      <c r="DY888" s="115"/>
      <c r="DZ888" s="334"/>
      <c r="EA888" s="334"/>
      <c r="EB888" s="334"/>
      <c r="EC888" s="334"/>
      <c r="ED888" s="187"/>
      <c r="EE888" s="330"/>
      <c r="EH888" s="334"/>
      <c r="EI888" s="334"/>
      <c r="EM888"/>
      <c r="EO888" s="115"/>
      <c r="EP888" s="334"/>
      <c r="EQ888" s="334"/>
      <c r="ER888" s="334"/>
      <c r="ES888" s="334"/>
      <c r="ET888" s="334"/>
      <c r="EU888" s="334"/>
      <c r="EV888" s="334"/>
    </row>
    <row r="889" spans="35:152" ht="13">
      <c r="AI889" s="115" t="s">
        <v>1416</v>
      </c>
      <c r="AJ889" t="s">
        <v>2114</v>
      </c>
      <c r="AK889" s="115">
        <v>0</v>
      </c>
      <c r="AL889" s="115" t="s">
        <v>28</v>
      </c>
      <c r="AM889" s="115" t="s">
        <v>1843</v>
      </c>
      <c r="AN889" s="115" t="s">
        <v>1628</v>
      </c>
      <c r="AO889" s="115" t="s">
        <v>379</v>
      </c>
      <c r="AT889" s="115" t="s">
        <v>1415</v>
      </c>
      <c r="AU889" s="115" t="s">
        <v>2114</v>
      </c>
      <c r="AV889" s="115">
        <v>0</v>
      </c>
      <c r="AW889" s="115" t="s">
        <v>499</v>
      </c>
      <c r="AX889" s="115" t="s">
        <v>28</v>
      </c>
      <c r="AY889" s="115" t="s">
        <v>1846</v>
      </c>
      <c r="AZ889" s="115" t="s">
        <v>1927</v>
      </c>
      <c r="BA889" s="115"/>
      <c r="BB889" s="115"/>
      <c r="BC889" s="115">
        <v>680.65684487499982</v>
      </c>
      <c r="BD889" s="115"/>
      <c r="BE889" s="115"/>
      <c r="BF889" s="115"/>
      <c r="BG889" s="115"/>
      <c r="BH889" s="115">
        <v>5644.4554622895994</v>
      </c>
      <c r="BI889" s="115">
        <v>669.57884711250006</v>
      </c>
      <c r="BJ889" s="115">
        <v>61.963648499999991</v>
      </c>
      <c r="BK889" s="115">
        <v>273.72563093700006</v>
      </c>
      <c r="BL889" s="115">
        <v>418.50612994499994</v>
      </c>
      <c r="BM889" s="115">
        <v>624.19070000000011</v>
      </c>
      <c r="BN889" s="115">
        <v>1469.82</v>
      </c>
      <c r="BO889" s="115">
        <v>1756.53</v>
      </c>
      <c r="BP889" s="115"/>
      <c r="DR889" s="214"/>
      <c r="DY889" s="115"/>
      <c r="DZ889" s="334"/>
      <c r="EA889" s="334"/>
      <c r="EB889" s="334"/>
      <c r="EC889" s="334"/>
      <c r="ED889" s="187"/>
      <c r="EE889" s="330"/>
      <c r="EH889" s="334"/>
      <c r="EI889" s="334"/>
      <c r="EM889"/>
      <c r="EO889" s="115"/>
      <c r="EP889" s="334"/>
      <c r="EQ889" s="334"/>
      <c r="ER889" s="334"/>
      <c r="ES889" s="334"/>
      <c r="ET889" s="334"/>
      <c r="EU889" s="334"/>
      <c r="EV889" s="334"/>
    </row>
    <row r="890" spans="35:152" ht="13">
      <c r="AI890" s="115" t="s">
        <v>1416</v>
      </c>
      <c r="AJ890" t="s">
        <v>2114</v>
      </c>
      <c r="AK890" s="115">
        <v>0</v>
      </c>
      <c r="AL890" s="115" t="s">
        <v>28</v>
      </c>
      <c r="AM890" s="115" t="s">
        <v>1849</v>
      </c>
      <c r="AN890" s="115" t="s">
        <v>1628</v>
      </c>
      <c r="AO890" s="115" t="s">
        <v>379</v>
      </c>
      <c r="AT890" s="115" t="s">
        <v>1415</v>
      </c>
      <c r="AU890" s="115" t="s">
        <v>2114</v>
      </c>
      <c r="AV890" s="115">
        <v>0</v>
      </c>
      <c r="AW890" s="115" t="s">
        <v>499</v>
      </c>
      <c r="AX890" s="115" t="s">
        <v>28</v>
      </c>
      <c r="AY890" s="115" t="s">
        <v>1848</v>
      </c>
      <c r="AZ890" s="115" t="s">
        <v>1927</v>
      </c>
      <c r="BA890" s="115"/>
      <c r="BB890" s="115"/>
      <c r="BC890" s="115">
        <v>4013.9325620624995</v>
      </c>
      <c r="BD890" s="115"/>
      <c r="BE890" s="115"/>
      <c r="BF890" s="115">
        <v>304.31666924999996</v>
      </c>
      <c r="BG890" s="115"/>
      <c r="BH890" s="115">
        <v>415.17443364656003</v>
      </c>
      <c r="BI890" s="115">
        <v>245.9849008125</v>
      </c>
      <c r="BJ890" s="115">
        <v>311.24846657812503</v>
      </c>
      <c r="BK890" s="115">
        <v>42.756963777000003</v>
      </c>
      <c r="BL890" s="115">
        <v>65.372217344999996</v>
      </c>
      <c r="BM890" s="115"/>
      <c r="BN890" s="115"/>
      <c r="BO890" s="115"/>
      <c r="BP890" s="115"/>
      <c r="DR890" s="214"/>
      <c r="DY890" s="115"/>
      <c r="DZ890" s="334"/>
      <c r="EA890" s="334"/>
      <c r="EB890" s="334"/>
      <c r="EC890" s="334"/>
      <c r="ED890" s="187"/>
      <c r="EE890" s="330"/>
      <c r="EH890" s="334"/>
      <c r="EI890" s="334"/>
      <c r="EM890"/>
      <c r="EO890" s="115"/>
      <c r="EP890" s="334"/>
      <c r="EQ890" s="334"/>
      <c r="ER890" s="334"/>
      <c r="ES890" s="334"/>
      <c r="ET890" s="334"/>
      <c r="EU890" s="334"/>
      <c r="EV890" s="334"/>
    </row>
    <row r="891" spans="35:152" ht="13">
      <c r="AI891" s="115" t="s">
        <v>1416</v>
      </c>
      <c r="AJ891" t="s">
        <v>2114</v>
      </c>
      <c r="AK891" s="115">
        <v>0</v>
      </c>
      <c r="AL891" s="115" t="s">
        <v>28</v>
      </c>
      <c r="AM891" s="115" t="s">
        <v>1846</v>
      </c>
      <c r="AN891" s="115" t="s">
        <v>1628</v>
      </c>
      <c r="AO891" s="115" t="s">
        <v>379</v>
      </c>
      <c r="AT891" s="115" t="s">
        <v>1415</v>
      </c>
      <c r="AU891" s="115" t="s">
        <v>2114</v>
      </c>
      <c r="AV891" s="115">
        <v>0</v>
      </c>
      <c r="AW891" s="115" t="s">
        <v>499</v>
      </c>
      <c r="AX891" s="115" t="s">
        <v>28</v>
      </c>
      <c r="AY891" s="115" t="s">
        <v>1843</v>
      </c>
      <c r="AZ891" s="115" t="s">
        <v>1927</v>
      </c>
      <c r="BA891" s="115"/>
      <c r="BB891" s="115"/>
      <c r="BC891" s="115">
        <v>4652.7579381443293</v>
      </c>
      <c r="BD891" s="115"/>
      <c r="BE891" s="115"/>
      <c r="BF891" s="115">
        <v>301.97154639175255</v>
      </c>
      <c r="BG891" s="115"/>
      <c r="BH891" s="115">
        <v>5722.7254226804125</v>
      </c>
      <c r="BI891" s="115">
        <v>801.60701030927839</v>
      </c>
      <c r="BJ891" s="115">
        <v>369.8213402061856</v>
      </c>
      <c r="BK891" s="115">
        <v>311.77041237113406</v>
      </c>
      <c r="BL891" s="115">
        <v>428.38113402061856</v>
      </c>
      <c r="BM891" s="115">
        <v>624.19070000000011</v>
      </c>
      <c r="BN891" s="115">
        <v>1469.82</v>
      </c>
      <c r="BO891" s="115">
        <v>1756.53</v>
      </c>
      <c r="BP891" s="115"/>
      <c r="DR891" s="214"/>
      <c r="DY891" s="115"/>
      <c r="DZ891" s="334"/>
      <c r="EA891" s="334"/>
      <c r="EB891" s="334"/>
      <c r="EC891" s="334"/>
      <c r="ED891" s="187"/>
      <c r="EE891" s="330"/>
      <c r="EH891" s="334"/>
      <c r="EI891" s="334"/>
      <c r="EM891"/>
      <c r="EO891" s="115"/>
      <c r="EP891" s="334"/>
      <c r="EQ891" s="334"/>
      <c r="ER891" s="334"/>
      <c r="ES891" s="334"/>
      <c r="ET891" s="334"/>
      <c r="EU891" s="334"/>
      <c r="EV891" s="334"/>
    </row>
    <row r="892" spans="35:152" ht="13">
      <c r="AI892" s="115" t="s">
        <v>1416</v>
      </c>
      <c r="AJ892" t="s">
        <v>2114</v>
      </c>
      <c r="AK892" s="115">
        <v>0</v>
      </c>
      <c r="AL892" s="115" t="s">
        <v>28</v>
      </c>
      <c r="AM892" s="115" t="s">
        <v>1850</v>
      </c>
      <c r="AN892" s="115" t="s">
        <v>1628</v>
      </c>
      <c r="AO892" s="115" t="s">
        <v>379</v>
      </c>
      <c r="AT892" s="115" t="s">
        <v>1415</v>
      </c>
      <c r="AU892" s="115" t="s">
        <v>2114</v>
      </c>
      <c r="AV892" s="115">
        <v>0</v>
      </c>
      <c r="AW892" s="115" t="s">
        <v>499</v>
      </c>
      <c r="AX892" s="115" t="s">
        <v>28</v>
      </c>
      <c r="AY892" s="115" t="s">
        <v>1849</v>
      </c>
      <c r="AZ892" s="115" t="s">
        <v>1927</v>
      </c>
      <c r="BA892" s="115"/>
      <c r="BB892" s="115"/>
      <c r="BC892" s="115">
        <v>30.130624999999995</v>
      </c>
      <c r="BD892" s="115"/>
      <c r="BE892" s="115"/>
      <c r="BF892" s="115"/>
      <c r="BG892" s="115"/>
      <c r="BH892" s="115">
        <v>85.835804400000001</v>
      </c>
      <c r="BI892" s="115">
        <v>19.242375000000003</v>
      </c>
      <c r="BJ892" s="115">
        <v>0.77296874999999987</v>
      </c>
      <c r="BK892" s="115">
        <v>9.5069700000000008</v>
      </c>
      <c r="BL892" s="115">
        <v>14.535449999999997</v>
      </c>
      <c r="BM892" s="115"/>
      <c r="BN892" s="115"/>
      <c r="BO892" s="115"/>
      <c r="BP892" s="115"/>
      <c r="DR892" s="214"/>
      <c r="DY892" s="115"/>
      <c r="DZ892" s="334"/>
      <c r="EA892" s="334"/>
      <c r="EB892" s="334"/>
      <c r="EC892" s="334"/>
      <c r="ED892" s="187"/>
      <c r="EE892" s="330"/>
      <c r="EH892" s="334"/>
      <c r="EI892" s="334"/>
      <c r="EM892"/>
      <c r="EO892" s="115"/>
      <c r="EP892" s="334"/>
      <c r="EQ892" s="334"/>
      <c r="ER892" s="334"/>
      <c r="ES892" s="334"/>
      <c r="ET892" s="334"/>
      <c r="EU892" s="334"/>
      <c r="EV892" s="334"/>
    </row>
    <row r="893" spans="35:152" ht="13">
      <c r="AI893" s="115" t="s">
        <v>1416</v>
      </c>
      <c r="AJ893" t="s">
        <v>2114</v>
      </c>
      <c r="AK893" s="115">
        <v>0</v>
      </c>
      <c r="AL893" s="115" t="s">
        <v>28</v>
      </c>
      <c r="AM893" s="115" t="s">
        <v>1848</v>
      </c>
      <c r="AN893" s="115" t="s">
        <v>1628</v>
      </c>
      <c r="AO893" s="115" t="s">
        <v>1645</v>
      </c>
      <c r="AT893" s="115" t="s">
        <v>1415</v>
      </c>
      <c r="AU893" s="115" t="s">
        <v>2114</v>
      </c>
      <c r="AV893" s="115">
        <v>0</v>
      </c>
      <c r="AW893" s="115" t="s">
        <v>499</v>
      </c>
      <c r="AX893" s="115" t="s">
        <v>28</v>
      </c>
      <c r="AY893" s="115" t="s">
        <v>1850</v>
      </c>
      <c r="AZ893" s="115" t="s">
        <v>1927</v>
      </c>
      <c r="BA893" s="115"/>
      <c r="BB893" s="115"/>
      <c r="BC893" s="115">
        <v>90.391874999999985</v>
      </c>
      <c r="BD893" s="115"/>
      <c r="BE893" s="115"/>
      <c r="BF893" s="115">
        <v>6.5474999999999994</v>
      </c>
      <c r="BG893" s="115"/>
      <c r="BH893" s="115">
        <v>9.5373116000000007</v>
      </c>
      <c r="BI893" s="115">
        <v>6.4141250000000003</v>
      </c>
      <c r="BJ893" s="115">
        <v>6.9567187500000012</v>
      </c>
      <c r="BK893" s="115">
        <v>1.05633</v>
      </c>
      <c r="BL893" s="115">
        <v>1.6150499999999999</v>
      </c>
      <c r="BM893" s="115"/>
      <c r="BN893" s="115"/>
      <c r="BO893" s="115"/>
      <c r="BP893" s="115"/>
      <c r="DR893" s="214"/>
      <c r="DY893" s="115"/>
      <c r="DZ893" s="334"/>
      <c r="EA893" s="334"/>
      <c r="EB893" s="334"/>
      <c r="EC893" s="334"/>
      <c r="ED893" s="187"/>
      <c r="EE893" s="330"/>
      <c r="EH893" s="334"/>
      <c r="EI893" s="334"/>
      <c r="EM893"/>
      <c r="EO893" s="115"/>
      <c r="EP893" s="334"/>
      <c r="EQ893" s="334"/>
      <c r="ER893" s="334"/>
      <c r="ES893" s="334"/>
      <c r="ET893" s="334"/>
      <c r="EU893" s="334"/>
      <c r="EV893" s="334"/>
    </row>
    <row r="894" spans="35:152" ht="13">
      <c r="AI894" s="115" t="s">
        <v>1416</v>
      </c>
      <c r="AJ894" t="s">
        <v>2114</v>
      </c>
      <c r="AK894" s="115">
        <v>0</v>
      </c>
      <c r="AL894" s="115" t="s">
        <v>28</v>
      </c>
      <c r="AM894" s="115" t="s">
        <v>1846</v>
      </c>
      <c r="AN894" s="115" t="s">
        <v>1628</v>
      </c>
      <c r="AO894" s="115" t="s">
        <v>1645</v>
      </c>
      <c r="AT894" s="115" t="s">
        <v>1415</v>
      </c>
      <c r="AU894" s="115" t="s">
        <v>2114</v>
      </c>
      <c r="AV894" s="115">
        <v>0</v>
      </c>
      <c r="AW894" s="115" t="s">
        <v>499</v>
      </c>
      <c r="AX894" s="115" t="s">
        <v>28</v>
      </c>
      <c r="AY894" s="115" t="s">
        <v>1832</v>
      </c>
      <c r="AZ894" s="115" t="s">
        <v>1927</v>
      </c>
      <c r="BA894" s="115"/>
      <c r="BB894" s="115"/>
      <c r="BC894" s="115">
        <v>124.24999999999999</v>
      </c>
      <c r="BD894" s="115"/>
      <c r="BE894" s="115"/>
      <c r="BF894" s="115">
        <v>6.75</v>
      </c>
      <c r="BG894" s="115"/>
      <c r="BH894" s="115">
        <v>98.322800000000001</v>
      </c>
      <c r="BI894" s="115">
        <v>26.450000000000003</v>
      </c>
      <c r="BJ894" s="115">
        <v>7.9687500000000009</v>
      </c>
      <c r="BK894" s="115">
        <v>10.89</v>
      </c>
      <c r="BL894" s="115">
        <v>16.649999999999999</v>
      </c>
      <c r="BM894" s="115"/>
      <c r="BN894" s="115"/>
      <c r="BO894" s="115"/>
      <c r="BP894" s="115"/>
      <c r="DR894" s="214"/>
      <c r="DY894" s="115"/>
      <c r="DZ894" s="334"/>
      <c r="EA894" s="334"/>
      <c r="EB894" s="334"/>
      <c r="EC894" s="334"/>
      <c r="ED894" s="187"/>
      <c r="EE894" s="330"/>
      <c r="EH894" s="334"/>
      <c r="EI894" s="334"/>
      <c r="EM894"/>
      <c r="EO894" s="115"/>
      <c r="EP894" s="334"/>
      <c r="EQ894" s="334"/>
      <c r="ER894" s="334"/>
      <c r="ES894" s="334"/>
      <c r="ET894" s="334"/>
      <c r="EU894" s="334"/>
      <c r="EV894" s="334"/>
    </row>
    <row r="895" spans="35:152" ht="13">
      <c r="AI895" s="115" t="s">
        <v>1416</v>
      </c>
      <c r="AJ895" t="s">
        <v>2114</v>
      </c>
      <c r="AK895" s="115">
        <v>0</v>
      </c>
      <c r="AL895" s="115" t="s">
        <v>28</v>
      </c>
      <c r="AM895" s="115" t="s">
        <v>1849</v>
      </c>
      <c r="AN895" s="115" t="s">
        <v>1628</v>
      </c>
      <c r="AO895" s="115" t="s">
        <v>1645</v>
      </c>
      <c r="AT895" s="115" t="s">
        <v>1415</v>
      </c>
      <c r="AU895" s="115" t="s">
        <v>2114</v>
      </c>
      <c r="AV895" s="115">
        <v>0</v>
      </c>
      <c r="AW895" s="115" t="s">
        <v>494</v>
      </c>
      <c r="AX895" s="115" t="s">
        <v>28</v>
      </c>
      <c r="AY895" s="115" t="s">
        <v>1846</v>
      </c>
      <c r="AZ895" s="115" t="s">
        <v>1928</v>
      </c>
      <c r="BA895" s="115"/>
      <c r="BB895" s="115"/>
      <c r="BC895" s="115">
        <v>273.90617500000002</v>
      </c>
      <c r="BD895" s="115"/>
      <c r="BE895" s="115"/>
      <c r="BF895" s="115"/>
      <c r="BG895" s="115"/>
      <c r="BH895" s="115">
        <v>93720</v>
      </c>
      <c r="BI895" s="115">
        <v>4746.0063</v>
      </c>
      <c r="BJ895" s="115"/>
      <c r="BK895" s="115"/>
      <c r="BL895" s="115"/>
      <c r="BM895" s="115"/>
      <c r="BN895" s="115"/>
      <c r="BO895" s="115"/>
      <c r="BP895" s="115"/>
      <c r="DR895" s="214"/>
      <c r="DY895" s="115"/>
      <c r="DZ895" s="334"/>
      <c r="EA895" s="334"/>
      <c r="EB895" s="334"/>
      <c r="EC895" s="334"/>
      <c r="ED895" s="187"/>
      <c r="EE895" s="330"/>
      <c r="EH895" s="334"/>
      <c r="EI895" s="334"/>
      <c r="EM895"/>
      <c r="EO895" s="115"/>
      <c r="EP895" s="334"/>
      <c r="EQ895" s="334"/>
      <c r="ER895" s="334"/>
      <c r="ES895" s="334"/>
      <c r="ET895" s="334"/>
      <c r="EU895" s="334"/>
      <c r="EV895" s="334"/>
    </row>
    <row r="896" spans="35:152" ht="13">
      <c r="AI896" s="115" t="s">
        <v>1416</v>
      </c>
      <c r="AJ896" t="s">
        <v>2114</v>
      </c>
      <c r="AK896" s="115">
        <v>0</v>
      </c>
      <c r="AL896" s="115" t="s">
        <v>28</v>
      </c>
      <c r="AM896" s="115" t="s">
        <v>1850</v>
      </c>
      <c r="AN896" s="115" t="s">
        <v>1628</v>
      </c>
      <c r="AO896" s="115" t="s">
        <v>1645</v>
      </c>
      <c r="AT896" s="115" t="s">
        <v>1415</v>
      </c>
      <c r="AU896" s="115" t="s">
        <v>2114</v>
      </c>
      <c r="AV896" s="115">
        <v>0</v>
      </c>
      <c r="AW896" s="115" t="s">
        <v>494</v>
      </c>
      <c r="AX896" s="115" t="s">
        <v>28</v>
      </c>
      <c r="AY896" s="115" t="s">
        <v>1848</v>
      </c>
      <c r="AZ896" s="115" t="s">
        <v>1928</v>
      </c>
      <c r="BA896" s="115"/>
      <c r="BB896" s="115"/>
      <c r="BC896" s="115">
        <v>1615.2646125000001</v>
      </c>
      <c r="BD896" s="115"/>
      <c r="BE896" s="115"/>
      <c r="BF896" s="115"/>
      <c r="BG896" s="115"/>
      <c r="BH896" s="115"/>
      <c r="BI896" s="115">
        <v>2138.9991375</v>
      </c>
      <c r="BJ896" s="115"/>
      <c r="BK896" s="115"/>
      <c r="BL896" s="115"/>
      <c r="BM896" s="115"/>
      <c r="BN896" s="115"/>
      <c r="BO896" s="115"/>
      <c r="BP896" s="115"/>
      <c r="DR896" s="214"/>
      <c r="DY896" s="115"/>
      <c r="DZ896" s="334"/>
      <c r="EA896" s="334"/>
      <c r="EB896" s="334"/>
      <c r="EC896" s="334"/>
      <c r="ED896" s="187"/>
      <c r="EE896" s="330"/>
      <c r="EH896" s="334"/>
      <c r="EI896" s="334"/>
      <c r="EM896"/>
      <c r="EO896" s="115"/>
      <c r="EP896" s="334"/>
      <c r="EQ896" s="334"/>
      <c r="ER896" s="334"/>
      <c r="ES896" s="334"/>
      <c r="ET896" s="334"/>
      <c r="EU896" s="334"/>
      <c r="EV896" s="334"/>
    </row>
    <row r="897" spans="35:152" ht="13">
      <c r="AI897" s="115" t="s">
        <v>1416</v>
      </c>
      <c r="AJ897" t="s">
        <v>2114</v>
      </c>
      <c r="AK897" s="115">
        <v>0</v>
      </c>
      <c r="AL897" s="115" t="s">
        <v>28</v>
      </c>
      <c r="AM897" s="115" t="s">
        <v>1843</v>
      </c>
      <c r="AN897" s="115" t="s">
        <v>1628</v>
      </c>
      <c r="AO897" s="115" t="s">
        <v>1645</v>
      </c>
      <c r="AT897" s="115" t="s">
        <v>1415</v>
      </c>
      <c r="AU897" s="115" t="s">
        <v>2114</v>
      </c>
      <c r="AV897" s="115">
        <v>0</v>
      </c>
      <c r="AW897" s="115" t="s">
        <v>494</v>
      </c>
      <c r="AX897" s="115" t="s">
        <v>28</v>
      </c>
      <c r="AY897" s="115" t="s">
        <v>1843</v>
      </c>
      <c r="AZ897" s="115" t="s">
        <v>1928</v>
      </c>
      <c r="BA897" s="115"/>
      <c r="BB897" s="115"/>
      <c r="BC897" s="115">
        <v>1872.3372164948453</v>
      </c>
      <c r="BD897" s="115"/>
      <c r="BE897" s="115"/>
      <c r="BF897" s="115"/>
      <c r="BG897" s="115"/>
      <c r="BH897" s="115">
        <v>93720</v>
      </c>
      <c r="BI897" s="115">
        <v>6970.4953608247424</v>
      </c>
      <c r="BJ897" s="115"/>
      <c r="BK897" s="115"/>
      <c r="BL897" s="115"/>
      <c r="BM897" s="115"/>
      <c r="BN897" s="115"/>
      <c r="BO897" s="115"/>
      <c r="BP897" s="115"/>
      <c r="DR897" s="214"/>
      <c r="DY897" s="115"/>
      <c r="DZ897" s="334"/>
      <c r="EA897" s="334"/>
      <c r="EB897" s="334"/>
      <c r="EC897" s="334"/>
      <c r="ED897" s="187"/>
      <c r="EE897" s="330"/>
      <c r="EH897" s="334"/>
      <c r="EI897" s="334"/>
      <c r="EM897"/>
      <c r="EO897" s="115"/>
      <c r="EP897" s="334"/>
      <c r="EQ897" s="334"/>
      <c r="ER897" s="334"/>
      <c r="ES897" s="334"/>
      <c r="ET897" s="334"/>
      <c r="EU897" s="334"/>
      <c r="EV897" s="334"/>
    </row>
    <row r="898" spans="35:152" ht="13">
      <c r="AI898" s="115" t="s">
        <v>1416</v>
      </c>
      <c r="AJ898" t="s">
        <v>2114</v>
      </c>
      <c r="AK898" s="115">
        <v>0</v>
      </c>
      <c r="AL898" s="115" t="s">
        <v>28</v>
      </c>
      <c r="AM898" s="115" t="s">
        <v>1832</v>
      </c>
      <c r="AN898" s="115" t="s">
        <v>1628</v>
      </c>
      <c r="AO898" s="115" t="s">
        <v>1645</v>
      </c>
      <c r="AT898" s="115" t="s">
        <v>1415</v>
      </c>
      <c r="AU898" s="115" t="s">
        <v>2114</v>
      </c>
      <c r="AV898" s="115">
        <v>0</v>
      </c>
      <c r="AW898" s="115" t="s">
        <v>494</v>
      </c>
      <c r="AX898" s="115" t="s">
        <v>28</v>
      </c>
      <c r="AY898" s="115" t="s">
        <v>1849</v>
      </c>
      <c r="AZ898" s="115" t="s">
        <v>1928</v>
      </c>
      <c r="BA898" s="115"/>
      <c r="BB898" s="115"/>
      <c r="BC898" s="115">
        <v>12.125</v>
      </c>
      <c r="BD898" s="115"/>
      <c r="BE898" s="115"/>
      <c r="BF898" s="115"/>
      <c r="BG898" s="115"/>
      <c r="BH898" s="115"/>
      <c r="BI898" s="115">
        <v>167.32499999999999</v>
      </c>
      <c r="BJ898" s="115"/>
      <c r="BK898" s="115"/>
      <c r="BL898" s="115"/>
      <c r="BM898" s="115"/>
      <c r="BN898" s="115"/>
      <c r="BO898" s="115"/>
      <c r="BP898" s="115"/>
      <c r="DR898" s="214"/>
      <c r="DY898" s="115"/>
      <c r="DZ898" s="334"/>
      <c r="EA898" s="334"/>
      <c r="EB898" s="334"/>
      <c r="EC898" s="334"/>
      <c r="ED898" s="187"/>
      <c r="EE898" s="330"/>
      <c r="EH898" s="334"/>
      <c r="EI898" s="334"/>
      <c r="EM898"/>
      <c r="EO898" s="115"/>
      <c r="EP898" s="334"/>
      <c r="EQ898" s="334"/>
      <c r="ER898" s="334"/>
      <c r="ES898" s="334"/>
      <c r="ET898" s="334"/>
      <c r="EU898" s="334"/>
      <c r="EV898" s="334"/>
    </row>
    <row r="899" spans="35:152" ht="13">
      <c r="AI899" s="115" t="s">
        <v>1416</v>
      </c>
      <c r="AJ899" t="s">
        <v>2114</v>
      </c>
      <c r="AK899" s="115">
        <v>0</v>
      </c>
      <c r="AL899" s="115" t="s">
        <v>28</v>
      </c>
      <c r="AM899" s="115" t="s">
        <v>1843</v>
      </c>
      <c r="AN899" s="115" t="s">
        <v>1628</v>
      </c>
      <c r="AO899" s="115" t="s">
        <v>1646</v>
      </c>
      <c r="AT899" s="115" t="s">
        <v>1415</v>
      </c>
      <c r="AU899" s="115" t="s">
        <v>2114</v>
      </c>
      <c r="AV899" s="115">
        <v>0</v>
      </c>
      <c r="AW899" s="115" t="s">
        <v>494</v>
      </c>
      <c r="AX899" s="115" t="s">
        <v>28</v>
      </c>
      <c r="AY899" s="115" t="s">
        <v>1850</v>
      </c>
      <c r="AZ899" s="115" t="s">
        <v>1928</v>
      </c>
      <c r="BA899" s="115"/>
      <c r="BB899" s="115"/>
      <c r="BC899" s="115">
        <v>36.375</v>
      </c>
      <c r="BD899" s="115"/>
      <c r="BE899" s="115"/>
      <c r="BF899" s="115"/>
      <c r="BG899" s="115"/>
      <c r="BH899" s="115"/>
      <c r="BI899" s="115">
        <v>55.774999999999999</v>
      </c>
      <c r="BJ899" s="115"/>
      <c r="BK899" s="115"/>
      <c r="BL899" s="115"/>
      <c r="BM899" s="115"/>
      <c r="BN899" s="115"/>
      <c r="BO899" s="115"/>
      <c r="BP899" s="115"/>
      <c r="DR899" s="214"/>
      <c r="DY899" s="115"/>
      <c r="DZ899" s="334"/>
      <c r="EA899" s="334"/>
      <c r="EB899" s="334"/>
      <c r="EC899" s="334"/>
      <c r="ED899" s="187"/>
      <c r="EE899" s="330"/>
      <c r="EH899" s="334"/>
      <c r="EI899" s="334"/>
      <c r="EM899"/>
      <c r="EO899" s="115"/>
      <c r="EP899" s="334"/>
      <c r="EQ899" s="334"/>
      <c r="ER899" s="334"/>
      <c r="ES899" s="334"/>
      <c r="ET899" s="334"/>
      <c r="EU899" s="334"/>
      <c r="EV899" s="334"/>
    </row>
    <row r="900" spans="35:152" ht="13">
      <c r="AI900" s="115" t="s">
        <v>1416</v>
      </c>
      <c r="AJ900" t="s">
        <v>2114</v>
      </c>
      <c r="AK900" s="115">
        <v>0</v>
      </c>
      <c r="AL900" s="115" t="s">
        <v>28</v>
      </c>
      <c r="AM900" s="115" t="s">
        <v>1846</v>
      </c>
      <c r="AN900" s="115" t="s">
        <v>1628</v>
      </c>
      <c r="AO900" s="115" t="s">
        <v>1646</v>
      </c>
      <c r="AT900" s="115" t="s">
        <v>1415</v>
      </c>
      <c r="AU900" s="115" t="s">
        <v>2114</v>
      </c>
      <c r="AV900" s="115">
        <v>0</v>
      </c>
      <c r="AW900" s="115" t="s">
        <v>494</v>
      </c>
      <c r="AX900" s="115" t="s">
        <v>28</v>
      </c>
      <c r="AY900" s="115" t="s">
        <v>1832</v>
      </c>
      <c r="AZ900" s="115" t="s">
        <v>1928</v>
      </c>
      <c r="BA900" s="115"/>
      <c r="BB900" s="115"/>
      <c r="BC900" s="115">
        <v>50</v>
      </c>
      <c r="BD900" s="115"/>
      <c r="BE900" s="115"/>
      <c r="BF900" s="115"/>
      <c r="BG900" s="115"/>
      <c r="BH900" s="115"/>
      <c r="BI900" s="115">
        <v>230</v>
      </c>
      <c r="BJ900" s="115"/>
      <c r="BK900" s="115"/>
      <c r="BL900" s="115"/>
      <c r="BM900" s="115"/>
      <c r="BN900" s="115"/>
      <c r="BO900" s="115"/>
      <c r="BP900" s="115"/>
      <c r="DR900" s="214"/>
      <c r="DY900" s="115"/>
      <c r="DZ900" s="334"/>
      <c r="EA900" s="334"/>
      <c r="EB900" s="334"/>
      <c r="EC900" s="334"/>
      <c r="ED900" s="187"/>
      <c r="EE900" s="330"/>
      <c r="EH900" s="334"/>
      <c r="EI900" s="334"/>
      <c r="EM900"/>
      <c r="EO900" s="115"/>
      <c r="EP900" s="334"/>
      <c r="EQ900" s="334"/>
      <c r="ER900" s="334"/>
      <c r="ES900" s="334"/>
      <c r="ET900" s="334"/>
      <c r="EU900" s="334"/>
      <c r="EV900" s="334"/>
    </row>
    <row r="901" spans="35:152" ht="13">
      <c r="AI901" s="115" t="s">
        <v>1416</v>
      </c>
      <c r="AJ901" t="s">
        <v>2114</v>
      </c>
      <c r="AK901" s="115">
        <v>0</v>
      </c>
      <c r="AL901" s="115" t="s">
        <v>28</v>
      </c>
      <c r="AM901" s="115" t="s">
        <v>1846</v>
      </c>
      <c r="AN901" s="115" t="s">
        <v>1628</v>
      </c>
      <c r="AO901" s="115" t="s">
        <v>1647</v>
      </c>
      <c r="AT901" s="115" t="s">
        <v>1415</v>
      </c>
      <c r="AU901" s="115" t="s">
        <v>2114</v>
      </c>
      <c r="AV901" s="115">
        <v>0</v>
      </c>
      <c r="AW901" s="115" t="s">
        <v>494</v>
      </c>
      <c r="AX901" s="115" t="s">
        <v>28</v>
      </c>
      <c r="AY901" s="115" t="s">
        <v>1846</v>
      </c>
      <c r="AZ901" s="115" t="s">
        <v>1929</v>
      </c>
      <c r="BA901" s="115"/>
      <c r="BB901" s="115"/>
      <c r="BC901" s="115">
        <v>27.390617499999998</v>
      </c>
      <c r="BD901" s="115"/>
      <c r="BE901" s="115"/>
      <c r="BF901" s="115"/>
      <c r="BG901" s="115"/>
      <c r="BH901" s="115">
        <v>9820.9288319999996</v>
      </c>
      <c r="BI901" s="115">
        <v>907.93164000000002</v>
      </c>
      <c r="BJ901" s="115"/>
      <c r="BK901" s="115"/>
      <c r="BL901" s="115"/>
      <c r="BM901" s="115"/>
      <c r="BN901" s="115"/>
      <c r="BO901" s="115"/>
      <c r="BP901" s="115"/>
      <c r="DR901" s="214"/>
      <c r="DY901" s="115"/>
      <c r="DZ901" s="334"/>
      <c r="EA901" s="334"/>
      <c r="EB901" s="334"/>
      <c r="EC901" s="334"/>
      <c r="ED901" s="187"/>
      <c r="EE901" s="330"/>
      <c r="EH901" s="334"/>
      <c r="EI901" s="334"/>
      <c r="EM901"/>
      <c r="EO901" s="115"/>
      <c r="EP901" s="334"/>
      <c r="EQ901" s="334"/>
      <c r="ER901" s="334"/>
      <c r="ES901" s="334"/>
      <c r="ET901" s="334"/>
      <c r="EU901" s="334"/>
      <c r="EV901" s="334"/>
    </row>
    <row r="902" spans="35:152" ht="13">
      <c r="AI902" s="115" t="s">
        <v>1416</v>
      </c>
      <c r="AJ902" t="s">
        <v>2114</v>
      </c>
      <c r="AK902" s="115">
        <v>0</v>
      </c>
      <c r="AL902" s="115" t="s">
        <v>28</v>
      </c>
      <c r="AM902" s="115" t="s">
        <v>1843</v>
      </c>
      <c r="AN902" s="115" t="s">
        <v>1628</v>
      </c>
      <c r="AO902" s="115" t="s">
        <v>1647</v>
      </c>
      <c r="AT902" s="115" t="s">
        <v>1415</v>
      </c>
      <c r="AU902" s="115" t="s">
        <v>2114</v>
      </c>
      <c r="AV902" s="115">
        <v>0</v>
      </c>
      <c r="AW902" s="115" t="s">
        <v>494</v>
      </c>
      <c r="AX902" s="115" t="s">
        <v>28</v>
      </c>
      <c r="AY902" s="115" t="s">
        <v>1848</v>
      </c>
      <c r="AZ902" s="115" t="s">
        <v>1929</v>
      </c>
      <c r="BA902" s="115"/>
      <c r="BB902" s="115"/>
      <c r="BC902" s="115">
        <v>161.52646125000001</v>
      </c>
      <c r="BD902" s="115"/>
      <c r="BE902" s="115"/>
      <c r="BF902" s="115"/>
      <c r="BG902" s="115"/>
      <c r="BH902" s="115">
        <v>743.17147519999992</v>
      </c>
      <c r="BI902" s="115">
        <v>409.19983499999995</v>
      </c>
      <c r="BJ902" s="115"/>
      <c r="BK902" s="115"/>
      <c r="BL902" s="115"/>
      <c r="BM902" s="115"/>
      <c r="BN902" s="115"/>
      <c r="BO902" s="115"/>
      <c r="BP902" s="115"/>
      <c r="DR902" s="214"/>
      <c r="DY902" s="115"/>
      <c r="DZ902" s="334"/>
      <c r="EA902" s="334"/>
      <c r="EB902" s="334"/>
      <c r="EC902" s="334"/>
      <c r="ED902" s="187"/>
      <c r="EE902" s="330"/>
      <c r="EH902" s="334"/>
      <c r="EI902" s="334"/>
      <c r="EM902"/>
      <c r="EO902" s="115"/>
      <c r="EP902" s="334"/>
      <c r="EQ902" s="334"/>
      <c r="ER902" s="334"/>
      <c r="ES902" s="334"/>
      <c r="ET902" s="334"/>
      <c r="EU902" s="334"/>
      <c r="EV902" s="334"/>
    </row>
    <row r="903" spans="35:152" ht="13">
      <c r="AI903" s="115" t="s">
        <v>1416</v>
      </c>
      <c r="AJ903" t="s">
        <v>2114</v>
      </c>
      <c r="AK903" s="115">
        <v>0</v>
      </c>
      <c r="AL903" s="115" t="s">
        <v>28</v>
      </c>
      <c r="AM903" s="115" t="s">
        <v>1848</v>
      </c>
      <c r="AN903" s="115" t="s">
        <v>1628</v>
      </c>
      <c r="AO903" s="115" t="s">
        <v>380</v>
      </c>
      <c r="AT903" s="115" t="s">
        <v>1415</v>
      </c>
      <c r="AU903" s="115" t="s">
        <v>2114</v>
      </c>
      <c r="AV903" s="115">
        <v>0</v>
      </c>
      <c r="AW903" s="115" t="s">
        <v>494</v>
      </c>
      <c r="AX903" s="115" t="s">
        <v>28</v>
      </c>
      <c r="AY903" s="115" t="s">
        <v>1843</v>
      </c>
      <c r="AZ903" s="115" t="s">
        <v>1929</v>
      </c>
      <c r="BA903" s="115"/>
      <c r="BB903" s="115"/>
      <c r="BC903" s="115">
        <v>187.23371134020621</v>
      </c>
      <c r="BD903" s="115"/>
      <c r="BE903" s="115"/>
      <c r="BF903" s="115"/>
      <c r="BG903" s="115"/>
      <c r="BH903" s="115">
        <v>9961.0338144329908</v>
      </c>
      <c r="BI903" s="115">
        <v>1333.486082474227</v>
      </c>
      <c r="BJ903" s="115"/>
      <c r="BK903" s="115"/>
      <c r="BL903" s="115"/>
      <c r="BM903" s="115"/>
      <c r="BN903" s="115"/>
      <c r="BO903" s="115"/>
      <c r="BP903" s="115"/>
      <c r="DR903" s="214"/>
      <c r="DY903" s="115"/>
      <c r="DZ903" s="334"/>
      <c r="EA903" s="334"/>
      <c r="EB903" s="334"/>
      <c r="EC903" s="334"/>
      <c r="ED903" s="187"/>
      <c r="EE903" s="330"/>
      <c r="EH903" s="334"/>
      <c r="EI903" s="334"/>
      <c r="EM903"/>
      <c r="EO903" s="115"/>
      <c r="EP903" s="334"/>
      <c r="EQ903" s="334"/>
      <c r="ER903" s="334"/>
      <c r="ES903" s="334"/>
      <c r="ET903" s="334"/>
      <c r="EU903" s="334"/>
      <c r="EV903" s="334"/>
    </row>
    <row r="904" spans="35:152" ht="13">
      <c r="AI904" s="115" t="s">
        <v>1416</v>
      </c>
      <c r="AJ904" t="s">
        <v>2114</v>
      </c>
      <c r="AK904" s="115">
        <v>0</v>
      </c>
      <c r="AL904" s="115" t="s">
        <v>28</v>
      </c>
      <c r="AM904" s="115" t="s">
        <v>1846</v>
      </c>
      <c r="AN904" s="115" t="s">
        <v>1628</v>
      </c>
      <c r="AO904" s="115" t="s">
        <v>380</v>
      </c>
      <c r="AT904" s="115" t="s">
        <v>1415</v>
      </c>
      <c r="AU904" s="115" t="s">
        <v>2114</v>
      </c>
      <c r="AV904" s="115">
        <v>0</v>
      </c>
      <c r="AW904" s="115" t="s">
        <v>494</v>
      </c>
      <c r="AX904" s="115" t="s">
        <v>28</v>
      </c>
      <c r="AY904" s="115" t="s">
        <v>1849</v>
      </c>
      <c r="AZ904" s="115" t="s">
        <v>1929</v>
      </c>
      <c r="BA904" s="115"/>
      <c r="BB904" s="115"/>
      <c r="BC904" s="115">
        <v>1.2124999999999999</v>
      </c>
      <c r="BD904" s="115"/>
      <c r="BE904" s="115"/>
      <c r="BF904" s="115"/>
      <c r="BG904" s="115"/>
      <c r="BH904" s="115">
        <v>153.648</v>
      </c>
      <c r="BI904" s="115">
        <v>32.01</v>
      </c>
      <c r="BJ904" s="115"/>
      <c r="BK904" s="115"/>
      <c r="BL904" s="115"/>
      <c r="BM904" s="115"/>
      <c r="BN904" s="115"/>
      <c r="BO904" s="115"/>
      <c r="BP904" s="115"/>
      <c r="DR904" s="214"/>
      <c r="DY904" s="115"/>
      <c r="DZ904" s="334"/>
      <c r="EA904" s="334"/>
      <c r="EB904" s="334"/>
      <c r="EC904" s="334"/>
      <c r="ED904" s="187"/>
      <c r="EE904" s="330"/>
      <c r="EH904" s="334"/>
      <c r="EI904" s="334"/>
      <c r="EM904"/>
      <c r="EO904" s="115"/>
      <c r="EP904" s="334"/>
      <c r="EQ904" s="334"/>
      <c r="ER904" s="334"/>
      <c r="ES904" s="334"/>
      <c r="ET904" s="334"/>
      <c r="EU904" s="334"/>
      <c r="EV904" s="334"/>
    </row>
    <row r="905" spans="35:152" ht="13">
      <c r="AI905" s="115" t="s">
        <v>1416</v>
      </c>
      <c r="AJ905" t="s">
        <v>2114</v>
      </c>
      <c r="AK905" s="115">
        <v>0</v>
      </c>
      <c r="AL905" s="115" t="s">
        <v>28</v>
      </c>
      <c r="AM905" s="115" t="s">
        <v>1843</v>
      </c>
      <c r="AN905" s="115" t="s">
        <v>1628</v>
      </c>
      <c r="AO905" s="115" t="s">
        <v>380</v>
      </c>
      <c r="AT905" s="115" t="s">
        <v>1415</v>
      </c>
      <c r="AU905" s="115" t="s">
        <v>2114</v>
      </c>
      <c r="AV905" s="115">
        <v>0</v>
      </c>
      <c r="AW905" s="115" t="s">
        <v>494</v>
      </c>
      <c r="AX905" s="115" t="s">
        <v>28</v>
      </c>
      <c r="AY905" s="115" t="s">
        <v>1850</v>
      </c>
      <c r="AZ905" s="115" t="s">
        <v>1929</v>
      </c>
      <c r="BA905" s="115"/>
      <c r="BB905" s="115"/>
      <c r="BC905" s="115">
        <v>3.6374999999999997</v>
      </c>
      <c r="BD905" s="115"/>
      <c r="BE905" s="115"/>
      <c r="BF905" s="115"/>
      <c r="BG905" s="115"/>
      <c r="BH905" s="115">
        <v>17.071999999999999</v>
      </c>
      <c r="BI905" s="115">
        <v>10.67</v>
      </c>
      <c r="BJ905" s="115"/>
      <c r="BK905" s="115"/>
      <c r="BL905" s="115"/>
      <c r="BM905" s="115"/>
      <c r="BN905" s="115"/>
      <c r="BO905" s="115"/>
      <c r="BP905" s="115"/>
      <c r="DR905" s="214"/>
      <c r="DY905" s="115"/>
      <c r="DZ905" s="334"/>
      <c r="EA905" s="334"/>
      <c r="EB905" s="334"/>
      <c r="EC905" s="334"/>
      <c r="ED905" s="187"/>
      <c r="EE905" s="330"/>
      <c r="EH905" s="334"/>
      <c r="EI905" s="334"/>
      <c r="EM905"/>
      <c r="EO905" s="115"/>
      <c r="EP905" s="334"/>
      <c r="EQ905" s="334"/>
      <c r="ER905" s="334"/>
      <c r="ES905" s="334"/>
      <c r="ET905" s="334"/>
      <c r="EU905" s="334"/>
      <c r="EV905" s="334"/>
    </row>
    <row r="906" spans="35:152" ht="13">
      <c r="AI906" s="115" t="s">
        <v>1416</v>
      </c>
      <c r="AJ906" t="s">
        <v>2114</v>
      </c>
      <c r="AK906" s="115">
        <v>0</v>
      </c>
      <c r="AL906" s="115" t="s">
        <v>28</v>
      </c>
      <c r="AM906" s="115" t="s">
        <v>1849</v>
      </c>
      <c r="AN906" s="115" t="s">
        <v>1628</v>
      </c>
      <c r="AO906" s="115" t="s">
        <v>380</v>
      </c>
      <c r="AT906" s="115" t="s">
        <v>1415</v>
      </c>
      <c r="AU906" s="115" t="s">
        <v>2114</v>
      </c>
      <c r="AV906" s="115">
        <v>0</v>
      </c>
      <c r="AW906" s="115" t="s">
        <v>494</v>
      </c>
      <c r="AX906" s="115" t="s">
        <v>28</v>
      </c>
      <c r="AY906" s="115" t="s">
        <v>1832</v>
      </c>
      <c r="AZ906" s="115" t="s">
        <v>1929</v>
      </c>
      <c r="BA906" s="115"/>
      <c r="BB906" s="115"/>
      <c r="BC906" s="115">
        <v>5</v>
      </c>
      <c r="BD906" s="115"/>
      <c r="BE906" s="115"/>
      <c r="BF906" s="115"/>
      <c r="BG906" s="115"/>
      <c r="BH906" s="115">
        <v>176</v>
      </c>
      <c r="BI906" s="115">
        <v>44</v>
      </c>
      <c r="BJ906" s="115"/>
      <c r="BK906" s="115"/>
      <c r="BL906" s="115"/>
      <c r="BM906" s="115"/>
      <c r="BN906" s="115"/>
      <c r="BO906" s="115"/>
      <c r="BP906" s="115"/>
      <c r="DR906" s="214"/>
      <c r="DY906" s="115"/>
      <c r="DZ906" s="334"/>
      <c r="EA906" s="334"/>
      <c r="EB906" s="334"/>
      <c r="EC906" s="334"/>
      <c r="ED906" s="187"/>
      <c r="EE906" s="330"/>
      <c r="EH906" s="334"/>
      <c r="EI906" s="334"/>
      <c r="EM906"/>
      <c r="EO906" s="115"/>
      <c r="EP906" s="334"/>
      <c r="EQ906" s="334"/>
      <c r="ER906" s="334"/>
      <c r="ES906" s="334"/>
      <c r="ET906" s="334"/>
      <c r="EU906" s="334"/>
      <c r="EV906" s="334"/>
    </row>
    <row r="907" spans="35:152" ht="13">
      <c r="AI907" s="115" t="s">
        <v>1416</v>
      </c>
      <c r="AJ907" t="s">
        <v>2114</v>
      </c>
      <c r="AK907" s="115">
        <v>0</v>
      </c>
      <c r="AL907" s="115" t="s">
        <v>28</v>
      </c>
      <c r="AM907" s="115" t="s">
        <v>1850</v>
      </c>
      <c r="AN907" s="115" t="s">
        <v>1628</v>
      </c>
      <c r="AO907" s="115" t="s">
        <v>380</v>
      </c>
      <c r="AT907" s="115" t="s">
        <v>1415</v>
      </c>
      <c r="AU907" s="115" t="s">
        <v>2114</v>
      </c>
      <c r="AV907" s="115">
        <v>0</v>
      </c>
      <c r="AW907" s="115" t="s">
        <v>494</v>
      </c>
      <c r="AX907" s="115" t="s">
        <v>28</v>
      </c>
      <c r="AY907" s="115" t="s">
        <v>1846</v>
      </c>
      <c r="AZ907" s="115" t="s">
        <v>1930</v>
      </c>
      <c r="BA907" s="115"/>
      <c r="BB907" s="115"/>
      <c r="BC907" s="115">
        <v>82.171852499999986</v>
      </c>
      <c r="BD907" s="115"/>
      <c r="BE907" s="115"/>
      <c r="BF907" s="115"/>
      <c r="BG907" s="115"/>
      <c r="BH907" s="115">
        <v>6167.5731999999998</v>
      </c>
      <c r="BI907" s="115">
        <v>1031.7405000000001</v>
      </c>
      <c r="BJ907" s="115"/>
      <c r="BK907" s="115"/>
      <c r="BL907" s="115"/>
      <c r="BM907" s="115">
        <v>1760</v>
      </c>
      <c r="BN907" s="115"/>
      <c r="BO907" s="115"/>
      <c r="BP907" s="115"/>
      <c r="DR907" s="214"/>
      <c r="DY907" s="115"/>
      <c r="DZ907" s="334"/>
      <c r="EA907" s="334"/>
      <c r="EB907" s="334"/>
      <c r="EC907" s="334"/>
      <c r="ED907" s="187"/>
      <c r="EE907" s="330"/>
      <c r="EH907" s="334"/>
      <c r="EI907" s="334"/>
      <c r="EM907"/>
      <c r="EO907" s="115"/>
      <c r="EP907" s="334"/>
      <c r="EQ907" s="334"/>
      <c r="ER907" s="334"/>
      <c r="ES907" s="334"/>
      <c r="ET907" s="334"/>
      <c r="EU907" s="334"/>
      <c r="EV907" s="334"/>
    </row>
    <row r="908" spans="35:152" ht="13">
      <c r="AI908" s="115" t="s">
        <v>1416</v>
      </c>
      <c r="AJ908" t="s">
        <v>2114</v>
      </c>
      <c r="AK908" s="115">
        <v>0</v>
      </c>
      <c r="AL908" s="115" t="s">
        <v>28</v>
      </c>
      <c r="AM908" s="115" t="s">
        <v>1832</v>
      </c>
      <c r="AN908" s="115" t="s">
        <v>1628</v>
      </c>
      <c r="AO908" s="115" t="s">
        <v>380</v>
      </c>
      <c r="AT908" s="115" t="s">
        <v>1415</v>
      </c>
      <c r="AU908" s="115" t="s">
        <v>2114</v>
      </c>
      <c r="AV908" s="115">
        <v>0</v>
      </c>
      <c r="AW908" s="115" t="s">
        <v>494</v>
      </c>
      <c r="AX908" s="115" t="s">
        <v>28</v>
      </c>
      <c r="AY908" s="115" t="s">
        <v>1848</v>
      </c>
      <c r="AZ908" s="115" t="s">
        <v>1930</v>
      </c>
      <c r="BA908" s="115"/>
      <c r="BB908" s="115"/>
      <c r="BC908" s="115">
        <v>484.57938375000003</v>
      </c>
      <c r="BD908" s="115"/>
      <c r="BE908" s="115"/>
      <c r="BF908" s="115"/>
      <c r="BG908" s="115"/>
      <c r="BH908" s="115">
        <v>422.25652000000002</v>
      </c>
      <c r="BI908" s="115">
        <v>464.99981249999996</v>
      </c>
      <c r="BJ908" s="115"/>
      <c r="BK908" s="115"/>
      <c r="BL908" s="115"/>
      <c r="BM908" s="115"/>
      <c r="BN908" s="115"/>
      <c r="BO908" s="115"/>
      <c r="BP908" s="115"/>
      <c r="DR908" s="214"/>
      <c r="DY908" s="115"/>
      <c r="DZ908" s="334"/>
      <c r="EA908" s="334"/>
      <c r="EB908" s="334"/>
      <c r="EC908" s="334"/>
      <c r="ED908" s="187"/>
      <c r="EE908" s="330"/>
      <c r="EH908" s="334"/>
      <c r="EI908" s="334"/>
      <c r="EM908"/>
      <c r="EO908" s="115"/>
      <c r="EP908" s="334"/>
      <c r="EQ908" s="334"/>
      <c r="ER908" s="334"/>
      <c r="ES908" s="334"/>
      <c r="ET908" s="334"/>
      <c r="EU908" s="334"/>
      <c r="EV908" s="334"/>
    </row>
    <row r="909" spans="35:152" ht="13">
      <c r="AI909" s="115" t="s">
        <v>1416</v>
      </c>
      <c r="AJ909" t="s">
        <v>2114</v>
      </c>
      <c r="AK909" s="115">
        <v>0</v>
      </c>
      <c r="AL909" s="115" t="s">
        <v>28</v>
      </c>
      <c r="AM909" s="115" t="s">
        <v>1848</v>
      </c>
      <c r="AN909" s="115" t="s">
        <v>1674</v>
      </c>
      <c r="AO909" s="115" t="s">
        <v>1643</v>
      </c>
      <c r="AT909" s="115" t="s">
        <v>1415</v>
      </c>
      <c r="AU909" s="115" t="s">
        <v>2114</v>
      </c>
      <c r="AV909" s="115">
        <v>0</v>
      </c>
      <c r="AW909" s="115" t="s">
        <v>494</v>
      </c>
      <c r="AX909" s="115" t="s">
        <v>28</v>
      </c>
      <c r="AY909" s="115" t="s">
        <v>1843</v>
      </c>
      <c r="AZ909" s="115" t="s">
        <v>1930</v>
      </c>
      <c r="BA909" s="115"/>
      <c r="BB909" s="115"/>
      <c r="BC909" s="115">
        <v>561.70113402061861</v>
      </c>
      <c r="BD909" s="115"/>
      <c r="BE909" s="115"/>
      <c r="BF909" s="115"/>
      <c r="BG909" s="115"/>
      <c r="BH909" s="115">
        <v>6247.1783505154635</v>
      </c>
      <c r="BI909" s="115">
        <v>1515.3250515463917</v>
      </c>
      <c r="BJ909" s="115"/>
      <c r="BK909" s="115"/>
      <c r="BL909" s="115"/>
      <c r="BM909" s="115">
        <v>1760</v>
      </c>
      <c r="BN909" s="115"/>
      <c r="BO909" s="115"/>
      <c r="BP909" s="115"/>
      <c r="DR909" s="214"/>
      <c r="DY909" s="115"/>
      <c r="DZ909" s="334"/>
      <c r="EA909" s="334"/>
      <c r="EB909" s="334"/>
      <c r="EC909" s="334"/>
      <c r="ED909" s="187"/>
      <c r="EE909" s="330"/>
      <c r="EH909" s="334"/>
      <c r="EI909" s="334"/>
      <c r="EM909"/>
      <c r="EO909" s="115"/>
      <c r="EP909" s="334"/>
      <c r="EQ909" s="334"/>
      <c r="ER909" s="334"/>
      <c r="ES909" s="334"/>
      <c r="ET909" s="334"/>
      <c r="EU909" s="334"/>
      <c r="EV909" s="334"/>
    </row>
    <row r="910" spans="35:152" ht="13">
      <c r="AI910" s="115" t="s">
        <v>1416</v>
      </c>
      <c r="AJ910" t="s">
        <v>2114</v>
      </c>
      <c r="AK910" s="115">
        <v>0</v>
      </c>
      <c r="AL910" s="115" t="s">
        <v>28</v>
      </c>
      <c r="AM910" s="115" t="s">
        <v>1843</v>
      </c>
      <c r="AN910" s="115" t="s">
        <v>1674</v>
      </c>
      <c r="AO910" s="115" t="s">
        <v>1643</v>
      </c>
      <c r="AT910" s="115" t="s">
        <v>1415</v>
      </c>
      <c r="AU910" s="115" t="s">
        <v>2114</v>
      </c>
      <c r="AV910" s="115">
        <v>0</v>
      </c>
      <c r="AW910" s="115" t="s">
        <v>494</v>
      </c>
      <c r="AX910" s="115" t="s">
        <v>28</v>
      </c>
      <c r="AY910" s="115" t="s">
        <v>1849</v>
      </c>
      <c r="AZ910" s="115" t="s">
        <v>1930</v>
      </c>
      <c r="BA910" s="115"/>
      <c r="BB910" s="115"/>
      <c r="BC910" s="115">
        <v>3.6374999999999997</v>
      </c>
      <c r="BD910" s="115"/>
      <c r="BE910" s="115"/>
      <c r="BF910" s="115"/>
      <c r="BG910" s="115"/>
      <c r="BH910" s="115">
        <v>87.3</v>
      </c>
      <c r="BI910" s="115">
        <v>36.375</v>
      </c>
      <c r="BJ910" s="115"/>
      <c r="BK910" s="115"/>
      <c r="BL910" s="115"/>
      <c r="BM910" s="115"/>
      <c r="BN910" s="115"/>
      <c r="BO910" s="115"/>
      <c r="BP910" s="115"/>
      <c r="DR910" s="214"/>
      <c r="DY910" s="115"/>
      <c r="DZ910" s="334"/>
      <c r="EA910" s="334"/>
      <c r="EB910" s="334"/>
      <c r="EC910" s="334"/>
      <c r="ED910" s="187"/>
      <c r="EE910" s="330"/>
      <c r="EH910" s="334"/>
      <c r="EI910" s="334"/>
      <c r="EM910"/>
      <c r="EO910" s="115"/>
      <c r="EP910" s="334"/>
      <c r="EQ910" s="334"/>
      <c r="ER910" s="334"/>
      <c r="ES910" s="334"/>
      <c r="ET910" s="334"/>
      <c r="EU910" s="334"/>
      <c r="EV910" s="334"/>
    </row>
    <row r="911" spans="35:152" ht="13">
      <c r="AI911" s="115" t="s">
        <v>1416</v>
      </c>
      <c r="AJ911" t="s">
        <v>2114</v>
      </c>
      <c r="AK911" s="115">
        <v>0</v>
      </c>
      <c r="AL911" s="115" t="s">
        <v>28</v>
      </c>
      <c r="AM911" s="115" t="s">
        <v>1832</v>
      </c>
      <c r="AN911" s="115" t="s">
        <v>1674</v>
      </c>
      <c r="AO911" s="115" t="s">
        <v>1643</v>
      </c>
      <c r="AT911" s="115" t="s">
        <v>1415</v>
      </c>
      <c r="AU911" s="115" t="s">
        <v>2114</v>
      </c>
      <c r="AV911" s="115">
        <v>0</v>
      </c>
      <c r="AW911" s="115" t="s">
        <v>494</v>
      </c>
      <c r="AX911" s="115" t="s">
        <v>28</v>
      </c>
      <c r="AY911" s="115" t="s">
        <v>1850</v>
      </c>
      <c r="AZ911" s="115" t="s">
        <v>1930</v>
      </c>
      <c r="BA911" s="115"/>
      <c r="BB911" s="115"/>
      <c r="BC911" s="115">
        <v>10.9125</v>
      </c>
      <c r="BD911" s="115"/>
      <c r="BE911" s="115"/>
      <c r="BF911" s="115"/>
      <c r="BG911" s="115"/>
      <c r="BH911" s="115">
        <v>9.7000000000000011</v>
      </c>
      <c r="BI911" s="115">
        <v>12.125</v>
      </c>
      <c r="BJ911" s="115"/>
      <c r="BK911" s="115"/>
      <c r="BL911" s="115"/>
      <c r="BM911" s="115"/>
      <c r="BN911" s="115"/>
      <c r="BO911" s="115"/>
      <c r="BP911" s="115"/>
      <c r="DR911" s="214"/>
      <c r="DY911" s="115"/>
      <c r="DZ911" s="334"/>
      <c r="EA911" s="334"/>
      <c r="EB911" s="334"/>
      <c r="EC911" s="334"/>
      <c r="ED911" s="187"/>
      <c r="EE911" s="330"/>
      <c r="EH911" s="334"/>
      <c r="EI911" s="334"/>
      <c r="EM911"/>
      <c r="EO911" s="115"/>
      <c r="EP911" s="334"/>
      <c r="EQ911" s="334"/>
      <c r="ER911" s="334"/>
      <c r="ES911" s="334"/>
      <c r="ET911" s="334"/>
      <c r="EU911" s="334"/>
      <c r="EV911" s="334"/>
    </row>
    <row r="912" spans="35:152" ht="13">
      <c r="AI912" s="115" t="s">
        <v>1416</v>
      </c>
      <c r="AJ912" t="s">
        <v>2114</v>
      </c>
      <c r="AK912" s="115">
        <v>0</v>
      </c>
      <c r="AL912" s="115" t="s">
        <v>28</v>
      </c>
      <c r="AM912" s="115" t="s">
        <v>1849</v>
      </c>
      <c r="AN912" s="115" t="s">
        <v>1674</v>
      </c>
      <c r="AO912" s="115" t="s">
        <v>1643</v>
      </c>
      <c r="AT912" s="115" t="s">
        <v>1415</v>
      </c>
      <c r="AU912" s="115" t="s">
        <v>2114</v>
      </c>
      <c r="AV912" s="115">
        <v>0</v>
      </c>
      <c r="AW912" s="115" t="s">
        <v>494</v>
      </c>
      <c r="AX912" s="115" t="s">
        <v>28</v>
      </c>
      <c r="AY912" s="115" t="s">
        <v>1832</v>
      </c>
      <c r="AZ912" s="115" t="s">
        <v>1930</v>
      </c>
      <c r="BA912" s="115"/>
      <c r="BB912" s="115"/>
      <c r="BC912" s="115">
        <v>15</v>
      </c>
      <c r="BD912" s="115"/>
      <c r="BE912" s="115"/>
      <c r="BF912" s="115"/>
      <c r="BG912" s="115"/>
      <c r="BH912" s="115">
        <v>100</v>
      </c>
      <c r="BI912" s="115">
        <v>50</v>
      </c>
      <c r="BJ912" s="115"/>
      <c r="BK912" s="115"/>
      <c r="BL912" s="115"/>
      <c r="BM912" s="115"/>
      <c r="BN912" s="115"/>
      <c r="BO912" s="115"/>
      <c r="BP912" s="115"/>
      <c r="DR912" s="214"/>
      <c r="DY912" s="115"/>
      <c r="DZ912" s="334"/>
      <c r="EA912" s="334"/>
      <c r="EB912" s="334"/>
      <c r="EC912" s="334"/>
      <c r="ED912" s="187"/>
      <c r="EE912" s="330"/>
      <c r="EH912" s="334"/>
      <c r="EI912" s="334"/>
      <c r="EM912"/>
      <c r="EO912" s="115"/>
      <c r="EP912" s="334"/>
      <c r="EQ912" s="334"/>
      <c r="ER912" s="334"/>
      <c r="ES912" s="334"/>
      <c r="ET912" s="334"/>
      <c r="EU912" s="334"/>
      <c r="EV912" s="334"/>
    </row>
    <row r="913" spans="35:152" ht="13">
      <c r="AI913" s="115" t="s">
        <v>1416</v>
      </c>
      <c r="AJ913" t="s">
        <v>2114</v>
      </c>
      <c r="AK913" s="115">
        <v>0</v>
      </c>
      <c r="AL913" s="115" t="s">
        <v>28</v>
      </c>
      <c r="AM913" s="115" t="s">
        <v>1846</v>
      </c>
      <c r="AN913" s="115" t="s">
        <v>1674</v>
      </c>
      <c r="AO913" s="115" t="s">
        <v>1643</v>
      </c>
      <c r="AT913" s="115" t="s">
        <v>1415</v>
      </c>
      <c r="AU913" s="115" t="s">
        <v>2114</v>
      </c>
      <c r="AV913" s="115">
        <v>0</v>
      </c>
      <c r="AW913" s="115" t="s">
        <v>499</v>
      </c>
      <c r="AX913" s="115" t="s">
        <v>28</v>
      </c>
      <c r="AY913" s="115" t="s">
        <v>1846</v>
      </c>
      <c r="AZ913" s="115" t="s">
        <v>1931</v>
      </c>
      <c r="BA913" s="115"/>
      <c r="BB913" s="115"/>
      <c r="BC913" s="115">
        <v>382.09911412499997</v>
      </c>
      <c r="BD913" s="115"/>
      <c r="BE913" s="115"/>
      <c r="BF913" s="115"/>
      <c r="BG913" s="115"/>
      <c r="BH913" s="115">
        <v>4756.9026980431991</v>
      </c>
      <c r="BI913" s="115">
        <v>570.85077513749991</v>
      </c>
      <c r="BJ913" s="115">
        <v>71.877832260000005</v>
      </c>
      <c r="BK913" s="115">
        <v>304.51662247950003</v>
      </c>
      <c r="BL913" s="115">
        <v>775.43027680500018</v>
      </c>
      <c r="BM913" s="115">
        <v>669</v>
      </c>
      <c r="BN913" s="115">
        <v>1395.49</v>
      </c>
      <c r="BO913" s="115">
        <v>2173.33</v>
      </c>
      <c r="BP913" s="115"/>
      <c r="DR913" s="214"/>
      <c r="DY913" s="115"/>
      <c r="DZ913" s="334"/>
      <c r="EA913" s="334"/>
      <c r="EB913" s="334"/>
      <c r="EC913" s="334"/>
      <c r="ED913" s="187"/>
      <c r="EE913" s="330"/>
      <c r="EH913" s="334"/>
      <c r="EI913" s="334"/>
      <c r="EM913"/>
      <c r="EO913" s="115"/>
      <c r="EP913" s="334"/>
      <c r="EQ913" s="334"/>
      <c r="ER913" s="334"/>
      <c r="ES913" s="334"/>
      <c r="ET913" s="334"/>
      <c r="EU913" s="334"/>
      <c r="EV913" s="334"/>
    </row>
    <row r="914" spans="35:152" ht="13">
      <c r="AI914" s="115" t="s">
        <v>1416</v>
      </c>
      <c r="AJ914" t="s">
        <v>2114</v>
      </c>
      <c r="AK914" s="115">
        <v>0</v>
      </c>
      <c r="AL914" s="115" t="s">
        <v>28</v>
      </c>
      <c r="AM914" s="115" t="s">
        <v>1850</v>
      </c>
      <c r="AN914" s="115" t="s">
        <v>1674</v>
      </c>
      <c r="AO914" s="115" t="s">
        <v>1643</v>
      </c>
      <c r="AT914" s="115" t="s">
        <v>1415</v>
      </c>
      <c r="AU914" s="115" t="s">
        <v>2114</v>
      </c>
      <c r="AV914" s="115">
        <v>0</v>
      </c>
      <c r="AW914" s="115" t="s">
        <v>499</v>
      </c>
      <c r="AX914" s="115" t="s">
        <v>28</v>
      </c>
      <c r="AY914" s="115" t="s">
        <v>1848</v>
      </c>
      <c r="AZ914" s="115" t="s">
        <v>1931</v>
      </c>
      <c r="BA914" s="115"/>
      <c r="BB914" s="115"/>
      <c r="BC914" s="115">
        <v>2253.2941344374999</v>
      </c>
      <c r="BD914" s="115"/>
      <c r="BE914" s="115"/>
      <c r="BF914" s="115">
        <v>417.02654674999997</v>
      </c>
      <c r="BG914" s="115"/>
      <c r="BH914" s="115">
        <v>338.42846662351991</v>
      </c>
      <c r="BI914" s="115">
        <v>209.71491543749994</v>
      </c>
      <c r="BJ914" s="115">
        <v>361.04822123062507</v>
      </c>
      <c r="BK914" s="115">
        <v>47.566631419499998</v>
      </c>
      <c r="BL914" s="115">
        <v>121.12509940500001</v>
      </c>
      <c r="BM914" s="115"/>
      <c r="BN914" s="115"/>
      <c r="BO914" s="115"/>
      <c r="BP914" s="115"/>
      <c r="DR914" s="214"/>
      <c r="DY914" s="115"/>
      <c r="DZ914" s="334"/>
      <c r="EA914" s="334"/>
      <c r="EB914" s="334"/>
      <c r="EC914" s="334"/>
      <c r="ED914" s="187"/>
      <c r="EE914" s="330"/>
      <c r="EH914" s="334"/>
      <c r="EI914" s="334"/>
      <c r="EM914"/>
      <c r="EO914" s="115"/>
      <c r="EP914" s="334"/>
      <c r="EQ914" s="334"/>
      <c r="ER914" s="334"/>
      <c r="ES914" s="334"/>
      <c r="ET914" s="334"/>
      <c r="EU914" s="334"/>
      <c r="EV914" s="334"/>
    </row>
    <row r="915" spans="35:152" ht="13">
      <c r="AI915" s="115" t="s">
        <v>1416</v>
      </c>
      <c r="AJ915" t="s">
        <v>2114</v>
      </c>
      <c r="AK915" s="115">
        <v>0</v>
      </c>
      <c r="AL915" s="115" t="s">
        <v>28</v>
      </c>
      <c r="AM915" s="115" t="s">
        <v>1849</v>
      </c>
      <c r="AN915" s="115" t="s">
        <v>1674</v>
      </c>
      <c r="AO915" s="115" t="s">
        <v>360</v>
      </c>
      <c r="AT915" s="115" t="s">
        <v>1415</v>
      </c>
      <c r="AU915" s="115" t="s">
        <v>2114</v>
      </c>
      <c r="AV915" s="115">
        <v>0</v>
      </c>
      <c r="AW915" s="115" t="s">
        <v>499</v>
      </c>
      <c r="AX915" s="115" t="s">
        <v>28</v>
      </c>
      <c r="AY915" s="115" t="s">
        <v>1843</v>
      </c>
      <c r="AZ915" s="115" t="s">
        <v>1931</v>
      </c>
      <c r="BA915" s="115"/>
      <c r="BB915" s="115"/>
      <c r="BC915" s="115">
        <v>2611.910412371134</v>
      </c>
      <c r="BD915" s="115"/>
      <c r="BE915" s="115"/>
      <c r="BF915" s="115">
        <v>413.81288659793819</v>
      </c>
      <c r="BG915" s="115"/>
      <c r="BH915" s="115">
        <v>4820.7042721649486</v>
      </c>
      <c r="BI915" s="115">
        <v>683.41164948453616</v>
      </c>
      <c r="BJ915" s="115">
        <v>428.99278350515465</v>
      </c>
      <c r="BK915" s="115">
        <v>346.84103092783505</v>
      </c>
      <c r="BL915" s="115">
        <v>793.72721649484538</v>
      </c>
      <c r="BM915" s="115">
        <v>669</v>
      </c>
      <c r="BN915" s="115">
        <v>1395.49</v>
      </c>
      <c r="BO915" s="115">
        <v>2173.33</v>
      </c>
      <c r="BP915" s="115"/>
      <c r="DR915" s="214"/>
      <c r="DY915" s="115"/>
      <c r="DZ915" s="334"/>
      <c r="EA915" s="334"/>
      <c r="EB915" s="334"/>
      <c r="EC915" s="334"/>
      <c r="ED915" s="187"/>
      <c r="EE915" s="330"/>
      <c r="EH915" s="334"/>
      <c r="EI915" s="334"/>
      <c r="EM915"/>
      <c r="EO915" s="115"/>
      <c r="EP915" s="334"/>
      <c r="EQ915" s="334"/>
      <c r="ER915" s="334"/>
      <c r="ES915" s="334"/>
      <c r="ET915" s="334"/>
      <c r="EU915" s="334"/>
      <c r="EV915" s="334"/>
    </row>
    <row r="916" spans="35:152" ht="13">
      <c r="AI916" s="115" t="s">
        <v>1416</v>
      </c>
      <c r="AJ916" t="s">
        <v>2114</v>
      </c>
      <c r="AK916" s="115">
        <v>0</v>
      </c>
      <c r="AL916" s="115" t="s">
        <v>28</v>
      </c>
      <c r="AM916" s="115" t="s">
        <v>1832</v>
      </c>
      <c r="AN916" s="115" t="s">
        <v>1674</v>
      </c>
      <c r="AO916" s="115" t="s">
        <v>360</v>
      </c>
      <c r="AT916" s="115" t="s">
        <v>1415</v>
      </c>
      <c r="AU916" s="115" t="s">
        <v>2114</v>
      </c>
      <c r="AV916" s="115">
        <v>0</v>
      </c>
      <c r="AW916" s="115" t="s">
        <v>499</v>
      </c>
      <c r="AX916" s="115" t="s">
        <v>28</v>
      </c>
      <c r="AY916" s="115" t="s">
        <v>1849</v>
      </c>
      <c r="AZ916" s="115" t="s">
        <v>1931</v>
      </c>
      <c r="BA916" s="115"/>
      <c r="BB916" s="115"/>
      <c r="BC916" s="115">
        <v>16.914375</v>
      </c>
      <c r="BD916" s="115"/>
      <c r="BE916" s="115"/>
      <c r="BF916" s="115"/>
      <c r="BG916" s="115"/>
      <c r="BH916" s="115">
        <v>69.968854799999988</v>
      </c>
      <c r="BI916" s="115">
        <v>16.405124999999998</v>
      </c>
      <c r="BJ916" s="115">
        <v>0.89664374999999996</v>
      </c>
      <c r="BK916" s="115">
        <v>10.576395</v>
      </c>
      <c r="BL916" s="115">
        <v>26.932050000000004</v>
      </c>
      <c r="BM916" s="115"/>
      <c r="BN916" s="115"/>
      <c r="BO916" s="115"/>
      <c r="BP916" s="115"/>
      <c r="DR916" s="214"/>
      <c r="DY916" s="115"/>
      <c r="DZ916" s="334"/>
      <c r="EA916" s="334"/>
      <c r="EB916" s="334"/>
      <c r="EC916" s="334"/>
      <c r="ED916" s="187"/>
      <c r="EE916" s="330"/>
      <c r="EH916" s="334"/>
      <c r="EI916" s="334"/>
      <c r="EM916"/>
      <c r="EO916" s="115"/>
      <c r="EP916" s="334"/>
      <c r="EQ916" s="334"/>
      <c r="ER916" s="334"/>
      <c r="ES916" s="334"/>
      <c r="ET916" s="334"/>
      <c r="EU916" s="334"/>
      <c r="EV916" s="334"/>
    </row>
    <row r="917" spans="35:152" ht="13">
      <c r="AI917" s="115" t="s">
        <v>1416</v>
      </c>
      <c r="AJ917" t="s">
        <v>2114</v>
      </c>
      <c r="AK917" s="115">
        <v>0</v>
      </c>
      <c r="AL917" s="115" t="s">
        <v>28</v>
      </c>
      <c r="AM917" s="115" t="s">
        <v>1848</v>
      </c>
      <c r="AN917" s="115" t="s">
        <v>1674</v>
      </c>
      <c r="AO917" s="115" t="s">
        <v>360</v>
      </c>
      <c r="AT917" s="115" t="s">
        <v>1415</v>
      </c>
      <c r="AU917" s="115" t="s">
        <v>2114</v>
      </c>
      <c r="AV917" s="115">
        <v>0</v>
      </c>
      <c r="AW917" s="115" t="s">
        <v>499</v>
      </c>
      <c r="AX917" s="115" t="s">
        <v>28</v>
      </c>
      <c r="AY917" s="115" t="s">
        <v>1850</v>
      </c>
      <c r="AZ917" s="115" t="s">
        <v>1931</v>
      </c>
      <c r="BA917" s="115"/>
      <c r="BB917" s="115"/>
      <c r="BC917" s="115">
        <v>50.743124999999999</v>
      </c>
      <c r="BD917" s="115"/>
      <c r="BE917" s="115"/>
      <c r="BF917" s="115">
        <v>8.9725000000000001</v>
      </c>
      <c r="BG917" s="115"/>
      <c r="BH917" s="115">
        <v>7.7743171999999987</v>
      </c>
      <c r="BI917" s="115">
        <v>5.4683749999999991</v>
      </c>
      <c r="BJ917" s="115">
        <v>8.0697937500000023</v>
      </c>
      <c r="BK917" s="115">
        <v>1.1751549999999999</v>
      </c>
      <c r="BL917" s="115">
        <v>2.9924500000000003</v>
      </c>
      <c r="BM917" s="115"/>
      <c r="BN917" s="115"/>
      <c r="BO917" s="115"/>
      <c r="BP917" s="115"/>
      <c r="DR917" s="214"/>
      <c r="DY917" s="115"/>
      <c r="DZ917" s="334"/>
      <c r="EA917" s="334"/>
      <c r="EB917" s="334"/>
      <c r="EC917" s="334"/>
      <c r="ED917" s="187"/>
      <c r="EE917" s="330"/>
      <c r="EH917" s="334"/>
      <c r="EI917" s="334"/>
      <c r="EM917"/>
      <c r="EO917" s="115"/>
      <c r="EP917" s="334"/>
      <c r="EQ917" s="334"/>
      <c r="ER917" s="334"/>
      <c r="ES917" s="334"/>
      <c r="ET917" s="334"/>
      <c r="EU917" s="334"/>
      <c r="EV917" s="334"/>
    </row>
    <row r="918" spans="35:152" ht="13">
      <c r="AI918" s="115" t="s">
        <v>1416</v>
      </c>
      <c r="AJ918" t="s">
        <v>2114</v>
      </c>
      <c r="AK918" s="115">
        <v>0</v>
      </c>
      <c r="AL918" s="115" t="s">
        <v>28</v>
      </c>
      <c r="AM918" s="115" t="s">
        <v>1846</v>
      </c>
      <c r="AN918" s="115" t="s">
        <v>1674</v>
      </c>
      <c r="AO918" s="115" t="s">
        <v>360</v>
      </c>
      <c r="AT918" s="115" t="s">
        <v>1415</v>
      </c>
      <c r="AU918" s="115" t="s">
        <v>2114</v>
      </c>
      <c r="AV918" s="115">
        <v>0</v>
      </c>
      <c r="AW918" s="115" t="s">
        <v>499</v>
      </c>
      <c r="AX918" s="115" t="s">
        <v>28</v>
      </c>
      <c r="AY918" s="115" t="s">
        <v>1832</v>
      </c>
      <c r="AZ918" s="115" t="s">
        <v>1931</v>
      </c>
      <c r="BA918" s="115"/>
      <c r="BB918" s="115"/>
      <c r="BC918" s="115">
        <v>69.75</v>
      </c>
      <c r="BD918" s="115"/>
      <c r="BE918" s="115"/>
      <c r="BF918" s="115">
        <v>9.25</v>
      </c>
      <c r="BG918" s="115"/>
      <c r="BH918" s="115">
        <v>80.147599999999983</v>
      </c>
      <c r="BI918" s="115">
        <v>22.549999999999997</v>
      </c>
      <c r="BJ918" s="115">
        <v>9.2437500000000021</v>
      </c>
      <c r="BK918" s="115">
        <v>12.115</v>
      </c>
      <c r="BL918" s="115">
        <v>30.85</v>
      </c>
      <c r="BM918" s="115"/>
      <c r="BN918" s="115"/>
      <c r="BO918" s="115"/>
      <c r="BP918" s="115"/>
      <c r="DR918" s="214"/>
      <c r="DY918" s="115"/>
      <c r="DZ918" s="334"/>
      <c r="EA918" s="334"/>
      <c r="EB918" s="334"/>
      <c r="EC918" s="334"/>
      <c r="ED918" s="187"/>
      <c r="EE918" s="330"/>
      <c r="EH918" s="334"/>
      <c r="EI918" s="334"/>
      <c r="EM918"/>
      <c r="EO918" s="115"/>
      <c r="EP918" s="334"/>
      <c r="EQ918" s="334"/>
      <c r="ER918" s="334"/>
      <c r="ES918" s="334"/>
      <c r="ET918" s="334"/>
      <c r="EU918" s="334"/>
      <c r="EV918" s="334"/>
    </row>
    <row r="919" spans="35:152" ht="13">
      <c r="AI919" s="115" t="s">
        <v>1416</v>
      </c>
      <c r="AJ919" t="s">
        <v>2114</v>
      </c>
      <c r="AK919" s="115">
        <v>0</v>
      </c>
      <c r="AL919" s="115" t="s">
        <v>28</v>
      </c>
      <c r="AM919" s="115" t="s">
        <v>1843</v>
      </c>
      <c r="AN919" s="115" t="s">
        <v>1674</v>
      </c>
      <c r="AO919" s="115" t="s">
        <v>360</v>
      </c>
      <c r="AT919" s="115" t="s">
        <v>1415</v>
      </c>
      <c r="AU919" s="115" t="s">
        <v>2114</v>
      </c>
      <c r="AV919" s="115">
        <v>0</v>
      </c>
      <c r="AW919" s="115" t="s">
        <v>494</v>
      </c>
      <c r="AX919" s="115" t="s">
        <v>28</v>
      </c>
      <c r="AY919" s="115" t="s">
        <v>1846</v>
      </c>
      <c r="AZ919" s="115" t="s">
        <v>1932</v>
      </c>
      <c r="BA919" s="115"/>
      <c r="BB919" s="115"/>
      <c r="BC919" s="115"/>
      <c r="BD919" s="115"/>
      <c r="BE919" s="115"/>
      <c r="BF919" s="115"/>
      <c r="BG919" s="115"/>
      <c r="BH919" s="115"/>
      <c r="BI919" s="115"/>
      <c r="BJ919" s="115"/>
      <c r="BK919" s="115"/>
      <c r="BL919" s="115"/>
      <c r="BM919" s="115">
        <v>537305.79310000001</v>
      </c>
      <c r="BN919" s="115"/>
      <c r="BO919" s="115"/>
      <c r="BP919" s="115"/>
      <c r="DR919" s="214"/>
      <c r="DY919" s="115"/>
      <c r="DZ919" s="334"/>
      <c r="EA919" s="334"/>
      <c r="EB919" s="334"/>
      <c r="EC919" s="334"/>
      <c r="ED919" s="187"/>
      <c r="EE919" s="330"/>
      <c r="EH919" s="334"/>
      <c r="EI919" s="334"/>
      <c r="EM919"/>
      <c r="EO919" s="115"/>
      <c r="EP919" s="334"/>
      <c r="EQ919" s="334"/>
      <c r="ER919" s="334"/>
      <c r="ES919" s="334"/>
      <c r="ET919" s="334"/>
      <c r="EU919" s="334"/>
      <c r="EV919" s="334"/>
    </row>
    <row r="920" spans="35:152" ht="13">
      <c r="AI920" s="115" t="s">
        <v>1416</v>
      </c>
      <c r="AJ920" t="s">
        <v>2114</v>
      </c>
      <c r="AK920" s="115">
        <v>0</v>
      </c>
      <c r="AL920" s="115" t="s">
        <v>28</v>
      </c>
      <c r="AM920" s="115" t="s">
        <v>1850</v>
      </c>
      <c r="AN920" s="115" t="s">
        <v>1674</v>
      </c>
      <c r="AO920" s="115" t="s">
        <v>360</v>
      </c>
      <c r="AT920" s="115" t="s">
        <v>1415</v>
      </c>
      <c r="AU920" s="115" t="s">
        <v>2114</v>
      </c>
      <c r="AV920" s="115">
        <v>0</v>
      </c>
      <c r="AW920" s="115" t="s">
        <v>494</v>
      </c>
      <c r="AX920" s="115" t="s">
        <v>28</v>
      </c>
      <c r="AY920" s="115" t="s">
        <v>1843</v>
      </c>
      <c r="AZ920" s="115" t="s">
        <v>1932</v>
      </c>
      <c r="BA920" s="115"/>
      <c r="BB920" s="115"/>
      <c r="BC920" s="115"/>
      <c r="BD920" s="115"/>
      <c r="BE920" s="115"/>
      <c r="BF920" s="115"/>
      <c r="BG920" s="115"/>
      <c r="BH920" s="115"/>
      <c r="BI920" s="115"/>
      <c r="BJ920" s="115"/>
      <c r="BK920" s="115"/>
      <c r="BL920" s="115"/>
      <c r="BM920" s="115">
        <v>537305.79310000001</v>
      </c>
      <c r="BN920" s="115"/>
      <c r="BO920" s="115"/>
      <c r="BP920" s="115"/>
      <c r="DR920" s="214"/>
      <c r="DY920" s="115"/>
      <c r="DZ920" s="334"/>
      <c r="EA920" s="334"/>
      <c r="EB920" s="334"/>
      <c r="EC920" s="334"/>
      <c r="ED920" s="187"/>
      <c r="EE920" s="330"/>
      <c r="EH920" s="334"/>
      <c r="EI920" s="334"/>
      <c r="EM920"/>
      <c r="EO920" s="115"/>
      <c r="EP920" s="334"/>
      <c r="EQ920" s="334"/>
      <c r="ER920" s="334"/>
      <c r="ES920" s="334"/>
      <c r="ET920" s="334"/>
      <c r="EU920" s="334"/>
      <c r="EV920" s="334"/>
    </row>
    <row r="921" spans="35:152" ht="13">
      <c r="AI921" s="115" t="s">
        <v>1416</v>
      </c>
      <c r="AJ921" t="s">
        <v>2114</v>
      </c>
      <c r="AK921" s="115">
        <v>0</v>
      </c>
      <c r="AL921" s="115" t="s">
        <v>28</v>
      </c>
      <c r="AM921" s="115" t="s">
        <v>1846</v>
      </c>
      <c r="AN921" s="115" t="s">
        <v>1674</v>
      </c>
      <c r="AO921" s="115" t="s">
        <v>372</v>
      </c>
      <c r="AT921" s="115" t="s">
        <v>1415</v>
      </c>
      <c r="AU921" s="115" t="s">
        <v>2114</v>
      </c>
      <c r="AV921" s="115">
        <v>0</v>
      </c>
      <c r="AW921" s="115" t="s">
        <v>494</v>
      </c>
      <c r="AX921" s="115" t="s">
        <v>28</v>
      </c>
      <c r="AY921" s="115" t="s">
        <v>1846</v>
      </c>
      <c r="AZ921" s="115" t="s">
        <v>1933</v>
      </c>
      <c r="BA921" s="115"/>
      <c r="BB921" s="115"/>
      <c r="BC921" s="115"/>
      <c r="BD921" s="115"/>
      <c r="BE921" s="115"/>
      <c r="BF921" s="115"/>
      <c r="BG921" s="115"/>
      <c r="BH921" s="115"/>
      <c r="BI921" s="115"/>
      <c r="BJ921" s="115"/>
      <c r="BK921" s="115"/>
      <c r="BL921" s="115"/>
      <c r="BM921" s="115">
        <v>360222.82500000001</v>
      </c>
      <c r="BN921" s="115"/>
      <c r="BO921" s="115"/>
      <c r="BP921" s="115"/>
      <c r="DR921" s="214"/>
      <c r="DY921" s="115"/>
      <c r="DZ921" s="334"/>
      <c r="EA921" s="334"/>
      <c r="EB921" s="334"/>
      <c r="EC921" s="334"/>
      <c r="ED921" s="187"/>
      <c r="EE921" s="330"/>
      <c r="EH921" s="334"/>
      <c r="EI921" s="334"/>
      <c r="EM921"/>
      <c r="EO921" s="115"/>
      <c r="EP921" s="334"/>
      <c r="EQ921" s="334"/>
      <c r="ER921" s="334"/>
      <c r="ES921" s="334"/>
      <c r="ET921" s="334"/>
      <c r="EU921" s="334"/>
      <c r="EV921" s="334"/>
    </row>
    <row r="922" spans="35:152" ht="13">
      <c r="AI922" s="115" t="s">
        <v>1416</v>
      </c>
      <c r="AJ922" t="s">
        <v>2114</v>
      </c>
      <c r="AK922" s="115">
        <v>0</v>
      </c>
      <c r="AL922" s="115" t="s">
        <v>28</v>
      </c>
      <c r="AM922" s="115" t="s">
        <v>1848</v>
      </c>
      <c r="AN922" s="115" t="s">
        <v>1674</v>
      </c>
      <c r="AO922" s="115" t="s">
        <v>372</v>
      </c>
      <c r="AT922" s="115" t="s">
        <v>1415</v>
      </c>
      <c r="AU922" s="115" t="s">
        <v>2114</v>
      </c>
      <c r="AV922" s="115">
        <v>0</v>
      </c>
      <c r="AW922" s="115" t="s">
        <v>494</v>
      </c>
      <c r="AX922" s="115" t="s">
        <v>28</v>
      </c>
      <c r="AY922" s="115" t="s">
        <v>1843</v>
      </c>
      <c r="AZ922" s="115" t="s">
        <v>1933</v>
      </c>
      <c r="BA922" s="115"/>
      <c r="BB922" s="115"/>
      <c r="BC922" s="115"/>
      <c r="BD922" s="115"/>
      <c r="BE922" s="115"/>
      <c r="BF922" s="115"/>
      <c r="BG922" s="115"/>
      <c r="BH922" s="115"/>
      <c r="BI922" s="115"/>
      <c r="BJ922" s="115"/>
      <c r="BK922" s="115"/>
      <c r="BL922" s="115"/>
      <c r="BM922" s="115">
        <v>360222.82500000001</v>
      </c>
      <c r="BN922" s="115"/>
      <c r="BO922" s="115"/>
      <c r="BP922" s="115"/>
      <c r="DR922" s="214"/>
      <c r="DY922" s="115"/>
      <c r="DZ922" s="334"/>
      <c r="EA922" s="334"/>
      <c r="EB922" s="334"/>
      <c r="EC922" s="334"/>
      <c r="ED922" s="187"/>
      <c r="EE922" s="330"/>
      <c r="EH922" s="334"/>
      <c r="EI922" s="334"/>
      <c r="EM922"/>
      <c r="EO922" s="115"/>
      <c r="EP922" s="334"/>
      <c r="EQ922" s="334"/>
      <c r="ER922" s="334"/>
      <c r="ES922" s="334"/>
      <c r="ET922" s="334"/>
      <c r="EU922" s="334"/>
      <c r="EV922" s="334"/>
    </row>
    <row r="923" spans="35:152" ht="13">
      <c r="AI923" s="115" t="s">
        <v>1416</v>
      </c>
      <c r="AJ923" t="s">
        <v>2114</v>
      </c>
      <c r="AK923" s="115">
        <v>0</v>
      </c>
      <c r="AL923" s="115" t="s">
        <v>28</v>
      </c>
      <c r="AM923" s="115" t="s">
        <v>1849</v>
      </c>
      <c r="AN923" s="115" t="s">
        <v>1674</v>
      </c>
      <c r="AO923" s="115" t="s">
        <v>372</v>
      </c>
      <c r="AT923" s="115" t="s">
        <v>1415</v>
      </c>
      <c r="AU923" s="115" t="s">
        <v>2114</v>
      </c>
      <c r="AV923" s="115">
        <v>0</v>
      </c>
      <c r="AW923" s="115" t="s">
        <v>494</v>
      </c>
      <c r="AX923" s="115" t="s">
        <v>28</v>
      </c>
      <c r="AY923" s="115" t="s">
        <v>1846</v>
      </c>
      <c r="AZ923" s="115" t="s">
        <v>1934</v>
      </c>
      <c r="BA923" s="115"/>
      <c r="BB923" s="115"/>
      <c r="BC923" s="115"/>
      <c r="BD923" s="115"/>
      <c r="BE923" s="115"/>
      <c r="BF923" s="115"/>
      <c r="BG923" s="115"/>
      <c r="BH923" s="115"/>
      <c r="BI923" s="115"/>
      <c r="BJ923" s="115"/>
      <c r="BK923" s="115"/>
      <c r="BL923" s="115"/>
      <c r="BM923" s="115">
        <v>86320</v>
      </c>
      <c r="BN923" s="115"/>
      <c r="BO923" s="115"/>
      <c r="BP923" s="115"/>
      <c r="DR923" s="214"/>
      <c r="DY923" s="115"/>
      <c r="DZ923" s="334"/>
      <c r="EA923" s="334"/>
      <c r="EB923" s="334"/>
      <c r="EC923" s="334"/>
      <c r="ED923" s="187"/>
      <c r="EE923" s="330"/>
      <c r="EH923" s="334"/>
      <c r="EI923" s="334"/>
      <c r="EM923"/>
      <c r="EO923" s="115"/>
      <c r="EP923" s="334"/>
      <c r="EQ923" s="334"/>
      <c r="ER923" s="334"/>
      <c r="ES923" s="334"/>
      <c r="ET923" s="334"/>
      <c r="EU923" s="334"/>
      <c r="EV923" s="334"/>
    </row>
    <row r="924" spans="35:152" ht="13">
      <c r="AI924" s="115" t="s">
        <v>1416</v>
      </c>
      <c r="AJ924" t="s">
        <v>2114</v>
      </c>
      <c r="AK924" s="115">
        <v>0</v>
      </c>
      <c r="AL924" s="115" t="s">
        <v>28</v>
      </c>
      <c r="AM924" s="115" t="s">
        <v>1843</v>
      </c>
      <c r="AN924" s="115" t="s">
        <v>1674</v>
      </c>
      <c r="AO924" s="115" t="s">
        <v>372</v>
      </c>
      <c r="AT924" s="115" t="s">
        <v>1415</v>
      </c>
      <c r="AU924" s="115" t="s">
        <v>2114</v>
      </c>
      <c r="AV924" s="115">
        <v>0</v>
      </c>
      <c r="AW924" s="115" t="s">
        <v>494</v>
      </c>
      <c r="AX924" s="115" t="s">
        <v>28</v>
      </c>
      <c r="AY924" s="115" t="s">
        <v>1843</v>
      </c>
      <c r="AZ924" s="115" t="s">
        <v>1934</v>
      </c>
      <c r="BA924" s="115"/>
      <c r="BB924" s="115"/>
      <c r="BC924" s="115"/>
      <c r="BD924" s="115"/>
      <c r="BE924" s="115"/>
      <c r="BF924" s="115"/>
      <c r="BG924" s="115"/>
      <c r="BH924" s="115"/>
      <c r="BI924" s="115"/>
      <c r="BJ924" s="115"/>
      <c r="BK924" s="115"/>
      <c r="BL924" s="115"/>
      <c r="BM924" s="115">
        <v>86320</v>
      </c>
      <c r="BN924" s="115"/>
      <c r="BO924" s="115"/>
      <c r="BP924" s="115"/>
      <c r="DR924" s="214"/>
      <c r="DY924" s="115"/>
      <c r="DZ924" s="334"/>
      <c r="EA924" s="334"/>
      <c r="EB924" s="334"/>
      <c r="EC924" s="334"/>
      <c r="ED924" s="187"/>
      <c r="EE924" s="330"/>
      <c r="EH924" s="334"/>
      <c r="EI924" s="334"/>
      <c r="EM924"/>
      <c r="EO924" s="115"/>
      <c r="EP924" s="334"/>
      <c r="EQ924" s="334"/>
      <c r="ER924" s="334"/>
      <c r="ES924" s="334"/>
      <c r="ET924" s="334"/>
      <c r="EU924" s="334"/>
      <c r="EV924" s="334"/>
    </row>
    <row r="925" spans="35:152" ht="13">
      <c r="AI925" s="115" t="s">
        <v>1416</v>
      </c>
      <c r="AJ925" t="s">
        <v>2114</v>
      </c>
      <c r="AK925" s="115">
        <v>0</v>
      </c>
      <c r="AL925" s="115" t="s">
        <v>28</v>
      </c>
      <c r="AM925" s="115" t="s">
        <v>1850</v>
      </c>
      <c r="AN925" s="115" t="s">
        <v>1674</v>
      </c>
      <c r="AO925" s="115" t="s">
        <v>372</v>
      </c>
      <c r="AT925" s="115" t="s">
        <v>1415</v>
      </c>
      <c r="AU925" s="115" t="s">
        <v>2114</v>
      </c>
      <c r="AV925" s="115">
        <v>0</v>
      </c>
      <c r="AW925" s="115" t="s">
        <v>499</v>
      </c>
      <c r="AX925" s="115" t="s">
        <v>28</v>
      </c>
      <c r="AY925" s="115" t="s">
        <v>1846</v>
      </c>
      <c r="AZ925" s="115" t="s">
        <v>1935</v>
      </c>
      <c r="BA925" s="115"/>
      <c r="BB925" s="115"/>
      <c r="BC925" s="115">
        <v>542.93586183098455</v>
      </c>
      <c r="BD925" s="115"/>
      <c r="BE925" s="115"/>
      <c r="BF925" s="115"/>
      <c r="BG925" s="115"/>
      <c r="BH925" s="115"/>
      <c r="BI925" s="115"/>
      <c r="BJ925" s="115"/>
      <c r="BK925" s="115"/>
      <c r="BL925" s="115"/>
      <c r="BM925" s="115"/>
      <c r="BN925" s="115"/>
      <c r="BO925" s="115"/>
      <c r="BP925" s="115"/>
      <c r="DR925" s="214"/>
      <c r="DY925" s="115"/>
      <c r="DZ925" s="334"/>
      <c r="EA925" s="334"/>
      <c r="EB925" s="334"/>
      <c r="EC925" s="334"/>
      <c r="ED925" s="187"/>
      <c r="EE925" s="330"/>
      <c r="EH925" s="334"/>
      <c r="EI925" s="334"/>
      <c r="EM925"/>
      <c r="EO925" s="115"/>
      <c r="EP925" s="334"/>
      <c r="EQ925" s="334"/>
      <c r="ER925" s="334"/>
      <c r="ES925" s="334"/>
      <c r="ET925" s="334"/>
      <c r="EU925" s="334"/>
      <c r="EV925" s="334"/>
    </row>
    <row r="926" spans="35:152" ht="13">
      <c r="AI926" s="115" t="s">
        <v>1416</v>
      </c>
      <c r="AJ926" t="s">
        <v>2114</v>
      </c>
      <c r="AK926" s="115">
        <v>0</v>
      </c>
      <c r="AL926" s="115" t="s">
        <v>28</v>
      </c>
      <c r="AM926" s="115" t="s">
        <v>1832</v>
      </c>
      <c r="AN926" s="115" t="s">
        <v>1674</v>
      </c>
      <c r="AO926" s="115" t="s">
        <v>372</v>
      </c>
      <c r="AT926" s="115" t="s">
        <v>1415</v>
      </c>
      <c r="AU926" s="115" t="s">
        <v>2114</v>
      </c>
      <c r="AV926" s="115">
        <v>0</v>
      </c>
      <c r="AW926" s="115" t="s">
        <v>499</v>
      </c>
      <c r="AX926" s="115" t="s">
        <v>28</v>
      </c>
      <c r="AY926" s="115" t="s">
        <v>1848</v>
      </c>
      <c r="AZ926" s="115" t="s">
        <v>1935</v>
      </c>
      <c r="BA926" s="115"/>
      <c r="BB926" s="115"/>
      <c r="BC926" s="115">
        <v>3201.7718639339873</v>
      </c>
      <c r="BD926" s="115"/>
      <c r="BE926" s="115"/>
      <c r="BF926" s="115"/>
      <c r="BG926" s="115"/>
      <c r="BH926" s="115"/>
      <c r="BI926" s="115"/>
      <c r="BJ926" s="115"/>
      <c r="BK926" s="115"/>
      <c r="BL926" s="115"/>
      <c r="BM926" s="115"/>
      <c r="BN926" s="115"/>
      <c r="BO926" s="115"/>
      <c r="BP926" s="115"/>
      <c r="DR926" s="214"/>
      <c r="DY926" s="115"/>
      <c r="DZ926" s="334"/>
      <c r="EA926" s="334"/>
      <c r="EB926" s="334"/>
      <c r="EC926" s="334"/>
      <c r="ED926" s="187"/>
      <c r="EE926" s="330"/>
      <c r="EH926" s="334"/>
      <c r="EI926" s="334"/>
      <c r="EM926"/>
      <c r="EO926" s="115"/>
      <c r="EP926" s="334"/>
      <c r="EQ926" s="334"/>
      <c r="ER926" s="334"/>
      <c r="ES926" s="334"/>
      <c r="ET926" s="334"/>
      <c r="EU926" s="334"/>
      <c r="EV926" s="334"/>
    </row>
    <row r="927" spans="35:152" ht="13">
      <c r="AI927" s="115" t="s">
        <v>1416</v>
      </c>
      <c r="AJ927" t="s">
        <v>2114</v>
      </c>
      <c r="AK927" s="115">
        <v>0</v>
      </c>
      <c r="AL927" s="115" t="s">
        <v>28</v>
      </c>
      <c r="AM927" s="115" t="s">
        <v>1843</v>
      </c>
      <c r="AN927" s="115" t="s">
        <v>1675</v>
      </c>
      <c r="AO927" s="115" t="s">
        <v>1643</v>
      </c>
      <c r="AT927" s="115" t="s">
        <v>1415</v>
      </c>
      <c r="AU927" s="115" t="s">
        <v>2114</v>
      </c>
      <c r="AV927" s="115">
        <v>0</v>
      </c>
      <c r="AW927" s="115" t="s">
        <v>499</v>
      </c>
      <c r="AX927" s="115" t="s">
        <v>28</v>
      </c>
      <c r="AY927" s="115" t="s">
        <v>1843</v>
      </c>
      <c r="AZ927" s="115" t="s">
        <v>1935</v>
      </c>
      <c r="BA927" s="115"/>
      <c r="BB927" s="115"/>
      <c r="BC927" s="115">
        <v>3711.3402061855672</v>
      </c>
      <c r="BD927" s="115"/>
      <c r="BE927" s="115"/>
      <c r="BF927" s="115"/>
      <c r="BG927" s="115"/>
      <c r="BH927" s="115"/>
      <c r="BI927" s="115"/>
      <c r="BJ927" s="115"/>
      <c r="BK927" s="115"/>
      <c r="BL927" s="115"/>
      <c r="BM927" s="115"/>
      <c r="BN927" s="115"/>
      <c r="BO927" s="115"/>
      <c r="BP927" s="115"/>
      <c r="DR927" s="214"/>
      <c r="DY927" s="115"/>
      <c r="DZ927" s="334"/>
      <c r="EA927" s="334"/>
      <c r="EB927" s="334"/>
      <c r="EC927" s="334"/>
      <c r="ED927" s="187"/>
      <c r="EE927" s="330"/>
      <c r="EH927" s="334"/>
      <c r="EI927" s="334"/>
      <c r="EM927"/>
      <c r="EO927" s="115"/>
      <c r="EP927" s="334"/>
      <c r="EQ927" s="334"/>
      <c r="ER927" s="334"/>
      <c r="ES927" s="334"/>
      <c r="ET927" s="334"/>
      <c r="EU927" s="334"/>
      <c r="EV927" s="334"/>
    </row>
    <row r="928" spans="35:152" ht="13">
      <c r="AI928" s="115" t="s">
        <v>1416</v>
      </c>
      <c r="AJ928" t="s">
        <v>2114</v>
      </c>
      <c r="AK928" s="115">
        <v>0</v>
      </c>
      <c r="AL928" s="115" t="s">
        <v>28</v>
      </c>
      <c r="AM928" s="115" t="s">
        <v>1849</v>
      </c>
      <c r="AN928" s="115" t="s">
        <v>1675</v>
      </c>
      <c r="AO928" s="115" t="s">
        <v>1643</v>
      </c>
      <c r="AT928" s="115" t="s">
        <v>1415</v>
      </c>
      <c r="AU928" s="115" t="s">
        <v>2114</v>
      </c>
      <c r="AV928" s="115">
        <v>0</v>
      </c>
      <c r="AW928" s="115" t="s">
        <v>499</v>
      </c>
      <c r="AX928" s="115" t="s">
        <v>28</v>
      </c>
      <c r="AY928" s="115" t="s">
        <v>1849</v>
      </c>
      <c r="AZ928" s="115" t="s">
        <v>1935</v>
      </c>
      <c r="BA928" s="115"/>
      <c r="BB928" s="115"/>
      <c r="BC928" s="115">
        <v>24.034132580985762</v>
      </c>
      <c r="BD928" s="115"/>
      <c r="BE928" s="115"/>
      <c r="BF928" s="115"/>
      <c r="BG928" s="115"/>
      <c r="BH928" s="115"/>
      <c r="BI928" s="115"/>
      <c r="BJ928" s="115"/>
      <c r="BK928" s="115"/>
      <c r="BL928" s="115"/>
      <c r="BM928" s="115"/>
      <c r="BN928" s="115"/>
      <c r="BO928" s="115"/>
      <c r="BP928" s="115"/>
      <c r="DR928" s="214"/>
      <c r="DY928" s="115"/>
      <c r="DZ928" s="334"/>
      <c r="EA928" s="334"/>
      <c r="EB928" s="334"/>
      <c r="EC928" s="334"/>
      <c r="ED928" s="187"/>
      <c r="EE928" s="330"/>
      <c r="EH928" s="334"/>
      <c r="EI928" s="334"/>
      <c r="EM928"/>
      <c r="EO928" s="115"/>
      <c r="EP928" s="334"/>
      <c r="EQ928" s="334"/>
      <c r="ER928" s="334"/>
      <c r="ES928" s="334"/>
      <c r="ET928" s="334"/>
      <c r="EU928" s="334"/>
      <c r="EV928" s="334"/>
    </row>
    <row r="929" spans="35:152" ht="13">
      <c r="AI929" s="115" t="s">
        <v>1416</v>
      </c>
      <c r="AJ929" t="s">
        <v>2114</v>
      </c>
      <c r="AK929" s="115">
        <v>0</v>
      </c>
      <c r="AL929" s="115" t="s">
        <v>28</v>
      </c>
      <c r="AM929" s="115" t="s">
        <v>1848</v>
      </c>
      <c r="AN929" s="115" t="s">
        <v>1675</v>
      </c>
      <c r="AO929" s="115" t="s">
        <v>1643</v>
      </c>
      <c r="AT929" s="115" t="s">
        <v>1415</v>
      </c>
      <c r="AU929" s="115" t="s">
        <v>2114</v>
      </c>
      <c r="AV929" s="115">
        <v>0</v>
      </c>
      <c r="AW929" s="115" t="s">
        <v>499</v>
      </c>
      <c r="AX929" s="115" t="s">
        <v>28</v>
      </c>
      <c r="AY929" s="115" t="s">
        <v>1850</v>
      </c>
      <c r="AZ929" s="115" t="s">
        <v>1935</v>
      </c>
      <c r="BA929" s="115"/>
      <c r="BB929" s="115"/>
      <c r="BC929" s="115">
        <v>72.102397742957294</v>
      </c>
      <c r="BD929" s="115"/>
      <c r="BE929" s="115"/>
      <c r="BF929" s="115"/>
      <c r="BG929" s="115"/>
      <c r="BH929" s="115"/>
      <c r="BI929" s="115"/>
      <c r="BJ929" s="115"/>
      <c r="BK929" s="115"/>
      <c r="BL929" s="115"/>
      <c r="BM929" s="115"/>
      <c r="BN929" s="115"/>
      <c r="BO929" s="115"/>
      <c r="BP929" s="115"/>
      <c r="DR929" s="214"/>
      <c r="DY929" s="115"/>
      <c r="DZ929" s="334"/>
      <c r="EA929" s="334"/>
      <c r="EB929" s="334"/>
      <c r="EC929" s="334"/>
      <c r="ED929" s="187"/>
      <c r="EE929" s="330"/>
      <c r="EH929" s="334"/>
      <c r="EI929" s="334"/>
      <c r="EM929"/>
      <c r="EO929" s="115"/>
      <c r="EP929" s="334"/>
      <c r="EQ929" s="334"/>
      <c r="ER929" s="334"/>
      <c r="ES929" s="334"/>
      <c r="ET929" s="334"/>
      <c r="EU929" s="334"/>
      <c r="EV929" s="334"/>
    </row>
    <row r="930" spans="35:152" ht="13">
      <c r="AI930" s="115" t="s">
        <v>1416</v>
      </c>
      <c r="AJ930" t="s">
        <v>2114</v>
      </c>
      <c r="AK930" s="115">
        <v>0</v>
      </c>
      <c r="AL930" s="115" t="s">
        <v>28</v>
      </c>
      <c r="AM930" s="115" t="s">
        <v>1850</v>
      </c>
      <c r="AN930" s="115" t="s">
        <v>1675</v>
      </c>
      <c r="AO930" s="115" t="s">
        <v>1643</v>
      </c>
      <c r="AT930" s="115" t="s">
        <v>1415</v>
      </c>
      <c r="AU930" s="115" t="s">
        <v>2114</v>
      </c>
      <c r="AV930" s="115">
        <v>0</v>
      </c>
      <c r="AW930" s="115" t="s">
        <v>499</v>
      </c>
      <c r="AX930" s="115" t="s">
        <v>28</v>
      </c>
      <c r="AY930" s="115" t="s">
        <v>1832</v>
      </c>
      <c r="AZ930" s="115" t="s">
        <v>1935</v>
      </c>
      <c r="BA930" s="115"/>
      <c r="BB930" s="115"/>
      <c r="BC930" s="115">
        <v>99.109825076229953</v>
      </c>
      <c r="BD930" s="115"/>
      <c r="BE930" s="115"/>
      <c r="BF930" s="115"/>
      <c r="BG930" s="115"/>
      <c r="BH930" s="115"/>
      <c r="BI930" s="115"/>
      <c r="BJ930" s="115"/>
      <c r="BK930" s="115"/>
      <c r="BL930" s="115"/>
      <c r="BM930" s="115"/>
      <c r="BN930" s="115"/>
      <c r="BO930" s="115"/>
      <c r="BP930" s="115"/>
      <c r="DR930" s="214"/>
      <c r="DY930" s="115"/>
      <c r="DZ930" s="334"/>
      <c r="EA930" s="334"/>
      <c r="EB930" s="334"/>
      <c r="EC930" s="334"/>
      <c r="ED930" s="187"/>
      <c r="EE930" s="330"/>
      <c r="EH930" s="334"/>
      <c r="EI930" s="334"/>
      <c r="EM930"/>
      <c r="EO930" s="115"/>
      <c r="EP930" s="334"/>
      <c r="EQ930" s="334"/>
      <c r="ER930" s="334"/>
      <c r="ES930" s="334"/>
      <c r="ET930" s="334"/>
      <c r="EU930" s="334"/>
      <c r="EV930" s="334"/>
    </row>
    <row r="931" spans="35:152" ht="13">
      <c r="AI931" s="115" t="s">
        <v>1416</v>
      </c>
      <c r="AJ931" t="s">
        <v>2114</v>
      </c>
      <c r="AK931" s="115">
        <v>0</v>
      </c>
      <c r="AL931" s="115" t="s">
        <v>28</v>
      </c>
      <c r="AM931" s="115" t="s">
        <v>1846</v>
      </c>
      <c r="AN931" s="115" t="s">
        <v>1675</v>
      </c>
      <c r="AO931" s="115" t="s">
        <v>1643</v>
      </c>
      <c r="AT931" s="115" t="s">
        <v>1415</v>
      </c>
      <c r="AU931" s="115" t="s">
        <v>2114</v>
      </c>
      <c r="AV931" s="115">
        <v>0</v>
      </c>
      <c r="AW931" s="115" t="s">
        <v>499</v>
      </c>
      <c r="AX931" s="115" t="s">
        <v>28</v>
      </c>
      <c r="AY931" s="115" t="s">
        <v>1846</v>
      </c>
      <c r="AZ931" s="115" t="s">
        <v>1847</v>
      </c>
      <c r="BA931" s="115"/>
      <c r="BB931" s="115"/>
      <c r="BC931" s="115">
        <v>26058.665593955986</v>
      </c>
      <c r="BD931" s="115"/>
      <c r="BE931" s="115"/>
      <c r="BF931" s="115"/>
      <c r="BG931" s="115"/>
      <c r="BH931" s="115">
        <v>613058.24621587049</v>
      </c>
      <c r="BI931" s="115">
        <v>81035.748328177506</v>
      </c>
      <c r="BJ931" s="115">
        <v>9512.4163230199993</v>
      </c>
      <c r="BK931" s="115">
        <v>47686.448473177501</v>
      </c>
      <c r="BL931" s="115">
        <v>71293.084784955005</v>
      </c>
      <c r="BM931" s="115">
        <v>218398.68169999999</v>
      </c>
      <c r="BN931" s="115">
        <v>129263.75</v>
      </c>
      <c r="BO931" s="115">
        <v>122678.76999999997</v>
      </c>
      <c r="BP931" s="115"/>
      <c r="DR931" s="214"/>
      <c r="DY931" s="115"/>
      <c r="DZ931" s="334"/>
      <c r="EA931" s="334"/>
      <c r="EB931" s="334"/>
      <c r="EC931" s="334"/>
      <c r="ED931" s="187"/>
      <c r="EE931" s="330"/>
      <c r="EH931" s="334"/>
      <c r="EI931" s="334"/>
      <c r="EM931"/>
      <c r="EO931" s="115"/>
      <c r="EP931" s="334"/>
      <c r="EQ931" s="334"/>
      <c r="ER931" s="334"/>
      <c r="ES931" s="334"/>
      <c r="ET931" s="334"/>
      <c r="EU931" s="334"/>
      <c r="EV931" s="334"/>
    </row>
    <row r="932" spans="35:152" ht="13">
      <c r="AI932" s="115" t="s">
        <v>1416</v>
      </c>
      <c r="AJ932" t="s">
        <v>2114</v>
      </c>
      <c r="AK932" s="115">
        <v>0</v>
      </c>
      <c r="AL932" s="115" t="s">
        <v>28</v>
      </c>
      <c r="AM932" s="115" t="s">
        <v>1832</v>
      </c>
      <c r="AN932" s="115" t="s">
        <v>1675</v>
      </c>
      <c r="AO932" s="115" t="s">
        <v>1643</v>
      </c>
      <c r="AT932" s="115" t="s">
        <v>1415</v>
      </c>
      <c r="AU932" s="115" t="s">
        <v>2114</v>
      </c>
      <c r="AV932" s="115">
        <v>0</v>
      </c>
      <c r="AW932" s="115" t="s">
        <v>499</v>
      </c>
      <c r="AX932" s="115" t="s">
        <v>28</v>
      </c>
      <c r="AY932" s="115" t="s">
        <v>1848</v>
      </c>
      <c r="AZ932" s="115" t="s">
        <v>1847</v>
      </c>
      <c r="BA932" s="115"/>
      <c r="BB932" s="115"/>
      <c r="BC932" s="115">
        <v>153671.74684137147</v>
      </c>
      <c r="BD932" s="115"/>
      <c r="BE932" s="115"/>
      <c r="BF932" s="115">
        <v>15373.627290999999</v>
      </c>
      <c r="BG932" s="115"/>
      <c r="BH932" s="115">
        <v>43395.544091129435</v>
      </c>
      <c r="BI932" s="115">
        <v>29770.310995837495</v>
      </c>
      <c r="BJ932" s="115">
        <v>47781.644006851871</v>
      </c>
      <c r="BK932" s="115">
        <v>7448.8009874774989</v>
      </c>
      <c r="BL932" s="115">
        <v>11136.245565555002</v>
      </c>
      <c r="BM932" s="115"/>
      <c r="BN932" s="115"/>
      <c r="BO932" s="115"/>
      <c r="BP932" s="115"/>
      <c r="DR932" s="214"/>
      <c r="DY932" s="115"/>
      <c r="DZ932" s="334"/>
      <c r="EA932" s="334"/>
      <c r="EB932" s="334"/>
      <c r="EC932" s="334"/>
      <c r="ED932" s="187"/>
      <c r="EE932" s="330"/>
      <c r="EH932" s="334"/>
      <c r="EI932" s="334"/>
      <c r="EM932"/>
      <c r="EO932" s="115"/>
      <c r="EP932" s="334"/>
      <c r="EQ932" s="334"/>
      <c r="ER932" s="334"/>
      <c r="ES932" s="334"/>
      <c r="ET932" s="334"/>
      <c r="EU932" s="334"/>
      <c r="EV932" s="334"/>
    </row>
    <row r="933" spans="35:152" ht="13">
      <c r="AI933" s="115" t="s">
        <v>1416</v>
      </c>
      <c r="AJ933" t="s">
        <v>2114</v>
      </c>
      <c r="AK933" s="115">
        <v>0</v>
      </c>
      <c r="AL933" s="115" t="s">
        <v>28</v>
      </c>
      <c r="AM933" s="115" t="s">
        <v>1832</v>
      </c>
      <c r="AN933" s="115" t="s">
        <v>1675</v>
      </c>
      <c r="AO933" s="115" t="s">
        <v>1642</v>
      </c>
      <c r="AT933" s="115" t="s">
        <v>1415</v>
      </c>
      <c r="AU933" s="115" t="s">
        <v>2114</v>
      </c>
      <c r="AV933" s="115">
        <v>0</v>
      </c>
      <c r="AW933" s="115" t="s">
        <v>499</v>
      </c>
      <c r="AX933" s="115" t="s">
        <v>28</v>
      </c>
      <c r="AY933" s="115" t="s">
        <v>1843</v>
      </c>
      <c r="AZ933" s="115" t="s">
        <v>1847</v>
      </c>
      <c r="BA933" s="115"/>
      <c r="BB933" s="115"/>
      <c r="BC933" s="115">
        <v>178128.91020618557</v>
      </c>
      <c r="BD933" s="115"/>
      <c r="BE933" s="115"/>
      <c r="BF933" s="115">
        <v>15255.154639175258</v>
      </c>
      <c r="BG933" s="115"/>
      <c r="BH933" s="115">
        <v>621239.31028659805</v>
      </c>
      <c r="BI933" s="115">
        <v>97014.444639175243</v>
      </c>
      <c r="BJ933" s="115">
        <v>56773.522680412374</v>
      </c>
      <c r="BK933" s="115">
        <v>54314.334226804123</v>
      </c>
      <c r="BL933" s="115">
        <v>73028.263505154639</v>
      </c>
      <c r="BM933" s="115">
        <v>218398.68169999999</v>
      </c>
      <c r="BN933" s="115">
        <v>129263.75</v>
      </c>
      <c r="BO933" s="115">
        <v>122678.76999999997</v>
      </c>
      <c r="BP933" s="115"/>
      <c r="DR933" s="214"/>
      <c r="DY933" s="115"/>
      <c r="DZ933" s="334"/>
      <c r="EA933" s="334"/>
      <c r="EB933" s="334"/>
      <c r="EC933" s="334"/>
      <c r="ED933" s="187"/>
      <c r="EE933" s="330"/>
      <c r="EH933" s="334"/>
      <c r="EI933" s="334"/>
      <c r="EM933"/>
      <c r="EO933" s="115"/>
      <c r="EP933" s="334"/>
      <c r="EQ933" s="334"/>
      <c r="ER933" s="334"/>
      <c r="ES933" s="334"/>
      <c r="ET933" s="334"/>
      <c r="EU933" s="334"/>
      <c r="EV933" s="334"/>
    </row>
    <row r="934" spans="35:152" ht="13">
      <c r="AI934" s="115" t="s">
        <v>1416</v>
      </c>
      <c r="AJ934" t="s">
        <v>2114</v>
      </c>
      <c r="AK934" s="115">
        <v>0</v>
      </c>
      <c r="AL934" s="115" t="s">
        <v>28</v>
      </c>
      <c r="AM934" s="115" t="s">
        <v>1848</v>
      </c>
      <c r="AN934" s="115" t="s">
        <v>1675</v>
      </c>
      <c r="AO934" s="115" t="s">
        <v>1642</v>
      </c>
      <c r="AT934" s="115" t="s">
        <v>1415</v>
      </c>
      <c r="AU934" s="115" t="s">
        <v>2114</v>
      </c>
      <c r="AV934" s="115">
        <v>0</v>
      </c>
      <c r="AW934" s="115" t="s">
        <v>499</v>
      </c>
      <c r="AX934" s="115" t="s">
        <v>28</v>
      </c>
      <c r="AY934" s="115" t="s">
        <v>1849</v>
      </c>
      <c r="AZ934" s="115" t="s">
        <v>1847</v>
      </c>
      <c r="BA934" s="115"/>
      <c r="BB934" s="115"/>
      <c r="BC934" s="115">
        <v>1153.5385075809859</v>
      </c>
      <c r="BD934" s="115"/>
      <c r="BE934" s="115"/>
      <c r="BF934" s="115"/>
      <c r="BG934" s="115"/>
      <c r="BH934" s="115">
        <v>8971.8709356000018</v>
      </c>
      <c r="BI934" s="115">
        <v>2328.8075250000002</v>
      </c>
      <c r="BJ934" s="115">
        <v>118.66313124999996</v>
      </c>
      <c r="BK934" s="115">
        <v>1656.2337750000002</v>
      </c>
      <c r="BL934" s="115">
        <v>2476.13355</v>
      </c>
      <c r="BM934" s="115"/>
      <c r="BN934" s="115"/>
      <c r="BO934" s="115"/>
      <c r="BP934" s="115"/>
      <c r="DR934" s="214"/>
      <c r="DY934" s="115"/>
      <c r="DZ934" s="334"/>
      <c r="EA934" s="334"/>
      <c r="EB934" s="334"/>
      <c r="EC934" s="334"/>
      <c r="ED934" s="187"/>
      <c r="EE934" s="330"/>
      <c r="EH934" s="334"/>
      <c r="EI934" s="334"/>
      <c r="EM934"/>
      <c r="EO934" s="115"/>
      <c r="EP934" s="334"/>
      <c r="EQ934" s="334"/>
      <c r="ER934" s="334"/>
      <c r="ES934" s="334"/>
      <c r="ET934" s="334"/>
      <c r="EU934" s="334"/>
      <c r="EV934" s="334"/>
    </row>
    <row r="935" spans="35:152" ht="13">
      <c r="AI935" s="115" t="s">
        <v>1416</v>
      </c>
      <c r="AJ935" t="s">
        <v>2114</v>
      </c>
      <c r="AK935" s="115">
        <v>0</v>
      </c>
      <c r="AL935" s="115" t="s">
        <v>28</v>
      </c>
      <c r="AM935" s="115" t="s">
        <v>1843</v>
      </c>
      <c r="AN935" s="115" t="s">
        <v>1675</v>
      </c>
      <c r="AO935" s="115" t="s">
        <v>1642</v>
      </c>
      <c r="AT935" s="115" t="s">
        <v>1415</v>
      </c>
      <c r="AU935" s="115" t="s">
        <v>2114</v>
      </c>
      <c r="AV935" s="115">
        <v>0</v>
      </c>
      <c r="AW935" s="115" t="s">
        <v>499</v>
      </c>
      <c r="AX935" s="115" t="s">
        <v>28</v>
      </c>
      <c r="AY935" s="115" t="s">
        <v>1850</v>
      </c>
      <c r="AZ935" s="115" t="s">
        <v>1847</v>
      </c>
      <c r="BA935" s="115"/>
      <c r="BB935" s="115"/>
      <c r="BC935" s="115">
        <v>3460.6155227429563</v>
      </c>
      <c r="BD935" s="115"/>
      <c r="BE935" s="115"/>
      <c r="BF935" s="115">
        <v>330.76999999999992</v>
      </c>
      <c r="BG935" s="115"/>
      <c r="BH935" s="115">
        <v>996.87454840000009</v>
      </c>
      <c r="BI935" s="115">
        <v>776.26917500000002</v>
      </c>
      <c r="BJ935" s="115">
        <v>1067.9681812499998</v>
      </c>
      <c r="BK935" s="115">
        <v>184.02597500000002</v>
      </c>
      <c r="BL935" s="115">
        <v>275.12594999999999</v>
      </c>
      <c r="BM935" s="115"/>
      <c r="BN935" s="115"/>
      <c r="BO935" s="115"/>
      <c r="BP935" s="115"/>
      <c r="DR935" s="214"/>
      <c r="DY935" s="115"/>
      <c r="DZ935" s="334"/>
      <c r="EA935" s="334"/>
      <c r="EB935" s="334"/>
      <c r="EC935" s="334"/>
      <c r="ED935" s="187"/>
      <c r="EE935" s="330"/>
      <c r="EH935" s="334"/>
      <c r="EI935" s="334"/>
      <c r="EM935"/>
      <c r="EO935" s="115"/>
      <c r="EP935" s="334"/>
      <c r="EQ935" s="334"/>
      <c r="ER935" s="334"/>
      <c r="ES935" s="334"/>
      <c r="ET935" s="334"/>
      <c r="EU935" s="334"/>
      <c r="EV935" s="334"/>
    </row>
    <row r="936" spans="35:152" ht="13">
      <c r="AI936" s="115" t="s">
        <v>1416</v>
      </c>
      <c r="AJ936" t="s">
        <v>2114</v>
      </c>
      <c r="AK936" s="115">
        <v>0</v>
      </c>
      <c r="AL936" s="115" t="s">
        <v>28</v>
      </c>
      <c r="AM936" s="115" t="s">
        <v>1850</v>
      </c>
      <c r="AN936" s="115" t="s">
        <v>1675</v>
      </c>
      <c r="AO936" s="115" t="s">
        <v>1642</v>
      </c>
      <c r="AT936" s="115" t="s">
        <v>1415</v>
      </c>
      <c r="AU936" s="115" t="s">
        <v>2114</v>
      </c>
      <c r="AV936" s="115">
        <v>0</v>
      </c>
      <c r="AW936" s="115" t="s">
        <v>499</v>
      </c>
      <c r="AX936" s="115" t="s">
        <v>28</v>
      </c>
      <c r="AY936" s="115" t="s">
        <v>1832</v>
      </c>
      <c r="AZ936" s="115" t="s">
        <v>1847</v>
      </c>
      <c r="BA936" s="115"/>
      <c r="BB936" s="115"/>
      <c r="BC936" s="115">
        <v>4756.8598250762307</v>
      </c>
      <c r="BD936" s="115"/>
      <c r="BE936" s="115"/>
      <c r="BF936" s="115">
        <v>341</v>
      </c>
      <c r="BG936" s="115"/>
      <c r="BH936" s="115">
        <v>10277.057200000001</v>
      </c>
      <c r="BI936" s="115">
        <v>3201.1100000000006</v>
      </c>
      <c r="BJ936" s="115">
        <v>1223.3312500000002</v>
      </c>
      <c r="BK936" s="115">
        <v>1897.1750000000002</v>
      </c>
      <c r="BL936" s="115">
        <v>2836.35</v>
      </c>
      <c r="BM936" s="115"/>
      <c r="BN936" s="115"/>
      <c r="BO936" s="115"/>
      <c r="BP936" s="115"/>
      <c r="DR936" s="214"/>
      <c r="DY936" s="115"/>
      <c r="DZ936" s="334"/>
      <c r="EA936" s="334"/>
      <c r="EB936" s="334"/>
      <c r="EC936" s="334"/>
      <c r="ED936" s="187"/>
      <c r="EE936" s="330"/>
      <c r="EH936" s="334"/>
      <c r="EI936" s="334"/>
      <c r="EM936"/>
      <c r="EO936" s="115"/>
      <c r="EP936" s="334"/>
      <c r="EQ936" s="334"/>
      <c r="ER936" s="334"/>
      <c r="ES936" s="334"/>
      <c r="ET936" s="334"/>
      <c r="EU936" s="334"/>
      <c r="EV936" s="334"/>
    </row>
    <row r="937" spans="35:152" ht="13">
      <c r="AI937" s="115" t="s">
        <v>1416</v>
      </c>
      <c r="AJ937" t="s">
        <v>2114</v>
      </c>
      <c r="AK937" s="115">
        <v>0</v>
      </c>
      <c r="AL937" s="115" t="s">
        <v>28</v>
      </c>
      <c r="AM937" s="115" t="s">
        <v>1849</v>
      </c>
      <c r="AN937" s="115" t="s">
        <v>1675</v>
      </c>
      <c r="AO937" s="115" t="s">
        <v>379</v>
      </c>
      <c r="AT937" s="115" t="s">
        <v>1415</v>
      </c>
      <c r="AU937" s="115" t="s">
        <v>2114</v>
      </c>
      <c r="AV937" s="115">
        <v>0</v>
      </c>
      <c r="AW937" s="115" t="s">
        <v>494</v>
      </c>
      <c r="AX937" s="115" t="s">
        <v>28</v>
      </c>
      <c r="AY937" s="115" t="s">
        <v>1846</v>
      </c>
      <c r="AZ937" s="115" t="s">
        <v>1649</v>
      </c>
      <c r="BA937" s="115"/>
      <c r="BB937" s="115"/>
      <c r="BC937" s="115">
        <v>3894.9458085000001</v>
      </c>
      <c r="BD937" s="115"/>
      <c r="BE937" s="115"/>
      <c r="BF937" s="115"/>
      <c r="BG937" s="115"/>
      <c r="BH937" s="115">
        <v>274287.00914537278</v>
      </c>
      <c r="BI937" s="115">
        <v>103846.744806</v>
      </c>
      <c r="BJ937" s="115">
        <v>29.742551279999997</v>
      </c>
      <c r="BK937" s="115">
        <v>34407.990467370008</v>
      </c>
      <c r="BL937" s="115">
        <v>80793.550967256015</v>
      </c>
      <c r="BM937" s="115">
        <v>1220551.1821999999</v>
      </c>
      <c r="BN937" s="115">
        <v>471548.51999999996</v>
      </c>
      <c r="BO937" s="115">
        <v>65381.919999999998</v>
      </c>
      <c r="BP937" s="115"/>
      <c r="DR937" s="214"/>
      <c r="DY937" s="115"/>
      <c r="DZ937" s="334"/>
      <c r="EA937" s="334"/>
      <c r="EB937" s="334"/>
      <c r="EC937" s="334"/>
      <c r="ED937" s="187"/>
      <c r="EE937" s="330"/>
      <c r="EH937" s="334"/>
      <c r="EI937" s="334"/>
      <c r="EM937"/>
      <c r="EO937" s="115"/>
      <c r="EP937" s="334"/>
      <c r="EQ937" s="334"/>
      <c r="ER937" s="334"/>
      <c r="ES937" s="334"/>
      <c r="ET937" s="334"/>
      <c r="EU937" s="334"/>
      <c r="EV937" s="334"/>
    </row>
    <row r="938" spans="35:152" ht="13">
      <c r="AI938" s="115" t="s">
        <v>1416</v>
      </c>
      <c r="AJ938" t="s">
        <v>2114</v>
      </c>
      <c r="AK938" s="115">
        <v>0</v>
      </c>
      <c r="AL938" s="115" t="s">
        <v>28</v>
      </c>
      <c r="AM938" s="115" t="s">
        <v>1843</v>
      </c>
      <c r="AN938" s="115" t="s">
        <v>1675</v>
      </c>
      <c r="AO938" s="115" t="s">
        <v>379</v>
      </c>
      <c r="AT938" s="115" t="s">
        <v>1415</v>
      </c>
      <c r="AU938" s="115" t="s">
        <v>2114</v>
      </c>
      <c r="AV938" s="115">
        <v>0</v>
      </c>
      <c r="AW938" s="115" t="s">
        <v>494</v>
      </c>
      <c r="AX938" s="115" t="s">
        <v>28</v>
      </c>
      <c r="AY938" s="115" t="s">
        <v>1848</v>
      </c>
      <c r="AZ938" s="115" t="s">
        <v>1649</v>
      </c>
      <c r="BA938" s="115"/>
      <c r="BB938" s="115"/>
      <c r="BC938" s="115">
        <v>22969.062789749994</v>
      </c>
      <c r="BD938" s="115"/>
      <c r="BE938" s="115"/>
      <c r="BF938" s="115">
        <v>11192.090835749999</v>
      </c>
      <c r="BG938" s="115"/>
      <c r="BH938" s="115">
        <v>10812.682171014083</v>
      </c>
      <c r="BI938" s="115">
        <v>46803.161127749998</v>
      </c>
      <c r="BJ938" s="115">
        <v>149.39926395750001</v>
      </c>
      <c r="BK938" s="115">
        <v>5374.6563557700001</v>
      </c>
      <c r="BL938" s="115">
        <v>12620.253793175998</v>
      </c>
      <c r="BM938" s="115"/>
      <c r="BN938" s="115"/>
      <c r="BO938" s="115"/>
      <c r="BP938" s="115"/>
      <c r="DR938" s="214"/>
      <c r="DY938" s="115"/>
      <c r="DZ938" s="334"/>
      <c r="EA938" s="334"/>
      <c r="EB938" s="334"/>
      <c r="EC938" s="334"/>
      <c r="ED938" s="187"/>
      <c r="EE938" s="330"/>
      <c r="EH938" s="334"/>
      <c r="EI938" s="334"/>
      <c r="EM938"/>
      <c r="EO938" s="115"/>
      <c r="EP938" s="334"/>
      <c r="EQ938" s="334"/>
      <c r="ER938" s="334"/>
      <c r="ES938" s="334"/>
      <c r="ET938" s="334"/>
      <c r="EU938" s="334"/>
      <c r="EV938" s="334"/>
    </row>
    <row r="939" spans="35:152" ht="13">
      <c r="AI939" s="115" t="s">
        <v>1416</v>
      </c>
      <c r="AJ939" t="s">
        <v>2114</v>
      </c>
      <c r="AK939" s="115">
        <v>0</v>
      </c>
      <c r="AL939" s="115" t="s">
        <v>28</v>
      </c>
      <c r="AM939" s="115" t="s">
        <v>1848</v>
      </c>
      <c r="AN939" s="115" t="s">
        <v>1675</v>
      </c>
      <c r="AO939" s="115" t="s">
        <v>379</v>
      </c>
      <c r="AT939" s="115" t="s">
        <v>1415</v>
      </c>
      <c r="AU939" s="115" t="s">
        <v>2114</v>
      </c>
      <c r="AV939" s="115">
        <v>0</v>
      </c>
      <c r="AW939" s="115" t="s">
        <v>494</v>
      </c>
      <c r="AX939" s="115" t="s">
        <v>28</v>
      </c>
      <c r="AY939" s="115" t="s">
        <v>1843</v>
      </c>
      <c r="AZ939" s="115" t="s">
        <v>1649</v>
      </c>
      <c r="BA939" s="115"/>
      <c r="BB939" s="115"/>
      <c r="BC939" s="115">
        <v>26624.634742268041</v>
      </c>
      <c r="BD939" s="115"/>
      <c r="BE939" s="115"/>
      <c r="BF939" s="115">
        <v>11105.84206185567</v>
      </c>
      <c r="BG939" s="115"/>
      <c r="BH939" s="115">
        <v>276325.44994123711</v>
      </c>
      <c r="BI939" s="115">
        <v>152520.49896907216</v>
      </c>
      <c r="BJ939" s="115">
        <v>177.51422680412369</v>
      </c>
      <c r="BK939" s="115">
        <v>39190.318350515467</v>
      </c>
      <c r="BL939" s="115">
        <v>90440.928247422693</v>
      </c>
      <c r="BM939" s="115">
        <v>1220551.1821999999</v>
      </c>
      <c r="BN939" s="115">
        <v>471548.51999999996</v>
      </c>
      <c r="BO939" s="115">
        <v>65381.919999999998</v>
      </c>
      <c r="BP939" s="115"/>
      <c r="DR939" s="214"/>
      <c r="DY939" s="115"/>
      <c r="DZ939" s="334"/>
      <c r="EA939" s="334"/>
      <c r="EB939" s="334"/>
      <c r="EC939" s="334"/>
      <c r="ED939" s="187"/>
      <c r="EE939" s="330"/>
      <c r="EH939" s="334"/>
      <c r="EI939" s="334"/>
      <c r="EM939"/>
      <c r="EO939" s="115"/>
      <c r="EP939" s="334"/>
      <c r="EQ939" s="334"/>
      <c r="ER939" s="334"/>
      <c r="ES939" s="334"/>
      <c r="ET939" s="334"/>
      <c r="EU939" s="334"/>
      <c r="EV939" s="334"/>
    </row>
    <row r="940" spans="35:152" ht="13">
      <c r="AI940" s="115" t="s">
        <v>1416</v>
      </c>
      <c r="AJ940" t="s">
        <v>2114</v>
      </c>
      <c r="AK940" s="115">
        <v>0</v>
      </c>
      <c r="AL940" s="115" t="s">
        <v>28</v>
      </c>
      <c r="AM940" s="115" t="s">
        <v>1846</v>
      </c>
      <c r="AN940" s="115" t="s">
        <v>1675</v>
      </c>
      <c r="AO940" s="115" t="s">
        <v>379</v>
      </c>
      <c r="AT940" s="115" t="s">
        <v>1415</v>
      </c>
      <c r="AU940" s="115" t="s">
        <v>2114</v>
      </c>
      <c r="AV940" s="115">
        <v>0</v>
      </c>
      <c r="AW940" s="115" t="s">
        <v>494</v>
      </c>
      <c r="AX940" s="115" t="s">
        <v>28</v>
      </c>
      <c r="AY940" s="115" t="s">
        <v>1849</v>
      </c>
      <c r="AZ940" s="115" t="s">
        <v>1649</v>
      </c>
      <c r="BA940" s="115"/>
      <c r="BB940" s="115"/>
      <c r="BC940" s="115">
        <v>172.41749999999999</v>
      </c>
      <c r="BD940" s="115"/>
      <c r="BE940" s="115"/>
      <c r="BF940" s="115"/>
      <c r="BG940" s="115"/>
      <c r="BH940" s="115">
        <v>2235.4827192000002</v>
      </c>
      <c r="BI940" s="115">
        <v>3661.2165</v>
      </c>
      <c r="BJ940" s="115">
        <v>0.37102499999999994</v>
      </c>
      <c r="BK940" s="115">
        <v>1195.0497000000003</v>
      </c>
      <c r="BL940" s="115">
        <v>2806.1013600000001</v>
      </c>
      <c r="BM940" s="115"/>
      <c r="BN940" s="115"/>
      <c r="BO940" s="115"/>
      <c r="BP940" s="115"/>
      <c r="DR940" s="214"/>
      <c r="DY940" s="115"/>
      <c r="DZ940" s="334"/>
      <c r="EA940" s="334"/>
      <c r="EB940" s="334"/>
      <c r="EC940" s="334"/>
      <c r="ED940" s="187"/>
      <c r="EE940" s="330"/>
      <c r="EH940" s="334"/>
      <c r="EI940" s="334"/>
      <c r="EM940"/>
      <c r="EO940" s="115"/>
      <c r="EP940" s="334"/>
      <c r="EQ940" s="334"/>
      <c r="ER940" s="334"/>
      <c r="ES940" s="334"/>
      <c r="ET940" s="334"/>
      <c r="EU940" s="334"/>
      <c r="EV940" s="334"/>
    </row>
    <row r="941" spans="35:152" ht="13">
      <c r="AI941" s="115" t="s">
        <v>1416</v>
      </c>
      <c r="AJ941" t="s">
        <v>2114</v>
      </c>
      <c r="AK941" s="115">
        <v>0</v>
      </c>
      <c r="AL941" s="115" t="s">
        <v>28</v>
      </c>
      <c r="AM941" s="115" t="s">
        <v>1850</v>
      </c>
      <c r="AN941" s="115" t="s">
        <v>1675</v>
      </c>
      <c r="AO941" s="115" t="s">
        <v>379</v>
      </c>
      <c r="AT941" s="115" t="s">
        <v>1415</v>
      </c>
      <c r="AU941" s="115" t="s">
        <v>2114</v>
      </c>
      <c r="AV941" s="115">
        <v>0</v>
      </c>
      <c r="AW941" s="115" t="s">
        <v>494</v>
      </c>
      <c r="AX941" s="115" t="s">
        <v>28</v>
      </c>
      <c r="AY941" s="115" t="s">
        <v>1850</v>
      </c>
      <c r="AZ941" s="115" t="s">
        <v>1649</v>
      </c>
      <c r="BA941" s="115"/>
      <c r="BB941" s="115"/>
      <c r="BC941" s="115">
        <v>517.25249999999994</v>
      </c>
      <c r="BD941" s="115"/>
      <c r="BE941" s="115"/>
      <c r="BF941" s="115">
        <v>240.80250000000001</v>
      </c>
      <c r="BG941" s="115"/>
      <c r="BH941" s="115">
        <v>248.38696880000003</v>
      </c>
      <c r="BI941" s="115">
        <v>1220.4055000000003</v>
      </c>
      <c r="BJ941" s="115">
        <v>3.3392250000000003</v>
      </c>
      <c r="BK941" s="115">
        <v>132.7833</v>
      </c>
      <c r="BL941" s="115">
        <v>311.78904</v>
      </c>
      <c r="BM941" s="115"/>
      <c r="BN941" s="115"/>
      <c r="BO941" s="115"/>
      <c r="BP941" s="115"/>
      <c r="DR941" s="214"/>
      <c r="DY941" s="115"/>
      <c r="DZ941" s="334"/>
      <c r="EA941" s="334"/>
      <c r="EB941" s="334"/>
      <c r="EC941" s="334"/>
      <c r="ED941" s="187"/>
      <c r="EE941" s="330"/>
      <c r="EH941" s="334"/>
      <c r="EI941" s="334"/>
      <c r="EM941"/>
      <c r="EO941" s="115"/>
      <c r="EP941" s="334"/>
      <c r="EQ941" s="334"/>
      <c r="ER941" s="334"/>
      <c r="ES941" s="334"/>
      <c r="ET941" s="334"/>
      <c r="EU941" s="334"/>
      <c r="EV941" s="334"/>
    </row>
    <row r="942" spans="35:152" ht="13">
      <c r="AI942" s="115" t="s">
        <v>1416</v>
      </c>
      <c r="AJ942" t="s">
        <v>2114</v>
      </c>
      <c r="AK942" s="115">
        <v>0</v>
      </c>
      <c r="AL942" s="115" t="s">
        <v>28</v>
      </c>
      <c r="AM942" s="115" t="s">
        <v>1832</v>
      </c>
      <c r="AN942" s="115" t="s">
        <v>1675</v>
      </c>
      <c r="AO942" s="115" t="s">
        <v>379</v>
      </c>
      <c r="AT942" s="115" t="s">
        <v>1415</v>
      </c>
      <c r="AU942" s="115" t="s">
        <v>2114</v>
      </c>
      <c r="AV942" s="115">
        <v>0</v>
      </c>
      <c r="AW942" s="115" t="s">
        <v>494</v>
      </c>
      <c r="AX942" s="115" t="s">
        <v>28</v>
      </c>
      <c r="AY942" s="115" t="s">
        <v>1832</v>
      </c>
      <c r="AZ942" s="115" t="s">
        <v>1649</v>
      </c>
      <c r="BA942" s="115"/>
      <c r="BB942" s="115"/>
      <c r="BC942" s="115">
        <v>710.99999999999989</v>
      </c>
      <c r="BD942" s="115"/>
      <c r="BE942" s="115"/>
      <c r="BF942" s="115">
        <v>248.25</v>
      </c>
      <c r="BG942" s="115"/>
      <c r="BH942" s="115">
        <v>2560.6904000000004</v>
      </c>
      <c r="BI942" s="115">
        <v>5032.6000000000004</v>
      </c>
      <c r="BJ942" s="115">
        <v>3.8250000000000002</v>
      </c>
      <c r="BK942" s="115">
        <v>1368.9</v>
      </c>
      <c r="BL942" s="115">
        <v>3214.3199999999997</v>
      </c>
      <c r="BM942" s="115"/>
      <c r="BN942" s="115"/>
      <c r="BO942" s="115"/>
      <c r="BP942" s="115"/>
      <c r="DR942" s="214"/>
      <c r="DY942" s="115"/>
      <c r="DZ942" s="334"/>
      <c r="EA942" s="334"/>
      <c r="EB942" s="334"/>
      <c r="EC942" s="334"/>
      <c r="ED942" s="187"/>
      <c r="EE942" s="330"/>
      <c r="EH942" s="334"/>
      <c r="EI942" s="334"/>
      <c r="EM942"/>
      <c r="EO942" s="115"/>
      <c r="EP942" s="334"/>
      <c r="EQ942" s="334"/>
      <c r="ER942" s="334"/>
      <c r="ES942" s="334"/>
      <c r="ET942" s="334"/>
      <c r="EU942" s="334"/>
      <c r="EV942" s="334"/>
    </row>
    <row r="943" spans="35:152" ht="13">
      <c r="AI943" s="115" t="s">
        <v>1416</v>
      </c>
      <c r="AJ943" t="s">
        <v>2114</v>
      </c>
      <c r="AK943" s="115">
        <v>0</v>
      </c>
      <c r="AL943" s="115" t="s">
        <v>28</v>
      </c>
      <c r="AM943" s="115" t="s">
        <v>1832</v>
      </c>
      <c r="AN943" s="115" t="s">
        <v>1675</v>
      </c>
      <c r="AO943" s="115" t="s">
        <v>1641</v>
      </c>
      <c r="AT943" s="115" t="s">
        <v>1415</v>
      </c>
      <c r="AU943" s="115" t="s">
        <v>2114</v>
      </c>
      <c r="AV943" s="115">
        <v>0</v>
      </c>
      <c r="AW943" s="115" t="s">
        <v>1679</v>
      </c>
      <c r="AX943" s="115" t="s">
        <v>28</v>
      </c>
      <c r="AY943" s="115" t="s">
        <v>1846</v>
      </c>
      <c r="AZ943" s="115" t="s">
        <v>1683</v>
      </c>
      <c r="BA943" s="115"/>
      <c r="BB943" s="115"/>
      <c r="BC943" s="115"/>
      <c r="BD943" s="115"/>
      <c r="BE943" s="115"/>
      <c r="BF943" s="115"/>
      <c r="BG943" s="115"/>
      <c r="BH943" s="115"/>
      <c r="BI943" s="115">
        <v>19328.045399999999</v>
      </c>
      <c r="BJ943" s="115"/>
      <c r="BK943" s="115"/>
      <c r="BL943" s="115">
        <v>25589.463300000003</v>
      </c>
      <c r="BM943" s="115"/>
      <c r="BN943" s="115"/>
      <c r="BO943" s="115"/>
      <c r="BP943" s="115">
        <v>102793.2355</v>
      </c>
      <c r="DR943" s="214"/>
      <c r="DY943" s="115"/>
      <c r="DZ943" s="334"/>
      <c r="EA943" s="334"/>
      <c r="EB943" s="334"/>
      <c r="EC943" s="334"/>
      <c r="ED943" s="187"/>
      <c r="EE943" s="330"/>
      <c r="EH943" s="334"/>
      <c r="EI943" s="334"/>
      <c r="EM943"/>
      <c r="EO943" s="115"/>
      <c r="EP943" s="334"/>
      <c r="EQ943" s="334"/>
      <c r="ER943" s="334"/>
      <c r="ES943" s="334"/>
      <c r="ET943" s="334"/>
      <c r="EU943" s="334"/>
      <c r="EV943" s="334"/>
    </row>
    <row r="944" spans="35:152" ht="13">
      <c r="AI944" s="115" t="s">
        <v>1416</v>
      </c>
      <c r="AJ944" t="s">
        <v>2114</v>
      </c>
      <c r="AK944" s="115">
        <v>0</v>
      </c>
      <c r="AL944" s="115" t="s">
        <v>28</v>
      </c>
      <c r="AM944" s="115" t="s">
        <v>1850</v>
      </c>
      <c r="AN944" s="115" t="s">
        <v>1675</v>
      </c>
      <c r="AO944" s="115" t="s">
        <v>1641</v>
      </c>
      <c r="AT944" s="115" t="s">
        <v>1415</v>
      </c>
      <c r="AU944" s="115" t="s">
        <v>2114</v>
      </c>
      <c r="AV944" s="115">
        <v>0</v>
      </c>
      <c r="AW944" s="115" t="s">
        <v>1679</v>
      </c>
      <c r="AX944" s="115" t="s">
        <v>1842</v>
      </c>
      <c r="AY944" s="115" t="s">
        <v>1846</v>
      </c>
      <c r="AZ944" s="115" t="s">
        <v>1683</v>
      </c>
      <c r="BA944" s="115"/>
      <c r="BB944" s="115"/>
      <c r="BC944" s="115"/>
      <c r="BD944" s="115"/>
      <c r="BE944" s="115"/>
      <c r="BF944" s="115"/>
      <c r="BG944" s="115"/>
      <c r="BH944" s="115"/>
      <c r="BI944" s="115">
        <v>28971.059354999998</v>
      </c>
      <c r="BJ944" s="115"/>
      <c r="BK944" s="115"/>
      <c r="BL944" s="115">
        <v>31986.829125</v>
      </c>
      <c r="BM944" s="115"/>
      <c r="BN944" s="115"/>
      <c r="BO944" s="115"/>
      <c r="BP944" s="115">
        <v>189740.78510000001</v>
      </c>
      <c r="DR944" s="214"/>
      <c r="DY944" s="115"/>
      <c r="DZ944" s="334"/>
      <c r="EA944" s="334"/>
      <c r="EB944" s="334"/>
      <c r="EC944" s="334"/>
      <c r="ED944" s="187"/>
      <c r="EE944" s="330"/>
      <c r="EH944" s="334"/>
      <c r="EI944" s="334"/>
      <c r="EM944"/>
      <c r="EO944" s="115"/>
      <c r="EP944" s="334"/>
      <c r="EQ944" s="334"/>
      <c r="ER944" s="334"/>
      <c r="ES944" s="334"/>
      <c r="ET944" s="334"/>
      <c r="EU944" s="334"/>
      <c r="EV944" s="334"/>
    </row>
    <row r="945" spans="35:152" ht="13">
      <c r="AI945" s="115" t="s">
        <v>1416</v>
      </c>
      <c r="AJ945" t="s">
        <v>2114</v>
      </c>
      <c r="AK945" s="115">
        <v>0</v>
      </c>
      <c r="AL945" s="115" t="s">
        <v>28</v>
      </c>
      <c r="AM945" s="115" t="s">
        <v>1848</v>
      </c>
      <c r="AN945" s="115" t="s">
        <v>1675</v>
      </c>
      <c r="AO945" s="115" t="s">
        <v>1641</v>
      </c>
      <c r="AT945" s="115" t="s">
        <v>1415</v>
      </c>
      <c r="AU945" s="115" t="s">
        <v>2114</v>
      </c>
      <c r="AV945" s="115">
        <v>0</v>
      </c>
      <c r="AW945" s="115" t="s">
        <v>1679</v>
      </c>
      <c r="AX945" s="115" t="s">
        <v>1842</v>
      </c>
      <c r="AY945" s="115" t="s">
        <v>1848</v>
      </c>
      <c r="AZ945" s="115" t="s">
        <v>1683</v>
      </c>
      <c r="BA945" s="115"/>
      <c r="BB945" s="115"/>
      <c r="BC945" s="115"/>
      <c r="BD945" s="115"/>
      <c r="BE945" s="115"/>
      <c r="BF945" s="115"/>
      <c r="BG945" s="115"/>
      <c r="BH945" s="115"/>
      <c r="BI945" s="115">
        <v>12770.888661999998</v>
      </c>
      <c r="BJ945" s="115"/>
      <c r="BK945" s="115"/>
      <c r="BL945" s="115">
        <v>4887.2601249999998</v>
      </c>
      <c r="BM945" s="115"/>
      <c r="BN945" s="115"/>
      <c r="BO945" s="115"/>
      <c r="BP945" s="115"/>
      <c r="DR945" s="214"/>
      <c r="DY945" s="115"/>
      <c r="DZ945" s="334"/>
      <c r="EA945" s="334"/>
      <c r="EB945" s="334"/>
      <c r="EC945" s="334"/>
      <c r="ED945" s="187"/>
      <c r="EE945" s="330"/>
      <c r="EH945" s="334"/>
      <c r="EI945" s="334"/>
      <c r="EM945"/>
      <c r="EO945" s="115"/>
      <c r="EP945" s="334"/>
      <c r="EQ945" s="334"/>
      <c r="ER945" s="334"/>
      <c r="ES945" s="334"/>
      <c r="ET945" s="334"/>
      <c r="EU945" s="334"/>
      <c r="EV945" s="334"/>
    </row>
    <row r="946" spans="35:152" ht="13">
      <c r="AI946" s="115" t="s">
        <v>1416</v>
      </c>
      <c r="AJ946" t="s">
        <v>2114</v>
      </c>
      <c r="AK946" s="115">
        <v>0</v>
      </c>
      <c r="AL946" s="115" t="s">
        <v>28</v>
      </c>
      <c r="AM946" s="115" t="s">
        <v>1843</v>
      </c>
      <c r="AN946" s="115" t="s">
        <v>1675</v>
      </c>
      <c r="AO946" s="115" t="s">
        <v>1641</v>
      </c>
      <c r="AT946" s="115" t="s">
        <v>1415</v>
      </c>
      <c r="AU946" s="115" t="s">
        <v>2114</v>
      </c>
      <c r="AV946" s="115">
        <v>0</v>
      </c>
      <c r="AW946" s="115" t="s">
        <v>1679</v>
      </c>
      <c r="AX946" s="115" t="s">
        <v>28</v>
      </c>
      <c r="AY946" s="115" t="s">
        <v>1848</v>
      </c>
      <c r="AZ946" s="115" t="s">
        <v>1683</v>
      </c>
      <c r="BA946" s="115"/>
      <c r="BB946" s="115"/>
      <c r="BC946" s="115"/>
      <c r="BD946" s="115"/>
      <c r="BE946" s="115"/>
      <c r="BF946" s="115"/>
      <c r="BG946" s="115"/>
      <c r="BH946" s="115"/>
      <c r="BI946" s="115">
        <v>8520.0997599999992</v>
      </c>
      <c r="BJ946" s="115"/>
      <c r="BK946" s="115"/>
      <c r="BL946" s="115">
        <v>3909.8081000000002</v>
      </c>
      <c r="BM946" s="115"/>
      <c r="BN946" s="115"/>
      <c r="BO946" s="115"/>
      <c r="BP946" s="115"/>
      <c r="DR946" s="214"/>
      <c r="DY946" s="115"/>
      <c r="DZ946" s="334"/>
      <c r="EA946" s="334"/>
      <c r="EB946" s="334"/>
      <c r="EC946" s="334"/>
      <c r="ED946" s="187"/>
      <c r="EE946" s="330"/>
      <c r="EH946" s="334"/>
      <c r="EI946" s="334"/>
      <c r="EM946"/>
      <c r="EO946" s="115"/>
      <c r="EP946" s="334"/>
      <c r="EQ946" s="334"/>
      <c r="ER946" s="334"/>
      <c r="ES946" s="334"/>
      <c r="ET946" s="334"/>
      <c r="EU946" s="334"/>
      <c r="EV946" s="334"/>
    </row>
    <row r="947" spans="35:152" ht="13">
      <c r="AI947" s="115" t="s">
        <v>1416</v>
      </c>
      <c r="AJ947" t="s">
        <v>2114</v>
      </c>
      <c r="AK947" s="115">
        <v>0</v>
      </c>
      <c r="AL947" s="115" t="s">
        <v>28</v>
      </c>
      <c r="AM947" s="115" t="s">
        <v>1843</v>
      </c>
      <c r="AN947" s="115" t="s">
        <v>1675</v>
      </c>
      <c r="AO947" s="115" t="s">
        <v>373</v>
      </c>
      <c r="AT947" s="115" t="s">
        <v>1415</v>
      </c>
      <c r="AU947" s="115" t="s">
        <v>2114</v>
      </c>
      <c r="AV947" s="115">
        <v>0</v>
      </c>
      <c r="AW947" s="115" t="s">
        <v>1679</v>
      </c>
      <c r="AX947" s="115" t="s">
        <v>1842</v>
      </c>
      <c r="AY947" s="115" t="s">
        <v>1843</v>
      </c>
      <c r="AZ947" s="115" t="s">
        <v>1683</v>
      </c>
      <c r="BA947" s="115"/>
      <c r="BB947" s="115"/>
      <c r="BC947" s="115"/>
      <c r="BD947" s="115"/>
      <c r="BE947" s="115"/>
      <c r="BF947" s="115"/>
      <c r="BG947" s="115"/>
      <c r="BH947" s="115"/>
      <c r="BI947" s="115">
        <v>41792.665463917525</v>
      </c>
      <c r="BJ947" s="115"/>
      <c r="BK947" s="115"/>
      <c r="BL947" s="115">
        <v>35186.672268041235</v>
      </c>
      <c r="BM947" s="115"/>
      <c r="BN947" s="115"/>
      <c r="BO947" s="115"/>
      <c r="BP947" s="115">
        <v>189740.78510000001</v>
      </c>
      <c r="DR947" s="214"/>
      <c r="DY947" s="115"/>
      <c r="DZ947" s="334"/>
      <c r="EA947" s="334"/>
      <c r="EB947" s="334"/>
      <c r="EC947" s="334"/>
      <c r="ED947" s="187"/>
      <c r="EE947" s="330"/>
      <c r="EH947" s="334"/>
      <c r="EI947" s="334"/>
      <c r="EM947"/>
      <c r="EO947" s="115"/>
      <c r="EP947" s="334"/>
      <c r="EQ947" s="334"/>
      <c r="ER947" s="334"/>
      <c r="ES947" s="334"/>
      <c r="ET947" s="334"/>
      <c r="EU947" s="334"/>
      <c r="EV947" s="334"/>
    </row>
    <row r="948" spans="35:152" ht="13">
      <c r="AI948" s="115" t="s">
        <v>1416</v>
      </c>
      <c r="AJ948" t="s">
        <v>2114</v>
      </c>
      <c r="AK948" s="115">
        <v>0</v>
      </c>
      <c r="AL948" s="115" t="s">
        <v>28</v>
      </c>
      <c r="AM948" s="115" t="s">
        <v>1846</v>
      </c>
      <c r="AN948" s="115" t="s">
        <v>1675</v>
      </c>
      <c r="AO948" s="115" t="s">
        <v>373</v>
      </c>
      <c r="AT948" s="115" t="s">
        <v>1415</v>
      </c>
      <c r="AU948" s="115" t="s">
        <v>2114</v>
      </c>
      <c r="AV948" s="115">
        <v>0</v>
      </c>
      <c r="AW948" s="115" t="s">
        <v>1679</v>
      </c>
      <c r="AX948" s="115" t="s">
        <v>28</v>
      </c>
      <c r="AY948" s="115" t="s">
        <v>1843</v>
      </c>
      <c r="AZ948" s="115" t="s">
        <v>1683</v>
      </c>
      <c r="BA948" s="115"/>
      <c r="BB948" s="115"/>
      <c r="BC948" s="115"/>
      <c r="BD948" s="115"/>
      <c r="BE948" s="115"/>
      <c r="BF948" s="115"/>
      <c r="BG948" s="115"/>
      <c r="BH948" s="115"/>
      <c r="BI948" s="115">
        <v>27881.981237113403</v>
      </c>
      <c r="BJ948" s="115"/>
      <c r="BK948" s="115"/>
      <c r="BL948" s="115">
        <v>28149.337835051549</v>
      </c>
      <c r="BM948" s="115"/>
      <c r="BN948" s="115"/>
      <c r="BO948" s="115"/>
      <c r="BP948" s="115">
        <v>102793.2355</v>
      </c>
      <c r="DR948" s="214"/>
      <c r="DY948" s="115"/>
      <c r="DZ948" s="334"/>
      <c r="EA948" s="334"/>
      <c r="EB948" s="334"/>
      <c r="EC948" s="334"/>
      <c r="ED948" s="187"/>
      <c r="EE948" s="330"/>
      <c r="EH948" s="334"/>
      <c r="EI948" s="334"/>
      <c r="EM948"/>
      <c r="EO948" s="115"/>
      <c r="EP948" s="334"/>
      <c r="EQ948" s="334"/>
      <c r="ER948" s="334"/>
      <c r="ES948" s="334"/>
      <c r="ET948" s="334"/>
      <c r="EU948" s="334"/>
      <c r="EV948" s="334"/>
    </row>
    <row r="949" spans="35:152" ht="13">
      <c r="AI949" s="115" t="s">
        <v>1416</v>
      </c>
      <c r="AJ949" t="s">
        <v>2114</v>
      </c>
      <c r="AK949" s="115">
        <v>0</v>
      </c>
      <c r="AL949" s="115" t="s">
        <v>28</v>
      </c>
      <c r="AM949" s="115" t="s">
        <v>1850</v>
      </c>
      <c r="AN949" s="115" t="s">
        <v>1675</v>
      </c>
      <c r="AO949" s="115" t="s">
        <v>373</v>
      </c>
      <c r="AT949" s="115" t="s">
        <v>1415</v>
      </c>
      <c r="AU949" s="115" t="s">
        <v>2114</v>
      </c>
      <c r="AV949" s="115">
        <v>0</v>
      </c>
      <c r="AW949" s="115" t="s">
        <v>1679</v>
      </c>
      <c r="AX949" s="115" t="s">
        <v>1842</v>
      </c>
      <c r="AY949" s="115" t="s">
        <v>1849</v>
      </c>
      <c r="AZ949" s="115" t="s">
        <v>1683</v>
      </c>
      <c r="BA949" s="115"/>
      <c r="BB949" s="115"/>
      <c r="BC949" s="115"/>
      <c r="BD949" s="115"/>
      <c r="BE949" s="115"/>
      <c r="BF949" s="115"/>
      <c r="BG949" s="115"/>
      <c r="BH949" s="115"/>
      <c r="BI949" s="115">
        <v>1003.2224999999999</v>
      </c>
      <c r="BJ949" s="115"/>
      <c r="BK949" s="115"/>
      <c r="BL949" s="115">
        <v>1091.25</v>
      </c>
      <c r="BM949" s="115"/>
      <c r="BN949" s="115"/>
      <c r="BO949" s="115"/>
      <c r="BP949" s="115"/>
      <c r="DR949" s="214"/>
      <c r="DY949" s="115"/>
      <c r="DZ949" s="334"/>
      <c r="EA949" s="334"/>
      <c r="EB949" s="334"/>
      <c r="EC949" s="334"/>
      <c r="ED949" s="187"/>
      <c r="EE949" s="330"/>
      <c r="EH949" s="334"/>
      <c r="EI949" s="334"/>
      <c r="EM949"/>
      <c r="EO949" s="115"/>
      <c r="EP949" s="334"/>
      <c r="EQ949" s="334"/>
      <c r="ER949" s="334"/>
      <c r="ES949" s="334"/>
      <c r="ET949" s="334"/>
      <c r="EU949" s="334"/>
      <c r="EV949" s="334"/>
    </row>
    <row r="950" spans="35:152" ht="13">
      <c r="AI950" s="115" t="s">
        <v>1416</v>
      </c>
      <c r="AJ950" t="s">
        <v>2114</v>
      </c>
      <c r="AK950" s="115">
        <v>0</v>
      </c>
      <c r="AL950" s="115" t="s">
        <v>28</v>
      </c>
      <c r="AM950" s="115" t="s">
        <v>1848</v>
      </c>
      <c r="AN950" s="115" t="s">
        <v>1675</v>
      </c>
      <c r="AO950" s="115" t="s">
        <v>373</v>
      </c>
      <c r="AT950" s="115" t="s">
        <v>1415</v>
      </c>
      <c r="AU950" s="115" t="s">
        <v>2114</v>
      </c>
      <c r="AV950" s="115">
        <v>0</v>
      </c>
      <c r="AW950" s="115" t="s">
        <v>1679</v>
      </c>
      <c r="AX950" s="115" t="s">
        <v>28</v>
      </c>
      <c r="AY950" s="115" t="s">
        <v>1849</v>
      </c>
      <c r="AZ950" s="115" t="s">
        <v>1683</v>
      </c>
      <c r="BA950" s="115"/>
      <c r="BB950" s="115"/>
      <c r="BC950" s="115"/>
      <c r="BD950" s="115"/>
      <c r="BE950" s="115"/>
      <c r="BF950" s="115"/>
      <c r="BG950" s="115"/>
      <c r="BH950" s="115"/>
      <c r="BI950" s="115">
        <v>669.3</v>
      </c>
      <c r="BJ950" s="115"/>
      <c r="BK950" s="115"/>
      <c r="BL950" s="115">
        <v>873</v>
      </c>
      <c r="BM950" s="115"/>
      <c r="BN950" s="115"/>
      <c r="BO950" s="115"/>
      <c r="BP950" s="115"/>
      <c r="DR950" s="214"/>
      <c r="DY950" s="115"/>
      <c r="DZ950" s="334"/>
      <c r="EA950" s="334"/>
      <c r="EB950" s="334"/>
      <c r="EC950" s="334"/>
      <c r="ED950" s="187"/>
      <c r="EE950" s="330"/>
      <c r="EH950" s="334"/>
      <c r="EI950" s="334"/>
      <c r="EM950"/>
      <c r="EO950" s="115"/>
      <c r="EP950" s="334"/>
      <c r="EQ950" s="334"/>
      <c r="ER950" s="334"/>
      <c r="ES950" s="334"/>
      <c r="ET950" s="334"/>
      <c r="EU950" s="334"/>
      <c r="EV950" s="334"/>
    </row>
    <row r="951" spans="35:152" ht="13">
      <c r="AI951" s="115" t="s">
        <v>1416</v>
      </c>
      <c r="AJ951" t="s">
        <v>2114</v>
      </c>
      <c r="AK951" s="115">
        <v>0</v>
      </c>
      <c r="AL951" s="115" t="s">
        <v>28</v>
      </c>
      <c r="AM951" s="115" t="s">
        <v>1832</v>
      </c>
      <c r="AN951" s="115" t="s">
        <v>1675</v>
      </c>
      <c r="AO951" s="115" t="s">
        <v>373</v>
      </c>
      <c r="AT951" s="115" t="s">
        <v>1415</v>
      </c>
      <c r="AU951" s="115" t="s">
        <v>2114</v>
      </c>
      <c r="AV951" s="115">
        <v>0</v>
      </c>
      <c r="AW951" s="115" t="s">
        <v>1679</v>
      </c>
      <c r="AX951" s="115" t="s">
        <v>28</v>
      </c>
      <c r="AY951" s="115" t="s">
        <v>1850</v>
      </c>
      <c r="AZ951" s="115" t="s">
        <v>1683</v>
      </c>
      <c r="BA951" s="115"/>
      <c r="BB951" s="115"/>
      <c r="BC951" s="115"/>
      <c r="BD951" s="115"/>
      <c r="BE951" s="115"/>
      <c r="BF951" s="115"/>
      <c r="BG951" s="115"/>
      <c r="BH951" s="115"/>
      <c r="BI951" s="115">
        <v>223.1</v>
      </c>
      <c r="BJ951" s="115"/>
      <c r="BK951" s="115"/>
      <c r="BL951" s="115">
        <v>97.000000000000014</v>
      </c>
      <c r="BM951" s="115"/>
      <c r="BN951" s="115"/>
      <c r="BO951" s="115"/>
      <c r="BP951" s="115"/>
      <c r="DR951" s="214"/>
      <c r="DY951" s="115"/>
      <c r="DZ951" s="334"/>
      <c r="EA951" s="334"/>
      <c r="EB951" s="334"/>
      <c r="EC951" s="334"/>
      <c r="ED951" s="187"/>
      <c r="EE951" s="330"/>
      <c r="EH951" s="334"/>
      <c r="EI951" s="334"/>
      <c r="EM951"/>
      <c r="EO951" s="115"/>
      <c r="EP951" s="334"/>
      <c r="EQ951" s="334"/>
      <c r="ER951" s="334"/>
      <c r="ES951" s="334"/>
      <c r="ET951" s="334"/>
      <c r="EU951" s="334"/>
      <c r="EV951" s="334"/>
    </row>
    <row r="952" spans="35:152" ht="13">
      <c r="AI952" s="115" t="s">
        <v>1416</v>
      </c>
      <c r="AJ952" t="s">
        <v>2114</v>
      </c>
      <c r="AK952" s="115">
        <v>0</v>
      </c>
      <c r="AL952" s="115" t="s">
        <v>28</v>
      </c>
      <c r="AM952" s="115" t="s">
        <v>1849</v>
      </c>
      <c r="AN952" s="115" t="s">
        <v>1675</v>
      </c>
      <c r="AO952" s="115" t="s">
        <v>373</v>
      </c>
      <c r="AT952" s="115" t="s">
        <v>1415</v>
      </c>
      <c r="AU952" s="115" t="s">
        <v>2114</v>
      </c>
      <c r="AV952" s="115">
        <v>0</v>
      </c>
      <c r="AW952" s="115" t="s">
        <v>1679</v>
      </c>
      <c r="AX952" s="115" t="s">
        <v>1842</v>
      </c>
      <c r="AY952" s="115" t="s">
        <v>1850</v>
      </c>
      <c r="AZ952" s="115" t="s">
        <v>1683</v>
      </c>
      <c r="BA952" s="115"/>
      <c r="BB952" s="115"/>
      <c r="BC952" s="115"/>
      <c r="BD952" s="115"/>
      <c r="BE952" s="115"/>
      <c r="BF952" s="115"/>
      <c r="BG952" s="115"/>
      <c r="BH952" s="115"/>
      <c r="BI952" s="115">
        <v>334.40749999999997</v>
      </c>
      <c r="BJ952" s="115"/>
      <c r="BK952" s="115"/>
      <c r="BL952" s="115">
        <v>121.25</v>
      </c>
      <c r="BM952" s="115"/>
      <c r="BN952" s="115"/>
      <c r="BO952" s="115"/>
      <c r="BP952" s="115"/>
      <c r="DR952" s="214"/>
      <c r="DY952" s="115"/>
      <c r="DZ952" s="334"/>
      <c r="EA952" s="334"/>
      <c r="EB952" s="334"/>
      <c r="EC952" s="334"/>
      <c r="ED952" s="187"/>
      <c r="EE952" s="330"/>
      <c r="EH952" s="334"/>
      <c r="EI952" s="334"/>
      <c r="EM952"/>
      <c r="EO952" s="115"/>
      <c r="EP952" s="334"/>
      <c r="EQ952" s="334"/>
      <c r="ER952" s="334"/>
      <c r="ES952" s="334"/>
      <c r="ET952" s="334"/>
      <c r="EU952" s="334"/>
      <c r="EV952" s="334"/>
    </row>
    <row r="953" spans="35:152" ht="13">
      <c r="AI953" s="115" t="s">
        <v>1416</v>
      </c>
      <c r="AJ953" t="s">
        <v>2114</v>
      </c>
      <c r="AK953" s="115">
        <v>0</v>
      </c>
      <c r="AL953" s="115" t="s">
        <v>28</v>
      </c>
      <c r="AM953" s="115" t="s">
        <v>1850</v>
      </c>
      <c r="AN953" s="115" t="s">
        <v>1676</v>
      </c>
      <c r="AO953" s="115" t="s">
        <v>379</v>
      </c>
      <c r="AT953" s="115" t="s">
        <v>1415</v>
      </c>
      <c r="AU953" s="115" t="s">
        <v>2114</v>
      </c>
      <c r="AV953" s="115">
        <v>0</v>
      </c>
      <c r="AW953" s="115" t="s">
        <v>1679</v>
      </c>
      <c r="AX953" s="115" t="s">
        <v>1842</v>
      </c>
      <c r="AY953" s="115" t="s">
        <v>1832</v>
      </c>
      <c r="AZ953" s="115" t="s">
        <v>1683</v>
      </c>
      <c r="BA953" s="115"/>
      <c r="BB953" s="115"/>
      <c r="BC953" s="115"/>
      <c r="BD953" s="115"/>
      <c r="BE953" s="115"/>
      <c r="BF953" s="115"/>
      <c r="BG953" s="115"/>
      <c r="BH953" s="115"/>
      <c r="BI953" s="115">
        <v>1379</v>
      </c>
      <c r="BJ953" s="115"/>
      <c r="BK953" s="115"/>
      <c r="BL953" s="115">
        <v>1250</v>
      </c>
      <c r="BM953" s="115"/>
      <c r="BN953" s="115"/>
      <c r="BO953" s="115"/>
      <c r="BP953" s="115"/>
      <c r="DR953" s="214"/>
      <c r="DY953" s="115"/>
      <c r="DZ953" s="334"/>
      <c r="EA953" s="334"/>
      <c r="EB953" s="334"/>
      <c r="EC953" s="334"/>
      <c r="ED953" s="187"/>
      <c r="EE953" s="330"/>
      <c r="EH953" s="334"/>
      <c r="EI953" s="334"/>
      <c r="EM953"/>
      <c r="EO953" s="115"/>
      <c r="EP953" s="334"/>
      <c r="EQ953" s="334"/>
      <c r="ER953" s="334"/>
      <c r="ES953" s="334"/>
      <c r="ET953" s="334"/>
      <c r="EU953" s="334"/>
      <c r="EV953" s="334"/>
    </row>
    <row r="954" spans="35:152" ht="13">
      <c r="AI954" s="115" t="s">
        <v>1416</v>
      </c>
      <c r="AJ954" t="s">
        <v>2114</v>
      </c>
      <c r="AK954" s="115">
        <v>0</v>
      </c>
      <c r="AL954" s="115" t="s">
        <v>28</v>
      </c>
      <c r="AM954" s="115" t="s">
        <v>1848</v>
      </c>
      <c r="AN954" s="115" t="s">
        <v>1676</v>
      </c>
      <c r="AO954" s="115" t="s">
        <v>379</v>
      </c>
      <c r="AT954" s="115" t="s">
        <v>1415</v>
      </c>
      <c r="AU954" s="115" t="s">
        <v>2114</v>
      </c>
      <c r="AV954" s="115">
        <v>0</v>
      </c>
      <c r="AW954" s="115" t="s">
        <v>1679</v>
      </c>
      <c r="AX954" s="115" t="s">
        <v>28</v>
      </c>
      <c r="AY954" s="115" t="s">
        <v>1832</v>
      </c>
      <c r="AZ954" s="115" t="s">
        <v>1683</v>
      </c>
      <c r="BA954" s="115"/>
      <c r="BB954" s="115"/>
      <c r="BC954" s="115"/>
      <c r="BD954" s="115"/>
      <c r="BE954" s="115"/>
      <c r="BF954" s="115"/>
      <c r="BG954" s="115"/>
      <c r="BH954" s="115"/>
      <c r="BI954" s="115">
        <v>920</v>
      </c>
      <c r="BJ954" s="115"/>
      <c r="BK954" s="115"/>
      <c r="BL954" s="115">
        <v>1000</v>
      </c>
      <c r="BM954" s="115"/>
      <c r="BN954" s="115"/>
      <c r="BO954" s="115"/>
      <c r="BP954" s="115"/>
      <c r="DR954" s="214"/>
      <c r="DY954" s="115"/>
      <c r="DZ954" s="334"/>
      <c r="EA954" s="334"/>
      <c r="EB954" s="334"/>
      <c r="EC954" s="334"/>
      <c r="ED954" s="187"/>
      <c r="EE954" s="330"/>
      <c r="EH954" s="334"/>
      <c r="EI954" s="334"/>
      <c r="EM954"/>
      <c r="EO954" s="115"/>
      <c r="EP954" s="334"/>
      <c r="EQ954" s="334"/>
      <c r="ER954" s="334"/>
      <c r="ES954" s="334"/>
      <c r="ET954" s="334"/>
      <c r="EU954" s="334"/>
      <c r="EV954" s="334"/>
    </row>
    <row r="955" spans="35:152" ht="13">
      <c r="AI955" s="115" t="s">
        <v>1416</v>
      </c>
      <c r="AJ955" t="s">
        <v>2114</v>
      </c>
      <c r="AK955" s="115">
        <v>0</v>
      </c>
      <c r="AL955" s="115" t="s">
        <v>28</v>
      </c>
      <c r="AM955" s="115" t="s">
        <v>1843</v>
      </c>
      <c r="AN955" s="115" t="s">
        <v>1676</v>
      </c>
      <c r="AO955" s="115" t="s">
        <v>379</v>
      </c>
      <c r="AT955" s="115" t="s">
        <v>1415</v>
      </c>
      <c r="AU955" s="115" t="s">
        <v>2114</v>
      </c>
      <c r="AV955" s="115">
        <v>0</v>
      </c>
      <c r="AW955" s="115" t="s">
        <v>1680</v>
      </c>
      <c r="AX955" s="115" t="s">
        <v>28</v>
      </c>
      <c r="AY955" s="115" t="s">
        <v>1846</v>
      </c>
      <c r="AZ955" s="115" t="s">
        <v>1851</v>
      </c>
      <c r="BA955" s="115"/>
      <c r="BB955" s="115"/>
      <c r="BC955" s="115"/>
      <c r="BD955" s="115"/>
      <c r="BE955" s="115">
        <v>19474.999432425</v>
      </c>
      <c r="BF955" s="115"/>
      <c r="BG955" s="115"/>
      <c r="BH955" s="115">
        <v>11468.034033264865</v>
      </c>
      <c r="BI955" s="115"/>
      <c r="BJ955" s="115">
        <v>3678.3727703666664</v>
      </c>
      <c r="BK955" s="115"/>
      <c r="BL955" s="115"/>
      <c r="BM955" s="115"/>
      <c r="BN955" s="115"/>
      <c r="BO955" s="115"/>
      <c r="BP955" s="115"/>
      <c r="DR955" s="214"/>
      <c r="DY955" s="115"/>
      <c r="DZ955" s="334"/>
      <c r="EA955" s="334"/>
      <c r="EB955" s="334"/>
      <c r="EC955" s="334"/>
      <c r="ED955" s="187"/>
      <c r="EE955" s="330"/>
      <c r="EH955" s="334"/>
      <c r="EI955" s="334"/>
      <c r="EM955"/>
      <c r="EO955" s="115"/>
      <c r="EP955" s="334"/>
      <c r="EQ955" s="334"/>
      <c r="ER955" s="334"/>
      <c r="ES955" s="334"/>
      <c r="ET955" s="334"/>
      <c r="EU955" s="334"/>
      <c r="EV955" s="334"/>
    </row>
    <row r="956" spans="35:152" ht="13">
      <c r="AI956" s="115" t="s">
        <v>1416</v>
      </c>
      <c r="AJ956" t="s">
        <v>2114</v>
      </c>
      <c r="AK956" s="115">
        <v>0</v>
      </c>
      <c r="AL956" s="115" t="s">
        <v>28</v>
      </c>
      <c r="AM956" s="115" t="s">
        <v>1846</v>
      </c>
      <c r="AN956" s="115" t="s">
        <v>1676</v>
      </c>
      <c r="AO956" s="115" t="s">
        <v>379</v>
      </c>
      <c r="AT956" s="115" t="s">
        <v>1415</v>
      </c>
      <c r="AU956" s="115" t="s">
        <v>2114</v>
      </c>
      <c r="AV956" s="115">
        <v>0</v>
      </c>
      <c r="AW956" s="115" t="s">
        <v>1680</v>
      </c>
      <c r="AX956" s="115" t="s">
        <v>28</v>
      </c>
      <c r="AY956" s="115" t="s">
        <v>1848</v>
      </c>
      <c r="AZ956" s="115" t="s">
        <v>1851</v>
      </c>
      <c r="BA956" s="115">
        <v>40115.283916</v>
      </c>
      <c r="BB956" s="115">
        <v>72931.113744000017</v>
      </c>
      <c r="BC956" s="115"/>
      <c r="BD956" s="115"/>
      <c r="BE956" s="115">
        <v>17856.625892324999</v>
      </c>
      <c r="BF956" s="115"/>
      <c r="BG956" s="115"/>
      <c r="BH956" s="115">
        <v>1134.7086306868705</v>
      </c>
      <c r="BI956" s="115"/>
      <c r="BJ956" s="115">
        <v>18476.766814003124</v>
      </c>
      <c r="BK956" s="115"/>
      <c r="BL956" s="115"/>
      <c r="BM956" s="115"/>
      <c r="BN956" s="115"/>
      <c r="BO956" s="115"/>
      <c r="BP956" s="115"/>
      <c r="DR956" s="214"/>
      <c r="DY956" s="115"/>
      <c r="DZ956" s="334"/>
      <c r="EA956" s="334"/>
      <c r="EB956" s="334"/>
      <c r="EC956" s="334"/>
      <c r="ED956" s="187"/>
      <c r="EE956" s="330"/>
      <c r="EH956" s="334"/>
      <c r="EI956" s="334"/>
      <c r="EM956"/>
      <c r="EO956" s="115"/>
      <c r="EP956" s="334"/>
      <c r="EQ956" s="334"/>
      <c r="ER956" s="334"/>
      <c r="ES956" s="334"/>
      <c r="ET956" s="334"/>
      <c r="EU956" s="334"/>
      <c r="EV956" s="334"/>
    </row>
    <row r="957" spans="35:152" ht="13">
      <c r="AI957" s="115" t="s">
        <v>1416</v>
      </c>
      <c r="AJ957" t="s">
        <v>2114</v>
      </c>
      <c r="AK957" s="115">
        <v>0</v>
      </c>
      <c r="AL957" s="115" t="s">
        <v>28</v>
      </c>
      <c r="AM957" s="115" t="s">
        <v>1832</v>
      </c>
      <c r="AN957" s="115" t="s">
        <v>1676</v>
      </c>
      <c r="AO957" s="115" t="s">
        <v>379</v>
      </c>
      <c r="AT957" s="115" t="s">
        <v>1415</v>
      </c>
      <c r="AU957" s="115" t="s">
        <v>2114</v>
      </c>
      <c r="AV957" s="115">
        <v>0</v>
      </c>
      <c r="AW957" s="115" t="s">
        <v>1680</v>
      </c>
      <c r="AX957" s="115" t="s">
        <v>28</v>
      </c>
      <c r="AY957" s="115" t="s">
        <v>1843</v>
      </c>
      <c r="AZ957" s="115" t="s">
        <v>1851</v>
      </c>
      <c r="BA957" s="115">
        <v>39806.114329896911</v>
      </c>
      <c r="BB957" s="115">
        <v>72368.932371134026</v>
      </c>
      <c r="BC957" s="115"/>
      <c r="BD957" s="115"/>
      <c r="BE957" s="115">
        <v>36882.230618556707</v>
      </c>
      <c r="BF957" s="115"/>
      <c r="BG957" s="115"/>
      <c r="BH957" s="115">
        <v>11681.952886597939</v>
      </c>
      <c r="BI957" s="115"/>
      <c r="BJ957" s="115">
        <v>21953.851958762887</v>
      </c>
      <c r="BK957" s="115"/>
      <c r="BL957" s="115"/>
      <c r="BM957" s="115"/>
      <c r="BN957" s="115"/>
      <c r="BO957" s="115"/>
      <c r="BP957" s="115"/>
      <c r="DR957" s="214"/>
      <c r="DY957" s="115"/>
      <c r="DZ957" s="334"/>
      <c r="EA957" s="334"/>
      <c r="EB957" s="334"/>
      <c r="EC957" s="334"/>
      <c r="ED957" s="187"/>
      <c r="EE957" s="330"/>
      <c r="EH957" s="334"/>
      <c r="EI957" s="334"/>
      <c r="EM957"/>
      <c r="EO957" s="115"/>
      <c r="EP957" s="334"/>
      <c r="EQ957" s="334"/>
      <c r="ER957" s="334"/>
      <c r="ES957" s="334"/>
      <c r="ET957" s="334"/>
      <c r="EU957" s="334"/>
      <c r="EV957" s="334"/>
    </row>
    <row r="958" spans="35:152" ht="13">
      <c r="AI958" s="115" t="s">
        <v>1416</v>
      </c>
      <c r="AJ958" t="s">
        <v>2114</v>
      </c>
      <c r="AK958" s="115">
        <v>0</v>
      </c>
      <c r="AL958" s="115" t="s">
        <v>28</v>
      </c>
      <c r="AM958" s="115" t="s">
        <v>1849</v>
      </c>
      <c r="AN958" s="115" t="s">
        <v>1676</v>
      </c>
      <c r="AO958" s="115" t="s">
        <v>379</v>
      </c>
      <c r="AT958" s="115" t="s">
        <v>1415</v>
      </c>
      <c r="AU958" s="115" t="s">
        <v>2114</v>
      </c>
      <c r="AV958" s="115">
        <v>0</v>
      </c>
      <c r="AW958" s="115" t="s">
        <v>1680</v>
      </c>
      <c r="AX958" s="115" t="s">
        <v>28</v>
      </c>
      <c r="AY958" s="115" t="s">
        <v>1849</v>
      </c>
      <c r="AZ958" s="115" t="s">
        <v>1851</v>
      </c>
      <c r="BA958" s="115"/>
      <c r="BB958" s="115"/>
      <c r="BC958" s="115"/>
      <c r="BD958" s="115"/>
      <c r="BE958" s="115">
        <v>384.19274999999999</v>
      </c>
      <c r="BF958" s="115"/>
      <c r="BG958" s="115"/>
      <c r="BH958" s="115">
        <v>234.59688309600003</v>
      </c>
      <c r="BI958" s="115"/>
      <c r="BJ958" s="115">
        <v>45.886052083333325</v>
      </c>
      <c r="BK958" s="115"/>
      <c r="BL958" s="115"/>
      <c r="BM958" s="115"/>
      <c r="BN958" s="115"/>
      <c r="BO958" s="115"/>
      <c r="BP958" s="115"/>
      <c r="DR958" s="214"/>
      <c r="DY958" s="115"/>
      <c r="DZ958" s="334"/>
      <c r="EA958" s="334"/>
      <c r="EB958" s="334"/>
      <c r="EC958" s="334"/>
      <c r="ED958" s="187"/>
      <c r="EE958" s="330"/>
      <c r="EH958" s="334"/>
      <c r="EI958" s="334"/>
      <c r="EM958"/>
      <c r="EO958" s="115"/>
      <c r="EP958" s="334"/>
      <c r="EQ958" s="334"/>
      <c r="ER958" s="334"/>
      <c r="ES958" s="334"/>
      <c r="ET958" s="334"/>
      <c r="EU958" s="334"/>
      <c r="EV958" s="334"/>
    </row>
    <row r="959" spans="35:152" ht="13">
      <c r="AI959" s="115" t="s">
        <v>1416</v>
      </c>
      <c r="AJ959" t="s">
        <v>2114</v>
      </c>
      <c r="AK959" s="115">
        <v>0</v>
      </c>
      <c r="AL959" s="115" t="s">
        <v>28</v>
      </c>
      <c r="AM959" s="115" t="s">
        <v>1832</v>
      </c>
      <c r="AN959" s="115" t="s">
        <v>1676</v>
      </c>
      <c r="AO959" s="115" t="s">
        <v>1641</v>
      </c>
      <c r="AT959" s="115" t="s">
        <v>1415</v>
      </c>
      <c r="AU959" s="115" t="s">
        <v>2114</v>
      </c>
      <c r="AV959" s="115">
        <v>0</v>
      </c>
      <c r="AW959" s="115" t="s">
        <v>1680</v>
      </c>
      <c r="AX959" s="115" t="s">
        <v>28</v>
      </c>
      <c r="AY959" s="115" t="s">
        <v>1850</v>
      </c>
      <c r="AZ959" s="115" t="s">
        <v>1851</v>
      </c>
      <c r="BA959" s="115">
        <v>748.84</v>
      </c>
      <c r="BB959" s="115">
        <v>1816.8100000000004</v>
      </c>
      <c r="BC959" s="115"/>
      <c r="BD959" s="115"/>
      <c r="BE959" s="115">
        <v>384.19274999999999</v>
      </c>
      <c r="BF959" s="115"/>
      <c r="BG959" s="115"/>
      <c r="BH959" s="115">
        <v>26.066320344000005</v>
      </c>
      <c r="BI959" s="115"/>
      <c r="BJ959" s="115">
        <v>412.97446875000003</v>
      </c>
      <c r="BK959" s="115"/>
      <c r="BL959" s="115"/>
      <c r="BM959" s="115"/>
      <c r="BN959" s="115"/>
      <c r="BO959" s="115"/>
      <c r="BP959" s="115"/>
      <c r="DR959" s="214"/>
      <c r="DY959" s="115"/>
      <c r="DZ959" s="334"/>
      <c r="EA959" s="334"/>
      <c r="EB959" s="334"/>
      <c r="EC959" s="334"/>
      <c r="ED959" s="187"/>
      <c r="EE959" s="330"/>
      <c r="EH959" s="334"/>
      <c r="EI959" s="334"/>
      <c r="EM959"/>
      <c r="EO959" s="115"/>
      <c r="EP959" s="334"/>
      <c r="EQ959" s="334"/>
      <c r="ER959" s="334"/>
      <c r="ES959" s="334"/>
      <c r="ET959" s="334"/>
      <c r="EU959" s="334"/>
      <c r="EV959" s="334"/>
    </row>
    <row r="960" spans="35:152" ht="13">
      <c r="AI960" s="115" t="s">
        <v>1416</v>
      </c>
      <c r="AJ960" t="s">
        <v>2114</v>
      </c>
      <c r="AK960" s="115">
        <v>0</v>
      </c>
      <c r="AL960" s="115" t="s">
        <v>28</v>
      </c>
      <c r="AM960" s="115" t="s">
        <v>1848</v>
      </c>
      <c r="AN960" s="115" t="s">
        <v>1676</v>
      </c>
      <c r="AO960" s="115" t="s">
        <v>1641</v>
      </c>
      <c r="AT960" s="115" t="s">
        <v>1415</v>
      </c>
      <c r="AU960" s="115" t="s">
        <v>2114</v>
      </c>
      <c r="AV960" s="115">
        <v>0</v>
      </c>
      <c r="AW960" s="115" t="s">
        <v>1680</v>
      </c>
      <c r="AX960" s="115" t="s">
        <v>28</v>
      </c>
      <c r="AY960" s="115" t="s">
        <v>1832</v>
      </c>
      <c r="AZ960" s="115" t="s">
        <v>1851</v>
      </c>
      <c r="BA960" s="115">
        <v>772</v>
      </c>
      <c r="BB960" s="115">
        <v>1873.0000000000005</v>
      </c>
      <c r="BC960" s="115"/>
      <c r="BD960" s="115"/>
      <c r="BE960" s="115">
        <v>792.15</v>
      </c>
      <c r="BF960" s="115"/>
      <c r="BG960" s="115"/>
      <c r="BH960" s="115">
        <v>268.72495200000003</v>
      </c>
      <c r="BI960" s="115"/>
      <c r="BJ960" s="115">
        <v>473.05208333333337</v>
      </c>
      <c r="BK960" s="115"/>
      <c r="BL960" s="115"/>
      <c r="BM960" s="115"/>
      <c r="BN960" s="115"/>
      <c r="BO960" s="115"/>
      <c r="BP960" s="115"/>
      <c r="DR960" s="214"/>
      <c r="DY960" s="115"/>
      <c r="DZ960" s="334"/>
      <c r="EA960" s="334"/>
      <c r="EB960" s="334"/>
      <c r="EC960" s="334"/>
      <c r="ED960" s="187"/>
      <c r="EE960" s="330"/>
      <c r="EH960" s="334"/>
      <c r="EI960" s="334"/>
      <c r="EM960"/>
      <c r="EO960" s="115"/>
      <c r="EP960" s="334"/>
      <c r="EQ960" s="334"/>
      <c r="ER960" s="334"/>
      <c r="ES960" s="334"/>
      <c r="ET960" s="334"/>
      <c r="EU960" s="334"/>
      <c r="EV960" s="334"/>
    </row>
    <row r="961" spans="35:152" ht="13">
      <c r="AI961" s="115" t="s">
        <v>1416</v>
      </c>
      <c r="AJ961" t="s">
        <v>2114</v>
      </c>
      <c r="AK961" s="115">
        <v>0</v>
      </c>
      <c r="AL961" s="115" t="s">
        <v>28</v>
      </c>
      <c r="AM961" s="115" t="s">
        <v>1850</v>
      </c>
      <c r="AN961" s="115" t="s">
        <v>1676</v>
      </c>
      <c r="AO961" s="115" t="s">
        <v>1641</v>
      </c>
      <c r="AT961" s="115" t="s">
        <v>1415</v>
      </c>
      <c r="AU961" s="115" t="s">
        <v>2114</v>
      </c>
      <c r="AV961" s="115">
        <v>0</v>
      </c>
      <c r="AW961" s="115" t="s">
        <v>1681</v>
      </c>
      <c r="AX961" s="115" t="s">
        <v>1842</v>
      </c>
      <c r="AY961" s="115" t="s">
        <v>1846</v>
      </c>
      <c r="AZ961" s="115" t="s">
        <v>1852</v>
      </c>
      <c r="BA961" s="115"/>
      <c r="BB961" s="115"/>
      <c r="BC961" s="115"/>
      <c r="BD961" s="115"/>
      <c r="BE961" s="115">
        <v>38352.583619999998</v>
      </c>
      <c r="BF961" s="115"/>
      <c r="BG961" s="115">
        <v>80505.540112799994</v>
      </c>
      <c r="BH961" s="115"/>
      <c r="BI961" s="115">
        <v>31447.450440000001</v>
      </c>
      <c r="BJ961" s="115"/>
      <c r="BK961" s="115"/>
      <c r="BL961" s="115"/>
      <c r="BM961" s="115"/>
      <c r="BN961" s="115"/>
      <c r="BO961" s="115"/>
      <c r="BP961" s="115"/>
      <c r="DR961" s="214"/>
      <c r="DY961" s="115"/>
      <c r="DZ961" s="334"/>
      <c r="EA961" s="334"/>
      <c r="EB961" s="334"/>
      <c r="EC961" s="334"/>
      <c r="ED961" s="187"/>
      <c r="EE961" s="330"/>
      <c r="EH961" s="334"/>
      <c r="EI961" s="334"/>
      <c r="EM961"/>
      <c r="EO961" s="115"/>
      <c r="EP961" s="334"/>
      <c r="EQ961" s="334"/>
      <c r="ER961" s="334"/>
      <c r="ES961" s="334"/>
      <c r="ET961" s="334"/>
      <c r="EU961" s="334"/>
      <c r="EV961" s="334"/>
    </row>
    <row r="962" spans="35:152" ht="13">
      <c r="AI962" s="115" t="s">
        <v>1416</v>
      </c>
      <c r="AJ962" t="s">
        <v>2114</v>
      </c>
      <c r="AK962" s="115">
        <v>0</v>
      </c>
      <c r="AL962" s="115" t="s">
        <v>28</v>
      </c>
      <c r="AM962" s="115" t="s">
        <v>1843</v>
      </c>
      <c r="AN962" s="115" t="s">
        <v>1676</v>
      </c>
      <c r="AO962" s="115" t="s">
        <v>1641</v>
      </c>
      <c r="AT962" s="115" t="s">
        <v>1415</v>
      </c>
      <c r="AU962" s="115" t="s">
        <v>2114</v>
      </c>
      <c r="AV962" s="115">
        <v>0</v>
      </c>
      <c r="AW962" s="115" t="s">
        <v>1681</v>
      </c>
      <c r="AX962" s="115" t="s">
        <v>28</v>
      </c>
      <c r="AY962" s="115" t="s">
        <v>1846</v>
      </c>
      <c r="AZ962" s="115" t="s">
        <v>1852</v>
      </c>
      <c r="BA962" s="115"/>
      <c r="BB962" s="115"/>
      <c r="BC962" s="115"/>
      <c r="BD962" s="115"/>
      <c r="BE962" s="115">
        <v>61462.473749999997</v>
      </c>
      <c r="BF962" s="115"/>
      <c r="BG962" s="115">
        <v>78212.33041387501</v>
      </c>
      <c r="BH962" s="115">
        <v>25541.425601999999</v>
      </c>
      <c r="BI962" s="115">
        <v>78826.5669903042</v>
      </c>
      <c r="BJ962" s="115">
        <v>1492.9594367999996</v>
      </c>
      <c r="BK962" s="115"/>
      <c r="BL962" s="115"/>
      <c r="BM962" s="115"/>
      <c r="BN962" s="115"/>
      <c r="BO962" s="115"/>
      <c r="BP962" s="115"/>
      <c r="DR962" s="214"/>
      <c r="DY962" s="115"/>
      <c r="DZ962" s="334"/>
      <c r="EA962" s="334"/>
      <c r="EB962" s="334"/>
      <c r="EC962" s="334"/>
      <c r="ED962" s="187"/>
      <c r="EE962" s="330"/>
      <c r="EH962" s="334"/>
      <c r="EI962" s="334"/>
      <c r="EM962"/>
      <c r="EO962" s="115"/>
      <c r="EP962" s="334"/>
      <c r="EQ962" s="334"/>
      <c r="ER962" s="334"/>
      <c r="ES962" s="334"/>
      <c r="ET962" s="334"/>
      <c r="EU962" s="334"/>
      <c r="EV962" s="334"/>
    </row>
    <row r="963" spans="35:152" ht="13">
      <c r="AI963" s="115" t="s">
        <v>1416</v>
      </c>
      <c r="AJ963" t="s">
        <v>2114</v>
      </c>
      <c r="AK963" s="115">
        <v>0</v>
      </c>
      <c r="AL963" s="115" t="s">
        <v>28</v>
      </c>
      <c r="AM963" s="115" t="s">
        <v>1848</v>
      </c>
      <c r="AN963" s="115" t="s">
        <v>1676</v>
      </c>
      <c r="AO963" s="115" t="s">
        <v>380</v>
      </c>
      <c r="AT963" s="115" t="s">
        <v>1415</v>
      </c>
      <c r="AU963" s="115" t="s">
        <v>2114</v>
      </c>
      <c r="AV963" s="115">
        <v>0</v>
      </c>
      <c r="AW963" s="115" t="s">
        <v>1681</v>
      </c>
      <c r="AX963" s="115" t="s">
        <v>1842</v>
      </c>
      <c r="AY963" s="115" t="s">
        <v>1848</v>
      </c>
      <c r="AZ963" s="115" t="s">
        <v>1852</v>
      </c>
      <c r="BA963" s="115">
        <v>24318.591803999996</v>
      </c>
      <c r="BB963" s="115"/>
      <c r="BC963" s="115"/>
      <c r="BD963" s="115"/>
      <c r="BE963" s="115">
        <v>35165.481780000002</v>
      </c>
      <c r="BF963" s="115"/>
      <c r="BG963" s="115">
        <v>45910.431987200005</v>
      </c>
      <c r="BH963" s="115"/>
      <c r="BI963" s="115">
        <v>14173.194285000001</v>
      </c>
      <c r="BJ963" s="115"/>
      <c r="BK963" s="115"/>
      <c r="BL963" s="115"/>
      <c r="BM963" s="115"/>
      <c r="BN963" s="115"/>
      <c r="BO963" s="115"/>
      <c r="BP963" s="115"/>
      <c r="DR963" s="214"/>
      <c r="DY963" s="115"/>
      <c r="DZ963" s="334"/>
      <c r="EA963" s="334"/>
      <c r="EB963" s="334"/>
      <c r="EC963" s="334"/>
      <c r="ED963" s="187"/>
      <c r="EE963" s="330"/>
      <c r="EH963" s="334"/>
      <c r="EI963" s="334"/>
      <c r="EM963"/>
      <c r="EO963" s="115"/>
      <c r="EP963" s="334"/>
      <c r="EQ963" s="334"/>
      <c r="ER963" s="334"/>
      <c r="ES963" s="334"/>
      <c r="ET963" s="334"/>
      <c r="EU963" s="334"/>
      <c r="EV963" s="334"/>
    </row>
    <row r="964" spans="35:152" ht="13">
      <c r="AI964" s="115" t="s">
        <v>1416</v>
      </c>
      <c r="AJ964" t="s">
        <v>2114</v>
      </c>
      <c r="AK964" s="115">
        <v>0</v>
      </c>
      <c r="AL964" s="115" t="s">
        <v>28</v>
      </c>
      <c r="AM964" s="115" t="s">
        <v>1846</v>
      </c>
      <c r="AN964" s="115" t="s">
        <v>1676</v>
      </c>
      <c r="AO964" s="115" t="s">
        <v>380</v>
      </c>
      <c r="AT964" s="115" t="s">
        <v>1415</v>
      </c>
      <c r="AU964" s="115" t="s">
        <v>2114</v>
      </c>
      <c r="AV964" s="115">
        <v>0</v>
      </c>
      <c r="AW964" s="115" t="s">
        <v>1681</v>
      </c>
      <c r="AX964" s="115" t="s">
        <v>28</v>
      </c>
      <c r="AY964" s="115" t="s">
        <v>1848</v>
      </c>
      <c r="AZ964" s="115" t="s">
        <v>1852</v>
      </c>
      <c r="BA964" s="115">
        <v>37417.21929583099</v>
      </c>
      <c r="BB964" s="115"/>
      <c r="BC964" s="115"/>
      <c r="BD964" s="115"/>
      <c r="BE964" s="115">
        <v>56354.938749999994</v>
      </c>
      <c r="BF964" s="115"/>
      <c r="BG964" s="115">
        <v>35249.870464171872</v>
      </c>
      <c r="BH964" s="115">
        <v>2527.2052721999999</v>
      </c>
      <c r="BI964" s="115">
        <v>44952.9527722208</v>
      </c>
      <c r="BJ964" s="115">
        <v>7499.257171199999</v>
      </c>
      <c r="BK964" s="115"/>
      <c r="BL964" s="115"/>
      <c r="BM964" s="115"/>
      <c r="BN964" s="115"/>
      <c r="BO964" s="115"/>
      <c r="BP964" s="115"/>
      <c r="DR964" s="214"/>
      <c r="DY964" s="115"/>
      <c r="DZ964" s="334"/>
      <c r="EA964" s="334"/>
      <c r="EB964" s="334"/>
      <c r="EC964" s="334"/>
      <c r="ED964" s="187"/>
      <c r="EE964" s="330"/>
      <c r="EH964" s="334"/>
      <c r="EI964" s="334"/>
      <c r="EM964"/>
      <c r="EO964" s="115"/>
      <c r="EP964" s="334"/>
      <c r="EQ964" s="334"/>
      <c r="ER964" s="334"/>
      <c r="ES964" s="334"/>
      <c r="ET964" s="334"/>
      <c r="EU964" s="334"/>
      <c r="EV964" s="334"/>
    </row>
    <row r="965" spans="35:152" ht="13">
      <c r="AI965" s="115" t="s">
        <v>1416</v>
      </c>
      <c r="AJ965" t="s">
        <v>2114</v>
      </c>
      <c r="AK965" s="115">
        <v>0</v>
      </c>
      <c r="AL965" s="115" t="s">
        <v>28</v>
      </c>
      <c r="AM965" s="115" t="s">
        <v>1832</v>
      </c>
      <c r="AN965" s="115" t="s">
        <v>1676</v>
      </c>
      <c r="AO965" s="115" t="s">
        <v>380</v>
      </c>
      <c r="AT965" s="115" t="s">
        <v>1415</v>
      </c>
      <c r="AU965" s="115" t="s">
        <v>2114</v>
      </c>
      <c r="AV965" s="115">
        <v>0</v>
      </c>
      <c r="AW965" s="115" t="s">
        <v>1681</v>
      </c>
      <c r="AX965" s="115" t="s">
        <v>1842</v>
      </c>
      <c r="AY965" s="115" t="s">
        <v>1843</v>
      </c>
      <c r="AZ965" s="115" t="s">
        <v>1852</v>
      </c>
      <c r="BA965" s="115">
        <v>24131.167731958765</v>
      </c>
      <c r="BB965" s="115"/>
      <c r="BC965" s="115"/>
      <c r="BD965" s="115"/>
      <c r="BE965" s="115">
        <v>72633.061752577327</v>
      </c>
      <c r="BF965" s="115"/>
      <c r="BG965" s="115">
        <v>125079.0169072165</v>
      </c>
      <c r="BH965" s="115"/>
      <c r="BI965" s="115">
        <v>46187.108144329897</v>
      </c>
      <c r="BJ965" s="115"/>
      <c r="BK965" s="115"/>
      <c r="BL965" s="115"/>
      <c r="BM965" s="115"/>
      <c r="BN965" s="115"/>
      <c r="BO965" s="115"/>
      <c r="BP965" s="115"/>
      <c r="DR965" s="214"/>
      <c r="DY965" s="115"/>
      <c r="DZ965" s="334"/>
      <c r="EA965" s="334"/>
      <c r="EB965" s="334"/>
      <c r="EC965" s="334"/>
      <c r="ED965" s="187"/>
      <c r="EE965" s="330"/>
      <c r="EH965" s="334"/>
      <c r="EI965" s="334"/>
      <c r="EM965"/>
      <c r="EO965" s="115"/>
      <c r="EP965" s="334"/>
      <c r="EQ965" s="334"/>
      <c r="ER965" s="334"/>
      <c r="ES965" s="334"/>
      <c r="ET965" s="334"/>
      <c r="EU965" s="334"/>
      <c r="EV965" s="334"/>
    </row>
    <row r="966" spans="35:152" ht="13">
      <c r="AI966" s="115" t="s">
        <v>1416</v>
      </c>
      <c r="AJ966" t="s">
        <v>2114</v>
      </c>
      <c r="AK966" s="115">
        <v>0</v>
      </c>
      <c r="AL966" s="115" t="s">
        <v>28</v>
      </c>
      <c r="AM966" s="115" t="s">
        <v>1850</v>
      </c>
      <c r="AN966" s="115" t="s">
        <v>1676</v>
      </c>
      <c r="AO966" s="115" t="s">
        <v>380</v>
      </c>
      <c r="AT966" s="115" t="s">
        <v>1415</v>
      </c>
      <c r="AU966" s="115" t="s">
        <v>2114</v>
      </c>
      <c r="AV966" s="115">
        <v>0</v>
      </c>
      <c r="AW966" s="115" t="s">
        <v>1681</v>
      </c>
      <c r="AX966" s="115" t="s">
        <v>28</v>
      </c>
      <c r="AY966" s="115" t="s">
        <v>1843</v>
      </c>
      <c r="AZ966" s="115" t="s">
        <v>1852</v>
      </c>
      <c r="BA966" s="115">
        <v>37128.843711340211</v>
      </c>
      <c r="BB966" s="115"/>
      <c r="BC966" s="115"/>
      <c r="BD966" s="115"/>
      <c r="BE966" s="115">
        <v>116399.13731958762</v>
      </c>
      <c r="BF966" s="115"/>
      <c r="BG966" s="115">
        <v>180167.06484536084</v>
      </c>
      <c r="BH966" s="115">
        <v>26017.862268041241</v>
      </c>
      <c r="BI966" s="115">
        <v>78084.791752577323</v>
      </c>
      <c r="BJ966" s="115">
        <v>8910.5189690721654</v>
      </c>
      <c r="BK966" s="115"/>
      <c r="BL966" s="115"/>
      <c r="BM966" s="115"/>
      <c r="BN966" s="115"/>
      <c r="BO966" s="115"/>
      <c r="BP966" s="115"/>
      <c r="DR966" s="214"/>
      <c r="DY966" s="115"/>
      <c r="DZ966" s="334"/>
      <c r="EA966" s="334"/>
      <c r="EB966" s="334"/>
      <c r="EC966" s="334"/>
      <c r="ED966" s="187"/>
      <c r="EE966" s="330"/>
      <c r="EH966" s="334"/>
      <c r="EI966" s="334"/>
      <c r="EM966"/>
      <c r="EO966" s="115"/>
      <c r="EP966" s="334"/>
      <c r="EQ966" s="334"/>
      <c r="ER966" s="334"/>
      <c r="ES966" s="334"/>
      <c r="ET966" s="334"/>
      <c r="EU966" s="334"/>
      <c r="EV966" s="334"/>
    </row>
    <row r="967" spans="35:152" ht="13">
      <c r="AI967" s="115" t="s">
        <v>1416</v>
      </c>
      <c r="AJ967" t="s">
        <v>2114</v>
      </c>
      <c r="AK967" s="115">
        <v>0</v>
      </c>
      <c r="AL967" s="115" t="s">
        <v>28</v>
      </c>
      <c r="AM967" s="115" t="s">
        <v>1849</v>
      </c>
      <c r="AN967" s="115" t="s">
        <v>1676</v>
      </c>
      <c r="AO967" s="115" t="s">
        <v>380</v>
      </c>
      <c r="AT967" s="115" t="s">
        <v>1415</v>
      </c>
      <c r="AU967" s="115" t="s">
        <v>2114</v>
      </c>
      <c r="AV967" s="115">
        <v>0</v>
      </c>
      <c r="AW967" s="115" t="s">
        <v>1681</v>
      </c>
      <c r="AX967" s="115" t="s">
        <v>1842</v>
      </c>
      <c r="AY967" s="115" t="s">
        <v>1849</v>
      </c>
      <c r="AZ967" s="115" t="s">
        <v>1852</v>
      </c>
      <c r="BA967" s="115"/>
      <c r="BB967" s="115"/>
      <c r="BC967" s="115"/>
      <c r="BD967" s="115"/>
      <c r="BE967" s="115">
        <v>756.6</v>
      </c>
      <c r="BF967" s="115"/>
      <c r="BG967" s="115">
        <v>1531.4639999999999</v>
      </c>
      <c r="BH967" s="115"/>
      <c r="BI967" s="115">
        <v>1108.71</v>
      </c>
      <c r="BJ967" s="115"/>
      <c r="BK967" s="115"/>
      <c r="BL967" s="115"/>
      <c r="BM967" s="115"/>
      <c r="BN967" s="115"/>
      <c r="BO967" s="115"/>
      <c r="BP967" s="115"/>
      <c r="DR967" s="214"/>
      <c r="DY967" s="115"/>
      <c r="DZ967" s="334"/>
      <c r="EA967" s="334"/>
      <c r="EB967" s="334"/>
      <c r="EC967" s="334"/>
      <c r="ED967" s="187"/>
      <c r="EE967" s="330"/>
      <c r="EH967" s="334"/>
      <c r="EI967" s="334"/>
      <c r="EM967"/>
      <c r="EO967" s="115"/>
      <c r="EP967" s="334"/>
      <c r="EQ967" s="334"/>
      <c r="ER967" s="334"/>
      <c r="ES967" s="334"/>
      <c r="ET967" s="334"/>
      <c r="EU967" s="334"/>
      <c r="EV967" s="334"/>
    </row>
    <row r="968" spans="35:152" ht="13">
      <c r="AI968" s="115" t="s">
        <v>1416</v>
      </c>
      <c r="AJ968" t="s">
        <v>2114</v>
      </c>
      <c r="AK968" s="115">
        <v>0</v>
      </c>
      <c r="AL968" s="115" t="s">
        <v>28</v>
      </c>
      <c r="AM968" s="115" t="s">
        <v>1843</v>
      </c>
      <c r="AN968" s="115" t="s">
        <v>1676</v>
      </c>
      <c r="AO968" s="115" t="s">
        <v>380</v>
      </c>
      <c r="AT968" s="115" t="s">
        <v>1415</v>
      </c>
      <c r="AU968" s="115" t="s">
        <v>2114</v>
      </c>
      <c r="AV968" s="115">
        <v>0</v>
      </c>
      <c r="AW968" s="115" t="s">
        <v>1681</v>
      </c>
      <c r="AX968" s="115" t="s">
        <v>28</v>
      </c>
      <c r="AY968" s="115" t="s">
        <v>1849</v>
      </c>
      <c r="AZ968" s="115" t="s">
        <v>1852</v>
      </c>
      <c r="BA968" s="115"/>
      <c r="BB968" s="115"/>
      <c r="BC968" s="115"/>
      <c r="BD968" s="115"/>
      <c r="BE968" s="115">
        <v>1212.5</v>
      </c>
      <c r="BF968" s="115"/>
      <c r="BG968" s="115">
        <v>2757.4506562500001</v>
      </c>
      <c r="BH968" s="115">
        <v>522.4905</v>
      </c>
      <c r="BI968" s="115">
        <v>1499.5247460000001</v>
      </c>
      <c r="BJ968" s="115">
        <v>18.623999999999995</v>
      </c>
      <c r="BK968" s="115"/>
      <c r="BL968" s="115"/>
      <c r="BM968" s="115"/>
      <c r="BN968" s="115"/>
      <c r="BO968" s="115"/>
      <c r="BP968" s="115"/>
      <c r="DR968" s="214"/>
      <c r="DY968" s="115"/>
      <c r="DZ968" s="334"/>
      <c r="EA968" s="334"/>
      <c r="EB968" s="334"/>
      <c r="EC968" s="334"/>
      <c r="ED968" s="187"/>
      <c r="EE968" s="330"/>
      <c r="EH968" s="334"/>
      <c r="EI968" s="334"/>
      <c r="EM968"/>
      <c r="EO968" s="115"/>
      <c r="EP968" s="334"/>
      <c r="EQ968" s="334"/>
      <c r="ER968" s="334"/>
      <c r="ES968" s="334"/>
      <c r="ET968" s="334"/>
      <c r="EU968" s="334"/>
      <c r="EV968" s="334"/>
    </row>
    <row r="969" spans="35:152" ht="13">
      <c r="AI969" s="115" t="s">
        <v>1416</v>
      </c>
      <c r="AJ969" t="s">
        <v>2114</v>
      </c>
      <c r="AK969" s="115">
        <v>0</v>
      </c>
      <c r="AL969" s="115" t="s">
        <v>1842</v>
      </c>
      <c r="AM969" s="115" t="s">
        <v>1832</v>
      </c>
      <c r="AN969" s="115" t="s">
        <v>1676</v>
      </c>
      <c r="AO969" s="115" t="s">
        <v>372</v>
      </c>
      <c r="AT969" s="115" t="s">
        <v>1415</v>
      </c>
      <c r="AU969" s="115" t="s">
        <v>2114</v>
      </c>
      <c r="AV969" s="115">
        <v>0</v>
      </c>
      <c r="AW969" s="115" t="s">
        <v>1681</v>
      </c>
      <c r="AX969" s="115" t="s">
        <v>1842</v>
      </c>
      <c r="AY969" s="115" t="s">
        <v>1850</v>
      </c>
      <c r="AZ969" s="115" t="s">
        <v>1852</v>
      </c>
      <c r="BA969" s="115">
        <v>453.96</v>
      </c>
      <c r="BB969" s="115"/>
      <c r="BC969" s="115"/>
      <c r="BD969" s="115"/>
      <c r="BE969" s="115">
        <v>756.6</v>
      </c>
      <c r="BF969" s="115"/>
      <c r="BG969" s="115">
        <v>1020.9760000000001</v>
      </c>
      <c r="BH969" s="115"/>
      <c r="BI969" s="115">
        <v>369.57000000000005</v>
      </c>
      <c r="BJ969" s="115"/>
      <c r="BK969" s="115"/>
      <c r="BL969" s="115"/>
      <c r="BM969" s="115"/>
      <c r="BN969" s="115"/>
      <c r="BO969" s="115"/>
      <c r="BP969" s="115"/>
      <c r="DR969" s="214"/>
      <c r="DY969" s="115"/>
      <c r="DZ969" s="334"/>
      <c r="EA969" s="334"/>
      <c r="EB969" s="334"/>
      <c r="EC969" s="334"/>
      <c r="ED969" s="187"/>
      <c r="EE969" s="330"/>
      <c r="EH969" s="334"/>
      <c r="EI969" s="334"/>
      <c r="EM969"/>
      <c r="EO969" s="115"/>
      <c r="EP969" s="334"/>
      <c r="EQ969" s="334"/>
      <c r="ER969" s="334"/>
      <c r="ES969" s="334"/>
      <c r="ET969" s="334"/>
      <c r="EU969" s="334"/>
      <c r="EV969" s="334"/>
    </row>
    <row r="970" spans="35:152" ht="13">
      <c r="AI970" s="115" t="s">
        <v>1416</v>
      </c>
      <c r="AJ970" t="s">
        <v>2114</v>
      </c>
      <c r="AK970" s="115">
        <v>0</v>
      </c>
      <c r="AL970" s="115" t="s">
        <v>1842</v>
      </c>
      <c r="AM970" s="115" t="s">
        <v>1849</v>
      </c>
      <c r="AN970" s="115" t="s">
        <v>1676</v>
      </c>
      <c r="AO970" s="115" t="s">
        <v>372</v>
      </c>
      <c r="AT970" s="115" t="s">
        <v>1415</v>
      </c>
      <c r="AU970" s="115" t="s">
        <v>2114</v>
      </c>
      <c r="AV970" s="115">
        <v>0</v>
      </c>
      <c r="AW970" s="115" t="s">
        <v>1681</v>
      </c>
      <c r="AX970" s="115" t="s">
        <v>28</v>
      </c>
      <c r="AY970" s="115" t="s">
        <v>1850</v>
      </c>
      <c r="AZ970" s="115" t="s">
        <v>1852</v>
      </c>
      <c r="BA970" s="115">
        <v>698.4746899999999</v>
      </c>
      <c r="BB970" s="115"/>
      <c r="BC970" s="115"/>
      <c r="BD970" s="115"/>
      <c r="BE970" s="115">
        <v>1212.5</v>
      </c>
      <c r="BF970" s="115"/>
      <c r="BG970" s="115">
        <v>919.15021875000002</v>
      </c>
      <c r="BH970" s="115">
        <v>58.054499999999997</v>
      </c>
      <c r="BI970" s="115">
        <v>999.68316400000003</v>
      </c>
      <c r="BJ970" s="115">
        <v>167.61599999999999</v>
      </c>
      <c r="BK970" s="115"/>
      <c r="BL970" s="115"/>
      <c r="BM970" s="115"/>
      <c r="BN970" s="115"/>
      <c r="BO970" s="115"/>
      <c r="BP970" s="115"/>
      <c r="DR970" s="214"/>
      <c r="DY970" s="115"/>
      <c r="DZ970" s="334"/>
      <c r="EA970" s="334"/>
      <c r="EB970" s="334"/>
      <c r="EC970" s="334"/>
      <c r="ED970" s="187"/>
      <c r="EE970" s="330"/>
      <c r="EH970" s="334"/>
      <c r="EI970" s="334"/>
      <c r="EM970"/>
      <c r="EO970" s="115"/>
      <c r="EP970" s="334"/>
      <c r="EQ970" s="334"/>
      <c r="ER970" s="334"/>
      <c r="ES970" s="334"/>
      <c r="ET970" s="334"/>
      <c r="EU970" s="334"/>
      <c r="EV970" s="334"/>
    </row>
    <row r="971" spans="35:152" ht="13">
      <c r="AI971" s="115" t="s">
        <v>1416</v>
      </c>
      <c r="AJ971" t="s">
        <v>2114</v>
      </c>
      <c r="AK971" s="115">
        <v>0</v>
      </c>
      <c r="AL971" s="115" t="s">
        <v>1842</v>
      </c>
      <c r="AM971" s="115" t="s">
        <v>1843</v>
      </c>
      <c r="AN971" s="115" t="s">
        <v>1676</v>
      </c>
      <c r="AO971" s="115" t="s">
        <v>372</v>
      </c>
      <c r="AT971" s="115" t="s">
        <v>1415</v>
      </c>
      <c r="AU971" s="115" t="s">
        <v>2114</v>
      </c>
      <c r="AV971" s="115">
        <v>0</v>
      </c>
      <c r="AW971" s="115" t="s">
        <v>1681</v>
      </c>
      <c r="AX971" s="115" t="s">
        <v>28</v>
      </c>
      <c r="AY971" s="115" t="s">
        <v>1832</v>
      </c>
      <c r="AZ971" s="115" t="s">
        <v>1852</v>
      </c>
      <c r="BA971" s="115">
        <v>720.07699999999988</v>
      </c>
      <c r="BB971" s="115"/>
      <c r="BC971" s="115"/>
      <c r="BD971" s="115"/>
      <c r="BE971" s="115">
        <v>2500</v>
      </c>
      <c r="BF971" s="115"/>
      <c r="BG971" s="115">
        <v>3790.3101804123712</v>
      </c>
      <c r="BH971" s="115">
        <v>598.5</v>
      </c>
      <c r="BI971" s="115">
        <v>2576.5030000000002</v>
      </c>
      <c r="BJ971" s="115">
        <v>191.99999999999997</v>
      </c>
      <c r="BK971" s="115"/>
      <c r="BL971" s="115"/>
      <c r="BM971" s="115"/>
      <c r="BN971" s="115"/>
      <c r="BO971" s="115"/>
      <c r="BP971" s="115"/>
      <c r="DR971" s="214"/>
      <c r="DY971" s="115"/>
      <c r="DZ971" s="334"/>
      <c r="EA971" s="334"/>
      <c r="EB971" s="334"/>
      <c r="EC971" s="334"/>
      <c r="ED971" s="187"/>
      <c r="EE971" s="330"/>
      <c r="EH971" s="334"/>
      <c r="EI971" s="334"/>
      <c r="EM971"/>
      <c r="EO971" s="115"/>
      <c r="EP971" s="334"/>
      <c r="EQ971" s="334"/>
      <c r="ER971" s="334"/>
      <c r="ES971" s="334"/>
      <c r="ET971" s="334"/>
      <c r="EU971" s="334"/>
      <c r="EV971" s="334"/>
    </row>
    <row r="972" spans="35:152" ht="13">
      <c r="AI972" s="115" t="s">
        <v>1416</v>
      </c>
      <c r="AJ972" t="s">
        <v>2114</v>
      </c>
      <c r="AK972" s="115">
        <v>0</v>
      </c>
      <c r="AL972" s="115" t="s">
        <v>1842</v>
      </c>
      <c r="AM972" s="115" t="s">
        <v>1848</v>
      </c>
      <c r="AN972" s="115" t="s">
        <v>1676</v>
      </c>
      <c r="AO972" s="115" t="s">
        <v>372</v>
      </c>
      <c r="AT972" s="115" t="s">
        <v>1415</v>
      </c>
      <c r="AU972" s="115" t="s">
        <v>2114</v>
      </c>
      <c r="AV972" s="115">
        <v>0</v>
      </c>
      <c r="AW972" s="115" t="s">
        <v>1681</v>
      </c>
      <c r="AX972" s="115" t="s">
        <v>1842</v>
      </c>
      <c r="AY972" s="115" t="s">
        <v>1832</v>
      </c>
      <c r="AZ972" s="115" t="s">
        <v>1852</v>
      </c>
      <c r="BA972" s="115">
        <v>468</v>
      </c>
      <c r="BB972" s="115"/>
      <c r="BC972" s="115"/>
      <c r="BD972" s="115"/>
      <c r="BE972" s="115">
        <v>1560</v>
      </c>
      <c r="BF972" s="115"/>
      <c r="BG972" s="115">
        <v>2631.3814432989693</v>
      </c>
      <c r="BH972" s="115"/>
      <c r="BI972" s="115">
        <v>1524.0000000000002</v>
      </c>
      <c r="BJ972" s="115"/>
      <c r="BK972" s="115"/>
      <c r="BL972" s="115"/>
      <c r="BM972" s="115"/>
      <c r="BN972" s="115"/>
      <c r="BO972" s="115"/>
      <c r="BP972" s="115"/>
      <c r="DR972" s="214"/>
      <c r="DY972" s="115"/>
      <c r="DZ972" s="334"/>
      <c r="EA972" s="334"/>
      <c r="EB972" s="334"/>
      <c r="EC972" s="334"/>
      <c r="ED972" s="187"/>
      <c r="EE972" s="330"/>
      <c r="EH972" s="334"/>
      <c r="EI972" s="334"/>
      <c r="EM972"/>
      <c r="EO972" s="115"/>
      <c r="EP972" s="334"/>
      <c r="EQ972" s="334"/>
      <c r="ER972" s="334"/>
      <c r="ES972" s="334"/>
      <c r="ET972" s="334"/>
      <c r="EU972" s="334"/>
      <c r="EV972" s="334"/>
    </row>
    <row r="973" spans="35:152" ht="13">
      <c r="AI973" s="115" t="s">
        <v>1416</v>
      </c>
      <c r="AJ973" t="s">
        <v>2114</v>
      </c>
      <c r="AK973" s="115">
        <v>0</v>
      </c>
      <c r="AL973" s="115" t="s">
        <v>1842</v>
      </c>
      <c r="AM973" s="115" t="s">
        <v>1846</v>
      </c>
      <c r="AN973" s="115" t="s">
        <v>1676</v>
      </c>
      <c r="AO973" s="115" t="s">
        <v>372</v>
      </c>
      <c r="AT973" s="115" t="s">
        <v>1415</v>
      </c>
      <c r="AU973" s="115" t="s">
        <v>2114</v>
      </c>
      <c r="AV973" s="115">
        <v>0</v>
      </c>
      <c r="AW973" s="115" t="s">
        <v>1682</v>
      </c>
      <c r="AX973" s="115" t="s">
        <v>28</v>
      </c>
      <c r="AY973" s="115" t="s">
        <v>1846</v>
      </c>
      <c r="AZ973" s="115" t="s">
        <v>1853</v>
      </c>
      <c r="BA973" s="115"/>
      <c r="BB973" s="115"/>
      <c r="BC973" s="115"/>
      <c r="BD973" s="115">
        <v>33039.658931894999</v>
      </c>
      <c r="BE973" s="115">
        <v>36067.408845975006</v>
      </c>
      <c r="BF973" s="115"/>
      <c r="BG973" s="115">
        <v>24109.408116579998</v>
      </c>
      <c r="BH973" s="115"/>
      <c r="BI973" s="115"/>
      <c r="BJ973" s="115"/>
      <c r="BK973" s="115"/>
      <c r="BL973" s="115"/>
      <c r="BM973" s="115"/>
      <c r="BN973" s="115"/>
      <c r="BO973" s="115"/>
      <c r="BP973" s="115"/>
      <c r="DR973" s="214"/>
      <c r="DY973" s="115"/>
      <c r="DZ973" s="334"/>
      <c r="EA973" s="334"/>
      <c r="EB973" s="334"/>
      <c r="EC973" s="334"/>
      <c r="ED973" s="187"/>
      <c r="EE973" s="330"/>
      <c r="EH973" s="334"/>
      <c r="EI973" s="334"/>
      <c r="EM973"/>
      <c r="EO973" s="115"/>
      <c r="EP973" s="334"/>
      <c r="EQ973" s="334"/>
      <c r="ER973" s="334"/>
      <c r="ES973" s="334"/>
      <c r="ET973" s="334"/>
      <c r="EU973" s="334"/>
      <c r="EV973" s="334"/>
    </row>
    <row r="974" spans="35:152" ht="13">
      <c r="AI974" s="115" t="s">
        <v>1416</v>
      </c>
      <c r="AJ974" t="s">
        <v>2114</v>
      </c>
      <c r="AK974" s="115">
        <v>0</v>
      </c>
      <c r="AL974" s="115" t="s">
        <v>1842</v>
      </c>
      <c r="AM974" s="115" t="s">
        <v>1850</v>
      </c>
      <c r="AN974" s="115" t="s">
        <v>1676</v>
      </c>
      <c r="AO974" s="115" t="s">
        <v>372</v>
      </c>
      <c r="AT974" s="115" t="s">
        <v>1415</v>
      </c>
      <c r="AU974" s="115" t="s">
        <v>2114</v>
      </c>
      <c r="AV974" s="115">
        <v>0</v>
      </c>
      <c r="AW974" s="115" t="s">
        <v>1682</v>
      </c>
      <c r="AX974" s="115" t="s">
        <v>28</v>
      </c>
      <c r="AY974" s="115" t="s">
        <v>1848</v>
      </c>
      <c r="AZ974" s="115" t="s">
        <v>1853</v>
      </c>
      <c r="BA974" s="115"/>
      <c r="BB974" s="115"/>
      <c r="BC974" s="115"/>
      <c r="BD974" s="115">
        <v>30548.848636844999</v>
      </c>
      <c r="BE974" s="115">
        <v>33070.205157274999</v>
      </c>
      <c r="BF974" s="115"/>
      <c r="BG974" s="115">
        <v>5155.8874397199988</v>
      </c>
      <c r="BH974" s="115"/>
      <c r="BI974" s="115"/>
      <c r="BJ974" s="115"/>
      <c r="BK974" s="115"/>
      <c r="BL974" s="115"/>
      <c r="BM974" s="115"/>
      <c r="BN974" s="115"/>
      <c r="BO974" s="115"/>
      <c r="BP974" s="115"/>
      <c r="DR974" s="214"/>
      <c r="DY974" s="115"/>
      <c r="DZ974" s="334"/>
      <c r="EA974" s="334"/>
      <c r="EB974" s="334"/>
      <c r="EC974" s="334"/>
      <c r="ED974" s="187"/>
      <c r="EE974" s="330"/>
      <c r="EH974" s="334"/>
      <c r="EI974" s="334"/>
      <c r="EM974"/>
      <c r="EO974" s="115"/>
      <c r="EP974" s="334"/>
      <c r="EQ974" s="334"/>
      <c r="ER974" s="334"/>
      <c r="ES974" s="334"/>
      <c r="ET974" s="334"/>
      <c r="EU974" s="334"/>
      <c r="EV974" s="334"/>
    </row>
    <row r="975" spans="35:152" ht="13">
      <c r="AI975" s="115" t="s">
        <v>1416</v>
      </c>
      <c r="AJ975" t="s">
        <v>2114</v>
      </c>
      <c r="AK975" s="115">
        <v>0</v>
      </c>
      <c r="AL975" s="115" t="s">
        <v>28</v>
      </c>
      <c r="AM975" s="115" t="s">
        <v>1843</v>
      </c>
      <c r="AN975" s="115" t="s">
        <v>1629</v>
      </c>
      <c r="AO975" s="115" t="s">
        <v>1644</v>
      </c>
      <c r="AT975" s="115" t="s">
        <v>1415</v>
      </c>
      <c r="AU975" s="115" t="s">
        <v>2114</v>
      </c>
      <c r="AV975" s="115">
        <v>0</v>
      </c>
      <c r="AW975" s="115" t="s">
        <v>1682</v>
      </c>
      <c r="AX975" s="115" t="s">
        <v>28</v>
      </c>
      <c r="AY975" s="115" t="s">
        <v>1843</v>
      </c>
      <c r="AZ975" s="115" t="s">
        <v>1853</v>
      </c>
      <c r="BA975" s="115"/>
      <c r="BB975" s="115"/>
      <c r="BC975" s="115"/>
      <c r="BD975" s="115">
        <v>62824.147525773195</v>
      </c>
      <c r="BE975" s="115">
        <v>68305.341855670107</v>
      </c>
      <c r="BF975" s="115"/>
      <c r="BG975" s="115">
        <v>28093.542371134019</v>
      </c>
      <c r="BH975" s="115"/>
      <c r="BI975" s="115"/>
      <c r="BJ975" s="115"/>
      <c r="BK975" s="115"/>
      <c r="BL975" s="115"/>
      <c r="BM975" s="115"/>
      <c r="BN975" s="115"/>
      <c r="BO975" s="115"/>
      <c r="BP975" s="115"/>
      <c r="DR975" s="214"/>
      <c r="DY975" s="115"/>
      <c r="DZ975" s="334"/>
      <c r="EA975" s="334"/>
      <c r="EB975" s="334"/>
      <c r="EC975" s="334"/>
      <c r="ED975" s="187"/>
      <c r="EE975" s="330"/>
      <c r="EH975" s="334"/>
      <c r="EI975" s="334"/>
      <c r="EM975"/>
      <c r="EO975" s="115"/>
      <c r="EP975" s="334"/>
      <c r="EQ975" s="334"/>
      <c r="ER975" s="334"/>
      <c r="ES975" s="334"/>
      <c r="ET975" s="334"/>
      <c r="EU975" s="334"/>
      <c r="EV975" s="334"/>
    </row>
    <row r="976" spans="35:152" ht="13">
      <c r="AI976" s="115" t="s">
        <v>1416</v>
      </c>
      <c r="AJ976" t="s">
        <v>2114</v>
      </c>
      <c r="AK976" s="115">
        <v>0</v>
      </c>
      <c r="AL976" s="115" t="s">
        <v>28</v>
      </c>
      <c r="AM976" s="115" t="s">
        <v>1848</v>
      </c>
      <c r="AN976" s="115" t="s">
        <v>1629</v>
      </c>
      <c r="AO976" s="115" t="s">
        <v>1644</v>
      </c>
      <c r="AT976" s="115" t="s">
        <v>1415</v>
      </c>
      <c r="AU976" s="115" t="s">
        <v>2114</v>
      </c>
      <c r="AV976" s="115">
        <v>0</v>
      </c>
      <c r="AW976" s="115" t="s">
        <v>1682</v>
      </c>
      <c r="AX976" s="115" t="s">
        <v>28</v>
      </c>
      <c r="AY976" s="115" t="s">
        <v>1849</v>
      </c>
      <c r="AZ976" s="115" t="s">
        <v>1853</v>
      </c>
      <c r="BA976" s="115"/>
      <c r="BB976" s="115"/>
      <c r="BC976" s="115"/>
      <c r="BD976" s="115">
        <v>628.51634999999999</v>
      </c>
      <c r="BE976" s="115">
        <v>711.51925000000006</v>
      </c>
      <c r="BF976" s="115"/>
      <c r="BG976" s="115">
        <v>458.63539999999995</v>
      </c>
      <c r="BH976" s="115"/>
      <c r="BI976" s="115"/>
      <c r="BJ976" s="115"/>
      <c r="BK976" s="115"/>
      <c r="BL976" s="115"/>
      <c r="BM976" s="115"/>
      <c r="BN976" s="115"/>
      <c r="BO976" s="115"/>
      <c r="BP976" s="115"/>
      <c r="DR976" s="214"/>
      <c r="DY976" s="115"/>
      <c r="DZ976" s="334"/>
      <c r="EA976" s="334"/>
      <c r="EB976" s="334"/>
      <c r="EC976" s="334"/>
      <c r="ED976" s="187"/>
      <c r="EE976" s="330"/>
      <c r="EH976" s="334"/>
      <c r="EI976" s="334"/>
      <c r="EM976"/>
      <c r="EO976" s="115"/>
      <c r="EP976" s="334"/>
      <c r="EQ976" s="334"/>
      <c r="ER976" s="334"/>
      <c r="ES976" s="334"/>
      <c r="ET976" s="334"/>
      <c r="EU976" s="334"/>
      <c r="EV976" s="334"/>
    </row>
    <row r="977" spans="35:152" ht="13">
      <c r="AI977" s="115" t="s">
        <v>1416</v>
      </c>
      <c r="AJ977" t="s">
        <v>2114</v>
      </c>
      <c r="AK977" s="115">
        <v>0</v>
      </c>
      <c r="AL977" s="115" t="s">
        <v>28</v>
      </c>
      <c r="AM977" s="115" t="s">
        <v>1832</v>
      </c>
      <c r="AN977" s="115" t="s">
        <v>1629</v>
      </c>
      <c r="AO977" s="115" t="s">
        <v>1644</v>
      </c>
      <c r="AT977" s="115" t="s">
        <v>1415</v>
      </c>
      <c r="AU977" s="115" t="s">
        <v>2114</v>
      </c>
      <c r="AV977" s="115">
        <v>0</v>
      </c>
      <c r="AW977" s="115" t="s">
        <v>1682</v>
      </c>
      <c r="AX977" s="115" t="s">
        <v>28</v>
      </c>
      <c r="AY977" s="115" t="s">
        <v>1850</v>
      </c>
      <c r="AZ977" s="115" t="s">
        <v>1853</v>
      </c>
      <c r="BA977" s="115"/>
      <c r="BB977" s="115"/>
      <c r="BC977" s="115"/>
      <c r="BD977" s="115">
        <v>628.51634999999999</v>
      </c>
      <c r="BE977" s="115">
        <v>711.51925000000006</v>
      </c>
      <c r="BF977" s="115"/>
      <c r="BG977" s="115">
        <v>114.65884999999999</v>
      </c>
      <c r="BH977" s="115"/>
      <c r="BI977" s="115"/>
      <c r="BJ977" s="115"/>
      <c r="BK977" s="115"/>
      <c r="BL977" s="115"/>
      <c r="BM977" s="115"/>
      <c r="BN977" s="115"/>
      <c r="BO977" s="115"/>
      <c r="BP977" s="115"/>
      <c r="DR977" s="214"/>
      <c r="DY977" s="115"/>
      <c r="DZ977" s="334"/>
      <c r="EA977" s="334"/>
      <c r="EB977" s="334"/>
      <c r="EC977" s="334"/>
      <c r="ED977" s="187"/>
      <c r="EE977" s="330"/>
      <c r="EH977" s="334"/>
      <c r="EI977" s="334"/>
      <c r="EM977"/>
      <c r="EO977" s="115"/>
      <c r="EP977" s="334"/>
      <c r="EQ977" s="334"/>
      <c r="ER977" s="334"/>
      <c r="ES977" s="334"/>
      <c r="ET977" s="334"/>
      <c r="EU977" s="334"/>
      <c r="EV977" s="334"/>
    </row>
    <row r="978" spans="35:152" ht="13">
      <c r="AI978" s="115" t="s">
        <v>1416</v>
      </c>
      <c r="AJ978" t="s">
        <v>2114</v>
      </c>
      <c r="AK978" s="115">
        <v>0</v>
      </c>
      <c r="AL978" s="115" t="s">
        <v>28</v>
      </c>
      <c r="AM978" s="115" t="s">
        <v>1850</v>
      </c>
      <c r="AN978" s="115" t="s">
        <v>1629</v>
      </c>
      <c r="AO978" s="115" t="s">
        <v>1644</v>
      </c>
      <c r="AT978" s="115" t="s">
        <v>1415</v>
      </c>
      <c r="AU978" s="115" t="s">
        <v>2114</v>
      </c>
      <c r="AV978" s="115">
        <v>0</v>
      </c>
      <c r="AW978" s="115" t="s">
        <v>1682</v>
      </c>
      <c r="AX978" s="115" t="s">
        <v>28</v>
      </c>
      <c r="AY978" s="115" t="s">
        <v>1832</v>
      </c>
      <c r="AZ978" s="115" t="s">
        <v>1853</v>
      </c>
      <c r="BA978" s="115"/>
      <c r="BB978" s="115"/>
      <c r="BC978" s="115"/>
      <c r="BD978" s="115">
        <v>1295.9100000000001</v>
      </c>
      <c r="BE978" s="115">
        <v>1467.0500000000002</v>
      </c>
      <c r="BF978" s="115"/>
      <c r="BG978" s="115">
        <v>591.02499999999998</v>
      </c>
      <c r="BH978" s="115"/>
      <c r="BI978" s="115"/>
      <c r="BJ978" s="115"/>
      <c r="BK978" s="115"/>
      <c r="BL978" s="115"/>
      <c r="BM978" s="115"/>
      <c r="BN978" s="115"/>
      <c r="BO978" s="115"/>
      <c r="BP978" s="115"/>
      <c r="DR978" s="214"/>
      <c r="DY978" s="115"/>
      <c r="DZ978" s="334"/>
      <c r="EA978" s="334"/>
      <c r="EB978" s="334"/>
      <c r="EC978" s="334"/>
      <c r="ED978" s="187"/>
      <c r="EE978" s="330"/>
      <c r="EH978" s="334"/>
      <c r="EI978" s="334"/>
      <c r="EM978"/>
      <c r="EO978" s="115"/>
      <c r="EP978" s="334"/>
      <c r="EQ978" s="334"/>
      <c r="ER978" s="334"/>
      <c r="ES978" s="334"/>
      <c r="ET978" s="334"/>
      <c r="EU978" s="334"/>
      <c r="EV978" s="334"/>
    </row>
    <row r="979" spans="35:152" ht="13">
      <c r="AI979" s="115" t="s">
        <v>1416</v>
      </c>
      <c r="AJ979" t="s">
        <v>2114</v>
      </c>
      <c r="AK979" s="115">
        <v>0</v>
      </c>
      <c r="AL979" s="115" t="s">
        <v>28</v>
      </c>
      <c r="AM979" s="115" t="s">
        <v>1846</v>
      </c>
      <c r="AN979" s="115" t="s">
        <v>1629</v>
      </c>
      <c r="AO979" s="115" t="s">
        <v>1274</v>
      </c>
      <c r="AT979" s="115" t="s">
        <v>1415</v>
      </c>
      <c r="AU979" s="115" t="s">
        <v>2114</v>
      </c>
      <c r="AV979" s="115">
        <v>0</v>
      </c>
      <c r="AW979" s="115" t="s">
        <v>1577</v>
      </c>
      <c r="AX979" s="115" t="s">
        <v>1842</v>
      </c>
      <c r="AY979" s="115" t="s">
        <v>1846</v>
      </c>
      <c r="AZ979" s="115" t="s">
        <v>1854</v>
      </c>
      <c r="BA979" s="115"/>
      <c r="BB979" s="115"/>
      <c r="BC979" s="115"/>
      <c r="BD979" s="115"/>
      <c r="BE979" s="115">
        <v>38352.583619999998</v>
      </c>
      <c r="BF979" s="115"/>
      <c r="BG979" s="115">
        <v>80505.540112799994</v>
      </c>
      <c r="BH979" s="115"/>
      <c r="BI979" s="115">
        <v>60418.509794999998</v>
      </c>
      <c r="BJ979" s="115"/>
      <c r="BK979" s="115"/>
      <c r="BL979" s="115">
        <v>31986.829125</v>
      </c>
      <c r="BM979" s="115"/>
      <c r="BN979" s="115"/>
      <c r="BO979" s="115"/>
      <c r="BP979" s="115">
        <v>189740.78510000001</v>
      </c>
      <c r="DR979" s="214"/>
      <c r="DY979" s="115"/>
      <c r="DZ979" s="334"/>
      <c r="EA979" s="334"/>
      <c r="EB979" s="334"/>
      <c r="EC979" s="334"/>
      <c r="ED979" s="187"/>
      <c r="EE979" s="330"/>
      <c r="EH979" s="334"/>
      <c r="EI979" s="334"/>
      <c r="EM979"/>
      <c r="EO979" s="115"/>
      <c r="EP979" s="334"/>
      <c r="EQ979" s="334"/>
      <c r="ER979" s="334"/>
      <c r="ES979" s="334"/>
      <c r="ET979" s="334"/>
      <c r="EU979" s="334"/>
      <c r="EV979" s="334"/>
    </row>
    <row r="980" spans="35:152" ht="13">
      <c r="AI980" s="115" t="s">
        <v>1416</v>
      </c>
      <c r="AJ980" t="s">
        <v>2114</v>
      </c>
      <c r="AK980" s="115">
        <v>0</v>
      </c>
      <c r="AL980" s="115" t="s">
        <v>28</v>
      </c>
      <c r="AM980" s="115" t="s">
        <v>1850</v>
      </c>
      <c r="AN980" s="115" t="s">
        <v>1629</v>
      </c>
      <c r="AO980" s="115" t="s">
        <v>1274</v>
      </c>
      <c r="AT980" s="115" t="s">
        <v>1415</v>
      </c>
      <c r="AU980" s="115" t="s">
        <v>2114</v>
      </c>
      <c r="AV980" s="115">
        <v>0</v>
      </c>
      <c r="AW980" s="115" t="s">
        <v>1577</v>
      </c>
      <c r="AX980" s="115" t="s">
        <v>28</v>
      </c>
      <c r="AY980" s="115" t="s">
        <v>1846</v>
      </c>
      <c r="AZ980" s="115" t="s">
        <v>1854</v>
      </c>
      <c r="BA980" s="115"/>
      <c r="BB980" s="115"/>
      <c r="BC980" s="115">
        <v>29953.611402455987</v>
      </c>
      <c r="BD980" s="115">
        <v>33039.658931894999</v>
      </c>
      <c r="BE980" s="115">
        <v>117004.8820284</v>
      </c>
      <c r="BF980" s="115"/>
      <c r="BG980" s="115">
        <v>102321.73853045501</v>
      </c>
      <c r="BH980" s="115">
        <v>924354.71499650809</v>
      </c>
      <c r="BI980" s="115">
        <v>283037.10552448174</v>
      </c>
      <c r="BJ980" s="115">
        <v>14713.491081466665</v>
      </c>
      <c r="BK980" s="115">
        <v>82094.438940547509</v>
      </c>
      <c r="BL980" s="115">
        <v>177676.09905221104</v>
      </c>
      <c r="BM980" s="115">
        <v>1438949.8639</v>
      </c>
      <c r="BN980" s="115">
        <v>600812.27</v>
      </c>
      <c r="BO980" s="115">
        <v>188060.68999999997</v>
      </c>
      <c r="BP980" s="115">
        <v>102793.2355</v>
      </c>
      <c r="DR980" s="214"/>
      <c r="DY980" s="115"/>
      <c r="DZ980" s="334"/>
      <c r="EA980" s="334"/>
      <c r="EB980" s="334"/>
      <c r="EC980" s="334"/>
      <c r="ED980" s="187"/>
      <c r="EE980" s="330"/>
      <c r="EH980" s="334"/>
      <c r="EI980" s="334"/>
      <c r="EM980"/>
      <c r="EO980" s="115"/>
      <c r="EP980" s="334"/>
      <c r="EQ980" s="334"/>
      <c r="ER980" s="334"/>
      <c r="ES980" s="334"/>
      <c r="ET980" s="334"/>
      <c r="EU980" s="334"/>
      <c r="EV980" s="334"/>
    </row>
    <row r="981" spans="35:152" ht="13">
      <c r="AI981" s="115" t="s">
        <v>1416</v>
      </c>
      <c r="AJ981" t="s">
        <v>2114</v>
      </c>
      <c r="AK981" s="115">
        <v>0</v>
      </c>
      <c r="AL981" s="115" t="s">
        <v>28</v>
      </c>
      <c r="AM981" s="115" t="s">
        <v>1849</v>
      </c>
      <c r="AN981" s="115" t="s">
        <v>1629</v>
      </c>
      <c r="AO981" s="115" t="s">
        <v>1274</v>
      </c>
      <c r="AT981" s="115" t="s">
        <v>1415</v>
      </c>
      <c r="AU981" s="115" t="s">
        <v>2114</v>
      </c>
      <c r="AV981" s="115">
        <v>0</v>
      </c>
      <c r="AW981" s="115" t="s">
        <v>1577</v>
      </c>
      <c r="AX981" s="115" t="s">
        <v>1842</v>
      </c>
      <c r="AY981" s="115" t="s">
        <v>1848</v>
      </c>
      <c r="AZ981" s="115" t="s">
        <v>1854</v>
      </c>
      <c r="BA981" s="115">
        <v>24318.591803999996</v>
      </c>
      <c r="BB981" s="115"/>
      <c r="BC981" s="115"/>
      <c r="BD981" s="115"/>
      <c r="BE981" s="115">
        <v>35165.481780000002</v>
      </c>
      <c r="BF981" s="115"/>
      <c r="BG981" s="115">
        <v>45910.431987200005</v>
      </c>
      <c r="BH981" s="115"/>
      <c r="BI981" s="115">
        <v>26944.082946999999</v>
      </c>
      <c r="BJ981" s="115"/>
      <c r="BK981" s="115"/>
      <c r="BL981" s="115">
        <v>4887.2601249999998</v>
      </c>
      <c r="BM981" s="115"/>
      <c r="BN981" s="115"/>
      <c r="BO981" s="115"/>
      <c r="BP981" s="115"/>
      <c r="DR981" s="214"/>
      <c r="DY981" s="115"/>
      <c r="DZ981" s="334"/>
      <c r="EA981" s="334"/>
      <c r="EB981" s="334"/>
      <c r="EC981" s="334"/>
      <c r="ED981" s="187"/>
      <c r="EE981" s="330"/>
      <c r="EH981" s="334"/>
      <c r="EI981" s="334"/>
      <c r="EM981"/>
      <c r="EO981" s="115"/>
      <c r="EP981" s="334"/>
      <c r="EQ981" s="334"/>
      <c r="ER981" s="334"/>
      <c r="ES981" s="334"/>
      <c r="ET981" s="334"/>
      <c r="EU981" s="334"/>
      <c r="EV981" s="334"/>
    </row>
    <row r="982" spans="35:152" ht="13">
      <c r="AI982" s="115" t="s">
        <v>1416</v>
      </c>
      <c r="AJ982" t="s">
        <v>2114</v>
      </c>
      <c r="AK982" s="115">
        <v>0</v>
      </c>
      <c r="AL982" s="115" t="s">
        <v>28</v>
      </c>
      <c r="AM982" s="115" t="s">
        <v>1848</v>
      </c>
      <c r="AN982" s="115" t="s">
        <v>1629</v>
      </c>
      <c r="AO982" s="115" t="s">
        <v>1274</v>
      </c>
      <c r="AT982" s="115" t="s">
        <v>1415</v>
      </c>
      <c r="AU982" s="115" t="s">
        <v>2114</v>
      </c>
      <c r="AV982" s="115">
        <v>0</v>
      </c>
      <c r="AW982" s="115" t="s">
        <v>1577</v>
      </c>
      <c r="AX982" s="115" t="s">
        <v>28</v>
      </c>
      <c r="AY982" s="115" t="s">
        <v>1848</v>
      </c>
      <c r="AZ982" s="115" t="s">
        <v>1854</v>
      </c>
      <c r="BA982" s="115">
        <v>77532.50321183099</v>
      </c>
      <c r="BB982" s="115">
        <v>72931.113744000017</v>
      </c>
      <c r="BC982" s="115">
        <v>176640.80963112146</v>
      </c>
      <c r="BD982" s="115">
        <v>30548.848636844999</v>
      </c>
      <c r="BE982" s="115">
        <v>107281.76979959998</v>
      </c>
      <c r="BF982" s="115">
        <v>26565.718126749998</v>
      </c>
      <c r="BG982" s="115">
        <v>40405.75790389187</v>
      </c>
      <c r="BH982" s="115">
        <v>57870.140165030396</v>
      </c>
      <c r="BI982" s="115">
        <v>130046.52465580829</v>
      </c>
      <c r="BJ982" s="115">
        <v>73907.067256012495</v>
      </c>
      <c r="BK982" s="115">
        <v>12823.457343247499</v>
      </c>
      <c r="BL982" s="115">
        <v>27666.307458731004</v>
      </c>
      <c r="BM982" s="115"/>
      <c r="BN982" s="115"/>
      <c r="BO982" s="115"/>
      <c r="BP982" s="115"/>
      <c r="DR982" s="214"/>
      <c r="DY982" s="115"/>
      <c r="DZ982" s="334"/>
      <c r="EA982" s="334"/>
      <c r="EB982" s="334"/>
      <c r="EC982" s="334"/>
      <c r="ED982" s="187"/>
      <c r="EE982" s="330"/>
      <c r="EH982" s="334"/>
      <c r="EI982" s="334"/>
      <c r="EM982"/>
      <c r="EO982" s="115"/>
      <c r="EP982" s="334"/>
      <c r="EQ982" s="334"/>
      <c r="ER982" s="334"/>
      <c r="ES982" s="334"/>
      <c r="ET982" s="334"/>
      <c r="EU982" s="334"/>
      <c r="EV982" s="334"/>
    </row>
    <row r="983" spans="35:152" ht="13">
      <c r="AI983" s="115" t="s">
        <v>1416</v>
      </c>
      <c r="AJ983" t="s">
        <v>2114</v>
      </c>
      <c r="AK983" s="115">
        <v>0</v>
      </c>
      <c r="AL983" s="115" t="s">
        <v>28</v>
      </c>
      <c r="AM983" s="115" t="s">
        <v>1832</v>
      </c>
      <c r="AN983" s="115" t="s">
        <v>1629</v>
      </c>
      <c r="AO983" s="115" t="s">
        <v>1274</v>
      </c>
      <c r="AT983" s="115" t="s">
        <v>1415</v>
      </c>
      <c r="AU983" s="115" t="s">
        <v>2114</v>
      </c>
      <c r="AV983" s="115">
        <v>0</v>
      </c>
      <c r="AW983" s="115" t="s">
        <v>1577</v>
      </c>
      <c r="AX983" s="115" t="s">
        <v>28</v>
      </c>
      <c r="AY983" s="115" t="s">
        <v>1843</v>
      </c>
      <c r="AZ983" s="115" t="s">
        <v>1854</v>
      </c>
      <c r="BA983" s="115">
        <v>76934.958041237114</v>
      </c>
      <c r="BB983" s="115">
        <v>72368.932371134026</v>
      </c>
      <c r="BC983" s="115">
        <v>204753.54494845361</v>
      </c>
      <c r="BD983" s="115">
        <v>62824.147525773195</v>
      </c>
      <c r="BE983" s="115">
        <v>221586.70979381446</v>
      </c>
      <c r="BF983" s="115">
        <v>26360.996701030926</v>
      </c>
      <c r="BG983" s="115">
        <v>208260.60721649486</v>
      </c>
      <c r="BH983" s="115">
        <v>935264.57538247434</v>
      </c>
      <c r="BI983" s="115">
        <v>355501.71659793815</v>
      </c>
      <c r="BJ983" s="115">
        <v>87815.407835051548</v>
      </c>
      <c r="BK983" s="115">
        <v>93504.65257731959</v>
      </c>
      <c r="BL983" s="115">
        <v>191618.52958762887</v>
      </c>
      <c r="BM983" s="115">
        <v>1438949.8639</v>
      </c>
      <c r="BN983" s="115">
        <v>600812.27</v>
      </c>
      <c r="BO983" s="115">
        <v>188060.68999999997</v>
      </c>
      <c r="BP983" s="115">
        <v>102793.2355</v>
      </c>
      <c r="DR983" s="214"/>
      <c r="DY983" s="115"/>
      <c r="DZ983" s="334"/>
      <c r="EA983" s="334"/>
      <c r="EB983" s="334"/>
      <c r="EC983" s="334"/>
      <c r="ED983" s="187"/>
      <c r="EE983" s="330"/>
      <c r="EH983" s="334"/>
      <c r="EI983" s="334"/>
      <c r="EM983"/>
      <c r="EO983" s="115"/>
      <c r="EP983" s="334"/>
      <c r="EQ983" s="334"/>
      <c r="ER983" s="334"/>
      <c r="ES983" s="334"/>
      <c r="ET983" s="334"/>
      <c r="EU983" s="334"/>
      <c r="EV983" s="334"/>
    </row>
    <row r="984" spans="35:152" ht="13">
      <c r="AI984" s="115" t="s">
        <v>1416</v>
      </c>
      <c r="AJ984" t="s">
        <v>2114</v>
      </c>
      <c r="AK984" s="115">
        <v>0</v>
      </c>
      <c r="AL984" s="115" t="s">
        <v>28</v>
      </c>
      <c r="AM984" s="115" t="s">
        <v>1843</v>
      </c>
      <c r="AN984" s="115" t="s">
        <v>1629</v>
      </c>
      <c r="AO984" s="115" t="s">
        <v>1274</v>
      </c>
      <c r="AT984" s="115" t="s">
        <v>1415</v>
      </c>
      <c r="AU984" s="115" t="s">
        <v>2114</v>
      </c>
      <c r="AV984" s="115">
        <v>0</v>
      </c>
      <c r="AW984" s="115" t="s">
        <v>1577</v>
      </c>
      <c r="AX984" s="115" t="s">
        <v>1842</v>
      </c>
      <c r="AY984" s="115" t="s">
        <v>1843</v>
      </c>
      <c r="AZ984" s="115" t="s">
        <v>1854</v>
      </c>
      <c r="BA984" s="115">
        <v>24131.167731958765</v>
      </c>
      <c r="BB984" s="115"/>
      <c r="BC984" s="115"/>
      <c r="BD984" s="115"/>
      <c r="BE984" s="115">
        <v>72633.061752577327</v>
      </c>
      <c r="BF984" s="115"/>
      <c r="BG984" s="115">
        <v>125079.0169072165</v>
      </c>
      <c r="BH984" s="115"/>
      <c r="BI984" s="115">
        <v>87979.773608247429</v>
      </c>
      <c r="BJ984" s="115"/>
      <c r="BK984" s="115"/>
      <c r="BL984" s="115">
        <v>35186.672268041235</v>
      </c>
      <c r="BM984" s="115"/>
      <c r="BN984" s="115"/>
      <c r="BO984" s="115"/>
      <c r="BP984" s="115">
        <v>189740.78510000001</v>
      </c>
      <c r="DR984" s="214"/>
      <c r="DY984" s="115"/>
      <c r="DZ984" s="334"/>
      <c r="EA984" s="334"/>
      <c r="EB984" s="334"/>
      <c r="EC984" s="334"/>
      <c r="ED984" s="187"/>
      <c r="EE984" s="330"/>
      <c r="EH984" s="334"/>
      <c r="EI984" s="334"/>
      <c r="EM984"/>
      <c r="EO984" s="115"/>
      <c r="EP984" s="334"/>
      <c r="EQ984" s="334"/>
      <c r="ER984" s="334"/>
      <c r="ES984" s="334"/>
      <c r="ET984" s="334"/>
      <c r="EU984" s="334"/>
      <c r="EV984" s="334"/>
    </row>
    <row r="985" spans="35:152" ht="13">
      <c r="AI985" s="115" t="s">
        <v>1416</v>
      </c>
      <c r="AJ985" t="s">
        <v>2114</v>
      </c>
      <c r="AK985" s="115">
        <v>0</v>
      </c>
      <c r="AL985" s="115" t="s">
        <v>28</v>
      </c>
      <c r="AM985" s="115" t="s">
        <v>1832</v>
      </c>
      <c r="AN985" s="115" t="s">
        <v>1629</v>
      </c>
      <c r="AO985" s="115" t="s">
        <v>381</v>
      </c>
      <c r="AT985" s="115" t="s">
        <v>1415</v>
      </c>
      <c r="AU985" s="115" t="s">
        <v>2114</v>
      </c>
      <c r="AV985" s="115">
        <v>0</v>
      </c>
      <c r="AW985" s="115" t="s">
        <v>1577</v>
      </c>
      <c r="AX985" s="115" t="s">
        <v>28</v>
      </c>
      <c r="AY985" s="115" t="s">
        <v>1849</v>
      </c>
      <c r="AZ985" s="115" t="s">
        <v>1854</v>
      </c>
      <c r="BA985" s="115"/>
      <c r="BB985" s="115"/>
      <c r="BC985" s="115">
        <v>1325.9560075809859</v>
      </c>
      <c r="BD985" s="115">
        <v>628.51634999999999</v>
      </c>
      <c r="BE985" s="115">
        <v>2308.212</v>
      </c>
      <c r="BF985" s="115"/>
      <c r="BG985" s="115">
        <v>3216.0860562500002</v>
      </c>
      <c r="BH985" s="115">
        <v>11964.441037896</v>
      </c>
      <c r="BI985" s="115">
        <v>8158.8487710000009</v>
      </c>
      <c r="BJ985" s="115">
        <v>183.54420833333327</v>
      </c>
      <c r="BK985" s="115">
        <v>2851.2834750000002</v>
      </c>
      <c r="BL985" s="115">
        <v>6155.2349100000001</v>
      </c>
      <c r="BM985" s="115"/>
      <c r="BN985" s="115"/>
      <c r="BO985" s="115"/>
      <c r="BP985" s="115"/>
      <c r="DR985" s="214"/>
      <c r="DY985" s="115"/>
      <c r="DZ985" s="334"/>
      <c r="EA985" s="334"/>
      <c r="EB985" s="334"/>
      <c r="EC985" s="334"/>
      <c r="ED985" s="187"/>
      <c r="EE985" s="330"/>
      <c r="EH985" s="334"/>
      <c r="EI985" s="334"/>
      <c r="EM985"/>
      <c r="EO985" s="115"/>
      <c r="EP985" s="334"/>
      <c r="EQ985" s="334"/>
      <c r="ER985" s="334"/>
      <c r="ES985" s="334"/>
      <c r="ET985" s="334"/>
      <c r="EU985" s="334"/>
      <c r="EV985" s="334"/>
    </row>
    <row r="986" spans="35:152" ht="13">
      <c r="AI986" s="115" t="s">
        <v>1416</v>
      </c>
      <c r="AJ986" t="s">
        <v>2114</v>
      </c>
      <c r="AK986" s="115">
        <v>0</v>
      </c>
      <c r="AL986" s="115" t="s">
        <v>28</v>
      </c>
      <c r="AM986" s="115" t="s">
        <v>1850</v>
      </c>
      <c r="AN986" s="115" t="s">
        <v>1629</v>
      </c>
      <c r="AO986" s="115" t="s">
        <v>381</v>
      </c>
      <c r="AT986" s="115" t="s">
        <v>1415</v>
      </c>
      <c r="AU986" s="115" t="s">
        <v>2114</v>
      </c>
      <c r="AV986" s="115">
        <v>0</v>
      </c>
      <c r="AW986" s="115" t="s">
        <v>1577</v>
      </c>
      <c r="AX986" s="115" t="s">
        <v>1842</v>
      </c>
      <c r="AY986" s="115" t="s">
        <v>1849</v>
      </c>
      <c r="AZ986" s="115" t="s">
        <v>1854</v>
      </c>
      <c r="BA986" s="115"/>
      <c r="BB986" s="115"/>
      <c r="BC986" s="115"/>
      <c r="BD986" s="115"/>
      <c r="BE986" s="115">
        <v>756.6</v>
      </c>
      <c r="BF986" s="115"/>
      <c r="BG986" s="115">
        <v>1531.4639999999999</v>
      </c>
      <c r="BH986" s="115"/>
      <c r="BI986" s="115">
        <v>2111.9324999999999</v>
      </c>
      <c r="BJ986" s="115"/>
      <c r="BK986" s="115"/>
      <c r="BL986" s="115">
        <v>1091.25</v>
      </c>
      <c r="BM986" s="115"/>
      <c r="BN986" s="115"/>
      <c r="BO986" s="115"/>
      <c r="BP986" s="115"/>
      <c r="DR986" s="214"/>
      <c r="DY986" s="115"/>
      <c r="DZ986" s="334"/>
      <c r="EA986" s="334"/>
      <c r="EB986" s="334"/>
      <c r="EC986" s="334"/>
      <c r="ED986" s="187"/>
      <c r="EE986" s="330"/>
      <c r="EH986" s="334"/>
      <c r="EI986" s="334"/>
      <c r="EM986"/>
      <c r="EO986" s="115"/>
      <c r="EP986" s="334"/>
      <c r="EQ986" s="334"/>
      <c r="ER986" s="334"/>
      <c r="ES986" s="334"/>
      <c r="ET986" s="334"/>
      <c r="EU986" s="334"/>
      <c r="EV986" s="334"/>
    </row>
    <row r="987" spans="35:152" ht="13">
      <c r="AI987" s="115" t="s">
        <v>1416</v>
      </c>
      <c r="AJ987" t="s">
        <v>2114</v>
      </c>
      <c r="AK987" s="115">
        <v>0</v>
      </c>
      <c r="AL987" s="115" t="s">
        <v>28</v>
      </c>
      <c r="AM987" s="115" t="s">
        <v>1849</v>
      </c>
      <c r="AN987" s="115" t="s">
        <v>1629</v>
      </c>
      <c r="AO987" s="115" t="s">
        <v>381</v>
      </c>
      <c r="AT987" s="115" t="s">
        <v>1415</v>
      </c>
      <c r="AU987" s="115" t="s">
        <v>2114</v>
      </c>
      <c r="AV987" s="115">
        <v>0</v>
      </c>
      <c r="AW987" s="115" t="s">
        <v>1577</v>
      </c>
      <c r="AX987" s="115" t="s">
        <v>1842</v>
      </c>
      <c r="AY987" s="115" t="s">
        <v>1850</v>
      </c>
      <c r="AZ987" s="115" t="s">
        <v>1854</v>
      </c>
      <c r="BA987" s="115">
        <v>453.96</v>
      </c>
      <c r="BB987" s="115"/>
      <c r="BC987" s="115"/>
      <c r="BD987" s="115"/>
      <c r="BE987" s="115">
        <v>756.6</v>
      </c>
      <c r="BF987" s="115"/>
      <c r="BG987" s="115">
        <v>1020.9760000000001</v>
      </c>
      <c r="BH987" s="115"/>
      <c r="BI987" s="115">
        <v>703.97749999999996</v>
      </c>
      <c r="BJ987" s="115"/>
      <c r="BK987" s="115"/>
      <c r="BL987" s="115">
        <v>121.25</v>
      </c>
      <c r="BM987" s="115"/>
      <c r="BN987" s="115"/>
      <c r="BO987" s="115"/>
      <c r="BP987" s="115"/>
      <c r="DR987" s="214"/>
      <c r="DY987" s="115"/>
      <c r="DZ987" s="334"/>
      <c r="EA987" s="334"/>
      <c r="EB987" s="334"/>
      <c r="EC987" s="334"/>
      <c r="ED987" s="187"/>
      <c r="EE987" s="330"/>
      <c r="EH987" s="334"/>
      <c r="EI987" s="334"/>
      <c r="EM987"/>
      <c r="EO987" s="115"/>
      <c r="EP987" s="334"/>
      <c r="EQ987" s="334"/>
      <c r="ER987" s="334"/>
      <c r="ES987" s="334"/>
      <c r="ET987" s="334"/>
      <c r="EU987" s="334"/>
      <c r="EV987" s="334"/>
    </row>
    <row r="988" spans="35:152" ht="13">
      <c r="AI988" s="115" t="s">
        <v>1416</v>
      </c>
      <c r="AJ988" t="s">
        <v>2114</v>
      </c>
      <c r="AK988" s="115">
        <v>0</v>
      </c>
      <c r="AL988" s="115" t="s">
        <v>28</v>
      </c>
      <c r="AM988" s="115" t="s">
        <v>1846</v>
      </c>
      <c r="AN988" s="115" t="s">
        <v>1629</v>
      </c>
      <c r="AO988" s="115" t="s">
        <v>381</v>
      </c>
      <c r="AT988" s="115" t="s">
        <v>1415</v>
      </c>
      <c r="AU988" s="115" t="s">
        <v>2114</v>
      </c>
      <c r="AV988" s="115">
        <v>0</v>
      </c>
      <c r="AW988" s="115" t="s">
        <v>1577</v>
      </c>
      <c r="AX988" s="115" t="s">
        <v>28</v>
      </c>
      <c r="AY988" s="115" t="s">
        <v>1850</v>
      </c>
      <c r="AZ988" s="115" t="s">
        <v>1854</v>
      </c>
      <c r="BA988" s="115">
        <v>1447.3146899999999</v>
      </c>
      <c r="BB988" s="115">
        <v>1816.8100000000004</v>
      </c>
      <c r="BC988" s="115">
        <v>3977.8680227429563</v>
      </c>
      <c r="BD988" s="115">
        <v>628.51634999999999</v>
      </c>
      <c r="BE988" s="115">
        <v>2308.212</v>
      </c>
      <c r="BF988" s="115">
        <v>571.57249999999999</v>
      </c>
      <c r="BG988" s="115">
        <v>1033.8090687500001</v>
      </c>
      <c r="BH988" s="115">
        <v>1329.3823375439999</v>
      </c>
      <c r="BI988" s="115">
        <v>3219.4578390000001</v>
      </c>
      <c r="BJ988" s="115">
        <v>1651.8978749999997</v>
      </c>
      <c r="BK988" s="115">
        <v>316.80927500000001</v>
      </c>
      <c r="BL988" s="115">
        <v>683.91498999999999</v>
      </c>
      <c r="BM988" s="115"/>
      <c r="BN988" s="115"/>
      <c r="BO988" s="115"/>
      <c r="BP988" s="115"/>
      <c r="DR988" s="214"/>
      <c r="DY988" s="115"/>
      <c r="DZ988" s="334"/>
      <c r="EA988" s="334"/>
      <c r="EB988" s="334"/>
      <c r="EC988" s="334"/>
      <c r="ED988" s="187"/>
      <c r="EE988" s="330"/>
      <c r="EH988" s="334"/>
      <c r="EI988" s="334"/>
      <c r="EM988"/>
      <c r="EO988" s="115"/>
      <c r="EP988" s="334"/>
      <c r="EQ988" s="334"/>
      <c r="ER988" s="334"/>
      <c r="ES988" s="334"/>
      <c r="ET988" s="334"/>
      <c r="EU988" s="334"/>
      <c r="EV988" s="334"/>
    </row>
    <row r="989" spans="35:152" ht="13">
      <c r="AI989" s="115" t="s">
        <v>1416</v>
      </c>
      <c r="AJ989" t="s">
        <v>2114</v>
      </c>
      <c r="AK989" s="115">
        <v>0</v>
      </c>
      <c r="AL989" s="115" t="s">
        <v>28</v>
      </c>
      <c r="AM989" s="115" t="s">
        <v>1848</v>
      </c>
      <c r="AN989" s="115" t="s">
        <v>1629</v>
      </c>
      <c r="AO989" s="115" t="s">
        <v>381</v>
      </c>
      <c r="AT989" s="115" t="s">
        <v>1415</v>
      </c>
      <c r="AU989" s="115" t="s">
        <v>2114</v>
      </c>
      <c r="AV989" s="115">
        <v>0</v>
      </c>
      <c r="AW989" s="115" t="s">
        <v>1577</v>
      </c>
      <c r="AX989" s="115" t="s">
        <v>1842</v>
      </c>
      <c r="AY989" s="115" t="s">
        <v>1832</v>
      </c>
      <c r="AZ989" s="115" t="s">
        <v>1854</v>
      </c>
      <c r="BA989" s="115">
        <v>468</v>
      </c>
      <c r="BB989" s="115"/>
      <c r="BC989" s="115"/>
      <c r="BD989" s="115"/>
      <c r="BE989" s="115">
        <v>1560</v>
      </c>
      <c r="BF989" s="115"/>
      <c r="BG989" s="115">
        <v>2631.3814432989693</v>
      </c>
      <c r="BH989" s="115"/>
      <c r="BI989" s="115">
        <v>2903</v>
      </c>
      <c r="BJ989" s="115"/>
      <c r="BK989" s="115"/>
      <c r="BL989" s="115">
        <v>1250</v>
      </c>
      <c r="BM989" s="115"/>
      <c r="BN989" s="115"/>
      <c r="BO989" s="115"/>
      <c r="BP989" s="115"/>
      <c r="DR989" s="214"/>
      <c r="DY989" s="115"/>
      <c r="DZ989" s="334"/>
      <c r="EA989" s="334"/>
      <c r="EB989" s="334"/>
      <c r="EC989" s="334"/>
      <c r="ED989" s="187"/>
      <c r="EE989" s="330"/>
      <c r="EH989" s="334"/>
      <c r="EI989" s="334"/>
      <c r="EM989"/>
      <c r="EO989" s="115"/>
      <c r="EP989" s="334"/>
      <c r="EQ989" s="334"/>
      <c r="ER989" s="334"/>
      <c r="ES989" s="334"/>
      <c r="ET989" s="334"/>
      <c r="EU989" s="334"/>
      <c r="EV989" s="334"/>
    </row>
    <row r="990" spans="35:152" ht="13">
      <c r="AI990" s="115" t="s">
        <v>1416</v>
      </c>
      <c r="AJ990" t="s">
        <v>2114</v>
      </c>
      <c r="AK990" s="115">
        <v>0</v>
      </c>
      <c r="AL990" s="115" t="s">
        <v>28</v>
      </c>
      <c r="AM990" s="115" t="s">
        <v>1843</v>
      </c>
      <c r="AN990" s="115" t="s">
        <v>1629</v>
      </c>
      <c r="AO990" s="115" t="s">
        <v>381</v>
      </c>
      <c r="AT990" s="115" t="s">
        <v>1415</v>
      </c>
      <c r="AU990" s="115" t="s">
        <v>2114</v>
      </c>
      <c r="AV990" s="115">
        <v>0</v>
      </c>
      <c r="AW990" s="115" t="s">
        <v>1577</v>
      </c>
      <c r="AX990" s="115" t="s">
        <v>28</v>
      </c>
      <c r="AY990" s="115" t="s">
        <v>1832</v>
      </c>
      <c r="AZ990" s="115" t="s">
        <v>1854</v>
      </c>
      <c r="BA990" s="115">
        <v>1492.0769999999998</v>
      </c>
      <c r="BB990" s="115">
        <v>1873.0000000000005</v>
      </c>
      <c r="BC990" s="115">
        <v>5467.8598250762307</v>
      </c>
      <c r="BD990" s="115">
        <v>1295.9100000000001</v>
      </c>
      <c r="BE990" s="115">
        <v>4759.2000000000007</v>
      </c>
      <c r="BF990" s="115">
        <v>589.25</v>
      </c>
      <c r="BG990" s="115">
        <v>4381.3351804123713</v>
      </c>
      <c r="BH990" s="115">
        <v>13704.972552000003</v>
      </c>
      <c r="BI990" s="115">
        <v>11730.213000000002</v>
      </c>
      <c r="BJ990" s="115">
        <v>1892.2083333333335</v>
      </c>
      <c r="BK990" s="115">
        <v>3266.0750000000003</v>
      </c>
      <c r="BL990" s="115">
        <v>7050.67</v>
      </c>
      <c r="BM990" s="115"/>
      <c r="BN990" s="115"/>
      <c r="BO990" s="115"/>
      <c r="BP990" s="115"/>
      <c r="DR990" s="214"/>
      <c r="DY990" s="115"/>
      <c r="DZ990" s="334"/>
      <c r="EA990" s="334"/>
      <c r="EB990" s="334"/>
      <c r="EC990" s="334"/>
      <c r="ED990" s="187"/>
      <c r="EE990" s="330"/>
      <c r="EH990" s="334"/>
      <c r="EI990" s="334"/>
      <c r="EM990"/>
      <c r="EO990" s="115"/>
      <c r="EP990" s="334"/>
      <c r="EQ990" s="334"/>
      <c r="ER990" s="334"/>
      <c r="ES990" s="334"/>
      <c r="ET990" s="334"/>
      <c r="EU990" s="334"/>
      <c r="EV990" s="334"/>
    </row>
    <row r="991" spans="35:152" ht="13">
      <c r="AI991" s="115" t="s">
        <v>1416</v>
      </c>
      <c r="AJ991" t="s">
        <v>2114</v>
      </c>
      <c r="AK991" s="115">
        <v>0</v>
      </c>
      <c r="AL991" s="115" t="s">
        <v>28</v>
      </c>
      <c r="AM991" s="115" t="s">
        <v>1849</v>
      </c>
      <c r="AN991" s="115" t="s">
        <v>1629</v>
      </c>
      <c r="AO991" s="115" t="s">
        <v>379</v>
      </c>
      <c r="DR991" s="214"/>
      <c r="DY991" s="115"/>
      <c r="DZ991" s="334"/>
      <c r="EA991" s="334"/>
      <c r="EB991" s="334"/>
      <c r="EC991" s="334"/>
      <c r="ED991" s="187"/>
      <c r="EE991" s="330"/>
      <c r="EH991" s="334"/>
      <c r="EI991" s="334"/>
      <c r="EM991"/>
      <c r="EO991" s="115"/>
      <c r="EP991" s="334"/>
      <c r="EQ991" s="334"/>
      <c r="ER991" s="334"/>
      <c r="ES991" s="334"/>
      <c r="ET991" s="334"/>
      <c r="EU991" s="334"/>
      <c r="EV991" s="334"/>
    </row>
    <row r="992" spans="35:152" ht="13">
      <c r="AI992" s="115" t="s">
        <v>1416</v>
      </c>
      <c r="AJ992" t="s">
        <v>2114</v>
      </c>
      <c r="AK992" s="115">
        <v>0</v>
      </c>
      <c r="AL992" s="115" t="s">
        <v>28</v>
      </c>
      <c r="AM992" s="115" t="s">
        <v>1848</v>
      </c>
      <c r="AN992" s="115" t="s">
        <v>1629</v>
      </c>
      <c r="AO992" s="115" t="s">
        <v>379</v>
      </c>
      <c r="DR992" s="214"/>
      <c r="DY992" s="115"/>
      <c r="DZ992" s="334"/>
      <c r="EA992" s="334"/>
      <c r="EB992" s="334"/>
      <c r="EC992" s="334"/>
      <c r="ED992" s="187"/>
      <c r="EE992" s="330"/>
      <c r="EH992" s="334"/>
      <c r="EI992" s="334"/>
      <c r="EM992"/>
      <c r="EO992" s="115"/>
      <c r="EP992" s="334"/>
      <c r="EQ992" s="334"/>
      <c r="ER992" s="334"/>
      <c r="ES992" s="334"/>
      <c r="ET992" s="334"/>
      <c r="EU992" s="334"/>
      <c r="EV992" s="334"/>
    </row>
    <row r="993" spans="35:152" ht="13">
      <c r="AI993" s="115" t="s">
        <v>1416</v>
      </c>
      <c r="AJ993" t="s">
        <v>2114</v>
      </c>
      <c r="AK993" s="115">
        <v>0</v>
      </c>
      <c r="AL993" s="115" t="s">
        <v>28</v>
      </c>
      <c r="AM993" s="115" t="s">
        <v>1850</v>
      </c>
      <c r="AN993" s="115" t="s">
        <v>1629</v>
      </c>
      <c r="AO993" s="115" t="s">
        <v>379</v>
      </c>
      <c r="DR993" s="214"/>
      <c r="DY993" s="115"/>
      <c r="DZ993" s="334"/>
      <c r="EA993" s="334"/>
      <c r="EB993" s="334"/>
      <c r="EC993" s="334"/>
      <c r="ED993" s="187"/>
      <c r="EE993" s="330"/>
      <c r="EH993" s="334"/>
      <c r="EI993" s="334"/>
      <c r="EM993"/>
      <c r="EO993" s="115"/>
      <c r="EP993" s="334"/>
      <c r="EQ993" s="334"/>
      <c r="ER993" s="334"/>
      <c r="ES993" s="334"/>
      <c r="ET993" s="334"/>
      <c r="EU993" s="334"/>
      <c r="EV993" s="334"/>
    </row>
    <row r="994" spans="35:152" ht="13">
      <c r="AI994" s="115" t="s">
        <v>1416</v>
      </c>
      <c r="AJ994" t="s">
        <v>2114</v>
      </c>
      <c r="AK994" s="115">
        <v>0</v>
      </c>
      <c r="AL994" s="115" t="s">
        <v>28</v>
      </c>
      <c r="AM994" s="115" t="s">
        <v>1846</v>
      </c>
      <c r="AN994" s="115" t="s">
        <v>1629</v>
      </c>
      <c r="AO994" s="115" t="s">
        <v>379</v>
      </c>
      <c r="DR994" s="214"/>
      <c r="DY994" s="115"/>
      <c r="DZ994" s="334"/>
      <c r="EA994" s="334"/>
      <c r="EB994" s="334"/>
      <c r="EC994" s="334"/>
      <c r="ED994" s="187"/>
      <c r="EE994" s="330"/>
      <c r="EH994" s="334"/>
      <c r="EI994" s="334"/>
      <c r="EM994"/>
      <c r="EO994" s="115"/>
      <c r="EP994" s="334"/>
      <c r="EQ994" s="334"/>
      <c r="ER994" s="334"/>
      <c r="ES994" s="334"/>
      <c r="ET994" s="334"/>
      <c r="EU994" s="334"/>
      <c r="EV994" s="334"/>
    </row>
    <row r="995" spans="35:152" ht="13">
      <c r="AI995" s="115" t="s">
        <v>1416</v>
      </c>
      <c r="AJ995" t="s">
        <v>2114</v>
      </c>
      <c r="AK995" s="115">
        <v>0</v>
      </c>
      <c r="AL995" s="115" t="s">
        <v>28</v>
      </c>
      <c r="AM995" s="115" t="s">
        <v>1843</v>
      </c>
      <c r="AN995" s="115" t="s">
        <v>1629</v>
      </c>
      <c r="AO995" s="115" t="s">
        <v>379</v>
      </c>
      <c r="DR995" s="214"/>
      <c r="DY995" s="115"/>
      <c r="DZ995" s="334"/>
      <c r="EA995" s="334"/>
      <c r="EB995" s="334"/>
      <c r="EC995" s="334"/>
      <c r="ED995" s="187"/>
      <c r="EE995" s="330"/>
      <c r="EH995" s="334"/>
      <c r="EI995" s="334"/>
      <c r="EM995"/>
      <c r="EO995" s="115"/>
      <c r="EP995" s="334"/>
      <c r="EQ995" s="334"/>
      <c r="ER995" s="334"/>
      <c r="ES995" s="334"/>
      <c r="ET995" s="334"/>
      <c r="EU995" s="334"/>
      <c r="EV995" s="334"/>
    </row>
    <row r="996" spans="35:152" ht="13">
      <c r="AI996" s="115" t="s">
        <v>1416</v>
      </c>
      <c r="AJ996" t="s">
        <v>2114</v>
      </c>
      <c r="AK996" s="115">
        <v>0</v>
      </c>
      <c r="AL996" s="115" t="s">
        <v>28</v>
      </c>
      <c r="AM996" s="115" t="s">
        <v>1832</v>
      </c>
      <c r="AN996" s="115" t="s">
        <v>1629</v>
      </c>
      <c r="AO996" s="115" t="s">
        <v>379</v>
      </c>
      <c r="DR996" s="214"/>
      <c r="DY996" s="115"/>
      <c r="DZ996" s="334"/>
      <c r="EA996" s="334"/>
      <c r="EB996" s="334"/>
      <c r="EC996" s="334"/>
      <c r="ED996" s="187"/>
      <c r="EE996" s="330"/>
      <c r="EH996" s="334"/>
      <c r="EI996" s="334"/>
      <c r="EM996"/>
      <c r="EO996" s="115"/>
      <c r="EP996" s="334"/>
      <c r="EQ996" s="334"/>
      <c r="ER996" s="334"/>
      <c r="ES996" s="334"/>
      <c r="ET996" s="334"/>
      <c r="EU996" s="334"/>
      <c r="EV996" s="334"/>
    </row>
    <row r="997" spans="35:152" ht="13">
      <c r="AI997" s="115" t="s">
        <v>1416</v>
      </c>
      <c r="AJ997" t="s">
        <v>2114</v>
      </c>
      <c r="AK997" s="115">
        <v>0</v>
      </c>
      <c r="AL997" s="115" t="s">
        <v>28</v>
      </c>
      <c r="AM997" s="115" t="s">
        <v>1843</v>
      </c>
      <c r="AN997" s="115" t="s">
        <v>1629</v>
      </c>
      <c r="AO997" s="115" t="s">
        <v>1645</v>
      </c>
      <c r="DR997" s="214"/>
      <c r="DY997" s="115"/>
      <c r="DZ997" s="334"/>
      <c r="EA997" s="334"/>
      <c r="EB997" s="334"/>
      <c r="EC997" s="334"/>
      <c r="ED997" s="187"/>
      <c r="EE997" s="330"/>
      <c r="EH997" s="334"/>
      <c r="EI997" s="334"/>
      <c r="EM997"/>
      <c r="EO997" s="115"/>
      <c r="EP997" s="334"/>
      <c r="EQ997" s="334"/>
      <c r="ER997" s="334"/>
      <c r="ES997" s="334"/>
      <c r="ET997" s="334"/>
      <c r="EU997" s="334"/>
      <c r="EV997" s="334"/>
    </row>
    <row r="998" spans="35:152" ht="13">
      <c r="AI998" s="115" t="s">
        <v>1416</v>
      </c>
      <c r="AJ998" t="s">
        <v>2114</v>
      </c>
      <c r="AK998" s="115">
        <v>0</v>
      </c>
      <c r="AL998" s="115" t="s">
        <v>28</v>
      </c>
      <c r="AM998" s="115" t="s">
        <v>1832</v>
      </c>
      <c r="AN998" s="115" t="s">
        <v>1629</v>
      </c>
      <c r="AO998" s="115" t="s">
        <v>1645</v>
      </c>
      <c r="DR998" s="214"/>
      <c r="DY998" s="115"/>
      <c r="DZ998" s="334"/>
      <c r="EA998" s="334"/>
      <c r="EB998" s="334"/>
      <c r="EC998" s="334"/>
      <c r="ED998" s="187"/>
      <c r="EE998" s="330"/>
      <c r="EH998" s="334"/>
      <c r="EI998" s="334"/>
      <c r="EM998"/>
      <c r="EO998" s="115"/>
      <c r="EP998" s="334"/>
      <c r="EQ998" s="334"/>
      <c r="ER998" s="334"/>
      <c r="ES998" s="334"/>
      <c r="ET998" s="334"/>
      <c r="EU998" s="334"/>
      <c r="EV998" s="334"/>
    </row>
    <row r="999" spans="35:152" ht="13">
      <c r="AI999" s="115" t="s">
        <v>1416</v>
      </c>
      <c r="AJ999" t="s">
        <v>2114</v>
      </c>
      <c r="AK999" s="115">
        <v>0</v>
      </c>
      <c r="AL999" s="115" t="s">
        <v>28</v>
      </c>
      <c r="AM999" s="115" t="s">
        <v>1848</v>
      </c>
      <c r="AN999" s="115" t="s">
        <v>1629</v>
      </c>
      <c r="AO999" s="115" t="s">
        <v>1645</v>
      </c>
      <c r="DR999" s="214"/>
      <c r="DY999" s="115"/>
      <c r="DZ999" s="334"/>
      <c r="EA999" s="334"/>
      <c r="EB999" s="334"/>
      <c r="EC999" s="334"/>
      <c r="ED999" s="187"/>
      <c r="EE999" s="330"/>
      <c r="EH999" s="334"/>
      <c r="EI999" s="334"/>
      <c r="EM999"/>
      <c r="EO999" s="115"/>
      <c r="EP999" s="334"/>
      <c r="EQ999" s="334"/>
      <c r="ER999" s="334"/>
      <c r="ES999" s="334"/>
      <c r="ET999" s="334"/>
      <c r="EU999" s="334"/>
      <c r="EV999" s="334"/>
    </row>
    <row r="1000" spans="35:152" ht="13">
      <c r="AI1000" s="115" t="s">
        <v>1416</v>
      </c>
      <c r="AJ1000" t="s">
        <v>2114</v>
      </c>
      <c r="AK1000" s="115">
        <v>0</v>
      </c>
      <c r="AL1000" s="115" t="s">
        <v>28</v>
      </c>
      <c r="AM1000" s="115" t="s">
        <v>1850</v>
      </c>
      <c r="AN1000" s="115" t="s">
        <v>1629</v>
      </c>
      <c r="AO1000" s="115" t="s">
        <v>1645</v>
      </c>
      <c r="DR1000" s="214"/>
      <c r="DY1000" s="115"/>
      <c r="DZ1000" s="334"/>
      <c r="EA1000" s="334"/>
      <c r="EB1000" s="334"/>
      <c r="EC1000" s="334"/>
      <c r="ED1000" s="187"/>
      <c r="EE1000" s="330"/>
      <c r="EH1000" s="334"/>
      <c r="EI1000" s="334"/>
      <c r="EM1000"/>
      <c r="EO1000" s="115"/>
      <c r="EP1000" s="334"/>
      <c r="EQ1000" s="334"/>
      <c r="ER1000" s="334"/>
      <c r="ES1000" s="334"/>
      <c r="ET1000" s="334"/>
      <c r="EU1000" s="334"/>
      <c r="EV1000" s="334"/>
    </row>
    <row r="1001" spans="35:152" ht="13">
      <c r="AI1001" s="115" t="s">
        <v>1416</v>
      </c>
      <c r="AJ1001" t="s">
        <v>2114</v>
      </c>
      <c r="AK1001" s="115">
        <v>0</v>
      </c>
      <c r="AL1001" s="115" t="s">
        <v>28</v>
      </c>
      <c r="AM1001" s="115" t="s">
        <v>1849</v>
      </c>
      <c r="AN1001" s="115" t="s">
        <v>1629</v>
      </c>
      <c r="AO1001" s="115" t="s">
        <v>1645</v>
      </c>
      <c r="DR1001" s="214"/>
      <c r="DY1001" s="115"/>
      <c r="DZ1001" s="334"/>
      <c r="EA1001" s="334"/>
      <c r="EB1001" s="334"/>
      <c r="EC1001" s="334"/>
      <c r="ED1001" s="187"/>
      <c r="EE1001" s="330"/>
      <c r="EH1001" s="334"/>
      <c r="EI1001" s="334"/>
      <c r="EM1001"/>
      <c r="EO1001" s="115"/>
      <c r="EP1001" s="334"/>
      <c r="EQ1001" s="334"/>
      <c r="ER1001" s="334"/>
      <c r="ES1001" s="334"/>
      <c r="ET1001" s="334"/>
      <c r="EU1001" s="334"/>
      <c r="EV1001" s="334"/>
    </row>
    <row r="1002" spans="35:152" ht="13">
      <c r="AI1002" s="115" t="s">
        <v>1416</v>
      </c>
      <c r="AJ1002" t="s">
        <v>2114</v>
      </c>
      <c r="AK1002" s="115">
        <v>0</v>
      </c>
      <c r="AL1002" s="115" t="s">
        <v>28</v>
      </c>
      <c r="AM1002" s="115" t="s">
        <v>1846</v>
      </c>
      <c r="AN1002" s="115" t="s">
        <v>1629</v>
      </c>
      <c r="AO1002" s="115" t="s">
        <v>1645</v>
      </c>
      <c r="DR1002" s="214"/>
      <c r="DY1002" s="115"/>
      <c r="DZ1002" s="334"/>
      <c r="EA1002" s="334"/>
      <c r="EB1002" s="334"/>
      <c r="EC1002" s="334"/>
      <c r="ED1002" s="187"/>
      <c r="EE1002" s="330"/>
      <c r="EH1002" s="334"/>
      <c r="EI1002" s="334"/>
      <c r="EM1002"/>
      <c r="EO1002" s="115"/>
      <c r="EP1002" s="334"/>
      <c r="EQ1002" s="334"/>
      <c r="ER1002" s="334"/>
      <c r="ES1002" s="334"/>
      <c r="ET1002" s="334"/>
      <c r="EU1002" s="334"/>
      <c r="EV1002" s="334"/>
    </row>
    <row r="1003" spans="35:152" ht="13">
      <c r="AI1003" s="115" t="s">
        <v>1416</v>
      </c>
      <c r="AJ1003" t="s">
        <v>2114</v>
      </c>
      <c r="AK1003" s="115">
        <v>0</v>
      </c>
      <c r="AL1003" s="115" t="s">
        <v>28</v>
      </c>
      <c r="AM1003" s="115" t="s">
        <v>1843</v>
      </c>
      <c r="AN1003" s="115" t="s">
        <v>1629</v>
      </c>
      <c r="AO1003" s="115" t="s">
        <v>1646</v>
      </c>
      <c r="DR1003" s="214"/>
      <c r="DY1003" s="115"/>
      <c r="DZ1003" s="334"/>
      <c r="EA1003" s="334"/>
      <c r="EB1003" s="334"/>
      <c r="EC1003" s="334"/>
      <c r="ED1003" s="187"/>
      <c r="EE1003" s="330"/>
      <c r="EH1003" s="334"/>
      <c r="EI1003" s="334"/>
      <c r="EM1003"/>
      <c r="EO1003" s="115"/>
      <c r="EP1003" s="334"/>
      <c r="EQ1003" s="334"/>
      <c r="ER1003" s="334"/>
      <c r="ES1003" s="334"/>
      <c r="ET1003" s="334"/>
      <c r="EU1003" s="334"/>
      <c r="EV1003" s="334"/>
    </row>
    <row r="1004" spans="35:152" ht="13">
      <c r="AI1004" s="115" t="s">
        <v>1416</v>
      </c>
      <c r="AJ1004" t="s">
        <v>2114</v>
      </c>
      <c r="AK1004" s="115">
        <v>0</v>
      </c>
      <c r="AL1004" s="115" t="s">
        <v>28</v>
      </c>
      <c r="AM1004" s="115" t="s">
        <v>1846</v>
      </c>
      <c r="AN1004" s="115" t="s">
        <v>1629</v>
      </c>
      <c r="AO1004" s="115" t="s">
        <v>1646</v>
      </c>
      <c r="DR1004" s="214"/>
      <c r="DY1004" s="115"/>
      <c r="DZ1004" s="334"/>
      <c r="EA1004" s="334"/>
      <c r="EB1004" s="334"/>
      <c r="EC1004" s="334"/>
      <c r="ED1004" s="187"/>
      <c r="EE1004" s="330"/>
      <c r="EH1004" s="334"/>
      <c r="EI1004" s="334"/>
      <c r="EM1004"/>
      <c r="EO1004" s="115"/>
      <c r="EP1004" s="334"/>
      <c r="EQ1004" s="334"/>
      <c r="ER1004" s="334"/>
      <c r="ES1004" s="334"/>
      <c r="ET1004" s="334"/>
      <c r="EU1004" s="334"/>
      <c r="EV1004" s="334"/>
    </row>
    <row r="1005" spans="35:152" ht="13">
      <c r="AI1005" s="115" t="s">
        <v>1416</v>
      </c>
      <c r="AJ1005" t="s">
        <v>2114</v>
      </c>
      <c r="AK1005" s="115">
        <v>0</v>
      </c>
      <c r="AL1005" s="115" t="s">
        <v>28</v>
      </c>
      <c r="AM1005" s="115" t="s">
        <v>1843</v>
      </c>
      <c r="AN1005" s="115" t="s">
        <v>1629</v>
      </c>
      <c r="AO1005" s="115" t="s">
        <v>1647</v>
      </c>
      <c r="DR1005" s="214"/>
      <c r="DY1005" s="115"/>
      <c r="DZ1005" s="334"/>
      <c r="EA1005" s="334"/>
      <c r="EB1005" s="334"/>
      <c r="EC1005" s="334"/>
      <c r="ED1005" s="187"/>
      <c r="EE1005" s="330"/>
      <c r="EH1005" s="334"/>
      <c r="EI1005" s="334"/>
      <c r="EM1005"/>
      <c r="EO1005" s="115"/>
      <c r="EP1005" s="334"/>
      <c r="EQ1005" s="334"/>
      <c r="ER1005" s="334"/>
      <c r="ES1005" s="334"/>
      <c r="ET1005" s="334"/>
      <c r="EU1005" s="334"/>
      <c r="EV1005" s="334"/>
    </row>
    <row r="1006" spans="35:152" ht="13">
      <c r="AI1006" s="115" t="s">
        <v>1416</v>
      </c>
      <c r="AJ1006" t="s">
        <v>2114</v>
      </c>
      <c r="AK1006" s="115">
        <v>0</v>
      </c>
      <c r="AL1006" s="115" t="s">
        <v>28</v>
      </c>
      <c r="AM1006" s="115" t="s">
        <v>1846</v>
      </c>
      <c r="AN1006" s="115" t="s">
        <v>1629</v>
      </c>
      <c r="AO1006" s="115" t="s">
        <v>1647</v>
      </c>
      <c r="DR1006" s="214"/>
      <c r="DY1006" s="115"/>
      <c r="DZ1006" s="334"/>
      <c r="EA1006" s="334"/>
      <c r="EB1006" s="334"/>
      <c r="EC1006" s="334"/>
      <c r="ED1006" s="187"/>
      <c r="EE1006" s="330"/>
      <c r="EH1006" s="334"/>
      <c r="EI1006" s="334"/>
      <c r="EM1006"/>
      <c r="EO1006" s="115"/>
      <c r="EP1006" s="334"/>
      <c r="EQ1006" s="334"/>
      <c r="ER1006" s="334"/>
      <c r="ES1006" s="334"/>
      <c r="ET1006" s="334"/>
      <c r="EU1006" s="334"/>
      <c r="EV1006" s="334"/>
    </row>
    <row r="1007" spans="35:152" ht="13">
      <c r="AI1007" s="115" t="s">
        <v>1416</v>
      </c>
      <c r="AJ1007" t="s">
        <v>2114</v>
      </c>
      <c r="AK1007" s="115">
        <v>0</v>
      </c>
      <c r="AL1007" s="115" t="s">
        <v>28</v>
      </c>
      <c r="AM1007" s="115" t="s">
        <v>1846</v>
      </c>
      <c r="AN1007" s="115" t="s">
        <v>1629</v>
      </c>
      <c r="AO1007" s="115" t="s">
        <v>1639</v>
      </c>
      <c r="DR1007" s="214"/>
      <c r="DY1007" s="115"/>
      <c r="DZ1007" s="334"/>
      <c r="EA1007" s="334"/>
      <c r="EB1007" s="334"/>
      <c r="EC1007" s="334"/>
      <c r="ED1007" s="187"/>
      <c r="EE1007" s="330"/>
      <c r="EH1007" s="334"/>
      <c r="EI1007" s="334"/>
      <c r="EM1007"/>
      <c r="EO1007" s="115"/>
      <c r="EP1007" s="334"/>
      <c r="EQ1007" s="334"/>
      <c r="ER1007" s="334"/>
      <c r="ES1007" s="334"/>
      <c r="ET1007" s="334"/>
      <c r="EU1007" s="334"/>
      <c r="EV1007" s="334"/>
    </row>
    <row r="1008" spans="35:152" ht="13">
      <c r="AI1008" s="115" t="s">
        <v>1416</v>
      </c>
      <c r="AJ1008" t="s">
        <v>2114</v>
      </c>
      <c r="AK1008" s="115">
        <v>0</v>
      </c>
      <c r="AL1008" s="115" t="s">
        <v>28</v>
      </c>
      <c r="AM1008" s="115" t="s">
        <v>1843</v>
      </c>
      <c r="AN1008" s="115" t="s">
        <v>1629</v>
      </c>
      <c r="AO1008" s="115" t="s">
        <v>1639</v>
      </c>
      <c r="DR1008" s="214"/>
      <c r="DY1008" s="115"/>
      <c r="DZ1008" s="334"/>
      <c r="EA1008" s="334"/>
      <c r="EB1008" s="334"/>
      <c r="EC1008" s="334"/>
      <c r="ED1008" s="187"/>
      <c r="EE1008" s="330"/>
      <c r="EH1008" s="334"/>
      <c r="EI1008" s="334"/>
      <c r="EM1008"/>
      <c r="EO1008" s="115"/>
      <c r="EP1008" s="334"/>
      <c r="EQ1008" s="334"/>
      <c r="ER1008" s="334"/>
      <c r="ES1008" s="334"/>
      <c r="ET1008" s="334"/>
      <c r="EU1008" s="334"/>
      <c r="EV1008" s="334"/>
    </row>
    <row r="1009" spans="35:152" ht="13">
      <c r="AI1009" s="115" t="s">
        <v>1416</v>
      </c>
      <c r="AJ1009" t="s">
        <v>2114</v>
      </c>
      <c r="AK1009" s="115">
        <v>0</v>
      </c>
      <c r="AL1009" s="115" t="s">
        <v>28</v>
      </c>
      <c r="AM1009" s="115" t="s">
        <v>1850</v>
      </c>
      <c r="AN1009" s="115" t="s">
        <v>1629</v>
      </c>
      <c r="AO1009" s="115" t="s">
        <v>373</v>
      </c>
      <c r="DR1009" s="214"/>
      <c r="DY1009" s="115"/>
      <c r="DZ1009" s="334"/>
      <c r="EA1009" s="334"/>
      <c r="EB1009" s="334"/>
      <c r="EC1009" s="334"/>
      <c r="ED1009" s="187"/>
      <c r="EE1009" s="330"/>
      <c r="EH1009" s="334"/>
      <c r="EI1009" s="334"/>
      <c r="EM1009"/>
      <c r="EO1009" s="115"/>
      <c r="EP1009" s="334"/>
      <c r="EQ1009" s="334"/>
      <c r="ER1009" s="334"/>
      <c r="ES1009" s="334"/>
      <c r="ET1009" s="334"/>
      <c r="EU1009" s="334"/>
      <c r="EV1009" s="334"/>
    </row>
    <row r="1010" spans="35:152" ht="13">
      <c r="AI1010" s="115" t="s">
        <v>1416</v>
      </c>
      <c r="AJ1010" t="s">
        <v>2114</v>
      </c>
      <c r="AK1010" s="115">
        <v>0</v>
      </c>
      <c r="AL1010" s="115" t="s">
        <v>28</v>
      </c>
      <c r="AM1010" s="115" t="s">
        <v>1843</v>
      </c>
      <c r="AN1010" s="115" t="s">
        <v>1629</v>
      </c>
      <c r="AO1010" s="115" t="s">
        <v>373</v>
      </c>
      <c r="DR1010" s="214"/>
      <c r="DY1010" s="115"/>
      <c r="DZ1010" s="334"/>
      <c r="EA1010" s="334"/>
      <c r="EB1010" s="334"/>
      <c r="EC1010" s="334"/>
      <c r="ED1010" s="187"/>
      <c r="EE1010" s="330"/>
      <c r="EH1010" s="334"/>
      <c r="EI1010" s="334"/>
      <c r="EM1010"/>
      <c r="EO1010" s="115"/>
      <c r="EP1010" s="334"/>
      <c r="EQ1010" s="334"/>
      <c r="ER1010" s="334"/>
      <c r="ES1010" s="334"/>
      <c r="ET1010" s="334"/>
      <c r="EU1010" s="334"/>
      <c r="EV1010" s="334"/>
    </row>
    <row r="1011" spans="35:152" ht="13">
      <c r="AI1011" s="115" t="s">
        <v>1416</v>
      </c>
      <c r="AJ1011" t="s">
        <v>2114</v>
      </c>
      <c r="AK1011" s="115">
        <v>0</v>
      </c>
      <c r="AL1011" s="115" t="s">
        <v>28</v>
      </c>
      <c r="AM1011" s="115" t="s">
        <v>1849</v>
      </c>
      <c r="AN1011" s="115" t="s">
        <v>1629</v>
      </c>
      <c r="AO1011" s="115" t="s">
        <v>373</v>
      </c>
      <c r="DR1011" s="214"/>
      <c r="DY1011" s="115"/>
      <c r="DZ1011" s="334"/>
      <c r="EA1011" s="334"/>
      <c r="EB1011" s="334"/>
      <c r="EC1011" s="334"/>
      <c r="ED1011" s="187"/>
      <c r="EE1011" s="330"/>
      <c r="EH1011" s="334"/>
      <c r="EI1011" s="334"/>
      <c r="EM1011"/>
      <c r="EO1011" s="115"/>
      <c r="EP1011" s="334"/>
      <c r="EQ1011" s="334"/>
      <c r="ER1011" s="334"/>
      <c r="ES1011" s="334"/>
      <c r="ET1011" s="334"/>
      <c r="EU1011" s="334"/>
      <c r="EV1011" s="334"/>
    </row>
    <row r="1012" spans="35:152" ht="13">
      <c r="AI1012" s="115" t="s">
        <v>1416</v>
      </c>
      <c r="AJ1012" t="s">
        <v>2114</v>
      </c>
      <c r="AK1012" s="115">
        <v>0</v>
      </c>
      <c r="AL1012" s="115" t="s">
        <v>28</v>
      </c>
      <c r="AM1012" s="115" t="s">
        <v>1846</v>
      </c>
      <c r="AN1012" s="115" t="s">
        <v>1629</v>
      </c>
      <c r="AO1012" s="115" t="s">
        <v>373</v>
      </c>
      <c r="DR1012" s="214"/>
      <c r="DY1012" s="115"/>
      <c r="DZ1012" s="334"/>
      <c r="EA1012" s="334"/>
      <c r="EB1012" s="334"/>
      <c r="EC1012" s="334"/>
      <c r="ED1012" s="187"/>
      <c r="EE1012" s="330"/>
      <c r="EH1012" s="334"/>
      <c r="EI1012" s="334"/>
      <c r="EM1012"/>
      <c r="EO1012" s="115"/>
      <c r="EP1012" s="334"/>
      <c r="EQ1012" s="334"/>
      <c r="ER1012" s="334"/>
      <c r="ES1012" s="334"/>
      <c r="ET1012" s="334"/>
      <c r="EU1012" s="334"/>
      <c r="EV1012" s="334"/>
    </row>
    <row r="1013" spans="35:152" ht="13">
      <c r="AI1013" s="115" t="s">
        <v>1416</v>
      </c>
      <c r="AJ1013" t="s">
        <v>2114</v>
      </c>
      <c r="AK1013" s="115">
        <v>0</v>
      </c>
      <c r="AL1013" s="115" t="s">
        <v>28</v>
      </c>
      <c r="AM1013" s="115" t="s">
        <v>1832</v>
      </c>
      <c r="AN1013" s="115" t="s">
        <v>1629</v>
      </c>
      <c r="AO1013" s="115" t="s">
        <v>373</v>
      </c>
      <c r="DR1013" s="214"/>
      <c r="DY1013" s="115"/>
      <c r="DZ1013" s="334"/>
      <c r="EA1013" s="334"/>
      <c r="EB1013" s="334"/>
      <c r="EC1013" s="334"/>
      <c r="ED1013" s="187"/>
      <c r="EE1013" s="330"/>
      <c r="EH1013" s="334"/>
      <c r="EI1013" s="334"/>
      <c r="EM1013"/>
      <c r="EO1013" s="115"/>
      <c r="EP1013" s="334"/>
      <c r="EQ1013" s="334"/>
      <c r="ER1013" s="334"/>
      <c r="ES1013" s="334"/>
      <c r="ET1013" s="334"/>
      <c r="EU1013" s="334"/>
      <c r="EV1013" s="334"/>
    </row>
    <row r="1014" spans="35:152" ht="13">
      <c r="AI1014" s="115" t="s">
        <v>1416</v>
      </c>
      <c r="AJ1014" t="s">
        <v>2114</v>
      </c>
      <c r="AK1014" s="115">
        <v>0</v>
      </c>
      <c r="AL1014" s="115" t="s">
        <v>28</v>
      </c>
      <c r="AM1014" s="115" t="s">
        <v>1848</v>
      </c>
      <c r="AN1014" s="115" t="s">
        <v>1629</v>
      </c>
      <c r="AO1014" s="115" t="s">
        <v>373</v>
      </c>
      <c r="DR1014" s="214"/>
      <c r="DY1014" s="115"/>
      <c r="DZ1014" s="334"/>
      <c r="EA1014" s="334"/>
      <c r="EB1014" s="334"/>
      <c r="EC1014" s="334"/>
      <c r="ED1014" s="187"/>
      <c r="EE1014" s="330"/>
      <c r="EH1014" s="334"/>
      <c r="EI1014" s="334"/>
      <c r="EM1014"/>
      <c r="EO1014" s="115"/>
      <c r="EP1014" s="334"/>
      <c r="EQ1014" s="334"/>
      <c r="ER1014" s="334"/>
      <c r="ES1014" s="334"/>
      <c r="ET1014" s="334"/>
      <c r="EU1014" s="334"/>
      <c r="EV1014" s="334"/>
    </row>
    <row r="1015" spans="35:152" ht="13">
      <c r="AI1015" s="115" t="s">
        <v>1416</v>
      </c>
      <c r="AJ1015" t="s">
        <v>2114</v>
      </c>
      <c r="AK1015" s="115">
        <v>0</v>
      </c>
      <c r="AL1015" s="115" t="s">
        <v>28</v>
      </c>
      <c r="AM1015" s="115" t="s">
        <v>1832</v>
      </c>
      <c r="AN1015" s="115" t="s">
        <v>1629</v>
      </c>
      <c r="AO1015" s="115" t="s">
        <v>380</v>
      </c>
      <c r="DR1015" s="214"/>
      <c r="DY1015" s="115"/>
      <c r="DZ1015" s="334"/>
      <c r="EA1015" s="334"/>
      <c r="EB1015" s="334"/>
      <c r="EC1015" s="334"/>
      <c r="ED1015" s="187"/>
      <c r="EE1015" s="330"/>
      <c r="EH1015" s="334"/>
      <c r="EI1015" s="334"/>
      <c r="EM1015"/>
      <c r="EO1015" s="115"/>
      <c r="EP1015" s="334"/>
      <c r="EQ1015" s="334"/>
      <c r="ER1015" s="334"/>
      <c r="ES1015" s="334"/>
      <c r="ET1015" s="334"/>
      <c r="EU1015" s="334"/>
      <c r="EV1015" s="334"/>
    </row>
    <row r="1016" spans="35:152" ht="13">
      <c r="AI1016" s="115" t="s">
        <v>1416</v>
      </c>
      <c r="AJ1016" t="s">
        <v>2114</v>
      </c>
      <c r="AK1016" s="115">
        <v>0</v>
      </c>
      <c r="AL1016" s="115" t="s">
        <v>28</v>
      </c>
      <c r="AM1016" s="115" t="s">
        <v>1850</v>
      </c>
      <c r="AN1016" s="115" t="s">
        <v>1629</v>
      </c>
      <c r="AO1016" s="115" t="s">
        <v>380</v>
      </c>
      <c r="DR1016" s="214"/>
      <c r="DY1016" s="115"/>
      <c r="DZ1016" s="334"/>
      <c r="EA1016" s="334"/>
      <c r="EB1016" s="334"/>
      <c r="EC1016" s="334"/>
      <c r="ED1016" s="187"/>
      <c r="EE1016" s="330"/>
      <c r="EH1016" s="334"/>
      <c r="EI1016" s="334"/>
      <c r="EM1016"/>
      <c r="EO1016" s="115"/>
      <c r="EP1016" s="334"/>
      <c r="EQ1016" s="334"/>
      <c r="ER1016" s="334"/>
      <c r="ES1016" s="334"/>
      <c r="ET1016" s="334"/>
      <c r="EU1016" s="334"/>
      <c r="EV1016" s="334"/>
    </row>
    <row r="1017" spans="35:152" ht="13">
      <c r="AI1017" s="115" t="s">
        <v>1416</v>
      </c>
      <c r="AJ1017" t="s">
        <v>2114</v>
      </c>
      <c r="AK1017" s="115">
        <v>0</v>
      </c>
      <c r="AL1017" s="115" t="s">
        <v>28</v>
      </c>
      <c r="AM1017" s="115" t="s">
        <v>1849</v>
      </c>
      <c r="AN1017" s="115" t="s">
        <v>1629</v>
      </c>
      <c r="AO1017" s="115" t="s">
        <v>380</v>
      </c>
      <c r="DR1017" s="214"/>
      <c r="DY1017" s="115"/>
      <c r="DZ1017" s="334"/>
      <c r="EA1017" s="334"/>
      <c r="EB1017" s="334"/>
      <c r="EC1017" s="334"/>
      <c r="ED1017" s="187"/>
      <c r="EE1017" s="330"/>
      <c r="EH1017" s="334"/>
      <c r="EI1017" s="334"/>
      <c r="EM1017"/>
      <c r="EO1017" s="115"/>
      <c r="EP1017" s="334"/>
      <c r="EQ1017" s="334"/>
      <c r="ER1017" s="334"/>
      <c r="ES1017" s="334"/>
      <c r="ET1017" s="334"/>
      <c r="EU1017" s="334"/>
      <c r="EV1017" s="334"/>
    </row>
    <row r="1018" spans="35:152" ht="13">
      <c r="AI1018" s="115" t="s">
        <v>1416</v>
      </c>
      <c r="AJ1018" t="s">
        <v>2114</v>
      </c>
      <c r="AK1018" s="115">
        <v>0</v>
      </c>
      <c r="AL1018" s="115" t="s">
        <v>28</v>
      </c>
      <c r="AM1018" s="115" t="s">
        <v>1846</v>
      </c>
      <c r="AN1018" s="115" t="s">
        <v>1629</v>
      </c>
      <c r="AO1018" s="115" t="s">
        <v>380</v>
      </c>
      <c r="DR1018" s="214"/>
      <c r="DY1018" s="115"/>
      <c r="DZ1018" s="334"/>
      <c r="EA1018" s="334"/>
      <c r="EB1018" s="334"/>
      <c r="EC1018" s="334"/>
      <c r="ED1018" s="187"/>
      <c r="EE1018" s="330"/>
      <c r="EH1018" s="334"/>
      <c r="EI1018" s="334"/>
      <c r="EM1018"/>
      <c r="EO1018" s="115"/>
      <c r="EP1018" s="334"/>
      <c r="EQ1018" s="334"/>
      <c r="ER1018" s="334"/>
      <c r="ES1018" s="334"/>
      <c r="ET1018" s="334"/>
      <c r="EU1018" s="334"/>
      <c r="EV1018" s="334"/>
    </row>
    <row r="1019" spans="35:152" ht="13">
      <c r="AI1019" s="115" t="s">
        <v>1416</v>
      </c>
      <c r="AJ1019" t="s">
        <v>2114</v>
      </c>
      <c r="AK1019" s="115">
        <v>0</v>
      </c>
      <c r="AL1019" s="115" t="s">
        <v>28</v>
      </c>
      <c r="AM1019" s="115" t="s">
        <v>1848</v>
      </c>
      <c r="AN1019" s="115" t="s">
        <v>1629</v>
      </c>
      <c r="AO1019" s="115" t="s">
        <v>380</v>
      </c>
      <c r="DR1019" s="214"/>
      <c r="DY1019" s="115"/>
      <c r="DZ1019" s="334"/>
      <c r="EA1019" s="334"/>
      <c r="EB1019" s="334"/>
      <c r="EC1019" s="334"/>
      <c r="ED1019" s="187"/>
      <c r="EE1019" s="330"/>
      <c r="EH1019" s="334"/>
      <c r="EI1019" s="334"/>
      <c r="EM1019"/>
      <c r="EO1019" s="115"/>
      <c r="EP1019" s="334"/>
      <c r="EQ1019" s="334"/>
      <c r="ER1019" s="334"/>
      <c r="ES1019" s="334"/>
      <c r="ET1019" s="334"/>
      <c r="EU1019" s="334"/>
      <c r="EV1019" s="334"/>
    </row>
    <row r="1020" spans="35:152" ht="13">
      <c r="AI1020" s="115" t="s">
        <v>1416</v>
      </c>
      <c r="AJ1020" t="s">
        <v>2114</v>
      </c>
      <c r="AK1020" s="115">
        <v>0</v>
      </c>
      <c r="AL1020" s="115" t="s">
        <v>28</v>
      </c>
      <c r="AM1020" s="115" t="s">
        <v>1843</v>
      </c>
      <c r="AN1020" s="115" t="s">
        <v>1629</v>
      </c>
      <c r="AO1020" s="115" t="s">
        <v>380</v>
      </c>
      <c r="DR1020" s="214"/>
      <c r="DY1020" s="115"/>
      <c r="DZ1020" s="334"/>
      <c r="EA1020" s="334"/>
      <c r="EB1020" s="334"/>
      <c r="EC1020" s="334"/>
      <c r="ED1020" s="187"/>
      <c r="EE1020" s="330"/>
      <c r="EH1020" s="334"/>
      <c r="EI1020" s="334"/>
      <c r="EM1020"/>
      <c r="EO1020" s="115"/>
      <c r="EP1020" s="334"/>
      <c r="EQ1020" s="334"/>
      <c r="ER1020" s="334"/>
      <c r="ES1020" s="334"/>
      <c r="ET1020" s="334"/>
      <c r="EU1020" s="334"/>
      <c r="EV1020" s="334"/>
    </row>
    <row r="1021" spans="35:152" ht="13">
      <c r="AI1021" s="115" t="s">
        <v>1416</v>
      </c>
      <c r="AJ1021" t="s">
        <v>2114</v>
      </c>
      <c r="AK1021" s="115">
        <v>0</v>
      </c>
      <c r="AL1021" s="115" t="s">
        <v>28</v>
      </c>
      <c r="AM1021" s="115" t="s">
        <v>1849</v>
      </c>
      <c r="AN1021" s="115" t="s">
        <v>1677</v>
      </c>
      <c r="AO1021" s="115" t="s">
        <v>1643</v>
      </c>
      <c r="DR1021" s="214"/>
      <c r="DY1021" s="115"/>
      <c r="DZ1021" s="334"/>
      <c r="EA1021" s="334"/>
      <c r="EB1021" s="334"/>
      <c r="EC1021" s="334"/>
      <c r="ED1021" s="187"/>
      <c r="EE1021" s="330"/>
      <c r="EH1021" s="334"/>
      <c r="EI1021" s="334"/>
      <c r="EM1021"/>
      <c r="EO1021" s="115"/>
      <c r="EP1021" s="334"/>
      <c r="EQ1021" s="334"/>
      <c r="ER1021" s="334"/>
      <c r="ES1021" s="334"/>
      <c r="ET1021" s="334"/>
      <c r="EU1021" s="334"/>
      <c r="EV1021" s="334"/>
    </row>
    <row r="1022" spans="35:152" ht="13">
      <c r="AI1022" s="115" t="s">
        <v>1416</v>
      </c>
      <c r="AJ1022" t="s">
        <v>2114</v>
      </c>
      <c r="AK1022" s="115">
        <v>0</v>
      </c>
      <c r="AL1022" s="115" t="s">
        <v>28</v>
      </c>
      <c r="AM1022" s="115" t="s">
        <v>1846</v>
      </c>
      <c r="AN1022" s="115" t="s">
        <v>1677</v>
      </c>
      <c r="AO1022" s="115" t="s">
        <v>1643</v>
      </c>
      <c r="DR1022" s="214"/>
      <c r="DY1022" s="115"/>
      <c r="DZ1022" s="334"/>
      <c r="EA1022" s="334"/>
      <c r="EB1022" s="334"/>
      <c r="EC1022" s="334"/>
      <c r="ED1022" s="187"/>
      <c r="EE1022" s="330"/>
      <c r="EH1022" s="334"/>
      <c r="EI1022" s="334"/>
      <c r="EM1022"/>
      <c r="EO1022" s="115"/>
      <c r="EP1022" s="334"/>
      <c r="EQ1022" s="334"/>
      <c r="ER1022" s="334"/>
      <c r="ES1022" s="334"/>
      <c r="ET1022" s="334"/>
      <c r="EU1022" s="334"/>
      <c r="EV1022" s="334"/>
    </row>
    <row r="1023" spans="35:152" ht="13">
      <c r="AI1023" s="115" t="s">
        <v>1416</v>
      </c>
      <c r="AJ1023" t="s">
        <v>2114</v>
      </c>
      <c r="AK1023" s="115">
        <v>0</v>
      </c>
      <c r="AL1023" s="115" t="s">
        <v>28</v>
      </c>
      <c r="AM1023" s="115" t="s">
        <v>1843</v>
      </c>
      <c r="AN1023" s="115" t="s">
        <v>1677</v>
      </c>
      <c r="AO1023" s="115" t="s">
        <v>1643</v>
      </c>
      <c r="DR1023" s="214"/>
      <c r="DY1023" s="115"/>
      <c r="DZ1023" s="334"/>
      <c r="EA1023" s="334"/>
      <c r="EB1023" s="334"/>
      <c r="EC1023" s="334"/>
      <c r="ED1023" s="187"/>
      <c r="EE1023" s="330"/>
      <c r="EH1023" s="334"/>
      <c r="EI1023" s="334"/>
      <c r="EM1023"/>
      <c r="EO1023" s="115"/>
      <c r="EP1023" s="334"/>
      <c r="EQ1023" s="334"/>
      <c r="ER1023" s="334"/>
      <c r="ES1023" s="334"/>
      <c r="ET1023" s="334"/>
      <c r="EU1023" s="334"/>
      <c r="EV1023" s="334"/>
    </row>
    <row r="1024" spans="35:152" ht="13">
      <c r="AI1024" s="115" t="s">
        <v>1416</v>
      </c>
      <c r="AJ1024" t="s">
        <v>2114</v>
      </c>
      <c r="AK1024" s="115">
        <v>0</v>
      </c>
      <c r="AL1024" s="115" t="s">
        <v>28</v>
      </c>
      <c r="AM1024" s="115" t="s">
        <v>1832</v>
      </c>
      <c r="AN1024" s="115" t="s">
        <v>1677</v>
      </c>
      <c r="AO1024" s="115" t="s">
        <v>1643</v>
      </c>
      <c r="DR1024" s="214"/>
      <c r="DY1024" s="115"/>
      <c r="DZ1024" s="334"/>
      <c r="EA1024" s="334"/>
      <c r="EB1024" s="334"/>
      <c r="EC1024" s="334"/>
      <c r="ED1024" s="187"/>
      <c r="EE1024" s="330"/>
      <c r="EH1024" s="334"/>
      <c r="EI1024" s="334"/>
      <c r="EM1024"/>
      <c r="EO1024" s="115"/>
      <c r="EP1024" s="334"/>
      <c r="EQ1024" s="334"/>
      <c r="ER1024" s="334"/>
      <c r="ES1024" s="334"/>
      <c r="ET1024" s="334"/>
      <c r="EU1024" s="334"/>
      <c r="EV1024" s="334"/>
    </row>
    <row r="1025" spans="35:152" ht="13">
      <c r="AI1025" s="115" t="s">
        <v>1416</v>
      </c>
      <c r="AJ1025" t="s">
        <v>2114</v>
      </c>
      <c r="AK1025" s="115">
        <v>0</v>
      </c>
      <c r="AL1025" s="115" t="s">
        <v>28</v>
      </c>
      <c r="AM1025" s="115" t="s">
        <v>1850</v>
      </c>
      <c r="AN1025" s="115" t="s">
        <v>1677</v>
      </c>
      <c r="AO1025" s="115" t="s">
        <v>1643</v>
      </c>
      <c r="DR1025" s="214"/>
      <c r="DY1025" s="115"/>
      <c r="DZ1025" s="334"/>
      <c r="EA1025" s="334"/>
      <c r="EB1025" s="334"/>
      <c r="EC1025" s="334"/>
      <c r="ED1025" s="187"/>
      <c r="EE1025" s="330"/>
      <c r="EH1025" s="334"/>
      <c r="EI1025" s="334"/>
      <c r="EM1025"/>
      <c r="EO1025" s="115"/>
      <c r="EP1025" s="334"/>
      <c r="EQ1025" s="334"/>
      <c r="ER1025" s="334"/>
      <c r="ES1025" s="334"/>
      <c r="ET1025" s="334"/>
      <c r="EU1025" s="334"/>
      <c r="EV1025" s="334"/>
    </row>
    <row r="1026" spans="35:152" ht="13">
      <c r="AI1026" s="115" t="s">
        <v>1416</v>
      </c>
      <c r="AJ1026" t="s">
        <v>2114</v>
      </c>
      <c r="AK1026" s="115">
        <v>0</v>
      </c>
      <c r="AL1026" s="115" t="s">
        <v>28</v>
      </c>
      <c r="AM1026" s="115" t="s">
        <v>1848</v>
      </c>
      <c r="AN1026" s="115" t="s">
        <v>1677</v>
      </c>
      <c r="AO1026" s="115" t="s">
        <v>1643</v>
      </c>
      <c r="DR1026" s="214"/>
      <c r="DY1026" s="115"/>
      <c r="DZ1026" s="334"/>
      <c r="EA1026" s="334"/>
      <c r="EB1026" s="334"/>
      <c r="EC1026" s="334"/>
      <c r="ED1026" s="187"/>
      <c r="EE1026" s="330"/>
      <c r="EH1026" s="334"/>
      <c r="EI1026" s="334"/>
      <c r="EM1026"/>
      <c r="EO1026" s="115"/>
      <c r="EP1026" s="334"/>
      <c r="EQ1026" s="334"/>
      <c r="ER1026" s="334"/>
      <c r="ES1026" s="334"/>
      <c r="ET1026" s="334"/>
      <c r="EU1026" s="334"/>
      <c r="EV1026" s="334"/>
    </row>
    <row r="1027" spans="35:152" ht="13">
      <c r="AI1027" s="115" t="s">
        <v>1416</v>
      </c>
      <c r="AJ1027" t="s">
        <v>2114</v>
      </c>
      <c r="AK1027" s="115">
        <v>0</v>
      </c>
      <c r="AL1027" s="115" t="s">
        <v>28</v>
      </c>
      <c r="AM1027" s="115" t="s">
        <v>1850</v>
      </c>
      <c r="AN1027" s="115" t="s">
        <v>1677</v>
      </c>
      <c r="AO1027" s="115" t="s">
        <v>1642</v>
      </c>
      <c r="DR1027" s="214"/>
      <c r="DY1027" s="115"/>
      <c r="DZ1027" s="334"/>
      <c r="EA1027" s="334"/>
      <c r="EB1027" s="334"/>
      <c r="EC1027" s="334"/>
      <c r="ED1027" s="187"/>
      <c r="EE1027" s="330"/>
      <c r="EH1027" s="334"/>
      <c r="EI1027" s="334"/>
      <c r="EM1027"/>
      <c r="EO1027" s="115"/>
      <c r="EP1027" s="334"/>
      <c r="EQ1027" s="334"/>
      <c r="ER1027" s="334"/>
      <c r="ES1027" s="334"/>
      <c r="ET1027" s="334"/>
      <c r="EU1027" s="334"/>
      <c r="EV1027" s="334"/>
    </row>
    <row r="1028" spans="35:152" ht="13">
      <c r="AI1028" s="115" t="s">
        <v>1416</v>
      </c>
      <c r="AJ1028" t="s">
        <v>2114</v>
      </c>
      <c r="AK1028" s="115">
        <v>0</v>
      </c>
      <c r="AL1028" s="115" t="s">
        <v>28</v>
      </c>
      <c r="AM1028" s="115" t="s">
        <v>1843</v>
      </c>
      <c r="AN1028" s="115" t="s">
        <v>1677</v>
      </c>
      <c r="AO1028" s="115" t="s">
        <v>1642</v>
      </c>
      <c r="DR1028" s="214"/>
      <c r="DY1028" s="115"/>
      <c r="DZ1028" s="334"/>
      <c r="EA1028" s="334"/>
      <c r="EB1028" s="334"/>
      <c r="EC1028" s="334"/>
      <c r="ED1028" s="187"/>
      <c r="EE1028" s="330"/>
      <c r="EH1028" s="334"/>
      <c r="EI1028" s="334"/>
      <c r="EM1028"/>
      <c r="EO1028" s="115"/>
      <c r="EP1028" s="334"/>
      <c r="EQ1028" s="334"/>
      <c r="ER1028" s="334"/>
      <c r="ES1028" s="334"/>
      <c r="ET1028" s="334"/>
      <c r="EU1028" s="334"/>
      <c r="EV1028" s="334"/>
    </row>
    <row r="1029" spans="35:152" ht="13">
      <c r="AI1029" s="115" t="s">
        <v>1416</v>
      </c>
      <c r="AJ1029" t="s">
        <v>2114</v>
      </c>
      <c r="AK1029" s="115">
        <v>0</v>
      </c>
      <c r="AL1029" s="115" t="s">
        <v>28</v>
      </c>
      <c r="AM1029" s="115" t="s">
        <v>1848</v>
      </c>
      <c r="AN1029" s="115" t="s">
        <v>1677</v>
      </c>
      <c r="AO1029" s="115" t="s">
        <v>1642</v>
      </c>
      <c r="DR1029" s="214"/>
      <c r="DY1029" s="115"/>
      <c r="DZ1029" s="334"/>
      <c r="EA1029" s="334"/>
      <c r="EB1029" s="334"/>
      <c r="EC1029" s="334"/>
      <c r="ED1029" s="187"/>
      <c r="EE1029" s="330"/>
      <c r="EH1029" s="334"/>
      <c r="EI1029" s="334"/>
      <c r="EM1029"/>
      <c r="EO1029" s="115"/>
      <c r="EP1029" s="334"/>
      <c r="EQ1029" s="334"/>
      <c r="ER1029" s="334"/>
      <c r="ES1029" s="334"/>
      <c r="ET1029" s="334"/>
      <c r="EU1029" s="334"/>
      <c r="EV1029" s="334"/>
    </row>
    <row r="1030" spans="35:152" ht="13">
      <c r="AI1030" s="115" t="s">
        <v>1416</v>
      </c>
      <c r="AJ1030" t="s">
        <v>2114</v>
      </c>
      <c r="AK1030" s="115">
        <v>0</v>
      </c>
      <c r="AL1030" s="115" t="s">
        <v>28</v>
      </c>
      <c r="AM1030" s="115" t="s">
        <v>1832</v>
      </c>
      <c r="AN1030" s="115" t="s">
        <v>1677</v>
      </c>
      <c r="AO1030" s="115" t="s">
        <v>1642</v>
      </c>
      <c r="DR1030" s="214"/>
      <c r="DY1030" s="115"/>
      <c r="DZ1030" s="334"/>
      <c r="EA1030" s="334"/>
      <c r="EB1030" s="334"/>
      <c r="EC1030" s="334"/>
      <c r="ED1030" s="187"/>
      <c r="EE1030" s="330"/>
      <c r="EH1030" s="334"/>
      <c r="EI1030" s="334"/>
      <c r="EM1030"/>
      <c r="EO1030" s="115"/>
      <c r="EP1030" s="334"/>
      <c r="EQ1030" s="334"/>
      <c r="ER1030" s="334"/>
      <c r="ES1030" s="334"/>
      <c r="ET1030" s="334"/>
      <c r="EU1030" s="334"/>
      <c r="EV1030" s="334"/>
    </row>
    <row r="1031" spans="35:152" ht="13">
      <c r="AI1031" s="115" t="s">
        <v>1416</v>
      </c>
      <c r="AJ1031" t="s">
        <v>2114</v>
      </c>
      <c r="AK1031" s="115">
        <v>0</v>
      </c>
      <c r="AL1031" s="115" t="s">
        <v>28</v>
      </c>
      <c r="AM1031" s="115" t="s">
        <v>1850</v>
      </c>
      <c r="AN1031" s="115" t="s">
        <v>1677</v>
      </c>
      <c r="AO1031" s="115" t="s">
        <v>1644</v>
      </c>
      <c r="DR1031" s="214"/>
      <c r="DY1031" s="115"/>
      <c r="DZ1031" s="334"/>
      <c r="EA1031" s="334"/>
      <c r="EB1031" s="334"/>
      <c r="EC1031" s="334"/>
      <c r="ED1031" s="187"/>
      <c r="EE1031" s="330"/>
      <c r="EH1031" s="334"/>
      <c r="EI1031" s="334"/>
      <c r="EM1031"/>
      <c r="EO1031" s="115"/>
      <c r="EP1031" s="334"/>
      <c r="EQ1031" s="334"/>
      <c r="ER1031" s="334"/>
      <c r="ES1031" s="334"/>
      <c r="ET1031" s="334"/>
      <c r="EU1031" s="334"/>
      <c r="EV1031" s="334"/>
    </row>
    <row r="1032" spans="35:152" ht="13">
      <c r="AI1032" s="115" t="s">
        <v>1416</v>
      </c>
      <c r="AJ1032" t="s">
        <v>2114</v>
      </c>
      <c r="AK1032" s="115">
        <v>0</v>
      </c>
      <c r="AL1032" s="115" t="s">
        <v>28</v>
      </c>
      <c r="AM1032" s="115" t="s">
        <v>1832</v>
      </c>
      <c r="AN1032" s="115" t="s">
        <v>1677</v>
      </c>
      <c r="AO1032" s="115" t="s">
        <v>1644</v>
      </c>
      <c r="DR1032" s="214"/>
      <c r="DY1032" s="115"/>
      <c r="DZ1032" s="334"/>
      <c r="EA1032" s="334"/>
      <c r="EB1032" s="334"/>
      <c r="EC1032" s="334"/>
      <c r="ED1032" s="187"/>
      <c r="EE1032" s="330"/>
      <c r="EH1032" s="334"/>
      <c r="EI1032" s="334"/>
      <c r="EM1032"/>
      <c r="EO1032" s="115"/>
      <c r="EP1032" s="334"/>
      <c r="EQ1032" s="334"/>
      <c r="ER1032" s="334"/>
      <c r="ES1032" s="334"/>
      <c r="ET1032" s="334"/>
      <c r="EU1032" s="334"/>
      <c r="EV1032" s="334"/>
    </row>
    <row r="1033" spans="35:152" ht="13">
      <c r="AI1033" s="115" t="s">
        <v>1416</v>
      </c>
      <c r="AJ1033" t="s">
        <v>2114</v>
      </c>
      <c r="AK1033" s="115">
        <v>0</v>
      </c>
      <c r="AL1033" s="115" t="s">
        <v>28</v>
      </c>
      <c r="AM1033" s="115" t="s">
        <v>1848</v>
      </c>
      <c r="AN1033" s="115" t="s">
        <v>1677</v>
      </c>
      <c r="AO1033" s="115" t="s">
        <v>1644</v>
      </c>
      <c r="DR1033" s="214"/>
      <c r="DY1033" s="115"/>
      <c r="DZ1033" s="334"/>
      <c r="EA1033" s="334"/>
      <c r="EB1033" s="334"/>
      <c r="EC1033" s="334"/>
      <c r="ED1033" s="187"/>
      <c r="EE1033" s="330"/>
      <c r="EH1033" s="334"/>
      <c r="EI1033" s="334"/>
      <c r="EM1033"/>
      <c r="EO1033" s="115"/>
      <c r="EP1033" s="334"/>
      <c r="EQ1033" s="334"/>
      <c r="ER1033" s="334"/>
      <c r="ES1033" s="334"/>
      <c r="ET1033" s="334"/>
      <c r="EU1033" s="334"/>
      <c r="EV1033" s="334"/>
    </row>
    <row r="1034" spans="35:152" ht="13">
      <c r="AI1034" s="115" t="s">
        <v>1416</v>
      </c>
      <c r="AJ1034" t="s">
        <v>2114</v>
      </c>
      <c r="AK1034" s="115">
        <v>0</v>
      </c>
      <c r="AL1034" s="115" t="s">
        <v>28</v>
      </c>
      <c r="AM1034" s="115" t="s">
        <v>1843</v>
      </c>
      <c r="AN1034" s="115" t="s">
        <v>1677</v>
      </c>
      <c r="AO1034" s="115" t="s">
        <v>1644</v>
      </c>
      <c r="DR1034" s="214"/>
      <c r="DY1034" s="115"/>
      <c r="DZ1034" s="334"/>
      <c r="EA1034" s="334"/>
      <c r="EB1034" s="334"/>
      <c r="EC1034" s="334"/>
      <c r="ED1034" s="187"/>
      <c r="EE1034" s="330"/>
      <c r="EH1034" s="334"/>
      <c r="EI1034" s="334"/>
      <c r="EM1034"/>
      <c r="EO1034" s="115"/>
      <c r="EP1034" s="334"/>
      <c r="EQ1034" s="334"/>
      <c r="ER1034" s="334"/>
      <c r="ES1034" s="334"/>
      <c r="ET1034" s="334"/>
      <c r="EU1034" s="334"/>
      <c r="EV1034" s="334"/>
    </row>
    <row r="1035" spans="35:152" ht="13">
      <c r="AI1035" s="115" t="s">
        <v>1416</v>
      </c>
      <c r="AJ1035" t="s">
        <v>2114</v>
      </c>
      <c r="AK1035" s="115">
        <v>0</v>
      </c>
      <c r="AL1035" s="115" t="s">
        <v>28</v>
      </c>
      <c r="AM1035" s="115" t="s">
        <v>1843</v>
      </c>
      <c r="AN1035" s="115" t="s">
        <v>1677</v>
      </c>
      <c r="AO1035" s="115" t="s">
        <v>1274</v>
      </c>
      <c r="DR1035" s="214"/>
      <c r="DY1035" s="115"/>
      <c r="DZ1035" s="334"/>
      <c r="EA1035" s="334"/>
      <c r="EB1035" s="334"/>
      <c r="EC1035" s="334"/>
      <c r="ED1035" s="187"/>
      <c r="EE1035" s="330"/>
      <c r="EH1035" s="334"/>
      <c r="EI1035" s="334"/>
      <c r="EM1035"/>
      <c r="EO1035" s="115"/>
      <c r="EP1035" s="334"/>
      <c r="EQ1035" s="334"/>
      <c r="ER1035" s="334"/>
      <c r="ES1035" s="334"/>
      <c r="ET1035" s="334"/>
      <c r="EU1035" s="334"/>
      <c r="EV1035" s="334"/>
    </row>
    <row r="1036" spans="35:152" ht="13">
      <c r="AI1036" s="115" t="s">
        <v>1416</v>
      </c>
      <c r="AJ1036" t="s">
        <v>2114</v>
      </c>
      <c r="AK1036" s="115">
        <v>0</v>
      </c>
      <c r="AL1036" s="115" t="s">
        <v>28</v>
      </c>
      <c r="AM1036" s="115" t="s">
        <v>1848</v>
      </c>
      <c r="AN1036" s="115" t="s">
        <v>1677</v>
      </c>
      <c r="AO1036" s="115" t="s">
        <v>1274</v>
      </c>
      <c r="DR1036" s="214"/>
      <c r="DY1036" s="115"/>
      <c r="DZ1036" s="334"/>
      <c r="EA1036" s="334"/>
      <c r="EB1036" s="334"/>
      <c r="EC1036" s="334"/>
      <c r="ED1036" s="187"/>
      <c r="EE1036" s="330"/>
      <c r="EH1036" s="334"/>
      <c r="EI1036" s="334"/>
      <c r="EM1036"/>
      <c r="EO1036" s="115"/>
      <c r="EP1036" s="334"/>
      <c r="EQ1036" s="334"/>
      <c r="ER1036" s="334"/>
      <c r="ES1036" s="334"/>
      <c r="ET1036" s="334"/>
      <c r="EU1036" s="334"/>
      <c r="EV1036" s="334"/>
    </row>
    <row r="1037" spans="35:152" ht="13">
      <c r="AI1037" s="115" t="s">
        <v>1416</v>
      </c>
      <c r="AJ1037" t="s">
        <v>2114</v>
      </c>
      <c r="AK1037" s="115">
        <v>0</v>
      </c>
      <c r="AL1037" s="115" t="s">
        <v>28</v>
      </c>
      <c r="AM1037" s="115" t="s">
        <v>1832</v>
      </c>
      <c r="AN1037" s="115" t="s">
        <v>1677</v>
      </c>
      <c r="AO1037" s="115" t="s">
        <v>1274</v>
      </c>
      <c r="DR1037" s="214"/>
      <c r="DY1037" s="115"/>
      <c r="DZ1037" s="334"/>
      <c r="EA1037" s="334"/>
      <c r="EB1037" s="334"/>
      <c r="EC1037" s="334"/>
      <c r="ED1037" s="187"/>
      <c r="EE1037" s="330"/>
      <c r="EH1037" s="334"/>
      <c r="EI1037" s="334"/>
      <c r="EM1037"/>
      <c r="EO1037" s="115"/>
      <c r="EP1037" s="334"/>
      <c r="EQ1037" s="334"/>
      <c r="ER1037" s="334"/>
      <c r="ES1037" s="334"/>
      <c r="ET1037" s="334"/>
      <c r="EU1037" s="334"/>
      <c r="EV1037" s="334"/>
    </row>
    <row r="1038" spans="35:152" ht="13">
      <c r="AI1038" s="115" t="s">
        <v>1416</v>
      </c>
      <c r="AJ1038" t="s">
        <v>2114</v>
      </c>
      <c r="AK1038" s="115">
        <v>0</v>
      </c>
      <c r="AL1038" s="115" t="s">
        <v>28</v>
      </c>
      <c r="AM1038" s="115" t="s">
        <v>1850</v>
      </c>
      <c r="AN1038" s="115" t="s">
        <v>1677</v>
      </c>
      <c r="AO1038" s="115" t="s">
        <v>1274</v>
      </c>
      <c r="DR1038" s="214"/>
      <c r="DY1038" s="115"/>
      <c r="DZ1038" s="334"/>
      <c r="EA1038" s="334"/>
      <c r="EB1038" s="334"/>
      <c r="EC1038" s="334"/>
      <c r="ED1038" s="187"/>
      <c r="EE1038" s="330"/>
      <c r="EH1038" s="334"/>
      <c r="EI1038" s="334"/>
      <c r="EM1038"/>
      <c r="EO1038" s="115"/>
      <c r="EP1038" s="334"/>
      <c r="EQ1038" s="334"/>
      <c r="ER1038" s="334"/>
      <c r="ES1038" s="334"/>
      <c r="ET1038" s="334"/>
      <c r="EU1038" s="334"/>
      <c r="EV1038" s="334"/>
    </row>
    <row r="1039" spans="35:152" ht="13">
      <c r="AI1039" s="115" t="s">
        <v>1416</v>
      </c>
      <c r="AJ1039" t="s">
        <v>2114</v>
      </c>
      <c r="AK1039" s="115">
        <v>0</v>
      </c>
      <c r="AL1039" s="115" t="s">
        <v>28</v>
      </c>
      <c r="AM1039" s="115" t="s">
        <v>1846</v>
      </c>
      <c r="AN1039" s="115" t="s">
        <v>1677</v>
      </c>
      <c r="AO1039" s="115" t="s">
        <v>1274</v>
      </c>
      <c r="DR1039" s="214"/>
      <c r="DY1039" s="115"/>
      <c r="DZ1039" s="334"/>
      <c r="EA1039" s="334"/>
      <c r="EB1039" s="334"/>
      <c r="EC1039" s="334"/>
      <c r="ED1039" s="187"/>
      <c r="EE1039" s="330"/>
      <c r="EH1039" s="334"/>
      <c r="EI1039" s="334"/>
      <c r="EM1039"/>
      <c r="EO1039" s="115"/>
      <c r="EP1039" s="334"/>
      <c r="EQ1039" s="334"/>
      <c r="ER1039" s="334"/>
      <c r="ES1039" s="334"/>
      <c r="ET1039" s="334"/>
      <c r="EU1039" s="334"/>
      <c r="EV1039" s="334"/>
    </row>
    <row r="1040" spans="35:152" ht="13">
      <c r="AI1040" s="115" t="s">
        <v>1416</v>
      </c>
      <c r="AJ1040" t="s">
        <v>2114</v>
      </c>
      <c r="AK1040" s="115">
        <v>0</v>
      </c>
      <c r="AL1040" s="115" t="s">
        <v>28</v>
      </c>
      <c r="AM1040" s="115" t="s">
        <v>1849</v>
      </c>
      <c r="AN1040" s="115" t="s">
        <v>1677</v>
      </c>
      <c r="AO1040" s="115" t="s">
        <v>1274</v>
      </c>
      <c r="DR1040" s="214"/>
      <c r="DY1040" s="115"/>
      <c r="DZ1040" s="334"/>
      <c r="EA1040" s="334"/>
      <c r="EB1040" s="334"/>
      <c r="EC1040" s="334"/>
      <c r="ED1040" s="187"/>
      <c r="EE1040" s="330"/>
      <c r="EH1040" s="334"/>
      <c r="EI1040" s="334"/>
      <c r="EM1040"/>
      <c r="EO1040" s="115"/>
      <c r="EP1040" s="334"/>
      <c r="EQ1040" s="334"/>
      <c r="ER1040" s="334"/>
      <c r="ES1040" s="334"/>
      <c r="ET1040" s="334"/>
      <c r="EU1040" s="334"/>
      <c r="EV1040" s="334"/>
    </row>
    <row r="1041" spans="35:152" ht="13">
      <c r="AI1041" s="115" t="s">
        <v>1416</v>
      </c>
      <c r="AJ1041" t="s">
        <v>2114</v>
      </c>
      <c r="AK1041" s="115">
        <v>0</v>
      </c>
      <c r="AL1041" s="115" t="s">
        <v>28</v>
      </c>
      <c r="AM1041" s="115" t="s">
        <v>1850</v>
      </c>
      <c r="AN1041" s="115" t="s">
        <v>1677</v>
      </c>
      <c r="AO1041" s="115" t="s">
        <v>381</v>
      </c>
      <c r="DR1041" s="214"/>
      <c r="DY1041" s="115"/>
      <c r="DZ1041" s="334"/>
      <c r="EA1041" s="334"/>
      <c r="EB1041" s="334"/>
      <c r="EC1041" s="334"/>
      <c r="ED1041" s="187"/>
      <c r="EE1041" s="330"/>
      <c r="EH1041" s="334"/>
      <c r="EI1041" s="334"/>
      <c r="EM1041"/>
      <c r="EO1041" s="115"/>
      <c r="EP1041" s="334"/>
      <c r="EQ1041" s="334"/>
      <c r="ER1041" s="334"/>
      <c r="ES1041" s="334"/>
      <c r="ET1041" s="334"/>
      <c r="EU1041" s="334"/>
      <c r="EV1041" s="334"/>
    </row>
    <row r="1042" spans="35:152" ht="13">
      <c r="AI1042" s="115" t="s">
        <v>1416</v>
      </c>
      <c r="AJ1042" t="s">
        <v>2114</v>
      </c>
      <c r="AK1042" s="115">
        <v>0</v>
      </c>
      <c r="AL1042" s="115" t="s">
        <v>28</v>
      </c>
      <c r="AM1042" s="115" t="s">
        <v>1843</v>
      </c>
      <c r="AN1042" s="115" t="s">
        <v>1677</v>
      </c>
      <c r="AO1042" s="115" t="s">
        <v>381</v>
      </c>
      <c r="DR1042" s="214"/>
      <c r="DY1042" s="115"/>
      <c r="DZ1042" s="334"/>
      <c r="EA1042" s="334"/>
      <c r="EB1042" s="334"/>
      <c r="EC1042" s="334"/>
      <c r="ED1042" s="187"/>
      <c r="EE1042" s="330"/>
      <c r="EH1042" s="334"/>
      <c r="EI1042" s="334"/>
      <c r="EM1042"/>
      <c r="EO1042" s="115"/>
      <c r="EP1042" s="334"/>
      <c r="EQ1042" s="334"/>
      <c r="ER1042" s="334"/>
      <c r="ES1042" s="334"/>
      <c r="ET1042" s="334"/>
      <c r="EU1042" s="334"/>
      <c r="EV1042" s="334"/>
    </row>
    <row r="1043" spans="35:152" ht="13">
      <c r="AI1043" s="115" t="s">
        <v>1416</v>
      </c>
      <c r="AJ1043" t="s">
        <v>2114</v>
      </c>
      <c r="AK1043" s="115">
        <v>0</v>
      </c>
      <c r="AL1043" s="115" t="s">
        <v>28</v>
      </c>
      <c r="AM1043" s="115" t="s">
        <v>1846</v>
      </c>
      <c r="AN1043" s="115" t="s">
        <v>1677</v>
      </c>
      <c r="AO1043" s="115" t="s">
        <v>381</v>
      </c>
      <c r="DR1043" s="214"/>
      <c r="DY1043" s="115"/>
      <c r="DZ1043" s="334"/>
      <c r="EA1043" s="334"/>
      <c r="EB1043" s="334"/>
      <c r="EC1043" s="334"/>
      <c r="ED1043" s="187"/>
      <c r="EE1043" s="330"/>
      <c r="EH1043" s="334"/>
      <c r="EI1043" s="334"/>
      <c r="EM1043"/>
      <c r="EO1043" s="115"/>
      <c r="EP1043" s="334"/>
      <c r="EQ1043" s="334"/>
      <c r="ER1043" s="334"/>
      <c r="ES1043" s="334"/>
      <c r="ET1043" s="334"/>
      <c r="EU1043" s="334"/>
      <c r="EV1043" s="334"/>
    </row>
    <row r="1044" spans="35:152" ht="13">
      <c r="AI1044" s="115" t="s">
        <v>1416</v>
      </c>
      <c r="AJ1044" t="s">
        <v>2114</v>
      </c>
      <c r="AK1044" s="115">
        <v>0</v>
      </c>
      <c r="AL1044" s="115" t="s">
        <v>28</v>
      </c>
      <c r="AM1044" s="115" t="s">
        <v>1832</v>
      </c>
      <c r="AN1044" s="115" t="s">
        <v>1677</v>
      </c>
      <c r="AO1044" s="115" t="s">
        <v>381</v>
      </c>
      <c r="DR1044" s="214"/>
      <c r="DY1044" s="115"/>
      <c r="DZ1044" s="334"/>
      <c r="EA1044" s="334"/>
      <c r="EB1044" s="334"/>
      <c r="EC1044" s="334"/>
      <c r="ED1044" s="187"/>
      <c r="EE1044" s="330"/>
      <c r="EH1044" s="334"/>
      <c r="EI1044" s="334"/>
      <c r="EM1044"/>
      <c r="EO1044" s="115"/>
      <c r="EP1044" s="334"/>
      <c r="EQ1044" s="334"/>
      <c r="ER1044" s="334"/>
      <c r="ES1044" s="334"/>
      <c r="ET1044" s="334"/>
      <c r="EU1044" s="334"/>
      <c r="EV1044" s="334"/>
    </row>
    <row r="1045" spans="35:152" ht="13">
      <c r="AI1045" s="115" t="s">
        <v>1416</v>
      </c>
      <c r="AJ1045" t="s">
        <v>2114</v>
      </c>
      <c r="AK1045" s="115">
        <v>0</v>
      </c>
      <c r="AL1045" s="115" t="s">
        <v>28</v>
      </c>
      <c r="AM1045" s="115" t="s">
        <v>1849</v>
      </c>
      <c r="AN1045" s="115" t="s">
        <v>1677</v>
      </c>
      <c r="AO1045" s="115" t="s">
        <v>381</v>
      </c>
      <c r="DR1045" s="214"/>
      <c r="DY1045" s="115"/>
      <c r="DZ1045" s="334"/>
      <c r="EA1045" s="334"/>
      <c r="EB1045" s="334"/>
      <c r="EC1045" s="334"/>
      <c r="ED1045" s="187"/>
      <c r="EE1045" s="330"/>
      <c r="EH1045" s="334"/>
      <c r="EI1045" s="334"/>
      <c r="EM1045"/>
      <c r="EO1045" s="115"/>
      <c r="EP1045" s="334"/>
      <c r="EQ1045" s="334"/>
      <c r="ER1045" s="334"/>
      <c r="ES1045" s="334"/>
      <c r="ET1045" s="334"/>
      <c r="EU1045" s="334"/>
      <c r="EV1045" s="334"/>
    </row>
    <row r="1046" spans="35:152" ht="13">
      <c r="AI1046" s="115" t="s">
        <v>1416</v>
      </c>
      <c r="AJ1046" t="s">
        <v>2114</v>
      </c>
      <c r="AK1046" s="115">
        <v>0</v>
      </c>
      <c r="AL1046" s="115" t="s">
        <v>28</v>
      </c>
      <c r="AM1046" s="115" t="s">
        <v>1848</v>
      </c>
      <c r="AN1046" s="115" t="s">
        <v>1677</v>
      </c>
      <c r="AO1046" s="115" t="s">
        <v>381</v>
      </c>
      <c r="DR1046" s="214"/>
      <c r="DY1046" s="115"/>
      <c r="DZ1046" s="334"/>
      <c r="EA1046" s="334"/>
      <c r="EB1046" s="334"/>
      <c r="EC1046" s="334"/>
      <c r="ED1046" s="187"/>
      <c r="EE1046" s="330"/>
      <c r="EH1046" s="334"/>
      <c r="EI1046" s="334"/>
      <c r="EM1046"/>
      <c r="EO1046" s="115"/>
      <c r="EP1046" s="334"/>
      <c r="EQ1046" s="334"/>
      <c r="ER1046" s="334"/>
      <c r="ES1046" s="334"/>
      <c r="ET1046" s="334"/>
      <c r="EU1046" s="334"/>
      <c r="EV1046" s="334"/>
    </row>
    <row r="1047" spans="35:152" ht="13">
      <c r="AI1047" s="115" t="s">
        <v>1416</v>
      </c>
      <c r="AJ1047" t="s">
        <v>2114</v>
      </c>
      <c r="AK1047" s="115">
        <v>0</v>
      </c>
      <c r="AL1047" s="115" t="s">
        <v>28</v>
      </c>
      <c r="AM1047" s="115" t="s">
        <v>1843</v>
      </c>
      <c r="AN1047" s="115" t="s">
        <v>1677</v>
      </c>
      <c r="AO1047" s="115" t="s">
        <v>379</v>
      </c>
      <c r="DR1047" s="214"/>
      <c r="DY1047" s="115"/>
      <c r="DZ1047" s="334"/>
      <c r="EA1047" s="334"/>
      <c r="EB1047" s="334"/>
      <c r="EC1047" s="334"/>
      <c r="ED1047" s="187"/>
      <c r="EE1047" s="330"/>
      <c r="EH1047" s="334"/>
      <c r="EI1047" s="334"/>
      <c r="EM1047"/>
      <c r="EO1047" s="115"/>
      <c r="EP1047" s="334"/>
      <c r="EQ1047" s="334"/>
      <c r="ER1047" s="334"/>
      <c r="ES1047" s="334"/>
      <c r="ET1047" s="334"/>
      <c r="EU1047" s="334"/>
      <c r="EV1047" s="334"/>
    </row>
    <row r="1048" spans="35:152" ht="13">
      <c r="AI1048" s="115" t="s">
        <v>1416</v>
      </c>
      <c r="AJ1048" t="s">
        <v>2114</v>
      </c>
      <c r="AK1048" s="115">
        <v>0</v>
      </c>
      <c r="AL1048" s="115" t="s">
        <v>28</v>
      </c>
      <c r="AM1048" s="115" t="s">
        <v>1846</v>
      </c>
      <c r="AN1048" s="115" t="s">
        <v>1677</v>
      </c>
      <c r="AO1048" s="115" t="s">
        <v>379</v>
      </c>
      <c r="DR1048" s="214"/>
      <c r="DY1048" s="115"/>
      <c r="DZ1048" s="334"/>
      <c r="EA1048" s="334"/>
      <c r="EB1048" s="334"/>
      <c r="EC1048" s="334"/>
      <c r="ED1048" s="187"/>
      <c r="EE1048" s="330"/>
      <c r="EH1048" s="334"/>
      <c r="EI1048" s="334"/>
      <c r="EM1048"/>
      <c r="EO1048" s="115"/>
      <c r="EP1048" s="334"/>
      <c r="EQ1048" s="334"/>
      <c r="ER1048" s="334"/>
      <c r="ES1048" s="334"/>
      <c r="ET1048" s="334"/>
      <c r="EU1048" s="334"/>
      <c r="EV1048" s="334"/>
    </row>
    <row r="1049" spans="35:152" ht="13">
      <c r="AI1049" s="115" t="s">
        <v>1416</v>
      </c>
      <c r="AJ1049" t="s">
        <v>2114</v>
      </c>
      <c r="AK1049" s="115">
        <v>0</v>
      </c>
      <c r="AL1049" s="115" t="s">
        <v>28</v>
      </c>
      <c r="AM1049" s="115" t="s">
        <v>1832</v>
      </c>
      <c r="AN1049" s="115" t="s">
        <v>1677</v>
      </c>
      <c r="AO1049" s="115" t="s">
        <v>379</v>
      </c>
      <c r="DR1049" s="214"/>
      <c r="DY1049" s="115"/>
      <c r="DZ1049" s="334"/>
      <c r="EA1049" s="334"/>
      <c r="EB1049" s="334"/>
      <c r="EC1049" s="334"/>
      <c r="ED1049" s="187"/>
      <c r="EE1049" s="330"/>
      <c r="EH1049" s="334"/>
      <c r="EI1049" s="334"/>
      <c r="EM1049"/>
      <c r="EO1049" s="115"/>
      <c r="EP1049" s="334"/>
      <c r="EQ1049" s="334"/>
      <c r="ER1049" s="334"/>
      <c r="ES1049" s="334"/>
      <c r="ET1049" s="334"/>
      <c r="EU1049" s="334"/>
      <c r="EV1049" s="334"/>
    </row>
    <row r="1050" spans="35:152" ht="13">
      <c r="AI1050" s="115" t="s">
        <v>1416</v>
      </c>
      <c r="AJ1050" t="s">
        <v>2114</v>
      </c>
      <c r="AK1050" s="115">
        <v>0</v>
      </c>
      <c r="AL1050" s="115" t="s">
        <v>28</v>
      </c>
      <c r="AM1050" s="115" t="s">
        <v>1850</v>
      </c>
      <c r="AN1050" s="115" t="s">
        <v>1677</v>
      </c>
      <c r="AO1050" s="115" t="s">
        <v>379</v>
      </c>
      <c r="DR1050" s="214"/>
      <c r="DY1050" s="115"/>
      <c r="DZ1050" s="334"/>
      <c r="EA1050" s="334"/>
      <c r="EB1050" s="334"/>
      <c r="EC1050" s="334"/>
      <c r="ED1050" s="187"/>
      <c r="EE1050" s="330"/>
      <c r="EH1050" s="334"/>
      <c r="EI1050" s="334"/>
      <c r="EM1050"/>
      <c r="EO1050" s="115"/>
      <c r="EP1050" s="334"/>
      <c r="EQ1050" s="334"/>
      <c r="ER1050" s="334"/>
      <c r="ES1050" s="334"/>
      <c r="ET1050" s="334"/>
      <c r="EU1050" s="334"/>
      <c r="EV1050" s="334"/>
    </row>
    <row r="1051" spans="35:152" ht="13">
      <c r="AI1051" s="115" t="s">
        <v>1416</v>
      </c>
      <c r="AJ1051" t="s">
        <v>2114</v>
      </c>
      <c r="AK1051" s="115">
        <v>0</v>
      </c>
      <c r="AL1051" s="115" t="s">
        <v>28</v>
      </c>
      <c r="AM1051" s="115" t="s">
        <v>1849</v>
      </c>
      <c r="AN1051" s="115" t="s">
        <v>1677</v>
      </c>
      <c r="AO1051" s="115" t="s">
        <v>379</v>
      </c>
      <c r="DR1051" s="214"/>
      <c r="DY1051" s="115"/>
      <c r="DZ1051" s="334"/>
      <c r="EA1051" s="334"/>
      <c r="EB1051" s="334"/>
      <c r="EC1051" s="334"/>
      <c r="ED1051" s="187"/>
      <c r="EE1051" s="330"/>
      <c r="EH1051" s="334"/>
      <c r="EI1051" s="334"/>
      <c r="EM1051"/>
      <c r="EO1051" s="115"/>
      <c r="EP1051" s="334"/>
      <c r="EQ1051" s="334"/>
      <c r="ER1051" s="334"/>
      <c r="ES1051" s="334"/>
      <c r="ET1051" s="334"/>
      <c r="EU1051" s="334"/>
      <c r="EV1051" s="334"/>
    </row>
    <row r="1052" spans="35:152" ht="13">
      <c r="AI1052" s="115" t="s">
        <v>1416</v>
      </c>
      <c r="AJ1052" t="s">
        <v>2114</v>
      </c>
      <c r="AK1052" s="115">
        <v>0</v>
      </c>
      <c r="AL1052" s="115" t="s">
        <v>28</v>
      </c>
      <c r="AM1052" s="115" t="s">
        <v>1848</v>
      </c>
      <c r="AN1052" s="115" t="s">
        <v>1677</v>
      </c>
      <c r="AO1052" s="115" t="s">
        <v>379</v>
      </c>
      <c r="DR1052" s="214"/>
      <c r="DY1052" s="115"/>
      <c r="DZ1052" s="334"/>
      <c r="EA1052" s="334"/>
      <c r="EB1052" s="334"/>
      <c r="EC1052" s="334"/>
      <c r="ED1052" s="187"/>
      <c r="EE1052" s="330"/>
      <c r="EH1052" s="334"/>
      <c r="EI1052" s="334"/>
      <c r="EM1052"/>
      <c r="EO1052" s="115"/>
      <c r="EP1052" s="334"/>
      <c r="EQ1052" s="334"/>
      <c r="ER1052" s="334"/>
      <c r="ES1052" s="334"/>
      <c r="ET1052" s="334"/>
      <c r="EU1052" s="334"/>
      <c r="EV1052" s="334"/>
    </row>
    <row r="1053" spans="35:152" ht="13">
      <c r="AI1053" s="115" t="s">
        <v>1416</v>
      </c>
      <c r="AJ1053" t="s">
        <v>2114</v>
      </c>
      <c r="AK1053" s="115">
        <v>0</v>
      </c>
      <c r="AL1053" s="115" t="s">
        <v>28</v>
      </c>
      <c r="AM1053" s="115" t="s">
        <v>1848</v>
      </c>
      <c r="AN1053" s="115" t="s">
        <v>1677</v>
      </c>
      <c r="AO1053" s="115" t="s">
        <v>1641</v>
      </c>
      <c r="DR1053" s="214"/>
      <c r="DY1053" s="115"/>
      <c r="DZ1053" s="334"/>
      <c r="EA1053" s="334"/>
      <c r="EB1053" s="334"/>
      <c r="EC1053" s="334"/>
      <c r="ED1053" s="187"/>
      <c r="EE1053" s="330"/>
      <c r="EH1053" s="334"/>
      <c r="EI1053" s="334"/>
      <c r="EM1053"/>
      <c r="EO1053" s="115"/>
      <c r="EP1053" s="334"/>
      <c r="EQ1053" s="334"/>
      <c r="ER1053" s="334"/>
      <c r="ES1053" s="334"/>
      <c r="ET1053" s="334"/>
      <c r="EU1053" s="334"/>
      <c r="EV1053" s="334"/>
    </row>
    <row r="1054" spans="35:152" ht="13">
      <c r="AI1054" s="115" t="s">
        <v>1416</v>
      </c>
      <c r="AJ1054" t="s">
        <v>2114</v>
      </c>
      <c r="AK1054" s="115">
        <v>0</v>
      </c>
      <c r="AL1054" s="115" t="s">
        <v>28</v>
      </c>
      <c r="AM1054" s="115" t="s">
        <v>1832</v>
      </c>
      <c r="AN1054" s="115" t="s">
        <v>1677</v>
      </c>
      <c r="AO1054" s="115" t="s">
        <v>1641</v>
      </c>
      <c r="DR1054" s="214"/>
      <c r="DY1054" s="115"/>
      <c r="DZ1054" s="334"/>
      <c r="EA1054" s="334"/>
      <c r="EB1054" s="334"/>
      <c r="EC1054" s="334"/>
      <c r="ED1054" s="187"/>
      <c r="EE1054" s="330"/>
      <c r="EH1054" s="334"/>
      <c r="EI1054" s="334"/>
      <c r="EM1054"/>
      <c r="EO1054" s="115"/>
      <c r="EP1054" s="334"/>
      <c r="EQ1054" s="334"/>
      <c r="ER1054" s="334"/>
      <c r="ES1054" s="334"/>
      <c r="ET1054" s="334"/>
      <c r="EU1054" s="334"/>
      <c r="EV1054" s="334"/>
    </row>
    <row r="1055" spans="35:152" ht="13">
      <c r="AI1055" s="115" t="s">
        <v>1416</v>
      </c>
      <c r="AJ1055" t="s">
        <v>2114</v>
      </c>
      <c r="AK1055" s="115">
        <v>0</v>
      </c>
      <c r="AL1055" s="115" t="s">
        <v>28</v>
      </c>
      <c r="AM1055" s="115" t="s">
        <v>1850</v>
      </c>
      <c r="AN1055" s="115" t="s">
        <v>1677</v>
      </c>
      <c r="AO1055" s="115" t="s">
        <v>1641</v>
      </c>
      <c r="DR1055" s="214"/>
      <c r="DY1055" s="115"/>
      <c r="DZ1055" s="334"/>
      <c r="EA1055" s="334"/>
      <c r="EB1055" s="334"/>
      <c r="EC1055" s="334"/>
      <c r="ED1055" s="187"/>
      <c r="EE1055" s="330"/>
      <c r="EH1055" s="334"/>
      <c r="EI1055" s="334"/>
      <c r="EM1055"/>
      <c r="EO1055" s="115"/>
      <c r="EP1055" s="334"/>
      <c r="EQ1055" s="334"/>
      <c r="ER1055" s="334"/>
      <c r="ES1055" s="334"/>
      <c r="ET1055" s="334"/>
      <c r="EU1055" s="334"/>
      <c r="EV1055" s="334"/>
    </row>
    <row r="1056" spans="35:152" ht="13">
      <c r="AI1056" s="115" t="s">
        <v>1416</v>
      </c>
      <c r="AJ1056" t="s">
        <v>2114</v>
      </c>
      <c r="AK1056" s="115">
        <v>0</v>
      </c>
      <c r="AL1056" s="115" t="s">
        <v>28</v>
      </c>
      <c r="AM1056" s="115" t="s">
        <v>1843</v>
      </c>
      <c r="AN1056" s="115" t="s">
        <v>1677</v>
      </c>
      <c r="AO1056" s="115" t="s">
        <v>1641</v>
      </c>
      <c r="DR1056" s="214"/>
      <c r="DY1056" s="115"/>
      <c r="DZ1056" s="334"/>
      <c r="EA1056" s="334"/>
      <c r="EB1056" s="334"/>
      <c r="EC1056" s="334"/>
      <c r="ED1056" s="187"/>
      <c r="EE1056" s="330"/>
      <c r="EH1056" s="334"/>
      <c r="EI1056" s="334"/>
      <c r="EM1056"/>
      <c r="EO1056" s="115"/>
      <c r="EP1056" s="334"/>
      <c r="EQ1056" s="334"/>
      <c r="ER1056" s="334"/>
      <c r="ES1056" s="334"/>
      <c r="ET1056" s="334"/>
      <c r="EU1056" s="334"/>
      <c r="EV1056" s="334"/>
    </row>
    <row r="1057" spans="35:152" ht="13">
      <c r="AI1057" s="115" t="s">
        <v>1416</v>
      </c>
      <c r="AJ1057" t="s">
        <v>2114</v>
      </c>
      <c r="AK1057" s="115">
        <v>0</v>
      </c>
      <c r="AL1057" s="115" t="s">
        <v>28</v>
      </c>
      <c r="AM1057" s="115" t="s">
        <v>1832</v>
      </c>
      <c r="AN1057" s="115" t="s">
        <v>1677</v>
      </c>
      <c r="AO1057" s="115" t="s">
        <v>1645</v>
      </c>
      <c r="DR1057" s="214"/>
      <c r="DY1057" s="115"/>
      <c r="DZ1057" s="334"/>
      <c r="EA1057" s="334"/>
      <c r="EB1057" s="334"/>
      <c r="EC1057" s="334"/>
      <c r="ED1057" s="187"/>
      <c r="EE1057" s="330"/>
      <c r="EH1057" s="334"/>
      <c r="EI1057" s="334"/>
      <c r="EM1057"/>
      <c r="EO1057" s="115"/>
      <c r="EP1057" s="334"/>
      <c r="EQ1057" s="334"/>
      <c r="ER1057" s="334"/>
      <c r="ES1057" s="334"/>
      <c r="ET1057" s="334"/>
      <c r="EU1057" s="334"/>
      <c r="EV1057" s="334"/>
    </row>
    <row r="1058" spans="35:152" ht="13">
      <c r="AI1058" s="115" t="s">
        <v>1416</v>
      </c>
      <c r="AJ1058" t="s">
        <v>2114</v>
      </c>
      <c r="AK1058" s="115">
        <v>0</v>
      </c>
      <c r="AL1058" s="115" t="s">
        <v>28</v>
      </c>
      <c r="AM1058" s="115" t="s">
        <v>1843</v>
      </c>
      <c r="AN1058" s="115" t="s">
        <v>1677</v>
      </c>
      <c r="AO1058" s="115" t="s">
        <v>1645</v>
      </c>
      <c r="DR1058" s="214"/>
      <c r="DY1058" s="115"/>
      <c r="DZ1058" s="334"/>
      <c r="EA1058" s="334"/>
      <c r="EB1058" s="334"/>
      <c r="EC1058" s="334"/>
      <c r="ED1058" s="187"/>
      <c r="EE1058" s="330"/>
      <c r="EH1058" s="334"/>
      <c r="EI1058" s="334"/>
      <c r="EM1058"/>
      <c r="EO1058" s="115"/>
      <c r="EP1058" s="334"/>
      <c r="EQ1058" s="334"/>
      <c r="ER1058" s="334"/>
      <c r="ES1058" s="334"/>
      <c r="ET1058" s="334"/>
      <c r="EU1058" s="334"/>
      <c r="EV1058" s="334"/>
    </row>
    <row r="1059" spans="35:152" ht="13">
      <c r="AI1059" s="115" t="s">
        <v>1416</v>
      </c>
      <c r="AJ1059" t="s">
        <v>2114</v>
      </c>
      <c r="AK1059" s="115">
        <v>0</v>
      </c>
      <c r="AL1059" s="115" t="s">
        <v>28</v>
      </c>
      <c r="AM1059" s="115" t="s">
        <v>1846</v>
      </c>
      <c r="AN1059" s="115" t="s">
        <v>1677</v>
      </c>
      <c r="AO1059" s="115" t="s">
        <v>1645</v>
      </c>
      <c r="DR1059" s="214"/>
      <c r="DY1059" s="115"/>
      <c r="DZ1059" s="334"/>
      <c r="EA1059" s="334"/>
      <c r="EB1059" s="334"/>
      <c r="EC1059" s="334"/>
      <c r="ED1059" s="187"/>
      <c r="EE1059" s="330"/>
      <c r="EH1059" s="334"/>
      <c r="EI1059" s="334"/>
      <c r="EM1059"/>
      <c r="EO1059" s="115"/>
      <c r="EP1059" s="334"/>
      <c r="EQ1059" s="334"/>
      <c r="ER1059" s="334"/>
      <c r="ES1059" s="334"/>
      <c r="ET1059" s="334"/>
      <c r="EU1059" s="334"/>
      <c r="EV1059" s="334"/>
    </row>
    <row r="1060" spans="35:152" ht="13">
      <c r="AI1060" s="115" t="s">
        <v>1416</v>
      </c>
      <c r="AJ1060" t="s">
        <v>2114</v>
      </c>
      <c r="AK1060" s="115">
        <v>0</v>
      </c>
      <c r="AL1060" s="115" t="s">
        <v>28</v>
      </c>
      <c r="AM1060" s="115" t="s">
        <v>1849</v>
      </c>
      <c r="AN1060" s="115" t="s">
        <v>1677</v>
      </c>
      <c r="AO1060" s="115" t="s">
        <v>1645</v>
      </c>
      <c r="DR1060" s="214"/>
      <c r="DY1060" s="115"/>
      <c r="DZ1060" s="334"/>
      <c r="EA1060" s="334"/>
      <c r="EB1060" s="334"/>
      <c r="EC1060" s="334"/>
      <c r="ED1060" s="187"/>
      <c r="EE1060" s="330"/>
      <c r="EH1060" s="334"/>
      <c r="EI1060" s="334"/>
      <c r="EM1060"/>
      <c r="EO1060" s="115"/>
      <c r="EP1060" s="334"/>
      <c r="EQ1060" s="334"/>
      <c r="ER1060" s="334"/>
      <c r="ES1060" s="334"/>
      <c r="ET1060" s="334"/>
      <c r="EU1060" s="334"/>
      <c r="EV1060" s="334"/>
    </row>
    <row r="1061" spans="35:152" ht="13">
      <c r="AI1061" s="115" t="s">
        <v>1416</v>
      </c>
      <c r="AJ1061" t="s">
        <v>2114</v>
      </c>
      <c r="AK1061" s="115">
        <v>0</v>
      </c>
      <c r="AL1061" s="115" t="s">
        <v>28</v>
      </c>
      <c r="AM1061" s="115" t="s">
        <v>1848</v>
      </c>
      <c r="AN1061" s="115" t="s">
        <v>1677</v>
      </c>
      <c r="AO1061" s="115" t="s">
        <v>1645</v>
      </c>
      <c r="DR1061" s="214"/>
      <c r="DY1061" s="115"/>
      <c r="DZ1061" s="334"/>
      <c r="EA1061" s="334"/>
      <c r="EB1061" s="334"/>
      <c r="EC1061" s="334"/>
      <c r="ED1061" s="187"/>
      <c r="EE1061" s="330"/>
      <c r="EH1061" s="334"/>
      <c r="EI1061" s="334"/>
      <c r="EM1061"/>
      <c r="EO1061" s="115"/>
      <c r="EP1061" s="334"/>
      <c r="EQ1061" s="334"/>
      <c r="ER1061" s="334"/>
      <c r="ES1061" s="334"/>
      <c r="ET1061" s="334"/>
      <c r="EU1061" s="334"/>
      <c r="EV1061" s="334"/>
    </row>
    <row r="1062" spans="35:152" ht="13">
      <c r="AI1062" s="115" t="s">
        <v>1416</v>
      </c>
      <c r="AJ1062" t="s">
        <v>2114</v>
      </c>
      <c r="AK1062" s="115">
        <v>0</v>
      </c>
      <c r="AL1062" s="115" t="s">
        <v>28</v>
      </c>
      <c r="AM1062" s="115" t="s">
        <v>1850</v>
      </c>
      <c r="AN1062" s="115" t="s">
        <v>1677</v>
      </c>
      <c r="AO1062" s="115" t="s">
        <v>1645</v>
      </c>
      <c r="DR1062" s="214"/>
      <c r="DY1062" s="115"/>
      <c r="DZ1062" s="334"/>
      <c r="EA1062" s="334"/>
      <c r="EB1062" s="334"/>
      <c r="EC1062" s="334"/>
      <c r="ED1062" s="187"/>
      <c r="EE1062" s="330"/>
      <c r="EH1062" s="334"/>
      <c r="EI1062" s="334"/>
      <c r="EM1062"/>
      <c r="EO1062" s="115"/>
      <c r="EP1062" s="334"/>
      <c r="EQ1062" s="334"/>
      <c r="ER1062" s="334"/>
      <c r="ES1062" s="334"/>
      <c r="ET1062" s="334"/>
      <c r="EU1062" s="334"/>
      <c r="EV1062" s="334"/>
    </row>
    <row r="1063" spans="35:152" ht="13">
      <c r="AI1063" s="115" t="s">
        <v>1416</v>
      </c>
      <c r="AJ1063" t="s">
        <v>2114</v>
      </c>
      <c r="AK1063" s="115">
        <v>0</v>
      </c>
      <c r="AL1063" s="115" t="s">
        <v>28</v>
      </c>
      <c r="AM1063" s="115" t="s">
        <v>1843</v>
      </c>
      <c r="AN1063" s="115" t="s">
        <v>1677</v>
      </c>
      <c r="AO1063" s="115" t="s">
        <v>1646</v>
      </c>
      <c r="DR1063" s="214"/>
      <c r="DY1063" s="115"/>
      <c r="DZ1063" s="334"/>
      <c r="EA1063" s="334"/>
      <c r="EB1063" s="334"/>
      <c r="EC1063" s="334"/>
      <c r="ED1063" s="187"/>
      <c r="EE1063" s="330"/>
      <c r="EH1063" s="334"/>
      <c r="EI1063" s="334"/>
      <c r="EM1063"/>
      <c r="EO1063" s="115"/>
      <c r="EP1063" s="334"/>
      <c r="EQ1063" s="334"/>
      <c r="ER1063" s="334"/>
      <c r="ES1063" s="334"/>
      <c r="ET1063" s="334"/>
      <c r="EU1063" s="334"/>
      <c r="EV1063" s="334"/>
    </row>
    <row r="1064" spans="35:152" ht="13">
      <c r="AI1064" s="115" t="s">
        <v>1416</v>
      </c>
      <c r="AJ1064" t="s">
        <v>2114</v>
      </c>
      <c r="AK1064" s="115">
        <v>0</v>
      </c>
      <c r="AL1064" s="115" t="s">
        <v>28</v>
      </c>
      <c r="AM1064" s="115" t="s">
        <v>1846</v>
      </c>
      <c r="AN1064" s="115" t="s">
        <v>1677</v>
      </c>
      <c r="AO1064" s="115" t="s">
        <v>1646</v>
      </c>
      <c r="DR1064" s="214"/>
      <c r="DY1064" s="115"/>
      <c r="DZ1064" s="334"/>
      <c r="EA1064" s="334"/>
      <c r="EB1064" s="334"/>
      <c r="EC1064" s="334"/>
      <c r="ED1064" s="187"/>
      <c r="EE1064" s="330"/>
      <c r="EH1064" s="334"/>
      <c r="EI1064" s="334"/>
      <c r="EM1064"/>
      <c r="EO1064" s="115"/>
      <c r="EP1064" s="334"/>
      <c r="EQ1064" s="334"/>
      <c r="ER1064" s="334"/>
      <c r="ES1064" s="334"/>
      <c r="ET1064" s="334"/>
      <c r="EU1064" s="334"/>
      <c r="EV1064" s="334"/>
    </row>
    <row r="1065" spans="35:152" ht="13">
      <c r="AI1065" s="115" t="s">
        <v>1416</v>
      </c>
      <c r="AJ1065" t="s">
        <v>2114</v>
      </c>
      <c r="AK1065" s="115">
        <v>0</v>
      </c>
      <c r="AL1065" s="115" t="s">
        <v>28</v>
      </c>
      <c r="AM1065" s="115" t="s">
        <v>1843</v>
      </c>
      <c r="AN1065" s="115" t="s">
        <v>1677</v>
      </c>
      <c r="AO1065" s="115" t="s">
        <v>1647</v>
      </c>
      <c r="DR1065" s="214"/>
      <c r="DY1065" s="115"/>
      <c r="DZ1065" s="334"/>
      <c r="EA1065" s="334"/>
      <c r="EB1065" s="334"/>
      <c r="EC1065" s="334"/>
      <c r="ED1065" s="187"/>
      <c r="EE1065" s="330"/>
      <c r="EH1065" s="334"/>
      <c r="EI1065" s="334"/>
      <c r="EM1065"/>
      <c r="EO1065" s="115"/>
      <c r="EP1065" s="334"/>
      <c r="EQ1065" s="334"/>
      <c r="ER1065" s="334"/>
      <c r="ES1065" s="334"/>
      <c r="ET1065" s="334"/>
      <c r="EU1065" s="334"/>
      <c r="EV1065" s="334"/>
    </row>
    <row r="1066" spans="35:152" ht="13">
      <c r="AI1066" s="115" t="s">
        <v>1416</v>
      </c>
      <c r="AJ1066" t="s">
        <v>2114</v>
      </c>
      <c r="AK1066" s="115">
        <v>0</v>
      </c>
      <c r="AL1066" s="115" t="s">
        <v>28</v>
      </c>
      <c r="AM1066" s="115" t="s">
        <v>1846</v>
      </c>
      <c r="AN1066" s="115" t="s">
        <v>1677</v>
      </c>
      <c r="AO1066" s="115" t="s">
        <v>1647</v>
      </c>
      <c r="DR1066" s="214"/>
      <c r="DY1066" s="115"/>
      <c r="DZ1066" s="334"/>
      <c r="EA1066" s="334"/>
      <c r="EB1066" s="334"/>
      <c r="EC1066" s="334"/>
      <c r="ED1066" s="187"/>
      <c r="EE1066" s="330"/>
      <c r="EH1066" s="334"/>
      <c r="EI1066" s="334"/>
      <c r="EM1066"/>
      <c r="EO1066" s="115"/>
      <c r="EP1066" s="334"/>
      <c r="EQ1066" s="334"/>
      <c r="ER1066" s="334"/>
      <c r="ES1066" s="334"/>
      <c r="ET1066" s="334"/>
      <c r="EU1066" s="334"/>
      <c r="EV1066" s="334"/>
    </row>
    <row r="1067" spans="35:152" ht="13">
      <c r="AI1067" s="115" t="s">
        <v>1416</v>
      </c>
      <c r="AJ1067" t="s">
        <v>2114</v>
      </c>
      <c r="AK1067" s="115">
        <v>0</v>
      </c>
      <c r="AL1067" s="115" t="s">
        <v>28</v>
      </c>
      <c r="AM1067" s="115" t="s">
        <v>1846</v>
      </c>
      <c r="AN1067" s="115" t="s">
        <v>1677</v>
      </c>
      <c r="AO1067" s="115" t="s">
        <v>1639</v>
      </c>
      <c r="DR1067" s="214"/>
      <c r="DY1067" s="115"/>
      <c r="DZ1067" s="334"/>
      <c r="EA1067" s="334"/>
      <c r="EB1067" s="334"/>
      <c r="EC1067" s="334"/>
      <c r="ED1067" s="187"/>
      <c r="EE1067" s="330"/>
      <c r="EH1067" s="334"/>
      <c r="EI1067" s="334"/>
      <c r="EM1067"/>
      <c r="EO1067" s="115"/>
      <c r="EP1067" s="334"/>
      <c r="EQ1067" s="334"/>
      <c r="ER1067" s="334"/>
      <c r="ES1067" s="334"/>
      <c r="ET1067" s="334"/>
      <c r="EU1067" s="334"/>
      <c r="EV1067" s="334"/>
    </row>
    <row r="1068" spans="35:152" ht="13">
      <c r="AI1068" s="115" t="s">
        <v>1416</v>
      </c>
      <c r="AJ1068" t="s">
        <v>2114</v>
      </c>
      <c r="AK1068" s="115">
        <v>0</v>
      </c>
      <c r="AL1068" s="115" t="s">
        <v>28</v>
      </c>
      <c r="AM1068" s="115" t="s">
        <v>1843</v>
      </c>
      <c r="AN1068" s="115" t="s">
        <v>1677</v>
      </c>
      <c r="AO1068" s="115" t="s">
        <v>1639</v>
      </c>
      <c r="DR1068" s="214"/>
      <c r="DY1068" s="115"/>
      <c r="DZ1068" s="334"/>
      <c r="EA1068" s="334"/>
      <c r="EB1068" s="334"/>
      <c r="EC1068" s="334"/>
      <c r="ED1068" s="187"/>
      <c r="EE1068" s="330"/>
      <c r="EH1068" s="334"/>
      <c r="EI1068" s="334"/>
      <c r="EM1068"/>
      <c r="EO1068" s="115"/>
      <c r="EP1068" s="334"/>
      <c r="EQ1068" s="334"/>
      <c r="ER1068" s="334"/>
      <c r="ES1068" s="334"/>
      <c r="ET1068" s="334"/>
      <c r="EU1068" s="334"/>
      <c r="EV1068" s="334"/>
    </row>
    <row r="1069" spans="35:152" ht="13">
      <c r="AI1069" s="115" t="s">
        <v>1416</v>
      </c>
      <c r="AJ1069" t="s">
        <v>2114</v>
      </c>
      <c r="AK1069" s="115">
        <v>0</v>
      </c>
      <c r="AL1069" s="115" t="s">
        <v>28</v>
      </c>
      <c r="AM1069" s="115" t="s">
        <v>1832</v>
      </c>
      <c r="AN1069" s="115" t="s">
        <v>1677</v>
      </c>
      <c r="AO1069" s="115" t="s">
        <v>373</v>
      </c>
      <c r="DR1069" s="214"/>
      <c r="DY1069" s="115"/>
      <c r="DZ1069" s="334"/>
      <c r="EA1069" s="334"/>
      <c r="EB1069" s="334"/>
      <c r="EC1069" s="334"/>
      <c r="ED1069" s="187"/>
      <c r="EE1069" s="330"/>
      <c r="EH1069" s="334"/>
      <c r="EI1069" s="334"/>
      <c r="EM1069"/>
      <c r="EO1069" s="115"/>
      <c r="EP1069" s="334"/>
      <c r="EQ1069" s="334"/>
      <c r="ER1069" s="334"/>
      <c r="ES1069" s="334"/>
      <c r="ET1069" s="334"/>
      <c r="EU1069" s="334"/>
      <c r="EV1069" s="334"/>
    </row>
    <row r="1070" spans="35:152" ht="13">
      <c r="AI1070" s="115" t="s">
        <v>1416</v>
      </c>
      <c r="AJ1070" t="s">
        <v>2114</v>
      </c>
      <c r="AK1070" s="115">
        <v>0</v>
      </c>
      <c r="AL1070" s="115" t="s">
        <v>28</v>
      </c>
      <c r="AM1070" s="115" t="s">
        <v>1850</v>
      </c>
      <c r="AN1070" s="115" t="s">
        <v>1677</v>
      </c>
      <c r="AO1070" s="115" t="s">
        <v>373</v>
      </c>
      <c r="DR1070" s="214"/>
      <c r="DY1070" s="115"/>
      <c r="DZ1070" s="334"/>
      <c r="EA1070" s="334"/>
      <c r="EB1070" s="334"/>
      <c r="EC1070" s="334"/>
      <c r="ED1070" s="187"/>
      <c r="EE1070" s="330"/>
      <c r="EH1070" s="334"/>
      <c r="EI1070" s="334"/>
      <c r="EM1070"/>
      <c r="EO1070" s="115"/>
      <c r="EP1070" s="334"/>
      <c r="EQ1070" s="334"/>
      <c r="ER1070" s="334"/>
      <c r="ES1070" s="334"/>
      <c r="ET1070" s="334"/>
      <c r="EU1070" s="334"/>
      <c r="EV1070" s="334"/>
    </row>
    <row r="1071" spans="35:152" ht="13">
      <c r="AI1071" s="115" t="s">
        <v>1416</v>
      </c>
      <c r="AJ1071" t="s">
        <v>2114</v>
      </c>
      <c r="AK1071" s="115">
        <v>0</v>
      </c>
      <c r="AL1071" s="115" t="s">
        <v>28</v>
      </c>
      <c r="AM1071" s="115" t="s">
        <v>1846</v>
      </c>
      <c r="AN1071" s="115" t="s">
        <v>1677</v>
      </c>
      <c r="AO1071" s="115" t="s">
        <v>373</v>
      </c>
      <c r="DR1071" s="214"/>
      <c r="DY1071" s="115"/>
      <c r="DZ1071" s="334"/>
      <c r="EA1071" s="334"/>
      <c r="EB1071" s="334"/>
      <c r="EC1071" s="334"/>
      <c r="ED1071" s="187"/>
      <c r="EE1071" s="330"/>
      <c r="EH1071" s="334"/>
      <c r="EI1071" s="334"/>
      <c r="EM1071"/>
      <c r="EO1071" s="115"/>
      <c r="EP1071" s="334"/>
      <c r="EQ1071" s="334"/>
      <c r="ER1071" s="334"/>
      <c r="ES1071" s="334"/>
      <c r="ET1071" s="334"/>
      <c r="EU1071" s="334"/>
      <c r="EV1071" s="334"/>
    </row>
    <row r="1072" spans="35:152" ht="13">
      <c r="AI1072" s="115" t="s">
        <v>1416</v>
      </c>
      <c r="AJ1072" t="s">
        <v>2114</v>
      </c>
      <c r="AK1072" s="115">
        <v>0</v>
      </c>
      <c r="AL1072" s="115" t="s">
        <v>28</v>
      </c>
      <c r="AM1072" s="115" t="s">
        <v>1843</v>
      </c>
      <c r="AN1072" s="115" t="s">
        <v>1677</v>
      </c>
      <c r="AO1072" s="115" t="s">
        <v>373</v>
      </c>
      <c r="DR1072" s="214"/>
      <c r="DY1072" s="115"/>
      <c r="DZ1072" s="334"/>
      <c r="EA1072" s="334"/>
      <c r="EB1072" s="334"/>
      <c r="EC1072" s="334"/>
      <c r="ED1072" s="187"/>
      <c r="EE1072" s="330"/>
      <c r="EH1072" s="334"/>
      <c r="EI1072" s="334"/>
      <c r="EM1072"/>
      <c r="EO1072" s="115"/>
      <c r="EP1072" s="334"/>
      <c r="EQ1072" s="334"/>
      <c r="ER1072" s="334"/>
      <c r="ES1072" s="334"/>
      <c r="ET1072" s="334"/>
      <c r="EU1072" s="334"/>
      <c r="EV1072" s="334"/>
    </row>
    <row r="1073" spans="35:152" ht="13">
      <c r="AI1073" s="115" t="s">
        <v>1416</v>
      </c>
      <c r="AJ1073" t="s">
        <v>2114</v>
      </c>
      <c r="AK1073" s="115">
        <v>0</v>
      </c>
      <c r="AL1073" s="115" t="s">
        <v>28</v>
      </c>
      <c r="AM1073" s="115" t="s">
        <v>1848</v>
      </c>
      <c r="AN1073" s="115" t="s">
        <v>1677</v>
      </c>
      <c r="AO1073" s="115" t="s">
        <v>373</v>
      </c>
      <c r="DR1073" s="214"/>
      <c r="DY1073" s="115"/>
      <c r="DZ1073" s="334"/>
      <c r="EA1073" s="334"/>
      <c r="EB1073" s="334"/>
      <c r="EC1073" s="334"/>
      <c r="ED1073" s="187"/>
      <c r="EE1073" s="330"/>
      <c r="EH1073" s="334"/>
      <c r="EI1073" s="334"/>
      <c r="EM1073"/>
      <c r="EO1073" s="115"/>
      <c r="EP1073" s="334"/>
      <c r="EQ1073" s="334"/>
      <c r="ER1073" s="334"/>
      <c r="ES1073" s="334"/>
      <c r="ET1073" s="334"/>
      <c r="EU1073" s="334"/>
      <c r="EV1073" s="334"/>
    </row>
    <row r="1074" spans="35:152" ht="13">
      <c r="AI1074" s="115" t="s">
        <v>1416</v>
      </c>
      <c r="AJ1074" t="s">
        <v>2114</v>
      </c>
      <c r="AK1074" s="115">
        <v>0</v>
      </c>
      <c r="AL1074" s="115" t="s">
        <v>28</v>
      </c>
      <c r="AM1074" s="115" t="s">
        <v>1849</v>
      </c>
      <c r="AN1074" s="115" t="s">
        <v>1677</v>
      </c>
      <c r="AO1074" s="115" t="s">
        <v>373</v>
      </c>
      <c r="DR1074" s="214"/>
      <c r="DY1074" s="115"/>
      <c r="DZ1074" s="334"/>
      <c r="EA1074" s="334"/>
      <c r="EB1074" s="334"/>
      <c r="EC1074" s="334"/>
      <c r="ED1074" s="187"/>
      <c r="EE1074" s="330"/>
      <c r="EH1074" s="334"/>
      <c r="EI1074" s="334"/>
      <c r="EM1074"/>
      <c r="EO1074" s="115"/>
      <c r="EP1074" s="334"/>
      <c r="EQ1074" s="334"/>
      <c r="ER1074" s="334"/>
      <c r="ES1074" s="334"/>
      <c r="ET1074" s="334"/>
      <c r="EU1074" s="334"/>
      <c r="EV1074" s="334"/>
    </row>
    <row r="1075" spans="35:152" ht="13">
      <c r="AI1075" s="115" t="s">
        <v>1416</v>
      </c>
      <c r="AJ1075" t="s">
        <v>2114</v>
      </c>
      <c r="AK1075" s="115">
        <v>0</v>
      </c>
      <c r="AL1075" s="115" t="s">
        <v>28</v>
      </c>
      <c r="AM1075" s="115" t="s">
        <v>1832</v>
      </c>
      <c r="AN1075" s="115" t="s">
        <v>1677</v>
      </c>
      <c r="AO1075" s="115" t="s">
        <v>380</v>
      </c>
      <c r="DR1075" s="214"/>
      <c r="DY1075" s="115"/>
      <c r="DZ1075" s="334"/>
      <c r="EA1075" s="334"/>
      <c r="EB1075" s="334"/>
      <c r="EC1075" s="334"/>
      <c r="ED1075" s="187"/>
      <c r="EE1075" s="330"/>
      <c r="EH1075" s="334"/>
      <c r="EI1075" s="334"/>
      <c r="EM1075"/>
      <c r="EO1075" s="115"/>
      <c r="EP1075" s="334"/>
      <c r="EQ1075" s="334"/>
      <c r="ER1075" s="334"/>
      <c r="ES1075" s="334"/>
      <c r="ET1075" s="334"/>
      <c r="EU1075" s="334"/>
      <c r="EV1075" s="334"/>
    </row>
    <row r="1076" spans="35:152" ht="13">
      <c r="AI1076" s="115" t="s">
        <v>1416</v>
      </c>
      <c r="AJ1076" t="s">
        <v>2114</v>
      </c>
      <c r="AK1076" s="115">
        <v>0</v>
      </c>
      <c r="AL1076" s="115" t="s">
        <v>28</v>
      </c>
      <c r="AM1076" s="115" t="s">
        <v>1849</v>
      </c>
      <c r="AN1076" s="115" t="s">
        <v>1677</v>
      </c>
      <c r="AO1076" s="115" t="s">
        <v>380</v>
      </c>
      <c r="DR1076" s="214"/>
      <c r="DY1076" s="115"/>
      <c r="DZ1076" s="334"/>
      <c r="EA1076" s="334"/>
      <c r="EB1076" s="334"/>
      <c r="EC1076" s="334"/>
      <c r="ED1076" s="187"/>
      <c r="EE1076" s="330"/>
      <c r="EH1076" s="334"/>
      <c r="EI1076" s="334"/>
      <c r="EM1076"/>
      <c r="EO1076" s="115"/>
      <c r="EP1076" s="334"/>
      <c r="EQ1076" s="334"/>
      <c r="ER1076" s="334"/>
      <c r="ES1076" s="334"/>
      <c r="ET1076" s="334"/>
      <c r="EU1076" s="334"/>
      <c r="EV1076" s="334"/>
    </row>
    <row r="1077" spans="35:152" ht="13">
      <c r="AI1077" s="115" t="s">
        <v>1416</v>
      </c>
      <c r="AJ1077" t="s">
        <v>2114</v>
      </c>
      <c r="AK1077" s="115">
        <v>0</v>
      </c>
      <c r="AL1077" s="115" t="s">
        <v>28</v>
      </c>
      <c r="AM1077" s="115" t="s">
        <v>1846</v>
      </c>
      <c r="AN1077" s="115" t="s">
        <v>1677</v>
      </c>
      <c r="AO1077" s="115" t="s">
        <v>380</v>
      </c>
      <c r="DR1077" s="214"/>
      <c r="DY1077" s="115"/>
      <c r="DZ1077" s="334"/>
      <c r="EA1077" s="334"/>
      <c r="EB1077" s="334"/>
      <c r="EC1077" s="334"/>
      <c r="ED1077" s="187"/>
      <c r="EE1077" s="330"/>
      <c r="EH1077" s="334"/>
      <c r="EI1077" s="334"/>
      <c r="EM1077"/>
      <c r="EO1077" s="115"/>
      <c r="EP1077" s="334"/>
      <c r="EQ1077" s="334"/>
      <c r="ER1077" s="334"/>
      <c r="ES1077" s="334"/>
      <c r="ET1077" s="334"/>
      <c r="EU1077" s="334"/>
      <c r="EV1077" s="334"/>
    </row>
    <row r="1078" spans="35:152" ht="13">
      <c r="AI1078" s="115" t="s">
        <v>1416</v>
      </c>
      <c r="AJ1078" t="s">
        <v>2114</v>
      </c>
      <c r="AK1078" s="115">
        <v>0</v>
      </c>
      <c r="AL1078" s="115" t="s">
        <v>28</v>
      </c>
      <c r="AM1078" s="115" t="s">
        <v>1848</v>
      </c>
      <c r="AN1078" s="115" t="s">
        <v>1677</v>
      </c>
      <c r="AO1078" s="115" t="s">
        <v>380</v>
      </c>
      <c r="DR1078" s="214"/>
      <c r="DY1078" s="115"/>
      <c r="DZ1078" s="334"/>
      <c r="EA1078" s="334"/>
      <c r="EB1078" s="334"/>
      <c r="EC1078" s="334"/>
      <c r="ED1078" s="187"/>
      <c r="EE1078" s="330"/>
      <c r="EH1078" s="334"/>
      <c r="EI1078" s="334"/>
      <c r="EM1078"/>
      <c r="EO1078" s="115"/>
      <c r="EP1078" s="334"/>
      <c r="EQ1078" s="334"/>
      <c r="ER1078" s="334"/>
      <c r="ES1078" s="334"/>
      <c r="ET1078" s="334"/>
      <c r="EU1078" s="334"/>
      <c r="EV1078" s="334"/>
    </row>
    <row r="1079" spans="35:152" ht="13">
      <c r="AI1079" s="115" t="s">
        <v>1416</v>
      </c>
      <c r="AJ1079" t="s">
        <v>2114</v>
      </c>
      <c r="AK1079" s="115">
        <v>0</v>
      </c>
      <c r="AL1079" s="115" t="s">
        <v>28</v>
      </c>
      <c r="AM1079" s="115" t="s">
        <v>1843</v>
      </c>
      <c r="AN1079" s="115" t="s">
        <v>1677</v>
      </c>
      <c r="AO1079" s="115" t="s">
        <v>380</v>
      </c>
      <c r="DR1079" s="214"/>
      <c r="DY1079" s="115"/>
      <c r="DZ1079" s="334"/>
      <c r="EA1079" s="334"/>
      <c r="EB1079" s="334"/>
      <c r="EC1079" s="334"/>
      <c r="ED1079" s="187"/>
      <c r="EE1079" s="330"/>
      <c r="EH1079" s="334"/>
      <c r="EI1079" s="334"/>
      <c r="EM1079"/>
      <c r="EO1079" s="115"/>
      <c r="EP1079" s="334"/>
      <c r="EQ1079" s="334"/>
      <c r="ER1079" s="334"/>
      <c r="ES1079" s="334"/>
      <c r="ET1079" s="334"/>
      <c r="EU1079" s="334"/>
      <c r="EV1079" s="334"/>
    </row>
    <row r="1080" spans="35:152" ht="13">
      <c r="AI1080" s="115" t="s">
        <v>1416</v>
      </c>
      <c r="AJ1080" t="s">
        <v>2114</v>
      </c>
      <c r="AK1080" s="115">
        <v>0</v>
      </c>
      <c r="AL1080" s="115" t="s">
        <v>28</v>
      </c>
      <c r="AM1080" s="115" t="s">
        <v>1850</v>
      </c>
      <c r="AN1080" s="115" t="s">
        <v>1677</v>
      </c>
      <c r="AO1080" s="115" t="s">
        <v>380</v>
      </c>
      <c r="DR1080" s="214"/>
      <c r="DY1080" s="115"/>
      <c r="DZ1080" s="334"/>
      <c r="EA1080" s="334"/>
      <c r="EB1080" s="334"/>
      <c r="EC1080" s="334"/>
      <c r="ED1080" s="187"/>
      <c r="EE1080" s="330"/>
      <c r="EH1080" s="334"/>
      <c r="EI1080" s="334"/>
      <c r="EM1080"/>
      <c r="EO1080" s="115"/>
      <c r="EP1080" s="334"/>
      <c r="EQ1080" s="334"/>
      <c r="ER1080" s="334"/>
      <c r="ES1080" s="334"/>
      <c r="ET1080" s="334"/>
      <c r="EU1080" s="334"/>
      <c r="EV1080" s="334"/>
    </row>
    <row r="1081" spans="35:152" ht="13">
      <c r="AI1081" s="115" t="s">
        <v>1416</v>
      </c>
      <c r="AJ1081" t="s">
        <v>2114</v>
      </c>
      <c r="AK1081" s="115">
        <v>0</v>
      </c>
      <c r="AL1081" s="115" t="s">
        <v>28</v>
      </c>
      <c r="AM1081" s="115" t="s">
        <v>1832</v>
      </c>
      <c r="AN1081" s="115" t="s">
        <v>1677</v>
      </c>
      <c r="AO1081" s="115" t="s">
        <v>360</v>
      </c>
      <c r="DR1081" s="214"/>
      <c r="DY1081" s="115"/>
      <c r="DZ1081" s="334"/>
      <c r="EA1081" s="334"/>
      <c r="EB1081" s="334"/>
      <c r="EC1081" s="334"/>
      <c r="ED1081" s="187"/>
      <c r="EE1081" s="330"/>
      <c r="EH1081" s="334"/>
      <c r="EI1081" s="334"/>
      <c r="EM1081"/>
      <c r="EO1081" s="115"/>
      <c r="EP1081" s="334"/>
      <c r="EQ1081" s="334"/>
      <c r="ER1081" s="334"/>
      <c r="ES1081" s="334"/>
      <c r="ET1081" s="334"/>
      <c r="EU1081" s="334"/>
      <c r="EV1081" s="334"/>
    </row>
    <row r="1082" spans="35:152" ht="13">
      <c r="AI1082" s="115" t="s">
        <v>1416</v>
      </c>
      <c r="AJ1082" t="s">
        <v>2114</v>
      </c>
      <c r="AK1082" s="115">
        <v>0</v>
      </c>
      <c r="AL1082" s="115" t="s">
        <v>28</v>
      </c>
      <c r="AM1082" s="115" t="s">
        <v>1849</v>
      </c>
      <c r="AN1082" s="115" t="s">
        <v>1677</v>
      </c>
      <c r="AO1082" s="115" t="s">
        <v>360</v>
      </c>
      <c r="DR1082" s="214"/>
      <c r="DY1082" s="115"/>
      <c r="DZ1082" s="334"/>
      <c r="EA1082" s="334"/>
      <c r="EB1082" s="334"/>
      <c r="EC1082" s="334"/>
      <c r="ED1082" s="187"/>
      <c r="EE1082" s="330"/>
      <c r="EH1082" s="334"/>
      <c r="EI1082" s="334"/>
      <c r="EM1082"/>
      <c r="EO1082" s="115"/>
      <c r="EP1082" s="334"/>
      <c r="EQ1082" s="334"/>
      <c r="ER1082" s="334"/>
      <c r="ES1082" s="334"/>
      <c r="ET1082" s="334"/>
      <c r="EU1082" s="334"/>
      <c r="EV1082" s="334"/>
    </row>
    <row r="1083" spans="35:152" ht="13">
      <c r="AI1083" s="115" t="s">
        <v>1416</v>
      </c>
      <c r="AJ1083" t="s">
        <v>2114</v>
      </c>
      <c r="AK1083" s="115">
        <v>0</v>
      </c>
      <c r="AL1083" s="115" t="s">
        <v>28</v>
      </c>
      <c r="AM1083" s="115" t="s">
        <v>1848</v>
      </c>
      <c r="AN1083" s="115" t="s">
        <v>1677</v>
      </c>
      <c r="AO1083" s="115" t="s">
        <v>360</v>
      </c>
      <c r="DR1083" s="214"/>
      <c r="DY1083" s="115"/>
      <c r="DZ1083" s="334"/>
      <c r="EA1083" s="334"/>
      <c r="EB1083" s="334"/>
      <c r="EC1083" s="334"/>
      <c r="ED1083" s="187"/>
      <c r="EE1083" s="330"/>
      <c r="EH1083" s="334"/>
      <c r="EI1083" s="334"/>
      <c r="EM1083"/>
      <c r="EO1083" s="115"/>
      <c r="EP1083" s="334"/>
      <c r="EQ1083" s="334"/>
      <c r="ER1083" s="334"/>
      <c r="ES1083" s="334"/>
      <c r="ET1083" s="334"/>
      <c r="EU1083" s="334"/>
      <c r="EV1083" s="334"/>
    </row>
    <row r="1084" spans="35:152" ht="13">
      <c r="AI1084" s="115" t="s">
        <v>1416</v>
      </c>
      <c r="AJ1084" t="s">
        <v>2114</v>
      </c>
      <c r="AK1084" s="115">
        <v>0</v>
      </c>
      <c r="AL1084" s="115" t="s">
        <v>28</v>
      </c>
      <c r="AM1084" s="115" t="s">
        <v>1850</v>
      </c>
      <c r="AN1084" s="115" t="s">
        <v>1677</v>
      </c>
      <c r="AO1084" s="115" t="s">
        <v>360</v>
      </c>
      <c r="DR1084" s="214"/>
      <c r="DY1084" s="115"/>
      <c r="DZ1084" s="334"/>
      <c r="EA1084" s="334"/>
      <c r="EB1084" s="334"/>
      <c r="EC1084" s="334"/>
      <c r="ED1084" s="187"/>
      <c r="EE1084" s="330"/>
      <c r="EH1084" s="334"/>
      <c r="EI1084" s="334"/>
      <c r="EM1084"/>
      <c r="EO1084" s="115"/>
      <c r="EP1084" s="334"/>
      <c r="EQ1084" s="334"/>
      <c r="ER1084" s="334"/>
      <c r="ES1084" s="334"/>
      <c r="ET1084" s="334"/>
      <c r="EU1084" s="334"/>
      <c r="EV1084" s="334"/>
    </row>
    <row r="1085" spans="35:152" ht="13">
      <c r="AI1085" s="115" t="s">
        <v>1416</v>
      </c>
      <c r="AJ1085" t="s">
        <v>2114</v>
      </c>
      <c r="AK1085" s="115">
        <v>0</v>
      </c>
      <c r="AL1085" s="115" t="s">
        <v>28</v>
      </c>
      <c r="AM1085" s="115" t="s">
        <v>1846</v>
      </c>
      <c r="AN1085" s="115" t="s">
        <v>1677</v>
      </c>
      <c r="AO1085" s="115" t="s">
        <v>360</v>
      </c>
      <c r="DR1085" s="214"/>
      <c r="DY1085" s="115"/>
      <c r="DZ1085" s="334"/>
      <c r="EA1085" s="334"/>
      <c r="EB1085" s="334"/>
      <c r="EC1085" s="334"/>
      <c r="ED1085" s="187"/>
      <c r="EE1085" s="330"/>
      <c r="EH1085" s="334"/>
      <c r="EI1085" s="334"/>
      <c r="EM1085"/>
      <c r="EO1085" s="115"/>
      <c r="EP1085" s="334"/>
      <c r="EQ1085" s="334"/>
      <c r="ER1085" s="334"/>
      <c r="ES1085" s="334"/>
      <c r="ET1085" s="334"/>
      <c r="EU1085" s="334"/>
      <c r="EV1085" s="334"/>
    </row>
    <row r="1086" spans="35:152" ht="13">
      <c r="AI1086" s="115" t="s">
        <v>1416</v>
      </c>
      <c r="AJ1086" t="s">
        <v>2114</v>
      </c>
      <c r="AK1086" s="115">
        <v>0</v>
      </c>
      <c r="AL1086" s="115" t="s">
        <v>28</v>
      </c>
      <c r="AM1086" s="115" t="s">
        <v>1843</v>
      </c>
      <c r="AN1086" s="115" t="s">
        <v>1677</v>
      </c>
      <c r="AO1086" s="115" t="s">
        <v>360</v>
      </c>
      <c r="DR1086" s="214"/>
      <c r="DY1086" s="115"/>
      <c r="DZ1086" s="334"/>
      <c r="EA1086" s="334"/>
      <c r="EB1086" s="334"/>
      <c r="EC1086" s="334"/>
      <c r="ED1086" s="187"/>
      <c r="EE1086" s="330"/>
      <c r="EH1086" s="334"/>
      <c r="EI1086" s="334"/>
      <c r="EM1086"/>
      <c r="EO1086" s="115"/>
      <c r="EP1086" s="334"/>
      <c r="EQ1086" s="334"/>
      <c r="ER1086" s="334"/>
      <c r="ES1086" s="334"/>
      <c r="ET1086" s="334"/>
      <c r="EU1086" s="334"/>
      <c r="EV1086" s="334"/>
    </row>
    <row r="1087" spans="35:152" ht="13">
      <c r="AI1087" s="115" t="s">
        <v>1416</v>
      </c>
      <c r="AJ1087" t="s">
        <v>2114</v>
      </c>
      <c r="AK1087" s="115">
        <v>0</v>
      </c>
      <c r="AL1087" s="115" t="s">
        <v>28</v>
      </c>
      <c r="AM1087" s="115" t="s">
        <v>1832</v>
      </c>
      <c r="AN1087" s="115" t="s">
        <v>1677</v>
      </c>
      <c r="AO1087" s="115" t="s">
        <v>372</v>
      </c>
      <c r="DR1087" s="214"/>
      <c r="DY1087" s="115"/>
      <c r="DZ1087" s="334"/>
      <c r="EA1087" s="334"/>
      <c r="EB1087" s="334"/>
      <c r="EC1087" s="334"/>
      <c r="ED1087" s="187"/>
      <c r="EE1087" s="330"/>
      <c r="EH1087" s="334"/>
      <c r="EI1087" s="334"/>
      <c r="EM1087"/>
      <c r="EO1087" s="115"/>
      <c r="EP1087" s="334"/>
      <c r="EQ1087" s="334"/>
      <c r="ER1087" s="334"/>
      <c r="ES1087" s="334"/>
      <c r="ET1087" s="334"/>
      <c r="EU1087" s="334"/>
      <c r="EV1087" s="334"/>
    </row>
    <row r="1088" spans="35:152" ht="13">
      <c r="AI1088" s="115" t="s">
        <v>1416</v>
      </c>
      <c r="AJ1088" t="s">
        <v>2114</v>
      </c>
      <c r="AK1088" s="115">
        <v>0</v>
      </c>
      <c r="AL1088" s="115" t="s">
        <v>28</v>
      </c>
      <c r="AM1088" s="115" t="s">
        <v>1850</v>
      </c>
      <c r="AN1088" s="115" t="s">
        <v>1677</v>
      </c>
      <c r="AO1088" s="115" t="s">
        <v>372</v>
      </c>
      <c r="DR1088" s="214"/>
      <c r="DY1088" s="115"/>
      <c r="DZ1088" s="334"/>
      <c r="EA1088" s="334"/>
      <c r="EB1088" s="334"/>
      <c r="EC1088" s="334"/>
      <c r="ED1088" s="187"/>
      <c r="EE1088" s="330"/>
      <c r="EH1088" s="334"/>
      <c r="EI1088" s="334"/>
      <c r="EM1088"/>
      <c r="EO1088" s="115"/>
      <c r="EP1088" s="334"/>
      <c r="EQ1088" s="334"/>
      <c r="ER1088" s="334"/>
      <c r="ES1088" s="334"/>
      <c r="ET1088" s="334"/>
      <c r="EU1088" s="334"/>
      <c r="EV1088" s="334"/>
    </row>
    <row r="1089" spans="35:152" ht="13">
      <c r="AI1089" s="115" t="s">
        <v>1416</v>
      </c>
      <c r="AJ1089" t="s">
        <v>2114</v>
      </c>
      <c r="AK1089" s="115">
        <v>0</v>
      </c>
      <c r="AL1089" s="115" t="s">
        <v>1842</v>
      </c>
      <c r="AM1089" s="115" t="s">
        <v>1832</v>
      </c>
      <c r="AN1089" s="115" t="s">
        <v>1677</v>
      </c>
      <c r="AO1089" s="115" t="s">
        <v>372</v>
      </c>
      <c r="DR1089" s="214"/>
      <c r="DY1089" s="115"/>
      <c r="DZ1089" s="334"/>
      <c r="EA1089" s="334"/>
      <c r="EB1089" s="334"/>
      <c r="EC1089" s="334"/>
      <c r="ED1089" s="187"/>
      <c r="EE1089" s="330"/>
      <c r="EH1089" s="334"/>
      <c r="EI1089" s="334"/>
      <c r="EM1089"/>
      <c r="EO1089" s="115"/>
      <c r="EP1089" s="334"/>
      <c r="EQ1089" s="334"/>
      <c r="ER1089" s="334"/>
      <c r="ES1089" s="334"/>
      <c r="ET1089" s="334"/>
      <c r="EU1089" s="334"/>
      <c r="EV1089" s="334"/>
    </row>
    <row r="1090" spans="35:152" ht="13">
      <c r="AI1090" s="115" t="s">
        <v>1416</v>
      </c>
      <c r="AJ1090" t="s">
        <v>2114</v>
      </c>
      <c r="AK1090" s="115">
        <v>0</v>
      </c>
      <c r="AL1090" s="115" t="s">
        <v>28</v>
      </c>
      <c r="AM1090" s="115" t="s">
        <v>1846</v>
      </c>
      <c r="AN1090" s="115" t="s">
        <v>1677</v>
      </c>
      <c r="AO1090" s="115" t="s">
        <v>372</v>
      </c>
      <c r="DR1090" s="214"/>
      <c r="DY1090" s="115"/>
      <c r="DZ1090" s="334"/>
      <c r="EA1090" s="334"/>
      <c r="EB1090" s="334"/>
      <c r="EC1090" s="334"/>
      <c r="ED1090" s="187"/>
      <c r="EE1090" s="330"/>
      <c r="EH1090" s="334"/>
      <c r="EI1090" s="334"/>
      <c r="EM1090"/>
      <c r="EO1090" s="115"/>
      <c r="EP1090" s="334"/>
      <c r="EQ1090" s="334"/>
      <c r="ER1090" s="334"/>
      <c r="ES1090" s="334"/>
      <c r="ET1090" s="334"/>
      <c r="EU1090" s="334"/>
      <c r="EV1090" s="334"/>
    </row>
    <row r="1091" spans="35:152" ht="13">
      <c r="AI1091" s="115" t="s">
        <v>1416</v>
      </c>
      <c r="AJ1091" t="s">
        <v>2114</v>
      </c>
      <c r="AK1091" s="115">
        <v>0</v>
      </c>
      <c r="AL1091" s="115" t="s">
        <v>28</v>
      </c>
      <c r="AM1091" s="115" t="s">
        <v>1849</v>
      </c>
      <c r="AN1091" s="115" t="s">
        <v>1677</v>
      </c>
      <c r="AO1091" s="115" t="s">
        <v>372</v>
      </c>
      <c r="DR1091" s="214"/>
      <c r="DY1091" s="115"/>
      <c r="DZ1091" s="334"/>
      <c r="EA1091" s="334"/>
      <c r="EB1091" s="334"/>
      <c r="EC1091" s="334"/>
      <c r="ED1091" s="187"/>
      <c r="EE1091" s="330"/>
      <c r="EH1091" s="334"/>
      <c r="EI1091" s="334"/>
      <c r="EM1091"/>
      <c r="EO1091" s="115"/>
      <c r="EP1091" s="334"/>
      <c r="EQ1091" s="334"/>
      <c r="ER1091" s="334"/>
      <c r="ES1091" s="334"/>
      <c r="ET1091" s="334"/>
      <c r="EU1091" s="334"/>
      <c r="EV1091" s="334"/>
    </row>
    <row r="1092" spans="35:152" ht="13">
      <c r="AI1092" s="115" t="s">
        <v>1416</v>
      </c>
      <c r="AJ1092" t="s">
        <v>2114</v>
      </c>
      <c r="AK1092" s="115">
        <v>0</v>
      </c>
      <c r="AL1092" s="115" t="s">
        <v>28</v>
      </c>
      <c r="AM1092" s="115" t="s">
        <v>1843</v>
      </c>
      <c r="AN1092" s="115" t="s">
        <v>1677</v>
      </c>
      <c r="AO1092" s="115" t="s">
        <v>372</v>
      </c>
      <c r="DR1092" s="214"/>
      <c r="DY1092" s="115"/>
      <c r="DZ1092" s="334"/>
      <c r="EA1092" s="334"/>
      <c r="EB1092" s="334"/>
      <c r="EC1092" s="334"/>
      <c r="ED1092" s="187"/>
      <c r="EE1092" s="330"/>
      <c r="EH1092" s="334"/>
      <c r="EI1092" s="334"/>
      <c r="EM1092"/>
      <c r="EO1092" s="115"/>
      <c r="EP1092" s="334"/>
      <c r="EQ1092" s="334"/>
      <c r="ER1092" s="334"/>
      <c r="ES1092" s="334"/>
      <c r="ET1092" s="334"/>
      <c r="EU1092" s="334"/>
      <c r="EV1092" s="334"/>
    </row>
    <row r="1093" spans="35:152" ht="13">
      <c r="AI1093" s="115" t="s">
        <v>1416</v>
      </c>
      <c r="AJ1093" t="s">
        <v>2114</v>
      </c>
      <c r="AK1093" s="115">
        <v>0</v>
      </c>
      <c r="AL1093" s="115" t="s">
        <v>1842</v>
      </c>
      <c r="AM1093" s="115" t="s">
        <v>1850</v>
      </c>
      <c r="AN1093" s="115" t="s">
        <v>1677</v>
      </c>
      <c r="AO1093" s="115" t="s">
        <v>372</v>
      </c>
      <c r="DR1093" s="214"/>
      <c r="DY1093" s="115"/>
      <c r="DZ1093" s="334"/>
      <c r="EA1093" s="334"/>
      <c r="EB1093" s="334"/>
      <c r="EC1093" s="334"/>
      <c r="ED1093" s="187"/>
      <c r="EE1093" s="330"/>
      <c r="EH1093" s="334"/>
      <c r="EI1093" s="334"/>
      <c r="EM1093"/>
      <c r="EO1093" s="115"/>
      <c r="EP1093" s="334"/>
      <c r="EQ1093" s="334"/>
      <c r="ER1093" s="334"/>
      <c r="ES1093" s="334"/>
      <c r="ET1093" s="334"/>
      <c r="EU1093" s="334"/>
      <c r="EV1093" s="334"/>
    </row>
    <row r="1094" spans="35:152" ht="13">
      <c r="AI1094" s="115" t="s">
        <v>1416</v>
      </c>
      <c r="AJ1094" t="s">
        <v>2114</v>
      </c>
      <c r="AK1094" s="115">
        <v>0</v>
      </c>
      <c r="AL1094" s="115" t="s">
        <v>1842</v>
      </c>
      <c r="AM1094" s="115" t="s">
        <v>1849</v>
      </c>
      <c r="AN1094" s="115" t="s">
        <v>1677</v>
      </c>
      <c r="AO1094" s="115" t="s">
        <v>372</v>
      </c>
      <c r="DR1094" s="214"/>
      <c r="DY1094" s="115"/>
      <c r="DZ1094" s="334"/>
      <c r="EA1094" s="334"/>
      <c r="EB1094" s="334"/>
      <c r="EC1094" s="334"/>
      <c r="ED1094" s="187"/>
      <c r="EE1094" s="330"/>
      <c r="EH1094" s="334"/>
      <c r="EI1094" s="334"/>
      <c r="EM1094"/>
      <c r="EO1094" s="115"/>
      <c r="EP1094" s="334"/>
      <c r="EQ1094" s="334"/>
      <c r="ER1094" s="334"/>
      <c r="ES1094" s="334"/>
      <c r="ET1094" s="334"/>
      <c r="EU1094" s="334"/>
      <c r="EV1094" s="334"/>
    </row>
    <row r="1095" spans="35:152" ht="13">
      <c r="AI1095" s="115" t="s">
        <v>1416</v>
      </c>
      <c r="AJ1095" t="s">
        <v>2114</v>
      </c>
      <c r="AK1095" s="115">
        <v>0</v>
      </c>
      <c r="AL1095" s="115" t="s">
        <v>1842</v>
      </c>
      <c r="AM1095" s="115" t="s">
        <v>1843</v>
      </c>
      <c r="AN1095" s="115" t="s">
        <v>1677</v>
      </c>
      <c r="AO1095" s="115" t="s">
        <v>372</v>
      </c>
      <c r="DR1095" s="214"/>
      <c r="DY1095" s="115"/>
      <c r="DZ1095" s="334"/>
      <c r="EA1095" s="334"/>
      <c r="EB1095" s="334"/>
      <c r="EC1095" s="334"/>
      <c r="ED1095" s="187"/>
      <c r="EE1095" s="330"/>
      <c r="EH1095" s="334"/>
      <c r="EI1095" s="334"/>
      <c r="EM1095"/>
      <c r="EO1095" s="115"/>
      <c r="EP1095" s="334"/>
      <c r="EQ1095" s="334"/>
      <c r="ER1095" s="334"/>
      <c r="ES1095" s="334"/>
      <c r="ET1095" s="334"/>
      <c r="EU1095" s="334"/>
      <c r="EV1095" s="334"/>
    </row>
    <row r="1096" spans="35:152" ht="13">
      <c r="AI1096" s="115" t="s">
        <v>1416</v>
      </c>
      <c r="AJ1096" t="s">
        <v>2114</v>
      </c>
      <c r="AK1096" s="115">
        <v>0</v>
      </c>
      <c r="AL1096" s="115" t="s">
        <v>1842</v>
      </c>
      <c r="AM1096" s="115" t="s">
        <v>1848</v>
      </c>
      <c r="AN1096" s="115" t="s">
        <v>1677</v>
      </c>
      <c r="AO1096" s="115" t="s">
        <v>372</v>
      </c>
      <c r="DR1096" s="214"/>
      <c r="DY1096" s="115"/>
      <c r="DZ1096" s="334"/>
      <c r="EA1096" s="334"/>
      <c r="EB1096" s="334"/>
      <c r="EC1096" s="334"/>
      <c r="ED1096" s="187"/>
      <c r="EE1096" s="330"/>
      <c r="EH1096" s="334"/>
      <c r="EI1096" s="334"/>
      <c r="EM1096"/>
      <c r="EO1096" s="115"/>
      <c r="EP1096" s="334"/>
      <c r="EQ1096" s="334"/>
      <c r="ER1096" s="334"/>
      <c r="ES1096" s="334"/>
      <c r="ET1096" s="334"/>
      <c r="EU1096" s="334"/>
      <c r="EV1096" s="334"/>
    </row>
    <row r="1097" spans="35:152" ht="13">
      <c r="AI1097" s="115" t="s">
        <v>1416</v>
      </c>
      <c r="AJ1097" t="s">
        <v>2114</v>
      </c>
      <c r="AK1097" s="115">
        <v>0</v>
      </c>
      <c r="AL1097" s="115" t="s">
        <v>1842</v>
      </c>
      <c r="AM1097" s="115" t="s">
        <v>1846</v>
      </c>
      <c r="AN1097" s="115" t="s">
        <v>1677</v>
      </c>
      <c r="AO1097" s="115" t="s">
        <v>372</v>
      </c>
      <c r="DR1097" s="214"/>
      <c r="DY1097" s="115"/>
      <c r="DZ1097" s="334"/>
      <c r="EA1097" s="334"/>
      <c r="EB1097" s="334"/>
      <c r="EC1097" s="334"/>
      <c r="ED1097" s="187"/>
      <c r="EE1097" s="330"/>
      <c r="EH1097" s="334"/>
      <c r="EI1097" s="334"/>
      <c r="EM1097"/>
      <c r="EO1097" s="115"/>
      <c r="EP1097" s="334"/>
      <c r="EQ1097" s="334"/>
      <c r="ER1097" s="334"/>
      <c r="ES1097" s="334"/>
      <c r="ET1097" s="334"/>
      <c r="EU1097" s="334"/>
      <c r="EV1097" s="334"/>
    </row>
    <row r="1098" spans="35:152" ht="13">
      <c r="AI1098" s="115" t="s">
        <v>1416</v>
      </c>
      <c r="AJ1098" t="s">
        <v>2114</v>
      </c>
      <c r="AK1098" s="115">
        <v>0</v>
      </c>
      <c r="AL1098" s="115" t="s">
        <v>28</v>
      </c>
      <c r="AM1098" s="115" t="s">
        <v>1848</v>
      </c>
      <c r="AN1098" s="115" t="s">
        <v>1677</v>
      </c>
      <c r="AO1098" s="115" t="s">
        <v>372</v>
      </c>
      <c r="DR1098" s="214"/>
      <c r="DY1098" s="115"/>
      <c r="DZ1098" s="334"/>
      <c r="EA1098" s="334"/>
      <c r="EB1098" s="334"/>
      <c r="EC1098" s="334"/>
      <c r="ED1098" s="187"/>
      <c r="EE1098" s="330"/>
      <c r="EH1098" s="334"/>
      <c r="EI1098" s="334"/>
      <c r="EM1098"/>
      <c r="EO1098" s="115"/>
      <c r="EP1098" s="334"/>
      <c r="EQ1098" s="334"/>
      <c r="ER1098" s="334"/>
      <c r="ES1098" s="334"/>
      <c r="ET1098" s="334"/>
      <c r="EU1098" s="334"/>
      <c r="EV1098" s="334"/>
    </row>
    <row r="1099" spans="35:152" ht="13">
      <c r="AI1099" s="115" t="s">
        <v>1416</v>
      </c>
      <c r="AJ1099" t="s">
        <v>2114</v>
      </c>
      <c r="AK1099" s="115">
        <v>0</v>
      </c>
      <c r="AL1099" s="115" t="s">
        <v>28</v>
      </c>
      <c r="AM1099" s="115" t="s">
        <v>1843</v>
      </c>
      <c r="AN1099" s="115" t="s">
        <v>1677</v>
      </c>
      <c r="AO1099" s="115" t="s">
        <v>386</v>
      </c>
      <c r="DR1099" s="214"/>
      <c r="DY1099" s="115"/>
      <c r="DZ1099" s="334"/>
      <c r="EA1099" s="334"/>
      <c r="EB1099" s="334"/>
      <c r="EC1099" s="334"/>
      <c r="ED1099" s="187"/>
      <c r="EE1099" s="330"/>
      <c r="EH1099" s="334"/>
      <c r="EI1099" s="334"/>
      <c r="EM1099"/>
      <c r="EO1099" s="115"/>
      <c r="EP1099" s="334"/>
      <c r="EQ1099" s="334"/>
      <c r="ER1099" s="334"/>
      <c r="ES1099" s="334"/>
      <c r="ET1099" s="334"/>
      <c r="EU1099" s="334"/>
      <c r="EV1099" s="334"/>
    </row>
    <row r="1100" spans="35:152" ht="13">
      <c r="AI1100" s="115" t="s">
        <v>1416</v>
      </c>
      <c r="AJ1100" t="s">
        <v>2114</v>
      </c>
      <c r="AK1100" s="115">
        <v>0</v>
      </c>
      <c r="AL1100" s="115" t="s">
        <v>28</v>
      </c>
      <c r="AM1100" s="115" t="s">
        <v>1846</v>
      </c>
      <c r="AN1100" s="115" t="s">
        <v>1677</v>
      </c>
      <c r="AO1100" s="115" t="s">
        <v>386</v>
      </c>
      <c r="DR1100" s="214"/>
      <c r="DY1100" s="115"/>
      <c r="DZ1100" s="334"/>
      <c r="EA1100" s="334"/>
      <c r="EB1100" s="334"/>
      <c r="EC1100" s="334"/>
      <c r="ED1100" s="187"/>
      <c r="EE1100" s="330"/>
      <c r="EH1100" s="334"/>
      <c r="EI1100" s="334"/>
      <c r="EM1100"/>
      <c r="EO1100" s="115"/>
      <c r="EP1100" s="334"/>
      <c r="EQ1100" s="334"/>
      <c r="ER1100" s="334"/>
      <c r="ES1100" s="334"/>
      <c r="ET1100" s="334"/>
      <c r="EU1100" s="334"/>
      <c r="EV1100" s="334"/>
    </row>
    <row r="1101" spans="35:152" ht="13">
      <c r="AI1101" s="115" t="s">
        <v>1416</v>
      </c>
      <c r="AJ1101" t="s">
        <v>2114</v>
      </c>
      <c r="AK1101" s="115">
        <v>0</v>
      </c>
      <c r="AL1101" s="115" t="s">
        <v>1842</v>
      </c>
      <c r="AM1101" s="115" t="s">
        <v>1846</v>
      </c>
      <c r="AN1101" s="115" t="s">
        <v>1677</v>
      </c>
      <c r="AO1101" s="115" t="s">
        <v>386</v>
      </c>
      <c r="DR1101" s="214"/>
      <c r="DY1101" s="115"/>
      <c r="DZ1101" s="334"/>
      <c r="EA1101" s="334"/>
      <c r="EB1101" s="334"/>
      <c r="EC1101" s="334"/>
      <c r="ED1101" s="187"/>
      <c r="EE1101" s="330"/>
      <c r="EH1101" s="334"/>
      <c r="EI1101" s="334"/>
      <c r="EM1101"/>
      <c r="EO1101" s="115"/>
      <c r="EP1101" s="334"/>
      <c r="EQ1101" s="334"/>
      <c r="ER1101" s="334"/>
      <c r="ES1101" s="334"/>
      <c r="ET1101" s="334"/>
      <c r="EU1101" s="334"/>
      <c r="EV1101" s="334"/>
    </row>
    <row r="1102" spans="35:152" ht="13">
      <c r="AI1102" s="115" t="s">
        <v>1416</v>
      </c>
      <c r="AJ1102" t="s">
        <v>2114</v>
      </c>
      <c r="AK1102" s="115">
        <v>0</v>
      </c>
      <c r="AL1102" s="115" t="s">
        <v>1842</v>
      </c>
      <c r="AM1102" s="115" t="s">
        <v>1843</v>
      </c>
      <c r="AN1102" s="115" t="s">
        <v>1677</v>
      </c>
      <c r="AO1102" s="115" t="s">
        <v>386</v>
      </c>
      <c r="DR1102" s="214"/>
      <c r="DY1102" s="115"/>
      <c r="DZ1102" s="334"/>
      <c r="EA1102" s="334"/>
      <c r="EB1102" s="334"/>
      <c r="EC1102" s="334"/>
      <c r="ED1102" s="187"/>
      <c r="EE1102" s="330"/>
      <c r="EH1102" s="334"/>
      <c r="EI1102" s="334"/>
      <c r="EM1102"/>
      <c r="EO1102" s="115"/>
      <c r="EP1102" s="334"/>
      <c r="EQ1102" s="334"/>
      <c r="ER1102" s="334"/>
      <c r="ES1102" s="334"/>
      <c r="ET1102" s="334"/>
      <c r="EU1102" s="334"/>
      <c r="EV1102" s="334"/>
    </row>
    <row r="1103" spans="35:152" ht="13">
      <c r="AI1103" s="115" t="s">
        <v>1416</v>
      </c>
      <c r="AJ1103" t="s">
        <v>2114</v>
      </c>
      <c r="AK1103" s="115">
        <v>0</v>
      </c>
      <c r="AL1103" s="115" t="s">
        <v>1842</v>
      </c>
      <c r="AM1103" s="115" t="s">
        <v>1843</v>
      </c>
      <c r="AN1103" s="115" t="s">
        <v>1678</v>
      </c>
      <c r="AO1103" s="115" t="s">
        <v>386</v>
      </c>
      <c r="DR1103" s="214"/>
      <c r="DY1103" s="115"/>
      <c r="DZ1103" s="334"/>
      <c r="EA1103" s="334"/>
      <c r="EB1103" s="334"/>
      <c r="EC1103" s="334"/>
      <c r="ED1103" s="187"/>
      <c r="EE1103" s="330"/>
      <c r="EH1103" s="334"/>
      <c r="EI1103" s="334"/>
      <c r="EM1103"/>
      <c r="EO1103" s="115"/>
      <c r="EP1103" s="334"/>
      <c r="EQ1103" s="334"/>
      <c r="ER1103" s="334"/>
      <c r="ES1103" s="334"/>
      <c r="ET1103" s="334"/>
      <c r="EU1103" s="334"/>
      <c r="EV1103" s="334"/>
    </row>
    <row r="1104" spans="35:152" ht="13">
      <c r="AI1104" s="115" t="s">
        <v>1416</v>
      </c>
      <c r="AJ1104" t="s">
        <v>2114</v>
      </c>
      <c r="AK1104" s="115">
        <v>0</v>
      </c>
      <c r="AL1104" s="115" t="s">
        <v>28</v>
      </c>
      <c r="AM1104" s="115" t="s">
        <v>1843</v>
      </c>
      <c r="AN1104" s="115" t="s">
        <v>1678</v>
      </c>
      <c r="AO1104" s="115" t="s">
        <v>386</v>
      </c>
      <c r="DR1104" s="214"/>
      <c r="DY1104" s="115"/>
      <c r="DZ1104" s="334"/>
      <c r="EA1104" s="334"/>
      <c r="EB1104" s="334"/>
      <c r="EC1104" s="334"/>
      <c r="ED1104" s="187"/>
      <c r="EE1104" s="330"/>
      <c r="EH1104" s="334"/>
      <c r="EI1104" s="334"/>
      <c r="EM1104"/>
      <c r="EO1104" s="115"/>
      <c r="EP1104" s="334"/>
      <c r="EQ1104" s="334"/>
      <c r="ER1104" s="334"/>
      <c r="ES1104" s="334"/>
      <c r="ET1104" s="334"/>
      <c r="EU1104" s="334"/>
      <c r="EV1104" s="334"/>
    </row>
    <row r="1105" spans="35:152" ht="13">
      <c r="AI1105" s="115" t="s">
        <v>1416</v>
      </c>
      <c r="AJ1105" t="s">
        <v>2114</v>
      </c>
      <c r="AK1105" s="115">
        <v>0</v>
      </c>
      <c r="AL1105" s="115" t="s">
        <v>1842</v>
      </c>
      <c r="AM1105" s="115" t="s">
        <v>1846</v>
      </c>
      <c r="AN1105" s="115" t="s">
        <v>1678</v>
      </c>
      <c r="AO1105" s="115" t="s">
        <v>386</v>
      </c>
      <c r="DR1105" s="214"/>
      <c r="DY1105" s="115"/>
      <c r="DZ1105" s="334"/>
      <c r="EA1105" s="334"/>
      <c r="EB1105" s="334"/>
      <c r="EC1105" s="334"/>
      <c r="ED1105" s="187"/>
      <c r="EE1105" s="330"/>
      <c r="EH1105" s="334"/>
      <c r="EI1105" s="334"/>
      <c r="EM1105"/>
      <c r="EO1105" s="115"/>
      <c r="EP1105" s="334"/>
      <c r="EQ1105" s="334"/>
      <c r="ER1105" s="334"/>
      <c r="ES1105" s="334"/>
      <c r="ET1105" s="334"/>
      <c r="EU1105" s="334"/>
      <c r="EV1105" s="334"/>
    </row>
    <row r="1106" spans="35:152" ht="13">
      <c r="AI1106" s="115" t="s">
        <v>1416</v>
      </c>
      <c r="AJ1106" t="s">
        <v>2114</v>
      </c>
      <c r="AK1106" s="115">
        <v>0</v>
      </c>
      <c r="AL1106" s="115" t="s">
        <v>28</v>
      </c>
      <c r="AM1106" s="115" t="s">
        <v>1846</v>
      </c>
      <c r="AN1106" s="115" t="s">
        <v>1678</v>
      </c>
      <c r="AO1106" s="115" t="s">
        <v>386</v>
      </c>
      <c r="DR1106" s="214"/>
      <c r="DY1106" s="115"/>
      <c r="DZ1106" s="334"/>
      <c r="EA1106" s="334"/>
      <c r="EB1106" s="334"/>
      <c r="EC1106" s="334"/>
      <c r="ED1106" s="187"/>
      <c r="EE1106" s="330"/>
      <c r="EH1106" s="334"/>
      <c r="EI1106" s="334"/>
      <c r="EM1106"/>
      <c r="EO1106" s="115"/>
      <c r="EP1106" s="334"/>
      <c r="EQ1106" s="334"/>
      <c r="ER1106" s="334"/>
      <c r="ES1106" s="334"/>
      <c r="ET1106" s="334"/>
      <c r="EU1106" s="334"/>
      <c r="EV1106" s="334"/>
    </row>
    <row r="1107" spans="35:152" ht="13">
      <c r="AI1107" s="115" t="s">
        <v>1416</v>
      </c>
      <c r="AJ1107" t="s">
        <v>2114</v>
      </c>
      <c r="AK1107" s="115">
        <v>0</v>
      </c>
      <c r="AL1107" s="115" t="s">
        <v>28</v>
      </c>
      <c r="AM1107" s="115" t="s">
        <v>1843</v>
      </c>
      <c r="AN1107" s="115" t="s">
        <v>404</v>
      </c>
      <c r="AO1107" s="115" t="s">
        <v>386</v>
      </c>
      <c r="DR1107" s="214"/>
      <c r="DY1107" s="115"/>
      <c r="DZ1107" s="334"/>
      <c r="EA1107" s="334"/>
      <c r="EB1107" s="334"/>
      <c r="EC1107" s="334"/>
      <c r="ED1107" s="187"/>
      <c r="EE1107" s="330"/>
      <c r="EH1107" s="334"/>
      <c r="EI1107" s="334"/>
      <c r="EM1107"/>
      <c r="EO1107" s="115"/>
      <c r="EP1107" s="334"/>
      <c r="EQ1107" s="334"/>
      <c r="ER1107" s="334"/>
      <c r="ES1107" s="334"/>
      <c r="ET1107" s="334"/>
      <c r="EU1107" s="334"/>
      <c r="EV1107" s="334"/>
    </row>
    <row r="1108" spans="35:152" ht="13">
      <c r="AI1108" s="115" t="s">
        <v>1416</v>
      </c>
      <c r="AJ1108" t="s">
        <v>2114</v>
      </c>
      <c r="AK1108" s="115">
        <v>0</v>
      </c>
      <c r="AL1108" s="115" t="s">
        <v>28</v>
      </c>
      <c r="AM1108" s="115" t="s">
        <v>1846</v>
      </c>
      <c r="AN1108" s="115" t="s">
        <v>404</v>
      </c>
      <c r="AO1108" s="115" t="s">
        <v>386</v>
      </c>
      <c r="DR1108" s="214"/>
      <c r="DY1108" s="115"/>
      <c r="DZ1108" s="334"/>
      <c r="EA1108" s="334"/>
      <c r="EB1108" s="334"/>
      <c r="EC1108" s="334"/>
      <c r="ED1108" s="187"/>
      <c r="EE1108" s="330"/>
      <c r="EH1108" s="334"/>
      <c r="EI1108" s="334"/>
      <c r="EM1108"/>
      <c r="EO1108" s="115"/>
      <c r="EP1108" s="334"/>
      <c r="EQ1108" s="334"/>
      <c r="ER1108" s="334"/>
      <c r="ES1108" s="334"/>
      <c r="ET1108" s="334"/>
      <c r="EU1108" s="334"/>
      <c r="EV1108" s="334"/>
    </row>
    <row r="1109" spans="35:152" ht="13">
      <c r="AI1109" s="115" t="s">
        <v>1415</v>
      </c>
      <c r="AJ1109" t="s">
        <v>2114</v>
      </c>
      <c r="AK1109" s="115">
        <v>0</v>
      </c>
      <c r="AL1109" s="115" t="s">
        <v>28</v>
      </c>
      <c r="AM1109" s="115" t="s">
        <v>1832</v>
      </c>
      <c r="AN1109" s="115" t="s">
        <v>362</v>
      </c>
      <c r="AO1109" s="115" t="s">
        <v>381</v>
      </c>
      <c r="DR1109" s="214"/>
      <c r="DY1109" s="115"/>
      <c r="DZ1109" s="334"/>
      <c r="EA1109" s="334"/>
      <c r="EB1109" s="334"/>
      <c r="EC1109" s="334"/>
      <c r="ED1109" s="187"/>
      <c r="EE1109" s="330"/>
      <c r="EH1109" s="334"/>
      <c r="EI1109" s="334"/>
      <c r="EM1109"/>
      <c r="EO1109" s="115"/>
      <c r="EP1109" s="334"/>
      <c r="EQ1109" s="334"/>
      <c r="ER1109" s="334"/>
      <c r="ES1109" s="334"/>
      <c r="ET1109" s="334"/>
      <c r="EU1109" s="334"/>
      <c r="EV1109" s="334"/>
    </row>
    <row r="1110" spans="35:152" ht="13">
      <c r="AI1110" s="115" t="s">
        <v>1415</v>
      </c>
      <c r="AJ1110" t="s">
        <v>2114</v>
      </c>
      <c r="AK1110" s="115">
        <v>0</v>
      </c>
      <c r="AL1110" s="115" t="s">
        <v>28</v>
      </c>
      <c r="AM1110" s="115" t="s">
        <v>1846</v>
      </c>
      <c r="AN1110" s="115" t="s">
        <v>362</v>
      </c>
      <c r="AO1110" s="115" t="s">
        <v>381</v>
      </c>
      <c r="DR1110" s="214"/>
      <c r="DY1110" s="115"/>
      <c r="DZ1110" s="334"/>
      <c r="EA1110" s="334"/>
      <c r="EB1110" s="334"/>
      <c r="EC1110" s="334"/>
      <c r="ED1110" s="187"/>
      <c r="EE1110" s="330"/>
      <c r="EH1110" s="334"/>
      <c r="EI1110" s="334"/>
      <c r="EM1110"/>
      <c r="EO1110" s="115"/>
      <c r="EP1110" s="334"/>
      <c r="EQ1110" s="334"/>
      <c r="ER1110" s="334"/>
      <c r="ES1110" s="334"/>
      <c r="ET1110" s="334"/>
      <c r="EU1110" s="334"/>
      <c r="EV1110" s="334"/>
    </row>
    <row r="1111" spans="35:152" ht="13">
      <c r="AI1111" s="115" t="s">
        <v>1415</v>
      </c>
      <c r="AJ1111" t="s">
        <v>2114</v>
      </c>
      <c r="AK1111" s="115">
        <v>0</v>
      </c>
      <c r="AL1111" s="115" t="s">
        <v>28</v>
      </c>
      <c r="AM1111" s="115" t="s">
        <v>1848</v>
      </c>
      <c r="AN1111" s="115" t="s">
        <v>362</v>
      </c>
      <c r="AO1111" s="115" t="s">
        <v>381</v>
      </c>
      <c r="DR1111" s="214"/>
      <c r="DY1111" s="115"/>
      <c r="DZ1111" s="334"/>
      <c r="EA1111" s="334"/>
      <c r="EB1111" s="334"/>
      <c r="EC1111" s="334"/>
      <c r="ED1111" s="187"/>
      <c r="EE1111" s="330"/>
      <c r="EH1111" s="334"/>
      <c r="EI1111" s="334"/>
      <c r="EM1111"/>
      <c r="EO1111" s="115"/>
      <c r="EP1111" s="334"/>
      <c r="EQ1111" s="334"/>
      <c r="ER1111" s="334"/>
      <c r="ES1111" s="334"/>
      <c r="ET1111" s="334"/>
      <c r="EU1111" s="334"/>
      <c r="EV1111" s="334"/>
    </row>
    <row r="1112" spans="35:152" ht="13">
      <c r="AI1112" s="115" t="s">
        <v>1415</v>
      </c>
      <c r="AJ1112" t="s">
        <v>2114</v>
      </c>
      <c r="AK1112" s="115">
        <v>0</v>
      </c>
      <c r="AL1112" s="115" t="s">
        <v>28</v>
      </c>
      <c r="AM1112" s="115" t="s">
        <v>1843</v>
      </c>
      <c r="AN1112" s="115" t="s">
        <v>362</v>
      </c>
      <c r="AO1112" s="115" t="s">
        <v>381</v>
      </c>
      <c r="DR1112" s="214"/>
      <c r="DY1112" s="115"/>
      <c r="DZ1112" s="334"/>
      <c r="EA1112" s="334"/>
      <c r="EB1112" s="334"/>
      <c r="EC1112" s="334"/>
      <c r="ED1112" s="187"/>
      <c r="EE1112" s="330"/>
      <c r="EH1112" s="334"/>
      <c r="EI1112" s="334"/>
      <c r="EM1112"/>
      <c r="EO1112" s="115"/>
      <c r="EP1112" s="334"/>
      <c r="EQ1112" s="334"/>
      <c r="ER1112" s="334"/>
      <c r="ES1112" s="334"/>
      <c r="ET1112" s="334"/>
      <c r="EU1112" s="334"/>
      <c r="EV1112" s="334"/>
    </row>
    <row r="1113" spans="35:152" ht="13">
      <c r="AI1113" s="115" t="s">
        <v>1415</v>
      </c>
      <c r="AJ1113" t="s">
        <v>2114</v>
      </c>
      <c r="AK1113" s="115">
        <v>0</v>
      </c>
      <c r="AL1113" s="115" t="s">
        <v>28</v>
      </c>
      <c r="AM1113" s="115" t="s">
        <v>1849</v>
      </c>
      <c r="AN1113" s="115" t="s">
        <v>362</v>
      </c>
      <c r="AO1113" s="115" t="s">
        <v>381</v>
      </c>
      <c r="DR1113" s="214"/>
      <c r="DY1113" s="115"/>
      <c r="DZ1113" s="334"/>
      <c r="EA1113" s="334"/>
      <c r="EB1113" s="334"/>
      <c r="EC1113" s="334"/>
      <c r="ED1113" s="187"/>
      <c r="EE1113" s="330"/>
      <c r="EH1113" s="334"/>
      <c r="EI1113" s="334"/>
      <c r="EM1113"/>
      <c r="EO1113" s="115"/>
      <c r="EP1113" s="334"/>
      <c r="EQ1113" s="334"/>
      <c r="ER1113" s="334"/>
      <c r="ES1113" s="334"/>
      <c r="ET1113" s="334"/>
      <c r="EU1113" s="334"/>
      <c r="EV1113" s="334"/>
    </row>
    <row r="1114" spans="35:152" ht="13">
      <c r="AI1114" s="115" t="s">
        <v>1415</v>
      </c>
      <c r="AJ1114" t="s">
        <v>2114</v>
      </c>
      <c r="AK1114" s="115">
        <v>0</v>
      </c>
      <c r="AL1114" s="115" t="s">
        <v>28</v>
      </c>
      <c r="AM1114" s="115" t="s">
        <v>1850</v>
      </c>
      <c r="AN1114" s="115" t="s">
        <v>362</v>
      </c>
      <c r="AO1114" s="115" t="s">
        <v>381</v>
      </c>
      <c r="DR1114" s="214"/>
      <c r="DY1114" s="115"/>
      <c r="DZ1114" s="334"/>
      <c r="EA1114" s="334"/>
      <c r="EB1114" s="334"/>
      <c r="EC1114" s="334"/>
      <c r="ED1114" s="187"/>
      <c r="EE1114" s="330"/>
      <c r="EH1114" s="334"/>
      <c r="EI1114" s="334"/>
      <c r="EM1114"/>
      <c r="EO1114" s="115"/>
      <c r="EP1114" s="334"/>
      <c r="EQ1114" s="334"/>
      <c r="ER1114" s="334"/>
      <c r="ES1114" s="334"/>
      <c r="ET1114" s="334"/>
      <c r="EU1114" s="334"/>
      <c r="EV1114" s="334"/>
    </row>
    <row r="1115" spans="35:152" ht="13">
      <c r="AI1115" s="115" t="s">
        <v>1415</v>
      </c>
      <c r="AJ1115" t="s">
        <v>2114</v>
      </c>
      <c r="AK1115" s="115">
        <v>0</v>
      </c>
      <c r="AL1115" s="115" t="s">
        <v>28</v>
      </c>
      <c r="AM1115" s="115" t="s">
        <v>1843</v>
      </c>
      <c r="AN1115" s="115" t="s">
        <v>362</v>
      </c>
      <c r="AO1115" s="115" t="s">
        <v>1646</v>
      </c>
      <c r="DR1115" s="214"/>
      <c r="DY1115" s="115"/>
      <c r="DZ1115" s="334"/>
      <c r="EA1115" s="334"/>
      <c r="EB1115" s="334"/>
      <c r="EC1115" s="334"/>
      <c r="ED1115" s="187"/>
      <c r="EE1115" s="330"/>
      <c r="EH1115" s="334"/>
      <c r="EI1115" s="334"/>
      <c r="EM1115"/>
      <c r="EO1115" s="115"/>
      <c r="EP1115" s="334"/>
      <c r="EQ1115" s="334"/>
      <c r="ER1115" s="334"/>
      <c r="ES1115" s="334"/>
      <c r="ET1115" s="334"/>
      <c r="EU1115" s="334"/>
      <c r="EV1115" s="334"/>
    </row>
    <row r="1116" spans="35:152" ht="13">
      <c r="AI1116" s="115" t="s">
        <v>1415</v>
      </c>
      <c r="AJ1116" t="s">
        <v>2114</v>
      </c>
      <c r="AK1116" s="115">
        <v>0</v>
      </c>
      <c r="AL1116" s="115" t="s">
        <v>28</v>
      </c>
      <c r="AM1116" s="115" t="s">
        <v>1846</v>
      </c>
      <c r="AN1116" s="115" t="s">
        <v>362</v>
      </c>
      <c r="AO1116" s="115" t="s">
        <v>1646</v>
      </c>
      <c r="DR1116" s="214"/>
      <c r="DY1116" s="115"/>
      <c r="DZ1116" s="334"/>
      <c r="EA1116" s="334"/>
      <c r="EB1116" s="334"/>
      <c r="EC1116" s="334"/>
      <c r="ED1116" s="187"/>
      <c r="EE1116" s="330"/>
      <c r="EH1116" s="334"/>
      <c r="EI1116" s="334"/>
      <c r="EM1116"/>
      <c r="EO1116" s="115"/>
      <c r="EP1116" s="334"/>
      <c r="EQ1116" s="334"/>
      <c r="ER1116" s="334"/>
      <c r="ES1116" s="334"/>
      <c r="ET1116" s="334"/>
      <c r="EU1116" s="334"/>
      <c r="EV1116" s="334"/>
    </row>
    <row r="1117" spans="35:152" ht="13">
      <c r="AI1117" s="115" t="s">
        <v>1415</v>
      </c>
      <c r="AJ1117" t="s">
        <v>2114</v>
      </c>
      <c r="AK1117" s="115">
        <v>0</v>
      </c>
      <c r="AL1117" s="115" t="s">
        <v>28</v>
      </c>
      <c r="AM1117" s="115" t="s">
        <v>1843</v>
      </c>
      <c r="AN1117" s="115" t="s">
        <v>1417</v>
      </c>
      <c r="AO1117" s="115" t="s">
        <v>1641</v>
      </c>
      <c r="DR1117" s="214"/>
      <c r="DY1117" s="115"/>
      <c r="DZ1117" s="334"/>
      <c r="EA1117" s="334"/>
      <c r="EB1117" s="334"/>
      <c r="EC1117" s="334"/>
      <c r="ED1117" s="187"/>
      <c r="EE1117" s="330"/>
      <c r="EH1117" s="334"/>
      <c r="EI1117" s="334"/>
      <c r="EM1117"/>
      <c r="EO1117" s="115"/>
      <c r="EP1117" s="334"/>
      <c r="EQ1117" s="334"/>
      <c r="ER1117" s="334"/>
      <c r="ES1117" s="334"/>
      <c r="ET1117" s="334"/>
      <c r="EU1117" s="334"/>
      <c r="EV1117" s="334"/>
    </row>
    <row r="1118" spans="35:152" ht="13">
      <c r="AI1118" s="115" t="s">
        <v>1415</v>
      </c>
      <c r="AJ1118" t="s">
        <v>2114</v>
      </c>
      <c r="AK1118" s="115">
        <v>0</v>
      </c>
      <c r="AL1118" s="115" t="s">
        <v>28</v>
      </c>
      <c r="AM1118" s="115" t="s">
        <v>1848</v>
      </c>
      <c r="AN1118" s="115" t="s">
        <v>1417</v>
      </c>
      <c r="AO1118" s="115" t="s">
        <v>1641</v>
      </c>
      <c r="DR1118" s="214"/>
      <c r="DY1118" s="115"/>
      <c r="DZ1118" s="334"/>
      <c r="EA1118" s="334"/>
      <c r="EB1118" s="334"/>
      <c r="EC1118" s="334"/>
      <c r="ED1118" s="187"/>
      <c r="EE1118" s="330"/>
      <c r="EH1118" s="334"/>
      <c r="EI1118" s="334"/>
      <c r="EM1118"/>
      <c r="EO1118" s="115"/>
      <c r="EP1118" s="334"/>
      <c r="EQ1118" s="334"/>
      <c r="ER1118" s="334"/>
      <c r="ES1118" s="334"/>
      <c r="ET1118" s="334"/>
      <c r="EU1118" s="334"/>
      <c r="EV1118" s="334"/>
    </row>
    <row r="1119" spans="35:152" ht="13">
      <c r="AI1119" s="115" t="s">
        <v>1415</v>
      </c>
      <c r="AJ1119" t="s">
        <v>2114</v>
      </c>
      <c r="AK1119" s="115">
        <v>0</v>
      </c>
      <c r="AL1119" s="115" t="s">
        <v>28</v>
      </c>
      <c r="AM1119" s="115" t="s">
        <v>1850</v>
      </c>
      <c r="AN1119" s="115" t="s">
        <v>1417</v>
      </c>
      <c r="AO1119" s="115" t="s">
        <v>1641</v>
      </c>
      <c r="DR1119" s="214"/>
      <c r="DY1119" s="115"/>
      <c r="DZ1119" s="334"/>
      <c r="EA1119" s="334"/>
      <c r="EB1119" s="334"/>
      <c r="EC1119" s="334"/>
      <c r="ED1119" s="187"/>
      <c r="EE1119" s="330"/>
      <c r="EH1119" s="334"/>
      <c r="EI1119" s="334"/>
      <c r="EM1119"/>
      <c r="EO1119" s="115"/>
      <c r="EP1119" s="334"/>
      <c r="EQ1119" s="334"/>
      <c r="ER1119" s="334"/>
      <c r="ES1119" s="334"/>
      <c r="ET1119" s="334"/>
      <c r="EU1119" s="334"/>
      <c r="EV1119" s="334"/>
    </row>
    <row r="1120" spans="35:152" ht="13">
      <c r="AI1120" s="115" t="s">
        <v>1415</v>
      </c>
      <c r="AJ1120" t="s">
        <v>2114</v>
      </c>
      <c r="AK1120" s="115">
        <v>0</v>
      </c>
      <c r="AL1120" s="115" t="s">
        <v>28</v>
      </c>
      <c r="AM1120" s="115" t="s">
        <v>1832</v>
      </c>
      <c r="AN1120" s="115" t="s">
        <v>1417</v>
      </c>
      <c r="AO1120" s="115" t="s">
        <v>1641</v>
      </c>
      <c r="DR1120" s="214"/>
      <c r="DY1120" s="115"/>
      <c r="DZ1120" s="334"/>
      <c r="EA1120" s="334"/>
      <c r="EB1120" s="334"/>
      <c r="EC1120" s="334"/>
      <c r="ED1120" s="187"/>
      <c r="EE1120" s="330"/>
      <c r="EH1120" s="334"/>
      <c r="EI1120" s="334"/>
      <c r="EM1120"/>
      <c r="EO1120" s="115"/>
      <c r="EP1120" s="334"/>
      <c r="EQ1120" s="334"/>
      <c r="ER1120" s="334"/>
      <c r="ES1120" s="334"/>
      <c r="ET1120" s="334"/>
      <c r="EU1120" s="334"/>
      <c r="EV1120" s="334"/>
    </row>
    <row r="1121" spans="35:152" ht="13">
      <c r="AI1121" s="115" t="s">
        <v>1415</v>
      </c>
      <c r="AJ1121" t="s">
        <v>2114</v>
      </c>
      <c r="AK1121" s="115">
        <v>0</v>
      </c>
      <c r="AL1121" s="115" t="s">
        <v>28</v>
      </c>
      <c r="AM1121" s="115" t="s">
        <v>1846</v>
      </c>
      <c r="AN1121" s="115" t="s">
        <v>417</v>
      </c>
      <c r="AO1121" s="115" t="s">
        <v>1645</v>
      </c>
      <c r="DR1121" s="214"/>
      <c r="DY1121" s="115"/>
      <c r="DZ1121" s="334"/>
      <c r="EA1121" s="334"/>
      <c r="EB1121" s="334"/>
      <c r="EC1121" s="334"/>
      <c r="ED1121" s="187"/>
      <c r="EE1121" s="330"/>
      <c r="EH1121" s="334"/>
      <c r="EI1121" s="334"/>
      <c r="EM1121"/>
      <c r="EO1121" s="115"/>
      <c r="EP1121" s="334"/>
      <c r="EQ1121" s="334"/>
      <c r="ER1121" s="334"/>
      <c r="ES1121" s="334"/>
      <c r="ET1121" s="334"/>
      <c r="EU1121" s="334"/>
      <c r="EV1121" s="334"/>
    </row>
    <row r="1122" spans="35:152" ht="13">
      <c r="AI1122" s="115" t="s">
        <v>1415</v>
      </c>
      <c r="AJ1122" t="s">
        <v>2114</v>
      </c>
      <c r="AK1122" s="115">
        <v>0</v>
      </c>
      <c r="AL1122" s="115" t="s">
        <v>28</v>
      </c>
      <c r="AM1122" s="115" t="s">
        <v>1848</v>
      </c>
      <c r="AN1122" s="115" t="s">
        <v>417</v>
      </c>
      <c r="AO1122" s="115" t="s">
        <v>1645</v>
      </c>
      <c r="DR1122" s="214"/>
      <c r="DY1122" s="115"/>
      <c r="DZ1122" s="334"/>
      <c r="EA1122" s="334"/>
      <c r="EB1122" s="334"/>
      <c r="EC1122" s="334"/>
      <c r="ED1122" s="187"/>
      <c r="EE1122" s="330"/>
      <c r="EH1122" s="334"/>
      <c r="EI1122" s="334"/>
      <c r="EM1122"/>
      <c r="EO1122" s="115"/>
      <c r="EP1122" s="334"/>
      <c r="EQ1122" s="334"/>
      <c r="ER1122" s="334"/>
      <c r="ES1122" s="334"/>
      <c r="ET1122" s="334"/>
      <c r="EU1122" s="334"/>
      <c r="EV1122" s="334"/>
    </row>
    <row r="1123" spans="35:152" ht="13">
      <c r="AI1123" s="115" t="s">
        <v>1415</v>
      </c>
      <c r="AJ1123" t="s">
        <v>2114</v>
      </c>
      <c r="AK1123" s="115">
        <v>0</v>
      </c>
      <c r="AL1123" s="115" t="s">
        <v>28</v>
      </c>
      <c r="AM1123" s="115" t="s">
        <v>1843</v>
      </c>
      <c r="AN1123" s="115" t="s">
        <v>417</v>
      </c>
      <c r="AO1123" s="115" t="s">
        <v>1645</v>
      </c>
      <c r="DR1123" s="214"/>
      <c r="DY1123" s="115"/>
      <c r="DZ1123" s="334"/>
      <c r="EA1123" s="334"/>
      <c r="EB1123" s="334"/>
      <c r="EC1123" s="334"/>
      <c r="ED1123" s="187"/>
      <c r="EE1123" s="330"/>
      <c r="EH1123" s="334"/>
      <c r="EI1123" s="334"/>
      <c r="EM1123"/>
      <c r="EO1123" s="115"/>
      <c r="EP1123" s="334"/>
      <c r="EQ1123" s="334"/>
      <c r="ER1123" s="334"/>
      <c r="ES1123" s="334"/>
      <c r="ET1123" s="334"/>
      <c r="EU1123" s="334"/>
      <c r="EV1123" s="334"/>
    </row>
    <row r="1124" spans="35:152" ht="13">
      <c r="AI1124" s="115" t="s">
        <v>1415</v>
      </c>
      <c r="AJ1124" t="s">
        <v>2114</v>
      </c>
      <c r="AK1124" s="115">
        <v>0</v>
      </c>
      <c r="AL1124" s="115" t="s">
        <v>28</v>
      </c>
      <c r="AM1124" s="115" t="s">
        <v>1832</v>
      </c>
      <c r="AN1124" s="115" t="s">
        <v>417</v>
      </c>
      <c r="AO1124" s="115" t="s">
        <v>1645</v>
      </c>
      <c r="DR1124" s="214"/>
      <c r="DY1124" s="115"/>
      <c r="DZ1124" s="334"/>
      <c r="EA1124" s="334"/>
      <c r="EB1124" s="334"/>
      <c r="EC1124" s="334"/>
      <c r="ED1124" s="187"/>
      <c r="EE1124" s="330"/>
      <c r="EH1124" s="334"/>
      <c r="EI1124" s="334"/>
      <c r="EM1124"/>
      <c r="EO1124" s="115"/>
      <c r="EP1124" s="334"/>
      <c r="EQ1124" s="334"/>
      <c r="ER1124" s="334"/>
      <c r="ES1124" s="334"/>
      <c r="ET1124" s="334"/>
      <c r="EU1124" s="334"/>
      <c r="EV1124" s="334"/>
    </row>
    <row r="1125" spans="35:152" ht="13">
      <c r="AI1125" s="115" t="s">
        <v>1415</v>
      </c>
      <c r="AJ1125" t="s">
        <v>2114</v>
      </c>
      <c r="AK1125" s="115">
        <v>0</v>
      </c>
      <c r="AL1125" s="115" t="s">
        <v>28</v>
      </c>
      <c r="AM1125" s="115" t="s">
        <v>1849</v>
      </c>
      <c r="AN1125" s="115" t="s">
        <v>417</v>
      </c>
      <c r="AO1125" s="115" t="s">
        <v>1645</v>
      </c>
      <c r="DR1125" s="214"/>
      <c r="DY1125" s="115"/>
      <c r="DZ1125" s="334"/>
      <c r="EA1125" s="334"/>
      <c r="EB1125" s="334"/>
      <c r="EC1125" s="334"/>
      <c r="ED1125" s="187"/>
      <c r="EE1125" s="330"/>
      <c r="EH1125" s="334"/>
      <c r="EI1125" s="334"/>
      <c r="EM1125"/>
      <c r="EO1125" s="115"/>
      <c r="EP1125" s="334"/>
      <c r="EQ1125" s="334"/>
      <c r="ER1125" s="334"/>
      <c r="ES1125" s="334"/>
      <c r="ET1125" s="334"/>
      <c r="EU1125" s="334"/>
      <c r="EV1125" s="334"/>
    </row>
    <row r="1126" spans="35:152" ht="13">
      <c r="AI1126" s="115" t="s">
        <v>1415</v>
      </c>
      <c r="AJ1126" t="s">
        <v>2114</v>
      </c>
      <c r="AK1126" s="115">
        <v>0</v>
      </c>
      <c r="AL1126" s="115" t="s">
        <v>28</v>
      </c>
      <c r="AM1126" s="115" t="s">
        <v>1850</v>
      </c>
      <c r="AN1126" s="115" t="s">
        <v>417</v>
      </c>
      <c r="AO1126" s="115" t="s">
        <v>1645</v>
      </c>
      <c r="DR1126" s="214"/>
      <c r="DY1126" s="115"/>
      <c r="DZ1126" s="334"/>
      <c r="EA1126" s="334"/>
      <c r="EB1126" s="334"/>
      <c r="EC1126" s="334"/>
      <c r="ED1126" s="187"/>
      <c r="EE1126" s="330"/>
      <c r="EH1126" s="334"/>
      <c r="EI1126" s="334"/>
      <c r="EM1126"/>
      <c r="EO1126" s="115"/>
      <c r="EP1126" s="334"/>
      <c r="EQ1126" s="334"/>
      <c r="ER1126" s="334"/>
      <c r="ES1126" s="334"/>
      <c r="ET1126" s="334"/>
      <c r="EU1126" s="334"/>
      <c r="EV1126" s="334"/>
    </row>
    <row r="1127" spans="35:152" ht="13">
      <c r="AI1127" s="115" t="s">
        <v>1415</v>
      </c>
      <c r="AJ1127" t="s">
        <v>2114</v>
      </c>
      <c r="AK1127" s="115">
        <v>0</v>
      </c>
      <c r="AL1127" s="115" t="s">
        <v>28</v>
      </c>
      <c r="AM1127" s="115" t="s">
        <v>1846</v>
      </c>
      <c r="AN1127" s="115" t="s">
        <v>417</v>
      </c>
      <c r="AO1127" s="115" t="s">
        <v>380</v>
      </c>
      <c r="DR1127" s="214"/>
      <c r="DY1127" s="115"/>
      <c r="DZ1127" s="334"/>
      <c r="EA1127" s="334"/>
      <c r="EB1127" s="334"/>
      <c r="EC1127" s="334"/>
      <c r="ED1127" s="187"/>
      <c r="EE1127" s="330"/>
      <c r="EH1127" s="334"/>
      <c r="EI1127" s="334"/>
      <c r="EM1127"/>
      <c r="EO1127" s="115"/>
      <c r="EP1127" s="334"/>
      <c r="EQ1127" s="334"/>
      <c r="ER1127" s="334"/>
      <c r="ES1127" s="334"/>
      <c r="ET1127" s="334"/>
      <c r="EU1127" s="334"/>
      <c r="EV1127" s="334"/>
    </row>
    <row r="1128" spans="35:152" ht="13">
      <c r="AI1128" s="115" t="s">
        <v>1415</v>
      </c>
      <c r="AJ1128" t="s">
        <v>2114</v>
      </c>
      <c r="AK1128" s="115">
        <v>0</v>
      </c>
      <c r="AL1128" s="115" t="s">
        <v>28</v>
      </c>
      <c r="AM1128" s="115" t="s">
        <v>1843</v>
      </c>
      <c r="AN1128" s="115" t="s">
        <v>417</v>
      </c>
      <c r="AO1128" s="115" t="s">
        <v>380</v>
      </c>
      <c r="DR1128" s="214"/>
      <c r="DY1128" s="115"/>
      <c r="DZ1128" s="334"/>
      <c r="EA1128" s="334"/>
      <c r="EB1128" s="334"/>
      <c r="EC1128" s="334"/>
      <c r="ED1128" s="187"/>
      <c r="EE1128" s="330"/>
      <c r="EH1128" s="334"/>
      <c r="EI1128" s="334"/>
      <c r="EM1128"/>
      <c r="EO1128" s="115"/>
      <c r="EP1128" s="334"/>
      <c r="EQ1128" s="334"/>
      <c r="ER1128" s="334"/>
      <c r="ES1128" s="334"/>
      <c r="ET1128" s="334"/>
      <c r="EU1128" s="334"/>
      <c r="EV1128" s="334"/>
    </row>
    <row r="1129" spans="35:152" ht="13">
      <c r="AI1129" s="115" t="s">
        <v>1415</v>
      </c>
      <c r="AJ1129" t="s">
        <v>2114</v>
      </c>
      <c r="AK1129" s="115">
        <v>0</v>
      </c>
      <c r="AL1129" s="115" t="s">
        <v>28</v>
      </c>
      <c r="AM1129" s="115" t="s">
        <v>1832</v>
      </c>
      <c r="AN1129" s="115" t="s">
        <v>417</v>
      </c>
      <c r="AO1129" s="115" t="s">
        <v>380</v>
      </c>
      <c r="DR1129" s="214"/>
      <c r="DY1129" s="115"/>
      <c r="DZ1129" s="334"/>
      <c r="EA1129" s="334"/>
      <c r="EB1129" s="334"/>
      <c r="EC1129" s="334"/>
      <c r="ED1129" s="187"/>
      <c r="EE1129" s="330"/>
      <c r="EH1129" s="334"/>
      <c r="EI1129" s="334"/>
      <c r="EM1129"/>
      <c r="EO1129" s="115"/>
      <c r="EP1129" s="334"/>
      <c r="EQ1129" s="334"/>
      <c r="ER1129" s="334"/>
      <c r="ES1129" s="334"/>
      <c r="ET1129" s="334"/>
      <c r="EU1129" s="334"/>
      <c r="EV1129" s="334"/>
    </row>
    <row r="1130" spans="35:152" ht="13">
      <c r="AI1130" s="115" t="s">
        <v>1415</v>
      </c>
      <c r="AJ1130" t="s">
        <v>2114</v>
      </c>
      <c r="AK1130" s="115">
        <v>0</v>
      </c>
      <c r="AL1130" s="115" t="s">
        <v>28</v>
      </c>
      <c r="AM1130" s="115" t="s">
        <v>1850</v>
      </c>
      <c r="AN1130" s="115" t="s">
        <v>417</v>
      </c>
      <c r="AO1130" s="115" t="s">
        <v>380</v>
      </c>
      <c r="DR1130" s="214"/>
      <c r="DY1130" s="115"/>
      <c r="DZ1130" s="334"/>
      <c r="EA1130" s="334"/>
      <c r="EB1130" s="334"/>
      <c r="EC1130" s="334"/>
      <c r="ED1130" s="187"/>
      <c r="EE1130" s="330"/>
      <c r="EH1130" s="334"/>
      <c r="EI1130" s="334"/>
      <c r="EM1130"/>
      <c r="EO1130" s="115"/>
      <c r="EP1130" s="334"/>
      <c r="EQ1130" s="334"/>
      <c r="ER1130" s="334"/>
      <c r="ES1130" s="334"/>
      <c r="ET1130" s="334"/>
      <c r="EU1130" s="334"/>
      <c r="EV1130" s="334"/>
    </row>
    <row r="1131" spans="35:152" ht="13">
      <c r="AI1131" s="115" t="s">
        <v>1415</v>
      </c>
      <c r="AJ1131" t="s">
        <v>2114</v>
      </c>
      <c r="AK1131" s="115">
        <v>0</v>
      </c>
      <c r="AL1131" s="115" t="s">
        <v>28</v>
      </c>
      <c r="AM1131" s="115" t="s">
        <v>1849</v>
      </c>
      <c r="AN1131" s="115" t="s">
        <v>417</v>
      </c>
      <c r="AO1131" s="115" t="s">
        <v>380</v>
      </c>
      <c r="DR1131" s="214"/>
      <c r="DY1131" s="115"/>
      <c r="DZ1131" s="334"/>
      <c r="EA1131" s="334"/>
      <c r="EB1131" s="334"/>
      <c r="EC1131" s="334"/>
      <c r="ED1131" s="187"/>
      <c r="EE1131" s="330"/>
      <c r="EH1131" s="334"/>
      <c r="EI1131" s="334"/>
      <c r="EM1131"/>
      <c r="EO1131" s="115"/>
      <c r="EP1131" s="334"/>
      <c r="EQ1131" s="334"/>
      <c r="ER1131" s="334"/>
      <c r="ES1131" s="334"/>
      <c r="ET1131" s="334"/>
      <c r="EU1131" s="334"/>
      <c r="EV1131" s="334"/>
    </row>
    <row r="1132" spans="35:152" ht="13">
      <c r="AI1132" s="115" t="s">
        <v>1415</v>
      </c>
      <c r="AJ1132" t="s">
        <v>2114</v>
      </c>
      <c r="AK1132" s="115">
        <v>0</v>
      </c>
      <c r="AL1132" s="115" t="s">
        <v>28</v>
      </c>
      <c r="AM1132" s="115" t="s">
        <v>1848</v>
      </c>
      <c r="AN1132" s="115" t="s">
        <v>417</v>
      </c>
      <c r="AO1132" s="115" t="s">
        <v>380</v>
      </c>
      <c r="DR1132" s="214"/>
      <c r="DY1132" s="115"/>
      <c r="DZ1132" s="334"/>
      <c r="EA1132" s="334"/>
      <c r="EB1132" s="334"/>
      <c r="EC1132" s="334"/>
      <c r="ED1132" s="187"/>
      <c r="EE1132" s="330"/>
      <c r="EH1132" s="334"/>
      <c r="EI1132" s="334"/>
      <c r="EM1132"/>
      <c r="EO1132" s="115"/>
      <c r="EP1132" s="334"/>
      <c r="EQ1132" s="334"/>
      <c r="ER1132" s="334"/>
      <c r="ES1132" s="334"/>
      <c r="ET1132" s="334"/>
      <c r="EU1132" s="334"/>
      <c r="EV1132" s="334"/>
    </row>
    <row r="1133" spans="35:152" ht="13">
      <c r="AI1133" s="115" t="s">
        <v>1415</v>
      </c>
      <c r="AJ1133" t="s">
        <v>2114</v>
      </c>
      <c r="AK1133" s="115">
        <v>0</v>
      </c>
      <c r="AL1133" s="115" t="s">
        <v>1842</v>
      </c>
      <c r="AM1133" s="115" t="s">
        <v>1846</v>
      </c>
      <c r="AN1133" s="115" t="s">
        <v>405</v>
      </c>
      <c r="AO1133" s="115" t="s">
        <v>386</v>
      </c>
      <c r="DR1133" s="214"/>
      <c r="DY1133" s="115"/>
      <c r="DZ1133" s="334"/>
      <c r="EA1133" s="334"/>
      <c r="EB1133" s="334"/>
      <c r="EC1133" s="334"/>
      <c r="ED1133" s="187"/>
      <c r="EE1133" s="330"/>
      <c r="EH1133" s="334"/>
      <c r="EI1133" s="334"/>
      <c r="EM1133"/>
      <c r="EO1133" s="115"/>
      <c r="EP1133" s="334"/>
      <c r="EQ1133" s="334"/>
      <c r="ER1133" s="334"/>
      <c r="ES1133" s="334"/>
      <c r="ET1133" s="334"/>
      <c r="EU1133" s="334"/>
      <c r="EV1133" s="334"/>
    </row>
    <row r="1134" spans="35:152" ht="13">
      <c r="AI1134" s="115" t="s">
        <v>1415</v>
      </c>
      <c r="AJ1134" t="s">
        <v>2114</v>
      </c>
      <c r="AK1134" s="115">
        <v>0</v>
      </c>
      <c r="AL1134" s="115" t="s">
        <v>1842</v>
      </c>
      <c r="AM1134" s="115" t="s">
        <v>1843</v>
      </c>
      <c r="AN1134" s="115" t="s">
        <v>405</v>
      </c>
      <c r="AO1134" s="115" t="s">
        <v>386</v>
      </c>
      <c r="DR1134" s="214"/>
      <c r="DY1134" s="115"/>
      <c r="DZ1134" s="334"/>
      <c r="EA1134" s="334"/>
      <c r="EB1134" s="334"/>
      <c r="EC1134" s="334"/>
      <c r="ED1134" s="187"/>
      <c r="EE1134" s="330"/>
      <c r="EH1134" s="334"/>
      <c r="EI1134" s="334"/>
      <c r="EM1134"/>
      <c r="EO1134" s="115"/>
      <c r="EP1134" s="334"/>
      <c r="EQ1134" s="334"/>
      <c r="ER1134" s="334"/>
      <c r="ES1134" s="334"/>
      <c r="ET1134" s="334"/>
      <c r="EU1134" s="334"/>
      <c r="EV1134" s="334"/>
    </row>
    <row r="1135" spans="35:152" ht="13">
      <c r="AI1135" s="115" t="s">
        <v>1415</v>
      </c>
      <c r="AJ1135" t="s">
        <v>2114</v>
      </c>
      <c r="AK1135" s="115">
        <v>0</v>
      </c>
      <c r="AL1135" s="115" t="s">
        <v>28</v>
      </c>
      <c r="AM1135" s="115" t="s">
        <v>1850</v>
      </c>
      <c r="AN1135" s="115" t="s">
        <v>1579</v>
      </c>
      <c r="AO1135" s="115" t="s">
        <v>1274</v>
      </c>
      <c r="DR1135" s="214"/>
      <c r="DY1135" s="115"/>
      <c r="DZ1135" s="334"/>
      <c r="EA1135" s="334"/>
      <c r="EB1135" s="334"/>
      <c r="EC1135" s="334"/>
      <c r="ED1135" s="187"/>
      <c r="EE1135" s="330"/>
      <c r="EH1135" s="334"/>
      <c r="EI1135" s="334"/>
      <c r="EM1135"/>
      <c r="EO1135" s="115"/>
      <c r="EP1135" s="334"/>
      <c r="EQ1135" s="334"/>
      <c r="ER1135" s="334"/>
      <c r="ES1135" s="334"/>
      <c r="ET1135" s="334"/>
      <c r="EU1135" s="334"/>
      <c r="EV1135" s="334"/>
    </row>
    <row r="1136" spans="35:152" ht="13">
      <c r="AI1136" s="115" t="s">
        <v>1415</v>
      </c>
      <c r="AJ1136" t="s">
        <v>2114</v>
      </c>
      <c r="AK1136" s="115">
        <v>0</v>
      </c>
      <c r="AL1136" s="115" t="s">
        <v>28</v>
      </c>
      <c r="AM1136" s="115" t="s">
        <v>1849</v>
      </c>
      <c r="AN1136" s="115" t="s">
        <v>1579</v>
      </c>
      <c r="AO1136" s="115" t="s">
        <v>1274</v>
      </c>
      <c r="DR1136" s="214"/>
      <c r="DY1136" s="115"/>
      <c r="DZ1136" s="334"/>
      <c r="EA1136" s="334"/>
      <c r="EB1136" s="334"/>
      <c r="EC1136" s="334"/>
      <c r="ED1136" s="187"/>
      <c r="EE1136" s="330"/>
      <c r="EH1136" s="334"/>
      <c r="EI1136" s="334"/>
      <c r="EM1136"/>
      <c r="EO1136" s="115"/>
      <c r="EP1136" s="334"/>
      <c r="EQ1136" s="334"/>
      <c r="ER1136" s="334"/>
      <c r="ES1136" s="334"/>
      <c r="ET1136" s="334"/>
      <c r="EU1136" s="334"/>
      <c r="EV1136" s="334"/>
    </row>
    <row r="1137" spans="35:152" ht="13">
      <c r="AI1137" s="115" t="s">
        <v>1415</v>
      </c>
      <c r="AJ1137" t="s">
        <v>2114</v>
      </c>
      <c r="AK1137" s="115">
        <v>0</v>
      </c>
      <c r="AL1137" s="115" t="s">
        <v>28</v>
      </c>
      <c r="AM1137" s="115" t="s">
        <v>1843</v>
      </c>
      <c r="AN1137" s="115" t="s">
        <v>1579</v>
      </c>
      <c r="AO1137" s="115" t="s">
        <v>1274</v>
      </c>
      <c r="EP1137" s="334"/>
      <c r="EQ1137" s="334"/>
      <c r="ER1137" s="334"/>
      <c r="ES1137" s="334"/>
      <c r="ET1137" s="334"/>
      <c r="EU1137" s="334"/>
      <c r="EV1137" s="334"/>
    </row>
    <row r="1138" spans="35:152" ht="13">
      <c r="AI1138" s="115" t="s">
        <v>1415</v>
      </c>
      <c r="AJ1138" t="s">
        <v>2114</v>
      </c>
      <c r="AK1138" s="115">
        <v>0</v>
      </c>
      <c r="AL1138" s="115" t="s">
        <v>28</v>
      </c>
      <c r="AM1138" s="115" t="s">
        <v>1846</v>
      </c>
      <c r="AN1138" s="115" t="s">
        <v>1579</v>
      </c>
      <c r="AO1138" s="115" t="s">
        <v>1274</v>
      </c>
      <c r="EP1138" s="334"/>
      <c r="EQ1138" s="334"/>
      <c r="ER1138" s="334"/>
      <c r="ES1138" s="334"/>
      <c r="ET1138" s="334"/>
      <c r="EU1138" s="334"/>
      <c r="EV1138" s="334"/>
    </row>
    <row r="1139" spans="35:152" ht="13">
      <c r="AI1139" s="115" t="s">
        <v>1415</v>
      </c>
      <c r="AJ1139" t="s">
        <v>2114</v>
      </c>
      <c r="AK1139" s="115">
        <v>0</v>
      </c>
      <c r="AL1139" s="115" t="s">
        <v>28</v>
      </c>
      <c r="AM1139" s="115" t="s">
        <v>1848</v>
      </c>
      <c r="AN1139" s="115" t="s">
        <v>1579</v>
      </c>
      <c r="AO1139" s="115" t="s">
        <v>1274</v>
      </c>
      <c r="EP1139" s="334"/>
      <c r="EQ1139" s="334"/>
      <c r="ER1139" s="334"/>
      <c r="ES1139" s="334"/>
      <c r="ET1139" s="334"/>
      <c r="EU1139" s="334"/>
      <c r="EV1139" s="334"/>
    </row>
    <row r="1140" spans="35:152" ht="13">
      <c r="AI1140" s="115" t="s">
        <v>1415</v>
      </c>
      <c r="AJ1140" t="s">
        <v>2114</v>
      </c>
      <c r="AK1140" s="115">
        <v>0</v>
      </c>
      <c r="AL1140" s="115" t="s">
        <v>28</v>
      </c>
      <c r="AM1140" s="115" t="s">
        <v>1832</v>
      </c>
      <c r="AN1140" s="115" t="s">
        <v>1579</v>
      </c>
      <c r="AO1140" s="115" t="s">
        <v>1274</v>
      </c>
      <c r="EP1140" s="334"/>
      <c r="EQ1140" s="334"/>
      <c r="ER1140" s="334"/>
      <c r="ES1140" s="334"/>
      <c r="ET1140" s="334"/>
      <c r="EU1140" s="334"/>
      <c r="EV1140" s="334"/>
    </row>
    <row r="1141" spans="35:152" ht="13">
      <c r="AI1141" s="115" t="s">
        <v>1415</v>
      </c>
      <c r="AJ1141" t="s">
        <v>2114</v>
      </c>
      <c r="AK1141" s="115">
        <v>0</v>
      </c>
      <c r="AL1141" s="115" t="s">
        <v>28</v>
      </c>
      <c r="AM1141" s="115" t="s">
        <v>1832</v>
      </c>
      <c r="AN1141" s="115" t="s">
        <v>1439</v>
      </c>
      <c r="AO1141" s="115" t="s">
        <v>1274</v>
      </c>
      <c r="EP1141" s="334"/>
      <c r="EQ1141" s="334"/>
      <c r="ER1141" s="334"/>
      <c r="ES1141" s="334"/>
      <c r="ET1141" s="334"/>
      <c r="EU1141" s="334"/>
      <c r="EV1141" s="334"/>
    </row>
    <row r="1142" spans="35:152" ht="13">
      <c r="AI1142" s="115" t="s">
        <v>1415</v>
      </c>
      <c r="AJ1142" t="s">
        <v>2114</v>
      </c>
      <c r="AK1142" s="115">
        <v>0</v>
      </c>
      <c r="AL1142" s="115" t="s">
        <v>28</v>
      </c>
      <c r="AM1142" s="115" t="s">
        <v>1850</v>
      </c>
      <c r="AN1142" s="115" t="s">
        <v>1439</v>
      </c>
      <c r="AO1142" s="115" t="s">
        <v>1274</v>
      </c>
      <c r="EP1142" s="334"/>
      <c r="EQ1142" s="334"/>
      <c r="ER1142" s="334"/>
      <c r="ES1142" s="334"/>
      <c r="ET1142" s="334"/>
      <c r="EU1142" s="334"/>
      <c r="EV1142" s="334"/>
    </row>
    <row r="1143" spans="35:152" ht="13">
      <c r="AI1143" s="115" t="s">
        <v>1415</v>
      </c>
      <c r="AJ1143" t="s">
        <v>2114</v>
      </c>
      <c r="AK1143" s="115">
        <v>0</v>
      </c>
      <c r="AL1143" s="115" t="s">
        <v>28</v>
      </c>
      <c r="AM1143" s="115" t="s">
        <v>1849</v>
      </c>
      <c r="AN1143" s="115" t="s">
        <v>1439</v>
      </c>
      <c r="AO1143" s="115" t="s">
        <v>1274</v>
      </c>
      <c r="EP1143" s="334"/>
      <c r="EQ1143" s="334"/>
      <c r="ER1143" s="334"/>
      <c r="ES1143" s="334"/>
      <c r="ET1143" s="334"/>
      <c r="EU1143" s="334"/>
      <c r="EV1143" s="334"/>
    </row>
    <row r="1144" spans="35:152" ht="13">
      <c r="AI1144" s="115" t="s">
        <v>1415</v>
      </c>
      <c r="AJ1144" t="s">
        <v>2114</v>
      </c>
      <c r="AK1144" s="115">
        <v>0</v>
      </c>
      <c r="AL1144" s="115" t="s">
        <v>28</v>
      </c>
      <c r="AM1144" s="115" t="s">
        <v>1846</v>
      </c>
      <c r="AN1144" s="115" t="s">
        <v>1439</v>
      </c>
      <c r="AO1144" s="115" t="s">
        <v>1274</v>
      </c>
      <c r="EP1144" s="334"/>
      <c r="EQ1144" s="334"/>
      <c r="ER1144" s="334"/>
      <c r="ES1144" s="334"/>
      <c r="ET1144" s="334"/>
      <c r="EU1144" s="334"/>
      <c r="EV1144" s="334"/>
    </row>
    <row r="1145" spans="35:152" ht="13">
      <c r="AI1145" s="115" t="s">
        <v>1415</v>
      </c>
      <c r="AJ1145" t="s">
        <v>2114</v>
      </c>
      <c r="AK1145" s="115">
        <v>0</v>
      </c>
      <c r="AL1145" s="115" t="s">
        <v>28</v>
      </c>
      <c r="AM1145" s="115" t="s">
        <v>1848</v>
      </c>
      <c r="AN1145" s="115" t="s">
        <v>1439</v>
      </c>
      <c r="AO1145" s="115" t="s">
        <v>1274</v>
      </c>
      <c r="EP1145" s="334"/>
      <c r="EQ1145" s="334"/>
      <c r="ER1145" s="334"/>
      <c r="ES1145" s="334"/>
      <c r="ET1145" s="334"/>
      <c r="EU1145" s="334"/>
      <c r="EV1145" s="334"/>
    </row>
    <row r="1146" spans="35:152" ht="13">
      <c r="AI1146" s="115" t="s">
        <v>1415</v>
      </c>
      <c r="AJ1146" t="s">
        <v>2114</v>
      </c>
      <c r="AK1146" s="115">
        <v>0</v>
      </c>
      <c r="AL1146" s="115" t="s">
        <v>28</v>
      </c>
      <c r="AM1146" s="115" t="s">
        <v>1843</v>
      </c>
      <c r="AN1146" s="115" t="s">
        <v>1439</v>
      </c>
      <c r="AO1146" s="115" t="s">
        <v>1274</v>
      </c>
      <c r="EP1146" s="334"/>
      <c r="EQ1146" s="334"/>
      <c r="ER1146" s="334"/>
      <c r="ES1146" s="334"/>
      <c r="ET1146" s="334"/>
      <c r="EU1146" s="334"/>
      <c r="EV1146" s="334"/>
    </row>
    <row r="1147" spans="35:152" ht="13">
      <c r="AI1147" s="115" t="s">
        <v>1415</v>
      </c>
      <c r="AJ1147" t="s">
        <v>2114</v>
      </c>
      <c r="AK1147" s="115">
        <v>0</v>
      </c>
      <c r="AL1147" s="115" t="s">
        <v>28</v>
      </c>
      <c r="AM1147" s="115" t="s">
        <v>1843</v>
      </c>
      <c r="AN1147" s="115" t="s">
        <v>1439</v>
      </c>
      <c r="AO1147" s="115" t="s">
        <v>379</v>
      </c>
      <c r="EP1147" s="334"/>
      <c r="EQ1147" s="334"/>
      <c r="ER1147" s="334"/>
      <c r="ES1147" s="334"/>
      <c r="ET1147" s="334"/>
      <c r="EU1147" s="334"/>
      <c r="EV1147" s="334"/>
    </row>
    <row r="1148" spans="35:152" ht="13">
      <c r="AI1148" s="115" t="s">
        <v>1415</v>
      </c>
      <c r="AJ1148" t="s">
        <v>2114</v>
      </c>
      <c r="AK1148" s="115">
        <v>0</v>
      </c>
      <c r="AL1148" s="115" t="s">
        <v>28</v>
      </c>
      <c r="AM1148" s="115" t="s">
        <v>1849</v>
      </c>
      <c r="AN1148" s="115" t="s">
        <v>1439</v>
      </c>
      <c r="AO1148" s="115" t="s">
        <v>379</v>
      </c>
      <c r="EP1148" s="334"/>
      <c r="EQ1148" s="334"/>
      <c r="ER1148" s="334"/>
      <c r="ES1148" s="334"/>
      <c r="ET1148" s="334"/>
      <c r="EU1148" s="334"/>
      <c r="EV1148" s="334"/>
    </row>
    <row r="1149" spans="35:152" ht="13">
      <c r="AI1149" s="115" t="s">
        <v>1415</v>
      </c>
      <c r="AJ1149" t="s">
        <v>2114</v>
      </c>
      <c r="AK1149" s="115">
        <v>0</v>
      </c>
      <c r="AL1149" s="115" t="s">
        <v>28</v>
      </c>
      <c r="AM1149" s="115" t="s">
        <v>1846</v>
      </c>
      <c r="AN1149" s="115" t="s">
        <v>1439</v>
      </c>
      <c r="AO1149" s="115" t="s">
        <v>379</v>
      </c>
      <c r="EP1149" s="334"/>
      <c r="EQ1149" s="334"/>
      <c r="ER1149" s="334"/>
      <c r="ES1149" s="334"/>
      <c r="ET1149" s="334"/>
      <c r="EU1149" s="334"/>
      <c r="EV1149" s="334"/>
    </row>
    <row r="1150" spans="35:152" ht="13">
      <c r="AI1150" s="115" t="s">
        <v>1415</v>
      </c>
      <c r="AJ1150" t="s">
        <v>2114</v>
      </c>
      <c r="AK1150" s="115">
        <v>0</v>
      </c>
      <c r="AL1150" s="115" t="s">
        <v>28</v>
      </c>
      <c r="AM1150" s="115" t="s">
        <v>1848</v>
      </c>
      <c r="AN1150" s="115" t="s">
        <v>1439</v>
      </c>
      <c r="AO1150" s="115" t="s">
        <v>379</v>
      </c>
      <c r="EP1150" s="334"/>
      <c r="EQ1150" s="334"/>
      <c r="ER1150" s="334"/>
      <c r="ES1150" s="334"/>
      <c r="ET1150" s="334"/>
      <c r="EU1150" s="334"/>
      <c r="EV1150" s="334"/>
    </row>
    <row r="1151" spans="35:152" ht="13">
      <c r="AI1151" s="115" t="s">
        <v>1415</v>
      </c>
      <c r="AJ1151" t="s">
        <v>2114</v>
      </c>
      <c r="AK1151" s="115">
        <v>0</v>
      </c>
      <c r="AL1151" s="115" t="s">
        <v>28</v>
      </c>
      <c r="AM1151" s="115" t="s">
        <v>1850</v>
      </c>
      <c r="AN1151" s="115" t="s">
        <v>1439</v>
      </c>
      <c r="AO1151" s="115" t="s">
        <v>379</v>
      </c>
      <c r="EP1151" s="334"/>
      <c r="EQ1151" s="334"/>
      <c r="ER1151" s="334"/>
      <c r="ES1151" s="334"/>
      <c r="ET1151" s="334"/>
      <c r="EU1151" s="334"/>
      <c r="EV1151" s="334"/>
    </row>
    <row r="1152" spans="35:152" ht="13">
      <c r="AI1152" s="115" t="s">
        <v>1415</v>
      </c>
      <c r="AJ1152" t="s">
        <v>2114</v>
      </c>
      <c r="AK1152" s="115">
        <v>0</v>
      </c>
      <c r="AL1152" s="115" t="s">
        <v>28</v>
      </c>
      <c r="AM1152" s="115" t="s">
        <v>1832</v>
      </c>
      <c r="AN1152" s="115" t="s">
        <v>1439</v>
      </c>
      <c r="AO1152" s="115" t="s">
        <v>379</v>
      </c>
      <c r="EP1152" s="334"/>
      <c r="EQ1152" s="334"/>
      <c r="ER1152" s="334"/>
      <c r="ES1152" s="334"/>
      <c r="ET1152" s="334"/>
      <c r="EU1152" s="334"/>
      <c r="EV1152" s="334"/>
    </row>
    <row r="1153" spans="35:152" ht="13">
      <c r="AI1153" s="115" t="s">
        <v>1415</v>
      </c>
      <c r="AJ1153" t="s">
        <v>2114</v>
      </c>
      <c r="AK1153" s="115">
        <v>0</v>
      </c>
      <c r="AL1153" s="115" t="s">
        <v>28</v>
      </c>
      <c r="AM1153" s="115" t="s">
        <v>1850</v>
      </c>
      <c r="AN1153" s="115" t="s">
        <v>1439</v>
      </c>
      <c r="AO1153" s="115" t="s">
        <v>380</v>
      </c>
      <c r="EP1153" s="334"/>
      <c r="EQ1153" s="334"/>
      <c r="ER1153" s="334"/>
      <c r="ES1153" s="334"/>
      <c r="ET1153" s="334"/>
      <c r="EU1153" s="334"/>
      <c r="EV1153" s="334"/>
    </row>
    <row r="1154" spans="35:152" ht="13">
      <c r="AI1154" s="115" t="s">
        <v>1415</v>
      </c>
      <c r="AJ1154" t="s">
        <v>2114</v>
      </c>
      <c r="AK1154" s="115">
        <v>0</v>
      </c>
      <c r="AL1154" s="115" t="s">
        <v>28</v>
      </c>
      <c r="AM1154" s="115" t="s">
        <v>1849</v>
      </c>
      <c r="AN1154" s="115" t="s">
        <v>1439</v>
      </c>
      <c r="AO1154" s="115" t="s">
        <v>380</v>
      </c>
      <c r="EP1154" s="334"/>
      <c r="EQ1154" s="334"/>
      <c r="ER1154" s="334"/>
      <c r="ES1154" s="334"/>
      <c r="ET1154" s="334"/>
      <c r="EU1154" s="334"/>
      <c r="EV1154" s="334"/>
    </row>
    <row r="1155" spans="35:152" ht="13">
      <c r="AI1155" s="115" t="s">
        <v>1415</v>
      </c>
      <c r="AJ1155" t="s">
        <v>2114</v>
      </c>
      <c r="AK1155" s="115">
        <v>0</v>
      </c>
      <c r="AL1155" s="115" t="s">
        <v>28</v>
      </c>
      <c r="AM1155" s="115" t="s">
        <v>1843</v>
      </c>
      <c r="AN1155" s="115" t="s">
        <v>1439</v>
      </c>
      <c r="AO1155" s="115" t="s">
        <v>380</v>
      </c>
      <c r="EP1155" s="334"/>
      <c r="EQ1155" s="334"/>
      <c r="ER1155" s="334"/>
      <c r="ES1155" s="334"/>
      <c r="ET1155" s="334"/>
      <c r="EU1155" s="334"/>
      <c r="EV1155" s="334"/>
    </row>
    <row r="1156" spans="35:152" ht="13">
      <c r="AI1156" s="115" t="s">
        <v>1415</v>
      </c>
      <c r="AJ1156" t="s">
        <v>2114</v>
      </c>
      <c r="AK1156" s="115">
        <v>0</v>
      </c>
      <c r="AL1156" s="115" t="s">
        <v>28</v>
      </c>
      <c r="AM1156" s="115" t="s">
        <v>1848</v>
      </c>
      <c r="AN1156" s="115" t="s">
        <v>1439</v>
      </c>
      <c r="AO1156" s="115" t="s">
        <v>380</v>
      </c>
      <c r="EP1156" s="334"/>
      <c r="EQ1156" s="334"/>
      <c r="ER1156" s="334"/>
      <c r="ES1156" s="334"/>
      <c r="ET1156" s="334"/>
      <c r="EU1156" s="334"/>
      <c r="EV1156" s="334"/>
    </row>
    <row r="1157" spans="35:152" ht="13">
      <c r="AI1157" s="115" t="s">
        <v>1415</v>
      </c>
      <c r="AJ1157" t="s">
        <v>2114</v>
      </c>
      <c r="AK1157" s="115">
        <v>0</v>
      </c>
      <c r="AL1157" s="115" t="s">
        <v>28</v>
      </c>
      <c r="AM1157" s="115" t="s">
        <v>1832</v>
      </c>
      <c r="AN1157" s="115" t="s">
        <v>1439</v>
      </c>
      <c r="AO1157" s="115" t="s">
        <v>380</v>
      </c>
      <c r="EP1157" s="334"/>
      <c r="EQ1157" s="334"/>
      <c r="ER1157" s="334"/>
      <c r="ES1157" s="334"/>
      <c r="ET1157" s="334"/>
      <c r="EU1157" s="334"/>
      <c r="EV1157" s="334"/>
    </row>
    <row r="1158" spans="35:152" ht="13">
      <c r="AI1158" s="115" t="s">
        <v>1415</v>
      </c>
      <c r="AJ1158" t="s">
        <v>2114</v>
      </c>
      <c r="AK1158" s="115">
        <v>0</v>
      </c>
      <c r="AL1158" s="115" t="s">
        <v>28</v>
      </c>
      <c r="AM1158" s="115" t="s">
        <v>1846</v>
      </c>
      <c r="AN1158" s="115" t="s">
        <v>1439</v>
      </c>
      <c r="AO1158" s="115" t="s">
        <v>380</v>
      </c>
      <c r="EP1158" s="334"/>
      <c r="EQ1158" s="334"/>
      <c r="ER1158" s="334"/>
      <c r="ES1158" s="334"/>
      <c r="ET1158" s="334"/>
      <c r="EU1158" s="334"/>
      <c r="EV1158" s="334"/>
    </row>
    <row r="1159" spans="35:152" ht="13">
      <c r="AI1159" s="115" t="s">
        <v>1415</v>
      </c>
      <c r="AJ1159" t="s">
        <v>2114</v>
      </c>
      <c r="AK1159" s="115">
        <v>0</v>
      </c>
      <c r="AL1159" s="115" t="s">
        <v>28</v>
      </c>
      <c r="AM1159" s="115" t="s">
        <v>1843</v>
      </c>
      <c r="AN1159" s="115" t="s">
        <v>1462</v>
      </c>
      <c r="AO1159" s="115" t="s">
        <v>1644</v>
      </c>
      <c r="EP1159" s="334"/>
      <c r="EQ1159" s="334"/>
      <c r="ER1159" s="334"/>
      <c r="ES1159" s="334"/>
      <c r="ET1159" s="334"/>
      <c r="EU1159" s="334"/>
      <c r="EV1159" s="334"/>
    </row>
    <row r="1160" spans="35:152" ht="13">
      <c r="AI1160" s="115" t="s">
        <v>1415</v>
      </c>
      <c r="AJ1160" t="s">
        <v>2114</v>
      </c>
      <c r="AK1160" s="115">
        <v>0</v>
      </c>
      <c r="AL1160" s="115" t="s">
        <v>28</v>
      </c>
      <c r="AM1160" s="115" t="s">
        <v>1848</v>
      </c>
      <c r="AN1160" s="115" t="s">
        <v>1462</v>
      </c>
      <c r="AO1160" s="115" t="s">
        <v>1644</v>
      </c>
      <c r="EP1160" s="334"/>
      <c r="EQ1160" s="334"/>
      <c r="ER1160" s="334"/>
      <c r="ES1160" s="334"/>
      <c r="ET1160" s="334"/>
      <c r="EU1160" s="334"/>
      <c r="EV1160" s="334"/>
    </row>
    <row r="1161" spans="35:152" ht="13">
      <c r="AI1161" s="115" t="s">
        <v>1415</v>
      </c>
      <c r="AJ1161" t="s">
        <v>2114</v>
      </c>
      <c r="AK1161" s="115">
        <v>0</v>
      </c>
      <c r="AL1161" s="115" t="s">
        <v>28</v>
      </c>
      <c r="AM1161" s="115" t="s">
        <v>1832</v>
      </c>
      <c r="AN1161" s="115" t="s">
        <v>1462</v>
      </c>
      <c r="AO1161" s="115" t="s">
        <v>1644</v>
      </c>
      <c r="EP1161" s="334"/>
      <c r="EQ1161" s="334"/>
      <c r="ER1161" s="334"/>
      <c r="ES1161" s="334"/>
      <c r="ET1161" s="334"/>
      <c r="EU1161" s="334"/>
      <c r="EV1161" s="334"/>
    </row>
    <row r="1162" spans="35:152" ht="13">
      <c r="AI1162" s="115" t="s">
        <v>1415</v>
      </c>
      <c r="AJ1162" t="s">
        <v>2114</v>
      </c>
      <c r="AK1162" s="115">
        <v>0</v>
      </c>
      <c r="AL1162" s="115" t="s">
        <v>28</v>
      </c>
      <c r="AM1162" s="115" t="s">
        <v>1850</v>
      </c>
      <c r="AN1162" s="115" t="s">
        <v>1462</v>
      </c>
      <c r="AO1162" s="115" t="s">
        <v>1644</v>
      </c>
      <c r="EP1162" s="334"/>
      <c r="EQ1162" s="334"/>
      <c r="ER1162" s="334"/>
      <c r="ES1162" s="334"/>
      <c r="ET1162" s="334"/>
      <c r="EU1162" s="334"/>
      <c r="EV1162" s="334"/>
    </row>
    <row r="1163" spans="35:152" ht="13">
      <c r="AI1163" s="115" t="s">
        <v>1415</v>
      </c>
      <c r="AJ1163" t="s">
        <v>2114</v>
      </c>
      <c r="AK1163" s="115">
        <v>0</v>
      </c>
      <c r="AL1163" s="115" t="s">
        <v>28</v>
      </c>
      <c r="AM1163" s="115" t="s">
        <v>1850</v>
      </c>
      <c r="AN1163" s="115" t="s">
        <v>1462</v>
      </c>
      <c r="AO1163" s="115" t="s">
        <v>1274</v>
      </c>
      <c r="EP1163" s="334"/>
      <c r="EQ1163" s="334"/>
      <c r="ER1163" s="334"/>
      <c r="ES1163" s="334"/>
      <c r="ET1163" s="334"/>
      <c r="EU1163" s="334"/>
      <c r="EV1163" s="334"/>
    </row>
    <row r="1164" spans="35:152" ht="13">
      <c r="AI1164" s="115" t="s">
        <v>1415</v>
      </c>
      <c r="AJ1164" t="s">
        <v>2114</v>
      </c>
      <c r="AK1164" s="115">
        <v>0</v>
      </c>
      <c r="AL1164" s="115" t="s">
        <v>28</v>
      </c>
      <c r="AM1164" s="115" t="s">
        <v>1832</v>
      </c>
      <c r="AN1164" s="115" t="s">
        <v>1462</v>
      </c>
      <c r="AO1164" s="115" t="s">
        <v>1274</v>
      </c>
      <c r="EP1164" s="334"/>
      <c r="EQ1164" s="334"/>
      <c r="ER1164" s="334"/>
      <c r="ES1164" s="334"/>
      <c r="ET1164" s="334"/>
      <c r="EU1164" s="334"/>
      <c r="EV1164" s="334"/>
    </row>
    <row r="1165" spans="35:152" ht="13">
      <c r="AI1165" s="115" t="s">
        <v>1415</v>
      </c>
      <c r="AJ1165" t="s">
        <v>2114</v>
      </c>
      <c r="AK1165" s="115">
        <v>0</v>
      </c>
      <c r="AL1165" s="115" t="s">
        <v>28</v>
      </c>
      <c r="AM1165" s="115" t="s">
        <v>1843</v>
      </c>
      <c r="AN1165" s="115" t="s">
        <v>1462</v>
      </c>
      <c r="AO1165" s="115" t="s">
        <v>1274</v>
      </c>
      <c r="EP1165" s="334"/>
      <c r="EQ1165" s="334"/>
      <c r="ER1165" s="334"/>
      <c r="ES1165" s="334"/>
      <c r="ET1165" s="334"/>
      <c r="EU1165" s="334"/>
      <c r="EV1165" s="334"/>
    </row>
    <row r="1166" spans="35:152" ht="13">
      <c r="AI1166" s="115" t="s">
        <v>1415</v>
      </c>
      <c r="AJ1166" t="s">
        <v>2114</v>
      </c>
      <c r="AK1166" s="115">
        <v>0</v>
      </c>
      <c r="AL1166" s="115" t="s">
        <v>28</v>
      </c>
      <c r="AM1166" s="115" t="s">
        <v>1846</v>
      </c>
      <c r="AN1166" s="115" t="s">
        <v>1462</v>
      </c>
      <c r="AO1166" s="115" t="s">
        <v>1274</v>
      </c>
      <c r="EP1166" s="334"/>
      <c r="EQ1166" s="334"/>
      <c r="ER1166" s="334"/>
      <c r="ES1166" s="334"/>
      <c r="ET1166" s="334"/>
      <c r="EU1166" s="334"/>
      <c r="EV1166" s="334"/>
    </row>
    <row r="1167" spans="35:152" ht="13">
      <c r="AI1167" s="115" t="s">
        <v>1415</v>
      </c>
      <c r="AJ1167" t="s">
        <v>2114</v>
      </c>
      <c r="AK1167" s="115">
        <v>0</v>
      </c>
      <c r="AL1167" s="115" t="s">
        <v>28</v>
      </c>
      <c r="AM1167" s="115" t="s">
        <v>1848</v>
      </c>
      <c r="AN1167" s="115" t="s">
        <v>1462</v>
      </c>
      <c r="AO1167" s="115" t="s">
        <v>1274</v>
      </c>
      <c r="EP1167" s="334"/>
      <c r="EQ1167" s="334"/>
      <c r="ER1167" s="334"/>
      <c r="ES1167" s="334"/>
      <c r="ET1167" s="334"/>
      <c r="EU1167" s="334"/>
      <c r="EV1167" s="334"/>
    </row>
    <row r="1168" spans="35:152" ht="13">
      <c r="AI1168" s="115" t="s">
        <v>1415</v>
      </c>
      <c r="AJ1168" t="s">
        <v>2114</v>
      </c>
      <c r="AK1168" s="115">
        <v>0</v>
      </c>
      <c r="AL1168" s="115" t="s">
        <v>28</v>
      </c>
      <c r="AM1168" s="115" t="s">
        <v>1849</v>
      </c>
      <c r="AN1168" s="115" t="s">
        <v>1462</v>
      </c>
      <c r="AO1168" s="115" t="s">
        <v>1274</v>
      </c>
      <c r="EP1168" s="334"/>
      <c r="EQ1168" s="334"/>
      <c r="ER1168" s="334"/>
      <c r="ES1168" s="334"/>
      <c r="ET1168" s="334"/>
      <c r="EU1168" s="334"/>
      <c r="EV1168" s="334"/>
    </row>
    <row r="1169" spans="35:152" ht="13">
      <c r="AI1169" s="115" t="s">
        <v>1415</v>
      </c>
      <c r="AJ1169" t="s">
        <v>2114</v>
      </c>
      <c r="AK1169" s="115">
        <v>0</v>
      </c>
      <c r="AL1169" s="115" t="s">
        <v>28</v>
      </c>
      <c r="AM1169" s="115" t="s">
        <v>1848</v>
      </c>
      <c r="AN1169" s="115" t="s">
        <v>1462</v>
      </c>
      <c r="AO1169" s="115" t="s">
        <v>381</v>
      </c>
      <c r="EP1169" s="334"/>
      <c r="EQ1169" s="334"/>
      <c r="ER1169" s="334"/>
      <c r="ES1169" s="334"/>
      <c r="ET1169" s="334"/>
      <c r="EU1169" s="334"/>
      <c r="EV1169" s="334"/>
    </row>
    <row r="1170" spans="35:152" ht="13">
      <c r="AI1170" s="115" t="s">
        <v>1415</v>
      </c>
      <c r="AJ1170" t="s">
        <v>2114</v>
      </c>
      <c r="AK1170" s="115">
        <v>0</v>
      </c>
      <c r="AL1170" s="115" t="s">
        <v>28</v>
      </c>
      <c r="AM1170" s="115" t="s">
        <v>1846</v>
      </c>
      <c r="AN1170" s="115" t="s">
        <v>1462</v>
      </c>
      <c r="AO1170" s="115" t="s">
        <v>381</v>
      </c>
      <c r="EP1170" s="334"/>
      <c r="EQ1170" s="334"/>
      <c r="ER1170" s="334"/>
      <c r="ES1170" s="334"/>
      <c r="ET1170" s="334"/>
      <c r="EU1170" s="334"/>
      <c r="EV1170" s="334"/>
    </row>
    <row r="1171" spans="35:152" ht="13">
      <c r="AI1171" s="115" t="s">
        <v>1415</v>
      </c>
      <c r="AJ1171" t="s">
        <v>2114</v>
      </c>
      <c r="AK1171" s="115">
        <v>0</v>
      </c>
      <c r="AL1171" s="115" t="s">
        <v>28</v>
      </c>
      <c r="AM1171" s="115" t="s">
        <v>1832</v>
      </c>
      <c r="AN1171" s="115" t="s">
        <v>1462</v>
      </c>
      <c r="AO1171" s="115" t="s">
        <v>381</v>
      </c>
      <c r="EP1171" s="334"/>
      <c r="EQ1171" s="334"/>
      <c r="ER1171" s="334"/>
      <c r="ES1171" s="334"/>
      <c r="ET1171" s="334"/>
      <c r="EU1171" s="334"/>
      <c r="EV1171" s="334"/>
    </row>
    <row r="1172" spans="35:152" ht="13">
      <c r="AI1172" s="115" t="s">
        <v>1415</v>
      </c>
      <c r="AJ1172" t="s">
        <v>2114</v>
      </c>
      <c r="AK1172" s="115">
        <v>0</v>
      </c>
      <c r="AL1172" s="115" t="s">
        <v>28</v>
      </c>
      <c r="AM1172" s="115" t="s">
        <v>1843</v>
      </c>
      <c r="AN1172" s="115" t="s">
        <v>1462</v>
      </c>
      <c r="AO1172" s="115" t="s">
        <v>381</v>
      </c>
      <c r="EP1172" s="334"/>
      <c r="EQ1172" s="334"/>
      <c r="ER1172" s="334"/>
      <c r="ES1172" s="334"/>
      <c r="ET1172" s="334"/>
      <c r="EU1172" s="334"/>
      <c r="EV1172" s="334"/>
    </row>
    <row r="1173" spans="35:152" ht="13">
      <c r="AI1173" s="115" t="s">
        <v>1415</v>
      </c>
      <c r="AJ1173" t="s">
        <v>2114</v>
      </c>
      <c r="AK1173" s="115">
        <v>0</v>
      </c>
      <c r="AL1173" s="115" t="s">
        <v>28</v>
      </c>
      <c r="AM1173" s="115" t="s">
        <v>1850</v>
      </c>
      <c r="AN1173" s="115" t="s">
        <v>1462</v>
      </c>
      <c r="AO1173" s="115" t="s">
        <v>381</v>
      </c>
    </row>
    <row r="1174" spans="35:152" ht="13">
      <c r="AI1174" s="115" t="s">
        <v>1415</v>
      </c>
      <c r="AJ1174" t="s">
        <v>2114</v>
      </c>
      <c r="AK1174" s="115">
        <v>0</v>
      </c>
      <c r="AL1174" s="115" t="s">
        <v>28</v>
      </c>
      <c r="AM1174" s="115" t="s">
        <v>1849</v>
      </c>
      <c r="AN1174" s="115" t="s">
        <v>1462</v>
      </c>
      <c r="AO1174" s="115" t="s">
        <v>381</v>
      </c>
    </row>
    <row r="1175" spans="35:152" ht="13">
      <c r="AI1175" s="115" t="s">
        <v>1415</v>
      </c>
      <c r="AJ1175" t="s">
        <v>2114</v>
      </c>
      <c r="AK1175" s="115">
        <v>0</v>
      </c>
      <c r="AL1175" s="115" t="s">
        <v>28</v>
      </c>
      <c r="AM1175" s="115" t="s">
        <v>1846</v>
      </c>
      <c r="AN1175" s="115" t="s">
        <v>1462</v>
      </c>
      <c r="AO1175" s="115" t="s">
        <v>379</v>
      </c>
    </row>
    <row r="1176" spans="35:152" ht="13">
      <c r="AI1176" s="115" t="s">
        <v>1415</v>
      </c>
      <c r="AJ1176" t="s">
        <v>2114</v>
      </c>
      <c r="AK1176" s="115">
        <v>0</v>
      </c>
      <c r="AL1176" s="115" t="s">
        <v>28</v>
      </c>
      <c r="AM1176" s="115" t="s">
        <v>1843</v>
      </c>
      <c r="AN1176" s="115" t="s">
        <v>1462</v>
      </c>
      <c r="AO1176" s="115" t="s">
        <v>379</v>
      </c>
    </row>
    <row r="1177" spans="35:152" ht="13">
      <c r="AI1177" s="115" t="s">
        <v>1415</v>
      </c>
      <c r="AJ1177" t="s">
        <v>2114</v>
      </c>
      <c r="AK1177" s="115">
        <v>0</v>
      </c>
      <c r="AL1177" s="115" t="s">
        <v>28</v>
      </c>
      <c r="AM1177" s="115" t="s">
        <v>1850</v>
      </c>
      <c r="AN1177" s="115" t="s">
        <v>1462</v>
      </c>
      <c r="AO1177" s="115" t="s">
        <v>379</v>
      </c>
    </row>
    <row r="1178" spans="35:152" ht="13">
      <c r="AI1178" s="115" t="s">
        <v>1415</v>
      </c>
      <c r="AJ1178" t="s">
        <v>2114</v>
      </c>
      <c r="AK1178" s="115">
        <v>0</v>
      </c>
      <c r="AL1178" s="115" t="s">
        <v>28</v>
      </c>
      <c r="AM1178" s="115" t="s">
        <v>1849</v>
      </c>
      <c r="AN1178" s="115" t="s">
        <v>1462</v>
      </c>
      <c r="AO1178" s="115" t="s">
        <v>379</v>
      </c>
    </row>
    <row r="1179" spans="35:152" ht="13">
      <c r="AI1179" s="115" t="s">
        <v>1415</v>
      </c>
      <c r="AJ1179" t="s">
        <v>2114</v>
      </c>
      <c r="AK1179" s="115">
        <v>0</v>
      </c>
      <c r="AL1179" s="115" t="s">
        <v>28</v>
      </c>
      <c r="AM1179" s="115" t="s">
        <v>1848</v>
      </c>
      <c r="AN1179" s="115" t="s">
        <v>1462</v>
      </c>
      <c r="AO1179" s="115" t="s">
        <v>379</v>
      </c>
    </row>
    <row r="1180" spans="35:152" ht="13">
      <c r="AI1180" s="115" t="s">
        <v>1415</v>
      </c>
      <c r="AJ1180" t="s">
        <v>2114</v>
      </c>
      <c r="AK1180" s="115">
        <v>0</v>
      </c>
      <c r="AL1180" s="115" t="s">
        <v>28</v>
      </c>
      <c r="AM1180" s="115" t="s">
        <v>1832</v>
      </c>
      <c r="AN1180" s="115" t="s">
        <v>1462</v>
      </c>
      <c r="AO1180" s="115" t="s">
        <v>379</v>
      </c>
    </row>
    <row r="1181" spans="35:152" ht="13">
      <c r="AI1181" s="115" t="s">
        <v>1415</v>
      </c>
      <c r="AJ1181" t="s">
        <v>2114</v>
      </c>
      <c r="AK1181" s="115">
        <v>0</v>
      </c>
      <c r="AL1181" s="115" t="s">
        <v>28</v>
      </c>
      <c r="AM1181" s="115" t="s">
        <v>1832</v>
      </c>
      <c r="AN1181" s="115" t="s">
        <v>1462</v>
      </c>
      <c r="AO1181" s="115" t="s">
        <v>1645</v>
      </c>
    </row>
    <row r="1182" spans="35:152" ht="13">
      <c r="AI1182" s="115" t="s">
        <v>1415</v>
      </c>
      <c r="AJ1182" t="s">
        <v>2114</v>
      </c>
      <c r="AK1182" s="115">
        <v>0</v>
      </c>
      <c r="AL1182" s="115" t="s">
        <v>28</v>
      </c>
      <c r="AM1182" s="115" t="s">
        <v>1843</v>
      </c>
      <c r="AN1182" s="115" t="s">
        <v>1462</v>
      </c>
      <c r="AO1182" s="115" t="s">
        <v>1645</v>
      </c>
    </row>
    <row r="1183" spans="35:152" ht="13">
      <c r="AI1183" s="115" t="s">
        <v>1415</v>
      </c>
      <c r="AJ1183" t="s">
        <v>2114</v>
      </c>
      <c r="AK1183" s="115">
        <v>0</v>
      </c>
      <c r="AL1183" s="115" t="s">
        <v>28</v>
      </c>
      <c r="AM1183" s="115" t="s">
        <v>1849</v>
      </c>
      <c r="AN1183" s="115" t="s">
        <v>1462</v>
      </c>
      <c r="AO1183" s="115" t="s">
        <v>1645</v>
      </c>
    </row>
    <row r="1184" spans="35:152" ht="13">
      <c r="AI1184" s="115" t="s">
        <v>1415</v>
      </c>
      <c r="AJ1184" t="s">
        <v>2114</v>
      </c>
      <c r="AK1184" s="115">
        <v>0</v>
      </c>
      <c r="AL1184" s="115" t="s">
        <v>28</v>
      </c>
      <c r="AM1184" s="115" t="s">
        <v>1848</v>
      </c>
      <c r="AN1184" s="115" t="s">
        <v>1462</v>
      </c>
      <c r="AO1184" s="115" t="s">
        <v>1645</v>
      </c>
    </row>
    <row r="1185" spans="35:41" ht="13">
      <c r="AI1185" s="115" t="s">
        <v>1415</v>
      </c>
      <c r="AJ1185" t="s">
        <v>2114</v>
      </c>
      <c r="AK1185" s="115">
        <v>0</v>
      </c>
      <c r="AL1185" s="115" t="s">
        <v>28</v>
      </c>
      <c r="AM1185" s="115" t="s">
        <v>1846</v>
      </c>
      <c r="AN1185" s="115" t="s">
        <v>1462</v>
      </c>
      <c r="AO1185" s="115" t="s">
        <v>1645</v>
      </c>
    </row>
    <row r="1186" spans="35:41" ht="13">
      <c r="AI1186" s="115" t="s">
        <v>1415</v>
      </c>
      <c r="AJ1186" t="s">
        <v>2114</v>
      </c>
      <c r="AK1186" s="115">
        <v>0</v>
      </c>
      <c r="AL1186" s="115" t="s">
        <v>28</v>
      </c>
      <c r="AM1186" s="115" t="s">
        <v>1850</v>
      </c>
      <c r="AN1186" s="115" t="s">
        <v>1462</v>
      </c>
      <c r="AO1186" s="115" t="s">
        <v>1645</v>
      </c>
    </row>
    <row r="1187" spans="35:41" ht="13">
      <c r="AI1187" s="115" t="s">
        <v>1415</v>
      </c>
      <c r="AJ1187" t="s">
        <v>2114</v>
      </c>
      <c r="AK1187" s="115">
        <v>0</v>
      </c>
      <c r="AL1187" s="115" t="s">
        <v>28</v>
      </c>
      <c r="AM1187" s="115" t="s">
        <v>1846</v>
      </c>
      <c r="AN1187" s="115" t="s">
        <v>1462</v>
      </c>
      <c r="AO1187" s="115" t="s">
        <v>1646</v>
      </c>
    </row>
    <row r="1188" spans="35:41" ht="13">
      <c r="AI1188" s="115" t="s">
        <v>1415</v>
      </c>
      <c r="AJ1188" t="s">
        <v>2114</v>
      </c>
      <c r="AK1188" s="115">
        <v>0</v>
      </c>
      <c r="AL1188" s="115" t="s">
        <v>28</v>
      </c>
      <c r="AM1188" s="115" t="s">
        <v>1843</v>
      </c>
      <c r="AN1188" s="115" t="s">
        <v>1462</v>
      </c>
      <c r="AO1188" s="115" t="s">
        <v>1646</v>
      </c>
    </row>
    <row r="1189" spans="35:41" ht="13">
      <c r="AI1189" s="115" t="s">
        <v>1415</v>
      </c>
      <c r="AJ1189" t="s">
        <v>2114</v>
      </c>
      <c r="AK1189" s="115">
        <v>0</v>
      </c>
      <c r="AL1189" s="115" t="s">
        <v>28</v>
      </c>
      <c r="AM1189" s="115" t="s">
        <v>1843</v>
      </c>
      <c r="AN1189" s="115" t="s">
        <v>1462</v>
      </c>
      <c r="AO1189" s="115" t="s">
        <v>1647</v>
      </c>
    </row>
    <row r="1190" spans="35:41" ht="13">
      <c r="AI1190" s="115" t="s">
        <v>1415</v>
      </c>
      <c r="AJ1190" t="s">
        <v>2114</v>
      </c>
      <c r="AK1190" s="115">
        <v>0</v>
      </c>
      <c r="AL1190" s="115" t="s">
        <v>28</v>
      </c>
      <c r="AM1190" s="115" t="s">
        <v>1846</v>
      </c>
      <c r="AN1190" s="115" t="s">
        <v>1462</v>
      </c>
      <c r="AO1190" s="115" t="s">
        <v>1647</v>
      </c>
    </row>
    <row r="1191" spans="35:41" ht="13">
      <c r="AI1191" s="115" t="s">
        <v>1415</v>
      </c>
      <c r="AJ1191" t="s">
        <v>2114</v>
      </c>
      <c r="AK1191" s="115">
        <v>0</v>
      </c>
      <c r="AL1191" s="115" t="s">
        <v>28</v>
      </c>
      <c r="AM1191" s="115" t="s">
        <v>1846</v>
      </c>
      <c r="AN1191" s="115" t="s">
        <v>1462</v>
      </c>
      <c r="AO1191" s="115" t="s">
        <v>1639</v>
      </c>
    </row>
    <row r="1192" spans="35:41" ht="13">
      <c r="AI1192" s="115" t="s">
        <v>1415</v>
      </c>
      <c r="AJ1192" t="s">
        <v>2114</v>
      </c>
      <c r="AK1192" s="115">
        <v>0</v>
      </c>
      <c r="AL1192" s="115" t="s">
        <v>28</v>
      </c>
      <c r="AM1192" s="115" t="s">
        <v>1843</v>
      </c>
      <c r="AN1192" s="115" t="s">
        <v>1462</v>
      </c>
      <c r="AO1192" s="115" t="s">
        <v>1639</v>
      </c>
    </row>
    <row r="1193" spans="35:41" ht="13">
      <c r="AI1193" s="115" t="s">
        <v>1415</v>
      </c>
      <c r="AJ1193" t="s">
        <v>2114</v>
      </c>
      <c r="AK1193" s="115">
        <v>0</v>
      </c>
      <c r="AL1193" s="115" t="s">
        <v>28</v>
      </c>
      <c r="AM1193" s="115" t="s">
        <v>1846</v>
      </c>
      <c r="AN1193" s="115" t="s">
        <v>1462</v>
      </c>
      <c r="AO1193" s="115" t="s">
        <v>373</v>
      </c>
    </row>
    <row r="1194" spans="35:41" ht="13">
      <c r="AI1194" s="115" t="s">
        <v>1415</v>
      </c>
      <c r="AJ1194" t="s">
        <v>2114</v>
      </c>
      <c r="AK1194" s="115">
        <v>0</v>
      </c>
      <c r="AL1194" s="115" t="s">
        <v>28</v>
      </c>
      <c r="AM1194" s="115" t="s">
        <v>1848</v>
      </c>
      <c r="AN1194" s="115" t="s">
        <v>1462</v>
      </c>
      <c r="AO1194" s="115" t="s">
        <v>373</v>
      </c>
    </row>
    <row r="1195" spans="35:41" ht="13">
      <c r="AI1195" s="115" t="s">
        <v>1415</v>
      </c>
      <c r="AJ1195" t="s">
        <v>2114</v>
      </c>
      <c r="AK1195" s="115">
        <v>0</v>
      </c>
      <c r="AL1195" s="115" t="s">
        <v>28</v>
      </c>
      <c r="AM1195" s="115" t="s">
        <v>1849</v>
      </c>
      <c r="AN1195" s="115" t="s">
        <v>1462</v>
      </c>
      <c r="AO1195" s="115" t="s">
        <v>373</v>
      </c>
    </row>
    <row r="1196" spans="35:41" ht="13">
      <c r="AI1196" s="115" t="s">
        <v>1415</v>
      </c>
      <c r="AJ1196" t="s">
        <v>2114</v>
      </c>
      <c r="AK1196" s="115">
        <v>0</v>
      </c>
      <c r="AL1196" s="115" t="s">
        <v>28</v>
      </c>
      <c r="AM1196" s="115" t="s">
        <v>1832</v>
      </c>
      <c r="AN1196" s="115" t="s">
        <v>1462</v>
      </c>
      <c r="AO1196" s="115" t="s">
        <v>373</v>
      </c>
    </row>
    <row r="1197" spans="35:41" ht="13">
      <c r="AI1197" s="115" t="s">
        <v>1415</v>
      </c>
      <c r="AJ1197" t="s">
        <v>2114</v>
      </c>
      <c r="AK1197" s="115">
        <v>0</v>
      </c>
      <c r="AL1197" s="115" t="s">
        <v>28</v>
      </c>
      <c r="AM1197" s="115" t="s">
        <v>1850</v>
      </c>
      <c r="AN1197" s="115" t="s">
        <v>1462</v>
      </c>
      <c r="AO1197" s="115" t="s">
        <v>373</v>
      </c>
    </row>
    <row r="1198" spans="35:41" ht="13">
      <c r="AI1198" s="115" t="s">
        <v>1415</v>
      </c>
      <c r="AJ1198" t="s">
        <v>2114</v>
      </c>
      <c r="AK1198" s="115">
        <v>0</v>
      </c>
      <c r="AL1198" s="115" t="s">
        <v>28</v>
      </c>
      <c r="AM1198" s="115" t="s">
        <v>1843</v>
      </c>
      <c r="AN1198" s="115" t="s">
        <v>1462</v>
      </c>
      <c r="AO1198" s="115" t="s">
        <v>373</v>
      </c>
    </row>
    <row r="1199" spans="35:41" ht="13">
      <c r="AI1199" s="115" t="s">
        <v>1415</v>
      </c>
      <c r="AJ1199" t="s">
        <v>2114</v>
      </c>
      <c r="AK1199" s="115">
        <v>0</v>
      </c>
      <c r="AL1199" s="115" t="s">
        <v>28</v>
      </c>
      <c r="AM1199" s="115" t="s">
        <v>1848</v>
      </c>
      <c r="AN1199" s="115" t="s">
        <v>1462</v>
      </c>
      <c r="AO1199" s="115" t="s">
        <v>380</v>
      </c>
    </row>
    <row r="1200" spans="35:41" ht="13">
      <c r="AI1200" s="115" t="s">
        <v>1415</v>
      </c>
      <c r="AJ1200" t="s">
        <v>2114</v>
      </c>
      <c r="AK1200" s="115">
        <v>0</v>
      </c>
      <c r="AL1200" s="115" t="s">
        <v>28</v>
      </c>
      <c r="AM1200" s="115" t="s">
        <v>1846</v>
      </c>
      <c r="AN1200" s="115" t="s">
        <v>1462</v>
      </c>
      <c r="AO1200" s="115" t="s">
        <v>380</v>
      </c>
    </row>
    <row r="1201" spans="35:41" ht="13">
      <c r="AI1201" s="115" t="s">
        <v>1415</v>
      </c>
      <c r="AJ1201" t="s">
        <v>2114</v>
      </c>
      <c r="AK1201" s="115">
        <v>0</v>
      </c>
      <c r="AL1201" s="115" t="s">
        <v>28</v>
      </c>
      <c r="AM1201" s="115" t="s">
        <v>1832</v>
      </c>
      <c r="AN1201" s="115" t="s">
        <v>1462</v>
      </c>
      <c r="AO1201" s="115" t="s">
        <v>380</v>
      </c>
    </row>
    <row r="1202" spans="35:41" ht="13">
      <c r="AI1202" s="115" t="s">
        <v>1415</v>
      </c>
      <c r="AJ1202" t="s">
        <v>2114</v>
      </c>
      <c r="AK1202" s="115">
        <v>0</v>
      </c>
      <c r="AL1202" s="115" t="s">
        <v>28</v>
      </c>
      <c r="AM1202" s="115" t="s">
        <v>1850</v>
      </c>
      <c r="AN1202" s="115" t="s">
        <v>1462</v>
      </c>
      <c r="AO1202" s="115" t="s">
        <v>380</v>
      </c>
    </row>
    <row r="1203" spans="35:41" ht="13">
      <c r="AI1203" s="115" t="s">
        <v>1415</v>
      </c>
      <c r="AJ1203" t="s">
        <v>2114</v>
      </c>
      <c r="AK1203" s="115">
        <v>0</v>
      </c>
      <c r="AL1203" s="115" t="s">
        <v>28</v>
      </c>
      <c r="AM1203" s="115" t="s">
        <v>1843</v>
      </c>
      <c r="AN1203" s="115" t="s">
        <v>1462</v>
      </c>
      <c r="AO1203" s="115" t="s">
        <v>380</v>
      </c>
    </row>
    <row r="1204" spans="35:41" ht="13">
      <c r="AI1204" s="115" t="s">
        <v>1415</v>
      </c>
      <c r="AJ1204" t="s">
        <v>2114</v>
      </c>
      <c r="AK1204" s="115">
        <v>0</v>
      </c>
      <c r="AL1204" s="115" t="s">
        <v>28</v>
      </c>
      <c r="AM1204" s="115" t="s">
        <v>1849</v>
      </c>
      <c r="AN1204" s="115" t="s">
        <v>1462</v>
      </c>
      <c r="AO1204" s="115" t="s">
        <v>380</v>
      </c>
    </row>
    <row r="1205" spans="35:41" ht="13">
      <c r="AI1205" s="115" t="s">
        <v>1415</v>
      </c>
      <c r="AJ1205" t="s">
        <v>2114</v>
      </c>
      <c r="AK1205" s="115">
        <v>0</v>
      </c>
      <c r="AL1205" s="115" t="s">
        <v>28</v>
      </c>
      <c r="AM1205" s="115" t="s">
        <v>1832</v>
      </c>
      <c r="AN1205" s="115" t="s">
        <v>1460</v>
      </c>
      <c r="AO1205" s="115" t="s">
        <v>1644</v>
      </c>
    </row>
    <row r="1206" spans="35:41" ht="13">
      <c r="AI1206" s="115" t="s">
        <v>1415</v>
      </c>
      <c r="AJ1206" t="s">
        <v>2114</v>
      </c>
      <c r="AK1206" s="115">
        <v>0</v>
      </c>
      <c r="AL1206" s="115" t="s">
        <v>28</v>
      </c>
      <c r="AM1206" s="115" t="s">
        <v>1843</v>
      </c>
      <c r="AN1206" s="115" t="s">
        <v>1460</v>
      </c>
      <c r="AO1206" s="115" t="s">
        <v>1644</v>
      </c>
    </row>
    <row r="1207" spans="35:41" ht="13">
      <c r="AI1207" s="115" t="s">
        <v>1415</v>
      </c>
      <c r="AJ1207" t="s">
        <v>2114</v>
      </c>
      <c r="AK1207" s="115">
        <v>0</v>
      </c>
      <c r="AL1207" s="115" t="s">
        <v>28</v>
      </c>
      <c r="AM1207" s="115" t="s">
        <v>1848</v>
      </c>
      <c r="AN1207" s="115" t="s">
        <v>1460</v>
      </c>
      <c r="AO1207" s="115" t="s">
        <v>1644</v>
      </c>
    </row>
    <row r="1208" spans="35:41" ht="13">
      <c r="AI1208" s="115" t="s">
        <v>1415</v>
      </c>
      <c r="AJ1208" t="s">
        <v>2114</v>
      </c>
      <c r="AK1208" s="115">
        <v>0</v>
      </c>
      <c r="AL1208" s="115" t="s">
        <v>28</v>
      </c>
      <c r="AM1208" s="115" t="s">
        <v>1850</v>
      </c>
      <c r="AN1208" s="115" t="s">
        <v>1460</v>
      </c>
      <c r="AO1208" s="115" t="s">
        <v>1644</v>
      </c>
    </row>
    <row r="1209" spans="35:41" ht="13">
      <c r="AI1209" s="115" t="s">
        <v>1415</v>
      </c>
      <c r="AJ1209" t="s">
        <v>2114</v>
      </c>
      <c r="AK1209" s="115">
        <v>0</v>
      </c>
      <c r="AL1209" s="115" t="s">
        <v>28</v>
      </c>
      <c r="AM1209" s="115" t="s">
        <v>1832</v>
      </c>
      <c r="AN1209" s="115" t="s">
        <v>1460</v>
      </c>
      <c r="AO1209" s="115" t="s">
        <v>1645</v>
      </c>
    </row>
    <row r="1210" spans="35:41" ht="13">
      <c r="AI1210" s="115" t="s">
        <v>1415</v>
      </c>
      <c r="AJ1210" t="s">
        <v>2114</v>
      </c>
      <c r="AK1210" s="115">
        <v>0</v>
      </c>
      <c r="AL1210" s="115" t="s">
        <v>28</v>
      </c>
      <c r="AM1210" s="115" t="s">
        <v>1843</v>
      </c>
      <c r="AN1210" s="115" t="s">
        <v>1460</v>
      </c>
      <c r="AO1210" s="115" t="s">
        <v>1645</v>
      </c>
    </row>
    <row r="1211" spans="35:41" ht="13">
      <c r="AI1211" s="115" t="s">
        <v>1415</v>
      </c>
      <c r="AJ1211" t="s">
        <v>2114</v>
      </c>
      <c r="AK1211" s="115">
        <v>0</v>
      </c>
      <c r="AL1211" s="115" t="s">
        <v>28</v>
      </c>
      <c r="AM1211" s="115" t="s">
        <v>1849</v>
      </c>
      <c r="AN1211" s="115" t="s">
        <v>1460</v>
      </c>
      <c r="AO1211" s="115" t="s">
        <v>1645</v>
      </c>
    </row>
    <row r="1212" spans="35:41" ht="13">
      <c r="AI1212" s="115" t="s">
        <v>1415</v>
      </c>
      <c r="AJ1212" t="s">
        <v>2114</v>
      </c>
      <c r="AK1212" s="115">
        <v>0</v>
      </c>
      <c r="AL1212" s="115" t="s">
        <v>28</v>
      </c>
      <c r="AM1212" s="115" t="s">
        <v>1850</v>
      </c>
      <c r="AN1212" s="115" t="s">
        <v>1460</v>
      </c>
      <c r="AO1212" s="115" t="s">
        <v>1645</v>
      </c>
    </row>
    <row r="1213" spans="35:41" ht="13">
      <c r="AI1213" s="115" t="s">
        <v>1415</v>
      </c>
      <c r="AJ1213" t="s">
        <v>2114</v>
      </c>
      <c r="AK1213" s="115">
        <v>0</v>
      </c>
      <c r="AL1213" s="115" t="s">
        <v>28</v>
      </c>
      <c r="AM1213" s="115" t="s">
        <v>1846</v>
      </c>
      <c r="AN1213" s="115" t="s">
        <v>1460</v>
      </c>
      <c r="AO1213" s="115" t="s">
        <v>1645</v>
      </c>
    </row>
    <row r="1214" spans="35:41" ht="13">
      <c r="AI1214" s="115" t="s">
        <v>1415</v>
      </c>
      <c r="AJ1214" t="s">
        <v>2114</v>
      </c>
      <c r="AK1214" s="115">
        <v>0</v>
      </c>
      <c r="AL1214" s="115" t="s">
        <v>28</v>
      </c>
      <c r="AM1214" s="115" t="s">
        <v>1848</v>
      </c>
      <c r="AN1214" s="115" t="s">
        <v>1460</v>
      </c>
      <c r="AO1214" s="115" t="s">
        <v>1645</v>
      </c>
    </row>
    <row r="1215" spans="35:41" ht="13">
      <c r="AI1215" s="115" t="s">
        <v>1415</v>
      </c>
      <c r="AJ1215" t="s">
        <v>2114</v>
      </c>
      <c r="AK1215" s="115">
        <v>0</v>
      </c>
      <c r="AL1215" s="115" t="s">
        <v>28</v>
      </c>
      <c r="AM1215" s="115" t="s">
        <v>1846</v>
      </c>
      <c r="AN1215" s="115" t="s">
        <v>1460</v>
      </c>
      <c r="AO1215" s="115" t="s">
        <v>1646</v>
      </c>
    </row>
    <row r="1216" spans="35:41" ht="13">
      <c r="AI1216" s="115" t="s">
        <v>1415</v>
      </c>
      <c r="AJ1216" t="s">
        <v>2114</v>
      </c>
      <c r="AK1216" s="115">
        <v>0</v>
      </c>
      <c r="AL1216" s="115" t="s">
        <v>28</v>
      </c>
      <c r="AM1216" s="115" t="s">
        <v>1843</v>
      </c>
      <c r="AN1216" s="115" t="s">
        <v>1460</v>
      </c>
      <c r="AO1216" s="115" t="s">
        <v>1646</v>
      </c>
    </row>
    <row r="1217" spans="35:41" ht="13">
      <c r="AI1217" s="115" t="s">
        <v>1415</v>
      </c>
      <c r="AJ1217" t="s">
        <v>2114</v>
      </c>
      <c r="AK1217" s="115">
        <v>0</v>
      </c>
      <c r="AL1217" s="115" t="s">
        <v>28</v>
      </c>
      <c r="AM1217" s="115" t="s">
        <v>1846</v>
      </c>
      <c r="AN1217" s="115" t="s">
        <v>1460</v>
      </c>
      <c r="AO1217" s="115" t="s">
        <v>1647</v>
      </c>
    </row>
    <row r="1218" spans="35:41" ht="13">
      <c r="AI1218" s="115" t="s">
        <v>1415</v>
      </c>
      <c r="AJ1218" t="s">
        <v>2114</v>
      </c>
      <c r="AK1218" s="115">
        <v>0</v>
      </c>
      <c r="AL1218" s="115" t="s">
        <v>28</v>
      </c>
      <c r="AM1218" s="115" t="s">
        <v>1843</v>
      </c>
      <c r="AN1218" s="115" t="s">
        <v>1460</v>
      </c>
      <c r="AO1218" s="115" t="s">
        <v>1647</v>
      </c>
    </row>
    <row r="1219" spans="35:41" ht="13">
      <c r="AI1219" s="115" t="s">
        <v>1415</v>
      </c>
      <c r="AJ1219" t="s">
        <v>2114</v>
      </c>
      <c r="AK1219" s="115">
        <v>0</v>
      </c>
      <c r="AL1219" s="115" t="s">
        <v>28</v>
      </c>
      <c r="AM1219" s="115" t="s">
        <v>1846</v>
      </c>
      <c r="AN1219" s="115" t="s">
        <v>1460</v>
      </c>
      <c r="AO1219" s="115" t="s">
        <v>1639</v>
      </c>
    </row>
    <row r="1220" spans="35:41" ht="13">
      <c r="AI1220" s="115" t="s">
        <v>1415</v>
      </c>
      <c r="AJ1220" t="s">
        <v>2114</v>
      </c>
      <c r="AK1220" s="115">
        <v>0</v>
      </c>
      <c r="AL1220" s="115" t="s">
        <v>28</v>
      </c>
      <c r="AM1220" s="115" t="s">
        <v>1843</v>
      </c>
      <c r="AN1220" s="115" t="s">
        <v>1460</v>
      </c>
      <c r="AO1220" s="115" t="s">
        <v>1639</v>
      </c>
    </row>
    <row r="1221" spans="35:41" ht="13">
      <c r="AI1221" s="115" t="s">
        <v>1415</v>
      </c>
      <c r="AJ1221" t="s">
        <v>2114</v>
      </c>
      <c r="AK1221" s="115">
        <v>0</v>
      </c>
      <c r="AL1221" s="115" t="s">
        <v>28</v>
      </c>
      <c r="AM1221" s="115" t="s">
        <v>1846</v>
      </c>
      <c r="AN1221" s="115" t="s">
        <v>1460</v>
      </c>
      <c r="AO1221" s="115" t="s">
        <v>380</v>
      </c>
    </row>
    <row r="1222" spans="35:41" ht="13">
      <c r="AI1222" s="115" t="s">
        <v>1415</v>
      </c>
      <c r="AJ1222" t="s">
        <v>2114</v>
      </c>
      <c r="AK1222" s="115">
        <v>0</v>
      </c>
      <c r="AL1222" s="115" t="s">
        <v>28</v>
      </c>
      <c r="AM1222" s="115" t="s">
        <v>1850</v>
      </c>
      <c r="AN1222" s="115" t="s">
        <v>1460</v>
      </c>
      <c r="AO1222" s="115" t="s">
        <v>380</v>
      </c>
    </row>
    <row r="1223" spans="35:41" ht="13">
      <c r="AI1223" s="115" t="s">
        <v>1415</v>
      </c>
      <c r="AJ1223" t="s">
        <v>2114</v>
      </c>
      <c r="AK1223" s="115">
        <v>0</v>
      </c>
      <c r="AL1223" s="115" t="s">
        <v>28</v>
      </c>
      <c r="AM1223" s="115" t="s">
        <v>1843</v>
      </c>
      <c r="AN1223" s="115" t="s">
        <v>1460</v>
      </c>
      <c r="AO1223" s="115" t="s">
        <v>380</v>
      </c>
    </row>
    <row r="1224" spans="35:41" ht="13">
      <c r="AI1224" s="115" t="s">
        <v>1415</v>
      </c>
      <c r="AJ1224" t="s">
        <v>2114</v>
      </c>
      <c r="AK1224" s="115">
        <v>0</v>
      </c>
      <c r="AL1224" s="115" t="s">
        <v>28</v>
      </c>
      <c r="AM1224" s="115" t="s">
        <v>1848</v>
      </c>
      <c r="AN1224" s="115" t="s">
        <v>1460</v>
      </c>
      <c r="AO1224" s="115" t="s">
        <v>380</v>
      </c>
    </row>
    <row r="1225" spans="35:41" ht="13">
      <c r="AI1225" s="115" t="s">
        <v>1415</v>
      </c>
      <c r="AJ1225" t="s">
        <v>2114</v>
      </c>
      <c r="AK1225" s="115">
        <v>0</v>
      </c>
      <c r="AL1225" s="115" t="s">
        <v>28</v>
      </c>
      <c r="AM1225" s="115" t="s">
        <v>1832</v>
      </c>
      <c r="AN1225" s="115" t="s">
        <v>1460</v>
      </c>
      <c r="AO1225" s="115" t="s">
        <v>380</v>
      </c>
    </row>
    <row r="1226" spans="35:41" ht="13">
      <c r="AI1226" s="115" t="s">
        <v>1415</v>
      </c>
      <c r="AJ1226" t="s">
        <v>2114</v>
      </c>
      <c r="AK1226" s="115">
        <v>0</v>
      </c>
      <c r="AL1226" s="115" t="s">
        <v>28</v>
      </c>
      <c r="AM1226" s="115" t="s">
        <v>1849</v>
      </c>
      <c r="AN1226" s="115" t="s">
        <v>1460</v>
      </c>
      <c r="AO1226" s="115" t="s">
        <v>380</v>
      </c>
    </row>
    <row r="1227" spans="35:41" ht="13">
      <c r="AI1227" s="115" t="s">
        <v>1415</v>
      </c>
      <c r="AJ1227" t="s">
        <v>2114</v>
      </c>
      <c r="AK1227" s="115">
        <v>0</v>
      </c>
      <c r="AL1227" s="115" t="s">
        <v>28</v>
      </c>
      <c r="AM1227" s="115" t="s">
        <v>1848</v>
      </c>
      <c r="AN1227" s="115" t="s">
        <v>1418</v>
      </c>
      <c r="AO1227" s="115" t="s">
        <v>1643</v>
      </c>
    </row>
    <row r="1228" spans="35:41" ht="13">
      <c r="AI1228" s="115" t="s">
        <v>1415</v>
      </c>
      <c r="AJ1228" t="s">
        <v>2114</v>
      </c>
      <c r="AK1228" s="115">
        <v>0</v>
      </c>
      <c r="AL1228" s="115" t="s">
        <v>28</v>
      </c>
      <c r="AM1228" s="115" t="s">
        <v>1850</v>
      </c>
      <c r="AN1228" s="115" t="s">
        <v>1418</v>
      </c>
      <c r="AO1228" s="115" t="s">
        <v>1643</v>
      </c>
    </row>
    <row r="1229" spans="35:41" ht="13">
      <c r="AI1229" s="115" t="s">
        <v>1415</v>
      </c>
      <c r="AJ1229" t="s">
        <v>2114</v>
      </c>
      <c r="AK1229" s="115">
        <v>0</v>
      </c>
      <c r="AL1229" s="115" t="s">
        <v>28</v>
      </c>
      <c r="AM1229" s="115" t="s">
        <v>1832</v>
      </c>
      <c r="AN1229" s="115" t="s">
        <v>1418</v>
      </c>
      <c r="AO1229" s="115" t="s">
        <v>1643</v>
      </c>
    </row>
    <row r="1230" spans="35:41" ht="13">
      <c r="AI1230" s="115" t="s">
        <v>1415</v>
      </c>
      <c r="AJ1230" t="s">
        <v>2114</v>
      </c>
      <c r="AK1230" s="115">
        <v>0</v>
      </c>
      <c r="AL1230" s="115" t="s">
        <v>28</v>
      </c>
      <c r="AM1230" s="115" t="s">
        <v>1843</v>
      </c>
      <c r="AN1230" s="115" t="s">
        <v>1418</v>
      </c>
      <c r="AO1230" s="115" t="s">
        <v>1643</v>
      </c>
    </row>
    <row r="1231" spans="35:41" ht="13">
      <c r="AI1231" s="115" t="s">
        <v>1415</v>
      </c>
      <c r="AJ1231" t="s">
        <v>2114</v>
      </c>
      <c r="AK1231" s="115">
        <v>0</v>
      </c>
      <c r="AL1231" s="115" t="s">
        <v>28</v>
      </c>
      <c r="AM1231" s="115" t="s">
        <v>1846</v>
      </c>
      <c r="AN1231" s="115" t="s">
        <v>1418</v>
      </c>
      <c r="AO1231" s="115" t="s">
        <v>1643</v>
      </c>
    </row>
    <row r="1232" spans="35:41" ht="13">
      <c r="AI1232" s="115" t="s">
        <v>1415</v>
      </c>
      <c r="AJ1232" t="s">
        <v>2114</v>
      </c>
      <c r="AK1232" s="115">
        <v>0</v>
      </c>
      <c r="AL1232" s="115" t="s">
        <v>28</v>
      </c>
      <c r="AM1232" s="115" t="s">
        <v>1849</v>
      </c>
      <c r="AN1232" s="115" t="s">
        <v>1418</v>
      </c>
      <c r="AO1232" s="115" t="s">
        <v>1643</v>
      </c>
    </row>
    <row r="1233" spans="35:41" ht="13">
      <c r="AI1233" s="115" t="s">
        <v>1415</v>
      </c>
      <c r="AJ1233" t="s">
        <v>2114</v>
      </c>
      <c r="AK1233" s="115">
        <v>0</v>
      </c>
      <c r="AL1233" s="115" t="s">
        <v>28</v>
      </c>
      <c r="AM1233" s="115" t="s">
        <v>1832</v>
      </c>
      <c r="AN1233" s="115" t="s">
        <v>1418</v>
      </c>
      <c r="AO1233" s="115" t="s">
        <v>1642</v>
      </c>
    </row>
    <row r="1234" spans="35:41" ht="13">
      <c r="AI1234" s="115" t="s">
        <v>1415</v>
      </c>
      <c r="AJ1234" t="s">
        <v>2114</v>
      </c>
      <c r="AK1234" s="115">
        <v>0</v>
      </c>
      <c r="AL1234" s="115" t="s">
        <v>28</v>
      </c>
      <c r="AM1234" s="115" t="s">
        <v>1848</v>
      </c>
      <c r="AN1234" s="115" t="s">
        <v>1418</v>
      </c>
      <c r="AO1234" s="115" t="s">
        <v>1642</v>
      </c>
    </row>
    <row r="1235" spans="35:41" ht="13">
      <c r="AI1235" s="115" t="s">
        <v>1415</v>
      </c>
      <c r="AJ1235" t="s">
        <v>2114</v>
      </c>
      <c r="AK1235" s="115">
        <v>0</v>
      </c>
      <c r="AL1235" s="115" t="s">
        <v>28</v>
      </c>
      <c r="AM1235" s="115" t="s">
        <v>1850</v>
      </c>
      <c r="AN1235" s="115" t="s">
        <v>1418</v>
      </c>
      <c r="AO1235" s="115" t="s">
        <v>1642</v>
      </c>
    </row>
    <row r="1236" spans="35:41" ht="13">
      <c r="AI1236" s="115" t="s">
        <v>1415</v>
      </c>
      <c r="AJ1236" t="s">
        <v>2114</v>
      </c>
      <c r="AK1236" s="115">
        <v>0</v>
      </c>
      <c r="AL1236" s="115" t="s">
        <v>28</v>
      </c>
      <c r="AM1236" s="115" t="s">
        <v>1843</v>
      </c>
      <c r="AN1236" s="115" t="s">
        <v>1418</v>
      </c>
      <c r="AO1236" s="115" t="s">
        <v>1642</v>
      </c>
    </row>
    <row r="1237" spans="35:41" ht="13">
      <c r="AI1237" s="115" t="s">
        <v>1415</v>
      </c>
      <c r="AJ1237" t="s">
        <v>2114</v>
      </c>
      <c r="AK1237" s="115">
        <v>0</v>
      </c>
      <c r="AL1237" s="115" t="s">
        <v>28</v>
      </c>
      <c r="AM1237" s="115" t="s">
        <v>1848</v>
      </c>
      <c r="AN1237" s="115" t="s">
        <v>1418</v>
      </c>
      <c r="AO1237" s="115" t="s">
        <v>379</v>
      </c>
    </row>
    <row r="1238" spans="35:41" ht="13">
      <c r="AI1238" s="115" t="s">
        <v>1415</v>
      </c>
      <c r="AJ1238" t="s">
        <v>2114</v>
      </c>
      <c r="AK1238" s="115">
        <v>0</v>
      </c>
      <c r="AL1238" s="115" t="s">
        <v>28</v>
      </c>
      <c r="AM1238" s="115" t="s">
        <v>1843</v>
      </c>
      <c r="AN1238" s="115" t="s">
        <v>1418</v>
      </c>
      <c r="AO1238" s="115" t="s">
        <v>379</v>
      </c>
    </row>
    <row r="1239" spans="35:41" ht="13">
      <c r="AI1239" s="115" t="s">
        <v>1415</v>
      </c>
      <c r="AJ1239" t="s">
        <v>2114</v>
      </c>
      <c r="AK1239" s="115">
        <v>0</v>
      </c>
      <c r="AL1239" s="115" t="s">
        <v>28</v>
      </c>
      <c r="AM1239" s="115" t="s">
        <v>1849</v>
      </c>
      <c r="AN1239" s="115" t="s">
        <v>1418</v>
      </c>
      <c r="AO1239" s="115" t="s">
        <v>379</v>
      </c>
    </row>
    <row r="1240" spans="35:41" ht="13">
      <c r="AI1240" s="115" t="s">
        <v>1415</v>
      </c>
      <c r="AJ1240" t="s">
        <v>2114</v>
      </c>
      <c r="AK1240" s="115">
        <v>0</v>
      </c>
      <c r="AL1240" s="115" t="s">
        <v>28</v>
      </c>
      <c r="AM1240" s="115" t="s">
        <v>1850</v>
      </c>
      <c r="AN1240" s="115" t="s">
        <v>1418</v>
      </c>
      <c r="AO1240" s="115" t="s">
        <v>379</v>
      </c>
    </row>
    <row r="1241" spans="35:41" ht="13">
      <c r="AI1241" s="115" t="s">
        <v>1415</v>
      </c>
      <c r="AJ1241" t="s">
        <v>2114</v>
      </c>
      <c r="AK1241" s="115">
        <v>0</v>
      </c>
      <c r="AL1241" s="115" t="s">
        <v>28</v>
      </c>
      <c r="AM1241" s="115" t="s">
        <v>1832</v>
      </c>
      <c r="AN1241" s="115" t="s">
        <v>1418</v>
      </c>
      <c r="AO1241" s="115" t="s">
        <v>379</v>
      </c>
    </row>
    <row r="1242" spans="35:41" ht="13">
      <c r="AI1242" s="115" t="s">
        <v>1415</v>
      </c>
      <c r="AJ1242" t="s">
        <v>2114</v>
      </c>
      <c r="AK1242" s="115">
        <v>0</v>
      </c>
      <c r="AL1242" s="115" t="s">
        <v>28</v>
      </c>
      <c r="AM1242" s="115" t="s">
        <v>1846</v>
      </c>
      <c r="AN1242" s="115" t="s">
        <v>1418</v>
      </c>
      <c r="AO1242" s="115" t="s">
        <v>379</v>
      </c>
    </row>
    <row r="1243" spans="35:41" ht="13">
      <c r="AI1243" s="115" t="s">
        <v>1415</v>
      </c>
      <c r="AJ1243" t="s">
        <v>2114</v>
      </c>
      <c r="AK1243" s="115">
        <v>0</v>
      </c>
      <c r="AL1243" s="115" t="s">
        <v>28</v>
      </c>
      <c r="AM1243" s="115" t="s">
        <v>1846</v>
      </c>
      <c r="AN1243" s="115" t="s">
        <v>1418</v>
      </c>
      <c r="AO1243" s="115" t="s">
        <v>373</v>
      </c>
    </row>
    <row r="1244" spans="35:41" ht="13">
      <c r="AI1244" s="115" t="s">
        <v>1415</v>
      </c>
      <c r="AJ1244" t="s">
        <v>2114</v>
      </c>
      <c r="AK1244" s="115">
        <v>0</v>
      </c>
      <c r="AL1244" s="115" t="s">
        <v>28</v>
      </c>
      <c r="AM1244" s="115" t="s">
        <v>1850</v>
      </c>
      <c r="AN1244" s="115" t="s">
        <v>1418</v>
      </c>
      <c r="AO1244" s="115" t="s">
        <v>373</v>
      </c>
    </row>
    <row r="1245" spans="35:41" ht="13">
      <c r="AI1245" s="115" t="s">
        <v>1415</v>
      </c>
      <c r="AJ1245" t="s">
        <v>2114</v>
      </c>
      <c r="AK1245" s="115">
        <v>0</v>
      </c>
      <c r="AL1245" s="115" t="s">
        <v>28</v>
      </c>
      <c r="AM1245" s="115" t="s">
        <v>1848</v>
      </c>
      <c r="AN1245" s="115" t="s">
        <v>1418</v>
      </c>
      <c r="AO1245" s="115" t="s">
        <v>373</v>
      </c>
    </row>
    <row r="1246" spans="35:41" ht="13">
      <c r="AI1246" s="115" t="s">
        <v>1415</v>
      </c>
      <c r="AJ1246" t="s">
        <v>2114</v>
      </c>
      <c r="AK1246" s="115">
        <v>0</v>
      </c>
      <c r="AL1246" s="115" t="s">
        <v>28</v>
      </c>
      <c r="AM1246" s="115" t="s">
        <v>1832</v>
      </c>
      <c r="AN1246" s="115" t="s">
        <v>1418</v>
      </c>
      <c r="AO1246" s="115" t="s">
        <v>373</v>
      </c>
    </row>
    <row r="1247" spans="35:41" ht="13">
      <c r="AI1247" s="115" t="s">
        <v>1415</v>
      </c>
      <c r="AJ1247" t="s">
        <v>2114</v>
      </c>
      <c r="AK1247" s="115">
        <v>0</v>
      </c>
      <c r="AL1247" s="115" t="s">
        <v>28</v>
      </c>
      <c r="AM1247" s="115" t="s">
        <v>1849</v>
      </c>
      <c r="AN1247" s="115" t="s">
        <v>1418</v>
      </c>
      <c r="AO1247" s="115" t="s">
        <v>373</v>
      </c>
    </row>
    <row r="1248" spans="35:41" ht="13">
      <c r="AI1248" s="115" t="s">
        <v>1415</v>
      </c>
      <c r="AJ1248" t="s">
        <v>2114</v>
      </c>
      <c r="AK1248" s="115">
        <v>0</v>
      </c>
      <c r="AL1248" s="115" t="s">
        <v>28</v>
      </c>
      <c r="AM1248" s="115" t="s">
        <v>1843</v>
      </c>
      <c r="AN1248" s="115" t="s">
        <v>1418</v>
      </c>
      <c r="AO1248" s="115" t="s">
        <v>373</v>
      </c>
    </row>
    <row r="1249" spans="35:41" ht="13">
      <c r="AI1249" s="115" t="s">
        <v>1415</v>
      </c>
      <c r="AJ1249" t="s">
        <v>2114</v>
      </c>
      <c r="AK1249" s="115">
        <v>0</v>
      </c>
      <c r="AL1249" s="115" t="s">
        <v>28</v>
      </c>
      <c r="AM1249" s="115" t="s">
        <v>1843</v>
      </c>
      <c r="AN1249" s="115" t="s">
        <v>1423</v>
      </c>
      <c r="AO1249" s="115" t="s">
        <v>1639</v>
      </c>
    </row>
    <row r="1250" spans="35:41" ht="13">
      <c r="AI1250" s="115" t="s">
        <v>1415</v>
      </c>
      <c r="AJ1250" t="s">
        <v>2114</v>
      </c>
      <c r="AK1250" s="115">
        <v>0</v>
      </c>
      <c r="AL1250" s="115" t="s">
        <v>28</v>
      </c>
      <c r="AM1250" s="115" t="s">
        <v>1846</v>
      </c>
      <c r="AN1250" s="115" t="s">
        <v>1423</v>
      </c>
      <c r="AO1250" s="115" t="s">
        <v>1639</v>
      </c>
    </row>
    <row r="1251" spans="35:41" ht="13">
      <c r="AI1251" s="115" t="s">
        <v>1415</v>
      </c>
      <c r="AJ1251" t="s">
        <v>2114</v>
      </c>
      <c r="AK1251" s="115">
        <v>0</v>
      </c>
      <c r="AL1251" s="115" t="s">
        <v>28</v>
      </c>
      <c r="AM1251" s="115" t="s">
        <v>1843</v>
      </c>
      <c r="AN1251" s="115" t="s">
        <v>1578</v>
      </c>
      <c r="AO1251" s="115" t="s">
        <v>1639</v>
      </c>
    </row>
    <row r="1252" spans="35:41" ht="13">
      <c r="AI1252" s="115" t="s">
        <v>1415</v>
      </c>
      <c r="AJ1252" t="s">
        <v>2114</v>
      </c>
      <c r="AK1252" s="115">
        <v>0</v>
      </c>
      <c r="AL1252" s="115" t="s">
        <v>28</v>
      </c>
      <c r="AM1252" s="115" t="s">
        <v>1846</v>
      </c>
      <c r="AN1252" s="115" t="s">
        <v>1578</v>
      </c>
      <c r="AO1252" s="115" t="s">
        <v>1639</v>
      </c>
    </row>
    <row r="1253" spans="35:41" ht="13">
      <c r="AI1253" s="115" t="s">
        <v>1415</v>
      </c>
      <c r="AJ1253" t="s">
        <v>2114</v>
      </c>
      <c r="AK1253" s="115">
        <v>0</v>
      </c>
      <c r="AL1253" s="115" t="s">
        <v>28</v>
      </c>
      <c r="AM1253" s="115" t="s">
        <v>1843</v>
      </c>
      <c r="AN1253" s="115" t="s">
        <v>1422</v>
      </c>
      <c r="AO1253" s="115" t="s">
        <v>1639</v>
      </c>
    </row>
    <row r="1254" spans="35:41" ht="13">
      <c r="AI1254" s="115" t="s">
        <v>1415</v>
      </c>
      <c r="AJ1254" t="s">
        <v>2114</v>
      </c>
      <c r="AK1254" s="115">
        <v>0</v>
      </c>
      <c r="AL1254" s="115" t="s">
        <v>28</v>
      </c>
      <c r="AM1254" s="115" t="s">
        <v>1846</v>
      </c>
      <c r="AN1254" s="115" t="s">
        <v>1422</v>
      </c>
      <c r="AO1254" s="115" t="s">
        <v>1639</v>
      </c>
    </row>
    <row r="1255" spans="35:41" ht="13">
      <c r="AI1255" s="115" t="s">
        <v>1415</v>
      </c>
      <c r="AJ1255" t="s">
        <v>2114</v>
      </c>
      <c r="AK1255" s="115">
        <v>0</v>
      </c>
      <c r="AL1255" s="115" t="s">
        <v>28</v>
      </c>
      <c r="AM1255" s="115" t="s">
        <v>1832</v>
      </c>
      <c r="AN1255" s="115" t="s">
        <v>1421</v>
      </c>
      <c r="AO1255" s="115" t="s">
        <v>1643</v>
      </c>
    </row>
    <row r="1256" spans="35:41" ht="13">
      <c r="AI1256" s="115" t="s">
        <v>1415</v>
      </c>
      <c r="AJ1256" t="s">
        <v>2114</v>
      </c>
      <c r="AK1256" s="115">
        <v>0</v>
      </c>
      <c r="AL1256" s="115" t="s">
        <v>28</v>
      </c>
      <c r="AM1256" s="115" t="s">
        <v>1843</v>
      </c>
      <c r="AN1256" s="115" t="s">
        <v>1421</v>
      </c>
      <c r="AO1256" s="115" t="s">
        <v>1643</v>
      </c>
    </row>
    <row r="1257" spans="35:41" ht="13">
      <c r="AI1257" s="115" t="s">
        <v>1415</v>
      </c>
      <c r="AJ1257" t="s">
        <v>2114</v>
      </c>
      <c r="AK1257" s="115">
        <v>0</v>
      </c>
      <c r="AL1257" s="115" t="s">
        <v>28</v>
      </c>
      <c r="AM1257" s="115" t="s">
        <v>1849</v>
      </c>
      <c r="AN1257" s="115" t="s">
        <v>1421</v>
      </c>
      <c r="AO1257" s="115" t="s">
        <v>1643</v>
      </c>
    </row>
    <row r="1258" spans="35:41" ht="13">
      <c r="AI1258" s="115" t="s">
        <v>1415</v>
      </c>
      <c r="AJ1258" t="s">
        <v>2114</v>
      </c>
      <c r="AK1258" s="115">
        <v>0</v>
      </c>
      <c r="AL1258" s="115" t="s">
        <v>28</v>
      </c>
      <c r="AM1258" s="115" t="s">
        <v>1848</v>
      </c>
      <c r="AN1258" s="115" t="s">
        <v>1421</v>
      </c>
      <c r="AO1258" s="115" t="s">
        <v>1643</v>
      </c>
    </row>
    <row r="1259" spans="35:41" ht="13">
      <c r="AI1259" s="115" t="s">
        <v>1415</v>
      </c>
      <c r="AJ1259" t="s">
        <v>2114</v>
      </c>
      <c r="AK1259" s="115">
        <v>0</v>
      </c>
      <c r="AL1259" s="115" t="s">
        <v>28</v>
      </c>
      <c r="AM1259" s="115" t="s">
        <v>1850</v>
      </c>
      <c r="AN1259" s="115" t="s">
        <v>1421</v>
      </c>
      <c r="AO1259" s="115" t="s">
        <v>1643</v>
      </c>
    </row>
    <row r="1260" spans="35:41" ht="13">
      <c r="AI1260" s="115" t="s">
        <v>1415</v>
      </c>
      <c r="AJ1260" t="s">
        <v>2114</v>
      </c>
      <c r="AK1260" s="115">
        <v>0</v>
      </c>
      <c r="AL1260" s="115" t="s">
        <v>28</v>
      </c>
      <c r="AM1260" s="115" t="s">
        <v>1846</v>
      </c>
      <c r="AN1260" s="115" t="s">
        <v>1421</v>
      </c>
      <c r="AO1260" s="115" t="s">
        <v>1643</v>
      </c>
    </row>
    <row r="1261" spans="35:41" ht="13">
      <c r="AI1261" s="115" t="s">
        <v>1415</v>
      </c>
      <c r="AJ1261" t="s">
        <v>2114</v>
      </c>
      <c r="AK1261" s="115">
        <v>0</v>
      </c>
      <c r="AL1261" s="115" t="s">
        <v>28</v>
      </c>
      <c r="AM1261" s="115" t="s">
        <v>1832</v>
      </c>
      <c r="AN1261" s="115" t="s">
        <v>1421</v>
      </c>
      <c r="AO1261" s="115" t="s">
        <v>372</v>
      </c>
    </row>
    <row r="1262" spans="35:41" ht="13">
      <c r="AI1262" s="115" t="s">
        <v>1415</v>
      </c>
      <c r="AJ1262" t="s">
        <v>2114</v>
      </c>
      <c r="AK1262" s="115">
        <v>0</v>
      </c>
      <c r="AL1262" s="115" t="s">
        <v>28</v>
      </c>
      <c r="AM1262" s="115" t="s">
        <v>1846</v>
      </c>
      <c r="AN1262" s="115" t="s">
        <v>1421</v>
      </c>
      <c r="AO1262" s="115" t="s">
        <v>372</v>
      </c>
    </row>
    <row r="1263" spans="35:41" ht="13">
      <c r="AI1263" s="115" t="s">
        <v>1415</v>
      </c>
      <c r="AJ1263" t="s">
        <v>2114</v>
      </c>
      <c r="AK1263" s="115">
        <v>0</v>
      </c>
      <c r="AL1263" s="115" t="s">
        <v>28</v>
      </c>
      <c r="AM1263" s="115" t="s">
        <v>1849</v>
      </c>
      <c r="AN1263" s="115" t="s">
        <v>1421</v>
      </c>
      <c r="AO1263" s="115" t="s">
        <v>372</v>
      </c>
    </row>
    <row r="1264" spans="35:41" ht="13">
      <c r="AI1264" s="115" t="s">
        <v>1415</v>
      </c>
      <c r="AJ1264" t="s">
        <v>2114</v>
      </c>
      <c r="AK1264" s="115">
        <v>0</v>
      </c>
      <c r="AL1264" s="115" t="s">
        <v>28</v>
      </c>
      <c r="AM1264" s="115" t="s">
        <v>1848</v>
      </c>
      <c r="AN1264" s="115" t="s">
        <v>1421</v>
      </c>
      <c r="AO1264" s="115" t="s">
        <v>372</v>
      </c>
    </row>
    <row r="1265" spans="35:41" ht="13">
      <c r="AI1265" s="115" t="s">
        <v>1415</v>
      </c>
      <c r="AJ1265" t="s">
        <v>2114</v>
      </c>
      <c r="AK1265" s="115">
        <v>0</v>
      </c>
      <c r="AL1265" s="115" t="s">
        <v>28</v>
      </c>
      <c r="AM1265" s="115" t="s">
        <v>1850</v>
      </c>
      <c r="AN1265" s="115" t="s">
        <v>1421</v>
      </c>
      <c r="AO1265" s="115" t="s">
        <v>372</v>
      </c>
    </row>
    <row r="1266" spans="35:41" ht="13">
      <c r="AI1266" s="115" t="s">
        <v>1415</v>
      </c>
      <c r="AJ1266" t="s">
        <v>2114</v>
      </c>
      <c r="AK1266" s="115">
        <v>0</v>
      </c>
      <c r="AL1266" s="115" t="s">
        <v>28</v>
      </c>
      <c r="AM1266" s="115" t="s">
        <v>1843</v>
      </c>
      <c r="AN1266" s="115" t="s">
        <v>1421</v>
      </c>
      <c r="AO1266" s="115" t="s">
        <v>372</v>
      </c>
    </row>
    <row r="1267" spans="35:41" ht="13">
      <c r="AI1267" s="115" t="s">
        <v>1415</v>
      </c>
      <c r="AJ1267" t="s">
        <v>2114</v>
      </c>
      <c r="AK1267" s="115">
        <v>0</v>
      </c>
      <c r="AL1267" s="115" t="s">
        <v>28</v>
      </c>
      <c r="AM1267" s="115" t="s">
        <v>1832</v>
      </c>
      <c r="AN1267" s="115" t="s">
        <v>1424</v>
      </c>
      <c r="AO1267" s="115" t="s">
        <v>1644</v>
      </c>
    </row>
    <row r="1268" spans="35:41" ht="13">
      <c r="AI1268" s="115" t="s">
        <v>1415</v>
      </c>
      <c r="AJ1268" t="s">
        <v>2114</v>
      </c>
      <c r="AK1268" s="115">
        <v>0</v>
      </c>
      <c r="AL1268" s="115" t="s">
        <v>28</v>
      </c>
      <c r="AM1268" s="115" t="s">
        <v>1843</v>
      </c>
      <c r="AN1268" s="115" t="s">
        <v>1424</v>
      </c>
      <c r="AO1268" s="115" t="s">
        <v>1644</v>
      </c>
    </row>
    <row r="1269" spans="35:41" ht="13">
      <c r="AI1269" s="115" t="s">
        <v>1415</v>
      </c>
      <c r="AJ1269" t="s">
        <v>2114</v>
      </c>
      <c r="AK1269" s="115">
        <v>0</v>
      </c>
      <c r="AL1269" s="115" t="s">
        <v>28</v>
      </c>
      <c r="AM1269" s="115" t="s">
        <v>1850</v>
      </c>
      <c r="AN1269" s="115" t="s">
        <v>1424</v>
      </c>
      <c r="AO1269" s="115" t="s">
        <v>1644</v>
      </c>
    </row>
    <row r="1270" spans="35:41" ht="13">
      <c r="AI1270" s="115" t="s">
        <v>1415</v>
      </c>
      <c r="AJ1270" t="s">
        <v>2114</v>
      </c>
      <c r="AK1270" s="115">
        <v>0</v>
      </c>
      <c r="AL1270" s="115" t="s">
        <v>28</v>
      </c>
      <c r="AM1270" s="115" t="s">
        <v>1848</v>
      </c>
      <c r="AN1270" s="115" t="s">
        <v>1424</v>
      </c>
      <c r="AO1270" s="115" t="s">
        <v>1644</v>
      </c>
    </row>
    <row r="1271" spans="35:41" ht="13">
      <c r="AI1271" s="115" t="s">
        <v>1415</v>
      </c>
      <c r="AJ1271" t="s">
        <v>2114</v>
      </c>
      <c r="AK1271" s="115">
        <v>0</v>
      </c>
      <c r="AL1271" s="115" t="s">
        <v>28</v>
      </c>
      <c r="AM1271" s="115" t="s">
        <v>1849</v>
      </c>
      <c r="AN1271" s="115" t="s">
        <v>1424</v>
      </c>
      <c r="AO1271" s="115" t="s">
        <v>1274</v>
      </c>
    </row>
    <row r="1272" spans="35:41" ht="13">
      <c r="AI1272" s="115" t="s">
        <v>1415</v>
      </c>
      <c r="AJ1272" t="s">
        <v>2114</v>
      </c>
      <c r="AK1272" s="115">
        <v>0</v>
      </c>
      <c r="AL1272" s="115" t="s">
        <v>28</v>
      </c>
      <c r="AM1272" s="115" t="s">
        <v>1848</v>
      </c>
      <c r="AN1272" s="115" t="s">
        <v>1424</v>
      </c>
      <c r="AO1272" s="115" t="s">
        <v>1274</v>
      </c>
    </row>
    <row r="1273" spans="35:41" ht="13">
      <c r="AI1273" s="115" t="s">
        <v>1415</v>
      </c>
      <c r="AJ1273" t="s">
        <v>2114</v>
      </c>
      <c r="AK1273" s="115">
        <v>0</v>
      </c>
      <c r="AL1273" s="115" t="s">
        <v>28</v>
      </c>
      <c r="AM1273" s="115" t="s">
        <v>1846</v>
      </c>
      <c r="AN1273" s="115" t="s">
        <v>1424</v>
      </c>
      <c r="AO1273" s="115" t="s">
        <v>1274</v>
      </c>
    </row>
    <row r="1274" spans="35:41" ht="13">
      <c r="AI1274" s="115" t="s">
        <v>1415</v>
      </c>
      <c r="AJ1274" t="s">
        <v>2114</v>
      </c>
      <c r="AK1274" s="115">
        <v>0</v>
      </c>
      <c r="AL1274" s="115" t="s">
        <v>28</v>
      </c>
      <c r="AM1274" s="115" t="s">
        <v>1850</v>
      </c>
      <c r="AN1274" s="115" t="s">
        <v>1424</v>
      </c>
      <c r="AO1274" s="115" t="s">
        <v>1274</v>
      </c>
    </row>
    <row r="1275" spans="35:41" ht="13">
      <c r="AI1275" s="115" t="s">
        <v>1415</v>
      </c>
      <c r="AJ1275" t="s">
        <v>2114</v>
      </c>
      <c r="AK1275" s="115">
        <v>0</v>
      </c>
      <c r="AL1275" s="115" t="s">
        <v>28</v>
      </c>
      <c r="AM1275" s="115" t="s">
        <v>1832</v>
      </c>
      <c r="AN1275" s="115" t="s">
        <v>1424</v>
      </c>
      <c r="AO1275" s="115" t="s">
        <v>1274</v>
      </c>
    </row>
    <row r="1276" spans="35:41" ht="13">
      <c r="AI1276" s="115" t="s">
        <v>1415</v>
      </c>
      <c r="AJ1276" t="s">
        <v>2114</v>
      </c>
      <c r="AK1276" s="115">
        <v>0</v>
      </c>
      <c r="AL1276" s="115" t="s">
        <v>28</v>
      </c>
      <c r="AM1276" s="115" t="s">
        <v>1843</v>
      </c>
      <c r="AN1276" s="115" t="s">
        <v>1424</v>
      </c>
      <c r="AO1276" s="115" t="s">
        <v>1274</v>
      </c>
    </row>
    <row r="1277" spans="35:41" ht="13">
      <c r="AI1277" s="115" t="s">
        <v>1415</v>
      </c>
      <c r="AJ1277" t="s">
        <v>2114</v>
      </c>
      <c r="AK1277" s="115">
        <v>0</v>
      </c>
      <c r="AL1277" s="115" t="s">
        <v>28</v>
      </c>
      <c r="AM1277" s="115" t="s">
        <v>1849</v>
      </c>
      <c r="AN1277" s="115" t="s">
        <v>1424</v>
      </c>
      <c r="AO1277" s="115" t="s">
        <v>381</v>
      </c>
    </row>
    <row r="1278" spans="35:41" ht="13">
      <c r="AI1278" s="115" t="s">
        <v>1415</v>
      </c>
      <c r="AJ1278" t="s">
        <v>2114</v>
      </c>
      <c r="AK1278" s="115">
        <v>0</v>
      </c>
      <c r="AL1278" s="115" t="s">
        <v>28</v>
      </c>
      <c r="AM1278" s="115" t="s">
        <v>1832</v>
      </c>
      <c r="AN1278" s="115" t="s">
        <v>1424</v>
      </c>
      <c r="AO1278" s="115" t="s">
        <v>381</v>
      </c>
    </row>
    <row r="1279" spans="35:41" ht="13">
      <c r="AI1279" s="115" t="s">
        <v>1415</v>
      </c>
      <c r="AJ1279" t="s">
        <v>2114</v>
      </c>
      <c r="AK1279" s="115">
        <v>0</v>
      </c>
      <c r="AL1279" s="115" t="s">
        <v>28</v>
      </c>
      <c r="AM1279" s="115" t="s">
        <v>1848</v>
      </c>
      <c r="AN1279" s="115" t="s">
        <v>1424</v>
      </c>
      <c r="AO1279" s="115" t="s">
        <v>381</v>
      </c>
    </row>
    <row r="1280" spans="35:41" ht="13">
      <c r="AI1280" s="115" t="s">
        <v>1415</v>
      </c>
      <c r="AJ1280" t="s">
        <v>2114</v>
      </c>
      <c r="AK1280" s="115">
        <v>0</v>
      </c>
      <c r="AL1280" s="115" t="s">
        <v>28</v>
      </c>
      <c r="AM1280" s="115" t="s">
        <v>1846</v>
      </c>
      <c r="AN1280" s="115" t="s">
        <v>1424</v>
      </c>
      <c r="AO1280" s="115" t="s">
        <v>381</v>
      </c>
    </row>
    <row r="1281" spans="35:41" ht="13">
      <c r="AI1281" s="115" t="s">
        <v>1415</v>
      </c>
      <c r="AJ1281" t="s">
        <v>2114</v>
      </c>
      <c r="AK1281" s="115">
        <v>0</v>
      </c>
      <c r="AL1281" s="115" t="s">
        <v>28</v>
      </c>
      <c r="AM1281" s="115" t="s">
        <v>1850</v>
      </c>
      <c r="AN1281" s="115" t="s">
        <v>1424</v>
      </c>
      <c r="AO1281" s="115" t="s">
        <v>381</v>
      </c>
    </row>
    <row r="1282" spans="35:41" ht="13">
      <c r="AI1282" s="115" t="s">
        <v>1415</v>
      </c>
      <c r="AJ1282" t="s">
        <v>2114</v>
      </c>
      <c r="AK1282" s="115">
        <v>0</v>
      </c>
      <c r="AL1282" s="115" t="s">
        <v>28</v>
      </c>
      <c r="AM1282" s="115" t="s">
        <v>1843</v>
      </c>
      <c r="AN1282" s="115" t="s">
        <v>1424</v>
      </c>
      <c r="AO1282" s="115" t="s">
        <v>381</v>
      </c>
    </row>
    <row r="1283" spans="35:41" ht="13">
      <c r="AI1283" s="115" t="s">
        <v>1415</v>
      </c>
      <c r="AJ1283" t="s">
        <v>2114</v>
      </c>
      <c r="AK1283" s="115">
        <v>0</v>
      </c>
      <c r="AL1283" s="115" t="s">
        <v>28</v>
      </c>
      <c r="AM1283" s="115" t="s">
        <v>1832</v>
      </c>
      <c r="AN1283" s="115" t="s">
        <v>1424</v>
      </c>
      <c r="AO1283" s="115" t="s">
        <v>379</v>
      </c>
    </row>
    <row r="1284" spans="35:41" ht="13">
      <c r="AI1284" s="115" t="s">
        <v>1415</v>
      </c>
      <c r="AJ1284" t="s">
        <v>2114</v>
      </c>
      <c r="AK1284" s="115">
        <v>0</v>
      </c>
      <c r="AL1284" s="115" t="s">
        <v>28</v>
      </c>
      <c r="AM1284" s="115" t="s">
        <v>1843</v>
      </c>
      <c r="AN1284" s="115" t="s">
        <v>1424</v>
      </c>
      <c r="AO1284" s="115" t="s">
        <v>379</v>
      </c>
    </row>
    <row r="1285" spans="35:41" ht="13">
      <c r="AI1285" s="115" t="s">
        <v>1415</v>
      </c>
      <c r="AJ1285" t="s">
        <v>2114</v>
      </c>
      <c r="AK1285" s="115">
        <v>0</v>
      </c>
      <c r="AL1285" s="115" t="s">
        <v>28</v>
      </c>
      <c r="AM1285" s="115" t="s">
        <v>1848</v>
      </c>
      <c r="AN1285" s="115" t="s">
        <v>1424</v>
      </c>
      <c r="AO1285" s="115" t="s">
        <v>379</v>
      </c>
    </row>
    <row r="1286" spans="35:41" ht="13">
      <c r="AI1286" s="115" t="s">
        <v>1415</v>
      </c>
      <c r="AJ1286" t="s">
        <v>2114</v>
      </c>
      <c r="AK1286" s="115">
        <v>0</v>
      </c>
      <c r="AL1286" s="115" t="s">
        <v>28</v>
      </c>
      <c r="AM1286" s="115" t="s">
        <v>1849</v>
      </c>
      <c r="AN1286" s="115" t="s">
        <v>1424</v>
      </c>
      <c r="AO1286" s="115" t="s">
        <v>379</v>
      </c>
    </row>
    <row r="1287" spans="35:41" ht="13">
      <c r="AI1287" s="115" t="s">
        <v>1415</v>
      </c>
      <c r="AJ1287" t="s">
        <v>2114</v>
      </c>
      <c r="AK1287" s="115">
        <v>0</v>
      </c>
      <c r="AL1287" s="115" t="s">
        <v>28</v>
      </c>
      <c r="AM1287" s="115" t="s">
        <v>1850</v>
      </c>
      <c r="AN1287" s="115" t="s">
        <v>1424</v>
      </c>
      <c r="AO1287" s="115" t="s">
        <v>379</v>
      </c>
    </row>
    <row r="1288" spans="35:41" ht="13">
      <c r="AI1288" s="115" t="s">
        <v>1415</v>
      </c>
      <c r="AJ1288" t="s">
        <v>2114</v>
      </c>
      <c r="AK1288" s="115">
        <v>0</v>
      </c>
      <c r="AL1288" s="115" t="s">
        <v>28</v>
      </c>
      <c r="AM1288" s="115" t="s">
        <v>1846</v>
      </c>
      <c r="AN1288" s="115" t="s">
        <v>1424</v>
      </c>
      <c r="AO1288" s="115" t="s">
        <v>379</v>
      </c>
    </row>
    <row r="1289" spans="35:41" ht="13">
      <c r="AI1289" s="115" t="s">
        <v>1415</v>
      </c>
      <c r="AJ1289" t="s">
        <v>2114</v>
      </c>
      <c r="AK1289" s="115">
        <v>0</v>
      </c>
      <c r="AL1289" s="115" t="s">
        <v>28</v>
      </c>
      <c r="AM1289" s="115" t="s">
        <v>1850</v>
      </c>
      <c r="AN1289" s="115" t="s">
        <v>1424</v>
      </c>
      <c r="AO1289" s="115" t="s">
        <v>1645</v>
      </c>
    </row>
    <row r="1290" spans="35:41" ht="13">
      <c r="AI1290" s="115" t="s">
        <v>1415</v>
      </c>
      <c r="AJ1290" t="s">
        <v>2114</v>
      </c>
      <c r="AK1290" s="115">
        <v>0</v>
      </c>
      <c r="AL1290" s="115" t="s">
        <v>28</v>
      </c>
      <c r="AM1290" s="115" t="s">
        <v>1843</v>
      </c>
      <c r="AN1290" s="115" t="s">
        <v>1424</v>
      </c>
      <c r="AO1290" s="115" t="s">
        <v>1645</v>
      </c>
    </row>
    <row r="1291" spans="35:41" ht="13">
      <c r="AI1291" s="115" t="s">
        <v>1415</v>
      </c>
      <c r="AJ1291" t="s">
        <v>2114</v>
      </c>
      <c r="AK1291" s="115">
        <v>0</v>
      </c>
      <c r="AL1291" s="115" t="s">
        <v>28</v>
      </c>
      <c r="AM1291" s="115" t="s">
        <v>1848</v>
      </c>
      <c r="AN1291" s="115" t="s">
        <v>1424</v>
      </c>
      <c r="AO1291" s="115" t="s">
        <v>1645</v>
      </c>
    </row>
    <row r="1292" spans="35:41" ht="13">
      <c r="AI1292" s="115" t="s">
        <v>1415</v>
      </c>
      <c r="AJ1292" t="s">
        <v>2114</v>
      </c>
      <c r="AK1292" s="115">
        <v>0</v>
      </c>
      <c r="AL1292" s="115" t="s">
        <v>28</v>
      </c>
      <c r="AM1292" s="115" t="s">
        <v>1846</v>
      </c>
      <c r="AN1292" s="115" t="s">
        <v>1424</v>
      </c>
      <c r="AO1292" s="115" t="s">
        <v>1645</v>
      </c>
    </row>
    <row r="1293" spans="35:41" ht="13">
      <c r="AI1293" s="115" t="s">
        <v>1415</v>
      </c>
      <c r="AJ1293" t="s">
        <v>2114</v>
      </c>
      <c r="AK1293" s="115">
        <v>0</v>
      </c>
      <c r="AL1293" s="115" t="s">
        <v>28</v>
      </c>
      <c r="AM1293" s="115" t="s">
        <v>1832</v>
      </c>
      <c r="AN1293" s="115" t="s">
        <v>1424</v>
      </c>
      <c r="AO1293" s="115" t="s">
        <v>1645</v>
      </c>
    </row>
    <row r="1294" spans="35:41" ht="13">
      <c r="AI1294" s="115" t="s">
        <v>1415</v>
      </c>
      <c r="AJ1294" t="s">
        <v>2114</v>
      </c>
      <c r="AK1294" s="115">
        <v>0</v>
      </c>
      <c r="AL1294" s="115" t="s">
        <v>28</v>
      </c>
      <c r="AM1294" s="115" t="s">
        <v>1849</v>
      </c>
      <c r="AN1294" s="115" t="s">
        <v>1424</v>
      </c>
      <c r="AO1294" s="115" t="s">
        <v>1645</v>
      </c>
    </row>
    <row r="1295" spans="35:41" ht="13">
      <c r="AI1295" s="115" t="s">
        <v>1415</v>
      </c>
      <c r="AJ1295" t="s">
        <v>2114</v>
      </c>
      <c r="AK1295" s="115">
        <v>0</v>
      </c>
      <c r="AL1295" s="115" t="s">
        <v>28</v>
      </c>
      <c r="AM1295" s="115" t="s">
        <v>1843</v>
      </c>
      <c r="AN1295" s="115" t="s">
        <v>1424</v>
      </c>
      <c r="AO1295" s="115" t="s">
        <v>1646</v>
      </c>
    </row>
    <row r="1296" spans="35:41" ht="13">
      <c r="AI1296" s="115" t="s">
        <v>1415</v>
      </c>
      <c r="AJ1296" t="s">
        <v>2114</v>
      </c>
      <c r="AK1296" s="115">
        <v>0</v>
      </c>
      <c r="AL1296" s="115" t="s">
        <v>28</v>
      </c>
      <c r="AM1296" s="115" t="s">
        <v>1846</v>
      </c>
      <c r="AN1296" s="115" t="s">
        <v>1424</v>
      </c>
      <c r="AO1296" s="115" t="s">
        <v>1646</v>
      </c>
    </row>
    <row r="1297" spans="35:41" ht="13">
      <c r="AI1297" s="115" t="s">
        <v>1415</v>
      </c>
      <c r="AJ1297" t="s">
        <v>2114</v>
      </c>
      <c r="AK1297" s="115">
        <v>0</v>
      </c>
      <c r="AL1297" s="115" t="s">
        <v>28</v>
      </c>
      <c r="AM1297" s="115" t="s">
        <v>1843</v>
      </c>
      <c r="AN1297" s="115" t="s">
        <v>1424</v>
      </c>
      <c r="AO1297" s="115" t="s">
        <v>1647</v>
      </c>
    </row>
    <row r="1298" spans="35:41" ht="13">
      <c r="AI1298" s="115" t="s">
        <v>1415</v>
      </c>
      <c r="AJ1298" t="s">
        <v>2114</v>
      </c>
      <c r="AK1298" s="115">
        <v>0</v>
      </c>
      <c r="AL1298" s="115" t="s">
        <v>28</v>
      </c>
      <c r="AM1298" s="115" t="s">
        <v>1846</v>
      </c>
      <c r="AN1298" s="115" t="s">
        <v>1424</v>
      </c>
      <c r="AO1298" s="115" t="s">
        <v>1647</v>
      </c>
    </row>
    <row r="1299" spans="35:41" ht="13">
      <c r="AI1299" s="115" t="s">
        <v>1415</v>
      </c>
      <c r="AJ1299" t="s">
        <v>2114</v>
      </c>
      <c r="AK1299" s="115">
        <v>0</v>
      </c>
      <c r="AL1299" s="115" t="s">
        <v>28</v>
      </c>
      <c r="AM1299" s="115" t="s">
        <v>1843</v>
      </c>
      <c r="AN1299" s="115" t="s">
        <v>1424</v>
      </c>
      <c r="AO1299" s="115" t="s">
        <v>1639</v>
      </c>
    </row>
    <row r="1300" spans="35:41" ht="13">
      <c r="AI1300" s="115" t="s">
        <v>1415</v>
      </c>
      <c r="AJ1300" t="s">
        <v>2114</v>
      </c>
      <c r="AK1300" s="115">
        <v>0</v>
      </c>
      <c r="AL1300" s="115" t="s">
        <v>28</v>
      </c>
      <c r="AM1300" s="115" t="s">
        <v>1846</v>
      </c>
      <c r="AN1300" s="115" t="s">
        <v>1424</v>
      </c>
      <c r="AO1300" s="115" t="s">
        <v>1639</v>
      </c>
    </row>
    <row r="1301" spans="35:41" ht="13">
      <c r="AI1301" s="115" t="s">
        <v>1415</v>
      </c>
      <c r="AJ1301" t="s">
        <v>2114</v>
      </c>
      <c r="AK1301" s="115">
        <v>0</v>
      </c>
      <c r="AL1301" s="115" t="s">
        <v>28</v>
      </c>
      <c r="AM1301" s="115" t="s">
        <v>1849</v>
      </c>
      <c r="AN1301" s="115" t="s">
        <v>1424</v>
      </c>
      <c r="AO1301" s="115" t="s">
        <v>373</v>
      </c>
    </row>
    <row r="1302" spans="35:41" ht="13">
      <c r="AI1302" s="115" t="s">
        <v>1415</v>
      </c>
      <c r="AJ1302" t="s">
        <v>2114</v>
      </c>
      <c r="AK1302" s="115">
        <v>0</v>
      </c>
      <c r="AL1302" s="115" t="s">
        <v>28</v>
      </c>
      <c r="AM1302" s="115" t="s">
        <v>1843</v>
      </c>
      <c r="AN1302" s="115" t="s">
        <v>1424</v>
      </c>
      <c r="AO1302" s="115" t="s">
        <v>373</v>
      </c>
    </row>
    <row r="1303" spans="35:41" ht="13">
      <c r="AI1303" s="115" t="s">
        <v>1415</v>
      </c>
      <c r="AJ1303" t="s">
        <v>2114</v>
      </c>
      <c r="AK1303" s="115">
        <v>0</v>
      </c>
      <c r="AL1303" s="115" t="s">
        <v>28</v>
      </c>
      <c r="AM1303" s="115" t="s">
        <v>1848</v>
      </c>
      <c r="AN1303" s="115" t="s">
        <v>1424</v>
      </c>
      <c r="AO1303" s="115" t="s">
        <v>373</v>
      </c>
    </row>
    <row r="1304" spans="35:41" ht="13">
      <c r="AI1304" s="115" t="s">
        <v>1415</v>
      </c>
      <c r="AJ1304" t="s">
        <v>2114</v>
      </c>
      <c r="AK1304" s="115">
        <v>0</v>
      </c>
      <c r="AL1304" s="115" t="s">
        <v>28</v>
      </c>
      <c r="AM1304" s="115" t="s">
        <v>1846</v>
      </c>
      <c r="AN1304" s="115" t="s">
        <v>1424</v>
      </c>
      <c r="AO1304" s="115" t="s">
        <v>373</v>
      </c>
    </row>
    <row r="1305" spans="35:41" ht="13">
      <c r="AI1305" s="115" t="s">
        <v>1415</v>
      </c>
      <c r="AJ1305" t="s">
        <v>2114</v>
      </c>
      <c r="AK1305" s="115">
        <v>0</v>
      </c>
      <c r="AL1305" s="115" t="s">
        <v>28</v>
      </c>
      <c r="AM1305" s="115" t="s">
        <v>1832</v>
      </c>
      <c r="AN1305" s="115" t="s">
        <v>1424</v>
      </c>
      <c r="AO1305" s="115" t="s">
        <v>373</v>
      </c>
    </row>
    <row r="1306" spans="35:41" ht="13">
      <c r="AI1306" s="115" t="s">
        <v>1415</v>
      </c>
      <c r="AJ1306" t="s">
        <v>2114</v>
      </c>
      <c r="AK1306" s="115">
        <v>0</v>
      </c>
      <c r="AL1306" s="115" t="s">
        <v>28</v>
      </c>
      <c r="AM1306" s="115" t="s">
        <v>1850</v>
      </c>
      <c r="AN1306" s="115" t="s">
        <v>1424</v>
      </c>
      <c r="AO1306" s="115" t="s">
        <v>373</v>
      </c>
    </row>
    <row r="1307" spans="35:41" ht="13">
      <c r="AI1307" s="115" t="s">
        <v>1415</v>
      </c>
      <c r="AJ1307" t="s">
        <v>2114</v>
      </c>
      <c r="AK1307" s="115">
        <v>0</v>
      </c>
      <c r="AL1307" s="115" t="s">
        <v>28</v>
      </c>
      <c r="AM1307" s="115" t="s">
        <v>1832</v>
      </c>
      <c r="AN1307" s="115" t="s">
        <v>1424</v>
      </c>
      <c r="AO1307" s="115" t="s">
        <v>380</v>
      </c>
    </row>
    <row r="1308" spans="35:41" ht="13">
      <c r="AI1308" s="115" t="s">
        <v>1415</v>
      </c>
      <c r="AJ1308" t="s">
        <v>2114</v>
      </c>
      <c r="AK1308" s="115">
        <v>0</v>
      </c>
      <c r="AL1308" s="115" t="s">
        <v>28</v>
      </c>
      <c r="AM1308" s="115" t="s">
        <v>1849</v>
      </c>
      <c r="AN1308" s="115" t="s">
        <v>1424</v>
      </c>
      <c r="AO1308" s="115" t="s">
        <v>380</v>
      </c>
    </row>
    <row r="1309" spans="35:41" ht="13">
      <c r="AI1309" s="115" t="s">
        <v>1415</v>
      </c>
      <c r="AJ1309" t="s">
        <v>2114</v>
      </c>
      <c r="AK1309" s="115">
        <v>0</v>
      </c>
      <c r="AL1309" s="115" t="s">
        <v>28</v>
      </c>
      <c r="AM1309" s="115" t="s">
        <v>1848</v>
      </c>
      <c r="AN1309" s="115" t="s">
        <v>1424</v>
      </c>
      <c r="AO1309" s="115" t="s">
        <v>380</v>
      </c>
    </row>
    <row r="1310" spans="35:41" ht="13">
      <c r="AI1310" s="115" t="s">
        <v>1415</v>
      </c>
      <c r="AJ1310" t="s">
        <v>2114</v>
      </c>
      <c r="AK1310" s="115">
        <v>0</v>
      </c>
      <c r="AL1310" s="115" t="s">
        <v>28</v>
      </c>
      <c r="AM1310" s="115" t="s">
        <v>1846</v>
      </c>
      <c r="AN1310" s="115" t="s">
        <v>1424</v>
      </c>
      <c r="AO1310" s="115" t="s">
        <v>380</v>
      </c>
    </row>
    <row r="1311" spans="35:41" ht="13">
      <c r="AI1311" s="115" t="s">
        <v>1415</v>
      </c>
      <c r="AJ1311" t="s">
        <v>2114</v>
      </c>
      <c r="AK1311" s="115">
        <v>0</v>
      </c>
      <c r="AL1311" s="115" t="s">
        <v>28</v>
      </c>
      <c r="AM1311" s="115" t="s">
        <v>1850</v>
      </c>
      <c r="AN1311" s="115" t="s">
        <v>1424</v>
      </c>
      <c r="AO1311" s="115" t="s">
        <v>380</v>
      </c>
    </row>
    <row r="1312" spans="35:41" ht="13">
      <c r="AI1312" s="115" t="s">
        <v>1415</v>
      </c>
      <c r="AJ1312" t="s">
        <v>2114</v>
      </c>
      <c r="AK1312" s="115">
        <v>0</v>
      </c>
      <c r="AL1312" s="115" t="s">
        <v>28</v>
      </c>
      <c r="AM1312" s="115" t="s">
        <v>1843</v>
      </c>
      <c r="AN1312" s="115" t="s">
        <v>1424</v>
      </c>
      <c r="AO1312" s="115" t="s">
        <v>380</v>
      </c>
    </row>
    <row r="1313" spans="35:41" ht="13">
      <c r="AI1313" s="115" t="s">
        <v>1415</v>
      </c>
      <c r="AJ1313" t="s">
        <v>2114</v>
      </c>
      <c r="AK1313" s="115">
        <v>0</v>
      </c>
      <c r="AL1313" s="115" t="s">
        <v>28</v>
      </c>
      <c r="AM1313" s="115" t="s">
        <v>1850</v>
      </c>
      <c r="AN1313" s="115" t="s">
        <v>1437</v>
      </c>
      <c r="AO1313" s="115" t="s">
        <v>1644</v>
      </c>
    </row>
    <row r="1314" spans="35:41" ht="13">
      <c r="AI1314" s="115" t="s">
        <v>1415</v>
      </c>
      <c r="AJ1314" t="s">
        <v>2114</v>
      </c>
      <c r="AK1314" s="115">
        <v>0</v>
      </c>
      <c r="AL1314" s="115" t="s">
        <v>28</v>
      </c>
      <c r="AM1314" s="115" t="s">
        <v>1832</v>
      </c>
      <c r="AN1314" s="115" t="s">
        <v>1437</v>
      </c>
      <c r="AO1314" s="115" t="s">
        <v>1644</v>
      </c>
    </row>
    <row r="1315" spans="35:41" ht="13">
      <c r="AI1315" s="115" t="s">
        <v>1415</v>
      </c>
      <c r="AJ1315" t="s">
        <v>2114</v>
      </c>
      <c r="AK1315" s="115">
        <v>0</v>
      </c>
      <c r="AL1315" s="115" t="s">
        <v>28</v>
      </c>
      <c r="AM1315" s="115" t="s">
        <v>1843</v>
      </c>
      <c r="AN1315" s="115" t="s">
        <v>1437</v>
      </c>
      <c r="AO1315" s="115" t="s">
        <v>1644</v>
      </c>
    </row>
    <row r="1316" spans="35:41" ht="13">
      <c r="AI1316" s="115" t="s">
        <v>1415</v>
      </c>
      <c r="AJ1316" t="s">
        <v>2114</v>
      </c>
      <c r="AK1316" s="115">
        <v>0</v>
      </c>
      <c r="AL1316" s="115" t="s">
        <v>28</v>
      </c>
      <c r="AM1316" s="115" t="s">
        <v>1848</v>
      </c>
      <c r="AN1316" s="115" t="s">
        <v>1437</v>
      </c>
      <c r="AO1316" s="115" t="s">
        <v>1644</v>
      </c>
    </row>
    <row r="1317" spans="35:41" ht="13">
      <c r="AI1317" s="115" t="s">
        <v>1415</v>
      </c>
      <c r="AJ1317" t="s">
        <v>2114</v>
      </c>
      <c r="AK1317" s="115">
        <v>0</v>
      </c>
      <c r="AL1317" s="115" t="s">
        <v>28</v>
      </c>
      <c r="AM1317" s="115" t="s">
        <v>1832</v>
      </c>
      <c r="AN1317" s="115" t="s">
        <v>1437</v>
      </c>
      <c r="AO1317" s="115" t="s">
        <v>1274</v>
      </c>
    </row>
    <row r="1318" spans="35:41" ht="13">
      <c r="AI1318" s="115" t="s">
        <v>1415</v>
      </c>
      <c r="AJ1318" t="s">
        <v>2114</v>
      </c>
      <c r="AK1318" s="115">
        <v>0</v>
      </c>
      <c r="AL1318" s="115" t="s">
        <v>28</v>
      </c>
      <c r="AM1318" s="115" t="s">
        <v>1850</v>
      </c>
      <c r="AN1318" s="115" t="s">
        <v>1437</v>
      </c>
      <c r="AO1318" s="115" t="s">
        <v>1274</v>
      </c>
    </row>
    <row r="1319" spans="35:41" ht="13">
      <c r="AI1319" s="115" t="s">
        <v>1415</v>
      </c>
      <c r="AJ1319" t="s">
        <v>2114</v>
      </c>
      <c r="AK1319" s="115">
        <v>0</v>
      </c>
      <c r="AL1319" s="115" t="s">
        <v>28</v>
      </c>
      <c r="AM1319" s="115" t="s">
        <v>1849</v>
      </c>
      <c r="AN1319" s="115" t="s">
        <v>1437</v>
      </c>
      <c r="AO1319" s="115" t="s">
        <v>1274</v>
      </c>
    </row>
    <row r="1320" spans="35:41" ht="13">
      <c r="AI1320" s="115" t="s">
        <v>1415</v>
      </c>
      <c r="AJ1320" t="s">
        <v>2114</v>
      </c>
      <c r="AK1320" s="115">
        <v>0</v>
      </c>
      <c r="AL1320" s="115" t="s">
        <v>28</v>
      </c>
      <c r="AM1320" s="115" t="s">
        <v>1846</v>
      </c>
      <c r="AN1320" s="115" t="s">
        <v>1437</v>
      </c>
      <c r="AO1320" s="115" t="s">
        <v>1274</v>
      </c>
    </row>
    <row r="1321" spans="35:41" ht="13">
      <c r="AI1321" s="115" t="s">
        <v>1415</v>
      </c>
      <c r="AJ1321" t="s">
        <v>2114</v>
      </c>
      <c r="AK1321" s="115">
        <v>0</v>
      </c>
      <c r="AL1321" s="115" t="s">
        <v>28</v>
      </c>
      <c r="AM1321" s="115" t="s">
        <v>1848</v>
      </c>
      <c r="AN1321" s="115" t="s">
        <v>1437</v>
      </c>
      <c r="AO1321" s="115" t="s">
        <v>1274</v>
      </c>
    </row>
    <row r="1322" spans="35:41" ht="13">
      <c r="AI1322" s="115" t="s">
        <v>1415</v>
      </c>
      <c r="AJ1322" t="s">
        <v>2114</v>
      </c>
      <c r="AK1322" s="115">
        <v>0</v>
      </c>
      <c r="AL1322" s="115" t="s">
        <v>28</v>
      </c>
      <c r="AM1322" s="115" t="s">
        <v>1843</v>
      </c>
      <c r="AN1322" s="115" t="s">
        <v>1437</v>
      </c>
      <c r="AO1322" s="115" t="s">
        <v>1274</v>
      </c>
    </row>
    <row r="1323" spans="35:41" ht="13">
      <c r="AI1323" s="115" t="s">
        <v>1415</v>
      </c>
      <c r="AJ1323" t="s">
        <v>2114</v>
      </c>
      <c r="AK1323" s="115">
        <v>0</v>
      </c>
      <c r="AL1323" s="115" t="s">
        <v>28</v>
      </c>
      <c r="AM1323" s="115" t="s">
        <v>1849</v>
      </c>
      <c r="AN1323" s="115" t="s">
        <v>1437</v>
      </c>
      <c r="AO1323" s="115" t="s">
        <v>381</v>
      </c>
    </row>
    <row r="1324" spans="35:41" ht="13">
      <c r="AI1324" s="115" t="s">
        <v>1415</v>
      </c>
      <c r="AJ1324" t="s">
        <v>2114</v>
      </c>
      <c r="AK1324" s="115">
        <v>0</v>
      </c>
      <c r="AL1324" s="115" t="s">
        <v>28</v>
      </c>
      <c r="AM1324" s="115" t="s">
        <v>1832</v>
      </c>
      <c r="AN1324" s="115" t="s">
        <v>1437</v>
      </c>
      <c r="AO1324" s="115" t="s">
        <v>381</v>
      </c>
    </row>
    <row r="1325" spans="35:41" ht="13">
      <c r="AI1325" s="115" t="s">
        <v>1415</v>
      </c>
      <c r="AJ1325" t="s">
        <v>2114</v>
      </c>
      <c r="AK1325" s="115">
        <v>0</v>
      </c>
      <c r="AL1325" s="115" t="s">
        <v>28</v>
      </c>
      <c r="AM1325" s="115" t="s">
        <v>1846</v>
      </c>
      <c r="AN1325" s="115" t="s">
        <v>1437</v>
      </c>
      <c r="AO1325" s="115" t="s">
        <v>381</v>
      </c>
    </row>
    <row r="1326" spans="35:41" ht="13">
      <c r="AI1326" s="115" t="s">
        <v>1415</v>
      </c>
      <c r="AJ1326" t="s">
        <v>2114</v>
      </c>
      <c r="AK1326" s="115">
        <v>0</v>
      </c>
      <c r="AL1326" s="115" t="s">
        <v>28</v>
      </c>
      <c r="AM1326" s="115" t="s">
        <v>1843</v>
      </c>
      <c r="AN1326" s="115" t="s">
        <v>1437</v>
      </c>
      <c r="AO1326" s="115" t="s">
        <v>381</v>
      </c>
    </row>
    <row r="1327" spans="35:41" ht="13">
      <c r="AI1327" s="115" t="s">
        <v>1415</v>
      </c>
      <c r="AJ1327" t="s">
        <v>2114</v>
      </c>
      <c r="AK1327" s="115">
        <v>0</v>
      </c>
      <c r="AL1327" s="115" t="s">
        <v>28</v>
      </c>
      <c r="AM1327" s="115" t="s">
        <v>1850</v>
      </c>
      <c r="AN1327" s="115" t="s">
        <v>1437</v>
      </c>
      <c r="AO1327" s="115" t="s">
        <v>381</v>
      </c>
    </row>
    <row r="1328" spans="35:41" ht="13">
      <c r="AI1328" s="115" t="s">
        <v>1415</v>
      </c>
      <c r="AJ1328" t="s">
        <v>2114</v>
      </c>
      <c r="AK1328" s="115">
        <v>0</v>
      </c>
      <c r="AL1328" s="115" t="s">
        <v>28</v>
      </c>
      <c r="AM1328" s="115" t="s">
        <v>1848</v>
      </c>
      <c r="AN1328" s="115" t="s">
        <v>1437</v>
      </c>
      <c r="AO1328" s="115" t="s">
        <v>381</v>
      </c>
    </row>
    <row r="1329" spans="35:41" ht="13">
      <c r="AI1329" s="115" t="s">
        <v>1415</v>
      </c>
      <c r="AJ1329" t="s">
        <v>2114</v>
      </c>
      <c r="AK1329" s="115">
        <v>0</v>
      </c>
      <c r="AL1329" s="115" t="s">
        <v>28</v>
      </c>
      <c r="AM1329" s="115" t="s">
        <v>1849</v>
      </c>
      <c r="AN1329" s="115" t="s">
        <v>1437</v>
      </c>
      <c r="AO1329" s="115" t="s">
        <v>379</v>
      </c>
    </row>
    <row r="1330" spans="35:41" ht="13">
      <c r="AI1330" s="115" t="s">
        <v>1415</v>
      </c>
      <c r="AJ1330" t="s">
        <v>2114</v>
      </c>
      <c r="AK1330" s="115">
        <v>0</v>
      </c>
      <c r="AL1330" s="115" t="s">
        <v>28</v>
      </c>
      <c r="AM1330" s="115" t="s">
        <v>1850</v>
      </c>
      <c r="AN1330" s="115" t="s">
        <v>1437</v>
      </c>
      <c r="AO1330" s="115" t="s">
        <v>379</v>
      </c>
    </row>
    <row r="1331" spans="35:41" ht="13">
      <c r="AI1331" s="115" t="s">
        <v>1415</v>
      </c>
      <c r="AJ1331" t="s">
        <v>2114</v>
      </c>
      <c r="AK1331" s="115">
        <v>0</v>
      </c>
      <c r="AL1331" s="115" t="s">
        <v>28</v>
      </c>
      <c r="AM1331" s="115" t="s">
        <v>1846</v>
      </c>
      <c r="AN1331" s="115" t="s">
        <v>1437</v>
      </c>
      <c r="AO1331" s="115" t="s">
        <v>379</v>
      </c>
    </row>
    <row r="1332" spans="35:41" ht="13">
      <c r="AI1332" s="115" t="s">
        <v>1415</v>
      </c>
      <c r="AJ1332" t="s">
        <v>2114</v>
      </c>
      <c r="AK1332" s="115">
        <v>0</v>
      </c>
      <c r="AL1332" s="115" t="s">
        <v>28</v>
      </c>
      <c r="AM1332" s="115" t="s">
        <v>1848</v>
      </c>
      <c r="AN1332" s="115" t="s">
        <v>1437</v>
      </c>
      <c r="AO1332" s="115" t="s">
        <v>379</v>
      </c>
    </row>
    <row r="1333" spans="35:41" ht="13">
      <c r="AI1333" s="115" t="s">
        <v>1415</v>
      </c>
      <c r="AJ1333" t="s">
        <v>2114</v>
      </c>
      <c r="AK1333" s="115">
        <v>0</v>
      </c>
      <c r="AL1333" s="115" t="s">
        <v>28</v>
      </c>
      <c r="AM1333" s="115" t="s">
        <v>1843</v>
      </c>
      <c r="AN1333" s="115" t="s">
        <v>1437</v>
      </c>
      <c r="AO1333" s="115" t="s">
        <v>379</v>
      </c>
    </row>
    <row r="1334" spans="35:41" ht="13">
      <c r="AI1334" s="115" t="s">
        <v>1415</v>
      </c>
      <c r="AJ1334" t="s">
        <v>2114</v>
      </c>
      <c r="AK1334" s="115">
        <v>0</v>
      </c>
      <c r="AL1334" s="115" t="s">
        <v>28</v>
      </c>
      <c r="AM1334" s="115" t="s">
        <v>1832</v>
      </c>
      <c r="AN1334" s="115" t="s">
        <v>1437</v>
      </c>
      <c r="AO1334" s="115" t="s">
        <v>379</v>
      </c>
    </row>
    <row r="1335" spans="35:41" ht="13">
      <c r="AI1335" s="115" t="s">
        <v>1415</v>
      </c>
      <c r="AJ1335" t="s">
        <v>2114</v>
      </c>
      <c r="AK1335" s="115">
        <v>0</v>
      </c>
      <c r="AL1335" s="115" t="s">
        <v>28</v>
      </c>
      <c r="AM1335" s="115" t="s">
        <v>1849</v>
      </c>
      <c r="AN1335" s="115" t="s">
        <v>1437</v>
      </c>
      <c r="AO1335" s="115" t="s">
        <v>1645</v>
      </c>
    </row>
    <row r="1336" spans="35:41" ht="13">
      <c r="AI1336" s="115" t="s">
        <v>1415</v>
      </c>
      <c r="AJ1336" t="s">
        <v>2114</v>
      </c>
      <c r="AK1336" s="115">
        <v>0</v>
      </c>
      <c r="AL1336" s="115" t="s">
        <v>28</v>
      </c>
      <c r="AM1336" s="115" t="s">
        <v>1850</v>
      </c>
      <c r="AN1336" s="115" t="s">
        <v>1437</v>
      </c>
      <c r="AO1336" s="115" t="s">
        <v>1645</v>
      </c>
    </row>
    <row r="1337" spans="35:41" ht="13">
      <c r="AI1337" s="115" t="s">
        <v>1415</v>
      </c>
      <c r="AJ1337" t="s">
        <v>2114</v>
      </c>
      <c r="AK1337" s="115">
        <v>0</v>
      </c>
      <c r="AL1337" s="115" t="s">
        <v>28</v>
      </c>
      <c r="AM1337" s="115" t="s">
        <v>1846</v>
      </c>
      <c r="AN1337" s="115" t="s">
        <v>1437</v>
      </c>
      <c r="AO1337" s="115" t="s">
        <v>1645</v>
      </c>
    </row>
    <row r="1338" spans="35:41" ht="13">
      <c r="AI1338" s="115" t="s">
        <v>1415</v>
      </c>
      <c r="AJ1338" t="s">
        <v>2114</v>
      </c>
      <c r="AK1338" s="115">
        <v>0</v>
      </c>
      <c r="AL1338" s="115" t="s">
        <v>28</v>
      </c>
      <c r="AM1338" s="115" t="s">
        <v>1832</v>
      </c>
      <c r="AN1338" s="115" t="s">
        <v>1437</v>
      </c>
      <c r="AO1338" s="115" t="s">
        <v>1645</v>
      </c>
    </row>
    <row r="1339" spans="35:41" ht="13">
      <c r="AI1339" s="115" t="s">
        <v>1415</v>
      </c>
      <c r="AJ1339" t="s">
        <v>2114</v>
      </c>
      <c r="AK1339" s="115">
        <v>0</v>
      </c>
      <c r="AL1339" s="115" t="s">
        <v>28</v>
      </c>
      <c r="AM1339" s="115" t="s">
        <v>1848</v>
      </c>
      <c r="AN1339" s="115" t="s">
        <v>1437</v>
      </c>
      <c r="AO1339" s="115" t="s">
        <v>1645</v>
      </c>
    </row>
    <row r="1340" spans="35:41" ht="13">
      <c r="AI1340" s="115" t="s">
        <v>1415</v>
      </c>
      <c r="AJ1340" t="s">
        <v>2114</v>
      </c>
      <c r="AK1340" s="115">
        <v>0</v>
      </c>
      <c r="AL1340" s="115" t="s">
        <v>28</v>
      </c>
      <c r="AM1340" s="115" t="s">
        <v>1843</v>
      </c>
      <c r="AN1340" s="115" t="s">
        <v>1437</v>
      </c>
      <c r="AO1340" s="115" t="s">
        <v>1645</v>
      </c>
    </row>
    <row r="1341" spans="35:41" ht="13">
      <c r="AI1341" s="115" t="s">
        <v>1415</v>
      </c>
      <c r="AJ1341" t="s">
        <v>2114</v>
      </c>
      <c r="AK1341" s="115">
        <v>0</v>
      </c>
      <c r="AL1341" s="115" t="s">
        <v>28</v>
      </c>
      <c r="AM1341" s="115" t="s">
        <v>1843</v>
      </c>
      <c r="AN1341" s="115" t="s">
        <v>1437</v>
      </c>
      <c r="AO1341" s="115" t="s">
        <v>1646</v>
      </c>
    </row>
    <row r="1342" spans="35:41" ht="13">
      <c r="AI1342" s="115" t="s">
        <v>1415</v>
      </c>
      <c r="AJ1342" t="s">
        <v>2114</v>
      </c>
      <c r="AK1342" s="115">
        <v>0</v>
      </c>
      <c r="AL1342" s="115" t="s">
        <v>28</v>
      </c>
      <c r="AM1342" s="115" t="s">
        <v>1846</v>
      </c>
      <c r="AN1342" s="115" t="s">
        <v>1437</v>
      </c>
      <c r="AO1342" s="115" t="s">
        <v>1646</v>
      </c>
    </row>
    <row r="1343" spans="35:41" ht="13">
      <c r="AI1343" s="115" t="s">
        <v>1415</v>
      </c>
      <c r="AJ1343" t="s">
        <v>2114</v>
      </c>
      <c r="AK1343" s="115">
        <v>0</v>
      </c>
      <c r="AL1343" s="115" t="s">
        <v>28</v>
      </c>
      <c r="AM1343" s="115" t="s">
        <v>1846</v>
      </c>
      <c r="AN1343" s="115" t="s">
        <v>1437</v>
      </c>
      <c r="AO1343" s="115" t="s">
        <v>1647</v>
      </c>
    </row>
    <row r="1344" spans="35:41" ht="13">
      <c r="AI1344" s="115" t="s">
        <v>1415</v>
      </c>
      <c r="AJ1344" t="s">
        <v>2114</v>
      </c>
      <c r="AK1344" s="115">
        <v>0</v>
      </c>
      <c r="AL1344" s="115" t="s">
        <v>28</v>
      </c>
      <c r="AM1344" s="115" t="s">
        <v>1843</v>
      </c>
      <c r="AN1344" s="115" t="s">
        <v>1437</v>
      </c>
      <c r="AO1344" s="115" t="s">
        <v>1647</v>
      </c>
    </row>
    <row r="1345" spans="35:41" ht="13">
      <c r="AI1345" s="115" t="s">
        <v>1415</v>
      </c>
      <c r="AJ1345" t="s">
        <v>2114</v>
      </c>
      <c r="AK1345" s="115">
        <v>0</v>
      </c>
      <c r="AL1345" s="115" t="s">
        <v>28</v>
      </c>
      <c r="AM1345" s="115" t="s">
        <v>1846</v>
      </c>
      <c r="AN1345" s="115" t="s">
        <v>1437</v>
      </c>
      <c r="AO1345" s="115" t="s">
        <v>1639</v>
      </c>
    </row>
    <row r="1346" spans="35:41" ht="13">
      <c r="AI1346" s="115" t="s">
        <v>1415</v>
      </c>
      <c r="AJ1346" t="s">
        <v>2114</v>
      </c>
      <c r="AK1346" s="115">
        <v>0</v>
      </c>
      <c r="AL1346" s="115" t="s">
        <v>28</v>
      </c>
      <c r="AM1346" s="115" t="s">
        <v>1843</v>
      </c>
      <c r="AN1346" s="115" t="s">
        <v>1437</v>
      </c>
      <c r="AO1346" s="115" t="s">
        <v>1639</v>
      </c>
    </row>
    <row r="1347" spans="35:41" ht="13">
      <c r="AI1347" s="115" t="s">
        <v>1415</v>
      </c>
      <c r="AJ1347" t="s">
        <v>2114</v>
      </c>
      <c r="AK1347" s="115">
        <v>0</v>
      </c>
      <c r="AL1347" s="115" t="s">
        <v>28</v>
      </c>
      <c r="AM1347" s="115" t="s">
        <v>1846</v>
      </c>
      <c r="AN1347" s="115" t="s">
        <v>1437</v>
      </c>
      <c r="AO1347" s="115" t="s">
        <v>373</v>
      </c>
    </row>
    <row r="1348" spans="35:41" ht="13">
      <c r="AI1348" s="115" t="s">
        <v>1415</v>
      </c>
      <c r="AJ1348" t="s">
        <v>2114</v>
      </c>
      <c r="AK1348" s="115">
        <v>0</v>
      </c>
      <c r="AL1348" s="115" t="s">
        <v>28</v>
      </c>
      <c r="AM1348" s="115" t="s">
        <v>1832</v>
      </c>
      <c r="AN1348" s="115" t="s">
        <v>1437</v>
      </c>
      <c r="AO1348" s="115" t="s">
        <v>373</v>
      </c>
    </row>
    <row r="1349" spans="35:41" ht="13">
      <c r="AI1349" s="115" t="s">
        <v>1415</v>
      </c>
      <c r="AJ1349" t="s">
        <v>2114</v>
      </c>
      <c r="AK1349" s="115">
        <v>0</v>
      </c>
      <c r="AL1349" s="115" t="s">
        <v>28</v>
      </c>
      <c r="AM1349" s="115" t="s">
        <v>1849</v>
      </c>
      <c r="AN1349" s="115" t="s">
        <v>1437</v>
      </c>
      <c r="AO1349" s="115" t="s">
        <v>373</v>
      </c>
    </row>
    <row r="1350" spans="35:41" ht="13">
      <c r="AI1350" s="115" t="s">
        <v>1415</v>
      </c>
      <c r="AJ1350" t="s">
        <v>2114</v>
      </c>
      <c r="AK1350" s="115">
        <v>0</v>
      </c>
      <c r="AL1350" s="115" t="s">
        <v>28</v>
      </c>
      <c r="AM1350" s="115" t="s">
        <v>1843</v>
      </c>
      <c r="AN1350" s="115" t="s">
        <v>1437</v>
      </c>
      <c r="AO1350" s="115" t="s">
        <v>373</v>
      </c>
    </row>
    <row r="1351" spans="35:41" ht="13">
      <c r="AI1351" s="115" t="s">
        <v>1415</v>
      </c>
      <c r="AJ1351" t="s">
        <v>2114</v>
      </c>
      <c r="AK1351" s="115">
        <v>0</v>
      </c>
      <c r="AL1351" s="115" t="s">
        <v>28</v>
      </c>
      <c r="AM1351" s="115" t="s">
        <v>1850</v>
      </c>
      <c r="AN1351" s="115" t="s">
        <v>1437</v>
      </c>
      <c r="AO1351" s="115" t="s">
        <v>373</v>
      </c>
    </row>
    <row r="1352" spans="35:41" ht="13">
      <c r="AI1352" s="115" t="s">
        <v>1415</v>
      </c>
      <c r="AJ1352" t="s">
        <v>2114</v>
      </c>
      <c r="AK1352" s="115">
        <v>0</v>
      </c>
      <c r="AL1352" s="115" t="s">
        <v>28</v>
      </c>
      <c r="AM1352" s="115" t="s">
        <v>1848</v>
      </c>
      <c r="AN1352" s="115" t="s">
        <v>1437</v>
      </c>
      <c r="AO1352" s="115" t="s">
        <v>373</v>
      </c>
    </row>
    <row r="1353" spans="35:41" ht="13">
      <c r="AI1353" s="115" t="s">
        <v>1415</v>
      </c>
      <c r="AJ1353" t="s">
        <v>2114</v>
      </c>
      <c r="AK1353" s="115">
        <v>0</v>
      </c>
      <c r="AL1353" s="115" t="s">
        <v>28</v>
      </c>
      <c r="AM1353" s="115" t="s">
        <v>1849</v>
      </c>
      <c r="AN1353" s="115" t="s">
        <v>1437</v>
      </c>
      <c r="AO1353" s="115" t="s">
        <v>380</v>
      </c>
    </row>
    <row r="1354" spans="35:41" ht="13">
      <c r="AI1354" s="115" t="s">
        <v>1415</v>
      </c>
      <c r="AJ1354" t="s">
        <v>2114</v>
      </c>
      <c r="AK1354" s="115">
        <v>0</v>
      </c>
      <c r="AL1354" s="115" t="s">
        <v>28</v>
      </c>
      <c r="AM1354" s="115" t="s">
        <v>1832</v>
      </c>
      <c r="AN1354" s="115" t="s">
        <v>1437</v>
      </c>
      <c r="AO1354" s="115" t="s">
        <v>380</v>
      </c>
    </row>
    <row r="1355" spans="35:41" ht="13">
      <c r="AI1355" s="115" t="s">
        <v>1415</v>
      </c>
      <c r="AJ1355" t="s">
        <v>2114</v>
      </c>
      <c r="AK1355" s="115">
        <v>0</v>
      </c>
      <c r="AL1355" s="115" t="s">
        <v>28</v>
      </c>
      <c r="AM1355" s="115" t="s">
        <v>1848</v>
      </c>
      <c r="AN1355" s="115" t="s">
        <v>1437</v>
      </c>
      <c r="AO1355" s="115" t="s">
        <v>380</v>
      </c>
    </row>
    <row r="1356" spans="35:41" ht="13">
      <c r="AI1356" s="115" t="s">
        <v>1415</v>
      </c>
      <c r="AJ1356" t="s">
        <v>2114</v>
      </c>
      <c r="AK1356" s="115">
        <v>0</v>
      </c>
      <c r="AL1356" s="115" t="s">
        <v>28</v>
      </c>
      <c r="AM1356" s="115" t="s">
        <v>1850</v>
      </c>
      <c r="AN1356" s="115" t="s">
        <v>1437</v>
      </c>
      <c r="AO1356" s="115" t="s">
        <v>380</v>
      </c>
    </row>
    <row r="1357" spans="35:41" ht="13">
      <c r="AI1357" s="115" t="s">
        <v>1415</v>
      </c>
      <c r="AJ1357" t="s">
        <v>2114</v>
      </c>
      <c r="AK1357" s="115">
        <v>0</v>
      </c>
      <c r="AL1357" s="115" t="s">
        <v>28</v>
      </c>
      <c r="AM1357" s="115" t="s">
        <v>1843</v>
      </c>
      <c r="AN1357" s="115" t="s">
        <v>1437</v>
      </c>
      <c r="AO1357" s="115" t="s">
        <v>380</v>
      </c>
    </row>
    <row r="1358" spans="35:41" ht="13">
      <c r="AI1358" s="115" t="s">
        <v>1415</v>
      </c>
      <c r="AJ1358" t="s">
        <v>2114</v>
      </c>
      <c r="AK1358" s="115">
        <v>0</v>
      </c>
      <c r="AL1358" s="115" t="s">
        <v>28</v>
      </c>
      <c r="AM1358" s="115" t="s">
        <v>1846</v>
      </c>
      <c r="AN1358" s="115" t="s">
        <v>1437</v>
      </c>
      <c r="AO1358" s="115" t="s">
        <v>380</v>
      </c>
    </row>
    <row r="1359" spans="35:41" ht="13">
      <c r="AI1359" s="115" t="s">
        <v>1415</v>
      </c>
      <c r="AJ1359" t="s">
        <v>2114</v>
      </c>
      <c r="AK1359" s="115">
        <v>0</v>
      </c>
      <c r="AL1359" s="115" t="s">
        <v>28</v>
      </c>
      <c r="AM1359" s="115" t="s">
        <v>1843</v>
      </c>
      <c r="AN1359" s="115" t="s">
        <v>1441</v>
      </c>
      <c r="AO1359" s="115" t="s">
        <v>1644</v>
      </c>
    </row>
    <row r="1360" spans="35:41" ht="13">
      <c r="AI1360" s="115" t="s">
        <v>1415</v>
      </c>
      <c r="AJ1360" t="s">
        <v>2114</v>
      </c>
      <c r="AK1360" s="115">
        <v>0</v>
      </c>
      <c r="AL1360" s="115" t="s">
        <v>28</v>
      </c>
      <c r="AM1360" s="115" t="s">
        <v>1848</v>
      </c>
      <c r="AN1360" s="115" t="s">
        <v>1441</v>
      </c>
      <c r="AO1360" s="115" t="s">
        <v>1644</v>
      </c>
    </row>
    <row r="1361" spans="35:41" ht="13">
      <c r="AI1361" s="115" t="s">
        <v>1415</v>
      </c>
      <c r="AJ1361" t="s">
        <v>2114</v>
      </c>
      <c r="AK1361" s="115">
        <v>0</v>
      </c>
      <c r="AL1361" s="115" t="s">
        <v>28</v>
      </c>
      <c r="AM1361" s="115" t="s">
        <v>1832</v>
      </c>
      <c r="AN1361" s="115" t="s">
        <v>1441</v>
      </c>
      <c r="AO1361" s="115" t="s">
        <v>1644</v>
      </c>
    </row>
    <row r="1362" spans="35:41" ht="13">
      <c r="AI1362" s="115" t="s">
        <v>1415</v>
      </c>
      <c r="AJ1362" t="s">
        <v>2114</v>
      </c>
      <c r="AK1362" s="115">
        <v>0</v>
      </c>
      <c r="AL1362" s="115" t="s">
        <v>28</v>
      </c>
      <c r="AM1362" s="115" t="s">
        <v>1850</v>
      </c>
      <c r="AN1362" s="115" t="s">
        <v>1441</v>
      </c>
      <c r="AO1362" s="115" t="s">
        <v>1644</v>
      </c>
    </row>
    <row r="1363" spans="35:41" ht="13">
      <c r="AI1363" s="115" t="s">
        <v>1415</v>
      </c>
      <c r="AJ1363" t="s">
        <v>2114</v>
      </c>
      <c r="AK1363" s="115">
        <v>0</v>
      </c>
      <c r="AL1363" s="115" t="s">
        <v>28</v>
      </c>
      <c r="AM1363" s="115" t="s">
        <v>1849</v>
      </c>
      <c r="AN1363" s="115" t="s">
        <v>1441</v>
      </c>
      <c r="AO1363" s="115" t="s">
        <v>1274</v>
      </c>
    </row>
    <row r="1364" spans="35:41" ht="13">
      <c r="AI1364" s="115" t="s">
        <v>1415</v>
      </c>
      <c r="AJ1364" t="s">
        <v>2114</v>
      </c>
      <c r="AK1364" s="115">
        <v>0</v>
      </c>
      <c r="AL1364" s="115" t="s">
        <v>28</v>
      </c>
      <c r="AM1364" s="115" t="s">
        <v>1850</v>
      </c>
      <c r="AN1364" s="115" t="s">
        <v>1441</v>
      </c>
      <c r="AO1364" s="115" t="s">
        <v>1274</v>
      </c>
    </row>
    <row r="1365" spans="35:41" ht="13">
      <c r="AI1365" s="115" t="s">
        <v>1415</v>
      </c>
      <c r="AJ1365" t="s">
        <v>2114</v>
      </c>
      <c r="AK1365" s="115">
        <v>0</v>
      </c>
      <c r="AL1365" s="115" t="s">
        <v>28</v>
      </c>
      <c r="AM1365" s="115" t="s">
        <v>1848</v>
      </c>
      <c r="AN1365" s="115" t="s">
        <v>1441</v>
      </c>
      <c r="AO1365" s="115" t="s">
        <v>1274</v>
      </c>
    </row>
    <row r="1366" spans="35:41" ht="13">
      <c r="AI1366" s="115" t="s">
        <v>1415</v>
      </c>
      <c r="AJ1366" t="s">
        <v>2114</v>
      </c>
      <c r="AK1366" s="115">
        <v>0</v>
      </c>
      <c r="AL1366" s="115" t="s">
        <v>28</v>
      </c>
      <c r="AM1366" s="115" t="s">
        <v>1846</v>
      </c>
      <c r="AN1366" s="115" t="s">
        <v>1441</v>
      </c>
      <c r="AO1366" s="115" t="s">
        <v>1274</v>
      </c>
    </row>
    <row r="1367" spans="35:41" ht="13">
      <c r="AI1367" s="115" t="s">
        <v>1415</v>
      </c>
      <c r="AJ1367" t="s">
        <v>2114</v>
      </c>
      <c r="AK1367" s="115">
        <v>0</v>
      </c>
      <c r="AL1367" s="115" t="s">
        <v>28</v>
      </c>
      <c r="AM1367" s="115" t="s">
        <v>1843</v>
      </c>
      <c r="AN1367" s="115" t="s">
        <v>1441</v>
      </c>
      <c r="AO1367" s="115" t="s">
        <v>1274</v>
      </c>
    </row>
    <row r="1368" spans="35:41" ht="13">
      <c r="AI1368" s="115" t="s">
        <v>1415</v>
      </c>
      <c r="AJ1368" t="s">
        <v>2114</v>
      </c>
      <c r="AK1368" s="115">
        <v>0</v>
      </c>
      <c r="AL1368" s="115" t="s">
        <v>28</v>
      </c>
      <c r="AM1368" s="115" t="s">
        <v>1832</v>
      </c>
      <c r="AN1368" s="115" t="s">
        <v>1441</v>
      </c>
      <c r="AO1368" s="115" t="s">
        <v>1274</v>
      </c>
    </row>
    <row r="1369" spans="35:41" ht="13">
      <c r="AI1369" s="115" t="s">
        <v>1415</v>
      </c>
      <c r="AJ1369" t="s">
        <v>2114</v>
      </c>
      <c r="AK1369" s="115">
        <v>0</v>
      </c>
      <c r="AL1369" s="115" t="s">
        <v>28</v>
      </c>
      <c r="AM1369" s="115" t="s">
        <v>1850</v>
      </c>
      <c r="AN1369" s="115" t="s">
        <v>1441</v>
      </c>
      <c r="AO1369" s="115" t="s">
        <v>381</v>
      </c>
    </row>
    <row r="1370" spans="35:41" ht="13">
      <c r="AI1370" s="115" t="s">
        <v>1415</v>
      </c>
      <c r="AJ1370" t="s">
        <v>2114</v>
      </c>
      <c r="AK1370" s="115">
        <v>0</v>
      </c>
      <c r="AL1370" s="115" t="s">
        <v>28</v>
      </c>
      <c r="AM1370" s="115" t="s">
        <v>1832</v>
      </c>
      <c r="AN1370" s="115" t="s">
        <v>1441</v>
      </c>
      <c r="AO1370" s="115" t="s">
        <v>381</v>
      </c>
    </row>
    <row r="1371" spans="35:41" ht="13">
      <c r="AI1371" s="115" t="s">
        <v>1415</v>
      </c>
      <c r="AJ1371" t="s">
        <v>2114</v>
      </c>
      <c r="AK1371" s="115">
        <v>0</v>
      </c>
      <c r="AL1371" s="115" t="s">
        <v>28</v>
      </c>
      <c r="AM1371" s="115" t="s">
        <v>1848</v>
      </c>
      <c r="AN1371" s="115" t="s">
        <v>1441</v>
      </c>
      <c r="AO1371" s="115" t="s">
        <v>381</v>
      </c>
    </row>
    <row r="1372" spans="35:41" ht="13">
      <c r="AI1372" s="115" t="s">
        <v>1415</v>
      </c>
      <c r="AJ1372" t="s">
        <v>2114</v>
      </c>
      <c r="AK1372" s="115">
        <v>0</v>
      </c>
      <c r="AL1372" s="115" t="s">
        <v>28</v>
      </c>
      <c r="AM1372" s="115" t="s">
        <v>1849</v>
      </c>
      <c r="AN1372" s="115" t="s">
        <v>1441</v>
      </c>
      <c r="AO1372" s="115" t="s">
        <v>381</v>
      </c>
    </row>
    <row r="1373" spans="35:41" ht="13">
      <c r="AI1373" s="115" t="s">
        <v>1415</v>
      </c>
      <c r="AJ1373" t="s">
        <v>2114</v>
      </c>
      <c r="AK1373" s="115">
        <v>0</v>
      </c>
      <c r="AL1373" s="115" t="s">
        <v>28</v>
      </c>
      <c r="AM1373" s="115" t="s">
        <v>1846</v>
      </c>
      <c r="AN1373" s="115" t="s">
        <v>1441</v>
      </c>
      <c r="AO1373" s="115" t="s">
        <v>381</v>
      </c>
    </row>
    <row r="1374" spans="35:41" ht="13">
      <c r="AI1374" s="115" t="s">
        <v>1415</v>
      </c>
      <c r="AJ1374" t="s">
        <v>2114</v>
      </c>
      <c r="AK1374" s="115">
        <v>0</v>
      </c>
      <c r="AL1374" s="115" t="s">
        <v>28</v>
      </c>
      <c r="AM1374" s="115" t="s">
        <v>1843</v>
      </c>
      <c r="AN1374" s="115" t="s">
        <v>1441</v>
      </c>
      <c r="AO1374" s="115" t="s">
        <v>381</v>
      </c>
    </row>
    <row r="1375" spans="35:41" ht="13">
      <c r="AI1375" s="115" t="s">
        <v>1415</v>
      </c>
      <c r="AJ1375" t="s">
        <v>2114</v>
      </c>
      <c r="AK1375" s="115">
        <v>0</v>
      </c>
      <c r="AL1375" s="115" t="s">
        <v>28</v>
      </c>
      <c r="AM1375" s="115" t="s">
        <v>1832</v>
      </c>
      <c r="AN1375" s="115" t="s">
        <v>1441</v>
      </c>
      <c r="AO1375" s="115" t="s">
        <v>379</v>
      </c>
    </row>
    <row r="1376" spans="35:41" ht="13">
      <c r="AI1376" s="115" t="s">
        <v>1415</v>
      </c>
      <c r="AJ1376" t="s">
        <v>2114</v>
      </c>
      <c r="AK1376" s="115">
        <v>0</v>
      </c>
      <c r="AL1376" s="115" t="s">
        <v>28</v>
      </c>
      <c r="AM1376" s="115" t="s">
        <v>1850</v>
      </c>
      <c r="AN1376" s="115" t="s">
        <v>1441</v>
      </c>
      <c r="AO1376" s="115" t="s">
        <v>379</v>
      </c>
    </row>
    <row r="1377" spans="35:41" ht="13">
      <c r="AI1377" s="115" t="s">
        <v>1415</v>
      </c>
      <c r="AJ1377" t="s">
        <v>2114</v>
      </c>
      <c r="AK1377" s="115">
        <v>0</v>
      </c>
      <c r="AL1377" s="115" t="s">
        <v>28</v>
      </c>
      <c r="AM1377" s="115" t="s">
        <v>1849</v>
      </c>
      <c r="AN1377" s="115" t="s">
        <v>1441</v>
      </c>
      <c r="AO1377" s="115" t="s">
        <v>379</v>
      </c>
    </row>
    <row r="1378" spans="35:41" ht="13">
      <c r="AI1378" s="115" t="s">
        <v>1415</v>
      </c>
      <c r="AJ1378" t="s">
        <v>2114</v>
      </c>
      <c r="AK1378" s="115">
        <v>0</v>
      </c>
      <c r="AL1378" s="115" t="s">
        <v>28</v>
      </c>
      <c r="AM1378" s="115" t="s">
        <v>1848</v>
      </c>
      <c r="AN1378" s="115" t="s">
        <v>1441</v>
      </c>
      <c r="AO1378" s="115" t="s">
        <v>379</v>
      </c>
    </row>
    <row r="1379" spans="35:41" ht="13">
      <c r="AI1379" s="115" t="s">
        <v>1415</v>
      </c>
      <c r="AJ1379" t="s">
        <v>2114</v>
      </c>
      <c r="AK1379" s="115">
        <v>0</v>
      </c>
      <c r="AL1379" s="115" t="s">
        <v>28</v>
      </c>
      <c r="AM1379" s="115" t="s">
        <v>1843</v>
      </c>
      <c r="AN1379" s="115" t="s">
        <v>1441</v>
      </c>
      <c r="AO1379" s="115" t="s">
        <v>379</v>
      </c>
    </row>
    <row r="1380" spans="35:41" ht="13">
      <c r="AI1380" s="115" t="s">
        <v>1415</v>
      </c>
      <c r="AJ1380" t="s">
        <v>2114</v>
      </c>
      <c r="AK1380" s="115">
        <v>0</v>
      </c>
      <c r="AL1380" s="115" t="s">
        <v>28</v>
      </c>
      <c r="AM1380" s="115" t="s">
        <v>1846</v>
      </c>
      <c r="AN1380" s="115" t="s">
        <v>1441</v>
      </c>
      <c r="AO1380" s="115" t="s">
        <v>379</v>
      </c>
    </row>
    <row r="1381" spans="35:41" ht="13">
      <c r="AI1381" s="115" t="s">
        <v>1415</v>
      </c>
      <c r="AJ1381" t="s">
        <v>2114</v>
      </c>
      <c r="AK1381" s="115">
        <v>0</v>
      </c>
      <c r="AL1381" s="115" t="s">
        <v>28</v>
      </c>
      <c r="AM1381" s="115" t="s">
        <v>1848</v>
      </c>
      <c r="AN1381" s="115" t="s">
        <v>1441</v>
      </c>
      <c r="AO1381" s="115" t="s">
        <v>1645</v>
      </c>
    </row>
    <row r="1382" spans="35:41" ht="13">
      <c r="AI1382" s="115" t="s">
        <v>1415</v>
      </c>
      <c r="AJ1382" t="s">
        <v>2114</v>
      </c>
      <c r="AK1382" s="115">
        <v>0</v>
      </c>
      <c r="AL1382" s="115" t="s">
        <v>28</v>
      </c>
      <c r="AM1382" s="115" t="s">
        <v>1832</v>
      </c>
      <c r="AN1382" s="115" t="s">
        <v>1441</v>
      </c>
      <c r="AO1382" s="115" t="s">
        <v>1645</v>
      </c>
    </row>
    <row r="1383" spans="35:41" ht="13">
      <c r="AI1383" s="115" t="s">
        <v>1415</v>
      </c>
      <c r="AJ1383" t="s">
        <v>2114</v>
      </c>
      <c r="AK1383" s="115">
        <v>0</v>
      </c>
      <c r="AL1383" s="115" t="s">
        <v>28</v>
      </c>
      <c r="AM1383" s="115" t="s">
        <v>1850</v>
      </c>
      <c r="AN1383" s="115" t="s">
        <v>1441</v>
      </c>
      <c r="AO1383" s="115" t="s">
        <v>1645</v>
      </c>
    </row>
    <row r="1384" spans="35:41" ht="13">
      <c r="AI1384" s="115" t="s">
        <v>1415</v>
      </c>
      <c r="AJ1384" t="s">
        <v>2114</v>
      </c>
      <c r="AK1384" s="115">
        <v>0</v>
      </c>
      <c r="AL1384" s="115" t="s">
        <v>28</v>
      </c>
      <c r="AM1384" s="115" t="s">
        <v>1849</v>
      </c>
      <c r="AN1384" s="115" t="s">
        <v>1441</v>
      </c>
      <c r="AO1384" s="115" t="s">
        <v>1645</v>
      </c>
    </row>
    <row r="1385" spans="35:41" ht="13">
      <c r="AI1385" s="115" t="s">
        <v>1415</v>
      </c>
      <c r="AJ1385" t="s">
        <v>2114</v>
      </c>
      <c r="AK1385" s="115">
        <v>0</v>
      </c>
      <c r="AL1385" s="115" t="s">
        <v>28</v>
      </c>
      <c r="AM1385" s="115" t="s">
        <v>1846</v>
      </c>
      <c r="AN1385" s="115" t="s">
        <v>1441</v>
      </c>
      <c r="AO1385" s="115" t="s">
        <v>1645</v>
      </c>
    </row>
    <row r="1386" spans="35:41" ht="13">
      <c r="AI1386" s="115" t="s">
        <v>1415</v>
      </c>
      <c r="AJ1386" t="s">
        <v>2114</v>
      </c>
      <c r="AK1386" s="115">
        <v>0</v>
      </c>
      <c r="AL1386" s="115" t="s">
        <v>28</v>
      </c>
      <c r="AM1386" s="115" t="s">
        <v>1843</v>
      </c>
      <c r="AN1386" s="115" t="s">
        <v>1441</v>
      </c>
      <c r="AO1386" s="115" t="s">
        <v>1645</v>
      </c>
    </row>
    <row r="1387" spans="35:41" ht="13">
      <c r="AI1387" s="115" t="s">
        <v>1415</v>
      </c>
      <c r="AJ1387" t="s">
        <v>2114</v>
      </c>
      <c r="AK1387" s="115">
        <v>0</v>
      </c>
      <c r="AL1387" s="115" t="s">
        <v>28</v>
      </c>
      <c r="AM1387" s="115" t="s">
        <v>1843</v>
      </c>
      <c r="AN1387" s="115" t="s">
        <v>1441</v>
      </c>
      <c r="AO1387" s="115" t="s">
        <v>1646</v>
      </c>
    </row>
    <row r="1388" spans="35:41" ht="13">
      <c r="AI1388" s="115" t="s">
        <v>1415</v>
      </c>
      <c r="AJ1388" t="s">
        <v>2114</v>
      </c>
      <c r="AK1388" s="115">
        <v>0</v>
      </c>
      <c r="AL1388" s="115" t="s">
        <v>28</v>
      </c>
      <c r="AM1388" s="115" t="s">
        <v>1846</v>
      </c>
      <c r="AN1388" s="115" t="s">
        <v>1441</v>
      </c>
      <c r="AO1388" s="115" t="s">
        <v>1646</v>
      </c>
    </row>
    <row r="1389" spans="35:41" ht="13">
      <c r="AI1389" s="115" t="s">
        <v>1415</v>
      </c>
      <c r="AJ1389" t="s">
        <v>2114</v>
      </c>
      <c r="AK1389" s="115">
        <v>0</v>
      </c>
      <c r="AL1389" s="115" t="s">
        <v>28</v>
      </c>
      <c r="AM1389" s="115" t="s">
        <v>1846</v>
      </c>
      <c r="AN1389" s="115" t="s">
        <v>1441</v>
      </c>
      <c r="AO1389" s="115" t="s">
        <v>1647</v>
      </c>
    </row>
    <row r="1390" spans="35:41" ht="13">
      <c r="AI1390" s="115" t="s">
        <v>1415</v>
      </c>
      <c r="AJ1390" t="s">
        <v>2114</v>
      </c>
      <c r="AK1390" s="115">
        <v>0</v>
      </c>
      <c r="AL1390" s="115" t="s">
        <v>28</v>
      </c>
      <c r="AM1390" s="115" t="s">
        <v>1843</v>
      </c>
      <c r="AN1390" s="115" t="s">
        <v>1441</v>
      </c>
      <c r="AO1390" s="115" t="s">
        <v>1647</v>
      </c>
    </row>
    <row r="1391" spans="35:41" ht="13">
      <c r="AI1391" s="115" t="s">
        <v>1415</v>
      </c>
      <c r="AJ1391" t="s">
        <v>2114</v>
      </c>
      <c r="AK1391" s="115">
        <v>0</v>
      </c>
      <c r="AL1391" s="115" t="s">
        <v>28</v>
      </c>
      <c r="AM1391" s="115" t="s">
        <v>1843</v>
      </c>
      <c r="AN1391" s="115" t="s">
        <v>1441</v>
      </c>
      <c r="AO1391" s="115" t="s">
        <v>1639</v>
      </c>
    </row>
    <row r="1392" spans="35:41" ht="13">
      <c r="AI1392" s="115" t="s">
        <v>1415</v>
      </c>
      <c r="AJ1392" t="s">
        <v>2114</v>
      </c>
      <c r="AK1392" s="115">
        <v>0</v>
      </c>
      <c r="AL1392" s="115" t="s">
        <v>28</v>
      </c>
      <c r="AM1392" s="115" t="s">
        <v>1846</v>
      </c>
      <c r="AN1392" s="115" t="s">
        <v>1441</v>
      </c>
      <c r="AO1392" s="115" t="s">
        <v>1639</v>
      </c>
    </row>
    <row r="1393" spans="35:41" ht="13">
      <c r="AI1393" s="115" t="s">
        <v>1415</v>
      </c>
      <c r="AJ1393" t="s">
        <v>2114</v>
      </c>
      <c r="AK1393" s="115">
        <v>0</v>
      </c>
      <c r="AL1393" s="115" t="s">
        <v>28</v>
      </c>
      <c r="AM1393" s="115" t="s">
        <v>1843</v>
      </c>
      <c r="AN1393" s="115" t="s">
        <v>1441</v>
      </c>
      <c r="AO1393" s="115" t="s">
        <v>373</v>
      </c>
    </row>
    <row r="1394" spans="35:41" ht="13">
      <c r="AI1394" s="115" t="s">
        <v>1415</v>
      </c>
      <c r="AJ1394" t="s">
        <v>2114</v>
      </c>
      <c r="AK1394" s="115">
        <v>0</v>
      </c>
      <c r="AL1394" s="115" t="s">
        <v>28</v>
      </c>
      <c r="AM1394" s="115" t="s">
        <v>1849</v>
      </c>
      <c r="AN1394" s="115" t="s">
        <v>1441</v>
      </c>
      <c r="AO1394" s="115" t="s">
        <v>373</v>
      </c>
    </row>
    <row r="1395" spans="35:41" ht="13">
      <c r="AI1395" s="115" t="s">
        <v>1415</v>
      </c>
      <c r="AJ1395" t="s">
        <v>2114</v>
      </c>
      <c r="AK1395" s="115">
        <v>0</v>
      </c>
      <c r="AL1395" s="115" t="s">
        <v>28</v>
      </c>
      <c r="AM1395" s="115" t="s">
        <v>1846</v>
      </c>
      <c r="AN1395" s="115" t="s">
        <v>1441</v>
      </c>
      <c r="AO1395" s="115" t="s">
        <v>373</v>
      </c>
    </row>
    <row r="1396" spans="35:41" ht="13">
      <c r="AI1396" s="115" t="s">
        <v>1415</v>
      </c>
      <c r="AJ1396" t="s">
        <v>2114</v>
      </c>
      <c r="AK1396" s="115">
        <v>0</v>
      </c>
      <c r="AL1396" s="115" t="s">
        <v>28</v>
      </c>
      <c r="AM1396" s="115" t="s">
        <v>1850</v>
      </c>
      <c r="AN1396" s="115" t="s">
        <v>1441</v>
      </c>
      <c r="AO1396" s="115" t="s">
        <v>373</v>
      </c>
    </row>
    <row r="1397" spans="35:41" ht="13">
      <c r="AI1397" s="115" t="s">
        <v>1415</v>
      </c>
      <c r="AJ1397" t="s">
        <v>2114</v>
      </c>
      <c r="AK1397" s="115">
        <v>0</v>
      </c>
      <c r="AL1397" s="115" t="s">
        <v>28</v>
      </c>
      <c r="AM1397" s="115" t="s">
        <v>1848</v>
      </c>
      <c r="AN1397" s="115" t="s">
        <v>1441</v>
      </c>
      <c r="AO1397" s="115" t="s">
        <v>373</v>
      </c>
    </row>
    <row r="1398" spans="35:41" ht="13">
      <c r="AI1398" s="115" t="s">
        <v>1415</v>
      </c>
      <c r="AJ1398" t="s">
        <v>2114</v>
      </c>
      <c r="AK1398" s="115">
        <v>0</v>
      </c>
      <c r="AL1398" s="115" t="s">
        <v>28</v>
      </c>
      <c r="AM1398" s="115" t="s">
        <v>1832</v>
      </c>
      <c r="AN1398" s="115" t="s">
        <v>1441</v>
      </c>
      <c r="AO1398" s="115" t="s">
        <v>373</v>
      </c>
    </row>
    <row r="1399" spans="35:41" ht="13">
      <c r="AI1399" s="115" t="s">
        <v>1415</v>
      </c>
      <c r="AJ1399" t="s">
        <v>2114</v>
      </c>
      <c r="AK1399" s="115">
        <v>0</v>
      </c>
      <c r="AL1399" s="115" t="s">
        <v>28</v>
      </c>
      <c r="AM1399" s="115" t="s">
        <v>1848</v>
      </c>
      <c r="AN1399" s="115" t="s">
        <v>1441</v>
      </c>
      <c r="AO1399" s="115" t="s">
        <v>380</v>
      </c>
    </row>
    <row r="1400" spans="35:41" ht="13">
      <c r="AI1400" s="115" t="s">
        <v>1415</v>
      </c>
      <c r="AJ1400" t="s">
        <v>2114</v>
      </c>
      <c r="AK1400" s="115">
        <v>0</v>
      </c>
      <c r="AL1400" s="115" t="s">
        <v>28</v>
      </c>
      <c r="AM1400" s="115" t="s">
        <v>1832</v>
      </c>
      <c r="AN1400" s="115" t="s">
        <v>1441</v>
      </c>
      <c r="AO1400" s="115" t="s">
        <v>380</v>
      </c>
    </row>
    <row r="1401" spans="35:41" ht="13">
      <c r="AI1401" s="115" t="s">
        <v>1415</v>
      </c>
      <c r="AJ1401" t="s">
        <v>2114</v>
      </c>
      <c r="AK1401" s="115">
        <v>0</v>
      </c>
      <c r="AL1401" s="115" t="s">
        <v>28</v>
      </c>
      <c r="AM1401" s="115" t="s">
        <v>1850</v>
      </c>
      <c r="AN1401" s="115" t="s">
        <v>1441</v>
      </c>
      <c r="AO1401" s="115" t="s">
        <v>380</v>
      </c>
    </row>
    <row r="1402" spans="35:41" ht="13">
      <c r="AI1402" s="115" t="s">
        <v>1415</v>
      </c>
      <c r="AJ1402" t="s">
        <v>2114</v>
      </c>
      <c r="AK1402" s="115">
        <v>0</v>
      </c>
      <c r="AL1402" s="115" t="s">
        <v>28</v>
      </c>
      <c r="AM1402" s="115" t="s">
        <v>1843</v>
      </c>
      <c r="AN1402" s="115" t="s">
        <v>1441</v>
      </c>
      <c r="AO1402" s="115" t="s">
        <v>380</v>
      </c>
    </row>
    <row r="1403" spans="35:41" ht="13">
      <c r="AI1403" s="115" t="s">
        <v>1415</v>
      </c>
      <c r="AJ1403" t="s">
        <v>2114</v>
      </c>
      <c r="AK1403" s="115">
        <v>0</v>
      </c>
      <c r="AL1403" s="115" t="s">
        <v>28</v>
      </c>
      <c r="AM1403" s="115" t="s">
        <v>1849</v>
      </c>
      <c r="AN1403" s="115" t="s">
        <v>1441</v>
      </c>
      <c r="AO1403" s="115" t="s">
        <v>380</v>
      </c>
    </row>
    <row r="1404" spans="35:41" ht="13">
      <c r="AI1404" s="115" t="s">
        <v>1415</v>
      </c>
      <c r="AJ1404" t="s">
        <v>2114</v>
      </c>
      <c r="AK1404" s="115">
        <v>0</v>
      </c>
      <c r="AL1404" s="115" t="s">
        <v>28</v>
      </c>
      <c r="AM1404" s="115" t="s">
        <v>1846</v>
      </c>
      <c r="AN1404" s="115" t="s">
        <v>1441</v>
      </c>
      <c r="AO1404" s="115" t="s">
        <v>380</v>
      </c>
    </row>
    <row r="1405" spans="35:41" ht="13">
      <c r="AI1405" s="115" t="s">
        <v>1415</v>
      </c>
      <c r="AJ1405" t="s">
        <v>2114</v>
      </c>
      <c r="AK1405" s="115">
        <v>0</v>
      </c>
      <c r="AL1405" s="115" t="s">
        <v>28</v>
      </c>
      <c r="AM1405" s="115" t="s">
        <v>1850</v>
      </c>
      <c r="AN1405" s="115" t="s">
        <v>1425</v>
      </c>
      <c r="AO1405" s="115" t="s">
        <v>1644</v>
      </c>
    </row>
    <row r="1406" spans="35:41" ht="13">
      <c r="AI1406" s="115" t="s">
        <v>1415</v>
      </c>
      <c r="AJ1406" t="s">
        <v>2114</v>
      </c>
      <c r="AK1406" s="115">
        <v>0</v>
      </c>
      <c r="AL1406" s="115" t="s">
        <v>28</v>
      </c>
      <c r="AM1406" s="115" t="s">
        <v>1843</v>
      </c>
      <c r="AN1406" s="115" t="s">
        <v>1425</v>
      </c>
      <c r="AO1406" s="115" t="s">
        <v>1644</v>
      </c>
    </row>
    <row r="1407" spans="35:41" ht="13">
      <c r="AI1407" s="115" t="s">
        <v>1415</v>
      </c>
      <c r="AJ1407" t="s">
        <v>2114</v>
      </c>
      <c r="AK1407" s="115">
        <v>0</v>
      </c>
      <c r="AL1407" s="115" t="s">
        <v>28</v>
      </c>
      <c r="AM1407" s="115" t="s">
        <v>1832</v>
      </c>
      <c r="AN1407" s="115" t="s">
        <v>1425</v>
      </c>
      <c r="AO1407" s="115" t="s">
        <v>1644</v>
      </c>
    </row>
    <row r="1408" spans="35:41" ht="13">
      <c r="AI1408" s="115" t="s">
        <v>1415</v>
      </c>
      <c r="AJ1408" t="s">
        <v>2114</v>
      </c>
      <c r="AK1408" s="115">
        <v>0</v>
      </c>
      <c r="AL1408" s="115" t="s">
        <v>28</v>
      </c>
      <c r="AM1408" s="115" t="s">
        <v>1848</v>
      </c>
      <c r="AN1408" s="115" t="s">
        <v>1425</v>
      </c>
      <c r="AO1408" s="115" t="s">
        <v>1644</v>
      </c>
    </row>
    <row r="1409" spans="35:41" ht="13">
      <c r="AI1409" s="115" t="s">
        <v>1415</v>
      </c>
      <c r="AJ1409" t="s">
        <v>2114</v>
      </c>
      <c r="AK1409" s="115">
        <v>0</v>
      </c>
      <c r="AL1409" s="115" t="s">
        <v>28</v>
      </c>
      <c r="AM1409" s="115" t="s">
        <v>1850</v>
      </c>
      <c r="AN1409" s="115" t="s">
        <v>1425</v>
      </c>
      <c r="AO1409" s="115" t="s">
        <v>1274</v>
      </c>
    </row>
    <row r="1410" spans="35:41" ht="13">
      <c r="AI1410" s="115" t="s">
        <v>1415</v>
      </c>
      <c r="AJ1410" t="s">
        <v>2114</v>
      </c>
      <c r="AK1410" s="115">
        <v>0</v>
      </c>
      <c r="AL1410" s="115" t="s">
        <v>28</v>
      </c>
      <c r="AM1410" s="115" t="s">
        <v>1832</v>
      </c>
      <c r="AN1410" s="115" t="s">
        <v>1425</v>
      </c>
      <c r="AO1410" s="115" t="s">
        <v>1274</v>
      </c>
    </row>
    <row r="1411" spans="35:41" ht="13">
      <c r="AI1411" s="115" t="s">
        <v>1415</v>
      </c>
      <c r="AJ1411" t="s">
        <v>2114</v>
      </c>
      <c r="AK1411" s="115">
        <v>0</v>
      </c>
      <c r="AL1411" s="115" t="s">
        <v>28</v>
      </c>
      <c r="AM1411" s="115" t="s">
        <v>1848</v>
      </c>
      <c r="AN1411" s="115" t="s">
        <v>1425</v>
      </c>
      <c r="AO1411" s="115" t="s">
        <v>1274</v>
      </c>
    </row>
    <row r="1412" spans="35:41" ht="13">
      <c r="AI1412" s="115" t="s">
        <v>1415</v>
      </c>
      <c r="AJ1412" t="s">
        <v>2114</v>
      </c>
      <c r="AK1412" s="115">
        <v>0</v>
      </c>
      <c r="AL1412" s="115" t="s">
        <v>28</v>
      </c>
      <c r="AM1412" s="115" t="s">
        <v>1846</v>
      </c>
      <c r="AN1412" s="115" t="s">
        <v>1425</v>
      </c>
      <c r="AO1412" s="115" t="s">
        <v>1274</v>
      </c>
    </row>
    <row r="1413" spans="35:41" ht="13">
      <c r="AI1413" s="115" t="s">
        <v>1415</v>
      </c>
      <c r="AJ1413" t="s">
        <v>2114</v>
      </c>
      <c r="AK1413" s="115">
        <v>0</v>
      </c>
      <c r="AL1413" s="115" t="s">
        <v>28</v>
      </c>
      <c r="AM1413" s="115" t="s">
        <v>1849</v>
      </c>
      <c r="AN1413" s="115" t="s">
        <v>1425</v>
      </c>
      <c r="AO1413" s="115" t="s">
        <v>1274</v>
      </c>
    </row>
    <row r="1414" spans="35:41" ht="13">
      <c r="AI1414" s="115" t="s">
        <v>1415</v>
      </c>
      <c r="AJ1414" t="s">
        <v>2114</v>
      </c>
      <c r="AK1414" s="115">
        <v>0</v>
      </c>
      <c r="AL1414" s="115" t="s">
        <v>28</v>
      </c>
      <c r="AM1414" s="115" t="s">
        <v>1843</v>
      </c>
      <c r="AN1414" s="115" t="s">
        <v>1425</v>
      </c>
      <c r="AO1414" s="115" t="s">
        <v>1274</v>
      </c>
    </row>
    <row r="1415" spans="35:41" ht="13">
      <c r="AI1415" s="115" t="s">
        <v>1415</v>
      </c>
      <c r="AJ1415" t="s">
        <v>2114</v>
      </c>
      <c r="AK1415" s="115">
        <v>0</v>
      </c>
      <c r="AL1415" s="115" t="s">
        <v>28</v>
      </c>
      <c r="AM1415" s="115" t="s">
        <v>1846</v>
      </c>
      <c r="AN1415" s="115" t="s">
        <v>1425</v>
      </c>
      <c r="AO1415" s="115" t="s">
        <v>381</v>
      </c>
    </row>
    <row r="1416" spans="35:41" ht="13">
      <c r="AI1416" s="115" t="s">
        <v>1415</v>
      </c>
      <c r="AJ1416" t="s">
        <v>2114</v>
      </c>
      <c r="AK1416" s="115">
        <v>0</v>
      </c>
      <c r="AL1416" s="115" t="s">
        <v>28</v>
      </c>
      <c r="AM1416" s="115" t="s">
        <v>1843</v>
      </c>
      <c r="AN1416" s="115" t="s">
        <v>1425</v>
      </c>
      <c r="AO1416" s="115" t="s">
        <v>381</v>
      </c>
    </row>
    <row r="1417" spans="35:41" ht="13">
      <c r="AI1417" s="115" t="s">
        <v>1415</v>
      </c>
      <c r="AJ1417" t="s">
        <v>2114</v>
      </c>
      <c r="AK1417" s="115">
        <v>0</v>
      </c>
      <c r="AL1417" s="115" t="s">
        <v>28</v>
      </c>
      <c r="AM1417" s="115" t="s">
        <v>1848</v>
      </c>
      <c r="AN1417" s="115" t="s">
        <v>1425</v>
      </c>
      <c r="AO1417" s="115" t="s">
        <v>381</v>
      </c>
    </row>
    <row r="1418" spans="35:41" ht="13">
      <c r="AI1418" s="115" t="s">
        <v>1415</v>
      </c>
      <c r="AJ1418" t="s">
        <v>2114</v>
      </c>
      <c r="AK1418" s="115">
        <v>0</v>
      </c>
      <c r="AL1418" s="115" t="s">
        <v>28</v>
      </c>
      <c r="AM1418" s="115" t="s">
        <v>1849</v>
      </c>
      <c r="AN1418" s="115" t="s">
        <v>1425</v>
      </c>
      <c r="AO1418" s="115" t="s">
        <v>381</v>
      </c>
    </row>
    <row r="1419" spans="35:41" ht="13">
      <c r="AI1419" s="115" t="s">
        <v>1415</v>
      </c>
      <c r="AJ1419" t="s">
        <v>2114</v>
      </c>
      <c r="AK1419" s="115">
        <v>0</v>
      </c>
      <c r="AL1419" s="115" t="s">
        <v>28</v>
      </c>
      <c r="AM1419" s="115" t="s">
        <v>1832</v>
      </c>
      <c r="AN1419" s="115" t="s">
        <v>1425</v>
      </c>
      <c r="AO1419" s="115" t="s">
        <v>381</v>
      </c>
    </row>
    <row r="1420" spans="35:41" ht="13">
      <c r="AI1420" s="115" t="s">
        <v>1415</v>
      </c>
      <c r="AJ1420" t="s">
        <v>2114</v>
      </c>
      <c r="AK1420" s="115">
        <v>0</v>
      </c>
      <c r="AL1420" s="115" t="s">
        <v>28</v>
      </c>
      <c r="AM1420" s="115" t="s">
        <v>1850</v>
      </c>
      <c r="AN1420" s="115" t="s">
        <v>1425</v>
      </c>
      <c r="AO1420" s="115" t="s">
        <v>381</v>
      </c>
    </row>
    <row r="1421" spans="35:41" ht="13">
      <c r="AI1421" s="115" t="s">
        <v>1415</v>
      </c>
      <c r="AJ1421" t="s">
        <v>2114</v>
      </c>
      <c r="AK1421" s="115">
        <v>0</v>
      </c>
      <c r="AL1421" s="115" t="s">
        <v>28</v>
      </c>
      <c r="AM1421" s="115" t="s">
        <v>1850</v>
      </c>
      <c r="AN1421" s="115" t="s">
        <v>1425</v>
      </c>
      <c r="AO1421" s="115" t="s">
        <v>379</v>
      </c>
    </row>
    <row r="1422" spans="35:41" ht="13">
      <c r="AI1422" s="115" t="s">
        <v>1415</v>
      </c>
      <c r="AJ1422" t="s">
        <v>2114</v>
      </c>
      <c r="AK1422" s="115">
        <v>0</v>
      </c>
      <c r="AL1422" s="115" t="s">
        <v>28</v>
      </c>
      <c r="AM1422" s="115" t="s">
        <v>1848</v>
      </c>
      <c r="AN1422" s="115" t="s">
        <v>1425</v>
      </c>
      <c r="AO1422" s="115" t="s">
        <v>379</v>
      </c>
    </row>
    <row r="1423" spans="35:41" ht="13">
      <c r="AI1423" s="115" t="s">
        <v>1415</v>
      </c>
      <c r="AJ1423" t="s">
        <v>2114</v>
      </c>
      <c r="AK1423" s="115">
        <v>0</v>
      </c>
      <c r="AL1423" s="115" t="s">
        <v>28</v>
      </c>
      <c r="AM1423" s="115" t="s">
        <v>1849</v>
      </c>
      <c r="AN1423" s="115" t="s">
        <v>1425</v>
      </c>
      <c r="AO1423" s="115" t="s">
        <v>379</v>
      </c>
    </row>
    <row r="1424" spans="35:41" ht="13">
      <c r="AI1424" s="115" t="s">
        <v>1415</v>
      </c>
      <c r="AJ1424" t="s">
        <v>2114</v>
      </c>
      <c r="AK1424" s="115">
        <v>0</v>
      </c>
      <c r="AL1424" s="115" t="s">
        <v>28</v>
      </c>
      <c r="AM1424" s="115" t="s">
        <v>1843</v>
      </c>
      <c r="AN1424" s="115" t="s">
        <v>1425</v>
      </c>
      <c r="AO1424" s="115" t="s">
        <v>379</v>
      </c>
    </row>
    <row r="1425" spans="35:41" ht="13">
      <c r="AI1425" s="115" t="s">
        <v>1415</v>
      </c>
      <c r="AJ1425" t="s">
        <v>2114</v>
      </c>
      <c r="AK1425" s="115">
        <v>0</v>
      </c>
      <c r="AL1425" s="115" t="s">
        <v>28</v>
      </c>
      <c r="AM1425" s="115" t="s">
        <v>1846</v>
      </c>
      <c r="AN1425" s="115" t="s">
        <v>1425</v>
      </c>
      <c r="AO1425" s="115" t="s">
        <v>379</v>
      </c>
    </row>
    <row r="1426" spans="35:41" ht="13">
      <c r="AI1426" s="115" t="s">
        <v>1415</v>
      </c>
      <c r="AJ1426" t="s">
        <v>2114</v>
      </c>
      <c r="AK1426" s="115">
        <v>0</v>
      </c>
      <c r="AL1426" s="115" t="s">
        <v>28</v>
      </c>
      <c r="AM1426" s="115" t="s">
        <v>1832</v>
      </c>
      <c r="AN1426" s="115" t="s">
        <v>1425</v>
      </c>
      <c r="AO1426" s="115" t="s">
        <v>379</v>
      </c>
    </row>
    <row r="1427" spans="35:41" ht="13">
      <c r="AI1427" s="115" t="s">
        <v>1415</v>
      </c>
      <c r="AJ1427" t="s">
        <v>2114</v>
      </c>
      <c r="AK1427" s="115">
        <v>0</v>
      </c>
      <c r="AL1427" s="115" t="s">
        <v>28</v>
      </c>
      <c r="AM1427" s="115" t="s">
        <v>1850</v>
      </c>
      <c r="AN1427" s="115" t="s">
        <v>1425</v>
      </c>
      <c r="AO1427" s="115" t="s">
        <v>1645</v>
      </c>
    </row>
    <row r="1428" spans="35:41" ht="13">
      <c r="AI1428" s="115" t="s">
        <v>1415</v>
      </c>
      <c r="AJ1428" t="s">
        <v>2114</v>
      </c>
      <c r="AK1428" s="115">
        <v>0</v>
      </c>
      <c r="AL1428" s="115" t="s">
        <v>28</v>
      </c>
      <c r="AM1428" s="115" t="s">
        <v>1849</v>
      </c>
      <c r="AN1428" s="115" t="s">
        <v>1425</v>
      </c>
      <c r="AO1428" s="115" t="s">
        <v>1645</v>
      </c>
    </row>
    <row r="1429" spans="35:41" ht="13">
      <c r="AI1429" s="115" t="s">
        <v>1415</v>
      </c>
      <c r="AJ1429" t="s">
        <v>2114</v>
      </c>
      <c r="AK1429" s="115">
        <v>0</v>
      </c>
      <c r="AL1429" s="115" t="s">
        <v>28</v>
      </c>
      <c r="AM1429" s="115" t="s">
        <v>1832</v>
      </c>
      <c r="AN1429" s="115" t="s">
        <v>1425</v>
      </c>
      <c r="AO1429" s="115" t="s">
        <v>1645</v>
      </c>
    </row>
    <row r="1430" spans="35:41" ht="13">
      <c r="AI1430" s="115" t="s">
        <v>1415</v>
      </c>
      <c r="AJ1430" t="s">
        <v>2114</v>
      </c>
      <c r="AK1430" s="115">
        <v>0</v>
      </c>
      <c r="AL1430" s="115" t="s">
        <v>28</v>
      </c>
      <c r="AM1430" s="115" t="s">
        <v>1846</v>
      </c>
      <c r="AN1430" s="115" t="s">
        <v>1425</v>
      </c>
      <c r="AO1430" s="115" t="s">
        <v>1645</v>
      </c>
    </row>
    <row r="1431" spans="35:41" ht="13">
      <c r="AI1431" s="115" t="s">
        <v>1415</v>
      </c>
      <c r="AJ1431" t="s">
        <v>2114</v>
      </c>
      <c r="AK1431" s="115">
        <v>0</v>
      </c>
      <c r="AL1431" s="115" t="s">
        <v>28</v>
      </c>
      <c r="AM1431" s="115" t="s">
        <v>1843</v>
      </c>
      <c r="AN1431" s="115" t="s">
        <v>1425</v>
      </c>
      <c r="AO1431" s="115" t="s">
        <v>1645</v>
      </c>
    </row>
    <row r="1432" spans="35:41" ht="13">
      <c r="AI1432" s="115" t="s">
        <v>1415</v>
      </c>
      <c r="AJ1432" t="s">
        <v>2114</v>
      </c>
      <c r="AK1432" s="115">
        <v>0</v>
      </c>
      <c r="AL1432" s="115" t="s">
        <v>28</v>
      </c>
      <c r="AM1432" s="115" t="s">
        <v>1848</v>
      </c>
      <c r="AN1432" s="115" t="s">
        <v>1425</v>
      </c>
      <c r="AO1432" s="115" t="s">
        <v>1645</v>
      </c>
    </row>
    <row r="1433" spans="35:41" ht="13">
      <c r="AI1433" s="115" t="s">
        <v>1415</v>
      </c>
      <c r="AJ1433" t="s">
        <v>2114</v>
      </c>
      <c r="AK1433" s="115">
        <v>0</v>
      </c>
      <c r="AL1433" s="115" t="s">
        <v>28</v>
      </c>
      <c r="AM1433" s="115" t="s">
        <v>1843</v>
      </c>
      <c r="AN1433" s="115" t="s">
        <v>1425</v>
      </c>
      <c r="AO1433" s="115" t="s">
        <v>1646</v>
      </c>
    </row>
    <row r="1434" spans="35:41" ht="13">
      <c r="AI1434" s="115" t="s">
        <v>1415</v>
      </c>
      <c r="AJ1434" t="s">
        <v>2114</v>
      </c>
      <c r="AK1434" s="115">
        <v>0</v>
      </c>
      <c r="AL1434" s="115" t="s">
        <v>28</v>
      </c>
      <c r="AM1434" s="115" t="s">
        <v>1846</v>
      </c>
      <c r="AN1434" s="115" t="s">
        <v>1425</v>
      </c>
      <c r="AO1434" s="115" t="s">
        <v>1646</v>
      </c>
    </row>
    <row r="1435" spans="35:41" ht="13">
      <c r="AI1435" s="115" t="s">
        <v>1415</v>
      </c>
      <c r="AJ1435" t="s">
        <v>2114</v>
      </c>
      <c r="AK1435" s="115">
        <v>0</v>
      </c>
      <c r="AL1435" s="115" t="s">
        <v>28</v>
      </c>
      <c r="AM1435" s="115" t="s">
        <v>1846</v>
      </c>
      <c r="AN1435" s="115" t="s">
        <v>1425</v>
      </c>
      <c r="AO1435" s="115" t="s">
        <v>1647</v>
      </c>
    </row>
    <row r="1436" spans="35:41" ht="13">
      <c r="AI1436" s="115" t="s">
        <v>1415</v>
      </c>
      <c r="AJ1436" t="s">
        <v>2114</v>
      </c>
      <c r="AK1436" s="115">
        <v>0</v>
      </c>
      <c r="AL1436" s="115" t="s">
        <v>28</v>
      </c>
      <c r="AM1436" s="115" t="s">
        <v>1843</v>
      </c>
      <c r="AN1436" s="115" t="s">
        <v>1425</v>
      </c>
      <c r="AO1436" s="115" t="s">
        <v>1647</v>
      </c>
    </row>
    <row r="1437" spans="35:41" ht="13">
      <c r="AI1437" s="115" t="s">
        <v>1415</v>
      </c>
      <c r="AJ1437" t="s">
        <v>2114</v>
      </c>
      <c r="AK1437" s="115">
        <v>0</v>
      </c>
      <c r="AL1437" s="115" t="s">
        <v>28</v>
      </c>
      <c r="AM1437" s="115" t="s">
        <v>1843</v>
      </c>
      <c r="AN1437" s="115" t="s">
        <v>1425</v>
      </c>
      <c r="AO1437" s="115" t="s">
        <v>1639</v>
      </c>
    </row>
    <row r="1438" spans="35:41" ht="13">
      <c r="AI1438" s="115" t="s">
        <v>1415</v>
      </c>
      <c r="AJ1438" t="s">
        <v>2114</v>
      </c>
      <c r="AK1438" s="115">
        <v>0</v>
      </c>
      <c r="AL1438" s="115" t="s">
        <v>28</v>
      </c>
      <c r="AM1438" s="115" t="s">
        <v>1846</v>
      </c>
      <c r="AN1438" s="115" t="s">
        <v>1425</v>
      </c>
      <c r="AO1438" s="115" t="s">
        <v>1639</v>
      </c>
    </row>
    <row r="1439" spans="35:41" ht="13">
      <c r="AI1439" s="115" t="s">
        <v>1415</v>
      </c>
      <c r="AJ1439" t="s">
        <v>2114</v>
      </c>
      <c r="AK1439" s="115">
        <v>0</v>
      </c>
      <c r="AL1439" s="115" t="s">
        <v>28</v>
      </c>
      <c r="AM1439" s="115" t="s">
        <v>1846</v>
      </c>
      <c r="AN1439" s="115" t="s">
        <v>1425</v>
      </c>
      <c r="AO1439" s="115" t="s">
        <v>373</v>
      </c>
    </row>
    <row r="1440" spans="35:41" ht="13">
      <c r="AI1440" s="115" t="s">
        <v>1415</v>
      </c>
      <c r="AJ1440" t="s">
        <v>2114</v>
      </c>
      <c r="AK1440" s="115">
        <v>0</v>
      </c>
      <c r="AL1440" s="115" t="s">
        <v>28</v>
      </c>
      <c r="AM1440" s="115" t="s">
        <v>1850</v>
      </c>
      <c r="AN1440" s="115" t="s">
        <v>1425</v>
      </c>
      <c r="AO1440" s="115" t="s">
        <v>373</v>
      </c>
    </row>
    <row r="1441" spans="35:41" ht="13">
      <c r="AI1441" s="115" t="s">
        <v>1415</v>
      </c>
      <c r="AJ1441" t="s">
        <v>2114</v>
      </c>
      <c r="AK1441" s="115">
        <v>0</v>
      </c>
      <c r="AL1441" s="115" t="s">
        <v>28</v>
      </c>
      <c r="AM1441" s="115" t="s">
        <v>1843</v>
      </c>
      <c r="AN1441" s="115" t="s">
        <v>1425</v>
      </c>
      <c r="AO1441" s="115" t="s">
        <v>373</v>
      </c>
    </row>
    <row r="1442" spans="35:41" ht="13">
      <c r="AI1442" s="115" t="s">
        <v>1415</v>
      </c>
      <c r="AJ1442" t="s">
        <v>2114</v>
      </c>
      <c r="AK1442" s="115">
        <v>0</v>
      </c>
      <c r="AL1442" s="115" t="s">
        <v>28</v>
      </c>
      <c r="AM1442" s="115" t="s">
        <v>1848</v>
      </c>
      <c r="AN1442" s="115" t="s">
        <v>1425</v>
      </c>
      <c r="AO1442" s="115" t="s">
        <v>373</v>
      </c>
    </row>
    <row r="1443" spans="35:41" ht="13">
      <c r="AI1443" s="115" t="s">
        <v>1415</v>
      </c>
      <c r="AJ1443" t="s">
        <v>2114</v>
      </c>
      <c r="AK1443" s="115">
        <v>0</v>
      </c>
      <c r="AL1443" s="115" t="s">
        <v>28</v>
      </c>
      <c r="AM1443" s="115" t="s">
        <v>1849</v>
      </c>
      <c r="AN1443" s="115" t="s">
        <v>1425</v>
      </c>
      <c r="AO1443" s="115" t="s">
        <v>373</v>
      </c>
    </row>
    <row r="1444" spans="35:41" ht="13">
      <c r="AI1444" s="115" t="s">
        <v>1415</v>
      </c>
      <c r="AJ1444" t="s">
        <v>2114</v>
      </c>
      <c r="AK1444" s="115">
        <v>0</v>
      </c>
      <c r="AL1444" s="115" t="s">
        <v>28</v>
      </c>
      <c r="AM1444" s="115" t="s">
        <v>1832</v>
      </c>
      <c r="AN1444" s="115" t="s">
        <v>1425</v>
      </c>
      <c r="AO1444" s="115" t="s">
        <v>373</v>
      </c>
    </row>
    <row r="1445" spans="35:41" ht="13">
      <c r="AI1445" s="115" t="s">
        <v>1415</v>
      </c>
      <c r="AJ1445" t="s">
        <v>2114</v>
      </c>
      <c r="AK1445" s="115">
        <v>0</v>
      </c>
      <c r="AL1445" s="115" t="s">
        <v>28</v>
      </c>
      <c r="AM1445" s="115" t="s">
        <v>1848</v>
      </c>
      <c r="AN1445" s="115" t="s">
        <v>1425</v>
      </c>
      <c r="AO1445" s="115" t="s">
        <v>380</v>
      </c>
    </row>
    <row r="1446" spans="35:41" ht="13">
      <c r="AI1446" s="115" t="s">
        <v>1415</v>
      </c>
      <c r="AJ1446" t="s">
        <v>2114</v>
      </c>
      <c r="AK1446" s="115">
        <v>0</v>
      </c>
      <c r="AL1446" s="115" t="s">
        <v>28</v>
      </c>
      <c r="AM1446" s="115" t="s">
        <v>1850</v>
      </c>
      <c r="AN1446" s="115" t="s">
        <v>1425</v>
      </c>
      <c r="AO1446" s="115" t="s">
        <v>380</v>
      </c>
    </row>
    <row r="1447" spans="35:41" ht="13">
      <c r="AI1447" s="115" t="s">
        <v>1415</v>
      </c>
      <c r="AJ1447" t="s">
        <v>2114</v>
      </c>
      <c r="AK1447" s="115">
        <v>0</v>
      </c>
      <c r="AL1447" s="115" t="s">
        <v>28</v>
      </c>
      <c r="AM1447" s="115" t="s">
        <v>1846</v>
      </c>
      <c r="AN1447" s="115" t="s">
        <v>1425</v>
      </c>
      <c r="AO1447" s="115" t="s">
        <v>380</v>
      </c>
    </row>
    <row r="1448" spans="35:41" ht="13">
      <c r="AI1448" s="115" t="s">
        <v>1415</v>
      </c>
      <c r="AJ1448" t="s">
        <v>2114</v>
      </c>
      <c r="AK1448" s="115">
        <v>0</v>
      </c>
      <c r="AL1448" s="115" t="s">
        <v>28</v>
      </c>
      <c r="AM1448" s="115" t="s">
        <v>1843</v>
      </c>
      <c r="AN1448" s="115" t="s">
        <v>1425</v>
      </c>
      <c r="AO1448" s="115" t="s">
        <v>380</v>
      </c>
    </row>
    <row r="1449" spans="35:41" ht="13">
      <c r="AI1449" s="115" t="s">
        <v>1415</v>
      </c>
      <c r="AJ1449" t="s">
        <v>2114</v>
      </c>
      <c r="AK1449" s="115">
        <v>0</v>
      </c>
      <c r="AL1449" s="115" t="s">
        <v>28</v>
      </c>
      <c r="AM1449" s="115" t="s">
        <v>1832</v>
      </c>
      <c r="AN1449" s="115" t="s">
        <v>1425</v>
      </c>
      <c r="AO1449" s="115" t="s">
        <v>380</v>
      </c>
    </row>
    <row r="1450" spans="35:41" ht="13">
      <c r="AI1450" s="115" t="s">
        <v>1415</v>
      </c>
      <c r="AJ1450" t="s">
        <v>2114</v>
      </c>
      <c r="AK1450" s="115">
        <v>0</v>
      </c>
      <c r="AL1450" s="115" t="s">
        <v>28</v>
      </c>
      <c r="AM1450" s="115" t="s">
        <v>1849</v>
      </c>
      <c r="AN1450" s="115" t="s">
        <v>1425</v>
      </c>
      <c r="AO1450" s="115" t="s">
        <v>380</v>
      </c>
    </row>
    <row r="1451" spans="35:41" ht="13">
      <c r="AI1451" s="115" t="s">
        <v>1415</v>
      </c>
      <c r="AJ1451" t="s">
        <v>2114</v>
      </c>
      <c r="AK1451" s="115">
        <v>0</v>
      </c>
      <c r="AL1451" s="115" t="s">
        <v>28</v>
      </c>
      <c r="AM1451" s="115" t="s">
        <v>1850</v>
      </c>
      <c r="AN1451" s="115" t="s">
        <v>1426</v>
      </c>
      <c r="AO1451" s="115" t="s">
        <v>1644</v>
      </c>
    </row>
    <row r="1452" spans="35:41" ht="13">
      <c r="AI1452" s="115" t="s">
        <v>1415</v>
      </c>
      <c r="AJ1452" t="s">
        <v>2114</v>
      </c>
      <c r="AK1452" s="115">
        <v>0</v>
      </c>
      <c r="AL1452" s="115" t="s">
        <v>28</v>
      </c>
      <c r="AM1452" s="115" t="s">
        <v>1848</v>
      </c>
      <c r="AN1452" s="115" t="s">
        <v>1426</v>
      </c>
      <c r="AO1452" s="115" t="s">
        <v>1644</v>
      </c>
    </row>
    <row r="1453" spans="35:41" ht="13">
      <c r="AI1453" s="115" t="s">
        <v>1415</v>
      </c>
      <c r="AJ1453" t="s">
        <v>2114</v>
      </c>
      <c r="AK1453" s="115">
        <v>0</v>
      </c>
      <c r="AL1453" s="115" t="s">
        <v>28</v>
      </c>
      <c r="AM1453" s="115" t="s">
        <v>1832</v>
      </c>
      <c r="AN1453" s="115" t="s">
        <v>1426</v>
      </c>
      <c r="AO1453" s="115" t="s">
        <v>1644</v>
      </c>
    </row>
    <row r="1454" spans="35:41" ht="13">
      <c r="AI1454" s="115" t="s">
        <v>1415</v>
      </c>
      <c r="AJ1454" t="s">
        <v>2114</v>
      </c>
      <c r="AK1454" s="115">
        <v>0</v>
      </c>
      <c r="AL1454" s="115" t="s">
        <v>28</v>
      </c>
      <c r="AM1454" s="115" t="s">
        <v>1843</v>
      </c>
      <c r="AN1454" s="115" t="s">
        <v>1426</v>
      </c>
      <c r="AO1454" s="115" t="s">
        <v>1644</v>
      </c>
    </row>
    <row r="1455" spans="35:41" ht="13">
      <c r="AI1455" s="115" t="s">
        <v>1415</v>
      </c>
      <c r="AJ1455" t="s">
        <v>2114</v>
      </c>
      <c r="AK1455" s="115">
        <v>0</v>
      </c>
      <c r="AL1455" s="115" t="s">
        <v>28</v>
      </c>
      <c r="AM1455" s="115" t="s">
        <v>1850</v>
      </c>
      <c r="AN1455" s="115" t="s">
        <v>1426</v>
      </c>
      <c r="AO1455" s="115" t="s">
        <v>1274</v>
      </c>
    </row>
    <row r="1456" spans="35:41" ht="13">
      <c r="AI1456" s="115" t="s">
        <v>1415</v>
      </c>
      <c r="AJ1456" t="s">
        <v>2114</v>
      </c>
      <c r="AK1456" s="115">
        <v>0</v>
      </c>
      <c r="AL1456" s="115" t="s">
        <v>28</v>
      </c>
      <c r="AM1456" s="115" t="s">
        <v>1843</v>
      </c>
      <c r="AN1456" s="115" t="s">
        <v>1426</v>
      </c>
      <c r="AO1456" s="115" t="s">
        <v>1274</v>
      </c>
    </row>
    <row r="1457" spans="35:41" ht="13">
      <c r="AI1457" s="115" t="s">
        <v>1415</v>
      </c>
      <c r="AJ1457" t="s">
        <v>2114</v>
      </c>
      <c r="AK1457" s="115">
        <v>0</v>
      </c>
      <c r="AL1457" s="115" t="s">
        <v>28</v>
      </c>
      <c r="AM1457" s="115" t="s">
        <v>1849</v>
      </c>
      <c r="AN1457" s="115" t="s">
        <v>1426</v>
      </c>
      <c r="AO1457" s="115" t="s">
        <v>1274</v>
      </c>
    </row>
    <row r="1458" spans="35:41" ht="13">
      <c r="AI1458" s="115" t="s">
        <v>1415</v>
      </c>
      <c r="AJ1458" t="s">
        <v>2114</v>
      </c>
      <c r="AK1458" s="115">
        <v>0</v>
      </c>
      <c r="AL1458" s="115" t="s">
        <v>28</v>
      </c>
      <c r="AM1458" s="115" t="s">
        <v>1832</v>
      </c>
      <c r="AN1458" s="115" t="s">
        <v>1426</v>
      </c>
      <c r="AO1458" s="115" t="s">
        <v>1274</v>
      </c>
    </row>
    <row r="1459" spans="35:41" ht="13">
      <c r="AI1459" s="115" t="s">
        <v>1415</v>
      </c>
      <c r="AJ1459" t="s">
        <v>2114</v>
      </c>
      <c r="AK1459" s="115">
        <v>0</v>
      </c>
      <c r="AL1459" s="115" t="s">
        <v>28</v>
      </c>
      <c r="AM1459" s="115" t="s">
        <v>1848</v>
      </c>
      <c r="AN1459" s="115" t="s">
        <v>1426</v>
      </c>
      <c r="AO1459" s="115" t="s">
        <v>1274</v>
      </c>
    </row>
    <row r="1460" spans="35:41" ht="13">
      <c r="AI1460" s="115" t="s">
        <v>1415</v>
      </c>
      <c r="AJ1460" t="s">
        <v>2114</v>
      </c>
      <c r="AK1460" s="115">
        <v>0</v>
      </c>
      <c r="AL1460" s="115" t="s">
        <v>28</v>
      </c>
      <c r="AM1460" s="115" t="s">
        <v>1846</v>
      </c>
      <c r="AN1460" s="115" t="s">
        <v>1426</v>
      </c>
      <c r="AO1460" s="115" t="s">
        <v>1274</v>
      </c>
    </row>
    <row r="1461" spans="35:41" ht="13">
      <c r="AI1461" s="115" t="s">
        <v>1415</v>
      </c>
      <c r="AJ1461" t="s">
        <v>2114</v>
      </c>
      <c r="AK1461" s="115">
        <v>0</v>
      </c>
      <c r="AL1461" s="115" t="s">
        <v>28</v>
      </c>
      <c r="AM1461" s="115" t="s">
        <v>1849</v>
      </c>
      <c r="AN1461" s="115" t="s">
        <v>1426</v>
      </c>
      <c r="AO1461" s="115" t="s">
        <v>381</v>
      </c>
    </row>
    <row r="1462" spans="35:41" ht="13">
      <c r="AI1462" s="115" t="s">
        <v>1415</v>
      </c>
      <c r="AJ1462" t="s">
        <v>2114</v>
      </c>
      <c r="AK1462" s="115">
        <v>0</v>
      </c>
      <c r="AL1462" s="115" t="s">
        <v>28</v>
      </c>
      <c r="AM1462" s="115" t="s">
        <v>1843</v>
      </c>
      <c r="AN1462" s="115" t="s">
        <v>1426</v>
      </c>
      <c r="AO1462" s="115" t="s">
        <v>381</v>
      </c>
    </row>
    <row r="1463" spans="35:41" ht="13">
      <c r="AI1463" s="115" t="s">
        <v>1415</v>
      </c>
      <c r="AJ1463" t="s">
        <v>2114</v>
      </c>
      <c r="AK1463" s="115">
        <v>0</v>
      </c>
      <c r="AL1463" s="115" t="s">
        <v>28</v>
      </c>
      <c r="AM1463" s="115" t="s">
        <v>1832</v>
      </c>
      <c r="AN1463" s="115" t="s">
        <v>1426</v>
      </c>
      <c r="AO1463" s="115" t="s">
        <v>381</v>
      </c>
    </row>
    <row r="1464" spans="35:41" ht="13">
      <c r="AI1464" s="115" t="s">
        <v>1415</v>
      </c>
      <c r="AJ1464" t="s">
        <v>2114</v>
      </c>
      <c r="AK1464" s="115">
        <v>0</v>
      </c>
      <c r="AL1464" s="115" t="s">
        <v>28</v>
      </c>
      <c r="AM1464" s="115" t="s">
        <v>1848</v>
      </c>
      <c r="AN1464" s="115" t="s">
        <v>1426</v>
      </c>
      <c r="AO1464" s="115" t="s">
        <v>381</v>
      </c>
    </row>
    <row r="1465" spans="35:41" ht="13">
      <c r="AI1465" s="115" t="s">
        <v>1415</v>
      </c>
      <c r="AJ1465" t="s">
        <v>2114</v>
      </c>
      <c r="AK1465" s="115">
        <v>0</v>
      </c>
      <c r="AL1465" s="115" t="s">
        <v>28</v>
      </c>
      <c r="AM1465" s="115" t="s">
        <v>1846</v>
      </c>
      <c r="AN1465" s="115" t="s">
        <v>1426</v>
      </c>
      <c r="AO1465" s="115" t="s">
        <v>381</v>
      </c>
    </row>
    <row r="1466" spans="35:41" ht="13">
      <c r="AI1466" s="115" t="s">
        <v>1415</v>
      </c>
      <c r="AJ1466" t="s">
        <v>2114</v>
      </c>
      <c r="AK1466" s="115">
        <v>0</v>
      </c>
      <c r="AL1466" s="115" t="s">
        <v>28</v>
      </c>
      <c r="AM1466" s="115" t="s">
        <v>1850</v>
      </c>
      <c r="AN1466" s="115" t="s">
        <v>1426</v>
      </c>
      <c r="AO1466" s="115" t="s">
        <v>381</v>
      </c>
    </row>
    <row r="1467" spans="35:41" ht="13">
      <c r="AI1467" s="115" t="s">
        <v>1415</v>
      </c>
      <c r="AJ1467" t="s">
        <v>2114</v>
      </c>
      <c r="AK1467" s="115">
        <v>0</v>
      </c>
      <c r="AL1467" s="115" t="s">
        <v>28</v>
      </c>
      <c r="AM1467" s="115" t="s">
        <v>1832</v>
      </c>
      <c r="AN1467" s="115" t="s">
        <v>1426</v>
      </c>
      <c r="AO1467" s="115" t="s">
        <v>379</v>
      </c>
    </row>
    <row r="1468" spans="35:41" ht="13">
      <c r="AI1468" s="115" t="s">
        <v>1415</v>
      </c>
      <c r="AJ1468" t="s">
        <v>2114</v>
      </c>
      <c r="AK1468" s="115">
        <v>0</v>
      </c>
      <c r="AL1468" s="115" t="s">
        <v>28</v>
      </c>
      <c r="AM1468" s="115" t="s">
        <v>1846</v>
      </c>
      <c r="AN1468" s="115" t="s">
        <v>1426</v>
      </c>
      <c r="AO1468" s="115" t="s">
        <v>379</v>
      </c>
    </row>
    <row r="1469" spans="35:41" ht="13">
      <c r="AI1469" s="115" t="s">
        <v>1415</v>
      </c>
      <c r="AJ1469" t="s">
        <v>2114</v>
      </c>
      <c r="AK1469" s="115">
        <v>0</v>
      </c>
      <c r="AL1469" s="115" t="s">
        <v>28</v>
      </c>
      <c r="AM1469" s="115" t="s">
        <v>1849</v>
      </c>
      <c r="AN1469" s="115" t="s">
        <v>1426</v>
      </c>
      <c r="AO1469" s="115" t="s">
        <v>379</v>
      </c>
    </row>
    <row r="1470" spans="35:41" ht="13">
      <c r="AI1470" s="115" t="s">
        <v>1415</v>
      </c>
      <c r="AJ1470" t="s">
        <v>2114</v>
      </c>
      <c r="AK1470" s="115">
        <v>0</v>
      </c>
      <c r="AL1470" s="115" t="s">
        <v>28</v>
      </c>
      <c r="AM1470" s="115" t="s">
        <v>1843</v>
      </c>
      <c r="AN1470" s="115" t="s">
        <v>1426</v>
      </c>
      <c r="AO1470" s="115" t="s">
        <v>379</v>
      </c>
    </row>
    <row r="1471" spans="35:41" ht="13">
      <c r="AI1471" s="115" t="s">
        <v>1415</v>
      </c>
      <c r="AJ1471" t="s">
        <v>2114</v>
      </c>
      <c r="AK1471" s="115">
        <v>0</v>
      </c>
      <c r="AL1471" s="115" t="s">
        <v>28</v>
      </c>
      <c r="AM1471" s="115" t="s">
        <v>1848</v>
      </c>
      <c r="AN1471" s="115" t="s">
        <v>1426</v>
      </c>
      <c r="AO1471" s="115" t="s">
        <v>379</v>
      </c>
    </row>
    <row r="1472" spans="35:41" ht="13">
      <c r="AI1472" s="115" t="s">
        <v>1415</v>
      </c>
      <c r="AJ1472" t="s">
        <v>2114</v>
      </c>
      <c r="AK1472" s="115">
        <v>0</v>
      </c>
      <c r="AL1472" s="115" t="s">
        <v>28</v>
      </c>
      <c r="AM1472" s="115" t="s">
        <v>1850</v>
      </c>
      <c r="AN1472" s="115" t="s">
        <v>1426</v>
      </c>
      <c r="AO1472" s="115" t="s">
        <v>379</v>
      </c>
    </row>
    <row r="1473" spans="35:41" ht="13">
      <c r="AI1473" s="115" t="s">
        <v>1415</v>
      </c>
      <c r="AJ1473" t="s">
        <v>2114</v>
      </c>
      <c r="AK1473" s="115">
        <v>0</v>
      </c>
      <c r="AL1473" s="115" t="s">
        <v>28</v>
      </c>
      <c r="AM1473" s="115" t="s">
        <v>1850</v>
      </c>
      <c r="AN1473" s="115" t="s">
        <v>1426</v>
      </c>
      <c r="AO1473" s="115" t="s">
        <v>1645</v>
      </c>
    </row>
    <row r="1474" spans="35:41" ht="13">
      <c r="AI1474" s="115" t="s">
        <v>1415</v>
      </c>
      <c r="AJ1474" t="s">
        <v>2114</v>
      </c>
      <c r="AK1474" s="115">
        <v>0</v>
      </c>
      <c r="AL1474" s="115" t="s">
        <v>28</v>
      </c>
      <c r="AM1474" s="115" t="s">
        <v>1843</v>
      </c>
      <c r="AN1474" s="115" t="s">
        <v>1426</v>
      </c>
      <c r="AO1474" s="115" t="s">
        <v>1645</v>
      </c>
    </row>
    <row r="1475" spans="35:41" ht="13">
      <c r="AI1475" s="115" t="s">
        <v>1415</v>
      </c>
      <c r="AJ1475" t="s">
        <v>2114</v>
      </c>
      <c r="AK1475" s="115">
        <v>0</v>
      </c>
      <c r="AL1475" s="115" t="s">
        <v>28</v>
      </c>
      <c r="AM1475" s="115" t="s">
        <v>1848</v>
      </c>
      <c r="AN1475" s="115" t="s">
        <v>1426</v>
      </c>
      <c r="AO1475" s="115" t="s">
        <v>1645</v>
      </c>
    </row>
    <row r="1476" spans="35:41" ht="13">
      <c r="AI1476" s="115" t="s">
        <v>1415</v>
      </c>
      <c r="AJ1476" t="s">
        <v>2114</v>
      </c>
      <c r="AK1476" s="115">
        <v>0</v>
      </c>
      <c r="AL1476" s="115" t="s">
        <v>28</v>
      </c>
      <c r="AM1476" s="115" t="s">
        <v>1832</v>
      </c>
      <c r="AN1476" s="115" t="s">
        <v>1426</v>
      </c>
      <c r="AO1476" s="115" t="s">
        <v>1645</v>
      </c>
    </row>
    <row r="1477" spans="35:41" ht="13">
      <c r="AI1477" s="115" t="s">
        <v>1415</v>
      </c>
      <c r="AJ1477" t="s">
        <v>2114</v>
      </c>
      <c r="AK1477" s="115">
        <v>0</v>
      </c>
      <c r="AL1477" s="115" t="s">
        <v>28</v>
      </c>
      <c r="AM1477" s="115" t="s">
        <v>1846</v>
      </c>
      <c r="AN1477" s="115" t="s">
        <v>1426</v>
      </c>
      <c r="AO1477" s="115" t="s">
        <v>1645</v>
      </c>
    </row>
    <row r="1478" spans="35:41" ht="13">
      <c r="AI1478" s="115" t="s">
        <v>1415</v>
      </c>
      <c r="AJ1478" t="s">
        <v>2114</v>
      </c>
      <c r="AK1478" s="115">
        <v>0</v>
      </c>
      <c r="AL1478" s="115" t="s">
        <v>28</v>
      </c>
      <c r="AM1478" s="115" t="s">
        <v>1849</v>
      </c>
      <c r="AN1478" s="115" t="s">
        <v>1426</v>
      </c>
      <c r="AO1478" s="115" t="s">
        <v>1645</v>
      </c>
    </row>
    <row r="1479" spans="35:41" ht="13">
      <c r="AI1479" s="115" t="s">
        <v>1415</v>
      </c>
      <c r="AJ1479" t="s">
        <v>2114</v>
      </c>
      <c r="AK1479" s="115">
        <v>0</v>
      </c>
      <c r="AL1479" s="115" t="s">
        <v>28</v>
      </c>
      <c r="AM1479" s="115" t="s">
        <v>1843</v>
      </c>
      <c r="AN1479" s="115" t="s">
        <v>1426</v>
      </c>
      <c r="AO1479" s="115" t="s">
        <v>1646</v>
      </c>
    </row>
    <row r="1480" spans="35:41" ht="13">
      <c r="AI1480" s="115" t="s">
        <v>1415</v>
      </c>
      <c r="AJ1480" t="s">
        <v>2114</v>
      </c>
      <c r="AK1480" s="115">
        <v>0</v>
      </c>
      <c r="AL1480" s="115" t="s">
        <v>28</v>
      </c>
      <c r="AM1480" s="115" t="s">
        <v>1846</v>
      </c>
      <c r="AN1480" s="115" t="s">
        <v>1426</v>
      </c>
      <c r="AO1480" s="115" t="s">
        <v>1646</v>
      </c>
    </row>
    <row r="1481" spans="35:41" ht="13">
      <c r="AI1481" s="115" t="s">
        <v>1415</v>
      </c>
      <c r="AJ1481" t="s">
        <v>2114</v>
      </c>
      <c r="AK1481" s="115">
        <v>0</v>
      </c>
      <c r="AL1481" s="115" t="s">
        <v>28</v>
      </c>
      <c r="AM1481" s="115" t="s">
        <v>1846</v>
      </c>
      <c r="AN1481" s="115" t="s">
        <v>1426</v>
      </c>
      <c r="AO1481" s="115" t="s">
        <v>1647</v>
      </c>
    </row>
    <row r="1482" spans="35:41" ht="13">
      <c r="AI1482" s="115" t="s">
        <v>1415</v>
      </c>
      <c r="AJ1482" t="s">
        <v>2114</v>
      </c>
      <c r="AK1482" s="115">
        <v>0</v>
      </c>
      <c r="AL1482" s="115" t="s">
        <v>28</v>
      </c>
      <c r="AM1482" s="115" t="s">
        <v>1843</v>
      </c>
      <c r="AN1482" s="115" t="s">
        <v>1426</v>
      </c>
      <c r="AO1482" s="115" t="s">
        <v>1647</v>
      </c>
    </row>
    <row r="1483" spans="35:41" ht="13">
      <c r="AI1483" s="115" t="s">
        <v>1415</v>
      </c>
      <c r="AJ1483" t="s">
        <v>2114</v>
      </c>
      <c r="AK1483" s="115">
        <v>0</v>
      </c>
      <c r="AL1483" s="115" t="s">
        <v>28</v>
      </c>
      <c r="AM1483" s="115" t="s">
        <v>1846</v>
      </c>
      <c r="AN1483" s="115" t="s">
        <v>1426</v>
      </c>
      <c r="AO1483" s="115" t="s">
        <v>1639</v>
      </c>
    </row>
    <row r="1484" spans="35:41" ht="13">
      <c r="AI1484" s="115" t="s">
        <v>1415</v>
      </c>
      <c r="AJ1484" t="s">
        <v>2114</v>
      </c>
      <c r="AK1484" s="115">
        <v>0</v>
      </c>
      <c r="AL1484" s="115" t="s">
        <v>28</v>
      </c>
      <c r="AM1484" s="115" t="s">
        <v>1843</v>
      </c>
      <c r="AN1484" s="115" t="s">
        <v>1426</v>
      </c>
      <c r="AO1484" s="115" t="s">
        <v>1639</v>
      </c>
    </row>
    <row r="1485" spans="35:41" ht="13">
      <c r="AI1485" s="115" t="s">
        <v>1415</v>
      </c>
      <c r="AJ1485" t="s">
        <v>2114</v>
      </c>
      <c r="AK1485" s="115">
        <v>0</v>
      </c>
      <c r="AL1485" s="115" t="s">
        <v>28</v>
      </c>
      <c r="AM1485" s="115" t="s">
        <v>1843</v>
      </c>
      <c r="AN1485" s="115" t="s">
        <v>1426</v>
      </c>
      <c r="AO1485" s="115" t="s">
        <v>373</v>
      </c>
    </row>
    <row r="1486" spans="35:41" ht="13">
      <c r="AI1486" s="115" t="s">
        <v>1415</v>
      </c>
      <c r="AJ1486" t="s">
        <v>2114</v>
      </c>
      <c r="AK1486" s="115">
        <v>0</v>
      </c>
      <c r="AL1486" s="115" t="s">
        <v>28</v>
      </c>
      <c r="AM1486" s="115" t="s">
        <v>1850</v>
      </c>
      <c r="AN1486" s="115" t="s">
        <v>1426</v>
      </c>
      <c r="AO1486" s="115" t="s">
        <v>373</v>
      </c>
    </row>
    <row r="1487" spans="35:41" ht="13">
      <c r="AI1487" s="115" t="s">
        <v>1415</v>
      </c>
      <c r="AJ1487" t="s">
        <v>2114</v>
      </c>
      <c r="AK1487" s="115">
        <v>0</v>
      </c>
      <c r="AL1487" s="115" t="s">
        <v>28</v>
      </c>
      <c r="AM1487" s="115" t="s">
        <v>1849</v>
      </c>
      <c r="AN1487" s="115" t="s">
        <v>1426</v>
      </c>
      <c r="AO1487" s="115" t="s">
        <v>373</v>
      </c>
    </row>
    <row r="1488" spans="35:41" ht="13">
      <c r="AI1488" s="115" t="s">
        <v>1415</v>
      </c>
      <c r="AJ1488" t="s">
        <v>2114</v>
      </c>
      <c r="AK1488" s="115">
        <v>0</v>
      </c>
      <c r="AL1488" s="115" t="s">
        <v>28</v>
      </c>
      <c r="AM1488" s="115" t="s">
        <v>1846</v>
      </c>
      <c r="AN1488" s="115" t="s">
        <v>1426</v>
      </c>
      <c r="AO1488" s="115" t="s">
        <v>373</v>
      </c>
    </row>
    <row r="1489" spans="35:41" ht="13">
      <c r="AI1489" s="115" t="s">
        <v>1415</v>
      </c>
      <c r="AJ1489" t="s">
        <v>2114</v>
      </c>
      <c r="AK1489" s="115">
        <v>0</v>
      </c>
      <c r="AL1489" s="115" t="s">
        <v>28</v>
      </c>
      <c r="AM1489" s="115" t="s">
        <v>1832</v>
      </c>
      <c r="AN1489" s="115" t="s">
        <v>1426</v>
      </c>
      <c r="AO1489" s="115" t="s">
        <v>373</v>
      </c>
    </row>
    <row r="1490" spans="35:41" ht="13">
      <c r="AI1490" s="115" t="s">
        <v>1415</v>
      </c>
      <c r="AJ1490" t="s">
        <v>2114</v>
      </c>
      <c r="AK1490" s="115">
        <v>0</v>
      </c>
      <c r="AL1490" s="115" t="s">
        <v>28</v>
      </c>
      <c r="AM1490" s="115" t="s">
        <v>1848</v>
      </c>
      <c r="AN1490" s="115" t="s">
        <v>1426</v>
      </c>
      <c r="AO1490" s="115" t="s">
        <v>373</v>
      </c>
    </row>
    <row r="1491" spans="35:41" ht="13">
      <c r="AI1491" s="115" t="s">
        <v>1415</v>
      </c>
      <c r="AJ1491" t="s">
        <v>2114</v>
      </c>
      <c r="AK1491" s="115">
        <v>0</v>
      </c>
      <c r="AL1491" s="115" t="s">
        <v>28</v>
      </c>
      <c r="AM1491" s="115" t="s">
        <v>1843</v>
      </c>
      <c r="AN1491" s="115" t="s">
        <v>1426</v>
      </c>
      <c r="AO1491" s="115" t="s">
        <v>380</v>
      </c>
    </row>
    <row r="1492" spans="35:41" ht="13">
      <c r="AI1492" s="115" t="s">
        <v>1415</v>
      </c>
      <c r="AJ1492" t="s">
        <v>2114</v>
      </c>
      <c r="AK1492" s="115">
        <v>0</v>
      </c>
      <c r="AL1492" s="115" t="s">
        <v>28</v>
      </c>
      <c r="AM1492" s="115" t="s">
        <v>1849</v>
      </c>
      <c r="AN1492" s="115" t="s">
        <v>1426</v>
      </c>
      <c r="AO1492" s="115" t="s">
        <v>380</v>
      </c>
    </row>
    <row r="1493" spans="35:41" ht="13">
      <c r="AI1493" s="115" t="s">
        <v>1415</v>
      </c>
      <c r="AJ1493" t="s">
        <v>2114</v>
      </c>
      <c r="AK1493" s="115">
        <v>0</v>
      </c>
      <c r="AL1493" s="115" t="s">
        <v>28</v>
      </c>
      <c r="AM1493" s="115" t="s">
        <v>1850</v>
      </c>
      <c r="AN1493" s="115" t="s">
        <v>1426</v>
      </c>
      <c r="AO1493" s="115" t="s">
        <v>380</v>
      </c>
    </row>
    <row r="1494" spans="35:41" ht="13">
      <c r="AI1494" s="115" t="s">
        <v>1415</v>
      </c>
      <c r="AJ1494" t="s">
        <v>2114</v>
      </c>
      <c r="AK1494" s="115">
        <v>0</v>
      </c>
      <c r="AL1494" s="115" t="s">
        <v>28</v>
      </c>
      <c r="AM1494" s="115" t="s">
        <v>1832</v>
      </c>
      <c r="AN1494" s="115" t="s">
        <v>1426</v>
      </c>
      <c r="AO1494" s="115" t="s">
        <v>380</v>
      </c>
    </row>
    <row r="1495" spans="35:41" ht="13">
      <c r="AI1495" s="115" t="s">
        <v>1415</v>
      </c>
      <c r="AJ1495" t="s">
        <v>2114</v>
      </c>
      <c r="AK1495" s="115">
        <v>0</v>
      </c>
      <c r="AL1495" s="115" t="s">
        <v>28</v>
      </c>
      <c r="AM1495" s="115" t="s">
        <v>1848</v>
      </c>
      <c r="AN1495" s="115" t="s">
        <v>1426</v>
      </c>
      <c r="AO1495" s="115" t="s">
        <v>380</v>
      </c>
    </row>
    <row r="1496" spans="35:41" ht="13">
      <c r="AI1496" s="115" t="s">
        <v>1415</v>
      </c>
      <c r="AJ1496" t="s">
        <v>2114</v>
      </c>
      <c r="AK1496" s="115">
        <v>0</v>
      </c>
      <c r="AL1496" s="115" t="s">
        <v>28</v>
      </c>
      <c r="AM1496" s="115" t="s">
        <v>1846</v>
      </c>
      <c r="AN1496" s="115" t="s">
        <v>1426</v>
      </c>
      <c r="AO1496" s="115" t="s">
        <v>380</v>
      </c>
    </row>
    <row r="1497" spans="35:41" ht="13">
      <c r="AI1497" s="115" t="s">
        <v>1415</v>
      </c>
      <c r="AJ1497" t="s">
        <v>2114</v>
      </c>
      <c r="AK1497" s="115">
        <v>0</v>
      </c>
      <c r="AL1497" s="115" t="s">
        <v>28</v>
      </c>
      <c r="AM1497" s="115" t="s">
        <v>1850</v>
      </c>
      <c r="AN1497" s="115" t="s">
        <v>1427</v>
      </c>
      <c r="AO1497" s="115" t="s">
        <v>1644</v>
      </c>
    </row>
    <row r="1498" spans="35:41" ht="13">
      <c r="AI1498" s="115" t="s">
        <v>1415</v>
      </c>
      <c r="AJ1498" t="s">
        <v>2114</v>
      </c>
      <c r="AK1498" s="115">
        <v>0</v>
      </c>
      <c r="AL1498" s="115" t="s">
        <v>28</v>
      </c>
      <c r="AM1498" s="115" t="s">
        <v>1843</v>
      </c>
      <c r="AN1498" s="115" t="s">
        <v>1427</v>
      </c>
      <c r="AO1498" s="115" t="s">
        <v>1644</v>
      </c>
    </row>
    <row r="1499" spans="35:41" ht="13">
      <c r="AI1499" s="115" t="s">
        <v>1415</v>
      </c>
      <c r="AJ1499" t="s">
        <v>2114</v>
      </c>
      <c r="AK1499" s="115">
        <v>0</v>
      </c>
      <c r="AL1499" s="115" t="s">
        <v>28</v>
      </c>
      <c r="AM1499" s="115" t="s">
        <v>1832</v>
      </c>
      <c r="AN1499" s="115" t="s">
        <v>1427</v>
      </c>
      <c r="AO1499" s="115" t="s">
        <v>1644</v>
      </c>
    </row>
    <row r="1500" spans="35:41" ht="13">
      <c r="AI1500" s="115" t="s">
        <v>1415</v>
      </c>
      <c r="AJ1500" t="s">
        <v>2114</v>
      </c>
      <c r="AK1500" s="115">
        <v>0</v>
      </c>
      <c r="AL1500" s="115" t="s">
        <v>28</v>
      </c>
      <c r="AM1500" s="115" t="s">
        <v>1848</v>
      </c>
      <c r="AN1500" s="115" t="s">
        <v>1427</v>
      </c>
      <c r="AO1500" s="115" t="s">
        <v>1644</v>
      </c>
    </row>
    <row r="1501" spans="35:41" ht="13">
      <c r="AI1501" s="115" t="s">
        <v>1415</v>
      </c>
      <c r="AJ1501" t="s">
        <v>2114</v>
      </c>
      <c r="AK1501" s="115">
        <v>0</v>
      </c>
      <c r="AL1501" s="115" t="s">
        <v>28</v>
      </c>
      <c r="AM1501" s="115" t="s">
        <v>1832</v>
      </c>
      <c r="AN1501" s="115" t="s">
        <v>1427</v>
      </c>
      <c r="AO1501" s="115" t="s">
        <v>1274</v>
      </c>
    </row>
    <row r="1502" spans="35:41" ht="13">
      <c r="AI1502" s="115" t="s">
        <v>1415</v>
      </c>
      <c r="AJ1502" t="s">
        <v>2114</v>
      </c>
      <c r="AK1502" s="115">
        <v>0</v>
      </c>
      <c r="AL1502" s="115" t="s">
        <v>28</v>
      </c>
      <c r="AM1502" s="115" t="s">
        <v>1850</v>
      </c>
      <c r="AN1502" s="115" t="s">
        <v>1427</v>
      </c>
      <c r="AO1502" s="115" t="s">
        <v>1274</v>
      </c>
    </row>
    <row r="1503" spans="35:41" ht="13">
      <c r="AI1503" s="115" t="s">
        <v>1415</v>
      </c>
      <c r="AJ1503" t="s">
        <v>2114</v>
      </c>
      <c r="AK1503" s="115">
        <v>0</v>
      </c>
      <c r="AL1503" s="115" t="s">
        <v>28</v>
      </c>
      <c r="AM1503" s="115" t="s">
        <v>1846</v>
      </c>
      <c r="AN1503" s="115" t="s">
        <v>1427</v>
      </c>
      <c r="AO1503" s="115" t="s">
        <v>1274</v>
      </c>
    </row>
    <row r="1504" spans="35:41" ht="13">
      <c r="AI1504" s="115" t="s">
        <v>1415</v>
      </c>
      <c r="AJ1504" t="s">
        <v>2114</v>
      </c>
      <c r="AK1504" s="115">
        <v>0</v>
      </c>
      <c r="AL1504" s="115" t="s">
        <v>28</v>
      </c>
      <c r="AM1504" s="115" t="s">
        <v>1849</v>
      </c>
      <c r="AN1504" s="115" t="s">
        <v>1427</v>
      </c>
      <c r="AO1504" s="115" t="s">
        <v>1274</v>
      </c>
    </row>
    <row r="1505" spans="35:41" ht="13">
      <c r="AI1505" s="115" t="s">
        <v>1415</v>
      </c>
      <c r="AJ1505" t="s">
        <v>2114</v>
      </c>
      <c r="AK1505" s="115">
        <v>0</v>
      </c>
      <c r="AL1505" s="115" t="s">
        <v>28</v>
      </c>
      <c r="AM1505" s="115" t="s">
        <v>1848</v>
      </c>
      <c r="AN1505" s="115" t="s">
        <v>1427</v>
      </c>
      <c r="AO1505" s="115" t="s">
        <v>1274</v>
      </c>
    </row>
    <row r="1506" spans="35:41" ht="13">
      <c r="AI1506" s="115" t="s">
        <v>1415</v>
      </c>
      <c r="AJ1506" t="s">
        <v>2114</v>
      </c>
      <c r="AK1506" s="115">
        <v>0</v>
      </c>
      <c r="AL1506" s="115" t="s">
        <v>28</v>
      </c>
      <c r="AM1506" s="115" t="s">
        <v>1843</v>
      </c>
      <c r="AN1506" s="115" t="s">
        <v>1427</v>
      </c>
      <c r="AO1506" s="115" t="s">
        <v>1274</v>
      </c>
    </row>
    <row r="1507" spans="35:41" ht="13">
      <c r="AI1507" s="115" t="s">
        <v>1415</v>
      </c>
      <c r="AJ1507" t="s">
        <v>2114</v>
      </c>
      <c r="AK1507" s="115">
        <v>0</v>
      </c>
      <c r="AL1507" s="115" t="s">
        <v>28</v>
      </c>
      <c r="AM1507" s="115" t="s">
        <v>1849</v>
      </c>
      <c r="AN1507" s="115" t="s">
        <v>1427</v>
      </c>
      <c r="AO1507" s="115" t="s">
        <v>381</v>
      </c>
    </row>
    <row r="1508" spans="35:41" ht="13">
      <c r="AI1508" s="115" t="s">
        <v>1415</v>
      </c>
      <c r="AJ1508" t="s">
        <v>2114</v>
      </c>
      <c r="AK1508" s="115">
        <v>0</v>
      </c>
      <c r="AL1508" s="115" t="s">
        <v>28</v>
      </c>
      <c r="AM1508" s="115" t="s">
        <v>1843</v>
      </c>
      <c r="AN1508" s="115" t="s">
        <v>1427</v>
      </c>
      <c r="AO1508" s="115" t="s">
        <v>381</v>
      </c>
    </row>
    <row r="1509" spans="35:41" ht="13">
      <c r="AI1509" s="115" t="s">
        <v>1415</v>
      </c>
      <c r="AJ1509" t="s">
        <v>2114</v>
      </c>
      <c r="AK1509" s="115">
        <v>0</v>
      </c>
      <c r="AL1509" s="115" t="s">
        <v>28</v>
      </c>
      <c r="AM1509" s="115" t="s">
        <v>1850</v>
      </c>
      <c r="AN1509" s="115" t="s">
        <v>1427</v>
      </c>
      <c r="AO1509" s="115" t="s">
        <v>381</v>
      </c>
    </row>
    <row r="1510" spans="35:41" ht="13">
      <c r="AI1510" s="115" t="s">
        <v>1415</v>
      </c>
      <c r="AJ1510" t="s">
        <v>2114</v>
      </c>
      <c r="AK1510" s="115">
        <v>0</v>
      </c>
      <c r="AL1510" s="115" t="s">
        <v>28</v>
      </c>
      <c r="AM1510" s="115" t="s">
        <v>1846</v>
      </c>
      <c r="AN1510" s="115" t="s">
        <v>1427</v>
      </c>
      <c r="AO1510" s="115" t="s">
        <v>381</v>
      </c>
    </row>
    <row r="1511" spans="35:41" ht="13">
      <c r="AI1511" s="115" t="s">
        <v>1415</v>
      </c>
      <c r="AJ1511" t="s">
        <v>2114</v>
      </c>
      <c r="AK1511" s="115">
        <v>0</v>
      </c>
      <c r="AL1511" s="115" t="s">
        <v>28</v>
      </c>
      <c r="AM1511" s="115" t="s">
        <v>1848</v>
      </c>
      <c r="AN1511" s="115" t="s">
        <v>1427</v>
      </c>
      <c r="AO1511" s="115" t="s">
        <v>381</v>
      </c>
    </row>
    <row r="1512" spans="35:41" ht="13">
      <c r="AI1512" s="115" t="s">
        <v>1415</v>
      </c>
      <c r="AJ1512" t="s">
        <v>2114</v>
      </c>
      <c r="AK1512" s="115">
        <v>0</v>
      </c>
      <c r="AL1512" s="115" t="s">
        <v>28</v>
      </c>
      <c r="AM1512" s="115" t="s">
        <v>1832</v>
      </c>
      <c r="AN1512" s="115" t="s">
        <v>1427</v>
      </c>
      <c r="AO1512" s="115" t="s">
        <v>381</v>
      </c>
    </row>
    <row r="1513" spans="35:41" ht="13">
      <c r="AI1513" s="115" t="s">
        <v>1415</v>
      </c>
      <c r="AJ1513" t="s">
        <v>2114</v>
      </c>
      <c r="AK1513" s="115">
        <v>0</v>
      </c>
      <c r="AL1513" s="115" t="s">
        <v>28</v>
      </c>
      <c r="AM1513" s="115" t="s">
        <v>1848</v>
      </c>
      <c r="AN1513" s="115" t="s">
        <v>1427</v>
      </c>
      <c r="AO1513" s="115" t="s">
        <v>379</v>
      </c>
    </row>
    <row r="1514" spans="35:41" ht="13">
      <c r="AI1514" s="115" t="s">
        <v>1415</v>
      </c>
      <c r="AJ1514" t="s">
        <v>2114</v>
      </c>
      <c r="AK1514" s="115">
        <v>0</v>
      </c>
      <c r="AL1514" s="115" t="s">
        <v>28</v>
      </c>
      <c r="AM1514" s="115" t="s">
        <v>1849</v>
      </c>
      <c r="AN1514" s="115" t="s">
        <v>1427</v>
      </c>
      <c r="AO1514" s="115" t="s">
        <v>379</v>
      </c>
    </row>
    <row r="1515" spans="35:41" ht="13">
      <c r="AI1515" s="115" t="s">
        <v>1415</v>
      </c>
      <c r="AJ1515" t="s">
        <v>2114</v>
      </c>
      <c r="AK1515" s="115">
        <v>0</v>
      </c>
      <c r="AL1515" s="115" t="s">
        <v>28</v>
      </c>
      <c r="AM1515" s="115" t="s">
        <v>1832</v>
      </c>
      <c r="AN1515" s="115" t="s">
        <v>1427</v>
      </c>
      <c r="AO1515" s="115" t="s">
        <v>379</v>
      </c>
    </row>
    <row r="1516" spans="35:41" ht="13">
      <c r="AI1516" s="115" t="s">
        <v>1415</v>
      </c>
      <c r="AJ1516" t="s">
        <v>2114</v>
      </c>
      <c r="AK1516" s="115">
        <v>0</v>
      </c>
      <c r="AL1516" s="115" t="s">
        <v>28</v>
      </c>
      <c r="AM1516" s="115" t="s">
        <v>1843</v>
      </c>
      <c r="AN1516" s="115" t="s">
        <v>1427</v>
      </c>
      <c r="AO1516" s="115" t="s">
        <v>379</v>
      </c>
    </row>
    <row r="1517" spans="35:41" ht="13">
      <c r="AI1517" s="115" t="s">
        <v>1415</v>
      </c>
      <c r="AJ1517" t="s">
        <v>2114</v>
      </c>
      <c r="AK1517" s="115">
        <v>0</v>
      </c>
      <c r="AL1517" s="115" t="s">
        <v>28</v>
      </c>
      <c r="AM1517" s="115" t="s">
        <v>1850</v>
      </c>
      <c r="AN1517" s="115" t="s">
        <v>1427</v>
      </c>
      <c r="AO1517" s="115" t="s">
        <v>379</v>
      </c>
    </row>
    <row r="1518" spans="35:41" ht="13">
      <c r="AI1518" s="115" t="s">
        <v>1415</v>
      </c>
      <c r="AJ1518" t="s">
        <v>2114</v>
      </c>
      <c r="AK1518" s="115">
        <v>0</v>
      </c>
      <c r="AL1518" s="115" t="s">
        <v>28</v>
      </c>
      <c r="AM1518" s="115" t="s">
        <v>1846</v>
      </c>
      <c r="AN1518" s="115" t="s">
        <v>1427</v>
      </c>
      <c r="AO1518" s="115" t="s">
        <v>379</v>
      </c>
    </row>
    <row r="1519" spans="35:41" ht="13">
      <c r="AI1519" s="115" t="s">
        <v>1415</v>
      </c>
      <c r="AJ1519" t="s">
        <v>2114</v>
      </c>
      <c r="AK1519" s="115">
        <v>0</v>
      </c>
      <c r="AL1519" s="115" t="s">
        <v>28</v>
      </c>
      <c r="AM1519" s="115" t="s">
        <v>1850</v>
      </c>
      <c r="AN1519" s="115" t="s">
        <v>1427</v>
      </c>
      <c r="AO1519" s="115" t="s">
        <v>1645</v>
      </c>
    </row>
    <row r="1520" spans="35:41" ht="13">
      <c r="AI1520" s="115" t="s">
        <v>1415</v>
      </c>
      <c r="AJ1520" t="s">
        <v>2114</v>
      </c>
      <c r="AK1520" s="115">
        <v>0</v>
      </c>
      <c r="AL1520" s="115" t="s">
        <v>28</v>
      </c>
      <c r="AM1520" s="115" t="s">
        <v>1849</v>
      </c>
      <c r="AN1520" s="115" t="s">
        <v>1427</v>
      </c>
      <c r="AO1520" s="115" t="s">
        <v>1645</v>
      </c>
    </row>
    <row r="1521" spans="35:41" ht="13">
      <c r="AI1521" s="115" t="s">
        <v>1415</v>
      </c>
      <c r="AJ1521" t="s">
        <v>2114</v>
      </c>
      <c r="AK1521" s="115">
        <v>0</v>
      </c>
      <c r="AL1521" s="115" t="s">
        <v>28</v>
      </c>
      <c r="AM1521" s="115" t="s">
        <v>1846</v>
      </c>
      <c r="AN1521" s="115" t="s">
        <v>1427</v>
      </c>
      <c r="AO1521" s="115" t="s">
        <v>1645</v>
      </c>
    </row>
    <row r="1522" spans="35:41" ht="13">
      <c r="AI1522" s="115" t="s">
        <v>1415</v>
      </c>
      <c r="AJ1522" t="s">
        <v>2114</v>
      </c>
      <c r="AK1522" s="115">
        <v>0</v>
      </c>
      <c r="AL1522" s="115" t="s">
        <v>28</v>
      </c>
      <c r="AM1522" s="115" t="s">
        <v>1843</v>
      </c>
      <c r="AN1522" s="115" t="s">
        <v>1427</v>
      </c>
      <c r="AO1522" s="115" t="s">
        <v>1645</v>
      </c>
    </row>
    <row r="1523" spans="35:41" ht="13">
      <c r="AI1523" s="115" t="s">
        <v>1415</v>
      </c>
      <c r="AJ1523" t="s">
        <v>2114</v>
      </c>
      <c r="AK1523" s="115">
        <v>0</v>
      </c>
      <c r="AL1523" s="115" t="s">
        <v>28</v>
      </c>
      <c r="AM1523" s="115" t="s">
        <v>1832</v>
      </c>
      <c r="AN1523" s="115" t="s">
        <v>1427</v>
      </c>
      <c r="AO1523" s="115" t="s">
        <v>1645</v>
      </c>
    </row>
    <row r="1524" spans="35:41" ht="13">
      <c r="AI1524" s="115" t="s">
        <v>1415</v>
      </c>
      <c r="AJ1524" t="s">
        <v>2114</v>
      </c>
      <c r="AK1524" s="115">
        <v>0</v>
      </c>
      <c r="AL1524" s="115" t="s">
        <v>28</v>
      </c>
      <c r="AM1524" s="115" t="s">
        <v>1848</v>
      </c>
      <c r="AN1524" s="115" t="s">
        <v>1427</v>
      </c>
      <c r="AO1524" s="115" t="s">
        <v>1645</v>
      </c>
    </row>
    <row r="1525" spans="35:41" ht="13">
      <c r="AI1525" s="115" t="s">
        <v>1415</v>
      </c>
      <c r="AJ1525" t="s">
        <v>2114</v>
      </c>
      <c r="AK1525" s="115">
        <v>0</v>
      </c>
      <c r="AL1525" s="115" t="s">
        <v>28</v>
      </c>
      <c r="AM1525" s="115" t="s">
        <v>1843</v>
      </c>
      <c r="AN1525" s="115" t="s">
        <v>1427</v>
      </c>
      <c r="AO1525" s="115" t="s">
        <v>1646</v>
      </c>
    </row>
    <row r="1526" spans="35:41" ht="13">
      <c r="AI1526" s="115" t="s">
        <v>1415</v>
      </c>
      <c r="AJ1526" t="s">
        <v>2114</v>
      </c>
      <c r="AK1526" s="115">
        <v>0</v>
      </c>
      <c r="AL1526" s="115" t="s">
        <v>28</v>
      </c>
      <c r="AM1526" s="115" t="s">
        <v>1846</v>
      </c>
      <c r="AN1526" s="115" t="s">
        <v>1427</v>
      </c>
      <c r="AO1526" s="115" t="s">
        <v>1646</v>
      </c>
    </row>
    <row r="1527" spans="35:41" ht="13">
      <c r="AI1527" s="115" t="s">
        <v>1415</v>
      </c>
      <c r="AJ1527" t="s">
        <v>2114</v>
      </c>
      <c r="AK1527" s="115">
        <v>0</v>
      </c>
      <c r="AL1527" s="115" t="s">
        <v>28</v>
      </c>
      <c r="AM1527" s="115" t="s">
        <v>1843</v>
      </c>
      <c r="AN1527" s="115" t="s">
        <v>1427</v>
      </c>
      <c r="AO1527" s="115" t="s">
        <v>1647</v>
      </c>
    </row>
    <row r="1528" spans="35:41" ht="13">
      <c r="AI1528" s="115" t="s">
        <v>1415</v>
      </c>
      <c r="AJ1528" t="s">
        <v>2114</v>
      </c>
      <c r="AK1528" s="115">
        <v>0</v>
      </c>
      <c r="AL1528" s="115" t="s">
        <v>28</v>
      </c>
      <c r="AM1528" s="115" t="s">
        <v>1846</v>
      </c>
      <c r="AN1528" s="115" t="s">
        <v>1427</v>
      </c>
      <c r="AO1528" s="115" t="s">
        <v>1647</v>
      </c>
    </row>
    <row r="1529" spans="35:41" ht="13">
      <c r="AI1529" s="115" t="s">
        <v>1415</v>
      </c>
      <c r="AJ1529" t="s">
        <v>2114</v>
      </c>
      <c r="AK1529" s="115">
        <v>0</v>
      </c>
      <c r="AL1529" s="115" t="s">
        <v>28</v>
      </c>
      <c r="AM1529" s="115" t="s">
        <v>1843</v>
      </c>
      <c r="AN1529" s="115" t="s">
        <v>1427</v>
      </c>
      <c r="AO1529" s="115" t="s">
        <v>1639</v>
      </c>
    </row>
    <row r="1530" spans="35:41" ht="13">
      <c r="AI1530" s="115" t="s">
        <v>1415</v>
      </c>
      <c r="AJ1530" t="s">
        <v>2114</v>
      </c>
      <c r="AK1530" s="115">
        <v>0</v>
      </c>
      <c r="AL1530" s="115" t="s">
        <v>28</v>
      </c>
      <c r="AM1530" s="115" t="s">
        <v>1846</v>
      </c>
      <c r="AN1530" s="115" t="s">
        <v>1427</v>
      </c>
      <c r="AO1530" s="115" t="s">
        <v>1639</v>
      </c>
    </row>
    <row r="1531" spans="35:41" ht="13">
      <c r="AI1531" s="115" t="s">
        <v>1415</v>
      </c>
      <c r="AJ1531" t="s">
        <v>2114</v>
      </c>
      <c r="AK1531" s="115">
        <v>0</v>
      </c>
      <c r="AL1531" s="115" t="s">
        <v>28</v>
      </c>
      <c r="AM1531" s="115" t="s">
        <v>1832</v>
      </c>
      <c r="AN1531" s="115" t="s">
        <v>1427</v>
      </c>
      <c r="AO1531" s="115" t="s">
        <v>373</v>
      </c>
    </row>
    <row r="1532" spans="35:41" ht="13">
      <c r="AI1532" s="115" t="s">
        <v>1415</v>
      </c>
      <c r="AJ1532" t="s">
        <v>2114</v>
      </c>
      <c r="AK1532" s="115">
        <v>0</v>
      </c>
      <c r="AL1532" s="115" t="s">
        <v>28</v>
      </c>
      <c r="AM1532" s="115" t="s">
        <v>1846</v>
      </c>
      <c r="AN1532" s="115" t="s">
        <v>1427</v>
      </c>
      <c r="AO1532" s="115" t="s">
        <v>373</v>
      </c>
    </row>
    <row r="1533" spans="35:41" ht="13">
      <c r="AI1533" s="115" t="s">
        <v>1415</v>
      </c>
      <c r="AJ1533" t="s">
        <v>2114</v>
      </c>
      <c r="AK1533" s="115">
        <v>0</v>
      </c>
      <c r="AL1533" s="115" t="s">
        <v>28</v>
      </c>
      <c r="AM1533" s="115" t="s">
        <v>1850</v>
      </c>
      <c r="AN1533" s="115" t="s">
        <v>1427</v>
      </c>
      <c r="AO1533" s="115" t="s">
        <v>373</v>
      </c>
    </row>
    <row r="1534" spans="35:41" ht="13">
      <c r="AI1534" s="115" t="s">
        <v>1415</v>
      </c>
      <c r="AJ1534" t="s">
        <v>2114</v>
      </c>
      <c r="AK1534" s="115">
        <v>0</v>
      </c>
      <c r="AL1534" s="115" t="s">
        <v>28</v>
      </c>
      <c r="AM1534" s="115" t="s">
        <v>1848</v>
      </c>
      <c r="AN1534" s="115" t="s">
        <v>1427</v>
      </c>
      <c r="AO1534" s="115" t="s">
        <v>373</v>
      </c>
    </row>
    <row r="1535" spans="35:41" ht="13">
      <c r="AI1535" s="115" t="s">
        <v>1415</v>
      </c>
      <c r="AJ1535" t="s">
        <v>2114</v>
      </c>
      <c r="AK1535" s="115">
        <v>0</v>
      </c>
      <c r="AL1535" s="115" t="s">
        <v>28</v>
      </c>
      <c r="AM1535" s="115" t="s">
        <v>1843</v>
      </c>
      <c r="AN1535" s="115" t="s">
        <v>1427</v>
      </c>
      <c r="AO1535" s="115" t="s">
        <v>373</v>
      </c>
    </row>
    <row r="1536" spans="35:41" ht="13">
      <c r="AI1536" s="115" t="s">
        <v>1415</v>
      </c>
      <c r="AJ1536" t="s">
        <v>2114</v>
      </c>
      <c r="AK1536" s="115">
        <v>0</v>
      </c>
      <c r="AL1536" s="115" t="s">
        <v>28</v>
      </c>
      <c r="AM1536" s="115" t="s">
        <v>1849</v>
      </c>
      <c r="AN1536" s="115" t="s">
        <v>1427</v>
      </c>
      <c r="AO1536" s="115" t="s">
        <v>373</v>
      </c>
    </row>
    <row r="1537" spans="35:41" ht="13">
      <c r="AI1537" s="115" t="s">
        <v>1415</v>
      </c>
      <c r="AJ1537" t="s">
        <v>2114</v>
      </c>
      <c r="AK1537" s="115">
        <v>0</v>
      </c>
      <c r="AL1537" s="115" t="s">
        <v>28</v>
      </c>
      <c r="AM1537" s="115" t="s">
        <v>1849</v>
      </c>
      <c r="AN1537" s="115" t="s">
        <v>1427</v>
      </c>
      <c r="AO1537" s="115" t="s">
        <v>380</v>
      </c>
    </row>
    <row r="1538" spans="35:41" ht="13">
      <c r="AI1538" s="115" t="s">
        <v>1415</v>
      </c>
      <c r="AJ1538" t="s">
        <v>2114</v>
      </c>
      <c r="AK1538" s="115">
        <v>0</v>
      </c>
      <c r="AL1538" s="115" t="s">
        <v>28</v>
      </c>
      <c r="AM1538" s="115" t="s">
        <v>1846</v>
      </c>
      <c r="AN1538" s="115" t="s">
        <v>1427</v>
      </c>
      <c r="AO1538" s="115" t="s">
        <v>380</v>
      </c>
    </row>
    <row r="1539" spans="35:41" ht="13">
      <c r="AI1539" s="115" t="s">
        <v>1415</v>
      </c>
      <c r="AJ1539" t="s">
        <v>2114</v>
      </c>
      <c r="AK1539" s="115">
        <v>0</v>
      </c>
      <c r="AL1539" s="115" t="s">
        <v>28</v>
      </c>
      <c r="AM1539" s="115" t="s">
        <v>1848</v>
      </c>
      <c r="AN1539" s="115" t="s">
        <v>1427</v>
      </c>
      <c r="AO1539" s="115" t="s">
        <v>380</v>
      </c>
    </row>
    <row r="1540" spans="35:41" ht="13">
      <c r="AI1540" s="115" t="s">
        <v>1415</v>
      </c>
      <c r="AJ1540" t="s">
        <v>2114</v>
      </c>
      <c r="AK1540" s="115">
        <v>0</v>
      </c>
      <c r="AL1540" s="115" t="s">
        <v>28</v>
      </c>
      <c r="AM1540" s="115" t="s">
        <v>1850</v>
      </c>
      <c r="AN1540" s="115" t="s">
        <v>1427</v>
      </c>
      <c r="AO1540" s="115" t="s">
        <v>380</v>
      </c>
    </row>
    <row r="1541" spans="35:41" ht="13">
      <c r="AI1541" s="115" t="s">
        <v>1415</v>
      </c>
      <c r="AJ1541" t="s">
        <v>2114</v>
      </c>
      <c r="AK1541" s="115">
        <v>0</v>
      </c>
      <c r="AL1541" s="115" t="s">
        <v>28</v>
      </c>
      <c r="AM1541" s="115" t="s">
        <v>1832</v>
      </c>
      <c r="AN1541" s="115" t="s">
        <v>1427</v>
      </c>
      <c r="AO1541" s="115" t="s">
        <v>380</v>
      </c>
    </row>
    <row r="1542" spans="35:41" ht="13">
      <c r="AI1542" s="115" t="s">
        <v>1415</v>
      </c>
      <c r="AJ1542" t="s">
        <v>2114</v>
      </c>
      <c r="AK1542" s="115">
        <v>0</v>
      </c>
      <c r="AL1542" s="115" t="s">
        <v>28</v>
      </c>
      <c r="AM1542" s="115" t="s">
        <v>1843</v>
      </c>
      <c r="AN1542" s="115" t="s">
        <v>1427</v>
      </c>
      <c r="AO1542" s="115" t="s">
        <v>380</v>
      </c>
    </row>
    <row r="1543" spans="35:41" ht="13">
      <c r="AI1543" s="115" t="s">
        <v>1415</v>
      </c>
      <c r="AJ1543" t="s">
        <v>2114</v>
      </c>
      <c r="AK1543" s="115">
        <v>0</v>
      </c>
      <c r="AL1543" s="115" t="s">
        <v>28</v>
      </c>
      <c r="AM1543" s="115" t="s">
        <v>1832</v>
      </c>
      <c r="AN1543" s="115" t="s">
        <v>1428</v>
      </c>
      <c r="AO1543" s="115" t="s">
        <v>1644</v>
      </c>
    </row>
    <row r="1544" spans="35:41" ht="13">
      <c r="AI1544" s="115" t="s">
        <v>1415</v>
      </c>
      <c r="AJ1544" t="s">
        <v>2114</v>
      </c>
      <c r="AK1544" s="115">
        <v>0</v>
      </c>
      <c r="AL1544" s="115" t="s">
        <v>28</v>
      </c>
      <c r="AM1544" s="115" t="s">
        <v>1850</v>
      </c>
      <c r="AN1544" s="115" t="s">
        <v>1428</v>
      </c>
      <c r="AO1544" s="115" t="s">
        <v>1644</v>
      </c>
    </row>
    <row r="1545" spans="35:41" ht="13">
      <c r="AI1545" s="115" t="s">
        <v>1415</v>
      </c>
      <c r="AJ1545" t="s">
        <v>2114</v>
      </c>
      <c r="AK1545" s="115">
        <v>0</v>
      </c>
      <c r="AL1545" s="115" t="s">
        <v>28</v>
      </c>
      <c r="AM1545" s="115" t="s">
        <v>1848</v>
      </c>
      <c r="AN1545" s="115" t="s">
        <v>1428</v>
      </c>
      <c r="AO1545" s="115" t="s">
        <v>1644</v>
      </c>
    </row>
    <row r="1546" spans="35:41" ht="13">
      <c r="AI1546" s="115" t="s">
        <v>1415</v>
      </c>
      <c r="AJ1546" t="s">
        <v>2114</v>
      </c>
      <c r="AK1546" s="115">
        <v>0</v>
      </c>
      <c r="AL1546" s="115" t="s">
        <v>28</v>
      </c>
      <c r="AM1546" s="115" t="s">
        <v>1843</v>
      </c>
      <c r="AN1546" s="115" t="s">
        <v>1428</v>
      </c>
      <c r="AO1546" s="115" t="s">
        <v>1644</v>
      </c>
    </row>
    <row r="1547" spans="35:41" ht="13">
      <c r="AI1547" s="115" t="s">
        <v>1415</v>
      </c>
      <c r="AJ1547" t="s">
        <v>2114</v>
      </c>
      <c r="AK1547" s="115">
        <v>0</v>
      </c>
      <c r="AL1547" s="115" t="s">
        <v>28</v>
      </c>
      <c r="AM1547" s="115" t="s">
        <v>1846</v>
      </c>
      <c r="AN1547" s="115" t="s">
        <v>1428</v>
      </c>
      <c r="AO1547" s="115" t="s">
        <v>1274</v>
      </c>
    </row>
    <row r="1548" spans="35:41" ht="13">
      <c r="AI1548" s="115" t="s">
        <v>1415</v>
      </c>
      <c r="AJ1548" t="s">
        <v>2114</v>
      </c>
      <c r="AK1548" s="115">
        <v>0</v>
      </c>
      <c r="AL1548" s="115" t="s">
        <v>28</v>
      </c>
      <c r="AM1548" s="115" t="s">
        <v>1832</v>
      </c>
      <c r="AN1548" s="115" t="s">
        <v>1428</v>
      </c>
      <c r="AO1548" s="115" t="s">
        <v>1274</v>
      </c>
    </row>
    <row r="1549" spans="35:41" ht="13">
      <c r="AI1549" s="115" t="s">
        <v>1415</v>
      </c>
      <c r="AJ1549" t="s">
        <v>2114</v>
      </c>
      <c r="AK1549" s="115">
        <v>0</v>
      </c>
      <c r="AL1549" s="115" t="s">
        <v>28</v>
      </c>
      <c r="AM1549" s="115" t="s">
        <v>1850</v>
      </c>
      <c r="AN1549" s="115" t="s">
        <v>1428</v>
      </c>
      <c r="AO1549" s="115" t="s">
        <v>1274</v>
      </c>
    </row>
    <row r="1550" spans="35:41" ht="13">
      <c r="AI1550" s="115" t="s">
        <v>1415</v>
      </c>
      <c r="AJ1550" t="s">
        <v>2114</v>
      </c>
      <c r="AK1550" s="115">
        <v>0</v>
      </c>
      <c r="AL1550" s="115" t="s">
        <v>28</v>
      </c>
      <c r="AM1550" s="115" t="s">
        <v>1848</v>
      </c>
      <c r="AN1550" s="115" t="s">
        <v>1428</v>
      </c>
      <c r="AO1550" s="115" t="s">
        <v>1274</v>
      </c>
    </row>
    <row r="1551" spans="35:41" ht="13">
      <c r="AI1551" s="115" t="s">
        <v>1415</v>
      </c>
      <c r="AJ1551" t="s">
        <v>2114</v>
      </c>
      <c r="AK1551" s="115">
        <v>0</v>
      </c>
      <c r="AL1551" s="115" t="s">
        <v>28</v>
      </c>
      <c r="AM1551" s="115" t="s">
        <v>1843</v>
      </c>
      <c r="AN1551" s="115" t="s">
        <v>1428</v>
      </c>
      <c r="AO1551" s="115" t="s">
        <v>1274</v>
      </c>
    </row>
    <row r="1552" spans="35:41" ht="13">
      <c r="AI1552" s="115" t="s">
        <v>1415</v>
      </c>
      <c r="AJ1552" t="s">
        <v>2114</v>
      </c>
      <c r="AK1552" s="115">
        <v>0</v>
      </c>
      <c r="AL1552" s="115" t="s">
        <v>28</v>
      </c>
      <c r="AM1552" s="115" t="s">
        <v>1849</v>
      </c>
      <c r="AN1552" s="115" t="s">
        <v>1428</v>
      </c>
      <c r="AO1552" s="115" t="s">
        <v>1274</v>
      </c>
    </row>
    <row r="1553" spans="35:41" ht="13">
      <c r="AI1553" s="115" t="s">
        <v>1415</v>
      </c>
      <c r="AJ1553" t="s">
        <v>2114</v>
      </c>
      <c r="AK1553" s="115">
        <v>0</v>
      </c>
      <c r="AL1553" s="115" t="s">
        <v>28</v>
      </c>
      <c r="AM1553" s="115" t="s">
        <v>1846</v>
      </c>
      <c r="AN1553" s="115" t="s">
        <v>1428</v>
      </c>
      <c r="AO1553" s="115" t="s">
        <v>381</v>
      </c>
    </row>
    <row r="1554" spans="35:41" ht="13">
      <c r="AI1554" s="115" t="s">
        <v>1415</v>
      </c>
      <c r="AJ1554" t="s">
        <v>2114</v>
      </c>
      <c r="AK1554" s="115">
        <v>0</v>
      </c>
      <c r="AL1554" s="115" t="s">
        <v>28</v>
      </c>
      <c r="AM1554" s="115" t="s">
        <v>1849</v>
      </c>
      <c r="AN1554" s="115" t="s">
        <v>1428</v>
      </c>
      <c r="AO1554" s="115" t="s">
        <v>381</v>
      </c>
    </row>
    <row r="1555" spans="35:41" ht="13">
      <c r="AI1555" s="115" t="s">
        <v>1415</v>
      </c>
      <c r="AJ1555" t="s">
        <v>2114</v>
      </c>
      <c r="AK1555" s="115">
        <v>0</v>
      </c>
      <c r="AL1555" s="115" t="s">
        <v>28</v>
      </c>
      <c r="AM1555" s="115" t="s">
        <v>1843</v>
      </c>
      <c r="AN1555" s="115" t="s">
        <v>1428</v>
      </c>
      <c r="AO1555" s="115" t="s">
        <v>381</v>
      </c>
    </row>
    <row r="1556" spans="35:41" ht="13">
      <c r="AI1556" s="115" t="s">
        <v>1415</v>
      </c>
      <c r="AJ1556" t="s">
        <v>2114</v>
      </c>
      <c r="AK1556" s="115">
        <v>0</v>
      </c>
      <c r="AL1556" s="115" t="s">
        <v>28</v>
      </c>
      <c r="AM1556" s="115" t="s">
        <v>1850</v>
      </c>
      <c r="AN1556" s="115" t="s">
        <v>1428</v>
      </c>
      <c r="AO1556" s="115" t="s">
        <v>381</v>
      </c>
    </row>
    <row r="1557" spans="35:41" ht="13">
      <c r="AI1557" s="115" t="s">
        <v>1415</v>
      </c>
      <c r="AJ1557" t="s">
        <v>2114</v>
      </c>
      <c r="AK1557" s="115">
        <v>0</v>
      </c>
      <c r="AL1557" s="115" t="s">
        <v>28</v>
      </c>
      <c r="AM1557" s="115" t="s">
        <v>1848</v>
      </c>
      <c r="AN1557" s="115" t="s">
        <v>1428</v>
      </c>
      <c r="AO1557" s="115" t="s">
        <v>381</v>
      </c>
    </row>
    <row r="1558" spans="35:41" ht="13">
      <c r="AI1558" s="115" t="s">
        <v>1415</v>
      </c>
      <c r="AJ1558" t="s">
        <v>2114</v>
      </c>
      <c r="AK1558" s="115">
        <v>0</v>
      </c>
      <c r="AL1558" s="115" t="s">
        <v>28</v>
      </c>
      <c r="AM1558" s="115" t="s">
        <v>1832</v>
      </c>
      <c r="AN1558" s="115" t="s">
        <v>1428</v>
      </c>
      <c r="AO1558" s="115" t="s">
        <v>381</v>
      </c>
    </row>
    <row r="1559" spans="35:41" ht="13">
      <c r="AI1559" s="115" t="s">
        <v>1415</v>
      </c>
      <c r="AJ1559" t="s">
        <v>2114</v>
      </c>
      <c r="AK1559" s="115">
        <v>0</v>
      </c>
      <c r="AL1559" s="115" t="s">
        <v>28</v>
      </c>
      <c r="AM1559" s="115" t="s">
        <v>1832</v>
      </c>
      <c r="AN1559" s="115" t="s">
        <v>1428</v>
      </c>
      <c r="AO1559" s="115" t="s">
        <v>379</v>
      </c>
    </row>
    <row r="1560" spans="35:41" ht="13">
      <c r="AI1560" s="115" t="s">
        <v>1415</v>
      </c>
      <c r="AJ1560" t="s">
        <v>2114</v>
      </c>
      <c r="AK1560" s="115">
        <v>0</v>
      </c>
      <c r="AL1560" s="115" t="s">
        <v>28</v>
      </c>
      <c r="AM1560" s="115" t="s">
        <v>1843</v>
      </c>
      <c r="AN1560" s="115" t="s">
        <v>1428</v>
      </c>
      <c r="AO1560" s="115" t="s">
        <v>379</v>
      </c>
    </row>
    <row r="1561" spans="35:41" ht="13">
      <c r="AI1561" s="115" t="s">
        <v>1415</v>
      </c>
      <c r="AJ1561" t="s">
        <v>2114</v>
      </c>
      <c r="AK1561" s="115">
        <v>0</v>
      </c>
      <c r="AL1561" s="115" t="s">
        <v>28</v>
      </c>
      <c r="AM1561" s="115" t="s">
        <v>1848</v>
      </c>
      <c r="AN1561" s="115" t="s">
        <v>1428</v>
      </c>
      <c r="AO1561" s="115" t="s">
        <v>379</v>
      </c>
    </row>
    <row r="1562" spans="35:41" ht="13">
      <c r="AI1562" s="115" t="s">
        <v>1415</v>
      </c>
      <c r="AJ1562" t="s">
        <v>2114</v>
      </c>
      <c r="AK1562" s="115">
        <v>0</v>
      </c>
      <c r="AL1562" s="115" t="s">
        <v>28</v>
      </c>
      <c r="AM1562" s="115" t="s">
        <v>1850</v>
      </c>
      <c r="AN1562" s="115" t="s">
        <v>1428</v>
      </c>
      <c r="AO1562" s="115" t="s">
        <v>379</v>
      </c>
    </row>
    <row r="1563" spans="35:41" ht="13">
      <c r="AI1563" s="115" t="s">
        <v>1415</v>
      </c>
      <c r="AJ1563" t="s">
        <v>2114</v>
      </c>
      <c r="AK1563" s="115">
        <v>0</v>
      </c>
      <c r="AL1563" s="115" t="s">
        <v>28</v>
      </c>
      <c r="AM1563" s="115" t="s">
        <v>1846</v>
      </c>
      <c r="AN1563" s="115" t="s">
        <v>1428</v>
      </c>
      <c r="AO1563" s="115" t="s">
        <v>379</v>
      </c>
    </row>
    <row r="1564" spans="35:41" ht="13">
      <c r="AI1564" s="115" t="s">
        <v>1415</v>
      </c>
      <c r="AJ1564" t="s">
        <v>2114</v>
      </c>
      <c r="AK1564" s="115">
        <v>0</v>
      </c>
      <c r="AL1564" s="115" t="s">
        <v>28</v>
      </c>
      <c r="AM1564" s="115" t="s">
        <v>1849</v>
      </c>
      <c r="AN1564" s="115" t="s">
        <v>1428</v>
      </c>
      <c r="AO1564" s="115" t="s">
        <v>379</v>
      </c>
    </row>
    <row r="1565" spans="35:41" ht="13">
      <c r="AI1565" s="115" t="s">
        <v>1415</v>
      </c>
      <c r="AJ1565" t="s">
        <v>2114</v>
      </c>
      <c r="AK1565" s="115">
        <v>0</v>
      </c>
      <c r="AL1565" s="115" t="s">
        <v>28</v>
      </c>
      <c r="AM1565" s="115" t="s">
        <v>1846</v>
      </c>
      <c r="AN1565" s="115" t="s">
        <v>1428</v>
      </c>
      <c r="AO1565" s="115" t="s">
        <v>1645</v>
      </c>
    </row>
    <row r="1566" spans="35:41" ht="13">
      <c r="AI1566" s="115" t="s">
        <v>1415</v>
      </c>
      <c r="AJ1566" t="s">
        <v>2114</v>
      </c>
      <c r="AK1566" s="115">
        <v>0</v>
      </c>
      <c r="AL1566" s="115" t="s">
        <v>28</v>
      </c>
      <c r="AM1566" s="115" t="s">
        <v>1849</v>
      </c>
      <c r="AN1566" s="115" t="s">
        <v>1428</v>
      </c>
      <c r="AO1566" s="115" t="s">
        <v>1645</v>
      </c>
    </row>
    <row r="1567" spans="35:41" ht="13">
      <c r="AI1567" s="115" t="s">
        <v>1415</v>
      </c>
      <c r="AJ1567" t="s">
        <v>2114</v>
      </c>
      <c r="AK1567" s="115">
        <v>0</v>
      </c>
      <c r="AL1567" s="115" t="s">
        <v>28</v>
      </c>
      <c r="AM1567" s="115" t="s">
        <v>1832</v>
      </c>
      <c r="AN1567" s="115" t="s">
        <v>1428</v>
      </c>
      <c r="AO1567" s="115" t="s">
        <v>1645</v>
      </c>
    </row>
    <row r="1568" spans="35:41" ht="13">
      <c r="AI1568" s="115" t="s">
        <v>1415</v>
      </c>
      <c r="AJ1568" t="s">
        <v>2114</v>
      </c>
      <c r="AK1568" s="115">
        <v>0</v>
      </c>
      <c r="AL1568" s="115" t="s">
        <v>28</v>
      </c>
      <c r="AM1568" s="115" t="s">
        <v>1850</v>
      </c>
      <c r="AN1568" s="115" t="s">
        <v>1428</v>
      </c>
      <c r="AO1568" s="115" t="s">
        <v>1645</v>
      </c>
    </row>
    <row r="1569" spans="35:41" ht="13">
      <c r="AI1569" s="115" t="s">
        <v>1415</v>
      </c>
      <c r="AJ1569" t="s">
        <v>2114</v>
      </c>
      <c r="AK1569" s="115">
        <v>0</v>
      </c>
      <c r="AL1569" s="115" t="s">
        <v>28</v>
      </c>
      <c r="AM1569" s="115" t="s">
        <v>1843</v>
      </c>
      <c r="AN1569" s="115" t="s">
        <v>1428</v>
      </c>
      <c r="AO1569" s="115" t="s">
        <v>1645</v>
      </c>
    </row>
    <row r="1570" spans="35:41" ht="13">
      <c r="AI1570" s="115" t="s">
        <v>1415</v>
      </c>
      <c r="AJ1570" t="s">
        <v>2114</v>
      </c>
      <c r="AK1570" s="115">
        <v>0</v>
      </c>
      <c r="AL1570" s="115" t="s">
        <v>28</v>
      </c>
      <c r="AM1570" s="115" t="s">
        <v>1848</v>
      </c>
      <c r="AN1570" s="115" t="s">
        <v>1428</v>
      </c>
      <c r="AO1570" s="115" t="s">
        <v>1645</v>
      </c>
    </row>
    <row r="1571" spans="35:41" ht="13">
      <c r="AI1571" s="115" t="s">
        <v>1415</v>
      </c>
      <c r="AJ1571" t="s">
        <v>2114</v>
      </c>
      <c r="AK1571" s="115">
        <v>0</v>
      </c>
      <c r="AL1571" s="115" t="s">
        <v>28</v>
      </c>
      <c r="AM1571" s="115" t="s">
        <v>1843</v>
      </c>
      <c r="AN1571" s="115" t="s">
        <v>1428</v>
      </c>
      <c r="AO1571" s="115" t="s">
        <v>1646</v>
      </c>
    </row>
    <row r="1572" spans="35:41" ht="13">
      <c r="AI1572" s="115" t="s">
        <v>1415</v>
      </c>
      <c r="AJ1572" t="s">
        <v>2114</v>
      </c>
      <c r="AK1572" s="115">
        <v>0</v>
      </c>
      <c r="AL1572" s="115" t="s">
        <v>28</v>
      </c>
      <c r="AM1572" s="115" t="s">
        <v>1846</v>
      </c>
      <c r="AN1572" s="115" t="s">
        <v>1428</v>
      </c>
      <c r="AO1572" s="115" t="s">
        <v>1646</v>
      </c>
    </row>
    <row r="1573" spans="35:41" ht="13">
      <c r="AI1573" s="115" t="s">
        <v>1415</v>
      </c>
      <c r="AJ1573" t="s">
        <v>2114</v>
      </c>
      <c r="AK1573" s="115">
        <v>0</v>
      </c>
      <c r="AL1573" s="115" t="s">
        <v>28</v>
      </c>
      <c r="AM1573" s="115" t="s">
        <v>1846</v>
      </c>
      <c r="AN1573" s="115" t="s">
        <v>1428</v>
      </c>
      <c r="AO1573" s="115" t="s">
        <v>1647</v>
      </c>
    </row>
    <row r="1574" spans="35:41" ht="13">
      <c r="AI1574" s="115" t="s">
        <v>1415</v>
      </c>
      <c r="AJ1574" t="s">
        <v>2114</v>
      </c>
      <c r="AK1574" s="115">
        <v>0</v>
      </c>
      <c r="AL1574" s="115" t="s">
        <v>28</v>
      </c>
      <c r="AM1574" s="115" t="s">
        <v>1843</v>
      </c>
      <c r="AN1574" s="115" t="s">
        <v>1428</v>
      </c>
      <c r="AO1574" s="115" t="s">
        <v>1647</v>
      </c>
    </row>
    <row r="1575" spans="35:41" ht="13">
      <c r="AI1575" s="115" t="s">
        <v>1415</v>
      </c>
      <c r="AJ1575" t="s">
        <v>2114</v>
      </c>
      <c r="AK1575" s="115">
        <v>0</v>
      </c>
      <c r="AL1575" s="115" t="s">
        <v>28</v>
      </c>
      <c r="AM1575" s="115" t="s">
        <v>1843</v>
      </c>
      <c r="AN1575" s="115" t="s">
        <v>1428</v>
      </c>
      <c r="AO1575" s="115" t="s">
        <v>1639</v>
      </c>
    </row>
    <row r="1576" spans="35:41" ht="13">
      <c r="AI1576" s="115" t="s">
        <v>1415</v>
      </c>
      <c r="AJ1576" t="s">
        <v>2114</v>
      </c>
      <c r="AK1576" s="115">
        <v>0</v>
      </c>
      <c r="AL1576" s="115" t="s">
        <v>28</v>
      </c>
      <c r="AM1576" s="115" t="s">
        <v>1846</v>
      </c>
      <c r="AN1576" s="115" t="s">
        <v>1428</v>
      </c>
      <c r="AO1576" s="115" t="s">
        <v>1639</v>
      </c>
    </row>
    <row r="1577" spans="35:41" ht="13">
      <c r="AI1577" s="115" t="s">
        <v>1415</v>
      </c>
      <c r="AJ1577" t="s">
        <v>2114</v>
      </c>
      <c r="AK1577" s="115">
        <v>0</v>
      </c>
      <c r="AL1577" s="115" t="s">
        <v>28</v>
      </c>
      <c r="AM1577" s="115" t="s">
        <v>1850</v>
      </c>
      <c r="AN1577" s="115" t="s">
        <v>1428</v>
      </c>
      <c r="AO1577" s="115" t="s">
        <v>373</v>
      </c>
    </row>
    <row r="1578" spans="35:41" ht="13">
      <c r="AI1578" s="115" t="s">
        <v>1415</v>
      </c>
      <c r="AJ1578" t="s">
        <v>2114</v>
      </c>
      <c r="AK1578" s="115">
        <v>0</v>
      </c>
      <c r="AL1578" s="115" t="s">
        <v>28</v>
      </c>
      <c r="AM1578" s="115" t="s">
        <v>1848</v>
      </c>
      <c r="AN1578" s="115" t="s">
        <v>1428</v>
      </c>
      <c r="AO1578" s="115" t="s">
        <v>373</v>
      </c>
    </row>
    <row r="1579" spans="35:41" ht="13">
      <c r="AI1579" s="115" t="s">
        <v>1415</v>
      </c>
      <c r="AJ1579" t="s">
        <v>2114</v>
      </c>
      <c r="AK1579" s="115">
        <v>0</v>
      </c>
      <c r="AL1579" s="115" t="s">
        <v>28</v>
      </c>
      <c r="AM1579" s="115" t="s">
        <v>1843</v>
      </c>
      <c r="AN1579" s="115" t="s">
        <v>1428</v>
      </c>
      <c r="AO1579" s="115" t="s">
        <v>373</v>
      </c>
    </row>
    <row r="1580" spans="35:41" ht="13">
      <c r="AI1580" s="115" t="s">
        <v>1415</v>
      </c>
      <c r="AJ1580" t="s">
        <v>2114</v>
      </c>
      <c r="AK1580" s="115">
        <v>0</v>
      </c>
      <c r="AL1580" s="115" t="s">
        <v>28</v>
      </c>
      <c r="AM1580" s="115" t="s">
        <v>1832</v>
      </c>
      <c r="AN1580" s="115" t="s">
        <v>1428</v>
      </c>
      <c r="AO1580" s="115" t="s">
        <v>373</v>
      </c>
    </row>
    <row r="1581" spans="35:41" ht="13">
      <c r="AI1581" s="115" t="s">
        <v>1415</v>
      </c>
      <c r="AJ1581" t="s">
        <v>2114</v>
      </c>
      <c r="AK1581" s="115">
        <v>0</v>
      </c>
      <c r="AL1581" s="115" t="s">
        <v>28</v>
      </c>
      <c r="AM1581" s="115" t="s">
        <v>1849</v>
      </c>
      <c r="AN1581" s="115" t="s">
        <v>1428</v>
      </c>
      <c r="AO1581" s="115" t="s">
        <v>373</v>
      </c>
    </row>
    <row r="1582" spans="35:41" ht="13">
      <c r="AI1582" s="115" t="s">
        <v>1415</v>
      </c>
      <c r="AJ1582" t="s">
        <v>2114</v>
      </c>
      <c r="AK1582" s="115">
        <v>0</v>
      </c>
      <c r="AL1582" s="115" t="s">
        <v>28</v>
      </c>
      <c r="AM1582" s="115" t="s">
        <v>1846</v>
      </c>
      <c r="AN1582" s="115" t="s">
        <v>1428</v>
      </c>
      <c r="AO1582" s="115" t="s">
        <v>373</v>
      </c>
    </row>
    <row r="1583" spans="35:41" ht="13">
      <c r="AI1583" s="115" t="s">
        <v>1415</v>
      </c>
      <c r="AJ1583" t="s">
        <v>2114</v>
      </c>
      <c r="AK1583" s="115">
        <v>0</v>
      </c>
      <c r="AL1583" s="115" t="s">
        <v>28</v>
      </c>
      <c r="AM1583" s="115" t="s">
        <v>1843</v>
      </c>
      <c r="AN1583" s="115" t="s">
        <v>1428</v>
      </c>
      <c r="AO1583" s="115" t="s">
        <v>380</v>
      </c>
    </row>
    <row r="1584" spans="35:41" ht="13">
      <c r="AI1584" s="115" t="s">
        <v>1415</v>
      </c>
      <c r="AJ1584" t="s">
        <v>2114</v>
      </c>
      <c r="AK1584" s="115">
        <v>0</v>
      </c>
      <c r="AL1584" s="115" t="s">
        <v>28</v>
      </c>
      <c r="AM1584" s="115" t="s">
        <v>1850</v>
      </c>
      <c r="AN1584" s="115" t="s">
        <v>1428</v>
      </c>
      <c r="AO1584" s="115" t="s">
        <v>380</v>
      </c>
    </row>
    <row r="1585" spans="35:41" ht="13">
      <c r="AI1585" s="115" t="s">
        <v>1415</v>
      </c>
      <c r="AJ1585" t="s">
        <v>2114</v>
      </c>
      <c r="AK1585" s="115">
        <v>0</v>
      </c>
      <c r="AL1585" s="115" t="s">
        <v>28</v>
      </c>
      <c r="AM1585" s="115" t="s">
        <v>1849</v>
      </c>
      <c r="AN1585" s="115" t="s">
        <v>1428</v>
      </c>
      <c r="AO1585" s="115" t="s">
        <v>380</v>
      </c>
    </row>
    <row r="1586" spans="35:41" ht="13">
      <c r="AI1586" s="115" t="s">
        <v>1415</v>
      </c>
      <c r="AJ1586" t="s">
        <v>2114</v>
      </c>
      <c r="AK1586" s="115">
        <v>0</v>
      </c>
      <c r="AL1586" s="115" t="s">
        <v>28</v>
      </c>
      <c r="AM1586" s="115" t="s">
        <v>1846</v>
      </c>
      <c r="AN1586" s="115" t="s">
        <v>1428</v>
      </c>
      <c r="AO1586" s="115" t="s">
        <v>380</v>
      </c>
    </row>
    <row r="1587" spans="35:41" ht="13">
      <c r="AI1587" s="115" t="s">
        <v>1415</v>
      </c>
      <c r="AJ1587" t="s">
        <v>2114</v>
      </c>
      <c r="AK1587" s="115">
        <v>0</v>
      </c>
      <c r="AL1587" s="115" t="s">
        <v>28</v>
      </c>
      <c r="AM1587" s="115" t="s">
        <v>1832</v>
      </c>
      <c r="AN1587" s="115" t="s">
        <v>1428</v>
      </c>
      <c r="AO1587" s="115" t="s">
        <v>380</v>
      </c>
    </row>
    <row r="1588" spans="35:41" ht="13">
      <c r="AI1588" s="115" t="s">
        <v>1415</v>
      </c>
      <c r="AJ1588" t="s">
        <v>2114</v>
      </c>
      <c r="AK1588" s="115">
        <v>0</v>
      </c>
      <c r="AL1588" s="115" t="s">
        <v>28</v>
      </c>
      <c r="AM1588" s="115" t="s">
        <v>1848</v>
      </c>
      <c r="AN1588" s="115" t="s">
        <v>1428</v>
      </c>
      <c r="AO1588" s="115" t="s">
        <v>380</v>
      </c>
    </row>
    <row r="1589" spans="35:41" ht="13">
      <c r="AI1589" s="115" t="s">
        <v>1415</v>
      </c>
      <c r="AJ1589" t="s">
        <v>2114</v>
      </c>
      <c r="AK1589" s="115">
        <v>0</v>
      </c>
      <c r="AL1589" s="115" t="s">
        <v>28</v>
      </c>
      <c r="AM1589" s="115" t="s">
        <v>1832</v>
      </c>
      <c r="AN1589" s="115" t="s">
        <v>1429</v>
      </c>
      <c r="AO1589" s="115" t="s">
        <v>1644</v>
      </c>
    </row>
    <row r="1590" spans="35:41" ht="13">
      <c r="AI1590" s="115" t="s">
        <v>1415</v>
      </c>
      <c r="AJ1590" t="s">
        <v>2114</v>
      </c>
      <c r="AK1590" s="115">
        <v>0</v>
      </c>
      <c r="AL1590" s="115" t="s">
        <v>28</v>
      </c>
      <c r="AM1590" s="115" t="s">
        <v>1843</v>
      </c>
      <c r="AN1590" s="115" t="s">
        <v>1429</v>
      </c>
      <c r="AO1590" s="115" t="s">
        <v>1644</v>
      </c>
    </row>
    <row r="1591" spans="35:41" ht="13">
      <c r="AI1591" s="115" t="s">
        <v>1415</v>
      </c>
      <c r="AJ1591" t="s">
        <v>2114</v>
      </c>
      <c r="AK1591" s="115">
        <v>0</v>
      </c>
      <c r="AL1591" s="115" t="s">
        <v>28</v>
      </c>
      <c r="AM1591" s="115" t="s">
        <v>1850</v>
      </c>
      <c r="AN1591" s="115" t="s">
        <v>1429</v>
      </c>
      <c r="AO1591" s="115" t="s">
        <v>1644</v>
      </c>
    </row>
    <row r="1592" spans="35:41" ht="13">
      <c r="AI1592" s="115" t="s">
        <v>1415</v>
      </c>
      <c r="AJ1592" t="s">
        <v>2114</v>
      </c>
      <c r="AK1592" s="115">
        <v>0</v>
      </c>
      <c r="AL1592" s="115" t="s">
        <v>28</v>
      </c>
      <c r="AM1592" s="115" t="s">
        <v>1848</v>
      </c>
      <c r="AN1592" s="115" t="s">
        <v>1429</v>
      </c>
      <c r="AO1592" s="115" t="s">
        <v>1644</v>
      </c>
    </row>
    <row r="1593" spans="35:41" ht="13">
      <c r="AI1593" s="115" t="s">
        <v>1415</v>
      </c>
      <c r="AJ1593" t="s">
        <v>2114</v>
      </c>
      <c r="AK1593" s="115">
        <v>0</v>
      </c>
      <c r="AL1593" s="115" t="s">
        <v>28</v>
      </c>
      <c r="AM1593" s="115" t="s">
        <v>1832</v>
      </c>
      <c r="AN1593" s="115" t="s">
        <v>1429</v>
      </c>
      <c r="AO1593" s="115" t="s">
        <v>1274</v>
      </c>
    </row>
    <row r="1594" spans="35:41" ht="13">
      <c r="AI1594" s="115" t="s">
        <v>1415</v>
      </c>
      <c r="AJ1594" t="s">
        <v>2114</v>
      </c>
      <c r="AK1594" s="115">
        <v>0</v>
      </c>
      <c r="AL1594" s="115" t="s">
        <v>28</v>
      </c>
      <c r="AM1594" s="115" t="s">
        <v>1850</v>
      </c>
      <c r="AN1594" s="115" t="s">
        <v>1429</v>
      </c>
      <c r="AO1594" s="115" t="s">
        <v>1274</v>
      </c>
    </row>
    <row r="1595" spans="35:41" ht="13">
      <c r="AI1595" s="115" t="s">
        <v>1415</v>
      </c>
      <c r="AJ1595" t="s">
        <v>2114</v>
      </c>
      <c r="AK1595" s="115">
        <v>0</v>
      </c>
      <c r="AL1595" s="115" t="s">
        <v>28</v>
      </c>
      <c r="AM1595" s="115" t="s">
        <v>1849</v>
      </c>
      <c r="AN1595" s="115" t="s">
        <v>1429</v>
      </c>
      <c r="AO1595" s="115" t="s">
        <v>1274</v>
      </c>
    </row>
    <row r="1596" spans="35:41" ht="13">
      <c r="AI1596" s="115" t="s">
        <v>1415</v>
      </c>
      <c r="AJ1596" t="s">
        <v>2114</v>
      </c>
      <c r="AK1596" s="115">
        <v>0</v>
      </c>
      <c r="AL1596" s="115" t="s">
        <v>28</v>
      </c>
      <c r="AM1596" s="115" t="s">
        <v>1843</v>
      </c>
      <c r="AN1596" s="115" t="s">
        <v>1429</v>
      </c>
      <c r="AO1596" s="115" t="s">
        <v>1274</v>
      </c>
    </row>
    <row r="1597" spans="35:41" ht="13">
      <c r="AI1597" s="115" t="s">
        <v>1415</v>
      </c>
      <c r="AJ1597" t="s">
        <v>2114</v>
      </c>
      <c r="AK1597" s="115">
        <v>0</v>
      </c>
      <c r="AL1597" s="115" t="s">
        <v>28</v>
      </c>
      <c r="AM1597" s="115" t="s">
        <v>1848</v>
      </c>
      <c r="AN1597" s="115" t="s">
        <v>1429</v>
      </c>
      <c r="AO1597" s="115" t="s">
        <v>1274</v>
      </c>
    </row>
    <row r="1598" spans="35:41" ht="13">
      <c r="AI1598" s="115" t="s">
        <v>1415</v>
      </c>
      <c r="AJ1598" t="s">
        <v>2114</v>
      </c>
      <c r="AK1598" s="115">
        <v>0</v>
      </c>
      <c r="AL1598" s="115" t="s">
        <v>28</v>
      </c>
      <c r="AM1598" s="115" t="s">
        <v>1846</v>
      </c>
      <c r="AN1598" s="115" t="s">
        <v>1429</v>
      </c>
      <c r="AO1598" s="115" t="s">
        <v>1274</v>
      </c>
    </row>
    <row r="1599" spans="35:41" ht="13">
      <c r="AI1599" s="115" t="s">
        <v>1415</v>
      </c>
      <c r="AJ1599" t="s">
        <v>2114</v>
      </c>
      <c r="AK1599" s="115">
        <v>0</v>
      </c>
      <c r="AL1599" s="115" t="s">
        <v>28</v>
      </c>
      <c r="AM1599" s="115" t="s">
        <v>1843</v>
      </c>
      <c r="AN1599" s="115" t="s">
        <v>1429</v>
      </c>
      <c r="AO1599" s="115" t="s">
        <v>381</v>
      </c>
    </row>
    <row r="1600" spans="35:41" ht="13">
      <c r="AI1600" s="115" t="s">
        <v>1415</v>
      </c>
      <c r="AJ1600" t="s">
        <v>2114</v>
      </c>
      <c r="AK1600" s="115">
        <v>0</v>
      </c>
      <c r="AL1600" s="115" t="s">
        <v>28</v>
      </c>
      <c r="AM1600" s="115" t="s">
        <v>1848</v>
      </c>
      <c r="AN1600" s="115" t="s">
        <v>1429</v>
      </c>
      <c r="AO1600" s="115" t="s">
        <v>381</v>
      </c>
    </row>
    <row r="1601" spans="35:41" ht="13">
      <c r="AI1601" s="115" t="s">
        <v>1415</v>
      </c>
      <c r="AJ1601" t="s">
        <v>2114</v>
      </c>
      <c r="AK1601" s="115">
        <v>0</v>
      </c>
      <c r="AL1601" s="115" t="s">
        <v>28</v>
      </c>
      <c r="AM1601" s="115" t="s">
        <v>1849</v>
      </c>
      <c r="AN1601" s="115" t="s">
        <v>1429</v>
      </c>
      <c r="AO1601" s="115" t="s">
        <v>381</v>
      </c>
    </row>
    <row r="1602" spans="35:41" ht="13">
      <c r="AI1602" s="115" t="s">
        <v>1415</v>
      </c>
      <c r="AJ1602" t="s">
        <v>2114</v>
      </c>
      <c r="AK1602" s="115">
        <v>0</v>
      </c>
      <c r="AL1602" s="115" t="s">
        <v>28</v>
      </c>
      <c r="AM1602" s="115" t="s">
        <v>1846</v>
      </c>
      <c r="AN1602" s="115" t="s">
        <v>1429</v>
      </c>
      <c r="AO1602" s="115" t="s">
        <v>381</v>
      </c>
    </row>
    <row r="1603" spans="35:41" ht="13">
      <c r="AI1603" s="115" t="s">
        <v>1415</v>
      </c>
      <c r="AJ1603" t="s">
        <v>2114</v>
      </c>
      <c r="AK1603" s="115">
        <v>0</v>
      </c>
      <c r="AL1603" s="115" t="s">
        <v>28</v>
      </c>
      <c r="AM1603" s="115" t="s">
        <v>1850</v>
      </c>
      <c r="AN1603" s="115" t="s">
        <v>1429</v>
      </c>
      <c r="AO1603" s="115" t="s">
        <v>381</v>
      </c>
    </row>
    <row r="1604" spans="35:41" ht="13">
      <c r="AI1604" s="115" t="s">
        <v>1415</v>
      </c>
      <c r="AJ1604" t="s">
        <v>2114</v>
      </c>
      <c r="AK1604" s="115">
        <v>0</v>
      </c>
      <c r="AL1604" s="115" t="s">
        <v>28</v>
      </c>
      <c r="AM1604" s="115" t="s">
        <v>1832</v>
      </c>
      <c r="AN1604" s="115" t="s">
        <v>1429</v>
      </c>
      <c r="AO1604" s="115" t="s">
        <v>381</v>
      </c>
    </row>
    <row r="1605" spans="35:41" ht="13">
      <c r="AI1605" s="115" t="s">
        <v>1415</v>
      </c>
      <c r="AJ1605" t="s">
        <v>2114</v>
      </c>
      <c r="AK1605" s="115">
        <v>0</v>
      </c>
      <c r="AL1605" s="115" t="s">
        <v>28</v>
      </c>
      <c r="AM1605" s="115" t="s">
        <v>1843</v>
      </c>
      <c r="AN1605" s="115" t="s">
        <v>1429</v>
      </c>
      <c r="AO1605" s="115" t="s">
        <v>379</v>
      </c>
    </row>
    <row r="1606" spans="35:41" ht="13">
      <c r="AI1606" s="115" t="s">
        <v>1415</v>
      </c>
      <c r="AJ1606" t="s">
        <v>2114</v>
      </c>
      <c r="AK1606" s="115">
        <v>0</v>
      </c>
      <c r="AL1606" s="115" t="s">
        <v>28</v>
      </c>
      <c r="AM1606" s="115" t="s">
        <v>1846</v>
      </c>
      <c r="AN1606" s="115" t="s">
        <v>1429</v>
      </c>
      <c r="AO1606" s="115" t="s">
        <v>379</v>
      </c>
    </row>
    <row r="1607" spans="35:41" ht="13">
      <c r="AI1607" s="115" t="s">
        <v>1415</v>
      </c>
      <c r="AJ1607" t="s">
        <v>2114</v>
      </c>
      <c r="AK1607" s="115">
        <v>0</v>
      </c>
      <c r="AL1607" s="115" t="s">
        <v>28</v>
      </c>
      <c r="AM1607" s="115" t="s">
        <v>1848</v>
      </c>
      <c r="AN1607" s="115" t="s">
        <v>1429</v>
      </c>
      <c r="AO1607" s="115" t="s">
        <v>379</v>
      </c>
    </row>
    <row r="1608" spans="35:41" ht="13">
      <c r="AI1608" s="115" t="s">
        <v>1415</v>
      </c>
      <c r="AJ1608" t="s">
        <v>2114</v>
      </c>
      <c r="AK1608" s="115">
        <v>0</v>
      </c>
      <c r="AL1608" s="115" t="s">
        <v>28</v>
      </c>
      <c r="AM1608" s="115" t="s">
        <v>1832</v>
      </c>
      <c r="AN1608" s="115" t="s">
        <v>1429</v>
      </c>
      <c r="AO1608" s="115" t="s">
        <v>379</v>
      </c>
    </row>
    <row r="1609" spans="35:41" ht="13">
      <c r="AI1609" s="115" t="s">
        <v>1415</v>
      </c>
      <c r="AJ1609" t="s">
        <v>2114</v>
      </c>
      <c r="AK1609" s="115">
        <v>0</v>
      </c>
      <c r="AL1609" s="115" t="s">
        <v>28</v>
      </c>
      <c r="AM1609" s="115" t="s">
        <v>1850</v>
      </c>
      <c r="AN1609" s="115" t="s">
        <v>1429</v>
      </c>
      <c r="AO1609" s="115" t="s">
        <v>379</v>
      </c>
    </row>
    <row r="1610" spans="35:41" ht="13">
      <c r="AI1610" s="115" t="s">
        <v>1415</v>
      </c>
      <c r="AJ1610" t="s">
        <v>2114</v>
      </c>
      <c r="AK1610" s="115">
        <v>0</v>
      </c>
      <c r="AL1610" s="115" t="s">
        <v>28</v>
      </c>
      <c r="AM1610" s="115" t="s">
        <v>1849</v>
      </c>
      <c r="AN1610" s="115" t="s">
        <v>1429</v>
      </c>
      <c r="AO1610" s="115" t="s">
        <v>379</v>
      </c>
    </row>
    <row r="1611" spans="35:41" ht="13">
      <c r="AI1611" s="115" t="s">
        <v>1415</v>
      </c>
      <c r="AJ1611" t="s">
        <v>2114</v>
      </c>
      <c r="AK1611" s="115">
        <v>0</v>
      </c>
      <c r="AL1611" s="115" t="s">
        <v>28</v>
      </c>
      <c r="AM1611" s="115" t="s">
        <v>1849</v>
      </c>
      <c r="AN1611" s="115" t="s">
        <v>1429</v>
      </c>
      <c r="AO1611" s="115" t="s">
        <v>1645</v>
      </c>
    </row>
    <row r="1612" spans="35:41" ht="13">
      <c r="AI1612" s="115" t="s">
        <v>1415</v>
      </c>
      <c r="AJ1612" t="s">
        <v>2114</v>
      </c>
      <c r="AK1612" s="115">
        <v>0</v>
      </c>
      <c r="AL1612" s="115" t="s">
        <v>28</v>
      </c>
      <c r="AM1612" s="115" t="s">
        <v>1846</v>
      </c>
      <c r="AN1612" s="115" t="s">
        <v>1429</v>
      </c>
      <c r="AO1612" s="115" t="s">
        <v>1645</v>
      </c>
    </row>
    <row r="1613" spans="35:41" ht="13">
      <c r="AI1613" s="115" t="s">
        <v>1415</v>
      </c>
      <c r="AJ1613" t="s">
        <v>2114</v>
      </c>
      <c r="AK1613" s="115">
        <v>0</v>
      </c>
      <c r="AL1613" s="115" t="s">
        <v>28</v>
      </c>
      <c r="AM1613" s="115" t="s">
        <v>1843</v>
      </c>
      <c r="AN1613" s="115" t="s">
        <v>1429</v>
      </c>
      <c r="AO1613" s="115" t="s">
        <v>1645</v>
      </c>
    </row>
    <row r="1614" spans="35:41" ht="13">
      <c r="AI1614" s="115" t="s">
        <v>1415</v>
      </c>
      <c r="AJ1614" t="s">
        <v>2114</v>
      </c>
      <c r="AK1614" s="115">
        <v>0</v>
      </c>
      <c r="AL1614" s="115" t="s">
        <v>28</v>
      </c>
      <c r="AM1614" s="115" t="s">
        <v>1848</v>
      </c>
      <c r="AN1614" s="115" t="s">
        <v>1429</v>
      </c>
      <c r="AO1614" s="115" t="s">
        <v>1645</v>
      </c>
    </row>
    <row r="1615" spans="35:41" ht="13">
      <c r="AI1615" s="115" t="s">
        <v>1415</v>
      </c>
      <c r="AJ1615" t="s">
        <v>2114</v>
      </c>
      <c r="AK1615" s="115">
        <v>0</v>
      </c>
      <c r="AL1615" s="115" t="s">
        <v>28</v>
      </c>
      <c r="AM1615" s="115" t="s">
        <v>1832</v>
      </c>
      <c r="AN1615" s="115" t="s">
        <v>1429</v>
      </c>
      <c r="AO1615" s="115" t="s">
        <v>1645</v>
      </c>
    </row>
    <row r="1616" spans="35:41" ht="13">
      <c r="AI1616" s="115" t="s">
        <v>1415</v>
      </c>
      <c r="AJ1616" t="s">
        <v>2114</v>
      </c>
      <c r="AK1616" s="115">
        <v>0</v>
      </c>
      <c r="AL1616" s="115" t="s">
        <v>28</v>
      </c>
      <c r="AM1616" s="115" t="s">
        <v>1850</v>
      </c>
      <c r="AN1616" s="115" t="s">
        <v>1429</v>
      </c>
      <c r="AO1616" s="115" t="s">
        <v>1645</v>
      </c>
    </row>
    <row r="1617" spans="35:41" ht="13">
      <c r="AI1617" s="115" t="s">
        <v>1415</v>
      </c>
      <c r="AJ1617" t="s">
        <v>2114</v>
      </c>
      <c r="AK1617" s="115">
        <v>0</v>
      </c>
      <c r="AL1617" s="115" t="s">
        <v>28</v>
      </c>
      <c r="AM1617" s="115" t="s">
        <v>1846</v>
      </c>
      <c r="AN1617" s="115" t="s">
        <v>1429</v>
      </c>
      <c r="AO1617" s="115" t="s">
        <v>1646</v>
      </c>
    </row>
    <row r="1618" spans="35:41" ht="13">
      <c r="AI1618" s="115" t="s">
        <v>1415</v>
      </c>
      <c r="AJ1618" t="s">
        <v>2114</v>
      </c>
      <c r="AK1618" s="115">
        <v>0</v>
      </c>
      <c r="AL1618" s="115" t="s">
        <v>28</v>
      </c>
      <c r="AM1618" s="115" t="s">
        <v>1843</v>
      </c>
      <c r="AN1618" s="115" t="s">
        <v>1429</v>
      </c>
      <c r="AO1618" s="115" t="s">
        <v>1646</v>
      </c>
    </row>
    <row r="1619" spans="35:41" ht="13">
      <c r="AI1619" s="115" t="s">
        <v>1415</v>
      </c>
      <c r="AJ1619" t="s">
        <v>2114</v>
      </c>
      <c r="AK1619" s="115">
        <v>0</v>
      </c>
      <c r="AL1619" s="115" t="s">
        <v>28</v>
      </c>
      <c r="AM1619" s="115" t="s">
        <v>1846</v>
      </c>
      <c r="AN1619" s="115" t="s">
        <v>1429</v>
      </c>
      <c r="AO1619" s="115" t="s">
        <v>1647</v>
      </c>
    </row>
    <row r="1620" spans="35:41" ht="13">
      <c r="AI1620" s="115" t="s">
        <v>1415</v>
      </c>
      <c r="AJ1620" t="s">
        <v>2114</v>
      </c>
      <c r="AK1620" s="115">
        <v>0</v>
      </c>
      <c r="AL1620" s="115" t="s">
        <v>28</v>
      </c>
      <c r="AM1620" s="115" t="s">
        <v>1843</v>
      </c>
      <c r="AN1620" s="115" t="s">
        <v>1429</v>
      </c>
      <c r="AO1620" s="115" t="s">
        <v>1647</v>
      </c>
    </row>
    <row r="1621" spans="35:41" ht="13">
      <c r="AI1621" s="115" t="s">
        <v>1415</v>
      </c>
      <c r="AJ1621" t="s">
        <v>2114</v>
      </c>
      <c r="AK1621" s="115">
        <v>0</v>
      </c>
      <c r="AL1621" s="115" t="s">
        <v>28</v>
      </c>
      <c r="AM1621" s="115" t="s">
        <v>1846</v>
      </c>
      <c r="AN1621" s="115" t="s">
        <v>1429</v>
      </c>
      <c r="AO1621" s="115" t="s">
        <v>1639</v>
      </c>
    </row>
    <row r="1622" spans="35:41" ht="13">
      <c r="AI1622" s="115" t="s">
        <v>1415</v>
      </c>
      <c r="AJ1622" t="s">
        <v>2114</v>
      </c>
      <c r="AK1622" s="115">
        <v>0</v>
      </c>
      <c r="AL1622" s="115" t="s">
        <v>28</v>
      </c>
      <c r="AM1622" s="115" t="s">
        <v>1843</v>
      </c>
      <c r="AN1622" s="115" t="s">
        <v>1429</v>
      </c>
      <c r="AO1622" s="115" t="s">
        <v>1639</v>
      </c>
    </row>
    <row r="1623" spans="35:41" ht="13">
      <c r="AI1623" s="115" t="s">
        <v>1415</v>
      </c>
      <c r="AJ1623" t="s">
        <v>2114</v>
      </c>
      <c r="AK1623" s="115">
        <v>0</v>
      </c>
      <c r="AL1623" s="115" t="s">
        <v>28</v>
      </c>
      <c r="AM1623" s="115" t="s">
        <v>1848</v>
      </c>
      <c r="AN1623" s="115" t="s">
        <v>1429</v>
      </c>
      <c r="AO1623" s="115" t="s">
        <v>373</v>
      </c>
    </row>
    <row r="1624" spans="35:41" ht="13">
      <c r="AI1624" s="115" t="s">
        <v>1415</v>
      </c>
      <c r="AJ1624" t="s">
        <v>2114</v>
      </c>
      <c r="AK1624" s="115">
        <v>0</v>
      </c>
      <c r="AL1624" s="115" t="s">
        <v>28</v>
      </c>
      <c r="AM1624" s="115" t="s">
        <v>1843</v>
      </c>
      <c r="AN1624" s="115" t="s">
        <v>1429</v>
      </c>
      <c r="AO1624" s="115" t="s">
        <v>373</v>
      </c>
    </row>
    <row r="1625" spans="35:41" ht="13">
      <c r="AI1625" s="115" t="s">
        <v>1415</v>
      </c>
      <c r="AJ1625" t="s">
        <v>2114</v>
      </c>
      <c r="AK1625" s="115">
        <v>0</v>
      </c>
      <c r="AL1625" s="115" t="s">
        <v>28</v>
      </c>
      <c r="AM1625" s="115" t="s">
        <v>1832</v>
      </c>
      <c r="AN1625" s="115" t="s">
        <v>1429</v>
      </c>
      <c r="AO1625" s="115" t="s">
        <v>373</v>
      </c>
    </row>
    <row r="1626" spans="35:41" ht="13">
      <c r="AI1626" s="115" t="s">
        <v>1415</v>
      </c>
      <c r="AJ1626" t="s">
        <v>2114</v>
      </c>
      <c r="AK1626" s="115">
        <v>0</v>
      </c>
      <c r="AL1626" s="115" t="s">
        <v>28</v>
      </c>
      <c r="AM1626" s="115" t="s">
        <v>1849</v>
      </c>
      <c r="AN1626" s="115" t="s">
        <v>1429</v>
      </c>
      <c r="AO1626" s="115" t="s">
        <v>373</v>
      </c>
    </row>
    <row r="1627" spans="35:41" ht="13">
      <c r="AI1627" s="115" t="s">
        <v>1415</v>
      </c>
      <c r="AJ1627" t="s">
        <v>2114</v>
      </c>
      <c r="AK1627" s="115">
        <v>0</v>
      </c>
      <c r="AL1627" s="115" t="s">
        <v>28</v>
      </c>
      <c r="AM1627" s="115" t="s">
        <v>1850</v>
      </c>
      <c r="AN1627" s="115" t="s">
        <v>1429</v>
      </c>
      <c r="AO1627" s="115" t="s">
        <v>373</v>
      </c>
    </row>
    <row r="1628" spans="35:41" ht="13">
      <c r="AI1628" s="115" t="s">
        <v>1415</v>
      </c>
      <c r="AJ1628" t="s">
        <v>2114</v>
      </c>
      <c r="AK1628" s="115">
        <v>0</v>
      </c>
      <c r="AL1628" s="115" t="s">
        <v>28</v>
      </c>
      <c r="AM1628" s="115" t="s">
        <v>1846</v>
      </c>
      <c r="AN1628" s="115" t="s">
        <v>1429</v>
      </c>
      <c r="AO1628" s="115" t="s">
        <v>373</v>
      </c>
    </row>
    <row r="1629" spans="35:41" ht="13">
      <c r="AI1629" s="115" t="s">
        <v>1415</v>
      </c>
      <c r="AJ1629" t="s">
        <v>2114</v>
      </c>
      <c r="AK1629" s="115">
        <v>0</v>
      </c>
      <c r="AL1629" s="115" t="s">
        <v>28</v>
      </c>
      <c r="AM1629" s="115" t="s">
        <v>1850</v>
      </c>
      <c r="AN1629" s="115" t="s">
        <v>1429</v>
      </c>
      <c r="AO1629" s="115" t="s">
        <v>380</v>
      </c>
    </row>
    <row r="1630" spans="35:41" ht="13">
      <c r="AI1630" s="115" t="s">
        <v>1415</v>
      </c>
      <c r="AJ1630" t="s">
        <v>2114</v>
      </c>
      <c r="AK1630" s="115">
        <v>0</v>
      </c>
      <c r="AL1630" s="115" t="s">
        <v>28</v>
      </c>
      <c r="AM1630" s="115" t="s">
        <v>1832</v>
      </c>
      <c r="AN1630" s="115" t="s">
        <v>1429</v>
      </c>
      <c r="AO1630" s="115" t="s">
        <v>380</v>
      </c>
    </row>
    <row r="1631" spans="35:41" ht="13">
      <c r="AI1631" s="115" t="s">
        <v>1415</v>
      </c>
      <c r="AJ1631" t="s">
        <v>2114</v>
      </c>
      <c r="AK1631" s="115">
        <v>0</v>
      </c>
      <c r="AL1631" s="115" t="s">
        <v>28</v>
      </c>
      <c r="AM1631" s="115" t="s">
        <v>1849</v>
      </c>
      <c r="AN1631" s="115" t="s">
        <v>1429</v>
      </c>
      <c r="AO1631" s="115" t="s">
        <v>380</v>
      </c>
    </row>
    <row r="1632" spans="35:41" ht="13">
      <c r="AI1632" s="115" t="s">
        <v>1415</v>
      </c>
      <c r="AJ1632" t="s">
        <v>2114</v>
      </c>
      <c r="AK1632" s="115">
        <v>0</v>
      </c>
      <c r="AL1632" s="115" t="s">
        <v>28</v>
      </c>
      <c r="AM1632" s="115" t="s">
        <v>1843</v>
      </c>
      <c r="AN1632" s="115" t="s">
        <v>1429</v>
      </c>
      <c r="AO1632" s="115" t="s">
        <v>380</v>
      </c>
    </row>
    <row r="1633" spans="35:41" ht="13">
      <c r="AI1633" s="115" t="s">
        <v>1415</v>
      </c>
      <c r="AJ1633" t="s">
        <v>2114</v>
      </c>
      <c r="AK1633" s="115">
        <v>0</v>
      </c>
      <c r="AL1633" s="115" t="s">
        <v>28</v>
      </c>
      <c r="AM1633" s="115" t="s">
        <v>1848</v>
      </c>
      <c r="AN1633" s="115" t="s">
        <v>1429</v>
      </c>
      <c r="AO1633" s="115" t="s">
        <v>380</v>
      </c>
    </row>
    <row r="1634" spans="35:41" ht="13">
      <c r="AI1634" s="115" t="s">
        <v>1415</v>
      </c>
      <c r="AJ1634" t="s">
        <v>2114</v>
      </c>
      <c r="AK1634" s="115">
        <v>0</v>
      </c>
      <c r="AL1634" s="115" t="s">
        <v>28</v>
      </c>
      <c r="AM1634" s="115" t="s">
        <v>1846</v>
      </c>
      <c r="AN1634" s="115" t="s">
        <v>1429</v>
      </c>
      <c r="AO1634" s="115" t="s">
        <v>380</v>
      </c>
    </row>
    <row r="1635" spans="35:41" ht="13">
      <c r="AI1635" s="115" t="s">
        <v>1415</v>
      </c>
      <c r="AJ1635" t="s">
        <v>2114</v>
      </c>
      <c r="AK1635" s="115">
        <v>0</v>
      </c>
      <c r="AL1635" s="115" t="s">
        <v>28</v>
      </c>
      <c r="AM1635" s="115" t="s">
        <v>1843</v>
      </c>
      <c r="AN1635" s="115" t="s">
        <v>1430</v>
      </c>
      <c r="AO1635" s="115" t="s">
        <v>1644</v>
      </c>
    </row>
    <row r="1636" spans="35:41" ht="13">
      <c r="AI1636" s="115" t="s">
        <v>1415</v>
      </c>
      <c r="AJ1636" t="s">
        <v>2114</v>
      </c>
      <c r="AK1636" s="115">
        <v>0</v>
      </c>
      <c r="AL1636" s="115" t="s">
        <v>28</v>
      </c>
      <c r="AM1636" s="115" t="s">
        <v>1848</v>
      </c>
      <c r="AN1636" s="115" t="s">
        <v>1430</v>
      </c>
      <c r="AO1636" s="115" t="s">
        <v>1644</v>
      </c>
    </row>
    <row r="1637" spans="35:41" ht="13">
      <c r="AI1637" s="115" t="s">
        <v>1415</v>
      </c>
      <c r="AJ1637" t="s">
        <v>2114</v>
      </c>
      <c r="AK1637" s="115">
        <v>0</v>
      </c>
      <c r="AL1637" s="115" t="s">
        <v>28</v>
      </c>
      <c r="AM1637" s="115" t="s">
        <v>1850</v>
      </c>
      <c r="AN1637" s="115" t="s">
        <v>1430</v>
      </c>
      <c r="AO1637" s="115" t="s">
        <v>1644</v>
      </c>
    </row>
    <row r="1638" spans="35:41" ht="13">
      <c r="AI1638" s="115" t="s">
        <v>1415</v>
      </c>
      <c r="AJ1638" t="s">
        <v>2114</v>
      </c>
      <c r="AK1638" s="115">
        <v>0</v>
      </c>
      <c r="AL1638" s="115" t="s">
        <v>28</v>
      </c>
      <c r="AM1638" s="115" t="s">
        <v>1832</v>
      </c>
      <c r="AN1638" s="115" t="s">
        <v>1430</v>
      </c>
      <c r="AO1638" s="115" t="s">
        <v>1644</v>
      </c>
    </row>
    <row r="1639" spans="35:41" ht="13">
      <c r="AI1639" s="115" t="s">
        <v>1415</v>
      </c>
      <c r="AJ1639" t="s">
        <v>2114</v>
      </c>
      <c r="AK1639" s="115">
        <v>0</v>
      </c>
      <c r="AL1639" s="115" t="s">
        <v>28</v>
      </c>
      <c r="AM1639" s="115" t="s">
        <v>1849</v>
      </c>
      <c r="AN1639" s="115" t="s">
        <v>1430</v>
      </c>
      <c r="AO1639" s="115" t="s">
        <v>1274</v>
      </c>
    </row>
    <row r="1640" spans="35:41" ht="13">
      <c r="AI1640" s="115" t="s">
        <v>1415</v>
      </c>
      <c r="AJ1640" t="s">
        <v>2114</v>
      </c>
      <c r="AK1640" s="115">
        <v>0</v>
      </c>
      <c r="AL1640" s="115" t="s">
        <v>28</v>
      </c>
      <c r="AM1640" s="115" t="s">
        <v>1848</v>
      </c>
      <c r="AN1640" s="115" t="s">
        <v>1430</v>
      </c>
      <c r="AO1640" s="115" t="s">
        <v>1274</v>
      </c>
    </row>
    <row r="1641" spans="35:41" ht="13">
      <c r="AI1641" s="115" t="s">
        <v>1415</v>
      </c>
      <c r="AJ1641" t="s">
        <v>2114</v>
      </c>
      <c r="AK1641" s="115">
        <v>0</v>
      </c>
      <c r="AL1641" s="115" t="s">
        <v>28</v>
      </c>
      <c r="AM1641" s="115" t="s">
        <v>1843</v>
      </c>
      <c r="AN1641" s="115" t="s">
        <v>1430</v>
      </c>
      <c r="AO1641" s="115" t="s">
        <v>1274</v>
      </c>
    </row>
    <row r="1642" spans="35:41" ht="13">
      <c r="AI1642" s="115" t="s">
        <v>1415</v>
      </c>
      <c r="AJ1642" t="s">
        <v>2114</v>
      </c>
      <c r="AK1642" s="115">
        <v>0</v>
      </c>
      <c r="AL1642" s="115" t="s">
        <v>28</v>
      </c>
      <c r="AM1642" s="115" t="s">
        <v>1846</v>
      </c>
      <c r="AN1642" s="115" t="s">
        <v>1430</v>
      </c>
      <c r="AO1642" s="115" t="s">
        <v>1274</v>
      </c>
    </row>
    <row r="1643" spans="35:41" ht="13">
      <c r="AI1643" s="115" t="s">
        <v>1415</v>
      </c>
      <c r="AJ1643" t="s">
        <v>2114</v>
      </c>
      <c r="AK1643" s="115">
        <v>0</v>
      </c>
      <c r="AL1643" s="115" t="s">
        <v>28</v>
      </c>
      <c r="AM1643" s="115" t="s">
        <v>1850</v>
      </c>
      <c r="AN1643" s="115" t="s">
        <v>1430</v>
      </c>
      <c r="AO1643" s="115" t="s">
        <v>1274</v>
      </c>
    </row>
    <row r="1644" spans="35:41" ht="13">
      <c r="AI1644" s="115" t="s">
        <v>1415</v>
      </c>
      <c r="AJ1644" t="s">
        <v>2114</v>
      </c>
      <c r="AK1644" s="115">
        <v>0</v>
      </c>
      <c r="AL1644" s="115" t="s">
        <v>28</v>
      </c>
      <c r="AM1644" s="115" t="s">
        <v>1832</v>
      </c>
      <c r="AN1644" s="115" t="s">
        <v>1430</v>
      </c>
      <c r="AO1644" s="115" t="s">
        <v>1274</v>
      </c>
    </row>
    <row r="1645" spans="35:41" ht="13">
      <c r="AI1645" s="115" t="s">
        <v>1415</v>
      </c>
      <c r="AJ1645" t="s">
        <v>2114</v>
      </c>
      <c r="AK1645" s="115">
        <v>0</v>
      </c>
      <c r="AL1645" s="115" t="s">
        <v>28</v>
      </c>
      <c r="AM1645" s="115" t="s">
        <v>1843</v>
      </c>
      <c r="AN1645" s="115" t="s">
        <v>1430</v>
      </c>
      <c r="AO1645" s="115" t="s">
        <v>381</v>
      </c>
    </row>
    <row r="1646" spans="35:41" ht="13">
      <c r="AI1646" s="115" t="s">
        <v>1415</v>
      </c>
      <c r="AJ1646" t="s">
        <v>2114</v>
      </c>
      <c r="AK1646" s="115">
        <v>0</v>
      </c>
      <c r="AL1646" s="115" t="s">
        <v>28</v>
      </c>
      <c r="AM1646" s="115" t="s">
        <v>1846</v>
      </c>
      <c r="AN1646" s="115" t="s">
        <v>1430</v>
      </c>
      <c r="AO1646" s="115" t="s">
        <v>381</v>
      </c>
    </row>
    <row r="1647" spans="35:41" ht="13">
      <c r="AI1647" s="115" t="s">
        <v>1415</v>
      </c>
      <c r="AJ1647" t="s">
        <v>2114</v>
      </c>
      <c r="AK1647" s="115">
        <v>0</v>
      </c>
      <c r="AL1647" s="115" t="s">
        <v>28</v>
      </c>
      <c r="AM1647" s="115" t="s">
        <v>1850</v>
      </c>
      <c r="AN1647" s="115" t="s">
        <v>1430</v>
      </c>
      <c r="AO1647" s="115" t="s">
        <v>381</v>
      </c>
    </row>
    <row r="1648" spans="35:41" ht="13">
      <c r="AI1648" s="115" t="s">
        <v>1415</v>
      </c>
      <c r="AJ1648" t="s">
        <v>2114</v>
      </c>
      <c r="AK1648" s="115">
        <v>0</v>
      </c>
      <c r="AL1648" s="115" t="s">
        <v>28</v>
      </c>
      <c r="AM1648" s="115" t="s">
        <v>1848</v>
      </c>
      <c r="AN1648" s="115" t="s">
        <v>1430</v>
      </c>
      <c r="AO1648" s="115" t="s">
        <v>381</v>
      </c>
    </row>
    <row r="1649" spans="35:41" ht="13">
      <c r="AI1649" s="115" t="s">
        <v>1415</v>
      </c>
      <c r="AJ1649" t="s">
        <v>2114</v>
      </c>
      <c r="AK1649" s="115">
        <v>0</v>
      </c>
      <c r="AL1649" s="115" t="s">
        <v>28</v>
      </c>
      <c r="AM1649" s="115" t="s">
        <v>1849</v>
      </c>
      <c r="AN1649" s="115" t="s">
        <v>1430</v>
      </c>
      <c r="AO1649" s="115" t="s">
        <v>381</v>
      </c>
    </row>
    <row r="1650" spans="35:41" ht="13">
      <c r="AI1650" s="115" t="s">
        <v>1415</v>
      </c>
      <c r="AJ1650" t="s">
        <v>2114</v>
      </c>
      <c r="AK1650" s="115">
        <v>0</v>
      </c>
      <c r="AL1650" s="115" t="s">
        <v>28</v>
      </c>
      <c r="AM1650" s="115" t="s">
        <v>1832</v>
      </c>
      <c r="AN1650" s="115" t="s">
        <v>1430</v>
      </c>
      <c r="AO1650" s="115" t="s">
        <v>381</v>
      </c>
    </row>
    <row r="1651" spans="35:41" ht="13">
      <c r="AI1651" s="115" t="s">
        <v>1415</v>
      </c>
      <c r="AJ1651" t="s">
        <v>2114</v>
      </c>
      <c r="AK1651" s="115">
        <v>0</v>
      </c>
      <c r="AL1651" s="115" t="s">
        <v>28</v>
      </c>
      <c r="AM1651" s="115" t="s">
        <v>1846</v>
      </c>
      <c r="AN1651" s="115" t="s">
        <v>1430</v>
      </c>
      <c r="AO1651" s="115" t="s">
        <v>379</v>
      </c>
    </row>
    <row r="1652" spans="35:41" ht="13">
      <c r="AI1652" s="115" t="s">
        <v>1415</v>
      </c>
      <c r="AJ1652" t="s">
        <v>2114</v>
      </c>
      <c r="AK1652" s="115">
        <v>0</v>
      </c>
      <c r="AL1652" s="115" t="s">
        <v>28</v>
      </c>
      <c r="AM1652" s="115" t="s">
        <v>1843</v>
      </c>
      <c r="AN1652" s="115" t="s">
        <v>1430</v>
      </c>
      <c r="AO1652" s="115" t="s">
        <v>379</v>
      </c>
    </row>
    <row r="1653" spans="35:41" ht="13">
      <c r="AI1653" s="115" t="s">
        <v>1415</v>
      </c>
      <c r="AJ1653" t="s">
        <v>2114</v>
      </c>
      <c r="AK1653" s="115">
        <v>0</v>
      </c>
      <c r="AL1653" s="115" t="s">
        <v>28</v>
      </c>
      <c r="AM1653" s="115" t="s">
        <v>1848</v>
      </c>
      <c r="AN1653" s="115" t="s">
        <v>1430</v>
      </c>
      <c r="AO1653" s="115" t="s">
        <v>379</v>
      </c>
    </row>
    <row r="1654" spans="35:41" ht="13">
      <c r="AI1654" s="115" t="s">
        <v>1415</v>
      </c>
      <c r="AJ1654" t="s">
        <v>2114</v>
      </c>
      <c r="AK1654" s="115">
        <v>0</v>
      </c>
      <c r="AL1654" s="115" t="s">
        <v>28</v>
      </c>
      <c r="AM1654" s="115" t="s">
        <v>1832</v>
      </c>
      <c r="AN1654" s="115" t="s">
        <v>1430</v>
      </c>
      <c r="AO1654" s="115" t="s">
        <v>379</v>
      </c>
    </row>
    <row r="1655" spans="35:41" ht="13">
      <c r="AI1655" s="115" t="s">
        <v>1415</v>
      </c>
      <c r="AJ1655" t="s">
        <v>2114</v>
      </c>
      <c r="AK1655" s="115">
        <v>0</v>
      </c>
      <c r="AL1655" s="115" t="s">
        <v>28</v>
      </c>
      <c r="AM1655" s="115" t="s">
        <v>1850</v>
      </c>
      <c r="AN1655" s="115" t="s">
        <v>1430</v>
      </c>
      <c r="AO1655" s="115" t="s">
        <v>379</v>
      </c>
    </row>
    <row r="1656" spans="35:41" ht="13">
      <c r="AI1656" s="115" t="s">
        <v>1415</v>
      </c>
      <c r="AJ1656" t="s">
        <v>2114</v>
      </c>
      <c r="AK1656" s="115">
        <v>0</v>
      </c>
      <c r="AL1656" s="115" t="s">
        <v>28</v>
      </c>
      <c r="AM1656" s="115" t="s">
        <v>1849</v>
      </c>
      <c r="AN1656" s="115" t="s">
        <v>1430</v>
      </c>
      <c r="AO1656" s="115" t="s">
        <v>379</v>
      </c>
    </row>
    <row r="1657" spans="35:41" ht="13">
      <c r="AI1657" s="115" t="s">
        <v>1415</v>
      </c>
      <c r="AJ1657" t="s">
        <v>2114</v>
      </c>
      <c r="AK1657" s="115">
        <v>0</v>
      </c>
      <c r="AL1657" s="115" t="s">
        <v>28</v>
      </c>
      <c r="AM1657" s="115" t="s">
        <v>1846</v>
      </c>
      <c r="AN1657" s="115" t="s">
        <v>1430</v>
      </c>
      <c r="AO1657" s="115" t="s">
        <v>1645</v>
      </c>
    </row>
    <row r="1658" spans="35:41" ht="13">
      <c r="AI1658" s="115" t="s">
        <v>1415</v>
      </c>
      <c r="AJ1658" t="s">
        <v>2114</v>
      </c>
      <c r="AK1658" s="115">
        <v>0</v>
      </c>
      <c r="AL1658" s="115" t="s">
        <v>28</v>
      </c>
      <c r="AM1658" s="115" t="s">
        <v>1849</v>
      </c>
      <c r="AN1658" s="115" t="s">
        <v>1430</v>
      </c>
      <c r="AO1658" s="115" t="s">
        <v>1645</v>
      </c>
    </row>
    <row r="1659" spans="35:41" ht="13">
      <c r="AI1659" s="115" t="s">
        <v>1415</v>
      </c>
      <c r="AJ1659" t="s">
        <v>2114</v>
      </c>
      <c r="AK1659" s="115">
        <v>0</v>
      </c>
      <c r="AL1659" s="115" t="s">
        <v>28</v>
      </c>
      <c r="AM1659" s="115" t="s">
        <v>1843</v>
      </c>
      <c r="AN1659" s="115" t="s">
        <v>1430</v>
      </c>
      <c r="AO1659" s="115" t="s">
        <v>1645</v>
      </c>
    </row>
    <row r="1660" spans="35:41" ht="13">
      <c r="AI1660" s="115" t="s">
        <v>1415</v>
      </c>
      <c r="AJ1660" t="s">
        <v>2114</v>
      </c>
      <c r="AK1660" s="115">
        <v>0</v>
      </c>
      <c r="AL1660" s="115" t="s">
        <v>28</v>
      </c>
      <c r="AM1660" s="115" t="s">
        <v>1850</v>
      </c>
      <c r="AN1660" s="115" t="s">
        <v>1430</v>
      </c>
      <c r="AO1660" s="115" t="s">
        <v>1645</v>
      </c>
    </row>
    <row r="1661" spans="35:41" ht="13">
      <c r="AI1661" s="115" t="s">
        <v>1415</v>
      </c>
      <c r="AJ1661" t="s">
        <v>2114</v>
      </c>
      <c r="AK1661" s="115">
        <v>0</v>
      </c>
      <c r="AL1661" s="115" t="s">
        <v>28</v>
      </c>
      <c r="AM1661" s="115" t="s">
        <v>1848</v>
      </c>
      <c r="AN1661" s="115" t="s">
        <v>1430</v>
      </c>
      <c r="AO1661" s="115" t="s">
        <v>1645</v>
      </c>
    </row>
    <row r="1662" spans="35:41" ht="13">
      <c r="AI1662" s="115" t="s">
        <v>1415</v>
      </c>
      <c r="AJ1662" t="s">
        <v>2114</v>
      </c>
      <c r="AK1662" s="115">
        <v>0</v>
      </c>
      <c r="AL1662" s="115" t="s">
        <v>28</v>
      </c>
      <c r="AM1662" s="115" t="s">
        <v>1832</v>
      </c>
      <c r="AN1662" s="115" t="s">
        <v>1430</v>
      </c>
      <c r="AO1662" s="115" t="s">
        <v>1645</v>
      </c>
    </row>
    <row r="1663" spans="35:41" ht="13">
      <c r="AI1663" s="115" t="s">
        <v>1415</v>
      </c>
      <c r="AJ1663" t="s">
        <v>2114</v>
      </c>
      <c r="AK1663" s="115">
        <v>0</v>
      </c>
      <c r="AL1663" s="115" t="s">
        <v>28</v>
      </c>
      <c r="AM1663" s="115" t="s">
        <v>1846</v>
      </c>
      <c r="AN1663" s="115" t="s">
        <v>1430</v>
      </c>
      <c r="AO1663" s="115" t="s">
        <v>1646</v>
      </c>
    </row>
    <row r="1664" spans="35:41" ht="13">
      <c r="AI1664" s="115" t="s">
        <v>1415</v>
      </c>
      <c r="AJ1664" t="s">
        <v>2114</v>
      </c>
      <c r="AK1664" s="115">
        <v>0</v>
      </c>
      <c r="AL1664" s="115" t="s">
        <v>28</v>
      </c>
      <c r="AM1664" s="115" t="s">
        <v>1843</v>
      </c>
      <c r="AN1664" s="115" t="s">
        <v>1430</v>
      </c>
      <c r="AO1664" s="115" t="s">
        <v>1646</v>
      </c>
    </row>
    <row r="1665" spans="35:41" ht="13">
      <c r="AI1665" s="115" t="s">
        <v>1415</v>
      </c>
      <c r="AJ1665" t="s">
        <v>2114</v>
      </c>
      <c r="AK1665" s="115">
        <v>0</v>
      </c>
      <c r="AL1665" s="115" t="s">
        <v>28</v>
      </c>
      <c r="AM1665" s="115" t="s">
        <v>1843</v>
      </c>
      <c r="AN1665" s="115" t="s">
        <v>1430</v>
      </c>
      <c r="AO1665" s="115" t="s">
        <v>1647</v>
      </c>
    </row>
    <row r="1666" spans="35:41" ht="13">
      <c r="AI1666" s="115" t="s">
        <v>1415</v>
      </c>
      <c r="AJ1666" t="s">
        <v>2114</v>
      </c>
      <c r="AK1666" s="115">
        <v>0</v>
      </c>
      <c r="AL1666" s="115" t="s">
        <v>28</v>
      </c>
      <c r="AM1666" s="115" t="s">
        <v>1846</v>
      </c>
      <c r="AN1666" s="115" t="s">
        <v>1430</v>
      </c>
      <c r="AO1666" s="115" t="s">
        <v>1647</v>
      </c>
    </row>
    <row r="1667" spans="35:41" ht="13">
      <c r="AI1667" s="115" t="s">
        <v>1415</v>
      </c>
      <c r="AJ1667" t="s">
        <v>2114</v>
      </c>
      <c r="AK1667" s="115">
        <v>0</v>
      </c>
      <c r="AL1667" s="115" t="s">
        <v>28</v>
      </c>
      <c r="AM1667" s="115" t="s">
        <v>1846</v>
      </c>
      <c r="AN1667" s="115" t="s">
        <v>1430</v>
      </c>
      <c r="AO1667" s="115" t="s">
        <v>1639</v>
      </c>
    </row>
    <row r="1668" spans="35:41" ht="13">
      <c r="AI1668" s="115" t="s">
        <v>1415</v>
      </c>
      <c r="AJ1668" t="s">
        <v>2114</v>
      </c>
      <c r="AK1668" s="115">
        <v>0</v>
      </c>
      <c r="AL1668" s="115" t="s">
        <v>28</v>
      </c>
      <c r="AM1668" s="115" t="s">
        <v>1843</v>
      </c>
      <c r="AN1668" s="115" t="s">
        <v>1430</v>
      </c>
      <c r="AO1668" s="115" t="s">
        <v>1639</v>
      </c>
    </row>
    <row r="1669" spans="35:41" ht="13">
      <c r="AI1669" s="115" t="s">
        <v>1415</v>
      </c>
      <c r="AJ1669" t="s">
        <v>2114</v>
      </c>
      <c r="AK1669" s="115">
        <v>0</v>
      </c>
      <c r="AL1669" s="115" t="s">
        <v>28</v>
      </c>
      <c r="AM1669" s="115" t="s">
        <v>1848</v>
      </c>
      <c r="AN1669" s="115" t="s">
        <v>1430</v>
      </c>
      <c r="AO1669" s="115" t="s">
        <v>373</v>
      </c>
    </row>
    <row r="1670" spans="35:41" ht="13">
      <c r="AI1670" s="115" t="s">
        <v>1415</v>
      </c>
      <c r="AJ1670" t="s">
        <v>2114</v>
      </c>
      <c r="AK1670" s="115">
        <v>0</v>
      </c>
      <c r="AL1670" s="115" t="s">
        <v>28</v>
      </c>
      <c r="AM1670" s="115" t="s">
        <v>1846</v>
      </c>
      <c r="AN1670" s="115" t="s">
        <v>1430</v>
      </c>
      <c r="AO1670" s="115" t="s">
        <v>373</v>
      </c>
    </row>
    <row r="1671" spans="35:41" ht="13">
      <c r="AI1671" s="115" t="s">
        <v>1415</v>
      </c>
      <c r="AJ1671" t="s">
        <v>2114</v>
      </c>
      <c r="AK1671" s="115">
        <v>0</v>
      </c>
      <c r="AL1671" s="115" t="s">
        <v>28</v>
      </c>
      <c r="AM1671" s="115" t="s">
        <v>1850</v>
      </c>
      <c r="AN1671" s="115" t="s">
        <v>1430</v>
      </c>
      <c r="AO1671" s="115" t="s">
        <v>373</v>
      </c>
    </row>
    <row r="1672" spans="35:41" ht="13">
      <c r="AI1672" s="115" t="s">
        <v>1415</v>
      </c>
      <c r="AJ1672" t="s">
        <v>2114</v>
      </c>
      <c r="AK1672" s="115">
        <v>0</v>
      </c>
      <c r="AL1672" s="115" t="s">
        <v>28</v>
      </c>
      <c r="AM1672" s="115" t="s">
        <v>1849</v>
      </c>
      <c r="AN1672" s="115" t="s">
        <v>1430</v>
      </c>
      <c r="AO1672" s="115" t="s">
        <v>373</v>
      </c>
    </row>
    <row r="1673" spans="35:41" ht="13">
      <c r="AI1673" s="115" t="s">
        <v>1415</v>
      </c>
      <c r="AJ1673" t="s">
        <v>2114</v>
      </c>
      <c r="AK1673" s="115">
        <v>0</v>
      </c>
      <c r="AL1673" s="115" t="s">
        <v>28</v>
      </c>
      <c r="AM1673" s="115" t="s">
        <v>1843</v>
      </c>
      <c r="AN1673" s="115" t="s">
        <v>1430</v>
      </c>
      <c r="AO1673" s="115" t="s">
        <v>373</v>
      </c>
    </row>
    <row r="1674" spans="35:41" ht="13">
      <c r="AI1674" s="115" t="s">
        <v>1415</v>
      </c>
      <c r="AJ1674" t="s">
        <v>2114</v>
      </c>
      <c r="AK1674" s="115">
        <v>0</v>
      </c>
      <c r="AL1674" s="115" t="s">
        <v>28</v>
      </c>
      <c r="AM1674" s="115" t="s">
        <v>1832</v>
      </c>
      <c r="AN1674" s="115" t="s">
        <v>1430</v>
      </c>
      <c r="AO1674" s="115" t="s">
        <v>373</v>
      </c>
    </row>
    <row r="1675" spans="35:41" ht="13">
      <c r="AI1675" s="115" t="s">
        <v>1415</v>
      </c>
      <c r="AJ1675" t="s">
        <v>2114</v>
      </c>
      <c r="AK1675" s="115">
        <v>0</v>
      </c>
      <c r="AL1675" s="115" t="s">
        <v>28</v>
      </c>
      <c r="AM1675" s="115" t="s">
        <v>1850</v>
      </c>
      <c r="AN1675" s="115" t="s">
        <v>1430</v>
      </c>
      <c r="AO1675" s="115" t="s">
        <v>380</v>
      </c>
    </row>
    <row r="1676" spans="35:41" ht="13">
      <c r="AI1676" s="115" t="s">
        <v>1415</v>
      </c>
      <c r="AJ1676" t="s">
        <v>2114</v>
      </c>
      <c r="AK1676" s="115">
        <v>0</v>
      </c>
      <c r="AL1676" s="115" t="s">
        <v>28</v>
      </c>
      <c r="AM1676" s="115" t="s">
        <v>1848</v>
      </c>
      <c r="AN1676" s="115" t="s">
        <v>1430</v>
      </c>
      <c r="AO1676" s="115" t="s">
        <v>380</v>
      </c>
    </row>
    <row r="1677" spans="35:41" ht="13">
      <c r="AI1677" s="115" t="s">
        <v>1415</v>
      </c>
      <c r="AJ1677" t="s">
        <v>2114</v>
      </c>
      <c r="AK1677" s="115">
        <v>0</v>
      </c>
      <c r="AL1677" s="115" t="s">
        <v>28</v>
      </c>
      <c r="AM1677" s="115" t="s">
        <v>1843</v>
      </c>
      <c r="AN1677" s="115" t="s">
        <v>1430</v>
      </c>
      <c r="AO1677" s="115" t="s">
        <v>380</v>
      </c>
    </row>
    <row r="1678" spans="35:41" ht="13">
      <c r="AI1678" s="115" t="s">
        <v>1415</v>
      </c>
      <c r="AJ1678" t="s">
        <v>2114</v>
      </c>
      <c r="AK1678" s="115">
        <v>0</v>
      </c>
      <c r="AL1678" s="115" t="s">
        <v>28</v>
      </c>
      <c r="AM1678" s="115" t="s">
        <v>1849</v>
      </c>
      <c r="AN1678" s="115" t="s">
        <v>1430</v>
      </c>
      <c r="AO1678" s="115" t="s">
        <v>380</v>
      </c>
    </row>
    <row r="1679" spans="35:41" ht="13">
      <c r="AI1679" s="115" t="s">
        <v>1415</v>
      </c>
      <c r="AJ1679" t="s">
        <v>2114</v>
      </c>
      <c r="AK1679" s="115">
        <v>0</v>
      </c>
      <c r="AL1679" s="115" t="s">
        <v>28</v>
      </c>
      <c r="AM1679" s="115" t="s">
        <v>1846</v>
      </c>
      <c r="AN1679" s="115" t="s">
        <v>1430</v>
      </c>
      <c r="AO1679" s="115" t="s">
        <v>380</v>
      </c>
    </row>
    <row r="1680" spans="35:41" ht="13">
      <c r="AI1680" s="115" t="s">
        <v>1415</v>
      </c>
      <c r="AJ1680" t="s">
        <v>2114</v>
      </c>
      <c r="AK1680" s="115">
        <v>0</v>
      </c>
      <c r="AL1680" s="115" t="s">
        <v>28</v>
      </c>
      <c r="AM1680" s="115" t="s">
        <v>1832</v>
      </c>
      <c r="AN1680" s="115" t="s">
        <v>1430</v>
      </c>
      <c r="AO1680" s="115" t="s">
        <v>380</v>
      </c>
    </row>
    <row r="1681" spans="35:41" ht="13">
      <c r="AI1681" s="115" t="s">
        <v>1415</v>
      </c>
      <c r="AJ1681" t="s">
        <v>2114</v>
      </c>
      <c r="AK1681" s="115">
        <v>0</v>
      </c>
      <c r="AL1681" s="115" t="s">
        <v>28</v>
      </c>
      <c r="AM1681" s="115" t="s">
        <v>1850</v>
      </c>
      <c r="AN1681" s="115" t="s">
        <v>1431</v>
      </c>
      <c r="AO1681" s="115" t="s">
        <v>1644</v>
      </c>
    </row>
    <row r="1682" spans="35:41" ht="13">
      <c r="AI1682" s="115" t="s">
        <v>1415</v>
      </c>
      <c r="AJ1682" t="s">
        <v>2114</v>
      </c>
      <c r="AK1682" s="115">
        <v>0</v>
      </c>
      <c r="AL1682" s="115" t="s">
        <v>28</v>
      </c>
      <c r="AM1682" s="115" t="s">
        <v>1848</v>
      </c>
      <c r="AN1682" s="115" t="s">
        <v>1431</v>
      </c>
      <c r="AO1682" s="115" t="s">
        <v>1644</v>
      </c>
    </row>
    <row r="1683" spans="35:41" ht="13">
      <c r="AI1683" s="115" t="s">
        <v>1415</v>
      </c>
      <c r="AJ1683" t="s">
        <v>2114</v>
      </c>
      <c r="AK1683" s="115">
        <v>0</v>
      </c>
      <c r="AL1683" s="115" t="s">
        <v>28</v>
      </c>
      <c r="AM1683" s="115" t="s">
        <v>1832</v>
      </c>
      <c r="AN1683" s="115" t="s">
        <v>1431</v>
      </c>
      <c r="AO1683" s="115" t="s">
        <v>1644</v>
      </c>
    </row>
    <row r="1684" spans="35:41" ht="13">
      <c r="AI1684" s="115" t="s">
        <v>1415</v>
      </c>
      <c r="AJ1684" t="s">
        <v>2114</v>
      </c>
      <c r="AK1684" s="115">
        <v>0</v>
      </c>
      <c r="AL1684" s="115" t="s">
        <v>28</v>
      </c>
      <c r="AM1684" s="115" t="s">
        <v>1843</v>
      </c>
      <c r="AN1684" s="115" t="s">
        <v>1431</v>
      </c>
      <c r="AO1684" s="115" t="s">
        <v>1644</v>
      </c>
    </row>
    <row r="1685" spans="35:41" ht="13">
      <c r="AI1685" s="115" t="s">
        <v>1415</v>
      </c>
      <c r="AJ1685" t="s">
        <v>2114</v>
      </c>
      <c r="AK1685" s="115">
        <v>0</v>
      </c>
      <c r="AL1685" s="115" t="s">
        <v>28</v>
      </c>
      <c r="AM1685" s="115" t="s">
        <v>1849</v>
      </c>
      <c r="AN1685" s="115" t="s">
        <v>1431</v>
      </c>
      <c r="AO1685" s="115" t="s">
        <v>1274</v>
      </c>
    </row>
    <row r="1686" spans="35:41" ht="13">
      <c r="AI1686" s="115" t="s">
        <v>1415</v>
      </c>
      <c r="AJ1686" t="s">
        <v>2114</v>
      </c>
      <c r="AK1686" s="115">
        <v>0</v>
      </c>
      <c r="AL1686" s="115" t="s">
        <v>28</v>
      </c>
      <c r="AM1686" s="115" t="s">
        <v>1832</v>
      </c>
      <c r="AN1686" s="115" t="s">
        <v>1431</v>
      </c>
      <c r="AO1686" s="115" t="s">
        <v>1274</v>
      </c>
    </row>
    <row r="1687" spans="35:41" ht="13">
      <c r="AI1687" s="115" t="s">
        <v>1415</v>
      </c>
      <c r="AJ1687" t="s">
        <v>2114</v>
      </c>
      <c r="AK1687" s="115">
        <v>0</v>
      </c>
      <c r="AL1687" s="115" t="s">
        <v>28</v>
      </c>
      <c r="AM1687" s="115" t="s">
        <v>1850</v>
      </c>
      <c r="AN1687" s="115" t="s">
        <v>1431</v>
      </c>
      <c r="AO1687" s="115" t="s">
        <v>1274</v>
      </c>
    </row>
    <row r="1688" spans="35:41" ht="13">
      <c r="AI1688" s="115" t="s">
        <v>1415</v>
      </c>
      <c r="AJ1688" t="s">
        <v>2114</v>
      </c>
      <c r="AK1688" s="115">
        <v>0</v>
      </c>
      <c r="AL1688" s="115" t="s">
        <v>28</v>
      </c>
      <c r="AM1688" s="115" t="s">
        <v>1843</v>
      </c>
      <c r="AN1688" s="115" t="s">
        <v>1431</v>
      </c>
      <c r="AO1688" s="115" t="s">
        <v>1274</v>
      </c>
    </row>
    <row r="1689" spans="35:41" ht="13">
      <c r="AI1689" s="115" t="s">
        <v>1415</v>
      </c>
      <c r="AJ1689" t="s">
        <v>2114</v>
      </c>
      <c r="AK1689" s="115">
        <v>0</v>
      </c>
      <c r="AL1689" s="115" t="s">
        <v>28</v>
      </c>
      <c r="AM1689" s="115" t="s">
        <v>1848</v>
      </c>
      <c r="AN1689" s="115" t="s">
        <v>1431</v>
      </c>
      <c r="AO1689" s="115" t="s">
        <v>1274</v>
      </c>
    </row>
    <row r="1690" spans="35:41" ht="13">
      <c r="AI1690" s="115" t="s">
        <v>1415</v>
      </c>
      <c r="AJ1690" t="s">
        <v>2114</v>
      </c>
      <c r="AK1690" s="115">
        <v>0</v>
      </c>
      <c r="AL1690" s="115" t="s">
        <v>28</v>
      </c>
      <c r="AM1690" s="115" t="s">
        <v>1846</v>
      </c>
      <c r="AN1690" s="115" t="s">
        <v>1431</v>
      </c>
      <c r="AO1690" s="115" t="s">
        <v>1274</v>
      </c>
    </row>
    <row r="1691" spans="35:41" ht="13">
      <c r="AI1691" s="115" t="s">
        <v>1415</v>
      </c>
      <c r="AJ1691" t="s">
        <v>2114</v>
      </c>
      <c r="AK1691" s="115">
        <v>0</v>
      </c>
      <c r="AL1691" s="115" t="s">
        <v>28</v>
      </c>
      <c r="AM1691" s="115" t="s">
        <v>1832</v>
      </c>
      <c r="AN1691" s="115" t="s">
        <v>1431</v>
      </c>
      <c r="AO1691" s="115" t="s">
        <v>381</v>
      </c>
    </row>
    <row r="1692" spans="35:41" ht="13">
      <c r="AI1692" s="115" t="s">
        <v>1415</v>
      </c>
      <c r="AJ1692" t="s">
        <v>2114</v>
      </c>
      <c r="AK1692" s="115">
        <v>0</v>
      </c>
      <c r="AL1692" s="115" t="s">
        <v>28</v>
      </c>
      <c r="AM1692" s="115" t="s">
        <v>1850</v>
      </c>
      <c r="AN1692" s="115" t="s">
        <v>1431</v>
      </c>
      <c r="AO1692" s="115" t="s">
        <v>381</v>
      </c>
    </row>
    <row r="1693" spans="35:41" ht="13">
      <c r="AI1693" s="115" t="s">
        <v>1415</v>
      </c>
      <c r="AJ1693" t="s">
        <v>2114</v>
      </c>
      <c r="AK1693" s="115">
        <v>0</v>
      </c>
      <c r="AL1693" s="115" t="s">
        <v>28</v>
      </c>
      <c r="AM1693" s="115" t="s">
        <v>1843</v>
      </c>
      <c r="AN1693" s="115" t="s">
        <v>1431</v>
      </c>
      <c r="AO1693" s="115" t="s">
        <v>381</v>
      </c>
    </row>
    <row r="1694" spans="35:41" ht="13">
      <c r="AI1694" s="115" t="s">
        <v>1415</v>
      </c>
      <c r="AJ1694" t="s">
        <v>2114</v>
      </c>
      <c r="AK1694" s="115">
        <v>0</v>
      </c>
      <c r="AL1694" s="115" t="s">
        <v>28</v>
      </c>
      <c r="AM1694" s="115" t="s">
        <v>1846</v>
      </c>
      <c r="AN1694" s="115" t="s">
        <v>1431</v>
      </c>
      <c r="AO1694" s="115" t="s">
        <v>381</v>
      </c>
    </row>
    <row r="1695" spans="35:41" ht="13">
      <c r="AI1695" s="115" t="s">
        <v>1415</v>
      </c>
      <c r="AJ1695" t="s">
        <v>2114</v>
      </c>
      <c r="AK1695" s="115">
        <v>0</v>
      </c>
      <c r="AL1695" s="115" t="s">
        <v>28</v>
      </c>
      <c r="AM1695" s="115" t="s">
        <v>1849</v>
      </c>
      <c r="AN1695" s="115" t="s">
        <v>1431</v>
      </c>
      <c r="AO1695" s="115" t="s">
        <v>381</v>
      </c>
    </row>
    <row r="1696" spans="35:41" ht="13">
      <c r="AI1696" s="115" t="s">
        <v>1415</v>
      </c>
      <c r="AJ1696" t="s">
        <v>2114</v>
      </c>
      <c r="AK1696" s="115">
        <v>0</v>
      </c>
      <c r="AL1696" s="115" t="s">
        <v>28</v>
      </c>
      <c r="AM1696" s="115" t="s">
        <v>1848</v>
      </c>
      <c r="AN1696" s="115" t="s">
        <v>1431</v>
      </c>
      <c r="AO1696" s="115" t="s">
        <v>381</v>
      </c>
    </row>
    <row r="1697" spans="35:41" ht="13">
      <c r="AI1697" s="115" t="s">
        <v>1415</v>
      </c>
      <c r="AJ1697" t="s">
        <v>2114</v>
      </c>
      <c r="AK1697" s="115">
        <v>0</v>
      </c>
      <c r="AL1697" s="115" t="s">
        <v>28</v>
      </c>
      <c r="AM1697" s="115" t="s">
        <v>1849</v>
      </c>
      <c r="AN1697" s="115" t="s">
        <v>1431</v>
      </c>
      <c r="AO1697" s="115" t="s">
        <v>379</v>
      </c>
    </row>
    <row r="1698" spans="35:41" ht="13">
      <c r="AI1698" s="115" t="s">
        <v>1415</v>
      </c>
      <c r="AJ1698" t="s">
        <v>2114</v>
      </c>
      <c r="AK1698" s="115">
        <v>0</v>
      </c>
      <c r="AL1698" s="115" t="s">
        <v>28</v>
      </c>
      <c r="AM1698" s="115" t="s">
        <v>1832</v>
      </c>
      <c r="AN1698" s="115" t="s">
        <v>1431</v>
      </c>
      <c r="AO1698" s="115" t="s">
        <v>379</v>
      </c>
    </row>
    <row r="1699" spans="35:41" ht="13">
      <c r="AI1699" s="115" t="s">
        <v>1415</v>
      </c>
      <c r="AJ1699" t="s">
        <v>2114</v>
      </c>
      <c r="AK1699" s="115">
        <v>0</v>
      </c>
      <c r="AL1699" s="115" t="s">
        <v>28</v>
      </c>
      <c r="AM1699" s="115" t="s">
        <v>1850</v>
      </c>
      <c r="AN1699" s="115" t="s">
        <v>1431</v>
      </c>
      <c r="AO1699" s="115" t="s">
        <v>379</v>
      </c>
    </row>
    <row r="1700" spans="35:41" ht="13">
      <c r="AI1700" s="115" t="s">
        <v>1415</v>
      </c>
      <c r="AJ1700" t="s">
        <v>2114</v>
      </c>
      <c r="AK1700" s="115">
        <v>0</v>
      </c>
      <c r="AL1700" s="115" t="s">
        <v>28</v>
      </c>
      <c r="AM1700" s="115" t="s">
        <v>1843</v>
      </c>
      <c r="AN1700" s="115" t="s">
        <v>1431</v>
      </c>
      <c r="AO1700" s="115" t="s">
        <v>379</v>
      </c>
    </row>
    <row r="1701" spans="35:41" ht="13">
      <c r="AI1701" s="115" t="s">
        <v>1415</v>
      </c>
      <c r="AJ1701" t="s">
        <v>2114</v>
      </c>
      <c r="AK1701" s="115">
        <v>0</v>
      </c>
      <c r="AL1701" s="115" t="s">
        <v>28</v>
      </c>
      <c r="AM1701" s="115" t="s">
        <v>1848</v>
      </c>
      <c r="AN1701" s="115" t="s">
        <v>1431</v>
      </c>
      <c r="AO1701" s="115" t="s">
        <v>379</v>
      </c>
    </row>
    <row r="1702" spans="35:41" ht="13">
      <c r="AI1702" s="115" t="s">
        <v>1415</v>
      </c>
      <c r="AJ1702" t="s">
        <v>2114</v>
      </c>
      <c r="AK1702" s="115">
        <v>0</v>
      </c>
      <c r="AL1702" s="115" t="s">
        <v>28</v>
      </c>
      <c r="AM1702" s="115" t="s">
        <v>1846</v>
      </c>
      <c r="AN1702" s="115" t="s">
        <v>1431</v>
      </c>
      <c r="AO1702" s="115" t="s">
        <v>379</v>
      </c>
    </row>
    <row r="1703" spans="35:41" ht="13">
      <c r="AI1703" s="115" t="s">
        <v>1415</v>
      </c>
      <c r="AJ1703" t="s">
        <v>2114</v>
      </c>
      <c r="AK1703" s="115">
        <v>0</v>
      </c>
      <c r="AL1703" s="115" t="s">
        <v>28</v>
      </c>
      <c r="AM1703" s="115" t="s">
        <v>1848</v>
      </c>
      <c r="AN1703" s="115" t="s">
        <v>1431</v>
      </c>
      <c r="AO1703" s="115" t="s">
        <v>1645</v>
      </c>
    </row>
    <row r="1704" spans="35:41" ht="13">
      <c r="AI1704" s="115" t="s">
        <v>1415</v>
      </c>
      <c r="AJ1704" t="s">
        <v>2114</v>
      </c>
      <c r="AK1704" s="115">
        <v>0</v>
      </c>
      <c r="AL1704" s="115" t="s">
        <v>28</v>
      </c>
      <c r="AM1704" s="115" t="s">
        <v>1846</v>
      </c>
      <c r="AN1704" s="115" t="s">
        <v>1431</v>
      </c>
      <c r="AO1704" s="115" t="s">
        <v>1645</v>
      </c>
    </row>
    <row r="1705" spans="35:41" ht="13">
      <c r="AI1705" s="115" t="s">
        <v>1415</v>
      </c>
      <c r="AJ1705" t="s">
        <v>2114</v>
      </c>
      <c r="AK1705" s="115">
        <v>0</v>
      </c>
      <c r="AL1705" s="115" t="s">
        <v>28</v>
      </c>
      <c r="AM1705" s="115" t="s">
        <v>1849</v>
      </c>
      <c r="AN1705" s="115" t="s">
        <v>1431</v>
      </c>
      <c r="AO1705" s="115" t="s">
        <v>1645</v>
      </c>
    </row>
    <row r="1706" spans="35:41" ht="13">
      <c r="AI1706" s="115" t="s">
        <v>1415</v>
      </c>
      <c r="AJ1706" t="s">
        <v>2114</v>
      </c>
      <c r="AK1706" s="115">
        <v>0</v>
      </c>
      <c r="AL1706" s="115" t="s">
        <v>28</v>
      </c>
      <c r="AM1706" s="115" t="s">
        <v>1843</v>
      </c>
      <c r="AN1706" s="115" t="s">
        <v>1431</v>
      </c>
      <c r="AO1706" s="115" t="s">
        <v>1645</v>
      </c>
    </row>
    <row r="1707" spans="35:41" ht="13">
      <c r="AI1707" s="115" t="s">
        <v>1415</v>
      </c>
      <c r="AJ1707" t="s">
        <v>2114</v>
      </c>
      <c r="AK1707" s="115">
        <v>0</v>
      </c>
      <c r="AL1707" s="115" t="s">
        <v>28</v>
      </c>
      <c r="AM1707" s="115" t="s">
        <v>1850</v>
      </c>
      <c r="AN1707" s="115" t="s">
        <v>1431</v>
      </c>
      <c r="AO1707" s="115" t="s">
        <v>1645</v>
      </c>
    </row>
    <row r="1708" spans="35:41" ht="13">
      <c r="AI1708" s="115" t="s">
        <v>1415</v>
      </c>
      <c r="AJ1708" t="s">
        <v>2114</v>
      </c>
      <c r="AK1708" s="115">
        <v>0</v>
      </c>
      <c r="AL1708" s="115" t="s">
        <v>28</v>
      </c>
      <c r="AM1708" s="115" t="s">
        <v>1832</v>
      </c>
      <c r="AN1708" s="115" t="s">
        <v>1431</v>
      </c>
      <c r="AO1708" s="115" t="s">
        <v>1645</v>
      </c>
    </row>
    <row r="1709" spans="35:41" ht="13">
      <c r="AI1709" s="115" t="s">
        <v>1415</v>
      </c>
      <c r="AJ1709" t="s">
        <v>2114</v>
      </c>
      <c r="AK1709" s="115">
        <v>0</v>
      </c>
      <c r="AL1709" s="115" t="s">
        <v>28</v>
      </c>
      <c r="AM1709" s="115" t="s">
        <v>1846</v>
      </c>
      <c r="AN1709" s="115" t="s">
        <v>1431</v>
      </c>
      <c r="AO1709" s="115" t="s">
        <v>1646</v>
      </c>
    </row>
    <row r="1710" spans="35:41" ht="13">
      <c r="AI1710" s="115" t="s">
        <v>1415</v>
      </c>
      <c r="AJ1710" t="s">
        <v>2114</v>
      </c>
      <c r="AK1710" s="115">
        <v>0</v>
      </c>
      <c r="AL1710" s="115" t="s">
        <v>28</v>
      </c>
      <c r="AM1710" s="115" t="s">
        <v>1843</v>
      </c>
      <c r="AN1710" s="115" t="s">
        <v>1431</v>
      </c>
      <c r="AO1710" s="115" t="s">
        <v>1646</v>
      </c>
    </row>
    <row r="1711" spans="35:41" ht="13">
      <c r="AI1711" s="115" t="s">
        <v>1415</v>
      </c>
      <c r="AJ1711" t="s">
        <v>2114</v>
      </c>
      <c r="AK1711" s="115">
        <v>0</v>
      </c>
      <c r="AL1711" s="115" t="s">
        <v>28</v>
      </c>
      <c r="AM1711" s="115" t="s">
        <v>1843</v>
      </c>
      <c r="AN1711" s="115" t="s">
        <v>1431</v>
      </c>
      <c r="AO1711" s="115" t="s">
        <v>1647</v>
      </c>
    </row>
    <row r="1712" spans="35:41" ht="13">
      <c r="AI1712" s="115" t="s">
        <v>1415</v>
      </c>
      <c r="AJ1712" t="s">
        <v>2114</v>
      </c>
      <c r="AK1712" s="115">
        <v>0</v>
      </c>
      <c r="AL1712" s="115" t="s">
        <v>28</v>
      </c>
      <c r="AM1712" s="115" t="s">
        <v>1846</v>
      </c>
      <c r="AN1712" s="115" t="s">
        <v>1431</v>
      </c>
      <c r="AO1712" s="115" t="s">
        <v>1647</v>
      </c>
    </row>
    <row r="1713" spans="35:41" ht="13">
      <c r="AI1713" s="115" t="s">
        <v>1415</v>
      </c>
      <c r="AJ1713" t="s">
        <v>2114</v>
      </c>
      <c r="AK1713" s="115">
        <v>0</v>
      </c>
      <c r="AL1713" s="115" t="s">
        <v>28</v>
      </c>
      <c r="AM1713" s="115" t="s">
        <v>1843</v>
      </c>
      <c r="AN1713" s="115" t="s">
        <v>1431</v>
      </c>
      <c r="AO1713" s="115" t="s">
        <v>1639</v>
      </c>
    </row>
    <row r="1714" spans="35:41" ht="13">
      <c r="AI1714" s="115" t="s">
        <v>1415</v>
      </c>
      <c r="AJ1714" t="s">
        <v>2114</v>
      </c>
      <c r="AK1714" s="115">
        <v>0</v>
      </c>
      <c r="AL1714" s="115" t="s">
        <v>28</v>
      </c>
      <c r="AM1714" s="115" t="s">
        <v>1846</v>
      </c>
      <c r="AN1714" s="115" t="s">
        <v>1431</v>
      </c>
      <c r="AO1714" s="115" t="s">
        <v>1639</v>
      </c>
    </row>
    <row r="1715" spans="35:41" ht="13">
      <c r="AI1715" s="115" t="s">
        <v>1415</v>
      </c>
      <c r="AJ1715" t="s">
        <v>2114</v>
      </c>
      <c r="AK1715" s="115">
        <v>0</v>
      </c>
      <c r="AL1715" s="115" t="s">
        <v>28</v>
      </c>
      <c r="AM1715" s="115" t="s">
        <v>1846</v>
      </c>
      <c r="AN1715" s="115" t="s">
        <v>1431</v>
      </c>
      <c r="AO1715" s="115" t="s">
        <v>373</v>
      </c>
    </row>
    <row r="1716" spans="35:41" ht="13">
      <c r="AI1716" s="115" t="s">
        <v>1415</v>
      </c>
      <c r="AJ1716" t="s">
        <v>2114</v>
      </c>
      <c r="AK1716" s="115">
        <v>0</v>
      </c>
      <c r="AL1716" s="115" t="s">
        <v>28</v>
      </c>
      <c r="AM1716" s="115" t="s">
        <v>1843</v>
      </c>
      <c r="AN1716" s="115" t="s">
        <v>1431</v>
      </c>
      <c r="AO1716" s="115" t="s">
        <v>373</v>
      </c>
    </row>
    <row r="1717" spans="35:41" ht="13">
      <c r="AI1717" s="115" t="s">
        <v>1415</v>
      </c>
      <c r="AJ1717" t="s">
        <v>2114</v>
      </c>
      <c r="AK1717" s="115">
        <v>0</v>
      </c>
      <c r="AL1717" s="115" t="s">
        <v>28</v>
      </c>
      <c r="AM1717" s="115" t="s">
        <v>1848</v>
      </c>
      <c r="AN1717" s="115" t="s">
        <v>1431</v>
      </c>
      <c r="AO1717" s="115" t="s">
        <v>373</v>
      </c>
    </row>
    <row r="1718" spans="35:41" ht="13">
      <c r="AI1718" s="115" t="s">
        <v>1415</v>
      </c>
      <c r="AJ1718" t="s">
        <v>2114</v>
      </c>
      <c r="AK1718" s="115">
        <v>0</v>
      </c>
      <c r="AL1718" s="115" t="s">
        <v>28</v>
      </c>
      <c r="AM1718" s="115" t="s">
        <v>1832</v>
      </c>
      <c r="AN1718" s="115" t="s">
        <v>1431</v>
      </c>
      <c r="AO1718" s="115" t="s">
        <v>373</v>
      </c>
    </row>
    <row r="1719" spans="35:41" ht="13">
      <c r="AI1719" s="115" t="s">
        <v>1415</v>
      </c>
      <c r="AJ1719" t="s">
        <v>2114</v>
      </c>
      <c r="AK1719" s="115">
        <v>0</v>
      </c>
      <c r="AL1719" s="115" t="s">
        <v>28</v>
      </c>
      <c r="AM1719" s="115" t="s">
        <v>1849</v>
      </c>
      <c r="AN1719" s="115" t="s">
        <v>1431</v>
      </c>
      <c r="AO1719" s="115" t="s">
        <v>373</v>
      </c>
    </row>
    <row r="1720" spans="35:41" ht="13">
      <c r="AI1720" s="115" t="s">
        <v>1415</v>
      </c>
      <c r="AJ1720" t="s">
        <v>2114</v>
      </c>
      <c r="AK1720" s="115">
        <v>0</v>
      </c>
      <c r="AL1720" s="115" t="s">
        <v>28</v>
      </c>
      <c r="AM1720" s="115" t="s">
        <v>1850</v>
      </c>
      <c r="AN1720" s="115" t="s">
        <v>1431</v>
      </c>
      <c r="AO1720" s="115" t="s">
        <v>373</v>
      </c>
    </row>
    <row r="1721" spans="35:41" ht="13">
      <c r="AI1721" s="115" t="s">
        <v>1415</v>
      </c>
      <c r="AJ1721" t="s">
        <v>2114</v>
      </c>
      <c r="AK1721" s="115">
        <v>0</v>
      </c>
      <c r="AL1721" s="115" t="s">
        <v>28</v>
      </c>
      <c r="AM1721" s="115" t="s">
        <v>1843</v>
      </c>
      <c r="AN1721" s="115" t="s">
        <v>1431</v>
      </c>
      <c r="AO1721" s="115" t="s">
        <v>380</v>
      </c>
    </row>
    <row r="1722" spans="35:41" ht="13">
      <c r="AI1722" s="115" t="s">
        <v>1415</v>
      </c>
      <c r="AJ1722" t="s">
        <v>2114</v>
      </c>
      <c r="AK1722" s="115">
        <v>0</v>
      </c>
      <c r="AL1722" s="115" t="s">
        <v>28</v>
      </c>
      <c r="AM1722" s="115" t="s">
        <v>1849</v>
      </c>
      <c r="AN1722" s="115" t="s">
        <v>1431</v>
      </c>
      <c r="AO1722" s="115" t="s">
        <v>380</v>
      </c>
    </row>
    <row r="1723" spans="35:41" ht="13">
      <c r="AI1723" s="115" t="s">
        <v>1415</v>
      </c>
      <c r="AJ1723" t="s">
        <v>2114</v>
      </c>
      <c r="AK1723" s="115">
        <v>0</v>
      </c>
      <c r="AL1723" s="115" t="s">
        <v>28</v>
      </c>
      <c r="AM1723" s="115" t="s">
        <v>1850</v>
      </c>
      <c r="AN1723" s="115" t="s">
        <v>1431</v>
      </c>
      <c r="AO1723" s="115" t="s">
        <v>380</v>
      </c>
    </row>
    <row r="1724" spans="35:41" ht="13">
      <c r="AI1724" s="115" t="s">
        <v>1415</v>
      </c>
      <c r="AJ1724" t="s">
        <v>2114</v>
      </c>
      <c r="AK1724" s="115">
        <v>0</v>
      </c>
      <c r="AL1724" s="115" t="s">
        <v>28</v>
      </c>
      <c r="AM1724" s="115" t="s">
        <v>1846</v>
      </c>
      <c r="AN1724" s="115" t="s">
        <v>1431</v>
      </c>
      <c r="AO1724" s="115" t="s">
        <v>380</v>
      </c>
    </row>
    <row r="1725" spans="35:41" ht="13">
      <c r="AI1725" s="115" t="s">
        <v>1415</v>
      </c>
      <c r="AJ1725" t="s">
        <v>2114</v>
      </c>
      <c r="AK1725" s="115">
        <v>0</v>
      </c>
      <c r="AL1725" s="115" t="s">
        <v>28</v>
      </c>
      <c r="AM1725" s="115" t="s">
        <v>1848</v>
      </c>
      <c r="AN1725" s="115" t="s">
        <v>1431</v>
      </c>
      <c r="AO1725" s="115" t="s">
        <v>380</v>
      </c>
    </row>
    <row r="1726" spans="35:41" ht="13">
      <c r="AI1726" s="115" t="s">
        <v>1415</v>
      </c>
      <c r="AJ1726" t="s">
        <v>2114</v>
      </c>
      <c r="AK1726" s="115">
        <v>0</v>
      </c>
      <c r="AL1726" s="115" t="s">
        <v>28</v>
      </c>
      <c r="AM1726" s="115" t="s">
        <v>1832</v>
      </c>
      <c r="AN1726" s="115" t="s">
        <v>1431</v>
      </c>
      <c r="AO1726" s="115" t="s">
        <v>380</v>
      </c>
    </row>
    <row r="1727" spans="35:41" ht="13">
      <c r="AI1727" s="115" t="s">
        <v>1415</v>
      </c>
      <c r="AJ1727" t="s">
        <v>2114</v>
      </c>
      <c r="AK1727" s="115">
        <v>0</v>
      </c>
      <c r="AL1727" s="115" t="s">
        <v>28</v>
      </c>
      <c r="AM1727" s="115" t="s">
        <v>1832</v>
      </c>
      <c r="AN1727" s="115" t="s">
        <v>1432</v>
      </c>
      <c r="AO1727" s="115" t="s">
        <v>1644</v>
      </c>
    </row>
    <row r="1728" spans="35:41" ht="13">
      <c r="AI1728" s="115" t="s">
        <v>1415</v>
      </c>
      <c r="AJ1728" t="s">
        <v>2114</v>
      </c>
      <c r="AK1728" s="115">
        <v>0</v>
      </c>
      <c r="AL1728" s="115" t="s">
        <v>28</v>
      </c>
      <c r="AM1728" s="115" t="s">
        <v>1843</v>
      </c>
      <c r="AN1728" s="115" t="s">
        <v>1432</v>
      </c>
      <c r="AO1728" s="115" t="s">
        <v>1644</v>
      </c>
    </row>
    <row r="1729" spans="35:41" ht="13">
      <c r="AI1729" s="115" t="s">
        <v>1415</v>
      </c>
      <c r="AJ1729" t="s">
        <v>2114</v>
      </c>
      <c r="AK1729" s="115">
        <v>0</v>
      </c>
      <c r="AL1729" s="115" t="s">
        <v>28</v>
      </c>
      <c r="AM1729" s="115" t="s">
        <v>1848</v>
      </c>
      <c r="AN1729" s="115" t="s">
        <v>1432</v>
      </c>
      <c r="AO1729" s="115" t="s">
        <v>1644</v>
      </c>
    </row>
    <row r="1730" spans="35:41" ht="13">
      <c r="AI1730" s="115" t="s">
        <v>1415</v>
      </c>
      <c r="AJ1730" t="s">
        <v>2114</v>
      </c>
      <c r="AK1730" s="115">
        <v>0</v>
      </c>
      <c r="AL1730" s="115" t="s">
        <v>28</v>
      </c>
      <c r="AM1730" s="115" t="s">
        <v>1850</v>
      </c>
      <c r="AN1730" s="115" t="s">
        <v>1432</v>
      </c>
      <c r="AO1730" s="115" t="s">
        <v>1644</v>
      </c>
    </row>
    <row r="1731" spans="35:41" ht="13">
      <c r="AI1731" s="115" t="s">
        <v>1415</v>
      </c>
      <c r="AJ1731" t="s">
        <v>2114</v>
      </c>
      <c r="AK1731" s="115">
        <v>0</v>
      </c>
      <c r="AL1731" s="115" t="s">
        <v>28</v>
      </c>
      <c r="AM1731" s="115" t="s">
        <v>1832</v>
      </c>
      <c r="AN1731" s="115" t="s">
        <v>1432</v>
      </c>
      <c r="AO1731" s="115" t="s">
        <v>1274</v>
      </c>
    </row>
    <row r="1732" spans="35:41" ht="13">
      <c r="AI1732" s="115" t="s">
        <v>1415</v>
      </c>
      <c r="AJ1732" t="s">
        <v>2114</v>
      </c>
      <c r="AK1732" s="115">
        <v>0</v>
      </c>
      <c r="AL1732" s="115" t="s">
        <v>28</v>
      </c>
      <c r="AM1732" s="115" t="s">
        <v>1849</v>
      </c>
      <c r="AN1732" s="115" t="s">
        <v>1432</v>
      </c>
      <c r="AO1732" s="115" t="s">
        <v>1274</v>
      </c>
    </row>
    <row r="1733" spans="35:41" ht="13">
      <c r="AI1733" s="115" t="s">
        <v>1415</v>
      </c>
      <c r="AJ1733" t="s">
        <v>2114</v>
      </c>
      <c r="AK1733" s="115">
        <v>0</v>
      </c>
      <c r="AL1733" s="115" t="s">
        <v>28</v>
      </c>
      <c r="AM1733" s="115" t="s">
        <v>1843</v>
      </c>
      <c r="AN1733" s="115" t="s">
        <v>1432</v>
      </c>
      <c r="AO1733" s="115" t="s">
        <v>1274</v>
      </c>
    </row>
    <row r="1734" spans="35:41" ht="13">
      <c r="AI1734" s="115" t="s">
        <v>1415</v>
      </c>
      <c r="AJ1734" t="s">
        <v>2114</v>
      </c>
      <c r="AK1734" s="115">
        <v>0</v>
      </c>
      <c r="AL1734" s="115" t="s">
        <v>28</v>
      </c>
      <c r="AM1734" s="115" t="s">
        <v>1848</v>
      </c>
      <c r="AN1734" s="115" t="s">
        <v>1432</v>
      </c>
      <c r="AO1734" s="115" t="s">
        <v>1274</v>
      </c>
    </row>
    <row r="1735" spans="35:41" ht="13">
      <c r="AI1735" s="115" t="s">
        <v>1415</v>
      </c>
      <c r="AJ1735" t="s">
        <v>2114</v>
      </c>
      <c r="AK1735" s="115">
        <v>0</v>
      </c>
      <c r="AL1735" s="115" t="s">
        <v>28</v>
      </c>
      <c r="AM1735" s="115" t="s">
        <v>1846</v>
      </c>
      <c r="AN1735" s="115" t="s">
        <v>1432</v>
      </c>
      <c r="AO1735" s="115" t="s">
        <v>1274</v>
      </c>
    </row>
    <row r="1736" spans="35:41" ht="13">
      <c r="AI1736" s="115" t="s">
        <v>1415</v>
      </c>
      <c r="AJ1736" t="s">
        <v>2114</v>
      </c>
      <c r="AK1736" s="115">
        <v>0</v>
      </c>
      <c r="AL1736" s="115" t="s">
        <v>28</v>
      </c>
      <c r="AM1736" s="115" t="s">
        <v>1850</v>
      </c>
      <c r="AN1736" s="115" t="s">
        <v>1432</v>
      </c>
      <c r="AO1736" s="115" t="s">
        <v>1274</v>
      </c>
    </row>
    <row r="1737" spans="35:41" ht="13">
      <c r="AI1737" s="115" t="s">
        <v>1415</v>
      </c>
      <c r="AJ1737" t="s">
        <v>2114</v>
      </c>
      <c r="AK1737" s="115">
        <v>0</v>
      </c>
      <c r="AL1737" s="115" t="s">
        <v>28</v>
      </c>
      <c r="AM1737" s="115" t="s">
        <v>1832</v>
      </c>
      <c r="AN1737" s="115" t="s">
        <v>1432</v>
      </c>
      <c r="AO1737" s="115" t="s">
        <v>381</v>
      </c>
    </row>
    <row r="1738" spans="35:41" ht="13">
      <c r="AI1738" s="115" t="s">
        <v>1415</v>
      </c>
      <c r="AJ1738" t="s">
        <v>2114</v>
      </c>
      <c r="AK1738" s="115">
        <v>0</v>
      </c>
      <c r="AL1738" s="115" t="s">
        <v>28</v>
      </c>
      <c r="AM1738" s="115" t="s">
        <v>1843</v>
      </c>
      <c r="AN1738" s="115" t="s">
        <v>1432</v>
      </c>
      <c r="AO1738" s="115" t="s">
        <v>381</v>
      </c>
    </row>
    <row r="1739" spans="35:41" ht="13">
      <c r="AI1739" s="115" t="s">
        <v>1415</v>
      </c>
      <c r="AJ1739" t="s">
        <v>2114</v>
      </c>
      <c r="AK1739" s="115">
        <v>0</v>
      </c>
      <c r="AL1739" s="115" t="s">
        <v>28</v>
      </c>
      <c r="AM1739" s="115" t="s">
        <v>1846</v>
      </c>
      <c r="AN1739" s="115" t="s">
        <v>1432</v>
      </c>
      <c r="AO1739" s="115" t="s">
        <v>381</v>
      </c>
    </row>
    <row r="1740" spans="35:41" ht="13">
      <c r="AI1740" s="115" t="s">
        <v>1415</v>
      </c>
      <c r="AJ1740" t="s">
        <v>2114</v>
      </c>
      <c r="AK1740" s="115">
        <v>0</v>
      </c>
      <c r="AL1740" s="115" t="s">
        <v>28</v>
      </c>
      <c r="AM1740" s="115" t="s">
        <v>1849</v>
      </c>
      <c r="AN1740" s="115" t="s">
        <v>1432</v>
      </c>
      <c r="AO1740" s="115" t="s">
        <v>381</v>
      </c>
    </row>
    <row r="1741" spans="35:41" ht="13">
      <c r="AI1741" s="115" t="s">
        <v>1415</v>
      </c>
      <c r="AJ1741" t="s">
        <v>2114</v>
      </c>
      <c r="AK1741" s="115">
        <v>0</v>
      </c>
      <c r="AL1741" s="115" t="s">
        <v>28</v>
      </c>
      <c r="AM1741" s="115" t="s">
        <v>1848</v>
      </c>
      <c r="AN1741" s="115" t="s">
        <v>1432</v>
      </c>
      <c r="AO1741" s="115" t="s">
        <v>381</v>
      </c>
    </row>
    <row r="1742" spans="35:41" ht="13">
      <c r="AI1742" s="115" t="s">
        <v>1415</v>
      </c>
      <c r="AJ1742" t="s">
        <v>2114</v>
      </c>
      <c r="AK1742" s="115">
        <v>0</v>
      </c>
      <c r="AL1742" s="115" t="s">
        <v>28</v>
      </c>
      <c r="AM1742" s="115" t="s">
        <v>1850</v>
      </c>
      <c r="AN1742" s="115" t="s">
        <v>1432</v>
      </c>
      <c r="AO1742" s="115" t="s">
        <v>381</v>
      </c>
    </row>
    <row r="1743" spans="35:41" ht="13">
      <c r="AI1743" s="115" t="s">
        <v>1415</v>
      </c>
      <c r="AJ1743" t="s">
        <v>2114</v>
      </c>
      <c r="AK1743" s="115">
        <v>0</v>
      </c>
      <c r="AL1743" s="115" t="s">
        <v>28</v>
      </c>
      <c r="AM1743" s="115" t="s">
        <v>1832</v>
      </c>
      <c r="AN1743" s="115" t="s">
        <v>1432</v>
      </c>
      <c r="AO1743" s="115" t="s">
        <v>379</v>
      </c>
    </row>
    <row r="1744" spans="35:41" ht="13">
      <c r="AI1744" s="115" t="s">
        <v>1415</v>
      </c>
      <c r="AJ1744" t="s">
        <v>2114</v>
      </c>
      <c r="AK1744" s="115">
        <v>0</v>
      </c>
      <c r="AL1744" s="115" t="s">
        <v>28</v>
      </c>
      <c r="AM1744" s="115" t="s">
        <v>1849</v>
      </c>
      <c r="AN1744" s="115" t="s">
        <v>1432</v>
      </c>
      <c r="AO1744" s="115" t="s">
        <v>379</v>
      </c>
    </row>
    <row r="1745" spans="35:41" ht="13">
      <c r="AI1745" s="115" t="s">
        <v>1415</v>
      </c>
      <c r="AJ1745" t="s">
        <v>2114</v>
      </c>
      <c r="AK1745" s="115">
        <v>0</v>
      </c>
      <c r="AL1745" s="115" t="s">
        <v>28</v>
      </c>
      <c r="AM1745" s="115" t="s">
        <v>1843</v>
      </c>
      <c r="AN1745" s="115" t="s">
        <v>1432</v>
      </c>
      <c r="AO1745" s="115" t="s">
        <v>379</v>
      </c>
    </row>
    <row r="1746" spans="35:41" ht="13">
      <c r="AI1746" s="115" t="s">
        <v>1415</v>
      </c>
      <c r="AJ1746" t="s">
        <v>2114</v>
      </c>
      <c r="AK1746" s="115">
        <v>0</v>
      </c>
      <c r="AL1746" s="115" t="s">
        <v>28</v>
      </c>
      <c r="AM1746" s="115" t="s">
        <v>1848</v>
      </c>
      <c r="AN1746" s="115" t="s">
        <v>1432</v>
      </c>
      <c r="AO1746" s="115" t="s">
        <v>379</v>
      </c>
    </row>
    <row r="1747" spans="35:41" ht="13">
      <c r="AI1747" s="115" t="s">
        <v>1415</v>
      </c>
      <c r="AJ1747" t="s">
        <v>2114</v>
      </c>
      <c r="AK1747" s="115">
        <v>0</v>
      </c>
      <c r="AL1747" s="115" t="s">
        <v>28</v>
      </c>
      <c r="AM1747" s="115" t="s">
        <v>1846</v>
      </c>
      <c r="AN1747" s="115" t="s">
        <v>1432</v>
      </c>
      <c r="AO1747" s="115" t="s">
        <v>379</v>
      </c>
    </row>
    <row r="1748" spans="35:41" ht="13">
      <c r="AI1748" s="115" t="s">
        <v>1415</v>
      </c>
      <c r="AJ1748" t="s">
        <v>2114</v>
      </c>
      <c r="AK1748" s="115">
        <v>0</v>
      </c>
      <c r="AL1748" s="115" t="s">
        <v>28</v>
      </c>
      <c r="AM1748" s="115" t="s">
        <v>1850</v>
      </c>
      <c r="AN1748" s="115" t="s">
        <v>1432</v>
      </c>
      <c r="AO1748" s="115" t="s">
        <v>379</v>
      </c>
    </row>
    <row r="1749" spans="35:41" ht="13">
      <c r="AI1749" s="115" t="s">
        <v>1415</v>
      </c>
      <c r="AJ1749" t="s">
        <v>2114</v>
      </c>
      <c r="AK1749" s="115">
        <v>0</v>
      </c>
      <c r="AL1749" s="115" t="s">
        <v>28</v>
      </c>
      <c r="AM1749" s="115" t="s">
        <v>1848</v>
      </c>
      <c r="AN1749" s="115" t="s">
        <v>1432</v>
      </c>
      <c r="AO1749" s="115" t="s">
        <v>1645</v>
      </c>
    </row>
    <row r="1750" spans="35:41" ht="13">
      <c r="AI1750" s="115" t="s">
        <v>1415</v>
      </c>
      <c r="AJ1750" t="s">
        <v>2114</v>
      </c>
      <c r="AK1750" s="115">
        <v>0</v>
      </c>
      <c r="AL1750" s="115" t="s">
        <v>28</v>
      </c>
      <c r="AM1750" s="115" t="s">
        <v>1849</v>
      </c>
      <c r="AN1750" s="115" t="s">
        <v>1432</v>
      </c>
      <c r="AO1750" s="115" t="s">
        <v>1645</v>
      </c>
    </row>
    <row r="1751" spans="35:41" ht="13">
      <c r="AI1751" s="115" t="s">
        <v>1415</v>
      </c>
      <c r="AJ1751" t="s">
        <v>2114</v>
      </c>
      <c r="AK1751" s="115">
        <v>0</v>
      </c>
      <c r="AL1751" s="115" t="s">
        <v>28</v>
      </c>
      <c r="AM1751" s="115" t="s">
        <v>1832</v>
      </c>
      <c r="AN1751" s="115" t="s">
        <v>1432</v>
      </c>
      <c r="AO1751" s="115" t="s">
        <v>1645</v>
      </c>
    </row>
    <row r="1752" spans="35:41" ht="13">
      <c r="AI1752" s="115" t="s">
        <v>1415</v>
      </c>
      <c r="AJ1752" t="s">
        <v>2114</v>
      </c>
      <c r="AK1752" s="115">
        <v>0</v>
      </c>
      <c r="AL1752" s="115" t="s">
        <v>28</v>
      </c>
      <c r="AM1752" s="115" t="s">
        <v>1846</v>
      </c>
      <c r="AN1752" s="115" t="s">
        <v>1432</v>
      </c>
      <c r="AO1752" s="115" t="s">
        <v>1645</v>
      </c>
    </row>
    <row r="1753" spans="35:41" ht="13">
      <c r="AI1753" s="115" t="s">
        <v>1415</v>
      </c>
      <c r="AJ1753" t="s">
        <v>2114</v>
      </c>
      <c r="AK1753" s="115">
        <v>0</v>
      </c>
      <c r="AL1753" s="115" t="s">
        <v>28</v>
      </c>
      <c r="AM1753" s="115" t="s">
        <v>1850</v>
      </c>
      <c r="AN1753" s="115" t="s">
        <v>1432</v>
      </c>
      <c r="AO1753" s="115" t="s">
        <v>1645</v>
      </c>
    </row>
    <row r="1754" spans="35:41" ht="13">
      <c r="AI1754" s="115" t="s">
        <v>1415</v>
      </c>
      <c r="AJ1754" t="s">
        <v>2114</v>
      </c>
      <c r="AK1754" s="115">
        <v>0</v>
      </c>
      <c r="AL1754" s="115" t="s">
        <v>28</v>
      </c>
      <c r="AM1754" s="115" t="s">
        <v>1843</v>
      </c>
      <c r="AN1754" s="115" t="s">
        <v>1432</v>
      </c>
      <c r="AO1754" s="115" t="s">
        <v>1645</v>
      </c>
    </row>
    <row r="1755" spans="35:41" ht="13">
      <c r="AI1755" s="115" t="s">
        <v>1415</v>
      </c>
      <c r="AJ1755" t="s">
        <v>2114</v>
      </c>
      <c r="AK1755" s="115">
        <v>0</v>
      </c>
      <c r="AL1755" s="115" t="s">
        <v>28</v>
      </c>
      <c r="AM1755" s="115" t="s">
        <v>1846</v>
      </c>
      <c r="AN1755" s="115" t="s">
        <v>1432</v>
      </c>
      <c r="AO1755" s="115" t="s">
        <v>1646</v>
      </c>
    </row>
    <row r="1756" spans="35:41" ht="13">
      <c r="AI1756" s="115" t="s">
        <v>1415</v>
      </c>
      <c r="AJ1756" t="s">
        <v>2114</v>
      </c>
      <c r="AK1756" s="115">
        <v>0</v>
      </c>
      <c r="AL1756" s="115" t="s">
        <v>28</v>
      </c>
      <c r="AM1756" s="115" t="s">
        <v>1843</v>
      </c>
      <c r="AN1756" s="115" t="s">
        <v>1432</v>
      </c>
      <c r="AO1756" s="115" t="s">
        <v>1646</v>
      </c>
    </row>
    <row r="1757" spans="35:41" ht="13">
      <c r="AI1757" s="115" t="s">
        <v>1415</v>
      </c>
      <c r="AJ1757" t="s">
        <v>2114</v>
      </c>
      <c r="AK1757" s="115">
        <v>0</v>
      </c>
      <c r="AL1757" s="115" t="s">
        <v>28</v>
      </c>
      <c r="AM1757" s="115" t="s">
        <v>1846</v>
      </c>
      <c r="AN1757" s="115" t="s">
        <v>1432</v>
      </c>
      <c r="AO1757" s="115" t="s">
        <v>1647</v>
      </c>
    </row>
    <row r="1758" spans="35:41" ht="13">
      <c r="AI1758" s="115" t="s">
        <v>1415</v>
      </c>
      <c r="AJ1758" t="s">
        <v>2114</v>
      </c>
      <c r="AK1758" s="115">
        <v>0</v>
      </c>
      <c r="AL1758" s="115" t="s">
        <v>28</v>
      </c>
      <c r="AM1758" s="115" t="s">
        <v>1843</v>
      </c>
      <c r="AN1758" s="115" t="s">
        <v>1432</v>
      </c>
      <c r="AO1758" s="115" t="s">
        <v>1647</v>
      </c>
    </row>
    <row r="1759" spans="35:41" ht="13">
      <c r="AI1759" s="115" t="s">
        <v>1415</v>
      </c>
      <c r="AJ1759" t="s">
        <v>2114</v>
      </c>
      <c r="AK1759" s="115">
        <v>0</v>
      </c>
      <c r="AL1759" s="115" t="s">
        <v>28</v>
      </c>
      <c r="AM1759" s="115" t="s">
        <v>1846</v>
      </c>
      <c r="AN1759" s="115" t="s">
        <v>1432</v>
      </c>
      <c r="AO1759" s="115" t="s">
        <v>1639</v>
      </c>
    </row>
    <row r="1760" spans="35:41" ht="13">
      <c r="AI1760" s="115" t="s">
        <v>1415</v>
      </c>
      <c r="AJ1760" t="s">
        <v>2114</v>
      </c>
      <c r="AK1760" s="115">
        <v>0</v>
      </c>
      <c r="AL1760" s="115" t="s">
        <v>28</v>
      </c>
      <c r="AM1760" s="115" t="s">
        <v>1843</v>
      </c>
      <c r="AN1760" s="115" t="s">
        <v>1432</v>
      </c>
      <c r="AO1760" s="115" t="s">
        <v>1639</v>
      </c>
    </row>
    <row r="1761" spans="35:41" ht="13">
      <c r="AI1761" s="115" t="s">
        <v>1415</v>
      </c>
      <c r="AJ1761" t="s">
        <v>2114</v>
      </c>
      <c r="AK1761" s="115">
        <v>0</v>
      </c>
      <c r="AL1761" s="115" t="s">
        <v>28</v>
      </c>
      <c r="AM1761" s="115" t="s">
        <v>1849</v>
      </c>
      <c r="AN1761" s="115" t="s">
        <v>1432</v>
      </c>
      <c r="AO1761" s="115" t="s">
        <v>373</v>
      </c>
    </row>
    <row r="1762" spans="35:41" ht="13">
      <c r="AI1762" s="115" t="s">
        <v>1415</v>
      </c>
      <c r="AJ1762" t="s">
        <v>2114</v>
      </c>
      <c r="AK1762" s="115">
        <v>0</v>
      </c>
      <c r="AL1762" s="115" t="s">
        <v>28</v>
      </c>
      <c r="AM1762" s="115" t="s">
        <v>1843</v>
      </c>
      <c r="AN1762" s="115" t="s">
        <v>1432</v>
      </c>
      <c r="AO1762" s="115" t="s">
        <v>373</v>
      </c>
    </row>
    <row r="1763" spans="35:41" ht="13">
      <c r="AI1763" s="115" t="s">
        <v>1415</v>
      </c>
      <c r="AJ1763" t="s">
        <v>2114</v>
      </c>
      <c r="AK1763" s="115">
        <v>0</v>
      </c>
      <c r="AL1763" s="115" t="s">
        <v>28</v>
      </c>
      <c r="AM1763" s="115" t="s">
        <v>1846</v>
      </c>
      <c r="AN1763" s="115" t="s">
        <v>1432</v>
      </c>
      <c r="AO1763" s="115" t="s">
        <v>373</v>
      </c>
    </row>
    <row r="1764" spans="35:41" ht="13">
      <c r="AI1764" s="115" t="s">
        <v>1415</v>
      </c>
      <c r="AJ1764" t="s">
        <v>2114</v>
      </c>
      <c r="AK1764" s="115">
        <v>0</v>
      </c>
      <c r="AL1764" s="115" t="s">
        <v>28</v>
      </c>
      <c r="AM1764" s="115" t="s">
        <v>1832</v>
      </c>
      <c r="AN1764" s="115" t="s">
        <v>1432</v>
      </c>
      <c r="AO1764" s="115" t="s">
        <v>373</v>
      </c>
    </row>
    <row r="1765" spans="35:41" ht="13">
      <c r="AI1765" s="115" t="s">
        <v>1415</v>
      </c>
      <c r="AJ1765" t="s">
        <v>2114</v>
      </c>
      <c r="AK1765" s="115">
        <v>0</v>
      </c>
      <c r="AL1765" s="115" t="s">
        <v>28</v>
      </c>
      <c r="AM1765" s="115" t="s">
        <v>1848</v>
      </c>
      <c r="AN1765" s="115" t="s">
        <v>1432</v>
      </c>
      <c r="AO1765" s="115" t="s">
        <v>373</v>
      </c>
    </row>
    <row r="1766" spans="35:41" ht="13">
      <c r="AI1766" s="115" t="s">
        <v>1415</v>
      </c>
      <c r="AJ1766" t="s">
        <v>2114</v>
      </c>
      <c r="AK1766" s="115">
        <v>0</v>
      </c>
      <c r="AL1766" s="115" t="s">
        <v>28</v>
      </c>
      <c r="AM1766" s="115" t="s">
        <v>1850</v>
      </c>
      <c r="AN1766" s="115" t="s">
        <v>1432</v>
      </c>
      <c r="AO1766" s="115" t="s">
        <v>373</v>
      </c>
    </row>
    <row r="1767" spans="35:41" ht="13">
      <c r="AI1767" s="115" t="s">
        <v>1415</v>
      </c>
      <c r="AJ1767" t="s">
        <v>2114</v>
      </c>
      <c r="AK1767" s="115">
        <v>0</v>
      </c>
      <c r="AL1767" s="115" t="s">
        <v>28</v>
      </c>
      <c r="AM1767" s="115" t="s">
        <v>1832</v>
      </c>
      <c r="AN1767" s="115" t="s">
        <v>1432</v>
      </c>
      <c r="AO1767" s="115" t="s">
        <v>380</v>
      </c>
    </row>
    <row r="1768" spans="35:41" ht="13">
      <c r="AI1768" s="115" t="s">
        <v>1415</v>
      </c>
      <c r="AJ1768" t="s">
        <v>2114</v>
      </c>
      <c r="AK1768" s="115">
        <v>0</v>
      </c>
      <c r="AL1768" s="115" t="s">
        <v>28</v>
      </c>
      <c r="AM1768" s="115" t="s">
        <v>1846</v>
      </c>
      <c r="AN1768" s="115" t="s">
        <v>1432</v>
      </c>
      <c r="AO1768" s="115" t="s">
        <v>380</v>
      </c>
    </row>
    <row r="1769" spans="35:41" ht="13">
      <c r="AI1769" s="115" t="s">
        <v>1415</v>
      </c>
      <c r="AJ1769" t="s">
        <v>2114</v>
      </c>
      <c r="AK1769" s="115">
        <v>0</v>
      </c>
      <c r="AL1769" s="115" t="s">
        <v>28</v>
      </c>
      <c r="AM1769" s="115" t="s">
        <v>1848</v>
      </c>
      <c r="AN1769" s="115" t="s">
        <v>1432</v>
      </c>
      <c r="AO1769" s="115" t="s">
        <v>380</v>
      </c>
    </row>
    <row r="1770" spans="35:41" ht="13">
      <c r="AI1770" s="115" t="s">
        <v>1415</v>
      </c>
      <c r="AJ1770" t="s">
        <v>2114</v>
      </c>
      <c r="AK1770" s="115">
        <v>0</v>
      </c>
      <c r="AL1770" s="115" t="s">
        <v>28</v>
      </c>
      <c r="AM1770" s="115" t="s">
        <v>1843</v>
      </c>
      <c r="AN1770" s="115" t="s">
        <v>1432</v>
      </c>
      <c r="AO1770" s="115" t="s">
        <v>380</v>
      </c>
    </row>
    <row r="1771" spans="35:41" ht="13">
      <c r="AI1771" s="115" t="s">
        <v>1415</v>
      </c>
      <c r="AJ1771" t="s">
        <v>2114</v>
      </c>
      <c r="AK1771" s="115">
        <v>0</v>
      </c>
      <c r="AL1771" s="115" t="s">
        <v>28</v>
      </c>
      <c r="AM1771" s="115" t="s">
        <v>1850</v>
      </c>
      <c r="AN1771" s="115" t="s">
        <v>1432</v>
      </c>
      <c r="AO1771" s="115" t="s">
        <v>380</v>
      </c>
    </row>
    <row r="1772" spans="35:41" ht="13">
      <c r="AI1772" s="115" t="s">
        <v>1415</v>
      </c>
      <c r="AJ1772" t="s">
        <v>2114</v>
      </c>
      <c r="AK1772" s="115">
        <v>0</v>
      </c>
      <c r="AL1772" s="115" t="s">
        <v>28</v>
      </c>
      <c r="AM1772" s="115" t="s">
        <v>1849</v>
      </c>
      <c r="AN1772" s="115" t="s">
        <v>1432</v>
      </c>
      <c r="AO1772" s="115" t="s">
        <v>380</v>
      </c>
    </row>
    <row r="1773" spans="35:41" ht="13">
      <c r="AI1773" s="115" t="s">
        <v>1415</v>
      </c>
      <c r="AJ1773" t="s">
        <v>2114</v>
      </c>
      <c r="AK1773" s="115">
        <v>0</v>
      </c>
      <c r="AL1773" s="115" t="s">
        <v>28</v>
      </c>
      <c r="AM1773" s="115" t="s">
        <v>1843</v>
      </c>
      <c r="AN1773" s="115" t="s">
        <v>1433</v>
      </c>
      <c r="AO1773" s="115" t="s">
        <v>1644</v>
      </c>
    </row>
    <row r="1774" spans="35:41" ht="13">
      <c r="AI1774" s="115" t="s">
        <v>1415</v>
      </c>
      <c r="AJ1774" t="s">
        <v>2114</v>
      </c>
      <c r="AK1774" s="115">
        <v>0</v>
      </c>
      <c r="AL1774" s="115" t="s">
        <v>28</v>
      </c>
      <c r="AM1774" s="115" t="s">
        <v>1832</v>
      </c>
      <c r="AN1774" s="115" t="s">
        <v>1433</v>
      </c>
      <c r="AO1774" s="115" t="s">
        <v>1644</v>
      </c>
    </row>
    <row r="1775" spans="35:41" ht="13">
      <c r="AI1775" s="115" t="s">
        <v>1415</v>
      </c>
      <c r="AJ1775" t="s">
        <v>2114</v>
      </c>
      <c r="AK1775" s="115">
        <v>0</v>
      </c>
      <c r="AL1775" s="115" t="s">
        <v>28</v>
      </c>
      <c r="AM1775" s="115" t="s">
        <v>1848</v>
      </c>
      <c r="AN1775" s="115" t="s">
        <v>1433</v>
      </c>
      <c r="AO1775" s="115" t="s">
        <v>1644</v>
      </c>
    </row>
    <row r="1776" spans="35:41" ht="13">
      <c r="AI1776" s="115" t="s">
        <v>1415</v>
      </c>
      <c r="AJ1776" t="s">
        <v>2114</v>
      </c>
      <c r="AK1776" s="115">
        <v>0</v>
      </c>
      <c r="AL1776" s="115" t="s">
        <v>28</v>
      </c>
      <c r="AM1776" s="115" t="s">
        <v>1850</v>
      </c>
      <c r="AN1776" s="115" t="s">
        <v>1433</v>
      </c>
      <c r="AO1776" s="115" t="s">
        <v>1644</v>
      </c>
    </row>
    <row r="1777" spans="35:41" ht="13">
      <c r="AI1777" s="115" t="s">
        <v>1415</v>
      </c>
      <c r="AJ1777" t="s">
        <v>2114</v>
      </c>
      <c r="AK1777" s="115">
        <v>0</v>
      </c>
      <c r="AL1777" s="115" t="s">
        <v>28</v>
      </c>
      <c r="AM1777" s="115" t="s">
        <v>1848</v>
      </c>
      <c r="AN1777" s="115" t="s">
        <v>1433</v>
      </c>
      <c r="AO1777" s="115" t="s">
        <v>1274</v>
      </c>
    </row>
    <row r="1778" spans="35:41" ht="13">
      <c r="AI1778" s="115" t="s">
        <v>1415</v>
      </c>
      <c r="AJ1778" t="s">
        <v>2114</v>
      </c>
      <c r="AK1778" s="115">
        <v>0</v>
      </c>
      <c r="AL1778" s="115" t="s">
        <v>28</v>
      </c>
      <c r="AM1778" s="115" t="s">
        <v>1832</v>
      </c>
      <c r="AN1778" s="115" t="s">
        <v>1433</v>
      </c>
      <c r="AO1778" s="115" t="s">
        <v>1274</v>
      </c>
    </row>
    <row r="1779" spans="35:41" ht="13">
      <c r="AI1779" s="115" t="s">
        <v>1415</v>
      </c>
      <c r="AJ1779" t="s">
        <v>2114</v>
      </c>
      <c r="AK1779" s="115">
        <v>0</v>
      </c>
      <c r="AL1779" s="115" t="s">
        <v>28</v>
      </c>
      <c r="AM1779" s="115" t="s">
        <v>1850</v>
      </c>
      <c r="AN1779" s="115" t="s">
        <v>1433</v>
      </c>
      <c r="AO1779" s="115" t="s">
        <v>1274</v>
      </c>
    </row>
    <row r="1780" spans="35:41" ht="13">
      <c r="AI1780" s="115" t="s">
        <v>1415</v>
      </c>
      <c r="AJ1780" t="s">
        <v>2114</v>
      </c>
      <c r="AK1780" s="115">
        <v>0</v>
      </c>
      <c r="AL1780" s="115" t="s">
        <v>28</v>
      </c>
      <c r="AM1780" s="115" t="s">
        <v>1849</v>
      </c>
      <c r="AN1780" s="115" t="s">
        <v>1433</v>
      </c>
      <c r="AO1780" s="115" t="s">
        <v>1274</v>
      </c>
    </row>
    <row r="1781" spans="35:41" ht="13">
      <c r="AI1781" s="115" t="s">
        <v>1415</v>
      </c>
      <c r="AJ1781" t="s">
        <v>2114</v>
      </c>
      <c r="AK1781" s="115">
        <v>0</v>
      </c>
      <c r="AL1781" s="115" t="s">
        <v>28</v>
      </c>
      <c r="AM1781" s="115" t="s">
        <v>1843</v>
      </c>
      <c r="AN1781" s="115" t="s">
        <v>1433</v>
      </c>
      <c r="AO1781" s="115" t="s">
        <v>1274</v>
      </c>
    </row>
    <row r="1782" spans="35:41" ht="13">
      <c r="AI1782" s="115" t="s">
        <v>1415</v>
      </c>
      <c r="AJ1782" t="s">
        <v>2114</v>
      </c>
      <c r="AK1782" s="115">
        <v>0</v>
      </c>
      <c r="AL1782" s="115" t="s">
        <v>28</v>
      </c>
      <c r="AM1782" s="115" t="s">
        <v>1846</v>
      </c>
      <c r="AN1782" s="115" t="s">
        <v>1433</v>
      </c>
      <c r="AO1782" s="115" t="s">
        <v>1274</v>
      </c>
    </row>
    <row r="1783" spans="35:41" ht="13">
      <c r="AI1783" s="115" t="s">
        <v>1415</v>
      </c>
      <c r="AJ1783" t="s">
        <v>2114</v>
      </c>
      <c r="AK1783" s="115">
        <v>0</v>
      </c>
      <c r="AL1783" s="115" t="s">
        <v>28</v>
      </c>
      <c r="AM1783" s="115" t="s">
        <v>1832</v>
      </c>
      <c r="AN1783" s="115" t="s">
        <v>1433</v>
      </c>
      <c r="AO1783" s="115" t="s">
        <v>381</v>
      </c>
    </row>
    <row r="1784" spans="35:41" ht="13">
      <c r="AI1784" s="115" t="s">
        <v>1415</v>
      </c>
      <c r="AJ1784" t="s">
        <v>2114</v>
      </c>
      <c r="AK1784" s="115">
        <v>0</v>
      </c>
      <c r="AL1784" s="115" t="s">
        <v>28</v>
      </c>
      <c r="AM1784" s="115" t="s">
        <v>1846</v>
      </c>
      <c r="AN1784" s="115" t="s">
        <v>1433</v>
      </c>
      <c r="AO1784" s="115" t="s">
        <v>381</v>
      </c>
    </row>
    <row r="1785" spans="35:41" ht="13">
      <c r="AI1785" s="115" t="s">
        <v>1415</v>
      </c>
      <c r="AJ1785" t="s">
        <v>2114</v>
      </c>
      <c r="AK1785" s="115">
        <v>0</v>
      </c>
      <c r="AL1785" s="115" t="s">
        <v>28</v>
      </c>
      <c r="AM1785" s="115" t="s">
        <v>1848</v>
      </c>
      <c r="AN1785" s="115" t="s">
        <v>1433</v>
      </c>
      <c r="AO1785" s="115" t="s">
        <v>381</v>
      </c>
    </row>
    <row r="1786" spans="35:41" ht="13">
      <c r="AI1786" s="115" t="s">
        <v>1415</v>
      </c>
      <c r="AJ1786" t="s">
        <v>2114</v>
      </c>
      <c r="AK1786" s="115">
        <v>0</v>
      </c>
      <c r="AL1786" s="115" t="s">
        <v>28</v>
      </c>
      <c r="AM1786" s="115" t="s">
        <v>1849</v>
      </c>
      <c r="AN1786" s="115" t="s">
        <v>1433</v>
      </c>
      <c r="AO1786" s="115" t="s">
        <v>381</v>
      </c>
    </row>
    <row r="1787" spans="35:41" ht="13">
      <c r="AI1787" s="115" t="s">
        <v>1415</v>
      </c>
      <c r="AJ1787" t="s">
        <v>2114</v>
      </c>
      <c r="AK1787" s="115">
        <v>0</v>
      </c>
      <c r="AL1787" s="115" t="s">
        <v>28</v>
      </c>
      <c r="AM1787" s="115" t="s">
        <v>1850</v>
      </c>
      <c r="AN1787" s="115" t="s">
        <v>1433</v>
      </c>
      <c r="AO1787" s="115" t="s">
        <v>381</v>
      </c>
    </row>
    <row r="1788" spans="35:41" ht="13">
      <c r="AI1788" s="115" t="s">
        <v>1415</v>
      </c>
      <c r="AJ1788" t="s">
        <v>2114</v>
      </c>
      <c r="AK1788" s="115">
        <v>0</v>
      </c>
      <c r="AL1788" s="115" t="s">
        <v>28</v>
      </c>
      <c r="AM1788" s="115" t="s">
        <v>1843</v>
      </c>
      <c r="AN1788" s="115" t="s">
        <v>1433</v>
      </c>
      <c r="AO1788" s="115" t="s">
        <v>381</v>
      </c>
    </row>
    <row r="1789" spans="35:41" ht="13">
      <c r="AI1789" s="115" t="s">
        <v>1415</v>
      </c>
      <c r="AJ1789" t="s">
        <v>2114</v>
      </c>
      <c r="AK1789" s="115">
        <v>0</v>
      </c>
      <c r="AL1789" s="115" t="s">
        <v>28</v>
      </c>
      <c r="AM1789" s="115" t="s">
        <v>1846</v>
      </c>
      <c r="AN1789" s="115" t="s">
        <v>1433</v>
      </c>
      <c r="AO1789" s="115" t="s">
        <v>379</v>
      </c>
    </row>
    <row r="1790" spans="35:41" ht="13">
      <c r="AI1790" s="115" t="s">
        <v>1415</v>
      </c>
      <c r="AJ1790" t="s">
        <v>2114</v>
      </c>
      <c r="AK1790" s="115">
        <v>0</v>
      </c>
      <c r="AL1790" s="115" t="s">
        <v>28</v>
      </c>
      <c r="AM1790" s="115" t="s">
        <v>1850</v>
      </c>
      <c r="AN1790" s="115" t="s">
        <v>1433</v>
      </c>
      <c r="AO1790" s="115" t="s">
        <v>379</v>
      </c>
    </row>
    <row r="1791" spans="35:41" ht="13">
      <c r="AI1791" s="115" t="s">
        <v>1415</v>
      </c>
      <c r="AJ1791" t="s">
        <v>2114</v>
      </c>
      <c r="AK1791" s="115">
        <v>0</v>
      </c>
      <c r="AL1791" s="115" t="s">
        <v>28</v>
      </c>
      <c r="AM1791" s="115" t="s">
        <v>1849</v>
      </c>
      <c r="AN1791" s="115" t="s">
        <v>1433</v>
      </c>
      <c r="AO1791" s="115" t="s">
        <v>379</v>
      </c>
    </row>
    <row r="1792" spans="35:41" ht="13">
      <c r="AI1792" s="115" t="s">
        <v>1415</v>
      </c>
      <c r="AJ1792" t="s">
        <v>2114</v>
      </c>
      <c r="AK1792" s="115">
        <v>0</v>
      </c>
      <c r="AL1792" s="115" t="s">
        <v>28</v>
      </c>
      <c r="AM1792" s="115" t="s">
        <v>1843</v>
      </c>
      <c r="AN1792" s="115" t="s">
        <v>1433</v>
      </c>
      <c r="AO1792" s="115" t="s">
        <v>379</v>
      </c>
    </row>
    <row r="1793" spans="35:41" ht="13">
      <c r="AI1793" s="115" t="s">
        <v>1415</v>
      </c>
      <c r="AJ1793" t="s">
        <v>2114</v>
      </c>
      <c r="AK1793" s="115">
        <v>0</v>
      </c>
      <c r="AL1793" s="115" t="s">
        <v>28</v>
      </c>
      <c r="AM1793" s="115" t="s">
        <v>1848</v>
      </c>
      <c r="AN1793" s="115" t="s">
        <v>1433</v>
      </c>
      <c r="AO1793" s="115" t="s">
        <v>379</v>
      </c>
    </row>
    <row r="1794" spans="35:41" ht="13">
      <c r="AI1794" s="115" t="s">
        <v>1415</v>
      </c>
      <c r="AJ1794" t="s">
        <v>2114</v>
      </c>
      <c r="AK1794" s="115">
        <v>0</v>
      </c>
      <c r="AL1794" s="115" t="s">
        <v>28</v>
      </c>
      <c r="AM1794" s="115" t="s">
        <v>1832</v>
      </c>
      <c r="AN1794" s="115" t="s">
        <v>1433</v>
      </c>
      <c r="AO1794" s="115" t="s">
        <v>379</v>
      </c>
    </row>
    <row r="1795" spans="35:41" ht="13">
      <c r="AI1795" s="115" t="s">
        <v>1415</v>
      </c>
      <c r="AJ1795" t="s">
        <v>2114</v>
      </c>
      <c r="AK1795" s="115">
        <v>0</v>
      </c>
      <c r="AL1795" s="115" t="s">
        <v>28</v>
      </c>
      <c r="AM1795" s="115" t="s">
        <v>1850</v>
      </c>
      <c r="AN1795" s="115" t="s">
        <v>1433</v>
      </c>
      <c r="AO1795" s="115" t="s">
        <v>1645</v>
      </c>
    </row>
    <row r="1796" spans="35:41" ht="13">
      <c r="AI1796" s="115" t="s">
        <v>1415</v>
      </c>
      <c r="AJ1796" t="s">
        <v>2114</v>
      </c>
      <c r="AK1796" s="115">
        <v>0</v>
      </c>
      <c r="AL1796" s="115" t="s">
        <v>28</v>
      </c>
      <c r="AM1796" s="115" t="s">
        <v>1843</v>
      </c>
      <c r="AN1796" s="115" t="s">
        <v>1433</v>
      </c>
      <c r="AO1796" s="115" t="s">
        <v>1645</v>
      </c>
    </row>
    <row r="1797" spans="35:41" ht="13">
      <c r="AI1797" s="115" t="s">
        <v>1415</v>
      </c>
      <c r="AJ1797" t="s">
        <v>2114</v>
      </c>
      <c r="AK1797" s="115">
        <v>0</v>
      </c>
      <c r="AL1797" s="115" t="s">
        <v>28</v>
      </c>
      <c r="AM1797" s="115" t="s">
        <v>1832</v>
      </c>
      <c r="AN1797" s="115" t="s">
        <v>1433</v>
      </c>
      <c r="AO1797" s="115" t="s">
        <v>1645</v>
      </c>
    </row>
    <row r="1798" spans="35:41" ht="13">
      <c r="AI1798" s="115" t="s">
        <v>1415</v>
      </c>
      <c r="AJ1798" t="s">
        <v>2114</v>
      </c>
      <c r="AK1798" s="115">
        <v>0</v>
      </c>
      <c r="AL1798" s="115" t="s">
        <v>28</v>
      </c>
      <c r="AM1798" s="115" t="s">
        <v>1846</v>
      </c>
      <c r="AN1798" s="115" t="s">
        <v>1433</v>
      </c>
      <c r="AO1798" s="115" t="s">
        <v>1645</v>
      </c>
    </row>
    <row r="1799" spans="35:41" ht="13">
      <c r="AI1799" s="115" t="s">
        <v>1415</v>
      </c>
      <c r="AJ1799" t="s">
        <v>2114</v>
      </c>
      <c r="AK1799" s="115">
        <v>0</v>
      </c>
      <c r="AL1799" s="115" t="s">
        <v>28</v>
      </c>
      <c r="AM1799" s="115" t="s">
        <v>1848</v>
      </c>
      <c r="AN1799" s="115" t="s">
        <v>1433</v>
      </c>
      <c r="AO1799" s="115" t="s">
        <v>1645</v>
      </c>
    </row>
    <row r="1800" spans="35:41" ht="13">
      <c r="AI1800" s="115" t="s">
        <v>1415</v>
      </c>
      <c r="AJ1800" t="s">
        <v>2114</v>
      </c>
      <c r="AK1800" s="115">
        <v>0</v>
      </c>
      <c r="AL1800" s="115" t="s">
        <v>28</v>
      </c>
      <c r="AM1800" s="115" t="s">
        <v>1849</v>
      </c>
      <c r="AN1800" s="115" t="s">
        <v>1433</v>
      </c>
      <c r="AO1800" s="115" t="s">
        <v>1645</v>
      </c>
    </row>
    <row r="1801" spans="35:41" ht="13">
      <c r="AI1801" s="115" t="s">
        <v>1415</v>
      </c>
      <c r="AJ1801" t="s">
        <v>2114</v>
      </c>
      <c r="AK1801" s="115">
        <v>0</v>
      </c>
      <c r="AL1801" s="115" t="s">
        <v>28</v>
      </c>
      <c r="AM1801" s="115" t="s">
        <v>1846</v>
      </c>
      <c r="AN1801" s="115" t="s">
        <v>1433</v>
      </c>
      <c r="AO1801" s="115" t="s">
        <v>1646</v>
      </c>
    </row>
    <row r="1802" spans="35:41" ht="13">
      <c r="AI1802" s="115" t="s">
        <v>1415</v>
      </c>
      <c r="AJ1802" t="s">
        <v>2114</v>
      </c>
      <c r="AK1802" s="115">
        <v>0</v>
      </c>
      <c r="AL1802" s="115" t="s">
        <v>28</v>
      </c>
      <c r="AM1802" s="115" t="s">
        <v>1843</v>
      </c>
      <c r="AN1802" s="115" t="s">
        <v>1433</v>
      </c>
      <c r="AO1802" s="115" t="s">
        <v>1646</v>
      </c>
    </row>
    <row r="1803" spans="35:41" ht="13">
      <c r="AI1803" s="115" t="s">
        <v>1415</v>
      </c>
      <c r="AJ1803" t="s">
        <v>2114</v>
      </c>
      <c r="AK1803" s="115">
        <v>0</v>
      </c>
      <c r="AL1803" s="115" t="s">
        <v>28</v>
      </c>
      <c r="AM1803" s="115" t="s">
        <v>1843</v>
      </c>
      <c r="AN1803" s="115" t="s">
        <v>1433</v>
      </c>
      <c r="AO1803" s="115" t="s">
        <v>1647</v>
      </c>
    </row>
    <row r="1804" spans="35:41" ht="13">
      <c r="AI1804" s="115" t="s">
        <v>1415</v>
      </c>
      <c r="AJ1804" t="s">
        <v>2114</v>
      </c>
      <c r="AK1804" s="115">
        <v>0</v>
      </c>
      <c r="AL1804" s="115" t="s">
        <v>28</v>
      </c>
      <c r="AM1804" s="115" t="s">
        <v>1846</v>
      </c>
      <c r="AN1804" s="115" t="s">
        <v>1433</v>
      </c>
      <c r="AO1804" s="115" t="s">
        <v>1647</v>
      </c>
    </row>
    <row r="1805" spans="35:41" ht="13">
      <c r="AI1805" s="115" t="s">
        <v>1415</v>
      </c>
      <c r="AJ1805" t="s">
        <v>2114</v>
      </c>
      <c r="AK1805" s="115">
        <v>0</v>
      </c>
      <c r="AL1805" s="115" t="s">
        <v>28</v>
      </c>
      <c r="AM1805" s="115" t="s">
        <v>1846</v>
      </c>
      <c r="AN1805" s="115" t="s">
        <v>1433</v>
      </c>
      <c r="AO1805" s="115" t="s">
        <v>1639</v>
      </c>
    </row>
    <row r="1806" spans="35:41" ht="13">
      <c r="AI1806" s="115" t="s">
        <v>1415</v>
      </c>
      <c r="AJ1806" t="s">
        <v>2114</v>
      </c>
      <c r="AK1806" s="115">
        <v>0</v>
      </c>
      <c r="AL1806" s="115" t="s">
        <v>28</v>
      </c>
      <c r="AM1806" s="115" t="s">
        <v>1843</v>
      </c>
      <c r="AN1806" s="115" t="s">
        <v>1433</v>
      </c>
      <c r="AO1806" s="115" t="s">
        <v>1639</v>
      </c>
    </row>
    <row r="1807" spans="35:41" ht="13">
      <c r="AI1807" s="115" t="s">
        <v>1415</v>
      </c>
      <c r="AJ1807" t="s">
        <v>2114</v>
      </c>
      <c r="AK1807" s="115">
        <v>0</v>
      </c>
      <c r="AL1807" s="115" t="s">
        <v>28</v>
      </c>
      <c r="AM1807" s="115" t="s">
        <v>1832</v>
      </c>
      <c r="AN1807" s="115" t="s">
        <v>1433</v>
      </c>
      <c r="AO1807" s="115" t="s">
        <v>373</v>
      </c>
    </row>
    <row r="1808" spans="35:41" ht="13">
      <c r="AI1808" s="115" t="s">
        <v>1415</v>
      </c>
      <c r="AJ1808" t="s">
        <v>2114</v>
      </c>
      <c r="AK1808" s="115">
        <v>0</v>
      </c>
      <c r="AL1808" s="115" t="s">
        <v>28</v>
      </c>
      <c r="AM1808" s="115" t="s">
        <v>1848</v>
      </c>
      <c r="AN1808" s="115" t="s">
        <v>1433</v>
      </c>
      <c r="AO1808" s="115" t="s">
        <v>373</v>
      </c>
    </row>
    <row r="1809" spans="35:41" ht="13">
      <c r="AI1809" s="115" t="s">
        <v>1415</v>
      </c>
      <c r="AJ1809" t="s">
        <v>2114</v>
      </c>
      <c r="AK1809" s="115">
        <v>0</v>
      </c>
      <c r="AL1809" s="115" t="s">
        <v>28</v>
      </c>
      <c r="AM1809" s="115" t="s">
        <v>1849</v>
      </c>
      <c r="AN1809" s="115" t="s">
        <v>1433</v>
      </c>
      <c r="AO1809" s="115" t="s">
        <v>373</v>
      </c>
    </row>
    <row r="1810" spans="35:41" ht="13">
      <c r="AI1810" s="115" t="s">
        <v>1415</v>
      </c>
      <c r="AJ1810" t="s">
        <v>2114</v>
      </c>
      <c r="AK1810" s="115">
        <v>0</v>
      </c>
      <c r="AL1810" s="115" t="s">
        <v>28</v>
      </c>
      <c r="AM1810" s="115" t="s">
        <v>1843</v>
      </c>
      <c r="AN1810" s="115" t="s">
        <v>1433</v>
      </c>
      <c r="AO1810" s="115" t="s">
        <v>373</v>
      </c>
    </row>
    <row r="1811" spans="35:41" ht="13">
      <c r="AI1811" s="115" t="s">
        <v>1415</v>
      </c>
      <c r="AJ1811" t="s">
        <v>2114</v>
      </c>
      <c r="AK1811" s="115">
        <v>0</v>
      </c>
      <c r="AL1811" s="115" t="s">
        <v>28</v>
      </c>
      <c r="AM1811" s="115" t="s">
        <v>1846</v>
      </c>
      <c r="AN1811" s="115" t="s">
        <v>1433</v>
      </c>
      <c r="AO1811" s="115" t="s">
        <v>373</v>
      </c>
    </row>
    <row r="1812" spans="35:41" ht="13">
      <c r="AI1812" s="115" t="s">
        <v>1415</v>
      </c>
      <c r="AJ1812" t="s">
        <v>2114</v>
      </c>
      <c r="AK1812" s="115">
        <v>0</v>
      </c>
      <c r="AL1812" s="115" t="s">
        <v>28</v>
      </c>
      <c r="AM1812" s="115" t="s">
        <v>1850</v>
      </c>
      <c r="AN1812" s="115" t="s">
        <v>1433</v>
      </c>
      <c r="AO1812" s="115" t="s">
        <v>373</v>
      </c>
    </row>
    <row r="1813" spans="35:41" ht="13">
      <c r="AI1813" s="115" t="s">
        <v>1415</v>
      </c>
      <c r="AJ1813" t="s">
        <v>2114</v>
      </c>
      <c r="AK1813" s="115">
        <v>0</v>
      </c>
      <c r="AL1813" s="115" t="s">
        <v>28</v>
      </c>
      <c r="AM1813" s="115" t="s">
        <v>1832</v>
      </c>
      <c r="AN1813" s="115" t="s">
        <v>1433</v>
      </c>
      <c r="AO1813" s="115" t="s">
        <v>380</v>
      </c>
    </row>
    <row r="1814" spans="35:41" ht="13">
      <c r="AI1814" s="115" t="s">
        <v>1415</v>
      </c>
      <c r="AJ1814" t="s">
        <v>2114</v>
      </c>
      <c r="AK1814" s="115">
        <v>0</v>
      </c>
      <c r="AL1814" s="115" t="s">
        <v>28</v>
      </c>
      <c r="AM1814" s="115" t="s">
        <v>1850</v>
      </c>
      <c r="AN1814" s="115" t="s">
        <v>1433</v>
      </c>
      <c r="AO1814" s="115" t="s">
        <v>380</v>
      </c>
    </row>
    <row r="1815" spans="35:41" ht="13">
      <c r="AI1815" s="115" t="s">
        <v>1415</v>
      </c>
      <c r="AJ1815" t="s">
        <v>2114</v>
      </c>
      <c r="AK1815" s="115">
        <v>0</v>
      </c>
      <c r="AL1815" s="115" t="s">
        <v>28</v>
      </c>
      <c r="AM1815" s="115" t="s">
        <v>1849</v>
      </c>
      <c r="AN1815" s="115" t="s">
        <v>1433</v>
      </c>
      <c r="AO1815" s="115" t="s">
        <v>380</v>
      </c>
    </row>
    <row r="1816" spans="35:41" ht="13">
      <c r="AI1816" s="115" t="s">
        <v>1415</v>
      </c>
      <c r="AJ1816" t="s">
        <v>2114</v>
      </c>
      <c r="AK1816" s="115">
        <v>0</v>
      </c>
      <c r="AL1816" s="115" t="s">
        <v>28</v>
      </c>
      <c r="AM1816" s="115" t="s">
        <v>1843</v>
      </c>
      <c r="AN1816" s="115" t="s">
        <v>1433</v>
      </c>
      <c r="AO1816" s="115" t="s">
        <v>380</v>
      </c>
    </row>
    <row r="1817" spans="35:41" ht="13">
      <c r="AI1817" s="115" t="s">
        <v>1415</v>
      </c>
      <c r="AJ1817" t="s">
        <v>2114</v>
      </c>
      <c r="AK1817" s="115">
        <v>0</v>
      </c>
      <c r="AL1817" s="115" t="s">
        <v>28</v>
      </c>
      <c r="AM1817" s="115" t="s">
        <v>1848</v>
      </c>
      <c r="AN1817" s="115" t="s">
        <v>1433</v>
      </c>
      <c r="AO1817" s="115" t="s">
        <v>380</v>
      </c>
    </row>
    <row r="1818" spans="35:41" ht="13">
      <c r="AI1818" s="115" t="s">
        <v>1415</v>
      </c>
      <c r="AJ1818" t="s">
        <v>2114</v>
      </c>
      <c r="AK1818" s="115">
        <v>0</v>
      </c>
      <c r="AL1818" s="115" t="s">
        <v>28</v>
      </c>
      <c r="AM1818" s="115" t="s">
        <v>1846</v>
      </c>
      <c r="AN1818" s="115" t="s">
        <v>1433</v>
      </c>
      <c r="AO1818" s="115" t="s">
        <v>380</v>
      </c>
    </row>
    <row r="1819" spans="35:41" ht="13">
      <c r="AI1819" s="115" t="s">
        <v>1415</v>
      </c>
      <c r="AJ1819" t="s">
        <v>2114</v>
      </c>
      <c r="AK1819" s="115">
        <v>0</v>
      </c>
      <c r="AL1819" s="115" t="s">
        <v>28</v>
      </c>
      <c r="AM1819" s="115" t="s">
        <v>1832</v>
      </c>
      <c r="AN1819" s="115" t="s">
        <v>1434</v>
      </c>
      <c r="AO1819" s="115" t="s">
        <v>1644</v>
      </c>
    </row>
    <row r="1820" spans="35:41" ht="13">
      <c r="AI1820" s="115" t="s">
        <v>1415</v>
      </c>
      <c r="AJ1820" t="s">
        <v>2114</v>
      </c>
      <c r="AK1820" s="115">
        <v>0</v>
      </c>
      <c r="AL1820" s="115" t="s">
        <v>28</v>
      </c>
      <c r="AM1820" s="115" t="s">
        <v>1850</v>
      </c>
      <c r="AN1820" s="115" t="s">
        <v>1434</v>
      </c>
      <c r="AO1820" s="115" t="s">
        <v>1644</v>
      </c>
    </row>
    <row r="1821" spans="35:41" ht="13">
      <c r="AI1821" s="115" t="s">
        <v>1415</v>
      </c>
      <c r="AJ1821" t="s">
        <v>2114</v>
      </c>
      <c r="AK1821" s="115">
        <v>0</v>
      </c>
      <c r="AL1821" s="115" t="s">
        <v>28</v>
      </c>
      <c r="AM1821" s="115" t="s">
        <v>1843</v>
      </c>
      <c r="AN1821" s="115" t="s">
        <v>1434</v>
      </c>
      <c r="AO1821" s="115" t="s">
        <v>1644</v>
      </c>
    </row>
    <row r="1822" spans="35:41" ht="13">
      <c r="AI1822" s="115" t="s">
        <v>1415</v>
      </c>
      <c r="AJ1822" t="s">
        <v>2114</v>
      </c>
      <c r="AK1822" s="115">
        <v>0</v>
      </c>
      <c r="AL1822" s="115" t="s">
        <v>28</v>
      </c>
      <c r="AM1822" s="115" t="s">
        <v>1848</v>
      </c>
      <c r="AN1822" s="115" t="s">
        <v>1434</v>
      </c>
      <c r="AO1822" s="115" t="s">
        <v>1644</v>
      </c>
    </row>
    <row r="1823" spans="35:41" ht="13">
      <c r="AI1823" s="115" t="s">
        <v>1415</v>
      </c>
      <c r="AJ1823" t="s">
        <v>2114</v>
      </c>
      <c r="AK1823" s="115">
        <v>0</v>
      </c>
      <c r="AL1823" s="115" t="s">
        <v>28</v>
      </c>
      <c r="AM1823" s="115" t="s">
        <v>1846</v>
      </c>
      <c r="AN1823" s="115" t="s">
        <v>1434</v>
      </c>
      <c r="AO1823" s="115" t="s">
        <v>1274</v>
      </c>
    </row>
    <row r="1824" spans="35:41" ht="13">
      <c r="AI1824" s="115" t="s">
        <v>1415</v>
      </c>
      <c r="AJ1824" t="s">
        <v>2114</v>
      </c>
      <c r="AK1824" s="115">
        <v>0</v>
      </c>
      <c r="AL1824" s="115" t="s">
        <v>28</v>
      </c>
      <c r="AM1824" s="115" t="s">
        <v>1848</v>
      </c>
      <c r="AN1824" s="115" t="s">
        <v>1434</v>
      </c>
      <c r="AO1824" s="115" t="s">
        <v>1274</v>
      </c>
    </row>
    <row r="1825" spans="35:41" ht="13">
      <c r="AI1825" s="115" t="s">
        <v>1415</v>
      </c>
      <c r="AJ1825" t="s">
        <v>2114</v>
      </c>
      <c r="AK1825" s="115">
        <v>0</v>
      </c>
      <c r="AL1825" s="115" t="s">
        <v>28</v>
      </c>
      <c r="AM1825" s="115" t="s">
        <v>1850</v>
      </c>
      <c r="AN1825" s="115" t="s">
        <v>1434</v>
      </c>
      <c r="AO1825" s="115" t="s">
        <v>1274</v>
      </c>
    </row>
    <row r="1826" spans="35:41" ht="13">
      <c r="AI1826" s="115" t="s">
        <v>1415</v>
      </c>
      <c r="AJ1826" t="s">
        <v>2114</v>
      </c>
      <c r="AK1826" s="115">
        <v>0</v>
      </c>
      <c r="AL1826" s="115" t="s">
        <v>28</v>
      </c>
      <c r="AM1826" s="115" t="s">
        <v>1843</v>
      </c>
      <c r="AN1826" s="115" t="s">
        <v>1434</v>
      </c>
      <c r="AO1826" s="115" t="s">
        <v>1274</v>
      </c>
    </row>
    <row r="1827" spans="35:41" ht="13">
      <c r="AI1827" s="115" t="s">
        <v>1415</v>
      </c>
      <c r="AJ1827" t="s">
        <v>2114</v>
      </c>
      <c r="AK1827" s="115">
        <v>0</v>
      </c>
      <c r="AL1827" s="115" t="s">
        <v>28</v>
      </c>
      <c r="AM1827" s="115" t="s">
        <v>1832</v>
      </c>
      <c r="AN1827" s="115" t="s">
        <v>1434</v>
      </c>
      <c r="AO1827" s="115" t="s">
        <v>1274</v>
      </c>
    </row>
    <row r="1828" spans="35:41" ht="13">
      <c r="AI1828" s="115" t="s">
        <v>1415</v>
      </c>
      <c r="AJ1828" t="s">
        <v>2114</v>
      </c>
      <c r="AK1828" s="115">
        <v>0</v>
      </c>
      <c r="AL1828" s="115" t="s">
        <v>28</v>
      </c>
      <c r="AM1828" s="115" t="s">
        <v>1849</v>
      </c>
      <c r="AN1828" s="115" t="s">
        <v>1434</v>
      </c>
      <c r="AO1828" s="115" t="s">
        <v>1274</v>
      </c>
    </row>
    <row r="1829" spans="35:41" ht="13">
      <c r="AI1829" s="115" t="s">
        <v>1415</v>
      </c>
      <c r="AJ1829" t="s">
        <v>2114</v>
      </c>
      <c r="AK1829" s="115">
        <v>0</v>
      </c>
      <c r="AL1829" s="115" t="s">
        <v>28</v>
      </c>
      <c r="AM1829" s="115" t="s">
        <v>1832</v>
      </c>
      <c r="AN1829" s="115" t="s">
        <v>1434</v>
      </c>
      <c r="AO1829" s="115" t="s">
        <v>381</v>
      </c>
    </row>
    <row r="1830" spans="35:41" ht="13">
      <c r="AI1830" s="115" t="s">
        <v>1415</v>
      </c>
      <c r="AJ1830" t="s">
        <v>2114</v>
      </c>
      <c r="AK1830" s="115">
        <v>0</v>
      </c>
      <c r="AL1830" s="115" t="s">
        <v>28</v>
      </c>
      <c r="AM1830" s="115" t="s">
        <v>1850</v>
      </c>
      <c r="AN1830" s="115" t="s">
        <v>1434</v>
      </c>
      <c r="AO1830" s="115" t="s">
        <v>381</v>
      </c>
    </row>
    <row r="1831" spans="35:41" ht="13">
      <c r="AI1831" s="115" t="s">
        <v>1415</v>
      </c>
      <c r="AJ1831" t="s">
        <v>2114</v>
      </c>
      <c r="AK1831" s="115">
        <v>0</v>
      </c>
      <c r="AL1831" s="115" t="s">
        <v>28</v>
      </c>
      <c r="AM1831" s="115" t="s">
        <v>1843</v>
      </c>
      <c r="AN1831" s="115" t="s">
        <v>1434</v>
      </c>
      <c r="AO1831" s="115" t="s">
        <v>381</v>
      </c>
    </row>
    <row r="1832" spans="35:41" ht="13">
      <c r="AI1832" s="115" t="s">
        <v>1415</v>
      </c>
      <c r="AJ1832" t="s">
        <v>2114</v>
      </c>
      <c r="AK1832" s="115">
        <v>0</v>
      </c>
      <c r="AL1832" s="115" t="s">
        <v>28</v>
      </c>
      <c r="AM1832" s="115" t="s">
        <v>1846</v>
      </c>
      <c r="AN1832" s="115" t="s">
        <v>1434</v>
      </c>
      <c r="AO1832" s="115" t="s">
        <v>381</v>
      </c>
    </row>
    <row r="1833" spans="35:41" ht="13">
      <c r="AI1833" s="115" t="s">
        <v>1415</v>
      </c>
      <c r="AJ1833" t="s">
        <v>2114</v>
      </c>
      <c r="AK1833" s="115">
        <v>0</v>
      </c>
      <c r="AL1833" s="115" t="s">
        <v>28</v>
      </c>
      <c r="AM1833" s="115" t="s">
        <v>1848</v>
      </c>
      <c r="AN1833" s="115" t="s">
        <v>1434</v>
      </c>
      <c r="AO1833" s="115" t="s">
        <v>381</v>
      </c>
    </row>
    <row r="1834" spans="35:41" ht="13">
      <c r="AI1834" s="115" t="s">
        <v>1415</v>
      </c>
      <c r="AJ1834" t="s">
        <v>2114</v>
      </c>
      <c r="AK1834" s="115">
        <v>0</v>
      </c>
      <c r="AL1834" s="115" t="s">
        <v>28</v>
      </c>
      <c r="AM1834" s="115" t="s">
        <v>1849</v>
      </c>
      <c r="AN1834" s="115" t="s">
        <v>1434</v>
      </c>
      <c r="AO1834" s="115" t="s">
        <v>381</v>
      </c>
    </row>
    <row r="1835" spans="35:41" ht="13">
      <c r="AI1835" s="115" t="s">
        <v>1415</v>
      </c>
      <c r="AJ1835" t="s">
        <v>2114</v>
      </c>
      <c r="AK1835" s="115">
        <v>0</v>
      </c>
      <c r="AL1835" s="115" t="s">
        <v>28</v>
      </c>
      <c r="AM1835" s="115" t="s">
        <v>1843</v>
      </c>
      <c r="AN1835" s="115" t="s">
        <v>1434</v>
      </c>
      <c r="AO1835" s="115" t="s">
        <v>379</v>
      </c>
    </row>
    <row r="1836" spans="35:41" ht="13">
      <c r="AI1836" s="115" t="s">
        <v>1415</v>
      </c>
      <c r="AJ1836" t="s">
        <v>2114</v>
      </c>
      <c r="AK1836" s="115">
        <v>0</v>
      </c>
      <c r="AL1836" s="115" t="s">
        <v>28</v>
      </c>
      <c r="AM1836" s="115" t="s">
        <v>1848</v>
      </c>
      <c r="AN1836" s="115" t="s">
        <v>1434</v>
      </c>
      <c r="AO1836" s="115" t="s">
        <v>379</v>
      </c>
    </row>
    <row r="1837" spans="35:41" ht="13">
      <c r="AI1837" s="115" t="s">
        <v>1415</v>
      </c>
      <c r="AJ1837" t="s">
        <v>2114</v>
      </c>
      <c r="AK1837" s="115">
        <v>0</v>
      </c>
      <c r="AL1837" s="115" t="s">
        <v>28</v>
      </c>
      <c r="AM1837" s="115" t="s">
        <v>1849</v>
      </c>
      <c r="AN1837" s="115" t="s">
        <v>1434</v>
      </c>
      <c r="AO1837" s="115" t="s">
        <v>379</v>
      </c>
    </row>
    <row r="1838" spans="35:41" ht="13">
      <c r="AI1838" s="115" t="s">
        <v>1415</v>
      </c>
      <c r="AJ1838" t="s">
        <v>2114</v>
      </c>
      <c r="AK1838" s="115">
        <v>0</v>
      </c>
      <c r="AL1838" s="115" t="s">
        <v>28</v>
      </c>
      <c r="AM1838" s="115" t="s">
        <v>1846</v>
      </c>
      <c r="AN1838" s="115" t="s">
        <v>1434</v>
      </c>
      <c r="AO1838" s="115" t="s">
        <v>379</v>
      </c>
    </row>
    <row r="1839" spans="35:41" ht="13">
      <c r="AI1839" s="115" t="s">
        <v>1415</v>
      </c>
      <c r="AJ1839" t="s">
        <v>2114</v>
      </c>
      <c r="AK1839" s="115">
        <v>0</v>
      </c>
      <c r="AL1839" s="115" t="s">
        <v>28</v>
      </c>
      <c r="AM1839" s="115" t="s">
        <v>1832</v>
      </c>
      <c r="AN1839" s="115" t="s">
        <v>1434</v>
      </c>
      <c r="AO1839" s="115" t="s">
        <v>379</v>
      </c>
    </row>
    <row r="1840" spans="35:41" ht="13">
      <c r="AI1840" s="115" t="s">
        <v>1415</v>
      </c>
      <c r="AJ1840" t="s">
        <v>2114</v>
      </c>
      <c r="AK1840" s="115">
        <v>0</v>
      </c>
      <c r="AL1840" s="115" t="s">
        <v>28</v>
      </c>
      <c r="AM1840" s="115" t="s">
        <v>1850</v>
      </c>
      <c r="AN1840" s="115" t="s">
        <v>1434</v>
      </c>
      <c r="AO1840" s="115" t="s">
        <v>379</v>
      </c>
    </row>
    <row r="1841" spans="35:41" ht="13">
      <c r="AI1841" s="115" t="s">
        <v>1415</v>
      </c>
      <c r="AJ1841" t="s">
        <v>2114</v>
      </c>
      <c r="AK1841" s="115">
        <v>0</v>
      </c>
      <c r="AL1841" s="115" t="s">
        <v>28</v>
      </c>
      <c r="AM1841" s="115" t="s">
        <v>1849</v>
      </c>
      <c r="AN1841" s="115" t="s">
        <v>1434</v>
      </c>
      <c r="AO1841" s="115" t="s">
        <v>1645</v>
      </c>
    </row>
    <row r="1842" spans="35:41" ht="13">
      <c r="AI1842" s="115" t="s">
        <v>1415</v>
      </c>
      <c r="AJ1842" t="s">
        <v>2114</v>
      </c>
      <c r="AK1842" s="115">
        <v>0</v>
      </c>
      <c r="AL1842" s="115" t="s">
        <v>28</v>
      </c>
      <c r="AM1842" s="115" t="s">
        <v>1832</v>
      </c>
      <c r="AN1842" s="115" t="s">
        <v>1434</v>
      </c>
      <c r="AO1842" s="115" t="s">
        <v>1645</v>
      </c>
    </row>
    <row r="1843" spans="35:41" ht="13">
      <c r="AI1843" s="115" t="s">
        <v>1415</v>
      </c>
      <c r="AJ1843" t="s">
        <v>2114</v>
      </c>
      <c r="AK1843" s="115">
        <v>0</v>
      </c>
      <c r="AL1843" s="115" t="s">
        <v>28</v>
      </c>
      <c r="AM1843" s="115" t="s">
        <v>1850</v>
      </c>
      <c r="AN1843" s="115" t="s">
        <v>1434</v>
      </c>
      <c r="AO1843" s="115" t="s">
        <v>1645</v>
      </c>
    </row>
    <row r="1844" spans="35:41" ht="13">
      <c r="AI1844" s="115" t="s">
        <v>1415</v>
      </c>
      <c r="AJ1844" t="s">
        <v>2114</v>
      </c>
      <c r="AK1844" s="115">
        <v>0</v>
      </c>
      <c r="AL1844" s="115" t="s">
        <v>28</v>
      </c>
      <c r="AM1844" s="115" t="s">
        <v>1843</v>
      </c>
      <c r="AN1844" s="115" t="s">
        <v>1434</v>
      </c>
      <c r="AO1844" s="115" t="s">
        <v>1645</v>
      </c>
    </row>
    <row r="1845" spans="35:41" ht="13">
      <c r="AI1845" s="115" t="s">
        <v>1415</v>
      </c>
      <c r="AJ1845" t="s">
        <v>2114</v>
      </c>
      <c r="AK1845" s="115">
        <v>0</v>
      </c>
      <c r="AL1845" s="115" t="s">
        <v>28</v>
      </c>
      <c r="AM1845" s="115" t="s">
        <v>1848</v>
      </c>
      <c r="AN1845" s="115" t="s">
        <v>1434</v>
      </c>
      <c r="AO1845" s="115" t="s">
        <v>1645</v>
      </c>
    </row>
    <row r="1846" spans="35:41" ht="13">
      <c r="AI1846" s="115" t="s">
        <v>1415</v>
      </c>
      <c r="AJ1846" t="s">
        <v>2114</v>
      </c>
      <c r="AK1846" s="115">
        <v>0</v>
      </c>
      <c r="AL1846" s="115" t="s">
        <v>28</v>
      </c>
      <c r="AM1846" s="115" t="s">
        <v>1846</v>
      </c>
      <c r="AN1846" s="115" t="s">
        <v>1434</v>
      </c>
      <c r="AO1846" s="115" t="s">
        <v>1645</v>
      </c>
    </row>
    <row r="1847" spans="35:41" ht="13">
      <c r="AI1847" s="115" t="s">
        <v>1415</v>
      </c>
      <c r="AJ1847" t="s">
        <v>2114</v>
      </c>
      <c r="AK1847" s="115">
        <v>0</v>
      </c>
      <c r="AL1847" s="115" t="s">
        <v>28</v>
      </c>
      <c r="AM1847" s="115" t="s">
        <v>1846</v>
      </c>
      <c r="AN1847" s="115" t="s">
        <v>1434</v>
      </c>
      <c r="AO1847" s="115" t="s">
        <v>1646</v>
      </c>
    </row>
    <row r="1848" spans="35:41" ht="13">
      <c r="AI1848" s="115" t="s">
        <v>1415</v>
      </c>
      <c r="AJ1848" t="s">
        <v>2114</v>
      </c>
      <c r="AK1848" s="115">
        <v>0</v>
      </c>
      <c r="AL1848" s="115" t="s">
        <v>28</v>
      </c>
      <c r="AM1848" s="115" t="s">
        <v>1843</v>
      </c>
      <c r="AN1848" s="115" t="s">
        <v>1434</v>
      </c>
      <c r="AO1848" s="115" t="s">
        <v>1646</v>
      </c>
    </row>
    <row r="1849" spans="35:41" ht="13">
      <c r="AI1849" s="115" t="s">
        <v>1415</v>
      </c>
      <c r="AJ1849" t="s">
        <v>2114</v>
      </c>
      <c r="AK1849" s="115">
        <v>0</v>
      </c>
      <c r="AL1849" s="115" t="s">
        <v>28</v>
      </c>
      <c r="AM1849" s="115" t="s">
        <v>1843</v>
      </c>
      <c r="AN1849" s="115" t="s">
        <v>1434</v>
      </c>
      <c r="AO1849" s="115" t="s">
        <v>1647</v>
      </c>
    </row>
    <row r="1850" spans="35:41" ht="13">
      <c r="AI1850" s="115" t="s">
        <v>1415</v>
      </c>
      <c r="AJ1850" t="s">
        <v>2114</v>
      </c>
      <c r="AK1850" s="115">
        <v>0</v>
      </c>
      <c r="AL1850" s="115" t="s">
        <v>28</v>
      </c>
      <c r="AM1850" s="115" t="s">
        <v>1846</v>
      </c>
      <c r="AN1850" s="115" t="s">
        <v>1434</v>
      </c>
      <c r="AO1850" s="115" t="s">
        <v>1647</v>
      </c>
    </row>
    <row r="1851" spans="35:41" ht="13">
      <c r="AI1851" s="115" t="s">
        <v>1415</v>
      </c>
      <c r="AJ1851" t="s">
        <v>2114</v>
      </c>
      <c r="AK1851" s="115">
        <v>0</v>
      </c>
      <c r="AL1851" s="115" t="s">
        <v>28</v>
      </c>
      <c r="AM1851" s="115" t="s">
        <v>1846</v>
      </c>
      <c r="AN1851" s="115" t="s">
        <v>1434</v>
      </c>
      <c r="AO1851" s="115" t="s">
        <v>1639</v>
      </c>
    </row>
    <row r="1852" spans="35:41" ht="13">
      <c r="AI1852" s="115" t="s">
        <v>1415</v>
      </c>
      <c r="AJ1852" t="s">
        <v>2114</v>
      </c>
      <c r="AK1852" s="115">
        <v>0</v>
      </c>
      <c r="AL1852" s="115" t="s">
        <v>28</v>
      </c>
      <c r="AM1852" s="115" t="s">
        <v>1843</v>
      </c>
      <c r="AN1852" s="115" t="s">
        <v>1434</v>
      </c>
      <c r="AO1852" s="115" t="s">
        <v>1639</v>
      </c>
    </row>
    <row r="1853" spans="35:41" ht="13">
      <c r="AI1853" s="115" t="s">
        <v>1415</v>
      </c>
      <c r="AJ1853" t="s">
        <v>2114</v>
      </c>
      <c r="AK1853" s="115">
        <v>0</v>
      </c>
      <c r="AL1853" s="115" t="s">
        <v>28</v>
      </c>
      <c r="AM1853" s="115" t="s">
        <v>1846</v>
      </c>
      <c r="AN1853" s="115" t="s">
        <v>1434</v>
      </c>
      <c r="AO1853" s="115" t="s">
        <v>373</v>
      </c>
    </row>
    <row r="1854" spans="35:41" ht="13">
      <c r="AI1854" s="115" t="s">
        <v>1415</v>
      </c>
      <c r="AJ1854" t="s">
        <v>2114</v>
      </c>
      <c r="AK1854" s="115">
        <v>0</v>
      </c>
      <c r="AL1854" s="115" t="s">
        <v>28</v>
      </c>
      <c r="AM1854" s="115" t="s">
        <v>1832</v>
      </c>
      <c r="AN1854" s="115" t="s">
        <v>1434</v>
      </c>
      <c r="AO1854" s="115" t="s">
        <v>373</v>
      </c>
    </row>
    <row r="1855" spans="35:41" ht="13">
      <c r="AI1855" s="115" t="s">
        <v>1415</v>
      </c>
      <c r="AJ1855" t="s">
        <v>2114</v>
      </c>
      <c r="AK1855" s="115">
        <v>0</v>
      </c>
      <c r="AL1855" s="115" t="s">
        <v>28</v>
      </c>
      <c r="AM1855" s="115" t="s">
        <v>1849</v>
      </c>
      <c r="AN1855" s="115" t="s">
        <v>1434</v>
      </c>
      <c r="AO1855" s="115" t="s">
        <v>373</v>
      </c>
    </row>
    <row r="1856" spans="35:41" ht="13">
      <c r="AI1856" s="115" t="s">
        <v>1415</v>
      </c>
      <c r="AJ1856" t="s">
        <v>2114</v>
      </c>
      <c r="AK1856" s="115">
        <v>0</v>
      </c>
      <c r="AL1856" s="115" t="s">
        <v>28</v>
      </c>
      <c r="AM1856" s="115" t="s">
        <v>1848</v>
      </c>
      <c r="AN1856" s="115" t="s">
        <v>1434</v>
      </c>
      <c r="AO1856" s="115" t="s">
        <v>373</v>
      </c>
    </row>
    <row r="1857" spans="35:41" ht="13">
      <c r="AI1857" s="115" t="s">
        <v>1415</v>
      </c>
      <c r="AJ1857" t="s">
        <v>2114</v>
      </c>
      <c r="AK1857" s="115">
        <v>0</v>
      </c>
      <c r="AL1857" s="115" t="s">
        <v>28</v>
      </c>
      <c r="AM1857" s="115" t="s">
        <v>1843</v>
      </c>
      <c r="AN1857" s="115" t="s">
        <v>1434</v>
      </c>
      <c r="AO1857" s="115" t="s">
        <v>373</v>
      </c>
    </row>
    <row r="1858" spans="35:41" ht="13">
      <c r="AI1858" s="115" t="s">
        <v>1415</v>
      </c>
      <c r="AJ1858" t="s">
        <v>2114</v>
      </c>
      <c r="AK1858" s="115">
        <v>0</v>
      </c>
      <c r="AL1858" s="115" t="s">
        <v>28</v>
      </c>
      <c r="AM1858" s="115" t="s">
        <v>1850</v>
      </c>
      <c r="AN1858" s="115" t="s">
        <v>1434</v>
      </c>
      <c r="AO1858" s="115" t="s">
        <v>373</v>
      </c>
    </row>
    <row r="1859" spans="35:41" ht="13">
      <c r="AI1859" s="115" t="s">
        <v>1415</v>
      </c>
      <c r="AJ1859" t="s">
        <v>2114</v>
      </c>
      <c r="AK1859" s="115">
        <v>0</v>
      </c>
      <c r="AL1859" s="115" t="s">
        <v>28</v>
      </c>
      <c r="AM1859" s="115" t="s">
        <v>1850</v>
      </c>
      <c r="AN1859" s="115" t="s">
        <v>1434</v>
      </c>
      <c r="AO1859" s="115" t="s">
        <v>380</v>
      </c>
    </row>
    <row r="1860" spans="35:41" ht="13">
      <c r="AI1860" s="115" t="s">
        <v>1415</v>
      </c>
      <c r="AJ1860" t="s">
        <v>2114</v>
      </c>
      <c r="AK1860" s="115">
        <v>0</v>
      </c>
      <c r="AL1860" s="115" t="s">
        <v>28</v>
      </c>
      <c r="AM1860" s="115" t="s">
        <v>1849</v>
      </c>
      <c r="AN1860" s="115" t="s">
        <v>1434</v>
      </c>
      <c r="AO1860" s="115" t="s">
        <v>380</v>
      </c>
    </row>
    <row r="1861" spans="35:41" ht="13">
      <c r="AI1861" s="115" t="s">
        <v>1415</v>
      </c>
      <c r="AJ1861" t="s">
        <v>2114</v>
      </c>
      <c r="AK1861" s="115">
        <v>0</v>
      </c>
      <c r="AL1861" s="115" t="s">
        <v>28</v>
      </c>
      <c r="AM1861" s="115" t="s">
        <v>1843</v>
      </c>
      <c r="AN1861" s="115" t="s">
        <v>1434</v>
      </c>
      <c r="AO1861" s="115" t="s">
        <v>380</v>
      </c>
    </row>
    <row r="1862" spans="35:41" ht="13">
      <c r="AI1862" s="115" t="s">
        <v>1415</v>
      </c>
      <c r="AJ1862" t="s">
        <v>2114</v>
      </c>
      <c r="AK1862" s="115">
        <v>0</v>
      </c>
      <c r="AL1862" s="115" t="s">
        <v>28</v>
      </c>
      <c r="AM1862" s="115" t="s">
        <v>1832</v>
      </c>
      <c r="AN1862" s="115" t="s">
        <v>1434</v>
      </c>
      <c r="AO1862" s="115" t="s">
        <v>380</v>
      </c>
    </row>
    <row r="1863" spans="35:41" ht="13">
      <c r="AI1863" s="115" t="s">
        <v>1415</v>
      </c>
      <c r="AJ1863" t="s">
        <v>2114</v>
      </c>
      <c r="AK1863" s="115">
        <v>0</v>
      </c>
      <c r="AL1863" s="115" t="s">
        <v>28</v>
      </c>
      <c r="AM1863" s="115" t="s">
        <v>1846</v>
      </c>
      <c r="AN1863" s="115" t="s">
        <v>1434</v>
      </c>
      <c r="AO1863" s="115" t="s">
        <v>380</v>
      </c>
    </row>
    <row r="1864" spans="35:41" ht="13">
      <c r="AI1864" s="115" t="s">
        <v>1415</v>
      </c>
      <c r="AJ1864" t="s">
        <v>2114</v>
      </c>
      <c r="AK1864" s="115">
        <v>0</v>
      </c>
      <c r="AL1864" s="115" t="s">
        <v>28</v>
      </c>
      <c r="AM1864" s="115" t="s">
        <v>1848</v>
      </c>
      <c r="AN1864" s="115" t="s">
        <v>1434</v>
      </c>
      <c r="AO1864" s="115" t="s">
        <v>380</v>
      </c>
    </row>
    <row r="1865" spans="35:41" ht="13">
      <c r="AI1865" s="115" t="s">
        <v>1415</v>
      </c>
      <c r="AJ1865" t="s">
        <v>2114</v>
      </c>
      <c r="AK1865" s="115">
        <v>0</v>
      </c>
      <c r="AL1865" s="115" t="s">
        <v>28</v>
      </c>
      <c r="AM1865" s="115" t="s">
        <v>1848</v>
      </c>
      <c r="AN1865" s="115" t="s">
        <v>1435</v>
      </c>
      <c r="AO1865" s="115" t="s">
        <v>1644</v>
      </c>
    </row>
    <row r="1866" spans="35:41" ht="13">
      <c r="AI1866" s="115" t="s">
        <v>1415</v>
      </c>
      <c r="AJ1866" t="s">
        <v>2114</v>
      </c>
      <c r="AK1866" s="115">
        <v>0</v>
      </c>
      <c r="AL1866" s="115" t="s">
        <v>28</v>
      </c>
      <c r="AM1866" s="115" t="s">
        <v>1832</v>
      </c>
      <c r="AN1866" s="115" t="s">
        <v>1435</v>
      </c>
      <c r="AO1866" s="115" t="s">
        <v>1644</v>
      </c>
    </row>
    <row r="1867" spans="35:41" ht="13">
      <c r="AI1867" s="115" t="s">
        <v>1415</v>
      </c>
      <c r="AJ1867" t="s">
        <v>2114</v>
      </c>
      <c r="AK1867" s="115">
        <v>0</v>
      </c>
      <c r="AL1867" s="115" t="s">
        <v>28</v>
      </c>
      <c r="AM1867" s="115" t="s">
        <v>1850</v>
      </c>
      <c r="AN1867" s="115" t="s">
        <v>1435</v>
      </c>
      <c r="AO1867" s="115" t="s">
        <v>1644</v>
      </c>
    </row>
    <row r="1868" spans="35:41" ht="13">
      <c r="AI1868" s="115" t="s">
        <v>1415</v>
      </c>
      <c r="AJ1868" t="s">
        <v>2114</v>
      </c>
      <c r="AK1868" s="115">
        <v>0</v>
      </c>
      <c r="AL1868" s="115" t="s">
        <v>28</v>
      </c>
      <c r="AM1868" s="115" t="s">
        <v>1843</v>
      </c>
      <c r="AN1868" s="115" t="s">
        <v>1435</v>
      </c>
      <c r="AO1868" s="115" t="s">
        <v>1644</v>
      </c>
    </row>
    <row r="1869" spans="35:41" ht="13">
      <c r="AI1869" s="115" t="s">
        <v>1415</v>
      </c>
      <c r="AJ1869" t="s">
        <v>2114</v>
      </c>
      <c r="AK1869" s="115">
        <v>0</v>
      </c>
      <c r="AL1869" s="115" t="s">
        <v>28</v>
      </c>
      <c r="AM1869" s="115" t="s">
        <v>1848</v>
      </c>
      <c r="AN1869" s="115" t="s">
        <v>1435</v>
      </c>
      <c r="AO1869" s="115" t="s">
        <v>1274</v>
      </c>
    </row>
    <row r="1870" spans="35:41" ht="13">
      <c r="AI1870" s="115" t="s">
        <v>1415</v>
      </c>
      <c r="AJ1870" t="s">
        <v>2114</v>
      </c>
      <c r="AK1870" s="115">
        <v>0</v>
      </c>
      <c r="AL1870" s="115" t="s">
        <v>28</v>
      </c>
      <c r="AM1870" s="115" t="s">
        <v>1846</v>
      </c>
      <c r="AN1870" s="115" t="s">
        <v>1435</v>
      </c>
      <c r="AO1870" s="115" t="s">
        <v>1274</v>
      </c>
    </row>
    <row r="1871" spans="35:41" ht="13">
      <c r="AI1871" s="115" t="s">
        <v>1415</v>
      </c>
      <c r="AJ1871" t="s">
        <v>2114</v>
      </c>
      <c r="AK1871" s="115">
        <v>0</v>
      </c>
      <c r="AL1871" s="115" t="s">
        <v>28</v>
      </c>
      <c r="AM1871" s="115" t="s">
        <v>1832</v>
      </c>
      <c r="AN1871" s="115" t="s">
        <v>1435</v>
      </c>
      <c r="AO1871" s="115" t="s">
        <v>1274</v>
      </c>
    </row>
    <row r="1872" spans="35:41" ht="13">
      <c r="AI1872" s="115" t="s">
        <v>1415</v>
      </c>
      <c r="AJ1872" t="s">
        <v>2114</v>
      </c>
      <c r="AK1872" s="115">
        <v>0</v>
      </c>
      <c r="AL1872" s="115" t="s">
        <v>28</v>
      </c>
      <c r="AM1872" s="115" t="s">
        <v>1843</v>
      </c>
      <c r="AN1872" s="115" t="s">
        <v>1435</v>
      </c>
      <c r="AO1872" s="115" t="s">
        <v>1274</v>
      </c>
    </row>
    <row r="1873" spans="35:41" ht="13">
      <c r="AI1873" s="115" t="s">
        <v>1415</v>
      </c>
      <c r="AJ1873" t="s">
        <v>2114</v>
      </c>
      <c r="AK1873" s="115">
        <v>0</v>
      </c>
      <c r="AL1873" s="115" t="s">
        <v>28</v>
      </c>
      <c r="AM1873" s="115" t="s">
        <v>1850</v>
      </c>
      <c r="AN1873" s="115" t="s">
        <v>1435</v>
      </c>
      <c r="AO1873" s="115" t="s">
        <v>1274</v>
      </c>
    </row>
    <row r="1874" spans="35:41" ht="13">
      <c r="AI1874" s="115" t="s">
        <v>1415</v>
      </c>
      <c r="AJ1874" t="s">
        <v>2114</v>
      </c>
      <c r="AK1874" s="115">
        <v>0</v>
      </c>
      <c r="AL1874" s="115" t="s">
        <v>28</v>
      </c>
      <c r="AM1874" s="115" t="s">
        <v>1849</v>
      </c>
      <c r="AN1874" s="115" t="s">
        <v>1435</v>
      </c>
      <c r="AO1874" s="115" t="s">
        <v>1274</v>
      </c>
    </row>
    <row r="1875" spans="35:41" ht="13">
      <c r="AI1875" s="115" t="s">
        <v>1415</v>
      </c>
      <c r="AJ1875" t="s">
        <v>2114</v>
      </c>
      <c r="AK1875" s="115">
        <v>0</v>
      </c>
      <c r="AL1875" s="115" t="s">
        <v>28</v>
      </c>
      <c r="AM1875" s="115" t="s">
        <v>1843</v>
      </c>
      <c r="AN1875" s="115" t="s">
        <v>1435</v>
      </c>
      <c r="AO1875" s="115" t="s">
        <v>381</v>
      </c>
    </row>
    <row r="1876" spans="35:41" ht="13">
      <c r="AI1876" s="115" t="s">
        <v>1415</v>
      </c>
      <c r="AJ1876" t="s">
        <v>2114</v>
      </c>
      <c r="AK1876" s="115">
        <v>0</v>
      </c>
      <c r="AL1876" s="115" t="s">
        <v>28</v>
      </c>
      <c r="AM1876" s="115" t="s">
        <v>1848</v>
      </c>
      <c r="AN1876" s="115" t="s">
        <v>1435</v>
      </c>
      <c r="AO1876" s="115" t="s">
        <v>381</v>
      </c>
    </row>
    <row r="1877" spans="35:41" ht="13">
      <c r="AI1877" s="115" t="s">
        <v>1415</v>
      </c>
      <c r="AJ1877" t="s">
        <v>2114</v>
      </c>
      <c r="AK1877" s="115">
        <v>0</v>
      </c>
      <c r="AL1877" s="115" t="s">
        <v>28</v>
      </c>
      <c r="AM1877" s="115" t="s">
        <v>1832</v>
      </c>
      <c r="AN1877" s="115" t="s">
        <v>1435</v>
      </c>
      <c r="AO1877" s="115" t="s">
        <v>381</v>
      </c>
    </row>
    <row r="1878" spans="35:41" ht="13">
      <c r="AI1878" s="115" t="s">
        <v>1415</v>
      </c>
      <c r="AJ1878" t="s">
        <v>2114</v>
      </c>
      <c r="AK1878" s="115">
        <v>0</v>
      </c>
      <c r="AL1878" s="115" t="s">
        <v>28</v>
      </c>
      <c r="AM1878" s="115" t="s">
        <v>1850</v>
      </c>
      <c r="AN1878" s="115" t="s">
        <v>1435</v>
      </c>
      <c r="AO1878" s="115" t="s">
        <v>381</v>
      </c>
    </row>
    <row r="1879" spans="35:41" ht="13">
      <c r="AI1879" s="115" t="s">
        <v>1415</v>
      </c>
      <c r="AJ1879" t="s">
        <v>2114</v>
      </c>
      <c r="AK1879" s="115">
        <v>0</v>
      </c>
      <c r="AL1879" s="115" t="s">
        <v>28</v>
      </c>
      <c r="AM1879" s="115" t="s">
        <v>1846</v>
      </c>
      <c r="AN1879" s="115" t="s">
        <v>1435</v>
      </c>
      <c r="AO1879" s="115" t="s">
        <v>381</v>
      </c>
    </row>
    <row r="1880" spans="35:41" ht="13">
      <c r="AI1880" s="115" t="s">
        <v>1415</v>
      </c>
      <c r="AJ1880" t="s">
        <v>2114</v>
      </c>
      <c r="AK1880" s="115">
        <v>0</v>
      </c>
      <c r="AL1880" s="115" t="s">
        <v>28</v>
      </c>
      <c r="AM1880" s="115" t="s">
        <v>1849</v>
      </c>
      <c r="AN1880" s="115" t="s">
        <v>1435</v>
      </c>
      <c r="AO1880" s="115" t="s">
        <v>381</v>
      </c>
    </row>
    <row r="1881" spans="35:41" ht="13">
      <c r="AI1881" s="115" t="s">
        <v>1415</v>
      </c>
      <c r="AJ1881" t="s">
        <v>2114</v>
      </c>
      <c r="AK1881" s="115">
        <v>0</v>
      </c>
      <c r="AL1881" s="115" t="s">
        <v>28</v>
      </c>
      <c r="AM1881" s="115" t="s">
        <v>1850</v>
      </c>
      <c r="AN1881" s="115" t="s">
        <v>1435</v>
      </c>
      <c r="AO1881" s="115" t="s">
        <v>379</v>
      </c>
    </row>
    <row r="1882" spans="35:41" ht="13">
      <c r="AI1882" s="115" t="s">
        <v>1415</v>
      </c>
      <c r="AJ1882" t="s">
        <v>2114</v>
      </c>
      <c r="AK1882" s="115">
        <v>0</v>
      </c>
      <c r="AL1882" s="115" t="s">
        <v>28</v>
      </c>
      <c r="AM1882" s="115" t="s">
        <v>1849</v>
      </c>
      <c r="AN1882" s="115" t="s">
        <v>1435</v>
      </c>
      <c r="AO1882" s="115" t="s">
        <v>379</v>
      </c>
    </row>
    <row r="1883" spans="35:41" ht="13">
      <c r="AI1883" s="115" t="s">
        <v>1415</v>
      </c>
      <c r="AJ1883" t="s">
        <v>2114</v>
      </c>
      <c r="AK1883" s="115">
        <v>0</v>
      </c>
      <c r="AL1883" s="115" t="s">
        <v>28</v>
      </c>
      <c r="AM1883" s="115" t="s">
        <v>1846</v>
      </c>
      <c r="AN1883" s="115" t="s">
        <v>1435</v>
      </c>
      <c r="AO1883" s="115" t="s">
        <v>379</v>
      </c>
    </row>
    <row r="1884" spans="35:41" ht="13">
      <c r="AI1884" s="115" t="s">
        <v>1415</v>
      </c>
      <c r="AJ1884" t="s">
        <v>2114</v>
      </c>
      <c r="AK1884" s="115">
        <v>0</v>
      </c>
      <c r="AL1884" s="115" t="s">
        <v>28</v>
      </c>
      <c r="AM1884" s="115" t="s">
        <v>1843</v>
      </c>
      <c r="AN1884" s="115" t="s">
        <v>1435</v>
      </c>
      <c r="AO1884" s="115" t="s">
        <v>379</v>
      </c>
    </row>
    <row r="1885" spans="35:41" ht="13">
      <c r="AI1885" s="115" t="s">
        <v>1415</v>
      </c>
      <c r="AJ1885" t="s">
        <v>2114</v>
      </c>
      <c r="AK1885" s="115">
        <v>0</v>
      </c>
      <c r="AL1885" s="115" t="s">
        <v>28</v>
      </c>
      <c r="AM1885" s="115" t="s">
        <v>1848</v>
      </c>
      <c r="AN1885" s="115" t="s">
        <v>1435</v>
      </c>
      <c r="AO1885" s="115" t="s">
        <v>379</v>
      </c>
    </row>
    <row r="1886" spans="35:41" ht="13">
      <c r="AI1886" s="115" t="s">
        <v>1415</v>
      </c>
      <c r="AJ1886" t="s">
        <v>2114</v>
      </c>
      <c r="AK1886" s="115">
        <v>0</v>
      </c>
      <c r="AL1886" s="115" t="s">
        <v>28</v>
      </c>
      <c r="AM1886" s="115" t="s">
        <v>1832</v>
      </c>
      <c r="AN1886" s="115" t="s">
        <v>1435</v>
      </c>
      <c r="AO1886" s="115" t="s">
        <v>379</v>
      </c>
    </row>
    <row r="1887" spans="35:41" ht="13">
      <c r="AI1887" s="115" t="s">
        <v>1415</v>
      </c>
      <c r="AJ1887" t="s">
        <v>2114</v>
      </c>
      <c r="AK1887" s="115">
        <v>0</v>
      </c>
      <c r="AL1887" s="115" t="s">
        <v>28</v>
      </c>
      <c r="AM1887" s="115" t="s">
        <v>1832</v>
      </c>
      <c r="AN1887" s="115" t="s">
        <v>1435</v>
      </c>
      <c r="AO1887" s="115" t="s">
        <v>1645</v>
      </c>
    </row>
    <row r="1888" spans="35:41" ht="13">
      <c r="AI1888" s="115" t="s">
        <v>1415</v>
      </c>
      <c r="AJ1888" t="s">
        <v>2114</v>
      </c>
      <c r="AK1888" s="115">
        <v>0</v>
      </c>
      <c r="AL1888" s="115" t="s">
        <v>28</v>
      </c>
      <c r="AM1888" s="115" t="s">
        <v>1846</v>
      </c>
      <c r="AN1888" s="115" t="s">
        <v>1435</v>
      </c>
      <c r="AO1888" s="115" t="s">
        <v>1645</v>
      </c>
    </row>
    <row r="1889" spans="35:41" ht="13">
      <c r="AI1889" s="115" t="s">
        <v>1415</v>
      </c>
      <c r="AJ1889" t="s">
        <v>2114</v>
      </c>
      <c r="AK1889" s="115">
        <v>0</v>
      </c>
      <c r="AL1889" s="115" t="s">
        <v>28</v>
      </c>
      <c r="AM1889" s="115" t="s">
        <v>1849</v>
      </c>
      <c r="AN1889" s="115" t="s">
        <v>1435</v>
      </c>
      <c r="AO1889" s="115" t="s">
        <v>1645</v>
      </c>
    </row>
    <row r="1890" spans="35:41" ht="13">
      <c r="AI1890" s="115" t="s">
        <v>1415</v>
      </c>
      <c r="AJ1890" t="s">
        <v>2114</v>
      </c>
      <c r="AK1890" s="115">
        <v>0</v>
      </c>
      <c r="AL1890" s="115" t="s">
        <v>28</v>
      </c>
      <c r="AM1890" s="115" t="s">
        <v>1848</v>
      </c>
      <c r="AN1890" s="115" t="s">
        <v>1435</v>
      </c>
      <c r="AO1890" s="115" t="s">
        <v>1645</v>
      </c>
    </row>
    <row r="1891" spans="35:41" ht="13">
      <c r="AI1891" s="115" t="s">
        <v>1415</v>
      </c>
      <c r="AJ1891" t="s">
        <v>2114</v>
      </c>
      <c r="AK1891" s="115">
        <v>0</v>
      </c>
      <c r="AL1891" s="115" t="s">
        <v>28</v>
      </c>
      <c r="AM1891" s="115" t="s">
        <v>1843</v>
      </c>
      <c r="AN1891" s="115" t="s">
        <v>1435</v>
      </c>
      <c r="AO1891" s="115" t="s">
        <v>1645</v>
      </c>
    </row>
    <row r="1892" spans="35:41" ht="13">
      <c r="AI1892" s="115" t="s">
        <v>1415</v>
      </c>
      <c r="AJ1892" t="s">
        <v>2114</v>
      </c>
      <c r="AK1892" s="115">
        <v>0</v>
      </c>
      <c r="AL1892" s="115" t="s">
        <v>28</v>
      </c>
      <c r="AM1892" s="115" t="s">
        <v>1850</v>
      </c>
      <c r="AN1892" s="115" t="s">
        <v>1435</v>
      </c>
      <c r="AO1892" s="115" t="s">
        <v>1645</v>
      </c>
    </row>
    <row r="1893" spans="35:41" ht="13">
      <c r="AI1893" s="115" t="s">
        <v>1415</v>
      </c>
      <c r="AJ1893" t="s">
        <v>2114</v>
      </c>
      <c r="AK1893" s="115">
        <v>0</v>
      </c>
      <c r="AL1893" s="115" t="s">
        <v>28</v>
      </c>
      <c r="AM1893" s="115" t="s">
        <v>1843</v>
      </c>
      <c r="AN1893" s="115" t="s">
        <v>1435</v>
      </c>
      <c r="AO1893" s="115" t="s">
        <v>1646</v>
      </c>
    </row>
    <row r="1894" spans="35:41" ht="13">
      <c r="AI1894" s="115" t="s">
        <v>1415</v>
      </c>
      <c r="AJ1894" t="s">
        <v>2114</v>
      </c>
      <c r="AK1894" s="115">
        <v>0</v>
      </c>
      <c r="AL1894" s="115" t="s">
        <v>28</v>
      </c>
      <c r="AM1894" s="115" t="s">
        <v>1846</v>
      </c>
      <c r="AN1894" s="115" t="s">
        <v>1435</v>
      </c>
      <c r="AO1894" s="115" t="s">
        <v>1646</v>
      </c>
    </row>
    <row r="1895" spans="35:41" ht="13">
      <c r="AI1895" s="115" t="s">
        <v>1415</v>
      </c>
      <c r="AJ1895" t="s">
        <v>2114</v>
      </c>
      <c r="AK1895" s="115">
        <v>0</v>
      </c>
      <c r="AL1895" s="115" t="s">
        <v>28</v>
      </c>
      <c r="AM1895" s="115" t="s">
        <v>1843</v>
      </c>
      <c r="AN1895" s="115" t="s">
        <v>1435</v>
      </c>
      <c r="AO1895" s="115" t="s">
        <v>1647</v>
      </c>
    </row>
    <row r="1896" spans="35:41" ht="13">
      <c r="AI1896" s="115" t="s">
        <v>1415</v>
      </c>
      <c r="AJ1896" t="s">
        <v>2114</v>
      </c>
      <c r="AK1896" s="115">
        <v>0</v>
      </c>
      <c r="AL1896" s="115" t="s">
        <v>28</v>
      </c>
      <c r="AM1896" s="115" t="s">
        <v>1846</v>
      </c>
      <c r="AN1896" s="115" t="s">
        <v>1435</v>
      </c>
      <c r="AO1896" s="115" t="s">
        <v>1647</v>
      </c>
    </row>
    <row r="1897" spans="35:41" ht="13">
      <c r="AI1897" s="115" t="s">
        <v>1415</v>
      </c>
      <c r="AJ1897" t="s">
        <v>2114</v>
      </c>
      <c r="AK1897" s="115">
        <v>0</v>
      </c>
      <c r="AL1897" s="115" t="s">
        <v>28</v>
      </c>
      <c r="AM1897" s="115" t="s">
        <v>1846</v>
      </c>
      <c r="AN1897" s="115" t="s">
        <v>1435</v>
      </c>
      <c r="AO1897" s="115" t="s">
        <v>1639</v>
      </c>
    </row>
    <row r="1898" spans="35:41" ht="13">
      <c r="AI1898" s="115" t="s">
        <v>1415</v>
      </c>
      <c r="AJ1898" t="s">
        <v>2114</v>
      </c>
      <c r="AK1898" s="115">
        <v>0</v>
      </c>
      <c r="AL1898" s="115" t="s">
        <v>28</v>
      </c>
      <c r="AM1898" s="115" t="s">
        <v>1843</v>
      </c>
      <c r="AN1898" s="115" t="s">
        <v>1435</v>
      </c>
      <c r="AO1898" s="115" t="s">
        <v>1639</v>
      </c>
    </row>
    <row r="1899" spans="35:41" ht="13">
      <c r="AI1899" s="115" t="s">
        <v>1415</v>
      </c>
      <c r="AJ1899" t="s">
        <v>2114</v>
      </c>
      <c r="AK1899" s="115">
        <v>0</v>
      </c>
      <c r="AL1899" s="115" t="s">
        <v>28</v>
      </c>
      <c r="AM1899" s="115" t="s">
        <v>1849</v>
      </c>
      <c r="AN1899" s="115" t="s">
        <v>1435</v>
      </c>
      <c r="AO1899" s="115" t="s">
        <v>373</v>
      </c>
    </row>
    <row r="1900" spans="35:41" ht="13">
      <c r="AI1900" s="115" t="s">
        <v>1415</v>
      </c>
      <c r="AJ1900" t="s">
        <v>2114</v>
      </c>
      <c r="AK1900" s="115">
        <v>0</v>
      </c>
      <c r="AL1900" s="115" t="s">
        <v>28</v>
      </c>
      <c r="AM1900" s="115" t="s">
        <v>1848</v>
      </c>
      <c r="AN1900" s="115" t="s">
        <v>1435</v>
      </c>
      <c r="AO1900" s="115" t="s">
        <v>373</v>
      </c>
    </row>
    <row r="1901" spans="35:41" ht="13">
      <c r="AI1901" s="115" t="s">
        <v>1415</v>
      </c>
      <c r="AJ1901" t="s">
        <v>2114</v>
      </c>
      <c r="AK1901" s="115">
        <v>0</v>
      </c>
      <c r="AL1901" s="115" t="s">
        <v>28</v>
      </c>
      <c r="AM1901" s="115" t="s">
        <v>1832</v>
      </c>
      <c r="AN1901" s="115" t="s">
        <v>1435</v>
      </c>
      <c r="AO1901" s="115" t="s">
        <v>373</v>
      </c>
    </row>
    <row r="1902" spans="35:41" ht="13">
      <c r="AI1902" s="115" t="s">
        <v>1415</v>
      </c>
      <c r="AJ1902" t="s">
        <v>2114</v>
      </c>
      <c r="AK1902" s="115">
        <v>0</v>
      </c>
      <c r="AL1902" s="115" t="s">
        <v>28</v>
      </c>
      <c r="AM1902" s="115" t="s">
        <v>1850</v>
      </c>
      <c r="AN1902" s="115" t="s">
        <v>1435</v>
      </c>
      <c r="AO1902" s="115" t="s">
        <v>373</v>
      </c>
    </row>
    <row r="1903" spans="35:41" ht="13">
      <c r="AI1903" s="115" t="s">
        <v>1415</v>
      </c>
      <c r="AJ1903" t="s">
        <v>2114</v>
      </c>
      <c r="AK1903" s="115">
        <v>0</v>
      </c>
      <c r="AL1903" s="115" t="s">
        <v>28</v>
      </c>
      <c r="AM1903" s="115" t="s">
        <v>1843</v>
      </c>
      <c r="AN1903" s="115" t="s">
        <v>1435</v>
      </c>
      <c r="AO1903" s="115" t="s">
        <v>373</v>
      </c>
    </row>
    <row r="1904" spans="35:41" ht="13">
      <c r="AI1904" s="115" t="s">
        <v>1415</v>
      </c>
      <c r="AJ1904" t="s">
        <v>2114</v>
      </c>
      <c r="AK1904" s="115">
        <v>0</v>
      </c>
      <c r="AL1904" s="115" t="s">
        <v>28</v>
      </c>
      <c r="AM1904" s="115" t="s">
        <v>1846</v>
      </c>
      <c r="AN1904" s="115" t="s">
        <v>1435</v>
      </c>
      <c r="AO1904" s="115" t="s">
        <v>373</v>
      </c>
    </row>
    <row r="1905" spans="35:41" ht="13">
      <c r="AI1905" s="115" t="s">
        <v>1415</v>
      </c>
      <c r="AJ1905" t="s">
        <v>2114</v>
      </c>
      <c r="AK1905" s="115">
        <v>0</v>
      </c>
      <c r="AL1905" s="115" t="s">
        <v>28</v>
      </c>
      <c r="AM1905" s="115" t="s">
        <v>1832</v>
      </c>
      <c r="AN1905" s="115" t="s">
        <v>1435</v>
      </c>
      <c r="AO1905" s="115" t="s">
        <v>380</v>
      </c>
    </row>
    <row r="1906" spans="35:41" ht="13">
      <c r="AI1906" s="115" t="s">
        <v>1415</v>
      </c>
      <c r="AJ1906" t="s">
        <v>2114</v>
      </c>
      <c r="AK1906" s="115">
        <v>0</v>
      </c>
      <c r="AL1906" s="115" t="s">
        <v>28</v>
      </c>
      <c r="AM1906" s="115" t="s">
        <v>1848</v>
      </c>
      <c r="AN1906" s="115" t="s">
        <v>1435</v>
      </c>
      <c r="AO1906" s="115" t="s">
        <v>380</v>
      </c>
    </row>
    <row r="1907" spans="35:41" ht="13">
      <c r="AI1907" s="115" t="s">
        <v>1415</v>
      </c>
      <c r="AJ1907" t="s">
        <v>2114</v>
      </c>
      <c r="AK1907" s="115">
        <v>0</v>
      </c>
      <c r="AL1907" s="115" t="s">
        <v>28</v>
      </c>
      <c r="AM1907" s="115" t="s">
        <v>1843</v>
      </c>
      <c r="AN1907" s="115" t="s">
        <v>1435</v>
      </c>
      <c r="AO1907" s="115" t="s">
        <v>380</v>
      </c>
    </row>
    <row r="1908" spans="35:41" ht="13">
      <c r="AI1908" s="115" t="s">
        <v>1415</v>
      </c>
      <c r="AJ1908" t="s">
        <v>2114</v>
      </c>
      <c r="AK1908" s="115">
        <v>0</v>
      </c>
      <c r="AL1908" s="115" t="s">
        <v>28</v>
      </c>
      <c r="AM1908" s="115" t="s">
        <v>1850</v>
      </c>
      <c r="AN1908" s="115" t="s">
        <v>1435</v>
      </c>
      <c r="AO1908" s="115" t="s">
        <v>380</v>
      </c>
    </row>
    <row r="1909" spans="35:41" ht="13">
      <c r="AI1909" s="115" t="s">
        <v>1415</v>
      </c>
      <c r="AJ1909" t="s">
        <v>2114</v>
      </c>
      <c r="AK1909" s="115">
        <v>0</v>
      </c>
      <c r="AL1909" s="115" t="s">
        <v>28</v>
      </c>
      <c r="AM1909" s="115" t="s">
        <v>1849</v>
      </c>
      <c r="AN1909" s="115" t="s">
        <v>1435</v>
      </c>
      <c r="AO1909" s="115" t="s">
        <v>380</v>
      </c>
    </row>
    <row r="1910" spans="35:41" ht="13">
      <c r="AI1910" s="115" t="s">
        <v>1415</v>
      </c>
      <c r="AJ1910" t="s">
        <v>2114</v>
      </c>
      <c r="AK1910" s="115">
        <v>0</v>
      </c>
      <c r="AL1910" s="115" t="s">
        <v>28</v>
      </c>
      <c r="AM1910" s="115" t="s">
        <v>1846</v>
      </c>
      <c r="AN1910" s="115" t="s">
        <v>1435</v>
      </c>
      <c r="AO1910" s="115" t="s">
        <v>380</v>
      </c>
    </row>
    <row r="1911" spans="35:41" ht="13">
      <c r="AI1911" s="115" t="s">
        <v>1415</v>
      </c>
      <c r="AJ1911" t="s">
        <v>2114</v>
      </c>
      <c r="AK1911" s="115">
        <v>0</v>
      </c>
      <c r="AL1911" s="115" t="s">
        <v>28</v>
      </c>
      <c r="AM1911" s="115" t="s">
        <v>1848</v>
      </c>
      <c r="AN1911" s="115" t="s">
        <v>1436</v>
      </c>
      <c r="AO1911" s="115" t="s">
        <v>1644</v>
      </c>
    </row>
    <row r="1912" spans="35:41" ht="13">
      <c r="AI1912" s="115" t="s">
        <v>1415</v>
      </c>
      <c r="AJ1912" t="s">
        <v>2114</v>
      </c>
      <c r="AK1912" s="115">
        <v>0</v>
      </c>
      <c r="AL1912" s="115" t="s">
        <v>28</v>
      </c>
      <c r="AM1912" s="115" t="s">
        <v>1832</v>
      </c>
      <c r="AN1912" s="115" t="s">
        <v>1436</v>
      </c>
      <c r="AO1912" s="115" t="s">
        <v>1644</v>
      </c>
    </row>
    <row r="1913" spans="35:41" ht="13">
      <c r="AI1913" s="115" t="s">
        <v>1415</v>
      </c>
      <c r="AJ1913" t="s">
        <v>2114</v>
      </c>
      <c r="AK1913" s="115">
        <v>0</v>
      </c>
      <c r="AL1913" s="115" t="s">
        <v>28</v>
      </c>
      <c r="AM1913" s="115" t="s">
        <v>1850</v>
      </c>
      <c r="AN1913" s="115" t="s">
        <v>1436</v>
      </c>
      <c r="AO1913" s="115" t="s">
        <v>1644</v>
      </c>
    </row>
    <row r="1914" spans="35:41" ht="13">
      <c r="AI1914" s="115" t="s">
        <v>1415</v>
      </c>
      <c r="AJ1914" t="s">
        <v>2114</v>
      </c>
      <c r="AK1914" s="115">
        <v>0</v>
      </c>
      <c r="AL1914" s="115" t="s">
        <v>28</v>
      </c>
      <c r="AM1914" s="115" t="s">
        <v>1843</v>
      </c>
      <c r="AN1914" s="115" t="s">
        <v>1436</v>
      </c>
      <c r="AO1914" s="115" t="s">
        <v>1644</v>
      </c>
    </row>
    <row r="1915" spans="35:41" ht="13">
      <c r="AI1915" s="115" t="s">
        <v>1415</v>
      </c>
      <c r="AJ1915" t="s">
        <v>2114</v>
      </c>
      <c r="AK1915" s="115">
        <v>0</v>
      </c>
      <c r="AL1915" s="115" t="s">
        <v>28</v>
      </c>
      <c r="AM1915" s="115" t="s">
        <v>1843</v>
      </c>
      <c r="AN1915" s="115" t="s">
        <v>1436</v>
      </c>
      <c r="AO1915" s="115" t="s">
        <v>1274</v>
      </c>
    </row>
    <row r="1916" spans="35:41" ht="13">
      <c r="AI1916" s="115" t="s">
        <v>1415</v>
      </c>
      <c r="AJ1916" t="s">
        <v>2114</v>
      </c>
      <c r="AK1916" s="115">
        <v>0</v>
      </c>
      <c r="AL1916" s="115" t="s">
        <v>28</v>
      </c>
      <c r="AM1916" s="115" t="s">
        <v>1850</v>
      </c>
      <c r="AN1916" s="115" t="s">
        <v>1436</v>
      </c>
      <c r="AO1916" s="115" t="s">
        <v>1274</v>
      </c>
    </row>
    <row r="1917" spans="35:41" ht="13">
      <c r="AI1917" s="115" t="s">
        <v>1415</v>
      </c>
      <c r="AJ1917" t="s">
        <v>2114</v>
      </c>
      <c r="AK1917" s="115">
        <v>0</v>
      </c>
      <c r="AL1917" s="115" t="s">
        <v>28</v>
      </c>
      <c r="AM1917" s="115" t="s">
        <v>1846</v>
      </c>
      <c r="AN1917" s="115" t="s">
        <v>1436</v>
      </c>
      <c r="AO1917" s="115" t="s">
        <v>1274</v>
      </c>
    </row>
    <row r="1918" spans="35:41" ht="13">
      <c r="AI1918" s="115" t="s">
        <v>1415</v>
      </c>
      <c r="AJ1918" t="s">
        <v>2114</v>
      </c>
      <c r="AK1918" s="115">
        <v>0</v>
      </c>
      <c r="AL1918" s="115" t="s">
        <v>28</v>
      </c>
      <c r="AM1918" s="115" t="s">
        <v>1848</v>
      </c>
      <c r="AN1918" s="115" t="s">
        <v>1436</v>
      </c>
      <c r="AO1918" s="115" t="s">
        <v>1274</v>
      </c>
    </row>
    <row r="1919" spans="35:41" ht="13">
      <c r="AI1919" s="115" t="s">
        <v>1415</v>
      </c>
      <c r="AJ1919" t="s">
        <v>2114</v>
      </c>
      <c r="AK1919" s="115">
        <v>0</v>
      </c>
      <c r="AL1919" s="115" t="s">
        <v>28</v>
      </c>
      <c r="AM1919" s="115" t="s">
        <v>1832</v>
      </c>
      <c r="AN1919" s="115" t="s">
        <v>1436</v>
      </c>
      <c r="AO1919" s="115" t="s">
        <v>1274</v>
      </c>
    </row>
    <row r="1920" spans="35:41" ht="13">
      <c r="AI1920" s="115" t="s">
        <v>1415</v>
      </c>
      <c r="AJ1920" t="s">
        <v>2114</v>
      </c>
      <c r="AK1920" s="115">
        <v>0</v>
      </c>
      <c r="AL1920" s="115" t="s">
        <v>28</v>
      </c>
      <c r="AM1920" s="115" t="s">
        <v>1849</v>
      </c>
      <c r="AN1920" s="115" t="s">
        <v>1436</v>
      </c>
      <c r="AO1920" s="115" t="s">
        <v>1274</v>
      </c>
    </row>
    <row r="1921" spans="35:41" ht="13">
      <c r="AI1921" s="115" t="s">
        <v>1415</v>
      </c>
      <c r="AJ1921" t="s">
        <v>2114</v>
      </c>
      <c r="AK1921" s="115">
        <v>0</v>
      </c>
      <c r="AL1921" s="115" t="s">
        <v>28</v>
      </c>
      <c r="AM1921" s="115" t="s">
        <v>1843</v>
      </c>
      <c r="AN1921" s="115" t="s">
        <v>1436</v>
      </c>
      <c r="AO1921" s="115" t="s">
        <v>381</v>
      </c>
    </row>
    <row r="1922" spans="35:41" ht="13">
      <c r="AI1922" s="115" t="s">
        <v>1415</v>
      </c>
      <c r="AJ1922" t="s">
        <v>2114</v>
      </c>
      <c r="AK1922" s="115">
        <v>0</v>
      </c>
      <c r="AL1922" s="115" t="s">
        <v>28</v>
      </c>
      <c r="AM1922" s="115" t="s">
        <v>1849</v>
      </c>
      <c r="AN1922" s="115" t="s">
        <v>1436</v>
      </c>
      <c r="AO1922" s="115" t="s">
        <v>381</v>
      </c>
    </row>
    <row r="1923" spans="35:41" ht="13">
      <c r="AI1923" s="115" t="s">
        <v>1415</v>
      </c>
      <c r="AJ1923" t="s">
        <v>2114</v>
      </c>
      <c r="AK1923" s="115">
        <v>0</v>
      </c>
      <c r="AL1923" s="115" t="s">
        <v>28</v>
      </c>
      <c r="AM1923" s="115" t="s">
        <v>1832</v>
      </c>
      <c r="AN1923" s="115" t="s">
        <v>1436</v>
      </c>
      <c r="AO1923" s="115" t="s">
        <v>381</v>
      </c>
    </row>
    <row r="1924" spans="35:41" ht="13">
      <c r="AI1924" s="115" t="s">
        <v>1415</v>
      </c>
      <c r="AJ1924" t="s">
        <v>2114</v>
      </c>
      <c r="AK1924" s="115">
        <v>0</v>
      </c>
      <c r="AL1924" s="115" t="s">
        <v>28</v>
      </c>
      <c r="AM1924" s="115" t="s">
        <v>1846</v>
      </c>
      <c r="AN1924" s="115" t="s">
        <v>1436</v>
      </c>
      <c r="AO1924" s="115" t="s">
        <v>381</v>
      </c>
    </row>
    <row r="1925" spans="35:41" ht="13">
      <c r="AI1925" s="115" t="s">
        <v>1415</v>
      </c>
      <c r="AJ1925" t="s">
        <v>2114</v>
      </c>
      <c r="AK1925" s="115">
        <v>0</v>
      </c>
      <c r="AL1925" s="115" t="s">
        <v>28</v>
      </c>
      <c r="AM1925" s="115" t="s">
        <v>1848</v>
      </c>
      <c r="AN1925" s="115" t="s">
        <v>1436</v>
      </c>
      <c r="AO1925" s="115" t="s">
        <v>381</v>
      </c>
    </row>
    <row r="1926" spans="35:41" ht="13">
      <c r="AI1926" s="115" t="s">
        <v>1415</v>
      </c>
      <c r="AJ1926" t="s">
        <v>2114</v>
      </c>
      <c r="AK1926" s="115">
        <v>0</v>
      </c>
      <c r="AL1926" s="115" t="s">
        <v>28</v>
      </c>
      <c r="AM1926" s="115" t="s">
        <v>1850</v>
      </c>
      <c r="AN1926" s="115" t="s">
        <v>1436</v>
      </c>
      <c r="AO1926" s="115" t="s">
        <v>381</v>
      </c>
    </row>
    <row r="1927" spans="35:41" ht="13">
      <c r="AI1927" s="115" t="s">
        <v>1415</v>
      </c>
      <c r="AJ1927" t="s">
        <v>2114</v>
      </c>
      <c r="AK1927" s="115">
        <v>0</v>
      </c>
      <c r="AL1927" s="115" t="s">
        <v>28</v>
      </c>
      <c r="AM1927" s="115" t="s">
        <v>1849</v>
      </c>
      <c r="AN1927" s="115" t="s">
        <v>1436</v>
      </c>
      <c r="AO1927" s="115" t="s">
        <v>379</v>
      </c>
    </row>
    <row r="1928" spans="35:41" ht="13">
      <c r="AI1928" s="115" t="s">
        <v>1415</v>
      </c>
      <c r="AJ1928" t="s">
        <v>2114</v>
      </c>
      <c r="AK1928" s="115">
        <v>0</v>
      </c>
      <c r="AL1928" s="115" t="s">
        <v>28</v>
      </c>
      <c r="AM1928" s="115" t="s">
        <v>1846</v>
      </c>
      <c r="AN1928" s="115" t="s">
        <v>1436</v>
      </c>
      <c r="AO1928" s="115" t="s">
        <v>379</v>
      </c>
    </row>
    <row r="1929" spans="35:41" ht="13">
      <c r="AI1929" s="115" t="s">
        <v>1415</v>
      </c>
      <c r="AJ1929" t="s">
        <v>2114</v>
      </c>
      <c r="AK1929" s="115">
        <v>0</v>
      </c>
      <c r="AL1929" s="115" t="s">
        <v>28</v>
      </c>
      <c r="AM1929" s="115" t="s">
        <v>1850</v>
      </c>
      <c r="AN1929" s="115" t="s">
        <v>1436</v>
      </c>
      <c r="AO1929" s="115" t="s">
        <v>379</v>
      </c>
    </row>
    <row r="1930" spans="35:41" ht="13">
      <c r="AI1930" s="115" t="s">
        <v>1415</v>
      </c>
      <c r="AJ1930" t="s">
        <v>2114</v>
      </c>
      <c r="AK1930" s="115">
        <v>0</v>
      </c>
      <c r="AL1930" s="115" t="s">
        <v>28</v>
      </c>
      <c r="AM1930" s="115" t="s">
        <v>1832</v>
      </c>
      <c r="AN1930" s="115" t="s">
        <v>1436</v>
      </c>
      <c r="AO1930" s="115" t="s">
        <v>379</v>
      </c>
    </row>
    <row r="1931" spans="35:41" ht="13">
      <c r="AI1931" s="115" t="s">
        <v>1415</v>
      </c>
      <c r="AJ1931" t="s">
        <v>2114</v>
      </c>
      <c r="AK1931" s="115">
        <v>0</v>
      </c>
      <c r="AL1931" s="115" t="s">
        <v>28</v>
      </c>
      <c r="AM1931" s="115" t="s">
        <v>1843</v>
      </c>
      <c r="AN1931" s="115" t="s">
        <v>1436</v>
      </c>
      <c r="AO1931" s="115" t="s">
        <v>379</v>
      </c>
    </row>
    <row r="1932" spans="35:41" ht="13">
      <c r="AI1932" s="115" t="s">
        <v>1415</v>
      </c>
      <c r="AJ1932" t="s">
        <v>2114</v>
      </c>
      <c r="AK1932" s="115">
        <v>0</v>
      </c>
      <c r="AL1932" s="115" t="s">
        <v>28</v>
      </c>
      <c r="AM1932" s="115" t="s">
        <v>1848</v>
      </c>
      <c r="AN1932" s="115" t="s">
        <v>1436</v>
      </c>
      <c r="AO1932" s="115" t="s">
        <v>379</v>
      </c>
    </row>
    <row r="1933" spans="35:41" ht="13">
      <c r="AI1933" s="115" t="s">
        <v>1415</v>
      </c>
      <c r="AJ1933" t="s">
        <v>2114</v>
      </c>
      <c r="AK1933" s="115">
        <v>0</v>
      </c>
      <c r="AL1933" s="115" t="s">
        <v>28</v>
      </c>
      <c r="AM1933" s="115" t="s">
        <v>1832</v>
      </c>
      <c r="AN1933" s="115" t="s">
        <v>1436</v>
      </c>
      <c r="AO1933" s="115" t="s">
        <v>1645</v>
      </c>
    </row>
    <row r="1934" spans="35:41" ht="13">
      <c r="AI1934" s="115" t="s">
        <v>1415</v>
      </c>
      <c r="AJ1934" t="s">
        <v>2114</v>
      </c>
      <c r="AK1934" s="115">
        <v>0</v>
      </c>
      <c r="AL1934" s="115" t="s">
        <v>28</v>
      </c>
      <c r="AM1934" s="115" t="s">
        <v>1850</v>
      </c>
      <c r="AN1934" s="115" t="s">
        <v>1436</v>
      </c>
      <c r="AO1934" s="115" t="s">
        <v>1645</v>
      </c>
    </row>
    <row r="1935" spans="35:41" ht="13">
      <c r="AI1935" s="115" t="s">
        <v>1415</v>
      </c>
      <c r="AJ1935" t="s">
        <v>2114</v>
      </c>
      <c r="AK1935" s="115">
        <v>0</v>
      </c>
      <c r="AL1935" s="115" t="s">
        <v>28</v>
      </c>
      <c r="AM1935" s="115" t="s">
        <v>1846</v>
      </c>
      <c r="AN1935" s="115" t="s">
        <v>1436</v>
      </c>
      <c r="AO1935" s="115" t="s">
        <v>1645</v>
      </c>
    </row>
    <row r="1936" spans="35:41" ht="13">
      <c r="AI1936" s="115" t="s">
        <v>1415</v>
      </c>
      <c r="AJ1936" t="s">
        <v>2114</v>
      </c>
      <c r="AK1936" s="115">
        <v>0</v>
      </c>
      <c r="AL1936" s="115" t="s">
        <v>28</v>
      </c>
      <c r="AM1936" s="115" t="s">
        <v>1843</v>
      </c>
      <c r="AN1936" s="115" t="s">
        <v>1436</v>
      </c>
      <c r="AO1936" s="115" t="s">
        <v>1645</v>
      </c>
    </row>
    <row r="1937" spans="35:41" ht="13">
      <c r="AI1937" s="115" t="s">
        <v>1415</v>
      </c>
      <c r="AJ1937" t="s">
        <v>2114</v>
      </c>
      <c r="AK1937" s="115">
        <v>0</v>
      </c>
      <c r="AL1937" s="115" t="s">
        <v>28</v>
      </c>
      <c r="AM1937" s="115" t="s">
        <v>1849</v>
      </c>
      <c r="AN1937" s="115" t="s">
        <v>1436</v>
      </c>
      <c r="AO1937" s="115" t="s">
        <v>1645</v>
      </c>
    </row>
    <row r="1938" spans="35:41" ht="13">
      <c r="AI1938" s="115" t="s">
        <v>1415</v>
      </c>
      <c r="AJ1938" t="s">
        <v>2114</v>
      </c>
      <c r="AK1938" s="115">
        <v>0</v>
      </c>
      <c r="AL1938" s="115" t="s">
        <v>28</v>
      </c>
      <c r="AM1938" s="115" t="s">
        <v>1848</v>
      </c>
      <c r="AN1938" s="115" t="s">
        <v>1436</v>
      </c>
      <c r="AO1938" s="115" t="s">
        <v>1645</v>
      </c>
    </row>
    <row r="1939" spans="35:41" ht="13">
      <c r="AI1939" s="115" t="s">
        <v>1415</v>
      </c>
      <c r="AJ1939" t="s">
        <v>2114</v>
      </c>
      <c r="AK1939" s="115">
        <v>0</v>
      </c>
      <c r="AL1939" s="115" t="s">
        <v>28</v>
      </c>
      <c r="AM1939" s="115" t="s">
        <v>1846</v>
      </c>
      <c r="AN1939" s="115" t="s">
        <v>1436</v>
      </c>
      <c r="AO1939" s="115" t="s">
        <v>1646</v>
      </c>
    </row>
    <row r="1940" spans="35:41" ht="13">
      <c r="AI1940" s="115" t="s">
        <v>1415</v>
      </c>
      <c r="AJ1940" t="s">
        <v>2114</v>
      </c>
      <c r="AK1940" s="115">
        <v>0</v>
      </c>
      <c r="AL1940" s="115" t="s">
        <v>28</v>
      </c>
      <c r="AM1940" s="115" t="s">
        <v>1843</v>
      </c>
      <c r="AN1940" s="115" t="s">
        <v>1436</v>
      </c>
      <c r="AO1940" s="115" t="s">
        <v>1646</v>
      </c>
    </row>
    <row r="1941" spans="35:41" ht="13">
      <c r="AI1941" s="115" t="s">
        <v>1415</v>
      </c>
      <c r="AJ1941" t="s">
        <v>2114</v>
      </c>
      <c r="AK1941" s="115">
        <v>0</v>
      </c>
      <c r="AL1941" s="115" t="s">
        <v>28</v>
      </c>
      <c r="AM1941" s="115" t="s">
        <v>1843</v>
      </c>
      <c r="AN1941" s="115" t="s">
        <v>1436</v>
      </c>
      <c r="AO1941" s="115" t="s">
        <v>1647</v>
      </c>
    </row>
    <row r="1942" spans="35:41" ht="13">
      <c r="AI1942" s="115" t="s">
        <v>1415</v>
      </c>
      <c r="AJ1942" t="s">
        <v>2114</v>
      </c>
      <c r="AK1942" s="115">
        <v>0</v>
      </c>
      <c r="AL1942" s="115" t="s">
        <v>28</v>
      </c>
      <c r="AM1942" s="115" t="s">
        <v>1846</v>
      </c>
      <c r="AN1942" s="115" t="s">
        <v>1436</v>
      </c>
      <c r="AO1942" s="115" t="s">
        <v>1647</v>
      </c>
    </row>
    <row r="1943" spans="35:41" ht="13">
      <c r="AI1943" s="115" t="s">
        <v>1415</v>
      </c>
      <c r="AJ1943" t="s">
        <v>2114</v>
      </c>
      <c r="AK1943" s="115">
        <v>0</v>
      </c>
      <c r="AL1943" s="115" t="s">
        <v>28</v>
      </c>
      <c r="AM1943" s="115" t="s">
        <v>1846</v>
      </c>
      <c r="AN1943" s="115" t="s">
        <v>1436</v>
      </c>
      <c r="AO1943" s="115" t="s">
        <v>1639</v>
      </c>
    </row>
    <row r="1944" spans="35:41" ht="13">
      <c r="AI1944" s="115" t="s">
        <v>1415</v>
      </c>
      <c r="AJ1944" t="s">
        <v>2114</v>
      </c>
      <c r="AK1944" s="115">
        <v>0</v>
      </c>
      <c r="AL1944" s="115" t="s">
        <v>28</v>
      </c>
      <c r="AM1944" s="115" t="s">
        <v>1843</v>
      </c>
      <c r="AN1944" s="115" t="s">
        <v>1436</v>
      </c>
      <c r="AO1944" s="115" t="s">
        <v>1639</v>
      </c>
    </row>
    <row r="1945" spans="35:41" ht="13">
      <c r="AI1945" s="115" t="s">
        <v>1415</v>
      </c>
      <c r="AJ1945" t="s">
        <v>2114</v>
      </c>
      <c r="AK1945" s="115">
        <v>0</v>
      </c>
      <c r="AL1945" s="115" t="s">
        <v>28</v>
      </c>
      <c r="AM1945" s="115" t="s">
        <v>1849</v>
      </c>
      <c r="AN1945" s="115" t="s">
        <v>1436</v>
      </c>
      <c r="AO1945" s="115" t="s">
        <v>373</v>
      </c>
    </row>
    <row r="1946" spans="35:41" ht="13">
      <c r="AI1946" s="115" t="s">
        <v>1415</v>
      </c>
      <c r="AJ1946" t="s">
        <v>2114</v>
      </c>
      <c r="AK1946" s="115">
        <v>0</v>
      </c>
      <c r="AL1946" s="115" t="s">
        <v>28</v>
      </c>
      <c r="AM1946" s="115" t="s">
        <v>1843</v>
      </c>
      <c r="AN1946" s="115" t="s">
        <v>1436</v>
      </c>
      <c r="AO1946" s="115" t="s">
        <v>373</v>
      </c>
    </row>
    <row r="1947" spans="35:41" ht="13">
      <c r="AI1947" s="115" t="s">
        <v>1415</v>
      </c>
      <c r="AJ1947" t="s">
        <v>2114</v>
      </c>
      <c r="AK1947" s="115">
        <v>0</v>
      </c>
      <c r="AL1947" s="115" t="s">
        <v>28</v>
      </c>
      <c r="AM1947" s="115" t="s">
        <v>1832</v>
      </c>
      <c r="AN1947" s="115" t="s">
        <v>1436</v>
      </c>
      <c r="AO1947" s="115" t="s">
        <v>373</v>
      </c>
    </row>
    <row r="1948" spans="35:41" ht="13">
      <c r="AI1948" s="115" t="s">
        <v>1415</v>
      </c>
      <c r="AJ1948" t="s">
        <v>2114</v>
      </c>
      <c r="AK1948" s="115">
        <v>0</v>
      </c>
      <c r="AL1948" s="115" t="s">
        <v>28</v>
      </c>
      <c r="AM1948" s="115" t="s">
        <v>1846</v>
      </c>
      <c r="AN1948" s="115" t="s">
        <v>1436</v>
      </c>
      <c r="AO1948" s="115" t="s">
        <v>373</v>
      </c>
    </row>
    <row r="1949" spans="35:41" ht="13">
      <c r="AI1949" s="115" t="s">
        <v>1415</v>
      </c>
      <c r="AJ1949" t="s">
        <v>2114</v>
      </c>
      <c r="AK1949" s="115">
        <v>0</v>
      </c>
      <c r="AL1949" s="115" t="s">
        <v>28</v>
      </c>
      <c r="AM1949" s="115" t="s">
        <v>1850</v>
      </c>
      <c r="AN1949" s="115" t="s">
        <v>1436</v>
      </c>
      <c r="AO1949" s="115" t="s">
        <v>373</v>
      </c>
    </row>
    <row r="1950" spans="35:41" ht="13">
      <c r="AI1950" s="115" t="s">
        <v>1415</v>
      </c>
      <c r="AJ1950" t="s">
        <v>2114</v>
      </c>
      <c r="AK1950" s="115">
        <v>0</v>
      </c>
      <c r="AL1950" s="115" t="s">
        <v>28</v>
      </c>
      <c r="AM1950" s="115" t="s">
        <v>1848</v>
      </c>
      <c r="AN1950" s="115" t="s">
        <v>1436</v>
      </c>
      <c r="AO1950" s="115" t="s">
        <v>373</v>
      </c>
    </row>
    <row r="1951" spans="35:41" ht="13">
      <c r="AI1951" s="115" t="s">
        <v>1415</v>
      </c>
      <c r="AJ1951" t="s">
        <v>2114</v>
      </c>
      <c r="AK1951" s="115">
        <v>0</v>
      </c>
      <c r="AL1951" s="115" t="s">
        <v>28</v>
      </c>
      <c r="AM1951" s="115" t="s">
        <v>1846</v>
      </c>
      <c r="AN1951" s="115" t="s">
        <v>1436</v>
      </c>
      <c r="AO1951" s="115" t="s">
        <v>380</v>
      </c>
    </row>
    <row r="1952" spans="35:41" ht="13">
      <c r="AI1952" s="115" t="s">
        <v>1415</v>
      </c>
      <c r="AJ1952" t="s">
        <v>2114</v>
      </c>
      <c r="AK1952" s="115">
        <v>0</v>
      </c>
      <c r="AL1952" s="115" t="s">
        <v>28</v>
      </c>
      <c r="AM1952" s="115" t="s">
        <v>1832</v>
      </c>
      <c r="AN1952" s="115" t="s">
        <v>1436</v>
      </c>
      <c r="AO1952" s="115" t="s">
        <v>380</v>
      </c>
    </row>
    <row r="1953" spans="35:41" ht="13">
      <c r="AI1953" s="115" t="s">
        <v>1415</v>
      </c>
      <c r="AJ1953" t="s">
        <v>2114</v>
      </c>
      <c r="AK1953" s="115">
        <v>0</v>
      </c>
      <c r="AL1953" s="115" t="s">
        <v>28</v>
      </c>
      <c r="AM1953" s="115" t="s">
        <v>1848</v>
      </c>
      <c r="AN1953" s="115" t="s">
        <v>1436</v>
      </c>
      <c r="AO1953" s="115" t="s">
        <v>380</v>
      </c>
    </row>
    <row r="1954" spans="35:41" ht="13">
      <c r="AI1954" s="115" t="s">
        <v>1415</v>
      </c>
      <c r="AJ1954" t="s">
        <v>2114</v>
      </c>
      <c r="AK1954" s="115">
        <v>0</v>
      </c>
      <c r="AL1954" s="115" t="s">
        <v>28</v>
      </c>
      <c r="AM1954" s="115" t="s">
        <v>1843</v>
      </c>
      <c r="AN1954" s="115" t="s">
        <v>1436</v>
      </c>
      <c r="AO1954" s="115" t="s">
        <v>380</v>
      </c>
    </row>
    <row r="1955" spans="35:41" ht="13">
      <c r="AI1955" s="115" t="s">
        <v>1415</v>
      </c>
      <c r="AJ1955" t="s">
        <v>2114</v>
      </c>
      <c r="AK1955" s="115">
        <v>0</v>
      </c>
      <c r="AL1955" s="115" t="s">
        <v>28</v>
      </c>
      <c r="AM1955" s="115" t="s">
        <v>1849</v>
      </c>
      <c r="AN1955" s="115" t="s">
        <v>1436</v>
      </c>
      <c r="AO1955" s="115" t="s">
        <v>380</v>
      </c>
    </row>
    <row r="1956" spans="35:41" ht="13">
      <c r="AI1956" s="115" t="s">
        <v>1415</v>
      </c>
      <c r="AJ1956" t="s">
        <v>2114</v>
      </c>
      <c r="AK1956" s="115">
        <v>0</v>
      </c>
      <c r="AL1956" s="115" t="s">
        <v>28</v>
      </c>
      <c r="AM1956" s="115" t="s">
        <v>1850</v>
      </c>
      <c r="AN1956" s="115" t="s">
        <v>1436</v>
      </c>
      <c r="AO1956" s="115" t="s">
        <v>380</v>
      </c>
    </row>
    <row r="1957" spans="35:41" ht="13">
      <c r="AI1957" s="115" t="s">
        <v>1415</v>
      </c>
      <c r="AJ1957" t="s">
        <v>2114</v>
      </c>
      <c r="AK1957" s="115">
        <v>0</v>
      </c>
      <c r="AL1957" s="115" t="s">
        <v>28</v>
      </c>
      <c r="AM1957" s="115" t="s">
        <v>1846</v>
      </c>
      <c r="AN1957" s="115" t="s">
        <v>1438</v>
      </c>
      <c r="AO1957" s="115" t="s">
        <v>1274</v>
      </c>
    </row>
    <row r="1958" spans="35:41" ht="13">
      <c r="AI1958" s="115" t="s">
        <v>1415</v>
      </c>
      <c r="AJ1958" t="s">
        <v>2114</v>
      </c>
      <c r="AK1958" s="115">
        <v>0</v>
      </c>
      <c r="AL1958" s="115" t="s">
        <v>28</v>
      </c>
      <c r="AM1958" s="115" t="s">
        <v>1848</v>
      </c>
      <c r="AN1958" s="115" t="s">
        <v>1438</v>
      </c>
      <c r="AO1958" s="115" t="s">
        <v>1274</v>
      </c>
    </row>
    <row r="1959" spans="35:41" ht="13">
      <c r="AI1959" s="115" t="s">
        <v>1415</v>
      </c>
      <c r="AJ1959" t="s">
        <v>2114</v>
      </c>
      <c r="AK1959" s="115">
        <v>0</v>
      </c>
      <c r="AL1959" s="115" t="s">
        <v>28</v>
      </c>
      <c r="AM1959" s="115" t="s">
        <v>1843</v>
      </c>
      <c r="AN1959" s="115" t="s">
        <v>1438</v>
      </c>
      <c r="AO1959" s="115" t="s">
        <v>1274</v>
      </c>
    </row>
    <row r="1960" spans="35:41" ht="13">
      <c r="AI1960" s="115" t="s">
        <v>1415</v>
      </c>
      <c r="AJ1960" t="s">
        <v>2114</v>
      </c>
      <c r="AK1960" s="115">
        <v>0</v>
      </c>
      <c r="AL1960" s="115" t="s">
        <v>28</v>
      </c>
      <c r="AM1960" s="115" t="s">
        <v>1849</v>
      </c>
      <c r="AN1960" s="115" t="s">
        <v>1438</v>
      </c>
      <c r="AO1960" s="115" t="s">
        <v>1274</v>
      </c>
    </row>
    <row r="1961" spans="35:41" ht="13">
      <c r="AI1961" s="115" t="s">
        <v>1415</v>
      </c>
      <c r="AJ1961" t="s">
        <v>2114</v>
      </c>
      <c r="AK1961" s="115">
        <v>0</v>
      </c>
      <c r="AL1961" s="115" t="s">
        <v>28</v>
      </c>
      <c r="AM1961" s="115" t="s">
        <v>1832</v>
      </c>
      <c r="AN1961" s="115" t="s">
        <v>1438</v>
      </c>
      <c r="AO1961" s="115" t="s">
        <v>1274</v>
      </c>
    </row>
    <row r="1962" spans="35:41" ht="13">
      <c r="AI1962" s="115" t="s">
        <v>1415</v>
      </c>
      <c r="AJ1962" t="s">
        <v>2114</v>
      </c>
      <c r="AK1962" s="115">
        <v>0</v>
      </c>
      <c r="AL1962" s="115" t="s">
        <v>28</v>
      </c>
      <c r="AM1962" s="115" t="s">
        <v>1850</v>
      </c>
      <c r="AN1962" s="115" t="s">
        <v>1438</v>
      </c>
      <c r="AO1962" s="115" t="s">
        <v>1274</v>
      </c>
    </row>
    <row r="1963" spans="35:41" ht="13">
      <c r="AI1963" s="115" t="s">
        <v>1415</v>
      </c>
      <c r="AJ1963" t="s">
        <v>2114</v>
      </c>
      <c r="AK1963" s="115">
        <v>0</v>
      </c>
      <c r="AL1963" s="115" t="s">
        <v>28</v>
      </c>
      <c r="AM1963" s="115" t="s">
        <v>1843</v>
      </c>
      <c r="AN1963" s="115" t="s">
        <v>1438</v>
      </c>
      <c r="AO1963" s="115" t="s">
        <v>379</v>
      </c>
    </row>
    <row r="1964" spans="35:41" ht="13">
      <c r="AI1964" s="115" t="s">
        <v>1415</v>
      </c>
      <c r="AJ1964" t="s">
        <v>2114</v>
      </c>
      <c r="AK1964" s="115">
        <v>0</v>
      </c>
      <c r="AL1964" s="115" t="s">
        <v>28</v>
      </c>
      <c r="AM1964" s="115" t="s">
        <v>1846</v>
      </c>
      <c r="AN1964" s="115" t="s">
        <v>1438</v>
      </c>
      <c r="AO1964" s="115" t="s">
        <v>379</v>
      </c>
    </row>
    <row r="1965" spans="35:41" ht="13">
      <c r="AI1965" s="115" t="s">
        <v>1415</v>
      </c>
      <c r="AJ1965" t="s">
        <v>2114</v>
      </c>
      <c r="AK1965" s="115">
        <v>0</v>
      </c>
      <c r="AL1965" s="115" t="s">
        <v>28</v>
      </c>
      <c r="AM1965" s="115" t="s">
        <v>1843</v>
      </c>
      <c r="AN1965" s="115" t="s">
        <v>1438</v>
      </c>
      <c r="AO1965" s="115" t="s">
        <v>380</v>
      </c>
    </row>
    <row r="1966" spans="35:41" ht="13">
      <c r="AI1966" s="115" t="s">
        <v>1415</v>
      </c>
      <c r="AJ1966" t="s">
        <v>2114</v>
      </c>
      <c r="AK1966" s="115">
        <v>0</v>
      </c>
      <c r="AL1966" s="115" t="s">
        <v>28</v>
      </c>
      <c r="AM1966" s="115" t="s">
        <v>1850</v>
      </c>
      <c r="AN1966" s="115" t="s">
        <v>1438</v>
      </c>
      <c r="AO1966" s="115" t="s">
        <v>380</v>
      </c>
    </row>
    <row r="1967" spans="35:41" ht="13">
      <c r="AI1967" s="115" t="s">
        <v>1415</v>
      </c>
      <c r="AJ1967" t="s">
        <v>2114</v>
      </c>
      <c r="AK1967" s="115">
        <v>0</v>
      </c>
      <c r="AL1967" s="115" t="s">
        <v>28</v>
      </c>
      <c r="AM1967" s="115" t="s">
        <v>1832</v>
      </c>
      <c r="AN1967" s="115" t="s">
        <v>1438</v>
      </c>
      <c r="AO1967" s="115" t="s">
        <v>380</v>
      </c>
    </row>
    <row r="1968" spans="35:41" ht="13">
      <c r="AI1968" s="115" t="s">
        <v>1415</v>
      </c>
      <c r="AJ1968" t="s">
        <v>2114</v>
      </c>
      <c r="AK1968" s="115">
        <v>0</v>
      </c>
      <c r="AL1968" s="115" t="s">
        <v>28</v>
      </c>
      <c r="AM1968" s="115" t="s">
        <v>1848</v>
      </c>
      <c r="AN1968" s="115" t="s">
        <v>1438</v>
      </c>
      <c r="AO1968" s="115" t="s">
        <v>380</v>
      </c>
    </row>
    <row r="1969" spans="35:41" ht="13">
      <c r="AI1969" s="115" t="s">
        <v>1415</v>
      </c>
      <c r="AJ1969" t="s">
        <v>2114</v>
      </c>
      <c r="AK1969" s="115">
        <v>0</v>
      </c>
      <c r="AL1969" s="115" t="s">
        <v>28</v>
      </c>
      <c r="AM1969" s="115" t="s">
        <v>1846</v>
      </c>
      <c r="AN1969" s="115" t="s">
        <v>1438</v>
      </c>
      <c r="AO1969" s="115" t="s">
        <v>380</v>
      </c>
    </row>
    <row r="1970" spans="35:41" ht="13">
      <c r="AI1970" s="115" t="s">
        <v>1415</v>
      </c>
      <c r="AJ1970" t="s">
        <v>2114</v>
      </c>
      <c r="AK1970" s="115">
        <v>0</v>
      </c>
      <c r="AL1970" s="115" t="s">
        <v>28</v>
      </c>
      <c r="AM1970" s="115" t="s">
        <v>1849</v>
      </c>
      <c r="AN1970" s="115" t="s">
        <v>1438</v>
      </c>
      <c r="AO1970" s="115" t="s">
        <v>380</v>
      </c>
    </row>
    <row r="1971" spans="35:41" ht="13">
      <c r="AI1971" s="115" t="s">
        <v>1415</v>
      </c>
      <c r="AJ1971" t="s">
        <v>2114</v>
      </c>
      <c r="AK1971" s="115">
        <v>0</v>
      </c>
      <c r="AL1971" s="115" t="s">
        <v>28</v>
      </c>
      <c r="AM1971" s="115" t="s">
        <v>1849</v>
      </c>
      <c r="AN1971" s="115" t="s">
        <v>1420</v>
      </c>
      <c r="AO1971" s="115" t="s">
        <v>1643</v>
      </c>
    </row>
    <row r="1972" spans="35:41" ht="13">
      <c r="AI1972" s="115" t="s">
        <v>1415</v>
      </c>
      <c r="AJ1972" t="s">
        <v>2114</v>
      </c>
      <c r="AK1972" s="115">
        <v>0</v>
      </c>
      <c r="AL1972" s="115" t="s">
        <v>28</v>
      </c>
      <c r="AM1972" s="115" t="s">
        <v>1832</v>
      </c>
      <c r="AN1972" s="115" t="s">
        <v>1420</v>
      </c>
      <c r="AO1972" s="115" t="s">
        <v>1643</v>
      </c>
    </row>
    <row r="1973" spans="35:41" ht="13">
      <c r="AI1973" s="115" t="s">
        <v>1415</v>
      </c>
      <c r="AJ1973" t="s">
        <v>2114</v>
      </c>
      <c r="AK1973" s="115">
        <v>0</v>
      </c>
      <c r="AL1973" s="115" t="s">
        <v>28</v>
      </c>
      <c r="AM1973" s="115" t="s">
        <v>1850</v>
      </c>
      <c r="AN1973" s="115" t="s">
        <v>1420</v>
      </c>
      <c r="AO1973" s="115" t="s">
        <v>1643</v>
      </c>
    </row>
    <row r="1974" spans="35:41" ht="13">
      <c r="AI1974" s="115" t="s">
        <v>1415</v>
      </c>
      <c r="AJ1974" t="s">
        <v>2114</v>
      </c>
      <c r="AK1974" s="115">
        <v>0</v>
      </c>
      <c r="AL1974" s="115" t="s">
        <v>28</v>
      </c>
      <c r="AM1974" s="115" t="s">
        <v>1843</v>
      </c>
      <c r="AN1974" s="115" t="s">
        <v>1420</v>
      </c>
      <c r="AO1974" s="115" t="s">
        <v>1643</v>
      </c>
    </row>
    <row r="1975" spans="35:41" ht="13">
      <c r="AI1975" s="115" t="s">
        <v>1415</v>
      </c>
      <c r="AJ1975" t="s">
        <v>2114</v>
      </c>
      <c r="AK1975" s="115">
        <v>0</v>
      </c>
      <c r="AL1975" s="115" t="s">
        <v>28</v>
      </c>
      <c r="AM1975" s="115" t="s">
        <v>1848</v>
      </c>
      <c r="AN1975" s="115" t="s">
        <v>1420</v>
      </c>
      <c r="AO1975" s="115" t="s">
        <v>1643</v>
      </c>
    </row>
    <row r="1976" spans="35:41" ht="13">
      <c r="AI1976" s="115" t="s">
        <v>1415</v>
      </c>
      <c r="AJ1976" t="s">
        <v>2114</v>
      </c>
      <c r="AK1976" s="115">
        <v>0</v>
      </c>
      <c r="AL1976" s="115" t="s">
        <v>28</v>
      </c>
      <c r="AM1976" s="115" t="s">
        <v>1846</v>
      </c>
      <c r="AN1976" s="115" t="s">
        <v>1420</v>
      </c>
      <c r="AO1976" s="115" t="s">
        <v>1643</v>
      </c>
    </row>
    <row r="1977" spans="35:41" ht="13">
      <c r="AI1977" s="115" t="s">
        <v>1415</v>
      </c>
      <c r="AJ1977" t="s">
        <v>2114</v>
      </c>
      <c r="AK1977" s="115">
        <v>0</v>
      </c>
      <c r="AL1977" s="115" t="s">
        <v>1842</v>
      </c>
      <c r="AM1977" s="115" t="s">
        <v>1849</v>
      </c>
      <c r="AN1977" s="115" t="s">
        <v>1419</v>
      </c>
      <c r="AO1977" s="115" t="s">
        <v>1643</v>
      </c>
    </row>
    <row r="1978" spans="35:41" ht="13">
      <c r="AI1978" s="115" t="s">
        <v>1415</v>
      </c>
      <c r="AJ1978" t="s">
        <v>2114</v>
      </c>
      <c r="AK1978" s="115">
        <v>0</v>
      </c>
      <c r="AL1978" s="115" t="s">
        <v>1842</v>
      </c>
      <c r="AM1978" s="115" t="s">
        <v>1850</v>
      </c>
      <c r="AN1978" s="115" t="s">
        <v>1419</v>
      </c>
      <c r="AO1978" s="115" t="s">
        <v>1643</v>
      </c>
    </row>
    <row r="1979" spans="35:41" ht="13">
      <c r="AI1979" s="115" t="s">
        <v>1415</v>
      </c>
      <c r="AJ1979" t="s">
        <v>2114</v>
      </c>
      <c r="AK1979" s="115">
        <v>0</v>
      </c>
      <c r="AL1979" s="115" t="s">
        <v>1842</v>
      </c>
      <c r="AM1979" s="115" t="s">
        <v>1843</v>
      </c>
      <c r="AN1979" s="115" t="s">
        <v>1419</v>
      </c>
      <c r="AO1979" s="115" t="s">
        <v>1643</v>
      </c>
    </row>
    <row r="1980" spans="35:41" ht="13">
      <c r="AI1980" s="115" t="s">
        <v>1415</v>
      </c>
      <c r="AJ1980" t="s">
        <v>2114</v>
      </c>
      <c r="AK1980" s="115">
        <v>0</v>
      </c>
      <c r="AL1980" s="115" t="s">
        <v>1842</v>
      </c>
      <c r="AM1980" s="115" t="s">
        <v>1846</v>
      </c>
      <c r="AN1980" s="115" t="s">
        <v>1419</v>
      </c>
      <c r="AO1980" s="115" t="s">
        <v>1643</v>
      </c>
    </row>
    <row r="1981" spans="35:41" ht="13">
      <c r="AI1981" s="115" t="s">
        <v>1415</v>
      </c>
      <c r="AJ1981" t="s">
        <v>2114</v>
      </c>
      <c r="AK1981" s="115">
        <v>0</v>
      </c>
      <c r="AL1981" s="115" t="s">
        <v>1842</v>
      </c>
      <c r="AM1981" s="115" t="s">
        <v>1832</v>
      </c>
      <c r="AN1981" s="115" t="s">
        <v>1419</v>
      </c>
      <c r="AO1981" s="115" t="s">
        <v>1643</v>
      </c>
    </row>
    <row r="1982" spans="35:41" ht="13">
      <c r="AI1982" s="115" t="s">
        <v>1415</v>
      </c>
      <c r="AJ1982" t="s">
        <v>2114</v>
      </c>
      <c r="AK1982" s="115">
        <v>0</v>
      </c>
      <c r="AL1982" s="115" t="s">
        <v>1842</v>
      </c>
      <c r="AM1982" s="115" t="s">
        <v>1848</v>
      </c>
      <c r="AN1982" s="115" t="s">
        <v>1419</v>
      </c>
      <c r="AO1982" s="115" t="s">
        <v>1643</v>
      </c>
    </row>
    <row r="1983" spans="35:41" ht="13">
      <c r="AI1983" s="115" t="s">
        <v>1415</v>
      </c>
      <c r="AJ1983" t="s">
        <v>2114</v>
      </c>
      <c r="AK1983" s="115">
        <v>0</v>
      </c>
      <c r="AL1983" s="115" t="s">
        <v>1842</v>
      </c>
      <c r="AM1983" s="115" t="s">
        <v>1850</v>
      </c>
      <c r="AN1983" s="115" t="s">
        <v>1419</v>
      </c>
      <c r="AO1983" s="115" t="s">
        <v>1641</v>
      </c>
    </row>
    <row r="1984" spans="35:41" ht="13">
      <c r="AI1984" s="115" t="s">
        <v>1415</v>
      </c>
      <c r="AJ1984" t="s">
        <v>2114</v>
      </c>
      <c r="AK1984" s="115">
        <v>0</v>
      </c>
      <c r="AL1984" s="115" t="s">
        <v>1842</v>
      </c>
      <c r="AM1984" s="115" t="s">
        <v>1843</v>
      </c>
      <c r="AN1984" s="115" t="s">
        <v>1419</v>
      </c>
      <c r="AO1984" s="115" t="s">
        <v>1641</v>
      </c>
    </row>
    <row r="1985" spans="35:41" ht="13">
      <c r="AI1985" s="115" t="s">
        <v>1415</v>
      </c>
      <c r="AJ1985" t="s">
        <v>2114</v>
      </c>
      <c r="AK1985" s="115">
        <v>0</v>
      </c>
      <c r="AL1985" s="115" t="s">
        <v>1842</v>
      </c>
      <c r="AM1985" s="115" t="s">
        <v>1832</v>
      </c>
      <c r="AN1985" s="115" t="s">
        <v>1419</v>
      </c>
      <c r="AO1985" s="115" t="s">
        <v>1641</v>
      </c>
    </row>
    <row r="1986" spans="35:41" ht="13">
      <c r="AI1986" s="115" t="s">
        <v>1415</v>
      </c>
      <c r="AJ1986" t="s">
        <v>2114</v>
      </c>
      <c r="AK1986" s="115">
        <v>0</v>
      </c>
      <c r="AL1986" s="115" t="s">
        <v>1842</v>
      </c>
      <c r="AM1986" s="115" t="s">
        <v>1848</v>
      </c>
      <c r="AN1986" s="115" t="s">
        <v>1419</v>
      </c>
      <c r="AO1986" s="115" t="s">
        <v>1641</v>
      </c>
    </row>
    <row r="1987" spans="35:41" ht="13">
      <c r="AI1987" s="115" t="s">
        <v>1415</v>
      </c>
      <c r="AJ1987" t="s">
        <v>2114</v>
      </c>
      <c r="AK1987" s="115">
        <v>0</v>
      </c>
      <c r="AL1987" s="115" t="s">
        <v>1842</v>
      </c>
      <c r="AM1987" s="115" t="s">
        <v>1850</v>
      </c>
      <c r="AN1987" s="115" t="s">
        <v>1419</v>
      </c>
      <c r="AO1987" s="115" t="s">
        <v>380</v>
      </c>
    </row>
    <row r="1988" spans="35:41" ht="13">
      <c r="AI1988" s="115" t="s">
        <v>1415</v>
      </c>
      <c r="AJ1988" t="s">
        <v>2114</v>
      </c>
      <c r="AK1988" s="115">
        <v>0</v>
      </c>
      <c r="AL1988" s="115" t="s">
        <v>1842</v>
      </c>
      <c r="AM1988" s="115" t="s">
        <v>1849</v>
      </c>
      <c r="AN1988" s="115" t="s">
        <v>1419</v>
      </c>
      <c r="AO1988" s="115" t="s">
        <v>380</v>
      </c>
    </row>
    <row r="1989" spans="35:41" ht="13">
      <c r="AI1989" s="115" t="s">
        <v>1415</v>
      </c>
      <c r="AJ1989" t="s">
        <v>2114</v>
      </c>
      <c r="AK1989" s="115">
        <v>0</v>
      </c>
      <c r="AL1989" s="115" t="s">
        <v>1842</v>
      </c>
      <c r="AM1989" s="115" t="s">
        <v>1846</v>
      </c>
      <c r="AN1989" s="115" t="s">
        <v>1419</v>
      </c>
      <c r="AO1989" s="115" t="s">
        <v>380</v>
      </c>
    </row>
    <row r="1990" spans="35:41" ht="13">
      <c r="AI1990" s="115" t="s">
        <v>1415</v>
      </c>
      <c r="AJ1990" t="s">
        <v>2114</v>
      </c>
      <c r="AK1990" s="115">
        <v>0</v>
      </c>
      <c r="AL1990" s="115" t="s">
        <v>1842</v>
      </c>
      <c r="AM1990" s="115" t="s">
        <v>1848</v>
      </c>
      <c r="AN1990" s="115" t="s">
        <v>1419</v>
      </c>
      <c r="AO1990" s="115" t="s">
        <v>380</v>
      </c>
    </row>
    <row r="1991" spans="35:41" ht="13">
      <c r="AI1991" s="115" t="s">
        <v>1415</v>
      </c>
      <c r="AJ1991" t="s">
        <v>2114</v>
      </c>
      <c r="AK1991" s="115">
        <v>0</v>
      </c>
      <c r="AL1991" s="115" t="s">
        <v>1842</v>
      </c>
      <c r="AM1991" s="115" t="s">
        <v>1832</v>
      </c>
      <c r="AN1991" s="115" t="s">
        <v>1419</v>
      </c>
      <c r="AO1991" s="115" t="s">
        <v>380</v>
      </c>
    </row>
    <row r="1992" spans="35:41" ht="13">
      <c r="AI1992" s="115" t="s">
        <v>1415</v>
      </c>
      <c r="AJ1992" t="s">
        <v>2114</v>
      </c>
      <c r="AK1992" s="115">
        <v>0</v>
      </c>
      <c r="AL1992" s="115" t="s">
        <v>1842</v>
      </c>
      <c r="AM1992" s="115" t="s">
        <v>1843</v>
      </c>
      <c r="AN1992" s="115" t="s">
        <v>1419</v>
      </c>
      <c r="AO1992" s="115" t="s">
        <v>380</v>
      </c>
    </row>
    <row r="1993" spans="35:41" ht="13">
      <c r="AI1993" s="115" t="s">
        <v>1415</v>
      </c>
      <c r="AJ1993" t="s">
        <v>2114</v>
      </c>
      <c r="AK1993" s="115">
        <v>0</v>
      </c>
      <c r="AL1993" s="115" t="s">
        <v>1842</v>
      </c>
      <c r="AM1993" s="115" t="s">
        <v>1849</v>
      </c>
      <c r="AN1993" s="115" t="s">
        <v>1419</v>
      </c>
      <c r="AO1993" s="115" t="s">
        <v>372</v>
      </c>
    </row>
    <row r="1994" spans="35:41" ht="13">
      <c r="AI1994" s="115" t="s">
        <v>1415</v>
      </c>
      <c r="AJ1994" t="s">
        <v>2114</v>
      </c>
      <c r="AK1994" s="115">
        <v>0</v>
      </c>
      <c r="AL1994" s="115" t="s">
        <v>1842</v>
      </c>
      <c r="AM1994" s="115" t="s">
        <v>1846</v>
      </c>
      <c r="AN1994" s="115" t="s">
        <v>1419</v>
      </c>
      <c r="AO1994" s="115" t="s">
        <v>372</v>
      </c>
    </row>
    <row r="1995" spans="35:41" ht="13">
      <c r="AI1995" s="115" t="s">
        <v>1415</v>
      </c>
      <c r="AJ1995" t="s">
        <v>2114</v>
      </c>
      <c r="AK1995" s="115">
        <v>0</v>
      </c>
      <c r="AL1995" s="115" t="s">
        <v>1842</v>
      </c>
      <c r="AM1995" s="115" t="s">
        <v>1850</v>
      </c>
      <c r="AN1995" s="115" t="s">
        <v>1419</v>
      </c>
      <c r="AO1995" s="115" t="s">
        <v>372</v>
      </c>
    </row>
    <row r="1996" spans="35:41" ht="13">
      <c r="AI1996" s="115" t="s">
        <v>1415</v>
      </c>
      <c r="AJ1996" t="s">
        <v>2114</v>
      </c>
      <c r="AK1996" s="115">
        <v>0</v>
      </c>
      <c r="AL1996" s="115" t="s">
        <v>1842</v>
      </c>
      <c r="AM1996" s="115" t="s">
        <v>1832</v>
      </c>
      <c r="AN1996" s="115" t="s">
        <v>1419</v>
      </c>
      <c r="AO1996" s="115" t="s">
        <v>372</v>
      </c>
    </row>
    <row r="1997" spans="35:41" ht="13">
      <c r="AI1997" s="115" t="s">
        <v>1415</v>
      </c>
      <c r="AJ1997" t="s">
        <v>2114</v>
      </c>
      <c r="AK1997" s="115">
        <v>0</v>
      </c>
      <c r="AL1997" s="115" t="s">
        <v>1842</v>
      </c>
      <c r="AM1997" s="115" t="s">
        <v>1848</v>
      </c>
      <c r="AN1997" s="115" t="s">
        <v>1419</v>
      </c>
      <c r="AO1997" s="115" t="s">
        <v>372</v>
      </c>
    </row>
    <row r="1998" spans="35:41" ht="13">
      <c r="AI1998" s="115" t="s">
        <v>1415</v>
      </c>
      <c r="AJ1998" t="s">
        <v>2114</v>
      </c>
      <c r="AK1998" s="115">
        <v>0</v>
      </c>
      <c r="AL1998" s="115" t="s">
        <v>1842</v>
      </c>
      <c r="AM1998" s="115" t="s">
        <v>1843</v>
      </c>
      <c r="AN1998" s="115" t="s">
        <v>1419</v>
      </c>
      <c r="AO1998" s="115" t="s">
        <v>372</v>
      </c>
    </row>
    <row r="1999" spans="35:41" ht="13">
      <c r="AI1999" s="115" t="s">
        <v>1415</v>
      </c>
      <c r="AJ1999" t="s">
        <v>2114</v>
      </c>
      <c r="AK1999" s="115">
        <v>0</v>
      </c>
      <c r="AL1999" s="115" t="s">
        <v>28</v>
      </c>
      <c r="AM1999" s="115" t="s">
        <v>1832</v>
      </c>
      <c r="AN1999" s="115" t="s">
        <v>1284</v>
      </c>
      <c r="AO1999" s="115" t="s">
        <v>1643</v>
      </c>
    </row>
    <row r="2000" spans="35:41" ht="13">
      <c r="AI2000" s="115" t="s">
        <v>1415</v>
      </c>
      <c r="AJ2000" t="s">
        <v>2114</v>
      </c>
      <c r="AK2000" s="115">
        <v>0</v>
      </c>
      <c r="AL2000" s="115" t="s">
        <v>28</v>
      </c>
      <c r="AM2000" s="115" t="s">
        <v>1849</v>
      </c>
      <c r="AN2000" s="115" t="s">
        <v>1284</v>
      </c>
      <c r="AO2000" s="115" t="s">
        <v>1643</v>
      </c>
    </row>
    <row r="2001" spans="35:41" ht="13">
      <c r="AI2001" s="115" t="s">
        <v>1415</v>
      </c>
      <c r="AJ2001" t="s">
        <v>2114</v>
      </c>
      <c r="AK2001" s="115">
        <v>0</v>
      </c>
      <c r="AL2001" s="115" t="s">
        <v>28</v>
      </c>
      <c r="AM2001" s="115" t="s">
        <v>1848</v>
      </c>
      <c r="AN2001" s="115" t="s">
        <v>1284</v>
      </c>
      <c r="AO2001" s="115" t="s">
        <v>1643</v>
      </c>
    </row>
    <row r="2002" spans="35:41" ht="13">
      <c r="AI2002" s="115" t="s">
        <v>1415</v>
      </c>
      <c r="AJ2002" t="s">
        <v>2114</v>
      </c>
      <c r="AK2002" s="115">
        <v>0</v>
      </c>
      <c r="AL2002" s="115" t="s">
        <v>28</v>
      </c>
      <c r="AM2002" s="115" t="s">
        <v>1843</v>
      </c>
      <c r="AN2002" s="115" t="s">
        <v>1284</v>
      </c>
      <c r="AO2002" s="115" t="s">
        <v>1643</v>
      </c>
    </row>
    <row r="2003" spans="35:41" ht="13">
      <c r="AI2003" s="115" t="s">
        <v>1415</v>
      </c>
      <c r="AJ2003" t="s">
        <v>2114</v>
      </c>
      <c r="AK2003" s="115">
        <v>0</v>
      </c>
      <c r="AL2003" s="115" t="s">
        <v>28</v>
      </c>
      <c r="AM2003" s="115" t="s">
        <v>1850</v>
      </c>
      <c r="AN2003" s="115" t="s">
        <v>1284</v>
      </c>
      <c r="AO2003" s="115" t="s">
        <v>1643</v>
      </c>
    </row>
    <row r="2004" spans="35:41" ht="13">
      <c r="AI2004" s="115" t="s">
        <v>1415</v>
      </c>
      <c r="AJ2004" t="s">
        <v>2114</v>
      </c>
      <c r="AK2004" s="115">
        <v>0</v>
      </c>
      <c r="AL2004" s="115" t="s">
        <v>28</v>
      </c>
      <c r="AM2004" s="115" t="s">
        <v>1846</v>
      </c>
      <c r="AN2004" s="115" t="s">
        <v>1284</v>
      </c>
      <c r="AO2004" s="115" t="s">
        <v>1643</v>
      </c>
    </row>
    <row r="2005" spans="35:41" ht="13">
      <c r="AI2005" s="115" t="s">
        <v>1415</v>
      </c>
      <c r="AJ2005" t="s">
        <v>2114</v>
      </c>
      <c r="AK2005" s="115">
        <v>0</v>
      </c>
      <c r="AL2005" s="115" t="s">
        <v>28</v>
      </c>
      <c r="AM2005" s="115" t="s">
        <v>1832</v>
      </c>
      <c r="AN2005" s="115" t="s">
        <v>1284</v>
      </c>
      <c r="AO2005" s="115" t="s">
        <v>379</v>
      </c>
    </row>
    <row r="2006" spans="35:41" ht="13">
      <c r="AI2006" s="115" t="s">
        <v>1415</v>
      </c>
      <c r="AJ2006" t="s">
        <v>2114</v>
      </c>
      <c r="AK2006" s="115">
        <v>0</v>
      </c>
      <c r="AL2006" s="115" t="s">
        <v>28</v>
      </c>
      <c r="AM2006" s="115" t="s">
        <v>1850</v>
      </c>
      <c r="AN2006" s="115" t="s">
        <v>1284</v>
      </c>
      <c r="AO2006" s="115" t="s">
        <v>379</v>
      </c>
    </row>
    <row r="2007" spans="35:41" ht="13">
      <c r="AI2007" s="115" t="s">
        <v>1415</v>
      </c>
      <c r="AJ2007" t="s">
        <v>2114</v>
      </c>
      <c r="AK2007" s="115">
        <v>0</v>
      </c>
      <c r="AL2007" s="115" t="s">
        <v>28</v>
      </c>
      <c r="AM2007" s="115" t="s">
        <v>1849</v>
      </c>
      <c r="AN2007" s="115" t="s">
        <v>1284</v>
      </c>
      <c r="AO2007" s="115" t="s">
        <v>379</v>
      </c>
    </row>
    <row r="2008" spans="35:41" ht="13">
      <c r="AI2008" s="115" t="s">
        <v>1415</v>
      </c>
      <c r="AJ2008" t="s">
        <v>2114</v>
      </c>
      <c r="AK2008" s="115">
        <v>0</v>
      </c>
      <c r="AL2008" s="115" t="s">
        <v>28</v>
      </c>
      <c r="AM2008" s="115" t="s">
        <v>1843</v>
      </c>
      <c r="AN2008" s="115" t="s">
        <v>1284</v>
      </c>
      <c r="AO2008" s="115" t="s">
        <v>379</v>
      </c>
    </row>
    <row r="2009" spans="35:41" ht="13">
      <c r="AI2009" s="115" t="s">
        <v>1415</v>
      </c>
      <c r="AJ2009" t="s">
        <v>2114</v>
      </c>
      <c r="AK2009" s="115">
        <v>0</v>
      </c>
      <c r="AL2009" s="115" t="s">
        <v>28</v>
      </c>
      <c r="AM2009" s="115" t="s">
        <v>1848</v>
      </c>
      <c r="AN2009" s="115" t="s">
        <v>1284</v>
      </c>
      <c r="AO2009" s="115" t="s">
        <v>379</v>
      </c>
    </row>
    <row r="2010" spans="35:41" ht="13">
      <c r="AI2010" s="115" t="s">
        <v>1415</v>
      </c>
      <c r="AJ2010" t="s">
        <v>2114</v>
      </c>
      <c r="AK2010" s="115">
        <v>0</v>
      </c>
      <c r="AL2010" s="115" t="s">
        <v>28</v>
      </c>
      <c r="AM2010" s="115" t="s">
        <v>1846</v>
      </c>
      <c r="AN2010" s="115" t="s">
        <v>1284</v>
      </c>
      <c r="AO2010" s="115" t="s">
        <v>379</v>
      </c>
    </row>
    <row r="2011" spans="35:41" ht="13">
      <c r="AI2011" s="115" t="s">
        <v>1415</v>
      </c>
      <c r="AJ2011" t="s">
        <v>2114</v>
      </c>
      <c r="AK2011" s="115">
        <v>0</v>
      </c>
      <c r="AL2011" s="115" t="s">
        <v>28</v>
      </c>
      <c r="AM2011" s="115" t="s">
        <v>1843</v>
      </c>
      <c r="AN2011" s="115" t="s">
        <v>1284</v>
      </c>
      <c r="AO2011" s="115" t="s">
        <v>1641</v>
      </c>
    </row>
    <row r="2012" spans="35:41" ht="13">
      <c r="AI2012" s="115" t="s">
        <v>1415</v>
      </c>
      <c r="AJ2012" t="s">
        <v>2114</v>
      </c>
      <c r="AK2012" s="115">
        <v>0</v>
      </c>
      <c r="AL2012" s="115" t="s">
        <v>28</v>
      </c>
      <c r="AM2012" s="115" t="s">
        <v>1832</v>
      </c>
      <c r="AN2012" s="115" t="s">
        <v>1284</v>
      </c>
      <c r="AO2012" s="115" t="s">
        <v>1641</v>
      </c>
    </row>
    <row r="2013" spans="35:41" ht="13">
      <c r="AI2013" s="115" t="s">
        <v>1415</v>
      </c>
      <c r="AJ2013" t="s">
        <v>2114</v>
      </c>
      <c r="AK2013" s="115">
        <v>0</v>
      </c>
      <c r="AL2013" s="115" t="s">
        <v>28</v>
      </c>
      <c r="AM2013" s="115" t="s">
        <v>1848</v>
      </c>
      <c r="AN2013" s="115" t="s">
        <v>1284</v>
      </c>
      <c r="AO2013" s="115" t="s">
        <v>1641</v>
      </c>
    </row>
    <row r="2014" spans="35:41" ht="13">
      <c r="AI2014" s="115" t="s">
        <v>1415</v>
      </c>
      <c r="AJ2014" t="s">
        <v>2114</v>
      </c>
      <c r="AK2014" s="115">
        <v>0</v>
      </c>
      <c r="AL2014" s="115" t="s">
        <v>28</v>
      </c>
      <c r="AM2014" s="115" t="s">
        <v>1850</v>
      </c>
      <c r="AN2014" s="115" t="s">
        <v>1284</v>
      </c>
      <c r="AO2014" s="115" t="s">
        <v>1641</v>
      </c>
    </row>
    <row r="2015" spans="35:41" ht="13">
      <c r="AI2015" s="115" t="s">
        <v>1415</v>
      </c>
      <c r="AJ2015" t="s">
        <v>2114</v>
      </c>
      <c r="AK2015" s="115">
        <v>0</v>
      </c>
      <c r="AL2015" s="115" t="s">
        <v>28</v>
      </c>
      <c r="AM2015" s="115" t="s">
        <v>1832</v>
      </c>
      <c r="AN2015" s="115" t="s">
        <v>1284</v>
      </c>
      <c r="AO2015" s="115" t="s">
        <v>373</v>
      </c>
    </row>
    <row r="2016" spans="35:41" ht="13">
      <c r="AI2016" s="115" t="s">
        <v>1415</v>
      </c>
      <c r="AJ2016" t="s">
        <v>2114</v>
      </c>
      <c r="AK2016" s="115">
        <v>0</v>
      </c>
      <c r="AL2016" s="115" t="s">
        <v>28</v>
      </c>
      <c r="AM2016" s="115" t="s">
        <v>1846</v>
      </c>
      <c r="AN2016" s="115" t="s">
        <v>1284</v>
      </c>
      <c r="AO2016" s="115" t="s">
        <v>373</v>
      </c>
    </row>
    <row r="2017" spans="35:41" ht="13">
      <c r="AI2017" s="115" t="s">
        <v>1415</v>
      </c>
      <c r="AJ2017" t="s">
        <v>2114</v>
      </c>
      <c r="AK2017" s="115">
        <v>0</v>
      </c>
      <c r="AL2017" s="115" t="s">
        <v>28</v>
      </c>
      <c r="AM2017" s="115" t="s">
        <v>1848</v>
      </c>
      <c r="AN2017" s="115" t="s">
        <v>1284</v>
      </c>
      <c r="AO2017" s="115" t="s">
        <v>373</v>
      </c>
    </row>
    <row r="2018" spans="35:41" ht="13">
      <c r="AI2018" s="115" t="s">
        <v>1415</v>
      </c>
      <c r="AJ2018" t="s">
        <v>2114</v>
      </c>
      <c r="AK2018" s="115">
        <v>0</v>
      </c>
      <c r="AL2018" s="115" t="s">
        <v>28</v>
      </c>
      <c r="AM2018" s="115" t="s">
        <v>1850</v>
      </c>
      <c r="AN2018" s="115" t="s">
        <v>1284</v>
      </c>
      <c r="AO2018" s="115" t="s">
        <v>373</v>
      </c>
    </row>
    <row r="2019" spans="35:41" ht="13">
      <c r="AI2019" s="115" t="s">
        <v>1415</v>
      </c>
      <c r="AJ2019" t="s">
        <v>2114</v>
      </c>
      <c r="AK2019" s="115">
        <v>0</v>
      </c>
      <c r="AL2019" s="115" t="s">
        <v>28</v>
      </c>
      <c r="AM2019" s="115" t="s">
        <v>1849</v>
      </c>
      <c r="AN2019" s="115" t="s">
        <v>1284</v>
      </c>
      <c r="AO2019" s="115" t="s">
        <v>373</v>
      </c>
    </row>
    <row r="2020" spans="35:41" ht="13">
      <c r="AI2020" s="115" t="s">
        <v>1415</v>
      </c>
      <c r="AJ2020" t="s">
        <v>2114</v>
      </c>
      <c r="AK2020" s="115">
        <v>0</v>
      </c>
      <c r="AL2020" s="115" t="s">
        <v>28</v>
      </c>
      <c r="AM2020" s="115" t="s">
        <v>1843</v>
      </c>
      <c r="AN2020" s="115" t="s">
        <v>1284</v>
      </c>
      <c r="AO2020" s="115" t="s">
        <v>373</v>
      </c>
    </row>
    <row r="2021" spans="35:41" ht="13">
      <c r="AI2021" s="115" t="s">
        <v>1415</v>
      </c>
      <c r="AJ2021" t="s">
        <v>2114</v>
      </c>
      <c r="AK2021" s="115">
        <v>0</v>
      </c>
      <c r="AL2021" s="115" t="s">
        <v>28</v>
      </c>
      <c r="AM2021" s="115" t="s">
        <v>1850</v>
      </c>
      <c r="AN2021" s="115" t="s">
        <v>1284</v>
      </c>
      <c r="AO2021" s="115" t="s">
        <v>380</v>
      </c>
    </row>
    <row r="2022" spans="35:41" ht="13">
      <c r="AI2022" s="115" t="s">
        <v>1415</v>
      </c>
      <c r="AJ2022" t="s">
        <v>2114</v>
      </c>
      <c r="AK2022" s="115">
        <v>0</v>
      </c>
      <c r="AL2022" s="115" t="s">
        <v>28</v>
      </c>
      <c r="AM2022" s="115" t="s">
        <v>1849</v>
      </c>
      <c r="AN2022" s="115" t="s">
        <v>1284</v>
      </c>
      <c r="AO2022" s="115" t="s">
        <v>380</v>
      </c>
    </row>
    <row r="2023" spans="35:41" ht="13">
      <c r="AI2023" s="115" t="s">
        <v>1415</v>
      </c>
      <c r="AJ2023" t="s">
        <v>2114</v>
      </c>
      <c r="AK2023" s="115">
        <v>0</v>
      </c>
      <c r="AL2023" s="115" t="s">
        <v>28</v>
      </c>
      <c r="AM2023" s="115" t="s">
        <v>1848</v>
      </c>
      <c r="AN2023" s="115" t="s">
        <v>1284</v>
      </c>
      <c r="AO2023" s="115" t="s">
        <v>380</v>
      </c>
    </row>
    <row r="2024" spans="35:41" ht="13">
      <c r="AI2024" s="115" t="s">
        <v>1415</v>
      </c>
      <c r="AJ2024" t="s">
        <v>2114</v>
      </c>
      <c r="AK2024" s="115">
        <v>0</v>
      </c>
      <c r="AL2024" s="115" t="s">
        <v>28</v>
      </c>
      <c r="AM2024" s="115" t="s">
        <v>1832</v>
      </c>
      <c r="AN2024" s="115" t="s">
        <v>1284</v>
      </c>
      <c r="AO2024" s="115" t="s">
        <v>380</v>
      </c>
    </row>
    <row r="2025" spans="35:41" ht="13">
      <c r="AI2025" s="115" t="s">
        <v>1415</v>
      </c>
      <c r="AJ2025" t="s">
        <v>2114</v>
      </c>
      <c r="AK2025" s="115">
        <v>0</v>
      </c>
      <c r="AL2025" s="115" t="s">
        <v>28</v>
      </c>
      <c r="AM2025" s="115" t="s">
        <v>1843</v>
      </c>
      <c r="AN2025" s="115" t="s">
        <v>1284</v>
      </c>
      <c r="AO2025" s="115" t="s">
        <v>380</v>
      </c>
    </row>
    <row r="2026" spans="35:41" ht="13">
      <c r="AI2026" s="115" t="s">
        <v>1415</v>
      </c>
      <c r="AJ2026" t="s">
        <v>2114</v>
      </c>
      <c r="AK2026" s="115">
        <v>0</v>
      </c>
      <c r="AL2026" s="115" t="s">
        <v>28</v>
      </c>
      <c r="AM2026" s="115" t="s">
        <v>1846</v>
      </c>
      <c r="AN2026" s="115" t="s">
        <v>1284</v>
      </c>
      <c r="AO2026" s="115" t="s">
        <v>380</v>
      </c>
    </row>
    <row r="2027" spans="35:41" ht="13">
      <c r="AI2027" s="115" t="s">
        <v>1415</v>
      </c>
      <c r="AJ2027" t="s">
        <v>2114</v>
      </c>
      <c r="AK2027" s="115">
        <v>0</v>
      </c>
      <c r="AL2027" s="115" t="s">
        <v>28</v>
      </c>
      <c r="AM2027" s="115" t="s">
        <v>1832</v>
      </c>
      <c r="AN2027" s="115" t="s">
        <v>1284</v>
      </c>
      <c r="AO2027" s="115" t="s">
        <v>372</v>
      </c>
    </row>
    <row r="2028" spans="35:41" ht="13">
      <c r="AI2028" s="115" t="s">
        <v>1415</v>
      </c>
      <c r="AJ2028" t="s">
        <v>2114</v>
      </c>
      <c r="AK2028" s="115">
        <v>0</v>
      </c>
      <c r="AL2028" s="115" t="s">
        <v>28</v>
      </c>
      <c r="AM2028" s="115" t="s">
        <v>1849</v>
      </c>
      <c r="AN2028" s="115" t="s">
        <v>1284</v>
      </c>
      <c r="AO2028" s="115" t="s">
        <v>372</v>
      </c>
    </row>
    <row r="2029" spans="35:41" ht="13">
      <c r="AI2029" s="115" t="s">
        <v>1415</v>
      </c>
      <c r="AJ2029" t="s">
        <v>2114</v>
      </c>
      <c r="AK2029" s="115">
        <v>0</v>
      </c>
      <c r="AL2029" s="115" t="s">
        <v>28</v>
      </c>
      <c r="AM2029" s="115" t="s">
        <v>1846</v>
      </c>
      <c r="AN2029" s="115" t="s">
        <v>1284</v>
      </c>
      <c r="AO2029" s="115" t="s">
        <v>372</v>
      </c>
    </row>
    <row r="2030" spans="35:41" ht="13">
      <c r="AI2030" s="115" t="s">
        <v>1415</v>
      </c>
      <c r="AJ2030" t="s">
        <v>2114</v>
      </c>
      <c r="AK2030" s="115">
        <v>0</v>
      </c>
      <c r="AL2030" s="115" t="s">
        <v>28</v>
      </c>
      <c r="AM2030" s="115" t="s">
        <v>1850</v>
      </c>
      <c r="AN2030" s="115" t="s">
        <v>1284</v>
      </c>
      <c r="AO2030" s="115" t="s">
        <v>372</v>
      </c>
    </row>
    <row r="2031" spans="35:41" ht="13">
      <c r="AI2031" s="115" t="s">
        <v>1415</v>
      </c>
      <c r="AJ2031" t="s">
        <v>2114</v>
      </c>
      <c r="AK2031" s="115">
        <v>0</v>
      </c>
      <c r="AL2031" s="115" t="s">
        <v>28</v>
      </c>
      <c r="AM2031" s="115" t="s">
        <v>1848</v>
      </c>
      <c r="AN2031" s="115" t="s">
        <v>1284</v>
      </c>
      <c r="AO2031" s="115" t="s">
        <v>372</v>
      </c>
    </row>
    <row r="2032" spans="35:41" ht="13">
      <c r="AI2032" s="115" t="s">
        <v>1415</v>
      </c>
      <c r="AJ2032" t="s">
        <v>2114</v>
      </c>
      <c r="AK2032" s="115">
        <v>0</v>
      </c>
      <c r="AL2032" s="115" t="s">
        <v>28</v>
      </c>
      <c r="AM2032" s="115" t="s">
        <v>1843</v>
      </c>
      <c r="AN2032" s="115" t="s">
        <v>1284</v>
      </c>
      <c r="AO2032" s="115" t="s">
        <v>372</v>
      </c>
    </row>
    <row r="2033" spans="35:41" ht="13">
      <c r="AI2033" s="115" t="s">
        <v>1415</v>
      </c>
      <c r="AJ2033" t="s">
        <v>2114</v>
      </c>
      <c r="AK2033" s="115">
        <v>0</v>
      </c>
      <c r="AL2033" s="115" t="s">
        <v>1842</v>
      </c>
      <c r="AM2033" s="115" t="s">
        <v>1848</v>
      </c>
      <c r="AN2033" s="115" t="s">
        <v>418</v>
      </c>
      <c r="AO2033" s="115" t="s">
        <v>1645</v>
      </c>
    </row>
    <row r="2034" spans="35:41" ht="13">
      <c r="AI2034" s="115" t="s">
        <v>1415</v>
      </c>
      <c r="AJ2034" t="s">
        <v>2114</v>
      </c>
      <c r="AK2034" s="115">
        <v>0</v>
      </c>
      <c r="AL2034" s="115" t="s">
        <v>1842</v>
      </c>
      <c r="AM2034" s="115" t="s">
        <v>1843</v>
      </c>
      <c r="AN2034" s="115" t="s">
        <v>418</v>
      </c>
      <c r="AO2034" s="115" t="s">
        <v>1645</v>
      </c>
    </row>
    <row r="2035" spans="35:41" ht="13">
      <c r="AI2035" s="115" t="s">
        <v>1415</v>
      </c>
      <c r="AJ2035" t="s">
        <v>2114</v>
      </c>
      <c r="AK2035" s="115">
        <v>0</v>
      </c>
      <c r="AL2035" s="115" t="s">
        <v>1842</v>
      </c>
      <c r="AM2035" s="115" t="s">
        <v>1846</v>
      </c>
      <c r="AN2035" s="115" t="s">
        <v>418</v>
      </c>
      <c r="AO2035" s="115" t="s">
        <v>1645</v>
      </c>
    </row>
    <row r="2036" spans="35:41" ht="13">
      <c r="AI2036" s="115" t="s">
        <v>1415</v>
      </c>
      <c r="AJ2036" t="s">
        <v>2114</v>
      </c>
      <c r="AK2036" s="115">
        <v>0</v>
      </c>
      <c r="AL2036" s="115" t="s">
        <v>1842</v>
      </c>
      <c r="AM2036" s="115" t="s">
        <v>1832</v>
      </c>
      <c r="AN2036" s="115" t="s">
        <v>418</v>
      </c>
      <c r="AO2036" s="115" t="s">
        <v>1645</v>
      </c>
    </row>
    <row r="2037" spans="35:41" ht="13">
      <c r="AI2037" s="115" t="s">
        <v>1415</v>
      </c>
      <c r="AJ2037" t="s">
        <v>2114</v>
      </c>
      <c r="AK2037" s="115">
        <v>0</v>
      </c>
      <c r="AL2037" s="115" t="s">
        <v>1842</v>
      </c>
      <c r="AM2037" s="115" t="s">
        <v>1850</v>
      </c>
      <c r="AN2037" s="115" t="s">
        <v>418</v>
      </c>
      <c r="AO2037" s="115" t="s">
        <v>1645</v>
      </c>
    </row>
    <row r="2038" spans="35:41" ht="13">
      <c r="AI2038" s="115" t="s">
        <v>1415</v>
      </c>
      <c r="AJ2038" t="s">
        <v>2114</v>
      </c>
      <c r="AK2038" s="115">
        <v>0</v>
      </c>
      <c r="AL2038" s="115" t="s">
        <v>1842</v>
      </c>
      <c r="AM2038" s="115" t="s">
        <v>1849</v>
      </c>
      <c r="AN2038" s="115" t="s">
        <v>418</v>
      </c>
      <c r="AO2038" s="115" t="s">
        <v>1645</v>
      </c>
    </row>
    <row r="2039" spans="35:41" ht="13">
      <c r="AI2039" s="115" t="s">
        <v>1415</v>
      </c>
      <c r="AJ2039" t="s">
        <v>2114</v>
      </c>
      <c r="AK2039" s="115">
        <v>0</v>
      </c>
      <c r="AL2039" s="115" t="s">
        <v>1842</v>
      </c>
      <c r="AM2039" s="115" t="s">
        <v>1848</v>
      </c>
      <c r="AN2039" s="115" t="s">
        <v>418</v>
      </c>
      <c r="AO2039" s="115" t="s">
        <v>380</v>
      </c>
    </row>
    <row r="2040" spans="35:41" ht="13">
      <c r="AI2040" s="115" t="s">
        <v>1415</v>
      </c>
      <c r="AJ2040" t="s">
        <v>2114</v>
      </c>
      <c r="AK2040" s="115">
        <v>0</v>
      </c>
      <c r="AL2040" s="115" t="s">
        <v>1842</v>
      </c>
      <c r="AM2040" s="115" t="s">
        <v>1846</v>
      </c>
      <c r="AN2040" s="115" t="s">
        <v>418</v>
      </c>
      <c r="AO2040" s="115" t="s">
        <v>380</v>
      </c>
    </row>
    <row r="2041" spans="35:41" ht="13">
      <c r="AI2041" s="115" t="s">
        <v>1415</v>
      </c>
      <c r="AJ2041" t="s">
        <v>2114</v>
      </c>
      <c r="AK2041" s="115">
        <v>0</v>
      </c>
      <c r="AL2041" s="115" t="s">
        <v>1842</v>
      </c>
      <c r="AM2041" s="115" t="s">
        <v>1843</v>
      </c>
      <c r="AN2041" s="115" t="s">
        <v>418</v>
      </c>
      <c r="AO2041" s="115" t="s">
        <v>380</v>
      </c>
    </row>
    <row r="2042" spans="35:41" ht="13">
      <c r="AI2042" s="115" t="s">
        <v>1415</v>
      </c>
      <c r="AJ2042" t="s">
        <v>2114</v>
      </c>
      <c r="AK2042" s="115">
        <v>0</v>
      </c>
      <c r="AL2042" s="115" t="s">
        <v>1842</v>
      </c>
      <c r="AM2042" s="115" t="s">
        <v>1850</v>
      </c>
      <c r="AN2042" s="115" t="s">
        <v>418</v>
      </c>
      <c r="AO2042" s="115" t="s">
        <v>380</v>
      </c>
    </row>
    <row r="2043" spans="35:41" ht="13">
      <c r="AI2043" s="115" t="s">
        <v>1415</v>
      </c>
      <c r="AJ2043" t="s">
        <v>2114</v>
      </c>
      <c r="AK2043" s="115">
        <v>0</v>
      </c>
      <c r="AL2043" s="115" t="s">
        <v>1842</v>
      </c>
      <c r="AM2043" s="115" t="s">
        <v>1832</v>
      </c>
      <c r="AN2043" s="115" t="s">
        <v>418</v>
      </c>
      <c r="AO2043" s="115" t="s">
        <v>380</v>
      </c>
    </row>
    <row r="2044" spans="35:41" ht="13">
      <c r="AI2044" s="115" t="s">
        <v>1415</v>
      </c>
      <c r="AJ2044" t="s">
        <v>2114</v>
      </c>
      <c r="AK2044" s="115">
        <v>0</v>
      </c>
      <c r="AL2044" s="115" t="s">
        <v>1842</v>
      </c>
      <c r="AM2044" s="115" t="s">
        <v>1849</v>
      </c>
      <c r="AN2044" s="115" t="s">
        <v>418</v>
      </c>
      <c r="AO2044" s="115" t="s">
        <v>380</v>
      </c>
    </row>
    <row r="2045" spans="35:41" ht="13">
      <c r="AI2045" s="115" t="s">
        <v>1415</v>
      </c>
      <c r="AJ2045" t="s">
        <v>2114</v>
      </c>
      <c r="AK2045" s="115">
        <v>0</v>
      </c>
      <c r="AL2045" s="115" t="s">
        <v>28</v>
      </c>
      <c r="AM2045" s="115" t="s">
        <v>1843</v>
      </c>
      <c r="AN2045" s="115" t="s">
        <v>360</v>
      </c>
      <c r="AO2045" s="115" t="s">
        <v>360</v>
      </c>
    </row>
    <row r="2046" spans="35:41" ht="13">
      <c r="AI2046" s="115" t="s">
        <v>1415</v>
      </c>
      <c r="AJ2046" t="s">
        <v>2114</v>
      </c>
      <c r="AK2046" s="115">
        <v>0</v>
      </c>
      <c r="AL2046" s="115" t="s">
        <v>28</v>
      </c>
      <c r="AM2046" s="115" t="s">
        <v>1832</v>
      </c>
      <c r="AN2046" s="115" t="s">
        <v>360</v>
      </c>
      <c r="AO2046" s="115" t="s">
        <v>360</v>
      </c>
    </row>
    <row r="2047" spans="35:41" ht="13">
      <c r="AI2047" s="115" t="s">
        <v>1415</v>
      </c>
      <c r="AJ2047" t="s">
        <v>2114</v>
      </c>
      <c r="AK2047" s="115">
        <v>0</v>
      </c>
      <c r="AL2047" s="115" t="s">
        <v>28</v>
      </c>
      <c r="AM2047" s="115" t="s">
        <v>1846</v>
      </c>
      <c r="AN2047" s="115" t="s">
        <v>360</v>
      </c>
      <c r="AO2047" s="115" t="s">
        <v>360</v>
      </c>
    </row>
    <row r="2048" spans="35:41" ht="13">
      <c r="AI2048" s="115" t="s">
        <v>1415</v>
      </c>
      <c r="AJ2048" t="s">
        <v>2114</v>
      </c>
      <c r="AK2048" s="115">
        <v>0</v>
      </c>
      <c r="AL2048" s="115" t="s">
        <v>28</v>
      </c>
      <c r="AM2048" s="115" t="s">
        <v>1848</v>
      </c>
      <c r="AN2048" s="115" t="s">
        <v>360</v>
      </c>
      <c r="AO2048" s="115" t="s">
        <v>360</v>
      </c>
    </row>
    <row r="2049" spans="35:41" ht="13">
      <c r="AI2049" s="115" t="s">
        <v>1415</v>
      </c>
      <c r="AJ2049" t="s">
        <v>2114</v>
      </c>
      <c r="AK2049" s="115">
        <v>0</v>
      </c>
      <c r="AL2049" s="115" t="s">
        <v>28</v>
      </c>
      <c r="AM2049" s="115" t="s">
        <v>1850</v>
      </c>
      <c r="AN2049" s="115" t="s">
        <v>360</v>
      </c>
      <c r="AO2049" s="115" t="s">
        <v>360</v>
      </c>
    </row>
    <row r="2050" spans="35:41" ht="13">
      <c r="AI2050" s="115" t="s">
        <v>1415</v>
      </c>
      <c r="AJ2050" t="s">
        <v>2114</v>
      </c>
      <c r="AK2050" s="115">
        <v>0</v>
      </c>
      <c r="AL2050" s="115" t="s">
        <v>28</v>
      </c>
      <c r="AM2050" s="115" t="s">
        <v>1849</v>
      </c>
      <c r="AN2050" s="115" t="s">
        <v>360</v>
      </c>
      <c r="AO2050" s="115" t="s">
        <v>360</v>
      </c>
    </row>
    <row r="2051" spans="35:41" ht="13">
      <c r="AI2051" s="115" t="s">
        <v>1415</v>
      </c>
      <c r="AJ2051" t="s">
        <v>2114</v>
      </c>
      <c r="AK2051" s="115">
        <v>0</v>
      </c>
      <c r="AL2051" s="115" t="s">
        <v>28</v>
      </c>
      <c r="AM2051" s="115" t="s">
        <v>1843</v>
      </c>
      <c r="AN2051" s="115" t="s">
        <v>1461</v>
      </c>
      <c r="AO2051" s="115" t="s">
        <v>1644</v>
      </c>
    </row>
    <row r="2052" spans="35:41" ht="13">
      <c r="AI2052" s="115" t="s">
        <v>1415</v>
      </c>
      <c r="AJ2052" t="s">
        <v>2114</v>
      </c>
      <c r="AK2052" s="115">
        <v>0</v>
      </c>
      <c r="AL2052" s="115" t="s">
        <v>28</v>
      </c>
      <c r="AM2052" s="115" t="s">
        <v>1832</v>
      </c>
      <c r="AN2052" s="115" t="s">
        <v>1461</v>
      </c>
      <c r="AO2052" s="115" t="s">
        <v>1644</v>
      </c>
    </row>
    <row r="2053" spans="35:41" ht="13">
      <c r="AI2053" s="115" t="s">
        <v>1415</v>
      </c>
      <c r="AJ2053" t="s">
        <v>2114</v>
      </c>
      <c r="AK2053" s="115">
        <v>0</v>
      </c>
      <c r="AL2053" s="115" t="s">
        <v>28</v>
      </c>
      <c r="AM2053" s="115" t="s">
        <v>1848</v>
      </c>
      <c r="AN2053" s="115" t="s">
        <v>1461</v>
      </c>
      <c r="AO2053" s="115" t="s">
        <v>1644</v>
      </c>
    </row>
    <row r="2054" spans="35:41" ht="13">
      <c r="AI2054" s="115" t="s">
        <v>1415</v>
      </c>
      <c r="AJ2054" t="s">
        <v>2114</v>
      </c>
      <c r="AK2054" s="115">
        <v>0</v>
      </c>
      <c r="AL2054" s="115" t="s">
        <v>28</v>
      </c>
      <c r="AM2054" s="115" t="s">
        <v>1850</v>
      </c>
      <c r="AN2054" s="115" t="s">
        <v>1461</v>
      </c>
      <c r="AO2054" s="115" t="s">
        <v>1644</v>
      </c>
    </row>
    <row r="2055" spans="35:41" ht="13">
      <c r="AI2055" s="115" t="s">
        <v>1415</v>
      </c>
      <c r="AJ2055" t="s">
        <v>2114</v>
      </c>
      <c r="AK2055" s="115">
        <v>0</v>
      </c>
      <c r="AL2055" s="115" t="s">
        <v>28</v>
      </c>
      <c r="AM2055" s="115" t="s">
        <v>1846</v>
      </c>
      <c r="AN2055" s="115" t="s">
        <v>1461</v>
      </c>
      <c r="AO2055" s="115" t="s">
        <v>1274</v>
      </c>
    </row>
    <row r="2056" spans="35:41" ht="13">
      <c r="AI2056" s="115" t="s">
        <v>1415</v>
      </c>
      <c r="AJ2056" t="s">
        <v>2114</v>
      </c>
      <c r="AK2056" s="115">
        <v>0</v>
      </c>
      <c r="AL2056" s="115" t="s">
        <v>28</v>
      </c>
      <c r="AM2056" s="115" t="s">
        <v>1848</v>
      </c>
      <c r="AN2056" s="115" t="s">
        <v>1461</v>
      </c>
      <c r="AO2056" s="115" t="s">
        <v>1274</v>
      </c>
    </row>
    <row r="2057" spans="35:41" ht="13">
      <c r="AI2057" s="115" t="s">
        <v>1415</v>
      </c>
      <c r="AJ2057" t="s">
        <v>2114</v>
      </c>
      <c r="AK2057" s="115">
        <v>0</v>
      </c>
      <c r="AL2057" s="115" t="s">
        <v>28</v>
      </c>
      <c r="AM2057" s="115" t="s">
        <v>1850</v>
      </c>
      <c r="AN2057" s="115" t="s">
        <v>1461</v>
      </c>
      <c r="AO2057" s="115" t="s">
        <v>1274</v>
      </c>
    </row>
    <row r="2058" spans="35:41" ht="13">
      <c r="AI2058" s="115" t="s">
        <v>1415</v>
      </c>
      <c r="AJ2058" t="s">
        <v>2114</v>
      </c>
      <c r="AK2058" s="115">
        <v>0</v>
      </c>
      <c r="AL2058" s="115" t="s">
        <v>28</v>
      </c>
      <c r="AM2058" s="115" t="s">
        <v>1832</v>
      </c>
      <c r="AN2058" s="115" t="s">
        <v>1461</v>
      </c>
      <c r="AO2058" s="115" t="s">
        <v>1274</v>
      </c>
    </row>
    <row r="2059" spans="35:41" ht="13">
      <c r="AI2059" s="115" t="s">
        <v>1415</v>
      </c>
      <c r="AJ2059" t="s">
        <v>2114</v>
      </c>
      <c r="AK2059" s="115">
        <v>0</v>
      </c>
      <c r="AL2059" s="115" t="s">
        <v>28</v>
      </c>
      <c r="AM2059" s="115" t="s">
        <v>1843</v>
      </c>
      <c r="AN2059" s="115" t="s">
        <v>1461</v>
      </c>
      <c r="AO2059" s="115" t="s">
        <v>1274</v>
      </c>
    </row>
    <row r="2060" spans="35:41" ht="13">
      <c r="AI2060" s="115" t="s">
        <v>1415</v>
      </c>
      <c r="AJ2060" t="s">
        <v>2114</v>
      </c>
      <c r="AK2060" s="115">
        <v>0</v>
      </c>
      <c r="AL2060" s="115" t="s">
        <v>28</v>
      </c>
      <c r="AM2060" s="115" t="s">
        <v>1849</v>
      </c>
      <c r="AN2060" s="115" t="s">
        <v>1461</v>
      </c>
      <c r="AO2060" s="115" t="s">
        <v>1274</v>
      </c>
    </row>
    <row r="2061" spans="35:41" ht="13">
      <c r="AI2061" s="115" t="s">
        <v>1415</v>
      </c>
      <c r="AJ2061" t="s">
        <v>2114</v>
      </c>
      <c r="AK2061" s="115">
        <v>0</v>
      </c>
      <c r="AL2061" s="115" t="s">
        <v>28</v>
      </c>
      <c r="AM2061" s="115" t="s">
        <v>1843</v>
      </c>
      <c r="AN2061" s="115" t="s">
        <v>1461</v>
      </c>
      <c r="AO2061" s="115" t="s">
        <v>379</v>
      </c>
    </row>
    <row r="2062" spans="35:41" ht="13">
      <c r="AI2062" s="115" t="s">
        <v>1415</v>
      </c>
      <c r="AJ2062" t="s">
        <v>2114</v>
      </c>
      <c r="AK2062" s="115">
        <v>0</v>
      </c>
      <c r="AL2062" s="115" t="s">
        <v>28</v>
      </c>
      <c r="AM2062" s="115" t="s">
        <v>1849</v>
      </c>
      <c r="AN2062" s="115" t="s">
        <v>1461</v>
      </c>
      <c r="AO2062" s="115" t="s">
        <v>379</v>
      </c>
    </row>
    <row r="2063" spans="35:41" ht="13">
      <c r="AI2063" s="115" t="s">
        <v>1415</v>
      </c>
      <c r="AJ2063" t="s">
        <v>2114</v>
      </c>
      <c r="AK2063" s="115">
        <v>0</v>
      </c>
      <c r="AL2063" s="115" t="s">
        <v>28</v>
      </c>
      <c r="AM2063" s="115" t="s">
        <v>1846</v>
      </c>
      <c r="AN2063" s="115" t="s">
        <v>1461</v>
      </c>
      <c r="AO2063" s="115" t="s">
        <v>379</v>
      </c>
    </row>
    <row r="2064" spans="35:41" ht="13">
      <c r="AI2064" s="115" t="s">
        <v>1415</v>
      </c>
      <c r="AJ2064" t="s">
        <v>2114</v>
      </c>
      <c r="AK2064" s="115">
        <v>0</v>
      </c>
      <c r="AL2064" s="115" t="s">
        <v>28</v>
      </c>
      <c r="AM2064" s="115" t="s">
        <v>1850</v>
      </c>
      <c r="AN2064" s="115" t="s">
        <v>1461</v>
      </c>
      <c r="AO2064" s="115" t="s">
        <v>379</v>
      </c>
    </row>
    <row r="2065" spans="35:41" ht="13">
      <c r="AI2065" s="115" t="s">
        <v>1415</v>
      </c>
      <c r="AJ2065" t="s">
        <v>2114</v>
      </c>
      <c r="AK2065" s="115">
        <v>0</v>
      </c>
      <c r="AL2065" s="115" t="s">
        <v>28</v>
      </c>
      <c r="AM2065" s="115" t="s">
        <v>1848</v>
      </c>
      <c r="AN2065" s="115" t="s">
        <v>1461</v>
      </c>
      <c r="AO2065" s="115" t="s">
        <v>379</v>
      </c>
    </row>
    <row r="2066" spans="35:41" ht="13">
      <c r="AI2066" s="115" t="s">
        <v>1415</v>
      </c>
      <c r="AJ2066" t="s">
        <v>2114</v>
      </c>
      <c r="AK2066" s="115">
        <v>0</v>
      </c>
      <c r="AL2066" s="115" t="s">
        <v>28</v>
      </c>
      <c r="AM2066" s="115" t="s">
        <v>1832</v>
      </c>
      <c r="AN2066" s="115" t="s">
        <v>1461</v>
      </c>
      <c r="AO2066" s="115" t="s">
        <v>379</v>
      </c>
    </row>
    <row r="2067" spans="35:41" ht="13">
      <c r="AI2067" s="115" t="s">
        <v>1415</v>
      </c>
      <c r="AJ2067" t="s">
        <v>2114</v>
      </c>
      <c r="AK2067" s="115">
        <v>0</v>
      </c>
      <c r="AL2067" s="115" t="s">
        <v>28</v>
      </c>
      <c r="AM2067" s="115" t="s">
        <v>1850</v>
      </c>
      <c r="AN2067" s="115" t="s">
        <v>1461</v>
      </c>
      <c r="AO2067" s="115" t="s">
        <v>1645</v>
      </c>
    </row>
    <row r="2068" spans="35:41" ht="13">
      <c r="AI2068" s="115" t="s">
        <v>1415</v>
      </c>
      <c r="AJ2068" t="s">
        <v>2114</v>
      </c>
      <c r="AK2068" s="115">
        <v>0</v>
      </c>
      <c r="AL2068" s="115" t="s">
        <v>28</v>
      </c>
      <c r="AM2068" s="115" t="s">
        <v>1832</v>
      </c>
      <c r="AN2068" s="115" t="s">
        <v>1461</v>
      </c>
      <c r="AO2068" s="115" t="s">
        <v>1645</v>
      </c>
    </row>
    <row r="2069" spans="35:41" ht="13">
      <c r="AI2069" s="115" t="s">
        <v>1415</v>
      </c>
      <c r="AJ2069" t="s">
        <v>2114</v>
      </c>
      <c r="AK2069" s="115">
        <v>0</v>
      </c>
      <c r="AL2069" s="115" t="s">
        <v>28</v>
      </c>
      <c r="AM2069" s="115" t="s">
        <v>1849</v>
      </c>
      <c r="AN2069" s="115" t="s">
        <v>1461</v>
      </c>
      <c r="AO2069" s="115" t="s">
        <v>1645</v>
      </c>
    </row>
    <row r="2070" spans="35:41" ht="13">
      <c r="AI2070" s="115" t="s">
        <v>1415</v>
      </c>
      <c r="AJ2070" t="s">
        <v>2114</v>
      </c>
      <c r="AK2070" s="115">
        <v>0</v>
      </c>
      <c r="AL2070" s="115" t="s">
        <v>28</v>
      </c>
      <c r="AM2070" s="115" t="s">
        <v>1843</v>
      </c>
      <c r="AN2070" s="115" t="s">
        <v>1461</v>
      </c>
      <c r="AO2070" s="115" t="s">
        <v>1645</v>
      </c>
    </row>
    <row r="2071" spans="35:41" ht="13">
      <c r="AI2071" s="115" t="s">
        <v>1415</v>
      </c>
      <c r="AJ2071" t="s">
        <v>2114</v>
      </c>
      <c r="AK2071" s="115">
        <v>0</v>
      </c>
      <c r="AL2071" s="115" t="s">
        <v>28</v>
      </c>
      <c r="AM2071" s="115" t="s">
        <v>1846</v>
      </c>
      <c r="AN2071" s="115" t="s">
        <v>1461</v>
      </c>
      <c r="AO2071" s="115" t="s">
        <v>1645</v>
      </c>
    </row>
    <row r="2072" spans="35:41" ht="13">
      <c r="AI2072" s="115" t="s">
        <v>1415</v>
      </c>
      <c r="AJ2072" t="s">
        <v>2114</v>
      </c>
      <c r="AK2072" s="115">
        <v>0</v>
      </c>
      <c r="AL2072" s="115" t="s">
        <v>28</v>
      </c>
      <c r="AM2072" s="115" t="s">
        <v>1848</v>
      </c>
      <c r="AN2072" s="115" t="s">
        <v>1461</v>
      </c>
      <c r="AO2072" s="115" t="s">
        <v>1645</v>
      </c>
    </row>
    <row r="2073" spans="35:41" ht="13">
      <c r="AI2073" s="115" t="s">
        <v>1415</v>
      </c>
      <c r="AJ2073" t="s">
        <v>2114</v>
      </c>
      <c r="AK2073" s="115">
        <v>0</v>
      </c>
      <c r="AL2073" s="115" t="s">
        <v>28</v>
      </c>
      <c r="AM2073" s="115" t="s">
        <v>1843</v>
      </c>
      <c r="AN2073" s="115" t="s">
        <v>1461</v>
      </c>
      <c r="AO2073" s="115" t="s">
        <v>1646</v>
      </c>
    </row>
    <row r="2074" spans="35:41" ht="13">
      <c r="AI2074" s="115" t="s">
        <v>1415</v>
      </c>
      <c r="AJ2074" t="s">
        <v>2114</v>
      </c>
      <c r="AK2074" s="115">
        <v>0</v>
      </c>
      <c r="AL2074" s="115" t="s">
        <v>28</v>
      </c>
      <c r="AM2074" s="115" t="s">
        <v>1846</v>
      </c>
      <c r="AN2074" s="115" t="s">
        <v>1461</v>
      </c>
      <c r="AO2074" s="115" t="s">
        <v>1646</v>
      </c>
    </row>
    <row r="2075" spans="35:41" ht="13">
      <c r="AI2075" s="115" t="s">
        <v>1415</v>
      </c>
      <c r="AJ2075" t="s">
        <v>2114</v>
      </c>
      <c r="AK2075" s="115">
        <v>0</v>
      </c>
      <c r="AL2075" s="115" t="s">
        <v>28</v>
      </c>
      <c r="AM2075" s="115" t="s">
        <v>1843</v>
      </c>
      <c r="AN2075" s="115" t="s">
        <v>1461</v>
      </c>
      <c r="AO2075" s="115" t="s">
        <v>1647</v>
      </c>
    </row>
    <row r="2076" spans="35:41" ht="13">
      <c r="AI2076" s="115" t="s">
        <v>1415</v>
      </c>
      <c r="AJ2076" t="s">
        <v>2114</v>
      </c>
      <c r="AK2076" s="115">
        <v>0</v>
      </c>
      <c r="AL2076" s="115" t="s">
        <v>28</v>
      </c>
      <c r="AM2076" s="115" t="s">
        <v>1846</v>
      </c>
      <c r="AN2076" s="115" t="s">
        <v>1461</v>
      </c>
      <c r="AO2076" s="115" t="s">
        <v>1647</v>
      </c>
    </row>
    <row r="2077" spans="35:41" ht="13">
      <c r="AI2077" s="115" t="s">
        <v>1415</v>
      </c>
      <c r="AJ2077" t="s">
        <v>2114</v>
      </c>
      <c r="AK2077" s="115">
        <v>0</v>
      </c>
      <c r="AL2077" s="115" t="s">
        <v>28</v>
      </c>
      <c r="AM2077" s="115" t="s">
        <v>1846</v>
      </c>
      <c r="AN2077" s="115" t="s">
        <v>1461</v>
      </c>
      <c r="AO2077" s="115" t="s">
        <v>1639</v>
      </c>
    </row>
    <row r="2078" spans="35:41" ht="13">
      <c r="AI2078" s="115" t="s">
        <v>1415</v>
      </c>
      <c r="AJ2078" t="s">
        <v>2114</v>
      </c>
      <c r="AK2078" s="115">
        <v>0</v>
      </c>
      <c r="AL2078" s="115" t="s">
        <v>28</v>
      </c>
      <c r="AM2078" s="115" t="s">
        <v>1843</v>
      </c>
      <c r="AN2078" s="115" t="s">
        <v>1461</v>
      </c>
      <c r="AO2078" s="115" t="s">
        <v>1639</v>
      </c>
    </row>
    <row r="2079" spans="35:41" ht="13">
      <c r="AI2079" s="115" t="s">
        <v>1415</v>
      </c>
      <c r="AJ2079" t="s">
        <v>2114</v>
      </c>
      <c r="AK2079" s="115">
        <v>0</v>
      </c>
      <c r="AL2079" s="115" t="s">
        <v>28</v>
      </c>
      <c r="AM2079" s="115" t="s">
        <v>1850</v>
      </c>
      <c r="AN2079" s="115" t="s">
        <v>1461</v>
      </c>
      <c r="AO2079" s="115" t="s">
        <v>373</v>
      </c>
    </row>
    <row r="2080" spans="35:41" ht="13">
      <c r="AI2080" s="115" t="s">
        <v>1415</v>
      </c>
      <c r="AJ2080" t="s">
        <v>2114</v>
      </c>
      <c r="AK2080" s="115">
        <v>0</v>
      </c>
      <c r="AL2080" s="115" t="s">
        <v>28</v>
      </c>
      <c r="AM2080" s="115" t="s">
        <v>1849</v>
      </c>
      <c r="AN2080" s="115" t="s">
        <v>1461</v>
      </c>
      <c r="AO2080" s="115" t="s">
        <v>373</v>
      </c>
    </row>
    <row r="2081" spans="35:41" ht="13">
      <c r="AI2081" s="115" t="s">
        <v>1415</v>
      </c>
      <c r="AJ2081" t="s">
        <v>2114</v>
      </c>
      <c r="AK2081" s="115">
        <v>0</v>
      </c>
      <c r="AL2081" s="115" t="s">
        <v>28</v>
      </c>
      <c r="AM2081" s="115" t="s">
        <v>1848</v>
      </c>
      <c r="AN2081" s="115" t="s">
        <v>1461</v>
      </c>
      <c r="AO2081" s="115" t="s">
        <v>373</v>
      </c>
    </row>
    <row r="2082" spans="35:41" ht="13">
      <c r="AI2082" s="115" t="s">
        <v>1415</v>
      </c>
      <c r="AJ2082" t="s">
        <v>2114</v>
      </c>
      <c r="AK2082" s="115">
        <v>0</v>
      </c>
      <c r="AL2082" s="115" t="s">
        <v>28</v>
      </c>
      <c r="AM2082" s="115" t="s">
        <v>1846</v>
      </c>
      <c r="AN2082" s="115" t="s">
        <v>1461</v>
      </c>
      <c r="AO2082" s="115" t="s">
        <v>373</v>
      </c>
    </row>
    <row r="2083" spans="35:41" ht="13">
      <c r="AI2083" s="115" t="s">
        <v>1415</v>
      </c>
      <c r="AJ2083" t="s">
        <v>2114</v>
      </c>
      <c r="AK2083" s="115">
        <v>0</v>
      </c>
      <c r="AL2083" s="115" t="s">
        <v>28</v>
      </c>
      <c r="AM2083" s="115" t="s">
        <v>1843</v>
      </c>
      <c r="AN2083" s="115" t="s">
        <v>1461</v>
      </c>
      <c r="AO2083" s="115" t="s">
        <v>373</v>
      </c>
    </row>
    <row r="2084" spans="35:41" ht="13">
      <c r="AI2084" s="115" t="s">
        <v>1415</v>
      </c>
      <c r="AJ2084" t="s">
        <v>2114</v>
      </c>
      <c r="AK2084" s="115">
        <v>0</v>
      </c>
      <c r="AL2084" s="115" t="s">
        <v>28</v>
      </c>
      <c r="AM2084" s="115" t="s">
        <v>1832</v>
      </c>
      <c r="AN2084" s="115" t="s">
        <v>1461</v>
      </c>
      <c r="AO2084" s="115" t="s">
        <v>373</v>
      </c>
    </row>
    <row r="2085" spans="35:41" ht="13">
      <c r="AI2085" s="115" t="s">
        <v>1415</v>
      </c>
      <c r="AJ2085" t="s">
        <v>2114</v>
      </c>
      <c r="AK2085" s="115">
        <v>0</v>
      </c>
      <c r="AL2085" s="115" t="s">
        <v>28</v>
      </c>
      <c r="AM2085" s="115" t="s">
        <v>1850</v>
      </c>
      <c r="AN2085" s="115" t="s">
        <v>1461</v>
      </c>
      <c r="AO2085" s="115" t="s">
        <v>380</v>
      </c>
    </row>
    <row r="2086" spans="35:41" ht="13">
      <c r="AI2086" s="115" t="s">
        <v>1415</v>
      </c>
      <c r="AJ2086" t="s">
        <v>2114</v>
      </c>
      <c r="AK2086" s="115">
        <v>0</v>
      </c>
      <c r="AL2086" s="115" t="s">
        <v>28</v>
      </c>
      <c r="AM2086" s="115" t="s">
        <v>1849</v>
      </c>
      <c r="AN2086" s="115" t="s">
        <v>1461</v>
      </c>
      <c r="AO2086" s="115" t="s">
        <v>380</v>
      </c>
    </row>
    <row r="2087" spans="35:41" ht="13">
      <c r="AI2087" s="115" t="s">
        <v>1415</v>
      </c>
      <c r="AJ2087" t="s">
        <v>2114</v>
      </c>
      <c r="AK2087" s="115">
        <v>0</v>
      </c>
      <c r="AL2087" s="115" t="s">
        <v>28</v>
      </c>
      <c r="AM2087" s="115" t="s">
        <v>1843</v>
      </c>
      <c r="AN2087" s="115" t="s">
        <v>1461</v>
      </c>
      <c r="AO2087" s="115" t="s">
        <v>380</v>
      </c>
    </row>
    <row r="2088" spans="35:41" ht="13">
      <c r="AI2088" s="115" t="s">
        <v>1415</v>
      </c>
      <c r="AJ2088" t="s">
        <v>2114</v>
      </c>
      <c r="AK2088" s="115">
        <v>0</v>
      </c>
      <c r="AL2088" s="115" t="s">
        <v>28</v>
      </c>
      <c r="AM2088" s="115" t="s">
        <v>1846</v>
      </c>
      <c r="AN2088" s="115" t="s">
        <v>1461</v>
      </c>
      <c r="AO2088" s="115" t="s">
        <v>380</v>
      </c>
    </row>
    <row r="2089" spans="35:41" ht="13">
      <c r="AI2089" s="115" t="s">
        <v>1415</v>
      </c>
      <c r="AJ2089" t="s">
        <v>2114</v>
      </c>
      <c r="AK2089" s="115">
        <v>0</v>
      </c>
      <c r="AL2089" s="115" t="s">
        <v>28</v>
      </c>
      <c r="AM2089" s="115" t="s">
        <v>1848</v>
      </c>
      <c r="AN2089" s="115" t="s">
        <v>1461</v>
      </c>
      <c r="AO2089" s="115" t="s">
        <v>380</v>
      </c>
    </row>
    <row r="2090" spans="35:41" ht="13">
      <c r="AI2090" s="115" t="s">
        <v>1415</v>
      </c>
      <c r="AJ2090" t="s">
        <v>2114</v>
      </c>
      <c r="AK2090" s="115">
        <v>0</v>
      </c>
      <c r="AL2090" s="115" t="s">
        <v>28</v>
      </c>
      <c r="AM2090" s="115" t="s">
        <v>1832</v>
      </c>
      <c r="AN2090" s="115" t="s">
        <v>1461</v>
      </c>
      <c r="AO2090" s="115" t="s">
        <v>380</v>
      </c>
    </row>
    <row r="2091" spans="35:41" ht="13">
      <c r="AI2091" s="115" t="s">
        <v>1415</v>
      </c>
      <c r="AJ2091" t="s">
        <v>2114</v>
      </c>
      <c r="AK2091" s="115">
        <v>0</v>
      </c>
      <c r="AL2091" s="115" t="s">
        <v>28</v>
      </c>
      <c r="AM2091" s="115" t="s">
        <v>1850</v>
      </c>
      <c r="AN2091" s="115" t="s">
        <v>1440</v>
      </c>
      <c r="AO2091" s="115" t="s">
        <v>1274</v>
      </c>
    </row>
    <row r="2092" spans="35:41" ht="13">
      <c r="AI2092" s="115" t="s">
        <v>1415</v>
      </c>
      <c r="AJ2092" t="s">
        <v>2114</v>
      </c>
      <c r="AK2092" s="115">
        <v>0</v>
      </c>
      <c r="AL2092" s="115" t="s">
        <v>28</v>
      </c>
      <c r="AM2092" s="115" t="s">
        <v>1832</v>
      </c>
      <c r="AN2092" s="115" t="s">
        <v>1440</v>
      </c>
      <c r="AO2092" s="115" t="s">
        <v>1274</v>
      </c>
    </row>
    <row r="2093" spans="35:41" ht="13">
      <c r="AI2093" s="115" t="s">
        <v>1415</v>
      </c>
      <c r="AJ2093" t="s">
        <v>2114</v>
      </c>
      <c r="AK2093" s="115">
        <v>0</v>
      </c>
      <c r="AL2093" s="115" t="s">
        <v>28</v>
      </c>
      <c r="AM2093" s="115" t="s">
        <v>1846</v>
      </c>
      <c r="AN2093" s="115" t="s">
        <v>1440</v>
      </c>
      <c r="AO2093" s="115" t="s">
        <v>1274</v>
      </c>
    </row>
    <row r="2094" spans="35:41" ht="13">
      <c r="AI2094" s="115" t="s">
        <v>1415</v>
      </c>
      <c r="AJ2094" t="s">
        <v>2114</v>
      </c>
      <c r="AK2094" s="115">
        <v>0</v>
      </c>
      <c r="AL2094" s="115" t="s">
        <v>28</v>
      </c>
      <c r="AM2094" s="115" t="s">
        <v>1849</v>
      </c>
      <c r="AN2094" s="115" t="s">
        <v>1440</v>
      </c>
      <c r="AO2094" s="115" t="s">
        <v>1274</v>
      </c>
    </row>
    <row r="2095" spans="35:41" ht="13">
      <c r="AI2095" s="115" t="s">
        <v>1415</v>
      </c>
      <c r="AJ2095" t="s">
        <v>2114</v>
      </c>
      <c r="AK2095" s="115">
        <v>0</v>
      </c>
      <c r="AL2095" s="115" t="s">
        <v>28</v>
      </c>
      <c r="AM2095" s="115" t="s">
        <v>1843</v>
      </c>
      <c r="AN2095" s="115" t="s">
        <v>1440</v>
      </c>
      <c r="AO2095" s="115" t="s">
        <v>1274</v>
      </c>
    </row>
    <row r="2096" spans="35:41" ht="13">
      <c r="AI2096" s="115" t="s">
        <v>1415</v>
      </c>
      <c r="AJ2096" t="s">
        <v>2114</v>
      </c>
      <c r="AK2096" s="115">
        <v>0</v>
      </c>
      <c r="AL2096" s="115" t="s">
        <v>28</v>
      </c>
      <c r="AM2096" s="115" t="s">
        <v>1848</v>
      </c>
      <c r="AN2096" s="115" t="s">
        <v>1440</v>
      </c>
      <c r="AO2096" s="115" t="s">
        <v>1274</v>
      </c>
    </row>
    <row r="2097" spans="35:41" ht="13">
      <c r="AI2097" s="115" t="s">
        <v>1415</v>
      </c>
      <c r="AJ2097" t="s">
        <v>2114</v>
      </c>
      <c r="AK2097" s="115">
        <v>0</v>
      </c>
      <c r="AL2097" s="115" t="s">
        <v>28</v>
      </c>
      <c r="AM2097" s="115" t="s">
        <v>1832</v>
      </c>
      <c r="AN2097" s="115" t="s">
        <v>1440</v>
      </c>
      <c r="AO2097" s="115" t="s">
        <v>379</v>
      </c>
    </row>
    <row r="2098" spans="35:41" ht="13">
      <c r="AI2098" s="115" t="s">
        <v>1415</v>
      </c>
      <c r="AJ2098" t="s">
        <v>2114</v>
      </c>
      <c r="AK2098" s="115">
        <v>0</v>
      </c>
      <c r="AL2098" s="115" t="s">
        <v>28</v>
      </c>
      <c r="AM2098" s="115" t="s">
        <v>1850</v>
      </c>
      <c r="AN2098" s="115" t="s">
        <v>1440</v>
      </c>
      <c r="AO2098" s="115" t="s">
        <v>379</v>
      </c>
    </row>
    <row r="2099" spans="35:41" ht="13">
      <c r="AI2099" s="115" t="s">
        <v>1415</v>
      </c>
      <c r="AJ2099" t="s">
        <v>2114</v>
      </c>
      <c r="AK2099" s="115">
        <v>0</v>
      </c>
      <c r="AL2099" s="115" t="s">
        <v>28</v>
      </c>
      <c r="AM2099" s="115" t="s">
        <v>1846</v>
      </c>
      <c r="AN2099" s="115" t="s">
        <v>1440</v>
      </c>
      <c r="AO2099" s="115" t="s">
        <v>379</v>
      </c>
    </row>
    <row r="2100" spans="35:41" ht="13">
      <c r="AI2100" s="115" t="s">
        <v>1415</v>
      </c>
      <c r="AJ2100" t="s">
        <v>2114</v>
      </c>
      <c r="AK2100" s="115">
        <v>0</v>
      </c>
      <c r="AL2100" s="115" t="s">
        <v>28</v>
      </c>
      <c r="AM2100" s="115" t="s">
        <v>1843</v>
      </c>
      <c r="AN2100" s="115" t="s">
        <v>1440</v>
      </c>
      <c r="AO2100" s="115" t="s">
        <v>379</v>
      </c>
    </row>
    <row r="2101" spans="35:41" ht="13">
      <c r="AI2101" s="115" t="s">
        <v>1415</v>
      </c>
      <c r="AJ2101" t="s">
        <v>2114</v>
      </c>
      <c r="AK2101" s="115">
        <v>0</v>
      </c>
      <c r="AL2101" s="115" t="s">
        <v>28</v>
      </c>
      <c r="AM2101" s="115" t="s">
        <v>1848</v>
      </c>
      <c r="AN2101" s="115" t="s">
        <v>1440</v>
      </c>
      <c r="AO2101" s="115" t="s">
        <v>379</v>
      </c>
    </row>
    <row r="2102" spans="35:41" ht="13">
      <c r="AI2102" s="115" t="s">
        <v>1415</v>
      </c>
      <c r="AJ2102" t="s">
        <v>2114</v>
      </c>
      <c r="AK2102" s="115">
        <v>0</v>
      </c>
      <c r="AL2102" s="115" t="s">
        <v>28</v>
      </c>
      <c r="AM2102" s="115" t="s">
        <v>1849</v>
      </c>
      <c r="AN2102" s="115" t="s">
        <v>1440</v>
      </c>
      <c r="AO2102" s="115" t="s">
        <v>379</v>
      </c>
    </row>
    <row r="2103" spans="35:41" ht="13">
      <c r="AI2103" s="115" t="s">
        <v>1415</v>
      </c>
      <c r="AJ2103" t="s">
        <v>2114</v>
      </c>
      <c r="AK2103" s="115">
        <v>0</v>
      </c>
      <c r="AL2103" s="115" t="s">
        <v>28</v>
      </c>
      <c r="AM2103" s="115" t="s">
        <v>1843</v>
      </c>
      <c r="AN2103" s="115" t="s">
        <v>1440</v>
      </c>
      <c r="AO2103" s="115" t="s">
        <v>1639</v>
      </c>
    </row>
    <row r="2104" spans="35:41" ht="13">
      <c r="AI2104" s="115" t="s">
        <v>1415</v>
      </c>
      <c r="AJ2104" t="s">
        <v>2114</v>
      </c>
      <c r="AK2104" s="115">
        <v>0</v>
      </c>
      <c r="AL2104" s="115" t="s">
        <v>28</v>
      </c>
      <c r="AM2104" s="115" t="s">
        <v>1846</v>
      </c>
      <c r="AN2104" s="115" t="s">
        <v>1440</v>
      </c>
      <c r="AO2104" s="115" t="s">
        <v>1639</v>
      </c>
    </row>
    <row r="2105" spans="35:41" ht="13">
      <c r="AI2105" s="115" t="s">
        <v>1415</v>
      </c>
      <c r="AJ2105" t="s">
        <v>2114</v>
      </c>
      <c r="AK2105" s="115">
        <v>0</v>
      </c>
      <c r="AL2105" s="115" t="s">
        <v>28</v>
      </c>
      <c r="AM2105" s="115" t="s">
        <v>1832</v>
      </c>
      <c r="AN2105" s="115" t="s">
        <v>1440</v>
      </c>
      <c r="AO2105" s="115" t="s">
        <v>380</v>
      </c>
    </row>
    <row r="2106" spans="35:41" ht="13">
      <c r="AI2106" s="115" t="s">
        <v>1415</v>
      </c>
      <c r="AJ2106" t="s">
        <v>2114</v>
      </c>
      <c r="AK2106" s="115">
        <v>0</v>
      </c>
      <c r="AL2106" s="115" t="s">
        <v>28</v>
      </c>
      <c r="AM2106" s="115" t="s">
        <v>1843</v>
      </c>
      <c r="AN2106" s="115" t="s">
        <v>1440</v>
      </c>
      <c r="AO2106" s="115" t="s">
        <v>380</v>
      </c>
    </row>
    <row r="2107" spans="35:41" ht="13">
      <c r="AI2107" s="115" t="s">
        <v>1415</v>
      </c>
      <c r="AJ2107" t="s">
        <v>2114</v>
      </c>
      <c r="AK2107" s="115">
        <v>0</v>
      </c>
      <c r="AL2107" s="115" t="s">
        <v>28</v>
      </c>
      <c r="AM2107" s="115" t="s">
        <v>1850</v>
      </c>
      <c r="AN2107" s="115" t="s">
        <v>1440</v>
      </c>
      <c r="AO2107" s="115" t="s">
        <v>380</v>
      </c>
    </row>
    <row r="2108" spans="35:41" ht="13">
      <c r="AI2108" s="115" t="s">
        <v>1415</v>
      </c>
      <c r="AJ2108" t="s">
        <v>2114</v>
      </c>
      <c r="AK2108" s="115">
        <v>0</v>
      </c>
      <c r="AL2108" s="115" t="s">
        <v>28</v>
      </c>
      <c r="AM2108" s="115" t="s">
        <v>1848</v>
      </c>
      <c r="AN2108" s="115" t="s">
        <v>1440</v>
      </c>
      <c r="AO2108" s="115" t="s">
        <v>380</v>
      </c>
    </row>
    <row r="2109" spans="35:41" ht="13">
      <c r="AI2109" s="115" t="s">
        <v>1415</v>
      </c>
      <c r="AJ2109" t="s">
        <v>2114</v>
      </c>
      <c r="AK2109" s="115">
        <v>0</v>
      </c>
      <c r="AL2109" s="115" t="s">
        <v>28</v>
      </c>
      <c r="AM2109" s="115" t="s">
        <v>1849</v>
      </c>
      <c r="AN2109" s="115" t="s">
        <v>1440</v>
      </c>
      <c r="AO2109" s="115" t="s">
        <v>380</v>
      </c>
    </row>
    <row r="2110" spans="35:41" ht="13">
      <c r="AI2110" s="115" t="s">
        <v>1415</v>
      </c>
      <c r="AJ2110" t="s">
        <v>2114</v>
      </c>
      <c r="AK2110" s="115">
        <v>0</v>
      </c>
      <c r="AL2110" s="115" t="s">
        <v>28</v>
      </c>
      <c r="AM2110" s="115" t="s">
        <v>1846</v>
      </c>
      <c r="AN2110" s="115" t="s">
        <v>1440</v>
      </c>
      <c r="AO2110" s="115" t="s">
        <v>380</v>
      </c>
    </row>
    <row r="2111" spans="35:41" ht="13">
      <c r="AI2111" s="115" t="s">
        <v>1415</v>
      </c>
      <c r="AJ2111" t="s">
        <v>2114</v>
      </c>
      <c r="AK2111" s="115">
        <v>0</v>
      </c>
      <c r="AL2111" s="115" t="s">
        <v>28</v>
      </c>
      <c r="AM2111" s="115" t="s">
        <v>1848</v>
      </c>
      <c r="AN2111" s="115" t="s">
        <v>1628</v>
      </c>
      <c r="AO2111" s="115" t="s">
        <v>1644</v>
      </c>
    </row>
    <row r="2112" spans="35:41" ht="13">
      <c r="AI2112" s="115" t="s">
        <v>1415</v>
      </c>
      <c r="AJ2112" t="s">
        <v>2114</v>
      </c>
      <c r="AK2112" s="115">
        <v>0</v>
      </c>
      <c r="AL2112" s="115" t="s">
        <v>28</v>
      </c>
      <c r="AM2112" s="115" t="s">
        <v>1832</v>
      </c>
      <c r="AN2112" s="115" t="s">
        <v>1628</v>
      </c>
      <c r="AO2112" s="115" t="s">
        <v>1644</v>
      </c>
    </row>
    <row r="2113" spans="35:41" ht="13">
      <c r="AI2113" s="115" t="s">
        <v>1415</v>
      </c>
      <c r="AJ2113" t="s">
        <v>2114</v>
      </c>
      <c r="AK2113" s="115">
        <v>0</v>
      </c>
      <c r="AL2113" s="115" t="s">
        <v>28</v>
      </c>
      <c r="AM2113" s="115" t="s">
        <v>1850</v>
      </c>
      <c r="AN2113" s="115" t="s">
        <v>1628</v>
      </c>
      <c r="AO2113" s="115" t="s">
        <v>1644</v>
      </c>
    </row>
    <row r="2114" spans="35:41" ht="13">
      <c r="AI2114" s="115" t="s">
        <v>1415</v>
      </c>
      <c r="AJ2114" t="s">
        <v>2114</v>
      </c>
      <c r="AK2114" s="115">
        <v>0</v>
      </c>
      <c r="AL2114" s="115" t="s">
        <v>28</v>
      </c>
      <c r="AM2114" s="115" t="s">
        <v>1843</v>
      </c>
      <c r="AN2114" s="115" t="s">
        <v>1628</v>
      </c>
      <c r="AO2114" s="115" t="s">
        <v>1644</v>
      </c>
    </row>
    <row r="2115" spans="35:41" ht="13">
      <c r="AI2115" s="115" t="s">
        <v>1415</v>
      </c>
      <c r="AJ2115" t="s">
        <v>2114</v>
      </c>
      <c r="AK2115" s="115">
        <v>0</v>
      </c>
      <c r="AL2115" s="115" t="s">
        <v>28</v>
      </c>
      <c r="AM2115" s="115" t="s">
        <v>1848</v>
      </c>
      <c r="AN2115" s="115" t="s">
        <v>1628</v>
      </c>
      <c r="AO2115" s="115" t="s">
        <v>1274</v>
      </c>
    </row>
    <row r="2116" spans="35:41" ht="13">
      <c r="AI2116" s="115" t="s">
        <v>1415</v>
      </c>
      <c r="AJ2116" t="s">
        <v>2114</v>
      </c>
      <c r="AK2116" s="115">
        <v>0</v>
      </c>
      <c r="AL2116" s="115" t="s">
        <v>28</v>
      </c>
      <c r="AM2116" s="115" t="s">
        <v>1849</v>
      </c>
      <c r="AN2116" s="115" t="s">
        <v>1628</v>
      </c>
      <c r="AO2116" s="115" t="s">
        <v>1274</v>
      </c>
    </row>
    <row r="2117" spans="35:41" ht="13">
      <c r="AI2117" s="115" t="s">
        <v>1415</v>
      </c>
      <c r="AJ2117" t="s">
        <v>2114</v>
      </c>
      <c r="AK2117" s="115">
        <v>0</v>
      </c>
      <c r="AL2117" s="115" t="s">
        <v>28</v>
      </c>
      <c r="AM2117" s="115" t="s">
        <v>1846</v>
      </c>
      <c r="AN2117" s="115" t="s">
        <v>1628</v>
      </c>
      <c r="AO2117" s="115" t="s">
        <v>1274</v>
      </c>
    </row>
    <row r="2118" spans="35:41" ht="13">
      <c r="AI2118" s="115" t="s">
        <v>1415</v>
      </c>
      <c r="AJ2118" t="s">
        <v>2114</v>
      </c>
      <c r="AK2118" s="115">
        <v>0</v>
      </c>
      <c r="AL2118" s="115" t="s">
        <v>28</v>
      </c>
      <c r="AM2118" s="115" t="s">
        <v>1832</v>
      </c>
      <c r="AN2118" s="115" t="s">
        <v>1628</v>
      </c>
      <c r="AO2118" s="115" t="s">
        <v>1274</v>
      </c>
    </row>
    <row r="2119" spans="35:41" ht="13">
      <c r="AI2119" s="115" t="s">
        <v>1415</v>
      </c>
      <c r="AJ2119" t="s">
        <v>2114</v>
      </c>
      <c r="AK2119" s="115">
        <v>0</v>
      </c>
      <c r="AL2119" s="115" t="s">
        <v>28</v>
      </c>
      <c r="AM2119" s="115" t="s">
        <v>1843</v>
      </c>
      <c r="AN2119" s="115" t="s">
        <v>1628</v>
      </c>
      <c r="AO2119" s="115" t="s">
        <v>1274</v>
      </c>
    </row>
    <row r="2120" spans="35:41" ht="13">
      <c r="AI2120" s="115" t="s">
        <v>1415</v>
      </c>
      <c r="AJ2120" t="s">
        <v>2114</v>
      </c>
      <c r="AK2120" s="115">
        <v>0</v>
      </c>
      <c r="AL2120" s="115" t="s">
        <v>28</v>
      </c>
      <c r="AM2120" s="115" t="s">
        <v>1850</v>
      </c>
      <c r="AN2120" s="115" t="s">
        <v>1628</v>
      </c>
      <c r="AO2120" s="115" t="s">
        <v>1274</v>
      </c>
    </row>
    <row r="2121" spans="35:41" ht="13">
      <c r="AI2121" s="115" t="s">
        <v>1415</v>
      </c>
      <c r="AJ2121" t="s">
        <v>2114</v>
      </c>
      <c r="AK2121" s="115">
        <v>0</v>
      </c>
      <c r="AL2121" s="115" t="s">
        <v>28</v>
      </c>
      <c r="AM2121" s="115" t="s">
        <v>1832</v>
      </c>
      <c r="AN2121" s="115" t="s">
        <v>1628</v>
      </c>
      <c r="AO2121" s="115" t="s">
        <v>381</v>
      </c>
    </row>
    <row r="2122" spans="35:41" ht="13">
      <c r="AI2122" s="115" t="s">
        <v>1415</v>
      </c>
      <c r="AJ2122" t="s">
        <v>2114</v>
      </c>
      <c r="AK2122" s="115">
        <v>0</v>
      </c>
      <c r="AL2122" s="115" t="s">
        <v>28</v>
      </c>
      <c r="AM2122" s="115" t="s">
        <v>1848</v>
      </c>
      <c r="AN2122" s="115" t="s">
        <v>1628</v>
      </c>
      <c r="AO2122" s="115" t="s">
        <v>381</v>
      </c>
    </row>
    <row r="2123" spans="35:41" ht="13">
      <c r="AI2123" s="115" t="s">
        <v>1415</v>
      </c>
      <c r="AJ2123" t="s">
        <v>2114</v>
      </c>
      <c r="AK2123" s="115">
        <v>0</v>
      </c>
      <c r="AL2123" s="115" t="s">
        <v>28</v>
      </c>
      <c r="AM2123" s="115" t="s">
        <v>1849</v>
      </c>
      <c r="AN2123" s="115" t="s">
        <v>1628</v>
      </c>
      <c r="AO2123" s="115" t="s">
        <v>381</v>
      </c>
    </row>
    <row r="2124" spans="35:41" ht="13">
      <c r="AI2124" s="115" t="s">
        <v>1415</v>
      </c>
      <c r="AJ2124" t="s">
        <v>2114</v>
      </c>
      <c r="AK2124" s="115">
        <v>0</v>
      </c>
      <c r="AL2124" s="115" t="s">
        <v>28</v>
      </c>
      <c r="AM2124" s="115" t="s">
        <v>1846</v>
      </c>
      <c r="AN2124" s="115" t="s">
        <v>1628</v>
      </c>
      <c r="AO2124" s="115" t="s">
        <v>381</v>
      </c>
    </row>
    <row r="2125" spans="35:41" ht="13">
      <c r="AI2125" s="115" t="s">
        <v>1415</v>
      </c>
      <c r="AJ2125" t="s">
        <v>2114</v>
      </c>
      <c r="AK2125" s="115">
        <v>0</v>
      </c>
      <c r="AL2125" s="115" t="s">
        <v>28</v>
      </c>
      <c r="AM2125" s="115" t="s">
        <v>1843</v>
      </c>
      <c r="AN2125" s="115" t="s">
        <v>1628</v>
      </c>
      <c r="AO2125" s="115" t="s">
        <v>381</v>
      </c>
    </row>
    <row r="2126" spans="35:41" ht="13">
      <c r="AI2126" s="115" t="s">
        <v>1415</v>
      </c>
      <c r="AJ2126" t="s">
        <v>2114</v>
      </c>
      <c r="AK2126" s="115">
        <v>0</v>
      </c>
      <c r="AL2126" s="115" t="s">
        <v>28</v>
      </c>
      <c r="AM2126" s="115" t="s">
        <v>1850</v>
      </c>
      <c r="AN2126" s="115" t="s">
        <v>1628</v>
      </c>
      <c r="AO2126" s="115" t="s">
        <v>381</v>
      </c>
    </row>
    <row r="2127" spans="35:41" ht="13">
      <c r="AI2127" s="115" t="s">
        <v>1415</v>
      </c>
      <c r="AJ2127" t="s">
        <v>2114</v>
      </c>
      <c r="AK2127" s="115">
        <v>0</v>
      </c>
      <c r="AL2127" s="115" t="s">
        <v>28</v>
      </c>
      <c r="AM2127" s="115" t="s">
        <v>1846</v>
      </c>
      <c r="AN2127" s="115" t="s">
        <v>1628</v>
      </c>
      <c r="AO2127" s="115" t="s">
        <v>379</v>
      </c>
    </row>
    <row r="2128" spans="35:41" ht="13">
      <c r="AI2128" s="115" t="s">
        <v>1415</v>
      </c>
      <c r="AJ2128" t="s">
        <v>2114</v>
      </c>
      <c r="AK2128" s="115">
        <v>0</v>
      </c>
      <c r="AL2128" s="115" t="s">
        <v>28</v>
      </c>
      <c r="AM2128" s="115" t="s">
        <v>1843</v>
      </c>
      <c r="AN2128" s="115" t="s">
        <v>1628</v>
      </c>
      <c r="AO2128" s="115" t="s">
        <v>379</v>
      </c>
    </row>
    <row r="2129" spans="35:41" ht="13">
      <c r="AI2129" s="115" t="s">
        <v>1415</v>
      </c>
      <c r="AJ2129" t="s">
        <v>2114</v>
      </c>
      <c r="AK2129" s="115">
        <v>0</v>
      </c>
      <c r="AL2129" s="115" t="s">
        <v>28</v>
      </c>
      <c r="AM2129" s="115" t="s">
        <v>1848</v>
      </c>
      <c r="AN2129" s="115" t="s">
        <v>1628</v>
      </c>
      <c r="AO2129" s="115" t="s">
        <v>379</v>
      </c>
    </row>
    <row r="2130" spans="35:41" ht="13">
      <c r="AI2130" s="115" t="s">
        <v>1415</v>
      </c>
      <c r="AJ2130" t="s">
        <v>2114</v>
      </c>
      <c r="AK2130" s="115">
        <v>0</v>
      </c>
      <c r="AL2130" s="115" t="s">
        <v>28</v>
      </c>
      <c r="AM2130" s="115" t="s">
        <v>1832</v>
      </c>
      <c r="AN2130" s="115" t="s">
        <v>1628</v>
      </c>
      <c r="AO2130" s="115" t="s">
        <v>379</v>
      </c>
    </row>
    <row r="2131" spans="35:41" ht="13">
      <c r="AI2131" s="115" t="s">
        <v>1415</v>
      </c>
      <c r="AJ2131" t="s">
        <v>2114</v>
      </c>
      <c r="AK2131" s="115">
        <v>0</v>
      </c>
      <c r="AL2131" s="115" t="s">
        <v>28</v>
      </c>
      <c r="AM2131" s="115" t="s">
        <v>1850</v>
      </c>
      <c r="AN2131" s="115" t="s">
        <v>1628</v>
      </c>
      <c r="AO2131" s="115" t="s">
        <v>379</v>
      </c>
    </row>
    <row r="2132" spans="35:41" ht="13">
      <c r="AI2132" s="115" t="s">
        <v>1415</v>
      </c>
      <c r="AJ2132" t="s">
        <v>2114</v>
      </c>
      <c r="AK2132" s="115">
        <v>0</v>
      </c>
      <c r="AL2132" s="115" t="s">
        <v>28</v>
      </c>
      <c r="AM2132" s="115" t="s">
        <v>1849</v>
      </c>
      <c r="AN2132" s="115" t="s">
        <v>1628</v>
      </c>
      <c r="AO2132" s="115" t="s">
        <v>379</v>
      </c>
    </row>
    <row r="2133" spans="35:41" ht="13">
      <c r="AI2133" s="115" t="s">
        <v>1415</v>
      </c>
      <c r="AJ2133" t="s">
        <v>2114</v>
      </c>
      <c r="AK2133" s="115">
        <v>0</v>
      </c>
      <c r="AL2133" s="115" t="s">
        <v>28</v>
      </c>
      <c r="AM2133" s="115" t="s">
        <v>1848</v>
      </c>
      <c r="AN2133" s="115" t="s">
        <v>1628</v>
      </c>
      <c r="AO2133" s="115" t="s">
        <v>1645</v>
      </c>
    </row>
    <row r="2134" spans="35:41" ht="13">
      <c r="AI2134" s="115" t="s">
        <v>1415</v>
      </c>
      <c r="AJ2134" t="s">
        <v>2114</v>
      </c>
      <c r="AK2134" s="115">
        <v>0</v>
      </c>
      <c r="AL2134" s="115" t="s">
        <v>28</v>
      </c>
      <c r="AM2134" s="115" t="s">
        <v>1843</v>
      </c>
      <c r="AN2134" s="115" t="s">
        <v>1628</v>
      </c>
      <c r="AO2134" s="115" t="s">
        <v>1645</v>
      </c>
    </row>
    <row r="2135" spans="35:41" ht="13">
      <c r="AI2135" s="115" t="s">
        <v>1415</v>
      </c>
      <c r="AJ2135" t="s">
        <v>2114</v>
      </c>
      <c r="AK2135" s="115">
        <v>0</v>
      </c>
      <c r="AL2135" s="115" t="s">
        <v>28</v>
      </c>
      <c r="AM2135" s="115" t="s">
        <v>1849</v>
      </c>
      <c r="AN2135" s="115" t="s">
        <v>1628</v>
      </c>
      <c r="AO2135" s="115" t="s">
        <v>1645</v>
      </c>
    </row>
    <row r="2136" spans="35:41" ht="13">
      <c r="AI2136" s="115" t="s">
        <v>1415</v>
      </c>
      <c r="AJ2136" t="s">
        <v>2114</v>
      </c>
      <c r="AK2136" s="115">
        <v>0</v>
      </c>
      <c r="AL2136" s="115" t="s">
        <v>28</v>
      </c>
      <c r="AM2136" s="115" t="s">
        <v>1850</v>
      </c>
      <c r="AN2136" s="115" t="s">
        <v>1628</v>
      </c>
      <c r="AO2136" s="115" t="s">
        <v>1645</v>
      </c>
    </row>
    <row r="2137" spans="35:41" ht="13">
      <c r="AI2137" s="115" t="s">
        <v>1415</v>
      </c>
      <c r="AJ2137" t="s">
        <v>2114</v>
      </c>
      <c r="AK2137" s="115">
        <v>0</v>
      </c>
      <c r="AL2137" s="115" t="s">
        <v>28</v>
      </c>
      <c r="AM2137" s="115" t="s">
        <v>1832</v>
      </c>
      <c r="AN2137" s="115" t="s">
        <v>1628</v>
      </c>
      <c r="AO2137" s="115" t="s">
        <v>1645</v>
      </c>
    </row>
    <row r="2138" spans="35:41" ht="13">
      <c r="AI2138" s="115" t="s">
        <v>1415</v>
      </c>
      <c r="AJ2138" t="s">
        <v>2114</v>
      </c>
      <c r="AK2138" s="115">
        <v>0</v>
      </c>
      <c r="AL2138" s="115" t="s">
        <v>28</v>
      </c>
      <c r="AM2138" s="115" t="s">
        <v>1846</v>
      </c>
      <c r="AN2138" s="115" t="s">
        <v>1628</v>
      </c>
      <c r="AO2138" s="115" t="s">
        <v>1645</v>
      </c>
    </row>
    <row r="2139" spans="35:41" ht="13">
      <c r="AI2139" s="115" t="s">
        <v>1415</v>
      </c>
      <c r="AJ2139" t="s">
        <v>2114</v>
      </c>
      <c r="AK2139" s="115">
        <v>0</v>
      </c>
      <c r="AL2139" s="115" t="s">
        <v>28</v>
      </c>
      <c r="AM2139" s="115" t="s">
        <v>1843</v>
      </c>
      <c r="AN2139" s="115" t="s">
        <v>1628</v>
      </c>
      <c r="AO2139" s="115" t="s">
        <v>1646</v>
      </c>
    </row>
    <row r="2140" spans="35:41" ht="13">
      <c r="AI2140" s="115" t="s">
        <v>1415</v>
      </c>
      <c r="AJ2140" t="s">
        <v>2114</v>
      </c>
      <c r="AK2140" s="115">
        <v>0</v>
      </c>
      <c r="AL2140" s="115" t="s">
        <v>28</v>
      </c>
      <c r="AM2140" s="115" t="s">
        <v>1846</v>
      </c>
      <c r="AN2140" s="115" t="s">
        <v>1628</v>
      </c>
      <c r="AO2140" s="115" t="s">
        <v>1646</v>
      </c>
    </row>
    <row r="2141" spans="35:41" ht="13">
      <c r="AI2141" s="115" t="s">
        <v>1415</v>
      </c>
      <c r="AJ2141" t="s">
        <v>2114</v>
      </c>
      <c r="AK2141" s="115">
        <v>0</v>
      </c>
      <c r="AL2141" s="115" t="s">
        <v>28</v>
      </c>
      <c r="AM2141" s="115" t="s">
        <v>1843</v>
      </c>
      <c r="AN2141" s="115" t="s">
        <v>1628</v>
      </c>
      <c r="AO2141" s="115" t="s">
        <v>1647</v>
      </c>
    </row>
    <row r="2142" spans="35:41" ht="13">
      <c r="AI2142" s="115" t="s">
        <v>1415</v>
      </c>
      <c r="AJ2142" t="s">
        <v>2114</v>
      </c>
      <c r="AK2142" s="115">
        <v>0</v>
      </c>
      <c r="AL2142" s="115" t="s">
        <v>28</v>
      </c>
      <c r="AM2142" s="115" t="s">
        <v>1846</v>
      </c>
      <c r="AN2142" s="115" t="s">
        <v>1628</v>
      </c>
      <c r="AO2142" s="115" t="s">
        <v>1647</v>
      </c>
    </row>
    <row r="2143" spans="35:41" ht="13">
      <c r="AI2143" s="115" t="s">
        <v>1415</v>
      </c>
      <c r="AJ2143" t="s">
        <v>2114</v>
      </c>
      <c r="AK2143" s="115">
        <v>0</v>
      </c>
      <c r="AL2143" s="115" t="s">
        <v>28</v>
      </c>
      <c r="AM2143" s="115" t="s">
        <v>1846</v>
      </c>
      <c r="AN2143" s="115" t="s">
        <v>1628</v>
      </c>
      <c r="AO2143" s="115" t="s">
        <v>1639</v>
      </c>
    </row>
    <row r="2144" spans="35:41" ht="13">
      <c r="AI2144" s="115" t="s">
        <v>1415</v>
      </c>
      <c r="AJ2144" t="s">
        <v>2114</v>
      </c>
      <c r="AK2144" s="115">
        <v>0</v>
      </c>
      <c r="AL2144" s="115" t="s">
        <v>28</v>
      </c>
      <c r="AM2144" s="115" t="s">
        <v>1843</v>
      </c>
      <c r="AN2144" s="115" t="s">
        <v>1628</v>
      </c>
      <c r="AO2144" s="115" t="s">
        <v>1639</v>
      </c>
    </row>
    <row r="2145" spans="35:41" ht="13">
      <c r="AI2145" s="115" t="s">
        <v>1415</v>
      </c>
      <c r="AJ2145" t="s">
        <v>2114</v>
      </c>
      <c r="AK2145" s="115">
        <v>0</v>
      </c>
      <c r="AL2145" s="115" t="s">
        <v>28</v>
      </c>
      <c r="AM2145" s="115" t="s">
        <v>1846</v>
      </c>
      <c r="AN2145" s="115" t="s">
        <v>1628</v>
      </c>
      <c r="AO2145" s="115" t="s">
        <v>373</v>
      </c>
    </row>
    <row r="2146" spans="35:41" ht="13">
      <c r="AI2146" s="115" t="s">
        <v>1415</v>
      </c>
      <c r="AJ2146" t="s">
        <v>2114</v>
      </c>
      <c r="AK2146" s="115">
        <v>0</v>
      </c>
      <c r="AL2146" s="115" t="s">
        <v>28</v>
      </c>
      <c r="AM2146" s="115" t="s">
        <v>1843</v>
      </c>
      <c r="AN2146" s="115" t="s">
        <v>1628</v>
      </c>
      <c r="AO2146" s="115" t="s">
        <v>373</v>
      </c>
    </row>
    <row r="2147" spans="35:41" ht="13">
      <c r="AI2147" s="115" t="s">
        <v>1415</v>
      </c>
      <c r="AJ2147" t="s">
        <v>2114</v>
      </c>
      <c r="AK2147" s="115">
        <v>0</v>
      </c>
      <c r="AL2147" s="115" t="s">
        <v>28</v>
      </c>
      <c r="AM2147" s="115" t="s">
        <v>1850</v>
      </c>
      <c r="AN2147" s="115" t="s">
        <v>1628</v>
      </c>
      <c r="AO2147" s="115" t="s">
        <v>373</v>
      </c>
    </row>
    <row r="2148" spans="35:41" ht="13">
      <c r="AI2148" s="115" t="s">
        <v>1415</v>
      </c>
      <c r="AJ2148" t="s">
        <v>2114</v>
      </c>
      <c r="AK2148" s="115">
        <v>0</v>
      </c>
      <c r="AL2148" s="115" t="s">
        <v>28</v>
      </c>
      <c r="AM2148" s="115" t="s">
        <v>1832</v>
      </c>
      <c r="AN2148" s="115" t="s">
        <v>1628</v>
      </c>
      <c r="AO2148" s="115" t="s">
        <v>373</v>
      </c>
    </row>
    <row r="2149" spans="35:41" ht="13">
      <c r="AI2149" s="115" t="s">
        <v>1415</v>
      </c>
      <c r="AJ2149" t="s">
        <v>2114</v>
      </c>
      <c r="AK2149" s="115">
        <v>0</v>
      </c>
      <c r="AL2149" s="115" t="s">
        <v>28</v>
      </c>
      <c r="AM2149" s="115" t="s">
        <v>1848</v>
      </c>
      <c r="AN2149" s="115" t="s">
        <v>1628</v>
      </c>
      <c r="AO2149" s="115" t="s">
        <v>373</v>
      </c>
    </row>
    <row r="2150" spans="35:41" ht="13">
      <c r="AI2150" s="115" t="s">
        <v>1415</v>
      </c>
      <c r="AJ2150" t="s">
        <v>2114</v>
      </c>
      <c r="AK2150" s="115">
        <v>0</v>
      </c>
      <c r="AL2150" s="115" t="s">
        <v>28</v>
      </c>
      <c r="AM2150" s="115" t="s">
        <v>1849</v>
      </c>
      <c r="AN2150" s="115" t="s">
        <v>1628</v>
      </c>
      <c r="AO2150" s="115" t="s">
        <v>373</v>
      </c>
    </row>
    <row r="2151" spans="35:41" ht="13">
      <c r="AI2151" s="115" t="s">
        <v>1415</v>
      </c>
      <c r="AJ2151" t="s">
        <v>2114</v>
      </c>
      <c r="AK2151" s="115">
        <v>0</v>
      </c>
      <c r="AL2151" s="115" t="s">
        <v>28</v>
      </c>
      <c r="AM2151" s="115" t="s">
        <v>1850</v>
      </c>
      <c r="AN2151" s="115" t="s">
        <v>1628</v>
      </c>
      <c r="AO2151" s="115" t="s">
        <v>380</v>
      </c>
    </row>
    <row r="2152" spans="35:41" ht="13">
      <c r="AI2152" s="115" t="s">
        <v>1415</v>
      </c>
      <c r="AJ2152" t="s">
        <v>2114</v>
      </c>
      <c r="AK2152" s="115">
        <v>0</v>
      </c>
      <c r="AL2152" s="115" t="s">
        <v>28</v>
      </c>
      <c r="AM2152" s="115" t="s">
        <v>1843</v>
      </c>
      <c r="AN2152" s="115" t="s">
        <v>1628</v>
      </c>
      <c r="AO2152" s="115" t="s">
        <v>380</v>
      </c>
    </row>
    <row r="2153" spans="35:41" ht="13">
      <c r="AI2153" s="115" t="s">
        <v>1415</v>
      </c>
      <c r="AJ2153" t="s">
        <v>2114</v>
      </c>
      <c r="AK2153" s="115">
        <v>0</v>
      </c>
      <c r="AL2153" s="115" t="s">
        <v>28</v>
      </c>
      <c r="AM2153" s="115" t="s">
        <v>1849</v>
      </c>
      <c r="AN2153" s="115" t="s">
        <v>1628</v>
      </c>
      <c r="AO2153" s="115" t="s">
        <v>380</v>
      </c>
    </row>
    <row r="2154" spans="35:41" ht="13">
      <c r="AI2154" s="115" t="s">
        <v>1415</v>
      </c>
      <c r="AJ2154" t="s">
        <v>2114</v>
      </c>
      <c r="AK2154" s="115">
        <v>0</v>
      </c>
      <c r="AL2154" s="115" t="s">
        <v>28</v>
      </c>
      <c r="AM2154" s="115" t="s">
        <v>1832</v>
      </c>
      <c r="AN2154" s="115" t="s">
        <v>1628</v>
      </c>
      <c r="AO2154" s="115" t="s">
        <v>380</v>
      </c>
    </row>
    <row r="2155" spans="35:41" ht="13">
      <c r="AI2155" s="115" t="s">
        <v>1415</v>
      </c>
      <c r="AJ2155" t="s">
        <v>2114</v>
      </c>
      <c r="AK2155" s="115">
        <v>0</v>
      </c>
      <c r="AL2155" s="115" t="s">
        <v>28</v>
      </c>
      <c r="AM2155" s="115" t="s">
        <v>1846</v>
      </c>
      <c r="AN2155" s="115" t="s">
        <v>1628</v>
      </c>
      <c r="AO2155" s="115" t="s">
        <v>380</v>
      </c>
    </row>
    <row r="2156" spans="35:41" ht="13">
      <c r="AI2156" s="115" t="s">
        <v>1415</v>
      </c>
      <c r="AJ2156" t="s">
        <v>2114</v>
      </c>
      <c r="AK2156" s="115">
        <v>0</v>
      </c>
      <c r="AL2156" s="115" t="s">
        <v>28</v>
      </c>
      <c r="AM2156" s="115" t="s">
        <v>1848</v>
      </c>
      <c r="AN2156" s="115" t="s">
        <v>1628</v>
      </c>
      <c r="AO2156" s="115" t="s">
        <v>380</v>
      </c>
    </row>
    <row r="2157" spans="35:41" ht="13">
      <c r="AI2157" s="115" t="s">
        <v>1415</v>
      </c>
      <c r="AJ2157" t="s">
        <v>2114</v>
      </c>
      <c r="AK2157" s="115">
        <v>0</v>
      </c>
      <c r="AL2157" s="115" t="s">
        <v>28</v>
      </c>
      <c r="AM2157" s="115" t="s">
        <v>1849</v>
      </c>
      <c r="AN2157" s="115" t="s">
        <v>1674</v>
      </c>
      <c r="AO2157" s="115" t="s">
        <v>1643</v>
      </c>
    </row>
    <row r="2158" spans="35:41" ht="13">
      <c r="AI2158" s="115" t="s">
        <v>1415</v>
      </c>
      <c r="AJ2158" t="s">
        <v>2114</v>
      </c>
      <c r="AK2158" s="115">
        <v>0</v>
      </c>
      <c r="AL2158" s="115" t="s">
        <v>28</v>
      </c>
      <c r="AM2158" s="115" t="s">
        <v>1850</v>
      </c>
      <c r="AN2158" s="115" t="s">
        <v>1674</v>
      </c>
      <c r="AO2158" s="115" t="s">
        <v>1643</v>
      </c>
    </row>
    <row r="2159" spans="35:41" ht="13">
      <c r="AI2159" s="115" t="s">
        <v>1415</v>
      </c>
      <c r="AJ2159" t="s">
        <v>2114</v>
      </c>
      <c r="AK2159" s="115">
        <v>0</v>
      </c>
      <c r="AL2159" s="115" t="s">
        <v>28</v>
      </c>
      <c r="AM2159" s="115" t="s">
        <v>1846</v>
      </c>
      <c r="AN2159" s="115" t="s">
        <v>1674</v>
      </c>
      <c r="AO2159" s="115" t="s">
        <v>1643</v>
      </c>
    </row>
    <row r="2160" spans="35:41" ht="13">
      <c r="AI2160" s="115" t="s">
        <v>1415</v>
      </c>
      <c r="AJ2160" t="s">
        <v>2114</v>
      </c>
      <c r="AK2160" s="115">
        <v>0</v>
      </c>
      <c r="AL2160" s="115" t="s">
        <v>28</v>
      </c>
      <c r="AM2160" s="115" t="s">
        <v>1848</v>
      </c>
      <c r="AN2160" s="115" t="s">
        <v>1674</v>
      </c>
      <c r="AO2160" s="115" t="s">
        <v>1643</v>
      </c>
    </row>
    <row r="2161" spans="35:41" ht="13">
      <c r="AI2161" s="115" t="s">
        <v>1415</v>
      </c>
      <c r="AJ2161" t="s">
        <v>2114</v>
      </c>
      <c r="AK2161" s="115">
        <v>0</v>
      </c>
      <c r="AL2161" s="115" t="s">
        <v>28</v>
      </c>
      <c r="AM2161" s="115" t="s">
        <v>1832</v>
      </c>
      <c r="AN2161" s="115" t="s">
        <v>1674</v>
      </c>
      <c r="AO2161" s="115" t="s">
        <v>1643</v>
      </c>
    </row>
    <row r="2162" spans="35:41" ht="13">
      <c r="AI2162" s="115" t="s">
        <v>1415</v>
      </c>
      <c r="AJ2162" t="s">
        <v>2114</v>
      </c>
      <c r="AK2162" s="115">
        <v>0</v>
      </c>
      <c r="AL2162" s="115" t="s">
        <v>28</v>
      </c>
      <c r="AM2162" s="115" t="s">
        <v>1843</v>
      </c>
      <c r="AN2162" s="115" t="s">
        <v>1674</v>
      </c>
      <c r="AO2162" s="115" t="s">
        <v>1643</v>
      </c>
    </row>
    <row r="2163" spans="35:41" ht="13">
      <c r="AI2163" s="115" t="s">
        <v>1415</v>
      </c>
      <c r="AJ2163" t="s">
        <v>2114</v>
      </c>
      <c r="AK2163" s="115">
        <v>0</v>
      </c>
      <c r="AL2163" s="115" t="s">
        <v>28</v>
      </c>
      <c r="AM2163" s="115" t="s">
        <v>1850</v>
      </c>
      <c r="AN2163" s="115" t="s">
        <v>1674</v>
      </c>
      <c r="AO2163" s="115" t="s">
        <v>360</v>
      </c>
    </row>
    <row r="2164" spans="35:41" ht="13">
      <c r="AI2164" s="115" t="s">
        <v>1415</v>
      </c>
      <c r="AJ2164" t="s">
        <v>2114</v>
      </c>
      <c r="AK2164" s="115">
        <v>0</v>
      </c>
      <c r="AL2164" s="115" t="s">
        <v>28</v>
      </c>
      <c r="AM2164" s="115" t="s">
        <v>1846</v>
      </c>
      <c r="AN2164" s="115" t="s">
        <v>1674</v>
      </c>
      <c r="AO2164" s="115" t="s">
        <v>360</v>
      </c>
    </row>
    <row r="2165" spans="35:41" ht="13">
      <c r="AI2165" s="115" t="s">
        <v>1415</v>
      </c>
      <c r="AJ2165" t="s">
        <v>2114</v>
      </c>
      <c r="AK2165" s="115">
        <v>0</v>
      </c>
      <c r="AL2165" s="115" t="s">
        <v>28</v>
      </c>
      <c r="AM2165" s="115" t="s">
        <v>1843</v>
      </c>
      <c r="AN2165" s="115" t="s">
        <v>1674</v>
      </c>
      <c r="AO2165" s="115" t="s">
        <v>360</v>
      </c>
    </row>
    <row r="2166" spans="35:41" ht="13">
      <c r="AI2166" s="115" t="s">
        <v>1415</v>
      </c>
      <c r="AJ2166" t="s">
        <v>2114</v>
      </c>
      <c r="AK2166" s="115">
        <v>0</v>
      </c>
      <c r="AL2166" s="115" t="s">
        <v>28</v>
      </c>
      <c r="AM2166" s="115" t="s">
        <v>1848</v>
      </c>
      <c r="AN2166" s="115" t="s">
        <v>1674</v>
      </c>
      <c r="AO2166" s="115" t="s">
        <v>360</v>
      </c>
    </row>
    <row r="2167" spans="35:41" ht="13">
      <c r="AI2167" s="115" t="s">
        <v>1415</v>
      </c>
      <c r="AJ2167" t="s">
        <v>2114</v>
      </c>
      <c r="AK2167" s="115">
        <v>0</v>
      </c>
      <c r="AL2167" s="115" t="s">
        <v>28</v>
      </c>
      <c r="AM2167" s="115" t="s">
        <v>1832</v>
      </c>
      <c r="AN2167" s="115" t="s">
        <v>1674</v>
      </c>
      <c r="AO2167" s="115" t="s">
        <v>360</v>
      </c>
    </row>
    <row r="2168" spans="35:41" ht="13">
      <c r="AI2168" s="115" t="s">
        <v>1415</v>
      </c>
      <c r="AJ2168" t="s">
        <v>2114</v>
      </c>
      <c r="AK2168" s="115">
        <v>0</v>
      </c>
      <c r="AL2168" s="115" t="s">
        <v>28</v>
      </c>
      <c r="AM2168" s="115" t="s">
        <v>1849</v>
      </c>
      <c r="AN2168" s="115" t="s">
        <v>1674</v>
      </c>
      <c r="AO2168" s="115" t="s">
        <v>360</v>
      </c>
    </row>
    <row r="2169" spans="35:41" ht="13">
      <c r="AI2169" s="115" t="s">
        <v>1415</v>
      </c>
      <c r="AJ2169" t="s">
        <v>2114</v>
      </c>
      <c r="AK2169" s="115">
        <v>0</v>
      </c>
      <c r="AL2169" s="115" t="s">
        <v>28</v>
      </c>
      <c r="AM2169" s="115" t="s">
        <v>1849</v>
      </c>
      <c r="AN2169" s="115" t="s">
        <v>1674</v>
      </c>
      <c r="AO2169" s="115" t="s">
        <v>372</v>
      </c>
    </row>
    <row r="2170" spans="35:41" ht="13">
      <c r="AI2170" s="115" t="s">
        <v>1415</v>
      </c>
      <c r="AJ2170" t="s">
        <v>2114</v>
      </c>
      <c r="AK2170" s="115">
        <v>0</v>
      </c>
      <c r="AL2170" s="115" t="s">
        <v>28</v>
      </c>
      <c r="AM2170" s="115" t="s">
        <v>1846</v>
      </c>
      <c r="AN2170" s="115" t="s">
        <v>1674</v>
      </c>
      <c r="AO2170" s="115" t="s">
        <v>372</v>
      </c>
    </row>
    <row r="2171" spans="35:41" ht="13">
      <c r="AI2171" s="115" t="s">
        <v>1415</v>
      </c>
      <c r="AJ2171" t="s">
        <v>2114</v>
      </c>
      <c r="AK2171" s="115">
        <v>0</v>
      </c>
      <c r="AL2171" s="115" t="s">
        <v>28</v>
      </c>
      <c r="AM2171" s="115" t="s">
        <v>1848</v>
      </c>
      <c r="AN2171" s="115" t="s">
        <v>1674</v>
      </c>
      <c r="AO2171" s="115" t="s">
        <v>372</v>
      </c>
    </row>
    <row r="2172" spans="35:41" ht="13">
      <c r="AI2172" s="115" t="s">
        <v>1415</v>
      </c>
      <c r="AJ2172" t="s">
        <v>2114</v>
      </c>
      <c r="AK2172" s="115">
        <v>0</v>
      </c>
      <c r="AL2172" s="115" t="s">
        <v>28</v>
      </c>
      <c r="AM2172" s="115" t="s">
        <v>1832</v>
      </c>
      <c r="AN2172" s="115" t="s">
        <v>1674</v>
      </c>
      <c r="AO2172" s="115" t="s">
        <v>372</v>
      </c>
    </row>
    <row r="2173" spans="35:41" ht="13">
      <c r="AI2173" s="115" t="s">
        <v>1415</v>
      </c>
      <c r="AJ2173" t="s">
        <v>2114</v>
      </c>
      <c r="AK2173" s="115">
        <v>0</v>
      </c>
      <c r="AL2173" s="115" t="s">
        <v>28</v>
      </c>
      <c r="AM2173" s="115" t="s">
        <v>1850</v>
      </c>
      <c r="AN2173" s="115" t="s">
        <v>1674</v>
      </c>
      <c r="AO2173" s="115" t="s">
        <v>372</v>
      </c>
    </row>
    <row r="2174" spans="35:41" ht="13">
      <c r="AI2174" s="115" t="s">
        <v>1415</v>
      </c>
      <c r="AJ2174" t="s">
        <v>2114</v>
      </c>
      <c r="AK2174" s="115">
        <v>0</v>
      </c>
      <c r="AL2174" s="115" t="s">
        <v>28</v>
      </c>
      <c r="AM2174" s="115" t="s">
        <v>1843</v>
      </c>
      <c r="AN2174" s="115" t="s">
        <v>1674</v>
      </c>
      <c r="AO2174" s="115" t="s">
        <v>372</v>
      </c>
    </row>
    <row r="2175" spans="35:41" ht="13">
      <c r="AI2175" s="115" t="s">
        <v>1415</v>
      </c>
      <c r="AJ2175" t="s">
        <v>2114</v>
      </c>
      <c r="AK2175" s="115">
        <v>0</v>
      </c>
      <c r="AL2175" s="115" t="s">
        <v>28</v>
      </c>
      <c r="AM2175" s="115" t="s">
        <v>1832</v>
      </c>
      <c r="AN2175" s="115" t="s">
        <v>1675</v>
      </c>
      <c r="AO2175" s="115" t="s">
        <v>1643</v>
      </c>
    </row>
    <row r="2176" spans="35:41" ht="13">
      <c r="AI2176" s="115" t="s">
        <v>1415</v>
      </c>
      <c r="AJ2176" t="s">
        <v>2114</v>
      </c>
      <c r="AK2176" s="115">
        <v>0</v>
      </c>
      <c r="AL2176" s="115" t="s">
        <v>28</v>
      </c>
      <c r="AM2176" s="115" t="s">
        <v>1846</v>
      </c>
      <c r="AN2176" s="115" t="s">
        <v>1675</v>
      </c>
      <c r="AO2176" s="115" t="s">
        <v>1643</v>
      </c>
    </row>
    <row r="2177" spans="35:41" ht="13">
      <c r="AI2177" s="115" t="s">
        <v>1415</v>
      </c>
      <c r="AJ2177" t="s">
        <v>2114</v>
      </c>
      <c r="AK2177" s="115">
        <v>0</v>
      </c>
      <c r="AL2177" s="115" t="s">
        <v>28</v>
      </c>
      <c r="AM2177" s="115" t="s">
        <v>1849</v>
      </c>
      <c r="AN2177" s="115" t="s">
        <v>1675</v>
      </c>
      <c r="AO2177" s="115" t="s">
        <v>1643</v>
      </c>
    </row>
    <row r="2178" spans="35:41" ht="13">
      <c r="AI2178" s="115" t="s">
        <v>1415</v>
      </c>
      <c r="AJ2178" t="s">
        <v>2114</v>
      </c>
      <c r="AK2178" s="115">
        <v>0</v>
      </c>
      <c r="AL2178" s="115" t="s">
        <v>28</v>
      </c>
      <c r="AM2178" s="115" t="s">
        <v>1850</v>
      </c>
      <c r="AN2178" s="115" t="s">
        <v>1675</v>
      </c>
      <c r="AO2178" s="115" t="s">
        <v>1643</v>
      </c>
    </row>
    <row r="2179" spans="35:41" ht="13">
      <c r="AI2179" s="115" t="s">
        <v>1415</v>
      </c>
      <c r="AJ2179" t="s">
        <v>2114</v>
      </c>
      <c r="AK2179" s="115">
        <v>0</v>
      </c>
      <c r="AL2179" s="115" t="s">
        <v>28</v>
      </c>
      <c r="AM2179" s="115" t="s">
        <v>1843</v>
      </c>
      <c r="AN2179" s="115" t="s">
        <v>1675</v>
      </c>
      <c r="AO2179" s="115" t="s">
        <v>1643</v>
      </c>
    </row>
    <row r="2180" spans="35:41" ht="13">
      <c r="AI2180" s="115" t="s">
        <v>1415</v>
      </c>
      <c r="AJ2180" t="s">
        <v>2114</v>
      </c>
      <c r="AK2180" s="115">
        <v>0</v>
      </c>
      <c r="AL2180" s="115" t="s">
        <v>28</v>
      </c>
      <c r="AM2180" s="115" t="s">
        <v>1848</v>
      </c>
      <c r="AN2180" s="115" t="s">
        <v>1675</v>
      </c>
      <c r="AO2180" s="115" t="s">
        <v>1643</v>
      </c>
    </row>
    <row r="2181" spans="35:41" ht="13">
      <c r="AI2181" s="115" t="s">
        <v>1415</v>
      </c>
      <c r="AJ2181" t="s">
        <v>2114</v>
      </c>
      <c r="AK2181" s="115">
        <v>0</v>
      </c>
      <c r="AL2181" s="115" t="s">
        <v>28</v>
      </c>
      <c r="AM2181" s="115" t="s">
        <v>1843</v>
      </c>
      <c r="AN2181" s="115" t="s">
        <v>1675</v>
      </c>
      <c r="AO2181" s="115" t="s">
        <v>1642</v>
      </c>
    </row>
    <row r="2182" spans="35:41" ht="13">
      <c r="AI2182" s="115" t="s">
        <v>1415</v>
      </c>
      <c r="AJ2182" t="s">
        <v>2114</v>
      </c>
      <c r="AK2182" s="115">
        <v>0</v>
      </c>
      <c r="AL2182" s="115" t="s">
        <v>28</v>
      </c>
      <c r="AM2182" s="115" t="s">
        <v>1848</v>
      </c>
      <c r="AN2182" s="115" t="s">
        <v>1675</v>
      </c>
      <c r="AO2182" s="115" t="s">
        <v>1642</v>
      </c>
    </row>
    <row r="2183" spans="35:41" ht="13">
      <c r="AI2183" s="115" t="s">
        <v>1415</v>
      </c>
      <c r="AJ2183" t="s">
        <v>2114</v>
      </c>
      <c r="AK2183" s="115">
        <v>0</v>
      </c>
      <c r="AL2183" s="115" t="s">
        <v>28</v>
      </c>
      <c r="AM2183" s="115" t="s">
        <v>1832</v>
      </c>
      <c r="AN2183" s="115" t="s">
        <v>1675</v>
      </c>
      <c r="AO2183" s="115" t="s">
        <v>1642</v>
      </c>
    </row>
    <row r="2184" spans="35:41" ht="13">
      <c r="AI2184" s="115" t="s">
        <v>1415</v>
      </c>
      <c r="AJ2184" t="s">
        <v>2114</v>
      </c>
      <c r="AK2184" s="115">
        <v>0</v>
      </c>
      <c r="AL2184" s="115" t="s">
        <v>28</v>
      </c>
      <c r="AM2184" s="115" t="s">
        <v>1850</v>
      </c>
      <c r="AN2184" s="115" t="s">
        <v>1675</v>
      </c>
      <c r="AO2184" s="115" t="s">
        <v>1642</v>
      </c>
    </row>
    <row r="2185" spans="35:41" ht="13">
      <c r="AI2185" s="115" t="s">
        <v>1415</v>
      </c>
      <c r="AJ2185" t="s">
        <v>2114</v>
      </c>
      <c r="AK2185" s="115">
        <v>0</v>
      </c>
      <c r="AL2185" s="115" t="s">
        <v>28</v>
      </c>
      <c r="AM2185" s="115" t="s">
        <v>1850</v>
      </c>
      <c r="AN2185" s="115" t="s">
        <v>1675</v>
      </c>
      <c r="AO2185" s="115" t="s">
        <v>379</v>
      </c>
    </row>
    <row r="2186" spans="35:41" ht="13">
      <c r="AI2186" s="115" t="s">
        <v>1415</v>
      </c>
      <c r="AJ2186" t="s">
        <v>2114</v>
      </c>
      <c r="AK2186" s="115">
        <v>0</v>
      </c>
      <c r="AL2186" s="115" t="s">
        <v>28</v>
      </c>
      <c r="AM2186" s="115" t="s">
        <v>1849</v>
      </c>
      <c r="AN2186" s="115" t="s">
        <v>1675</v>
      </c>
      <c r="AO2186" s="115" t="s">
        <v>379</v>
      </c>
    </row>
    <row r="2187" spans="35:41" ht="13">
      <c r="AI2187" s="115" t="s">
        <v>1415</v>
      </c>
      <c r="AJ2187" t="s">
        <v>2114</v>
      </c>
      <c r="AK2187" s="115">
        <v>0</v>
      </c>
      <c r="AL2187" s="115" t="s">
        <v>28</v>
      </c>
      <c r="AM2187" s="115" t="s">
        <v>1846</v>
      </c>
      <c r="AN2187" s="115" t="s">
        <v>1675</v>
      </c>
      <c r="AO2187" s="115" t="s">
        <v>379</v>
      </c>
    </row>
    <row r="2188" spans="35:41" ht="13">
      <c r="AI2188" s="115" t="s">
        <v>1415</v>
      </c>
      <c r="AJ2188" t="s">
        <v>2114</v>
      </c>
      <c r="AK2188" s="115">
        <v>0</v>
      </c>
      <c r="AL2188" s="115" t="s">
        <v>28</v>
      </c>
      <c r="AM2188" s="115" t="s">
        <v>1848</v>
      </c>
      <c r="AN2188" s="115" t="s">
        <v>1675</v>
      </c>
      <c r="AO2188" s="115" t="s">
        <v>379</v>
      </c>
    </row>
    <row r="2189" spans="35:41" ht="13">
      <c r="AI2189" s="115" t="s">
        <v>1415</v>
      </c>
      <c r="AJ2189" t="s">
        <v>2114</v>
      </c>
      <c r="AK2189" s="115">
        <v>0</v>
      </c>
      <c r="AL2189" s="115" t="s">
        <v>28</v>
      </c>
      <c r="AM2189" s="115" t="s">
        <v>1843</v>
      </c>
      <c r="AN2189" s="115" t="s">
        <v>1675</v>
      </c>
      <c r="AO2189" s="115" t="s">
        <v>379</v>
      </c>
    </row>
    <row r="2190" spans="35:41" ht="13">
      <c r="AI2190" s="115" t="s">
        <v>1415</v>
      </c>
      <c r="AJ2190" t="s">
        <v>2114</v>
      </c>
      <c r="AK2190" s="115">
        <v>0</v>
      </c>
      <c r="AL2190" s="115" t="s">
        <v>28</v>
      </c>
      <c r="AM2190" s="115" t="s">
        <v>1832</v>
      </c>
      <c r="AN2190" s="115" t="s">
        <v>1675</v>
      </c>
      <c r="AO2190" s="115" t="s">
        <v>379</v>
      </c>
    </row>
    <row r="2191" spans="35:41" ht="13">
      <c r="AI2191" s="115" t="s">
        <v>1415</v>
      </c>
      <c r="AJ2191" t="s">
        <v>2114</v>
      </c>
      <c r="AK2191" s="115">
        <v>0</v>
      </c>
      <c r="AL2191" s="115" t="s">
        <v>28</v>
      </c>
      <c r="AM2191" s="115" t="s">
        <v>1848</v>
      </c>
      <c r="AN2191" s="115" t="s">
        <v>1675</v>
      </c>
      <c r="AO2191" s="115" t="s">
        <v>1641</v>
      </c>
    </row>
    <row r="2192" spans="35:41" ht="13">
      <c r="AI2192" s="115" t="s">
        <v>1415</v>
      </c>
      <c r="AJ2192" t="s">
        <v>2114</v>
      </c>
      <c r="AK2192" s="115">
        <v>0</v>
      </c>
      <c r="AL2192" s="115" t="s">
        <v>28</v>
      </c>
      <c r="AM2192" s="115" t="s">
        <v>1850</v>
      </c>
      <c r="AN2192" s="115" t="s">
        <v>1675</v>
      </c>
      <c r="AO2192" s="115" t="s">
        <v>1641</v>
      </c>
    </row>
    <row r="2193" spans="35:41" ht="13">
      <c r="AI2193" s="115" t="s">
        <v>1415</v>
      </c>
      <c r="AJ2193" t="s">
        <v>2114</v>
      </c>
      <c r="AK2193" s="115">
        <v>0</v>
      </c>
      <c r="AL2193" s="115" t="s">
        <v>28</v>
      </c>
      <c r="AM2193" s="115" t="s">
        <v>1832</v>
      </c>
      <c r="AN2193" s="115" t="s">
        <v>1675</v>
      </c>
      <c r="AO2193" s="115" t="s">
        <v>1641</v>
      </c>
    </row>
    <row r="2194" spans="35:41" ht="13">
      <c r="AI2194" s="115" t="s">
        <v>1415</v>
      </c>
      <c r="AJ2194" t="s">
        <v>2114</v>
      </c>
      <c r="AK2194" s="115">
        <v>0</v>
      </c>
      <c r="AL2194" s="115" t="s">
        <v>28</v>
      </c>
      <c r="AM2194" s="115" t="s">
        <v>1843</v>
      </c>
      <c r="AN2194" s="115" t="s">
        <v>1675</v>
      </c>
      <c r="AO2194" s="115" t="s">
        <v>1641</v>
      </c>
    </row>
    <row r="2195" spans="35:41" ht="13">
      <c r="AI2195" s="115" t="s">
        <v>1415</v>
      </c>
      <c r="AJ2195" t="s">
        <v>2114</v>
      </c>
      <c r="AK2195" s="115">
        <v>0</v>
      </c>
      <c r="AL2195" s="115" t="s">
        <v>28</v>
      </c>
      <c r="AM2195" s="115" t="s">
        <v>1843</v>
      </c>
      <c r="AN2195" s="115" t="s">
        <v>1675</v>
      </c>
      <c r="AO2195" s="115" t="s">
        <v>373</v>
      </c>
    </row>
    <row r="2196" spans="35:41" ht="13">
      <c r="AI2196" s="115" t="s">
        <v>1415</v>
      </c>
      <c r="AJ2196" t="s">
        <v>2114</v>
      </c>
      <c r="AK2196" s="115">
        <v>0</v>
      </c>
      <c r="AL2196" s="115" t="s">
        <v>28</v>
      </c>
      <c r="AM2196" s="115" t="s">
        <v>1850</v>
      </c>
      <c r="AN2196" s="115" t="s">
        <v>1675</v>
      </c>
      <c r="AO2196" s="115" t="s">
        <v>373</v>
      </c>
    </row>
    <row r="2197" spans="35:41" ht="13">
      <c r="AI2197" s="115" t="s">
        <v>1415</v>
      </c>
      <c r="AJ2197" t="s">
        <v>2114</v>
      </c>
      <c r="AK2197" s="115">
        <v>0</v>
      </c>
      <c r="AL2197" s="115" t="s">
        <v>28</v>
      </c>
      <c r="AM2197" s="115" t="s">
        <v>1848</v>
      </c>
      <c r="AN2197" s="115" t="s">
        <v>1675</v>
      </c>
      <c r="AO2197" s="115" t="s">
        <v>373</v>
      </c>
    </row>
    <row r="2198" spans="35:41" ht="13">
      <c r="AI2198" s="115" t="s">
        <v>1415</v>
      </c>
      <c r="AJ2198" t="s">
        <v>2114</v>
      </c>
      <c r="AK2198" s="115">
        <v>0</v>
      </c>
      <c r="AL2198" s="115" t="s">
        <v>28</v>
      </c>
      <c r="AM2198" s="115" t="s">
        <v>1832</v>
      </c>
      <c r="AN2198" s="115" t="s">
        <v>1675</v>
      </c>
      <c r="AO2198" s="115" t="s">
        <v>373</v>
      </c>
    </row>
    <row r="2199" spans="35:41" ht="13">
      <c r="AI2199" s="115" t="s">
        <v>1415</v>
      </c>
      <c r="AJ2199" t="s">
        <v>2114</v>
      </c>
      <c r="AK2199" s="115">
        <v>0</v>
      </c>
      <c r="AL2199" s="115" t="s">
        <v>28</v>
      </c>
      <c r="AM2199" s="115" t="s">
        <v>1846</v>
      </c>
      <c r="AN2199" s="115" t="s">
        <v>1675</v>
      </c>
      <c r="AO2199" s="115" t="s">
        <v>373</v>
      </c>
    </row>
    <row r="2200" spans="35:41" ht="13">
      <c r="AI2200" s="115" t="s">
        <v>1415</v>
      </c>
      <c r="AJ2200" t="s">
        <v>2114</v>
      </c>
      <c r="AK2200" s="115">
        <v>0</v>
      </c>
      <c r="AL2200" s="115" t="s">
        <v>28</v>
      </c>
      <c r="AM2200" s="115" t="s">
        <v>1849</v>
      </c>
      <c r="AN2200" s="115" t="s">
        <v>1675</v>
      </c>
      <c r="AO2200" s="115" t="s">
        <v>373</v>
      </c>
    </row>
    <row r="2201" spans="35:41" ht="13">
      <c r="AI2201" s="115" t="s">
        <v>1415</v>
      </c>
      <c r="AJ2201" t="s">
        <v>2114</v>
      </c>
      <c r="AK2201" s="115">
        <v>0</v>
      </c>
      <c r="AL2201" s="115" t="s">
        <v>1842</v>
      </c>
      <c r="AM2201" s="115" t="s">
        <v>1848</v>
      </c>
      <c r="AN2201" s="115" t="s">
        <v>1676</v>
      </c>
      <c r="AO2201" s="115" t="s">
        <v>1643</v>
      </c>
    </row>
    <row r="2202" spans="35:41" ht="13">
      <c r="AI2202" s="115" t="s">
        <v>1415</v>
      </c>
      <c r="AJ2202" t="s">
        <v>2114</v>
      </c>
      <c r="AK2202" s="115">
        <v>0</v>
      </c>
      <c r="AL2202" s="115" t="s">
        <v>28</v>
      </c>
      <c r="AM2202" s="115" t="s">
        <v>1850</v>
      </c>
      <c r="AN2202" s="115" t="s">
        <v>1676</v>
      </c>
      <c r="AO2202" s="115" t="s">
        <v>1643</v>
      </c>
    </row>
    <row r="2203" spans="35:41" ht="13">
      <c r="AI2203" s="115" t="s">
        <v>1415</v>
      </c>
      <c r="AJ2203" t="s">
        <v>2114</v>
      </c>
      <c r="AK2203" s="115">
        <v>0</v>
      </c>
      <c r="AL2203" s="115" t="s">
        <v>28</v>
      </c>
      <c r="AM2203" s="115" t="s">
        <v>1848</v>
      </c>
      <c r="AN2203" s="115" t="s">
        <v>1676</v>
      </c>
      <c r="AO2203" s="115" t="s">
        <v>1643</v>
      </c>
    </row>
    <row r="2204" spans="35:41" ht="13">
      <c r="AI2204" s="115" t="s">
        <v>1415</v>
      </c>
      <c r="AJ2204" t="s">
        <v>2114</v>
      </c>
      <c r="AK2204" s="115">
        <v>0</v>
      </c>
      <c r="AL2204" s="115" t="s">
        <v>28</v>
      </c>
      <c r="AM2204" s="115" t="s">
        <v>1843</v>
      </c>
      <c r="AN2204" s="115" t="s">
        <v>1676</v>
      </c>
      <c r="AO2204" s="115" t="s">
        <v>1643</v>
      </c>
    </row>
    <row r="2205" spans="35:41" ht="13">
      <c r="AI2205" s="115" t="s">
        <v>1415</v>
      </c>
      <c r="AJ2205" t="s">
        <v>2114</v>
      </c>
      <c r="AK2205" s="115">
        <v>0</v>
      </c>
      <c r="AL2205" s="115" t="s">
        <v>1842</v>
      </c>
      <c r="AM2205" s="115" t="s">
        <v>1843</v>
      </c>
      <c r="AN2205" s="115" t="s">
        <v>1676</v>
      </c>
      <c r="AO2205" s="115" t="s">
        <v>1643</v>
      </c>
    </row>
    <row r="2206" spans="35:41" ht="13">
      <c r="AI2206" s="115" t="s">
        <v>1415</v>
      </c>
      <c r="AJ2206" t="s">
        <v>2114</v>
      </c>
      <c r="AK2206" s="115">
        <v>0</v>
      </c>
      <c r="AL2206" s="115" t="s">
        <v>28</v>
      </c>
      <c r="AM2206" s="115" t="s">
        <v>1846</v>
      </c>
      <c r="AN2206" s="115" t="s">
        <v>1676</v>
      </c>
      <c r="AO2206" s="115" t="s">
        <v>1643</v>
      </c>
    </row>
    <row r="2207" spans="35:41" ht="13">
      <c r="AI2207" s="115" t="s">
        <v>1415</v>
      </c>
      <c r="AJ2207" t="s">
        <v>2114</v>
      </c>
      <c r="AK2207" s="115">
        <v>0</v>
      </c>
      <c r="AL2207" s="115" t="s">
        <v>1842</v>
      </c>
      <c r="AM2207" s="115" t="s">
        <v>1832</v>
      </c>
      <c r="AN2207" s="115" t="s">
        <v>1676</v>
      </c>
      <c r="AO2207" s="115" t="s">
        <v>1643</v>
      </c>
    </row>
    <row r="2208" spans="35:41" ht="13">
      <c r="AI2208" s="115" t="s">
        <v>1415</v>
      </c>
      <c r="AJ2208" t="s">
        <v>2114</v>
      </c>
      <c r="AK2208" s="115">
        <v>0</v>
      </c>
      <c r="AL2208" s="115" t="s">
        <v>1842</v>
      </c>
      <c r="AM2208" s="115" t="s">
        <v>1850</v>
      </c>
      <c r="AN2208" s="115" t="s">
        <v>1676</v>
      </c>
      <c r="AO2208" s="115" t="s">
        <v>1643</v>
      </c>
    </row>
    <row r="2209" spans="35:41" ht="13">
      <c r="AI2209" s="115" t="s">
        <v>1415</v>
      </c>
      <c r="AJ2209" t="s">
        <v>2114</v>
      </c>
      <c r="AK2209" s="115">
        <v>0</v>
      </c>
      <c r="AL2209" s="115" t="s">
        <v>1842</v>
      </c>
      <c r="AM2209" s="115" t="s">
        <v>1849</v>
      </c>
      <c r="AN2209" s="115" t="s">
        <v>1676</v>
      </c>
      <c r="AO2209" s="115" t="s">
        <v>1643</v>
      </c>
    </row>
    <row r="2210" spans="35:41" ht="13">
      <c r="AI2210" s="115" t="s">
        <v>1415</v>
      </c>
      <c r="AJ2210" t="s">
        <v>2114</v>
      </c>
      <c r="AK2210" s="115">
        <v>0</v>
      </c>
      <c r="AL2210" s="115" t="s">
        <v>28</v>
      </c>
      <c r="AM2210" s="115" t="s">
        <v>1832</v>
      </c>
      <c r="AN2210" s="115" t="s">
        <v>1676</v>
      </c>
      <c r="AO2210" s="115" t="s">
        <v>1643</v>
      </c>
    </row>
    <row r="2211" spans="35:41" ht="13">
      <c r="AI2211" s="115" t="s">
        <v>1415</v>
      </c>
      <c r="AJ2211" t="s">
        <v>2114</v>
      </c>
      <c r="AK2211" s="115">
        <v>0</v>
      </c>
      <c r="AL2211" s="115" t="s">
        <v>28</v>
      </c>
      <c r="AM2211" s="115" t="s">
        <v>1849</v>
      </c>
      <c r="AN2211" s="115" t="s">
        <v>1676</v>
      </c>
      <c r="AO2211" s="115" t="s">
        <v>1643</v>
      </c>
    </row>
    <row r="2212" spans="35:41" ht="13">
      <c r="AI2212" s="115" t="s">
        <v>1415</v>
      </c>
      <c r="AJ2212" t="s">
        <v>2114</v>
      </c>
      <c r="AK2212" s="115">
        <v>0</v>
      </c>
      <c r="AL2212" s="115" t="s">
        <v>1842</v>
      </c>
      <c r="AM2212" s="115" t="s">
        <v>1846</v>
      </c>
      <c r="AN2212" s="115" t="s">
        <v>1676</v>
      </c>
      <c r="AO2212" s="115" t="s">
        <v>1643</v>
      </c>
    </row>
    <row r="2213" spans="35:41" ht="13">
      <c r="AI2213" s="115" t="s">
        <v>1415</v>
      </c>
      <c r="AJ2213" t="s">
        <v>2114</v>
      </c>
      <c r="AK2213" s="115">
        <v>0</v>
      </c>
      <c r="AL2213" s="115" t="s">
        <v>28</v>
      </c>
      <c r="AM2213" s="115" t="s">
        <v>1846</v>
      </c>
      <c r="AN2213" s="115" t="s">
        <v>1676</v>
      </c>
      <c r="AO2213" s="115" t="s">
        <v>379</v>
      </c>
    </row>
    <row r="2214" spans="35:41" ht="13">
      <c r="AI2214" s="115" t="s">
        <v>1415</v>
      </c>
      <c r="AJ2214" t="s">
        <v>2114</v>
      </c>
      <c r="AK2214" s="115">
        <v>0</v>
      </c>
      <c r="AL2214" s="115" t="s">
        <v>28</v>
      </c>
      <c r="AM2214" s="115" t="s">
        <v>1848</v>
      </c>
      <c r="AN2214" s="115" t="s">
        <v>1676</v>
      </c>
      <c r="AO2214" s="115" t="s">
        <v>379</v>
      </c>
    </row>
    <row r="2215" spans="35:41" ht="13">
      <c r="AI2215" s="115" t="s">
        <v>1415</v>
      </c>
      <c r="AJ2215" t="s">
        <v>2114</v>
      </c>
      <c r="AK2215" s="115">
        <v>0</v>
      </c>
      <c r="AL2215" s="115" t="s">
        <v>28</v>
      </c>
      <c r="AM2215" s="115" t="s">
        <v>1850</v>
      </c>
      <c r="AN2215" s="115" t="s">
        <v>1676</v>
      </c>
      <c r="AO2215" s="115" t="s">
        <v>379</v>
      </c>
    </row>
    <row r="2216" spans="35:41" ht="13">
      <c r="AI2216" s="115" t="s">
        <v>1415</v>
      </c>
      <c r="AJ2216" t="s">
        <v>2114</v>
      </c>
      <c r="AK2216" s="115">
        <v>0</v>
      </c>
      <c r="AL2216" s="115" t="s">
        <v>28</v>
      </c>
      <c r="AM2216" s="115" t="s">
        <v>1843</v>
      </c>
      <c r="AN2216" s="115" t="s">
        <v>1676</v>
      </c>
      <c r="AO2216" s="115" t="s">
        <v>379</v>
      </c>
    </row>
    <row r="2217" spans="35:41" ht="13">
      <c r="AI2217" s="115" t="s">
        <v>1415</v>
      </c>
      <c r="AJ2217" t="s">
        <v>2114</v>
      </c>
      <c r="AK2217" s="115">
        <v>0</v>
      </c>
      <c r="AL2217" s="115" t="s">
        <v>28</v>
      </c>
      <c r="AM2217" s="115" t="s">
        <v>1849</v>
      </c>
      <c r="AN2217" s="115" t="s">
        <v>1676</v>
      </c>
      <c r="AO2217" s="115" t="s">
        <v>379</v>
      </c>
    </row>
    <row r="2218" spans="35:41" ht="13">
      <c r="AI2218" s="115" t="s">
        <v>1415</v>
      </c>
      <c r="AJ2218" t="s">
        <v>2114</v>
      </c>
      <c r="AK2218" s="115">
        <v>0</v>
      </c>
      <c r="AL2218" s="115" t="s">
        <v>28</v>
      </c>
      <c r="AM2218" s="115" t="s">
        <v>1832</v>
      </c>
      <c r="AN2218" s="115" t="s">
        <v>1676</v>
      </c>
      <c r="AO2218" s="115" t="s">
        <v>379</v>
      </c>
    </row>
    <row r="2219" spans="35:41" ht="13">
      <c r="AI2219" s="115" t="s">
        <v>1415</v>
      </c>
      <c r="AJ2219" t="s">
        <v>2114</v>
      </c>
      <c r="AK2219" s="115">
        <v>0</v>
      </c>
      <c r="AL2219" s="115" t="s">
        <v>28</v>
      </c>
      <c r="AM2219" s="115" t="s">
        <v>1832</v>
      </c>
      <c r="AN2219" s="115" t="s">
        <v>1676</v>
      </c>
      <c r="AO2219" s="115" t="s">
        <v>1641</v>
      </c>
    </row>
    <row r="2220" spans="35:41" ht="13">
      <c r="AI2220" s="115" t="s">
        <v>1415</v>
      </c>
      <c r="AJ2220" t="s">
        <v>2114</v>
      </c>
      <c r="AK2220" s="115">
        <v>0</v>
      </c>
      <c r="AL2220" s="115" t="s">
        <v>28</v>
      </c>
      <c r="AM2220" s="115" t="s">
        <v>1843</v>
      </c>
      <c r="AN2220" s="115" t="s">
        <v>1676</v>
      </c>
      <c r="AO2220" s="115" t="s">
        <v>1641</v>
      </c>
    </row>
    <row r="2221" spans="35:41" ht="13">
      <c r="AI2221" s="115" t="s">
        <v>1415</v>
      </c>
      <c r="AJ2221" t="s">
        <v>2114</v>
      </c>
      <c r="AK2221" s="115">
        <v>0</v>
      </c>
      <c r="AL2221" s="115" t="s">
        <v>28</v>
      </c>
      <c r="AM2221" s="115" t="s">
        <v>1850</v>
      </c>
      <c r="AN2221" s="115" t="s">
        <v>1676</v>
      </c>
      <c r="AO2221" s="115" t="s">
        <v>1641</v>
      </c>
    </row>
    <row r="2222" spans="35:41" ht="13">
      <c r="AI2222" s="115" t="s">
        <v>1415</v>
      </c>
      <c r="AJ2222" t="s">
        <v>2114</v>
      </c>
      <c r="AK2222" s="115">
        <v>0</v>
      </c>
      <c r="AL2222" s="115" t="s">
        <v>28</v>
      </c>
      <c r="AM2222" s="115" t="s">
        <v>1848</v>
      </c>
      <c r="AN2222" s="115" t="s">
        <v>1676</v>
      </c>
      <c r="AO2222" s="115" t="s">
        <v>1641</v>
      </c>
    </row>
    <row r="2223" spans="35:41" ht="13">
      <c r="AI2223" s="115" t="s">
        <v>1415</v>
      </c>
      <c r="AJ2223" t="s">
        <v>2114</v>
      </c>
      <c r="AK2223" s="115">
        <v>0</v>
      </c>
      <c r="AL2223" s="115" t="s">
        <v>1842</v>
      </c>
      <c r="AM2223" s="115" t="s">
        <v>1832</v>
      </c>
      <c r="AN2223" s="115" t="s">
        <v>1676</v>
      </c>
      <c r="AO2223" s="115" t="s">
        <v>1641</v>
      </c>
    </row>
    <row r="2224" spans="35:41" ht="13">
      <c r="AI2224" s="115" t="s">
        <v>1415</v>
      </c>
      <c r="AJ2224" t="s">
        <v>2114</v>
      </c>
      <c r="AK2224" s="115">
        <v>0</v>
      </c>
      <c r="AL2224" s="115" t="s">
        <v>1842</v>
      </c>
      <c r="AM2224" s="115" t="s">
        <v>1850</v>
      </c>
      <c r="AN2224" s="115" t="s">
        <v>1676</v>
      </c>
      <c r="AO2224" s="115" t="s">
        <v>1641</v>
      </c>
    </row>
    <row r="2225" spans="35:41" ht="13">
      <c r="AI2225" s="115" t="s">
        <v>1415</v>
      </c>
      <c r="AJ2225" t="s">
        <v>2114</v>
      </c>
      <c r="AK2225" s="115">
        <v>0</v>
      </c>
      <c r="AL2225" s="115" t="s">
        <v>1842</v>
      </c>
      <c r="AM2225" s="115" t="s">
        <v>1848</v>
      </c>
      <c r="AN2225" s="115" t="s">
        <v>1676</v>
      </c>
      <c r="AO2225" s="115" t="s">
        <v>1641</v>
      </c>
    </row>
    <row r="2226" spans="35:41" ht="13">
      <c r="AI2226" s="115" t="s">
        <v>1415</v>
      </c>
      <c r="AJ2226" t="s">
        <v>2114</v>
      </c>
      <c r="AK2226" s="115">
        <v>0</v>
      </c>
      <c r="AL2226" s="115" t="s">
        <v>1842</v>
      </c>
      <c r="AM2226" s="115" t="s">
        <v>1843</v>
      </c>
      <c r="AN2226" s="115" t="s">
        <v>1676</v>
      </c>
      <c r="AO2226" s="115" t="s">
        <v>1641</v>
      </c>
    </row>
    <row r="2227" spans="35:41" ht="13">
      <c r="AI2227" s="115" t="s">
        <v>1415</v>
      </c>
      <c r="AJ2227" t="s">
        <v>2114</v>
      </c>
      <c r="AK2227" s="115">
        <v>0</v>
      </c>
      <c r="AL2227" s="115" t="s">
        <v>28</v>
      </c>
      <c r="AM2227" s="115" t="s">
        <v>1848</v>
      </c>
      <c r="AN2227" s="115" t="s">
        <v>1676</v>
      </c>
      <c r="AO2227" s="115" t="s">
        <v>373</v>
      </c>
    </row>
    <row r="2228" spans="35:41" ht="13">
      <c r="AI2228" s="115" t="s">
        <v>1415</v>
      </c>
      <c r="AJ2228" t="s">
        <v>2114</v>
      </c>
      <c r="AK2228" s="115">
        <v>0</v>
      </c>
      <c r="AL2228" s="115" t="s">
        <v>28</v>
      </c>
      <c r="AM2228" s="115" t="s">
        <v>1832</v>
      </c>
      <c r="AN2228" s="115" t="s">
        <v>1676</v>
      </c>
      <c r="AO2228" s="115" t="s">
        <v>373</v>
      </c>
    </row>
    <row r="2229" spans="35:41" ht="13">
      <c r="AI2229" s="115" t="s">
        <v>1415</v>
      </c>
      <c r="AJ2229" t="s">
        <v>2114</v>
      </c>
      <c r="AK2229" s="115">
        <v>0</v>
      </c>
      <c r="AL2229" s="115" t="s">
        <v>28</v>
      </c>
      <c r="AM2229" s="115" t="s">
        <v>1849</v>
      </c>
      <c r="AN2229" s="115" t="s">
        <v>1676</v>
      </c>
      <c r="AO2229" s="115" t="s">
        <v>373</v>
      </c>
    </row>
    <row r="2230" spans="35:41" ht="13">
      <c r="AI2230" s="115" t="s">
        <v>1415</v>
      </c>
      <c r="AJ2230" t="s">
        <v>2114</v>
      </c>
      <c r="AK2230" s="115">
        <v>0</v>
      </c>
      <c r="AL2230" s="115" t="s">
        <v>28</v>
      </c>
      <c r="AM2230" s="115" t="s">
        <v>1843</v>
      </c>
      <c r="AN2230" s="115" t="s">
        <v>1676</v>
      </c>
      <c r="AO2230" s="115" t="s">
        <v>373</v>
      </c>
    </row>
    <row r="2231" spans="35:41" ht="13">
      <c r="AI2231" s="115" t="s">
        <v>1415</v>
      </c>
      <c r="AJ2231" t="s">
        <v>2114</v>
      </c>
      <c r="AK2231" s="115">
        <v>0</v>
      </c>
      <c r="AL2231" s="115" t="s">
        <v>28</v>
      </c>
      <c r="AM2231" s="115" t="s">
        <v>1846</v>
      </c>
      <c r="AN2231" s="115" t="s">
        <v>1676</v>
      </c>
      <c r="AO2231" s="115" t="s">
        <v>373</v>
      </c>
    </row>
    <row r="2232" spans="35:41" ht="13">
      <c r="AI2232" s="115" t="s">
        <v>1415</v>
      </c>
      <c r="AJ2232" t="s">
        <v>2114</v>
      </c>
      <c r="AK2232" s="115">
        <v>0</v>
      </c>
      <c r="AL2232" s="115" t="s">
        <v>28</v>
      </c>
      <c r="AM2232" s="115" t="s">
        <v>1850</v>
      </c>
      <c r="AN2232" s="115" t="s">
        <v>1676</v>
      </c>
      <c r="AO2232" s="115" t="s">
        <v>373</v>
      </c>
    </row>
    <row r="2233" spans="35:41" ht="13">
      <c r="AI2233" s="115" t="s">
        <v>1415</v>
      </c>
      <c r="AJ2233" t="s">
        <v>2114</v>
      </c>
      <c r="AK2233" s="115">
        <v>0</v>
      </c>
      <c r="AL2233" s="115" t="s">
        <v>1842</v>
      </c>
      <c r="AM2233" s="115" t="s">
        <v>1832</v>
      </c>
      <c r="AN2233" s="115" t="s">
        <v>1676</v>
      </c>
      <c r="AO2233" s="115" t="s">
        <v>380</v>
      </c>
    </row>
    <row r="2234" spans="35:41" ht="13">
      <c r="AI2234" s="115" t="s">
        <v>1415</v>
      </c>
      <c r="AJ2234" t="s">
        <v>2114</v>
      </c>
      <c r="AK2234" s="115">
        <v>0</v>
      </c>
      <c r="AL2234" s="115" t="s">
        <v>1842</v>
      </c>
      <c r="AM2234" s="115" t="s">
        <v>1849</v>
      </c>
      <c r="AN2234" s="115" t="s">
        <v>1676</v>
      </c>
      <c r="AO2234" s="115" t="s">
        <v>380</v>
      </c>
    </row>
    <row r="2235" spans="35:41" ht="13">
      <c r="AI2235" s="115" t="s">
        <v>1415</v>
      </c>
      <c r="AJ2235" t="s">
        <v>2114</v>
      </c>
      <c r="AK2235" s="115">
        <v>0</v>
      </c>
      <c r="AL2235" s="115" t="s">
        <v>28</v>
      </c>
      <c r="AM2235" s="115" t="s">
        <v>1832</v>
      </c>
      <c r="AN2235" s="115" t="s">
        <v>1676</v>
      </c>
      <c r="AO2235" s="115" t="s">
        <v>380</v>
      </c>
    </row>
    <row r="2236" spans="35:41" ht="13">
      <c r="AI2236" s="115" t="s">
        <v>1415</v>
      </c>
      <c r="AJ2236" t="s">
        <v>2114</v>
      </c>
      <c r="AK2236" s="115">
        <v>0</v>
      </c>
      <c r="AL2236" s="115" t="s">
        <v>28</v>
      </c>
      <c r="AM2236" s="115" t="s">
        <v>1849</v>
      </c>
      <c r="AN2236" s="115" t="s">
        <v>1676</v>
      </c>
      <c r="AO2236" s="115" t="s">
        <v>380</v>
      </c>
    </row>
    <row r="2237" spans="35:41" ht="13">
      <c r="AI2237" s="115" t="s">
        <v>1415</v>
      </c>
      <c r="AJ2237" t="s">
        <v>2114</v>
      </c>
      <c r="AK2237" s="115">
        <v>0</v>
      </c>
      <c r="AL2237" s="115" t="s">
        <v>28</v>
      </c>
      <c r="AM2237" s="115" t="s">
        <v>1843</v>
      </c>
      <c r="AN2237" s="115" t="s">
        <v>1676</v>
      </c>
      <c r="AO2237" s="115" t="s">
        <v>380</v>
      </c>
    </row>
    <row r="2238" spans="35:41" ht="13">
      <c r="AI2238" s="115" t="s">
        <v>1415</v>
      </c>
      <c r="AJ2238" t="s">
        <v>2114</v>
      </c>
      <c r="AK2238" s="115">
        <v>0</v>
      </c>
      <c r="AL2238" s="115" t="s">
        <v>1842</v>
      </c>
      <c r="AM2238" s="115" t="s">
        <v>1846</v>
      </c>
      <c r="AN2238" s="115" t="s">
        <v>1676</v>
      </c>
      <c r="AO2238" s="115" t="s">
        <v>380</v>
      </c>
    </row>
    <row r="2239" spans="35:41" ht="13">
      <c r="AI2239" s="115" t="s">
        <v>1415</v>
      </c>
      <c r="AJ2239" t="s">
        <v>2114</v>
      </c>
      <c r="AK2239" s="115">
        <v>0</v>
      </c>
      <c r="AL2239" s="115" t="s">
        <v>28</v>
      </c>
      <c r="AM2239" s="115" t="s">
        <v>1850</v>
      </c>
      <c r="AN2239" s="115" t="s">
        <v>1676</v>
      </c>
      <c r="AO2239" s="115" t="s">
        <v>380</v>
      </c>
    </row>
    <row r="2240" spans="35:41" ht="13">
      <c r="AI2240" s="115" t="s">
        <v>1415</v>
      </c>
      <c r="AJ2240" t="s">
        <v>2114</v>
      </c>
      <c r="AK2240" s="115">
        <v>0</v>
      </c>
      <c r="AL2240" s="115" t="s">
        <v>1842</v>
      </c>
      <c r="AM2240" s="115" t="s">
        <v>1850</v>
      </c>
      <c r="AN2240" s="115" t="s">
        <v>1676</v>
      </c>
      <c r="AO2240" s="115" t="s">
        <v>380</v>
      </c>
    </row>
    <row r="2241" spans="35:41" ht="13">
      <c r="AI2241" s="115" t="s">
        <v>1415</v>
      </c>
      <c r="AJ2241" t="s">
        <v>2114</v>
      </c>
      <c r="AK2241" s="115">
        <v>0</v>
      </c>
      <c r="AL2241" s="115" t="s">
        <v>1842</v>
      </c>
      <c r="AM2241" s="115" t="s">
        <v>1843</v>
      </c>
      <c r="AN2241" s="115" t="s">
        <v>1676</v>
      </c>
      <c r="AO2241" s="115" t="s">
        <v>380</v>
      </c>
    </row>
    <row r="2242" spans="35:41" ht="13">
      <c r="AI2242" s="115" t="s">
        <v>1415</v>
      </c>
      <c r="AJ2242" t="s">
        <v>2114</v>
      </c>
      <c r="AK2242" s="115">
        <v>0</v>
      </c>
      <c r="AL2242" s="115" t="s">
        <v>28</v>
      </c>
      <c r="AM2242" s="115" t="s">
        <v>1846</v>
      </c>
      <c r="AN2242" s="115" t="s">
        <v>1676</v>
      </c>
      <c r="AO2242" s="115" t="s">
        <v>380</v>
      </c>
    </row>
    <row r="2243" spans="35:41" ht="13">
      <c r="AI2243" s="115" t="s">
        <v>1415</v>
      </c>
      <c r="AJ2243" t="s">
        <v>2114</v>
      </c>
      <c r="AK2243" s="115">
        <v>0</v>
      </c>
      <c r="AL2243" s="115" t="s">
        <v>28</v>
      </c>
      <c r="AM2243" s="115" t="s">
        <v>1848</v>
      </c>
      <c r="AN2243" s="115" t="s">
        <v>1676</v>
      </c>
      <c r="AO2243" s="115" t="s">
        <v>380</v>
      </c>
    </row>
    <row r="2244" spans="35:41" ht="13">
      <c r="AI2244" s="115" t="s">
        <v>1415</v>
      </c>
      <c r="AJ2244" t="s">
        <v>2114</v>
      </c>
      <c r="AK2244" s="115">
        <v>0</v>
      </c>
      <c r="AL2244" s="115" t="s">
        <v>1842</v>
      </c>
      <c r="AM2244" s="115" t="s">
        <v>1848</v>
      </c>
      <c r="AN2244" s="115" t="s">
        <v>1676</v>
      </c>
      <c r="AO2244" s="115" t="s">
        <v>380</v>
      </c>
    </row>
    <row r="2245" spans="35:41" ht="13">
      <c r="AI2245" s="115" t="s">
        <v>1415</v>
      </c>
      <c r="AJ2245" t="s">
        <v>2114</v>
      </c>
      <c r="AK2245" s="115">
        <v>0</v>
      </c>
      <c r="AL2245" s="115" t="s">
        <v>28</v>
      </c>
      <c r="AM2245" s="115" t="s">
        <v>1849</v>
      </c>
      <c r="AN2245" s="115" t="s">
        <v>1676</v>
      </c>
      <c r="AO2245" s="115" t="s">
        <v>372</v>
      </c>
    </row>
    <row r="2246" spans="35:41" ht="13">
      <c r="AI2246" s="115" t="s">
        <v>1415</v>
      </c>
      <c r="AJ2246" t="s">
        <v>2114</v>
      </c>
      <c r="AK2246" s="115">
        <v>0</v>
      </c>
      <c r="AL2246" s="115" t="s">
        <v>1842</v>
      </c>
      <c r="AM2246" s="115" t="s">
        <v>1843</v>
      </c>
      <c r="AN2246" s="115" t="s">
        <v>1676</v>
      </c>
      <c r="AO2246" s="115" t="s">
        <v>372</v>
      </c>
    </row>
    <row r="2247" spans="35:41" ht="13">
      <c r="AI2247" s="115" t="s">
        <v>1415</v>
      </c>
      <c r="AJ2247" t="s">
        <v>2114</v>
      </c>
      <c r="AK2247" s="115">
        <v>0</v>
      </c>
      <c r="AL2247" s="115" t="s">
        <v>28</v>
      </c>
      <c r="AM2247" s="115" t="s">
        <v>1848</v>
      </c>
      <c r="AN2247" s="115" t="s">
        <v>1676</v>
      </c>
      <c r="AO2247" s="115" t="s">
        <v>372</v>
      </c>
    </row>
    <row r="2248" spans="35:41" ht="13">
      <c r="AI2248" s="115" t="s">
        <v>1415</v>
      </c>
      <c r="AJ2248" t="s">
        <v>2114</v>
      </c>
      <c r="AK2248" s="115">
        <v>0</v>
      </c>
      <c r="AL2248" s="115" t="s">
        <v>1842</v>
      </c>
      <c r="AM2248" s="115" t="s">
        <v>1850</v>
      </c>
      <c r="AN2248" s="115" t="s">
        <v>1676</v>
      </c>
      <c r="AO2248" s="115" t="s">
        <v>372</v>
      </c>
    </row>
    <row r="2249" spans="35:41" ht="13">
      <c r="AI2249" s="115" t="s">
        <v>1415</v>
      </c>
      <c r="AJ2249" t="s">
        <v>2114</v>
      </c>
      <c r="AK2249" s="115">
        <v>0</v>
      </c>
      <c r="AL2249" s="115" t="s">
        <v>28</v>
      </c>
      <c r="AM2249" s="115" t="s">
        <v>1850</v>
      </c>
      <c r="AN2249" s="115" t="s">
        <v>1676</v>
      </c>
      <c r="AO2249" s="115" t="s">
        <v>372</v>
      </c>
    </row>
    <row r="2250" spans="35:41" ht="13">
      <c r="AI2250" s="115" t="s">
        <v>1415</v>
      </c>
      <c r="AJ2250" t="s">
        <v>2114</v>
      </c>
      <c r="AK2250" s="115">
        <v>0</v>
      </c>
      <c r="AL2250" s="115" t="s">
        <v>1842</v>
      </c>
      <c r="AM2250" s="115" t="s">
        <v>1848</v>
      </c>
      <c r="AN2250" s="115" t="s">
        <v>1676</v>
      </c>
      <c r="AO2250" s="115" t="s">
        <v>372</v>
      </c>
    </row>
    <row r="2251" spans="35:41" ht="13">
      <c r="AI2251" s="115" t="s">
        <v>1415</v>
      </c>
      <c r="AJ2251" t="s">
        <v>2114</v>
      </c>
      <c r="AK2251" s="115">
        <v>0</v>
      </c>
      <c r="AL2251" s="115" t="s">
        <v>1842</v>
      </c>
      <c r="AM2251" s="115" t="s">
        <v>1849</v>
      </c>
      <c r="AN2251" s="115" t="s">
        <v>1676</v>
      </c>
      <c r="AO2251" s="115" t="s">
        <v>372</v>
      </c>
    </row>
    <row r="2252" spans="35:41" ht="13">
      <c r="AI2252" s="115" t="s">
        <v>1415</v>
      </c>
      <c r="AJ2252" t="s">
        <v>2114</v>
      </c>
      <c r="AK2252" s="115">
        <v>0</v>
      </c>
      <c r="AL2252" s="115" t="s">
        <v>28</v>
      </c>
      <c r="AM2252" s="115" t="s">
        <v>1846</v>
      </c>
      <c r="AN2252" s="115" t="s">
        <v>1676</v>
      </c>
      <c r="AO2252" s="115" t="s">
        <v>372</v>
      </c>
    </row>
    <row r="2253" spans="35:41" ht="13">
      <c r="AI2253" s="115" t="s">
        <v>1415</v>
      </c>
      <c r="AJ2253" t="s">
        <v>2114</v>
      </c>
      <c r="AK2253" s="115">
        <v>0</v>
      </c>
      <c r="AL2253" s="115" t="s">
        <v>1842</v>
      </c>
      <c r="AM2253" s="115" t="s">
        <v>1846</v>
      </c>
      <c r="AN2253" s="115" t="s">
        <v>1676</v>
      </c>
      <c r="AO2253" s="115" t="s">
        <v>372</v>
      </c>
    </row>
    <row r="2254" spans="35:41" ht="13">
      <c r="AI2254" s="115" t="s">
        <v>1415</v>
      </c>
      <c r="AJ2254" t="s">
        <v>2114</v>
      </c>
      <c r="AK2254" s="115">
        <v>0</v>
      </c>
      <c r="AL2254" s="115" t="s">
        <v>28</v>
      </c>
      <c r="AM2254" s="115" t="s">
        <v>1843</v>
      </c>
      <c r="AN2254" s="115" t="s">
        <v>1676</v>
      </c>
      <c r="AO2254" s="115" t="s">
        <v>372</v>
      </c>
    </row>
    <row r="2255" spans="35:41" ht="13">
      <c r="AI2255" s="115" t="s">
        <v>1415</v>
      </c>
      <c r="AJ2255" t="s">
        <v>2114</v>
      </c>
      <c r="AK2255" s="115">
        <v>0</v>
      </c>
      <c r="AL2255" s="115" t="s">
        <v>28</v>
      </c>
      <c r="AM2255" s="115" t="s">
        <v>1832</v>
      </c>
      <c r="AN2255" s="115" t="s">
        <v>1676</v>
      </c>
      <c r="AO2255" s="115" t="s">
        <v>372</v>
      </c>
    </row>
    <row r="2256" spans="35:41" ht="13">
      <c r="AI2256" s="115" t="s">
        <v>1415</v>
      </c>
      <c r="AJ2256" t="s">
        <v>2114</v>
      </c>
      <c r="AK2256" s="115">
        <v>0</v>
      </c>
      <c r="AL2256" s="115" t="s">
        <v>1842</v>
      </c>
      <c r="AM2256" s="115" t="s">
        <v>1832</v>
      </c>
      <c r="AN2256" s="115" t="s">
        <v>1676</v>
      </c>
      <c r="AO2256" s="115" t="s">
        <v>372</v>
      </c>
    </row>
    <row r="2257" spans="35:41" ht="13">
      <c r="AI2257" s="115" t="s">
        <v>1415</v>
      </c>
      <c r="AJ2257" t="s">
        <v>2114</v>
      </c>
      <c r="AK2257" s="115">
        <v>0</v>
      </c>
      <c r="AL2257" s="115" t="s">
        <v>28</v>
      </c>
      <c r="AM2257" s="115" t="s">
        <v>1850</v>
      </c>
      <c r="AN2257" s="115" t="s">
        <v>1629</v>
      </c>
      <c r="AO2257" s="115" t="s">
        <v>1644</v>
      </c>
    </row>
    <row r="2258" spans="35:41" ht="13">
      <c r="AI2258" s="115" t="s">
        <v>1415</v>
      </c>
      <c r="AJ2258" t="s">
        <v>2114</v>
      </c>
      <c r="AK2258" s="115">
        <v>0</v>
      </c>
      <c r="AL2258" s="115" t="s">
        <v>28</v>
      </c>
      <c r="AM2258" s="115" t="s">
        <v>1848</v>
      </c>
      <c r="AN2258" s="115" t="s">
        <v>1629</v>
      </c>
      <c r="AO2258" s="115" t="s">
        <v>1644</v>
      </c>
    </row>
    <row r="2259" spans="35:41" ht="13">
      <c r="AI2259" s="115" t="s">
        <v>1415</v>
      </c>
      <c r="AJ2259" t="s">
        <v>2114</v>
      </c>
      <c r="AK2259" s="115">
        <v>0</v>
      </c>
      <c r="AL2259" s="115" t="s">
        <v>28</v>
      </c>
      <c r="AM2259" s="115" t="s">
        <v>1832</v>
      </c>
      <c r="AN2259" s="115" t="s">
        <v>1629</v>
      </c>
      <c r="AO2259" s="115" t="s">
        <v>1644</v>
      </c>
    </row>
    <row r="2260" spans="35:41" ht="13">
      <c r="AI2260" s="115" t="s">
        <v>1415</v>
      </c>
      <c r="AJ2260" t="s">
        <v>2114</v>
      </c>
      <c r="AK2260" s="115">
        <v>0</v>
      </c>
      <c r="AL2260" s="115" t="s">
        <v>28</v>
      </c>
      <c r="AM2260" s="115" t="s">
        <v>1843</v>
      </c>
      <c r="AN2260" s="115" t="s">
        <v>1629</v>
      </c>
      <c r="AO2260" s="115" t="s">
        <v>1644</v>
      </c>
    </row>
    <row r="2261" spans="35:41" ht="13">
      <c r="AI2261" s="115" t="s">
        <v>1415</v>
      </c>
      <c r="AJ2261" t="s">
        <v>2114</v>
      </c>
      <c r="AK2261" s="115">
        <v>0</v>
      </c>
      <c r="AL2261" s="115" t="s">
        <v>28</v>
      </c>
      <c r="AM2261" s="115" t="s">
        <v>1850</v>
      </c>
      <c r="AN2261" s="115" t="s">
        <v>1629</v>
      </c>
      <c r="AO2261" s="115" t="s">
        <v>1274</v>
      </c>
    </row>
    <row r="2262" spans="35:41" ht="13">
      <c r="AI2262" s="115" t="s">
        <v>1415</v>
      </c>
      <c r="AJ2262" t="s">
        <v>2114</v>
      </c>
      <c r="AK2262" s="115">
        <v>0</v>
      </c>
      <c r="AL2262" s="115" t="s">
        <v>28</v>
      </c>
      <c r="AM2262" s="115" t="s">
        <v>1849</v>
      </c>
      <c r="AN2262" s="115" t="s">
        <v>1629</v>
      </c>
      <c r="AO2262" s="115" t="s">
        <v>1274</v>
      </c>
    </row>
    <row r="2263" spans="35:41" ht="13">
      <c r="AI2263" s="115" t="s">
        <v>1415</v>
      </c>
      <c r="AJ2263" t="s">
        <v>2114</v>
      </c>
      <c r="AK2263" s="115">
        <v>0</v>
      </c>
      <c r="AL2263" s="115" t="s">
        <v>28</v>
      </c>
      <c r="AM2263" s="115" t="s">
        <v>1846</v>
      </c>
      <c r="AN2263" s="115" t="s">
        <v>1629</v>
      </c>
      <c r="AO2263" s="115" t="s">
        <v>1274</v>
      </c>
    </row>
    <row r="2264" spans="35:41" ht="13">
      <c r="AI2264" s="115" t="s">
        <v>1415</v>
      </c>
      <c r="AJ2264" t="s">
        <v>2114</v>
      </c>
      <c r="AK2264" s="115">
        <v>0</v>
      </c>
      <c r="AL2264" s="115" t="s">
        <v>28</v>
      </c>
      <c r="AM2264" s="115" t="s">
        <v>1832</v>
      </c>
      <c r="AN2264" s="115" t="s">
        <v>1629</v>
      </c>
      <c r="AO2264" s="115" t="s">
        <v>1274</v>
      </c>
    </row>
    <row r="2265" spans="35:41" ht="13">
      <c r="AI2265" s="115" t="s">
        <v>1415</v>
      </c>
      <c r="AJ2265" t="s">
        <v>2114</v>
      </c>
      <c r="AK2265" s="115">
        <v>0</v>
      </c>
      <c r="AL2265" s="115" t="s">
        <v>28</v>
      </c>
      <c r="AM2265" s="115" t="s">
        <v>1843</v>
      </c>
      <c r="AN2265" s="115" t="s">
        <v>1629</v>
      </c>
      <c r="AO2265" s="115" t="s">
        <v>1274</v>
      </c>
    </row>
    <row r="2266" spans="35:41" ht="13">
      <c r="AI2266" s="115" t="s">
        <v>1415</v>
      </c>
      <c r="AJ2266" t="s">
        <v>2114</v>
      </c>
      <c r="AK2266" s="115">
        <v>0</v>
      </c>
      <c r="AL2266" s="115" t="s">
        <v>28</v>
      </c>
      <c r="AM2266" s="115" t="s">
        <v>1848</v>
      </c>
      <c r="AN2266" s="115" t="s">
        <v>1629</v>
      </c>
      <c r="AO2266" s="115" t="s">
        <v>1274</v>
      </c>
    </row>
    <row r="2267" spans="35:41" ht="13">
      <c r="AI2267" s="115" t="s">
        <v>1415</v>
      </c>
      <c r="AJ2267" t="s">
        <v>2114</v>
      </c>
      <c r="AK2267" s="115">
        <v>0</v>
      </c>
      <c r="AL2267" s="115" t="s">
        <v>28</v>
      </c>
      <c r="AM2267" s="115" t="s">
        <v>1848</v>
      </c>
      <c r="AN2267" s="115" t="s">
        <v>1629</v>
      </c>
      <c r="AO2267" s="115" t="s">
        <v>381</v>
      </c>
    </row>
    <row r="2268" spans="35:41" ht="13">
      <c r="AI2268" s="115" t="s">
        <v>1415</v>
      </c>
      <c r="AJ2268" t="s">
        <v>2114</v>
      </c>
      <c r="AK2268" s="115">
        <v>0</v>
      </c>
      <c r="AL2268" s="115" t="s">
        <v>28</v>
      </c>
      <c r="AM2268" s="115" t="s">
        <v>1850</v>
      </c>
      <c r="AN2268" s="115" t="s">
        <v>1629</v>
      </c>
      <c r="AO2268" s="115" t="s">
        <v>381</v>
      </c>
    </row>
    <row r="2269" spans="35:41" ht="13">
      <c r="AI2269" s="115" t="s">
        <v>1415</v>
      </c>
      <c r="AJ2269" t="s">
        <v>2114</v>
      </c>
      <c r="AK2269" s="115">
        <v>0</v>
      </c>
      <c r="AL2269" s="115" t="s">
        <v>28</v>
      </c>
      <c r="AM2269" s="115" t="s">
        <v>1849</v>
      </c>
      <c r="AN2269" s="115" t="s">
        <v>1629</v>
      </c>
      <c r="AO2269" s="115" t="s">
        <v>381</v>
      </c>
    </row>
    <row r="2270" spans="35:41" ht="13">
      <c r="AI2270" s="115" t="s">
        <v>1415</v>
      </c>
      <c r="AJ2270" t="s">
        <v>2114</v>
      </c>
      <c r="AK2270" s="115">
        <v>0</v>
      </c>
      <c r="AL2270" s="115" t="s">
        <v>28</v>
      </c>
      <c r="AM2270" s="115" t="s">
        <v>1832</v>
      </c>
      <c r="AN2270" s="115" t="s">
        <v>1629</v>
      </c>
      <c r="AO2270" s="115" t="s">
        <v>381</v>
      </c>
    </row>
    <row r="2271" spans="35:41" ht="13">
      <c r="AI2271" s="115" t="s">
        <v>1415</v>
      </c>
      <c r="AJ2271" t="s">
        <v>2114</v>
      </c>
      <c r="AK2271" s="115">
        <v>0</v>
      </c>
      <c r="AL2271" s="115" t="s">
        <v>28</v>
      </c>
      <c r="AM2271" s="115" t="s">
        <v>1846</v>
      </c>
      <c r="AN2271" s="115" t="s">
        <v>1629</v>
      </c>
      <c r="AO2271" s="115" t="s">
        <v>381</v>
      </c>
    </row>
    <row r="2272" spans="35:41" ht="13">
      <c r="AI2272" s="115" t="s">
        <v>1415</v>
      </c>
      <c r="AJ2272" t="s">
        <v>2114</v>
      </c>
      <c r="AK2272" s="115">
        <v>0</v>
      </c>
      <c r="AL2272" s="115" t="s">
        <v>28</v>
      </c>
      <c r="AM2272" s="115" t="s">
        <v>1843</v>
      </c>
      <c r="AN2272" s="115" t="s">
        <v>1629</v>
      </c>
      <c r="AO2272" s="115" t="s">
        <v>381</v>
      </c>
    </row>
    <row r="2273" spans="35:41" ht="13">
      <c r="AI2273" s="115" t="s">
        <v>1415</v>
      </c>
      <c r="AJ2273" t="s">
        <v>2114</v>
      </c>
      <c r="AK2273" s="115">
        <v>0</v>
      </c>
      <c r="AL2273" s="115" t="s">
        <v>28</v>
      </c>
      <c r="AM2273" s="115" t="s">
        <v>1850</v>
      </c>
      <c r="AN2273" s="115" t="s">
        <v>1629</v>
      </c>
      <c r="AO2273" s="115" t="s">
        <v>379</v>
      </c>
    </row>
    <row r="2274" spans="35:41" ht="13">
      <c r="AI2274" s="115" t="s">
        <v>1415</v>
      </c>
      <c r="AJ2274" t="s">
        <v>2114</v>
      </c>
      <c r="AK2274" s="115">
        <v>0</v>
      </c>
      <c r="AL2274" s="115" t="s">
        <v>28</v>
      </c>
      <c r="AM2274" s="115" t="s">
        <v>1849</v>
      </c>
      <c r="AN2274" s="115" t="s">
        <v>1629</v>
      </c>
      <c r="AO2274" s="115" t="s">
        <v>379</v>
      </c>
    </row>
    <row r="2275" spans="35:41" ht="13">
      <c r="AI2275" s="115" t="s">
        <v>1415</v>
      </c>
      <c r="AJ2275" t="s">
        <v>2114</v>
      </c>
      <c r="AK2275" s="115">
        <v>0</v>
      </c>
      <c r="AL2275" s="115" t="s">
        <v>28</v>
      </c>
      <c r="AM2275" s="115" t="s">
        <v>1848</v>
      </c>
      <c r="AN2275" s="115" t="s">
        <v>1629</v>
      </c>
      <c r="AO2275" s="115" t="s">
        <v>379</v>
      </c>
    </row>
    <row r="2276" spans="35:41" ht="13">
      <c r="AI2276" s="115" t="s">
        <v>1415</v>
      </c>
      <c r="AJ2276" t="s">
        <v>2114</v>
      </c>
      <c r="AK2276" s="115">
        <v>0</v>
      </c>
      <c r="AL2276" s="115" t="s">
        <v>28</v>
      </c>
      <c r="AM2276" s="115" t="s">
        <v>1843</v>
      </c>
      <c r="AN2276" s="115" t="s">
        <v>1629</v>
      </c>
      <c r="AO2276" s="115" t="s">
        <v>379</v>
      </c>
    </row>
    <row r="2277" spans="35:41" ht="13">
      <c r="AI2277" s="115" t="s">
        <v>1415</v>
      </c>
      <c r="AJ2277" t="s">
        <v>2114</v>
      </c>
      <c r="AK2277" s="115">
        <v>0</v>
      </c>
      <c r="AL2277" s="115" t="s">
        <v>28</v>
      </c>
      <c r="AM2277" s="115" t="s">
        <v>1832</v>
      </c>
      <c r="AN2277" s="115" t="s">
        <v>1629</v>
      </c>
      <c r="AO2277" s="115" t="s">
        <v>379</v>
      </c>
    </row>
    <row r="2278" spans="35:41" ht="13">
      <c r="AI2278" s="115" t="s">
        <v>1415</v>
      </c>
      <c r="AJ2278" t="s">
        <v>2114</v>
      </c>
      <c r="AK2278" s="115">
        <v>0</v>
      </c>
      <c r="AL2278" s="115" t="s">
        <v>28</v>
      </c>
      <c r="AM2278" s="115" t="s">
        <v>1846</v>
      </c>
      <c r="AN2278" s="115" t="s">
        <v>1629</v>
      </c>
      <c r="AO2278" s="115" t="s">
        <v>379</v>
      </c>
    </row>
    <row r="2279" spans="35:41" ht="13">
      <c r="AI2279" s="115" t="s">
        <v>1415</v>
      </c>
      <c r="AJ2279" t="s">
        <v>2114</v>
      </c>
      <c r="AK2279" s="115">
        <v>0</v>
      </c>
      <c r="AL2279" s="115" t="s">
        <v>28</v>
      </c>
      <c r="AM2279" s="115" t="s">
        <v>1832</v>
      </c>
      <c r="AN2279" s="115" t="s">
        <v>1629</v>
      </c>
      <c r="AO2279" s="115" t="s">
        <v>1645</v>
      </c>
    </row>
    <row r="2280" spans="35:41" ht="13">
      <c r="AI2280" s="115" t="s">
        <v>1415</v>
      </c>
      <c r="AJ2280" t="s">
        <v>2114</v>
      </c>
      <c r="AK2280" s="115">
        <v>0</v>
      </c>
      <c r="AL2280" s="115" t="s">
        <v>28</v>
      </c>
      <c r="AM2280" s="115" t="s">
        <v>1849</v>
      </c>
      <c r="AN2280" s="115" t="s">
        <v>1629</v>
      </c>
      <c r="AO2280" s="115" t="s">
        <v>1645</v>
      </c>
    </row>
    <row r="2281" spans="35:41" ht="13">
      <c r="AI2281" s="115" t="s">
        <v>1415</v>
      </c>
      <c r="AJ2281" t="s">
        <v>2114</v>
      </c>
      <c r="AK2281" s="115">
        <v>0</v>
      </c>
      <c r="AL2281" s="115" t="s">
        <v>28</v>
      </c>
      <c r="AM2281" s="115" t="s">
        <v>1850</v>
      </c>
      <c r="AN2281" s="115" t="s">
        <v>1629</v>
      </c>
      <c r="AO2281" s="115" t="s">
        <v>1645</v>
      </c>
    </row>
    <row r="2282" spans="35:41" ht="13">
      <c r="AI2282" s="115" t="s">
        <v>1415</v>
      </c>
      <c r="AJ2282" t="s">
        <v>2114</v>
      </c>
      <c r="AK2282" s="115">
        <v>0</v>
      </c>
      <c r="AL2282" s="115" t="s">
        <v>28</v>
      </c>
      <c r="AM2282" s="115" t="s">
        <v>1846</v>
      </c>
      <c r="AN2282" s="115" t="s">
        <v>1629</v>
      </c>
      <c r="AO2282" s="115" t="s">
        <v>1645</v>
      </c>
    </row>
    <row r="2283" spans="35:41" ht="13">
      <c r="AI2283" s="115" t="s">
        <v>1415</v>
      </c>
      <c r="AJ2283" t="s">
        <v>2114</v>
      </c>
      <c r="AK2283" s="115">
        <v>0</v>
      </c>
      <c r="AL2283" s="115" t="s">
        <v>28</v>
      </c>
      <c r="AM2283" s="115" t="s">
        <v>1848</v>
      </c>
      <c r="AN2283" s="115" t="s">
        <v>1629</v>
      </c>
      <c r="AO2283" s="115" t="s">
        <v>1645</v>
      </c>
    </row>
    <row r="2284" spans="35:41" ht="13">
      <c r="AI2284" s="115" t="s">
        <v>1415</v>
      </c>
      <c r="AJ2284" t="s">
        <v>2114</v>
      </c>
      <c r="AK2284" s="115">
        <v>0</v>
      </c>
      <c r="AL2284" s="115" t="s">
        <v>28</v>
      </c>
      <c r="AM2284" s="115" t="s">
        <v>1843</v>
      </c>
      <c r="AN2284" s="115" t="s">
        <v>1629</v>
      </c>
      <c r="AO2284" s="115" t="s">
        <v>1645</v>
      </c>
    </row>
    <row r="2285" spans="35:41" ht="13">
      <c r="AI2285" s="115" t="s">
        <v>1415</v>
      </c>
      <c r="AJ2285" t="s">
        <v>2114</v>
      </c>
      <c r="AK2285" s="115">
        <v>0</v>
      </c>
      <c r="AL2285" s="115" t="s">
        <v>28</v>
      </c>
      <c r="AM2285" s="115" t="s">
        <v>1843</v>
      </c>
      <c r="AN2285" s="115" t="s">
        <v>1629</v>
      </c>
      <c r="AO2285" s="115" t="s">
        <v>1646</v>
      </c>
    </row>
    <row r="2286" spans="35:41" ht="13">
      <c r="AI2286" s="115" t="s">
        <v>1415</v>
      </c>
      <c r="AJ2286" t="s">
        <v>2114</v>
      </c>
      <c r="AK2286" s="115">
        <v>0</v>
      </c>
      <c r="AL2286" s="115" t="s">
        <v>28</v>
      </c>
      <c r="AM2286" s="115" t="s">
        <v>1846</v>
      </c>
      <c r="AN2286" s="115" t="s">
        <v>1629</v>
      </c>
      <c r="AO2286" s="115" t="s">
        <v>1646</v>
      </c>
    </row>
    <row r="2287" spans="35:41" ht="13">
      <c r="AI2287" s="115" t="s">
        <v>1415</v>
      </c>
      <c r="AJ2287" t="s">
        <v>2114</v>
      </c>
      <c r="AK2287" s="115">
        <v>0</v>
      </c>
      <c r="AL2287" s="115" t="s">
        <v>28</v>
      </c>
      <c r="AM2287" s="115" t="s">
        <v>1843</v>
      </c>
      <c r="AN2287" s="115" t="s">
        <v>1629</v>
      </c>
      <c r="AO2287" s="115" t="s">
        <v>1647</v>
      </c>
    </row>
    <row r="2288" spans="35:41" ht="13">
      <c r="AI2288" s="115" t="s">
        <v>1415</v>
      </c>
      <c r="AJ2288" t="s">
        <v>2114</v>
      </c>
      <c r="AK2288" s="115">
        <v>0</v>
      </c>
      <c r="AL2288" s="115" t="s">
        <v>28</v>
      </c>
      <c r="AM2288" s="115" t="s">
        <v>1846</v>
      </c>
      <c r="AN2288" s="115" t="s">
        <v>1629</v>
      </c>
      <c r="AO2288" s="115" t="s">
        <v>1647</v>
      </c>
    </row>
    <row r="2289" spans="35:41" ht="13">
      <c r="AI2289" s="115" t="s">
        <v>1415</v>
      </c>
      <c r="AJ2289" t="s">
        <v>2114</v>
      </c>
      <c r="AK2289" s="115">
        <v>0</v>
      </c>
      <c r="AL2289" s="115" t="s">
        <v>28</v>
      </c>
      <c r="AM2289" s="115" t="s">
        <v>1843</v>
      </c>
      <c r="AN2289" s="115" t="s">
        <v>1629</v>
      </c>
      <c r="AO2289" s="115" t="s">
        <v>1639</v>
      </c>
    </row>
    <row r="2290" spans="35:41" ht="13">
      <c r="AI2290" s="115" t="s">
        <v>1415</v>
      </c>
      <c r="AJ2290" t="s">
        <v>2114</v>
      </c>
      <c r="AK2290" s="115">
        <v>0</v>
      </c>
      <c r="AL2290" s="115" t="s">
        <v>28</v>
      </c>
      <c r="AM2290" s="115" t="s">
        <v>1846</v>
      </c>
      <c r="AN2290" s="115" t="s">
        <v>1629</v>
      </c>
      <c r="AO2290" s="115" t="s">
        <v>1639</v>
      </c>
    </row>
    <row r="2291" spans="35:41" ht="13">
      <c r="AI2291" s="115" t="s">
        <v>1415</v>
      </c>
      <c r="AJ2291" t="s">
        <v>2114</v>
      </c>
      <c r="AK2291" s="115">
        <v>0</v>
      </c>
      <c r="AL2291" s="115" t="s">
        <v>28</v>
      </c>
      <c r="AM2291" s="115" t="s">
        <v>1846</v>
      </c>
      <c r="AN2291" s="115" t="s">
        <v>1629</v>
      </c>
      <c r="AO2291" s="115" t="s">
        <v>373</v>
      </c>
    </row>
    <row r="2292" spans="35:41" ht="13">
      <c r="AI2292" s="115" t="s">
        <v>1415</v>
      </c>
      <c r="AJ2292" t="s">
        <v>2114</v>
      </c>
      <c r="AK2292" s="115">
        <v>0</v>
      </c>
      <c r="AL2292" s="115" t="s">
        <v>28</v>
      </c>
      <c r="AM2292" s="115" t="s">
        <v>1843</v>
      </c>
      <c r="AN2292" s="115" t="s">
        <v>1629</v>
      </c>
      <c r="AO2292" s="115" t="s">
        <v>373</v>
      </c>
    </row>
    <row r="2293" spans="35:41" ht="13">
      <c r="AI2293" s="115" t="s">
        <v>1415</v>
      </c>
      <c r="AJ2293" t="s">
        <v>2114</v>
      </c>
      <c r="AK2293" s="115">
        <v>0</v>
      </c>
      <c r="AL2293" s="115" t="s">
        <v>28</v>
      </c>
      <c r="AM2293" s="115" t="s">
        <v>1832</v>
      </c>
      <c r="AN2293" s="115" t="s">
        <v>1629</v>
      </c>
      <c r="AO2293" s="115" t="s">
        <v>373</v>
      </c>
    </row>
    <row r="2294" spans="35:41" ht="13">
      <c r="AI2294" s="115" t="s">
        <v>1415</v>
      </c>
      <c r="AJ2294" t="s">
        <v>2114</v>
      </c>
      <c r="AK2294" s="115">
        <v>0</v>
      </c>
      <c r="AL2294" s="115" t="s">
        <v>28</v>
      </c>
      <c r="AM2294" s="115" t="s">
        <v>1850</v>
      </c>
      <c r="AN2294" s="115" t="s">
        <v>1629</v>
      </c>
      <c r="AO2294" s="115" t="s">
        <v>373</v>
      </c>
    </row>
    <row r="2295" spans="35:41" ht="13">
      <c r="AI2295" s="115" t="s">
        <v>1415</v>
      </c>
      <c r="AJ2295" t="s">
        <v>2114</v>
      </c>
      <c r="AK2295" s="115">
        <v>0</v>
      </c>
      <c r="AL2295" s="115" t="s">
        <v>28</v>
      </c>
      <c r="AM2295" s="115" t="s">
        <v>1849</v>
      </c>
      <c r="AN2295" s="115" t="s">
        <v>1629</v>
      </c>
      <c r="AO2295" s="115" t="s">
        <v>373</v>
      </c>
    </row>
    <row r="2296" spans="35:41" ht="13">
      <c r="AI2296" s="115" t="s">
        <v>1415</v>
      </c>
      <c r="AJ2296" t="s">
        <v>2114</v>
      </c>
      <c r="AK2296" s="115">
        <v>0</v>
      </c>
      <c r="AL2296" s="115" t="s">
        <v>28</v>
      </c>
      <c r="AM2296" s="115" t="s">
        <v>1848</v>
      </c>
      <c r="AN2296" s="115" t="s">
        <v>1629</v>
      </c>
      <c r="AO2296" s="115" t="s">
        <v>373</v>
      </c>
    </row>
    <row r="2297" spans="35:41" ht="13">
      <c r="AI2297" s="115" t="s">
        <v>1415</v>
      </c>
      <c r="AJ2297" t="s">
        <v>2114</v>
      </c>
      <c r="AK2297" s="115">
        <v>0</v>
      </c>
      <c r="AL2297" s="115" t="s">
        <v>28</v>
      </c>
      <c r="AM2297" s="115" t="s">
        <v>1848</v>
      </c>
      <c r="AN2297" s="115" t="s">
        <v>1629</v>
      </c>
      <c r="AO2297" s="115" t="s">
        <v>380</v>
      </c>
    </row>
    <row r="2298" spans="35:41" ht="13">
      <c r="AI2298" s="115" t="s">
        <v>1415</v>
      </c>
      <c r="AJ2298" t="s">
        <v>2114</v>
      </c>
      <c r="AK2298" s="115">
        <v>0</v>
      </c>
      <c r="AL2298" s="115" t="s">
        <v>28</v>
      </c>
      <c r="AM2298" s="115" t="s">
        <v>1850</v>
      </c>
      <c r="AN2298" s="115" t="s">
        <v>1629</v>
      </c>
      <c r="AO2298" s="115" t="s">
        <v>380</v>
      </c>
    </row>
    <row r="2299" spans="35:41" ht="13">
      <c r="AI2299" s="115" t="s">
        <v>1415</v>
      </c>
      <c r="AJ2299" t="s">
        <v>2114</v>
      </c>
      <c r="AK2299" s="115">
        <v>0</v>
      </c>
      <c r="AL2299" s="115" t="s">
        <v>28</v>
      </c>
      <c r="AM2299" s="115" t="s">
        <v>1843</v>
      </c>
      <c r="AN2299" s="115" t="s">
        <v>1629</v>
      </c>
      <c r="AO2299" s="115" t="s">
        <v>380</v>
      </c>
    </row>
    <row r="2300" spans="35:41" ht="13">
      <c r="AI2300" s="115" t="s">
        <v>1415</v>
      </c>
      <c r="AJ2300" t="s">
        <v>2114</v>
      </c>
      <c r="AK2300" s="115">
        <v>0</v>
      </c>
      <c r="AL2300" s="115" t="s">
        <v>28</v>
      </c>
      <c r="AM2300" s="115" t="s">
        <v>1846</v>
      </c>
      <c r="AN2300" s="115" t="s">
        <v>1629</v>
      </c>
      <c r="AO2300" s="115" t="s">
        <v>380</v>
      </c>
    </row>
    <row r="2301" spans="35:41" ht="13">
      <c r="AI2301" s="115" t="s">
        <v>1415</v>
      </c>
      <c r="AJ2301" t="s">
        <v>2114</v>
      </c>
      <c r="AK2301" s="115">
        <v>0</v>
      </c>
      <c r="AL2301" s="115" t="s">
        <v>28</v>
      </c>
      <c r="AM2301" s="115" t="s">
        <v>1832</v>
      </c>
      <c r="AN2301" s="115" t="s">
        <v>1629</v>
      </c>
      <c r="AO2301" s="115" t="s">
        <v>380</v>
      </c>
    </row>
    <row r="2302" spans="35:41" ht="13">
      <c r="AI2302" s="115" t="s">
        <v>1415</v>
      </c>
      <c r="AJ2302" t="s">
        <v>2114</v>
      </c>
      <c r="AK2302" s="115">
        <v>0</v>
      </c>
      <c r="AL2302" s="115" t="s">
        <v>28</v>
      </c>
      <c r="AM2302" s="115" t="s">
        <v>1849</v>
      </c>
      <c r="AN2302" s="115" t="s">
        <v>1629</v>
      </c>
      <c r="AO2302" s="115" t="s">
        <v>380</v>
      </c>
    </row>
    <row r="2303" spans="35:41" ht="13">
      <c r="AI2303" s="115" t="s">
        <v>1415</v>
      </c>
      <c r="AJ2303" t="s">
        <v>2114</v>
      </c>
      <c r="AK2303" s="115">
        <v>0</v>
      </c>
      <c r="AL2303" s="115" t="s">
        <v>1842</v>
      </c>
      <c r="AM2303" s="115" t="s">
        <v>1832</v>
      </c>
      <c r="AN2303" s="115" t="s">
        <v>1677</v>
      </c>
      <c r="AO2303" s="115" t="s">
        <v>1643</v>
      </c>
    </row>
    <row r="2304" spans="35:41" ht="13">
      <c r="AI2304" s="115" t="s">
        <v>1415</v>
      </c>
      <c r="AJ2304" t="s">
        <v>2114</v>
      </c>
      <c r="AK2304" s="115">
        <v>0</v>
      </c>
      <c r="AL2304" s="115" t="s">
        <v>1842</v>
      </c>
      <c r="AM2304" s="115" t="s">
        <v>1846</v>
      </c>
      <c r="AN2304" s="115" t="s">
        <v>1677</v>
      </c>
      <c r="AO2304" s="115" t="s">
        <v>1643</v>
      </c>
    </row>
    <row r="2305" spans="35:41" ht="13">
      <c r="AI2305" s="115" t="s">
        <v>1415</v>
      </c>
      <c r="AJ2305" t="s">
        <v>2114</v>
      </c>
      <c r="AK2305" s="115">
        <v>0</v>
      </c>
      <c r="AL2305" s="115" t="s">
        <v>1842</v>
      </c>
      <c r="AM2305" s="115" t="s">
        <v>1848</v>
      </c>
      <c r="AN2305" s="115" t="s">
        <v>1677</v>
      </c>
      <c r="AO2305" s="115" t="s">
        <v>1643</v>
      </c>
    </row>
    <row r="2306" spans="35:41" ht="13">
      <c r="AI2306" s="115" t="s">
        <v>1415</v>
      </c>
      <c r="AJ2306" t="s">
        <v>2114</v>
      </c>
      <c r="AK2306" s="115">
        <v>0</v>
      </c>
      <c r="AL2306" s="115" t="s">
        <v>1842</v>
      </c>
      <c r="AM2306" s="115" t="s">
        <v>1843</v>
      </c>
      <c r="AN2306" s="115" t="s">
        <v>1677</v>
      </c>
      <c r="AO2306" s="115" t="s">
        <v>1643</v>
      </c>
    </row>
    <row r="2307" spans="35:41" ht="13">
      <c r="AI2307" s="115" t="s">
        <v>1415</v>
      </c>
      <c r="AJ2307" t="s">
        <v>2114</v>
      </c>
      <c r="AK2307" s="115">
        <v>0</v>
      </c>
      <c r="AL2307" s="115" t="s">
        <v>1842</v>
      </c>
      <c r="AM2307" s="115" t="s">
        <v>1849</v>
      </c>
      <c r="AN2307" s="115" t="s">
        <v>1677</v>
      </c>
      <c r="AO2307" s="115" t="s">
        <v>1643</v>
      </c>
    </row>
    <row r="2308" spans="35:41" ht="13">
      <c r="AI2308" s="115" t="s">
        <v>1415</v>
      </c>
      <c r="AJ2308" t="s">
        <v>2114</v>
      </c>
      <c r="AK2308" s="115">
        <v>0</v>
      </c>
      <c r="AL2308" s="115" t="s">
        <v>28</v>
      </c>
      <c r="AM2308" s="115" t="s">
        <v>1843</v>
      </c>
      <c r="AN2308" s="115" t="s">
        <v>1677</v>
      </c>
      <c r="AO2308" s="115" t="s">
        <v>1643</v>
      </c>
    </row>
    <row r="2309" spans="35:41" ht="13">
      <c r="AI2309" s="115" t="s">
        <v>1415</v>
      </c>
      <c r="AJ2309" t="s">
        <v>2114</v>
      </c>
      <c r="AK2309" s="115">
        <v>0</v>
      </c>
      <c r="AL2309" s="115" t="s">
        <v>28</v>
      </c>
      <c r="AM2309" s="115" t="s">
        <v>1848</v>
      </c>
      <c r="AN2309" s="115" t="s">
        <v>1677</v>
      </c>
      <c r="AO2309" s="115" t="s">
        <v>1643</v>
      </c>
    </row>
    <row r="2310" spans="35:41" ht="13">
      <c r="AI2310" s="115" t="s">
        <v>1415</v>
      </c>
      <c r="AJ2310" t="s">
        <v>2114</v>
      </c>
      <c r="AK2310" s="115">
        <v>0</v>
      </c>
      <c r="AL2310" s="115" t="s">
        <v>28</v>
      </c>
      <c r="AM2310" s="115" t="s">
        <v>1832</v>
      </c>
      <c r="AN2310" s="115" t="s">
        <v>1677</v>
      </c>
      <c r="AO2310" s="115" t="s">
        <v>1643</v>
      </c>
    </row>
    <row r="2311" spans="35:41" ht="13">
      <c r="AI2311" s="115" t="s">
        <v>1415</v>
      </c>
      <c r="AJ2311" t="s">
        <v>2114</v>
      </c>
      <c r="AK2311" s="115">
        <v>0</v>
      </c>
      <c r="AL2311" s="115" t="s">
        <v>1842</v>
      </c>
      <c r="AM2311" s="115" t="s">
        <v>1850</v>
      </c>
      <c r="AN2311" s="115" t="s">
        <v>1677</v>
      </c>
      <c r="AO2311" s="115" t="s">
        <v>1643</v>
      </c>
    </row>
    <row r="2312" spans="35:41" ht="13">
      <c r="AI2312" s="115" t="s">
        <v>1415</v>
      </c>
      <c r="AJ2312" t="s">
        <v>2114</v>
      </c>
      <c r="AK2312" s="115">
        <v>0</v>
      </c>
      <c r="AL2312" s="115" t="s">
        <v>28</v>
      </c>
      <c r="AM2312" s="115" t="s">
        <v>1846</v>
      </c>
      <c r="AN2312" s="115" t="s">
        <v>1677</v>
      </c>
      <c r="AO2312" s="115" t="s">
        <v>1643</v>
      </c>
    </row>
    <row r="2313" spans="35:41" ht="13">
      <c r="AI2313" s="115" t="s">
        <v>1415</v>
      </c>
      <c r="AJ2313" t="s">
        <v>2114</v>
      </c>
      <c r="AK2313" s="115">
        <v>0</v>
      </c>
      <c r="AL2313" s="115" t="s">
        <v>28</v>
      </c>
      <c r="AM2313" s="115" t="s">
        <v>1850</v>
      </c>
      <c r="AN2313" s="115" t="s">
        <v>1677</v>
      </c>
      <c r="AO2313" s="115" t="s">
        <v>1643</v>
      </c>
    </row>
    <row r="2314" spans="35:41" ht="13">
      <c r="AI2314" s="115" t="s">
        <v>1415</v>
      </c>
      <c r="AJ2314" t="s">
        <v>2114</v>
      </c>
      <c r="AK2314" s="115">
        <v>0</v>
      </c>
      <c r="AL2314" s="115" t="s">
        <v>28</v>
      </c>
      <c r="AM2314" s="115" t="s">
        <v>1849</v>
      </c>
      <c r="AN2314" s="115" t="s">
        <v>1677</v>
      </c>
      <c r="AO2314" s="115" t="s">
        <v>1643</v>
      </c>
    </row>
    <row r="2315" spans="35:41" ht="13">
      <c r="AI2315" s="115" t="s">
        <v>1415</v>
      </c>
      <c r="AJ2315" t="s">
        <v>2114</v>
      </c>
      <c r="AK2315" s="115">
        <v>0</v>
      </c>
      <c r="AL2315" s="115" t="s">
        <v>28</v>
      </c>
      <c r="AM2315" s="115" t="s">
        <v>1832</v>
      </c>
      <c r="AN2315" s="115" t="s">
        <v>1677</v>
      </c>
      <c r="AO2315" s="115" t="s">
        <v>1642</v>
      </c>
    </row>
    <row r="2316" spans="35:41" ht="13">
      <c r="AI2316" s="115" t="s">
        <v>1415</v>
      </c>
      <c r="AJ2316" t="s">
        <v>2114</v>
      </c>
      <c r="AK2316" s="115">
        <v>0</v>
      </c>
      <c r="AL2316" s="115" t="s">
        <v>28</v>
      </c>
      <c r="AM2316" s="115" t="s">
        <v>1843</v>
      </c>
      <c r="AN2316" s="115" t="s">
        <v>1677</v>
      </c>
      <c r="AO2316" s="115" t="s">
        <v>1642</v>
      </c>
    </row>
    <row r="2317" spans="35:41" ht="13">
      <c r="AI2317" s="115" t="s">
        <v>1415</v>
      </c>
      <c r="AJ2317" t="s">
        <v>2114</v>
      </c>
      <c r="AK2317" s="115">
        <v>0</v>
      </c>
      <c r="AL2317" s="115" t="s">
        <v>28</v>
      </c>
      <c r="AM2317" s="115" t="s">
        <v>1848</v>
      </c>
      <c r="AN2317" s="115" t="s">
        <v>1677</v>
      </c>
      <c r="AO2317" s="115" t="s">
        <v>1642</v>
      </c>
    </row>
    <row r="2318" spans="35:41" ht="13">
      <c r="AI2318" s="115" t="s">
        <v>1415</v>
      </c>
      <c r="AJ2318" t="s">
        <v>2114</v>
      </c>
      <c r="AK2318" s="115">
        <v>0</v>
      </c>
      <c r="AL2318" s="115" t="s">
        <v>28</v>
      </c>
      <c r="AM2318" s="115" t="s">
        <v>1850</v>
      </c>
      <c r="AN2318" s="115" t="s">
        <v>1677</v>
      </c>
      <c r="AO2318" s="115" t="s">
        <v>1642</v>
      </c>
    </row>
    <row r="2319" spans="35:41" ht="13">
      <c r="AI2319" s="115" t="s">
        <v>1415</v>
      </c>
      <c r="AJ2319" t="s">
        <v>2114</v>
      </c>
      <c r="AK2319" s="115">
        <v>0</v>
      </c>
      <c r="AL2319" s="115" t="s">
        <v>28</v>
      </c>
      <c r="AM2319" s="115" t="s">
        <v>1848</v>
      </c>
      <c r="AN2319" s="115" t="s">
        <v>1677</v>
      </c>
      <c r="AO2319" s="115" t="s">
        <v>1644</v>
      </c>
    </row>
    <row r="2320" spans="35:41" ht="13">
      <c r="AI2320" s="115" t="s">
        <v>1415</v>
      </c>
      <c r="AJ2320" t="s">
        <v>2114</v>
      </c>
      <c r="AK2320" s="115">
        <v>0</v>
      </c>
      <c r="AL2320" s="115" t="s">
        <v>28</v>
      </c>
      <c r="AM2320" s="115" t="s">
        <v>1832</v>
      </c>
      <c r="AN2320" s="115" t="s">
        <v>1677</v>
      </c>
      <c r="AO2320" s="115" t="s">
        <v>1644</v>
      </c>
    </row>
    <row r="2321" spans="35:41" ht="13">
      <c r="AI2321" s="115" t="s">
        <v>1415</v>
      </c>
      <c r="AJ2321" t="s">
        <v>2114</v>
      </c>
      <c r="AK2321" s="115">
        <v>0</v>
      </c>
      <c r="AL2321" s="115" t="s">
        <v>28</v>
      </c>
      <c r="AM2321" s="115" t="s">
        <v>1843</v>
      </c>
      <c r="AN2321" s="115" t="s">
        <v>1677</v>
      </c>
      <c r="AO2321" s="115" t="s">
        <v>1644</v>
      </c>
    </row>
    <row r="2322" spans="35:41" ht="13">
      <c r="AI2322" s="115" t="s">
        <v>1415</v>
      </c>
      <c r="AJ2322" t="s">
        <v>2114</v>
      </c>
      <c r="AK2322" s="115">
        <v>0</v>
      </c>
      <c r="AL2322" s="115" t="s">
        <v>28</v>
      </c>
      <c r="AM2322" s="115" t="s">
        <v>1850</v>
      </c>
      <c r="AN2322" s="115" t="s">
        <v>1677</v>
      </c>
      <c r="AO2322" s="115" t="s">
        <v>1644</v>
      </c>
    </row>
    <row r="2323" spans="35:41" ht="13">
      <c r="AI2323" s="115" t="s">
        <v>1415</v>
      </c>
      <c r="AJ2323" t="s">
        <v>2114</v>
      </c>
      <c r="AK2323" s="115">
        <v>0</v>
      </c>
      <c r="AL2323" s="115" t="s">
        <v>28</v>
      </c>
      <c r="AM2323" s="115" t="s">
        <v>1850</v>
      </c>
      <c r="AN2323" s="115" t="s">
        <v>1677</v>
      </c>
      <c r="AO2323" s="115" t="s">
        <v>1274</v>
      </c>
    </row>
    <row r="2324" spans="35:41" ht="13">
      <c r="AI2324" s="115" t="s">
        <v>1415</v>
      </c>
      <c r="AJ2324" t="s">
        <v>2114</v>
      </c>
      <c r="AK2324" s="115">
        <v>0</v>
      </c>
      <c r="AL2324" s="115" t="s">
        <v>28</v>
      </c>
      <c r="AM2324" s="115" t="s">
        <v>1832</v>
      </c>
      <c r="AN2324" s="115" t="s">
        <v>1677</v>
      </c>
      <c r="AO2324" s="115" t="s">
        <v>1274</v>
      </c>
    </row>
    <row r="2325" spans="35:41" ht="13">
      <c r="AI2325" s="115" t="s">
        <v>1415</v>
      </c>
      <c r="AJ2325" t="s">
        <v>2114</v>
      </c>
      <c r="AK2325" s="115">
        <v>0</v>
      </c>
      <c r="AL2325" s="115" t="s">
        <v>28</v>
      </c>
      <c r="AM2325" s="115" t="s">
        <v>1849</v>
      </c>
      <c r="AN2325" s="115" t="s">
        <v>1677</v>
      </c>
      <c r="AO2325" s="115" t="s">
        <v>1274</v>
      </c>
    </row>
    <row r="2326" spans="35:41" ht="13">
      <c r="AI2326" s="115" t="s">
        <v>1415</v>
      </c>
      <c r="AJ2326" t="s">
        <v>2114</v>
      </c>
      <c r="AK2326" s="115">
        <v>0</v>
      </c>
      <c r="AL2326" s="115" t="s">
        <v>28</v>
      </c>
      <c r="AM2326" s="115" t="s">
        <v>1843</v>
      </c>
      <c r="AN2326" s="115" t="s">
        <v>1677</v>
      </c>
      <c r="AO2326" s="115" t="s">
        <v>1274</v>
      </c>
    </row>
    <row r="2327" spans="35:41" ht="13">
      <c r="AI2327" s="115" t="s">
        <v>1415</v>
      </c>
      <c r="AJ2327" t="s">
        <v>2114</v>
      </c>
      <c r="AK2327" s="115">
        <v>0</v>
      </c>
      <c r="AL2327" s="115" t="s">
        <v>28</v>
      </c>
      <c r="AM2327" s="115" t="s">
        <v>1848</v>
      </c>
      <c r="AN2327" s="115" t="s">
        <v>1677</v>
      </c>
      <c r="AO2327" s="115" t="s">
        <v>1274</v>
      </c>
    </row>
    <row r="2328" spans="35:41" ht="13">
      <c r="AI2328" s="115" t="s">
        <v>1415</v>
      </c>
      <c r="AJ2328" t="s">
        <v>2114</v>
      </c>
      <c r="AK2328" s="115">
        <v>0</v>
      </c>
      <c r="AL2328" s="115" t="s">
        <v>28</v>
      </c>
      <c r="AM2328" s="115" t="s">
        <v>1846</v>
      </c>
      <c r="AN2328" s="115" t="s">
        <v>1677</v>
      </c>
      <c r="AO2328" s="115" t="s">
        <v>1274</v>
      </c>
    </row>
    <row r="2329" spans="35:41" ht="13">
      <c r="AI2329" s="115" t="s">
        <v>1415</v>
      </c>
      <c r="AJ2329" t="s">
        <v>2114</v>
      </c>
      <c r="AK2329" s="115">
        <v>0</v>
      </c>
      <c r="AL2329" s="115" t="s">
        <v>28</v>
      </c>
      <c r="AM2329" s="115" t="s">
        <v>1832</v>
      </c>
      <c r="AN2329" s="115" t="s">
        <v>1677</v>
      </c>
      <c r="AO2329" s="115" t="s">
        <v>381</v>
      </c>
    </row>
    <row r="2330" spans="35:41" ht="13">
      <c r="AI2330" s="115" t="s">
        <v>1415</v>
      </c>
      <c r="AJ2330" t="s">
        <v>2114</v>
      </c>
      <c r="AK2330" s="115">
        <v>0</v>
      </c>
      <c r="AL2330" s="115" t="s">
        <v>28</v>
      </c>
      <c r="AM2330" s="115" t="s">
        <v>1849</v>
      </c>
      <c r="AN2330" s="115" t="s">
        <v>1677</v>
      </c>
      <c r="AO2330" s="115" t="s">
        <v>381</v>
      </c>
    </row>
    <row r="2331" spans="35:41" ht="13">
      <c r="AI2331" s="115" t="s">
        <v>1415</v>
      </c>
      <c r="AJ2331" t="s">
        <v>2114</v>
      </c>
      <c r="AK2331" s="115">
        <v>0</v>
      </c>
      <c r="AL2331" s="115" t="s">
        <v>28</v>
      </c>
      <c r="AM2331" s="115" t="s">
        <v>1850</v>
      </c>
      <c r="AN2331" s="115" t="s">
        <v>1677</v>
      </c>
      <c r="AO2331" s="115" t="s">
        <v>381</v>
      </c>
    </row>
    <row r="2332" spans="35:41" ht="13">
      <c r="AI2332" s="115" t="s">
        <v>1415</v>
      </c>
      <c r="AJ2332" t="s">
        <v>2114</v>
      </c>
      <c r="AK2332" s="115">
        <v>0</v>
      </c>
      <c r="AL2332" s="115" t="s">
        <v>28</v>
      </c>
      <c r="AM2332" s="115" t="s">
        <v>1846</v>
      </c>
      <c r="AN2332" s="115" t="s">
        <v>1677</v>
      </c>
      <c r="AO2332" s="115" t="s">
        <v>381</v>
      </c>
    </row>
    <row r="2333" spans="35:41" ht="13">
      <c r="AI2333" s="115" t="s">
        <v>1415</v>
      </c>
      <c r="AJ2333" t="s">
        <v>2114</v>
      </c>
      <c r="AK2333" s="115">
        <v>0</v>
      </c>
      <c r="AL2333" s="115" t="s">
        <v>28</v>
      </c>
      <c r="AM2333" s="115" t="s">
        <v>1848</v>
      </c>
      <c r="AN2333" s="115" t="s">
        <v>1677</v>
      </c>
      <c r="AO2333" s="115" t="s">
        <v>381</v>
      </c>
    </row>
    <row r="2334" spans="35:41" ht="13">
      <c r="AI2334" s="115" t="s">
        <v>1415</v>
      </c>
      <c r="AJ2334" t="s">
        <v>2114</v>
      </c>
      <c r="AK2334" s="115">
        <v>0</v>
      </c>
      <c r="AL2334" s="115" t="s">
        <v>28</v>
      </c>
      <c r="AM2334" s="115" t="s">
        <v>1843</v>
      </c>
      <c r="AN2334" s="115" t="s">
        <v>1677</v>
      </c>
      <c r="AO2334" s="115" t="s">
        <v>381</v>
      </c>
    </row>
    <row r="2335" spans="35:41" ht="13">
      <c r="AI2335" s="115" t="s">
        <v>1415</v>
      </c>
      <c r="AJ2335" t="s">
        <v>2114</v>
      </c>
      <c r="AK2335" s="115">
        <v>0</v>
      </c>
      <c r="AL2335" s="115" t="s">
        <v>28</v>
      </c>
      <c r="AM2335" s="115" t="s">
        <v>1849</v>
      </c>
      <c r="AN2335" s="115" t="s">
        <v>1677</v>
      </c>
      <c r="AO2335" s="115" t="s">
        <v>379</v>
      </c>
    </row>
    <row r="2336" spans="35:41" ht="13">
      <c r="AI2336" s="115" t="s">
        <v>1415</v>
      </c>
      <c r="AJ2336" t="s">
        <v>2114</v>
      </c>
      <c r="AK2336" s="115">
        <v>0</v>
      </c>
      <c r="AL2336" s="115" t="s">
        <v>28</v>
      </c>
      <c r="AM2336" s="115" t="s">
        <v>1846</v>
      </c>
      <c r="AN2336" s="115" t="s">
        <v>1677</v>
      </c>
      <c r="AO2336" s="115" t="s">
        <v>379</v>
      </c>
    </row>
    <row r="2337" spans="35:41" ht="13">
      <c r="AI2337" s="115" t="s">
        <v>1415</v>
      </c>
      <c r="AJ2337" t="s">
        <v>2114</v>
      </c>
      <c r="AK2337" s="115">
        <v>0</v>
      </c>
      <c r="AL2337" s="115" t="s">
        <v>28</v>
      </c>
      <c r="AM2337" s="115" t="s">
        <v>1848</v>
      </c>
      <c r="AN2337" s="115" t="s">
        <v>1677</v>
      </c>
      <c r="AO2337" s="115" t="s">
        <v>379</v>
      </c>
    </row>
    <row r="2338" spans="35:41" ht="13">
      <c r="AI2338" s="115" t="s">
        <v>1415</v>
      </c>
      <c r="AJ2338" t="s">
        <v>2114</v>
      </c>
      <c r="AK2338" s="115">
        <v>0</v>
      </c>
      <c r="AL2338" s="115" t="s">
        <v>28</v>
      </c>
      <c r="AM2338" s="115" t="s">
        <v>1843</v>
      </c>
      <c r="AN2338" s="115" t="s">
        <v>1677</v>
      </c>
      <c r="AO2338" s="115" t="s">
        <v>379</v>
      </c>
    </row>
    <row r="2339" spans="35:41" ht="13">
      <c r="AI2339" s="115" t="s">
        <v>1415</v>
      </c>
      <c r="AJ2339" t="s">
        <v>2114</v>
      </c>
      <c r="AK2339" s="115">
        <v>0</v>
      </c>
      <c r="AL2339" s="115" t="s">
        <v>28</v>
      </c>
      <c r="AM2339" s="115" t="s">
        <v>1832</v>
      </c>
      <c r="AN2339" s="115" t="s">
        <v>1677</v>
      </c>
      <c r="AO2339" s="115" t="s">
        <v>379</v>
      </c>
    </row>
    <row r="2340" spans="35:41" ht="13">
      <c r="AI2340" s="115" t="s">
        <v>1415</v>
      </c>
      <c r="AJ2340" t="s">
        <v>2114</v>
      </c>
      <c r="AK2340" s="115">
        <v>0</v>
      </c>
      <c r="AL2340" s="115" t="s">
        <v>28</v>
      </c>
      <c r="AM2340" s="115" t="s">
        <v>1850</v>
      </c>
      <c r="AN2340" s="115" t="s">
        <v>1677</v>
      </c>
      <c r="AO2340" s="115" t="s">
        <v>379</v>
      </c>
    </row>
    <row r="2341" spans="35:41" ht="13">
      <c r="AI2341" s="115" t="s">
        <v>1415</v>
      </c>
      <c r="AJ2341" t="s">
        <v>2114</v>
      </c>
      <c r="AK2341" s="115">
        <v>0</v>
      </c>
      <c r="AL2341" s="115" t="s">
        <v>1842</v>
      </c>
      <c r="AM2341" s="115" t="s">
        <v>1832</v>
      </c>
      <c r="AN2341" s="115" t="s">
        <v>1677</v>
      </c>
      <c r="AO2341" s="115" t="s">
        <v>1641</v>
      </c>
    </row>
    <row r="2342" spans="35:41" ht="13">
      <c r="AI2342" s="115" t="s">
        <v>1415</v>
      </c>
      <c r="AJ2342" t="s">
        <v>2114</v>
      </c>
      <c r="AK2342" s="115">
        <v>0</v>
      </c>
      <c r="AL2342" s="115" t="s">
        <v>28</v>
      </c>
      <c r="AM2342" s="115" t="s">
        <v>1843</v>
      </c>
      <c r="AN2342" s="115" t="s">
        <v>1677</v>
      </c>
      <c r="AO2342" s="115" t="s">
        <v>1641</v>
      </c>
    </row>
    <row r="2343" spans="35:41" ht="13">
      <c r="AI2343" s="115" t="s">
        <v>1415</v>
      </c>
      <c r="AJ2343" t="s">
        <v>2114</v>
      </c>
      <c r="AK2343" s="115">
        <v>0</v>
      </c>
      <c r="AL2343" s="115" t="s">
        <v>28</v>
      </c>
      <c r="AM2343" s="115" t="s">
        <v>1850</v>
      </c>
      <c r="AN2343" s="115" t="s">
        <v>1677</v>
      </c>
      <c r="AO2343" s="115" t="s">
        <v>1641</v>
      </c>
    </row>
    <row r="2344" spans="35:41" ht="13">
      <c r="AI2344" s="115" t="s">
        <v>1415</v>
      </c>
      <c r="AJ2344" t="s">
        <v>2114</v>
      </c>
      <c r="AK2344" s="115">
        <v>0</v>
      </c>
      <c r="AL2344" s="115" t="s">
        <v>28</v>
      </c>
      <c r="AM2344" s="115" t="s">
        <v>1832</v>
      </c>
      <c r="AN2344" s="115" t="s">
        <v>1677</v>
      </c>
      <c r="AO2344" s="115" t="s">
        <v>1641</v>
      </c>
    </row>
    <row r="2345" spans="35:41" ht="13">
      <c r="AI2345" s="115" t="s">
        <v>1415</v>
      </c>
      <c r="AJ2345" t="s">
        <v>2114</v>
      </c>
      <c r="AK2345" s="115">
        <v>0</v>
      </c>
      <c r="AL2345" s="115" t="s">
        <v>1842</v>
      </c>
      <c r="AM2345" s="115" t="s">
        <v>1848</v>
      </c>
      <c r="AN2345" s="115" t="s">
        <v>1677</v>
      </c>
      <c r="AO2345" s="115" t="s">
        <v>1641</v>
      </c>
    </row>
    <row r="2346" spans="35:41" ht="13">
      <c r="AI2346" s="115" t="s">
        <v>1415</v>
      </c>
      <c r="AJ2346" t="s">
        <v>2114</v>
      </c>
      <c r="AK2346" s="115">
        <v>0</v>
      </c>
      <c r="AL2346" s="115" t="s">
        <v>1842</v>
      </c>
      <c r="AM2346" s="115" t="s">
        <v>1843</v>
      </c>
      <c r="AN2346" s="115" t="s">
        <v>1677</v>
      </c>
      <c r="AO2346" s="115" t="s">
        <v>1641</v>
      </c>
    </row>
    <row r="2347" spans="35:41" ht="13">
      <c r="AI2347" s="115" t="s">
        <v>1415</v>
      </c>
      <c r="AJ2347" t="s">
        <v>2114</v>
      </c>
      <c r="AK2347" s="115">
        <v>0</v>
      </c>
      <c r="AL2347" s="115" t="s">
        <v>28</v>
      </c>
      <c r="AM2347" s="115" t="s">
        <v>1848</v>
      </c>
      <c r="AN2347" s="115" t="s">
        <v>1677</v>
      </c>
      <c r="AO2347" s="115" t="s">
        <v>1641</v>
      </c>
    </row>
    <row r="2348" spans="35:41" ht="13">
      <c r="AI2348" s="115" t="s">
        <v>1415</v>
      </c>
      <c r="AJ2348" t="s">
        <v>2114</v>
      </c>
      <c r="AK2348" s="115">
        <v>0</v>
      </c>
      <c r="AL2348" s="115" t="s">
        <v>1842</v>
      </c>
      <c r="AM2348" s="115" t="s">
        <v>1850</v>
      </c>
      <c r="AN2348" s="115" t="s">
        <v>1677</v>
      </c>
      <c r="AO2348" s="115" t="s">
        <v>1641</v>
      </c>
    </row>
    <row r="2349" spans="35:41" ht="13">
      <c r="AI2349" s="115" t="s">
        <v>1415</v>
      </c>
      <c r="AJ2349" t="s">
        <v>2114</v>
      </c>
      <c r="AK2349" s="115">
        <v>0</v>
      </c>
      <c r="AL2349" s="115" t="s">
        <v>28</v>
      </c>
      <c r="AM2349" s="115" t="s">
        <v>1846</v>
      </c>
      <c r="AN2349" s="115" t="s">
        <v>1677</v>
      </c>
      <c r="AO2349" s="115" t="s">
        <v>1645</v>
      </c>
    </row>
    <row r="2350" spans="35:41" ht="13">
      <c r="AI2350" s="115" t="s">
        <v>1415</v>
      </c>
      <c r="AJ2350" t="s">
        <v>2114</v>
      </c>
      <c r="AK2350" s="115">
        <v>0</v>
      </c>
      <c r="AL2350" s="115" t="s">
        <v>1842</v>
      </c>
      <c r="AM2350" s="115" t="s">
        <v>1850</v>
      </c>
      <c r="AN2350" s="115" t="s">
        <v>1677</v>
      </c>
      <c r="AO2350" s="115" t="s">
        <v>1645</v>
      </c>
    </row>
    <row r="2351" spans="35:41" ht="13">
      <c r="AI2351" s="115" t="s">
        <v>1415</v>
      </c>
      <c r="AJ2351" t="s">
        <v>2114</v>
      </c>
      <c r="AK2351" s="115">
        <v>0</v>
      </c>
      <c r="AL2351" s="115" t="s">
        <v>1842</v>
      </c>
      <c r="AM2351" s="115" t="s">
        <v>1832</v>
      </c>
      <c r="AN2351" s="115" t="s">
        <v>1677</v>
      </c>
      <c r="AO2351" s="115" t="s">
        <v>1645</v>
      </c>
    </row>
    <row r="2352" spans="35:41" ht="13">
      <c r="AI2352" s="115" t="s">
        <v>1415</v>
      </c>
      <c r="AJ2352" t="s">
        <v>2114</v>
      </c>
      <c r="AK2352" s="115">
        <v>0</v>
      </c>
      <c r="AL2352" s="115" t="s">
        <v>1842</v>
      </c>
      <c r="AM2352" s="115" t="s">
        <v>1849</v>
      </c>
      <c r="AN2352" s="115" t="s">
        <v>1677</v>
      </c>
      <c r="AO2352" s="115" t="s">
        <v>1645</v>
      </c>
    </row>
    <row r="2353" spans="35:41" ht="13">
      <c r="AI2353" s="115" t="s">
        <v>1415</v>
      </c>
      <c r="AJ2353" t="s">
        <v>2114</v>
      </c>
      <c r="AK2353" s="115">
        <v>0</v>
      </c>
      <c r="AL2353" s="115" t="s">
        <v>1842</v>
      </c>
      <c r="AM2353" s="115" t="s">
        <v>1843</v>
      </c>
      <c r="AN2353" s="115" t="s">
        <v>1677</v>
      </c>
      <c r="AO2353" s="115" t="s">
        <v>1645</v>
      </c>
    </row>
    <row r="2354" spans="35:41" ht="13">
      <c r="AI2354" s="115" t="s">
        <v>1415</v>
      </c>
      <c r="AJ2354" t="s">
        <v>2114</v>
      </c>
      <c r="AK2354" s="115">
        <v>0</v>
      </c>
      <c r="AL2354" s="115" t="s">
        <v>28</v>
      </c>
      <c r="AM2354" s="115" t="s">
        <v>1843</v>
      </c>
      <c r="AN2354" s="115" t="s">
        <v>1677</v>
      </c>
      <c r="AO2354" s="115" t="s">
        <v>1645</v>
      </c>
    </row>
    <row r="2355" spans="35:41" ht="13">
      <c r="AI2355" s="115" t="s">
        <v>1415</v>
      </c>
      <c r="AJ2355" t="s">
        <v>2114</v>
      </c>
      <c r="AK2355" s="115">
        <v>0</v>
      </c>
      <c r="AL2355" s="115" t="s">
        <v>1842</v>
      </c>
      <c r="AM2355" s="115" t="s">
        <v>1846</v>
      </c>
      <c r="AN2355" s="115" t="s">
        <v>1677</v>
      </c>
      <c r="AO2355" s="115" t="s">
        <v>1645</v>
      </c>
    </row>
    <row r="2356" spans="35:41" ht="13">
      <c r="AI2356" s="115" t="s">
        <v>1415</v>
      </c>
      <c r="AJ2356" t="s">
        <v>2114</v>
      </c>
      <c r="AK2356" s="115">
        <v>0</v>
      </c>
      <c r="AL2356" s="115" t="s">
        <v>28</v>
      </c>
      <c r="AM2356" s="115" t="s">
        <v>1850</v>
      </c>
      <c r="AN2356" s="115" t="s">
        <v>1677</v>
      </c>
      <c r="AO2356" s="115" t="s">
        <v>1645</v>
      </c>
    </row>
    <row r="2357" spans="35:41" ht="13">
      <c r="AI2357" s="115" t="s">
        <v>1415</v>
      </c>
      <c r="AJ2357" t="s">
        <v>2114</v>
      </c>
      <c r="AK2357" s="115">
        <v>0</v>
      </c>
      <c r="AL2357" s="115" t="s">
        <v>28</v>
      </c>
      <c r="AM2357" s="115" t="s">
        <v>1832</v>
      </c>
      <c r="AN2357" s="115" t="s">
        <v>1677</v>
      </c>
      <c r="AO2357" s="115" t="s">
        <v>1645</v>
      </c>
    </row>
    <row r="2358" spans="35:41" ht="13">
      <c r="AI2358" s="115" t="s">
        <v>1415</v>
      </c>
      <c r="AJ2358" t="s">
        <v>2114</v>
      </c>
      <c r="AK2358" s="115">
        <v>0</v>
      </c>
      <c r="AL2358" s="115" t="s">
        <v>1842</v>
      </c>
      <c r="AM2358" s="115" t="s">
        <v>1848</v>
      </c>
      <c r="AN2358" s="115" t="s">
        <v>1677</v>
      </c>
      <c r="AO2358" s="115" t="s">
        <v>1645</v>
      </c>
    </row>
    <row r="2359" spans="35:41" ht="13">
      <c r="AI2359" s="115" t="s">
        <v>1415</v>
      </c>
      <c r="AJ2359" t="s">
        <v>2114</v>
      </c>
      <c r="AK2359" s="115">
        <v>0</v>
      </c>
      <c r="AL2359" s="115" t="s">
        <v>28</v>
      </c>
      <c r="AM2359" s="115" t="s">
        <v>1849</v>
      </c>
      <c r="AN2359" s="115" t="s">
        <v>1677</v>
      </c>
      <c r="AO2359" s="115" t="s">
        <v>1645</v>
      </c>
    </row>
    <row r="2360" spans="35:41" ht="13">
      <c r="AI2360" s="115" t="s">
        <v>1415</v>
      </c>
      <c r="AJ2360" t="s">
        <v>2114</v>
      </c>
      <c r="AK2360" s="115">
        <v>0</v>
      </c>
      <c r="AL2360" s="115" t="s">
        <v>28</v>
      </c>
      <c r="AM2360" s="115" t="s">
        <v>1848</v>
      </c>
      <c r="AN2360" s="115" t="s">
        <v>1677</v>
      </c>
      <c r="AO2360" s="115" t="s">
        <v>1645</v>
      </c>
    </row>
    <row r="2361" spans="35:41" ht="13">
      <c r="AI2361" s="115" t="s">
        <v>1415</v>
      </c>
      <c r="AJ2361" t="s">
        <v>2114</v>
      </c>
      <c r="AK2361" s="115">
        <v>0</v>
      </c>
      <c r="AL2361" s="115" t="s">
        <v>28</v>
      </c>
      <c r="AM2361" s="115" t="s">
        <v>1846</v>
      </c>
      <c r="AN2361" s="115" t="s">
        <v>1677</v>
      </c>
      <c r="AO2361" s="115" t="s">
        <v>1646</v>
      </c>
    </row>
    <row r="2362" spans="35:41" ht="13">
      <c r="AI2362" s="115" t="s">
        <v>1415</v>
      </c>
      <c r="AJ2362" t="s">
        <v>2114</v>
      </c>
      <c r="AK2362" s="115">
        <v>0</v>
      </c>
      <c r="AL2362" s="115" t="s">
        <v>28</v>
      </c>
      <c r="AM2362" s="115" t="s">
        <v>1843</v>
      </c>
      <c r="AN2362" s="115" t="s">
        <v>1677</v>
      </c>
      <c r="AO2362" s="115" t="s">
        <v>1646</v>
      </c>
    </row>
    <row r="2363" spans="35:41" ht="13">
      <c r="AI2363" s="115" t="s">
        <v>1415</v>
      </c>
      <c r="AJ2363" t="s">
        <v>2114</v>
      </c>
      <c r="AK2363" s="115">
        <v>0</v>
      </c>
      <c r="AL2363" s="115" t="s">
        <v>28</v>
      </c>
      <c r="AM2363" s="115" t="s">
        <v>1846</v>
      </c>
      <c r="AN2363" s="115" t="s">
        <v>1677</v>
      </c>
      <c r="AO2363" s="115" t="s">
        <v>1647</v>
      </c>
    </row>
    <row r="2364" spans="35:41" ht="13">
      <c r="AI2364" s="115" t="s">
        <v>1415</v>
      </c>
      <c r="AJ2364" t="s">
        <v>2114</v>
      </c>
      <c r="AK2364" s="115">
        <v>0</v>
      </c>
      <c r="AL2364" s="115" t="s">
        <v>28</v>
      </c>
      <c r="AM2364" s="115" t="s">
        <v>1843</v>
      </c>
      <c r="AN2364" s="115" t="s">
        <v>1677</v>
      </c>
      <c r="AO2364" s="115" t="s">
        <v>1647</v>
      </c>
    </row>
    <row r="2365" spans="35:41" ht="13">
      <c r="AI2365" s="115" t="s">
        <v>1415</v>
      </c>
      <c r="AJ2365" t="s">
        <v>2114</v>
      </c>
      <c r="AK2365" s="115">
        <v>0</v>
      </c>
      <c r="AL2365" s="115" t="s">
        <v>28</v>
      </c>
      <c r="AM2365" s="115" t="s">
        <v>1846</v>
      </c>
      <c r="AN2365" s="115" t="s">
        <v>1677</v>
      </c>
      <c r="AO2365" s="115" t="s">
        <v>1639</v>
      </c>
    </row>
    <row r="2366" spans="35:41" ht="13">
      <c r="AI2366" s="115" t="s">
        <v>1415</v>
      </c>
      <c r="AJ2366" t="s">
        <v>2114</v>
      </c>
      <c r="AK2366" s="115">
        <v>0</v>
      </c>
      <c r="AL2366" s="115" t="s">
        <v>28</v>
      </c>
      <c r="AM2366" s="115" t="s">
        <v>1843</v>
      </c>
      <c r="AN2366" s="115" t="s">
        <v>1677</v>
      </c>
      <c r="AO2366" s="115" t="s">
        <v>1639</v>
      </c>
    </row>
    <row r="2367" spans="35:41" ht="13">
      <c r="AI2367" s="115" t="s">
        <v>1415</v>
      </c>
      <c r="AJ2367" t="s">
        <v>2114</v>
      </c>
      <c r="AK2367" s="115">
        <v>0</v>
      </c>
      <c r="AL2367" s="115" t="s">
        <v>28</v>
      </c>
      <c r="AM2367" s="115" t="s">
        <v>1843</v>
      </c>
      <c r="AN2367" s="115" t="s">
        <v>1677</v>
      </c>
      <c r="AO2367" s="115" t="s">
        <v>373</v>
      </c>
    </row>
    <row r="2368" spans="35:41" ht="13">
      <c r="AI2368" s="115" t="s">
        <v>1415</v>
      </c>
      <c r="AJ2368" t="s">
        <v>2114</v>
      </c>
      <c r="AK2368" s="115">
        <v>0</v>
      </c>
      <c r="AL2368" s="115" t="s">
        <v>28</v>
      </c>
      <c r="AM2368" s="115" t="s">
        <v>1850</v>
      </c>
      <c r="AN2368" s="115" t="s">
        <v>1677</v>
      </c>
      <c r="AO2368" s="115" t="s">
        <v>373</v>
      </c>
    </row>
    <row r="2369" spans="35:41" ht="13">
      <c r="AI2369" s="115" t="s">
        <v>1415</v>
      </c>
      <c r="AJ2369" t="s">
        <v>2114</v>
      </c>
      <c r="AK2369" s="115">
        <v>0</v>
      </c>
      <c r="AL2369" s="115" t="s">
        <v>28</v>
      </c>
      <c r="AM2369" s="115" t="s">
        <v>1832</v>
      </c>
      <c r="AN2369" s="115" t="s">
        <v>1677</v>
      </c>
      <c r="AO2369" s="115" t="s">
        <v>373</v>
      </c>
    </row>
    <row r="2370" spans="35:41" ht="13">
      <c r="AI2370" s="115" t="s">
        <v>1415</v>
      </c>
      <c r="AJ2370" t="s">
        <v>2114</v>
      </c>
      <c r="AK2370" s="115">
        <v>0</v>
      </c>
      <c r="AL2370" s="115" t="s">
        <v>28</v>
      </c>
      <c r="AM2370" s="115" t="s">
        <v>1846</v>
      </c>
      <c r="AN2370" s="115" t="s">
        <v>1677</v>
      </c>
      <c r="AO2370" s="115" t="s">
        <v>373</v>
      </c>
    </row>
    <row r="2371" spans="35:41" ht="13">
      <c r="AI2371" s="115" t="s">
        <v>1415</v>
      </c>
      <c r="AJ2371" t="s">
        <v>2114</v>
      </c>
      <c r="AK2371" s="115">
        <v>0</v>
      </c>
      <c r="AL2371" s="115" t="s">
        <v>28</v>
      </c>
      <c r="AM2371" s="115" t="s">
        <v>1848</v>
      </c>
      <c r="AN2371" s="115" t="s">
        <v>1677</v>
      </c>
      <c r="AO2371" s="115" t="s">
        <v>373</v>
      </c>
    </row>
    <row r="2372" spans="35:41" ht="13">
      <c r="AI2372" s="115" t="s">
        <v>1415</v>
      </c>
      <c r="AJ2372" t="s">
        <v>2114</v>
      </c>
      <c r="AK2372" s="115">
        <v>0</v>
      </c>
      <c r="AL2372" s="115" t="s">
        <v>28</v>
      </c>
      <c r="AM2372" s="115" t="s">
        <v>1849</v>
      </c>
      <c r="AN2372" s="115" t="s">
        <v>1677</v>
      </c>
      <c r="AO2372" s="115" t="s">
        <v>373</v>
      </c>
    </row>
    <row r="2373" spans="35:41" ht="13">
      <c r="AI2373" s="115" t="s">
        <v>1415</v>
      </c>
      <c r="AJ2373" t="s">
        <v>2114</v>
      </c>
      <c r="AK2373" s="115">
        <v>0</v>
      </c>
      <c r="AL2373" s="115" t="s">
        <v>28</v>
      </c>
      <c r="AM2373" s="115" t="s">
        <v>1848</v>
      </c>
      <c r="AN2373" s="115" t="s">
        <v>1677</v>
      </c>
      <c r="AO2373" s="115" t="s">
        <v>380</v>
      </c>
    </row>
    <row r="2374" spans="35:41" ht="13">
      <c r="AI2374" s="115" t="s">
        <v>1415</v>
      </c>
      <c r="AJ2374" t="s">
        <v>2114</v>
      </c>
      <c r="AK2374" s="115">
        <v>0</v>
      </c>
      <c r="AL2374" s="115" t="s">
        <v>28</v>
      </c>
      <c r="AM2374" s="115" t="s">
        <v>1843</v>
      </c>
      <c r="AN2374" s="115" t="s">
        <v>1677</v>
      </c>
      <c r="AO2374" s="115" t="s">
        <v>380</v>
      </c>
    </row>
    <row r="2375" spans="35:41" ht="13">
      <c r="AI2375" s="115" t="s">
        <v>1415</v>
      </c>
      <c r="AJ2375" t="s">
        <v>2114</v>
      </c>
      <c r="AK2375" s="115">
        <v>0</v>
      </c>
      <c r="AL2375" s="115" t="s">
        <v>1842</v>
      </c>
      <c r="AM2375" s="115" t="s">
        <v>1848</v>
      </c>
      <c r="AN2375" s="115" t="s">
        <v>1677</v>
      </c>
      <c r="AO2375" s="115" t="s">
        <v>380</v>
      </c>
    </row>
    <row r="2376" spans="35:41" ht="13">
      <c r="AI2376" s="115" t="s">
        <v>1415</v>
      </c>
      <c r="AJ2376" t="s">
        <v>2114</v>
      </c>
      <c r="AK2376" s="115">
        <v>0</v>
      </c>
      <c r="AL2376" s="115" t="s">
        <v>28</v>
      </c>
      <c r="AM2376" s="115" t="s">
        <v>1850</v>
      </c>
      <c r="AN2376" s="115" t="s">
        <v>1677</v>
      </c>
      <c r="AO2376" s="115" t="s">
        <v>380</v>
      </c>
    </row>
    <row r="2377" spans="35:41" ht="13">
      <c r="AI2377" s="115" t="s">
        <v>1415</v>
      </c>
      <c r="AJ2377" t="s">
        <v>2114</v>
      </c>
      <c r="AK2377" s="115">
        <v>0</v>
      </c>
      <c r="AL2377" s="115" t="s">
        <v>28</v>
      </c>
      <c r="AM2377" s="115" t="s">
        <v>1849</v>
      </c>
      <c r="AN2377" s="115" t="s">
        <v>1677</v>
      </c>
      <c r="AO2377" s="115" t="s">
        <v>380</v>
      </c>
    </row>
    <row r="2378" spans="35:41" ht="13">
      <c r="AI2378" s="115" t="s">
        <v>1415</v>
      </c>
      <c r="AJ2378" t="s">
        <v>2114</v>
      </c>
      <c r="AK2378" s="115">
        <v>0</v>
      </c>
      <c r="AL2378" s="115" t="s">
        <v>28</v>
      </c>
      <c r="AM2378" s="115" t="s">
        <v>1832</v>
      </c>
      <c r="AN2378" s="115" t="s">
        <v>1677</v>
      </c>
      <c r="AO2378" s="115" t="s">
        <v>380</v>
      </c>
    </row>
    <row r="2379" spans="35:41" ht="13">
      <c r="AI2379" s="115" t="s">
        <v>1415</v>
      </c>
      <c r="AJ2379" t="s">
        <v>2114</v>
      </c>
      <c r="AK2379" s="115">
        <v>0</v>
      </c>
      <c r="AL2379" s="115" t="s">
        <v>1842</v>
      </c>
      <c r="AM2379" s="115" t="s">
        <v>1843</v>
      </c>
      <c r="AN2379" s="115" t="s">
        <v>1677</v>
      </c>
      <c r="AO2379" s="115" t="s">
        <v>380</v>
      </c>
    </row>
    <row r="2380" spans="35:41" ht="13">
      <c r="AI2380" s="115" t="s">
        <v>1415</v>
      </c>
      <c r="AJ2380" t="s">
        <v>2114</v>
      </c>
      <c r="AK2380" s="115">
        <v>0</v>
      </c>
      <c r="AL2380" s="115" t="s">
        <v>1842</v>
      </c>
      <c r="AM2380" s="115" t="s">
        <v>1846</v>
      </c>
      <c r="AN2380" s="115" t="s">
        <v>1677</v>
      </c>
      <c r="AO2380" s="115" t="s">
        <v>380</v>
      </c>
    </row>
    <row r="2381" spans="35:41" ht="13">
      <c r="AI2381" s="115" t="s">
        <v>1415</v>
      </c>
      <c r="AJ2381" t="s">
        <v>2114</v>
      </c>
      <c r="AK2381" s="115">
        <v>0</v>
      </c>
      <c r="AL2381" s="115" t="s">
        <v>1842</v>
      </c>
      <c r="AM2381" s="115" t="s">
        <v>1849</v>
      </c>
      <c r="AN2381" s="115" t="s">
        <v>1677</v>
      </c>
      <c r="AO2381" s="115" t="s">
        <v>380</v>
      </c>
    </row>
    <row r="2382" spans="35:41" ht="13">
      <c r="AI2382" s="115" t="s">
        <v>1415</v>
      </c>
      <c r="AJ2382" t="s">
        <v>2114</v>
      </c>
      <c r="AK2382" s="115">
        <v>0</v>
      </c>
      <c r="AL2382" s="115" t="s">
        <v>1842</v>
      </c>
      <c r="AM2382" s="115" t="s">
        <v>1832</v>
      </c>
      <c r="AN2382" s="115" t="s">
        <v>1677</v>
      </c>
      <c r="AO2382" s="115" t="s">
        <v>380</v>
      </c>
    </row>
    <row r="2383" spans="35:41" ht="13">
      <c r="AI2383" s="115" t="s">
        <v>1415</v>
      </c>
      <c r="AJ2383" t="s">
        <v>2114</v>
      </c>
      <c r="AK2383" s="115">
        <v>0</v>
      </c>
      <c r="AL2383" s="115" t="s">
        <v>28</v>
      </c>
      <c r="AM2383" s="115" t="s">
        <v>1846</v>
      </c>
      <c r="AN2383" s="115" t="s">
        <v>1677</v>
      </c>
      <c r="AO2383" s="115" t="s">
        <v>380</v>
      </c>
    </row>
    <row r="2384" spans="35:41" ht="13">
      <c r="AI2384" s="115" t="s">
        <v>1415</v>
      </c>
      <c r="AJ2384" t="s">
        <v>2114</v>
      </c>
      <c r="AK2384" s="115">
        <v>0</v>
      </c>
      <c r="AL2384" s="115" t="s">
        <v>1842</v>
      </c>
      <c r="AM2384" s="115" t="s">
        <v>1850</v>
      </c>
      <c r="AN2384" s="115" t="s">
        <v>1677</v>
      </c>
      <c r="AO2384" s="115" t="s">
        <v>380</v>
      </c>
    </row>
    <row r="2385" spans="35:41" ht="13">
      <c r="AI2385" s="115" t="s">
        <v>1415</v>
      </c>
      <c r="AJ2385" t="s">
        <v>2114</v>
      </c>
      <c r="AK2385" s="115">
        <v>0</v>
      </c>
      <c r="AL2385" s="115" t="s">
        <v>28</v>
      </c>
      <c r="AM2385" s="115" t="s">
        <v>1849</v>
      </c>
      <c r="AN2385" s="115" t="s">
        <v>1677</v>
      </c>
      <c r="AO2385" s="115" t="s">
        <v>360</v>
      </c>
    </row>
    <row r="2386" spans="35:41" ht="13">
      <c r="AI2386" s="115" t="s">
        <v>1415</v>
      </c>
      <c r="AJ2386" t="s">
        <v>2114</v>
      </c>
      <c r="AK2386" s="115">
        <v>0</v>
      </c>
      <c r="AL2386" s="115" t="s">
        <v>28</v>
      </c>
      <c r="AM2386" s="115" t="s">
        <v>1848</v>
      </c>
      <c r="AN2386" s="115" t="s">
        <v>1677</v>
      </c>
      <c r="AO2386" s="115" t="s">
        <v>360</v>
      </c>
    </row>
    <row r="2387" spans="35:41" ht="13">
      <c r="AI2387" s="115" t="s">
        <v>1415</v>
      </c>
      <c r="AJ2387" t="s">
        <v>2114</v>
      </c>
      <c r="AK2387" s="115">
        <v>0</v>
      </c>
      <c r="AL2387" s="115" t="s">
        <v>28</v>
      </c>
      <c r="AM2387" s="115" t="s">
        <v>1843</v>
      </c>
      <c r="AN2387" s="115" t="s">
        <v>1677</v>
      </c>
      <c r="AO2387" s="115" t="s">
        <v>360</v>
      </c>
    </row>
    <row r="2388" spans="35:41" ht="13">
      <c r="AI2388" s="115" t="s">
        <v>1415</v>
      </c>
      <c r="AJ2388" t="s">
        <v>2114</v>
      </c>
      <c r="AK2388" s="115">
        <v>0</v>
      </c>
      <c r="AL2388" s="115" t="s">
        <v>28</v>
      </c>
      <c r="AM2388" s="115" t="s">
        <v>1850</v>
      </c>
      <c r="AN2388" s="115" t="s">
        <v>1677</v>
      </c>
      <c r="AO2388" s="115" t="s">
        <v>360</v>
      </c>
    </row>
    <row r="2389" spans="35:41" ht="13">
      <c r="AI2389" s="115" t="s">
        <v>1415</v>
      </c>
      <c r="AJ2389" t="s">
        <v>2114</v>
      </c>
      <c r="AK2389" s="115">
        <v>0</v>
      </c>
      <c r="AL2389" s="115" t="s">
        <v>28</v>
      </c>
      <c r="AM2389" s="115" t="s">
        <v>1832</v>
      </c>
      <c r="AN2389" s="115" t="s">
        <v>1677</v>
      </c>
      <c r="AO2389" s="115" t="s">
        <v>360</v>
      </c>
    </row>
    <row r="2390" spans="35:41" ht="13">
      <c r="AI2390" s="115" t="s">
        <v>1415</v>
      </c>
      <c r="AJ2390" t="s">
        <v>2114</v>
      </c>
      <c r="AK2390" s="115">
        <v>0</v>
      </c>
      <c r="AL2390" s="115" t="s">
        <v>28</v>
      </c>
      <c r="AM2390" s="115" t="s">
        <v>1846</v>
      </c>
      <c r="AN2390" s="115" t="s">
        <v>1677</v>
      </c>
      <c r="AO2390" s="115" t="s">
        <v>360</v>
      </c>
    </row>
    <row r="2391" spans="35:41" ht="13">
      <c r="AI2391" s="115" t="s">
        <v>1415</v>
      </c>
      <c r="AJ2391" t="s">
        <v>2114</v>
      </c>
      <c r="AK2391" s="115">
        <v>0</v>
      </c>
      <c r="AL2391" s="115" t="s">
        <v>28</v>
      </c>
      <c r="AM2391" s="115" t="s">
        <v>1848</v>
      </c>
      <c r="AN2391" s="115" t="s">
        <v>1677</v>
      </c>
      <c r="AO2391" s="115" t="s">
        <v>372</v>
      </c>
    </row>
    <row r="2392" spans="35:41" ht="13">
      <c r="AI2392" s="115" t="s">
        <v>1415</v>
      </c>
      <c r="AJ2392" t="s">
        <v>2114</v>
      </c>
      <c r="AK2392" s="115">
        <v>0</v>
      </c>
      <c r="AL2392" s="115" t="s">
        <v>1842</v>
      </c>
      <c r="AM2392" s="115" t="s">
        <v>1832</v>
      </c>
      <c r="AN2392" s="115" t="s">
        <v>1677</v>
      </c>
      <c r="AO2392" s="115" t="s">
        <v>372</v>
      </c>
    </row>
    <row r="2393" spans="35:41" ht="13">
      <c r="AI2393" s="115" t="s">
        <v>1415</v>
      </c>
      <c r="AJ2393" t="s">
        <v>2114</v>
      </c>
      <c r="AK2393" s="115">
        <v>0</v>
      </c>
      <c r="AL2393" s="115" t="s">
        <v>28</v>
      </c>
      <c r="AM2393" s="115" t="s">
        <v>1849</v>
      </c>
      <c r="AN2393" s="115" t="s">
        <v>1677</v>
      </c>
      <c r="AO2393" s="115" t="s">
        <v>372</v>
      </c>
    </row>
    <row r="2394" spans="35:41" ht="13">
      <c r="AI2394" s="115" t="s">
        <v>1415</v>
      </c>
      <c r="AJ2394" t="s">
        <v>2114</v>
      </c>
      <c r="AK2394" s="115">
        <v>0</v>
      </c>
      <c r="AL2394" s="115" t="s">
        <v>1842</v>
      </c>
      <c r="AM2394" s="115" t="s">
        <v>1850</v>
      </c>
      <c r="AN2394" s="115" t="s">
        <v>1677</v>
      </c>
      <c r="AO2394" s="115" t="s">
        <v>372</v>
      </c>
    </row>
    <row r="2395" spans="35:41" ht="13">
      <c r="AI2395" s="115" t="s">
        <v>1415</v>
      </c>
      <c r="AJ2395" t="s">
        <v>2114</v>
      </c>
      <c r="AK2395" s="115">
        <v>0</v>
      </c>
      <c r="AL2395" s="115" t="s">
        <v>28</v>
      </c>
      <c r="AM2395" s="115" t="s">
        <v>1832</v>
      </c>
      <c r="AN2395" s="115" t="s">
        <v>1677</v>
      </c>
      <c r="AO2395" s="115" t="s">
        <v>372</v>
      </c>
    </row>
    <row r="2396" spans="35:41" ht="13">
      <c r="AI2396" s="115" t="s">
        <v>1415</v>
      </c>
      <c r="AJ2396" t="s">
        <v>2114</v>
      </c>
      <c r="AK2396" s="115">
        <v>0</v>
      </c>
      <c r="AL2396" s="115" t="s">
        <v>1842</v>
      </c>
      <c r="AM2396" s="115" t="s">
        <v>1843</v>
      </c>
      <c r="AN2396" s="115" t="s">
        <v>1677</v>
      </c>
      <c r="AO2396" s="115" t="s">
        <v>372</v>
      </c>
    </row>
    <row r="2397" spans="35:41" ht="13">
      <c r="AI2397" s="115" t="s">
        <v>1415</v>
      </c>
      <c r="AJ2397" t="s">
        <v>2114</v>
      </c>
      <c r="AK2397" s="115">
        <v>0</v>
      </c>
      <c r="AL2397" s="115" t="s">
        <v>1842</v>
      </c>
      <c r="AM2397" s="115" t="s">
        <v>1848</v>
      </c>
      <c r="AN2397" s="115" t="s">
        <v>1677</v>
      </c>
      <c r="AO2397" s="115" t="s">
        <v>372</v>
      </c>
    </row>
    <row r="2398" spans="35:41" ht="13">
      <c r="AI2398" s="115" t="s">
        <v>1415</v>
      </c>
      <c r="AJ2398" t="s">
        <v>2114</v>
      </c>
      <c r="AK2398" s="115">
        <v>0</v>
      </c>
      <c r="AL2398" s="115" t="s">
        <v>1842</v>
      </c>
      <c r="AM2398" s="115" t="s">
        <v>1846</v>
      </c>
      <c r="AN2398" s="115" t="s">
        <v>1677</v>
      </c>
      <c r="AO2398" s="115" t="s">
        <v>372</v>
      </c>
    </row>
    <row r="2399" spans="35:41" ht="13">
      <c r="AI2399" s="115" t="s">
        <v>1415</v>
      </c>
      <c r="AJ2399" t="s">
        <v>2114</v>
      </c>
      <c r="AK2399" s="115">
        <v>0</v>
      </c>
      <c r="AL2399" s="115" t="s">
        <v>1842</v>
      </c>
      <c r="AM2399" s="115" t="s">
        <v>1849</v>
      </c>
      <c r="AN2399" s="115" t="s">
        <v>1677</v>
      </c>
      <c r="AO2399" s="115" t="s">
        <v>372</v>
      </c>
    </row>
    <row r="2400" spans="35:41" ht="13">
      <c r="AI2400" s="115" t="s">
        <v>1415</v>
      </c>
      <c r="AJ2400" t="s">
        <v>2114</v>
      </c>
      <c r="AK2400" s="115">
        <v>0</v>
      </c>
      <c r="AL2400" s="115" t="s">
        <v>28</v>
      </c>
      <c r="AM2400" s="115" t="s">
        <v>1850</v>
      </c>
      <c r="AN2400" s="115" t="s">
        <v>1677</v>
      </c>
      <c r="AO2400" s="115" t="s">
        <v>372</v>
      </c>
    </row>
    <row r="2401" spans="35:41" ht="13">
      <c r="AI2401" s="115" t="s">
        <v>1415</v>
      </c>
      <c r="AJ2401" t="s">
        <v>2114</v>
      </c>
      <c r="AK2401" s="115">
        <v>0</v>
      </c>
      <c r="AL2401" s="115" t="s">
        <v>28</v>
      </c>
      <c r="AM2401" s="115" t="s">
        <v>1843</v>
      </c>
      <c r="AN2401" s="115" t="s">
        <v>1677</v>
      </c>
      <c r="AO2401" s="115" t="s">
        <v>372</v>
      </c>
    </row>
    <row r="2402" spans="35:41" ht="13">
      <c r="AI2402" s="115" t="s">
        <v>1415</v>
      </c>
      <c r="AJ2402" t="s">
        <v>2114</v>
      </c>
      <c r="AK2402" s="115">
        <v>0</v>
      </c>
      <c r="AL2402" s="115" t="s">
        <v>28</v>
      </c>
      <c r="AM2402" s="115" t="s">
        <v>1846</v>
      </c>
      <c r="AN2402" s="115" t="s">
        <v>1677</v>
      </c>
      <c r="AO2402" s="115" t="s">
        <v>372</v>
      </c>
    </row>
    <row r="2403" spans="35:41" ht="13">
      <c r="AI2403" s="115" t="s">
        <v>1415</v>
      </c>
      <c r="AJ2403" t="s">
        <v>2114</v>
      </c>
      <c r="AK2403" s="115">
        <v>0</v>
      </c>
      <c r="AL2403" s="115" t="s">
        <v>28</v>
      </c>
      <c r="AM2403" s="115" t="s">
        <v>1846</v>
      </c>
      <c r="AN2403" s="115" t="s">
        <v>1677</v>
      </c>
      <c r="AO2403" s="115" t="s">
        <v>386</v>
      </c>
    </row>
    <row r="2404" spans="35:41" ht="13">
      <c r="AI2404" s="115" t="s">
        <v>1415</v>
      </c>
      <c r="AJ2404" t="s">
        <v>2114</v>
      </c>
      <c r="AK2404" s="115">
        <v>0</v>
      </c>
      <c r="AL2404" s="115" t="s">
        <v>28</v>
      </c>
      <c r="AM2404" s="115" t="s">
        <v>1843</v>
      </c>
      <c r="AN2404" s="115" t="s">
        <v>1677</v>
      </c>
      <c r="AO2404" s="115" t="s">
        <v>386</v>
      </c>
    </row>
    <row r="2405" spans="35:41" ht="13">
      <c r="AI2405" s="115" t="s">
        <v>1415</v>
      </c>
      <c r="AJ2405" t="s">
        <v>2114</v>
      </c>
      <c r="AK2405" s="115">
        <v>0</v>
      </c>
      <c r="AL2405" s="115" t="s">
        <v>1842</v>
      </c>
      <c r="AM2405" s="115" t="s">
        <v>1846</v>
      </c>
      <c r="AN2405" s="115" t="s">
        <v>1677</v>
      </c>
      <c r="AO2405" s="115" t="s">
        <v>386</v>
      </c>
    </row>
    <row r="2406" spans="35:41" ht="13">
      <c r="AI2406" s="115" t="s">
        <v>1415</v>
      </c>
      <c r="AJ2406" t="s">
        <v>2114</v>
      </c>
      <c r="AK2406" s="115">
        <v>0</v>
      </c>
      <c r="AL2406" s="115" t="s">
        <v>1842</v>
      </c>
      <c r="AM2406" s="115" t="s">
        <v>1843</v>
      </c>
      <c r="AN2406" s="115" t="s">
        <v>1677</v>
      </c>
      <c r="AO2406" s="115" t="s">
        <v>386</v>
      </c>
    </row>
    <row r="2407" spans="35:41" ht="13">
      <c r="AI2407" s="115" t="s">
        <v>1415</v>
      </c>
      <c r="AJ2407" t="s">
        <v>2114</v>
      </c>
      <c r="AK2407" s="115">
        <v>0</v>
      </c>
      <c r="AL2407" s="115" t="s">
        <v>28</v>
      </c>
      <c r="AM2407" s="115" t="s">
        <v>1848</v>
      </c>
      <c r="AN2407" s="115" t="s">
        <v>1678</v>
      </c>
      <c r="AO2407" s="115" t="s">
        <v>1645</v>
      </c>
    </row>
    <row r="2408" spans="35:41" ht="13">
      <c r="AI2408" s="115" t="s">
        <v>1415</v>
      </c>
      <c r="AJ2408" t="s">
        <v>2114</v>
      </c>
      <c r="AK2408" s="115">
        <v>0</v>
      </c>
      <c r="AL2408" s="115" t="s">
        <v>28</v>
      </c>
      <c r="AM2408" s="115" t="s">
        <v>1846</v>
      </c>
      <c r="AN2408" s="115" t="s">
        <v>1678</v>
      </c>
      <c r="AO2408" s="115" t="s">
        <v>1645</v>
      </c>
    </row>
    <row r="2409" spans="35:41" ht="13">
      <c r="AI2409" s="115" t="s">
        <v>1415</v>
      </c>
      <c r="AJ2409" t="s">
        <v>2114</v>
      </c>
      <c r="AK2409" s="115">
        <v>0</v>
      </c>
      <c r="AL2409" s="115" t="s">
        <v>28</v>
      </c>
      <c r="AM2409" s="115" t="s">
        <v>1850</v>
      </c>
      <c r="AN2409" s="115" t="s">
        <v>1678</v>
      </c>
      <c r="AO2409" s="115" t="s">
        <v>1645</v>
      </c>
    </row>
    <row r="2410" spans="35:41" ht="13">
      <c r="AI2410" s="115" t="s">
        <v>1415</v>
      </c>
      <c r="AJ2410" t="s">
        <v>2114</v>
      </c>
      <c r="AK2410" s="115">
        <v>0</v>
      </c>
      <c r="AL2410" s="115" t="s">
        <v>28</v>
      </c>
      <c r="AM2410" s="115" t="s">
        <v>1832</v>
      </c>
      <c r="AN2410" s="115" t="s">
        <v>1678</v>
      </c>
      <c r="AO2410" s="115" t="s">
        <v>1645</v>
      </c>
    </row>
    <row r="2411" spans="35:41" ht="13">
      <c r="AI2411" s="115" t="s">
        <v>1415</v>
      </c>
      <c r="AJ2411" t="s">
        <v>2114</v>
      </c>
      <c r="AK2411" s="115">
        <v>0</v>
      </c>
      <c r="AL2411" s="115" t="s">
        <v>1842</v>
      </c>
      <c r="AM2411" s="115" t="s">
        <v>1832</v>
      </c>
      <c r="AN2411" s="115" t="s">
        <v>1678</v>
      </c>
      <c r="AO2411" s="115" t="s">
        <v>1645</v>
      </c>
    </row>
    <row r="2412" spans="35:41" ht="13">
      <c r="AI2412" s="115" t="s">
        <v>1415</v>
      </c>
      <c r="AJ2412" t="s">
        <v>2114</v>
      </c>
      <c r="AK2412" s="115">
        <v>0</v>
      </c>
      <c r="AL2412" s="115" t="s">
        <v>1842</v>
      </c>
      <c r="AM2412" s="115" t="s">
        <v>1850</v>
      </c>
      <c r="AN2412" s="115" t="s">
        <v>1678</v>
      </c>
      <c r="AO2412" s="115" t="s">
        <v>1645</v>
      </c>
    </row>
    <row r="2413" spans="35:41" ht="13">
      <c r="AI2413" s="115" t="s">
        <v>1415</v>
      </c>
      <c r="AJ2413" t="s">
        <v>2114</v>
      </c>
      <c r="AK2413" s="115">
        <v>0</v>
      </c>
      <c r="AL2413" s="115" t="s">
        <v>1842</v>
      </c>
      <c r="AM2413" s="115" t="s">
        <v>1849</v>
      </c>
      <c r="AN2413" s="115" t="s">
        <v>1678</v>
      </c>
      <c r="AO2413" s="115" t="s">
        <v>1645</v>
      </c>
    </row>
    <row r="2414" spans="35:41" ht="13">
      <c r="AI2414" s="115" t="s">
        <v>1415</v>
      </c>
      <c r="AJ2414" t="s">
        <v>2114</v>
      </c>
      <c r="AK2414" s="115">
        <v>0</v>
      </c>
      <c r="AL2414" s="115" t="s">
        <v>1842</v>
      </c>
      <c r="AM2414" s="115" t="s">
        <v>1843</v>
      </c>
      <c r="AN2414" s="115" t="s">
        <v>1678</v>
      </c>
      <c r="AO2414" s="115" t="s">
        <v>1645</v>
      </c>
    </row>
    <row r="2415" spans="35:41" ht="13">
      <c r="AI2415" s="115" t="s">
        <v>1415</v>
      </c>
      <c r="AJ2415" t="s">
        <v>2114</v>
      </c>
      <c r="AK2415" s="115">
        <v>0</v>
      </c>
      <c r="AL2415" s="115" t="s">
        <v>1842</v>
      </c>
      <c r="AM2415" s="115" t="s">
        <v>1848</v>
      </c>
      <c r="AN2415" s="115" t="s">
        <v>1678</v>
      </c>
      <c r="AO2415" s="115" t="s">
        <v>1645</v>
      </c>
    </row>
    <row r="2416" spans="35:41" ht="13">
      <c r="AI2416" s="115" t="s">
        <v>1415</v>
      </c>
      <c r="AJ2416" t="s">
        <v>2114</v>
      </c>
      <c r="AK2416" s="115">
        <v>0</v>
      </c>
      <c r="AL2416" s="115" t="s">
        <v>1842</v>
      </c>
      <c r="AM2416" s="115" t="s">
        <v>1846</v>
      </c>
      <c r="AN2416" s="115" t="s">
        <v>1678</v>
      </c>
      <c r="AO2416" s="115" t="s">
        <v>1645</v>
      </c>
    </row>
    <row r="2417" spans="35:41" ht="13">
      <c r="AI2417" s="115" t="s">
        <v>1415</v>
      </c>
      <c r="AJ2417" t="s">
        <v>2114</v>
      </c>
      <c r="AK2417" s="115">
        <v>0</v>
      </c>
      <c r="AL2417" s="115" t="s">
        <v>28</v>
      </c>
      <c r="AM2417" s="115" t="s">
        <v>1843</v>
      </c>
      <c r="AN2417" s="115" t="s">
        <v>1678</v>
      </c>
      <c r="AO2417" s="115" t="s">
        <v>1645</v>
      </c>
    </row>
    <row r="2418" spans="35:41" ht="13">
      <c r="AI2418" s="115" t="s">
        <v>1415</v>
      </c>
      <c r="AJ2418" t="s">
        <v>2114</v>
      </c>
      <c r="AK2418" s="115">
        <v>0</v>
      </c>
      <c r="AL2418" s="115" t="s">
        <v>28</v>
      </c>
      <c r="AM2418" s="115" t="s">
        <v>1849</v>
      </c>
      <c r="AN2418" s="115" t="s">
        <v>1678</v>
      </c>
      <c r="AO2418" s="115" t="s">
        <v>1645</v>
      </c>
    </row>
    <row r="2419" spans="35:41" ht="13">
      <c r="AI2419" s="115" t="s">
        <v>1415</v>
      </c>
      <c r="AJ2419" t="s">
        <v>2114</v>
      </c>
      <c r="AK2419" s="115">
        <v>0</v>
      </c>
      <c r="AL2419" s="115" t="s">
        <v>1842</v>
      </c>
      <c r="AM2419" s="115" t="s">
        <v>1846</v>
      </c>
      <c r="AN2419" s="115" t="s">
        <v>1678</v>
      </c>
      <c r="AO2419" s="115" t="s">
        <v>380</v>
      </c>
    </row>
    <row r="2420" spans="35:41" ht="13">
      <c r="AI2420" s="115" t="s">
        <v>1415</v>
      </c>
      <c r="AJ2420" t="s">
        <v>2114</v>
      </c>
      <c r="AK2420" s="115">
        <v>0</v>
      </c>
      <c r="AL2420" s="115" t="s">
        <v>28</v>
      </c>
      <c r="AM2420" s="115" t="s">
        <v>1846</v>
      </c>
      <c r="AN2420" s="115" t="s">
        <v>1678</v>
      </c>
      <c r="AO2420" s="115" t="s">
        <v>380</v>
      </c>
    </row>
    <row r="2421" spans="35:41" ht="13">
      <c r="AI2421" s="115" t="s">
        <v>1415</v>
      </c>
      <c r="AJ2421" t="s">
        <v>2114</v>
      </c>
      <c r="AK2421" s="115">
        <v>0</v>
      </c>
      <c r="AL2421" s="115" t="s">
        <v>1842</v>
      </c>
      <c r="AM2421" s="115" t="s">
        <v>1848</v>
      </c>
      <c r="AN2421" s="115" t="s">
        <v>1678</v>
      </c>
      <c r="AO2421" s="115" t="s">
        <v>380</v>
      </c>
    </row>
    <row r="2422" spans="35:41" ht="13">
      <c r="AI2422" s="115" t="s">
        <v>1415</v>
      </c>
      <c r="AJ2422" t="s">
        <v>2114</v>
      </c>
      <c r="AK2422" s="115">
        <v>0</v>
      </c>
      <c r="AL2422" s="115" t="s">
        <v>1842</v>
      </c>
      <c r="AM2422" s="115" t="s">
        <v>1850</v>
      </c>
      <c r="AN2422" s="115" t="s">
        <v>1678</v>
      </c>
      <c r="AO2422" s="115" t="s">
        <v>380</v>
      </c>
    </row>
    <row r="2423" spans="35:41" ht="13">
      <c r="AI2423" s="115" t="s">
        <v>1415</v>
      </c>
      <c r="AJ2423" t="s">
        <v>2114</v>
      </c>
      <c r="AK2423" s="115">
        <v>0</v>
      </c>
      <c r="AL2423" s="115" t="s">
        <v>1842</v>
      </c>
      <c r="AM2423" s="115" t="s">
        <v>1832</v>
      </c>
      <c r="AN2423" s="115" t="s">
        <v>1678</v>
      </c>
      <c r="AO2423" s="115" t="s">
        <v>380</v>
      </c>
    </row>
    <row r="2424" spans="35:41" ht="13">
      <c r="AI2424" s="115" t="s">
        <v>1415</v>
      </c>
      <c r="AJ2424" t="s">
        <v>2114</v>
      </c>
      <c r="AK2424" s="115">
        <v>0</v>
      </c>
      <c r="AL2424" s="115" t="s">
        <v>28</v>
      </c>
      <c r="AM2424" s="115" t="s">
        <v>1832</v>
      </c>
      <c r="AN2424" s="115" t="s">
        <v>1678</v>
      </c>
      <c r="AO2424" s="115" t="s">
        <v>380</v>
      </c>
    </row>
    <row r="2425" spans="35:41" ht="13">
      <c r="AI2425" s="115" t="s">
        <v>1415</v>
      </c>
      <c r="AJ2425" t="s">
        <v>2114</v>
      </c>
      <c r="AK2425" s="115">
        <v>0</v>
      </c>
      <c r="AL2425" s="115" t="s">
        <v>28</v>
      </c>
      <c r="AM2425" s="115" t="s">
        <v>1850</v>
      </c>
      <c r="AN2425" s="115" t="s">
        <v>1678</v>
      </c>
      <c r="AO2425" s="115" t="s">
        <v>380</v>
      </c>
    </row>
    <row r="2426" spans="35:41" ht="13">
      <c r="AI2426" s="115" t="s">
        <v>1415</v>
      </c>
      <c r="AJ2426" t="s">
        <v>2114</v>
      </c>
      <c r="AK2426" s="115">
        <v>0</v>
      </c>
      <c r="AL2426" s="115" t="s">
        <v>28</v>
      </c>
      <c r="AM2426" s="115" t="s">
        <v>1848</v>
      </c>
      <c r="AN2426" s="115" t="s">
        <v>1678</v>
      </c>
      <c r="AO2426" s="115" t="s">
        <v>380</v>
      </c>
    </row>
    <row r="2427" spans="35:41" ht="13">
      <c r="AI2427" s="115" t="s">
        <v>1415</v>
      </c>
      <c r="AJ2427" t="s">
        <v>2114</v>
      </c>
      <c r="AK2427" s="115">
        <v>0</v>
      </c>
      <c r="AL2427" s="115" t="s">
        <v>28</v>
      </c>
      <c r="AM2427" s="115" t="s">
        <v>1849</v>
      </c>
      <c r="AN2427" s="115" t="s">
        <v>1678</v>
      </c>
      <c r="AO2427" s="115" t="s">
        <v>380</v>
      </c>
    </row>
    <row r="2428" spans="35:41" ht="13">
      <c r="AI2428" s="115" t="s">
        <v>1415</v>
      </c>
      <c r="AJ2428" t="s">
        <v>2114</v>
      </c>
      <c r="AK2428" s="115">
        <v>0</v>
      </c>
      <c r="AL2428" s="115" t="s">
        <v>1842</v>
      </c>
      <c r="AM2428" s="115" t="s">
        <v>1849</v>
      </c>
      <c r="AN2428" s="115" t="s">
        <v>1678</v>
      </c>
      <c r="AO2428" s="115" t="s">
        <v>380</v>
      </c>
    </row>
    <row r="2429" spans="35:41" ht="13">
      <c r="AI2429" s="115" t="s">
        <v>1415</v>
      </c>
      <c r="AJ2429" t="s">
        <v>2114</v>
      </c>
      <c r="AK2429" s="115">
        <v>0</v>
      </c>
      <c r="AL2429" s="115" t="s">
        <v>28</v>
      </c>
      <c r="AM2429" s="115" t="s">
        <v>1843</v>
      </c>
      <c r="AN2429" s="115" t="s">
        <v>1678</v>
      </c>
      <c r="AO2429" s="115" t="s">
        <v>380</v>
      </c>
    </row>
    <row r="2430" spans="35:41" ht="13">
      <c r="AI2430" s="115" t="s">
        <v>1415</v>
      </c>
      <c r="AJ2430" t="s">
        <v>2114</v>
      </c>
      <c r="AK2430" s="115">
        <v>0</v>
      </c>
      <c r="AL2430" s="115" t="s">
        <v>1842</v>
      </c>
      <c r="AM2430" s="115" t="s">
        <v>1843</v>
      </c>
      <c r="AN2430" s="115" t="s">
        <v>1678</v>
      </c>
      <c r="AO2430" s="115" t="s">
        <v>380</v>
      </c>
    </row>
    <row r="2431" spans="35:41" ht="13">
      <c r="AI2431" s="115" t="s">
        <v>1415</v>
      </c>
      <c r="AJ2431" t="s">
        <v>2114</v>
      </c>
      <c r="AK2431" s="115">
        <v>0</v>
      </c>
      <c r="AL2431" s="115" t="s">
        <v>28</v>
      </c>
      <c r="AM2431" s="115" t="s">
        <v>1843</v>
      </c>
      <c r="AN2431" s="115" t="s">
        <v>1678</v>
      </c>
      <c r="AO2431" s="115" t="s">
        <v>386</v>
      </c>
    </row>
    <row r="2432" spans="35:41" ht="13">
      <c r="AI2432" s="115" t="s">
        <v>1415</v>
      </c>
      <c r="AJ2432" t="s">
        <v>2114</v>
      </c>
      <c r="AK2432" s="115">
        <v>0</v>
      </c>
      <c r="AL2432" s="115" t="s">
        <v>1842</v>
      </c>
      <c r="AM2432" s="115" t="s">
        <v>1846</v>
      </c>
      <c r="AN2432" s="115" t="s">
        <v>1678</v>
      </c>
      <c r="AO2432" s="115" t="s">
        <v>386</v>
      </c>
    </row>
    <row r="2433" spans="35:41" ht="13">
      <c r="AI2433" s="115" t="s">
        <v>1415</v>
      </c>
      <c r="AJ2433" t="s">
        <v>2114</v>
      </c>
      <c r="AK2433" s="115">
        <v>0</v>
      </c>
      <c r="AL2433" s="115" t="s">
        <v>28</v>
      </c>
      <c r="AM2433" s="115" t="s">
        <v>1846</v>
      </c>
      <c r="AN2433" s="115" t="s">
        <v>1678</v>
      </c>
      <c r="AO2433" s="115" t="s">
        <v>386</v>
      </c>
    </row>
    <row r="2434" spans="35:41" ht="13">
      <c r="AI2434" s="115" t="s">
        <v>1415</v>
      </c>
      <c r="AJ2434" t="s">
        <v>2114</v>
      </c>
      <c r="AK2434" s="115">
        <v>0</v>
      </c>
      <c r="AL2434" s="115" t="s">
        <v>1842</v>
      </c>
      <c r="AM2434" s="115" t="s">
        <v>1843</v>
      </c>
      <c r="AN2434" s="115" t="s">
        <v>1678</v>
      </c>
      <c r="AO2434" s="115" t="s">
        <v>386</v>
      </c>
    </row>
    <row r="2435" spans="35:41" ht="13">
      <c r="AI2435" s="115" t="s">
        <v>1415</v>
      </c>
      <c r="AJ2435" t="s">
        <v>2114</v>
      </c>
      <c r="AK2435" s="115">
        <v>0</v>
      </c>
      <c r="AL2435" s="115" t="s">
        <v>28</v>
      </c>
      <c r="AM2435" s="115" t="s">
        <v>1846</v>
      </c>
      <c r="AN2435" s="115" t="s">
        <v>404</v>
      </c>
      <c r="AO2435" s="115" t="s">
        <v>386</v>
      </c>
    </row>
    <row r="2436" spans="35:41" ht="13">
      <c r="AI2436" s="115" t="s">
        <v>1415</v>
      </c>
      <c r="AJ2436" t="s">
        <v>2114</v>
      </c>
      <c r="AK2436" s="115">
        <v>0</v>
      </c>
      <c r="AL2436" s="115" t="s">
        <v>28</v>
      </c>
      <c r="AM2436" s="115" t="s">
        <v>1843</v>
      </c>
      <c r="AN2436" s="115" t="s">
        <v>404</v>
      </c>
      <c r="AO2436" s="115" t="s">
        <v>386</v>
      </c>
    </row>
    <row r="2437" spans="35:41" ht="13">
      <c r="AI2437" s="115" t="s">
        <v>1415</v>
      </c>
      <c r="AJ2437" t="s">
        <v>2114</v>
      </c>
      <c r="AK2437" s="115">
        <v>0</v>
      </c>
      <c r="AL2437" s="115" t="s">
        <v>28</v>
      </c>
      <c r="AM2437" s="115" t="s">
        <v>1850</v>
      </c>
      <c r="AN2437" s="115" t="s">
        <v>1459</v>
      </c>
      <c r="AO2437" s="115" t="s">
        <v>1644</v>
      </c>
    </row>
    <row r="2438" spans="35:41" ht="13">
      <c r="AI2438" s="115" t="s">
        <v>1415</v>
      </c>
      <c r="AJ2438" t="s">
        <v>2114</v>
      </c>
      <c r="AK2438" s="115">
        <v>0</v>
      </c>
      <c r="AL2438" s="115" t="s">
        <v>28</v>
      </c>
      <c r="AM2438" s="115" t="s">
        <v>1843</v>
      </c>
      <c r="AN2438" s="115" t="s">
        <v>1459</v>
      </c>
      <c r="AO2438" s="115" t="s">
        <v>1644</v>
      </c>
    </row>
    <row r="2439" spans="35:41" ht="13">
      <c r="AI2439" s="115" t="s">
        <v>1415</v>
      </c>
      <c r="AJ2439" t="s">
        <v>2114</v>
      </c>
      <c r="AK2439" s="115">
        <v>0</v>
      </c>
      <c r="AL2439" s="115" t="s">
        <v>28</v>
      </c>
      <c r="AM2439" s="115" t="s">
        <v>1832</v>
      </c>
      <c r="AN2439" s="115" t="s">
        <v>1459</v>
      </c>
      <c r="AO2439" s="115" t="s">
        <v>1644</v>
      </c>
    </row>
    <row r="2440" spans="35:41" ht="13">
      <c r="AI2440" s="115" t="s">
        <v>1415</v>
      </c>
      <c r="AJ2440" t="s">
        <v>2114</v>
      </c>
      <c r="AK2440" s="115">
        <v>0</v>
      </c>
      <c r="AL2440" s="115" t="s">
        <v>28</v>
      </c>
      <c r="AM2440" s="115" t="s">
        <v>1848</v>
      </c>
      <c r="AN2440" s="115" t="s">
        <v>1459</v>
      </c>
      <c r="AO2440" s="115" t="s">
        <v>1644</v>
      </c>
    </row>
    <row r="2441" spans="35:41" ht="13">
      <c r="AI2441" s="115" t="s">
        <v>1415</v>
      </c>
      <c r="AJ2441" t="s">
        <v>2114</v>
      </c>
      <c r="AK2441" s="115">
        <v>0</v>
      </c>
      <c r="AL2441" s="115" t="s">
        <v>28</v>
      </c>
      <c r="AM2441" s="115" t="s">
        <v>1849</v>
      </c>
      <c r="AN2441" s="115" t="s">
        <v>1459</v>
      </c>
      <c r="AO2441" s="115" t="s">
        <v>1274</v>
      </c>
    </row>
    <row r="2442" spans="35:41" ht="13">
      <c r="AI2442" s="115" t="s">
        <v>1415</v>
      </c>
      <c r="AJ2442" t="s">
        <v>2114</v>
      </c>
      <c r="AK2442" s="115">
        <v>0</v>
      </c>
      <c r="AL2442" s="115" t="s">
        <v>28</v>
      </c>
      <c r="AM2442" s="115" t="s">
        <v>1843</v>
      </c>
      <c r="AN2442" s="115" t="s">
        <v>1459</v>
      </c>
      <c r="AO2442" s="115" t="s">
        <v>1274</v>
      </c>
    </row>
    <row r="2443" spans="35:41" ht="13">
      <c r="AI2443" s="115" t="s">
        <v>1415</v>
      </c>
      <c r="AJ2443" t="s">
        <v>2114</v>
      </c>
      <c r="AK2443" s="115">
        <v>0</v>
      </c>
      <c r="AL2443" s="115" t="s">
        <v>28</v>
      </c>
      <c r="AM2443" s="115" t="s">
        <v>1848</v>
      </c>
      <c r="AN2443" s="115" t="s">
        <v>1459</v>
      </c>
      <c r="AO2443" s="115" t="s">
        <v>1274</v>
      </c>
    </row>
    <row r="2444" spans="35:41" ht="13">
      <c r="AI2444" s="115" t="s">
        <v>1415</v>
      </c>
      <c r="AJ2444" t="s">
        <v>2114</v>
      </c>
      <c r="AK2444" s="115">
        <v>0</v>
      </c>
      <c r="AL2444" s="115" t="s">
        <v>28</v>
      </c>
      <c r="AM2444" s="115" t="s">
        <v>1850</v>
      </c>
      <c r="AN2444" s="115" t="s">
        <v>1459</v>
      </c>
      <c r="AO2444" s="115" t="s">
        <v>1274</v>
      </c>
    </row>
    <row r="2445" spans="35:41" ht="13">
      <c r="AI2445" s="115" t="s">
        <v>1415</v>
      </c>
      <c r="AJ2445" t="s">
        <v>2114</v>
      </c>
      <c r="AK2445" s="115">
        <v>0</v>
      </c>
      <c r="AL2445" s="115" t="s">
        <v>28</v>
      </c>
      <c r="AM2445" s="115" t="s">
        <v>1832</v>
      </c>
      <c r="AN2445" s="115" t="s">
        <v>1459</v>
      </c>
      <c r="AO2445" s="115" t="s">
        <v>1274</v>
      </c>
    </row>
    <row r="2446" spans="35:41" ht="13">
      <c r="AI2446" s="115" t="s">
        <v>1415</v>
      </c>
      <c r="AJ2446" t="s">
        <v>2114</v>
      </c>
      <c r="AK2446" s="115">
        <v>0</v>
      </c>
      <c r="AL2446" s="115" t="s">
        <v>28</v>
      </c>
      <c r="AM2446" s="115" t="s">
        <v>1846</v>
      </c>
      <c r="AN2446" s="115" t="s">
        <v>1459</v>
      </c>
      <c r="AO2446" s="115" t="s">
        <v>1274</v>
      </c>
    </row>
    <row r="2447" spans="35:41" ht="13">
      <c r="AI2447" s="115" t="s">
        <v>1415</v>
      </c>
      <c r="AJ2447" t="s">
        <v>2114</v>
      </c>
      <c r="AK2447" s="115">
        <v>0</v>
      </c>
      <c r="AL2447" s="115" t="s">
        <v>28</v>
      </c>
      <c r="AM2447" s="115" t="s">
        <v>1843</v>
      </c>
      <c r="AN2447" s="115" t="s">
        <v>1459</v>
      </c>
      <c r="AO2447" s="115" t="s">
        <v>381</v>
      </c>
    </row>
    <row r="2448" spans="35:41" ht="13">
      <c r="AI2448" s="115" t="s">
        <v>1415</v>
      </c>
      <c r="AJ2448" t="s">
        <v>2114</v>
      </c>
      <c r="AK2448" s="115">
        <v>0</v>
      </c>
      <c r="AL2448" s="115" t="s">
        <v>28</v>
      </c>
      <c r="AM2448" s="115" t="s">
        <v>1848</v>
      </c>
      <c r="AN2448" s="115" t="s">
        <v>1459</v>
      </c>
      <c r="AO2448" s="115" t="s">
        <v>381</v>
      </c>
    </row>
    <row r="2449" spans="35:41" ht="13">
      <c r="AI2449" s="115" t="s">
        <v>1415</v>
      </c>
      <c r="AJ2449" t="s">
        <v>2114</v>
      </c>
      <c r="AK2449" s="115">
        <v>0</v>
      </c>
      <c r="AL2449" s="115" t="s">
        <v>28</v>
      </c>
      <c r="AM2449" s="115" t="s">
        <v>1850</v>
      </c>
      <c r="AN2449" s="115" t="s">
        <v>1459</v>
      </c>
      <c r="AO2449" s="115" t="s">
        <v>381</v>
      </c>
    </row>
    <row r="2450" spans="35:41" ht="13">
      <c r="AI2450" s="115" t="s">
        <v>1415</v>
      </c>
      <c r="AJ2450" t="s">
        <v>2114</v>
      </c>
      <c r="AK2450" s="115">
        <v>0</v>
      </c>
      <c r="AL2450" s="115" t="s">
        <v>28</v>
      </c>
      <c r="AM2450" s="115" t="s">
        <v>1832</v>
      </c>
      <c r="AN2450" s="115" t="s">
        <v>1459</v>
      </c>
      <c r="AO2450" s="115" t="s">
        <v>381</v>
      </c>
    </row>
    <row r="2451" spans="35:41" ht="13">
      <c r="AI2451" s="115" t="s">
        <v>1415</v>
      </c>
      <c r="AJ2451" t="s">
        <v>2114</v>
      </c>
      <c r="AK2451" s="115">
        <v>0</v>
      </c>
      <c r="AL2451" s="115" t="s">
        <v>28</v>
      </c>
      <c r="AM2451" s="115" t="s">
        <v>1849</v>
      </c>
      <c r="AN2451" s="115" t="s">
        <v>1459</v>
      </c>
      <c r="AO2451" s="115" t="s">
        <v>381</v>
      </c>
    </row>
    <row r="2452" spans="35:41" ht="13">
      <c r="AI2452" s="115" t="s">
        <v>1415</v>
      </c>
      <c r="AJ2452" t="s">
        <v>2114</v>
      </c>
      <c r="AK2452" s="115">
        <v>0</v>
      </c>
      <c r="AL2452" s="115" t="s">
        <v>28</v>
      </c>
      <c r="AM2452" s="115" t="s">
        <v>1846</v>
      </c>
      <c r="AN2452" s="115" t="s">
        <v>1459</v>
      </c>
      <c r="AO2452" s="115" t="s">
        <v>381</v>
      </c>
    </row>
    <row r="2453" spans="35:41" ht="13">
      <c r="AI2453" s="115" t="s">
        <v>1415</v>
      </c>
      <c r="AJ2453" t="s">
        <v>2114</v>
      </c>
      <c r="AK2453" s="115">
        <v>0</v>
      </c>
      <c r="AL2453" s="115" t="s">
        <v>28</v>
      </c>
      <c r="AM2453" s="115" t="s">
        <v>1850</v>
      </c>
      <c r="AN2453" s="115" t="s">
        <v>1459</v>
      </c>
      <c r="AO2453" s="115" t="s">
        <v>379</v>
      </c>
    </row>
    <row r="2454" spans="35:41" ht="13">
      <c r="AI2454" s="115" t="s">
        <v>1415</v>
      </c>
      <c r="AJ2454" t="s">
        <v>2114</v>
      </c>
      <c r="AK2454" s="115">
        <v>0</v>
      </c>
      <c r="AL2454" s="115" t="s">
        <v>28</v>
      </c>
      <c r="AM2454" s="115" t="s">
        <v>1849</v>
      </c>
      <c r="AN2454" s="115" t="s">
        <v>1459</v>
      </c>
      <c r="AO2454" s="115" t="s">
        <v>379</v>
      </c>
    </row>
    <row r="2455" spans="35:41" ht="13">
      <c r="AI2455" s="115" t="s">
        <v>1415</v>
      </c>
      <c r="AJ2455" t="s">
        <v>2114</v>
      </c>
      <c r="AK2455" s="115">
        <v>0</v>
      </c>
      <c r="AL2455" s="115" t="s">
        <v>28</v>
      </c>
      <c r="AM2455" s="115" t="s">
        <v>1848</v>
      </c>
      <c r="AN2455" s="115" t="s">
        <v>1459</v>
      </c>
      <c r="AO2455" s="115" t="s">
        <v>379</v>
      </c>
    </row>
    <row r="2456" spans="35:41" ht="13">
      <c r="AI2456" s="115" t="s">
        <v>1415</v>
      </c>
      <c r="AJ2456" t="s">
        <v>2114</v>
      </c>
      <c r="AK2456" s="115">
        <v>0</v>
      </c>
      <c r="AL2456" s="115" t="s">
        <v>28</v>
      </c>
      <c r="AM2456" s="115" t="s">
        <v>1846</v>
      </c>
      <c r="AN2456" s="115" t="s">
        <v>1459</v>
      </c>
      <c r="AO2456" s="115" t="s">
        <v>379</v>
      </c>
    </row>
    <row r="2457" spans="35:41" ht="13">
      <c r="AI2457" s="115" t="s">
        <v>1415</v>
      </c>
      <c r="AJ2457" t="s">
        <v>2114</v>
      </c>
      <c r="AK2457" s="115">
        <v>0</v>
      </c>
      <c r="AL2457" s="115" t="s">
        <v>28</v>
      </c>
      <c r="AM2457" s="115" t="s">
        <v>1832</v>
      </c>
      <c r="AN2457" s="115" t="s">
        <v>1459</v>
      </c>
      <c r="AO2457" s="115" t="s">
        <v>379</v>
      </c>
    </row>
    <row r="2458" spans="35:41" ht="13">
      <c r="AI2458" s="115" t="s">
        <v>1415</v>
      </c>
      <c r="AJ2458" t="s">
        <v>2114</v>
      </c>
      <c r="AK2458" s="115">
        <v>0</v>
      </c>
      <c r="AL2458" s="115" t="s">
        <v>28</v>
      </c>
      <c r="AM2458" s="115" t="s">
        <v>1843</v>
      </c>
      <c r="AN2458" s="115" t="s">
        <v>1459</v>
      </c>
      <c r="AO2458" s="115" t="s">
        <v>379</v>
      </c>
    </row>
    <row r="2459" spans="35:41" ht="13">
      <c r="AI2459" s="115" t="s">
        <v>1415</v>
      </c>
      <c r="AJ2459" t="s">
        <v>2114</v>
      </c>
      <c r="AK2459" s="115">
        <v>0</v>
      </c>
      <c r="AL2459" s="115" t="s">
        <v>28</v>
      </c>
      <c r="AM2459" s="115" t="s">
        <v>1850</v>
      </c>
      <c r="AN2459" s="115" t="s">
        <v>1459</v>
      </c>
      <c r="AO2459" s="115" t="s">
        <v>1645</v>
      </c>
    </row>
    <row r="2460" spans="35:41" ht="13">
      <c r="AI2460" s="115" t="s">
        <v>1415</v>
      </c>
      <c r="AJ2460" t="s">
        <v>2114</v>
      </c>
      <c r="AK2460" s="115">
        <v>0</v>
      </c>
      <c r="AL2460" s="115" t="s">
        <v>28</v>
      </c>
      <c r="AM2460" s="115" t="s">
        <v>1832</v>
      </c>
      <c r="AN2460" s="115" t="s">
        <v>1459</v>
      </c>
      <c r="AO2460" s="115" t="s">
        <v>1645</v>
      </c>
    </row>
    <row r="2461" spans="35:41" ht="13">
      <c r="AI2461" s="115" t="s">
        <v>1415</v>
      </c>
      <c r="AJ2461" t="s">
        <v>2114</v>
      </c>
      <c r="AK2461" s="115">
        <v>0</v>
      </c>
      <c r="AL2461" s="115" t="s">
        <v>28</v>
      </c>
      <c r="AM2461" s="115" t="s">
        <v>1849</v>
      </c>
      <c r="AN2461" s="115" t="s">
        <v>1459</v>
      </c>
      <c r="AO2461" s="115" t="s">
        <v>1645</v>
      </c>
    </row>
    <row r="2462" spans="35:41" ht="13">
      <c r="AI2462" s="115" t="s">
        <v>1415</v>
      </c>
      <c r="AJ2462" t="s">
        <v>2114</v>
      </c>
      <c r="AK2462" s="115">
        <v>0</v>
      </c>
      <c r="AL2462" s="115" t="s">
        <v>28</v>
      </c>
      <c r="AM2462" s="115" t="s">
        <v>1846</v>
      </c>
      <c r="AN2462" s="115" t="s">
        <v>1459</v>
      </c>
      <c r="AO2462" s="115" t="s">
        <v>1645</v>
      </c>
    </row>
    <row r="2463" spans="35:41" ht="13">
      <c r="AI2463" s="115" t="s">
        <v>1415</v>
      </c>
      <c r="AJ2463" t="s">
        <v>2114</v>
      </c>
      <c r="AK2463" s="115">
        <v>0</v>
      </c>
      <c r="AL2463" s="115" t="s">
        <v>28</v>
      </c>
      <c r="AM2463" s="115" t="s">
        <v>1848</v>
      </c>
      <c r="AN2463" s="115" t="s">
        <v>1459</v>
      </c>
      <c r="AO2463" s="115" t="s">
        <v>1645</v>
      </c>
    </row>
    <row r="2464" spans="35:41" ht="13">
      <c r="AI2464" s="115" t="s">
        <v>1415</v>
      </c>
      <c r="AJ2464" t="s">
        <v>2114</v>
      </c>
      <c r="AK2464" s="115">
        <v>0</v>
      </c>
      <c r="AL2464" s="115" t="s">
        <v>28</v>
      </c>
      <c r="AM2464" s="115" t="s">
        <v>1843</v>
      </c>
      <c r="AN2464" s="115" t="s">
        <v>1459</v>
      </c>
      <c r="AO2464" s="115" t="s">
        <v>1645</v>
      </c>
    </row>
    <row r="2465" spans="35:41" ht="13">
      <c r="AI2465" s="115" t="s">
        <v>1415</v>
      </c>
      <c r="AJ2465" t="s">
        <v>2114</v>
      </c>
      <c r="AK2465" s="115">
        <v>0</v>
      </c>
      <c r="AL2465" s="115" t="s">
        <v>28</v>
      </c>
      <c r="AM2465" s="115" t="s">
        <v>1846</v>
      </c>
      <c r="AN2465" s="115" t="s">
        <v>1459</v>
      </c>
      <c r="AO2465" s="115" t="s">
        <v>1646</v>
      </c>
    </row>
    <row r="2466" spans="35:41" ht="13">
      <c r="AI2466" s="115" t="s">
        <v>1415</v>
      </c>
      <c r="AJ2466" t="s">
        <v>2114</v>
      </c>
      <c r="AK2466" s="115">
        <v>0</v>
      </c>
      <c r="AL2466" s="115" t="s">
        <v>28</v>
      </c>
      <c r="AM2466" s="115" t="s">
        <v>1843</v>
      </c>
      <c r="AN2466" s="115" t="s">
        <v>1459</v>
      </c>
      <c r="AO2466" s="115" t="s">
        <v>1646</v>
      </c>
    </row>
    <row r="2467" spans="35:41" ht="13">
      <c r="AI2467" s="115" t="s">
        <v>1415</v>
      </c>
      <c r="AJ2467" t="s">
        <v>2114</v>
      </c>
      <c r="AK2467" s="115">
        <v>0</v>
      </c>
      <c r="AL2467" s="115" t="s">
        <v>28</v>
      </c>
      <c r="AM2467" s="115" t="s">
        <v>1846</v>
      </c>
      <c r="AN2467" s="115" t="s">
        <v>1459</v>
      </c>
      <c r="AO2467" s="115" t="s">
        <v>1647</v>
      </c>
    </row>
    <row r="2468" spans="35:41" ht="13">
      <c r="AI2468" s="115" t="s">
        <v>1415</v>
      </c>
      <c r="AJ2468" t="s">
        <v>2114</v>
      </c>
      <c r="AK2468" s="115">
        <v>0</v>
      </c>
      <c r="AL2468" s="115" t="s">
        <v>28</v>
      </c>
      <c r="AM2468" s="115" t="s">
        <v>1843</v>
      </c>
      <c r="AN2468" s="115" t="s">
        <v>1459</v>
      </c>
      <c r="AO2468" s="115" t="s">
        <v>1647</v>
      </c>
    </row>
    <row r="2469" spans="35:41" ht="13">
      <c r="AI2469" s="115" t="s">
        <v>1415</v>
      </c>
      <c r="AJ2469" t="s">
        <v>2114</v>
      </c>
      <c r="AK2469" s="115">
        <v>0</v>
      </c>
      <c r="AL2469" s="115" t="s">
        <v>28</v>
      </c>
      <c r="AM2469" s="115" t="s">
        <v>1843</v>
      </c>
      <c r="AN2469" s="115" t="s">
        <v>1459</v>
      </c>
      <c r="AO2469" s="115" t="s">
        <v>1639</v>
      </c>
    </row>
    <row r="2470" spans="35:41" ht="13">
      <c r="AI2470" s="115" t="s">
        <v>1415</v>
      </c>
      <c r="AJ2470" t="s">
        <v>2114</v>
      </c>
      <c r="AK2470" s="115">
        <v>0</v>
      </c>
      <c r="AL2470" s="115" t="s">
        <v>28</v>
      </c>
      <c r="AM2470" s="115" t="s">
        <v>1846</v>
      </c>
      <c r="AN2470" s="115" t="s">
        <v>1459</v>
      </c>
      <c r="AO2470" s="115" t="s">
        <v>1639</v>
      </c>
    </row>
    <row r="2471" spans="35:41" ht="13">
      <c r="AI2471" s="115" t="s">
        <v>1415</v>
      </c>
      <c r="AJ2471" t="s">
        <v>2114</v>
      </c>
      <c r="AK2471" s="115">
        <v>0</v>
      </c>
      <c r="AL2471" s="115" t="s">
        <v>28</v>
      </c>
      <c r="AM2471" s="115" t="s">
        <v>1843</v>
      </c>
      <c r="AN2471" s="115" t="s">
        <v>1459</v>
      </c>
      <c r="AO2471" s="115" t="s">
        <v>380</v>
      </c>
    </row>
    <row r="2472" spans="35:41" ht="13">
      <c r="AI2472" s="115" t="s">
        <v>1415</v>
      </c>
      <c r="AJ2472" t="s">
        <v>2114</v>
      </c>
      <c r="AK2472" s="115">
        <v>0</v>
      </c>
      <c r="AL2472" s="115" t="s">
        <v>28</v>
      </c>
      <c r="AM2472" s="115" t="s">
        <v>1846</v>
      </c>
      <c r="AN2472" s="115" t="s">
        <v>1459</v>
      </c>
      <c r="AO2472" s="115" t="s">
        <v>380</v>
      </c>
    </row>
    <row r="2473" spans="35:41" ht="13">
      <c r="AI2473" s="115" t="s">
        <v>1415</v>
      </c>
      <c r="AJ2473" t="s">
        <v>2114</v>
      </c>
      <c r="AK2473" s="115">
        <v>0</v>
      </c>
      <c r="AL2473" s="115" t="s">
        <v>28</v>
      </c>
      <c r="AM2473" s="115" t="s">
        <v>1849</v>
      </c>
      <c r="AN2473" s="115" t="s">
        <v>1459</v>
      </c>
      <c r="AO2473" s="115" t="s">
        <v>380</v>
      </c>
    </row>
    <row r="2474" spans="35:41" ht="13">
      <c r="AI2474" s="115" t="s">
        <v>1415</v>
      </c>
      <c r="AJ2474" t="s">
        <v>2114</v>
      </c>
      <c r="AK2474" s="115">
        <v>0</v>
      </c>
      <c r="AL2474" s="115" t="s">
        <v>28</v>
      </c>
      <c r="AM2474" s="115" t="s">
        <v>1832</v>
      </c>
      <c r="AN2474" s="115" t="s">
        <v>1459</v>
      </c>
      <c r="AO2474" s="115" t="s">
        <v>380</v>
      </c>
    </row>
    <row r="2475" spans="35:41" ht="13">
      <c r="AI2475" s="115" t="s">
        <v>1415</v>
      </c>
      <c r="AJ2475" t="s">
        <v>2114</v>
      </c>
      <c r="AK2475" s="115">
        <v>0</v>
      </c>
      <c r="AL2475" s="115" t="s">
        <v>28</v>
      </c>
      <c r="AM2475" s="115" t="s">
        <v>1850</v>
      </c>
      <c r="AN2475" s="115" t="s">
        <v>1459</v>
      </c>
      <c r="AO2475" s="115" t="s">
        <v>380</v>
      </c>
    </row>
    <row r="2476" spans="35:41" ht="13">
      <c r="AI2476" s="115" t="s">
        <v>1415</v>
      </c>
      <c r="AJ2476" t="s">
        <v>2114</v>
      </c>
      <c r="AK2476" s="115">
        <v>0</v>
      </c>
      <c r="AL2476" s="115" t="s">
        <v>28</v>
      </c>
      <c r="AM2476" s="115" t="s">
        <v>1848</v>
      </c>
      <c r="AN2476" s="115" t="s">
        <v>1459</v>
      </c>
      <c r="AO2476" s="115" t="s">
        <v>380</v>
      </c>
    </row>
    <row r="2477" spans="35:41" ht="13">
      <c r="AI2477" s="115" t="s">
        <v>1415</v>
      </c>
      <c r="AJ2477" t="s">
        <v>2114</v>
      </c>
      <c r="AK2477" s="115">
        <v>15</v>
      </c>
      <c r="AL2477" s="115" t="s">
        <v>28</v>
      </c>
      <c r="AM2477" s="115" t="s">
        <v>1848</v>
      </c>
      <c r="AN2477" s="115" t="s">
        <v>362</v>
      </c>
      <c r="AO2477" s="115" t="s">
        <v>381</v>
      </c>
    </row>
    <row r="2478" spans="35:41" ht="13">
      <c r="AI2478" s="115" t="s">
        <v>1415</v>
      </c>
      <c r="AJ2478" t="s">
        <v>2114</v>
      </c>
      <c r="AK2478" s="115">
        <v>15</v>
      </c>
      <c r="AL2478" s="115" t="s">
        <v>28</v>
      </c>
      <c r="AM2478" s="115" t="s">
        <v>1850</v>
      </c>
      <c r="AN2478" s="115" t="s">
        <v>362</v>
      </c>
      <c r="AO2478" s="115" t="s">
        <v>381</v>
      </c>
    </row>
    <row r="2479" spans="35:41" ht="13">
      <c r="AI2479" s="115" t="s">
        <v>1415</v>
      </c>
      <c r="AJ2479" t="s">
        <v>2114</v>
      </c>
      <c r="AK2479" s="115">
        <v>15</v>
      </c>
      <c r="AL2479" s="115" t="s">
        <v>28</v>
      </c>
      <c r="AM2479" s="115" t="s">
        <v>1849</v>
      </c>
      <c r="AN2479" s="115" t="s">
        <v>362</v>
      </c>
      <c r="AO2479" s="115" t="s">
        <v>381</v>
      </c>
    </row>
    <row r="2480" spans="35:41" ht="13">
      <c r="AI2480" s="115" t="s">
        <v>1415</v>
      </c>
      <c r="AJ2480" t="s">
        <v>2114</v>
      </c>
      <c r="AK2480" s="115">
        <v>15</v>
      </c>
      <c r="AL2480" s="115" t="s">
        <v>28</v>
      </c>
      <c r="AM2480" s="115" t="s">
        <v>1832</v>
      </c>
      <c r="AN2480" s="115" t="s">
        <v>362</v>
      </c>
      <c r="AO2480" s="115" t="s">
        <v>381</v>
      </c>
    </row>
    <row r="2481" spans="35:41" ht="13">
      <c r="AI2481" s="115" t="s">
        <v>1415</v>
      </c>
      <c r="AJ2481" t="s">
        <v>2114</v>
      </c>
      <c r="AK2481" s="115">
        <v>15</v>
      </c>
      <c r="AL2481" s="115" t="s">
        <v>28</v>
      </c>
      <c r="AM2481" s="115" t="s">
        <v>1846</v>
      </c>
      <c r="AN2481" s="115" t="s">
        <v>362</v>
      </c>
      <c r="AO2481" s="115" t="s">
        <v>381</v>
      </c>
    </row>
    <row r="2482" spans="35:41" ht="13">
      <c r="AI2482" s="115" t="s">
        <v>1415</v>
      </c>
      <c r="AJ2482" t="s">
        <v>2114</v>
      </c>
      <c r="AK2482" s="115">
        <v>15</v>
      </c>
      <c r="AL2482" s="115" t="s">
        <v>28</v>
      </c>
      <c r="AM2482" s="115" t="s">
        <v>1843</v>
      </c>
      <c r="AN2482" s="115" t="s">
        <v>362</v>
      </c>
      <c r="AO2482" s="115" t="s">
        <v>381</v>
      </c>
    </row>
    <row r="2483" spans="35:41" ht="13">
      <c r="AI2483" s="115" t="s">
        <v>1415</v>
      </c>
      <c r="AJ2483" t="s">
        <v>2114</v>
      </c>
      <c r="AK2483" s="115">
        <v>15</v>
      </c>
      <c r="AL2483" s="115" t="s">
        <v>28</v>
      </c>
      <c r="AM2483" s="115" t="s">
        <v>1846</v>
      </c>
      <c r="AN2483" s="115" t="s">
        <v>362</v>
      </c>
      <c r="AO2483" s="115" t="s">
        <v>1646</v>
      </c>
    </row>
    <row r="2484" spans="35:41" ht="13">
      <c r="AI2484" s="115" t="s">
        <v>1415</v>
      </c>
      <c r="AJ2484" t="s">
        <v>2114</v>
      </c>
      <c r="AK2484" s="115">
        <v>15</v>
      </c>
      <c r="AL2484" s="115" t="s">
        <v>28</v>
      </c>
      <c r="AM2484" s="115" t="s">
        <v>1843</v>
      </c>
      <c r="AN2484" s="115" t="s">
        <v>362</v>
      </c>
      <c r="AO2484" s="115" t="s">
        <v>1646</v>
      </c>
    </row>
    <row r="2485" spans="35:41" ht="13">
      <c r="AI2485" s="115" t="s">
        <v>1415</v>
      </c>
      <c r="AJ2485" t="s">
        <v>2114</v>
      </c>
      <c r="AK2485" s="115">
        <v>15</v>
      </c>
      <c r="AL2485" s="115" t="s">
        <v>1842</v>
      </c>
      <c r="AM2485" s="115" t="s">
        <v>1848</v>
      </c>
      <c r="AN2485" s="115" t="s">
        <v>1458</v>
      </c>
      <c r="AO2485" s="115" t="s">
        <v>1643</v>
      </c>
    </row>
    <row r="2486" spans="35:41" ht="13">
      <c r="AI2486" s="115" t="s">
        <v>1415</v>
      </c>
      <c r="AJ2486" t="s">
        <v>2114</v>
      </c>
      <c r="AK2486" s="115">
        <v>15</v>
      </c>
      <c r="AL2486" s="115" t="s">
        <v>1842</v>
      </c>
      <c r="AM2486" s="115" t="s">
        <v>1849</v>
      </c>
      <c r="AN2486" s="115" t="s">
        <v>1458</v>
      </c>
      <c r="AO2486" s="115" t="s">
        <v>1643</v>
      </c>
    </row>
    <row r="2487" spans="35:41" ht="13">
      <c r="AI2487" s="115" t="s">
        <v>1415</v>
      </c>
      <c r="AJ2487" t="s">
        <v>2114</v>
      </c>
      <c r="AK2487" s="115">
        <v>15</v>
      </c>
      <c r="AL2487" s="115" t="s">
        <v>1842</v>
      </c>
      <c r="AM2487" s="115" t="s">
        <v>1850</v>
      </c>
      <c r="AN2487" s="115" t="s">
        <v>1458</v>
      </c>
      <c r="AO2487" s="115" t="s">
        <v>1643</v>
      </c>
    </row>
    <row r="2488" spans="35:41" ht="13">
      <c r="AI2488" s="115" t="s">
        <v>1415</v>
      </c>
      <c r="AJ2488" t="s">
        <v>2114</v>
      </c>
      <c r="AK2488" s="115">
        <v>15</v>
      </c>
      <c r="AL2488" s="115" t="s">
        <v>1842</v>
      </c>
      <c r="AM2488" s="115" t="s">
        <v>1832</v>
      </c>
      <c r="AN2488" s="115" t="s">
        <v>1458</v>
      </c>
      <c r="AO2488" s="115" t="s">
        <v>1643</v>
      </c>
    </row>
    <row r="2489" spans="35:41" ht="13">
      <c r="AI2489" s="115" t="s">
        <v>1415</v>
      </c>
      <c r="AJ2489" t="s">
        <v>2114</v>
      </c>
      <c r="AK2489" s="115">
        <v>15</v>
      </c>
      <c r="AL2489" s="115" t="s">
        <v>1842</v>
      </c>
      <c r="AM2489" s="115" t="s">
        <v>1846</v>
      </c>
      <c r="AN2489" s="115" t="s">
        <v>1458</v>
      </c>
      <c r="AO2489" s="115" t="s">
        <v>1643</v>
      </c>
    </row>
    <row r="2490" spans="35:41" ht="13">
      <c r="AI2490" s="115" t="s">
        <v>1415</v>
      </c>
      <c r="AJ2490" t="s">
        <v>2114</v>
      </c>
      <c r="AK2490" s="115">
        <v>15</v>
      </c>
      <c r="AL2490" s="115" t="s">
        <v>1842</v>
      </c>
      <c r="AM2490" s="115" t="s">
        <v>1843</v>
      </c>
      <c r="AN2490" s="115" t="s">
        <v>1458</v>
      </c>
      <c r="AO2490" s="115" t="s">
        <v>1643</v>
      </c>
    </row>
    <row r="2491" spans="35:41" ht="13">
      <c r="AI2491" s="115" t="s">
        <v>1415</v>
      </c>
      <c r="AJ2491" t="s">
        <v>2114</v>
      </c>
      <c r="AK2491" s="115">
        <v>15</v>
      </c>
      <c r="AL2491" s="115" t="s">
        <v>1842</v>
      </c>
      <c r="AM2491" s="115" t="s">
        <v>1849</v>
      </c>
      <c r="AN2491" s="115" t="s">
        <v>1458</v>
      </c>
      <c r="AO2491" s="115" t="s">
        <v>380</v>
      </c>
    </row>
    <row r="2492" spans="35:41" ht="13">
      <c r="AI2492" s="115" t="s">
        <v>1415</v>
      </c>
      <c r="AJ2492" t="s">
        <v>2114</v>
      </c>
      <c r="AK2492" s="115">
        <v>15</v>
      </c>
      <c r="AL2492" s="115" t="s">
        <v>1842</v>
      </c>
      <c r="AM2492" s="115" t="s">
        <v>1850</v>
      </c>
      <c r="AN2492" s="115" t="s">
        <v>1458</v>
      </c>
      <c r="AO2492" s="115" t="s">
        <v>380</v>
      </c>
    </row>
    <row r="2493" spans="35:41" ht="13">
      <c r="AI2493" s="115" t="s">
        <v>1415</v>
      </c>
      <c r="AJ2493" t="s">
        <v>2114</v>
      </c>
      <c r="AK2493" s="115">
        <v>15</v>
      </c>
      <c r="AL2493" s="115" t="s">
        <v>1842</v>
      </c>
      <c r="AM2493" s="115" t="s">
        <v>1832</v>
      </c>
      <c r="AN2493" s="115" t="s">
        <v>1458</v>
      </c>
      <c r="AO2493" s="115" t="s">
        <v>380</v>
      </c>
    </row>
    <row r="2494" spans="35:41" ht="13">
      <c r="AI2494" s="115" t="s">
        <v>1415</v>
      </c>
      <c r="AJ2494" t="s">
        <v>2114</v>
      </c>
      <c r="AK2494" s="115">
        <v>15</v>
      </c>
      <c r="AL2494" s="115" t="s">
        <v>1842</v>
      </c>
      <c r="AM2494" s="115" t="s">
        <v>1846</v>
      </c>
      <c r="AN2494" s="115" t="s">
        <v>1458</v>
      </c>
      <c r="AO2494" s="115" t="s">
        <v>380</v>
      </c>
    </row>
    <row r="2495" spans="35:41" ht="13">
      <c r="AI2495" s="115" t="s">
        <v>1415</v>
      </c>
      <c r="AJ2495" t="s">
        <v>2114</v>
      </c>
      <c r="AK2495" s="115">
        <v>15</v>
      </c>
      <c r="AL2495" s="115" t="s">
        <v>1842</v>
      </c>
      <c r="AM2495" s="115" t="s">
        <v>1848</v>
      </c>
      <c r="AN2495" s="115" t="s">
        <v>1458</v>
      </c>
      <c r="AO2495" s="115" t="s">
        <v>380</v>
      </c>
    </row>
    <row r="2496" spans="35:41" ht="13">
      <c r="AI2496" s="115" t="s">
        <v>1415</v>
      </c>
      <c r="AJ2496" t="s">
        <v>2114</v>
      </c>
      <c r="AK2496" s="115">
        <v>15</v>
      </c>
      <c r="AL2496" s="115" t="s">
        <v>1842</v>
      </c>
      <c r="AM2496" s="115" t="s">
        <v>1843</v>
      </c>
      <c r="AN2496" s="115" t="s">
        <v>1458</v>
      </c>
      <c r="AO2496" s="115" t="s">
        <v>380</v>
      </c>
    </row>
    <row r="2497" spans="35:41" ht="13">
      <c r="AI2497" s="115" t="s">
        <v>1415</v>
      </c>
      <c r="AJ2497" t="s">
        <v>2114</v>
      </c>
      <c r="AK2497" s="115">
        <v>15</v>
      </c>
      <c r="AL2497" s="115" t="s">
        <v>28</v>
      </c>
      <c r="AM2497" s="115" t="s">
        <v>1850</v>
      </c>
      <c r="AN2497" s="115" t="s">
        <v>1417</v>
      </c>
      <c r="AO2497" s="115" t="s">
        <v>1641</v>
      </c>
    </row>
    <row r="2498" spans="35:41" ht="13">
      <c r="AI2498" s="115" t="s">
        <v>1415</v>
      </c>
      <c r="AJ2498" t="s">
        <v>2114</v>
      </c>
      <c r="AK2498" s="115">
        <v>15</v>
      </c>
      <c r="AL2498" s="115" t="s">
        <v>28</v>
      </c>
      <c r="AM2498" s="115" t="s">
        <v>1832</v>
      </c>
      <c r="AN2498" s="115" t="s">
        <v>1417</v>
      </c>
      <c r="AO2498" s="115" t="s">
        <v>1641</v>
      </c>
    </row>
    <row r="2499" spans="35:41" ht="13">
      <c r="AI2499" s="115" t="s">
        <v>1415</v>
      </c>
      <c r="AJ2499" t="s">
        <v>2114</v>
      </c>
      <c r="AK2499" s="115">
        <v>15</v>
      </c>
      <c r="AL2499" s="115" t="s">
        <v>28</v>
      </c>
      <c r="AM2499" s="115" t="s">
        <v>1848</v>
      </c>
      <c r="AN2499" s="115" t="s">
        <v>1417</v>
      </c>
      <c r="AO2499" s="115" t="s">
        <v>1641</v>
      </c>
    </row>
    <row r="2500" spans="35:41" ht="13">
      <c r="AI2500" s="115" t="s">
        <v>1415</v>
      </c>
      <c r="AJ2500" t="s">
        <v>2114</v>
      </c>
      <c r="AK2500" s="115">
        <v>15</v>
      </c>
      <c r="AL2500" s="115" t="s">
        <v>28</v>
      </c>
      <c r="AM2500" s="115" t="s">
        <v>1843</v>
      </c>
      <c r="AN2500" s="115" t="s">
        <v>1417</v>
      </c>
      <c r="AO2500" s="115" t="s">
        <v>1641</v>
      </c>
    </row>
    <row r="2501" spans="35:41" ht="13">
      <c r="AI2501" s="115" t="s">
        <v>1415</v>
      </c>
      <c r="AJ2501" t="s">
        <v>2114</v>
      </c>
      <c r="AK2501" s="115">
        <v>15</v>
      </c>
      <c r="AL2501" s="115" t="s">
        <v>28</v>
      </c>
      <c r="AM2501" s="115" t="s">
        <v>1846</v>
      </c>
      <c r="AN2501" s="115" t="s">
        <v>417</v>
      </c>
      <c r="AO2501" s="115" t="s">
        <v>1645</v>
      </c>
    </row>
    <row r="2502" spans="35:41" ht="13">
      <c r="AI2502" s="115" t="s">
        <v>1415</v>
      </c>
      <c r="AJ2502" t="s">
        <v>2114</v>
      </c>
      <c r="AK2502" s="115">
        <v>15</v>
      </c>
      <c r="AL2502" s="115" t="s">
        <v>28</v>
      </c>
      <c r="AM2502" s="115" t="s">
        <v>1848</v>
      </c>
      <c r="AN2502" s="115" t="s">
        <v>417</v>
      </c>
      <c r="AO2502" s="115" t="s">
        <v>1645</v>
      </c>
    </row>
    <row r="2503" spans="35:41" ht="13">
      <c r="AI2503" s="115" t="s">
        <v>1415</v>
      </c>
      <c r="AJ2503" t="s">
        <v>2114</v>
      </c>
      <c r="AK2503" s="115">
        <v>15</v>
      </c>
      <c r="AL2503" s="115" t="s">
        <v>28</v>
      </c>
      <c r="AM2503" s="115" t="s">
        <v>1843</v>
      </c>
      <c r="AN2503" s="115" t="s">
        <v>417</v>
      </c>
      <c r="AO2503" s="115" t="s">
        <v>1645</v>
      </c>
    </row>
    <row r="2504" spans="35:41" ht="13">
      <c r="AI2504" s="115" t="s">
        <v>1415</v>
      </c>
      <c r="AJ2504" t="s">
        <v>2114</v>
      </c>
      <c r="AK2504" s="115">
        <v>15</v>
      </c>
      <c r="AL2504" s="115" t="s">
        <v>28</v>
      </c>
      <c r="AM2504" s="115" t="s">
        <v>1832</v>
      </c>
      <c r="AN2504" s="115" t="s">
        <v>417</v>
      </c>
      <c r="AO2504" s="115" t="s">
        <v>1645</v>
      </c>
    </row>
    <row r="2505" spans="35:41" ht="13">
      <c r="AI2505" s="115" t="s">
        <v>1415</v>
      </c>
      <c r="AJ2505" t="s">
        <v>2114</v>
      </c>
      <c r="AK2505" s="115">
        <v>15</v>
      </c>
      <c r="AL2505" s="115" t="s">
        <v>28</v>
      </c>
      <c r="AM2505" s="115" t="s">
        <v>1850</v>
      </c>
      <c r="AN2505" s="115" t="s">
        <v>417</v>
      </c>
      <c r="AO2505" s="115" t="s">
        <v>1645</v>
      </c>
    </row>
    <row r="2506" spans="35:41" ht="13">
      <c r="AI2506" s="115" t="s">
        <v>1415</v>
      </c>
      <c r="AJ2506" t="s">
        <v>2114</v>
      </c>
      <c r="AK2506" s="115">
        <v>15</v>
      </c>
      <c r="AL2506" s="115" t="s">
        <v>28</v>
      </c>
      <c r="AM2506" s="115" t="s">
        <v>1849</v>
      </c>
      <c r="AN2506" s="115" t="s">
        <v>417</v>
      </c>
      <c r="AO2506" s="115" t="s">
        <v>1645</v>
      </c>
    </row>
    <row r="2507" spans="35:41" ht="13">
      <c r="AI2507" s="115" t="s">
        <v>1415</v>
      </c>
      <c r="AJ2507" t="s">
        <v>2114</v>
      </c>
      <c r="AK2507" s="115">
        <v>15</v>
      </c>
      <c r="AL2507" s="115" t="s">
        <v>28</v>
      </c>
      <c r="AM2507" s="115" t="s">
        <v>1846</v>
      </c>
      <c r="AN2507" s="115" t="s">
        <v>417</v>
      </c>
      <c r="AO2507" s="115" t="s">
        <v>380</v>
      </c>
    </row>
    <row r="2508" spans="35:41" ht="13">
      <c r="AI2508" s="115" t="s">
        <v>1415</v>
      </c>
      <c r="AJ2508" t="s">
        <v>2114</v>
      </c>
      <c r="AK2508" s="115">
        <v>15</v>
      </c>
      <c r="AL2508" s="115" t="s">
        <v>28</v>
      </c>
      <c r="AM2508" s="115" t="s">
        <v>1848</v>
      </c>
      <c r="AN2508" s="115" t="s">
        <v>417</v>
      </c>
      <c r="AO2508" s="115" t="s">
        <v>380</v>
      </c>
    </row>
    <row r="2509" spans="35:41" ht="13">
      <c r="AI2509" s="115" t="s">
        <v>1415</v>
      </c>
      <c r="AJ2509" t="s">
        <v>2114</v>
      </c>
      <c r="AK2509" s="115">
        <v>15</v>
      </c>
      <c r="AL2509" s="115" t="s">
        <v>28</v>
      </c>
      <c r="AM2509" s="115" t="s">
        <v>1832</v>
      </c>
      <c r="AN2509" s="115" t="s">
        <v>417</v>
      </c>
      <c r="AO2509" s="115" t="s">
        <v>380</v>
      </c>
    </row>
    <row r="2510" spans="35:41" ht="13">
      <c r="AI2510" s="115" t="s">
        <v>1415</v>
      </c>
      <c r="AJ2510" t="s">
        <v>2114</v>
      </c>
      <c r="AK2510" s="115">
        <v>15</v>
      </c>
      <c r="AL2510" s="115" t="s">
        <v>28</v>
      </c>
      <c r="AM2510" s="115" t="s">
        <v>1849</v>
      </c>
      <c r="AN2510" s="115" t="s">
        <v>417</v>
      </c>
      <c r="AO2510" s="115" t="s">
        <v>380</v>
      </c>
    </row>
    <row r="2511" spans="35:41" ht="13">
      <c r="AI2511" s="115" t="s">
        <v>1415</v>
      </c>
      <c r="AJ2511" t="s">
        <v>2114</v>
      </c>
      <c r="AK2511" s="115">
        <v>15</v>
      </c>
      <c r="AL2511" s="115" t="s">
        <v>28</v>
      </c>
      <c r="AM2511" s="115" t="s">
        <v>1843</v>
      </c>
      <c r="AN2511" s="115" t="s">
        <v>417</v>
      </c>
      <c r="AO2511" s="115" t="s">
        <v>380</v>
      </c>
    </row>
    <row r="2512" spans="35:41" ht="13">
      <c r="AI2512" s="115" t="s">
        <v>1415</v>
      </c>
      <c r="AJ2512" t="s">
        <v>2114</v>
      </c>
      <c r="AK2512" s="115">
        <v>15</v>
      </c>
      <c r="AL2512" s="115" t="s">
        <v>28</v>
      </c>
      <c r="AM2512" s="115" t="s">
        <v>1850</v>
      </c>
      <c r="AN2512" s="115" t="s">
        <v>417</v>
      </c>
      <c r="AO2512" s="115" t="s">
        <v>380</v>
      </c>
    </row>
    <row r="2513" spans="35:41" ht="13">
      <c r="AI2513" s="115" t="s">
        <v>1415</v>
      </c>
      <c r="AJ2513" t="s">
        <v>2114</v>
      </c>
      <c r="AK2513" s="115">
        <v>15</v>
      </c>
      <c r="AL2513" s="115" t="s">
        <v>1842</v>
      </c>
      <c r="AM2513" s="115" t="s">
        <v>1846</v>
      </c>
      <c r="AN2513" s="115" t="s">
        <v>405</v>
      </c>
      <c r="AO2513" s="115" t="s">
        <v>386</v>
      </c>
    </row>
    <row r="2514" spans="35:41" ht="13">
      <c r="AI2514" s="115" t="s">
        <v>1415</v>
      </c>
      <c r="AJ2514" t="s">
        <v>2114</v>
      </c>
      <c r="AK2514" s="115">
        <v>15</v>
      </c>
      <c r="AL2514" s="115" t="s">
        <v>1842</v>
      </c>
      <c r="AM2514" s="115" t="s">
        <v>1843</v>
      </c>
      <c r="AN2514" s="115" t="s">
        <v>405</v>
      </c>
      <c r="AO2514" s="115" t="s">
        <v>386</v>
      </c>
    </row>
    <row r="2515" spans="35:41" ht="13">
      <c r="AI2515" s="115" t="s">
        <v>1415</v>
      </c>
      <c r="AJ2515" t="s">
        <v>2114</v>
      </c>
      <c r="AK2515" s="115">
        <v>15</v>
      </c>
      <c r="AL2515" s="115" t="s">
        <v>28</v>
      </c>
      <c r="AM2515" s="115" t="s">
        <v>1832</v>
      </c>
      <c r="AN2515" s="115" t="s">
        <v>1620</v>
      </c>
      <c r="AO2515" s="115" t="s">
        <v>1274</v>
      </c>
    </row>
    <row r="2516" spans="35:41" ht="13">
      <c r="AI2516" s="115" t="s">
        <v>1415</v>
      </c>
      <c r="AJ2516" t="s">
        <v>2114</v>
      </c>
      <c r="AK2516" s="115">
        <v>15</v>
      </c>
      <c r="AL2516" s="115" t="s">
        <v>28</v>
      </c>
      <c r="AM2516" s="115" t="s">
        <v>1848</v>
      </c>
      <c r="AN2516" s="115" t="s">
        <v>1620</v>
      </c>
      <c r="AO2516" s="115" t="s">
        <v>1274</v>
      </c>
    </row>
    <row r="2517" spans="35:41" ht="13">
      <c r="AI2517" s="115" t="s">
        <v>1415</v>
      </c>
      <c r="AJ2517" t="s">
        <v>2114</v>
      </c>
      <c r="AK2517" s="115">
        <v>15</v>
      </c>
      <c r="AL2517" s="115" t="s">
        <v>28</v>
      </c>
      <c r="AM2517" s="115" t="s">
        <v>1849</v>
      </c>
      <c r="AN2517" s="115" t="s">
        <v>1620</v>
      </c>
      <c r="AO2517" s="115" t="s">
        <v>1274</v>
      </c>
    </row>
    <row r="2518" spans="35:41" ht="13">
      <c r="AI2518" s="115" t="s">
        <v>1415</v>
      </c>
      <c r="AJ2518" t="s">
        <v>2114</v>
      </c>
      <c r="AK2518" s="115">
        <v>15</v>
      </c>
      <c r="AL2518" s="115" t="s">
        <v>28</v>
      </c>
      <c r="AM2518" s="115" t="s">
        <v>1846</v>
      </c>
      <c r="AN2518" s="115" t="s">
        <v>1620</v>
      </c>
      <c r="AO2518" s="115" t="s">
        <v>1274</v>
      </c>
    </row>
    <row r="2519" spans="35:41" ht="13">
      <c r="AI2519" s="115" t="s">
        <v>1415</v>
      </c>
      <c r="AJ2519" t="s">
        <v>2114</v>
      </c>
      <c r="AK2519" s="115">
        <v>15</v>
      </c>
      <c r="AL2519" s="115" t="s">
        <v>28</v>
      </c>
      <c r="AM2519" s="115" t="s">
        <v>1850</v>
      </c>
      <c r="AN2519" s="115" t="s">
        <v>1620</v>
      </c>
      <c r="AO2519" s="115" t="s">
        <v>1274</v>
      </c>
    </row>
    <row r="2520" spans="35:41" ht="13">
      <c r="AI2520" s="115" t="s">
        <v>1415</v>
      </c>
      <c r="AJ2520" t="s">
        <v>2114</v>
      </c>
      <c r="AK2520" s="115">
        <v>15</v>
      </c>
      <c r="AL2520" s="115" t="s">
        <v>28</v>
      </c>
      <c r="AM2520" s="115" t="s">
        <v>1843</v>
      </c>
      <c r="AN2520" s="115" t="s">
        <v>1620</v>
      </c>
      <c r="AO2520" s="115" t="s">
        <v>1274</v>
      </c>
    </row>
    <row r="2521" spans="35:41" ht="13">
      <c r="AI2521" s="115" t="s">
        <v>1415</v>
      </c>
      <c r="AJ2521" t="s">
        <v>2114</v>
      </c>
      <c r="AK2521" s="115">
        <v>15</v>
      </c>
      <c r="AL2521" s="115" t="s">
        <v>28</v>
      </c>
      <c r="AM2521" s="115" t="s">
        <v>1850</v>
      </c>
      <c r="AN2521" s="115" t="s">
        <v>1620</v>
      </c>
      <c r="AO2521" s="115" t="s">
        <v>379</v>
      </c>
    </row>
    <row r="2522" spans="35:41" ht="13">
      <c r="AI2522" s="115" t="s">
        <v>1415</v>
      </c>
      <c r="AJ2522" t="s">
        <v>2114</v>
      </c>
      <c r="AK2522" s="115">
        <v>15</v>
      </c>
      <c r="AL2522" s="115" t="s">
        <v>28</v>
      </c>
      <c r="AM2522" s="115" t="s">
        <v>1848</v>
      </c>
      <c r="AN2522" s="115" t="s">
        <v>1620</v>
      </c>
      <c r="AO2522" s="115" t="s">
        <v>379</v>
      </c>
    </row>
    <row r="2523" spans="35:41" ht="13">
      <c r="AI2523" s="115" t="s">
        <v>1415</v>
      </c>
      <c r="AJ2523" t="s">
        <v>2114</v>
      </c>
      <c r="AK2523" s="115">
        <v>15</v>
      </c>
      <c r="AL2523" s="115" t="s">
        <v>28</v>
      </c>
      <c r="AM2523" s="115" t="s">
        <v>1846</v>
      </c>
      <c r="AN2523" s="115" t="s">
        <v>1620</v>
      </c>
      <c r="AO2523" s="115" t="s">
        <v>379</v>
      </c>
    </row>
    <row r="2524" spans="35:41" ht="13">
      <c r="AI2524" s="115" t="s">
        <v>1415</v>
      </c>
      <c r="AJ2524" t="s">
        <v>2114</v>
      </c>
      <c r="AK2524" s="115">
        <v>15</v>
      </c>
      <c r="AL2524" s="115" t="s">
        <v>28</v>
      </c>
      <c r="AM2524" s="115" t="s">
        <v>1849</v>
      </c>
      <c r="AN2524" s="115" t="s">
        <v>1620</v>
      </c>
      <c r="AO2524" s="115" t="s">
        <v>379</v>
      </c>
    </row>
    <row r="2525" spans="35:41" ht="13">
      <c r="AI2525" s="115" t="s">
        <v>1415</v>
      </c>
      <c r="AJ2525" t="s">
        <v>2114</v>
      </c>
      <c r="AK2525" s="115">
        <v>15</v>
      </c>
      <c r="AL2525" s="115" t="s">
        <v>28</v>
      </c>
      <c r="AM2525" s="115" t="s">
        <v>1832</v>
      </c>
      <c r="AN2525" s="115" t="s">
        <v>1620</v>
      </c>
      <c r="AO2525" s="115" t="s">
        <v>379</v>
      </c>
    </row>
    <row r="2526" spans="35:41" ht="13">
      <c r="AI2526" s="115" t="s">
        <v>1415</v>
      </c>
      <c r="AJ2526" t="s">
        <v>2114</v>
      </c>
      <c r="AK2526" s="115">
        <v>15</v>
      </c>
      <c r="AL2526" s="115" t="s">
        <v>28</v>
      </c>
      <c r="AM2526" s="115" t="s">
        <v>1843</v>
      </c>
      <c r="AN2526" s="115" t="s">
        <v>1620</v>
      </c>
      <c r="AO2526" s="115" t="s">
        <v>379</v>
      </c>
    </row>
    <row r="2527" spans="35:41" ht="13">
      <c r="AI2527" s="115" t="s">
        <v>1415</v>
      </c>
      <c r="AJ2527" t="s">
        <v>2114</v>
      </c>
      <c r="AK2527" s="115">
        <v>15</v>
      </c>
      <c r="AL2527" s="115" t="s">
        <v>28</v>
      </c>
      <c r="AM2527" s="115" t="s">
        <v>1843</v>
      </c>
      <c r="AN2527" s="115" t="s">
        <v>1620</v>
      </c>
      <c r="AO2527" s="115" t="s">
        <v>380</v>
      </c>
    </row>
    <row r="2528" spans="35:41" ht="13">
      <c r="AI2528" s="115" t="s">
        <v>1415</v>
      </c>
      <c r="AJ2528" t="s">
        <v>2114</v>
      </c>
      <c r="AK2528" s="115">
        <v>15</v>
      </c>
      <c r="AL2528" s="115" t="s">
        <v>28</v>
      </c>
      <c r="AM2528" s="115" t="s">
        <v>1832</v>
      </c>
      <c r="AN2528" s="115" t="s">
        <v>1620</v>
      </c>
      <c r="AO2528" s="115" t="s">
        <v>380</v>
      </c>
    </row>
    <row r="2529" spans="35:41" ht="13">
      <c r="AI2529" s="115" t="s">
        <v>1415</v>
      </c>
      <c r="AJ2529" t="s">
        <v>2114</v>
      </c>
      <c r="AK2529" s="115">
        <v>15</v>
      </c>
      <c r="AL2529" s="115" t="s">
        <v>28</v>
      </c>
      <c r="AM2529" s="115" t="s">
        <v>1848</v>
      </c>
      <c r="AN2529" s="115" t="s">
        <v>1620</v>
      </c>
      <c r="AO2529" s="115" t="s">
        <v>380</v>
      </c>
    </row>
    <row r="2530" spans="35:41" ht="13">
      <c r="AI2530" s="115" t="s">
        <v>1415</v>
      </c>
      <c r="AJ2530" t="s">
        <v>2114</v>
      </c>
      <c r="AK2530" s="115">
        <v>15</v>
      </c>
      <c r="AL2530" s="115" t="s">
        <v>28</v>
      </c>
      <c r="AM2530" s="115" t="s">
        <v>1849</v>
      </c>
      <c r="AN2530" s="115" t="s">
        <v>1620</v>
      </c>
      <c r="AO2530" s="115" t="s">
        <v>380</v>
      </c>
    </row>
    <row r="2531" spans="35:41" ht="13">
      <c r="AI2531" s="115" t="s">
        <v>1415</v>
      </c>
      <c r="AJ2531" t="s">
        <v>2114</v>
      </c>
      <c r="AK2531" s="115">
        <v>15</v>
      </c>
      <c r="AL2531" s="115" t="s">
        <v>28</v>
      </c>
      <c r="AM2531" s="115" t="s">
        <v>1850</v>
      </c>
      <c r="AN2531" s="115" t="s">
        <v>1620</v>
      </c>
      <c r="AO2531" s="115" t="s">
        <v>380</v>
      </c>
    </row>
    <row r="2532" spans="35:41" ht="13">
      <c r="AI2532" s="115" t="s">
        <v>1415</v>
      </c>
      <c r="AJ2532" t="s">
        <v>2114</v>
      </c>
      <c r="AK2532" s="115">
        <v>15</v>
      </c>
      <c r="AL2532" s="115" t="s">
        <v>28</v>
      </c>
      <c r="AM2532" s="115" t="s">
        <v>1846</v>
      </c>
      <c r="AN2532" s="115" t="s">
        <v>1620</v>
      </c>
      <c r="AO2532" s="115" t="s">
        <v>380</v>
      </c>
    </row>
    <row r="2533" spans="35:41" ht="13">
      <c r="AI2533" s="115" t="s">
        <v>1415</v>
      </c>
      <c r="AJ2533" t="s">
        <v>2114</v>
      </c>
      <c r="AK2533" s="115">
        <v>15</v>
      </c>
      <c r="AL2533" s="115" t="s">
        <v>28</v>
      </c>
      <c r="AM2533" s="115" t="s">
        <v>1832</v>
      </c>
      <c r="AN2533" s="115" t="s">
        <v>1462</v>
      </c>
      <c r="AO2533" s="115" t="s">
        <v>1644</v>
      </c>
    </row>
    <row r="2534" spans="35:41" ht="13">
      <c r="AI2534" s="115" t="s">
        <v>1415</v>
      </c>
      <c r="AJ2534" t="s">
        <v>2114</v>
      </c>
      <c r="AK2534" s="115">
        <v>15</v>
      </c>
      <c r="AL2534" s="115" t="s">
        <v>28</v>
      </c>
      <c r="AM2534" s="115" t="s">
        <v>1850</v>
      </c>
      <c r="AN2534" s="115" t="s">
        <v>1462</v>
      </c>
      <c r="AO2534" s="115" t="s">
        <v>1644</v>
      </c>
    </row>
    <row r="2535" spans="35:41" ht="13">
      <c r="AI2535" s="115" t="s">
        <v>1415</v>
      </c>
      <c r="AJ2535" t="s">
        <v>2114</v>
      </c>
      <c r="AK2535" s="115">
        <v>15</v>
      </c>
      <c r="AL2535" s="115" t="s">
        <v>28</v>
      </c>
      <c r="AM2535" s="115" t="s">
        <v>1843</v>
      </c>
      <c r="AN2535" s="115" t="s">
        <v>1462</v>
      </c>
      <c r="AO2535" s="115" t="s">
        <v>1644</v>
      </c>
    </row>
    <row r="2536" spans="35:41" ht="13">
      <c r="AI2536" s="115" t="s">
        <v>1415</v>
      </c>
      <c r="AJ2536" t="s">
        <v>2114</v>
      </c>
      <c r="AK2536" s="115">
        <v>15</v>
      </c>
      <c r="AL2536" s="115" t="s">
        <v>28</v>
      </c>
      <c r="AM2536" s="115" t="s">
        <v>1848</v>
      </c>
      <c r="AN2536" s="115" t="s">
        <v>1462</v>
      </c>
      <c r="AO2536" s="115" t="s">
        <v>1644</v>
      </c>
    </row>
    <row r="2537" spans="35:41" ht="13">
      <c r="AI2537" s="115" t="s">
        <v>1415</v>
      </c>
      <c r="AJ2537" t="s">
        <v>2114</v>
      </c>
      <c r="AK2537" s="115">
        <v>15</v>
      </c>
      <c r="AL2537" s="115" t="s">
        <v>28</v>
      </c>
      <c r="AM2537" s="115" t="s">
        <v>1832</v>
      </c>
      <c r="AN2537" s="115" t="s">
        <v>1462</v>
      </c>
      <c r="AO2537" s="115" t="s">
        <v>1274</v>
      </c>
    </row>
    <row r="2538" spans="35:41" ht="13">
      <c r="AI2538" s="115" t="s">
        <v>1415</v>
      </c>
      <c r="AJ2538" t="s">
        <v>2114</v>
      </c>
      <c r="AK2538" s="115">
        <v>15</v>
      </c>
      <c r="AL2538" s="115" t="s">
        <v>28</v>
      </c>
      <c r="AM2538" s="115" t="s">
        <v>1846</v>
      </c>
      <c r="AN2538" s="115" t="s">
        <v>1462</v>
      </c>
      <c r="AO2538" s="115" t="s">
        <v>1274</v>
      </c>
    </row>
    <row r="2539" spans="35:41" ht="13">
      <c r="AI2539" s="115" t="s">
        <v>1415</v>
      </c>
      <c r="AJ2539" t="s">
        <v>2114</v>
      </c>
      <c r="AK2539" s="115">
        <v>15</v>
      </c>
      <c r="AL2539" s="115" t="s">
        <v>28</v>
      </c>
      <c r="AM2539" s="115" t="s">
        <v>1848</v>
      </c>
      <c r="AN2539" s="115" t="s">
        <v>1462</v>
      </c>
      <c r="AO2539" s="115" t="s">
        <v>1274</v>
      </c>
    </row>
    <row r="2540" spans="35:41" ht="13">
      <c r="AI2540" s="115" t="s">
        <v>1415</v>
      </c>
      <c r="AJ2540" t="s">
        <v>2114</v>
      </c>
      <c r="AK2540" s="115">
        <v>15</v>
      </c>
      <c r="AL2540" s="115" t="s">
        <v>28</v>
      </c>
      <c r="AM2540" s="115" t="s">
        <v>1849</v>
      </c>
      <c r="AN2540" s="115" t="s">
        <v>1462</v>
      </c>
      <c r="AO2540" s="115" t="s">
        <v>1274</v>
      </c>
    </row>
    <row r="2541" spans="35:41" ht="13">
      <c r="AI2541" s="115" t="s">
        <v>1415</v>
      </c>
      <c r="AJ2541" t="s">
        <v>2114</v>
      </c>
      <c r="AK2541" s="115">
        <v>15</v>
      </c>
      <c r="AL2541" s="115" t="s">
        <v>28</v>
      </c>
      <c r="AM2541" s="115" t="s">
        <v>1843</v>
      </c>
      <c r="AN2541" s="115" t="s">
        <v>1462</v>
      </c>
      <c r="AO2541" s="115" t="s">
        <v>1274</v>
      </c>
    </row>
    <row r="2542" spans="35:41" ht="13">
      <c r="AI2542" s="115" t="s">
        <v>1415</v>
      </c>
      <c r="AJ2542" t="s">
        <v>2114</v>
      </c>
      <c r="AK2542" s="115">
        <v>15</v>
      </c>
      <c r="AL2542" s="115" t="s">
        <v>28</v>
      </c>
      <c r="AM2542" s="115" t="s">
        <v>1850</v>
      </c>
      <c r="AN2542" s="115" t="s">
        <v>1462</v>
      </c>
      <c r="AO2542" s="115" t="s">
        <v>1274</v>
      </c>
    </row>
    <row r="2543" spans="35:41" ht="13">
      <c r="AI2543" s="115" t="s">
        <v>1415</v>
      </c>
      <c r="AJ2543" t="s">
        <v>2114</v>
      </c>
      <c r="AK2543" s="115">
        <v>15</v>
      </c>
      <c r="AL2543" s="115" t="s">
        <v>28</v>
      </c>
      <c r="AM2543" s="115" t="s">
        <v>1846</v>
      </c>
      <c r="AN2543" s="115" t="s">
        <v>1462</v>
      </c>
      <c r="AO2543" s="115" t="s">
        <v>381</v>
      </c>
    </row>
    <row r="2544" spans="35:41" ht="13">
      <c r="AI2544" s="115" t="s">
        <v>1415</v>
      </c>
      <c r="AJ2544" t="s">
        <v>2114</v>
      </c>
      <c r="AK2544" s="115">
        <v>15</v>
      </c>
      <c r="AL2544" s="115" t="s">
        <v>28</v>
      </c>
      <c r="AM2544" s="115" t="s">
        <v>1843</v>
      </c>
      <c r="AN2544" s="115" t="s">
        <v>1462</v>
      </c>
      <c r="AO2544" s="115" t="s">
        <v>381</v>
      </c>
    </row>
    <row r="2545" spans="35:41" ht="13">
      <c r="AI2545" s="115" t="s">
        <v>1415</v>
      </c>
      <c r="AJ2545" t="s">
        <v>2114</v>
      </c>
      <c r="AK2545" s="115">
        <v>15</v>
      </c>
      <c r="AL2545" s="115" t="s">
        <v>28</v>
      </c>
      <c r="AM2545" s="115" t="s">
        <v>1848</v>
      </c>
      <c r="AN2545" s="115" t="s">
        <v>1462</v>
      </c>
      <c r="AO2545" s="115" t="s">
        <v>381</v>
      </c>
    </row>
    <row r="2546" spans="35:41" ht="13">
      <c r="AI2546" s="115" t="s">
        <v>1415</v>
      </c>
      <c r="AJ2546" t="s">
        <v>2114</v>
      </c>
      <c r="AK2546" s="115">
        <v>15</v>
      </c>
      <c r="AL2546" s="115" t="s">
        <v>28</v>
      </c>
      <c r="AM2546" s="115" t="s">
        <v>1849</v>
      </c>
      <c r="AN2546" s="115" t="s">
        <v>1462</v>
      </c>
      <c r="AO2546" s="115" t="s">
        <v>381</v>
      </c>
    </row>
    <row r="2547" spans="35:41" ht="13">
      <c r="AI2547" s="115" t="s">
        <v>1415</v>
      </c>
      <c r="AJ2547" t="s">
        <v>2114</v>
      </c>
      <c r="AK2547" s="115">
        <v>15</v>
      </c>
      <c r="AL2547" s="115" t="s">
        <v>28</v>
      </c>
      <c r="AM2547" s="115" t="s">
        <v>1832</v>
      </c>
      <c r="AN2547" s="115" t="s">
        <v>1462</v>
      </c>
      <c r="AO2547" s="115" t="s">
        <v>381</v>
      </c>
    </row>
    <row r="2548" spans="35:41" ht="13">
      <c r="AI2548" s="115" t="s">
        <v>1415</v>
      </c>
      <c r="AJ2548" t="s">
        <v>2114</v>
      </c>
      <c r="AK2548" s="115">
        <v>15</v>
      </c>
      <c r="AL2548" s="115" t="s">
        <v>28</v>
      </c>
      <c r="AM2548" s="115" t="s">
        <v>1850</v>
      </c>
      <c r="AN2548" s="115" t="s">
        <v>1462</v>
      </c>
      <c r="AO2548" s="115" t="s">
        <v>381</v>
      </c>
    </row>
    <row r="2549" spans="35:41" ht="13">
      <c r="AI2549" s="115" t="s">
        <v>1415</v>
      </c>
      <c r="AJ2549" t="s">
        <v>2114</v>
      </c>
      <c r="AK2549" s="115">
        <v>15</v>
      </c>
      <c r="AL2549" s="115" t="s">
        <v>28</v>
      </c>
      <c r="AM2549" s="115" t="s">
        <v>1849</v>
      </c>
      <c r="AN2549" s="115" t="s">
        <v>1462</v>
      </c>
      <c r="AO2549" s="115" t="s">
        <v>379</v>
      </c>
    </row>
    <row r="2550" spans="35:41" ht="13">
      <c r="AI2550" s="115" t="s">
        <v>1415</v>
      </c>
      <c r="AJ2550" t="s">
        <v>2114</v>
      </c>
      <c r="AK2550" s="115">
        <v>15</v>
      </c>
      <c r="AL2550" s="115" t="s">
        <v>28</v>
      </c>
      <c r="AM2550" s="115" t="s">
        <v>1843</v>
      </c>
      <c r="AN2550" s="115" t="s">
        <v>1462</v>
      </c>
      <c r="AO2550" s="115" t="s">
        <v>379</v>
      </c>
    </row>
    <row r="2551" spans="35:41" ht="13">
      <c r="AI2551" s="115" t="s">
        <v>1415</v>
      </c>
      <c r="AJ2551" t="s">
        <v>2114</v>
      </c>
      <c r="AK2551" s="115">
        <v>15</v>
      </c>
      <c r="AL2551" s="115" t="s">
        <v>28</v>
      </c>
      <c r="AM2551" s="115" t="s">
        <v>1850</v>
      </c>
      <c r="AN2551" s="115" t="s">
        <v>1462</v>
      </c>
      <c r="AO2551" s="115" t="s">
        <v>379</v>
      </c>
    </row>
    <row r="2552" spans="35:41" ht="13">
      <c r="AI2552" s="115" t="s">
        <v>1415</v>
      </c>
      <c r="AJ2552" t="s">
        <v>2114</v>
      </c>
      <c r="AK2552" s="115">
        <v>15</v>
      </c>
      <c r="AL2552" s="115" t="s">
        <v>28</v>
      </c>
      <c r="AM2552" s="115" t="s">
        <v>1832</v>
      </c>
      <c r="AN2552" s="115" t="s">
        <v>1462</v>
      </c>
      <c r="AO2552" s="115" t="s">
        <v>379</v>
      </c>
    </row>
    <row r="2553" spans="35:41" ht="13">
      <c r="AI2553" s="115" t="s">
        <v>1415</v>
      </c>
      <c r="AJ2553" t="s">
        <v>2114</v>
      </c>
      <c r="AK2553" s="115">
        <v>15</v>
      </c>
      <c r="AL2553" s="115" t="s">
        <v>28</v>
      </c>
      <c r="AM2553" s="115" t="s">
        <v>1846</v>
      </c>
      <c r="AN2553" s="115" t="s">
        <v>1462</v>
      </c>
      <c r="AO2553" s="115" t="s">
        <v>379</v>
      </c>
    </row>
    <row r="2554" spans="35:41" ht="13">
      <c r="AI2554" s="115" t="s">
        <v>1415</v>
      </c>
      <c r="AJ2554" t="s">
        <v>2114</v>
      </c>
      <c r="AK2554" s="115">
        <v>15</v>
      </c>
      <c r="AL2554" s="115" t="s">
        <v>28</v>
      </c>
      <c r="AM2554" s="115" t="s">
        <v>1848</v>
      </c>
      <c r="AN2554" s="115" t="s">
        <v>1462</v>
      </c>
      <c r="AO2554" s="115" t="s">
        <v>379</v>
      </c>
    </row>
    <row r="2555" spans="35:41" ht="13">
      <c r="AI2555" s="115" t="s">
        <v>1415</v>
      </c>
      <c r="AJ2555" t="s">
        <v>2114</v>
      </c>
      <c r="AK2555" s="115">
        <v>15</v>
      </c>
      <c r="AL2555" s="115" t="s">
        <v>28</v>
      </c>
      <c r="AM2555" s="115" t="s">
        <v>1832</v>
      </c>
      <c r="AN2555" s="115" t="s">
        <v>1462</v>
      </c>
      <c r="AO2555" s="115" t="s">
        <v>1645</v>
      </c>
    </row>
    <row r="2556" spans="35:41" ht="13">
      <c r="AI2556" s="115" t="s">
        <v>1415</v>
      </c>
      <c r="AJ2556" t="s">
        <v>2114</v>
      </c>
      <c r="AK2556" s="115">
        <v>15</v>
      </c>
      <c r="AL2556" s="115" t="s">
        <v>28</v>
      </c>
      <c r="AM2556" s="115" t="s">
        <v>1848</v>
      </c>
      <c r="AN2556" s="115" t="s">
        <v>1462</v>
      </c>
      <c r="AO2556" s="115" t="s">
        <v>1645</v>
      </c>
    </row>
    <row r="2557" spans="35:41" ht="13">
      <c r="AI2557" s="115" t="s">
        <v>1415</v>
      </c>
      <c r="AJ2557" t="s">
        <v>2114</v>
      </c>
      <c r="AK2557" s="115">
        <v>15</v>
      </c>
      <c r="AL2557" s="115" t="s">
        <v>28</v>
      </c>
      <c r="AM2557" s="115" t="s">
        <v>1849</v>
      </c>
      <c r="AN2557" s="115" t="s">
        <v>1462</v>
      </c>
      <c r="AO2557" s="115" t="s">
        <v>1645</v>
      </c>
    </row>
    <row r="2558" spans="35:41" ht="13">
      <c r="AI2558" s="115" t="s">
        <v>1415</v>
      </c>
      <c r="AJ2558" t="s">
        <v>2114</v>
      </c>
      <c r="AK2558" s="115">
        <v>15</v>
      </c>
      <c r="AL2558" s="115" t="s">
        <v>28</v>
      </c>
      <c r="AM2558" s="115" t="s">
        <v>1846</v>
      </c>
      <c r="AN2558" s="115" t="s">
        <v>1462</v>
      </c>
      <c r="AO2558" s="115" t="s">
        <v>1645</v>
      </c>
    </row>
    <row r="2559" spans="35:41" ht="13">
      <c r="AI2559" s="115" t="s">
        <v>1415</v>
      </c>
      <c r="AJ2559" t="s">
        <v>2114</v>
      </c>
      <c r="AK2559" s="115">
        <v>15</v>
      </c>
      <c r="AL2559" s="115" t="s">
        <v>28</v>
      </c>
      <c r="AM2559" s="115" t="s">
        <v>1843</v>
      </c>
      <c r="AN2559" s="115" t="s">
        <v>1462</v>
      </c>
      <c r="AO2559" s="115" t="s">
        <v>1645</v>
      </c>
    </row>
    <row r="2560" spans="35:41" ht="13">
      <c r="AI2560" s="115" t="s">
        <v>1415</v>
      </c>
      <c r="AJ2560" t="s">
        <v>2114</v>
      </c>
      <c r="AK2560" s="115">
        <v>15</v>
      </c>
      <c r="AL2560" s="115" t="s">
        <v>28</v>
      </c>
      <c r="AM2560" s="115" t="s">
        <v>1850</v>
      </c>
      <c r="AN2560" s="115" t="s">
        <v>1462</v>
      </c>
      <c r="AO2560" s="115" t="s">
        <v>1645</v>
      </c>
    </row>
    <row r="2561" spans="35:41" ht="13">
      <c r="AI2561" s="115" t="s">
        <v>1415</v>
      </c>
      <c r="AJ2561" t="s">
        <v>2114</v>
      </c>
      <c r="AK2561" s="115">
        <v>15</v>
      </c>
      <c r="AL2561" s="115" t="s">
        <v>28</v>
      </c>
      <c r="AM2561" s="115" t="s">
        <v>1843</v>
      </c>
      <c r="AN2561" s="115" t="s">
        <v>1462</v>
      </c>
      <c r="AO2561" s="115" t="s">
        <v>1646</v>
      </c>
    </row>
    <row r="2562" spans="35:41" ht="13">
      <c r="AI2562" s="115" t="s">
        <v>1415</v>
      </c>
      <c r="AJ2562" t="s">
        <v>2114</v>
      </c>
      <c r="AK2562" s="115">
        <v>15</v>
      </c>
      <c r="AL2562" s="115" t="s">
        <v>28</v>
      </c>
      <c r="AM2562" s="115" t="s">
        <v>1846</v>
      </c>
      <c r="AN2562" s="115" t="s">
        <v>1462</v>
      </c>
      <c r="AO2562" s="115" t="s">
        <v>1646</v>
      </c>
    </row>
    <row r="2563" spans="35:41" ht="13">
      <c r="AI2563" s="115" t="s">
        <v>1415</v>
      </c>
      <c r="AJ2563" t="s">
        <v>2114</v>
      </c>
      <c r="AK2563" s="115">
        <v>15</v>
      </c>
      <c r="AL2563" s="115" t="s">
        <v>28</v>
      </c>
      <c r="AM2563" s="115" t="s">
        <v>1846</v>
      </c>
      <c r="AN2563" s="115" t="s">
        <v>1462</v>
      </c>
      <c r="AO2563" s="115" t="s">
        <v>1647</v>
      </c>
    </row>
    <row r="2564" spans="35:41" ht="13">
      <c r="AI2564" s="115" t="s">
        <v>1415</v>
      </c>
      <c r="AJ2564" t="s">
        <v>2114</v>
      </c>
      <c r="AK2564" s="115">
        <v>15</v>
      </c>
      <c r="AL2564" s="115" t="s">
        <v>28</v>
      </c>
      <c r="AM2564" s="115" t="s">
        <v>1843</v>
      </c>
      <c r="AN2564" s="115" t="s">
        <v>1462</v>
      </c>
      <c r="AO2564" s="115" t="s">
        <v>1647</v>
      </c>
    </row>
    <row r="2565" spans="35:41" ht="13">
      <c r="AI2565" s="115" t="s">
        <v>1415</v>
      </c>
      <c r="AJ2565" t="s">
        <v>2114</v>
      </c>
      <c r="AK2565" s="115">
        <v>15</v>
      </c>
      <c r="AL2565" s="115" t="s">
        <v>28</v>
      </c>
      <c r="AM2565" s="115" t="s">
        <v>1843</v>
      </c>
      <c r="AN2565" s="115" t="s">
        <v>1462</v>
      </c>
      <c r="AO2565" s="115" t="s">
        <v>1639</v>
      </c>
    </row>
    <row r="2566" spans="35:41" ht="13">
      <c r="AI2566" s="115" t="s">
        <v>1415</v>
      </c>
      <c r="AJ2566" t="s">
        <v>2114</v>
      </c>
      <c r="AK2566" s="115">
        <v>15</v>
      </c>
      <c r="AL2566" s="115" t="s">
        <v>28</v>
      </c>
      <c r="AM2566" s="115" t="s">
        <v>1846</v>
      </c>
      <c r="AN2566" s="115" t="s">
        <v>1462</v>
      </c>
      <c r="AO2566" s="115" t="s">
        <v>1639</v>
      </c>
    </row>
    <row r="2567" spans="35:41" ht="13">
      <c r="AI2567" s="115" t="s">
        <v>1415</v>
      </c>
      <c r="AJ2567" t="s">
        <v>2114</v>
      </c>
      <c r="AK2567" s="115">
        <v>15</v>
      </c>
      <c r="AL2567" s="115" t="s">
        <v>28</v>
      </c>
      <c r="AM2567" s="115" t="s">
        <v>1846</v>
      </c>
      <c r="AN2567" s="115" t="s">
        <v>1462</v>
      </c>
      <c r="AO2567" s="115" t="s">
        <v>373</v>
      </c>
    </row>
    <row r="2568" spans="35:41" ht="13">
      <c r="AI2568" s="115" t="s">
        <v>1415</v>
      </c>
      <c r="AJ2568" t="s">
        <v>2114</v>
      </c>
      <c r="AK2568" s="115">
        <v>15</v>
      </c>
      <c r="AL2568" s="115" t="s">
        <v>28</v>
      </c>
      <c r="AM2568" s="115" t="s">
        <v>1850</v>
      </c>
      <c r="AN2568" s="115" t="s">
        <v>1462</v>
      </c>
      <c r="AO2568" s="115" t="s">
        <v>373</v>
      </c>
    </row>
    <row r="2569" spans="35:41" ht="13">
      <c r="AI2569" s="115" t="s">
        <v>1415</v>
      </c>
      <c r="AJ2569" t="s">
        <v>2114</v>
      </c>
      <c r="AK2569" s="115">
        <v>15</v>
      </c>
      <c r="AL2569" s="115" t="s">
        <v>28</v>
      </c>
      <c r="AM2569" s="115" t="s">
        <v>1849</v>
      </c>
      <c r="AN2569" s="115" t="s">
        <v>1462</v>
      </c>
      <c r="AO2569" s="115" t="s">
        <v>373</v>
      </c>
    </row>
    <row r="2570" spans="35:41" ht="13">
      <c r="AI2570" s="115" t="s">
        <v>1415</v>
      </c>
      <c r="AJ2570" t="s">
        <v>2114</v>
      </c>
      <c r="AK2570" s="115">
        <v>15</v>
      </c>
      <c r="AL2570" s="115" t="s">
        <v>28</v>
      </c>
      <c r="AM2570" s="115" t="s">
        <v>1843</v>
      </c>
      <c r="AN2570" s="115" t="s">
        <v>1462</v>
      </c>
      <c r="AO2570" s="115" t="s">
        <v>373</v>
      </c>
    </row>
    <row r="2571" spans="35:41" ht="13">
      <c r="AI2571" s="115" t="s">
        <v>1415</v>
      </c>
      <c r="AJ2571" t="s">
        <v>2114</v>
      </c>
      <c r="AK2571" s="115">
        <v>15</v>
      </c>
      <c r="AL2571" s="115" t="s">
        <v>28</v>
      </c>
      <c r="AM2571" s="115" t="s">
        <v>1832</v>
      </c>
      <c r="AN2571" s="115" t="s">
        <v>1462</v>
      </c>
      <c r="AO2571" s="115" t="s">
        <v>373</v>
      </c>
    </row>
    <row r="2572" spans="35:41" ht="13">
      <c r="AI2572" s="115" t="s">
        <v>1415</v>
      </c>
      <c r="AJ2572" t="s">
        <v>2114</v>
      </c>
      <c r="AK2572" s="115">
        <v>15</v>
      </c>
      <c r="AL2572" s="115" t="s">
        <v>28</v>
      </c>
      <c r="AM2572" s="115" t="s">
        <v>1848</v>
      </c>
      <c r="AN2572" s="115" t="s">
        <v>1462</v>
      </c>
      <c r="AO2572" s="115" t="s">
        <v>373</v>
      </c>
    </row>
    <row r="2573" spans="35:41" ht="13">
      <c r="AI2573" s="115" t="s">
        <v>1415</v>
      </c>
      <c r="AJ2573" t="s">
        <v>2114</v>
      </c>
      <c r="AK2573" s="115">
        <v>15</v>
      </c>
      <c r="AL2573" s="115" t="s">
        <v>28</v>
      </c>
      <c r="AM2573" s="115" t="s">
        <v>1832</v>
      </c>
      <c r="AN2573" s="115" t="s">
        <v>1462</v>
      </c>
      <c r="AO2573" s="115" t="s">
        <v>380</v>
      </c>
    </row>
    <row r="2574" spans="35:41" ht="13">
      <c r="AI2574" s="115" t="s">
        <v>1415</v>
      </c>
      <c r="AJ2574" t="s">
        <v>2114</v>
      </c>
      <c r="AK2574" s="115">
        <v>15</v>
      </c>
      <c r="AL2574" s="115" t="s">
        <v>28</v>
      </c>
      <c r="AM2574" s="115" t="s">
        <v>1850</v>
      </c>
      <c r="AN2574" s="115" t="s">
        <v>1462</v>
      </c>
      <c r="AO2574" s="115" t="s">
        <v>380</v>
      </c>
    </row>
    <row r="2575" spans="35:41" ht="13">
      <c r="AI2575" s="115" t="s">
        <v>1415</v>
      </c>
      <c r="AJ2575" t="s">
        <v>2114</v>
      </c>
      <c r="AK2575" s="115">
        <v>15</v>
      </c>
      <c r="AL2575" s="115" t="s">
        <v>28</v>
      </c>
      <c r="AM2575" s="115" t="s">
        <v>1846</v>
      </c>
      <c r="AN2575" s="115" t="s">
        <v>1462</v>
      </c>
      <c r="AO2575" s="115" t="s">
        <v>380</v>
      </c>
    </row>
    <row r="2576" spans="35:41" ht="13">
      <c r="AI2576" s="115" t="s">
        <v>1415</v>
      </c>
      <c r="AJ2576" t="s">
        <v>2114</v>
      </c>
      <c r="AK2576" s="115">
        <v>15</v>
      </c>
      <c r="AL2576" s="115" t="s">
        <v>28</v>
      </c>
      <c r="AM2576" s="115" t="s">
        <v>1849</v>
      </c>
      <c r="AN2576" s="115" t="s">
        <v>1462</v>
      </c>
      <c r="AO2576" s="115" t="s">
        <v>380</v>
      </c>
    </row>
    <row r="2577" spans="35:41" ht="13">
      <c r="AI2577" s="115" t="s">
        <v>1415</v>
      </c>
      <c r="AJ2577" t="s">
        <v>2114</v>
      </c>
      <c r="AK2577" s="115">
        <v>15</v>
      </c>
      <c r="AL2577" s="115" t="s">
        <v>28</v>
      </c>
      <c r="AM2577" s="115" t="s">
        <v>1848</v>
      </c>
      <c r="AN2577" s="115" t="s">
        <v>1462</v>
      </c>
      <c r="AO2577" s="115" t="s">
        <v>380</v>
      </c>
    </row>
    <row r="2578" spans="35:41" ht="13">
      <c r="AI2578" s="115" t="s">
        <v>1415</v>
      </c>
      <c r="AJ2578" t="s">
        <v>2114</v>
      </c>
      <c r="AK2578" s="115">
        <v>15</v>
      </c>
      <c r="AL2578" s="115" t="s">
        <v>28</v>
      </c>
      <c r="AM2578" s="115" t="s">
        <v>1843</v>
      </c>
      <c r="AN2578" s="115" t="s">
        <v>1462</v>
      </c>
      <c r="AO2578" s="115" t="s">
        <v>380</v>
      </c>
    </row>
    <row r="2579" spans="35:41" ht="13">
      <c r="AI2579" s="115" t="s">
        <v>1415</v>
      </c>
      <c r="AJ2579" t="s">
        <v>2114</v>
      </c>
      <c r="AK2579" s="115">
        <v>15</v>
      </c>
      <c r="AL2579" s="115" t="s">
        <v>28</v>
      </c>
      <c r="AM2579" s="115" t="s">
        <v>1850</v>
      </c>
      <c r="AN2579" s="115" t="s">
        <v>1460</v>
      </c>
      <c r="AO2579" s="115" t="s">
        <v>1644</v>
      </c>
    </row>
    <row r="2580" spans="35:41" ht="13">
      <c r="AI2580" s="115" t="s">
        <v>1415</v>
      </c>
      <c r="AJ2580" t="s">
        <v>2114</v>
      </c>
      <c r="AK2580" s="115">
        <v>15</v>
      </c>
      <c r="AL2580" s="115" t="s">
        <v>28</v>
      </c>
      <c r="AM2580" s="115" t="s">
        <v>1832</v>
      </c>
      <c r="AN2580" s="115" t="s">
        <v>1460</v>
      </c>
      <c r="AO2580" s="115" t="s">
        <v>1644</v>
      </c>
    </row>
    <row r="2581" spans="35:41" ht="13">
      <c r="AI2581" s="115" t="s">
        <v>1415</v>
      </c>
      <c r="AJ2581" t="s">
        <v>2114</v>
      </c>
      <c r="AK2581" s="115">
        <v>15</v>
      </c>
      <c r="AL2581" s="115" t="s">
        <v>28</v>
      </c>
      <c r="AM2581" s="115" t="s">
        <v>1843</v>
      </c>
      <c r="AN2581" s="115" t="s">
        <v>1460</v>
      </c>
      <c r="AO2581" s="115" t="s">
        <v>1644</v>
      </c>
    </row>
    <row r="2582" spans="35:41" ht="13">
      <c r="AI2582" s="115" t="s">
        <v>1415</v>
      </c>
      <c r="AJ2582" t="s">
        <v>2114</v>
      </c>
      <c r="AK2582" s="115">
        <v>15</v>
      </c>
      <c r="AL2582" s="115" t="s">
        <v>28</v>
      </c>
      <c r="AM2582" s="115" t="s">
        <v>1848</v>
      </c>
      <c r="AN2582" s="115" t="s">
        <v>1460</v>
      </c>
      <c r="AO2582" s="115" t="s">
        <v>1644</v>
      </c>
    </row>
    <row r="2583" spans="35:41" ht="13">
      <c r="AI2583" s="115" t="s">
        <v>1415</v>
      </c>
      <c r="AJ2583" t="s">
        <v>2114</v>
      </c>
      <c r="AK2583" s="115">
        <v>15</v>
      </c>
      <c r="AL2583" s="115" t="s">
        <v>28</v>
      </c>
      <c r="AM2583" s="115" t="s">
        <v>1848</v>
      </c>
      <c r="AN2583" s="115" t="s">
        <v>1460</v>
      </c>
      <c r="AO2583" s="115" t="s">
        <v>1645</v>
      </c>
    </row>
    <row r="2584" spans="35:41" ht="13">
      <c r="AI2584" s="115" t="s">
        <v>1415</v>
      </c>
      <c r="AJ2584" t="s">
        <v>2114</v>
      </c>
      <c r="AK2584" s="115">
        <v>15</v>
      </c>
      <c r="AL2584" s="115" t="s">
        <v>28</v>
      </c>
      <c r="AM2584" s="115" t="s">
        <v>1846</v>
      </c>
      <c r="AN2584" s="115" t="s">
        <v>1460</v>
      </c>
      <c r="AO2584" s="115" t="s">
        <v>1645</v>
      </c>
    </row>
    <row r="2585" spans="35:41" ht="13">
      <c r="AI2585" s="115" t="s">
        <v>1415</v>
      </c>
      <c r="AJ2585" t="s">
        <v>2114</v>
      </c>
      <c r="AK2585" s="115">
        <v>15</v>
      </c>
      <c r="AL2585" s="115" t="s">
        <v>28</v>
      </c>
      <c r="AM2585" s="115" t="s">
        <v>1843</v>
      </c>
      <c r="AN2585" s="115" t="s">
        <v>1460</v>
      </c>
      <c r="AO2585" s="115" t="s">
        <v>1645</v>
      </c>
    </row>
    <row r="2586" spans="35:41" ht="13">
      <c r="AI2586" s="115" t="s">
        <v>1415</v>
      </c>
      <c r="AJ2586" t="s">
        <v>2114</v>
      </c>
      <c r="AK2586" s="115">
        <v>15</v>
      </c>
      <c r="AL2586" s="115" t="s">
        <v>28</v>
      </c>
      <c r="AM2586" s="115" t="s">
        <v>1849</v>
      </c>
      <c r="AN2586" s="115" t="s">
        <v>1460</v>
      </c>
      <c r="AO2586" s="115" t="s">
        <v>1645</v>
      </c>
    </row>
    <row r="2587" spans="35:41" ht="13">
      <c r="AI2587" s="115" t="s">
        <v>1415</v>
      </c>
      <c r="AJ2587" t="s">
        <v>2114</v>
      </c>
      <c r="AK2587" s="115">
        <v>15</v>
      </c>
      <c r="AL2587" s="115" t="s">
        <v>28</v>
      </c>
      <c r="AM2587" s="115" t="s">
        <v>1832</v>
      </c>
      <c r="AN2587" s="115" t="s">
        <v>1460</v>
      </c>
      <c r="AO2587" s="115" t="s">
        <v>1645</v>
      </c>
    </row>
    <row r="2588" spans="35:41" ht="13">
      <c r="AI2588" s="115" t="s">
        <v>1415</v>
      </c>
      <c r="AJ2588" t="s">
        <v>2114</v>
      </c>
      <c r="AK2588" s="115">
        <v>15</v>
      </c>
      <c r="AL2588" s="115" t="s">
        <v>28</v>
      </c>
      <c r="AM2588" s="115" t="s">
        <v>1850</v>
      </c>
      <c r="AN2588" s="115" t="s">
        <v>1460</v>
      </c>
      <c r="AO2588" s="115" t="s">
        <v>1645</v>
      </c>
    </row>
    <row r="2589" spans="35:41" ht="13">
      <c r="AI2589" s="115" t="s">
        <v>1415</v>
      </c>
      <c r="AJ2589" t="s">
        <v>2114</v>
      </c>
      <c r="AK2589" s="115">
        <v>15</v>
      </c>
      <c r="AL2589" s="115" t="s">
        <v>28</v>
      </c>
      <c r="AM2589" s="115" t="s">
        <v>1846</v>
      </c>
      <c r="AN2589" s="115" t="s">
        <v>1460</v>
      </c>
      <c r="AO2589" s="115" t="s">
        <v>1646</v>
      </c>
    </row>
    <row r="2590" spans="35:41" ht="13">
      <c r="AI2590" s="115" t="s">
        <v>1415</v>
      </c>
      <c r="AJ2590" t="s">
        <v>2114</v>
      </c>
      <c r="AK2590" s="115">
        <v>15</v>
      </c>
      <c r="AL2590" s="115" t="s">
        <v>28</v>
      </c>
      <c r="AM2590" s="115" t="s">
        <v>1843</v>
      </c>
      <c r="AN2590" s="115" t="s">
        <v>1460</v>
      </c>
      <c r="AO2590" s="115" t="s">
        <v>1646</v>
      </c>
    </row>
    <row r="2591" spans="35:41" ht="13">
      <c r="AI2591" s="115" t="s">
        <v>1415</v>
      </c>
      <c r="AJ2591" t="s">
        <v>2114</v>
      </c>
      <c r="AK2591" s="115">
        <v>15</v>
      </c>
      <c r="AL2591" s="115" t="s">
        <v>28</v>
      </c>
      <c r="AM2591" s="115" t="s">
        <v>1843</v>
      </c>
      <c r="AN2591" s="115" t="s">
        <v>1460</v>
      </c>
      <c r="AO2591" s="115" t="s">
        <v>1647</v>
      </c>
    </row>
    <row r="2592" spans="35:41" ht="13">
      <c r="AI2592" s="115" t="s">
        <v>1415</v>
      </c>
      <c r="AJ2592" t="s">
        <v>2114</v>
      </c>
      <c r="AK2592" s="115">
        <v>15</v>
      </c>
      <c r="AL2592" s="115" t="s">
        <v>28</v>
      </c>
      <c r="AM2592" s="115" t="s">
        <v>1846</v>
      </c>
      <c r="AN2592" s="115" t="s">
        <v>1460</v>
      </c>
      <c r="AO2592" s="115" t="s">
        <v>1647</v>
      </c>
    </row>
    <row r="2593" spans="35:41" ht="13">
      <c r="AI2593" s="115" t="s">
        <v>1415</v>
      </c>
      <c r="AJ2593" t="s">
        <v>2114</v>
      </c>
      <c r="AK2593" s="115">
        <v>15</v>
      </c>
      <c r="AL2593" s="115" t="s">
        <v>28</v>
      </c>
      <c r="AM2593" s="115" t="s">
        <v>1843</v>
      </c>
      <c r="AN2593" s="115" t="s">
        <v>1460</v>
      </c>
      <c r="AO2593" s="115" t="s">
        <v>1639</v>
      </c>
    </row>
    <row r="2594" spans="35:41" ht="13">
      <c r="AI2594" s="115" t="s">
        <v>1415</v>
      </c>
      <c r="AJ2594" t="s">
        <v>2114</v>
      </c>
      <c r="AK2594" s="115">
        <v>15</v>
      </c>
      <c r="AL2594" s="115" t="s">
        <v>28</v>
      </c>
      <c r="AM2594" s="115" t="s">
        <v>1846</v>
      </c>
      <c r="AN2594" s="115" t="s">
        <v>1460</v>
      </c>
      <c r="AO2594" s="115" t="s">
        <v>1639</v>
      </c>
    </row>
    <row r="2595" spans="35:41" ht="13">
      <c r="AI2595" s="115" t="s">
        <v>1415</v>
      </c>
      <c r="AJ2595" t="s">
        <v>2114</v>
      </c>
      <c r="AK2595" s="115">
        <v>15</v>
      </c>
      <c r="AL2595" s="115" t="s">
        <v>28</v>
      </c>
      <c r="AM2595" s="115" t="s">
        <v>1849</v>
      </c>
      <c r="AN2595" s="115" t="s">
        <v>1460</v>
      </c>
      <c r="AO2595" s="115" t="s">
        <v>380</v>
      </c>
    </row>
    <row r="2596" spans="35:41" ht="13">
      <c r="AI2596" s="115" t="s">
        <v>1415</v>
      </c>
      <c r="AJ2596" t="s">
        <v>2114</v>
      </c>
      <c r="AK2596" s="115">
        <v>15</v>
      </c>
      <c r="AL2596" s="115" t="s">
        <v>28</v>
      </c>
      <c r="AM2596" s="115" t="s">
        <v>1848</v>
      </c>
      <c r="AN2596" s="115" t="s">
        <v>1460</v>
      </c>
      <c r="AO2596" s="115" t="s">
        <v>380</v>
      </c>
    </row>
    <row r="2597" spans="35:41" ht="13">
      <c r="AI2597" s="115" t="s">
        <v>1415</v>
      </c>
      <c r="AJ2597" t="s">
        <v>2114</v>
      </c>
      <c r="AK2597" s="115">
        <v>15</v>
      </c>
      <c r="AL2597" s="115" t="s">
        <v>28</v>
      </c>
      <c r="AM2597" s="115" t="s">
        <v>1846</v>
      </c>
      <c r="AN2597" s="115" t="s">
        <v>1460</v>
      </c>
      <c r="AO2597" s="115" t="s">
        <v>380</v>
      </c>
    </row>
    <row r="2598" spans="35:41" ht="13">
      <c r="AI2598" s="115" t="s">
        <v>1415</v>
      </c>
      <c r="AJ2598" t="s">
        <v>2114</v>
      </c>
      <c r="AK2598" s="115">
        <v>15</v>
      </c>
      <c r="AL2598" s="115" t="s">
        <v>28</v>
      </c>
      <c r="AM2598" s="115" t="s">
        <v>1850</v>
      </c>
      <c r="AN2598" s="115" t="s">
        <v>1460</v>
      </c>
      <c r="AO2598" s="115" t="s">
        <v>380</v>
      </c>
    </row>
    <row r="2599" spans="35:41" ht="13">
      <c r="AI2599" s="115" t="s">
        <v>1415</v>
      </c>
      <c r="AJ2599" t="s">
        <v>2114</v>
      </c>
      <c r="AK2599" s="115">
        <v>15</v>
      </c>
      <c r="AL2599" s="115" t="s">
        <v>28</v>
      </c>
      <c r="AM2599" s="115" t="s">
        <v>1832</v>
      </c>
      <c r="AN2599" s="115" t="s">
        <v>1460</v>
      </c>
      <c r="AO2599" s="115" t="s">
        <v>380</v>
      </c>
    </row>
    <row r="2600" spans="35:41" ht="13">
      <c r="AI2600" s="115" t="s">
        <v>1415</v>
      </c>
      <c r="AJ2600" t="s">
        <v>2114</v>
      </c>
      <c r="AK2600" s="115">
        <v>15</v>
      </c>
      <c r="AL2600" s="115" t="s">
        <v>28</v>
      </c>
      <c r="AM2600" s="115" t="s">
        <v>1843</v>
      </c>
      <c r="AN2600" s="115" t="s">
        <v>1460</v>
      </c>
      <c r="AO2600" s="115" t="s">
        <v>380</v>
      </c>
    </row>
    <row r="2601" spans="35:41" ht="13">
      <c r="AI2601" s="115" t="s">
        <v>1415</v>
      </c>
      <c r="AJ2601" t="s">
        <v>2114</v>
      </c>
      <c r="AK2601" s="115">
        <v>15</v>
      </c>
      <c r="AL2601" s="115" t="s">
        <v>28</v>
      </c>
      <c r="AM2601" s="115" t="s">
        <v>1849</v>
      </c>
      <c r="AN2601" s="115" t="s">
        <v>1418</v>
      </c>
      <c r="AO2601" s="115" t="s">
        <v>1643</v>
      </c>
    </row>
    <row r="2602" spans="35:41" ht="13">
      <c r="AI2602" s="115" t="s">
        <v>1415</v>
      </c>
      <c r="AJ2602" t="s">
        <v>2114</v>
      </c>
      <c r="AK2602" s="115">
        <v>15</v>
      </c>
      <c r="AL2602" s="115" t="s">
        <v>28</v>
      </c>
      <c r="AM2602" s="115" t="s">
        <v>1850</v>
      </c>
      <c r="AN2602" s="115" t="s">
        <v>1418</v>
      </c>
      <c r="AO2602" s="115" t="s">
        <v>1643</v>
      </c>
    </row>
    <row r="2603" spans="35:41" ht="13">
      <c r="AI2603" s="115" t="s">
        <v>1415</v>
      </c>
      <c r="AJ2603" t="s">
        <v>2114</v>
      </c>
      <c r="AK2603" s="115">
        <v>15</v>
      </c>
      <c r="AL2603" s="115" t="s">
        <v>28</v>
      </c>
      <c r="AM2603" s="115" t="s">
        <v>1846</v>
      </c>
      <c r="AN2603" s="115" t="s">
        <v>1418</v>
      </c>
      <c r="AO2603" s="115" t="s">
        <v>1643</v>
      </c>
    </row>
    <row r="2604" spans="35:41" ht="13">
      <c r="AI2604" s="115" t="s">
        <v>1415</v>
      </c>
      <c r="AJ2604" t="s">
        <v>2114</v>
      </c>
      <c r="AK2604" s="115">
        <v>15</v>
      </c>
      <c r="AL2604" s="115" t="s">
        <v>28</v>
      </c>
      <c r="AM2604" s="115" t="s">
        <v>1848</v>
      </c>
      <c r="AN2604" s="115" t="s">
        <v>1418</v>
      </c>
      <c r="AO2604" s="115" t="s">
        <v>1643</v>
      </c>
    </row>
    <row r="2605" spans="35:41" ht="13">
      <c r="AI2605" s="115" t="s">
        <v>1415</v>
      </c>
      <c r="AJ2605" t="s">
        <v>2114</v>
      </c>
      <c r="AK2605" s="115">
        <v>15</v>
      </c>
      <c r="AL2605" s="115" t="s">
        <v>28</v>
      </c>
      <c r="AM2605" s="115" t="s">
        <v>1843</v>
      </c>
      <c r="AN2605" s="115" t="s">
        <v>1418</v>
      </c>
      <c r="AO2605" s="115" t="s">
        <v>1643</v>
      </c>
    </row>
    <row r="2606" spans="35:41" ht="13">
      <c r="AI2606" s="115" t="s">
        <v>1415</v>
      </c>
      <c r="AJ2606" t="s">
        <v>2114</v>
      </c>
      <c r="AK2606" s="115">
        <v>15</v>
      </c>
      <c r="AL2606" s="115" t="s">
        <v>28</v>
      </c>
      <c r="AM2606" s="115" t="s">
        <v>1832</v>
      </c>
      <c r="AN2606" s="115" t="s">
        <v>1418</v>
      </c>
      <c r="AO2606" s="115" t="s">
        <v>1643</v>
      </c>
    </row>
    <row r="2607" spans="35:41" ht="13">
      <c r="AI2607" s="115" t="s">
        <v>1415</v>
      </c>
      <c r="AJ2607" t="s">
        <v>2114</v>
      </c>
      <c r="AK2607" s="115">
        <v>15</v>
      </c>
      <c r="AL2607" s="115" t="s">
        <v>28</v>
      </c>
      <c r="AM2607" s="115" t="s">
        <v>1843</v>
      </c>
      <c r="AN2607" s="115" t="s">
        <v>1418</v>
      </c>
      <c r="AO2607" s="115" t="s">
        <v>1642</v>
      </c>
    </row>
    <row r="2608" spans="35:41" ht="13">
      <c r="AI2608" s="115" t="s">
        <v>1415</v>
      </c>
      <c r="AJ2608" t="s">
        <v>2114</v>
      </c>
      <c r="AK2608" s="115">
        <v>15</v>
      </c>
      <c r="AL2608" s="115" t="s">
        <v>28</v>
      </c>
      <c r="AM2608" s="115" t="s">
        <v>1848</v>
      </c>
      <c r="AN2608" s="115" t="s">
        <v>1418</v>
      </c>
      <c r="AO2608" s="115" t="s">
        <v>1642</v>
      </c>
    </row>
    <row r="2609" spans="35:41" ht="13">
      <c r="AI2609" s="115" t="s">
        <v>1415</v>
      </c>
      <c r="AJ2609" t="s">
        <v>2114</v>
      </c>
      <c r="AK2609" s="115">
        <v>15</v>
      </c>
      <c r="AL2609" s="115" t="s">
        <v>28</v>
      </c>
      <c r="AM2609" s="115" t="s">
        <v>1850</v>
      </c>
      <c r="AN2609" s="115" t="s">
        <v>1418</v>
      </c>
      <c r="AO2609" s="115" t="s">
        <v>1642</v>
      </c>
    </row>
    <row r="2610" spans="35:41" ht="13">
      <c r="AI2610" s="115" t="s">
        <v>1415</v>
      </c>
      <c r="AJ2610" t="s">
        <v>2114</v>
      </c>
      <c r="AK2610" s="115">
        <v>15</v>
      </c>
      <c r="AL2610" s="115" t="s">
        <v>28</v>
      </c>
      <c r="AM2610" s="115" t="s">
        <v>1832</v>
      </c>
      <c r="AN2610" s="115" t="s">
        <v>1418</v>
      </c>
      <c r="AO2610" s="115" t="s">
        <v>1642</v>
      </c>
    </row>
    <row r="2611" spans="35:41" ht="13">
      <c r="AI2611" s="115" t="s">
        <v>1415</v>
      </c>
      <c r="AJ2611" t="s">
        <v>2114</v>
      </c>
      <c r="AK2611" s="115">
        <v>15</v>
      </c>
      <c r="AL2611" s="115" t="s">
        <v>28</v>
      </c>
      <c r="AM2611" s="115" t="s">
        <v>1843</v>
      </c>
      <c r="AN2611" s="115" t="s">
        <v>1418</v>
      </c>
      <c r="AO2611" s="115" t="s">
        <v>379</v>
      </c>
    </row>
    <row r="2612" spans="35:41" ht="13">
      <c r="AI2612" s="115" t="s">
        <v>1415</v>
      </c>
      <c r="AJ2612" t="s">
        <v>2114</v>
      </c>
      <c r="AK2612" s="115">
        <v>15</v>
      </c>
      <c r="AL2612" s="115" t="s">
        <v>28</v>
      </c>
      <c r="AM2612" s="115" t="s">
        <v>1832</v>
      </c>
      <c r="AN2612" s="115" t="s">
        <v>1418</v>
      </c>
      <c r="AO2612" s="115" t="s">
        <v>379</v>
      </c>
    </row>
    <row r="2613" spans="35:41" ht="13">
      <c r="AI2613" s="115" t="s">
        <v>1415</v>
      </c>
      <c r="AJ2613" t="s">
        <v>2114</v>
      </c>
      <c r="AK2613" s="115">
        <v>15</v>
      </c>
      <c r="AL2613" s="115" t="s">
        <v>28</v>
      </c>
      <c r="AM2613" s="115" t="s">
        <v>1846</v>
      </c>
      <c r="AN2613" s="115" t="s">
        <v>1418</v>
      </c>
      <c r="AO2613" s="115" t="s">
        <v>379</v>
      </c>
    </row>
    <row r="2614" spans="35:41" ht="13">
      <c r="AI2614" s="115" t="s">
        <v>1415</v>
      </c>
      <c r="AJ2614" t="s">
        <v>2114</v>
      </c>
      <c r="AK2614" s="115">
        <v>15</v>
      </c>
      <c r="AL2614" s="115" t="s">
        <v>28</v>
      </c>
      <c r="AM2614" s="115" t="s">
        <v>1850</v>
      </c>
      <c r="AN2614" s="115" t="s">
        <v>1418</v>
      </c>
      <c r="AO2614" s="115" t="s">
        <v>379</v>
      </c>
    </row>
    <row r="2615" spans="35:41" ht="13">
      <c r="AI2615" s="115" t="s">
        <v>1415</v>
      </c>
      <c r="AJ2615" t="s">
        <v>2114</v>
      </c>
      <c r="AK2615" s="115">
        <v>15</v>
      </c>
      <c r="AL2615" s="115" t="s">
        <v>28</v>
      </c>
      <c r="AM2615" s="115" t="s">
        <v>1849</v>
      </c>
      <c r="AN2615" s="115" t="s">
        <v>1418</v>
      </c>
      <c r="AO2615" s="115" t="s">
        <v>379</v>
      </c>
    </row>
    <row r="2616" spans="35:41" ht="13">
      <c r="AI2616" s="115" t="s">
        <v>1415</v>
      </c>
      <c r="AJ2616" t="s">
        <v>2114</v>
      </c>
      <c r="AK2616" s="115">
        <v>15</v>
      </c>
      <c r="AL2616" s="115" t="s">
        <v>28</v>
      </c>
      <c r="AM2616" s="115" t="s">
        <v>1848</v>
      </c>
      <c r="AN2616" s="115" t="s">
        <v>1418</v>
      </c>
      <c r="AO2616" s="115" t="s">
        <v>379</v>
      </c>
    </row>
    <row r="2617" spans="35:41" ht="13">
      <c r="AI2617" s="115" t="s">
        <v>1415</v>
      </c>
      <c r="AJ2617" t="s">
        <v>2114</v>
      </c>
      <c r="AK2617" s="115">
        <v>15</v>
      </c>
      <c r="AL2617" s="115" t="s">
        <v>28</v>
      </c>
      <c r="AM2617" s="115" t="s">
        <v>1850</v>
      </c>
      <c r="AN2617" s="115" t="s">
        <v>1418</v>
      </c>
      <c r="AO2617" s="115" t="s">
        <v>373</v>
      </c>
    </row>
    <row r="2618" spans="35:41" ht="13">
      <c r="AI2618" s="115" t="s">
        <v>1415</v>
      </c>
      <c r="AJ2618" t="s">
        <v>2114</v>
      </c>
      <c r="AK2618" s="115">
        <v>15</v>
      </c>
      <c r="AL2618" s="115" t="s">
        <v>28</v>
      </c>
      <c r="AM2618" s="115" t="s">
        <v>1848</v>
      </c>
      <c r="AN2618" s="115" t="s">
        <v>1418</v>
      </c>
      <c r="AO2618" s="115" t="s">
        <v>373</v>
      </c>
    </row>
    <row r="2619" spans="35:41" ht="13">
      <c r="AI2619" s="115" t="s">
        <v>1415</v>
      </c>
      <c r="AJ2619" t="s">
        <v>2114</v>
      </c>
      <c r="AK2619" s="115">
        <v>15</v>
      </c>
      <c r="AL2619" s="115" t="s">
        <v>28</v>
      </c>
      <c r="AM2619" s="115" t="s">
        <v>1846</v>
      </c>
      <c r="AN2619" s="115" t="s">
        <v>1418</v>
      </c>
      <c r="AO2619" s="115" t="s">
        <v>373</v>
      </c>
    </row>
    <row r="2620" spans="35:41" ht="13">
      <c r="AI2620" s="115" t="s">
        <v>1415</v>
      </c>
      <c r="AJ2620" t="s">
        <v>2114</v>
      </c>
      <c r="AK2620" s="115">
        <v>15</v>
      </c>
      <c r="AL2620" s="115" t="s">
        <v>28</v>
      </c>
      <c r="AM2620" s="115" t="s">
        <v>1843</v>
      </c>
      <c r="AN2620" s="115" t="s">
        <v>1418</v>
      </c>
      <c r="AO2620" s="115" t="s">
        <v>373</v>
      </c>
    </row>
    <row r="2621" spans="35:41" ht="13">
      <c r="AI2621" s="115" t="s">
        <v>1415</v>
      </c>
      <c r="AJ2621" t="s">
        <v>2114</v>
      </c>
      <c r="AK2621" s="115">
        <v>15</v>
      </c>
      <c r="AL2621" s="115" t="s">
        <v>28</v>
      </c>
      <c r="AM2621" s="115" t="s">
        <v>1832</v>
      </c>
      <c r="AN2621" s="115" t="s">
        <v>1418</v>
      </c>
      <c r="AO2621" s="115" t="s">
        <v>373</v>
      </c>
    </row>
    <row r="2622" spans="35:41" ht="13">
      <c r="AI2622" s="115" t="s">
        <v>1415</v>
      </c>
      <c r="AJ2622" t="s">
        <v>2114</v>
      </c>
      <c r="AK2622" s="115">
        <v>15</v>
      </c>
      <c r="AL2622" s="115" t="s">
        <v>28</v>
      </c>
      <c r="AM2622" s="115" t="s">
        <v>1849</v>
      </c>
      <c r="AN2622" s="115" t="s">
        <v>1418</v>
      </c>
      <c r="AO2622" s="115" t="s">
        <v>373</v>
      </c>
    </row>
    <row r="2623" spans="35:41" ht="13">
      <c r="AI2623" s="115" t="s">
        <v>1415</v>
      </c>
      <c r="AJ2623" t="s">
        <v>2114</v>
      </c>
      <c r="AK2623" s="115">
        <v>15</v>
      </c>
      <c r="AL2623" s="115" t="s">
        <v>28</v>
      </c>
      <c r="AM2623" s="115" t="s">
        <v>1843</v>
      </c>
      <c r="AN2623" s="115" t="s">
        <v>1621</v>
      </c>
      <c r="AO2623" s="115" t="s">
        <v>1274</v>
      </c>
    </row>
    <row r="2624" spans="35:41" ht="13">
      <c r="AI2624" s="115" t="s">
        <v>1415</v>
      </c>
      <c r="AJ2624" t="s">
        <v>2114</v>
      </c>
      <c r="AK2624" s="115">
        <v>15</v>
      </c>
      <c r="AL2624" s="115" t="s">
        <v>28</v>
      </c>
      <c r="AM2624" s="115" t="s">
        <v>1848</v>
      </c>
      <c r="AN2624" s="115" t="s">
        <v>1621</v>
      </c>
      <c r="AO2624" s="115" t="s">
        <v>1274</v>
      </c>
    </row>
    <row r="2625" spans="35:41" ht="13">
      <c r="AI2625" s="115" t="s">
        <v>1415</v>
      </c>
      <c r="AJ2625" t="s">
        <v>2114</v>
      </c>
      <c r="AK2625" s="115">
        <v>15</v>
      </c>
      <c r="AL2625" s="115" t="s">
        <v>28</v>
      </c>
      <c r="AM2625" s="115" t="s">
        <v>1849</v>
      </c>
      <c r="AN2625" s="115" t="s">
        <v>1621</v>
      </c>
      <c r="AO2625" s="115" t="s">
        <v>1274</v>
      </c>
    </row>
    <row r="2626" spans="35:41" ht="13">
      <c r="AI2626" s="115" t="s">
        <v>1415</v>
      </c>
      <c r="AJ2626" t="s">
        <v>2114</v>
      </c>
      <c r="AK2626" s="115">
        <v>15</v>
      </c>
      <c r="AL2626" s="115" t="s">
        <v>28</v>
      </c>
      <c r="AM2626" s="115" t="s">
        <v>1846</v>
      </c>
      <c r="AN2626" s="115" t="s">
        <v>1621</v>
      </c>
      <c r="AO2626" s="115" t="s">
        <v>1274</v>
      </c>
    </row>
    <row r="2627" spans="35:41" ht="13">
      <c r="AI2627" s="115" t="s">
        <v>1415</v>
      </c>
      <c r="AJ2627" t="s">
        <v>2114</v>
      </c>
      <c r="AK2627" s="115">
        <v>15</v>
      </c>
      <c r="AL2627" s="115" t="s">
        <v>28</v>
      </c>
      <c r="AM2627" s="115" t="s">
        <v>1850</v>
      </c>
      <c r="AN2627" s="115" t="s">
        <v>1621</v>
      </c>
      <c r="AO2627" s="115" t="s">
        <v>1274</v>
      </c>
    </row>
    <row r="2628" spans="35:41" ht="13">
      <c r="AI2628" s="115" t="s">
        <v>1415</v>
      </c>
      <c r="AJ2628" t="s">
        <v>2114</v>
      </c>
      <c r="AK2628" s="115">
        <v>15</v>
      </c>
      <c r="AL2628" s="115" t="s">
        <v>28</v>
      </c>
      <c r="AM2628" s="115" t="s">
        <v>1832</v>
      </c>
      <c r="AN2628" s="115" t="s">
        <v>1621</v>
      </c>
      <c r="AO2628" s="115" t="s">
        <v>1274</v>
      </c>
    </row>
    <row r="2629" spans="35:41" ht="13">
      <c r="AI2629" s="115" t="s">
        <v>1415</v>
      </c>
      <c r="AJ2629" t="s">
        <v>2114</v>
      </c>
      <c r="AK2629" s="115">
        <v>15</v>
      </c>
      <c r="AL2629" s="115" t="s">
        <v>28</v>
      </c>
      <c r="AM2629" s="115" t="s">
        <v>1849</v>
      </c>
      <c r="AN2629" s="115" t="s">
        <v>1621</v>
      </c>
      <c r="AO2629" s="115" t="s">
        <v>379</v>
      </c>
    </row>
    <row r="2630" spans="35:41" ht="13">
      <c r="AI2630" s="115" t="s">
        <v>1415</v>
      </c>
      <c r="AJ2630" t="s">
        <v>2114</v>
      </c>
      <c r="AK2630" s="115">
        <v>15</v>
      </c>
      <c r="AL2630" s="115" t="s">
        <v>28</v>
      </c>
      <c r="AM2630" s="115" t="s">
        <v>1848</v>
      </c>
      <c r="AN2630" s="115" t="s">
        <v>1621</v>
      </c>
      <c r="AO2630" s="115" t="s">
        <v>379</v>
      </c>
    </row>
    <row r="2631" spans="35:41" ht="13">
      <c r="AI2631" s="115" t="s">
        <v>1415</v>
      </c>
      <c r="AJ2631" t="s">
        <v>2114</v>
      </c>
      <c r="AK2631" s="115">
        <v>15</v>
      </c>
      <c r="AL2631" s="115" t="s">
        <v>28</v>
      </c>
      <c r="AM2631" s="115" t="s">
        <v>1846</v>
      </c>
      <c r="AN2631" s="115" t="s">
        <v>1621</v>
      </c>
      <c r="AO2631" s="115" t="s">
        <v>379</v>
      </c>
    </row>
    <row r="2632" spans="35:41" ht="13">
      <c r="AI2632" s="115" t="s">
        <v>1415</v>
      </c>
      <c r="AJ2632" t="s">
        <v>2114</v>
      </c>
      <c r="AK2632" s="115">
        <v>15</v>
      </c>
      <c r="AL2632" s="115" t="s">
        <v>28</v>
      </c>
      <c r="AM2632" s="115" t="s">
        <v>1850</v>
      </c>
      <c r="AN2632" s="115" t="s">
        <v>1621</v>
      </c>
      <c r="AO2632" s="115" t="s">
        <v>379</v>
      </c>
    </row>
    <row r="2633" spans="35:41" ht="13">
      <c r="AI2633" s="115" t="s">
        <v>1415</v>
      </c>
      <c r="AJ2633" t="s">
        <v>2114</v>
      </c>
      <c r="AK2633" s="115">
        <v>15</v>
      </c>
      <c r="AL2633" s="115" t="s">
        <v>28</v>
      </c>
      <c r="AM2633" s="115" t="s">
        <v>1832</v>
      </c>
      <c r="AN2633" s="115" t="s">
        <v>1621</v>
      </c>
      <c r="AO2633" s="115" t="s">
        <v>379</v>
      </c>
    </row>
    <row r="2634" spans="35:41" ht="13">
      <c r="AI2634" s="115" t="s">
        <v>1415</v>
      </c>
      <c r="AJ2634" t="s">
        <v>2114</v>
      </c>
      <c r="AK2634" s="115">
        <v>15</v>
      </c>
      <c r="AL2634" s="115" t="s">
        <v>28</v>
      </c>
      <c r="AM2634" s="115" t="s">
        <v>1843</v>
      </c>
      <c r="AN2634" s="115" t="s">
        <v>1621</v>
      </c>
      <c r="AO2634" s="115" t="s">
        <v>379</v>
      </c>
    </row>
    <row r="2635" spans="35:41" ht="13">
      <c r="AI2635" s="115" t="s">
        <v>1415</v>
      </c>
      <c r="AJ2635" t="s">
        <v>2114</v>
      </c>
      <c r="AK2635" s="115">
        <v>15</v>
      </c>
      <c r="AL2635" s="115" t="s">
        <v>28</v>
      </c>
      <c r="AM2635" s="115" t="s">
        <v>1843</v>
      </c>
      <c r="AN2635" s="115" t="s">
        <v>1621</v>
      </c>
      <c r="AO2635" s="115" t="s">
        <v>1639</v>
      </c>
    </row>
    <row r="2636" spans="35:41" ht="13">
      <c r="AI2636" s="115" t="s">
        <v>1415</v>
      </c>
      <c r="AJ2636" t="s">
        <v>2114</v>
      </c>
      <c r="AK2636" s="115">
        <v>15</v>
      </c>
      <c r="AL2636" s="115" t="s">
        <v>28</v>
      </c>
      <c r="AM2636" s="115" t="s">
        <v>1846</v>
      </c>
      <c r="AN2636" s="115" t="s">
        <v>1621</v>
      </c>
      <c r="AO2636" s="115" t="s">
        <v>1639</v>
      </c>
    </row>
    <row r="2637" spans="35:41" ht="13">
      <c r="AI2637" s="115" t="s">
        <v>1415</v>
      </c>
      <c r="AJ2637" t="s">
        <v>2114</v>
      </c>
      <c r="AK2637" s="115">
        <v>15</v>
      </c>
      <c r="AL2637" s="115" t="s">
        <v>28</v>
      </c>
      <c r="AM2637" s="115" t="s">
        <v>1832</v>
      </c>
      <c r="AN2637" s="115" t="s">
        <v>1621</v>
      </c>
      <c r="AO2637" s="115" t="s">
        <v>380</v>
      </c>
    </row>
    <row r="2638" spans="35:41" ht="13">
      <c r="AI2638" s="115" t="s">
        <v>1415</v>
      </c>
      <c r="AJ2638" t="s">
        <v>2114</v>
      </c>
      <c r="AK2638" s="115">
        <v>15</v>
      </c>
      <c r="AL2638" s="115" t="s">
        <v>28</v>
      </c>
      <c r="AM2638" s="115" t="s">
        <v>1850</v>
      </c>
      <c r="AN2638" s="115" t="s">
        <v>1621</v>
      </c>
      <c r="AO2638" s="115" t="s">
        <v>380</v>
      </c>
    </row>
    <row r="2639" spans="35:41" ht="13">
      <c r="AI2639" s="115" t="s">
        <v>1415</v>
      </c>
      <c r="AJ2639" t="s">
        <v>2114</v>
      </c>
      <c r="AK2639" s="115">
        <v>15</v>
      </c>
      <c r="AL2639" s="115" t="s">
        <v>28</v>
      </c>
      <c r="AM2639" s="115" t="s">
        <v>1846</v>
      </c>
      <c r="AN2639" s="115" t="s">
        <v>1621</v>
      </c>
      <c r="AO2639" s="115" t="s">
        <v>380</v>
      </c>
    </row>
    <row r="2640" spans="35:41" ht="13">
      <c r="AI2640" s="115" t="s">
        <v>1415</v>
      </c>
      <c r="AJ2640" t="s">
        <v>2114</v>
      </c>
      <c r="AK2640" s="115">
        <v>15</v>
      </c>
      <c r="AL2640" s="115" t="s">
        <v>28</v>
      </c>
      <c r="AM2640" s="115" t="s">
        <v>1849</v>
      </c>
      <c r="AN2640" s="115" t="s">
        <v>1621</v>
      </c>
      <c r="AO2640" s="115" t="s">
        <v>380</v>
      </c>
    </row>
    <row r="2641" spans="35:41" ht="13">
      <c r="AI2641" s="115" t="s">
        <v>1415</v>
      </c>
      <c r="AJ2641" t="s">
        <v>2114</v>
      </c>
      <c r="AK2641" s="115">
        <v>15</v>
      </c>
      <c r="AL2641" s="115" t="s">
        <v>28</v>
      </c>
      <c r="AM2641" s="115" t="s">
        <v>1848</v>
      </c>
      <c r="AN2641" s="115" t="s">
        <v>1621</v>
      </c>
      <c r="AO2641" s="115" t="s">
        <v>380</v>
      </c>
    </row>
    <row r="2642" spans="35:41" ht="13">
      <c r="AI2642" s="115" t="s">
        <v>1415</v>
      </c>
      <c r="AJ2642" t="s">
        <v>2114</v>
      </c>
      <c r="AK2642" s="115">
        <v>15</v>
      </c>
      <c r="AL2642" s="115" t="s">
        <v>28</v>
      </c>
      <c r="AM2642" s="115" t="s">
        <v>1843</v>
      </c>
      <c r="AN2642" s="115" t="s">
        <v>1621</v>
      </c>
      <c r="AO2642" s="115" t="s">
        <v>380</v>
      </c>
    </row>
    <row r="2643" spans="35:41" ht="13">
      <c r="AI2643" s="115" t="s">
        <v>1415</v>
      </c>
      <c r="AJ2643" t="s">
        <v>2114</v>
      </c>
      <c r="AK2643" s="115">
        <v>15</v>
      </c>
      <c r="AL2643" s="115" t="s">
        <v>28</v>
      </c>
      <c r="AM2643" s="115" t="s">
        <v>1846</v>
      </c>
      <c r="AN2643" s="115" t="s">
        <v>1566</v>
      </c>
      <c r="AO2643" s="115" t="s">
        <v>1639</v>
      </c>
    </row>
    <row r="2644" spans="35:41" ht="13">
      <c r="AI2644" s="115" t="s">
        <v>1415</v>
      </c>
      <c r="AJ2644" t="s">
        <v>2114</v>
      </c>
      <c r="AK2644" s="115">
        <v>15</v>
      </c>
      <c r="AL2644" s="115" t="s">
        <v>28</v>
      </c>
      <c r="AM2644" s="115" t="s">
        <v>1843</v>
      </c>
      <c r="AN2644" s="115" t="s">
        <v>1566</v>
      </c>
      <c r="AO2644" s="115" t="s">
        <v>1639</v>
      </c>
    </row>
    <row r="2645" spans="35:41" ht="13">
      <c r="AI2645" s="115" t="s">
        <v>1415</v>
      </c>
      <c r="AJ2645" t="s">
        <v>2114</v>
      </c>
      <c r="AK2645" s="115">
        <v>15</v>
      </c>
      <c r="AL2645" s="115" t="s">
        <v>28</v>
      </c>
      <c r="AM2645" s="115" t="s">
        <v>1843</v>
      </c>
      <c r="AN2645" s="115" t="s">
        <v>1421</v>
      </c>
      <c r="AO2645" s="115" t="s">
        <v>1643</v>
      </c>
    </row>
    <row r="2646" spans="35:41" ht="13">
      <c r="AI2646" s="115" t="s">
        <v>1415</v>
      </c>
      <c r="AJ2646" t="s">
        <v>2114</v>
      </c>
      <c r="AK2646" s="115">
        <v>15</v>
      </c>
      <c r="AL2646" s="115" t="s">
        <v>28</v>
      </c>
      <c r="AM2646" s="115" t="s">
        <v>1850</v>
      </c>
      <c r="AN2646" s="115" t="s">
        <v>1421</v>
      </c>
      <c r="AO2646" s="115" t="s">
        <v>1643</v>
      </c>
    </row>
    <row r="2647" spans="35:41" ht="13">
      <c r="AI2647" s="115" t="s">
        <v>1415</v>
      </c>
      <c r="AJ2647" t="s">
        <v>2114</v>
      </c>
      <c r="AK2647" s="115">
        <v>15</v>
      </c>
      <c r="AL2647" s="115" t="s">
        <v>28</v>
      </c>
      <c r="AM2647" s="115" t="s">
        <v>1832</v>
      </c>
      <c r="AN2647" s="115" t="s">
        <v>1421</v>
      </c>
      <c r="AO2647" s="115" t="s">
        <v>1643</v>
      </c>
    </row>
    <row r="2648" spans="35:41" ht="13">
      <c r="AI2648" s="115" t="s">
        <v>1415</v>
      </c>
      <c r="AJ2648" t="s">
        <v>2114</v>
      </c>
      <c r="AK2648" s="115">
        <v>15</v>
      </c>
      <c r="AL2648" s="115" t="s">
        <v>28</v>
      </c>
      <c r="AM2648" s="115" t="s">
        <v>1849</v>
      </c>
      <c r="AN2648" s="115" t="s">
        <v>1421</v>
      </c>
      <c r="AO2648" s="115" t="s">
        <v>1643</v>
      </c>
    </row>
    <row r="2649" spans="35:41" ht="13">
      <c r="AI2649" s="115" t="s">
        <v>1415</v>
      </c>
      <c r="AJ2649" t="s">
        <v>2114</v>
      </c>
      <c r="AK2649" s="115">
        <v>15</v>
      </c>
      <c r="AL2649" s="115" t="s">
        <v>28</v>
      </c>
      <c r="AM2649" s="115" t="s">
        <v>1846</v>
      </c>
      <c r="AN2649" s="115" t="s">
        <v>1421</v>
      </c>
      <c r="AO2649" s="115" t="s">
        <v>1643</v>
      </c>
    </row>
    <row r="2650" spans="35:41" ht="13">
      <c r="AI2650" s="115" t="s">
        <v>1415</v>
      </c>
      <c r="AJ2650" t="s">
        <v>2114</v>
      </c>
      <c r="AK2650" s="115">
        <v>15</v>
      </c>
      <c r="AL2650" s="115" t="s">
        <v>28</v>
      </c>
      <c r="AM2650" s="115" t="s">
        <v>1848</v>
      </c>
      <c r="AN2650" s="115" t="s">
        <v>1421</v>
      </c>
      <c r="AO2650" s="115" t="s">
        <v>1643</v>
      </c>
    </row>
    <row r="2651" spans="35:41" ht="13">
      <c r="AI2651" s="115" t="s">
        <v>1415</v>
      </c>
      <c r="AJ2651" t="s">
        <v>2114</v>
      </c>
      <c r="AK2651" s="115">
        <v>15</v>
      </c>
      <c r="AL2651" s="115" t="s">
        <v>28</v>
      </c>
      <c r="AM2651" s="115" t="s">
        <v>1832</v>
      </c>
      <c r="AN2651" s="115" t="s">
        <v>1421</v>
      </c>
      <c r="AO2651" s="115" t="s">
        <v>372</v>
      </c>
    </row>
    <row r="2652" spans="35:41" ht="13">
      <c r="AI2652" s="115" t="s">
        <v>1415</v>
      </c>
      <c r="AJ2652" t="s">
        <v>2114</v>
      </c>
      <c r="AK2652" s="115">
        <v>15</v>
      </c>
      <c r="AL2652" s="115" t="s">
        <v>28</v>
      </c>
      <c r="AM2652" s="115" t="s">
        <v>1848</v>
      </c>
      <c r="AN2652" s="115" t="s">
        <v>1421</v>
      </c>
      <c r="AO2652" s="115" t="s">
        <v>372</v>
      </c>
    </row>
    <row r="2653" spans="35:41" ht="13">
      <c r="AI2653" s="115" t="s">
        <v>1415</v>
      </c>
      <c r="AJ2653" t="s">
        <v>2114</v>
      </c>
      <c r="AK2653" s="115">
        <v>15</v>
      </c>
      <c r="AL2653" s="115" t="s">
        <v>28</v>
      </c>
      <c r="AM2653" s="115" t="s">
        <v>1849</v>
      </c>
      <c r="AN2653" s="115" t="s">
        <v>1421</v>
      </c>
      <c r="AO2653" s="115" t="s">
        <v>372</v>
      </c>
    </row>
    <row r="2654" spans="35:41" ht="13">
      <c r="AI2654" s="115" t="s">
        <v>1415</v>
      </c>
      <c r="AJ2654" t="s">
        <v>2114</v>
      </c>
      <c r="AK2654" s="115">
        <v>15</v>
      </c>
      <c r="AL2654" s="115" t="s">
        <v>28</v>
      </c>
      <c r="AM2654" s="115" t="s">
        <v>1850</v>
      </c>
      <c r="AN2654" s="115" t="s">
        <v>1421</v>
      </c>
      <c r="AO2654" s="115" t="s">
        <v>372</v>
      </c>
    </row>
    <row r="2655" spans="35:41" ht="13">
      <c r="AI2655" s="115" t="s">
        <v>1415</v>
      </c>
      <c r="AJ2655" t="s">
        <v>2114</v>
      </c>
      <c r="AK2655" s="115">
        <v>15</v>
      </c>
      <c r="AL2655" s="115" t="s">
        <v>28</v>
      </c>
      <c r="AM2655" s="115" t="s">
        <v>1846</v>
      </c>
      <c r="AN2655" s="115" t="s">
        <v>1421</v>
      </c>
      <c r="AO2655" s="115" t="s">
        <v>372</v>
      </c>
    </row>
    <row r="2656" spans="35:41" ht="13">
      <c r="AI2656" s="115" t="s">
        <v>1415</v>
      </c>
      <c r="AJ2656" t="s">
        <v>2114</v>
      </c>
      <c r="AK2656" s="115">
        <v>15</v>
      </c>
      <c r="AL2656" s="115" t="s">
        <v>28</v>
      </c>
      <c r="AM2656" s="115" t="s">
        <v>1843</v>
      </c>
      <c r="AN2656" s="115" t="s">
        <v>1421</v>
      </c>
      <c r="AO2656" s="115" t="s">
        <v>372</v>
      </c>
    </row>
    <row r="2657" spans="35:41" ht="13">
      <c r="AI2657" s="115" t="s">
        <v>1415</v>
      </c>
      <c r="AJ2657" t="s">
        <v>2114</v>
      </c>
      <c r="AK2657" s="115">
        <v>15</v>
      </c>
      <c r="AL2657" s="115" t="s">
        <v>28</v>
      </c>
      <c r="AM2657" s="115" t="s">
        <v>1832</v>
      </c>
      <c r="AN2657" s="115" t="s">
        <v>1658</v>
      </c>
      <c r="AO2657" s="115" t="s">
        <v>1274</v>
      </c>
    </row>
    <row r="2658" spans="35:41" ht="13">
      <c r="AI2658" s="115" t="s">
        <v>1415</v>
      </c>
      <c r="AJ2658" t="s">
        <v>2114</v>
      </c>
      <c r="AK2658" s="115">
        <v>15</v>
      </c>
      <c r="AL2658" s="115" t="s">
        <v>28</v>
      </c>
      <c r="AM2658" s="115" t="s">
        <v>1850</v>
      </c>
      <c r="AN2658" s="115" t="s">
        <v>1658</v>
      </c>
      <c r="AO2658" s="115" t="s">
        <v>1274</v>
      </c>
    </row>
    <row r="2659" spans="35:41" ht="13">
      <c r="AI2659" s="115" t="s">
        <v>1415</v>
      </c>
      <c r="AJ2659" t="s">
        <v>2114</v>
      </c>
      <c r="AK2659" s="115">
        <v>15</v>
      </c>
      <c r="AL2659" s="115" t="s">
        <v>28</v>
      </c>
      <c r="AM2659" s="115" t="s">
        <v>1843</v>
      </c>
      <c r="AN2659" s="115" t="s">
        <v>1658</v>
      </c>
      <c r="AO2659" s="115" t="s">
        <v>1274</v>
      </c>
    </row>
    <row r="2660" spans="35:41" ht="13">
      <c r="AI2660" s="115" t="s">
        <v>1415</v>
      </c>
      <c r="AJ2660" t="s">
        <v>2114</v>
      </c>
      <c r="AK2660" s="115">
        <v>15</v>
      </c>
      <c r="AL2660" s="115" t="s">
        <v>28</v>
      </c>
      <c r="AM2660" s="115" t="s">
        <v>1848</v>
      </c>
      <c r="AN2660" s="115" t="s">
        <v>1658</v>
      </c>
      <c r="AO2660" s="115" t="s">
        <v>1274</v>
      </c>
    </row>
    <row r="2661" spans="35:41" ht="13">
      <c r="AI2661" s="115" t="s">
        <v>1415</v>
      </c>
      <c r="AJ2661" t="s">
        <v>2114</v>
      </c>
      <c r="AK2661" s="115">
        <v>15</v>
      </c>
      <c r="AL2661" s="115" t="s">
        <v>28</v>
      </c>
      <c r="AM2661" s="115" t="s">
        <v>1846</v>
      </c>
      <c r="AN2661" s="115" t="s">
        <v>1658</v>
      </c>
      <c r="AO2661" s="115" t="s">
        <v>1274</v>
      </c>
    </row>
    <row r="2662" spans="35:41" ht="13">
      <c r="AI2662" s="115" t="s">
        <v>1415</v>
      </c>
      <c r="AJ2662" t="s">
        <v>2114</v>
      </c>
      <c r="AK2662" s="115">
        <v>15</v>
      </c>
      <c r="AL2662" s="115" t="s">
        <v>28</v>
      </c>
      <c r="AM2662" s="115" t="s">
        <v>1849</v>
      </c>
      <c r="AN2662" s="115" t="s">
        <v>1658</v>
      </c>
      <c r="AO2662" s="115" t="s">
        <v>1274</v>
      </c>
    </row>
    <row r="2663" spans="35:41" ht="13">
      <c r="AI2663" s="115" t="s">
        <v>1415</v>
      </c>
      <c r="AJ2663" t="s">
        <v>2114</v>
      </c>
      <c r="AK2663" s="115">
        <v>15</v>
      </c>
      <c r="AL2663" s="115" t="s">
        <v>28</v>
      </c>
      <c r="AM2663" s="115" t="s">
        <v>1848</v>
      </c>
      <c r="AN2663" s="115" t="s">
        <v>1622</v>
      </c>
      <c r="AO2663" s="115" t="s">
        <v>381</v>
      </c>
    </row>
    <row r="2664" spans="35:41" ht="13">
      <c r="AI2664" s="115" t="s">
        <v>1415</v>
      </c>
      <c r="AJ2664" t="s">
        <v>2114</v>
      </c>
      <c r="AK2664" s="115">
        <v>15</v>
      </c>
      <c r="AL2664" s="115" t="s">
        <v>28</v>
      </c>
      <c r="AM2664" s="115" t="s">
        <v>1832</v>
      </c>
      <c r="AN2664" s="115" t="s">
        <v>1622</v>
      </c>
      <c r="AO2664" s="115" t="s">
        <v>381</v>
      </c>
    </row>
    <row r="2665" spans="35:41" ht="13">
      <c r="AI2665" s="115" t="s">
        <v>1415</v>
      </c>
      <c r="AJ2665" t="s">
        <v>2114</v>
      </c>
      <c r="AK2665" s="115">
        <v>15</v>
      </c>
      <c r="AL2665" s="115" t="s">
        <v>28</v>
      </c>
      <c r="AM2665" s="115" t="s">
        <v>1850</v>
      </c>
      <c r="AN2665" s="115" t="s">
        <v>1622</v>
      </c>
      <c r="AO2665" s="115" t="s">
        <v>381</v>
      </c>
    </row>
    <row r="2666" spans="35:41" ht="13">
      <c r="AI2666" s="115" t="s">
        <v>1415</v>
      </c>
      <c r="AJ2666" t="s">
        <v>2114</v>
      </c>
      <c r="AK2666" s="115">
        <v>15</v>
      </c>
      <c r="AL2666" s="115" t="s">
        <v>28</v>
      </c>
      <c r="AM2666" s="115" t="s">
        <v>1849</v>
      </c>
      <c r="AN2666" s="115" t="s">
        <v>1622</v>
      </c>
      <c r="AO2666" s="115" t="s">
        <v>381</v>
      </c>
    </row>
    <row r="2667" spans="35:41" ht="13">
      <c r="AI2667" s="115" t="s">
        <v>1415</v>
      </c>
      <c r="AJ2667" t="s">
        <v>2114</v>
      </c>
      <c r="AK2667" s="115">
        <v>15</v>
      </c>
      <c r="AL2667" s="115" t="s">
        <v>28</v>
      </c>
      <c r="AM2667" s="115" t="s">
        <v>1843</v>
      </c>
      <c r="AN2667" s="115" t="s">
        <v>1622</v>
      </c>
      <c r="AO2667" s="115" t="s">
        <v>381</v>
      </c>
    </row>
    <row r="2668" spans="35:41" ht="13">
      <c r="AI2668" s="115" t="s">
        <v>1415</v>
      </c>
      <c r="AJ2668" t="s">
        <v>2114</v>
      </c>
      <c r="AK2668" s="115">
        <v>15</v>
      </c>
      <c r="AL2668" s="115" t="s">
        <v>28</v>
      </c>
      <c r="AM2668" s="115" t="s">
        <v>1846</v>
      </c>
      <c r="AN2668" s="115" t="s">
        <v>1622</v>
      </c>
      <c r="AO2668" s="115" t="s">
        <v>381</v>
      </c>
    </row>
    <row r="2669" spans="35:41" ht="13">
      <c r="AI2669" s="115" t="s">
        <v>1415</v>
      </c>
      <c r="AJ2669" t="s">
        <v>2114</v>
      </c>
      <c r="AK2669" s="115">
        <v>15</v>
      </c>
      <c r="AL2669" s="115" t="s">
        <v>28</v>
      </c>
      <c r="AM2669" s="115" t="s">
        <v>1843</v>
      </c>
      <c r="AN2669" s="115" t="s">
        <v>1622</v>
      </c>
      <c r="AO2669" s="115" t="s">
        <v>1646</v>
      </c>
    </row>
    <row r="2670" spans="35:41" ht="13">
      <c r="AI2670" s="115" t="s">
        <v>1415</v>
      </c>
      <c r="AJ2670" t="s">
        <v>2114</v>
      </c>
      <c r="AK2670" s="115">
        <v>15</v>
      </c>
      <c r="AL2670" s="115" t="s">
        <v>28</v>
      </c>
      <c r="AM2670" s="115" t="s">
        <v>1846</v>
      </c>
      <c r="AN2670" s="115" t="s">
        <v>1622</v>
      </c>
      <c r="AO2670" s="115" t="s">
        <v>1646</v>
      </c>
    </row>
    <row r="2671" spans="35:41" ht="13">
      <c r="AI2671" s="115" t="s">
        <v>1415</v>
      </c>
      <c r="AJ2671" t="s">
        <v>2114</v>
      </c>
      <c r="AK2671" s="115">
        <v>15</v>
      </c>
      <c r="AL2671" s="115" t="s">
        <v>28</v>
      </c>
      <c r="AM2671" s="115" t="s">
        <v>1832</v>
      </c>
      <c r="AN2671" s="115" t="s">
        <v>1627</v>
      </c>
      <c r="AO2671" s="115" t="s">
        <v>1644</v>
      </c>
    </row>
    <row r="2672" spans="35:41" ht="13">
      <c r="AI2672" s="115" t="s">
        <v>1415</v>
      </c>
      <c r="AJ2672" t="s">
        <v>2114</v>
      </c>
      <c r="AK2672" s="115">
        <v>15</v>
      </c>
      <c r="AL2672" s="115" t="s">
        <v>28</v>
      </c>
      <c r="AM2672" s="115" t="s">
        <v>1850</v>
      </c>
      <c r="AN2672" s="115" t="s">
        <v>1627</v>
      </c>
      <c r="AO2672" s="115" t="s">
        <v>1644</v>
      </c>
    </row>
    <row r="2673" spans="35:41" ht="13">
      <c r="AI2673" s="115" t="s">
        <v>1415</v>
      </c>
      <c r="AJ2673" t="s">
        <v>2114</v>
      </c>
      <c r="AK2673" s="115">
        <v>15</v>
      </c>
      <c r="AL2673" s="115" t="s">
        <v>28</v>
      </c>
      <c r="AM2673" s="115" t="s">
        <v>1843</v>
      </c>
      <c r="AN2673" s="115" t="s">
        <v>1627</v>
      </c>
      <c r="AO2673" s="115" t="s">
        <v>1644</v>
      </c>
    </row>
    <row r="2674" spans="35:41" ht="13">
      <c r="AI2674" s="115" t="s">
        <v>1415</v>
      </c>
      <c r="AJ2674" t="s">
        <v>2114</v>
      </c>
      <c r="AK2674" s="115">
        <v>15</v>
      </c>
      <c r="AL2674" s="115" t="s">
        <v>28</v>
      </c>
      <c r="AM2674" s="115" t="s">
        <v>1848</v>
      </c>
      <c r="AN2674" s="115" t="s">
        <v>1627</v>
      </c>
      <c r="AO2674" s="115" t="s">
        <v>1644</v>
      </c>
    </row>
    <row r="2675" spans="35:41" ht="13">
      <c r="AI2675" s="115" t="s">
        <v>1415</v>
      </c>
      <c r="AJ2675" t="s">
        <v>2114</v>
      </c>
      <c r="AK2675" s="115">
        <v>15</v>
      </c>
      <c r="AL2675" s="115" t="s">
        <v>28</v>
      </c>
      <c r="AM2675" s="115" t="s">
        <v>1846</v>
      </c>
      <c r="AN2675" s="115" t="s">
        <v>1627</v>
      </c>
      <c r="AO2675" s="115" t="s">
        <v>1274</v>
      </c>
    </row>
    <row r="2676" spans="35:41" ht="13">
      <c r="AI2676" s="115" t="s">
        <v>1415</v>
      </c>
      <c r="AJ2676" t="s">
        <v>2114</v>
      </c>
      <c r="AK2676" s="115">
        <v>15</v>
      </c>
      <c r="AL2676" s="115" t="s">
        <v>28</v>
      </c>
      <c r="AM2676" s="115" t="s">
        <v>1848</v>
      </c>
      <c r="AN2676" s="115" t="s">
        <v>1627</v>
      </c>
      <c r="AO2676" s="115" t="s">
        <v>1274</v>
      </c>
    </row>
    <row r="2677" spans="35:41" ht="13">
      <c r="AI2677" s="115" t="s">
        <v>1415</v>
      </c>
      <c r="AJ2677" t="s">
        <v>2114</v>
      </c>
      <c r="AK2677" s="115">
        <v>15</v>
      </c>
      <c r="AL2677" s="115" t="s">
        <v>28</v>
      </c>
      <c r="AM2677" s="115" t="s">
        <v>1849</v>
      </c>
      <c r="AN2677" s="115" t="s">
        <v>1627</v>
      </c>
      <c r="AO2677" s="115" t="s">
        <v>1274</v>
      </c>
    </row>
    <row r="2678" spans="35:41" ht="13">
      <c r="AI2678" s="115" t="s">
        <v>1415</v>
      </c>
      <c r="AJ2678" t="s">
        <v>2114</v>
      </c>
      <c r="AK2678" s="115">
        <v>15</v>
      </c>
      <c r="AL2678" s="115" t="s">
        <v>28</v>
      </c>
      <c r="AM2678" s="115" t="s">
        <v>1850</v>
      </c>
      <c r="AN2678" s="115" t="s">
        <v>1627</v>
      </c>
      <c r="AO2678" s="115" t="s">
        <v>1274</v>
      </c>
    </row>
    <row r="2679" spans="35:41" ht="13">
      <c r="AI2679" s="115" t="s">
        <v>1415</v>
      </c>
      <c r="AJ2679" t="s">
        <v>2114</v>
      </c>
      <c r="AK2679" s="115">
        <v>15</v>
      </c>
      <c r="AL2679" s="115" t="s">
        <v>28</v>
      </c>
      <c r="AM2679" s="115" t="s">
        <v>1843</v>
      </c>
      <c r="AN2679" s="115" t="s">
        <v>1627</v>
      </c>
      <c r="AO2679" s="115" t="s">
        <v>1274</v>
      </c>
    </row>
    <row r="2680" spans="35:41" ht="13">
      <c r="AI2680" s="115" t="s">
        <v>1415</v>
      </c>
      <c r="AJ2680" t="s">
        <v>2114</v>
      </c>
      <c r="AK2680" s="115">
        <v>15</v>
      </c>
      <c r="AL2680" s="115" t="s">
        <v>28</v>
      </c>
      <c r="AM2680" s="115" t="s">
        <v>1832</v>
      </c>
      <c r="AN2680" s="115" t="s">
        <v>1627</v>
      </c>
      <c r="AO2680" s="115" t="s">
        <v>1274</v>
      </c>
    </row>
    <row r="2681" spans="35:41" ht="13">
      <c r="AI2681" s="115" t="s">
        <v>1415</v>
      </c>
      <c r="AJ2681" t="s">
        <v>2114</v>
      </c>
      <c r="AK2681" s="115">
        <v>15</v>
      </c>
      <c r="AL2681" s="115" t="s">
        <v>28</v>
      </c>
      <c r="AM2681" s="115" t="s">
        <v>1843</v>
      </c>
      <c r="AN2681" s="115" t="s">
        <v>1627</v>
      </c>
      <c r="AO2681" s="115" t="s">
        <v>381</v>
      </c>
    </row>
    <row r="2682" spans="35:41" ht="13">
      <c r="AI2682" s="115" t="s">
        <v>1415</v>
      </c>
      <c r="AJ2682" t="s">
        <v>2114</v>
      </c>
      <c r="AK2682" s="115">
        <v>15</v>
      </c>
      <c r="AL2682" s="115" t="s">
        <v>28</v>
      </c>
      <c r="AM2682" s="115" t="s">
        <v>1850</v>
      </c>
      <c r="AN2682" s="115" t="s">
        <v>1627</v>
      </c>
      <c r="AO2682" s="115" t="s">
        <v>381</v>
      </c>
    </row>
    <row r="2683" spans="35:41" ht="13">
      <c r="AI2683" s="115" t="s">
        <v>1415</v>
      </c>
      <c r="AJ2683" t="s">
        <v>2114</v>
      </c>
      <c r="AK2683" s="115">
        <v>15</v>
      </c>
      <c r="AL2683" s="115" t="s">
        <v>28</v>
      </c>
      <c r="AM2683" s="115" t="s">
        <v>1846</v>
      </c>
      <c r="AN2683" s="115" t="s">
        <v>1627</v>
      </c>
      <c r="AO2683" s="115" t="s">
        <v>381</v>
      </c>
    </row>
    <row r="2684" spans="35:41" ht="13">
      <c r="AI2684" s="115" t="s">
        <v>1415</v>
      </c>
      <c r="AJ2684" t="s">
        <v>2114</v>
      </c>
      <c r="AK2684" s="115">
        <v>15</v>
      </c>
      <c r="AL2684" s="115" t="s">
        <v>28</v>
      </c>
      <c r="AM2684" s="115" t="s">
        <v>1832</v>
      </c>
      <c r="AN2684" s="115" t="s">
        <v>1627</v>
      </c>
      <c r="AO2684" s="115" t="s">
        <v>381</v>
      </c>
    </row>
    <row r="2685" spans="35:41" ht="13">
      <c r="AI2685" s="115" t="s">
        <v>1415</v>
      </c>
      <c r="AJ2685" t="s">
        <v>2114</v>
      </c>
      <c r="AK2685" s="115">
        <v>15</v>
      </c>
      <c r="AL2685" s="115" t="s">
        <v>28</v>
      </c>
      <c r="AM2685" s="115" t="s">
        <v>1849</v>
      </c>
      <c r="AN2685" s="115" t="s">
        <v>1627</v>
      </c>
      <c r="AO2685" s="115" t="s">
        <v>381</v>
      </c>
    </row>
    <row r="2686" spans="35:41" ht="13">
      <c r="AI2686" s="115" t="s">
        <v>1415</v>
      </c>
      <c r="AJ2686" t="s">
        <v>2114</v>
      </c>
      <c r="AK2686" s="115">
        <v>15</v>
      </c>
      <c r="AL2686" s="115" t="s">
        <v>28</v>
      </c>
      <c r="AM2686" s="115" t="s">
        <v>1848</v>
      </c>
      <c r="AN2686" s="115" t="s">
        <v>1627</v>
      </c>
      <c r="AO2686" s="115" t="s">
        <v>381</v>
      </c>
    </row>
    <row r="2687" spans="35:41" ht="13">
      <c r="AI2687" s="115" t="s">
        <v>1415</v>
      </c>
      <c r="AJ2687" t="s">
        <v>2114</v>
      </c>
      <c r="AK2687" s="115">
        <v>15</v>
      </c>
      <c r="AL2687" s="115" t="s">
        <v>28</v>
      </c>
      <c r="AM2687" s="115" t="s">
        <v>1850</v>
      </c>
      <c r="AN2687" s="115" t="s">
        <v>1627</v>
      </c>
      <c r="AO2687" s="115" t="s">
        <v>379</v>
      </c>
    </row>
    <row r="2688" spans="35:41" ht="13">
      <c r="AI2688" s="115" t="s">
        <v>1415</v>
      </c>
      <c r="AJ2688" t="s">
        <v>2114</v>
      </c>
      <c r="AK2688" s="115">
        <v>15</v>
      </c>
      <c r="AL2688" s="115" t="s">
        <v>28</v>
      </c>
      <c r="AM2688" s="115" t="s">
        <v>1832</v>
      </c>
      <c r="AN2688" s="115" t="s">
        <v>1627</v>
      </c>
      <c r="AO2688" s="115" t="s">
        <v>379</v>
      </c>
    </row>
    <row r="2689" spans="35:41" ht="13">
      <c r="AI2689" s="115" t="s">
        <v>1415</v>
      </c>
      <c r="AJ2689" t="s">
        <v>2114</v>
      </c>
      <c r="AK2689" s="115">
        <v>15</v>
      </c>
      <c r="AL2689" s="115" t="s">
        <v>28</v>
      </c>
      <c r="AM2689" s="115" t="s">
        <v>1848</v>
      </c>
      <c r="AN2689" s="115" t="s">
        <v>1627</v>
      </c>
      <c r="AO2689" s="115" t="s">
        <v>379</v>
      </c>
    </row>
    <row r="2690" spans="35:41" ht="13">
      <c r="AI2690" s="115" t="s">
        <v>1415</v>
      </c>
      <c r="AJ2690" t="s">
        <v>2114</v>
      </c>
      <c r="AK2690" s="115">
        <v>15</v>
      </c>
      <c r="AL2690" s="115" t="s">
        <v>28</v>
      </c>
      <c r="AM2690" s="115" t="s">
        <v>1846</v>
      </c>
      <c r="AN2690" s="115" t="s">
        <v>1627</v>
      </c>
      <c r="AO2690" s="115" t="s">
        <v>379</v>
      </c>
    </row>
    <row r="2691" spans="35:41" ht="13">
      <c r="AI2691" s="115" t="s">
        <v>1415</v>
      </c>
      <c r="AJ2691" t="s">
        <v>2114</v>
      </c>
      <c r="AK2691" s="115">
        <v>15</v>
      </c>
      <c r="AL2691" s="115" t="s">
        <v>28</v>
      </c>
      <c r="AM2691" s="115" t="s">
        <v>1849</v>
      </c>
      <c r="AN2691" s="115" t="s">
        <v>1627</v>
      </c>
      <c r="AO2691" s="115" t="s">
        <v>379</v>
      </c>
    </row>
    <row r="2692" spans="35:41" ht="13">
      <c r="AI2692" s="115" t="s">
        <v>1415</v>
      </c>
      <c r="AJ2692" t="s">
        <v>2114</v>
      </c>
      <c r="AK2692" s="115">
        <v>15</v>
      </c>
      <c r="AL2692" s="115" t="s">
        <v>28</v>
      </c>
      <c r="AM2692" s="115" t="s">
        <v>1843</v>
      </c>
      <c r="AN2692" s="115" t="s">
        <v>1627</v>
      </c>
      <c r="AO2692" s="115" t="s">
        <v>379</v>
      </c>
    </row>
    <row r="2693" spans="35:41" ht="13">
      <c r="AI2693" s="115" t="s">
        <v>1415</v>
      </c>
      <c r="AJ2693" t="s">
        <v>2114</v>
      </c>
      <c r="AK2693" s="115">
        <v>15</v>
      </c>
      <c r="AL2693" s="115" t="s">
        <v>28</v>
      </c>
      <c r="AM2693" s="115" t="s">
        <v>1846</v>
      </c>
      <c r="AN2693" s="115" t="s">
        <v>1627</v>
      </c>
      <c r="AO2693" s="115" t="s">
        <v>1645</v>
      </c>
    </row>
    <row r="2694" spans="35:41" ht="13">
      <c r="AI2694" s="115" t="s">
        <v>1415</v>
      </c>
      <c r="AJ2694" t="s">
        <v>2114</v>
      </c>
      <c r="AK2694" s="115">
        <v>15</v>
      </c>
      <c r="AL2694" s="115" t="s">
        <v>28</v>
      </c>
      <c r="AM2694" s="115" t="s">
        <v>1850</v>
      </c>
      <c r="AN2694" s="115" t="s">
        <v>1627</v>
      </c>
      <c r="AO2694" s="115" t="s">
        <v>1645</v>
      </c>
    </row>
    <row r="2695" spans="35:41" ht="13">
      <c r="AI2695" s="115" t="s">
        <v>1415</v>
      </c>
      <c r="AJ2695" t="s">
        <v>2114</v>
      </c>
      <c r="AK2695" s="115">
        <v>15</v>
      </c>
      <c r="AL2695" s="115" t="s">
        <v>28</v>
      </c>
      <c r="AM2695" s="115" t="s">
        <v>1849</v>
      </c>
      <c r="AN2695" s="115" t="s">
        <v>1627</v>
      </c>
      <c r="AO2695" s="115" t="s">
        <v>1645</v>
      </c>
    </row>
    <row r="2696" spans="35:41" ht="13">
      <c r="AI2696" s="115" t="s">
        <v>1415</v>
      </c>
      <c r="AJ2696" t="s">
        <v>2114</v>
      </c>
      <c r="AK2696" s="115">
        <v>15</v>
      </c>
      <c r="AL2696" s="115" t="s">
        <v>28</v>
      </c>
      <c r="AM2696" s="115" t="s">
        <v>1843</v>
      </c>
      <c r="AN2696" s="115" t="s">
        <v>1627</v>
      </c>
      <c r="AO2696" s="115" t="s">
        <v>1645</v>
      </c>
    </row>
    <row r="2697" spans="35:41" ht="13">
      <c r="AI2697" s="115" t="s">
        <v>1415</v>
      </c>
      <c r="AJ2697" t="s">
        <v>2114</v>
      </c>
      <c r="AK2697" s="115">
        <v>15</v>
      </c>
      <c r="AL2697" s="115" t="s">
        <v>28</v>
      </c>
      <c r="AM2697" s="115" t="s">
        <v>1848</v>
      </c>
      <c r="AN2697" s="115" t="s">
        <v>1627</v>
      </c>
      <c r="AO2697" s="115" t="s">
        <v>1645</v>
      </c>
    </row>
    <row r="2698" spans="35:41" ht="13">
      <c r="AI2698" s="115" t="s">
        <v>1415</v>
      </c>
      <c r="AJ2698" t="s">
        <v>2114</v>
      </c>
      <c r="AK2698" s="115">
        <v>15</v>
      </c>
      <c r="AL2698" s="115" t="s">
        <v>28</v>
      </c>
      <c r="AM2698" s="115" t="s">
        <v>1832</v>
      </c>
      <c r="AN2698" s="115" t="s">
        <v>1627</v>
      </c>
      <c r="AO2698" s="115" t="s">
        <v>1645</v>
      </c>
    </row>
    <row r="2699" spans="35:41" ht="13">
      <c r="AI2699" s="115" t="s">
        <v>1415</v>
      </c>
      <c r="AJ2699" t="s">
        <v>2114</v>
      </c>
      <c r="AK2699" s="115">
        <v>15</v>
      </c>
      <c r="AL2699" s="115" t="s">
        <v>28</v>
      </c>
      <c r="AM2699" s="115" t="s">
        <v>1846</v>
      </c>
      <c r="AN2699" s="115" t="s">
        <v>1627</v>
      </c>
      <c r="AO2699" s="115" t="s">
        <v>1646</v>
      </c>
    </row>
    <row r="2700" spans="35:41" ht="13">
      <c r="AI2700" s="115" t="s">
        <v>1415</v>
      </c>
      <c r="AJ2700" t="s">
        <v>2114</v>
      </c>
      <c r="AK2700" s="115">
        <v>15</v>
      </c>
      <c r="AL2700" s="115" t="s">
        <v>28</v>
      </c>
      <c r="AM2700" s="115" t="s">
        <v>1843</v>
      </c>
      <c r="AN2700" s="115" t="s">
        <v>1627</v>
      </c>
      <c r="AO2700" s="115" t="s">
        <v>1646</v>
      </c>
    </row>
    <row r="2701" spans="35:41" ht="13">
      <c r="AI2701" s="115" t="s">
        <v>1415</v>
      </c>
      <c r="AJ2701" t="s">
        <v>2114</v>
      </c>
      <c r="AK2701" s="115">
        <v>15</v>
      </c>
      <c r="AL2701" s="115" t="s">
        <v>28</v>
      </c>
      <c r="AM2701" s="115" t="s">
        <v>1843</v>
      </c>
      <c r="AN2701" s="115" t="s">
        <v>1627</v>
      </c>
      <c r="AO2701" s="115" t="s">
        <v>1647</v>
      </c>
    </row>
    <row r="2702" spans="35:41" ht="13">
      <c r="AI2702" s="115" t="s">
        <v>1415</v>
      </c>
      <c r="AJ2702" t="s">
        <v>2114</v>
      </c>
      <c r="AK2702" s="115">
        <v>15</v>
      </c>
      <c r="AL2702" s="115" t="s">
        <v>28</v>
      </c>
      <c r="AM2702" s="115" t="s">
        <v>1846</v>
      </c>
      <c r="AN2702" s="115" t="s">
        <v>1627</v>
      </c>
      <c r="AO2702" s="115" t="s">
        <v>1647</v>
      </c>
    </row>
    <row r="2703" spans="35:41" ht="13">
      <c r="AI2703" s="115" t="s">
        <v>1415</v>
      </c>
      <c r="AJ2703" t="s">
        <v>2114</v>
      </c>
      <c r="AK2703" s="115">
        <v>15</v>
      </c>
      <c r="AL2703" s="115" t="s">
        <v>28</v>
      </c>
      <c r="AM2703" s="115" t="s">
        <v>1843</v>
      </c>
      <c r="AN2703" s="115" t="s">
        <v>1627</v>
      </c>
      <c r="AO2703" s="115" t="s">
        <v>1639</v>
      </c>
    </row>
    <row r="2704" spans="35:41" ht="13">
      <c r="AI2704" s="115" t="s">
        <v>1415</v>
      </c>
      <c r="AJ2704" t="s">
        <v>2114</v>
      </c>
      <c r="AK2704" s="115">
        <v>15</v>
      </c>
      <c r="AL2704" s="115" t="s">
        <v>28</v>
      </c>
      <c r="AM2704" s="115" t="s">
        <v>1846</v>
      </c>
      <c r="AN2704" s="115" t="s">
        <v>1627</v>
      </c>
      <c r="AO2704" s="115" t="s">
        <v>1639</v>
      </c>
    </row>
    <row r="2705" spans="35:41" ht="13">
      <c r="AI2705" s="115" t="s">
        <v>1415</v>
      </c>
      <c r="AJ2705" t="s">
        <v>2114</v>
      </c>
      <c r="AK2705" s="115">
        <v>15</v>
      </c>
      <c r="AL2705" s="115" t="s">
        <v>28</v>
      </c>
      <c r="AM2705" s="115" t="s">
        <v>1850</v>
      </c>
      <c r="AN2705" s="115" t="s">
        <v>1627</v>
      </c>
      <c r="AO2705" s="115" t="s">
        <v>373</v>
      </c>
    </row>
    <row r="2706" spans="35:41" ht="13">
      <c r="AI2706" s="115" t="s">
        <v>1415</v>
      </c>
      <c r="AJ2706" t="s">
        <v>2114</v>
      </c>
      <c r="AK2706" s="115">
        <v>15</v>
      </c>
      <c r="AL2706" s="115" t="s">
        <v>28</v>
      </c>
      <c r="AM2706" s="115" t="s">
        <v>1832</v>
      </c>
      <c r="AN2706" s="115" t="s">
        <v>1627</v>
      </c>
      <c r="AO2706" s="115" t="s">
        <v>373</v>
      </c>
    </row>
    <row r="2707" spans="35:41" ht="13">
      <c r="AI2707" s="115" t="s">
        <v>1415</v>
      </c>
      <c r="AJ2707" t="s">
        <v>2114</v>
      </c>
      <c r="AK2707" s="115">
        <v>15</v>
      </c>
      <c r="AL2707" s="115" t="s">
        <v>28</v>
      </c>
      <c r="AM2707" s="115" t="s">
        <v>1849</v>
      </c>
      <c r="AN2707" s="115" t="s">
        <v>1627</v>
      </c>
      <c r="AO2707" s="115" t="s">
        <v>373</v>
      </c>
    </row>
    <row r="2708" spans="35:41" ht="13">
      <c r="AI2708" s="115" t="s">
        <v>1415</v>
      </c>
      <c r="AJ2708" t="s">
        <v>2114</v>
      </c>
      <c r="AK2708" s="115">
        <v>15</v>
      </c>
      <c r="AL2708" s="115" t="s">
        <v>28</v>
      </c>
      <c r="AM2708" s="115" t="s">
        <v>1846</v>
      </c>
      <c r="AN2708" s="115" t="s">
        <v>1627</v>
      </c>
      <c r="AO2708" s="115" t="s">
        <v>373</v>
      </c>
    </row>
    <row r="2709" spans="35:41" ht="13">
      <c r="AI2709" s="115" t="s">
        <v>1415</v>
      </c>
      <c r="AJ2709" t="s">
        <v>2114</v>
      </c>
      <c r="AK2709" s="115">
        <v>15</v>
      </c>
      <c r="AL2709" s="115" t="s">
        <v>28</v>
      </c>
      <c r="AM2709" s="115" t="s">
        <v>1843</v>
      </c>
      <c r="AN2709" s="115" t="s">
        <v>1627</v>
      </c>
      <c r="AO2709" s="115" t="s">
        <v>373</v>
      </c>
    </row>
    <row r="2710" spans="35:41" ht="13">
      <c r="AI2710" s="115" t="s">
        <v>1415</v>
      </c>
      <c r="AJ2710" t="s">
        <v>2114</v>
      </c>
      <c r="AK2710" s="115">
        <v>15</v>
      </c>
      <c r="AL2710" s="115" t="s">
        <v>28</v>
      </c>
      <c r="AM2710" s="115" t="s">
        <v>1848</v>
      </c>
      <c r="AN2710" s="115" t="s">
        <v>1627</v>
      </c>
      <c r="AO2710" s="115" t="s">
        <v>373</v>
      </c>
    </row>
    <row r="2711" spans="35:41" ht="13">
      <c r="AI2711" s="115" t="s">
        <v>1415</v>
      </c>
      <c r="AJ2711" t="s">
        <v>2114</v>
      </c>
      <c r="AK2711" s="115">
        <v>15</v>
      </c>
      <c r="AL2711" s="115" t="s">
        <v>28</v>
      </c>
      <c r="AM2711" s="115" t="s">
        <v>1843</v>
      </c>
      <c r="AN2711" s="115" t="s">
        <v>1627</v>
      </c>
      <c r="AO2711" s="115" t="s">
        <v>380</v>
      </c>
    </row>
    <row r="2712" spans="35:41" ht="13">
      <c r="AI2712" s="115" t="s">
        <v>1415</v>
      </c>
      <c r="AJ2712" t="s">
        <v>2114</v>
      </c>
      <c r="AK2712" s="115">
        <v>15</v>
      </c>
      <c r="AL2712" s="115" t="s">
        <v>28</v>
      </c>
      <c r="AM2712" s="115" t="s">
        <v>1848</v>
      </c>
      <c r="AN2712" s="115" t="s">
        <v>1627</v>
      </c>
      <c r="AO2712" s="115" t="s">
        <v>380</v>
      </c>
    </row>
    <row r="2713" spans="35:41" ht="13">
      <c r="AI2713" s="115" t="s">
        <v>1415</v>
      </c>
      <c r="AJ2713" t="s">
        <v>2114</v>
      </c>
      <c r="AK2713" s="115">
        <v>15</v>
      </c>
      <c r="AL2713" s="115" t="s">
        <v>28</v>
      </c>
      <c r="AM2713" s="115" t="s">
        <v>1846</v>
      </c>
      <c r="AN2713" s="115" t="s">
        <v>1627</v>
      </c>
      <c r="AO2713" s="115" t="s">
        <v>380</v>
      </c>
    </row>
    <row r="2714" spans="35:41" ht="13">
      <c r="AI2714" s="115" t="s">
        <v>1415</v>
      </c>
      <c r="AJ2714" t="s">
        <v>2114</v>
      </c>
      <c r="AK2714" s="115">
        <v>15</v>
      </c>
      <c r="AL2714" s="115" t="s">
        <v>28</v>
      </c>
      <c r="AM2714" s="115" t="s">
        <v>1849</v>
      </c>
      <c r="AN2714" s="115" t="s">
        <v>1627</v>
      </c>
      <c r="AO2714" s="115" t="s">
        <v>380</v>
      </c>
    </row>
    <row r="2715" spans="35:41" ht="13">
      <c r="AI2715" s="115" t="s">
        <v>1415</v>
      </c>
      <c r="AJ2715" t="s">
        <v>2114</v>
      </c>
      <c r="AK2715" s="115">
        <v>15</v>
      </c>
      <c r="AL2715" s="115" t="s">
        <v>28</v>
      </c>
      <c r="AM2715" s="115" t="s">
        <v>1832</v>
      </c>
      <c r="AN2715" s="115" t="s">
        <v>1627</v>
      </c>
      <c r="AO2715" s="115" t="s">
        <v>380</v>
      </c>
    </row>
    <row r="2716" spans="35:41" ht="13">
      <c r="AI2716" s="115" t="s">
        <v>1415</v>
      </c>
      <c r="AJ2716" t="s">
        <v>2114</v>
      </c>
      <c r="AK2716" s="115">
        <v>15</v>
      </c>
      <c r="AL2716" s="115" t="s">
        <v>28</v>
      </c>
      <c r="AM2716" s="115" t="s">
        <v>1850</v>
      </c>
      <c r="AN2716" s="115" t="s">
        <v>1627</v>
      </c>
      <c r="AO2716" s="115" t="s">
        <v>380</v>
      </c>
    </row>
    <row r="2717" spans="35:41" ht="13">
      <c r="AI2717" s="115" t="s">
        <v>1415</v>
      </c>
      <c r="AJ2717" t="s">
        <v>2114</v>
      </c>
      <c r="AK2717" s="115">
        <v>15</v>
      </c>
      <c r="AL2717" s="115" t="s">
        <v>28</v>
      </c>
      <c r="AM2717" s="115" t="s">
        <v>1832</v>
      </c>
      <c r="AN2717" s="115" t="s">
        <v>1607</v>
      </c>
      <c r="AO2717" s="115" t="s">
        <v>1644</v>
      </c>
    </row>
    <row r="2718" spans="35:41" ht="13">
      <c r="AI2718" s="115" t="s">
        <v>1415</v>
      </c>
      <c r="AJ2718" t="s">
        <v>2114</v>
      </c>
      <c r="AK2718" s="115">
        <v>15</v>
      </c>
      <c r="AL2718" s="115" t="s">
        <v>28</v>
      </c>
      <c r="AM2718" s="115" t="s">
        <v>1850</v>
      </c>
      <c r="AN2718" s="115" t="s">
        <v>1607</v>
      </c>
      <c r="AO2718" s="115" t="s">
        <v>1644</v>
      </c>
    </row>
    <row r="2719" spans="35:41" ht="13">
      <c r="AI2719" s="115" t="s">
        <v>1415</v>
      </c>
      <c r="AJ2719" t="s">
        <v>2114</v>
      </c>
      <c r="AK2719" s="115">
        <v>15</v>
      </c>
      <c r="AL2719" s="115" t="s">
        <v>28</v>
      </c>
      <c r="AM2719" s="115" t="s">
        <v>1848</v>
      </c>
      <c r="AN2719" s="115" t="s">
        <v>1607</v>
      </c>
      <c r="AO2719" s="115" t="s">
        <v>1644</v>
      </c>
    </row>
    <row r="2720" spans="35:41" ht="13">
      <c r="AI2720" s="115" t="s">
        <v>1415</v>
      </c>
      <c r="AJ2720" t="s">
        <v>2114</v>
      </c>
      <c r="AK2720" s="115">
        <v>15</v>
      </c>
      <c r="AL2720" s="115" t="s">
        <v>28</v>
      </c>
      <c r="AM2720" s="115" t="s">
        <v>1843</v>
      </c>
      <c r="AN2720" s="115" t="s">
        <v>1607</v>
      </c>
      <c r="AO2720" s="115" t="s">
        <v>1644</v>
      </c>
    </row>
    <row r="2721" spans="35:41" ht="13">
      <c r="AI2721" s="115" t="s">
        <v>1415</v>
      </c>
      <c r="AJ2721" t="s">
        <v>2114</v>
      </c>
      <c r="AK2721" s="115">
        <v>15</v>
      </c>
      <c r="AL2721" s="115" t="s">
        <v>28</v>
      </c>
      <c r="AM2721" s="115" t="s">
        <v>1846</v>
      </c>
      <c r="AN2721" s="115" t="s">
        <v>1607</v>
      </c>
      <c r="AO2721" s="115" t="s">
        <v>1274</v>
      </c>
    </row>
    <row r="2722" spans="35:41" ht="13">
      <c r="AI2722" s="115" t="s">
        <v>1415</v>
      </c>
      <c r="AJ2722" t="s">
        <v>2114</v>
      </c>
      <c r="AK2722" s="115">
        <v>15</v>
      </c>
      <c r="AL2722" s="115" t="s">
        <v>28</v>
      </c>
      <c r="AM2722" s="115" t="s">
        <v>1849</v>
      </c>
      <c r="AN2722" s="115" t="s">
        <v>1607</v>
      </c>
      <c r="AO2722" s="115" t="s">
        <v>1274</v>
      </c>
    </row>
    <row r="2723" spans="35:41" ht="13">
      <c r="AI2723" s="115" t="s">
        <v>1415</v>
      </c>
      <c r="AJ2723" t="s">
        <v>2114</v>
      </c>
      <c r="AK2723" s="115">
        <v>15</v>
      </c>
      <c r="AL2723" s="115" t="s">
        <v>28</v>
      </c>
      <c r="AM2723" s="115" t="s">
        <v>1843</v>
      </c>
      <c r="AN2723" s="115" t="s">
        <v>1607</v>
      </c>
      <c r="AO2723" s="115" t="s">
        <v>1274</v>
      </c>
    </row>
    <row r="2724" spans="35:41" ht="13">
      <c r="AI2724" s="115" t="s">
        <v>1415</v>
      </c>
      <c r="AJ2724" t="s">
        <v>2114</v>
      </c>
      <c r="AK2724" s="115">
        <v>15</v>
      </c>
      <c r="AL2724" s="115" t="s">
        <v>28</v>
      </c>
      <c r="AM2724" s="115" t="s">
        <v>1848</v>
      </c>
      <c r="AN2724" s="115" t="s">
        <v>1607</v>
      </c>
      <c r="AO2724" s="115" t="s">
        <v>1274</v>
      </c>
    </row>
    <row r="2725" spans="35:41" ht="13">
      <c r="AI2725" s="115" t="s">
        <v>1415</v>
      </c>
      <c r="AJ2725" t="s">
        <v>2114</v>
      </c>
      <c r="AK2725" s="115">
        <v>15</v>
      </c>
      <c r="AL2725" s="115" t="s">
        <v>28</v>
      </c>
      <c r="AM2725" s="115" t="s">
        <v>1850</v>
      </c>
      <c r="AN2725" s="115" t="s">
        <v>1607</v>
      </c>
      <c r="AO2725" s="115" t="s">
        <v>1274</v>
      </c>
    </row>
    <row r="2726" spans="35:41" ht="13">
      <c r="AI2726" s="115" t="s">
        <v>1415</v>
      </c>
      <c r="AJ2726" t="s">
        <v>2114</v>
      </c>
      <c r="AK2726" s="115">
        <v>15</v>
      </c>
      <c r="AL2726" s="115" t="s">
        <v>28</v>
      </c>
      <c r="AM2726" s="115" t="s">
        <v>1832</v>
      </c>
      <c r="AN2726" s="115" t="s">
        <v>1607</v>
      </c>
      <c r="AO2726" s="115" t="s">
        <v>1274</v>
      </c>
    </row>
    <row r="2727" spans="35:41" ht="13">
      <c r="AI2727" s="115" t="s">
        <v>1415</v>
      </c>
      <c r="AJ2727" t="s">
        <v>2114</v>
      </c>
      <c r="AK2727" s="115">
        <v>15</v>
      </c>
      <c r="AL2727" s="115" t="s">
        <v>28</v>
      </c>
      <c r="AM2727" s="115" t="s">
        <v>1832</v>
      </c>
      <c r="AN2727" s="115" t="s">
        <v>1607</v>
      </c>
      <c r="AO2727" s="115" t="s">
        <v>381</v>
      </c>
    </row>
    <row r="2728" spans="35:41" ht="13">
      <c r="AI2728" s="115" t="s">
        <v>1415</v>
      </c>
      <c r="AJ2728" t="s">
        <v>2114</v>
      </c>
      <c r="AK2728" s="115">
        <v>15</v>
      </c>
      <c r="AL2728" s="115" t="s">
        <v>28</v>
      </c>
      <c r="AM2728" s="115" t="s">
        <v>1848</v>
      </c>
      <c r="AN2728" s="115" t="s">
        <v>1607</v>
      </c>
      <c r="AO2728" s="115" t="s">
        <v>381</v>
      </c>
    </row>
    <row r="2729" spans="35:41" ht="13">
      <c r="AI2729" s="115" t="s">
        <v>1415</v>
      </c>
      <c r="AJ2729" t="s">
        <v>2114</v>
      </c>
      <c r="AK2729" s="115">
        <v>15</v>
      </c>
      <c r="AL2729" s="115" t="s">
        <v>28</v>
      </c>
      <c r="AM2729" s="115" t="s">
        <v>1850</v>
      </c>
      <c r="AN2729" s="115" t="s">
        <v>1607</v>
      </c>
      <c r="AO2729" s="115" t="s">
        <v>381</v>
      </c>
    </row>
    <row r="2730" spans="35:41" ht="13">
      <c r="AI2730" s="115" t="s">
        <v>1415</v>
      </c>
      <c r="AJ2730" t="s">
        <v>2114</v>
      </c>
      <c r="AK2730" s="115">
        <v>15</v>
      </c>
      <c r="AL2730" s="115" t="s">
        <v>28</v>
      </c>
      <c r="AM2730" s="115" t="s">
        <v>1849</v>
      </c>
      <c r="AN2730" s="115" t="s">
        <v>1607</v>
      </c>
      <c r="AO2730" s="115" t="s">
        <v>381</v>
      </c>
    </row>
    <row r="2731" spans="35:41" ht="13">
      <c r="AI2731" s="115" t="s">
        <v>1415</v>
      </c>
      <c r="AJ2731" t="s">
        <v>2114</v>
      </c>
      <c r="AK2731" s="115">
        <v>15</v>
      </c>
      <c r="AL2731" s="115" t="s">
        <v>28</v>
      </c>
      <c r="AM2731" s="115" t="s">
        <v>1846</v>
      </c>
      <c r="AN2731" s="115" t="s">
        <v>1607</v>
      </c>
      <c r="AO2731" s="115" t="s">
        <v>381</v>
      </c>
    </row>
    <row r="2732" spans="35:41" ht="13">
      <c r="AI2732" s="115" t="s">
        <v>1415</v>
      </c>
      <c r="AJ2732" t="s">
        <v>2114</v>
      </c>
      <c r="AK2732" s="115">
        <v>15</v>
      </c>
      <c r="AL2732" s="115" t="s">
        <v>28</v>
      </c>
      <c r="AM2732" s="115" t="s">
        <v>1843</v>
      </c>
      <c r="AN2732" s="115" t="s">
        <v>1607</v>
      </c>
      <c r="AO2732" s="115" t="s">
        <v>381</v>
      </c>
    </row>
    <row r="2733" spans="35:41" ht="13">
      <c r="AI2733" s="115" t="s">
        <v>1415</v>
      </c>
      <c r="AJ2733" t="s">
        <v>2114</v>
      </c>
      <c r="AK2733" s="115">
        <v>15</v>
      </c>
      <c r="AL2733" s="115" t="s">
        <v>28</v>
      </c>
      <c r="AM2733" s="115" t="s">
        <v>1832</v>
      </c>
      <c r="AN2733" s="115" t="s">
        <v>1607</v>
      </c>
      <c r="AO2733" s="115" t="s">
        <v>379</v>
      </c>
    </row>
    <row r="2734" spans="35:41" ht="13">
      <c r="AI2734" s="115" t="s">
        <v>1415</v>
      </c>
      <c r="AJ2734" t="s">
        <v>2114</v>
      </c>
      <c r="AK2734" s="115">
        <v>15</v>
      </c>
      <c r="AL2734" s="115" t="s">
        <v>28</v>
      </c>
      <c r="AM2734" s="115" t="s">
        <v>1849</v>
      </c>
      <c r="AN2734" s="115" t="s">
        <v>1607</v>
      </c>
      <c r="AO2734" s="115" t="s">
        <v>379</v>
      </c>
    </row>
    <row r="2735" spans="35:41" ht="13">
      <c r="AI2735" s="115" t="s">
        <v>1415</v>
      </c>
      <c r="AJ2735" t="s">
        <v>2114</v>
      </c>
      <c r="AK2735" s="115">
        <v>15</v>
      </c>
      <c r="AL2735" s="115" t="s">
        <v>28</v>
      </c>
      <c r="AM2735" s="115" t="s">
        <v>1848</v>
      </c>
      <c r="AN2735" s="115" t="s">
        <v>1607</v>
      </c>
      <c r="AO2735" s="115" t="s">
        <v>379</v>
      </c>
    </row>
    <row r="2736" spans="35:41" ht="13">
      <c r="AI2736" s="115" t="s">
        <v>1415</v>
      </c>
      <c r="AJ2736" t="s">
        <v>2114</v>
      </c>
      <c r="AK2736" s="115">
        <v>15</v>
      </c>
      <c r="AL2736" s="115" t="s">
        <v>28</v>
      </c>
      <c r="AM2736" s="115" t="s">
        <v>1843</v>
      </c>
      <c r="AN2736" s="115" t="s">
        <v>1607</v>
      </c>
      <c r="AO2736" s="115" t="s">
        <v>379</v>
      </c>
    </row>
    <row r="2737" spans="35:41" ht="13">
      <c r="AI2737" s="115" t="s">
        <v>1415</v>
      </c>
      <c r="AJ2737" t="s">
        <v>2114</v>
      </c>
      <c r="AK2737" s="115">
        <v>15</v>
      </c>
      <c r="AL2737" s="115" t="s">
        <v>28</v>
      </c>
      <c r="AM2737" s="115" t="s">
        <v>1846</v>
      </c>
      <c r="AN2737" s="115" t="s">
        <v>1607</v>
      </c>
      <c r="AO2737" s="115" t="s">
        <v>379</v>
      </c>
    </row>
    <row r="2738" spans="35:41" ht="13">
      <c r="AI2738" s="115" t="s">
        <v>1415</v>
      </c>
      <c r="AJ2738" t="s">
        <v>2114</v>
      </c>
      <c r="AK2738" s="115">
        <v>15</v>
      </c>
      <c r="AL2738" s="115" t="s">
        <v>28</v>
      </c>
      <c r="AM2738" s="115" t="s">
        <v>1850</v>
      </c>
      <c r="AN2738" s="115" t="s">
        <v>1607</v>
      </c>
      <c r="AO2738" s="115" t="s">
        <v>379</v>
      </c>
    </row>
    <row r="2739" spans="35:41" ht="13">
      <c r="AI2739" s="115" t="s">
        <v>1415</v>
      </c>
      <c r="AJ2739" t="s">
        <v>2114</v>
      </c>
      <c r="AK2739" s="115">
        <v>15</v>
      </c>
      <c r="AL2739" s="115" t="s">
        <v>28</v>
      </c>
      <c r="AM2739" s="115" t="s">
        <v>1832</v>
      </c>
      <c r="AN2739" s="115" t="s">
        <v>1607</v>
      </c>
      <c r="AO2739" s="115" t="s">
        <v>1645</v>
      </c>
    </row>
    <row r="2740" spans="35:41" ht="13">
      <c r="AI2740" s="115" t="s">
        <v>1415</v>
      </c>
      <c r="AJ2740" t="s">
        <v>2114</v>
      </c>
      <c r="AK2740" s="115">
        <v>15</v>
      </c>
      <c r="AL2740" s="115" t="s">
        <v>28</v>
      </c>
      <c r="AM2740" s="115" t="s">
        <v>1843</v>
      </c>
      <c r="AN2740" s="115" t="s">
        <v>1607</v>
      </c>
      <c r="AO2740" s="115" t="s">
        <v>1645</v>
      </c>
    </row>
    <row r="2741" spans="35:41" ht="13">
      <c r="AI2741" s="115" t="s">
        <v>1415</v>
      </c>
      <c r="AJ2741" t="s">
        <v>2114</v>
      </c>
      <c r="AK2741" s="115">
        <v>15</v>
      </c>
      <c r="AL2741" s="115" t="s">
        <v>28</v>
      </c>
      <c r="AM2741" s="115" t="s">
        <v>1846</v>
      </c>
      <c r="AN2741" s="115" t="s">
        <v>1607</v>
      </c>
      <c r="AO2741" s="115" t="s">
        <v>1645</v>
      </c>
    </row>
    <row r="2742" spans="35:41" ht="13">
      <c r="AI2742" s="115" t="s">
        <v>1415</v>
      </c>
      <c r="AJ2742" t="s">
        <v>2114</v>
      </c>
      <c r="AK2742" s="115">
        <v>15</v>
      </c>
      <c r="AL2742" s="115" t="s">
        <v>28</v>
      </c>
      <c r="AM2742" s="115" t="s">
        <v>1848</v>
      </c>
      <c r="AN2742" s="115" t="s">
        <v>1607</v>
      </c>
      <c r="AO2742" s="115" t="s">
        <v>1645</v>
      </c>
    </row>
    <row r="2743" spans="35:41" ht="13">
      <c r="AI2743" s="115" t="s">
        <v>1415</v>
      </c>
      <c r="AJ2743" t="s">
        <v>2114</v>
      </c>
      <c r="AK2743" s="115">
        <v>15</v>
      </c>
      <c r="AL2743" s="115" t="s">
        <v>28</v>
      </c>
      <c r="AM2743" s="115" t="s">
        <v>1850</v>
      </c>
      <c r="AN2743" s="115" t="s">
        <v>1607</v>
      </c>
      <c r="AO2743" s="115" t="s">
        <v>1645</v>
      </c>
    </row>
    <row r="2744" spans="35:41" ht="13">
      <c r="AI2744" s="115" t="s">
        <v>1415</v>
      </c>
      <c r="AJ2744" t="s">
        <v>2114</v>
      </c>
      <c r="AK2744" s="115">
        <v>15</v>
      </c>
      <c r="AL2744" s="115" t="s">
        <v>28</v>
      </c>
      <c r="AM2744" s="115" t="s">
        <v>1849</v>
      </c>
      <c r="AN2744" s="115" t="s">
        <v>1607</v>
      </c>
      <c r="AO2744" s="115" t="s">
        <v>1645</v>
      </c>
    </row>
    <row r="2745" spans="35:41" ht="13">
      <c r="AI2745" s="115" t="s">
        <v>1415</v>
      </c>
      <c r="AJ2745" t="s">
        <v>2114</v>
      </c>
      <c r="AK2745" s="115">
        <v>15</v>
      </c>
      <c r="AL2745" s="115" t="s">
        <v>28</v>
      </c>
      <c r="AM2745" s="115" t="s">
        <v>1843</v>
      </c>
      <c r="AN2745" s="115" t="s">
        <v>1607</v>
      </c>
      <c r="AO2745" s="115" t="s">
        <v>1646</v>
      </c>
    </row>
    <row r="2746" spans="35:41" ht="13">
      <c r="AI2746" s="115" t="s">
        <v>1415</v>
      </c>
      <c r="AJ2746" t="s">
        <v>2114</v>
      </c>
      <c r="AK2746" s="115">
        <v>15</v>
      </c>
      <c r="AL2746" s="115" t="s">
        <v>28</v>
      </c>
      <c r="AM2746" s="115" t="s">
        <v>1846</v>
      </c>
      <c r="AN2746" s="115" t="s">
        <v>1607</v>
      </c>
      <c r="AO2746" s="115" t="s">
        <v>1646</v>
      </c>
    </row>
    <row r="2747" spans="35:41" ht="13">
      <c r="AI2747" s="115" t="s">
        <v>1415</v>
      </c>
      <c r="AJ2747" t="s">
        <v>2114</v>
      </c>
      <c r="AK2747" s="115">
        <v>15</v>
      </c>
      <c r="AL2747" s="115" t="s">
        <v>28</v>
      </c>
      <c r="AM2747" s="115" t="s">
        <v>1843</v>
      </c>
      <c r="AN2747" s="115" t="s">
        <v>1607</v>
      </c>
      <c r="AO2747" s="115" t="s">
        <v>1647</v>
      </c>
    </row>
    <row r="2748" spans="35:41" ht="13">
      <c r="AI2748" s="115" t="s">
        <v>1415</v>
      </c>
      <c r="AJ2748" t="s">
        <v>2114</v>
      </c>
      <c r="AK2748" s="115">
        <v>15</v>
      </c>
      <c r="AL2748" s="115" t="s">
        <v>28</v>
      </c>
      <c r="AM2748" s="115" t="s">
        <v>1846</v>
      </c>
      <c r="AN2748" s="115" t="s">
        <v>1607</v>
      </c>
      <c r="AO2748" s="115" t="s">
        <v>1647</v>
      </c>
    </row>
    <row r="2749" spans="35:41" ht="13">
      <c r="AI2749" s="115" t="s">
        <v>1415</v>
      </c>
      <c r="AJ2749" t="s">
        <v>2114</v>
      </c>
      <c r="AK2749" s="115">
        <v>15</v>
      </c>
      <c r="AL2749" s="115" t="s">
        <v>28</v>
      </c>
      <c r="AM2749" s="115" t="s">
        <v>1846</v>
      </c>
      <c r="AN2749" s="115" t="s">
        <v>1607</v>
      </c>
      <c r="AO2749" s="115" t="s">
        <v>1639</v>
      </c>
    </row>
    <row r="2750" spans="35:41" ht="13">
      <c r="AI2750" s="115" t="s">
        <v>1415</v>
      </c>
      <c r="AJ2750" t="s">
        <v>2114</v>
      </c>
      <c r="AK2750" s="115">
        <v>15</v>
      </c>
      <c r="AL2750" s="115" t="s">
        <v>28</v>
      </c>
      <c r="AM2750" s="115" t="s">
        <v>1843</v>
      </c>
      <c r="AN2750" s="115" t="s">
        <v>1607</v>
      </c>
      <c r="AO2750" s="115" t="s">
        <v>1639</v>
      </c>
    </row>
    <row r="2751" spans="35:41" ht="13">
      <c r="AI2751" s="115" t="s">
        <v>1415</v>
      </c>
      <c r="AJ2751" t="s">
        <v>2114</v>
      </c>
      <c r="AK2751" s="115">
        <v>15</v>
      </c>
      <c r="AL2751" s="115" t="s">
        <v>28</v>
      </c>
      <c r="AM2751" s="115" t="s">
        <v>1849</v>
      </c>
      <c r="AN2751" s="115" t="s">
        <v>1607</v>
      </c>
      <c r="AO2751" s="115" t="s">
        <v>373</v>
      </c>
    </row>
    <row r="2752" spans="35:41" ht="13">
      <c r="AI2752" s="115" t="s">
        <v>1415</v>
      </c>
      <c r="AJ2752" t="s">
        <v>2114</v>
      </c>
      <c r="AK2752" s="115">
        <v>15</v>
      </c>
      <c r="AL2752" s="115" t="s">
        <v>28</v>
      </c>
      <c r="AM2752" s="115" t="s">
        <v>1843</v>
      </c>
      <c r="AN2752" s="115" t="s">
        <v>1607</v>
      </c>
      <c r="AO2752" s="115" t="s">
        <v>373</v>
      </c>
    </row>
    <row r="2753" spans="35:41" ht="13">
      <c r="AI2753" s="115" t="s">
        <v>1415</v>
      </c>
      <c r="AJ2753" t="s">
        <v>2114</v>
      </c>
      <c r="AK2753" s="115">
        <v>15</v>
      </c>
      <c r="AL2753" s="115" t="s">
        <v>28</v>
      </c>
      <c r="AM2753" s="115" t="s">
        <v>1832</v>
      </c>
      <c r="AN2753" s="115" t="s">
        <v>1607</v>
      </c>
      <c r="AO2753" s="115" t="s">
        <v>373</v>
      </c>
    </row>
    <row r="2754" spans="35:41" ht="13">
      <c r="AI2754" s="115" t="s">
        <v>1415</v>
      </c>
      <c r="AJ2754" t="s">
        <v>2114</v>
      </c>
      <c r="AK2754" s="115">
        <v>15</v>
      </c>
      <c r="AL2754" s="115" t="s">
        <v>28</v>
      </c>
      <c r="AM2754" s="115" t="s">
        <v>1846</v>
      </c>
      <c r="AN2754" s="115" t="s">
        <v>1607</v>
      </c>
      <c r="AO2754" s="115" t="s">
        <v>373</v>
      </c>
    </row>
    <row r="2755" spans="35:41" ht="13">
      <c r="AI2755" s="115" t="s">
        <v>1415</v>
      </c>
      <c r="AJ2755" t="s">
        <v>2114</v>
      </c>
      <c r="AK2755" s="115">
        <v>15</v>
      </c>
      <c r="AL2755" s="115" t="s">
        <v>28</v>
      </c>
      <c r="AM2755" s="115" t="s">
        <v>1850</v>
      </c>
      <c r="AN2755" s="115" t="s">
        <v>1607</v>
      </c>
      <c r="AO2755" s="115" t="s">
        <v>373</v>
      </c>
    </row>
    <row r="2756" spans="35:41" ht="13">
      <c r="AI2756" s="115" t="s">
        <v>1415</v>
      </c>
      <c r="AJ2756" t="s">
        <v>2114</v>
      </c>
      <c r="AK2756" s="115">
        <v>15</v>
      </c>
      <c r="AL2756" s="115" t="s">
        <v>28</v>
      </c>
      <c r="AM2756" s="115" t="s">
        <v>1848</v>
      </c>
      <c r="AN2756" s="115" t="s">
        <v>1607</v>
      </c>
      <c r="AO2756" s="115" t="s">
        <v>373</v>
      </c>
    </row>
    <row r="2757" spans="35:41" ht="13">
      <c r="AI2757" s="115" t="s">
        <v>1415</v>
      </c>
      <c r="AJ2757" t="s">
        <v>2114</v>
      </c>
      <c r="AK2757" s="115">
        <v>15</v>
      </c>
      <c r="AL2757" s="115" t="s">
        <v>28</v>
      </c>
      <c r="AM2757" s="115" t="s">
        <v>1849</v>
      </c>
      <c r="AN2757" s="115" t="s">
        <v>1607</v>
      </c>
      <c r="AO2757" s="115" t="s">
        <v>380</v>
      </c>
    </row>
    <row r="2758" spans="35:41" ht="13">
      <c r="AI2758" s="115" t="s">
        <v>1415</v>
      </c>
      <c r="AJ2758" t="s">
        <v>2114</v>
      </c>
      <c r="AK2758" s="115">
        <v>15</v>
      </c>
      <c r="AL2758" s="115" t="s">
        <v>28</v>
      </c>
      <c r="AM2758" s="115" t="s">
        <v>1850</v>
      </c>
      <c r="AN2758" s="115" t="s">
        <v>1607</v>
      </c>
      <c r="AO2758" s="115" t="s">
        <v>380</v>
      </c>
    </row>
    <row r="2759" spans="35:41" ht="13">
      <c r="AI2759" s="115" t="s">
        <v>1415</v>
      </c>
      <c r="AJ2759" t="s">
        <v>2114</v>
      </c>
      <c r="AK2759" s="115">
        <v>15</v>
      </c>
      <c r="AL2759" s="115" t="s">
        <v>28</v>
      </c>
      <c r="AM2759" s="115" t="s">
        <v>1843</v>
      </c>
      <c r="AN2759" s="115" t="s">
        <v>1607</v>
      </c>
      <c r="AO2759" s="115" t="s">
        <v>380</v>
      </c>
    </row>
    <row r="2760" spans="35:41" ht="13">
      <c r="AI2760" s="115" t="s">
        <v>1415</v>
      </c>
      <c r="AJ2760" t="s">
        <v>2114</v>
      </c>
      <c r="AK2760" s="115">
        <v>15</v>
      </c>
      <c r="AL2760" s="115" t="s">
        <v>28</v>
      </c>
      <c r="AM2760" s="115" t="s">
        <v>1848</v>
      </c>
      <c r="AN2760" s="115" t="s">
        <v>1607</v>
      </c>
      <c r="AO2760" s="115" t="s">
        <v>380</v>
      </c>
    </row>
    <row r="2761" spans="35:41" ht="13">
      <c r="AI2761" s="115" t="s">
        <v>1415</v>
      </c>
      <c r="AJ2761" t="s">
        <v>2114</v>
      </c>
      <c r="AK2761" s="115">
        <v>15</v>
      </c>
      <c r="AL2761" s="115" t="s">
        <v>28</v>
      </c>
      <c r="AM2761" s="115" t="s">
        <v>1846</v>
      </c>
      <c r="AN2761" s="115" t="s">
        <v>1607</v>
      </c>
      <c r="AO2761" s="115" t="s">
        <v>380</v>
      </c>
    </row>
    <row r="2762" spans="35:41" ht="13">
      <c r="AI2762" s="115" t="s">
        <v>1415</v>
      </c>
      <c r="AJ2762" t="s">
        <v>2114</v>
      </c>
      <c r="AK2762" s="115">
        <v>15</v>
      </c>
      <c r="AL2762" s="115" t="s">
        <v>28</v>
      </c>
      <c r="AM2762" s="115" t="s">
        <v>1832</v>
      </c>
      <c r="AN2762" s="115" t="s">
        <v>1607</v>
      </c>
      <c r="AO2762" s="115" t="s">
        <v>380</v>
      </c>
    </row>
    <row r="2763" spans="35:41" ht="13">
      <c r="AI2763" s="115" t="s">
        <v>1415</v>
      </c>
      <c r="AJ2763" t="s">
        <v>2114</v>
      </c>
      <c r="AK2763" s="115">
        <v>15</v>
      </c>
      <c r="AL2763" s="115" t="s">
        <v>28</v>
      </c>
      <c r="AM2763" s="115" t="s">
        <v>1832</v>
      </c>
      <c r="AN2763" s="115" t="s">
        <v>1608</v>
      </c>
      <c r="AO2763" s="115" t="s">
        <v>1644</v>
      </c>
    </row>
    <row r="2764" spans="35:41" ht="13">
      <c r="AI2764" s="115" t="s">
        <v>1415</v>
      </c>
      <c r="AJ2764" t="s">
        <v>2114</v>
      </c>
      <c r="AK2764" s="115">
        <v>15</v>
      </c>
      <c r="AL2764" s="115" t="s">
        <v>28</v>
      </c>
      <c r="AM2764" s="115" t="s">
        <v>1850</v>
      </c>
      <c r="AN2764" s="115" t="s">
        <v>1608</v>
      </c>
      <c r="AO2764" s="115" t="s">
        <v>1644</v>
      </c>
    </row>
    <row r="2765" spans="35:41" ht="13">
      <c r="AI2765" s="115" t="s">
        <v>1415</v>
      </c>
      <c r="AJ2765" t="s">
        <v>2114</v>
      </c>
      <c r="AK2765" s="115">
        <v>15</v>
      </c>
      <c r="AL2765" s="115" t="s">
        <v>28</v>
      </c>
      <c r="AM2765" s="115" t="s">
        <v>1843</v>
      </c>
      <c r="AN2765" s="115" t="s">
        <v>1608</v>
      </c>
      <c r="AO2765" s="115" t="s">
        <v>1644</v>
      </c>
    </row>
    <row r="2766" spans="35:41" ht="13">
      <c r="AI2766" s="115" t="s">
        <v>1415</v>
      </c>
      <c r="AJ2766" t="s">
        <v>2114</v>
      </c>
      <c r="AK2766" s="115">
        <v>15</v>
      </c>
      <c r="AL2766" s="115" t="s">
        <v>28</v>
      </c>
      <c r="AM2766" s="115" t="s">
        <v>1848</v>
      </c>
      <c r="AN2766" s="115" t="s">
        <v>1608</v>
      </c>
      <c r="AO2766" s="115" t="s">
        <v>1644</v>
      </c>
    </row>
    <row r="2767" spans="35:41" ht="13">
      <c r="AI2767" s="115" t="s">
        <v>1415</v>
      </c>
      <c r="AJ2767" t="s">
        <v>2114</v>
      </c>
      <c r="AK2767" s="115">
        <v>15</v>
      </c>
      <c r="AL2767" s="115" t="s">
        <v>28</v>
      </c>
      <c r="AM2767" s="115" t="s">
        <v>1849</v>
      </c>
      <c r="AN2767" s="115" t="s">
        <v>1608</v>
      </c>
      <c r="AO2767" s="115" t="s">
        <v>1274</v>
      </c>
    </row>
    <row r="2768" spans="35:41" ht="13">
      <c r="AI2768" s="115" t="s">
        <v>1415</v>
      </c>
      <c r="AJ2768" t="s">
        <v>2114</v>
      </c>
      <c r="AK2768" s="115">
        <v>15</v>
      </c>
      <c r="AL2768" s="115" t="s">
        <v>28</v>
      </c>
      <c r="AM2768" s="115" t="s">
        <v>1843</v>
      </c>
      <c r="AN2768" s="115" t="s">
        <v>1608</v>
      </c>
      <c r="AO2768" s="115" t="s">
        <v>1274</v>
      </c>
    </row>
    <row r="2769" spans="35:41" ht="13">
      <c r="AI2769" s="115" t="s">
        <v>1415</v>
      </c>
      <c r="AJ2769" t="s">
        <v>2114</v>
      </c>
      <c r="AK2769" s="115">
        <v>15</v>
      </c>
      <c r="AL2769" s="115" t="s">
        <v>28</v>
      </c>
      <c r="AM2769" s="115" t="s">
        <v>1832</v>
      </c>
      <c r="AN2769" s="115" t="s">
        <v>1608</v>
      </c>
      <c r="AO2769" s="115" t="s">
        <v>1274</v>
      </c>
    </row>
    <row r="2770" spans="35:41" ht="13">
      <c r="AI2770" s="115" t="s">
        <v>1415</v>
      </c>
      <c r="AJ2770" t="s">
        <v>2114</v>
      </c>
      <c r="AK2770" s="115">
        <v>15</v>
      </c>
      <c r="AL2770" s="115" t="s">
        <v>28</v>
      </c>
      <c r="AM2770" s="115" t="s">
        <v>1850</v>
      </c>
      <c r="AN2770" s="115" t="s">
        <v>1608</v>
      </c>
      <c r="AO2770" s="115" t="s">
        <v>1274</v>
      </c>
    </row>
    <row r="2771" spans="35:41" ht="13">
      <c r="AI2771" s="115" t="s">
        <v>1415</v>
      </c>
      <c r="AJ2771" t="s">
        <v>2114</v>
      </c>
      <c r="AK2771" s="115">
        <v>15</v>
      </c>
      <c r="AL2771" s="115" t="s">
        <v>28</v>
      </c>
      <c r="AM2771" s="115" t="s">
        <v>1848</v>
      </c>
      <c r="AN2771" s="115" t="s">
        <v>1608</v>
      </c>
      <c r="AO2771" s="115" t="s">
        <v>1274</v>
      </c>
    </row>
    <row r="2772" spans="35:41" ht="13">
      <c r="AI2772" s="115" t="s">
        <v>1415</v>
      </c>
      <c r="AJ2772" t="s">
        <v>2114</v>
      </c>
      <c r="AK2772" s="115">
        <v>15</v>
      </c>
      <c r="AL2772" s="115" t="s">
        <v>28</v>
      </c>
      <c r="AM2772" s="115" t="s">
        <v>1846</v>
      </c>
      <c r="AN2772" s="115" t="s">
        <v>1608</v>
      </c>
      <c r="AO2772" s="115" t="s">
        <v>1274</v>
      </c>
    </row>
    <row r="2773" spans="35:41" ht="13">
      <c r="AI2773" s="115" t="s">
        <v>1415</v>
      </c>
      <c r="AJ2773" t="s">
        <v>2114</v>
      </c>
      <c r="AK2773" s="115">
        <v>15</v>
      </c>
      <c r="AL2773" s="115" t="s">
        <v>28</v>
      </c>
      <c r="AM2773" s="115" t="s">
        <v>1848</v>
      </c>
      <c r="AN2773" s="115" t="s">
        <v>1608</v>
      </c>
      <c r="AO2773" s="115" t="s">
        <v>381</v>
      </c>
    </row>
    <row r="2774" spans="35:41" ht="13">
      <c r="AI2774" s="115" t="s">
        <v>1415</v>
      </c>
      <c r="AJ2774" t="s">
        <v>2114</v>
      </c>
      <c r="AK2774" s="115">
        <v>15</v>
      </c>
      <c r="AL2774" s="115" t="s">
        <v>28</v>
      </c>
      <c r="AM2774" s="115" t="s">
        <v>1849</v>
      </c>
      <c r="AN2774" s="115" t="s">
        <v>1608</v>
      </c>
      <c r="AO2774" s="115" t="s">
        <v>381</v>
      </c>
    </row>
    <row r="2775" spans="35:41" ht="13">
      <c r="AI2775" s="115" t="s">
        <v>1415</v>
      </c>
      <c r="AJ2775" t="s">
        <v>2114</v>
      </c>
      <c r="AK2775" s="115">
        <v>15</v>
      </c>
      <c r="AL2775" s="115" t="s">
        <v>28</v>
      </c>
      <c r="AM2775" s="115" t="s">
        <v>1832</v>
      </c>
      <c r="AN2775" s="115" t="s">
        <v>1608</v>
      </c>
      <c r="AO2775" s="115" t="s">
        <v>381</v>
      </c>
    </row>
    <row r="2776" spans="35:41" ht="13">
      <c r="AI2776" s="115" t="s">
        <v>1415</v>
      </c>
      <c r="AJ2776" t="s">
        <v>2114</v>
      </c>
      <c r="AK2776" s="115">
        <v>15</v>
      </c>
      <c r="AL2776" s="115" t="s">
        <v>28</v>
      </c>
      <c r="AM2776" s="115" t="s">
        <v>1850</v>
      </c>
      <c r="AN2776" s="115" t="s">
        <v>1608</v>
      </c>
      <c r="AO2776" s="115" t="s">
        <v>381</v>
      </c>
    </row>
    <row r="2777" spans="35:41" ht="13">
      <c r="AI2777" s="115" t="s">
        <v>1415</v>
      </c>
      <c r="AJ2777" t="s">
        <v>2114</v>
      </c>
      <c r="AK2777" s="115">
        <v>15</v>
      </c>
      <c r="AL2777" s="115" t="s">
        <v>28</v>
      </c>
      <c r="AM2777" s="115" t="s">
        <v>1843</v>
      </c>
      <c r="AN2777" s="115" t="s">
        <v>1608</v>
      </c>
      <c r="AO2777" s="115" t="s">
        <v>381</v>
      </c>
    </row>
    <row r="2778" spans="35:41" ht="13">
      <c r="AI2778" s="115" t="s">
        <v>1415</v>
      </c>
      <c r="AJ2778" t="s">
        <v>2114</v>
      </c>
      <c r="AK2778" s="115">
        <v>15</v>
      </c>
      <c r="AL2778" s="115" t="s">
        <v>28</v>
      </c>
      <c r="AM2778" s="115" t="s">
        <v>1846</v>
      </c>
      <c r="AN2778" s="115" t="s">
        <v>1608</v>
      </c>
      <c r="AO2778" s="115" t="s">
        <v>381</v>
      </c>
    </row>
    <row r="2779" spans="35:41" ht="13">
      <c r="AI2779" s="115" t="s">
        <v>1415</v>
      </c>
      <c r="AJ2779" t="s">
        <v>2114</v>
      </c>
      <c r="AK2779" s="115">
        <v>15</v>
      </c>
      <c r="AL2779" s="115" t="s">
        <v>28</v>
      </c>
      <c r="AM2779" s="115" t="s">
        <v>1846</v>
      </c>
      <c r="AN2779" s="115" t="s">
        <v>1608</v>
      </c>
      <c r="AO2779" s="115" t="s">
        <v>379</v>
      </c>
    </row>
    <row r="2780" spans="35:41" ht="13">
      <c r="AI2780" s="115" t="s">
        <v>1415</v>
      </c>
      <c r="AJ2780" t="s">
        <v>2114</v>
      </c>
      <c r="AK2780" s="115">
        <v>15</v>
      </c>
      <c r="AL2780" s="115" t="s">
        <v>28</v>
      </c>
      <c r="AM2780" s="115" t="s">
        <v>1832</v>
      </c>
      <c r="AN2780" s="115" t="s">
        <v>1608</v>
      </c>
      <c r="AO2780" s="115" t="s">
        <v>379</v>
      </c>
    </row>
    <row r="2781" spans="35:41" ht="13">
      <c r="AI2781" s="115" t="s">
        <v>1415</v>
      </c>
      <c r="AJ2781" t="s">
        <v>2114</v>
      </c>
      <c r="AK2781" s="115">
        <v>15</v>
      </c>
      <c r="AL2781" s="115" t="s">
        <v>28</v>
      </c>
      <c r="AM2781" s="115" t="s">
        <v>1848</v>
      </c>
      <c r="AN2781" s="115" t="s">
        <v>1608</v>
      </c>
      <c r="AO2781" s="115" t="s">
        <v>379</v>
      </c>
    </row>
    <row r="2782" spans="35:41" ht="13">
      <c r="AI2782" s="115" t="s">
        <v>1415</v>
      </c>
      <c r="AJ2782" t="s">
        <v>2114</v>
      </c>
      <c r="AK2782" s="115">
        <v>15</v>
      </c>
      <c r="AL2782" s="115" t="s">
        <v>28</v>
      </c>
      <c r="AM2782" s="115" t="s">
        <v>1843</v>
      </c>
      <c r="AN2782" s="115" t="s">
        <v>1608</v>
      </c>
      <c r="AO2782" s="115" t="s">
        <v>379</v>
      </c>
    </row>
    <row r="2783" spans="35:41" ht="13">
      <c r="AI2783" s="115" t="s">
        <v>1415</v>
      </c>
      <c r="AJ2783" t="s">
        <v>2114</v>
      </c>
      <c r="AK2783" s="115">
        <v>15</v>
      </c>
      <c r="AL2783" s="115" t="s">
        <v>28</v>
      </c>
      <c r="AM2783" s="115" t="s">
        <v>1850</v>
      </c>
      <c r="AN2783" s="115" t="s">
        <v>1608</v>
      </c>
      <c r="AO2783" s="115" t="s">
        <v>379</v>
      </c>
    </row>
    <row r="2784" spans="35:41" ht="13">
      <c r="AI2784" s="115" t="s">
        <v>1415</v>
      </c>
      <c r="AJ2784" t="s">
        <v>2114</v>
      </c>
      <c r="AK2784" s="115">
        <v>15</v>
      </c>
      <c r="AL2784" s="115" t="s">
        <v>28</v>
      </c>
      <c r="AM2784" s="115" t="s">
        <v>1849</v>
      </c>
      <c r="AN2784" s="115" t="s">
        <v>1608</v>
      </c>
      <c r="AO2784" s="115" t="s">
        <v>379</v>
      </c>
    </row>
    <row r="2785" spans="35:41" ht="13">
      <c r="AI2785" s="115" t="s">
        <v>1415</v>
      </c>
      <c r="AJ2785" t="s">
        <v>2114</v>
      </c>
      <c r="AK2785" s="115">
        <v>15</v>
      </c>
      <c r="AL2785" s="115" t="s">
        <v>28</v>
      </c>
      <c r="AM2785" s="115" t="s">
        <v>1843</v>
      </c>
      <c r="AN2785" s="115" t="s">
        <v>1608</v>
      </c>
      <c r="AO2785" s="115" t="s">
        <v>1645</v>
      </c>
    </row>
    <row r="2786" spans="35:41" ht="13">
      <c r="AI2786" s="115" t="s">
        <v>1415</v>
      </c>
      <c r="AJ2786" t="s">
        <v>2114</v>
      </c>
      <c r="AK2786" s="115">
        <v>15</v>
      </c>
      <c r="AL2786" s="115" t="s">
        <v>28</v>
      </c>
      <c r="AM2786" s="115" t="s">
        <v>1832</v>
      </c>
      <c r="AN2786" s="115" t="s">
        <v>1608</v>
      </c>
      <c r="AO2786" s="115" t="s">
        <v>1645</v>
      </c>
    </row>
    <row r="2787" spans="35:41" ht="13">
      <c r="AI2787" s="115" t="s">
        <v>1415</v>
      </c>
      <c r="AJ2787" t="s">
        <v>2114</v>
      </c>
      <c r="AK2787" s="115">
        <v>15</v>
      </c>
      <c r="AL2787" s="115" t="s">
        <v>28</v>
      </c>
      <c r="AM2787" s="115" t="s">
        <v>1846</v>
      </c>
      <c r="AN2787" s="115" t="s">
        <v>1608</v>
      </c>
      <c r="AO2787" s="115" t="s">
        <v>1645</v>
      </c>
    </row>
    <row r="2788" spans="35:41" ht="13">
      <c r="AI2788" s="115" t="s">
        <v>1415</v>
      </c>
      <c r="AJ2788" t="s">
        <v>2114</v>
      </c>
      <c r="AK2788" s="115">
        <v>15</v>
      </c>
      <c r="AL2788" s="115" t="s">
        <v>28</v>
      </c>
      <c r="AM2788" s="115" t="s">
        <v>1849</v>
      </c>
      <c r="AN2788" s="115" t="s">
        <v>1608</v>
      </c>
      <c r="AO2788" s="115" t="s">
        <v>1645</v>
      </c>
    </row>
    <row r="2789" spans="35:41" ht="13">
      <c r="AI2789" s="115" t="s">
        <v>1415</v>
      </c>
      <c r="AJ2789" t="s">
        <v>2114</v>
      </c>
      <c r="AK2789" s="115">
        <v>15</v>
      </c>
      <c r="AL2789" s="115" t="s">
        <v>28</v>
      </c>
      <c r="AM2789" s="115" t="s">
        <v>1850</v>
      </c>
      <c r="AN2789" s="115" t="s">
        <v>1608</v>
      </c>
      <c r="AO2789" s="115" t="s">
        <v>1645</v>
      </c>
    </row>
    <row r="2790" spans="35:41" ht="13">
      <c r="AI2790" s="115" t="s">
        <v>1415</v>
      </c>
      <c r="AJ2790" t="s">
        <v>2114</v>
      </c>
      <c r="AK2790" s="115">
        <v>15</v>
      </c>
      <c r="AL2790" s="115" t="s">
        <v>28</v>
      </c>
      <c r="AM2790" s="115" t="s">
        <v>1848</v>
      </c>
      <c r="AN2790" s="115" t="s">
        <v>1608</v>
      </c>
      <c r="AO2790" s="115" t="s">
        <v>1645</v>
      </c>
    </row>
    <row r="2791" spans="35:41" ht="13">
      <c r="AI2791" s="115" t="s">
        <v>1415</v>
      </c>
      <c r="AJ2791" t="s">
        <v>2114</v>
      </c>
      <c r="AK2791" s="115">
        <v>15</v>
      </c>
      <c r="AL2791" s="115" t="s">
        <v>28</v>
      </c>
      <c r="AM2791" s="115" t="s">
        <v>1846</v>
      </c>
      <c r="AN2791" s="115" t="s">
        <v>1608</v>
      </c>
      <c r="AO2791" s="115" t="s">
        <v>1646</v>
      </c>
    </row>
    <row r="2792" spans="35:41" ht="13">
      <c r="AI2792" s="115" t="s">
        <v>1415</v>
      </c>
      <c r="AJ2792" t="s">
        <v>2114</v>
      </c>
      <c r="AK2792" s="115">
        <v>15</v>
      </c>
      <c r="AL2792" s="115" t="s">
        <v>28</v>
      </c>
      <c r="AM2792" s="115" t="s">
        <v>1843</v>
      </c>
      <c r="AN2792" s="115" t="s">
        <v>1608</v>
      </c>
      <c r="AO2792" s="115" t="s">
        <v>1646</v>
      </c>
    </row>
    <row r="2793" spans="35:41" ht="13">
      <c r="AI2793" s="115" t="s">
        <v>1415</v>
      </c>
      <c r="AJ2793" t="s">
        <v>2114</v>
      </c>
      <c r="AK2793" s="115">
        <v>15</v>
      </c>
      <c r="AL2793" s="115" t="s">
        <v>28</v>
      </c>
      <c r="AM2793" s="115" t="s">
        <v>1843</v>
      </c>
      <c r="AN2793" s="115" t="s">
        <v>1608</v>
      </c>
      <c r="AO2793" s="115" t="s">
        <v>1647</v>
      </c>
    </row>
    <row r="2794" spans="35:41" ht="13">
      <c r="AI2794" s="115" t="s">
        <v>1415</v>
      </c>
      <c r="AJ2794" t="s">
        <v>2114</v>
      </c>
      <c r="AK2794" s="115">
        <v>15</v>
      </c>
      <c r="AL2794" s="115" t="s">
        <v>28</v>
      </c>
      <c r="AM2794" s="115" t="s">
        <v>1846</v>
      </c>
      <c r="AN2794" s="115" t="s">
        <v>1608</v>
      </c>
      <c r="AO2794" s="115" t="s">
        <v>1647</v>
      </c>
    </row>
    <row r="2795" spans="35:41" ht="13">
      <c r="AI2795" s="115" t="s">
        <v>1415</v>
      </c>
      <c r="AJ2795" t="s">
        <v>2114</v>
      </c>
      <c r="AK2795" s="115">
        <v>15</v>
      </c>
      <c r="AL2795" s="115" t="s">
        <v>28</v>
      </c>
      <c r="AM2795" s="115" t="s">
        <v>1846</v>
      </c>
      <c r="AN2795" s="115" t="s">
        <v>1608</v>
      </c>
      <c r="AO2795" s="115" t="s">
        <v>1639</v>
      </c>
    </row>
    <row r="2796" spans="35:41" ht="13">
      <c r="AI2796" s="115" t="s">
        <v>1415</v>
      </c>
      <c r="AJ2796" t="s">
        <v>2114</v>
      </c>
      <c r="AK2796" s="115">
        <v>15</v>
      </c>
      <c r="AL2796" s="115" t="s">
        <v>28</v>
      </c>
      <c r="AM2796" s="115" t="s">
        <v>1843</v>
      </c>
      <c r="AN2796" s="115" t="s">
        <v>1608</v>
      </c>
      <c r="AO2796" s="115" t="s">
        <v>1639</v>
      </c>
    </row>
    <row r="2797" spans="35:41" ht="13">
      <c r="AI2797" s="115" t="s">
        <v>1415</v>
      </c>
      <c r="AJ2797" t="s">
        <v>2114</v>
      </c>
      <c r="AK2797" s="115">
        <v>15</v>
      </c>
      <c r="AL2797" s="115" t="s">
        <v>28</v>
      </c>
      <c r="AM2797" s="115" t="s">
        <v>1849</v>
      </c>
      <c r="AN2797" s="115" t="s">
        <v>1608</v>
      </c>
      <c r="AO2797" s="115" t="s">
        <v>373</v>
      </c>
    </row>
    <row r="2798" spans="35:41" ht="13">
      <c r="AI2798" s="115" t="s">
        <v>1415</v>
      </c>
      <c r="AJ2798" t="s">
        <v>2114</v>
      </c>
      <c r="AK2798" s="115">
        <v>15</v>
      </c>
      <c r="AL2798" s="115" t="s">
        <v>28</v>
      </c>
      <c r="AM2798" s="115" t="s">
        <v>1832</v>
      </c>
      <c r="AN2798" s="115" t="s">
        <v>1608</v>
      </c>
      <c r="AO2798" s="115" t="s">
        <v>373</v>
      </c>
    </row>
    <row r="2799" spans="35:41" ht="13">
      <c r="AI2799" s="115" t="s">
        <v>1415</v>
      </c>
      <c r="AJ2799" t="s">
        <v>2114</v>
      </c>
      <c r="AK2799" s="115">
        <v>15</v>
      </c>
      <c r="AL2799" s="115" t="s">
        <v>28</v>
      </c>
      <c r="AM2799" s="115" t="s">
        <v>1850</v>
      </c>
      <c r="AN2799" s="115" t="s">
        <v>1608</v>
      </c>
      <c r="AO2799" s="115" t="s">
        <v>373</v>
      </c>
    </row>
    <row r="2800" spans="35:41" ht="13">
      <c r="AI2800" s="115" t="s">
        <v>1415</v>
      </c>
      <c r="AJ2800" t="s">
        <v>2114</v>
      </c>
      <c r="AK2800" s="115">
        <v>15</v>
      </c>
      <c r="AL2800" s="115" t="s">
        <v>28</v>
      </c>
      <c r="AM2800" s="115" t="s">
        <v>1846</v>
      </c>
      <c r="AN2800" s="115" t="s">
        <v>1608</v>
      </c>
      <c r="AO2800" s="115" t="s">
        <v>373</v>
      </c>
    </row>
    <row r="2801" spans="35:41" ht="13">
      <c r="AI2801" s="115" t="s">
        <v>1415</v>
      </c>
      <c r="AJ2801" t="s">
        <v>2114</v>
      </c>
      <c r="AK2801" s="115">
        <v>15</v>
      </c>
      <c r="AL2801" s="115" t="s">
        <v>28</v>
      </c>
      <c r="AM2801" s="115" t="s">
        <v>1848</v>
      </c>
      <c r="AN2801" s="115" t="s">
        <v>1608</v>
      </c>
      <c r="AO2801" s="115" t="s">
        <v>373</v>
      </c>
    </row>
    <row r="2802" spans="35:41" ht="13">
      <c r="AI2802" s="115" t="s">
        <v>1415</v>
      </c>
      <c r="AJ2802" t="s">
        <v>2114</v>
      </c>
      <c r="AK2802" s="115">
        <v>15</v>
      </c>
      <c r="AL2802" s="115" t="s">
        <v>28</v>
      </c>
      <c r="AM2802" s="115" t="s">
        <v>1843</v>
      </c>
      <c r="AN2802" s="115" t="s">
        <v>1608</v>
      </c>
      <c r="AO2802" s="115" t="s">
        <v>373</v>
      </c>
    </row>
    <row r="2803" spans="35:41" ht="13">
      <c r="AI2803" s="115" t="s">
        <v>1415</v>
      </c>
      <c r="AJ2803" t="s">
        <v>2114</v>
      </c>
      <c r="AK2803" s="115">
        <v>15</v>
      </c>
      <c r="AL2803" s="115" t="s">
        <v>28</v>
      </c>
      <c r="AM2803" s="115" t="s">
        <v>1849</v>
      </c>
      <c r="AN2803" s="115" t="s">
        <v>1608</v>
      </c>
      <c r="AO2803" s="115" t="s">
        <v>380</v>
      </c>
    </row>
    <row r="2804" spans="35:41" ht="13">
      <c r="AI2804" s="115" t="s">
        <v>1415</v>
      </c>
      <c r="AJ2804" t="s">
        <v>2114</v>
      </c>
      <c r="AK2804" s="115">
        <v>15</v>
      </c>
      <c r="AL2804" s="115" t="s">
        <v>28</v>
      </c>
      <c r="AM2804" s="115" t="s">
        <v>1850</v>
      </c>
      <c r="AN2804" s="115" t="s">
        <v>1608</v>
      </c>
      <c r="AO2804" s="115" t="s">
        <v>380</v>
      </c>
    </row>
    <row r="2805" spans="35:41" ht="13">
      <c r="AI2805" s="115" t="s">
        <v>1415</v>
      </c>
      <c r="AJ2805" t="s">
        <v>2114</v>
      </c>
      <c r="AK2805" s="115">
        <v>15</v>
      </c>
      <c r="AL2805" s="115" t="s">
        <v>28</v>
      </c>
      <c r="AM2805" s="115" t="s">
        <v>1832</v>
      </c>
      <c r="AN2805" s="115" t="s">
        <v>1608</v>
      </c>
      <c r="AO2805" s="115" t="s">
        <v>380</v>
      </c>
    </row>
    <row r="2806" spans="35:41" ht="13">
      <c r="AI2806" s="115" t="s">
        <v>1415</v>
      </c>
      <c r="AJ2806" t="s">
        <v>2114</v>
      </c>
      <c r="AK2806" s="115">
        <v>15</v>
      </c>
      <c r="AL2806" s="115" t="s">
        <v>28</v>
      </c>
      <c r="AM2806" s="115" t="s">
        <v>1848</v>
      </c>
      <c r="AN2806" s="115" t="s">
        <v>1608</v>
      </c>
      <c r="AO2806" s="115" t="s">
        <v>380</v>
      </c>
    </row>
    <row r="2807" spans="35:41" ht="13">
      <c r="AI2807" s="115" t="s">
        <v>1415</v>
      </c>
      <c r="AJ2807" t="s">
        <v>2114</v>
      </c>
      <c r="AK2807" s="115">
        <v>15</v>
      </c>
      <c r="AL2807" s="115" t="s">
        <v>28</v>
      </c>
      <c r="AM2807" s="115" t="s">
        <v>1846</v>
      </c>
      <c r="AN2807" s="115" t="s">
        <v>1608</v>
      </c>
      <c r="AO2807" s="115" t="s">
        <v>380</v>
      </c>
    </row>
    <row r="2808" spans="35:41" ht="13">
      <c r="AI2808" s="115" t="s">
        <v>1415</v>
      </c>
      <c r="AJ2808" t="s">
        <v>2114</v>
      </c>
      <c r="AK2808" s="115">
        <v>15</v>
      </c>
      <c r="AL2808" s="115" t="s">
        <v>28</v>
      </c>
      <c r="AM2808" s="115" t="s">
        <v>1843</v>
      </c>
      <c r="AN2808" s="115" t="s">
        <v>1608</v>
      </c>
      <c r="AO2808" s="115" t="s">
        <v>380</v>
      </c>
    </row>
    <row r="2809" spans="35:41" ht="13">
      <c r="AI2809" s="115" t="s">
        <v>1415</v>
      </c>
      <c r="AJ2809" t="s">
        <v>2114</v>
      </c>
      <c r="AK2809" s="115">
        <v>15</v>
      </c>
      <c r="AL2809" s="115" t="s">
        <v>28</v>
      </c>
      <c r="AM2809" s="115" t="s">
        <v>1832</v>
      </c>
      <c r="AN2809" s="115" t="s">
        <v>1606</v>
      </c>
      <c r="AO2809" s="115" t="s">
        <v>1644</v>
      </c>
    </row>
    <row r="2810" spans="35:41" ht="13">
      <c r="AI2810" s="115" t="s">
        <v>1415</v>
      </c>
      <c r="AJ2810" t="s">
        <v>2114</v>
      </c>
      <c r="AK2810" s="115">
        <v>15</v>
      </c>
      <c r="AL2810" s="115" t="s">
        <v>28</v>
      </c>
      <c r="AM2810" s="115" t="s">
        <v>1843</v>
      </c>
      <c r="AN2810" s="115" t="s">
        <v>1606</v>
      </c>
      <c r="AO2810" s="115" t="s">
        <v>1644</v>
      </c>
    </row>
    <row r="2811" spans="35:41" ht="13">
      <c r="AI2811" s="115" t="s">
        <v>1415</v>
      </c>
      <c r="AJ2811" t="s">
        <v>2114</v>
      </c>
      <c r="AK2811" s="115">
        <v>15</v>
      </c>
      <c r="AL2811" s="115" t="s">
        <v>28</v>
      </c>
      <c r="AM2811" s="115" t="s">
        <v>1848</v>
      </c>
      <c r="AN2811" s="115" t="s">
        <v>1606</v>
      </c>
      <c r="AO2811" s="115" t="s">
        <v>1644</v>
      </c>
    </row>
    <row r="2812" spans="35:41" ht="13">
      <c r="AI2812" s="115" t="s">
        <v>1415</v>
      </c>
      <c r="AJ2812" t="s">
        <v>2114</v>
      </c>
      <c r="AK2812" s="115">
        <v>15</v>
      </c>
      <c r="AL2812" s="115" t="s">
        <v>28</v>
      </c>
      <c r="AM2812" s="115" t="s">
        <v>1850</v>
      </c>
      <c r="AN2812" s="115" t="s">
        <v>1606</v>
      </c>
      <c r="AO2812" s="115" t="s">
        <v>1644</v>
      </c>
    </row>
    <row r="2813" spans="35:41" ht="13">
      <c r="AI2813" s="115" t="s">
        <v>1415</v>
      </c>
      <c r="AJ2813" t="s">
        <v>2114</v>
      </c>
      <c r="AK2813" s="115">
        <v>15</v>
      </c>
      <c r="AL2813" s="115" t="s">
        <v>28</v>
      </c>
      <c r="AM2813" s="115" t="s">
        <v>1832</v>
      </c>
      <c r="AN2813" s="115" t="s">
        <v>1606</v>
      </c>
      <c r="AO2813" s="115" t="s">
        <v>1274</v>
      </c>
    </row>
    <row r="2814" spans="35:41" ht="13">
      <c r="AI2814" s="115" t="s">
        <v>1415</v>
      </c>
      <c r="AJ2814" t="s">
        <v>2114</v>
      </c>
      <c r="AK2814" s="115">
        <v>15</v>
      </c>
      <c r="AL2814" s="115" t="s">
        <v>28</v>
      </c>
      <c r="AM2814" s="115" t="s">
        <v>1848</v>
      </c>
      <c r="AN2814" s="115" t="s">
        <v>1606</v>
      </c>
      <c r="AO2814" s="115" t="s">
        <v>1274</v>
      </c>
    </row>
    <row r="2815" spans="35:41" ht="13">
      <c r="AI2815" s="115" t="s">
        <v>1415</v>
      </c>
      <c r="AJ2815" t="s">
        <v>2114</v>
      </c>
      <c r="AK2815" s="115">
        <v>15</v>
      </c>
      <c r="AL2815" s="115" t="s">
        <v>28</v>
      </c>
      <c r="AM2815" s="115" t="s">
        <v>1846</v>
      </c>
      <c r="AN2815" s="115" t="s">
        <v>1606</v>
      </c>
      <c r="AO2815" s="115" t="s">
        <v>1274</v>
      </c>
    </row>
    <row r="2816" spans="35:41" ht="13">
      <c r="AI2816" s="115" t="s">
        <v>1415</v>
      </c>
      <c r="AJ2816" t="s">
        <v>2114</v>
      </c>
      <c r="AK2816" s="115">
        <v>15</v>
      </c>
      <c r="AL2816" s="115" t="s">
        <v>28</v>
      </c>
      <c r="AM2816" s="115" t="s">
        <v>1850</v>
      </c>
      <c r="AN2816" s="115" t="s">
        <v>1606</v>
      </c>
      <c r="AO2816" s="115" t="s">
        <v>1274</v>
      </c>
    </row>
    <row r="2817" spans="35:41" ht="13">
      <c r="AI2817" s="115" t="s">
        <v>1415</v>
      </c>
      <c r="AJ2817" t="s">
        <v>2114</v>
      </c>
      <c r="AK2817" s="115">
        <v>15</v>
      </c>
      <c r="AL2817" s="115" t="s">
        <v>28</v>
      </c>
      <c r="AM2817" s="115" t="s">
        <v>1849</v>
      </c>
      <c r="AN2817" s="115" t="s">
        <v>1606</v>
      </c>
      <c r="AO2817" s="115" t="s">
        <v>1274</v>
      </c>
    </row>
    <row r="2818" spans="35:41" ht="13">
      <c r="AI2818" s="115" t="s">
        <v>1415</v>
      </c>
      <c r="AJ2818" t="s">
        <v>2114</v>
      </c>
      <c r="AK2818" s="115">
        <v>15</v>
      </c>
      <c r="AL2818" s="115" t="s">
        <v>28</v>
      </c>
      <c r="AM2818" s="115" t="s">
        <v>1843</v>
      </c>
      <c r="AN2818" s="115" t="s">
        <v>1606</v>
      </c>
      <c r="AO2818" s="115" t="s">
        <v>1274</v>
      </c>
    </row>
    <row r="2819" spans="35:41" ht="13">
      <c r="AI2819" s="115" t="s">
        <v>1415</v>
      </c>
      <c r="AJ2819" t="s">
        <v>2114</v>
      </c>
      <c r="AK2819" s="115">
        <v>15</v>
      </c>
      <c r="AL2819" s="115" t="s">
        <v>28</v>
      </c>
      <c r="AM2819" s="115" t="s">
        <v>1849</v>
      </c>
      <c r="AN2819" s="115" t="s">
        <v>1606</v>
      </c>
      <c r="AO2819" s="115" t="s">
        <v>381</v>
      </c>
    </row>
    <row r="2820" spans="35:41" ht="13">
      <c r="AI2820" s="115" t="s">
        <v>1415</v>
      </c>
      <c r="AJ2820" t="s">
        <v>2114</v>
      </c>
      <c r="AK2820" s="115">
        <v>15</v>
      </c>
      <c r="AL2820" s="115" t="s">
        <v>28</v>
      </c>
      <c r="AM2820" s="115" t="s">
        <v>1846</v>
      </c>
      <c r="AN2820" s="115" t="s">
        <v>1606</v>
      </c>
      <c r="AO2820" s="115" t="s">
        <v>381</v>
      </c>
    </row>
    <row r="2821" spans="35:41" ht="13">
      <c r="AI2821" s="115" t="s">
        <v>1415</v>
      </c>
      <c r="AJ2821" t="s">
        <v>2114</v>
      </c>
      <c r="AK2821" s="115">
        <v>15</v>
      </c>
      <c r="AL2821" s="115" t="s">
        <v>28</v>
      </c>
      <c r="AM2821" s="115" t="s">
        <v>1848</v>
      </c>
      <c r="AN2821" s="115" t="s">
        <v>1606</v>
      </c>
      <c r="AO2821" s="115" t="s">
        <v>381</v>
      </c>
    </row>
    <row r="2822" spans="35:41" ht="13">
      <c r="AI2822" s="115" t="s">
        <v>1415</v>
      </c>
      <c r="AJ2822" t="s">
        <v>2114</v>
      </c>
      <c r="AK2822" s="115">
        <v>15</v>
      </c>
      <c r="AL2822" s="115" t="s">
        <v>28</v>
      </c>
      <c r="AM2822" s="115" t="s">
        <v>1832</v>
      </c>
      <c r="AN2822" s="115" t="s">
        <v>1606</v>
      </c>
      <c r="AO2822" s="115" t="s">
        <v>381</v>
      </c>
    </row>
    <row r="2823" spans="35:41" ht="13">
      <c r="AI2823" s="115" t="s">
        <v>1415</v>
      </c>
      <c r="AJ2823" t="s">
        <v>2114</v>
      </c>
      <c r="AK2823" s="115">
        <v>15</v>
      </c>
      <c r="AL2823" s="115" t="s">
        <v>28</v>
      </c>
      <c r="AM2823" s="115" t="s">
        <v>1850</v>
      </c>
      <c r="AN2823" s="115" t="s">
        <v>1606</v>
      </c>
      <c r="AO2823" s="115" t="s">
        <v>381</v>
      </c>
    </row>
    <row r="2824" spans="35:41" ht="13">
      <c r="AI2824" s="115" t="s">
        <v>1415</v>
      </c>
      <c r="AJ2824" t="s">
        <v>2114</v>
      </c>
      <c r="AK2824" s="115">
        <v>15</v>
      </c>
      <c r="AL2824" s="115" t="s">
        <v>28</v>
      </c>
      <c r="AM2824" s="115" t="s">
        <v>1843</v>
      </c>
      <c r="AN2824" s="115" t="s">
        <v>1606</v>
      </c>
      <c r="AO2824" s="115" t="s">
        <v>381</v>
      </c>
    </row>
    <row r="2825" spans="35:41" ht="13">
      <c r="AI2825" s="115" t="s">
        <v>1415</v>
      </c>
      <c r="AJ2825" t="s">
        <v>2114</v>
      </c>
      <c r="AK2825" s="115">
        <v>15</v>
      </c>
      <c r="AL2825" s="115" t="s">
        <v>28</v>
      </c>
      <c r="AM2825" s="115" t="s">
        <v>1832</v>
      </c>
      <c r="AN2825" s="115" t="s">
        <v>1606</v>
      </c>
      <c r="AO2825" s="115" t="s">
        <v>379</v>
      </c>
    </row>
    <row r="2826" spans="35:41" ht="13">
      <c r="AI2826" s="115" t="s">
        <v>1415</v>
      </c>
      <c r="AJ2826" t="s">
        <v>2114</v>
      </c>
      <c r="AK2826" s="115">
        <v>15</v>
      </c>
      <c r="AL2826" s="115" t="s">
        <v>28</v>
      </c>
      <c r="AM2826" s="115" t="s">
        <v>1848</v>
      </c>
      <c r="AN2826" s="115" t="s">
        <v>1606</v>
      </c>
      <c r="AO2826" s="115" t="s">
        <v>379</v>
      </c>
    </row>
    <row r="2827" spans="35:41" ht="13">
      <c r="AI2827" s="115" t="s">
        <v>1415</v>
      </c>
      <c r="AJ2827" t="s">
        <v>2114</v>
      </c>
      <c r="AK2827" s="115">
        <v>15</v>
      </c>
      <c r="AL2827" s="115" t="s">
        <v>28</v>
      </c>
      <c r="AM2827" s="115" t="s">
        <v>1846</v>
      </c>
      <c r="AN2827" s="115" t="s">
        <v>1606</v>
      </c>
      <c r="AO2827" s="115" t="s">
        <v>379</v>
      </c>
    </row>
    <row r="2828" spans="35:41" ht="13">
      <c r="AI2828" s="115" t="s">
        <v>1415</v>
      </c>
      <c r="AJ2828" t="s">
        <v>2114</v>
      </c>
      <c r="AK2828" s="115">
        <v>15</v>
      </c>
      <c r="AL2828" s="115" t="s">
        <v>28</v>
      </c>
      <c r="AM2828" s="115" t="s">
        <v>1850</v>
      </c>
      <c r="AN2828" s="115" t="s">
        <v>1606</v>
      </c>
      <c r="AO2828" s="115" t="s">
        <v>379</v>
      </c>
    </row>
    <row r="2829" spans="35:41" ht="13">
      <c r="AI2829" s="115" t="s">
        <v>1415</v>
      </c>
      <c r="AJ2829" t="s">
        <v>2114</v>
      </c>
      <c r="AK2829" s="115">
        <v>15</v>
      </c>
      <c r="AL2829" s="115" t="s">
        <v>28</v>
      </c>
      <c r="AM2829" s="115" t="s">
        <v>1849</v>
      </c>
      <c r="AN2829" s="115" t="s">
        <v>1606</v>
      </c>
      <c r="AO2829" s="115" t="s">
        <v>379</v>
      </c>
    </row>
    <row r="2830" spans="35:41" ht="13">
      <c r="AI2830" s="115" t="s">
        <v>1415</v>
      </c>
      <c r="AJ2830" t="s">
        <v>2114</v>
      </c>
      <c r="AK2830" s="115">
        <v>15</v>
      </c>
      <c r="AL2830" s="115" t="s">
        <v>28</v>
      </c>
      <c r="AM2830" s="115" t="s">
        <v>1843</v>
      </c>
      <c r="AN2830" s="115" t="s">
        <v>1606</v>
      </c>
      <c r="AO2830" s="115" t="s">
        <v>379</v>
      </c>
    </row>
    <row r="2831" spans="35:41" ht="13">
      <c r="AI2831" s="115" t="s">
        <v>1415</v>
      </c>
      <c r="AJ2831" t="s">
        <v>2114</v>
      </c>
      <c r="AK2831" s="115">
        <v>15</v>
      </c>
      <c r="AL2831" s="115" t="s">
        <v>28</v>
      </c>
      <c r="AM2831" s="115" t="s">
        <v>1843</v>
      </c>
      <c r="AN2831" s="115" t="s">
        <v>1606</v>
      </c>
      <c r="AO2831" s="115" t="s">
        <v>1645</v>
      </c>
    </row>
    <row r="2832" spans="35:41" ht="13">
      <c r="AI2832" s="115" t="s">
        <v>1415</v>
      </c>
      <c r="AJ2832" t="s">
        <v>2114</v>
      </c>
      <c r="AK2832" s="115">
        <v>15</v>
      </c>
      <c r="AL2832" s="115" t="s">
        <v>28</v>
      </c>
      <c r="AM2832" s="115" t="s">
        <v>1850</v>
      </c>
      <c r="AN2832" s="115" t="s">
        <v>1606</v>
      </c>
      <c r="AO2832" s="115" t="s">
        <v>1645</v>
      </c>
    </row>
    <row r="2833" spans="35:41" ht="13">
      <c r="AI2833" s="115" t="s">
        <v>1415</v>
      </c>
      <c r="AJ2833" t="s">
        <v>2114</v>
      </c>
      <c r="AK2833" s="115">
        <v>15</v>
      </c>
      <c r="AL2833" s="115" t="s">
        <v>28</v>
      </c>
      <c r="AM2833" s="115" t="s">
        <v>1832</v>
      </c>
      <c r="AN2833" s="115" t="s">
        <v>1606</v>
      </c>
      <c r="AO2833" s="115" t="s">
        <v>1645</v>
      </c>
    </row>
    <row r="2834" spans="35:41" ht="13">
      <c r="AI2834" s="115" t="s">
        <v>1415</v>
      </c>
      <c r="AJ2834" t="s">
        <v>2114</v>
      </c>
      <c r="AK2834" s="115">
        <v>15</v>
      </c>
      <c r="AL2834" s="115" t="s">
        <v>28</v>
      </c>
      <c r="AM2834" s="115" t="s">
        <v>1846</v>
      </c>
      <c r="AN2834" s="115" t="s">
        <v>1606</v>
      </c>
      <c r="AO2834" s="115" t="s">
        <v>1645</v>
      </c>
    </row>
    <row r="2835" spans="35:41" ht="13">
      <c r="AI2835" s="115" t="s">
        <v>1415</v>
      </c>
      <c r="AJ2835" t="s">
        <v>2114</v>
      </c>
      <c r="AK2835" s="115">
        <v>15</v>
      </c>
      <c r="AL2835" s="115" t="s">
        <v>28</v>
      </c>
      <c r="AM2835" s="115" t="s">
        <v>1848</v>
      </c>
      <c r="AN2835" s="115" t="s">
        <v>1606</v>
      </c>
      <c r="AO2835" s="115" t="s">
        <v>1645</v>
      </c>
    </row>
    <row r="2836" spans="35:41" ht="13">
      <c r="AI2836" s="115" t="s">
        <v>1415</v>
      </c>
      <c r="AJ2836" t="s">
        <v>2114</v>
      </c>
      <c r="AK2836" s="115">
        <v>15</v>
      </c>
      <c r="AL2836" s="115" t="s">
        <v>28</v>
      </c>
      <c r="AM2836" s="115" t="s">
        <v>1849</v>
      </c>
      <c r="AN2836" s="115" t="s">
        <v>1606</v>
      </c>
      <c r="AO2836" s="115" t="s">
        <v>1645</v>
      </c>
    </row>
    <row r="2837" spans="35:41" ht="13">
      <c r="AI2837" s="115" t="s">
        <v>1415</v>
      </c>
      <c r="AJ2837" t="s">
        <v>2114</v>
      </c>
      <c r="AK2837" s="115">
        <v>15</v>
      </c>
      <c r="AL2837" s="115" t="s">
        <v>28</v>
      </c>
      <c r="AM2837" s="115" t="s">
        <v>1843</v>
      </c>
      <c r="AN2837" s="115" t="s">
        <v>1606</v>
      </c>
      <c r="AO2837" s="115" t="s">
        <v>1646</v>
      </c>
    </row>
    <row r="2838" spans="35:41" ht="13">
      <c r="AI2838" s="115" t="s">
        <v>1415</v>
      </c>
      <c r="AJ2838" t="s">
        <v>2114</v>
      </c>
      <c r="AK2838" s="115">
        <v>15</v>
      </c>
      <c r="AL2838" s="115" t="s">
        <v>28</v>
      </c>
      <c r="AM2838" s="115" t="s">
        <v>1846</v>
      </c>
      <c r="AN2838" s="115" t="s">
        <v>1606</v>
      </c>
      <c r="AO2838" s="115" t="s">
        <v>1646</v>
      </c>
    </row>
    <row r="2839" spans="35:41" ht="13">
      <c r="AI2839" s="115" t="s">
        <v>1415</v>
      </c>
      <c r="AJ2839" t="s">
        <v>2114</v>
      </c>
      <c r="AK2839" s="115">
        <v>15</v>
      </c>
      <c r="AL2839" s="115" t="s">
        <v>28</v>
      </c>
      <c r="AM2839" s="115" t="s">
        <v>1846</v>
      </c>
      <c r="AN2839" s="115" t="s">
        <v>1606</v>
      </c>
      <c r="AO2839" s="115" t="s">
        <v>1647</v>
      </c>
    </row>
    <row r="2840" spans="35:41" ht="13">
      <c r="AI2840" s="115" t="s">
        <v>1415</v>
      </c>
      <c r="AJ2840" t="s">
        <v>2114</v>
      </c>
      <c r="AK2840" s="115">
        <v>15</v>
      </c>
      <c r="AL2840" s="115" t="s">
        <v>28</v>
      </c>
      <c r="AM2840" s="115" t="s">
        <v>1843</v>
      </c>
      <c r="AN2840" s="115" t="s">
        <v>1606</v>
      </c>
      <c r="AO2840" s="115" t="s">
        <v>1647</v>
      </c>
    </row>
    <row r="2841" spans="35:41" ht="13">
      <c r="AI2841" s="115" t="s">
        <v>1415</v>
      </c>
      <c r="AJ2841" t="s">
        <v>2114</v>
      </c>
      <c r="AK2841" s="115">
        <v>15</v>
      </c>
      <c r="AL2841" s="115" t="s">
        <v>28</v>
      </c>
      <c r="AM2841" s="115" t="s">
        <v>1843</v>
      </c>
      <c r="AN2841" s="115" t="s">
        <v>1606</v>
      </c>
      <c r="AO2841" s="115" t="s">
        <v>1639</v>
      </c>
    </row>
    <row r="2842" spans="35:41" ht="13">
      <c r="AI2842" s="115" t="s">
        <v>1415</v>
      </c>
      <c r="AJ2842" t="s">
        <v>2114</v>
      </c>
      <c r="AK2842" s="115">
        <v>15</v>
      </c>
      <c r="AL2842" s="115" t="s">
        <v>28</v>
      </c>
      <c r="AM2842" s="115" t="s">
        <v>1846</v>
      </c>
      <c r="AN2842" s="115" t="s">
        <v>1606</v>
      </c>
      <c r="AO2842" s="115" t="s">
        <v>1639</v>
      </c>
    </row>
    <row r="2843" spans="35:41" ht="13">
      <c r="AI2843" s="115" t="s">
        <v>1415</v>
      </c>
      <c r="AJ2843" t="s">
        <v>2114</v>
      </c>
      <c r="AK2843" s="115">
        <v>15</v>
      </c>
      <c r="AL2843" s="115" t="s">
        <v>28</v>
      </c>
      <c r="AM2843" s="115" t="s">
        <v>1850</v>
      </c>
      <c r="AN2843" s="115" t="s">
        <v>1606</v>
      </c>
      <c r="AO2843" s="115" t="s">
        <v>373</v>
      </c>
    </row>
    <row r="2844" spans="35:41" ht="13">
      <c r="AI2844" s="115" t="s">
        <v>1415</v>
      </c>
      <c r="AJ2844" t="s">
        <v>2114</v>
      </c>
      <c r="AK2844" s="115">
        <v>15</v>
      </c>
      <c r="AL2844" s="115" t="s">
        <v>28</v>
      </c>
      <c r="AM2844" s="115" t="s">
        <v>1846</v>
      </c>
      <c r="AN2844" s="115" t="s">
        <v>1606</v>
      </c>
      <c r="AO2844" s="115" t="s">
        <v>373</v>
      </c>
    </row>
    <row r="2845" spans="35:41" ht="13">
      <c r="AI2845" s="115" t="s">
        <v>1415</v>
      </c>
      <c r="AJ2845" t="s">
        <v>2114</v>
      </c>
      <c r="AK2845" s="115">
        <v>15</v>
      </c>
      <c r="AL2845" s="115" t="s">
        <v>28</v>
      </c>
      <c r="AM2845" s="115" t="s">
        <v>1843</v>
      </c>
      <c r="AN2845" s="115" t="s">
        <v>1606</v>
      </c>
      <c r="AO2845" s="115" t="s">
        <v>373</v>
      </c>
    </row>
    <row r="2846" spans="35:41" ht="13">
      <c r="AI2846" s="115" t="s">
        <v>1415</v>
      </c>
      <c r="AJ2846" t="s">
        <v>2114</v>
      </c>
      <c r="AK2846" s="115">
        <v>15</v>
      </c>
      <c r="AL2846" s="115" t="s">
        <v>28</v>
      </c>
      <c r="AM2846" s="115" t="s">
        <v>1848</v>
      </c>
      <c r="AN2846" s="115" t="s">
        <v>1606</v>
      </c>
      <c r="AO2846" s="115" t="s">
        <v>373</v>
      </c>
    </row>
    <row r="2847" spans="35:41" ht="13">
      <c r="AI2847" s="115" t="s">
        <v>1415</v>
      </c>
      <c r="AJ2847" t="s">
        <v>2114</v>
      </c>
      <c r="AK2847" s="115">
        <v>15</v>
      </c>
      <c r="AL2847" s="115" t="s">
        <v>28</v>
      </c>
      <c r="AM2847" s="115" t="s">
        <v>1832</v>
      </c>
      <c r="AN2847" s="115" t="s">
        <v>1606</v>
      </c>
      <c r="AO2847" s="115" t="s">
        <v>373</v>
      </c>
    </row>
    <row r="2848" spans="35:41" ht="13">
      <c r="AI2848" s="115" t="s">
        <v>1415</v>
      </c>
      <c r="AJ2848" t="s">
        <v>2114</v>
      </c>
      <c r="AK2848" s="115">
        <v>15</v>
      </c>
      <c r="AL2848" s="115" t="s">
        <v>28</v>
      </c>
      <c r="AM2848" s="115" t="s">
        <v>1849</v>
      </c>
      <c r="AN2848" s="115" t="s">
        <v>1606</v>
      </c>
      <c r="AO2848" s="115" t="s">
        <v>373</v>
      </c>
    </row>
    <row r="2849" spans="35:41" ht="13">
      <c r="AI2849" s="115" t="s">
        <v>1415</v>
      </c>
      <c r="AJ2849" t="s">
        <v>2114</v>
      </c>
      <c r="AK2849" s="115">
        <v>15</v>
      </c>
      <c r="AL2849" s="115" t="s">
        <v>28</v>
      </c>
      <c r="AM2849" s="115" t="s">
        <v>1843</v>
      </c>
      <c r="AN2849" s="115" t="s">
        <v>1606</v>
      </c>
      <c r="AO2849" s="115" t="s">
        <v>380</v>
      </c>
    </row>
    <row r="2850" spans="35:41" ht="13">
      <c r="AI2850" s="115" t="s">
        <v>1415</v>
      </c>
      <c r="AJ2850" t="s">
        <v>2114</v>
      </c>
      <c r="AK2850" s="115">
        <v>15</v>
      </c>
      <c r="AL2850" s="115" t="s">
        <v>28</v>
      </c>
      <c r="AM2850" s="115" t="s">
        <v>1850</v>
      </c>
      <c r="AN2850" s="115" t="s">
        <v>1606</v>
      </c>
      <c r="AO2850" s="115" t="s">
        <v>380</v>
      </c>
    </row>
    <row r="2851" spans="35:41" ht="13">
      <c r="AI2851" s="115" t="s">
        <v>1415</v>
      </c>
      <c r="AJ2851" t="s">
        <v>2114</v>
      </c>
      <c r="AK2851" s="115">
        <v>15</v>
      </c>
      <c r="AL2851" s="115" t="s">
        <v>28</v>
      </c>
      <c r="AM2851" s="115" t="s">
        <v>1848</v>
      </c>
      <c r="AN2851" s="115" t="s">
        <v>1606</v>
      </c>
      <c r="AO2851" s="115" t="s">
        <v>380</v>
      </c>
    </row>
    <row r="2852" spans="35:41" ht="13">
      <c r="AI2852" s="115" t="s">
        <v>1415</v>
      </c>
      <c r="AJ2852" t="s">
        <v>2114</v>
      </c>
      <c r="AK2852" s="115">
        <v>15</v>
      </c>
      <c r="AL2852" s="115" t="s">
        <v>28</v>
      </c>
      <c r="AM2852" s="115" t="s">
        <v>1846</v>
      </c>
      <c r="AN2852" s="115" t="s">
        <v>1606</v>
      </c>
      <c r="AO2852" s="115" t="s">
        <v>380</v>
      </c>
    </row>
    <row r="2853" spans="35:41" ht="13">
      <c r="AI2853" s="115" t="s">
        <v>1415</v>
      </c>
      <c r="AJ2853" t="s">
        <v>2114</v>
      </c>
      <c r="AK2853" s="115">
        <v>15</v>
      </c>
      <c r="AL2853" s="115" t="s">
        <v>28</v>
      </c>
      <c r="AM2853" s="115" t="s">
        <v>1849</v>
      </c>
      <c r="AN2853" s="115" t="s">
        <v>1606</v>
      </c>
      <c r="AO2853" s="115" t="s">
        <v>380</v>
      </c>
    </row>
    <row r="2854" spans="35:41" ht="13">
      <c r="AI2854" s="115" t="s">
        <v>1415</v>
      </c>
      <c r="AJ2854" t="s">
        <v>2114</v>
      </c>
      <c r="AK2854" s="115">
        <v>15</v>
      </c>
      <c r="AL2854" s="115" t="s">
        <v>28</v>
      </c>
      <c r="AM2854" s="115" t="s">
        <v>1832</v>
      </c>
      <c r="AN2854" s="115" t="s">
        <v>1606</v>
      </c>
      <c r="AO2854" s="115" t="s">
        <v>380</v>
      </c>
    </row>
    <row r="2855" spans="35:41" ht="13">
      <c r="AI2855" s="115" t="s">
        <v>1415</v>
      </c>
      <c r="AJ2855" t="s">
        <v>2114</v>
      </c>
      <c r="AK2855" s="115">
        <v>15</v>
      </c>
      <c r="AL2855" s="115" t="s">
        <v>28</v>
      </c>
      <c r="AM2855" s="115" t="s">
        <v>1832</v>
      </c>
      <c r="AN2855" s="115" t="s">
        <v>1609</v>
      </c>
      <c r="AO2855" s="115" t="s">
        <v>1644</v>
      </c>
    </row>
    <row r="2856" spans="35:41" ht="13">
      <c r="AI2856" s="115" t="s">
        <v>1415</v>
      </c>
      <c r="AJ2856" t="s">
        <v>2114</v>
      </c>
      <c r="AK2856" s="115">
        <v>15</v>
      </c>
      <c r="AL2856" s="115" t="s">
        <v>28</v>
      </c>
      <c r="AM2856" s="115" t="s">
        <v>1843</v>
      </c>
      <c r="AN2856" s="115" t="s">
        <v>1609</v>
      </c>
      <c r="AO2856" s="115" t="s">
        <v>1644</v>
      </c>
    </row>
    <row r="2857" spans="35:41" ht="13">
      <c r="AI2857" s="115" t="s">
        <v>1415</v>
      </c>
      <c r="AJ2857" t="s">
        <v>2114</v>
      </c>
      <c r="AK2857" s="115">
        <v>15</v>
      </c>
      <c r="AL2857" s="115" t="s">
        <v>28</v>
      </c>
      <c r="AM2857" s="115" t="s">
        <v>1850</v>
      </c>
      <c r="AN2857" s="115" t="s">
        <v>1609</v>
      </c>
      <c r="AO2857" s="115" t="s">
        <v>1644</v>
      </c>
    </row>
    <row r="2858" spans="35:41" ht="13">
      <c r="AI2858" s="115" t="s">
        <v>1415</v>
      </c>
      <c r="AJ2858" t="s">
        <v>2114</v>
      </c>
      <c r="AK2858" s="115">
        <v>15</v>
      </c>
      <c r="AL2858" s="115" t="s">
        <v>28</v>
      </c>
      <c r="AM2858" s="115" t="s">
        <v>1848</v>
      </c>
      <c r="AN2858" s="115" t="s">
        <v>1609</v>
      </c>
      <c r="AO2858" s="115" t="s">
        <v>1644</v>
      </c>
    </row>
    <row r="2859" spans="35:41" ht="13">
      <c r="AI2859" s="115" t="s">
        <v>1415</v>
      </c>
      <c r="AJ2859" t="s">
        <v>2114</v>
      </c>
      <c r="AK2859" s="115">
        <v>15</v>
      </c>
      <c r="AL2859" s="115" t="s">
        <v>28</v>
      </c>
      <c r="AM2859" s="115" t="s">
        <v>1850</v>
      </c>
      <c r="AN2859" s="115" t="s">
        <v>1609</v>
      </c>
      <c r="AO2859" s="115" t="s">
        <v>1274</v>
      </c>
    </row>
    <row r="2860" spans="35:41" ht="13">
      <c r="AI2860" s="115" t="s">
        <v>1415</v>
      </c>
      <c r="AJ2860" t="s">
        <v>2114</v>
      </c>
      <c r="AK2860" s="115">
        <v>15</v>
      </c>
      <c r="AL2860" s="115" t="s">
        <v>28</v>
      </c>
      <c r="AM2860" s="115" t="s">
        <v>1848</v>
      </c>
      <c r="AN2860" s="115" t="s">
        <v>1609</v>
      </c>
      <c r="AO2860" s="115" t="s">
        <v>1274</v>
      </c>
    </row>
    <row r="2861" spans="35:41" ht="13">
      <c r="AI2861" s="115" t="s">
        <v>1415</v>
      </c>
      <c r="AJ2861" t="s">
        <v>2114</v>
      </c>
      <c r="AK2861" s="115">
        <v>15</v>
      </c>
      <c r="AL2861" s="115" t="s">
        <v>28</v>
      </c>
      <c r="AM2861" s="115" t="s">
        <v>1846</v>
      </c>
      <c r="AN2861" s="115" t="s">
        <v>1609</v>
      </c>
      <c r="AO2861" s="115" t="s">
        <v>1274</v>
      </c>
    </row>
    <row r="2862" spans="35:41" ht="13">
      <c r="AI2862" s="115" t="s">
        <v>1415</v>
      </c>
      <c r="AJ2862" t="s">
        <v>2114</v>
      </c>
      <c r="AK2862" s="115">
        <v>15</v>
      </c>
      <c r="AL2862" s="115" t="s">
        <v>28</v>
      </c>
      <c r="AM2862" s="115" t="s">
        <v>1832</v>
      </c>
      <c r="AN2862" s="115" t="s">
        <v>1609</v>
      </c>
      <c r="AO2862" s="115" t="s">
        <v>1274</v>
      </c>
    </row>
    <row r="2863" spans="35:41" ht="13">
      <c r="AI2863" s="115" t="s">
        <v>1415</v>
      </c>
      <c r="AJ2863" t="s">
        <v>2114</v>
      </c>
      <c r="AK2863" s="115">
        <v>15</v>
      </c>
      <c r="AL2863" s="115" t="s">
        <v>28</v>
      </c>
      <c r="AM2863" s="115" t="s">
        <v>1843</v>
      </c>
      <c r="AN2863" s="115" t="s">
        <v>1609</v>
      </c>
      <c r="AO2863" s="115" t="s">
        <v>1274</v>
      </c>
    </row>
    <row r="2864" spans="35:41" ht="13">
      <c r="AI2864" s="115" t="s">
        <v>1415</v>
      </c>
      <c r="AJ2864" t="s">
        <v>2114</v>
      </c>
      <c r="AK2864" s="115">
        <v>15</v>
      </c>
      <c r="AL2864" s="115" t="s">
        <v>28</v>
      </c>
      <c r="AM2864" s="115" t="s">
        <v>1849</v>
      </c>
      <c r="AN2864" s="115" t="s">
        <v>1609</v>
      </c>
      <c r="AO2864" s="115" t="s">
        <v>1274</v>
      </c>
    </row>
    <row r="2865" spans="35:41" ht="13">
      <c r="AI2865" s="115" t="s">
        <v>1415</v>
      </c>
      <c r="AJ2865" t="s">
        <v>2114</v>
      </c>
      <c r="AK2865" s="115">
        <v>15</v>
      </c>
      <c r="AL2865" s="115" t="s">
        <v>28</v>
      </c>
      <c r="AM2865" s="115" t="s">
        <v>1832</v>
      </c>
      <c r="AN2865" s="115" t="s">
        <v>1609</v>
      </c>
      <c r="AO2865" s="115" t="s">
        <v>381</v>
      </c>
    </row>
    <row r="2866" spans="35:41" ht="13">
      <c r="AI2866" s="115" t="s">
        <v>1415</v>
      </c>
      <c r="AJ2866" t="s">
        <v>2114</v>
      </c>
      <c r="AK2866" s="115">
        <v>15</v>
      </c>
      <c r="AL2866" s="115" t="s">
        <v>28</v>
      </c>
      <c r="AM2866" s="115" t="s">
        <v>1846</v>
      </c>
      <c r="AN2866" s="115" t="s">
        <v>1609</v>
      </c>
      <c r="AO2866" s="115" t="s">
        <v>381</v>
      </c>
    </row>
    <row r="2867" spans="35:41" ht="13">
      <c r="AI2867" s="115" t="s">
        <v>1415</v>
      </c>
      <c r="AJ2867" t="s">
        <v>2114</v>
      </c>
      <c r="AK2867" s="115">
        <v>15</v>
      </c>
      <c r="AL2867" s="115" t="s">
        <v>28</v>
      </c>
      <c r="AM2867" s="115" t="s">
        <v>1843</v>
      </c>
      <c r="AN2867" s="115" t="s">
        <v>1609</v>
      </c>
      <c r="AO2867" s="115" t="s">
        <v>381</v>
      </c>
    </row>
    <row r="2868" spans="35:41" ht="13">
      <c r="AI2868" s="115" t="s">
        <v>1415</v>
      </c>
      <c r="AJ2868" t="s">
        <v>2114</v>
      </c>
      <c r="AK2868" s="115">
        <v>15</v>
      </c>
      <c r="AL2868" s="115" t="s">
        <v>28</v>
      </c>
      <c r="AM2868" s="115" t="s">
        <v>1850</v>
      </c>
      <c r="AN2868" s="115" t="s">
        <v>1609</v>
      </c>
      <c r="AO2868" s="115" t="s">
        <v>381</v>
      </c>
    </row>
    <row r="2869" spans="35:41" ht="13">
      <c r="AI2869" s="115" t="s">
        <v>1415</v>
      </c>
      <c r="AJ2869" t="s">
        <v>2114</v>
      </c>
      <c r="AK2869" s="115">
        <v>15</v>
      </c>
      <c r="AL2869" s="115" t="s">
        <v>28</v>
      </c>
      <c r="AM2869" s="115" t="s">
        <v>1849</v>
      </c>
      <c r="AN2869" s="115" t="s">
        <v>1609</v>
      </c>
      <c r="AO2869" s="115" t="s">
        <v>381</v>
      </c>
    </row>
    <row r="2870" spans="35:41" ht="13">
      <c r="AI2870" s="115" t="s">
        <v>1415</v>
      </c>
      <c r="AJ2870" t="s">
        <v>2114</v>
      </c>
      <c r="AK2870" s="115">
        <v>15</v>
      </c>
      <c r="AL2870" s="115" t="s">
        <v>28</v>
      </c>
      <c r="AM2870" s="115" t="s">
        <v>1848</v>
      </c>
      <c r="AN2870" s="115" t="s">
        <v>1609</v>
      </c>
      <c r="AO2870" s="115" t="s">
        <v>381</v>
      </c>
    </row>
    <row r="2871" spans="35:41" ht="13">
      <c r="AI2871" s="115" t="s">
        <v>1415</v>
      </c>
      <c r="AJ2871" t="s">
        <v>2114</v>
      </c>
      <c r="AK2871" s="115">
        <v>15</v>
      </c>
      <c r="AL2871" s="115" t="s">
        <v>28</v>
      </c>
      <c r="AM2871" s="115" t="s">
        <v>1848</v>
      </c>
      <c r="AN2871" s="115" t="s">
        <v>1609</v>
      </c>
      <c r="AO2871" s="115" t="s">
        <v>379</v>
      </c>
    </row>
    <row r="2872" spans="35:41" ht="13">
      <c r="AI2872" s="115" t="s">
        <v>1415</v>
      </c>
      <c r="AJ2872" t="s">
        <v>2114</v>
      </c>
      <c r="AK2872" s="115">
        <v>15</v>
      </c>
      <c r="AL2872" s="115" t="s">
        <v>28</v>
      </c>
      <c r="AM2872" s="115" t="s">
        <v>1846</v>
      </c>
      <c r="AN2872" s="115" t="s">
        <v>1609</v>
      </c>
      <c r="AO2872" s="115" t="s">
        <v>379</v>
      </c>
    </row>
    <row r="2873" spans="35:41" ht="13">
      <c r="AI2873" s="115" t="s">
        <v>1415</v>
      </c>
      <c r="AJ2873" t="s">
        <v>2114</v>
      </c>
      <c r="AK2873" s="115">
        <v>15</v>
      </c>
      <c r="AL2873" s="115" t="s">
        <v>28</v>
      </c>
      <c r="AM2873" s="115" t="s">
        <v>1849</v>
      </c>
      <c r="AN2873" s="115" t="s">
        <v>1609</v>
      </c>
      <c r="AO2873" s="115" t="s">
        <v>379</v>
      </c>
    </row>
    <row r="2874" spans="35:41" ht="13">
      <c r="AI2874" s="115" t="s">
        <v>1415</v>
      </c>
      <c r="AJ2874" t="s">
        <v>2114</v>
      </c>
      <c r="AK2874" s="115">
        <v>15</v>
      </c>
      <c r="AL2874" s="115" t="s">
        <v>28</v>
      </c>
      <c r="AM2874" s="115" t="s">
        <v>1850</v>
      </c>
      <c r="AN2874" s="115" t="s">
        <v>1609</v>
      </c>
      <c r="AO2874" s="115" t="s">
        <v>379</v>
      </c>
    </row>
    <row r="2875" spans="35:41" ht="13">
      <c r="AI2875" s="115" t="s">
        <v>1415</v>
      </c>
      <c r="AJ2875" t="s">
        <v>2114</v>
      </c>
      <c r="AK2875" s="115">
        <v>15</v>
      </c>
      <c r="AL2875" s="115" t="s">
        <v>28</v>
      </c>
      <c r="AM2875" s="115" t="s">
        <v>1832</v>
      </c>
      <c r="AN2875" s="115" t="s">
        <v>1609</v>
      </c>
      <c r="AO2875" s="115" t="s">
        <v>379</v>
      </c>
    </row>
    <row r="2876" spans="35:41" ht="13">
      <c r="AI2876" s="115" t="s">
        <v>1415</v>
      </c>
      <c r="AJ2876" t="s">
        <v>2114</v>
      </c>
      <c r="AK2876" s="115">
        <v>15</v>
      </c>
      <c r="AL2876" s="115" t="s">
        <v>28</v>
      </c>
      <c r="AM2876" s="115" t="s">
        <v>1843</v>
      </c>
      <c r="AN2876" s="115" t="s">
        <v>1609</v>
      </c>
      <c r="AO2876" s="115" t="s">
        <v>379</v>
      </c>
    </row>
    <row r="2877" spans="35:41" ht="13">
      <c r="AI2877" s="115" t="s">
        <v>1415</v>
      </c>
      <c r="AJ2877" t="s">
        <v>2114</v>
      </c>
      <c r="AK2877" s="115">
        <v>15</v>
      </c>
      <c r="AL2877" s="115" t="s">
        <v>28</v>
      </c>
      <c r="AM2877" s="115" t="s">
        <v>1848</v>
      </c>
      <c r="AN2877" s="115" t="s">
        <v>1609</v>
      </c>
      <c r="AO2877" s="115" t="s">
        <v>1645</v>
      </c>
    </row>
    <row r="2878" spans="35:41" ht="13">
      <c r="AI2878" s="115" t="s">
        <v>1415</v>
      </c>
      <c r="AJ2878" t="s">
        <v>2114</v>
      </c>
      <c r="AK2878" s="115">
        <v>15</v>
      </c>
      <c r="AL2878" s="115" t="s">
        <v>28</v>
      </c>
      <c r="AM2878" s="115" t="s">
        <v>1846</v>
      </c>
      <c r="AN2878" s="115" t="s">
        <v>1609</v>
      </c>
      <c r="AO2878" s="115" t="s">
        <v>1645</v>
      </c>
    </row>
    <row r="2879" spans="35:41" ht="13">
      <c r="AI2879" s="115" t="s">
        <v>1415</v>
      </c>
      <c r="AJ2879" t="s">
        <v>2114</v>
      </c>
      <c r="AK2879" s="115">
        <v>15</v>
      </c>
      <c r="AL2879" s="115" t="s">
        <v>28</v>
      </c>
      <c r="AM2879" s="115" t="s">
        <v>1850</v>
      </c>
      <c r="AN2879" s="115" t="s">
        <v>1609</v>
      </c>
      <c r="AO2879" s="115" t="s">
        <v>1645</v>
      </c>
    </row>
    <row r="2880" spans="35:41" ht="13">
      <c r="AI2880" s="115" t="s">
        <v>1415</v>
      </c>
      <c r="AJ2880" t="s">
        <v>2114</v>
      </c>
      <c r="AK2880" s="115">
        <v>15</v>
      </c>
      <c r="AL2880" s="115" t="s">
        <v>28</v>
      </c>
      <c r="AM2880" s="115" t="s">
        <v>1849</v>
      </c>
      <c r="AN2880" s="115" t="s">
        <v>1609</v>
      </c>
      <c r="AO2880" s="115" t="s">
        <v>1645</v>
      </c>
    </row>
    <row r="2881" spans="35:41" ht="13">
      <c r="AI2881" s="115" t="s">
        <v>1415</v>
      </c>
      <c r="AJ2881" t="s">
        <v>2114</v>
      </c>
      <c r="AK2881" s="115">
        <v>15</v>
      </c>
      <c r="AL2881" s="115" t="s">
        <v>28</v>
      </c>
      <c r="AM2881" s="115" t="s">
        <v>1843</v>
      </c>
      <c r="AN2881" s="115" t="s">
        <v>1609</v>
      </c>
      <c r="AO2881" s="115" t="s">
        <v>1645</v>
      </c>
    </row>
    <row r="2882" spans="35:41" ht="13">
      <c r="AI2882" s="115" t="s">
        <v>1415</v>
      </c>
      <c r="AJ2882" t="s">
        <v>2114</v>
      </c>
      <c r="AK2882" s="115">
        <v>15</v>
      </c>
      <c r="AL2882" s="115" t="s">
        <v>28</v>
      </c>
      <c r="AM2882" s="115" t="s">
        <v>1832</v>
      </c>
      <c r="AN2882" s="115" t="s">
        <v>1609</v>
      </c>
      <c r="AO2882" s="115" t="s">
        <v>1645</v>
      </c>
    </row>
    <row r="2883" spans="35:41" ht="13">
      <c r="AI2883" s="115" t="s">
        <v>1415</v>
      </c>
      <c r="AJ2883" t="s">
        <v>2114</v>
      </c>
      <c r="AK2883" s="115">
        <v>15</v>
      </c>
      <c r="AL2883" s="115" t="s">
        <v>28</v>
      </c>
      <c r="AM2883" s="115" t="s">
        <v>1846</v>
      </c>
      <c r="AN2883" s="115" t="s">
        <v>1609</v>
      </c>
      <c r="AO2883" s="115" t="s">
        <v>1646</v>
      </c>
    </row>
    <row r="2884" spans="35:41" ht="13">
      <c r="AI2884" s="115" t="s">
        <v>1415</v>
      </c>
      <c r="AJ2884" t="s">
        <v>2114</v>
      </c>
      <c r="AK2884" s="115">
        <v>15</v>
      </c>
      <c r="AL2884" s="115" t="s">
        <v>28</v>
      </c>
      <c r="AM2884" s="115" t="s">
        <v>1843</v>
      </c>
      <c r="AN2884" s="115" t="s">
        <v>1609</v>
      </c>
      <c r="AO2884" s="115" t="s">
        <v>1646</v>
      </c>
    </row>
    <row r="2885" spans="35:41" ht="13">
      <c r="AI2885" s="115" t="s">
        <v>1415</v>
      </c>
      <c r="AJ2885" t="s">
        <v>2114</v>
      </c>
      <c r="AK2885" s="115">
        <v>15</v>
      </c>
      <c r="AL2885" s="115" t="s">
        <v>28</v>
      </c>
      <c r="AM2885" s="115" t="s">
        <v>1846</v>
      </c>
      <c r="AN2885" s="115" t="s">
        <v>1609</v>
      </c>
      <c r="AO2885" s="115" t="s">
        <v>1647</v>
      </c>
    </row>
    <row r="2886" spans="35:41" ht="13">
      <c r="AI2886" s="115" t="s">
        <v>1415</v>
      </c>
      <c r="AJ2886" t="s">
        <v>2114</v>
      </c>
      <c r="AK2886" s="115">
        <v>15</v>
      </c>
      <c r="AL2886" s="115" t="s">
        <v>28</v>
      </c>
      <c r="AM2886" s="115" t="s">
        <v>1843</v>
      </c>
      <c r="AN2886" s="115" t="s">
        <v>1609</v>
      </c>
      <c r="AO2886" s="115" t="s">
        <v>1647</v>
      </c>
    </row>
    <row r="2887" spans="35:41" ht="13">
      <c r="AI2887" s="115" t="s">
        <v>1415</v>
      </c>
      <c r="AJ2887" t="s">
        <v>2114</v>
      </c>
      <c r="AK2887" s="115">
        <v>15</v>
      </c>
      <c r="AL2887" s="115" t="s">
        <v>28</v>
      </c>
      <c r="AM2887" s="115" t="s">
        <v>1843</v>
      </c>
      <c r="AN2887" s="115" t="s">
        <v>1609</v>
      </c>
      <c r="AO2887" s="115" t="s">
        <v>1639</v>
      </c>
    </row>
    <row r="2888" spans="35:41" ht="13">
      <c r="AI2888" s="115" t="s">
        <v>1415</v>
      </c>
      <c r="AJ2888" t="s">
        <v>2114</v>
      </c>
      <c r="AK2888" s="115">
        <v>15</v>
      </c>
      <c r="AL2888" s="115" t="s">
        <v>28</v>
      </c>
      <c r="AM2888" s="115" t="s">
        <v>1846</v>
      </c>
      <c r="AN2888" s="115" t="s">
        <v>1609</v>
      </c>
      <c r="AO2888" s="115" t="s">
        <v>1639</v>
      </c>
    </row>
    <row r="2889" spans="35:41" ht="13">
      <c r="AI2889" s="115" t="s">
        <v>1415</v>
      </c>
      <c r="AJ2889" t="s">
        <v>2114</v>
      </c>
      <c r="AK2889" s="115">
        <v>15</v>
      </c>
      <c r="AL2889" s="115" t="s">
        <v>28</v>
      </c>
      <c r="AM2889" s="115" t="s">
        <v>1843</v>
      </c>
      <c r="AN2889" s="115" t="s">
        <v>1609</v>
      </c>
      <c r="AO2889" s="115" t="s">
        <v>373</v>
      </c>
    </row>
    <row r="2890" spans="35:41" ht="13">
      <c r="AI2890" s="115" t="s">
        <v>1415</v>
      </c>
      <c r="AJ2890" t="s">
        <v>2114</v>
      </c>
      <c r="AK2890" s="115">
        <v>15</v>
      </c>
      <c r="AL2890" s="115" t="s">
        <v>28</v>
      </c>
      <c r="AM2890" s="115" t="s">
        <v>1850</v>
      </c>
      <c r="AN2890" s="115" t="s">
        <v>1609</v>
      </c>
      <c r="AO2890" s="115" t="s">
        <v>373</v>
      </c>
    </row>
    <row r="2891" spans="35:41" ht="13">
      <c r="AI2891" s="115" t="s">
        <v>1415</v>
      </c>
      <c r="AJ2891" t="s">
        <v>2114</v>
      </c>
      <c r="AK2891" s="115">
        <v>15</v>
      </c>
      <c r="AL2891" s="115" t="s">
        <v>28</v>
      </c>
      <c r="AM2891" s="115" t="s">
        <v>1846</v>
      </c>
      <c r="AN2891" s="115" t="s">
        <v>1609</v>
      </c>
      <c r="AO2891" s="115" t="s">
        <v>373</v>
      </c>
    </row>
    <row r="2892" spans="35:41" ht="13">
      <c r="AI2892" s="115" t="s">
        <v>1415</v>
      </c>
      <c r="AJ2892" t="s">
        <v>2114</v>
      </c>
      <c r="AK2892" s="115">
        <v>15</v>
      </c>
      <c r="AL2892" s="115" t="s">
        <v>28</v>
      </c>
      <c r="AM2892" s="115" t="s">
        <v>1849</v>
      </c>
      <c r="AN2892" s="115" t="s">
        <v>1609</v>
      </c>
      <c r="AO2892" s="115" t="s">
        <v>373</v>
      </c>
    </row>
    <row r="2893" spans="35:41" ht="13">
      <c r="AI2893" s="115" t="s">
        <v>1415</v>
      </c>
      <c r="AJ2893" t="s">
        <v>2114</v>
      </c>
      <c r="AK2893" s="115">
        <v>15</v>
      </c>
      <c r="AL2893" s="115" t="s">
        <v>28</v>
      </c>
      <c r="AM2893" s="115" t="s">
        <v>1848</v>
      </c>
      <c r="AN2893" s="115" t="s">
        <v>1609</v>
      </c>
      <c r="AO2893" s="115" t="s">
        <v>373</v>
      </c>
    </row>
    <row r="2894" spans="35:41" ht="13">
      <c r="AI2894" s="115" t="s">
        <v>1415</v>
      </c>
      <c r="AJ2894" t="s">
        <v>2114</v>
      </c>
      <c r="AK2894" s="115">
        <v>15</v>
      </c>
      <c r="AL2894" s="115" t="s">
        <v>28</v>
      </c>
      <c r="AM2894" s="115" t="s">
        <v>1832</v>
      </c>
      <c r="AN2894" s="115" t="s">
        <v>1609</v>
      </c>
      <c r="AO2894" s="115" t="s">
        <v>373</v>
      </c>
    </row>
    <row r="2895" spans="35:41" ht="13">
      <c r="AI2895" s="115" t="s">
        <v>1415</v>
      </c>
      <c r="AJ2895" t="s">
        <v>2114</v>
      </c>
      <c r="AK2895" s="115">
        <v>15</v>
      </c>
      <c r="AL2895" s="115" t="s">
        <v>28</v>
      </c>
      <c r="AM2895" s="115" t="s">
        <v>1832</v>
      </c>
      <c r="AN2895" s="115" t="s">
        <v>1609</v>
      </c>
      <c r="AO2895" s="115" t="s">
        <v>380</v>
      </c>
    </row>
    <row r="2896" spans="35:41" ht="13">
      <c r="AI2896" s="115" t="s">
        <v>1415</v>
      </c>
      <c r="AJ2896" t="s">
        <v>2114</v>
      </c>
      <c r="AK2896" s="115">
        <v>15</v>
      </c>
      <c r="AL2896" s="115" t="s">
        <v>28</v>
      </c>
      <c r="AM2896" s="115" t="s">
        <v>1849</v>
      </c>
      <c r="AN2896" s="115" t="s">
        <v>1609</v>
      </c>
      <c r="AO2896" s="115" t="s">
        <v>380</v>
      </c>
    </row>
    <row r="2897" spans="35:41" ht="13">
      <c r="AI2897" s="115" t="s">
        <v>1415</v>
      </c>
      <c r="AJ2897" t="s">
        <v>2114</v>
      </c>
      <c r="AK2897" s="115">
        <v>15</v>
      </c>
      <c r="AL2897" s="115" t="s">
        <v>28</v>
      </c>
      <c r="AM2897" s="115" t="s">
        <v>1848</v>
      </c>
      <c r="AN2897" s="115" t="s">
        <v>1609</v>
      </c>
      <c r="AO2897" s="115" t="s">
        <v>380</v>
      </c>
    </row>
    <row r="2898" spans="35:41" ht="13">
      <c r="AI2898" s="115" t="s">
        <v>1415</v>
      </c>
      <c r="AJ2898" t="s">
        <v>2114</v>
      </c>
      <c r="AK2898" s="115">
        <v>15</v>
      </c>
      <c r="AL2898" s="115" t="s">
        <v>28</v>
      </c>
      <c r="AM2898" s="115" t="s">
        <v>1843</v>
      </c>
      <c r="AN2898" s="115" t="s">
        <v>1609</v>
      </c>
      <c r="AO2898" s="115" t="s">
        <v>380</v>
      </c>
    </row>
    <row r="2899" spans="35:41" ht="13">
      <c r="AI2899" s="115" t="s">
        <v>1415</v>
      </c>
      <c r="AJ2899" t="s">
        <v>2114</v>
      </c>
      <c r="AK2899" s="115">
        <v>15</v>
      </c>
      <c r="AL2899" s="115" t="s">
        <v>28</v>
      </c>
      <c r="AM2899" s="115" t="s">
        <v>1846</v>
      </c>
      <c r="AN2899" s="115" t="s">
        <v>1609</v>
      </c>
      <c r="AO2899" s="115" t="s">
        <v>380</v>
      </c>
    </row>
    <row r="2900" spans="35:41" ht="13">
      <c r="AI2900" s="115" t="s">
        <v>1415</v>
      </c>
      <c r="AJ2900" t="s">
        <v>2114</v>
      </c>
      <c r="AK2900" s="115">
        <v>15</v>
      </c>
      <c r="AL2900" s="115" t="s">
        <v>28</v>
      </c>
      <c r="AM2900" s="115" t="s">
        <v>1850</v>
      </c>
      <c r="AN2900" s="115" t="s">
        <v>1609</v>
      </c>
      <c r="AO2900" s="115" t="s">
        <v>380</v>
      </c>
    </row>
    <row r="2901" spans="35:41" ht="13">
      <c r="AI2901" s="115" t="s">
        <v>1415</v>
      </c>
      <c r="AJ2901" t="s">
        <v>2114</v>
      </c>
      <c r="AK2901" s="115">
        <v>15</v>
      </c>
      <c r="AL2901" s="115" t="s">
        <v>28</v>
      </c>
      <c r="AM2901" s="115" t="s">
        <v>1848</v>
      </c>
      <c r="AN2901" s="115" t="s">
        <v>1610</v>
      </c>
      <c r="AO2901" s="115" t="s">
        <v>1644</v>
      </c>
    </row>
    <row r="2902" spans="35:41" ht="13">
      <c r="AI2902" s="115" t="s">
        <v>1415</v>
      </c>
      <c r="AJ2902" t="s">
        <v>2114</v>
      </c>
      <c r="AK2902" s="115">
        <v>15</v>
      </c>
      <c r="AL2902" s="115" t="s">
        <v>28</v>
      </c>
      <c r="AM2902" s="115" t="s">
        <v>1832</v>
      </c>
      <c r="AN2902" s="115" t="s">
        <v>1610</v>
      </c>
      <c r="AO2902" s="115" t="s">
        <v>1644</v>
      </c>
    </row>
    <row r="2903" spans="35:41" ht="13">
      <c r="AI2903" s="115" t="s">
        <v>1415</v>
      </c>
      <c r="AJ2903" t="s">
        <v>2114</v>
      </c>
      <c r="AK2903" s="115">
        <v>15</v>
      </c>
      <c r="AL2903" s="115" t="s">
        <v>28</v>
      </c>
      <c r="AM2903" s="115" t="s">
        <v>1850</v>
      </c>
      <c r="AN2903" s="115" t="s">
        <v>1610</v>
      </c>
      <c r="AO2903" s="115" t="s">
        <v>1644</v>
      </c>
    </row>
    <row r="2904" spans="35:41" ht="13">
      <c r="AI2904" s="115" t="s">
        <v>1415</v>
      </c>
      <c r="AJ2904" t="s">
        <v>2114</v>
      </c>
      <c r="AK2904" s="115">
        <v>15</v>
      </c>
      <c r="AL2904" s="115" t="s">
        <v>28</v>
      </c>
      <c r="AM2904" s="115" t="s">
        <v>1843</v>
      </c>
      <c r="AN2904" s="115" t="s">
        <v>1610</v>
      </c>
      <c r="AO2904" s="115" t="s">
        <v>1644</v>
      </c>
    </row>
    <row r="2905" spans="35:41" ht="13">
      <c r="AI2905" s="115" t="s">
        <v>1415</v>
      </c>
      <c r="AJ2905" t="s">
        <v>2114</v>
      </c>
      <c r="AK2905" s="115">
        <v>15</v>
      </c>
      <c r="AL2905" s="115" t="s">
        <v>28</v>
      </c>
      <c r="AM2905" s="115" t="s">
        <v>1850</v>
      </c>
      <c r="AN2905" s="115" t="s">
        <v>1610</v>
      </c>
      <c r="AO2905" s="115" t="s">
        <v>1274</v>
      </c>
    </row>
    <row r="2906" spans="35:41" ht="13">
      <c r="AI2906" s="115" t="s">
        <v>1415</v>
      </c>
      <c r="AJ2906" t="s">
        <v>2114</v>
      </c>
      <c r="AK2906" s="115">
        <v>15</v>
      </c>
      <c r="AL2906" s="115" t="s">
        <v>28</v>
      </c>
      <c r="AM2906" s="115" t="s">
        <v>1849</v>
      </c>
      <c r="AN2906" s="115" t="s">
        <v>1610</v>
      </c>
      <c r="AO2906" s="115" t="s">
        <v>1274</v>
      </c>
    </row>
    <row r="2907" spans="35:41" ht="13">
      <c r="AI2907" s="115" t="s">
        <v>1415</v>
      </c>
      <c r="AJ2907" t="s">
        <v>2114</v>
      </c>
      <c r="AK2907" s="115">
        <v>15</v>
      </c>
      <c r="AL2907" s="115" t="s">
        <v>28</v>
      </c>
      <c r="AM2907" s="115" t="s">
        <v>1843</v>
      </c>
      <c r="AN2907" s="115" t="s">
        <v>1610</v>
      </c>
      <c r="AO2907" s="115" t="s">
        <v>1274</v>
      </c>
    </row>
    <row r="2908" spans="35:41" ht="13">
      <c r="AI2908" s="115" t="s">
        <v>1415</v>
      </c>
      <c r="AJ2908" t="s">
        <v>2114</v>
      </c>
      <c r="AK2908" s="115">
        <v>15</v>
      </c>
      <c r="AL2908" s="115" t="s">
        <v>28</v>
      </c>
      <c r="AM2908" s="115" t="s">
        <v>1848</v>
      </c>
      <c r="AN2908" s="115" t="s">
        <v>1610</v>
      </c>
      <c r="AO2908" s="115" t="s">
        <v>1274</v>
      </c>
    </row>
    <row r="2909" spans="35:41" ht="13">
      <c r="AI2909" s="115" t="s">
        <v>1415</v>
      </c>
      <c r="AJ2909" t="s">
        <v>2114</v>
      </c>
      <c r="AK2909" s="115">
        <v>15</v>
      </c>
      <c r="AL2909" s="115" t="s">
        <v>28</v>
      </c>
      <c r="AM2909" s="115" t="s">
        <v>1832</v>
      </c>
      <c r="AN2909" s="115" t="s">
        <v>1610</v>
      </c>
      <c r="AO2909" s="115" t="s">
        <v>1274</v>
      </c>
    </row>
    <row r="2910" spans="35:41" ht="13">
      <c r="AI2910" s="115" t="s">
        <v>1415</v>
      </c>
      <c r="AJ2910" t="s">
        <v>2114</v>
      </c>
      <c r="AK2910" s="115">
        <v>15</v>
      </c>
      <c r="AL2910" s="115" t="s">
        <v>28</v>
      </c>
      <c r="AM2910" s="115" t="s">
        <v>1846</v>
      </c>
      <c r="AN2910" s="115" t="s">
        <v>1610</v>
      </c>
      <c r="AO2910" s="115" t="s">
        <v>1274</v>
      </c>
    </row>
    <row r="2911" spans="35:41" ht="13">
      <c r="AI2911" s="115" t="s">
        <v>1415</v>
      </c>
      <c r="AJ2911" t="s">
        <v>2114</v>
      </c>
      <c r="AK2911" s="115">
        <v>15</v>
      </c>
      <c r="AL2911" s="115" t="s">
        <v>28</v>
      </c>
      <c r="AM2911" s="115" t="s">
        <v>1832</v>
      </c>
      <c r="AN2911" s="115" t="s">
        <v>1610</v>
      </c>
      <c r="AO2911" s="115" t="s">
        <v>381</v>
      </c>
    </row>
    <row r="2912" spans="35:41" ht="13">
      <c r="AI2912" s="115" t="s">
        <v>1415</v>
      </c>
      <c r="AJ2912" t="s">
        <v>2114</v>
      </c>
      <c r="AK2912" s="115">
        <v>15</v>
      </c>
      <c r="AL2912" s="115" t="s">
        <v>28</v>
      </c>
      <c r="AM2912" s="115" t="s">
        <v>1850</v>
      </c>
      <c r="AN2912" s="115" t="s">
        <v>1610</v>
      </c>
      <c r="AO2912" s="115" t="s">
        <v>381</v>
      </c>
    </row>
    <row r="2913" spans="35:41" ht="13">
      <c r="AI2913" s="115" t="s">
        <v>1415</v>
      </c>
      <c r="AJ2913" t="s">
        <v>2114</v>
      </c>
      <c r="AK2913" s="115">
        <v>15</v>
      </c>
      <c r="AL2913" s="115" t="s">
        <v>28</v>
      </c>
      <c r="AM2913" s="115" t="s">
        <v>1843</v>
      </c>
      <c r="AN2913" s="115" t="s">
        <v>1610</v>
      </c>
      <c r="AO2913" s="115" t="s">
        <v>381</v>
      </c>
    </row>
    <row r="2914" spans="35:41" ht="13">
      <c r="AI2914" s="115" t="s">
        <v>1415</v>
      </c>
      <c r="AJ2914" t="s">
        <v>2114</v>
      </c>
      <c r="AK2914" s="115">
        <v>15</v>
      </c>
      <c r="AL2914" s="115" t="s">
        <v>28</v>
      </c>
      <c r="AM2914" s="115" t="s">
        <v>1848</v>
      </c>
      <c r="AN2914" s="115" t="s">
        <v>1610</v>
      </c>
      <c r="AO2914" s="115" t="s">
        <v>381</v>
      </c>
    </row>
    <row r="2915" spans="35:41" ht="13">
      <c r="AI2915" s="115" t="s">
        <v>1415</v>
      </c>
      <c r="AJ2915" t="s">
        <v>2114</v>
      </c>
      <c r="AK2915" s="115">
        <v>15</v>
      </c>
      <c r="AL2915" s="115" t="s">
        <v>28</v>
      </c>
      <c r="AM2915" s="115" t="s">
        <v>1849</v>
      </c>
      <c r="AN2915" s="115" t="s">
        <v>1610</v>
      </c>
      <c r="AO2915" s="115" t="s">
        <v>381</v>
      </c>
    </row>
    <row r="2916" spans="35:41" ht="13">
      <c r="AI2916" s="115" t="s">
        <v>1415</v>
      </c>
      <c r="AJ2916" t="s">
        <v>2114</v>
      </c>
      <c r="AK2916" s="115">
        <v>15</v>
      </c>
      <c r="AL2916" s="115" t="s">
        <v>28</v>
      </c>
      <c r="AM2916" s="115" t="s">
        <v>1846</v>
      </c>
      <c r="AN2916" s="115" t="s">
        <v>1610</v>
      </c>
      <c r="AO2916" s="115" t="s">
        <v>381</v>
      </c>
    </row>
    <row r="2917" spans="35:41" ht="13">
      <c r="AI2917" s="115" t="s">
        <v>1415</v>
      </c>
      <c r="AJ2917" t="s">
        <v>2114</v>
      </c>
      <c r="AK2917" s="115">
        <v>15</v>
      </c>
      <c r="AL2917" s="115" t="s">
        <v>28</v>
      </c>
      <c r="AM2917" s="115" t="s">
        <v>1848</v>
      </c>
      <c r="AN2917" s="115" t="s">
        <v>1610</v>
      </c>
      <c r="AO2917" s="115" t="s">
        <v>379</v>
      </c>
    </row>
    <row r="2918" spans="35:41" ht="13">
      <c r="AI2918" s="115" t="s">
        <v>1415</v>
      </c>
      <c r="AJ2918" t="s">
        <v>2114</v>
      </c>
      <c r="AK2918" s="115">
        <v>15</v>
      </c>
      <c r="AL2918" s="115" t="s">
        <v>28</v>
      </c>
      <c r="AM2918" s="115" t="s">
        <v>1832</v>
      </c>
      <c r="AN2918" s="115" t="s">
        <v>1610</v>
      </c>
      <c r="AO2918" s="115" t="s">
        <v>379</v>
      </c>
    </row>
    <row r="2919" spans="35:41" ht="13">
      <c r="AI2919" s="115" t="s">
        <v>1415</v>
      </c>
      <c r="AJ2919" t="s">
        <v>2114</v>
      </c>
      <c r="AK2919" s="115">
        <v>15</v>
      </c>
      <c r="AL2919" s="115" t="s">
        <v>28</v>
      </c>
      <c r="AM2919" s="115" t="s">
        <v>1850</v>
      </c>
      <c r="AN2919" s="115" t="s">
        <v>1610</v>
      </c>
      <c r="AO2919" s="115" t="s">
        <v>379</v>
      </c>
    </row>
    <row r="2920" spans="35:41" ht="13">
      <c r="AI2920" s="115" t="s">
        <v>1415</v>
      </c>
      <c r="AJ2920" t="s">
        <v>2114</v>
      </c>
      <c r="AK2920" s="115">
        <v>15</v>
      </c>
      <c r="AL2920" s="115" t="s">
        <v>28</v>
      </c>
      <c r="AM2920" s="115" t="s">
        <v>1849</v>
      </c>
      <c r="AN2920" s="115" t="s">
        <v>1610</v>
      </c>
      <c r="AO2920" s="115" t="s">
        <v>379</v>
      </c>
    </row>
    <row r="2921" spans="35:41" ht="13">
      <c r="AI2921" s="115" t="s">
        <v>1415</v>
      </c>
      <c r="AJ2921" t="s">
        <v>2114</v>
      </c>
      <c r="AK2921" s="115">
        <v>15</v>
      </c>
      <c r="AL2921" s="115" t="s">
        <v>28</v>
      </c>
      <c r="AM2921" s="115" t="s">
        <v>1843</v>
      </c>
      <c r="AN2921" s="115" t="s">
        <v>1610</v>
      </c>
      <c r="AO2921" s="115" t="s">
        <v>379</v>
      </c>
    </row>
    <row r="2922" spans="35:41" ht="13">
      <c r="AI2922" s="115" t="s">
        <v>1415</v>
      </c>
      <c r="AJ2922" t="s">
        <v>2114</v>
      </c>
      <c r="AK2922" s="115">
        <v>15</v>
      </c>
      <c r="AL2922" s="115" t="s">
        <v>28</v>
      </c>
      <c r="AM2922" s="115" t="s">
        <v>1846</v>
      </c>
      <c r="AN2922" s="115" t="s">
        <v>1610</v>
      </c>
      <c r="AO2922" s="115" t="s">
        <v>379</v>
      </c>
    </row>
    <row r="2923" spans="35:41" ht="13">
      <c r="AI2923" s="115" t="s">
        <v>1415</v>
      </c>
      <c r="AJ2923" t="s">
        <v>2114</v>
      </c>
      <c r="AK2923" s="115">
        <v>15</v>
      </c>
      <c r="AL2923" s="115" t="s">
        <v>28</v>
      </c>
      <c r="AM2923" s="115" t="s">
        <v>1846</v>
      </c>
      <c r="AN2923" s="115" t="s">
        <v>1610</v>
      </c>
      <c r="AO2923" s="115" t="s">
        <v>1645</v>
      </c>
    </row>
    <row r="2924" spans="35:41" ht="13">
      <c r="AI2924" s="115" t="s">
        <v>1415</v>
      </c>
      <c r="AJ2924" t="s">
        <v>2114</v>
      </c>
      <c r="AK2924" s="115">
        <v>15</v>
      </c>
      <c r="AL2924" s="115" t="s">
        <v>28</v>
      </c>
      <c r="AM2924" s="115" t="s">
        <v>1848</v>
      </c>
      <c r="AN2924" s="115" t="s">
        <v>1610</v>
      </c>
      <c r="AO2924" s="115" t="s">
        <v>1645</v>
      </c>
    </row>
    <row r="2925" spans="35:41" ht="13">
      <c r="AI2925" s="115" t="s">
        <v>1415</v>
      </c>
      <c r="AJ2925" t="s">
        <v>2114</v>
      </c>
      <c r="AK2925" s="115">
        <v>15</v>
      </c>
      <c r="AL2925" s="115" t="s">
        <v>28</v>
      </c>
      <c r="AM2925" s="115" t="s">
        <v>1849</v>
      </c>
      <c r="AN2925" s="115" t="s">
        <v>1610</v>
      </c>
      <c r="AO2925" s="115" t="s">
        <v>1645</v>
      </c>
    </row>
    <row r="2926" spans="35:41" ht="13">
      <c r="AI2926" s="115" t="s">
        <v>1415</v>
      </c>
      <c r="AJ2926" t="s">
        <v>2114</v>
      </c>
      <c r="AK2926" s="115">
        <v>15</v>
      </c>
      <c r="AL2926" s="115" t="s">
        <v>28</v>
      </c>
      <c r="AM2926" s="115" t="s">
        <v>1850</v>
      </c>
      <c r="AN2926" s="115" t="s">
        <v>1610</v>
      </c>
      <c r="AO2926" s="115" t="s">
        <v>1645</v>
      </c>
    </row>
    <row r="2927" spans="35:41" ht="13">
      <c r="AI2927" s="115" t="s">
        <v>1415</v>
      </c>
      <c r="AJ2927" t="s">
        <v>2114</v>
      </c>
      <c r="AK2927" s="115">
        <v>15</v>
      </c>
      <c r="AL2927" s="115" t="s">
        <v>28</v>
      </c>
      <c r="AM2927" s="115" t="s">
        <v>1832</v>
      </c>
      <c r="AN2927" s="115" t="s">
        <v>1610</v>
      </c>
      <c r="AO2927" s="115" t="s">
        <v>1645</v>
      </c>
    </row>
    <row r="2928" spans="35:41" ht="13">
      <c r="AI2928" s="115" t="s">
        <v>1415</v>
      </c>
      <c r="AJ2928" t="s">
        <v>2114</v>
      </c>
      <c r="AK2928" s="115">
        <v>15</v>
      </c>
      <c r="AL2928" s="115" t="s">
        <v>28</v>
      </c>
      <c r="AM2928" s="115" t="s">
        <v>1843</v>
      </c>
      <c r="AN2928" s="115" t="s">
        <v>1610</v>
      </c>
      <c r="AO2928" s="115" t="s">
        <v>1645</v>
      </c>
    </row>
    <row r="2929" spans="35:41" ht="13">
      <c r="AI2929" s="115" t="s">
        <v>1415</v>
      </c>
      <c r="AJ2929" t="s">
        <v>2114</v>
      </c>
      <c r="AK2929" s="115">
        <v>15</v>
      </c>
      <c r="AL2929" s="115" t="s">
        <v>28</v>
      </c>
      <c r="AM2929" s="115" t="s">
        <v>1843</v>
      </c>
      <c r="AN2929" s="115" t="s">
        <v>1610</v>
      </c>
      <c r="AO2929" s="115" t="s">
        <v>1646</v>
      </c>
    </row>
    <row r="2930" spans="35:41" ht="13">
      <c r="AI2930" s="115" t="s">
        <v>1415</v>
      </c>
      <c r="AJ2930" t="s">
        <v>2114</v>
      </c>
      <c r="AK2930" s="115">
        <v>15</v>
      </c>
      <c r="AL2930" s="115" t="s">
        <v>28</v>
      </c>
      <c r="AM2930" s="115" t="s">
        <v>1846</v>
      </c>
      <c r="AN2930" s="115" t="s">
        <v>1610</v>
      </c>
      <c r="AO2930" s="115" t="s">
        <v>1646</v>
      </c>
    </row>
    <row r="2931" spans="35:41" ht="13">
      <c r="AI2931" s="115" t="s">
        <v>1415</v>
      </c>
      <c r="AJ2931" t="s">
        <v>2114</v>
      </c>
      <c r="AK2931" s="115">
        <v>15</v>
      </c>
      <c r="AL2931" s="115" t="s">
        <v>28</v>
      </c>
      <c r="AM2931" s="115" t="s">
        <v>1843</v>
      </c>
      <c r="AN2931" s="115" t="s">
        <v>1610</v>
      </c>
      <c r="AO2931" s="115" t="s">
        <v>1647</v>
      </c>
    </row>
    <row r="2932" spans="35:41" ht="13">
      <c r="AI2932" s="115" t="s">
        <v>1415</v>
      </c>
      <c r="AJ2932" t="s">
        <v>2114</v>
      </c>
      <c r="AK2932" s="115">
        <v>15</v>
      </c>
      <c r="AL2932" s="115" t="s">
        <v>28</v>
      </c>
      <c r="AM2932" s="115" t="s">
        <v>1846</v>
      </c>
      <c r="AN2932" s="115" t="s">
        <v>1610</v>
      </c>
      <c r="AO2932" s="115" t="s">
        <v>1647</v>
      </c>
    </row>
    <row r="2933" spans="35:41" ht="13">
      <c r="AI2933" s="115" t="s">
        <v>1415</v>
      </c>
      <c r="AJ2933" t="s">
        <v>2114</v>
      </c>
      <c r="AK2933" s="115">
        <v>15</v>
      </c>
      <c r="AL2933" s="115" t="s">
        <v>28</v>
      </c>
      <c r="AM2933" s="115" t="s">
        <v>1843</v>
      </c>
      <c r="AN2933" s="115" t="s">
        <v>1610</v>
      </c>
      <c r="AO2933" s="115" t="s">
        <v>1639</v>
      </c>
    </row>
    <row r="2934" spans="35:41" ht="13">
      <c r="AI2934" s="115" t="s">
        <v>1415</v>
      </c>
      <c r="AJ2934" t="s">
        <v>2114</v>
      </c>
      <c r="AK2934" s="115">
        <v>15</v>
      </c>
      <c r="AL2934" s="115" t="s">
        <v>28</v>
      </c>
      <c r="AM2934" s="115" t="s">
        <v>1846</v>
      </c>
      <c r="AN2934" s="115" t="s">
        <v>1610</v>
      </c>
      <c r="AO2934" s="115" t="s">
        <v>1639</v>
      </c>
    </row>
    <row r="2935" spans="35:41" ht="13">
      <c r="AI2935" s="115" t="s">
        <v>1415</v>
      </c>
      <c r="AJ2935" t="s">
        <v>2114</v>
      </c>
      <c r="AK2935" s="115">
        <v>15</v>
      </c>
      <c r="AL2935" s="115" t="s">
        <v>28</v>
      </c>
      <c r="AM2935" s="115" t="s">
        <v>1848</v>
      </c>
      <c r="AN2935" s="115" t="s">
        <v>1610</v>
      </c>
      <c r="AO2935" s="115" t="s">
        <v>373</v>
      </c>
    </row>
    <row r="2936" spans="35:41" ht="13">
      <c r="AI2936" s="115" t="s">
        <v>1415</v>
      </c>
      <c r="AJ2936" t="s">
        <v>2114</v>
      </c>
      <c r="AK2936" s="115">
        <v>15</v>
      </c>
      <c r="AL2936" s="115" t="s">
        <v>28</v>
      </c>
      <c r="AM2936" s="115" t="s">
        <v>1850</v>
      </c>
      <c r="AN2936" s="115" t="s">
        <v>1610</v>
      </c>
      <c r="AO2936" s="115" t="s">
        <v>373</v>
      </c>
    </row>
    <row r="2937" spans="35:41" ht="13">
      <c r="AI2937" s="115" t="s">
        <v>1415</v>
      </c>
      <c r="AJ2937" t="s">
        <v>2114</v>
      </c>
      <c r="AK2937" s="115">
        <v>15</v>
      </c>
      <c r="AL2937" s="115" t="s">
        <v>28</v>
      </c>
      <c r="AM2937" s="115" t="s">
        <v>1832</v>
      </c>
      <c r="AN2937" s="115" t="s">
        <v>1610</v>
      </c>
      <c r="AO2937" s="115" t="s">
        <v>373</v>
      </c>
    </row>
    <row r="2938" spans="35:41" ht="13">
      <c r="AI2938" s="115" t="s">
        <v>1415</v>
      </c>
      <c r="AJ2938" t="s">
        <v>2114</v>
      </c>
      <c r="AK2938" s="115">
        <v>15</v>
      </c>
      <c r="AL2938" s="115" t="s">
        <v>28</v>
      </c>
      <c r="AM2938" s="115" t="s">
        <v>1849</v>
      </c>
      <c r="AN2938" s="115" t="s">
        <v>1610</v>
      </c>
      <c r="AO2938" s="115" t="s">
        <v>373</v>
      </c>
    </row>
    <row r="2939" spans="35:41" ht="13">
      <c r="AI2939" s="115" t="s">
        <v>1415</v>
      </c>
      <c r="AJ2939" t="s">
        <v>2114</v>
      </c>
      <c r="AK2939" s="115">
        <v>15</v>
      </c>
      <c r="AL2939" s="115" t="s">
        <v>28</v>
      </c>
      <c r="AM2939" s="115" t="s">
        <v>1843</v>
      </c>
      <c r="AN2939" s="115" t="s">
        <v>1610</v>
      </c>
      <c r="AO2939" s="115" t="s">
        <v>373</v>
      </c>
    </row>
    <row r="2940" spans="35:41" ht="13">
      <c r="AI2940" s="115" t="s">
        <v>1415</v>
      </c>
      <c r="AJ2940" t="s">
        <v>2114</v>
      </c>
      <c r="AK2940" s="115">
        <v>15</v>
      </c>
      <c r="AL2940" s="115" t="s">
        <v>28</v>
      </c>
      <c r="AM2940" s="115" t="s">
        <v>1846</v>
      </c>
      <c r="AN2940" s="115" t="s">
        <v>1610</v>
      </c>
      <c r="AO2940" s="115" t="s">
        <v>373</v>
      </c>
    </row>
    <row r="2941" spans="35:41" ht="13">
      <c r="AI2941" s="115" t="s">
        <v>1415</v>
      </c>
      <c r="AJ2941" t="s">
        <v>2114</v>
      </c>
      <c r="AK2941" s="115">
        <v>15</v>
      </c>
      <c r="AL2941" s="115" t="s">
        <v>28</v>
      </c>
      <c r="AM2941" s="115" t="s">
        <v>1843</v>
      </c>
      <c r="AN2941" s="115" t="s">
        <v>1610</v>
      </c>
      <c r="AO2941" s="115" t="s">
        <v>380</v>
      </c>
    </row>
    <row r="2942" spans="35:41" ht="13">
      <c r="AI2942" s="115" t="s">
        <v>1415</v>
      </c>
      <c r="AJ2942" t="s">
        <v>2114</v>
      </c>
      <c r="AK2942" s="115">
        <v>15</v>
      </c>
      <c r="AL2942" s="115" t="s">
        <v>28</v>
      </c>
      <c r="AM2942" s="115" t="s">
        <v>1849</v>
      </c>
      <c r="AN2942" s="115" t="s">
        <v>1610</v>
      </c>
      <c r="AO2942" s="115" t="s">
        <v>380</v>
      </c>
    </row>
    <row r="2943" spans="35:41" ht="13">
      <c r="AI2943" s="115" t="s">
        <v>1415</v>
      </c>
      <c r="AJ2943" t="s">
        <v>2114</v>
      </c>
      <c r="AK2943" s="115">
        <v>15</v>
      </c>
      <c r="AL2943" s="115" t="s">
        <v>28</v>
      </c>
      <c r="AM2943" s="115" t="s">
        <v>1846</v>
      </c>
      <c r="AN2943" s="115" t="s">
        <v>1610</v>
      </c>
      <c r="AO2943" s="115" t="s">
        <v>380</v>
      </c>
    </row>
    <row r="2944" spans="35:41" ht="13">
      <c r="AI2944" s="115" t="s">
        <v>1415</v>
      </c>
      <c r="AJ2944" t="s">
        <v>2114</v>
      </c>
      <c r="AK2944" s="115">
        <v>15</v>
      </c>
      <c r="AL2944" s="115" t="s">
        <v>28</v>
      </c>
      <c r="AM2944" s="115" t="s">
        <v>1848</v>
      </c>
      <c r="AN2944" s="115" t="s">
        <v>1610</v>
      </c>
      <c r="AO2944" s="115" t="s">
        <v>380</v>
      </c>
    </row>
    <row r="2945" spans="35:41" ht="13">
      <c r="AI2945" s="115" t="s">
        <v>1415</v>
      </c>
      <c r="AJ2945" t="s">
        <v>2114</v>
      </c>
      <c r="AK2945" s="115">
        <v>15</v>
      </c>
      <c r="AL2945" s="115" t="s">
        <v>28</v>
      </c>
      <c r="AM2945" s="115" t="s">
        <v>1850</v>
      </c>
      <c r="AN2945" s="115" t="s">
        <v>1610</v>
      </c>
      <c r="AO2945" s="115" t="s">
        <v>380</v>
      </c>
    </row>
    <row r="2946" spans="35:41" ht="13">
      <c r="AI2946" s="115" t="s">
        <v>1415</v>
      </c>
      <c r="AJ2946" t="s">
        <v>2114</v>
      </c>
      <c r="AK2946" s="115">
        <v>15</v>
      </c>
      <c r="AL2946" s="115" t="s">
        <v>28</v>
      </c>
      <c r="AM2946" s="115" t="s">
        <v>1832</v>
      </c>
      <c r="AN2946" s="115" t="s">
        <v>1610</v>
      </c>
      <c r="AO2946" s="115" t="s">
        <v>380</v>
      </c>
    </row>
    <row r="2947" spans="35:41" ht="13">
      <c r="AI2947" s="115" t="s">
        <v>1415</v>
      </c>
      <c r="AJ2947" t="s">
        <v>2114</v>
      </c>
      <c r="AK2947" s="115">
        <v>15</v>
      </c>
      <c r="AL2947" s="115" t="s">
        <v>28</v>
      </c>
      <c r="AM2947" s="115" t="s">
        <v>1832</v>
      </c>
      <c r="AN2947" s="115" t="s">
        <v>1659</v>
      </c>
      <c r="AO2947" s="115" t="s">
        <v>1274</v>
      </c>
    </row>
    <row r="2948" spans="35:41" ht="13">
      <c r="AI2948" s="115" t="s">
        <v>1415</v>
      </c>
      <c r="AJ2948" t="s">
        <v>2114</v>
      </c>
      <c r="AK2948" s="115">
        <v>15</v>
      </c>
      <c r="AL2948" s="115" t="s">
        <v>28</v>
      </c>
      <c r="AM2948" s="115" t="s">
        <v>1843</v>
      </c>
      <c r="AN2948" s="115" t="s">
        <v>1659</v>
      </c>
      <c r="AO2948" s="115" t="s">
        <v>1274</v>
      </c>
    </row>
    <row r="2949" spans="35:41" ht="13">
      <c r="AI2949" s="115" t="s">
        <v>1415</v>
      </c>
      <c r="AJ2949" t="s">
        <v>2114</v>
      </c>
      <c r="AK2949" s="115">
        <v>15</v>
      </c>
      <c r="AL2949" s="115" t="s">
        <v>28</v>
      </c>
      <c r="AM2949" s="115" t="s">
        <v>1850</v>
      </c>
      <c r="AN2949" s="115" t="s">
        <v>1659</v>
      </c>
      <c r="AO2949" s="115" t="s">
        <v>1274</v>
      </c>
    </row>
    <row r="2950" spans="35:41" ht="13">
      <c r="AI2950" s="115" t="s">
        <v>1415</v>
      </c>
      <c r="AJ2950" t="s">
        <v>2114</v>
      </c>
      <c r="AK2950" s="115">
        <v>15</v>
      </c>
      <c r="AL2950" s="115" t="s">
        <v>28</v>
      </c>
      <c r="AM2950" s="115" t="s">
        <v>1848</v>
      </c>
      <c r="AN2950" s="115" t="s">
        <v>1659</v>
      </c>
      <c r="AO2950" s="115" t="s">
        <v>1274</v>
      </c>
    </row>
    <row r="2951" spans="35:41" ht="13">
      <c r="AI2951" s="115" t="s">
        <v>1415</v>
      </c>
      <c r="AJ2951" t="s">
        <v>2114</v>
      </c>
      <c r="AK2951" s="115">
        <v>15</v>
      </c>
      <c r="AL2951" s="115" t="s">
        <v>28</v>
      </c>
      <c r="AM2951" s="115" t="s">
        <v>1846</v>
      </c>
      <c r="AN2951" s="115" t="s">
        <v>1659</v>
      </c>
      <c r="AO2951" s="115" t="s">
        <v>1274</v>
      </c>
    </row>
    <row r="2952" spans="35:41" ht="13">
      <c r="AI2952" s="115" t="s">
        <v>1415</v>
      </c>
      <c r="AJ2952" t="s">
        <v>2114</v>
      </c>
      <c r="AK2952" s="115">
        <v>15</v>
      </c>
      <c r="AL2952" s="115" t="s">
        <v>28</v>
      </c>
      <c r="AM2952" s="115" t="s">
        <v>1849</v>
      </c>
      <c r="AN2952" s="115" t="s">
        <v>1659</v>
      </c>
      <c r="AO2952" s="115" t="s">
        <v>1274</v>
      </c>
    </row>
    <row r="2953" spans="35:41" ht="13">
      <c r="AI2953" s="115" t="s">
        <v>1415</v>
      </c>
      <c r="AJ2953" t="s">
        <v>2114</v>
      </c>
      <c r="AK2953" s="115">
        <v>15</v>
      </c>
      <c r="AL2953" s="115" t="s">
        <v>28</v>
      </c>
      <c r="AM2953" s="115" t="s">
        <v>1843</v>
      </c>
      <c r="AN2953" s="115" t="s">
        <v>1623</v>
      </c>
      <c r="AO2953" s="115" t="s">
        <v>1274</v>
      </c>
    </row>
    <row r="2954" spans="35:41" ht="13">
      <c r="AI2954" s="115" t="s">
        <v>1415</v>
      </c>
      <c r="AJ2954" t="s">
        <v>2114</v>
      </c>
      <c r="AK2954" s="115">
        <v>15</v>
      </c>
      <c r="AL2954" s="115" t="s">
        <v>28</v>
      </c>
      <c r="AM2954" s="115" t="s">
        <v>1848</v>
      </c>
      <c r="AN2954" s="115" t="s">
        <v>1623</v>
      </c>
      <c r="AO2954" s="115" t="s">
        <v>1274</v>
      </c>
    </row>
    <row r="2955" spans="35:41" ht="13">
      <c r="AI2955" s="115" t="s">
        <v>1415</v>
      </c>
      <c r="AJ2955" t="s">
        <v>2114</v>
      </c>
      <c r="AK2955" s="115">
        <v>15</v>
      </c>
      <c r="AL2955" s="115" t="s">
        <v>28</v>
      </c>
      <c r="AM2955" s="115" t="s">
        <v>1850</v>
      </c>
      <c r="AN2955" s="115" t="s">
        <v>1623</v>
      </c>
      <c r="AO2955" s="115" t="s">
        <v>1274</v>
      </c>
    </row>
    <row r="2956" spans="35:41" ht="13">
      <c r="AI2956" s="115" t="s">
        <v>1415</v>
      </c>
      <c r="AJ2956" t="s">
        <v>2114</v>
      </c>
      <c r="AK2956" s="115">
        <v>15</v>
      </c>
      <c r="AL2956" s="115" t="s">
        <v>28</v>
      </c>
      <c r="AM2956" s="115" t="s">
        <v>1846</v>
      </c>
      <c r="AN2956" s="115" t="s">
        <v>1623</v>
      </c>
      <c r="AO2956" s="115" t="s">
        <v>1274</v>
      </c>
    </row>
    <row r="2957" spans="35:41" ht="13">
      <c r="AI2957" s="115" t="s">
        <v>1415</v>
      </c>
      <c r="AJ2957" t="s">
        <v>2114</v>
      </c>
      <c r="AK2957" s="115">
        <v>15</v>
      </c>
      <c r="AL2957" s="115" t="s">
        <v>28</v>
      </c>
      <c r="AM2957" s="115" t="s">
        <v>1849</v>
      </c>
      <c r="AN2957" s="115" t="s">
        <v>1623</v>
      </c>
      <c r="AO2957" s="115" t="s">
        <v>1274</v>
      </c>
    </row>
    <row r="2958" spans="35:41" ht="13">
      <c r="AI2958" s="115" t="s">
        <v>1415</v>
      </c>
      <c r="AJ2958" t="s">
        <v>2114</v>
      </c>
      <c r="AK2958" s="115">
        <v>15</v>
      </c>
      <c r="AL2958" s="115" t="s">
        <v>28</v>
      </c>
      <c r="AM2958" s="115" t="s">
        <v>1832</v>
      </c>
      <c r="AN2958" s="115" t="s">
        <v>1623</v>
      </c>
      <c r="AO2958" s="115" t="s">
        <v>1274</v>
      </c>
    </row>
    <row r="2959" spans="35:41" ht="13">
      <c r="AI2959" s="115" t="s">
        <v>1415</v>
      </c>
      <c r="AJ2959" t="s">
        <v>2114</v>
      </c>
      <c r="AK2959" s="115">
        <v>15</v>
      </c>
      <c r="AL2959" s="115" t="s">
        <v>28</v>
      </c>
      <c r="AM2959" s="115" t="s">
        <v>1850</v>
      </c>
      <c r="AN2959" s="115" t="s">
        <v>1623</v>
      </c>
      <c r="AO2959" s="115" t="s">
        <v>379</v>
      </c>
    </row>
    <row r="2960" spans="35:41" ht="13">
      <c r="AI2960" s="115" t="s">
        <v>1415</v>
      </c>
      <c r="AJ2960" t="s">
        <v>2114</v>
      </c>
      <c r="AK2960" s="115">
        <v>15</v>
      </c>
      <c r="AL2960" s="115" t="s">
        <v>28</v>
      </c>
      <c r="AM2960" s="115" t="s">
        <v>1848</v>
      </c>
      <c r="AN2960" s="115" t="s">
        <v>1623</v>
      </c>
      <c r="AO2960" s="115" t="s">
        <v>379</v>
      </c>
    </row>
    <row r="2961" spans="35:41" ht="13">
      <c r="AI2961" s="115" t="s">
        <v>1415</v>
      </c>
      <c r="AJ2961" t="s">
        <v>2114</v>
      </c>
      <c r="AK2961" s="115">
        <v>15</v>
      </c>
      <c r="AL2961" s="115" t="s">
        <v>28</v>
      </c>
      <c r="AM2961" s="115" t="s">
        <v>1849</v>
      </c>
      <c r="AN2961" s="115" t="s">
        <v>1623</v>
      </c>
      <c r="AO2961" s="115" t="s">
        <v>379</v>
      </c>
    </row>
    <row r="2962" spans="35:41" ht="13">
      <c r="AI2962" s="115" t="s">
        <v>1415</v>
      </c>
      <c r="AJ2962" t="s">
        <v>2114</v>
      </c>
      <c r="AK2962" s="115">
        <v>15</v>
      </c>
      <c r="AL2962" s="115" t="s">
        <v>28</v>
      </c>
      <c r="AM2962" s="115" t="s">
        <v>1843</v>
      </c>
      <c r="AN2962" s="115" t="s">
        <v>1623</v>
      </c>
      <c r="AO2962" s="115" t="s">
        <v>379</v>
      </c>
    </row>
    <row r="2963" spans="35:41" ht="13">
      <c r="AI2963" s="115" t="s">
        <v>1415</v>
      </c>
      <c r="AJ2963" t="s">
        <v>2114</v>
      </c>
      <c r="AK2963" s="115">
        <v>15</v>
      </c>
      <c r="AL2963" s="115" t="s">
        <v>28</v>
      </c>
      <c r="AM2963" s="115" t="s">
        <v>1832</v>
      </c>
      <c r="AN2963" s="115" t="s">
        <v>1623</v>
      </c>
      <c r="AO2963" s="115" t="s">
        <v>379</v>
      </c>
    </row>
    <row r="2964" spans="35:41" ht="13">
      <c r="AI2964" s="115" t="s">
        <v>1415</v>
      </c>
      <c r="AJ2964" t="s">
        <v>2114</v>
      </c>
      <c r="AK2964" s="115">
        <v>15</v>
      </c>
      <c r="AL2964" s="115" t="s">
        <v>28</v>
      </c>
      <c r="AM2964" s="115" t="s">
        <v>1846</v>
      </c>
      <c r="AN2964" s="115" t="s">
        <v>1623</v>
      </c>
      <c r="AO2964" s="115" t="s">
        <v>379</v>
      </c>
    </row>
    <row r="2965" spans="35:41" ht="13">
      <c r="AI2965" s="115" t="s">
        <v>1415</v>
      </c>
      <c r="AJ2965" t="s">
        <v>2114</v>
      </c>
      <c r="AK2965" s="115">
        <v>15</v>
      </c>
      <c r="AL2965" s="115" t="s">
        <v>28</v>
      </c>
      <c r="AM2965" s="115" t="s">
        <v>1843</v>
      </c>
      <c r="AN2965" s="115" t="s">
        <v>1623</v>
      </c>
      <c r="AO2965" s="115" t="s">
        <v>1639</v>
      </c>
    </row>
    <row r="2966" spans="35:41" ht="13">
      <c r="AI2966" s="115" t="s">
        <v>1415</v>
      </c>
      <c r="AJ2966" t="s">
        <v>2114</v>
      </c>
      <c r="AK2966" s="115">
        <v>15</v>
      </c>
      <c r="AL2966" s="115" t="s">
        <v>28</v>
      </c>
      <c r="AM2966" s="115" t="s">
        <v>1846</v>
      </c>
      <c r="AN2966" s="115" t="s">
        <v>1623</v>
      </c>
      <c r="AO2966" s="115" t="s">
        <v>1639</v>
      </c>
    </row>
    <row r="2967" spans="35:41" ht="13">
      <c r="AI2967" s="115" t="s">
        <v>1415</v>
      </c>
      <c r="AJ2967" t="s">
        <v>2114</v>
      </c>
      <c r="AK2967" s="115">
        <v>15</v>
      </c>
      <c r="AL2967" s="115" t="s">
        <v>28</v>
      </c>
      <c r="AM2967" s="115" t="s">
        <v>1846</v>
      </c>
      <c r="AN2967" s="115" t="s">
        <v>1623</v>
      </c>
      <c r="AO2967" s="115" t="s">
        <v>373</v>
      </c>
    </row>
    <row r="2968" spans="35:41" ht="13">
      <c r="AI2968" s="115" t="s">
        <v>1415</v>
      </c>
      <c r="AJ2968" t="s">
        <v>2114</v>
      </c>
      <c r="AK2968" s="115">
        <v>15</v>
      </c>
      <c r="AL2968" s="115" t="s">
        <v>28</v>
      </c>
      <c r="AM2968" s="115" t="s">
        <v>1848</v>
      </c>
      <c r="AN2968" s="115" t="s">
        <v>1623</v>
      </c>
      <c r="AO2968" s="115" t="s">
        <v>373</v>
      </c>
    </row>
    <row r="2969" spans="35:41" ht="13">
      <c r="AI2969" s="115" t="s">
        <v>1415</v>
      </c>
      <c r="AJ2969" t="s">
        <v>2114</v>
      </c>
      <c r="AK2969" s="115">
        <v>15</v>
      </c>
      <c r="AL2969" s="115" t="s">
        <v>28</v>
      </c>
      <c r="AM2969" s="115" t="s">
        <v>1843</v>
      </c>
      <c r="AN2969" s="115" t="s">
        <v>1623</v>
      </c>
      <c r="AO2969" s="115" t="s">
        <v>373</v>
      </c>
    </row>
    <row r="2970" spans="35:41" ht="13">
      <c r="AI2970" s="115" t="s">
        <v>1415</v>
      </c>
      <c r="AJ2970" t="s">
        <v>2114</v>
      </c>
      <c r="AK2970" s="115">
        <v>15</v>
      </c>
      <c r="AL2970" s="115" t="s">
        <v>28</v>
      </c>
      <c r="AM2970" s="115" t="s">
        <v>1849</v>
      </c>
      <c r="AN2970" s="115" t="s">
        <v>1623</v>
      </c>
      <c r="AO2970" s="115" t="s">
        <v>373</v>
      </c>
    </row>
    <row r="2971" spans="35:41" ht="13">
      <c r="AI2971" s="115" t="s">
        <v>1415</v>
      </c>
      <c r="AJ2971" t="s">
        <v>2114</v>
      </c>
      <c r="AK2971" s="115">
        <v>15</v>
      </c>
      <c r="AL2971" s="115" t="s">
        <v>28</v>
      </c>
      <c r="AM2971" s="115" t="s">
        <v>1850</v>
      </c>
      <c r="AN2971" s="115" t="s">
        <v>1623</v>
      </c>
      <c r="AO2971" s="115" t="s">
        <v>373</v>
      </c>
    </row>
    <row r="2972" spans="35:41" ht="13">
      <c r="AI2972" s="115" t="s">
        <v>1415</v>
      </c>
      <c r="AJ2972" t="s">
        <v>2114</v>
      </c>
      <c r="AK2972" s="115">
        <v>15</v>
      </c>
      <c r="AL2972" s="115" t="s">
        <v>28</v>
      </c>
      <c r="AM2972" s="115" t="s">
        <v>1832</v>
      </c>
      <c r="AN2972" s="115" t="s">
        <v>1623</v>
      </c>
      <c r="AO2972" s="115" t="s">
        <v>373</v>
      </c>
    </row>
    <row r="2973" spans="35:41" ht="13">
      <c r="AI2973" s="115" t="s">
        <v>1415</v>
      </c>
      <c r="AJ2973" t="s">
        <v>2114</v>
      </c>
      <c r="AK2973" s="115">
        <v>15</v>
      </c>
      <c r="AL2973" s="115" t="s">
        <v>28</v>
      </c>
      <c r="AM2973" s="115" t="s">
        <v>1848</v>
      </c>
      <c r="AN2973" s="115" t="s">
        <v>1623</v>
      </c>
      <c r="AO2973" s="115" t="s">
        <v>380</v>
      </c>
    </row>
    <row r="2974" spans="35:41" ht="13">
      <c r="AI2974" s="115" t="s">
        <v>1415</v>
      </c>
      <c r="AJ2974" t="s">
        <v>2114</v>
      </c>
      <c r="AK2974" s="115">
        <v>15</v>
      </c>
      <c r="AL2974" s="115" t="s">
        <v>28</v>
      </c>
      <c r="AM2974" s="115" t="s">
        <v>1849</v>
      </c>
      <c r="AN2974" s="115" t="s">
        <v>1623</v>
      </c>
      <c r="AO2974" s="115" t="s">
        <v>380</v>
      </c>
    </row>
    <row r="2975" spans="35:41" ht="13">
      <c r="AI2975" s="115" t="s">
        <v>1415</v>
      </c>
      <c r="AJ2975" t="s">
        <v>2114</v>
      </c>
      <c r="AK2975" s="115">
        <v>15</v>
      </c>
      <c r="AL2975" s="115" t="s">
        <v>28</v>
      </c>
      <c r="AM2975" s="115" t="s">
        <v>1843</v>
      </c>
      <c r="AN2975" s="115" t="s">
        <v>1623</v>
      </c>
      <c r="AO2975" s="115" t="s">
        <v>380</v>
      </c>
    </row>
    <row r="2976" spans="35:41" ht="13">
      <c r="AI2976" s="115" t="s">
        <v>1415</v>
      </c>
      <c r="AJ2976" t="s">
        <v>2114</v>
      </c>
      <c r="AK2976" s="115">
        <v>15</v>
      </c>
      <c r="AL2976" s="115" t="s">
        <v>28</v>
      </c>
      <c r="AM2976" s="115" t="s">
        <v>1846</v>
      </c>
      <c r="AN2976" s="115" t="s">
        <v>1623</v>
      </c>
      <c r="AO2976" s="115" t="s">
        <v>380</v>
      </c>
    </row>
    <row r="2977" spans="35:41" ht="13">
      <c r="AI2977" s="115" t="s">
        <v>1415</v>
      </c>
      <c r="AJ2977" t="s">
        <v>2114</v>
      </c>
      <c r="AK2977" s="115">
        <v>15</v>
      </c>
      <c r="AL2977" s="115" t="s">
        <v>28</v>
      </c>
      <c r="AM2977" s="115" t="s">
        <v>1850</v>
      </c>
      <c r="AN2977" s="115" t="s">
        <v>1623</v>
      </c>
      <c r="AO2977" s="115" t="s">
        <v>380</v>
      </c>
    </row>
    <row r="2978" spans="35:41" ht="13">
      <c r="AI2978" s="115" t="s">
        <v>1415</v>
      </c>
      <c r="AJ2978" t="s">
        <v>2114</v>
      </c>
      <c r="AK2978" s="115">
        <v>15</v>
      </c>
      <c r="AL2978" s="115" t="s">
        <v>28</v>
      </c>
      <c r="AM2978" s="115" t="s">
        <v>1832</v>
      </c>
      <c r="AN2978" s="115" t="s">
        <v>1623</v>
      </c>
      <c r="AO2978" s="115" t="s">
        <v>380</v>
      </c>
    </row>
    <row r="2979" spans="35:41" ht="13">
      <c r="AI2979" s="115" t="s">
        <v>1415</v>
      </c>
      <c r="AJ2979" t="s">
        <v>2114</v>
      </c>
      <c r="AK2979" s="115">
        <v>15</v>
      </c>
      <c r="AL2979" s="115" t="s">
        <v>28</v>
      </c>
      <c r="AM2979" s="115" t="s">
        <v>1848</v>
      </c>
      <c r="AN2979" s="115" t="s">
        <v>1612</v>
      </c>
      <c r="AO2979" s="115" t="s">
        <v>1644</v>
      </c>
    </row>
    <row r="2980" spans="35:41" ht="13">
      <c r="AI2980" s="115" t="s">
        <v>1415</v>
      </c>
      <c r="AJ2980" t="s">
        <v>2114</v>
      </c>
      <c r="AK2980" s="115">
        <v>15</v>
      </c>
      <c r="AL2980" s="115" t="s">
        <v>28</v>
      </c>
      <c r="AM2980" s="115" t="s">
        <v>1832</v>
      </c>
      <c r="AN2980" s="115" t="s">
        <v>1612</v>
      </c>
      <c r="AO2980" s="115" t="s">
        <v>1644</v>
      </c>
    </row>
    <row r="2981" spans="35:41" ht="13">
      <c r="AI2981" s="115" t="s">
        <v>1415</v>
      </c>
      <c r="AJ2981" t="s">
        <v>2114</v>
      </c>
      <c r="AK2981" s="115">
        <v>15</v>
      </c>
      <c r="AL2981" s="115" t="s">
        <v>28</v>
      </c>
      <c r="AM2981" s="115" t="s">
        <v>1843</v>
      </c>
      <c r="AN2981" s="115" t="s">
        <v>1612</v>
      </c>
      <c r="AO2981" s="115" t="s">
        <v>1644</v>
      </c>
    </row>
    <row r="2982" spans="35:41" ht="13">
      <c r="AI2982" s="115" t="s">
        <v>1415</v>
      </c>
      <c r="AJ2982" t="s">
        <v>2114</v>
      </c>
      <c r="AK2982" s="115">
        <v>15</v>
      </c>
      <c r="AL2982" s="115" t="s">
        <v>28</v>
      </c>
      <c r="AM2982" s="115" t="s">
        <v>1850</v>
      </c>
      <c r="AN2982" s="115" t="s">
        <v>1612</v>
      </c>
      <c r="AO2982" s="115" t="s">
        <v>1644</v>
      </c>
    </row>
    <row r="2983" spans="35:41" ht="13">
      <c r="AI2983" s="115" t="s">
        <v>1415</v>
      </c>
      <c r="AJ2983" t="s">
        <v>2114</v>
      </c>
      <c r="AK2983" s="115">
        <v>15</v>
      </c>
      <c r="AL2983" s="115" t="s">
        <v>28</v>
      </c>
      <c r="AM2983" s="115" t="s">
        <v>1846</v>
      </c>
      <c r="AN2983" s="115" t="s">
        <v>1612</v>
      </c>
      <c r="AO2983" s="115" t="s">
        <v>1274</v>
      </c>
    </row>
    <row r="2984" spans="35:41" ht="13">
      <c r="AI2984" s="115" t="s">
        <v>1415</v>
      </c>
      <c r="AJ2984" t="s">
        <v>2114</v>
      </c>
      <c r="AK2984" s="115">
        <v>15</v>
      </c>
      <c r="AL2984" s="115" t="s">
        <v>28</v>
      </c>
      <c r="AM2984" s="115" t="s">
        <v>1850</v>
      </c>
      <c r="AN2984" s="115" t="s">
        <v>1612</v>
      </c>
      <c r="AO2984" s="115" t="s">
        <v>1274</v>
      </c>
    </row>
    <row r="2985" spans="35:41" ht="13">
      <c r="AI2985" s="115" t="s">
        <v>1415</v>
      </c>
      <c r="AJ2985" t="s">
        <v>2114</v>
      </c>
      <c r="AK2985" s="115">
        <v>15</v>
      </c>
      <c r="AL2985" s="115" t="s">
        <v>28</v>
      </c>
      <c r="AM2985" s="115" t="s">
        <v>1832</v>
      </c>
      <c r="AN2985" s="115" t="s">
        <v>1612</v>
      </c>
      <c r="AO2985" s="115" t="s">
        <v>1274</v>
      </c>
    </row>
    <row r="2986" spans="35:41" ht="13">
      <c r="AI2986" s="115" t="s">
        <v>1415</v>
      </c>
      <c r="AJ2986" t="s">
        <v>2114</v>
      </c>
      <c r="AK2986" s="115">
        <v>15</v>
      </c>
      <c r="AL2986" s="115" t="s">
        <v>28</v>
      </c>
      <c r="AM2986" s="115" t="s">
        <v>1849</v>
      </c>
      <c r="AN2986" s="115" t="s">
        <v>1612</v>
      </c>
      <c r="AO2986" s="115" t="s">
        <v>1274</v>
      </c>
    </row>
    <row r="2987" spans="35:41" ht="13">
      <c r="AI2987" s="115" t="s">
        <v>1415</v>
      </c>
      <c r="AJ2987" t="s">
        <v>2114</v>
      </c>
      <c r="AK2987" s="115">
        <v>15</v>
      </c>
      <c r="AL2987" s="115" t="s">
        <v>28</v>
      </c>
      <c r="AM2987" s="115" t="s">
        <v>1843</v>
      </c>
      <c r="AN2987" s="115" t="s">
        <v>1612</v>
      </c>
      <c r="AO2987" s="115" t="s">
        <v>1274</v>
      </c>
    </row>
    <row r="2988" spans="35:41" ht="13">
      <c r="AI2988" s="115" t="s">
        <v>1415</v>
      </c>
      <c r="AJ2988" t="s">
        <v>2114</v>
      </c>
      <c r="AK2988" s="115">
        <v>15</v>
      </c>
      <c r="AL2988" s="115" t="s">
        <v>28</v>
      </c>
      <c r="AM2988" s="115" t="s">
        <v>1848</v>
      </c>
      <c r="AN2988" s="115" t="s">
        <v>1612</v>
      </c>
      <c r="AO2988" s="115" t="s">
        <v>1274</v>
      </c>
    </row>
    <row r="2989" spans="35:41" ht="13">
      <c r="AI2989" s="115" t="s">
        <v>1415</v>
      </c>
      <c r="AJ2989" t="s">
        <v>2114</v>
      </c>
      <c r="AK2989" s="115">
        <v>15</v>
      </c>
      <c r="AL2989" s="115" t="s">
        <v>28</v>
      </c>
      <c r="AM2989" s="115" t="s">
        <v>1843</v>
      </c>
      <c r="AN2989" s="115" t="s">
        <v>1612</v>
      </c>
      <c r="AO2989" s="115" t="s">
        <v>381</v>
      </c>
    </row>
    <row r="2990" spans="35:41" ht="13">
      <c r="AI2990" s="115" t="s">
        <v>1415</v>
      </c>
      <c r="AJ2990" t="s">
        <v>2114</v>
      </c>
      <c r="AK2990" s="115">
        <v>15</v>
      </c>
      <c r="AL2990" s="115" t="s">
        <v>28</v>
      </c>
      <c r="AM2990" s="115" t="s">
        <v>1848</v>
      </c>
      <c r="AN2990" s="115" t="s">
        <v>1612</v>
      </c>
      <c r="AO2990" s="115" t="s">
        <v>381</v>
      </c>
    </row>
    <row r="2991" spans="35:41" ht="13">
      <c r="AI2991" s="115" t="s">
        <v>1415</v>
      </c>
      <c r="AJ2991" t="s">
        <v>2114</v>
      </c>
      <c r="AK2991" s="115">
        <v>15</v>
      </c>
      <c r="AL2991" s="115" t="s">
        <v>28</v>
      </c>
      <c r="AM2991" s="115" t="s">
        <v>1849</v>
      </c>
      <c r="AN2991" s="115" t="s">
        <v>1612</v>
      </c>
      <c r="AO2991" s="115" t="s">
        <v>381</v>
      </c>
    </row>
    <row r="2992" spans="35:41" ht="13">
      <c r="AI2992" s="115" t="s">
        <v>1415</v>
      </c>
      <c r="AJ2992" t="s">
        <v>2114</v>
      </c>
      <c r="AK2992" s="115">
        <v>15</v>
      </c>
      <c r="AL2992" s="115" t="s">
        <v>28</v>
      </c>
      <c r="AM2992" s="115" t="s">
        <v>1832</v>
      </c>
      <c r="AN2992" s="115" t="s">
        <v>1612</v>
      </c>
      <c r="AO2992" s="115" t="s">
        <v>381</v>
      </c>
    </row>
    <row r="2993" spans="35:41" ht="13">
      <c r="AI2993" s="115" t="s">
        <v>1415</v>
      </c>
      <c r="AJ2993" t="s">
        <v>2114</v>
      </c>
      <c r="AK2993" s="115">
        <v>15</v>
      </c>
      <c r="AL2993" s="115" t="s">
        <v>28</v>
      </c>
      <c r="AM2993" s="115" t="s">
        <v>1850</v>
      </c>
      <c r="AN2993" s="115" t="s">
        <v>1612</v>
      </c>
      <c r="AO2993" s="115" t="s">
        <v>381</v>
      </c>
    </row>
    <row r="2994" spans="35:41" ht="13">
      <c r="AI2994" s="115" t="s">
        <v>1415</v>
      </c>
      <c r="AJ2994" t="s">
        <v>2114</v>
      </c>
      <c r="AK2994" s="115">
        <v>15</v>
      </c>
      <c r="AL2994" s="115" t="s">
        <v>28</v>
      </c>
      <c r="AM2994" s="115" t="s">
        <v>1846</v>
      </c>
      <c r="AN2994" s="115" t="s">
        <v>1612</v>
      </c>
      <c r="AO2994" s="115" t="s">
        <v>381</v>
      </c>
    </row>
    <row r="2995" spans="35:41" ht="13">
      <c r="AI2995" s="115" t="s">
        <v>1415</v>
      </c>
      <c r="AJ2995" t="s">
        <v>2114</v>
      </c>
      <c r="AK2995" s="115">
        <v>15</v>
      </c>
      <c r="AL2995" s="115" t="s">
        <v>28</v>
      </c>
      <c r="AM2995" s="115" t="s">
        <v>1848</v>
      </c>
      <c r="AN2995" s="115" t="s">
        <v>1612</v>
      </c>
      <c r="AO2995" s="115" t="s">
        <v>379</v>
      </c>
    </row>
    <row r="2996" spans="35:41" ht="13">
      <c r="AI2996" s="115" t="s">
        <v>1415</v>
      </c>
      <c r="AJ2996" t="s">
        <v>2114</v>
      </c>
      <c r="AK2996" s="115">
        <v>15</v>
      </c>
      <c r="AL2996" s="115" t="s">
        <v>28</v>
      </c>
      <c r="AM2996" s="115" t="s">
        <v>1832</v>
      </c>
      <c r="AN2996" s="115" t="s">
        <v>1612</v>
      </c>
      <c r="AO2996" s="115" t="s">
        <v>379</v>
      </c>
    </row>
    <row r="2997" spans="35:41" ht="13">
      <c r="AI2997" s="115" t="s">
        <v>1415</v>
      </c>
      <c r="AJ2997" t="s">
        <v>2114</v>
      </c>
      <c r="AK2997" s="115">
        <v>15</v>
      </c>
      <c r="AL2997" s="115" t="s">
        <v>28</v>
      </c>
      <c r="AM2997" s="115" t="s">
        <v>1850</v>
      </c>
      <c r="AN2997" s="115" t="s">
        <v>1612</v>
      </c>
      <c r="AO2997" s="115" t="s">
        <v>379</v>
      </c>
    </row>
    <row r="2998" spans="35:41" ht="13">
      <c r="AI2998" s="115" t="s">
        <v>1415</v>
      </c>
      <c r="AJ2998" t="s">
        <v>2114</v>
      </c>
      <c r="AK2998" s="115">
        <v>15</v>
      </c>
      <c r="AL2998" s="115" t="s">
        <v>28</v>
      </c>
      <c r="AM2998" s="115" t="s">
        <v>1843</v>
      </c>
      <c r="AN2998" s="115" t="s">
        <v>1612</v>
      </c>
      <c r="AO2998" s="115" t="s">
        <v>379</v>
      </c>
    </row>
    <row r="2999" spans="35:41" ht="13">
      <c r="AI2999" s="115" t="s">
        <v>1415</v>
      </c>
      <c r="AJ2999" t="s">
        <v>2114</v>
      </c>
      <c r="AK2999" s="115">
        <v>15</v>
      </c>
      <c r="AL2999" s="115" t="s">
        <v>28</v>
      </c>
      <c r="AM2999" s="115" t="s">
        <v>1846</v>
      </c>
      <c r="AN2999" s="115" t="s">
        <v>1612</v>
      </c>
      <c r="AO2999" s="115" t="s">
        <v>379</v>
      </c>
    </row>
    <row r="3000" spans="35:41" ht="13">
      <c r="AI3000" s="115" t="s">
        <v>1415</v>
      </c>
      <c r="AJ3000" t="s">
        <v>2114</v>
      </c>
      <c r="AK3000" s="115">
        <v>15</v>
      </c>
      <c r="AL3000" s="115" t="s">
        <v>28</v>
      </c>
      <c r="AM3000" s="115" t="s">
        <v>1849</v>
      </c>
      <c r="AN3000" s="115" t="s">
        <v>1612</v>
      </c>
      <c r="AO3000" s="115" t="s">
        <v>379</v>
      </c>
    </row>
    <row r="3001" spans="35:41" ht="13">
      <c r="AI3001" s="115" t="s">
        <v>1415</v>
      </c>
      <c r="AJ3001" t="s">
        <v>2114</v>
      </c>
      <c r="AK3001" s="115">
        <v>15</v>
      </c>
      <c r="AL3001" s="115" t="s">
        <v>28</v>
      </c>
      <c r="AM3001" s="115" t="s">
        <v>1846</v>
      </c>
      <c r="AN3001" s="115" t="s">
        <v>1612</v>
      </c>
      <c r="AO3001" s="115" t="s">
        <v>1645</v>
      </c>
    </row>
    <row r="3002" spans="35:41" ht="13">
      <c r="AI3002" s="115" t="s">
        <v>1415</v>
      </c>
      <c r="AJ3002" t="s">
        <v>2114</v>
      </c>
      <c r="AK3002" s="115">
        <v>15</v>
      </c>
      <c r="AL3002" s="115" t="s">
        <v>28</v>
      </c>
      <c r="AM3002" s="115" t="s">
        <v>1849</v>
      </c>
      <c r="AN3002" s="115" t="s">
        <v>1612</v>
      </c>
      <c r="AO3002" s="115" t="s">
        <v>1645</v>
      </c>
    </row>
    <row r="3003" spans="35:41" ht="13">
      <c r="AI3003" s="115" t="s">
        <v>1415</v>
      </c>
      <c r="AJ3003" t="s">
        <v>2114</v>
      </c>
      <c r="AK3003" s="115">
        <v>15</v>
      </c>
      <c r="AL3003" s="115" t="s">
        <v>28</v>
      </c>
      <c r="AM3003" s="115" t="s">
        <v>1850</v>
      </c>
      <c r="AN3003" s="115" t="s">
        <v>1612</v>
      </c>
      <c r="AO3003" s="115" t="s">
        <v>1645</v>
      </c>
    </row>
    <row r="3004" spans="35:41" ht="13">
      <c r="AI3004" s="115" t="s">
        <v>1415</v>
      </c>
      <c r="AJ3004" t="s">
        <v>2114</v>
      </c>
      <c r="AK3004" s="115">
        <v>15</v>
      </c>
      <c r="AL3004" s="115" t="s">
        <v>28</v>
      </c>
      <c r="AM3004" s="115" t="s">
        <v>1843</v>
      </c>
      <c r="AN3004" s="115" t="s">
        <v>1612</v>
      </c>
      <c r="AO3004" s="115" t="s">
        <v>1645</v>
      </c>
    </row>
    <row r="3005" spans="35:41" ht="13">
      <c r="AI3005" s="115" t="s">
        <v>1415</v>
      </c>
      <c r="AJ3005" t="s">
        <v>2114</v>
      </c>
      <c r="AK3005" s="115">
        <v>15</v>
      </c>
      <c r="AL3005" s="115" t="s">
        <v>28</v>
      </c>
      <c r="AM3005" s="115" t="s">
        <v>1832</v>
      </c>
      <c r="AN3005" s="115" t="s">
        <v>1612</v>
      </c>
      <c r="AO3005" s="115" t="s">
        <v>1645</v>
      </c>
    </row>
    <row r="3006" spans="35:41" ht="13">
      <c r="AI3006" s="115" t="s">
        <v>1415</v>
      </c>
      <c r="AJ3006" t="s">
        <v>2114</v>
      </c>
      <c r="AK3006" s="115">
        <v>15</v>
      </c>
      <c r="AL3006" s="115" t="s">
        <v>28</v>
      </c>
      <c r="AM3006" s="115" t="s">
        <v>1848</v>
      </c>
      <c r="AN3006" s="115" t="s">
        <v>1612</v>
      </c>
      <c r="AO3006" s="115" t="s">
        <v>1645</v>
      </c>
    </row>
    <row r="3007" spans="35:41" ht="13">
      <c r="AI3007" s="115" t="s">
        <v>1415</v>
      </c>
      <c r="AJ3007" t="s">
        <v>2114</v>
      </c>
      <c r="AK3007" s="115">
        <v>15</v>
      </c>
      <c r="AL3007" s="115" t="s">
        <v>28</v>
      </c>
      <c r="AM3007" s="115" t="s">
        <v>1843</v>
      </c>
      <c r="AN3007" s="115" t="s">
        <v>1612</v>
      </c>
      <c r="AO3007" s="115" t="s">
        <v>1646</v>
      </c>
    </row>
    <row r="3008" spans="35:41" ht="13">
      <c r="AI3008" s="115" t="s">
        <v>1415</v>
      </c>
      <c r="AJ3008" t="s">
        <v>2114</v>
      </c>
      <c r="AK3008" s="115">
        <v>15</v>
      </c>
      <c r="AL3008" s="115" t="s">
        <v>28</v>
      </c>
      <c r="AM3008" s="115" t="s">
        <v>1846</v>
      </c>
      <c r="AN3008" s="115" t="s">
        <v>1612</v>
      </c>
      <c r="AO3008" s="115" t="s">
        <v>1646</v>
      </c>
    </row>
    <row r="3009" spans="35:41" ht="13">
      <c r="AI3009" s="115" t="s">
        <v>1415</v>
      </c>
      <c r="AJ3009" t="s">
        <v>2114</v>
      </c>
      <c r="AK3009" s="115">
        <v>15</v>
      </c>
      <c r="AL3009" s="115" t="s">
        <v>28</v>
      </c>
      <c r="AM3009" s="115" t="s">
        <v>1846</v>
      </c>
      <c r="AN3009" s="115" t="s">
        <v>1612</v>
      </c>
      <c r="AO3009" s="115" t="s">
        <v>1647</v>
      </c>
    </row>
    <row r="3010" spans="35:41" ht="13">
      <c r="AI3010" s="115" t="s">
        <v>1415</v>
      </c>
      <c r="AJ3010" t="s">
        <v>2114</v>
      </c>
      <c r="AK3010" s="115">
        <v>15</v>
      </c>
      <c r="AL3010" s="115" t="s">
        <v>28</v>
      </c>
      <c r="AM3010" s="115" t="s">
        <v>1843</v>
      </c>
      <c r="AN3010" s="115" t="s">
        <v>1612</v>
      </c>
      <c r="AO3010" s="115" t="s">
        <v>1647</v>
      </c>
    </row>
    <row r="3011" spans="35:41" ht="13">
      <c r="AI3011" s="115" t="s">
        <v>1415</v>
      </c>
      <c r="AJ3011" t="s">
        <v>2114</v>
      </c>
      <c r="AK3011" s="115">
        <v>15</v>
      </c>
      <c r="AL3011" s="115" t="s">
        <v>28</v>
      </c>
      <c r="AM3011" s="115" t="s">
        <v>1843</v>
      </c>
      <c r="AN3011" s="115" t="s">
        <v>1612</v>
      </c>
      <c r="AO3011" s="115" t="s">
        <v>1639</v>
      </c>
    </row>
    <row r="3012" spans="35:41" ht="13">
      <c r="AI3012" s="115" t="s">
        <v>1415</v>
      </c>
      <c r="AJ3012" t="s">
        <v>2114</v>
      </c>
      <c r="AK3012" s="115">
        <v>15</v>
      </c>
      <c r="AL3012" s="115" t="s">
        <v>28</v>
      </c>
      <c r="AM3012" s="115" t="s">
        <v>1846</v>
      </c>
      <c r="AN3012" s="115" t="s">
        <v>1612</v>
      </c>
      <c r="AO3012" s="115" t="s">
        <v>1639</v>
      </c>
    </row>
    <row r="3013" spans="35:41" ht="13">
      <c r="AI3013" s="115" t="s">
        <v>1415</v>
      </c>
      <c r="AJ3013" t="s">
        <v>2114</v>
      </c>
      <c r="AK3013" s="115">
        <v>15</v>
      </c>
      <c r="AL3013" s="115" t="s">
        <v>28</v>
      </c>
      <c r="AM3013" s="115" t="s">
        <v>1848</v>
      </c>
      <c r="AN3013" s="115" t="s">
        <v>1612</v>
      </c>
      <c r="AO3013" s="115" t="s">
        <v>373</v>
      </c>
    </row>
    <row r="3014" spans="35:41" ht="13">
      <c r="AI3014" s="115" t="s">
        <v>1415</v>
      </c>
      <c r="AJ3014" t="s">
        <v>2114</v>
      </c>
      <c r="AK3014" s="115">
        <v>15</v>
      </c>
      <c r="AL3014" s="115" t="s">
        <v>28</v>
      </c>
      <c r="AM3014" s="115" t="s">
        <v>1846</v>
      </c>
      <c r="AN3014" s="115" t="s">
        <v>1612</v>
      </c>
      <c r="AO3014" s="115" t="s">
        <v>373</v>
      </c>
    </row>
    <row r="3015" spans="35:41" ht="13">
      <c r="AI3015" s="115" t="s">
        <v>1415</v>
      </c>
      <c r="AJ3015" t="s">
        <v>2114</v>
      </c>
      <c r="AK3015" s="115">
        <v>15</v>
      </c>
      <c r="AL3015" s="115" t="s">
        <v>28</v>
      </c>
      <c r="AM3015" s="115" t="s">
        <v>1850</v>
      </c>
      <c r="AN3015" s="115" t="s">
        <v>1612</v>
      </c>
      <c r="AO3015" s="115" t="s">
        <v>373</v>
      </c>
    </row>
    <row r="3016" spans="35:41" ht="13">
      <c r="AI3016" s="115" t="s">
        <v>1415</v>
      </c>
      <c r="AJ3016" t="s">
        <v>2114</v>
      </c>
      <c r="AK3016" s="115">
        <v>15</v>
      </c>
      <c r="AL3016" s="115" t="s">
        <v>28</v>
      </c>
      <c r="AM3016" s="115" t="s">
        <v>1849</v>
      </c>
      <c r="AN3016" s="115" t="s">
        <v>1612</v>
      </c>
      <c r="AO3016" s="115" t="s">
        <v>373</v>
      </c>
    </row>
    <row r="3017" spans="35:41" ht="13">
      <c r="AI3017" s="115" t="s">
        <v>1415</v>
      </c>
      <c r="AJ3017" t="s">
        <v>2114</v>
      </c>
      <c r="AK3017" s="115">
        <v>15</v>
      </c>
      <c r="AL3017" s="115" t="s">
        <v>28</v>
      </c>
      <c r="AM3017" s="115" t="s">
        <v>1843</v>
      </c>
      <c r="AN3017" s="115" t="s">
        <v>1612</v>
      </c>
      <c r="AO3017" s="115" t="s">
        <v>373</v>
      </c>
    </row>
    <row r="3018" spans="35:41" ht="13">
      <c r="AI3018" s="115" t="s">
        <v>1415</v>
      </c>
      <c r="AJ3018" t="s">
        <v>2114</v>
      </c>
      <c r="AK3018" s="115">
        <v>15</v>
      </c>
      <c r="AL3018" s="115" t="s">
        <v>28</v>
      </c>
      <c r="AM3018" s="115" t="s">
        <v>1832</v>
      </c>
      <c r="AN3018" s="115" t="s">
        <v>1612</v>
      </c>
      <c r="AO3018" s="115" t="s">
        <v>373</v>
      </c>
    </row>
    <row r="3019" spans="35:41" ht="13">
      <c r="AI3019" s="115" t="s">
        <v>1415</v>
      </c>
      <c r="AJ3019" t="s">
        <v>2114</v>
      </c>
      <c r="AK3019" s="115">
        <v>15</v>
      </c>
      <c r="AL3019" s="115" t="s">
        <v>28</v>
      </c>
      <c r="AM3019" s="115" t="s">
        <v>1843</v>
      </c>
      <c r="AN3019" s="115" t="s">
        <v>1612</v>
      </c>
      <c r="AO3019" s="115" t="s">
        <v>380</v>
      </c>
    </row>
    <row r="3020" spans="35:41" ht="13">
      <c r="AI3020" s="115" t="s">
        <v>1415</v>
      </c>
      <c r="AJ3020" t="s">
        <v>2114</v>
      </c>
      <c r="AK3020" s="115">
        <v>15</v>
      </c>
      <c r="AL3020" s="115" t="s">
        <v>28</v>
      </c>
      <c r="AM3020" s="115" t="s">
        <v>1846</v>
      </c>
      <c r="AN3020" s="115" t="s">
        <v>1612</v>
      </c>
      <c r="AO3020" s="115" t="s">
        <v>380</v>
      </c>
    </row>
    <row r="3021" spans="35:41" ht="13">
      <c r="AI3021" s="115" t="s">
        <v>1415</v>
      </c>
      <c r="AJ3021" t="s">
        <v>2114</v>
      </c>
      <c r="AK3021" s="115">
        <v>15</v>
      </c>
      <c r="AL3021" s="115" t="s">
        <v>28</v>
      </c>
      <c r="AM3021" s="115" t="s">
        <v>1848</v>
      </c>
      <c r="AN3021" s="115" t="s">
        <v>1612</v>
      </c>
      <c r="AO3021" s="115" t="s">
        <v>380</v>
      </c>
    </row>
    <row r="3022" spans="35:41" ht="13">
      <c r="AI3022" s="115" t="s">
        <v>1415</v>
      </c>
      <c r="AJ3022" t="s">
        <v>2114</v>
      </c>
      <c r="AK3022" s="115">
        <v>15</v>
      </c>
      <c r="AL3022" s="115" t="s">
        <v>28</v>
      </c>
      <c r="AM3022" s="115" t="s">
        <v>1850</v>
      </c>
      <c r="AN3022" s="115" t="s">
        <v>1612</v>
      </c>
      <c r="AO3022" s="115" t="s">
        <v>380</v>
      </c>
    </row>
    <row r="3023" spans="35:41" ht="13">
      <c r="AI3023" s="115" t="s">
        <v>1415</v>
      </c>
      <c r="AJ3023" t="s">
        <v>2114</v>
      </c>
      <c r="AK3023" s="115">
        <v>15</v>
      </c>
      <c r="AL3023" s="115" t="s">
        <v>28</v>
      </c>
      <c r="AM3023" s="115" t="s">
        <v>1832</v>
      </c>
      <c r="AN3023" s="115" t="s">
        <v>1612</v>
      </c>
      <c r="AO3023" s="115" t="s">
        <v>380</v>
      </c>
    </row>
    <row r="3024" spans="35:41" ht="13">
      <c r="AI3024" s="115" t="s">
        <v>1415</v>
      </c>
      <c r="AJ3024" t="s">
        <v>2114</v>
      </c>
      <c r="AK3024" s="115">
        <v>15</v>
      </c>
      <c r="AL3024" s="115" t="s">
        <v>28</v>
      </c>
      <c r="AM3024" s="115" t="s">
        <v>1849</v>
      </c>
      <c r="AN3024" s="115" t="s">
        <v>1612</v>
      </c>
      <c r="AO3024" s="115" t="s">
        <v>380</v>
      </c>
    </row>
    <row r="3025" spans="35:41" ht="13">
      <c r="AI3025" s="115" t="s">
        <v>1415</v>
      </c>
      <c r="AJ3025" t="s">
        <v>2114</v>
      </c>
      <c r="AK3025" s="115">
        <v>15</v>
      </c>
      <c r="AL3025" s="115" t="s">
        <v>28</v>
      </c>
      <c r="AM3025" s="115" t="s">
        <v>1848</v>
      </c>
      <c r="AN3025" s="115" t="s">
        <v>1611</v>
      </c>
      <c r="AO3025" s="115" t="s">
        <v>1644</v>
      </c>
    </row>
    <row r="3026" spans="35:41" ht="13">
      <c r="AI3026" s="115" t="s">
        <v>1415</v>
      </c>
      <c r="AJ3026" t="s">
        <v>2114</v>
      </c>
      <c r="AK3026" s="115">
        <v>15</v>
      </c>
      <c r="AL3026" s="115" t="s">
        <v>28</v>
      </c>
      <c r="AM3026" s="115" t="s">
        <v>1832</v>
      </c>
      <c r="AN3026" s="115" t="s">
        <v>1611</v>
      </c>
      <c r="AO3026" s="115" t="s">
        <v>1644</v>
      </c>
    </row>
    <row r="3027" spans="35:41" ht="13">
      <c r="AI3027" s="115" t="s">
        <v>1415</v>
      </c>
      <c r="AJ3027" t="s">
        <v>2114</v>
      </c>
      <c r="AK3027" s="115">
        <v>15</v>
      </c>
      <c r="AL3027" s="115" t="s">
        <v>28</v>
      </c>
      <c r="AM3027" s="115" t="s">
        <v>1850</v>
      </c>
      <c r="AN3027" s="115" t="s">
        <v>1611</v>
      </c>
      <c r="AO3027" s="115" t="s">
        <v>1644</v>
      </c>
    </row>
    <row r="3028" spans="35:41" ht="13">
      <c r="AI3028" s="115" t="s">
        <v>1415</v>
      </c>
      <c r="AJ3028" t="s">
        <v>2114</v>
      </c>
      <c r="AK3028" s="115">
        <v>15</v>
      </c>
      <c r="AL3028" s="115" t="s">
        <v>28</v>
      </c>
      <c r="AM3028" s="115" t="s">
        <v>1843</v>
      </c>
      <c r="AN3028" s="115" t="s">
        <v>1611</v>
      </c>
      <c r="AO3028" s="115" t="s">
        <v>1644</v>
      </c>
    </row>
    <row r="3029" spans="35:41" ht="13">
      <c r="AI3029" s="115" t="s">
        <v>1415</v>
      </c>
      <c r="AJ3029" t="s">
        <v>2114</v>
      </c>
      <c r="AK3029" s="115">
        <v>15</v>
      </c>
      <c r="AL3029" s="115" t="s">
        <v>28</v>
      </c>
      <c r="AM3029" s="115" t="s">
        <v>1846</v>
      </c>
      <c r="AN3029" s="115" t="s">
        <v>1611</v>
      </c>
      <c r="AO3029" s="115" t="s">
        <v>1274</v>
      </c>
    </row>
    <row r="3030" spans="35:41" ht="13">
      <c r="AI3030" s="115" t="s">
        <v>1415</v>
      </c>
      <c r="AJ3030" t="s">
        <v>2114</v>
      </c>
      <c r="AK3030" s="115">
        <v>15</v>
      </c>
      <c r="AL3030" s="115" t="s">
        <v>28</v>
      </c>
      <c r="AM3030" s="115" t="s">
        <v>1849</v>
      </c>
      <c r="AN3030" s="115" t="s">
        <v>1611</v>
      </c>
      <c r="AO3030" s="115" t="s">
        <v>1274</v>
      </c>
    </row>
    <row r="3031" spans="35:41" ht="13">
      <c r="AI3031" s="115" t="s">
        <v>1415</v>
      </c>
      <c r="AJ3031" t="s">
        <v>2114</v>
      </c>
      <c r="AK3031" s="115">
        <v>15</v>
      </c>
      <c r="AL3031" s="115" t="s">
        <v>28</v>
      </c>
      <c r="AM3031" s="115" t="s">
        <v>1850</v>
      </c>
      <c r="AN3031" s="115" t="s">
        <v>1611</v>
      </c>
      <c r="AO3031" s="115" t="s">
        <v>1274</v>
      </c>
    </row>
    <row r="3032" spans="35:41" ht="13">
      <c r="AI3032" s="115" t="s">
        <v>1415</v>
      </c>
      <c r="AJ3032" t="s">
        <v>2114</v>
      </c>
      <c r="AK3032" s="115">
        <v>15</v>
      </c>
      <c r="AL3032" s="115" t="s">
        <v>28</v>
      </c>
      <c r="AM3032" s="115" t="s">
        <v>1843</v>
      </c>
      <c r="AN3032" s="115" t="s">
        <v>1611</v>
      </c>
      <c r="AO3032" s="115" t="s">
        <v>1274</v>
      </c>
    </row>
    <row r="3033" spans="35:41" ht="13">
      <c r="AI3033" s="115" t="s">
        <v>1415</v>
      </c>
      <c r="AJ3033" t="s">
        <v>2114</v>
      </c>
      <c r="AK3033" s="115">
        <v>15</v>
      </c>
      <c r="AL3033" s="115" t="s">
        <v>28</v>
      </c>
      <c r="AM3033" s="115" t="s">
        <v>1848</v>
      </c>
      <c r="AN3033" s="115" t="s">
        <v>1611</v>
      </c>
      <c r="AO3033" s="115" t="s">
        <v>1274</v>
      </c>
    </row>
    <row r="3034" spans="35:41" ht="13">
      <c r="AI3034" s="115" t="s">
        <v>1415</v>
      </c>
      <c r="AJ3034" t="s">
        <v>2114</v>
      </c>
      <c r="AK3034" s="115">
        <v>15</v>
      </c>
      <c r="AL3034" s="115" t="s">
        <v>28</v>
      </c>
      <c r="AM3034" s="115" t="s">
        <v>1832</v>
      </c>
      <c r="AN3034" s="115" t="s">
        <v>1611</v>
      </c>
      <c r="AO3034" s="115" t="s">
        <v>1274</v>
      </c>
    </row>
    <row r="3035" spans="35:41" ht="13">
      <c r="AI3035" s="115" t="s">
        <v>1415</v>
      </c>
      <c r="AJ3035" t="s">
        <v>2114</v>
      </c>
      <c r="AK3035" s="115">
        <v>15</v>
      </c>
      <c r="AL3035" s="115" t="s">
        <v>28</v>
      </c>
      <c r="AM3035" s="115" t="s">
        <v>1832</v>
      </c>
      <c r="AN3035" s="115" t="s">
        <v>1611</v>
      </c>
      <c r="AO3035" s="115" t="s">
        <v>381</v>
      </c>
    </row>
    <row r="3036" spans="35:41" ht="13">
      <c r="AI3036" s="115" t="s">
        <v>1415</v>
      </c>
      <c r="AJ3036" t="s">
        <v>2114</v>
      </c>
      <c r="AK3036" s="115">
        <v>15</v>
      </c>
      <c r="AL3036" s="115" t="s">
        <v>28</v>
      </c>
      <c r="AM3036" s="115" t="s">
        <v>1849</v>
      </c>
      <c r="AN3036" s="115" t="s">
        <v>1611</v>
      </c>
      <c r="AO3036" s="115" t="s">
        <v>381</v>
      </c>
    </row>
    <row r="3037" spans="35:41" ht="13">
      <c r="AI3037" s="115" t="s">
        <v>1415</v>
      </c>
      <c r="AJ3037" t="s">
        <v>2114</v>
      </c>
      <c r="AK3037" s="115">
        <v>15</v>
      </c>
      <c r="AL3037" s="115" t="s">
        <v>28</v>
      </c>
      <c r="AM3037" s="115" t="s">
        <v>1843</v>
      </c>
      <c r="AN3037" s="115" t="s">
        <v>1611</v>
      </c>
      <c r="AO3037" s="115" t="s">
        <v>381</v>
      </c>
    </row>
    <row r="3038" spans="35:41" ht="13">
      <c r="AI3038" s="115" t="s">
        <v>1415</v>
      </c>
      <c r="AJ3038" t="s">
        <v>2114</v>
      </c>
      <c r="AK3038" s="115">
        <v>15</v>
      </c>
      <c r="AL3038" s="115" t="s">
        <v>28</v>
      </c>
      <c r="AM3038" s="115" t="s">
        <v>1846</v>
      </c>
      <c r="AN3038" s="115" t="s">
        <v>1611</v>
      </c>
      <c r="AO3038" s="115" t="s">
        <v>381</v>
      </c>
    </row>
    <row r="3039" spans="35:41" ht="13">
      <c r="AI3039" s="115" t="s">
        <v>1415</v>
      </c>
      <c r="AJ3039" t="s">
        <v>2114</v>
      </c>
      <c r="AK3039" s="115">
        <v>15</v>
      </c>
      <c r="AL3039" s="115" t="s">
        <v>28</v>
      </c>
      <c r="AM3039" s="115" t="s">
        <v>1850</v>
      </c>
      <c r="AN3039" s="115" t="s">
        <v>1611</v>
      </c>
      <c r="AO3039" s="115" t="s">
        <v>381</v>
      </c>
    </row>
    <row r="3040" spans="35:41" ht="13">
      <c r="AI3040" s="115" t="s">
        <v>1415</v>
      </c>
      <c r="AJ3040" t="s">
        <v>2114</v>
      </c>
      <c r="AK3040" s="115">
        <v>15</v>
      </c>
      <c r="AL3040" s="115" t="s">
        <v>28</v>
      </c>
      <c r="AM3040" s="115" t="s">
        <v>1848</v>
      </c>
      <c r="AN3040" s="115" t="s">
        <v>1611</v>
      </c>
      <c r="AO3040" s="115" t="s">
        <v>381</v>
      </c>
    </row>
    <row r="3041" spans="35:41" ht="13">
      <c r="AI3041" s="115" t="s">
        <v>1415</v>
      </c>
      <c r="AJ3041" t="s">
        <v>2114</v>
      </c>
      <c r="AK3041" s="115">
        <v>15</v>
      </c>
      <c r="AL3041" s="115" t="s">
        <v>28</v>
      </c>
      <c r="AM3041" s="115" t="s">
        <v>1846</v>
      </c>
      <c r="AN3041" s="115" t="s">
        <v>1611</v>
      </c>
      <c r="AO3041" s="115" t="s">
        <v>379</v>
      </c>
    </row>
    <row r="3042" spans="35:41" ht="13">
      <c r="AI3042" s="115" t="s">
        <v>1415</v>
      </c>
      <c r="AJ3042" t="s">
        <v>2114</v>
      </c>
      <c r="AK3042" s="115">
        <v>15</v>
      </c>
      <c r="AL3042" s="115" t="s">
        <v>28</v>
      </c>
      <c r="AM3042" s="115" t="s">
        <v>1843</v>
      </c>
      <c r="AN3042" s="115" t="s">
        <v>1611</v>
      </c>
      <c r="AO3042" s="115" t="s">
        <v>379</v>
      </c>
    </row>
    <row r="3043" spans="35:41" ht="13">
      <c r="AI3043" s="115" t="s">
        <v>1415</v>
      </c>
      <c r="AJ3043" t="s">
        <v>2114</v>
      </c>
      <c r="AK3043" s="115">
        <v>15</v>
      </c>
      <c r="AL3043" s="115" t="s">
        <v>28</v>
      </c>
      <c r="AM3043" s="115" t="s">
        <v>1849</v>
      </c>
      <c r="AN3043" s="115" t="s">
        <v>1611</v>
      </c>
      <c r="AO3043" s="115" t="s">
        <v>379</v>
      </c>
    </row>
    <row r="3044" spans="35:41" ht="13">
      <c r="AI3044" s="115" t="s">
        <v>1415</v>
      </c>
      <c r="AJ3044" t="s">
        <v>2114</v>
      </c>
      <c r="AK3044" s="115">
        <v>15</v>
      </c>
      <c r="AL3044" s="115" t="s">
        <v>28</v>
      </c>
      <c r="AM3044" s="115" t="s">
        <v>1850</v>
      </c>
      <c r="AN3044" s="115" t="s">
        <v>1611</v>
      </c>
      <c r="AO3044" s="115" t="s">
        <v>379</v>
      </c>
    </row>
    <row r="3045" spans="35:41" ht="13">
      <c r="AI3045" s="115" t="s">
        <v>1415</v>
      </c>
      <c r="AJ3045" t="s">
        <v>2114</v>
      </c>
      <c r="AK3045" s="115">
        <v>15</v>
      </c>
      <c r="AL3045" s="115" t="s">
        <v>28</v>
      </c>
      <c r="AM3045" s="115" t="s">
        <v>1832</v>
      </c>
      <c r="AN3045" s="115" t="s">
        <v>1611</v>
      </c>
      <c r="AO3045" s="115" t="s">
        <v>379</v>
      </c>
    </row>
    <row r="3046" spans="35:41" ht="13">
      <c r="AI3046" s="115" t="s">
        <v>1415</v>
      </c>
      <c r="AJ3046" t="s">
        <v>2114</v>
      </c>
      <c r="AK3046" s="115">
        <v>15</v>
      </c>
      <c r="AL3046" s="115" t="s">
        <v>28</v>
      </c>
      <c r="AM3046" s="115" t="s">
        <v>1848</v>
      </c>
      <c r="AN3046" s="115" t="s">
        <v>1611</v>
      </c>
      <c r="AO3046" s="115" t="s">
        <v>379</v>
      </c>
    </row>
    <row r="3047" spans="35:41" ht="13">
      <c r="AI3047" s="115" t="s">
        <v>1415</v>
      </c>
      <c r="AJ3047" t="s">
        <v>2114</v>
      </c>
      <c r="AK3047" s="115">
        <v>15</v>
      </c>
      <c r="AL3047" s="115" t="s">
        <v>28</v>
      </c>
      <c r="AM3047" s="115" t="s">
        <v>1850</v>
      </c>
      <c r="AN3047" s="115" t="s">
        <v>1611</v>
      </c>
      <c r="AO3047" s="115" t="s">
        <v>1645</v>
      </c>
    </row>
    <row r="3048" spans="35:41" ht="13">
      <c r="AI3048" s="115" t="s">
        <v>1415</v>
      </c>
      <c r="AJ3048" t="s">
        <v>2114</v>
      </c>
      <c r="AK3048" s="115">
        <v>15</v>
      </c>
      <c r="AL3048" s="115" t="s">
        <v>28</v>
      </c>
      <c r="AM3048" s="115" t="s">
        <v>1848</v>
      </c>
      <c r="AN3048" s="115" t="s">
        <v>1611</v>
      </c>
      <c r="AO3048" s="115" t="s">
        <v>1645</v>
      </c>
    </row>
    <row r="3049" spans="35:41" ht="13">
      <c r="AI3049" s="115" t="s">
        <v>1415</v>
      </c>
      <c r="AJ3049" t="s">
        <v>2114</v>
      </c>
      <c r="AK3049" s="115">
        <v>15</v>
      </c>
      <c r="AL3049" s="115" t="s">
        <v>28</v>
      </c>
      <c r="AM3049" s="115" t="s">
        <v>1843</v>
      </c>
      <c r="AN3049" s="115" t="s">
        <v>1611</v>
      </c>
      <c r="AO3049" s="115" t="s">
        <v>1645</v>
      </c>
    </row>
    <row r="3050" spans="35:41" ht="13">
      <c r="AI3050" s="115" t="s">
        <v>1415</v>
      </c>
      <c r="AJ3050" t="s">
        <v>2114</v>
      </c>
      <c r="AK3050" s="115">
        <v>15</v>
      </c>
      <c r="AL3050" s="115" t="s">
        <v>28</v>
      </c>
      <c r="AM3050" s="115" t="s">
        <v>1849</v>
      </c>
      <c r="AN3050" s="115" t="s">
        <v>1611</v>
      </c>
      <c r="AO3050" s="115" t="s">
        <v>1645</v>
      </c>
    </row>
    <row r="3051" spans="35:41" ht="13">
      <c r="AI3051" s="115" t="s">
        <v>1415</v>
      </c>
      <c r="AJ3051" t="s">
        <v>2114</v>
      </c>
      <c r="AK3051" s="115">
        <v>15</v>
      </c>
      <c r="AL3051" s="115" t="s">
        <v>28</v>
      </c>
      <c r="AM3051" s="115" t="s">
        <v>1846</v>
      </c>
      <c r="AN3051" s="115" t="s">
        <v>1611</v>
      </c>
      <c r="AO3051" s="115" t="s">
        <v>1645</v>
      </c>
    </row>
    <row r="3052" spans="35:41" ht="13">
      <c r="AI3052" s="115" t="s">
        <v>1415</v>
      </c>
      <c r="AJ3052" t="s">
        <v>2114</v>
      </c>
      <c r="AK3052" s="115">
        <v>15</v>
      </c>
      <c r="AL3052" s="115" t="s">
        <v>28</v>
      </c>
      <c r="AM3052" s="115" t="s">
        <v>1832</v>
      </c>
      <c r="AN3052" s="115" t="s">
        <v>1611</v>
      </c>
      <c r="AO3052" s="115" t="s">
        <v>1645</v>
      </c>
    </row>
    <row r="3053" spans="35:41" ht="13">
      <c r="AI3053" s="115" t="s">
        <v>1415</v>
      </c>
      <c r="AJ3053" t="s">
        <v>2114</v>
      </c>
      <c r="AK3053" s="115">
        <v>15</v>
      </c>
      <c r="AL3053" s="115" t="s">
        <v>28</v>
      </c>
      <c r="AM3053" s="115" t="s">
        <v>1843</v>
      </c>
      <c r="AN3053" s="115" t="s">
        <v>1611</v>
      </c>
      <c r="AO3053" s="115" t="s">
        <v>1646</v>
      </c>
    </row>
    <row r="3054" spans="35:41" ht="13">
      <c r="AI3054" s="115" t="s">
        <v>1415</v>
      </c>
      <c r="AJ3054" t="s">
        <v>2114</v>
      </c>
      <c r="AK3054" s="115">
        <v>15</v>
      </c>
      <c r="AL3054" s="115" t="s">
        <v>28</v>
      </c>
      <c r="AM3054" s="115" t="s">
        <v>1846</v>
      </c>
      <c r="AN3054" s="115" t="s">
        <v>1611</v>
      </c>
      <c r="AO3054" s="115" t="s">
        <v>1646</v>
      </c>
    </row>
    <row r="3055" spans="35:41" ht="13">
      <c r="AI3055" s="115" t="s">
        <v>1415</v>
      </c>
      <c r="AJ3055" t="s">
        <v>2114</v>
      </c>
      <c r="AK3055" s="115">
        <v>15</v>
      </c>
      <c r="AL3055" s="115" t="s">
        <v>28</v>
      </c>
      <c r="AM3055" s="115" t="s">
        <v>1846</v>
      </c>
      <c r="AN3055" s="115" t="s">
        <v>1611</v>
      </c>
      <c r="AO3055" s="115" t="s">
        <v>1647</v>
      </c>
    </row>
    <row r="3056" spans="35:41" ht="13">
      <c r="AI3056" s="115" t="s">
        <v>1415</v>
      </c>
      <c r="AJ3056" t="s">
        <v>2114</v>
      </c>
      <c r="AK3056" s="115">
        <v>15</v>
      </c>
      <c r="AL3056" s="115" t="s">
        <v>28</v>
      </c>
      <c r="AM3056" s="115" t="s">
        <v>1843</v>
      </c>
      <c r="AN3056" s="115" t="s">
        <v>1611</v>
      </c>
      <c r="AO3056" s="115" t="s">
        <v>1647</v>
      </c>
    </row>
    <row r="3057" spans="35:41" ht="13">
      <c r="AI3057" s="115" t="s">
        <v>1415</v>
      </c>
      <c r="AJ3057" t="s">
        <v>2114</v>
      </c>
      <c r="AK3057" s="115">
        <v>15</v>
      </c>
      <c r="AL3057" s="115" t="s">
        <v>28</v>
      </c>
      <c r="AM3057" s="115" t="s">
        <v>1843</v>
      </c>
      <c r="AN3057" s="115" t="s">
        <v>1611</v>
      </c>
      <c r="AO3057" s="115" t="s">
        <v>1639</v>
      </c>
    </row>
    <row r="3058" spans="35:41" ht="13">
      <c r="AI3058" s="115" t="s">
        <v>1415</v>
      </c>
      <c r="AJ3058" t="s">
        <v>2114</v>
      </c>
      <c r="AK3058" s="115">
        <v>15</v>
      </c>
      <c r="AL3058" s="115" t="s">
        <v>28</v>
      </c>
      <c r="AM3058" s="115" t="s">
        <v>1846</v>
      </c>
      <c r="AN3058" s="115" t="s">
        <v>1611</v>
      </c>
      <c r="AO3058" s="115" t="s">
        <v>1639</v>
      </c>
    </row>
    <row r="3059" spans="35:41" ht="13">
      <c r="AI3059" s="115" t="s">
        <v>1415</v>
      </c>
      <c r="AJ3059" t="s">
        <v>2114</v>
      </c>
      <c r="AK3059" s="115">
        <v>15</v>
      </c>
      <c r="AL3059" s="115" t="s">
        <v>28</v>
      </c>
      <c r="AM3059" s="115" t="s">
        <v>1832</v>
      </c>
      <c r="AN3059" s="115" t="s">
        <v>1611</v>
      </c>
      <c r="AO3059" s="115" t="s">
        <v>373</v>
      </c>
    </row>
    <row r="3060" spans="35:41" ht="13">
      <c r="AI3060" s="115" t="s">
        <v>1415</v>
      </c>
      <c r="AJ3060" t="s">
        <v>2114</v>
      </c>
      <c r="AK3060" s="115">
        <v>15</v>
      </c>
      <c r="AL3060" s="115" t="s">
        <v>28</v>
      </c>
      <c r="AM3060" s="115" t="s">
        <v>1850</v>
      </c>
      <c r="AN3060" s="115" t="s">
        <v>1611</v>
      </c>
      <c r="AO3060" s="115" t="s">
        <v>373</v>
      </c>
    </row>
    <row r="3061" spans="35:41" ht="13">
      <c r="AI3061" s="115" t="s">
        <v>1415</v>
      </c>
      <c r="AJ3061" t="s">
        <v>2114</v>
      </c>
      <c r="AK3061" s="115">
        <v>15</v>
      </c>
      <c r="AL3061" s="115" t="s">
        <v>28</v>
      </c>
      <c r="AM3061" s="115" t="s">
        <v>1849</v>
      </c>
      <c r="AN3061" s="115" t="s">
        <v>1611</v>
      </c>
      <c r="AO3061" s="115" t="s">
        <v>373</v>
      </c>
    </row>
    <row r="3062" spans="35:41" ht="13">
      <c r="AI3062" s="115" t="s">
        <v>1415</v>
      </c>
      <c r="AJ3062" t="s">
        <v>2114</v>
      </c>
      <c r="AK3062" s="115">
        <v>15</v>
      </c>
      <c r="AL3062" s="115" t="s">
        <v>28</v>
      </c>
      <c r="AM3062" s="115" t="s">
        <v>1848</v>
      </c>
      <c r="AN3062" s="115" t="s">
        <v>1611</v>
      </c>
      <c r="AO3062" s="115" t="s">
        <v>373</v>
      </c>
    </row>
    <row r="3063" spans="35:41" ht="13">
      <c r="AI3063" s="115" t="s">
        <v>1415</v>
      </c>
      <c r="AJ3063" t="s">
        <v>2114</v>
      </c>
      <c r="AK3063" s="115">
        <v>15</v>
      </c>
      <c r="AL3063" s="115" t="s">
        <v>28</v>
      </c>
      <c r="AM3063" s="115" t="s">
        <v>1843</v>
      </c>
      <c r="AN3063" s="115" t="s">
        <v>1611</v>
      </c>
      <c r="AO3063" s="115" t="s">
        <v>373</v>
      </c>
    </row>
    <row r="3064" spans="35:41" ht="13">
      <c r="AI3064" s="115" t="s">
        <v>1415</v>
      </c>
      <c r="AJ3064" t="s">
        <v>2114</v>
      </c>
      <c r="AK3064" s="115">
        <v>15</v>
      </c>
      <c r="AL3064" s="115" t="s">
        <v>28</v>
      </c>
      <c r="AM3064" s="115" t="s">
        <v>1846</v>
      </c>
      <c r="AN3064" s="115" t="s">
        <v>1611</v>
      </c>
      <c r="AO3064" s="115" t="s">
        <v>373</v>
      </c>
    </row>
    <row r="3065" spans="35:41" ht="13">
      <c r="AI3065" s="115" t="s">
        <v>1415</v>
      </c>
      <c r="AJ3065" t="s">
        <v>2114</v>
      </c>
      <c r="AK3065" s="115">
        <v>15</v>
      </c>
      <c r="AL3065" s="115" t="s">
        <v>28</v>
      </c>
      <c r="AM3065" s="115" t="s">
        <v>1846</v>
      </c>
      <c r="AN3065" s="115" t="s">
        <v>1611</v>
      </c>
      <c r="AO3065" s="115" t="s">
        <v>380</v>
      </c>
    </row>
    <row r="3066" spans="35:41" ht="13">
      <c r="AI3066" s="115" t="s">
        <v>1415</v>
      </c>
      <c r="AJ3066" t="s">
        <v>2114</v>
      </c>
      <c r="AK3066" s="115">
        <v>15</v>
      </c>
      <c r="AL3066" s="115" t="s">
        <v>28</v>
      </c>
      <c r="AM3066" s="115" t="s">
        <v>1849</v>
      </c>
      <c r="AN3066" s="115" t="s">
        <v>1611</v>
      </c>
      <c r="AO3066" s="115" t="s">
        <v>380</v>
      </c>
    </row>
    <row r="3067" spans="35:41" ht="13">
      <c r="AI3067" s="115" t="s">
        <v>1415</v>
      </c>
      <c r="AJ3067" t="s">
        <v>2114</v>
      </c>
      <c r="AK3067" s="115">
        <v>15</v>
      </c>
      <c r="AL3067" s="115" t="s">
        <v>28</v>
      </c>
      <c r="AM3067" s="115" t="s">
        <v>1850</v>
      </c>
      <c r="AN3067" s="115" t="s">
        <v>1611</v>
      </c>
      <c r="AO3067" s="115" t="s">
        <v>380</v>
      </c>
    </row>
    <row r="3068" spans="35:41" ht="13">
      <c r="AI3068" s="115" t="s">
        <v>1415</v>
      </c>
      <c r="AJ3068" t="s">
        <v>2114</v>
      </c>
      <c r="AK3068" s="115">
        <v>15</v>
      </c>
      <c r="AL3068" s="115" t="s">
        <v>28</v>
      </c>
      <c r="AM3068" s="115" t="s">
        <v>1848</v>
      </c>
      <c r="AN3068" s="115" t="s">
        <v>1611</v>
      </c>
      <c r="AO3068" s="115" t="s">
        <v>380</v>
      </c>
    </row>
    <row r="3069" spans="35:41" ht="13">
      <c r="AI3069" s="115" t="s">
        <v>1415</v>
      </c>
      <c r="AJ3069" t="s">
        <v>2114</v>
      </c>
      <c r="AK3069" s="115">
        <v>15</v>
      </c>
      <c r="AL3069" s="115" t="s">
        <v>28</v>
      </c>
      <c r="AM3069" s="115" t="s">
        <v>1832</v>
      </c>
      <c r="AN3069" s="115" t="s">
        <v>1611</v>
      </c>
      <c r="AO3069" s="115" t="s">
        <v>380</v>
      </c>
    </row>
    <row r="3070" spans="35:41" ht="13">
      <c r="AI3070" s="115" t="s">
        <v>1415</v>
      </c>
      <c r="AJ3070" t="s">
        <v>2114</v>
      </c>
      <c r="AK3070" s="115">
        <v>15</v>
      </c>
      <c r="AL3070" s="115" t="s">
        <v>28</v>
      </c>
      <c r="AM3070" s="115" t="s">
        <v>1843</v>
      </c>
      <c r="AN3070" s="115" t="s">
        <v>1611</v>
      </c>
      <c r="AO3070" s="115" t="s">
        <v>380</v>
      </c>
    </row>
    <row r="3071" spans="35:41" ht="13">
      <c r="AI3071" s="115" t="s">
        <v>1415</v>
      </c>
      <c r="AJ3071" t="s">
        <v>2114</v>
      </c>
      <c r="AK3071" s="115">
        <v>15</v>
      </c>
      <c r="AL3071" s="115" t="s">
        <v>28</v>
      </c>
      <c r="AM3071" s="115" t="s">
        <v>1848</v>
      </c>
      <c r="AN3071" s="115" t="s">
        <v>1613</v>
      </c>
      <c r="AO3071" s="115" t="s">
        <v>1644</v>
      </c>
    </row>
    <row r="3072" spans="35:41" ht="13">
      <c r="AI3072" s="115" t="s">
        <v>1415</v>
      </c>
      <c r="AJ3072" t="s">
        <v>2114</v>
      </c>
      <c r="AK3072" s="115">
        <v>15</v>
      </c>
      <c r="AL3072" s="115" t="s">
        <v>28</v>
      </c>
      <c r="AM3072" s="115" t="s">
        <v>1843</v>
      </c>
      <c r="AN3072" s="115" t="s">
        <v>1613</v>
      </c>
      <c r="AO3072" s="115" t="s">
        <v>1644</v>
      </c>
    </row>
    <row r="3073" spans="35:41" ht="13">
      <c r="AI3073" s="115" t="s">
        <v>1415</v>
      </c>
      <c r="AJ3073" t="s">
        <v>2114</v>
      </c>
      <c r="AK3073" s="115">
        <v>15</v>
      </c>
      <c r="AL3073" s="115" t="s">
        <v>28</v>
      </c>
      <c r="AM3073" s="115" t="s">
        <v>1850</v>
      </c>
      <c r="AN3073" s="115" t="s">
        <v>1613</v>
      </c>
      <c r="AO3073" s="115" t="s">
        <v>1644</v>
      </c>
    </row>
    <row r="3074" spans="35:41" ht="13">
      <c r="AI3074" s="115" t="s">
        <v>1415</v>
      </c>
      <c r="AJ3074" t="s">
        <v>2114</v>
      </c>
      <c r="AK3074" s="115">
        <v>15</v>
      </c>
      <c r="AL3074" s="115" t="s">
        <v>28</v>
      </c>
      <c r="AM3074" s="115" t="s">
        <v>1832</v>
      </c>
      <c r="AN3074" s="115" t="s">
        <v>1613</v>
      </c>
      <c r="AO3074" s="115" t="s">
        <v>1644</v>
      </c>
    </row>
    <row r="3075" spans="35:41" ht="13">
      <c r="AI3075" s="115" t="s">
        <v>1415</v>
      </c>
      <c r="AJ3075" t="s">
        <v>2114</v>
      </c>
      <c r="AK3075" s="115">
        <v>15</v>
      </c>
      <c r="AL3075" s="115" t="s">
        <v>28</v>
      </c>
      <c r="AM3075" s="115" t="s">
        <v>1832</v>
      </c>
      <c r="AN3075" s="115" t="s">
        <v>1613</v>
      </c>
      <c r="AO3075" s="115" t="s">
        <v>1274</v>
      </c>
    </row>
    <row r="3076" spans="35:41" ht="13">
      <c r="AI3076" s="115" t="s">
        <v>1415</v>
      </c>
      <c r="AJ3076" t="s">
        <v>2114</v>
      </c>
      <c r="AK3076" s="115">
        <v>15</v>
      </c>
      <c r="AL3076" s="115" t="s">
        <v>28</v>
      </c>
      <c r="AM3076" s="115" t="s">
        <v>1848</v>
      </c>
      <c r="AN3076" s="115" t="s">
        <v>1613</v>
      </c>
      <c r="AO3076" s="115" t="s">
        <v>1274</v>
      </c>
    </row>
    <row r="3077" spans="35:41" ht="13">
      <c r="AI3077" s="115" t="s">
        <v>1415</v>
      </c>
      <c r="AJ3077" t="s">
        <v>2114</v>
      </c>
      <c r="AK3077" s="115">
        <v>15</v>
      </c>
      <c r="AL3077" s="115" t="s">
        <v>28</v>
      </c>
      <c r="AM3077" s="115" t="s">
        <v>1850</v>
      </c>
      <c r="AN3077" s="115" t="s">
        <v>1613</v>
      </c>
      <c r="AO3077" s="115" t="s">
        <v>1274</v>
      </c>
    </row>
    <row r="3078" spans="35:41" ht="13">
      <c r="AI3078" s="115" t="s">
        <v>1415</v>
      </c>
      <c r="AJ3078" t="s">
        <v>2114</v>
      </c>
      <c r="AK3078" s="115">
        <v>15</v>
      </c>
      <c r="AL3078" s="115" t="s">
        <v>28</v>
      </c>
      <c r="AM3078" s="115" t="s">
        <v>1849</v>
      </c>
      <c r="AN3078" s="115" t="s">
        <v>1613</v>
      </c>
      <c r="AO3078" s="115" t="s">
        <v>1274</v>
      </c>
    </row>
    <row r="3079" spans="35:41" ht="13">
      <c r="AI3079" s="115" t="s">
        <v>1415</v>
      </c>
      <c r="AJ3079" t="s">
        <v>2114</v>
      </c>
      <c r="AK3079" s="115">
        <v>15</v>
      </c>
      <c r="AL3079" s="115" t="s">
        <v>28</v>
      </c>
      <c r="AM3079" s="115" t="s">
        <v>1846</v>
      </c>
      <c r="AN3079" s="115" t="s">
        <v>1613</v>
      </c>
      <c r="AO3079" s="115" t="s">
        <v>1274</v>
      </c>
    </row>
    <row r="3080" spans="35:41" ht="13">
      <c r="AI3080" s="115" t="s">
        <v>1415</v>
      </c>
      <c r="AJ3080" t="s">
        <v>2114</v>
      </c>
      <c r="AK3080" s="115">
        <v>15</v>
      </c>
      <c r="AL3080" s="115" t="s">
        <v>28</v>
      </c>
      <c r="AM3080" s="115" t="s">
        <v>1843</v>
      </c>
      <c r="AN3080" s="115" t="s">
        <v>1613</v>
      </c>
      <c r="AO3080" s="115" t="s">
        <v>1274</v>
      </c>
    </row>
    <row r="3081" spans="35:41" ht="13">
      <c r="AI3081" s="115" t="s">
        <v>1415</v>
      </c>
      <c r="AJ3081" t="s">
        <v>2114</v>
      </c>
      <c r="AK3081" s="115">
        <v>15</v>
      </c>
      <c r="AL3081" s="115" t="s">
        <v>28</v>
      </c>
      <c r="AM3081" s="115" t="s">
        <v>1846</v>
      </c>
      <c r="AN3081" s="115" t="s">
        <v>1613</v>
      </c>
      <c r="AO3081" s="115" t="s">
        <v>381</v>
      </c>
    </row>
    <row r="3082" spans="35:41" ht="13">
      <c r="AI3082" s="115" t="s">
        <v>1415</v>
      </c>
      <c r="AJ3082" t="s">
        <v>2114</v>
      </c>
      <c r="AK3082" s="115">
        <v>15</v>
      </c>
      <c r="AL3082" s="115" t="s">
        <v>28</v>
      </c>
      <c r="AM3082" s="115" t="s">
        <v>1832</v>
      </c>
      <c r="AN3082" s="115" t="s">
        <v>1613</v>
      </c>
      <c r="AO3082" s="115" t="s">
        <v>381</v>
      </c>
    </row>
    <row r="3083" spans="35:41" ht="13">
      <c r="AI3083" s="115" t="s">
        <v>1415</v>
      </c>
      <c r="AJ3083" t="s">
        <v>2114</v>
      </c>
      <c r="AK3083" s="115">
        <v>15</v>
      </c>
      <c r="AL3083" s="115" t="s">
        <v>28</v>
      </c>
      <c r="AM3083" s="115" t="s">
        <v>1848</v>
      </c>
      <c r="AN3083" s="115" t="s">
        <v>1613</v>
      </c>
      <c r="AO3083" s="115" t="s">
        <v>381</v>
      </c>
    </row>
    <row r="3084" spans="35:41" ht="13">
      <c r="AI3084" s="115" t="s">
        <v>1415</v>
      </c>
      <c r="AJ3084" t="s">
        <v>2114</v>
      </c>
      <c r="AK3084" s="115">
        <v>15</v>
      </c>
      <c r="AL3084" s="115" t="s">
        <v>28</v>
      </c>
      <c r="AM3084" s="115" t="s">
        <v>1849</v>
      </c>
      <c r="AN3084" s="115" t="s">
        <v>1613</v>
      </c>
      <c r="AO3084" s="115" t="s">
        <v>381</v>
      </c>
    </row>
    <row r="3085" spans="35:41" ht="13">
      <c r="AI3085" s="115" t="s">
        <v>1415</v>
      </c>
      <c r="AJ3085" t="s">
        <v>2114</v>
      </c>
      <c r="AK3085" s="115">
        <v>15</v>
      </c>
      <c r="AL3085" s="115" t="s">
        <v>28</v>
      </c>
      <c r="AM3085" s="115" t="s">
        <v>1843</v>
      </c>
      <c r="AN3085" s="115" t="s">
        <v>1613</v>
      </c>
      <c r="AO3085" s="115" t="s">
        <v>381</v>
      </c>
    </row>
    <row r="3086" spans="35:41" ht="13">
      <c r="AI3086" s="115" t="s">
        <v>1415</v>
      </c>
      <c r="AJ3086" t="s">
        <v>2114</v>
      </c>
      <c r="AK3086" s="115">
        <v>15</v>
      </c>
      <c r="AL3086" s="115" t="s">
        <v>28</v>
      </c>
      <c r="AM3086" s="115" t="s">
        <v>1850</v>
      </c>
      <c r="AN3086" s="115" t="s">
        <v>1613</v>
      </c>
      <c r="AO3086" s="115" t="s">
        <v>381</v>
      </c>
    </row>
    <row r="3087" spans="35:41" ht="13">
      <c r="AI3087" s="115" t="s">
        <v>1415</v>
      </c>
      <c r="AJ3087" t="s">
        <v>2114</v>
      </c>
      <c r="AK3087" s="115">
        <v>15</v>
      </c>
      <c r="AL3087" s="115" t="s">
        <v>28</v>
      </c>
      <c r="AM3087" s="115" t="s">
        <v>1849</v>
      </c>
      <c r="AN3087" s="115" t="s">
        <v>1613</v>
      </c>
      <c r="AO3087" s="115" t="s">
        <v>379</v>
      </c>
    </row>
    <row r="3088" spans="35:41" ht="13">
      <c r="AI3088" s="115" t="s">
        <v>1415</v>
      </c>
      <c r="AJ3088" t="s">
        <v>2114</v>
      </c>
      <c r="AK3088" s="115">
        <v>15</v>
      </c>
      <c r="AL3088" s="115" t="s">
        <v>28</v>
      </c>
      <c r="AM3088" s="115" t="s">
        <v>1843</v>
      </c>
      <c r="AN3088" s="115" t="s">
        <v>1613</v>
      </c>
      <c r="AO3088" s="115" t="s">
        <v>379</v>
      </c>
    </row>
    <row r="3089" spans="35:41" ht="13">
      <c r="AI3089" s="115" t="s">
        <v>1415</v>
      </c>
      <c r="AJ3089" t="s">
        <v>2114</v>
      </c>
      <c r="AK3089" s="115">
        <v>15</v>
      </c>
      <c r="AL3089" s="115" t="s">
        <v>28</v>
      </c>
      <c r="AM3089" s="115" t="s">
        <v>1848</v>
      </c>
      <c r="AN3089" s="115" t="s">
        <v>1613</v>
      </c>
      <c r="AO3089" s="115" t="s">
        <v>379</v>
      </c>
    </row>
    <row r="3090" spans="35:41" ht="13">
      <c r="AI3090" s="115" t="s">
        <v>1415</v>
      </c>
      <c r="AJ3090" t="s">
        <v>2114</v>
      </c>
      <c r="AK3090" s="115">
        <v>15</v>
      </c>
      <c r="AL3090" s="115" t="s">
        <v>28</v>
      </c>
      <c r="AM3090" s="115" t="s">
        <v>1850</v>
      </c>
      <c r="AN3090" s="115" t="s">
        <v>1613</v>
      </c>
      <c r="AO3090" s="115" t="s">
        <v>379</v>
      </c>
    </row>
    <row r="3091" spans="35:41" ht="13">
      <c r="AI3091" s="115" t="s">
        <v>1415</v>
      </c>
      <c r="AJ3091" t="s">
        <v>2114</v>
      </c>
      <c r="AK3091" s="115">
        <v>15</v>
      </c>
      <c r="AL3091" s="115" t="s">
        <v>28</v>
      </c>
      <c r="AM3091" s="115" t="s">
        <v>1846</v>
      </c>
      <c r="AN3091" s="115" t="s">
        <v>1613</v>
      </c>
      <c r="AO3091" s="115" t="s">
        <v>379</v>
      </c>
    </row>
    <row r="3092" spans="35:41" ht="13">
      <c r="AI3092" s="115" t="s">
        <v>1415</v>
      </c>
      <c r="AJ3092" t="s">
        <v>2114</v>
      </c>
      <c r="AK3092" s="115">
        <v>15</v>
      </c>
      <c r="AL3092" s="115" t="s">
        <v>28</v>
      </c>
      <c r="AM3092" s="115" t="s">
        <v>1832</v>
      </c>
      <c r="AN3092" s="115" t="s">
        <v>1613</v>
      </c>
      <c r="AO3092" s="115" t="s">
        <v>379</v>
      </c>
    </row>
    <row r="3093" spans="35:41" ht="13">
      <c r="AI3093" s="115" t="s">
        <v>1415</v>
      </c>
      <c r="AJ3093" t="s">
        <v>2114</v>
      </c>
      <c r="AK3093" s="115">
        <v>15</v>
      </c>
      <c r="AL3093" s="115" t="s">
        <v>28</v>
      </c>
      <c r="AM3093" s="115" t="s">
        <v>1846</v>
      </c>
      <c r="AN3093" s="115" t="s">
        <v>1613</v>
      </c>
      <c r="AO3093" s="115" t="s">
        <v>1645</v>
      </c>
    </row>
    <row r="3094" spans="35:41" ht="13">
      <c r="AI3094" s="115" t="s">
        <v>1415</v>
      </c>
      <c r="AJ3094" t="s">
        <v>2114</v>
      </c>
      <c r="AK3094" s="115">
        <v>15</v>
      </c>
      <c r="AL3094" s="115" t="s">
        <v>28</v>
      </c>
      <c r="AM3094" s="115" t="s">
        <v>1848</v>
      </c>
      <c r="AN3094" s="115" t="s">
        <v>1613</v>
      </c>
      <c r="AO3094" s="115" t="s">
        <v>1645</v>
      </c>
    </row>
    <row r="3095" spans="35:41" ht="13">
      <c r="AI3095" s="115" t="s">
        <v>1415</v>
      </c>
      <c r="AJ3095" t="s">
        <v>2114</v>
      </c>
      <c r="AK3095" s="115">
        <v>15</v>
      </c>
      <c r="AL3095" s="115" t="s">
        <v>28</v>
      </c>
      <c r="AM3095" s="115" t="s">
        <v>1832</v>
      </c>
      <c r="AN3095" s="115" t="s">
        <v>1613</v>
      </c>
      <c r="AO3095" s="115" t="s">
        <v>1645</v>
      </c>
    </row>
    <row r="3096" spans="35:41" ht="13">
      <c r="AI3096" s="115" t="s">
        <v>1415</v>
      </c>
      <c r="AJ3096" t="s">
        <v>2114</v>
      </c>
      <c r="AK3096" s="115">
        <v>15</v>
      </c>
      <c r="AL3096" s="115" t="s">
        <v>28</v>
      </c>
      <c r="AM3096" s="115" t="s">
        <v>1850</v>
      </c>
      <c r="AN3096" s="115" t="s">
        <v>1613</v>
      </c>
      <c r="AO3096" s="115" t="s">
        <v>1645</v>
      </c>
    </row>
    <row r="3097" spans="35:41" ht="13">
      <c r="AI3097" s="115" t="s">
        <v>1415</v>
      </c>
      <c r="AJ3097" t="s">
        <v>2114</v>
      </c>
      <c r="AK3097" s="115">
        <v>15</v>
      </c>
      <c r="AL3097" s="115" t="s">
        <v>28</v>
      </c>
      <c r="AM3097" s="115" t="s">
        <v>1843</v>
      </c>
      <c r="AN3097" s="115" t="s">
        <v>1613</v>
      </c>
      <c r="AO3097" s="115" t="s">
        <v>1645</v>
      </c>
    </row>
    <row r="3098" spans="35:41" ht="13">
      <c r="AI3098" s="115" t="s">
        <v>1415</v>
      </c>
      <c r="AJ3098" t="s">
        <v>2114</v>
      </c>
      <c r="AK3098" s="115">
        <v>15</v>
      </c>
      <c r="AL3098" s="115" t="s">
        <v>28</v>
      </c>
      <c r="AM3098" s="115" t="s">
        <v>1849</v>
      </c>
      <c r="AN3098" s="115" t="s">
        <v>1613</v>
      </c>
      <c r="AO3098" s="115" t="s">
        <v>1645</v>
      </c>
    </row>
    <row r="3099" spans="35:41" ht="13">
      <c r="AI3099" s="115" t="s">
        <v>1415</v>
      </c>
      <c r="AJ3099" t="s">
        <v>2114</v>
      </c>
      <c r="AK3099" s="115">
        <v>15</v>
      </c>
      <c r="AL3099" s="115" t="s">
        <v>28</v>
      </c>
      <c r="AM3099" s="115" t="s">
        <v>1846</v>
      </c>
      <c r="AN3099" s="115" t="s">
        <v>1613</v>
      </c>
      <c r="AO3099" s="115" t="s">
        <v>1646</v>
      </c>
    </row>
    <row r="3100" spans="35:41" ht="13">
      <c r="AI3100" s="115" t="s">
        <v>1415</v>
      </c>
      <c r="AJ3100" t="s">
        <v>2114</v>
      </c>
      <c r="AK3100" s="115">
        <v>15</v>
      </c>
      <c r="AL3100" s="115" t="s">
        <v>28</v>
      </c>
      <c r="AM3100" s="115" t="s">
        <v>1843</v>
      </c>
      <c r="AN3100" s="115" t="s">
        <v>1613</v>
      </c>
      <c r="AO3100" s="115" t="s">
        <v>1646</v>
      </c>
    </row>
    <row r="3101" spans="35:41" ht="13">
      <c r="AI3101" s="115" t="s">
        <v>1415</v>
      </c>
      <c r="AJ3101" t="s">
        <v>2114</v>
      </c>
      <c r="AK3101" s="115">
        <v>15</v>
      </c>
      <c r="AL3101" s="115" t="s">
        <v>28</v>
      </c>
      <c r="AM3101" s="115" t="s">
        <v>1846</v>
      </c>
      <c r="AN3101" s="115" t="s">
        <v>1613</v>
      </c>
      <c r="AO3101" s="115" t="s">
        <v>1647</v>
      </c>
    </row>
    <row r="3102" spans="35:41" ht="13">
      <c r="AI3102" s="115" t="s">
        <v>1415</v>
      </c>
      <c r="AJ3102" t="s">
        <v>2114</v>
      </c>
      <c r="AK3102" s="115">
        <v>15</v>
      </c>
      <c r="AL3102" s="115" t="s">
        <v>28</v>
      </c>
      <c r="AM3102" s="115" t="s">
        <v>1843</v>
      </c>
      <c r="AN3102" s="115" t="s">
        <v>1613</v>
      </c>
      <c r="AO3102" s="115" t="s">
        <v>1647</v>
      </c>
    </row>
    <row r="3103" spans="35:41" ht="13">
      <c r="AI3103" s="115" t="s">
        <v>1415</v>
      </c>
      <c r="AJ3103" t="s">
        <v>2114</v>
      </c>
      <c r="AK3103" s="115">
        <v>15</v>
      </c>
      <c r="AL3103" s="115" t="s">
        <v>28</v>
      </c>
      <c r="AM3103" s="115" t="s">
        <v>1846</v>
      </c>
      <c r="AN3103" s="115" t="s">
        <v>1613</v>
      </c>
      <c r="AO3103" s="115" t="s">
        <v>1639</v>
      </c>
    </row>
    <row r="3104" spans="35:41" ht="13">
      <c r="AI3104" s="115" t="s">
        <v>1415</v>
      </c>
      <c r="AJ3104" t="s">
        <v>2114</v>
      </c>
      <c r="AK3104" s="115">
        <v>15</v>
      </c>
      <c r="AL3104" s="115" t="s">
        <v>28</v>
      </c>
      <c r="AM3104" s="115" t="s">
        <v>1843</v>
      </c>
      <c r="AN3104" s="115" t="s">
        <v>1613</v>
      </c>
      <c r="AO3104" s="115" t="s">
        <v>1639</v>
      </c>
    </row>
    <row r="3105" spans="35:41" ht="13">
      <c r="AI3105" s="115" t="s">
        <v>1415</v>
      </c>
      <c r="AJ3105" t="s">
        <v>2114</v>
      </c>
      <c r="AK3105" s="115">
        <v>15</v>
      </c>
      <c r="AL3105" s="115" t="s">
        <v>28</v>
      </c>
      <c r="AM3105" s="115" t="s">
        <v>1846</v>
      </c>
      <c r="AN3105" s="115" t="s">
        <v>1613</v>
      </c>
      <c r="AO3105" s="115" t="s">
        <v>373</v>
      </c>
    </row>
    <row r="3106" spans="35:41" ht="13">
      <c r="AI3106" s="115" t="s">
        <v>1415</v>
      </c>
      <c r="AJ3106" t="s">
        <v>2114</v>
      </c>
      <c r="AK3106" s="115">
        <v>15</v>
      </c>
      <c r="AL3106" s="115" t="s">
        <v>28</v>
      </c>
      <c r="AM3106" s="115" t="s">
        <v>1849</v>
      </c>
      <c r="AN3106" s="115" t="s">
        <v>1613</v>
      </c>
      <c r="AO3106" s="115" t="s">
        <v>373</v>
      </c>
    </row>
    <row r="3107" spans="35:41" ht="13">
      <c r="AI3107" s="115" t="s">
        <v>1415</v>
      </c>
      <c r="AJ3107" t="s">
        <v>2114</v>
      </c>
      <c r="AK3107" s="115">
        <v>15</v>
      </c>
      <c r="AL3107" s="115" t="s">
        <v>28</v>
      </c>
      <c r="AM3107" s="115" t="s">
        <v>1850</v>
      </c>
      <c r="AN3107" s="115" t="s">
        <v>1613</v>
      </c>
      <c r="AO3107" s="115" t="s">
        <v>373</v>
      </c>
    </row>
    <row r="3108" spans="35:41" ht="13">
      <c r="AI3108" s="115" t="s">
        <v>1415</v>
      </c>
      <c r="AJ3108" t="s">
        <v>2114</v>
      </c>
      <c r="AK3108" s="115">
        <v>15</v>
      </c>
      <c r="AL3108" s="115" t="s">
        <v>28</v>
      </c>
      <c r="AM3108" s="115" t="s">
        <v>1843</v>
      </c>
      <c r="AN3108" s="115" t="s">
        <v>1613</v>
      </c>
      <c r="AO3108" s="115" t="s">
        <v>373</v>
      </c>
    </row>
    <row r="3109" spans="35:41" ht="13">
      <c r="AI3109" s="115" t="s">
        <v>1415</v>
      </c>
      <c r="AJ3109" t="s">
        <v>2114</v>
      </c>
      <c r="AK3109" s="115">
        <v>15</v>
      </c>
      <c r="AL3109" s="115" t="s">
        <v>28</v>
      </c>
      <c r="AM3109" s="115" t="s">
        <v>1848</v>
      </c>
      <c r="AN3109" s="115" t="s">
        <v>1613</v>
      </c>
      <c r="AO3109" s="115" t="s">
        <v>373</v>
      </c>
    </row>
    <row r="3110" spans="35:41" ht="13">
      <c r="AI3110" s="115" t="s">
        <v>1415</v>
      </c>
      <c r="AJ3110" t="s">
        <v>2114</v>
      </c>
      <c r="AK3110" s="115">
        <v>15</v>
      </c>
      <c r="AL3110" s="115" t="s">
        <v>28</v>
      </c>
      <c r="AM3110" s="115" t="s">
        <v>1832</v>
      </c>
      <c r="AN3110" s="115" t="s">
        <v>1613</v>
      </c>
      <c r="AO3110" s="115" t="s">
        <v>373</v>
      </c>
    </row>
    <row r="3111" spans="35:41" ht="13">
      <c r="AI3111" s="115" t="s">
        <v>1415</v>
      </c>
      <c r="AJ3111" t="s">
        <v>2114</v>
      </c>
      <c r="AK3111" s="115">
        <v>15</v>
      </c>
      <c r="AL3111" s="115" t="s">
        <v>28</v>
      </c>
      <c r="AM3111" s="115" t="s">
        <v>1849</v>
      </c>
      <c r="AN3111" s="115" t="s">
        <v>1613</v>
      </c>
      <c r="AO3111" s="115" t="s">
        <v>380</v>
      </c>
    </row>
    <row r="3112" spans="35:41" ht="13">
      <c r="AI3112" s="115" t="s">
        <v>1415</v>
      </c>
      <c r="AJ3112" t="s">
        <v>2114</v>
      </c>
      <c r="AK3112" s="115">
        <v>15</v>
      </c>
      <c r="AL3112" s="115" t="s">
        <v>28</v>
      </c>
      <c r="AM3112" s="115" t="s">
        <v>1832</v>
      </c>
      <c r="AN3112" s="115" t="s">
        <v>1613</v>
      </c>
      <c r="AO3112" s="115" t="s">
        <v>380</v>
      </c>
    </row>
    <row r="3113" spans="35:41" ht="13">
      <c r="AI3113" s="115" t="s">
        <v>1415</v>
      </c>
      <c r="AJ3113" t="s">
        <v>2114</v>
      </c>
      <c r="AK3113" s="115">
        <v>15</v>
      </c>
      <c r="AL3113" s="115" t="s">
        <v>28</v>
      </c>
      <c r="AM3113" s="115" t="s">
        <v>1848</v>
      </c>
      <c r="AN3113" s="115" t="s">
        <v>1613</v>
      </c>
      <c r="AO3113" s="115" t="s">
        <v>380</v>
      </c>
    </row>
    <row r="3114" spans="35:41" ht="13">
      <c r="AI3114" s="115" t="s">
        <v>1415</v>
      </c>
      <c r="AJ3114" t="s">
        <v>2114</v>
      </c>
      <c r="AK3114" s="115">
        <v>15</v>
      </c>
      <c r="AL3114" s="115" t="s">
        <v>28</v>
      </c>
      <c r="AM3114" s="115" t="s">
        <v>1850</v>
      </c>
      <c r="AN3114" s="115" t="s">
        <v>1613</v>
      </c>
      <c r="AO3114" s="115" t="s">
        <v>380</v>
      </c>
    </row>
    <row r="3115" spans="35:41" ht="13">
      <c r="AI3115" s="115" t="s">
        <v>1415</v>
      </c>
      <c r="AJ3115" t="s">
        <v>2114</v>
      </c>
      <c r="AK3115" s="115">
        <v>15</v>
      </c>
      <c r="AL3115" s="115" t="s">
        <v>28</v>
      </c>
      <c r="AM3115" s="115" t="s">
        <v>1843</v>
      </c>
      <c r="AN3115" s="115" t="s">
        <v>1613</v>
      </c>
      <c r="AO3115" s="115" t="s">
        <v>380</v>
      </c>
    </row>
    <row r="3116" spans="35:41" ht="13">
      <c r="AI3116" s="115" t="s">
        <v>1415</v>
      </c>
      <c r="AJ3116" t="s">
        <v>2114</v>
      </c>
      <c r="AK3116" s="115">
        <v>15</v>
      </c>
      <c r="AL3116" s="115" t="s">
        <v>28</v>
      </c>
      <c r="AM3116" s="115" t="s">
        <v>1846</v>
      </c>
      <c r="AN3116" s="115" t="s">
        <v>1613</v>
      </c>
      <c r="AO3116" s="115" t="s">
        <v>380</v>
      </c>
    </row>
    <row r="3117" spans="35:41" ht="13">
      <c r="AI3117" s="115" t="s">
        <v>1415</v>
      </c>
      <c r="AJ3117" t="s">
        <v>2114</v>
      </c>
      <c r="AK3117" s="115">
        <v>15</v>
      </c>
      <c r="AL3117" s="115" t="s">
        <v>28</v>
      </c>
      <c r="AM3117" s="115" t="s">
        <v>1848</v>
      </c>
      <c r="AN3117" s="115" t="s">
        <v>1614</v>
      </c>
      <c r="AO3117" s="115" t="s">
        <v>1644</v>
      </c>
    </row>
    <row r="3118" spans="35:41" ht="13">
      <c r="AI3118" s="115" t="s">
        <v>1415</v>
      </c>
      <c r="AJ3118" t="s">
        <v>2114</v>
      </c>
      <c r="AK3118" s="115">
        <v>15</v>
      </c>
      <c r="AL3118" s="115" t="s">
        <v>28</v>
      </c>
      <c r="AM3118" s="115" t="s">
        <v>1850</v>
      </c>
      <c r="AN3118" s="115" t="s">
        <v>1614</v>
      </c>
      <c r="AO3118" s="115" t="s">
        <v>1644</v>
      </c>
    </row>
    <row r="3119" spans="35:41" ht="13">
      <c r="AI3119" s="115" t="s">
        <v>1415</v>
      </c>
      <c r="AJ3119" t="s">
        <v>2114</v>
      </c>
      <c r="AK3119" s="115">
        <v>15</v>
      </c>
      <c r="AL3119" s="115" t="s">
        <v>28</v>
      </c>
      <c r="AM3119" s="115" t="s">
        <v>1843</v>
      </c>
      <c r="AN3119" s="115" t="s">
        <v>1614</v>
      </c>
      <c r="AO3119" s="115" t="s">
        <v>1644</v>
      </c>
    </row>
    <row r="3120" spans="35:41" ht="13">
      <c r="AI3120" s="115" t="s">
        <v>1415</v>
      </c>
      <c r="AJ3120" t="s">
        <v>2114</v>
      </c>
      <c r="AK3120" s="115">
        <v>15</v>
      </c>
      <c r="AL3120" s="115" t="s">
        <v>28</v>
      </c>
      <c r="AM3120" s="115" t="s">
        <v>1832</v>
      </c>
      <c r="AN3120" s="115" t="s">
        <v>1614</v>
      </c>
      <c r="AO3120" s="115" t="s">
        <v>1644</v>
      </c>
    </row>
    <row r="3121" spans="35:41" ht="13">
      <c r="AI3121" s="115" t="s">
        <v>1415</v>
      </c>
      <c r="AJ3121" t="s">
        <v>2114</v>
      </c>
      <c r="AK3121" s="115">
        <v>15</v>
      </c>
      <c r="AL3121" s="115" t="s">
        <v>28</v>
      </c>
      <c r="AM3121" s="115" t="s">
        <v>1848</v>
      </c>
      <c r="AN3121" s="115" t="s">
        <v>1614</v>
      </c>
      <c r="AO3121" s="115" t="s">
        <v>1274</v>
      </c>
    </row>
    <row r="3122" spans="35:41" ht="13">
      <c r="AI3122" s="115" t="s">
        <v>1415</v>
      </c>
      <c r="AJ3122" t="s">
        <v>2114</v>
      </c>
      <c r="AK3122" s="115">
        <v>15</v>
      </c>
      <c r="AL3122" s="115" t="s">
        <v>28</v>
      </c>
      <c r="AM3122" s="115" t="s">
        <v>1850</v>
      </c>
      <c r="AN3122" s="115" t="s">
        <v>1614</v>
      </c>
      <c r="AO3122" s="115" t="s">
        <v>1274</v>
      </c>
    </row>
    <row r="3123" spans="35:41" ht="13">
      <c r="AI3123" s="115" t="s">
        <v>1415</v>
      </c>
      <c r="AJ3123" t="s">
        <v>2114</v>
      </c>
      <c r="AK3123" s="115">
        <v>15</v>
      </c>
      <c r="AL3123" s="115" t="s">
        <v>28</v>
      </c>
      <c r="AM3123" s="115" t="s">
        <v>1832</v>
      </c>
      <c r="AN3123" s="115" t="s">
        <v>1614</v>
      </c>
      <c r="AO3123" s="115" t="s">
        <v>1274</v>
      </c>
    </row>
    <row r="3124" spans="35:41" ht="13">
      <c r="AI3124" s="115" t="s">
        <v>1415</v>
      </c>
      <c r="AJ3124" t="s">
        <v>2114</v>
      </c>
      <c r="AK3124" s="115">
        <v>15</v>
      </c>
      <c r="AL3124" s="115" t="s">
        <v>28</v>
      </c>
      <c r="AM3124" s="115" t="s">
        <v>1849</v>
      </c>
      <c r="AN3124" s="115" t="s">
        <v>1614</v>
      </c>
      <c r="AO3124" s="115" t="s">
        <v>1274</v>
      </c>
    </row>
    <row r="3125" spans="35:41" ht="13">
      <c r="AI3125" s="115" t="s">
        <v>1415</v>
      </c>
      <c r="AJ3125" t="s">
        <v>2114</v>
      </c>
      <c r="AK3125" s="115">
        <v>15</v>
      </c>
      <c r="AL3125" s="115" t="s">
        <v>28</v>
      </c>
      <c r="AM3125" s="115" t="s">
        <v>1846</v>
      </c>
      <c r="AN3125" s="115" t="s">
        <v>1614</v>
      </c>
      <c r="AO3125" s="115" t="s">
        <v>1274</v>
      </c>
    </row>
    <row r="3126" spans="35:41" ht="13">
      <c r="AI3126" s="115" t="s">
        <v>1415</v>
      </c>
      <c r="AJ3126" t="s">
        <v>2114</v>
      </c>
      <c r="AK3126" s="115">
        <v>15</v>
      </c>
      <c r="AL3126" s="115" t="s">
        <v>28</v>
      </c>
      <c r="AM3126" s="115" t="s">
        <v>1843</v>
      </c>
      <c r="AN3126" s="115" t="s">
        <v>1614</v>
      </c>
      <c r="AO3126" s="115" t="s">
        <v>1274</v>
      </c>
    </row>
    <row r="3127" spans="35:41" ht="13">
      <c r="AI3127" s="115" t="s">
        <v>1415</v>
      </c>
      <c r="AJ3127" t="s">
        <v>2114</v>
      </c>
      <c r="AK3127" s="115">
        <v>15</v>
      </c>
      <c r="AL3127" s="115" t="s">
        <v>28</v>
      </c>
      <c r="AM3127" s="115" t="s">
        <v>1848</v>
      </c>
      <c r="AN3127" s="115" t="s">
        <v>1614</v>
      </c>
      <c r="AO3127" s="115" t="s">
        <v>381</v>
      </c>
    </row>
    <row r="3128" spans="35:41" ht="13">
      <c r="AI3128" s="115" t="s">
        <v>1415</v>
      </c>
      <c r="AJ3128" t="s">
        <v>2114</v>
      </c>
      <c r="AK3128" s="115">
        <v>15</v>
      </c>
      <c r="AL3128" s="115" t="s">
        <v>28</v>
      </c>
      <c r="AM3128" s="115" t="s">
        <v>1849</v>
      </c>
      <c r="AN3128" s="115" t="s">
        <v>1614</v>
      </c>
      <c r="AO3128" s="115" t="s">
        <v>381</v>
      </c>
    </row>
    <row r="3129" spans="35:41" ht="13">
      <c r="AI3129" s="115" t="s">
        <v>1415</v>
      </c>
      <c r="AJ3129" t="s">
        <v>2114</v>
      </c>
      <c r="AK3129" s="115">
        <v>15</v>
      </c>
      <c r="AL3129" s="115" t="s">
        <v>28</v>
      </c>
      <c r="AM3129" s="115" t="s">
        <v>1843</v>
      </c>
      <c r="AN3129" s="115" t="s">
        <v>1614</v>
      </c>
      <c r="AO3129" s="115" t="s">
        <v>381</v>
      </c>
    </row>
    <row r="3130" spans="35:41" ht="13">
      <c r="AI3130" s="115" t="s">
        <v>1415</v>
      </c>
      <c r="AJ3130" t="s">
        <v>2114</v>
      </c>
      <c r="AK3130" s="115">
        <v>15</v>
      </c>
      <c r="AL3130" s="115" t="s">
        <v>28</v>
      </c>
      <c r="AM3130" s="115" t="s">
        <v>1832</v>
      </c>
      <c r="AN3130" s="115" t="s">
        <v>1614</v>
      </c>
      <c r="AO3130" s="115" t="s">
        <v>381</v>
      </c>
    </row>
    <row r="3131" spans="35:41" ht="13">
      <c r="AI3131" s="115" t="s">
        <v>1415</v>
      </c>
      <c r="AJ3131" t="s">
        <v>2114</v>
      </c>
      <c r="AK3131" s="115">
        <v>15</v>
      </c>
      <c r="AL3131" s="115" t="s">
        <v>28</v>
      </c>
      <c r="AM3131" s="115" t="s">
        <v>1850</v>
      </c>
      <c r="AN3131" s="115" t="s">
        <v>1614</v>
      </c>
      <c r="AO3131" s="115" t="s">
        <v>381</v>
      </c>
    </row>
    <row r="3132" spans="35:41" ht="13">
      <c r="AI3132" s="115" t="s">
        <v>1415</v>
      </c>
      <c r="AJ3132" t="s">
        <v>2114</v>
      </c>
      <c r="AK3132" s="115">
        <v>15</v>
      </c>
      <c r="AL3132" s="115" t="s">
        <v>28</v>
      </c>
      <c r="AM3132" s="115" t="s">
        <v>1846</v>
      </c>
      <c r="AN3132" s="115" t="s">
        <v>1614</v>
      </c>
      <c r="AO3132" s="115" t="s">
        <v>381</v>
      </c>
    </row>
    <row r="3133" spans="35:41" ht="13">
      <c r="AI3133" s="115" t="s">
        <v>1415</v>
      </c>
      <c r="AJ3133" t="s">
        <v>2114</v>
      </c>
      <c r="AK3133" s="115">
        <v>15</v>
      </c>
      <c r="AL3133" s="115" t="s">
        <v>28</v>
      </c>
      <c r="AM3133" s="115" t="s">
        <v>1843</v>
      </c>
      <c r="AN3133" s="115" t="s">
        <v>1614</v>
      </c>
      <c r="AO3133" s="115" t="s">
        <v>379</v>
      </c>
    </row>
    <row r="3134" spans="35:41" ht="13">
      <c r="AI3134" s="115" t="s">
        <v>1415</v>
      </c>
      <c r="AJ3134" t="s">
        <v>2114</v>
      </c>
      <c r="AK3134" s="115">
        <v>15</v>
      </c>
      <c r="AL3134" s="115" t="s">
        <v>28</v>
      </c>
      <c r="AM3134" s="115" t="s">
        <v>1849</v>
      </c>
      <c r="AN3134" s="115" t="s">
        <v>1614</v>
      </c>
      <c r="AO3134" s="115" t="s">
        <v>379</v>
      </c>
    </row>
    <row r="3135" spans="35:41" ht="13">
      <c r="AI3135" s="115" t="s">
        <v>1415</v>
      </c>
      <c r="AJ3135" t="s">
        <v>2114</v>
      </c>
      <c r="AK3135" s="115">
        <v>15</v>
      </c>
      <c r="AL3135" s="115" t="s">
        <v>28</v>
      </c>
      <c r="AM3135" s="115" t="s">
        <v>1848</v>
      </c>
      <c r="AN3135" s="115" t="s">
        <v>1614</v>
      </c>
      <c r="AO3135" s="115" t="s">
        <v>379</v>
      </c>
    </row>
    <row r="3136" spans="35:41" ht="13">
      <c r="AI3136" s="115" t="s">
        <v>1415</v>
      </c>
      <c r="AJ3136" t="s">
        <v>2114</v>
      </c>
      <c r="AK3136" s="115">
        <v>15</v>
      </c>
      <c r="AL3136" s="115" t="s">
        <v>28</v>
      </c>
      <c r="AM3136" s="115" t="s">
        <v>1850</v>
      </c>
      <c r="AN3136" s="115" t="s">
        <v>1614</v>
      </c>
      <c r="AO3136" s="115" t="s">
        <v>379</v>
      </c>
    </row>
    <row r="3137" spans="35:41" ht="13">
      <c r="AI3137" s="115" t="s">
        <v>1415</v>
      </c>
      <c r="AJ3137" t="s">
        <v>2114</v>
      </c>
      <c r="AK3137" s="115">
        <v>15</v>
      </c>
      <c r="AL3137" s="115" t="s">
        <v>28</v>
      </c>
      <c r="AM3137" s="115" t="s">
        <v>1846</v>
      </c>
      <c r="AN3137" s="115" t="s">
        <v>1614</v>
      </c>
      <c r="AO3137" s="115" t="s">
        <v>379</v>
      </c>
    </row>
    <row r="3138" spans="35:41" ht="13">
      <c r="AI3138" s="115" t="s">
        <v>1415</v>
      </c>
      <c r="AJ3138" t="s">
        <v>2114</v>
      </c>
      <c r="AK3138" s="115">
        <v>15</v>
      </c>
      <c r="AL3138" s="115" t="s">
        <v>28</v>
      </c>
      <c r="AM3138" s="115" t="s">
        <v>1832</v>
      </c>
      <c r="AN3138" s="115" t="s">
        <v>1614</v>
      </c>
      <c r="AO3138" s="115" t="s">
        <v>379</v>
      </c>
    </row>
    <row r="3139" spans="35:41" ht="13">
      <c r="AI3139" s="115" t="s">
        <v>1415</v>
      </c>
      <c r="AJ3139" t="s">
        <v>2114</v>
      </c>
      <c r="AK3139" s="115">
        <v>15</v>
      </c>
      <c r="AL3139" s="115" t="s">
        <v>28</v>
      </c>
      <c r="AM3139" s="115" t="s">
        <v>1846</v>
      </c>
      <c r="AN3139" s="115" t="s">
        <v>1614</v>
      </c>
      <c r="AO3139" s="115" t="s">
        <v>1645</v>
      </c>
    </row>
    <row r="3140" spans="35:41" ht="13">
      <c r="AI3140" s="115" t="s">
        <v>1415</v>
      </c>
      <c r="AJ3140" t="s">
        <v>2114</v>
      </c>
      <c r="AK3140" s="115">
        <v>15</v>
      </c>
      <c r="AL3140" s="115" t="s">
        <v>28</v>
      </c>
      <c r="AM3140" s="115" t="s">
        <v>1843</v>
      </c>
      <c r="AN3140" s="115" t="s">
        <v>1614</v>
      </c>
      <c r="AO3140" s="115" t="s">
        <v>1645</v>
      </c>
    </row>
    <row r="3141" spans="35:41" ht="13">
      <c r="AI3141" s="115" t="s">
        <v>1415</v>
      </c>
      <c r="AJ3141" t="s">
        <v>2114</v>
      </c>
      <c r="AK3141" s="115">
        <v>15</v>
      </c>
      <c r="AL3141" s="115" t="s">
        <v>28</v>
      </c>
      <c r="AM3141" s="115" t="s">
        <v>1850</v>
      </c>
      <c r="AN3141" s="115" t="s">
        <v>1614</v>
      </c>
      <c r="AO3141" s="115" t="s">
        <v>1645</v>
      </c>
    </row>
    <row r="3142" spans="35:41" ht="13">
      <c r="AI3142" s="115" t="s">
        <v>1415</v>
      </c>
      <c r="AJ3142" t="s">
        <v>2114</v>
      </c>
      <c r="AK3142" s="115">
        <v>15</v>
      </c>
      <c r="AL3142" s="115" t="s">
        <v>28</v>
      </c>
      <c r="AM3142" s="115" t="s">
        <v>1832</v>
      </c>
      <c r="AN3142" s="115" t="s">
        <v>1614</v>
      </c>
      <c r="AO3142" s="115" t="s">
        <v>1645</v>
      </c>
    </row>
    <row r="3143" spans="35:41" ht="13">
      <c r="AI3143" s="115" t="s">
        <v>1415</v>
      </c>
      <c r="AJ3143" t="s">
        <v>2114</v>
      </c>
      <c r="AK3143" s="115">
        <v>15</v>
      </c>
      <c r="AL3143" s="115" t="s">
        <v>28</v>
      </c>
      <c r="AM3143" s="115" t="s">
        <v>1849</v>
      </c>
      <c r="AN3143" s="115" t="s">
        <v>1614</v>
      </c>
      <c r="AO3143" s="115" t="s">
        <v>1645</v>
      </c>
    </row>
    <row r="3144" spans="35:41" ht="13">
      <c r="AI3144" s="115" t="s">
        <v>1415</v>
      </c>
      <c r="AJ3144" t="s">
        <v>2114</v>
      </c>
      <c r="AK3144" s="115">
        <v>15</v>
      </c>
      <c r="AL3144" s="115" t="s">
        <v>28</v>
      </c>
      <c r="AM3144" s="115" t="s">
        <v>1848</v>
      </c>
      <c r="AN3144" s="115" t="s">
        <v>1614</v>
      </c>
      <c r="AO3144" s="115" t="s">
        <v>1645</v>
      </c>
    </row>
    <row r="3145" spans="35:41" ht="13">
      <c r="AI3145" s="115" t="s">
        <v>1415</v>
      </c>
      <c r="AJ3145" t="s">
        <v>2114</v>
      </c>
      <c r="AK3145" s="115">
        <v>15</v>
      </c>
      <c r="AL3145" s="115" t="s">
        <v>28</v>
      </c>
      <c r="AM3145" s="115" t="s">
        <v>1846</v>
      </c>
      <c r="AN3145" s="115" t="s">
        <v>1614</v>
      </c>
      <c r="AO3145" s="115" t="s">
        <v>1646</v>
      </c>
    </row>
    <row r="3146" spans="35:41" ht="13">
      <c r="AI3146" s="115" t="s">
        <v>1415</v>
      </c>
      <c r="AJ3146" t="s">
        <v>2114</v>
      </c>
      <c r="AK3146" s="115">
        <v>15</v>
      </c>
      <c r="AL3146" s="115" t="s">
        <v>28</v>
      </c>
      <c r="AM3146" s="115" t="s">
        <v>1843</v>
      </c>
      <c r="AN3146" s="115" t="s">
        <v>1614</v>
      </c>
      <c r="AO3146" s="115" t="s">
        <v>1646</v>
      </c>
    </row>
    <row r="3147" spans="35:41" ht="13">
      <c r="AI3147" s="115" t="s">
        <v>1415</v>
      </c>
      <c r="AJ3147" t="s">
        <v>2114</v>
      </c>
      <c r="AK3147" s="115">
        <v>15</v>
      </c>
      <c r="AL3147" s="115" t="s">
        <v>28</v>
      </c>
      <c r="AM3147" s="115" t="s">
        <v>1843</v>
      </c>
      <c r="AN3147" s="115" t="s">
        <v>1614</v>
      </c>
      <c r="AO3147" s="115" t="s">
        <v>1647</v>
      </c>
    </row>
    <row r="3148" spans="35:41" ht="13">
      <c r="AI3148" s="115" t="s">
        <v>1415</v>
      </c>
      <c r="AJ3148" t="s">
        <v>2114</v>
      </c>
      <c r="AK3148" s="115">
        <v>15</v>
      </c>
      <c r="AL3148" s="115" t="s">
        <v>28</v>
      </c>
      <c r="AM3148" s="115" t="s">
        <v>1846</v>
      </c>
      <c r="AN3148" s="115" t="s">
        <v>1614</v>
      </c>
      <c r="AO3148" s="115" t="s">
        <v>1647</v>
      </c>
    </row>
    <row r="3149" spans="35:41" ht="13">
      <c r="AI3149" s="115" t="s">
        <v>1415</v>
      </c>
      <c r="AJ3149" t="s">
        <v>2114</v>
      </c>
      <c r="AK3149" s="115">
        <v>15</v>
      </c>
      <c r="AL3149" s="115" t="s">
        <v>28</v>
      </c>
      <c r="AM3149" s="115" t="s">
        <v>1843</v>
      </c>
      <c r="AN3149" s="115" t="s">
        <v>1614</v>
      </c>
      <c r="AO3149" s="115" t="s">
        <v>1639</v>
      </c>
    </row>
    <row r="3150" spans="35:41" ht="13">
      <c r="AI3150" s="115" t="s">
        <v>1415</v>
      </c>
      <c r="AJ3150" t="s">
        <v>2114</v>
      </c>
      <c r="AK3150" s="115">
        <v>15</v>
      </c>
      <c r="AL3150" s="115" t="s">
        <v>28</v>
      </c>
      <c r="AM3150" s="115" t="s">
        <v>1846</v>
      </c>
      <c r="AN3150" s="115" t="s">
        <v>1614</v>
      </c>
      <c r="AO3150" s="115" t="s">
        <v>1639</v>
      </c>
    </row>
    <row r="3151" spans="35:41" ht="13">
      <c r="AI3151" s="115" t="s">
        <v>1415</v>
      </c>
      <c r="AJ3151" t="s">
        <v>2114</v>
      </c>
      <c r="AK3151" s="115">
        <v>15</v>
      </c>
      <c r="AL3151" s="115" t="s">
        <v>28</v>
      </c>
      <c r="AM3151" s="115" t="s">
        <v>1850</v>
      </c>
      <c r="AN3151" s="115" t="s">
        <v>1614</v>
      </c>
      <c r="AO3151" s="115" t="s">
        <v>373</v>
      </c>
    </row>
    <row r="3152" spans="35:41" ht="13">
      <c r="AI3152" s="115" t="s">
        <v>1415</v>
      </c>
      <c r="AJ3152" t="s">
        <v>2114</v>
      </c>
      <c r="AK3152" s="115">
        <v>15</v>
      </c>
      <c r="AL3152" s="115" t="s">
        <v>28</v>
      </c>
      <c r="AM3152" s="115" t="s">
        <v>1848</v>
      </c>
      <c r="AN3152" s="115" t="s">
        <v>1614</v>
      </c>
      <c r="AO3152" s="115" t="s">
        <v>373</v>
      </c>
    </row>
    <row r="3153" spans="35:41" ht="13">
      <c r="AI3153" s="115" t="s">
        <v>1415</v>
      </c>
      <c r="AJ3153" t="s">
        <v>2114</v>
      </c>
      <c r="AK3153" s="115">
        <v>15</v>
      </c>
      <c r="AL3153" s="115" t="s">
        <v>28</v>
      </c>
      <c r="AM3153" s="115" t="s">
        <v>1849</v>
      </c>
      <c r="AN3153" s="115" t="s">
        <v>1614</v>
      </c>
      <c r="AO3153" s="115" t="s">
        <v>373</v>
      </c>
    </row>
    <row r="3154" spans="35:41" ht="13">
      <c r="AI3154" s="115" t="s">
        <v>1415</v>
      </c>
      <c r="AJ3154" t="s">
        <v>2114</v>
      </c>
      <c r="AK3154" s="115">
        <v>15</v>
      </c>
      <c r="AL3154" s="115" t="s">
        <v>28</v>
      </c>
      <c r="AM3154" s="115" t="s">
        <v>1832</v>
      </c>
      <c r="AN3154" s="115" t="s">
        <v>1614</v>
      </c>
      <c r="AO3154" s="115" t="s">
        <v>373</v>
      </c>
    </row>
    <row r="3155" spans="35:41" ht="13">
      <c r="AI3155" s="115" t="s">
        <v>1415</v>
      </c>
      <c r="AJ3155" t="s">
        <v>2114</v>
      </c>
      <c r="AK3155" s="115">
        <v>15</v>
      </c>
      <c r="AL3155" s="115" t="s">
        <v>28</v>
      </c>
      <c r="AM3155" s="115" t="s">
        <v>1843</v>
      </c>
      <c r="AN3155" s="115" t="s">
        <v>1614</v>
      </c>
      <c r="AO3155" s="115" t="s">
        <v>373</v>
      </c>
    </row>
    <row r="3156" spans="35:41" ht="13">
      <c r="AI3156" s="115" t="s">
        <v>1415</v>
      </c>
      <c r="AJ3156" t="s">
        <v>2114</v>
      </c>
      <c r="AK3156" s="115">
        <v>15</v>
      </c>
      <c r="AL3156" s="115" t="s">
        <v>28</v>
      </c>
      <c r="AM3156" s="115" t="s">
        <v>1846</v>
      </c>
      <c r="AN3156" s="115" t="s">
        <v>1614</v>
      </c>
      <c r="AO3156" s="115" t="s">
        <v>373</v>
      </c>
    </row>
    <row r="3157" spans="35:41" ht="13">
      <c r="AI3157" s="115" t="s">
        <v>1415</v>
      </c>
      <c r="AJ3157" t="s">
        <v>2114</v>
      </c>
      <c r="AK3157" s="115">
        <v>15</v>
      </c>
      <c r="AL3157" s="115" t="s">
        <v>28</v>
      </c>
      <c r="AM3157" s="115" t="s">
        <v>1850</v>
      </c>
      <c r="AN3157" s="115" t="s">
        <v>1614</v>
      </c>
      <c r="AO3157" s="115" t="s">
        <v>380</v>
      </c>
    </row>
    <row r="3158" spans="35:41" ht="13">
      <c r="AI3158" s="115" t="s">
        <v>1415</v>
      </c>
      <c r="AJ3158" t="s">
        <v>2114</v>
      </c>
      <c r="AK3158" s="115">
        <v>15</v>
      </c>
      <c r="AL3158" s="115" t="s">
        <v>28</v>
      </c>
      <c r="AM3158" s="115" t="s">
        <v>1849</v>
      </c>
      <c r="AN3158" s="115" t="s">
        <v>1614</v>
      </c>
      <c r="AO3158" s="115" t="s">
        <v>380</v>
      </c>
    </row>
    <row r="3159" spans="35:41" ht="13">
      <c r="AI3159" s="115" t="s">
        <v>1415</v>
      </c>
      <c r="AJ3159" t="s">
        <v>2114</v>
      </c>
      <c r="AK3159" s="115">
        <v>15</v>
      </c>
      <c r="AL3159" s="115" t="s">
        <v>28</v>
      </c>
      <c r="AM3159" s="115" t="s">
        <v>1832</v>
      </c>
      <c r="AN3159" s="115" t="s">
        <v>1614</v>
      </c>
      <c r="AO3159" s="115" t="s">
        <v>380</v>
      </c>
    </row>
    <row r="3160" spans="35:41" ht="13">
      <c r="AI3160" s="115" t="s">
        <v>1415</v>
      </c>
      <c r="AJ3160" t="s">
        <v>2114</v>
      </c>
      <c r="AK3160" s="115">
        <v>15</v>
      </c>
      <c r="AL3160" s="115" t="s">
        <v>28</v>
      </c>
      <c r="AM3160" s="115" t="s">
        <v>1843</v>
      </c>
      <c r="AN3160" s="115" t="s">
        <v>1614</v>
      </c>
      <c r="AO3160" s="115" t="s">
        <v>380</v>
      </c>
    </row>
    <row r="3161" spans="35:41" ht="13">
      <c r="AI3161" s="115" t="s">
        <v>1415</v>
      </c>
      <c r="AJ3161" t="s">
        <v>2114</v>
      </c>
      <c r="AK3161" s="115">
        <v>15</v>
      </c>
      <c r="AL3161" s="115" t="s">
        <v>28</v>
      </c>
      <c r="AM3161" s="115" t="s">
        <v>1848</v>
      </c>
      <c r="AN3161" s="115" t="s">
        <v>1614</v>
      </c>
      <c r="AO3161" s="115" t="s">
        <v>380</v>
      </c>
    </row>
    <row r="3162" spans="35:41" ht="13">
      <c r="AI3162" s="115" t="s">
        <v>1415</v>
      </c>
      <c r="AJ3162" t="s">
        <v>2114</v>
      </c>
      <c r="AK3162" s="115">
        <v>15</v>
      </c>
      <c r="AL3162" s="115" t="s">
        <v>28</v>
      </c>
      <c r="AM3162" s="115" t="s">
        <v>1846</v>
      </c>
      <c r="AN3162" s="115" t="s">
        <v>1614</v>
      </c>
      <c r="AO3162" s="115" t="s">
        <v>380</v>
      </c>
    </row>
    <row r="3163" spans="35:41" ht="13">
      <c r="AI3163" s="115" t="s">
        <v>1415</v>
      </c>
      <c r="AJ3163" t="s">
        <v>2114</v>
      </c>
      <c r="AK3163" s="115">
        <v>15</v>
      </c>
      <c r="AL3163" s="115" t="s">
        <v>28</v>
      </c>
      <c r="AM3163" s="115" t="s">
        <v>1843</v>
      </c>
      <c r="AN3163" s="115" t="s">
        <v>1615</v>
      </c>
      <c r="AO3163" s="115" t="s">
        <v>1644</v>
      </c>
    </row>
    <row r="3164" spans="35:41" ht="13">
      <c r="AI3164" s="115" t="s">
        <v>1415</v>
      </c>
      <c r="AJ3164" t="s">
        <v>2114</v>
      </c>
      <c r="AK3164" s="115">
        <v>15</v>
      </c>
      <c r="AL3164" s="115" t="s">
        <v>28</v>
      </c>
      <c r="AM3164" s="115" t="s">
        <v>1832</v>
      </c>
      <c r="AN3164" s="115" t="s">
        <v>1615</v>
      </c>
      <c r="AO3164" s="115" t="s">
        <v>1644</v>
      </c>
    </row>
    <row r="3165" spans="35:41" ht="13">
      <c r="AI3165" s="115" t="s">
        <v>1415</v>
      </c>
      <c r="AJ3165" t="s">
        <v>2114</v>
      </c>
      <c r="AK3165" s="115">
        <v>15</v>
      </c>
      <c r="AL3165" s="115" t="s">
        <v>28</v>
      </c>
      <c r="AM3165" s="115" t="s">
        <v>1850</v>
      </c>
      <c r="AN3165" s="115" t="s">
        <v>1615</v>
      </c>
      <c r="AO3165" s="115" t="s">
        <v>1644</v>
      </c>
    </row>
    <row r="3166" spans="35:41" ht="13">
      <c r="AI3166" s="115" t="s">
        <v>1415</v>
      </c>
      <c r="AJ3166" t="s">
        <v>2114</v>
      </c>
      <c r="AK3166" s="115">
        <v>15</v>
      </c>
      <c r="AL3166" s="115" t="s">
        <v>28</v>
      </c>
      <c r="AM3166" s="115" t="s">
        <v>1848</v>
      </c>
      <c r="AN3166" s="115" t="s">
        <v>1615</v>
      </c>
      <c r="AO3166" s="115" t="s">
        <v>1644</v>
      </c>
    </row>
    <row r="3167" spans="35:41" ht="13">
      <c r="AI3167" s="115" t="s">
        <v>1415</v>
      </c>
      <c r="AJ3167" t="s">
        <v>2114</v>
      </c>
      <c r="AK3167" s="115">
        <v>15</v>
      </c>
      <c r="AL3167" s="115" t="s">
        <v>28</v>
      </c>
      <c r="AM3167" s="115" t="s">
        <v>1848</v>
      </c>
      <c r="AN3167" s="115" t="s">
        <v>1615</v>
      </c>
      <c r="AO3167" s="115" t="s">
        <v>1274</v>
      </c>
    </row>
    <row r="3168" spans="35:41" ht="13">
      <c r="AI3168" s="115" t="s">
        <v>1415</v>
      </c>
      <c r="AJ3168" t="s">
        <v>2114</v>
      </c>
      <c r="AK3168" s="115">
        <v>15</v>
      </c>
      <c r="AL3168" s="115" t="s">
        <v>28</v>
      </c>
      <c r="AM3168" s="115" t="s">
        <v>1846</v>
      </c>
      <c r="AN3168" s="115" t="s">
        <v>1615</v>
      </c>
      <c r="AO3168" s="115" t="s">
        <v>1274</v>
      </c>
    </row>
    <row r="3169" spans="35:41" ht="13">
      <c r="AI3169" s="115" t="s">
        <v>1415</v>
      </c>
      <c r="AJ3169" t="s">
        <v>2114</v>
      </c>
      <c r="AK3169" s="115">
        <v>15</v>
      </c>
      <c r="AL3169" s="115" t="s">
        <v>28</v>
      </c>
      <c r="AM3169" s="115" t="s">
        <v>1850</v>
      </c>
      <c r="AN3169" s="115" t="s">
        <v>1615</v>
      </c>
      <c r="AO3169" s="115" t="s">
        <v>1274</v>
      </c>
    </row>
    <row r="3170" spans="35:41" ht="13">
      <c r="AI3170" s="115" t="s">
        <v>1415</v>
      </c>
      <c r="AJ3170" t="s">
        <v>2114</v>
      </c>
      <c r="AK3170" s="115">
        <v>15</v>
      </c>
      <c r="AL3170" s="115" t="s">
        <v>28</v>
      </c>
      <c r="AM3170" s="115" t="s">
        <v>1832</v>
      </c>
      <c r="AN3170" s="115" t="s">
        <v>1615</v>
      </c>
      <c r="AO3170" s="115" t="s">
        <v>1274</v>
      </c>
    </row>
    <row r="3171" spans="35:41" ht="13">
      <c r="AI3171" s="115" t="s">
        <v>1415</v>
      </c>
      <c r="AJ3171" t="s">
        <v>2114</v>
      </c>
      <c r="AK3171" s="115">
        <v>15</v>
      </c>
      <c r="AL3171" s="115" t="s">
        <v>28</v>
      </c>
      <c r="AM3171" s="115" t="s">
        <v>1849</v>
      </c>
      <c r="AN3171" s="115" t="s">
        <v>1615</v>
      </c>
      <c r="AO3171" s="115" t="s">
        <v>1274</v>
      </c>
    </row>
    <row r="3172" spans="35:41" ht="13">
      <c r="AI3172" s="115" t="s">
        <v>1415</v>
      </c>
      <c r="AJ3172" t="s">
        <v>2114</v>
      </c>
      <c r="AK3172" s="115">
        <v>15</v>
      </c>
      <c r="AL3172" s="115" t="s">
        <v>28</v>
      </c>
      <c r="AM3172" s="115" t="s">
        <v>1843</v>
      </c>
      <c r="AN3172" s="115" t="s">
        <v>1615</v>
      </c>
      <c r="AO3172" s="115" t="s">
        <v>1274</v>
      </c>
    </row>
    <row r="3173" spans="35:41" ht="13">
      <c r="AI3173" s="115" t="s">
        <v>1415</v>
      </c>
      <c r="AJ3173" t="s">
        <v>2114</v>
      </c>
      <c r="AK3173" s="115">
        <v>15</v>
      </c>
      <c r="AL3173" s="115" t="s">
        <v>28</v>
      </c>
      <c r="AM3173" s="115" t="s">
        <v>1848</v>
      </c>
      <c r="AN3173" s="115" t="s">
        <v>1615</v>
      </c>
      <c r="AO3173" s="115" t="s">
        <v>381</v>
      </c>
    </row>
    <row r="3174" spans="35:41" ht="13">
      <c r="AI3174" s="115" t="s">
        <v>1415</v>
      </c>
      <c r="AJ3174" t="s">
        <v>2114</v>
      </c>
      <c r="AK3174" s="115">
        <v>15</v>
      </c>
      <c r="AL3174" s="115" t="s">
        <v>28</v>
      </c>
      <c r="AM3174" s="115" t="s">
        <v>1832</v>
      </c>
      <c r="AN3174" s="115" t="s">
        <v>1615</v>
      </c>
      <c r="AO3174" s="115" t="s">
        <v>381</v>
      </c>
    </row>
    <row r="3175" spans="35:41" ht="13">
      <c r="AI3175" s="115" t="s">
        <v>1415</v>
      </c>
      <c r="AJ3175" t="s">
        <v>2114</v>
      </c>
      <c r="AK3175" s="115">
        <v>15</v>
      </c>
      <c r="AL3175" s="115" t="s">
        <v>28</v>
      </c>
      <c r="AM3175" s="115" t="s">
        <v>1846</v>
      </c>
      <c r="AN3175" s="115" t="s">
        <v>1615</v>
      </c>
      <c r="AO3175" s="115" t="s">
        <v>381</v>
      </c>
    </row>
    <row r="3176" spans="35:41" ht="13">
      <c r="AI3176" s="115" t="s">
        <v>1415</v>
      </c>
      <c r="AJ3176" t="s">
        <v>2114</v>
      </c>
      <c r="AK3176" s="115">
        <v>15</v>
      </c>
      <c r="AL3176" s="115" t="s">
        <v>28</v>
      </c>
      <c r="AM3176" s="115" t="s">
        <v>1843</v>
      </c>
      <c r="AN3176" s="115" t="s">
        <v>1615</v>
      </c>
      <c r="AO3176" s="115" t="s">
        <v>381</v>
      </c>
    </row>
    <row r="3177" spans="35:41" ht="13">
      <c r="AI3177" s="115" t="s">
        <v>1415</v>
      </c>
      <c r="AJ3177" t="s">
        <v>2114</v>
      </c>
      <c r="AK3177" s="115">
        <v>15</v>
      </c>
      <c r="AL3177" s="115" t="s">
        <v>28</v>
      </c>
      <c r="AM3177" s="115" t="s">
        <v>1850</v>
      </c>
      <c r="AN3177" s="115" t="s">
        <v>1615</v>
      </c>
      <c r="AO3177" s="115" t="s">
        <v>381</v>
      </c>
    </row>
    <row r="3178" spans="35:41" ht="13">
      <c r="AI3178" s="115" t="s">
        <v>1415</v>
      </c>
      <c r="AJ3178" t="s">
        <v>2114</v>
      </c>
      <c r="AK3178" s="115">
        <v>15</v>
      </c>
      <c r="AL3178" s="115" t="s">
        <v>28</v>
      </c>
      <c r="AM3178" s="115" t="s">
        <v>1849</v>
      </c>
      <c r="AN3178" s="115" t="s">
        <v>1615</v>
      </c>
      <c r="AO3178" s="115" t="s">
        <v>381</v>
      </c>
    </row>
    <row r="3179" spans="35:41" ht="13">
      <c r="AI3179" s="115" t="s">
        <v>1415</v>
      </c>
      <c r="AJ3179" t="s">
        <v>2114</v>
      </c>
      <c r="AK3179" s="115">
        <v>15</v>
      </c>
      <c r="AL3179" s="115" t="s">
        <v>28</v>
      </c>
      <c r="AM3179" s="115" t="s">
        <v>1843</v>
      </c>
      <c r="AN3179" s="115" t="s">
        <v>1615</v>
      </c>
      <c r="AO3179" s="115" t="s">
        <v>379</v>
      </c>
    </row>
    <row r="3180" spans="35:41" ht="13">
      <c r="AI3180" s="115" t="s">
        <v>1415</v>
      </c>
      <c r="AJ3180" t="s">
        <v>2114</v>
      </c>
      <c r="AK3180" s="115">
        <v>15</v>
      </c>
      <c r="AL3180" s="115" t="s">
        <v>28</v>
      </c>
      <c r="AM3180" s="115" t="s">
        <v>1848</v>
      </c>
      <c r="AN3180" s="115" t="s">
        <v>1615</v>
      </c>
      <c r="AO3180" s="115" t="s">
        <v>379</v>
      </c>
    </row>
    <row r="3181" spans="35:41" ht="13">
      <c r="AI3181" s="115" t="s">
        <v>1415</v>
      </c>
      <c r="AJ3181" t="s">
        <v>2114</v>
      </c>
      <c r="AK3181" s="115">
        <v>15</v>
      </c>
      <c r="AL3181" s="115" t="s">
        <v>28</v>
      </c>
      <c r="AM3181" s="115" t="s">
        <v>1832</v>
      </c>
      <c r="AN3181" s="115" t="s">
        <v>1615</v>
      </c>
      <c r="AO3181" s="115" t="s">
        <v>379</v>
      </c>
    </row>
    <row r="3182" spans="35:41" ht="13">
      <c r="AI3182" s="115" t="s">
        <v>1415</v>
      </c>
      <c r="AJ3182" t="s">
        <v>2114</v>
      </c>
      <c r="AK3182" s="115">
        <v>15</v>
      </c>
      <c r="AL3182" s="115" t="s">
        <v>28</v>
      </c>
      <c r="AM3182" s="115" t="s">
        <v>1850</v>
      </c>
      <c r="AN3182" s="115" t="s">
        <v>1615</v>
      </c>
      <c r="AO3182" s="115" t="s">
        <v>379</v>
      </c>
    </row>
    <row r="3183" spans="35:41" ht="13">
      <c r="AI3183" s="115" t="s">
        <v>1415</v>
      </c>
      <c r="AJ3183" t="s">
        <v>2114</v>
      </c>
      <c r="AK3183" s="115">
        <v>15</v>
      </c>
      <c r="AL3183" s="115" t="s">
        <v>28</v>
      </c>
      <c r="AM3183" s="115" t="s">
        <v>1849</v>
      </c>
      <c r="AN3183" s="115" t="s">
        <v>1615</v>
      </c>
      <c r="AO3183" s="115" t="s">
        <v>379</v>
      </c>
    </row>
    <row r="3184" spans="35:41" ht="13">
      <c r="AI3184" s="115" t="s">
        <v>1415</v>
      </c>
      <c r="AJ3184" t="s">
        <v>2114</v>
      </c>
      <c r="AK3184" s="115">
        <v>15</v>
      </c>
      <c r="AL3184" s="115" t="s">
        <v>28</v>
      </c>
      <c r="AM3184" s="115" t="s">
        <v>1846</v>
      </c>
      <c r="AN3184" s="115" t="s">
        <v>1615</v>
      </c>
      <c r="AO3184" s="115" t="s">
        <v>379</v>
      </c>
    </row>
    <row r="3185" spans="35:41" ht="13">
      <c r="AI3185" s="115" t="s">
        <v>1415</v>
      </c>
      <c r="AJ3185" t="s">
        <v>2114</v>
      </c>
      <c r="AK3185" s="115">
        <v>15</v>
      </c>
      <c r="AL3185" s="115" t="s">
        <v>28</v>
      </c>
      <c r="AM3185" s="115" t="s">
        <v>1832</v>
      </c>
      <c r="AN3185" s="115" t="s">
        <v>1615</v>
      </c>
      <c r="AO3185" s="115" t="s">
        <v>1645</v>
      </c>
    </row>
    <row r="3186" spans="35:41" ht="13">
      <c r="AI3186" s="115" t="s">
        <v>1415</v>
      </c>
      <c r="AJ3186" t="s">
        <v>2114</v>
      </c>
      <c r="AK3186" s="115">
        <v>15</v>
      </c>
      <c r="AL3186" s="115" t="s">
        <v>28</v>
      </c>
      <c r="AM3186" s="115" t="s">
        <v>1850</v>
      </c>
      <c r="AN3186" s="115" t="s">
        <v>1615</v>
      </c>
      <c r="AO3186" s="115" t="s">
        <v>1645</v>
      </c>
    </row>
    <row r="3187" spans="35:41" ht="13">
      <c r="AI3187" s="115" t="s">
        <v>1415</v>
      </c>
      <c r="AJ3187" t="s">
        <v>2114</v>
      </c>
      <c r="AK3187" s="115">
        <v>15</v>
      </c>
      <c r="AL3187" s="115" t="s">
        <v>28</v>
      </c>
      <c r="AM3187" s="115" t="s">
        <v>1843</v>
      </c>
      <c r="AN3187" s="115" t="s">
        <v>1615</v>
      </c>
      <c r="AO3187" s="115" t="s">
        <v>1645</v>
      </c>
    </row>
    <row r="3188" spans="35:41" ht="13">
      <c r="AI3188" s="115" t="s">
        <v>1415</v>
      </c>
      <c r="AJ3188" t="s">
        <v>2114</v>
      </c>
      <c r="AK3188" s="115">
        <v>15</v>
      </c>
      <c r="AL3188" s="115" t="s">
        <v>28</v>
      </c>
      <c r="AM3188" s="115" t="s">
        <v>1846</v>
      </c>
      <c r="AN3188" s="115" t="s">
        <v>1615</v>
      </c>
      <c r="AO3188" s="115" t="s">
        <v>1645</v>
      </c>
    </row>
    <row r="3189" spans="35:41" ht="13">
      <c r="AI3189" s="115" t="s">
        <v>1415</v>
      </c>
      <c r="AJ3189" t="s">
        <v>2114</v>
      </c>
      <c r="AK3189" s="115">
        <v>15</v>
      </c>
      <c r="AL3189" s="115" t="s">
        <v>28</v>
      </c>
      <c r="AM3189" s="115" t="s">
        <v>1849</v>
      </c>
      <c r="AN3189" s="115" t="s">
        <v>1615</v>
      </c>
      <c r="AO3189" s="115" t="s">
        <v>1645</v>
      </c>
    </row>
    <row r="3190" spans="35:41" ht="13">
      <c r="AI3190" s="115" t="s">
        <v>1415</v>
      </c>
      <c r="AJ3190" t="s">
        <v>2114</v>
      </c>
      <c r="AK3190" s="115">
        <v>15</v>
      </c>
      <c r="AL3190" s="115" t="s">
        <v>28</v>
      </c>
      <c r="AM3190" s="115" t="s">
        <v>1848</v>
      </c>
      <c r="AN3190" s="115" t="s">
        <v>1615</v>
      </c>
      <c r="AO3190" s="115" t="s">
        <v>1645</v>
      </c>
    </row>
    <row r="3191" spans="35:41" ht="13">
      <c r="AI3191" s="115" t="s">
        <v>1415</v>
      </c>
      <c r="AJ3191" t="s">
        <v>2114</v>
      </c>
      <c r="AK3191" s="115">
        <v>15</v>
      </c>
      <c r="AL3191" s="115" t="s">
        <v>28</v>
      </c>
      <c r="AM3191" s="115" t="s">
        <v>1846</v>
      </c>
      <c r="AN3191" s="115" t="s">
        <v>1615</v>
      </c>
      <c r="AO3191" s="115" t="s">
        <v>1646</v>
      </c>
    </row>
    <row r="3192" spans="35:41" ht="13">
      <c r="AI3192" s="115" t="s">
        <v>1415</v>
      </c>
      <c r="AJ3192" t="s">
        <v>2114</v>
      </c>
      <c r="AK3192" s="115">
        <v>15</v>
      </c>
      <c r="AL3192" s="115" t="s">
        <v>28</v>
      </c>
      <c r="AM3192" s="115" t="s">
        <v>1843</v>
      </c>
      <c r="AN3192" s="115" t="s">
        <v>1615</v>
      </c>
      <c r="AO3192" s="115" t="s">
        <v>1646</v>
      </c>
    </row>
    <row r="3193" spans="35:41" ht="13">
      <c r="AI3193" s="115" t="s">
        <v>1415</v>
      </c>
      <c r="AJ3193" t="s">
        <v>2114</v>
      </c>
      <c r="AK3193" s="115">
        <v>15</v>
      </c>
      <c r="AL3193" s="115" t="s">
        <v>28</v>
      </c>
      <c r="AM3193" s="115" t="s">
        <v>1846</v>
      </c>
      <c r="AN3193" s="115" t="s">
        <v>1615</v>
      </c>
      <c r="AO3193" s="115" t="s">
        <v>1647</v>
      </c>
    </row>
    <row r="3194" spans="35:41" ht="13">
      <c r="AI3194" s="115" t="s">
        <v>1415</v>
      </c>
      <c r="AJ3194" t="s">
        <v>2114</v>
      </c>
      <c r="AK3194" s="115">
        <v>15</v>
      </c>
      <c r="AL3194" s="115" t="s">
        <v>28</v>
      </c>
      <c r="AM3194" s="115" t="s">
        <v>1843</v>
      </c>
      <c r="AN3194" s="115" t="s">
        <v>1615</v>
      </c>
      <c r="AO3194" s="115" t="s">
        <v>1647</v>
      </c>
    </row>
    <row r="3195" spans="35:41" ht="13">
      <c r="AI3195" s="115" t="s">
        <v>1415</v>
      </c>
      <c r="AJ3195" t="s">
        <v>2114</v>
      </c>
      <c r="AK3195" s="115">
        <v>15</v>
      </c>
      <c r="AL3195" s="115" t="s">
        <v>28</v>
      </c>
      <c r="AM3195" s="115" t="s">
        <v>1843</v>
      </c>
      <c r="AN3195" s="115" t="s">
        <v>1615</v>
      </c>
      <c r="AO3195" s="115" t="s">
        <v>1639</v>
      </c>
    </row>
    <row r="3196" spans="35:41" ht="13">
      <c r="AI3196" s="115" t="s">
        <v>1415</v>
      </c>
      <c r="AJ3196" t="s">
        <v>2114</v>
      </c>
      <c r="AK3196" s="115">
        <v>15</v>
      </c>
      <c r="AL3196" s="115" t="s">
        <v>28</v>
      </c>
      <c r="AM3196" s="115" t="s">
        <v>1846</v>
      </c>
      <c r="AN3196" s="115" t="s">
        <v>1615</v>
      </c>
      <c r="AO3196" s="115" t="s">
        <v>1639</v>
      </c>
    </row>
    <row r="3197" spans="35:41" ht="13">
      <c r="AI3197" s="115" t="s">
        <v>1415</v>
      </c>
      <c r="AJ3197" t="s">
        <v>2114</v>
      </c>
      <c r="AK3197" s="115">
        <v>15</v>
      </c>
      <c r="AL3197" s="115" t="s">
        <v>28</v>
      </c>
      <c r="AM3197" s="115" t="s">
        <v>1843</v>
      </c>
      <c r="AN3197" s="115" t="s">
        <v>1615</v>
      </c>
      <c r="AO3197" s="115" t="s">
        <v>373</v>
      </c>
    </row>
    <row r="3198" spans="35:41" ht="13">
      <c r="AI3198" s="115" t="s">
        <v>1415</v>
      </c>
      <c r="AJ3198" t="s">
        <v>2114</v>
      </c>
      <c r="AK3198" s="115">
        <v>15</v>
      </c>
      <c r="AL3198" s="115" t="s">
        <v>28</v>
      </c>
      <c r="AM3198" s="115" t="s">
        <v>1850</v>
      </c>
      <c r="AN3198" s="115" t="s">
        <v>1615</v>
      </c>
      <c r="AO3198" s="115" t="s">
        <v>373</v>
      </c>
    </row>
    <row r="3199" spans="35:41" ht="13">
      <c r="AI3199" s="115" t="s">
        <v>1415</v>
      </c>
      <c r="AJ3199" t="s">
        <v>2114</v>
      </c>
      <c r="AK3199" s="115">
        <v>15</v>
      </c>
      <c r="AL3199" s="115" t="s">
        <v>28</v>
      </c>
      <c r="AM3199" s="115" t="s">
        <v>1846</v>
      </c>
      <c r="AN3199" s="115" t="s">
        <v>1615</v>
      </c>
      <c r="AO3199" s="115" t="s">
        <v>373</v>
      </c>
    </row>
    <row r="3200" spans="35:41" ht="13">
      <c r="AI3200" s="115" t="s">
        <v>1415</v>
      </c>
      <c r="AJ3200" t="s">
        <v>2114</v>
      </c>
      <c r="AK3200" s="115">
        <v>15</v>
      </c>
      <c r="AL3200" s="115" t="s">
        <v>28</v>
      </c>
      <c r="AM3200" s="115" t="s">
        <v>1832</v>
      </c>
      <c r="AN3200" s="115" t="s">
        <v>1615</v>
      </c>
      <c r="AO3200" s="115" t="s">
        <v>373</v>
      </c>
    </row>
    <row r="3201" spans="35:41" ht="13">
      <c r="AI3201" s="115" t="s">
        <v>1415</v>
      </c>
      <c r="AJ3201" t="s">
        <v>2114</v>
      </c>
      <c r="AK3201" s="115">
        <v>15</v>
      </c>
      <c r="AL3201" s="115" t="s">
        <v>28</v>
      </c>
      <c r="AM3201" s="115" t="s">
        <v>1849</v>
      </c>
      <c r="AN3201" s="115" t="s">
        <v>1615</v>
      </c>
      <c r="AO3201" s="115" t="s">
        <v>373</v>
      </c>
    </row>
    <row r="3202" spans="35:41" ht="13">
      <c r="AI3202" s="115" t="s">
        <v>1415</v>
      </c>
      <c r="AJ3202" t="s">
        <v>2114</v>
      </c>
      <c r="AK3202" s="115">
        <v>15</v>
      </c>
      <c r="AL3202" s="115" t="s">
        <v>28</v>
      </c>
      <c r="AM3202" s="115" t="s">
        <v>1848</v>
      </c>
      <c r="AN3202" s="115" t="s">
        <v>1615</v>
      </c>
      <c r="AO3202" s="115" t="s">
        <v>373</v>
      </c>
    </row>
    <row r="3203" spans="35:41" ht="13">
      <c r="AI3203" s="115" t="s">
        <v>1415</v>
      </c>
      <c r="AJ3203" t="s">
        <v>2114</v>
      </c>
      <c r="AK3203" s="115">
        <v>15</v>
      </c>
      <c r="AL3203" s="115" t="s">
        <v>28</v>
      </c>
      <c r="AM3203" s="115" t="s">
        <v>1846</v>
      </c>
      <c r="AN3203" s="115" t="s">
        <v>1615</v>
      </c>
      <c r="AO3203" s="115" t="s">
        <v>380</v>
      </c>
    </row>
    <row r="3204" spans="35:41" ht="13">
      <c r="AI3204" s="115" t="s">
        <v>1415</v>
      </c>
      <c r="AJ3204" t="s">
        <v>2114</v>
      </c>
      <c r="AK3204" s="115">
        <v>15</v>
      </c>
      <c r="AL3204" s="115" t="s">
        <v>28</v>
      </c>
      <c r="AM3204" s="115" t="s">
        <v>1849</v>
      </c>
      <c r="AN3204" s="115" t="s">
        <v>1615</v>
      </c>
      <c r="AO3204" s="115" t="s">
        <v>380</v>
      </c>
    </row>
    <row r="3205" spans="35:41" ht="13">
      <c r="AI3205" s="115" t="s">
        <v>1415</v>
      </c>
      <c r="AJ3205" t="s">
        <v>2114</v>
      </c>
      <c r="AK3205" s="115">
        <v>15</v>
      </c>
      <c r="AL3205" s="115" t="s">
        <v>28</v>
      </c>
      <c r="AM3205" s="115" t="s">
        <v>1848</v>
      </c>
      <c r="AN3205" s="115" t="s">
        <v>1615</v>
      </c>
      <c r="AO3205" s="115" t="s">
        <v>380</v>
      </c>
    </row>
    <row r="3206" spans="35:41" ht="13">
      <c r="AI3206" s="115" t="s">
        <v>1415</v>
      </c>
      <c r="AJ3206" t="s">
        <v>2114</v>
      </c>
      <c r="AK3206" s="115">
        <v>15</v>
      </c>
      <c r="AL3206" s="115" t="s">
        <v>28</v>
      </c>
      <c r="AM3206" s="115" t="s">
        <v>1850</v>
      </c>
      <c r="AN3206" s="115" t="s">
        <v>1615</v>
      </c>
      <c r="AO3206" s="115" t="s">
        <v>380</v>
      </c>
    </row>
    <row r="3207" spans="35:41" ht="13">
      <c r="AI3207" s="115" t="s">
        <v>1415</v>
      </c>
      <c r="AJ3207" t="s">
        <v>2114</v>
      </c>
      <c r="AK3207" s="115">
        <v>15</v>
      </c>
      <c r="AL3207" s="115" t="s">
        <v>28</v>
      </c>
      <c r="AM3207" s="115" t="s">
        <v>1843</v>
      </c>
      <c r="AN3207" s="115" t="s">
        <v>1615</v>
      </c>
      <c r="AO3207" s="115" t="s">
        <v>380</v>
      </c>
    </row>
    <row r="3208" spans="35:41" ht="13">
      <c r="AI3208" s="115" t="s">
        <v>1415</v>
      </c>
      <c r="AJ3208" t="s">
        <v>2114</v>
      </c>
      <c r="AK3208" s="115">
        <v>15</v>
      </c>
      <c r="AL3208" s="115" t="s">
        <v>28</v>
      </c>
      <c r="AM3208" s="115" t="s">
        <v>1832</v>
      </c>
      <c r="AN3208" s="115" t="s">
        <v>1615</v>
      </c>
      <c r="AO3208" s="115" t="s">
        <v>380</v>
      </c>
    </row>
    <row r="3209" spans="35:41" ht="13">
      <c r="AI3209" s="115" t="s">
        <v>1415</v>
      </c>
      <c r="AJ3209" t="s">
        <v>2114</v>
      </c>
      <c r="AK3209" s="115">
        <v>15</v>
      </c>
      <c r="AL3209" s="115" t="s">
        <v>28</v>
      </c>
      <c r="AM3209" s="115" t="s">
        <v>1843</v>
      </c>
      <c r="AN3209" s="115" t="s">
        <v>1616</v>
      </c>
      <c r="AO3209" s="115" t="s">
        <v>1644</v>
      </c>
    </row>
    <row r="3210" spans="35:41" ht="13">
      <c r="AI3210" s="115" t="s">
        <v>1415</v>
      </c>
      <c r="AJ3210" t="s">
        <v>2114</v>
      </c>
      <c r="AK3210" s="115">
        <v>15</v>
      </c>
      <c r="AL3210" s="115" t="s">
        <v>28</v>
      </c>
      <c r="AM3210" s="115" t="s">
        <v>1850</v>
      </c>
      <c r="AN3210" s="115" t="s">
        <v>1616</v>
      </c>
      <c r="AO3210" s="115" t="s">
        <v>1644</v>
      </c>
    </row>
    <row r="3211" spans="35:41" ht="13">
      <c r="AI3211" s="115" t="s">
        <v>1415</v>
      </c>
      <c r="AJ3211" t="s">
        <v>2114</v>
      </c>
      <c r="AK3211" s="115">
        <v>15</v>
      </c>
      <c r="AL3211" s="115" t="s">
        <v>28</v>
      </c>
      <c r="AM3211" s="115" t="s">
        <v>1848</v>
      </c>
      <c r="AN3211" s="115" t="s">
        <v>1616</v>
      </c>
      <c r="AO3211" s="115" t="s">
        <v>1644</v>
      </c>
    </row>
    <row r="3212" spans="35:41" ht="13">
      <c r="AI3212" s="115" t="s">
        <v>1415</v>
      </c>
      <c r="AJ3212" t="s">
        <v>2114</v>
      </c>
      <c r="AK3212" s="115">
        <v>15</v>
      </c>
      <c r="AL3212" s="115" t="s">
        <v>28</v>
      </c>
      <c r="AM3212" s="115" t="s">
        <v>1832</v>
      </c>
      <c r="AN3212" s="115" t="s">
        <v>1616</v>
      </c>
      <c r="AO3212" s="115" t="s">
        <v>1644</v>
      </c>
    </row>
    <row r="3213" spans="35:41" ht="13">
      <c r="AI3213" s="115" t="s">
        <v>1415</v>
      </c>
      <c r="AJ3213" t="s">
        <v>2114</v>
      </c>
      <c r="AK3213" s="115">
        <v>15</v>
      </c>
      <c r="AL3213" s="115" t="s">
        <v>28</v>
      </c>
      <c r="AM3213" s="115" t="s">
        <v>1832</v>
      </c>
      <c r="AN3213" s="115" t="s">
        <v>1616</v>
      </c>
      <c r="AO3213" s="115" t="s">
        <v>1274</v>
      </c>
    </row>
    <row r="3214" spans="35:41" ht="13">
      <c r="AI3214" s="115" t="s">
        <v>1415</v>
      </c>
      <c r="AJ3214" t="s">
        <v>2114</v>
      </c>
      <c r="AK3214" s="115">
        <v>15</v>
      </c>
      <c r="AL3214" s="115" t="s">
        <v>28</v>
      </c>
      <c r="AM3214" s="115" t="s">
        <v>1846</v>
      </c>
      <c r="AN3214" s="115" t="s">
        <v>1616</v>
      </c>
      <c r="AO3214" s="115" t="s">
        <v>1274</v>
      </c>
    </row>
    <row r="3215" spans="35:41" ht="13">
      <c r="AI3215" s="115" t="s">
        <v>1415</v>
      </c>
      <c r="AJ3215" t="s">
        <v>2114</v>
      </c>
      <c r="AK3215" s="115">
        <v>15</v>
      </c>
      <c r="AL3215" s="115" t="s">
        <v>28</v>
      </c>
      <c r="AM3215" s="115" t="s">
        <v>1850</v>
      </c>
      <c r="AN3215" s="115" t="s">
        <v>1616</v>
      </c>
      <c r="AO3215" s="115" t="s">
        <v>1274</v>
      </c>
    </row>
    <row r="3216" spans="35:41" ht="13">
      <c r="AI3216" s="115" t="s">
        <v>1415</v>
      </c>
      <c r="AJ3216" t="s">
        <v>2114</v>
      </c>
      <c r="AK3216" s="115">
        <v>15</v>
      </c>
      <c r="AL3216" s="115" t="s">
        <v>28</v>
      </c>
      <c r="AM3216" s="115" t="s">
        <v>1848</v>
      </c>
      <c r="AN3216" s="115" t="s">
        <v>1616</v>
      </c>
      <c r="AO3216" s="115" t="s">
        <v>1274</v>
      </c>
    </row>
    <row r="3217" spans="35:41" ht="13">
      <c r="AI3217" s="115" t="s">
        <v>1415</v>
      </c>
      <c r="AJ3217" t="s">
        <v>2114</v>
      </c>
      <c r="AK3217" s="115">
        <v>15</v>
      </c>
      <c r="AL3217" s="115" t="s">
        <v>28</v>
      </c>
      <c r="AM3217" s="115" t="s">
        <v>1849</v>
      </c>
      <c r="AN3217" s="115" t="s">
        <v>1616</v>
      </c>
      <c r="AO3217" s="115" t="s">
        <v>1274</v>
      </c>
    </row>
    <row r="3218" spans="35:41" ht="13">
      <c r="AI3218" s="115" t="s">
        <v>1415</v>
      </c>
      <c r="AJ3218" t="s">
        <v>2114</v>
      </c>
      <c r="AK3218" s="115">
        <v>15</v>
      </c>
      <c r="AL3218" s="115" t="s">
        <v>28</v>
      </c>
      <c r="AM3218" s="115" t="s">
        <v>1843</v>
      </c>
      <c r="AN3218" s="115" t="s">
        <v>1616</v>
      </c>
      <c r="AO3218" s="115" t="s">
        <v>1274</v>
      </c>
    </row>
    <row r="3219" spans="35:41" ht="13">
      <c r="AI3219" s="115" t="s">
        <v>1415</v>
      </c>
      <c r="AJ3219" t="s">
        <v>2114</v>
      </c>
      <c r="AK3219" s="115">
        <v>15</v>
      </c>
      <c r="AL3219" s="115" t="s">
        <v>28</v>
      </c>
      <c r="AM3219" s="115" t="s">
        <v>1843</v>
      </c>
      <c r="AN3219" s="115" t="s">
        <v>1616</v>
      </c>
      <c r="AO3219" s="115" t="s">
        <v>381</v>
      </c>
    </row>
    <row r="3220" spans="35:41" ht="13">
      <c r="AI3220" s="115" t="s">
        <v>1415</v>
      </c>
      <c r="AJ3220" t="s">
        <v>2114</v>
      </c>
      <c r="AK3220" s="115">
        <v>15</v>
      </c>
      <c r="AL3220" s="115" t="s">
        <v>28</v>
      </c>
      <c r="AM3220" s="115" t="s">
        <v>1848</v>
      </c>
      <c r="AN3220" s="115" t="s">
        <v>1616</v>
      </c>
      <c r="AO3220" s="115" t="s">
        <v>381</v>
      </c>
    </row>
    <row r="3221" spans="35:41" ht="13">
      <c r="AI3221" s="115" t="s">
        <v>1415</v>
      </c>
      <c r="AJ3221" t="s">
        <v>2114</v>
      </c>
      <c r="AK3221" s="115">
        <v>15</v>
      </c>
      <c r="AL3221" s="115" t="s">
        <v>28</v>
      </c>
      <c r="AM3221" s="115" t="s">
        <v>1850</v>
      </c>
      <c r="AN3221" s="115" t="s">
        <v>1616</v>
      </c>
      <c r="AO3221" s="115" t="s">
        <v>381</v>
      </c>
    </row>
    <row r="3222" spans="35:41" ht="13">
      <c r="AI3222" s="115" t="s">
        <v>1415</v>
      </c>
      <c r="AJ3222" t="s">
        <v>2114</v>
      </c>
      <c r="AK3222" s="115">
        <v>15</v>
      </c>
      <c r="AL3222" s="115" t="s">
        <v>28</v>
      </c>
      <c r="AM3222" s="115" t="s">
        <v>1846</v>
      </c>
      <c r="AN3222" s="115" t="s">
        <v>1616</v>
      </c>
      <c r="AO3222" s="115" t="s">
        <v>381</v>
      </c>
    </row>
    <row r="3223" spans="35:41" ht="13">
      <c r="AI3223" s="115" t="s">
        <v>1415</v>
      </c>
      <c r="AJ3223" t="s">
        <v>2114</v>
      </c>
      <c r="AK3223" s="115">
        <v>15</v>
      </c>
      <c r="AL3223" s="115" t="s">
        <v>28</v>
      </c>
      <c r="AM3223" s="115" t="s">
        <v>1849</v>
      </c>
      <c r="AN3223" s="115" t="s">
        <v>1616</v>
      </c>
      <c r="AO3223" s="115" t="s">
        <v>381</v>
      </c>
    </row>
    <row r="3224" spans="35:41" ht="13">
      <c r="AI3224" s="115" t="s">
        <v>1415</v>
      </c>
      <c r="AJ3224" t="s">
        <v>2114</v>
      </c>
      <c r="AK3224" s="115">
        <v>15</v>
      </c>
      <c r="AL3224" s="115" t="s">
        <v>28</v>
      </c>
      <c r="AM3224" s="115" t="s">
        <v>1832</v>
      </c>
      <c r="AN3224" s="115" t="s">
        <v>1616</v>
      </c>
      <c r="AO3224" s="115" t="s">
        <v>381</v>
      </c>
    </row>
    <row r="3225" spans="35:41" ht="13">
      <c r="AI3225" s="115" t="s">
        <v>1415</v>
      </c>
      <c r="AJ3225" t="s">
        <v>2114</v>
      </c>
      <c r="AK3225" s="115">
        <v>15</v>
      </c>
      <c r="AL3225" s="115" t="s">
        <v>28</v>
      </c>
      <c r="AM3225" s="115" t="s">
        <v>1849</v>
      </c>
      <c r="AN3225" s="115" t="s">
        <v>1616</v>
      </c>
      <c r="AO3225" s="115" t="s">
        <v>379</v>
      </c>
    </row>
    <row r="3226" spans="35:41" ht="13">
      <c r="AI3226" s="115" t="s">
        <v>1415</v>
      </c>
      <c r="AJ3226" t="s">
        <v>2114</v>
      </c>
      <c r="AK3226" s="115">
        <v>15</v>
      </c>
      <c r="AL3226" s="115" t="s">
        <v>28</v>
      </c>
      <c r="AM3226" s="115" t="s">
        <v>1832</v>
      </c>
      <c r="AN3226" s="115" t="s">
        <v>1616</v>
      </c>
      <c r="AO3226" s="115" t="s">
        <v>379</v>
      </c>
    </row>
    <row r="3227" spans="35:41" ht="13">
      <c r="AI3227" s="115" t="s">
        <v>1415</v>
      </c>
      <c r="AJ3227" t="s">
        <v>2114</v>
      </c>
      <c r="AK3227" s="115">
        <v>15</v>
      </c>
      <c r="AL3227" s="115" t="s">
        <v>28</v>
      </c>
      <c r="AM3227" s="115" t="s">
        <v>1848</v>
      </c>
      <c r="AN3227" s="115" t="s">
        <v>1616</v>
      </c>
      <c r="AO3227" s="115" t="s">
        <v>379</v>
      </c>
    </row>
    <row r="3228" spans="35:41" ht="13">
      <c r="AI3228" s="115" t="s">
        <v>1415</v>
      </c>
      <c r="AJ3228" t="s">
        <v>2114</v>
      </c>
      <c r="AK3228" s="115">
        <v>15</v>
      </c>
      <c r="AL3228" s="115" t="s">
        <v>28</v>
      </c>
      <c r="AM3228" s="115" t="s">
        <v>1843</v>
      </c>
      <c r="AN3228" s="115" t="s">
        <v>1616</v>
      </c>
      <c r="AO3228" s="115" t="s">
        <v>379</v>
      </c>
    </row>
    <row r="3229" spans="35:41" ht="13">
      <c r="AI3229" s="115" t="s">
        <v>1415</v>
      </c>
      <c r="AJ3229" t="s">
        <v>2114</v>
      </c>
      <c r="AK3229" s="115">
        <v>15</v>
      </c>
      <c r="AL3229" s="115" t="s">
        <v>28</v>
      </c>
      <c r="AM3229" s="115" t="s">
        <v>1846</v>
      </c>
      <c r="AN3229" s="115" t="s">
        <v>1616</v>
      </c>
      <c r="AO3229" s="115" t="s">
        <v>379</v>
      </c>
    </row>
    <row r="3230" spans="35:41" ht="13">
      <c r="AI3230" s="115" t="s">
        <v>1415</v>
      </c>
      <c r="AJ3230" t="s">
        <v>2114</v>
      </c>
      <c r="AK3230" s="115">
        <v>15</v>
      </c>
      <c r="AL3230" s="115" t="s">
        <v>28</v>
      </c>
      <c r="AM3230" s="115" t="s">
        <v>1850</v>
      </c>
      <c r="AN3230" s="115" t="s">
        <v>1616</v>
      </c>
      <c r="AO3230" s="115" t="s">
        <v>379</v>
      </c>
    </row>
    <row r="3231" spans="35:41" ht="13">
      <c r="AI3231" s="115" t="s">
        <v>1415</v>
      </c>
      <c r="AJ3231" t="s">
        <v>2114</v>
      </c>
      <c r="AK3231" s="115">
        <v>15</v>
      </c>
      <c r="AL3231" s="115" t="s">
        <v>28</v>
      </c>
      <c r="AM3231" s="115" t="s">
        <v>1846</v>
      </c>
      <c r="AN3231" s="115" t="s">
        <v>1616</v>
      </c>
      <c r="AO3231" s="115" t="s">
        <v>1645</v>
      </c>
    </row>
    <row r="3232" spans="35:41" ht="13">
      <c r="AI3232" s="115" t="s">
        <v>1415</v>
      </c>
      <c r="AJ3232" t="s">
        <v>2114</v>
      </c>
      <c r="AK3232" s="115">
        <v>15</v>
      </c>
      <c r="AL3232" s="115" t="s">
        <v>28</v>
      </c>
      <c r="AM3232" s="115" t="s">
        <v>1843</v>
      </c>
      <c r="AN3232" s="115" t="s">
        <v>1616</v>
      </c>
      <c r="AO3232" s="115" t="s">
        <v>1645</v>
      </c>
    </row>
    <row r="3233" spans="35:41" ht="13">
      <c r="AI3233" s="115" t="s">
        <v>1415</v>
      </c>
      <c r="AJ3233" t="s">
        <v>2114</v>
      </c>
      <c r="AK3233" s="115">
        <v>15</v>
      </c>
      <c r="AL3233" s="115" t="s">
        <v>28</v>
      </c>
      <c r="AM3233" s="115" t="s">
        <v>1849</v>
      </c>
      <c r="AN3233" s="115" t="s">
        <v>1616</v>
      </c>
      <c r="AO3233" s="115" t="s">
        <v>1645</v>
      </c>
    </row>
    <row r="3234" spans="35:41" ht="13">
      <c r="AI3234" s="115" t="s">
        <v>1415</v>
      </c>
      <c r="AJ3234" t="s">
        <v>2114</v>
      </c>
      <c r="AK3234" s="115">
        <v>15</v>
      </c>
      <c r="AL3234" s="115" t="s">
        <v>28</v>
      </c>
      <c r="AM3234" s="115" t="s">
        <v>1850</v>
      </c>
      <c r="AN3234" s="115" t="s">
        <v>1616</v>
      </c>
      <c r="AO3234" s="115" t="s">
        <v>1645</v>
      </c>
    </row>
    <row r="3235" spans="35:41" ht="13">
      <c r="AI3235" s="115" t="s">
        <v>1415</v>
      </c>
      <c r="AJ3235" t="s">
        <v>2114</v>
      </c>
      <c r="AK3235" s="115">
        <v>15</v>
      </c>
      <c r="AL3235" s="115" t="s">
        <v>28</v>
      </c>
      <c r="AM3235" s="115" t="s">
        <v>1832</v>
      </c>
      <c r="AN3235" s="115" t="s">
        <v>1616</v>
      </c>
      <c r="AO3235" s="115" t="s">
        <v>1645</v>
      </c>
    </row>
    <row r="3236" spans="35:41" ht="13">
      <c r="AI3236" s="115" t="s">
        <v>1415</v>
      </c>
      <c r="AJ3236" t="s">
        <v>2114</v>
      </c>
      <c r="AK3236" s="115">
        <v>15</v>
      </c>
      <c r="AL3236" s="115" t="s">
        <v>28</v>
      </c>
      <c r="AM3236" s="115" t="s">
        <v>1848</v>
      </c>
      <c r="AN3236" s="115" t="s">
        <v>1616</v>
      </c>
      <c r="AO3236" s="115" t="s">
        <v>1645</v>
      </c>
    </row>
    <row r="3237" spans="35:41" ht="13">
      <c r="AI3237" s="115" t="s">
        <v>1415</v>
      </c>
      <c r="AJ3237" t="s">
        <v>2114</v>
      </c>
      <c r="AK3237" s="115">
        <v>15</v>
      </c>
      <c r="AL3237" s="115" t="s">
        <v>28</v>
      </c>
      <c r="AM3237" s="115" t="s">
        <v>1846</v>
      </c>
      <c r="AN3237" s="115" t="s">
        <v>1616</v>
      </c>
      <c r="AO3237" s="115" t="s">
        <v>1646</v>
      </c>
    </row>
    <row r="3238" spans="35:41" ht="13">
      <c r="AI3238" s="115" t="s">
        <v>1415</v>
      </c>
      <c r="AJ3238" t="s">
        <v>2114</v>
      </c>
      <c r="AK3238" s="115">
        <v>15</v>
      </c>
      <c r="AL3238" s="115" t="s">
        <v>28</v>
      </c>
      <c r="AM3238" s="115" t="s">
        <v>1843</v>
      </c>
      <c r="AN3238" s="115" t="s">
        <v>1616</v>
      </c>
      <c r="AO3238" s="115" t="s">
        <v>1646</v>
      </c>
    </row>
    <row r="3239" spans="35:41" ht="13">
      <c r="AI3239" s="115" t="s">
        <v>1415</v>
      </c>
      <c r="AJ3239" t="s">
        <v>2114</v>
      </c>
      <c r="AK3239" s="115">
        <v>15</v>
      </c>
      <c r="AL3239" s="115" t="s">
        <v>28</v>
      </c>
      <c r="AM3239" s="115" t="s">
        <v>1843</v>
      </c>
      <c r="AN3239" s="115" t="s">
        <v>1616</v>
      </c>
      <c r="AO3239" s="115" t="s">
        <v>1647</v>
      </c>
    </row>
    <row r="3240" spans="35:41" ht="13">
      <c r="AI3240" s="115" t="s">
        <v>1415</v>
      </c>
      <c r="AJ3240" t="s">
        <v>2114</v>
      </c>
      <c r="AK3240" s="115">
        <v>15</v>
      </c>
      <c r="AL3240" s="115" t="s">
        <v>28</v>
      </c>
      <c r="AM3240" s="115" t="s">
        <v>1846</v>
      </c>
      <c r="AN3240" s="115" t="s">
        <v>1616</v>
      </c>
      <c r="AO3240" s="115" t="s">
        <v>1647</v>
      </c>
    </row>
    <row r="3241" spans="35:41" ht="13">
      <c r="AI3241" s="115" t="s">
        <v>1415</v>
      </c>
      <c r="AJ3241" t="s">
        <v>2114</v>
      </c>
      <c r="AK3241" s="115">
        <v>15</v>
      </c>
      <c r="AL3241" s="115" t="s">
        <v>28</v>
      </c>
      <c r="AM3241" s="115" t="s">
        <v>1843</v>
      </c>
      <c r="AN3241" s="115" t="s">
        <v>1616</v>
      </c>
      <c r="AO3241" s="115" t="s">
        <v>1639</v>
      </c>
    </row>
    <row r="3242" spans="35:41" ht="13">
      <c r="AI3242" s="115" t="s">
        <v>1415</v>
      </c>
      <c r="AJ3242" t="s">
        <v>2114</v>
      </c>
      <c r="AK3242" s="115">
        <v>15</v>
      </c>
      <c r="AL3242" s="115" t="s">
        <v>28</v>
      </c>
      <c r="AM3242" s="115" t="s">
        <v>1846</v>
      </c>
      <c r="AN3242" s="115" t="s">
        <v>1616</v>
      </c>
      <c r="AO3242" s="115" t="s">
        <v>1639</v>
      </c>
    </row>
    <row r="3243" spans="35:41" ht="13">
      <c r="AI3243" s="115" t="s">
        <v>1415</v>
      </c>
      <c r="AJ3243" t="s">
        <v>2114</v>
      </c>
      <c r="AK3243" s="115">
        <v>15</v>
      </c>
      <c r="AL3243" s="115" t="s">
        <v>28</v>
      </c>
      <c r="AM3243" s="115" t="s">
        <v>1849</v>
      </c>
      <c r="AN3243" s="115" t="s">
        <v>1616</v>
      </c>
      <c r="AO3243" s="115" t="s">
        <v>373</v>
      </c>
    </row>
    <row r="3244" spans="35:41" ht="13">
      <c r="AI3244" s="115" t="s">
        <v>1415</v>
      </c>
      <c r="AJ3244" t="s">
        <v>2114</v>
      </c>
      <c r="AK3244" s="115">
        <v>15</v>
      </c>
      <c r="AL3244" s="115" t="s">
        <v>28</v>
      </c>
      <c r="AM3244" s="115" t="s">
        <v>1843</v>
      </c>
      <c r="AN3244" s="115" t="s">
        <v>1616</v>
      </c>
      <c r="AO3244" s="115" t="s">
        <v>373</v>
      </c>
    </row>
    <row r="3245" spans="35:41" ht="13">
      <c r="AI3245" s="115" t="s">
        <v>1415</v>
      </c>
      <c r="AJ3245" t="s">
        <v>2114</v>
      </c>
      <c r="AK3245" s="115">
        <v>15</v>
      </c>
      <c r="AL3245" s="115" t="s">
        <v>28</v>
      </c>
      <c r="AM3245" s="115" t="s">
        <v>1850</v>
      </c>
      <c r="AN3245" s="115" t="s">
        <v>1616</v>
      </c>
      <c r="AO3245" s="115" t="s">
        <v>373</v>
      </c>
    </row>
    <row r="3246" spans="35:41" ht="13">
      <c r="AI3246" s="115" t="s">
        <v>1415</v>
      </c>
      <c r="AJ3246" t="s">
        <v>2114</v>
      </c>
      <c r="AK3246" s="115">
        <v>15</v>
      </c>
      <c r="AL3246" s="115" t="s">
        <v>28</v>
      </c>
      <c r="AM3246" s="115" t="s">
        <v>1848</v>
      </c>
      <c r="AN3246" s="115" t="s">
        <v>1616</v>
      </c>
      <c r="AO3246" s="115" t="s">
        <v>373</v>
      </c>
    </row>
    <row r="3247" spans="35:41" ht="13">
      <c r="AI3247" s="115" t="s">
        <v>1415</v>
      </c>
      <c r="AJ3247" t="s">
        <v>2114</v>
      </c>
      <c r="AK3247" s="115">
        <v>15</v>
      </c>
      <c r="AL3247" s="115" t="s">
        <v>28</v>
      </c>
      <c r="AM3247" s="115" t="s">
        <v>1846</v>
      </c>
      <c r="AN3247" s="115" t="s">
        <v>1616</v>
      </c>
      <c r="AO3247" s="115" t="s">
        <v>373</v>
      </c>
    </row>
    <row r="3248" spans="35:41" ht="13">
      <c r="AI3248" s="115" t="s">
        <v>1415</v>
      </c>
      <c r="AJ3248" t="s">
        <v>2114</v>
      </c>
      <c r="AK3248" s="115">
        <v>15</v>
      </c>
      <c r="AL3248" s="115" t="s">
        <v>28</v>
      </c>
      <c r="AM3248" s="115" t="s">
        <v>1832</v>
      </c>
      <c r="AN3248" s="115" t="s">
        <v>1616</v>
      </c>
      <c r="AO3248" s="115" t="s">
        <v>373</v>
      </c>
    </row>
    <row r="3249" spans="35:41" ht="13">
      <c r="AI3249" s="115" t="s">
        <v>1415</v>
      </c>
      <c r="AJ3249" t="s">
        <v>2114</v>
      </c>
      <c r="AK3249" s="115">
        <v>15</v>
      </c>
      <c r="AL3249" s="115" t="s">
        <v>28</v>
      </c>
      <c r="AM3249" s="115" t="s">
        <v>1832</v>
      </c>
      <c r="AN3249" s="115" t="s">
        <v>1616</v>
      </c>
      <c r="AO3249" s="115" t="s">
        <v>380</v>
      </c>
    </row>
    <row r="3250" spans="35:41" ht="13">
      <c r="AI3250" s="115" t="s">
        <v>1415</v>
      </c>
      <c r="AJ3250" t="s">
        <v>2114</v>
      </c>
      <c r="AK3250" s="115">
        <v>15</v>
      </c>
      <c r="AL3250" s="115" t="s">
        <v>28</v>
      </c>
      <c r="AM3250" s="115" t="s">
        <v>1849</v>
      </c>
      <c r="AN3250" s="115" t="s">
        <v>1616</v>
      </c>
      <c r="AO3250" s="115" t="s">
        <v>380</v>
      </c>
    </row>
    <row r="3251" spans="35:41" ht="13">
      <c r="AI3251" s="115" t="s">
        <v>1415</v>
      </c>
      <c r="AJ3251" t="s">
        <v>2114</v>
      </c>
      <c r="AK3251" s="115">
        <v>15</v>
      </c>
      <c r="AL3251" s="115" t="s">
        <v>28</v>
      </c>
      <c r="AM3251" s="115" t="s">
        <v>1850</v>
      </c>
      <c r="AN3251" s="115" t="s">
        <v>1616</v>
      </c>
      <c r="AO3251" s="115" t="s">
        <v>380</v>
      </c>
    </row>
    <row r="3252" spans="35:41" ht="13">
      <c r="AI3252" s="115" t="s">
        <v>1415</v>
      </c>
      <c r="AJ3252" t="s">
        <v>2114</v>
      </c>
      <c r="AK3252" s="115">
        <v>15</v>
      </c>
      <c r="AL3252" s="115" t="s">
        <v>28</v>
      </c>
      <c r="AM3252" s="115" t="s">
        <v>1848</v>
      </c>
      <c r="AN3252" s="115" t="s">
        <v>1616</v>
      </c>
      <c r="AO3252" s="115" t="s">
        <v>380</v>
      </c>
    </row>
    <row r="3253" spans="35:41" ht="13">
      <c r="AI3253" s="115" t="s">
        <v>1415</v>
      </c>
      <c r="AJ3253" t="s">
        <v>2114</v>
      </c>
      <c r="AK3253" s="115">
        <v>15</v>
      </c>
      <c r="AL3253" s="115" t="s">
        <v>28</v>
      </c>
      <c r="AM3253" s="115" t="s">
        <v>1846</v>
      </c>
      <c r="AN3253" s="115" t="s">
        <v>1616</v>
      </c>
      <c r="AO3253" s="115" t="s">
        <v>380</v>
      </c>
    </row>
    <row r="3254" spans="35:41" ht="13">
      <c r="AI3254" s="115" t="s">
        <v>1415</v>
      </c>
      <c r="AJ3254" t="s">
        <v>2114</v>
      </c>
      <c r="AK3254" s="115">
        <v>15</v>
      </c>
      <c r="AL3254" s="115" t="s">
        <v>28</v>
      </c>
      <c r="AM3254" s="115" t="s">
        <v>1843</v>
      </c>
      <c r="AN3254" s="115" t="s">
        <v>1616</v>
      </c>
      <c r="AO3254" s="115" t="s">
        <v>380</v>
      </c>
    </row>
    <row r="3255" spans="35:41" ht="13">
      <c r="AI3255" s="115" t="s">
        <v>1415</v>
      </c>
      <c r="AJ3255" t="s">
        <v>2114</v>
      </c>
      <c r="AK3255" s="115">
        <v>15</v>
      </c>
      <c r="AL3255" s="115" t="s">
        <v>28</v>
      </c>
      <c r="AM3255" s="115" t="s">
        <v>1848</v>
      </c>
      <c r="AN3255" s="115" t="s">
        <v>1617</v>
      </c>
      <c r="AO3255" s="115" t="s">
        <v>1644</v>
      </c>
    </row>
    <row r="3256" spans="35:41" ht="13">
      <c r="AI3256" s="115" t="s">
        <v>1415</v>
      </c>
      <c r="AJ3256" t="s">
        <v>2114</v>
      </c>
      <c r="AK3256" s="115">
        <v>15</v>
      </c>
      <c r="AL3256" s="115" t="s">
        <v>28</v>
      </c>
      <c r="AM3256" s="115" t="s">
        <v>1843</v>
      </c>
      <c r="AN3256" s="115" t="s">
        <v>1617</v>
      </c>
      <c r="AO3256" s="115" t="s">
        <v>1644</v>
      </c>
    </row>
    <row r="3257" spans="35:41" ht="13">
      <c r="AI3257" s="115" t="s">
        <v>1415</v>
      </c>
      <c r="AJ3257" t="s">
        <v>2114</v>
      </c>
      <c r="AK3257" s="115">
        <v>15</v>
      </c>
      <c r="AL3257" s="115" t="s">
        <v>28</v>
      </c>
      <c r="AM3257" s="115" t="s">
        <v>1850</v>
      </c>
      <c r="AN3257" s="115" t="s">
        <v>1617</v>
      </c>
      <c r="AO3257" s="115" t="s">
        <v>1644</v>
      </c>
    </row>
    <row r="3258" spans="35:41" ht="13">
      <c r="AI3258" s="115" t="s">
        <v>1415</v>
      </c>
      <c r="AJ3258" t="s">
        <v>2114</v>
      </c>
      <c r="AK3258" s="115">
        <v>15</v>
      </c>
      <c r="AL3258" s="115" t="s">
        <v>28</v>
      </c>
      <c r="AM3258" s="115" t="s">
        <v>1832</v>
      </c>
      <c r="AN3258" s="115" t="s">
        <v>1617</v>
      </c>
      <c r="AO3258" s="115" t="s">
        <v>1644</v>
      </c>
    </row>
    <row r="3259" spans="35:41" ht="13">
      <c r="AI3259" s="115" t="s">
        <v>1415</v>
      </c>
      <c r="AJ3259" t="s">
        <v>2114</v>
      </c>
      <c r="AK3259" s="115">
        <v>15</v>
      </c>
      <c r="AL3259" s="115" t="s">
        <v>28</v>
      </c>
      <c r="AM3259" s="115" t="s">
        <v>1849</v>
      </c>
      <c r="AN3259" s="115" t="s">
        <v>1617</v>
      </c>
      <c r="AO3259" s="115" t="s">
        <v>1274</v>
      </c>
    </row>
    <row r="3260" spans="35:41" ht="13">
      <c r="AI3260" s="115" t="s">
        <v>1415</v>
      </c>
      <c r="AJ3260" t="s">
        <v>2114</v>
      </c>
      <c r="AK3260" s="115">
        <v>15</v>
      </c>
      <c r="AL3260" s="115" t="s">
        <v>28</v>
      </c>
      <c r="AM3260" s="115" t="s">
        <v>1848</v>
      </c>
      <c r="AN3260" s="115" t="s">
        <v>1617</v>
      </c>
      <c r="AO3260" s="115" t="s">
        <v>1274</v>
      </c>
    </row>
    <row r="3261" spans="35:41" ht="13">
      <c r="AI3261" s="115" t="s">
        <v>1415</v>
      </c>
      <c r="AJ3261" t="s">
        <v>2114</v>
      </c>
      <c r="AK3261" s="115">
        <v>15</v>
      </c>
      <c r="AL3261" s="115" t="s">
        <v>28</v>
      </c>
      <c r="AM3261" s="115" t="s">
        <v>1850</v>
      </c>
      <c r="AN3261" s="115" t="s">
        <v>1617</v>
      </c>
      <c r="AO3261" s="115" t="s">
        <v>1274</v>
      </c>
    </row>
    <row r="3262" spans="35:41" ht="13">
      <c r="AI3262" s="115" t="s">
        <v>1415</v>
      </c>
      <c r="AJ3262" t="s">
        <v>2114</v>
      </c>
      <c r="AK3262" s="115">
        <v>15</v>
      </c>
      <c r="AL3262" s="115" t="s">
        <v>28</v>
      </c>
      <c r="AM3262" s="115" t="s">
        <v>1832</v>
      </c>
      <c r="AN3262" s="115" t="s">
        <v>1617</v>
      </c>
      <c r="AO3262" s="115" t="s">
        <v>1274</v>
      </c>
    </row>
    <row r="3263" spans="35:41" ht="13">
      <c r="AI3263" s="115" t="s">
        <v>1415</v>
      </c>
      <c r="AJ3263" t="s">
        <v>2114</v>
      </c>
      <c r="AK3263" s="115">
        <v>15</v>
      </c>
      <c r="AL3263" s="115" t="s">
        <v>28</v>
      </c>
      <c r="AM3263" s="115" t="s">
        <v>1846</v>
      </c>
      <c r="AN3263" s="115" t="s">
        <v>1617</v>
      </c>
      <c r="AO3263" s="115" t="s">
        <v>1274</v>
      </c>
    </row>
    <row r="3264" spans="35:41" ht="13">
      <c r="AI3264" s="115" t="s">
        <v>1415</v>
      </c>
      <c r="AJ3264" t="s">
        <v>2114</v>
      </c>
      <c r="AK3264" s="115">
        <v>15</v>
      </c>
      <c r="AL3264" s="115" t="s">
        <v>28</v>
      </c>
      <c r="AM3264" s="115" t="s">
        <v>1843</v>
      </c>
      <c r="AN3264" s="115" t="s">
        <v>1617</v>
      </c>
      <c r="AO3264" s="115" t="s">
        <v>1274</v>
      </c>
    </row>
    <row r="3265" spans="35:41" ht="13">
      <c r="AI3265" s="115" t="s">
        <v>1415</v>
      </c>
      <c r="AJ3265" t="s">
        <v>2114</v>
      </c>
      <c r="AK3265" s="115">
        <v>15</v>
      </c>
      <c r="AL3265" s="115" t="s">
        <v>28</v>
      </c>
      <c r="AM3265" s="115" t="s">
        <v>1832</v>
      </c>
      <c r="AN3265" s="115" t="s">
        <v>1617</v>
      </c>
      <c r="AO3265" s="115" t="s">
        <v>381</v>
      </c>
    </row>
    <row r="3266" spans="35:41" ht="13">
      <c r="AI3266" s="115" t="s">
        <v>1415</v>
      </c>
      <c r="AJ3266" t="s">
        <v>2114</v>
      </c>
      <c r="AK3266" s="115">
        <v>15</v>
      </c>
      <c r="AL3266" s="115" t="s">
        <v>28</v>
      </c>
      <c r="AM3266" s="115" t="s">
        <v>1846</v>
      </c>
      <c r="AN3266" s="115" t="s">
        <v>1617</v>
      </c>
      <c r="AO3266" s="115" t="s">
        <v>381</v>
      </c>
    </row>
    <row r="3267" spans="35:41" ht="13">
      <c r="AI3267" s="115" t="s">
        <v>1415</v>
      </c>
      <c r="AJ3267" t="s">
        <v>2114</v>
      </c>
      <c r="AK3267" s="115">
        <v>15</v>
      </c>
      <c r="AL3267" s="115" t="s">
        <v>28</v>
      </c>
      <c r="AM3267" s="115" t="s">
        <v>1849</v>
      </c>
      <c r="AN3267" s="115" t="s">
        <v>1617</v>
      </c>
      <c r="AO3267" s="115" t="s">
        <v>381</v>
      </c>
    </row>
    <row r="3268" spans="35:41" ht="13">
      <c r="AI3268" s="115" t="s">
        <v>1415</v>
      </c>
      <c r="AJ3268" t="s">
        <v>2114</v>
      </c>
      <c r="AK3268" s="115">
        <v>15</v>
      </c>
      <c r="AL3268" s="115" t="s">
        <v>28</v>
      </c>
      <c r="AM3268" s="115" t="s">
        <v>1850</v>
      </c>
      <c r="AN3268" s="115" t="s">
        <v>1617</v>
      </c>
      <c r="AO3268" s="115" t="s">
        <v>381</v>
      </c>
    </row>
    <row r="3269" spans="35:41" ht="13">
      <c r="AI3269" s="115" t="s">
        <v>1415</v>
      </c>
      <c r="AJ3269" t="s">
        <v>2114</v>
      </c>
      <c r="AK3269" s="115">
        <v>15</v>
      </c>
      <c r="AL3269" s="115" t="s">
        <v>28</v>
      </c>
      <c r="AM3269" s="115" t="s">
        <v>1843</v>
      </c>
      <c r="AN3269" s="115" t="s">
        <v>1617</v>
      </c>
      <c r="AO3269" s="115" t="s">
        <v>381</v>
      </c>
    </row>
    <row r="3270" spans="35:41" ht="13">
      <c r="AI3270" s="115" t="s">
        <v>1415</v>
      </c>
      <c r="AJ3270" t="s">
        <v>2114</v>
      </c>
      <c r="AK3270" s="115">
        <v>15</v>
      </c>
      <c r="AL3270" s="115" t="s">
        <v>28</v>
      </c>
      <c r="AM3270" s="115" t="s">
        <v>1848</v>
      </c>
      <c r="AN3270" s="115" t="s">
        <v>1617</v>
      </c>
      <c r="AO3270" s="115" t="s">
        <v>381</v>
      </c>
    </row>
    <row r="3271" spans="35:41" ht="13">
      <c r="AI3271" s="115" t="s">
        <v>1415</v>
      </c>
      <c r="AJ3271" t="s">
        <v>2114</v>
      </c>
      <c r="AK3271" s="115">
        <v>15</v>
      </c>
      <c r="AL3271" s="115" t="s">
        <v>28</v>
      </c>
      <c r="AM3271" s="115" t="s">
        <v>1846</v>
      </c>
      <c r="AN3271" s="115" t="s">
        <v>1617</v>
      </c>
      <c r="AO3271" s="115" t="s">
        <v>379</v>
      </c>
    </row>
    <row r="3272" spans="35:41" ht="13">
      <c r="AI3272" s="115" t="s">
        <v>1415</v>
      </c>
      <c r="AJ3272" t="s">
        <v>2114</v>
      </c>
      <c r="AK3272" s="115">
        <v>15</v>
      </c>
      <c r="AL3272" s="115" t="s">
        <v>28</v>
      </c>
      <c r="AM3272" s="115" t="s">
        <v>1848</v>
      </c>
      <c r="AN3272" s="115" t="s">
        <v>1617</v>
      </c>
      <c r="AO3272" s="115" t="s">
        <v>379</v>
      </c>
    </row>
    <row r="3273" spans="35:41" ht="13">
      <c r="AI3273" s="115" t="s">
        <v>1415</v>
      </c>
      <c r="AJ3273" t="s">
        <v>2114</v>
      </c>
      <c r="AK3273" s="115">
        <v>15</v>
      </c>
      <c r="AL3273" s="115" t="s">
        <v>28</v>
      </c>
      <c r="AM3273" s="115" t="s">
        <v>1843</v>
      </c>
      <c r="AN3273" s="115" t="s">
        <v>1617</v>
      </c>
      <c r="AO3273" s="115" t="s">
        <v>379</v>
      </c>
    </row>
    <row r="3274" spans="35:41" ht="13">
      <c r="AI3274" s="115" t="s">
        <v>1415</v>
      </c>
      <c r="AJ3274" t="s">
        <v>2114</v>
      </c>
      <c r="AK3274" s="115">
        <v>15</v>
      </c>
      <c r="AL3274" s="115" t="s">
        <v>28</v>
      </c>
      <c r="AM3274" s="115" t="s">
        <v>1832</v>
      </c>
      <c r="AN3274" s="115" t="s">
        <v>1617</v>
      </c>
      <c r="AO3274" s="115" t="s">
        <v>379</v>
      </c>
    </row>
    <row r="3275" spans="35:41" ht="13">
      <c r="AI3275" s="115" t="s">
        <v>1415</v>
      </c>
      <c r="AJ3275" t="s">
        <v>2114</v>
      </c>
      <c r="AK3275" s="115">
        <v>15</v>
      </c>
      <c r="AL3275" s="115" t="s">
        <v>28</v>
      </c>
      <c r="AM3275" s="115" t="s">
        <v>1850</v>
      </c>
      <c r="AN3275" s="115" t="s">
        <v>1617</v>
      </c>
      <c r="AO3275" s="115" t="s">
        <v>379</v>
      </c>
    </row>
    <row r="3276" spans="35:41" ht="13">
      <c r="AI3276" s="115" t="s">
        <v>1415</v>
      </c>
      <c r="AJ3276" t="s">
        <v>2114</v>
      </c>
      <c r="AK3276" s="115">
        <v>15</v>
      </c>
      <c r="AL3276" s="115" t="s">
        <v>28</v>
      </c>
      <c r="AM3276" s="115" t="s">
        <v>1849</v>
      </c>
      <c r="AN3276" s="115" t="s">
        <v>1617</v>
      </c>
      <c r="AO3276" s="115" t="s">
        <v>379</v>
      </c>
    </row>
    <row r="3277" spans="35:41" ht="13">
      <c r="AI3277" s="115" t="s">
        <v>1415</v>
      </c>
      <c r="AJ3277" t="s">
        <v>2114</v>
      </c>
      <c r="AK3277" s="115">
        <v>15</v>
      </c>
      <c r="AL3277" s="115" t="s">
        <v>28</v>
      </c>
      <c r="AM3277" s="115" t="s">
        <v>1848</v>
      </c>
      <c r="AN3277" s="115" t="s">
        <v>1617</v>
      </c>
      <c r="AO3277" s="115" t="s">
        <v>1645</v>
      </c>
    </row>
    <row r="3278" spans="35:41" ht="13">
      <c r="AI3278" s="115" t="s">
        <v>1415</v>
      </c>
      <c r="AJ3278" t="s">
        <v>2114</v>
      </c>
      <c r="AK3278" s="115">
        <v>15</v>
      </c>
      <c r="AL3278" s="115" t="s">
        <v>28</v>
      </c>
      <c r="AM3278" s="115" t="s">
        <v>1850</v>
      </c>
      <c r="AN3278" s="115" t="s">
        <v>1617</v>
      </c>
      <c r="AO3278" s="115" t="s">
        <v>1645</v>
      </c>
    </row>
    <row r="3279" spans="35:41" ht="13">
      <c r="AI3279" s="115" t="s">
        <v>1415</v>
      </c>
      <c r="AJ3279" t="s">
        <v>2114</v>
      </c>
      <c r="AK3279" s="115">
        <v>15</v>
      </c>
      <c r="AL3279" s="115" t="s">
        <v>28</v>
      </c>
      <c r="AM3279" s="115" t="s">
        <v>1832</v>
      </c>
      <c r="AN3279" s="115" t="s">
        <v>1617</v>
      </c>
      <c r="AO3279" s="115" t="s">
        <v>1645</v>
      </c>
    </row>
    <row r="3280" spans="35:41" ht="13">
      <c r="AI3280" s="115" t="s">
        <v>1415</v>
      </c>
      <c r="AJ3280" t="s">
        <v>2114</v>
      </c>
      <c r="AK3280" s="115">
        <v>15</v>
      </c>
      <c r="AL3280" s="115" t="s">
        <v>28</v>
      </c>
      <c r="AM3280" s="115" t="s">
        <v>1846</v>
      </c>
      <c r="AN3280" s="115" t="s">
        <v>1617</v>
      </c>
      <c r="AO3280" s="115" t="s">
        <v>1645</v>
      </c>
    </row>
    <row r="3281" spans="35:41" ht="13">
      <c r="AI3281" s="115" t="s">
        <v>1415</v>
      </c>
      <c r="AJ3281" t="s">
        <v>2114</v>
      </c>
      <c r="AK3281" s="115">
        <v>15</v>
      </c>
      <c r="AL3281" s="115" t="s">
        <v>28</v>
      </c>
      <c r="AM3281" s="115" t="s">
        <v>1849</v>
      </c>
      <c r="AN3281" s="115" t="s">
        <v>1617</v>
      </c>
      <c r="AO3281" s="115" t="s">
        <v>1645</v>
      </c>
    </row>
    <row r="3282" spans="35:41" ht="13">
      <c r="AI3282" s="115" t="s">
        <v>1415</v>
      </c>
      <c r="AJ3282" t="s">
        <v>2114</v>
      </c>
      <c r="AK3282" s="115">
        <v>15</v>
      </c>
      <c r="AL3282" s="115" t="s">
        <v>28</v>
      </c>
      <c r="AM3282" s="115" t="s">
        <v>1843</v>
      </c>
      <c r="AN3282" s="115" t="s">
        <v>1617</v>
      </c>
      <c r="AO3282" s="115" t="s">
        <v>1645</v>
      </c>
    </row>
    <row r="3283" spans="35:41" ht="13">
      <c r="AI3283" s="115" t="s">
        <v>1415</v>
      </c>
      <c r="AJ3283" t="s">
        <v>2114</v>
      </c>
      <c r="AK3283" s="115">
        <v>15</v>
      </c>
      <c r="AL3283" s="115" t="s">
        <v>28</v>
      </c>
      <c r="AM3283" s="115" t="s">
        <v>1843</v>
      </c>
      <c r="AN3283" s="115" t="s">
        <v>1617</v>
      </c>
      <c r="AO3283" s="115" t="s">
        <v>1646</v>
      </c>
    </row>
    <row r="3284" spans="35:41" ht="13">
      <c r="AI3284" s="115" t="s">
        <v>1415</v>
      </c>
      <c r="AJ3284" t="s">
        <v>2114</v>
      </c>
      <c r="AK3284" s="115">
        <v>15</v>
      </c>
      <c r="AL3284" s="115" t="s">
        <v>28</v>
      </c>
      <c r="AM3284" s="115" t="s">
        <v>1846</v>
      </c>
      <c r="AN3284" s="115" t="s">
        <v>1617</v>
      </c>
      <c r="AO3284" s="115" t="s">
        <v>1646</v>
      </c>
    </row>
    <row r="3285" spans="35:41" ht="13">
      <c r="AI3285" s="115" t="s">
        <v>1415</v>
      </c>
      <c r="AJ3285" t="s">
        <v>2114</v>
      </c>
      <c r="AK3285" s="115">
        <v>15</v>
      </c>
      <c r="AL3285" s="115" t="s">
        <v>28</v>
      </c>
      <c r="AM3285" s="115" t="s">
        <v>1846</v>
      </c>
      <c r="AN3285" s="115" t="s">
        <v>1617</v>
      </c>
      <c r="AO3285" s="115" t="s">
        <v>1647</v>
      </c>
    </row>
    <row r="3286" spans="35:41" ht="13">
      <c r="AI3286" s="115" t="s">
        <v>1415</v>
      </c>
      <c r="AJ3286" t="s">
        <v>2114</v>
      </c>
      <c r="AK3286" s="115">
        <v>15</v>
      </c>
      <c r="AL3286" s="115" t="s">
        <v>28</v>
      </c>
      <c r="AM3286" s="115" t="s">
        <v>1843</v>
      </c>
      <c r="AN3286" s="115" t="s">
        <v>1617</v>
      </c>
      <c r="AO3286" s="115" t="s">
        <v>1647</v>
      </c>
    </row>
    <row r="3287" spans="35:41" ht="13">
      <c r="AI3287" s="115" t="s">
        <v>1415</v>
      </c>
      <c r="AJ3287" t="s">
        <v>2114</v>
      </c>
      <c r="AK3287" s="115">
        <v>15</v>
      </c>
      <c r="AL3287" s="115" t="s">
        <v>28</v>
      </c>
      <c r="AM3287" s="115" t="s">
        <v>1843</v>
      </c>
      <c r="AN3287" s="115" t="s">
        <v>1617</v>
      </c>
      <c r="AO3287" s="115" t="s">
        <v>1639</v>
      </c>
    </row>
    <row r="3288" spans="35:41" ht="13">
      <c r="AI3288" s="115" t="s">
        <v>1415</v>
      </c>
      <c r="AJ3288" t="s">
        <v>2114</v>
      </c>
      <c r="AK3288" s="115">
        <v>15</v>
      </c>
      <c r="AL3288" s="115" t="s">
        <v>28</v>
      </c>
      <c r="AM3288" s="115" t="s">
        <v>1846</v>
      </c>
      <c r="AN3288" s="115" t="s">
        <v>1617</v>
      </c>
      <c r="AO3288" s="115" t="s">
        <v>1639</v>
      </c>
    </row>
    <row r="3289" spans="35:41" ht="13">
      <c r="AI3289" s="115" t="s">
        <v>1415</v>
      </c>
      <c r="AJ3289" t="s">
        <v>2114</v>
      </c>
      <c r="AK3289" s="115">
        <v>15</v>
      </c>
      <c r="AL3289" s="115" t="s">
        <v>28</v>
      </c>
      <c r="AM3289" s="115" t="s">
        <v>1843</v>
      </c>
      <c r="AN3289" s="115" t="s">
        <v>1617</v>
      </c>
      <c r="AO3289" s="115" t="s">
        <v>373</v>
      </c>
    </row>
    <row r="3290" spans="35:41" ht="13">
      <c r="AI3290" s="115" t="s">
        <v>1415</v>
      </c>
      <c r="AJ3290" t="s">
        <v>2114</v>
      </c>
      <c r="AK3290" s="115">
        <v>15</v>
      </c>
      <c r="AL3290" s="115" t="s">
        <v>28</v>
      </c>
      <c r="AM3290" s="115" t="s">
        <v>1849</v>
      </c>
      <c r="AN3290" s="115" t="s">
        <v>1617</v>
      </c>
      <c r="AO3290" s="115" t="s">
        <v>373</v>
      </c>
    </row>
    <row r="3291" spans="35:41" ht="13">
      <c r="AI3291" s="115" t="s">
        <v>1415</v>
      </c>
      <c r="AJ3291" t="s">
        <v>2114</v>
      </c>
      <c r="AK3291" s="115">
        <v>15</v>
      </c>
      <c r="AL3291" s="115" t="s">
        <v>28</v>
      </c>
      <c r="AM3291" s="115" t="s">
        <v>1850</v>
      </c>
      <c r="AN3291" s="115" t="s">
        <v>1617</v>
      </c>
      <c r="AO3291" s="115" t="s">
        <v>373</v>
      </c>
    </row>
    <row r="3292" spans="35:41" ht="13">
      <c r="AI3292" s="115" t="s">
        <v>1415</v>
      </c>
      <c r="AJ3292" t="s">
        <v>2114</v>
      </c>
      <c r="AK3292" s="115">
        <v>15</v>
      </c>
      <c r="AL3292" s="115" t="s">
        <v>28</v>
      </c>
      <c r="AM3292" s="115" t="s">
        <v>1848</v>
      </c>
      <c r="AN3292" s="115" t="s">
        <v>1617</v>
      </c>
      <c r="AO3292" s="115" t="s">
        <v>373</v>
      </c>
    </row>
    <row r="3293" spans="35:41" ht="13">
      <c r="AI3293" s="115" t="s">
        <v>1415</v>
      </c>
      <c r="AJ3293" t="s">
        <v>2114</v>
      </c>
      <c r="AK3293" s="115">
        <v>15</v>
      </c>
      <c r="AL3293" s="115" t="s">
        <v>28</v>
      </c>
      <c r="AM3293" s="115" t="s">
        <v>1846</v>
      </c>
      <c r="AN3293" s="115" t="s">
        <v>1617</v>
      </c>
      <c r="AO3293" s="115" t="s">
        <v>373</v>
      </c>
    </row>
    <row r="3294" spans="35:41" ht="13">
      <c r="AI3294" s="115" t="s">
        <v>1415</v>
      </c>
      <c r="AJ3294" t="s">
        <v>2114</v>
      </c>
      <c r="AK3294" s="115">
        <v>15</v>
      </c>
      <c r="AL3294" s="115" t="s">
        <v>28</v>
      </c>
      <c r="AM3294" s="115" t="s">
        <v>1832</v>
      </c>
      <c r="AN3294" s="115" t="s">
        <v>1617</v>
      </c>
      <c r="AO3294" s="115" t="s">
        <v>373</v>
      </c>
    </row>
    <row r="3295" spans="35:41" ht="13">
      <c r="AI3295" s="115" t="s">
        <v>1415</v>
      </c>
      <c r="AJ3295" t="s">
        <v>2114</v>
      </c>
      <c r="AK3295" s="115">
        <v>15</v>
      </c>
      <c r="AL3295" s="115" t="s">
        <v>28</v>
      </c>
      <c r="AM3295" s="115" t="s">
        <v>1832</v>
      </c>
      <c r="AN3295" s="115" t="s">
        <v>1617</v>
      </c>
      <c r="AO3295" s="115" t="s">
        <v>380</v>
      </c>
    </row>
    <row r="3296" spans="35:41" ht="13">
      <c r="AI3296" s="115" t="s">
        <v>1415</v>
      </c>
      <c r="AJ3296" t="s">
        <v>2114</v>
      </c>
      <c r="AK3296" s="115">
        <v>15</v>
      </c>
      <c r="AL3296" s="115" t="s">
        <v>28</v>
      </c>
      <c r="AM3296" s="115" t="s">
        <v>1850</v>
      </c>
      <c r="AN3296" s="115" t="s">
        <v>1617</v>
      </c>
      <c r="AO3296" s="115" t="s">
        <v>380</v>
      </c>
    </row>
    <row r="3297" spans="35:41" ht="13">
      <c r="AI3297" s="115" t="s">
        <v>1415</v>
      </c>
      <c r="AJ3297" t="s">
        <v>2114</v>
      </c>
      <c r="AK3297" s="115">
        <v>15</v>
      </c>
      <c r="AL3297" s="115" t="s">
        <v>28</v>
      </c>
      <c r="AM3297" s="115" t="s">
        <v>1848</v>
      </c>
      <c r="AN3297" s="115" t="s">
        <v>1617</v>
      </c>
      <c r="AO3297" s="115" t="s">
        <v>380</v>
      </c>
    </row>
    <row r="3298" spans="35:41" ht="13">
      <c r="AI3298" s="115" t="s">
        <v>1415</v>
      </c>
      <c r="AJ3298" t="s">
        <v>2114</v>
      </c>
      <c r="AK3298" s="115">
        <v>15</v>
      </c>
      <c r="AL3298" s="115" t="s">
        <v>28</v>
      </c>
      <c r="AM3298" s="115" t="s">
        <v>1843</v>
      </c>
      <c r="AN3298" s="115" t="s">
        <v>1617</v>
      </c>
      <c r="AO3298" s="115" t="s">
        <v>380</v>
      </c>
    </row>
    <row r="3299" spans="35:41" ht="13">
      <c r="AI3299" s="115" t="s">
        <v>1415</v>
      </c>
      <c r="AJ3299" t="s">
        <v>2114</v>
      </c>
      <c r="AK3299" s="115">
        <v>15</v>
      </c>
      <c r="AL3299" s="115" t="s">
        <v>28</v>
      </c>
      <c r="AM3299" s="115" t="s">
        <v>1849</v>
      </c>
      <c r="AN3299" s="115" t="s">
        <v>1617</v>
      </c>
      <c r="AO3299" s="115" t="s">
        <v>380</v>
      </c>
    </row>
    <row r="3300" spans="35:41" ht="13">
      <c r="AI3300" s="115" t="s">
        <v>1415</v>
      </c>
      <c r="AJ3300" t="s">
        <v>2114</v>
      </c>
      <c r="AK3300" s="115">
        <v>15</v>
      </c>
      <c r="AL3300" s="115" t="s">
        <v>28</v>
      </c>
      <c r="AM3300" s="115" t="s">
        <v>1846</v>
      </c>
      <c r="AN3300" s="115" t="s">
        <v>1617</v>
      </c>
      <c r="AO3300" s="115" t="s">
        <v>380</v>
      </c>
    </row>
    <row r="3301" spans="35:41" ht="13">
      <c r="AI3301" s="115" t="s">
        <v>1415</v>
      </c>
      <c r="AJ3301" t="s">
        <v>2114</v>
      </c>
      <c r="AK3301" s="115">
        <v>15</v>
      </c>
      <c r="AL3301" s="115" t="s">
        <v>28</v>
      </c>
      <c r="AM3301" s="115" t="s">
        <v>1832</v>
      </c>
      <c r="AN3301" s="115" t="s">
        <v>1618</v>
      </c>
      <c r="AO3301" s="115" t="s">
        <v>1644</v>
      </c>
    </row>
    <row r="3302" spans="35:41" ht="13">
      <c r="AI3302" s="115" t="s">
        <v>1415</v>
      </c>
      <c r="AJ3302" t="s">
        <v>2114</v>
      </c>
      <c r="AK3302" s="115">
        <v>15</v>
      </c>
      <c r="AL3302" s="115" t="s">
        <v>28</v>
      </c>
      <c r="AM3302" s="115" t="s">
        <v>1850</v>
      </c>
      <c r="AN3302" s="115" t="s">
        <v>1618</v>
      </c>
      <c r="AO3302" s="115" t="s">
        <v>1644</v>
      </c>
    </row>
    <row r="3303" spans="35:41" ht="13">
      <c r="AI3303" s="115" t="s">
        <v>1415</v>
      </c>
      <c r="AJ3303" t="s">
        <v>2114</v>
      </c>
      <c r="AK3303" s="115">
        <v>15</v>
      </c>
      <c r="AL3303" s="115" t="s">
        <v>28</v>
      </c>
      <c r="AM3303" s="115" t="s">
        <v>1843</v>
      </c>
      <c r="AN3303" s="115" t="s">
        <v>1618</v>
      </c>
      <c r="AO3303" s="115" t="s">
        <v>1644</v>
      </c>
    </row>
    <row r="3304" spans="35:41" ht="13">
      <c r="AI3304" s="115" t="s">
        <v>1415</v>
      </c>
      <c r="AJ3304" t="s">
        <v>2114</v>
      </c>
      <c r="AK3304" s="115">
        <v>15</v>
      </c>
      <c r="AL3304" s="115" t="s">
        <v>28</v>
      </c>
      <c r="AM3304" s="115" t="s">
        <v>1848</v>
      </c>
      <c r="AN3304" s="115" t="s">
        <v>1618</v>
      </c>
      <c r="AO3304" s="115" t="s">
        <v>1644</v>
      </c>
    </row>
    <row r="3305" spans="35:41" ht="13">
      <c r="AI3305" s="115" t="s">
        <v>1415</v>
      </c>
      <c r="AJ3305" t="s">
        <v>2114</v>
      </c>
      <c r="AK3305" s="115">
        <v>15</v>
      </c>
      <c r="AL3305" s="115" t="s">
        <v>28</v>
      </c>
      <c r="AM3305" s="115" t="s">
        <v>1850</v>
      </c>
      <c r="AN3305" s="115" t="s">
        <v>1618</v>
      </c>
      <c r="AO3305" s="115" t="s">
        <v>1274</v>
      </c>
    </row>
    <row r="3306" spans="35:41" ht="13">
      <c r="AI3306" s="115" t="s">
        <v>1415</v>
      </c>
      <c r="AJ3306" t="s">
        <v>2114</v>
      </c>
      <c r="AK3306" s="115">
        <v>15</v>
      </c>
      <c r="AL3306" s="115" t="s">
        <v>28</v>
      </c>
      <c r="AM3306" s="115" t="s">
        <v>1848</v>
      </c>
      <c r="AN3306" s="115" t="s">
        <v>1618</v>
      </c>
      <c r="AO3306" s="115" t="s">
        <v>1274</v>
      </c>
    </row>
    <row r="3307" spans="35:41" ht="13">
      <c r="AI3307" s="115" t="s">
        <v>1415</v>
      </c>
      <c r="AJ3307" t="s">
        <v>2114</v>
      </c>
      <c r="AK3307" s="115">
        <v>15</v>
      </c>
      <c r="AL3307" s="115" t="s">
        <v>28</v>
      </c>
      <c r="AM3307" s="115" t="s">
        <v>1846</v>
      </c>
      <c r="AN3307" s="115" t="s">
        <v>1618</v>
      </c>
      <c r="AO3307" s="115" t="s">
        <v>1274</v>
      </c>
    </row>
    <row r="3308" spans="35:41" ht="13">
      <c r="AI3308" s="115" t="s">
        <v>1415</v>
      </c>
      <c r="AJ3308" t="s">
        <v>2114</v>
      </c>
      <c r="AK3308" s="115">
        <v>15</v>
      </c>
      <c r="AL3308" s="115" t="s">
        <v>28</v>
      </c>
      <c r="AM3308" s="115" t="s">
        <v>1832</v>
      </c>
      <c r="AN3308" s="115" t="s">
        <v>1618</v>
      </c>
      <c r="AO3308" s="115" t="s">
        <v>1274</v>
      </c>
    </row>
    <row r="3309" spans="35:41" ht="13">
      <c r="AI3309" s="115" t="s">
        <v>1415</v>
      </c>
      <c r="AJ3309" t="s">
        <v>2114</v>
      </c>
      <c r="AK3309" s="115">
        <v>15</v>
      </c>
      <c r="AL3309" s="115" t="s">
        <v>28</v>
      </c>
      <c r="AM3309" s="115" t="s">
        <v>1849</v>
      </c>
      <c r="AN3309" s="115" t="s">
        <v>1618</v>
      </c>
      <c r="AO3309" s="115" t="s">
        <v>1274</v>
      </c>
    </row>
    <row r="3310" spans="35:41" ht="13">
      <c r="AI3310" s="115" t="s">
        <v>1415</v>
      </c>
      <c r="AJ3310" t="s">
        <v>2114</v>
      </c>
      <c r="AK3310" s="115">
        <v>15</v>
      </c>
      <c r="AL3310" s="115" t="s">
        <v>28</v>
      </c>
      <c r="AM3310" s="115" t="s">
        <v>1843</v>
      </c>
      <c r="AN3310" s="115" t="s">
        <v>1618</v>
      </c>
      <c r="AO3310" s="115" t="s">
        <v>1274</v>
      </c>
    </row>
    <row r="3311" spans="35:41" ht="13">
      <c r="AI3311" s="115" t="s">
        <v>1415</v>
      </c>
      <c r="AJ3311" t="s">
        <v>2114</v>
      </c>
      <c r="AK3311" s="115">
        <v>15</v>
      </c>
      <c r="AL3311" s="115" t="s">
        <v>28</v>
      </c>
      <c r="AM3311" s="115" t="s">
        <v>1849</v>
      </c>
      <c r="AN3311" s="115" t="s">
        <v>1618</v>
      </c>
      <c r="AO3311" s="115" t="s">
        <v>381</v>
      </c>
    </row>
    <row r="3312" spans="35:41" ht="13">
      <c r="AI3312" s="115" t="s">
        <v>1415</v>
      </c>
      <c r="AJ3312" t="s">
        <v>2114</v>
      </c>
      <c r="AK3312" s="115">
        <v>15</v>
      </c>
      <c r="AL3312" s="115" t="s">
        <v>28</v>
      </c>
      <c r="AM3312" s="115" t="s">
        <v>1848</v>
      </c>
      <c r="AN3312" s="115" t="s">
        <v>1618</v>
      </c>
      <c r="AO3312" s="115" t="s">
        <v>381</v>
      </c>
    </row>
    <row r="3313" spans="35:41" ht="13">
      <c r="AI3313" s="115" t="s">
        <v>1415</v>
      </c>
      <c r="AJ3313" t="s">
        <v>2114</v>
      </c>
      <c r="AK3313" s="115">
        <v>15</v>
      </c>
      <c r="AL3313" s="115" t="s">
        <v>28</v>
      </c>
      <c r="AM3313" s="115" t="s">
        <v>1846</v>
      </c>
      <c r="AN3313" s="115" t="s">
        <v>1618</v>
      </c>
      <c r="AO3313" s="115" t="s">
        <v>381</v>
      </c>
    </row>
    <row r="3314" spans="35:41" ht="13">
      <c r="AI3314" s="115" t="s">
        <v>1415</v>
      </c>
      <c r="AJ3314" t="s">
        <v>2114</v>
      </c>
      <c r="AK3314" s="115">
        <v>15</v>
      </c>
      <c r="AL3314" s="115" t="s">
        <v>28</v>
      </c>
      <c r="AM3314" s="115" t="s">
        <v>1843</v>
      </c>
      <c r="AN3314" s="115" t="s">
        <v>1618</v>
      </c>
      <c r="AO3314" s="115" t="s">
        <v>381</v>
      </c>
    </row>
    <row r="3315" spans="35:41" ht="13">
      <c r="AI3315" s="115" t="s">
        <v>1415</v>
      </c>
      <c r="AJ3315" t="s">
        <v>2114</v>
      </c>
      <c r="AK3315" s="115">
        <v>15</v>
      </c>
      <c r="AL3315" s="115" t="s">
        <v>28</v>
      </c>
      <c r="AM3315" s="115" t="s">
        <v>1832</v>
      </c>
      <c r="AN3315" s="115" t="s">
        <v>1618</v>
      </c>
      <c r="AO3315" s="115" t="s">
        <v>381</v>
      </c>
    </row>
    <row r="3316" spans="35:41" ht="13">
      <c r="AI3316" s="115" t="s">
        <v>1415</v>
      </c>
      <c r="AJ3316" t="s">
        <v>2114</v>
      </c>
      <c r="AK3316" s="115">
        <v>15</v>
      </c>
      <c r="AL3316" s="115" t="s">
        <v>28</v>
      </c>
      <c r="AM3316" s="115" t="s">
        <v>1850</v>
      </c>
      <c r="AN3316" s="115" t="s">
        <v>1618</v>
      </c>
      <c r="AO3316" s="115" t="s">
        <v>381</v>
      </c>
    </row>
    <row r="3317" spans="35:41" ht="13">
      <c r="AI3317" s="115" t="s">
        <v>1415</v>
      </c>
      <c r="AJ3317" t="s">
        <v>2114</v>
      </c>
      <c r="AK3317" s="115">
        <v>15</v>
      </c>
      <c r="AL3317" s="115" t="s">
        <v>28</v>
      </c>
      <c r="AM3317" s="115" t="s">
        <v>1849</v>
      </c>
      <c r="AN3317" s="115" t="s">
        <v>1618</v>
      </c>
      <c r="AO3317" s="115" t="s">
        <v>379</v>
      </c>
    </row>
    <row r="3318" spans="35:41" ht="13">
      <c r="AI3318" s="115" t="s">
        <v>1415</v>
      </c>
      <c r="AJ3318" t="s">
        <v>2114</v>
      </c>
      <c r="AK3318" s="115">
        <v>15</v>
      </c>
      <c r="AL3318" s="115" t="s">
        <v>28</v>
      </c>
      <c r="AM3318" s="115" t="s">
        <v>1850</v>
      </c>
      <c r="AN3318" s="115" t="s">
        <v>1618</v>
      </c>
      <c r="AO3318" s="115" t="s">
        <v>379</v>
      </c>
    </row>
    <row r="3319" spans="35:41" ht="13">
      <c r="AI3319" s="115" t="s">
        <v>1415</v>
      </c>
      <c r="AJ3319" t="s">
        <v>2114</v>
      </c>
      <c r="AK3319" s="115">
        <v>15</v>
      </c>
      <c r="AL3319" s="115" t="s">
        <v>28</v>
      </c>
      <c r="AM3319" s="115" t="s">
        <v>1832</v>
      </c>
      <c r="AN3319" s="115" t="s">
        <v>1618</v>
      </c>
      <c r="AO3319" s="115" t="s">
        <v>379</v>
      </c>
    </row>
    <row r="3320" spans="35:41" ht="13">
      <c r="AI3320" s="115" t="s">
        <v>1415</v>
      </c>
      <c r="AJ3320" t="s">
        <v>2114</v>
      </c>
      <c r="AK3320" s="115">
        <v>15</v>
      </c>
      <c r="AL3320" s="115" t="s">
        <v>28</v>
      </c>
      <c r="AM3320" s="115" t="s">
        <v>1848</v>
      </c>
      <c r="AN3320" s="115" t="s">
        <v>1618</v>
      </c>
      <c r="AO3320" s="115" t="s">
        <v>379</v>
      </c>
    </row>
    <row r="3321" spans="35:41" ht="13">
      <c r="AI3321" s="115" t="s">
        <v>1415</v>
      </c>
      <c r="AJ3321" t="s">
        <v>2114</v>
      </c>
      <c r="AK3321" s="115">
        <v>15</v>
      </c>
      <c r="AL3321" s="115" t="s">
        <v>28</v>
      </c>
      <c r="AM3321" s="115" t="s">
        <v>1846</v>
      </c>
      <c r="AN3321" s="115" t="s">
        <v>1618</v>
      </c>
      <c r="AO3321" s="115" t="s">
        <v>379</v>
      </c>
    </row>
    <row r="3322" spans="35:41" ht="13">
      <c r="AI3322" s="115" t="s">
        <v>1415</v>
      </c>
      <c r="AJ3322" t="s">
        <v>2114</v>
      </c>
      <c r="AK3322" s="115">
        <v>15</v>
      </c>
      <c r="AL3322" s="115" t="s">
        <v>28</v>
      </c>
      <c r="AM3322" s="115" t="s">
        <v>1843</v>
      </c>
      <c r="AN3322" s="115" t="s">
        <v>1618</v>
      </c>
      <c r="AO3322" s="115" t="s">
        <v>379</v>
      </c>
    </row>
    <row r="3323" spans="35:41" ht="13">
      <c r="AI3323" s="115" t="s">
        <v>1415</v>
      </c>
      <c r="AJ3323" t="s">
        <v>2114</v>
      </c>
      <c r="AK3323" s="115">
        <v>15</v>
      </c>
      <c r="AL3323" s="115" t="s">
        <v>28</v>
      </c>
      <c r="AM3323" s="115" t="s">
        <v>1849</v>
      </c>
      <c r="AN3323" s="115" t="s">
        <v>1618</v>
      </c>
      <c r="AO3323" s="115" t="s">
        <v>1645</v>
      </c>
    </row>
    <row r="3324" spans="35:41" ht="13">
      <c r="AI3324" s="115" t="s">
        <v>1415</v>
      </c>
      <c r="AJ3324" t="s">
        <v>2114</v>
      </c>
      <c r="AK3324" s="115">
        <v>15</v>
      </c>
      <c r="AL3324" s="115" t="s">
        <v>28</v>
      </c>
      <c r="AM3324" s="115" t="s">
        <v>1850</v>
      </c>
      <c r="AN3324" s="115" t="s">
        <v>1618</v>
      </c>
      <c r="AO3324" s="115" t="s">
        <v>1645</v>
      </c>
    </row>
    <row r="3325" spans="35:41" ht="13">
      <c r="AI3325" s="115" t="s">
        <v>1415</v>
      </c>
      <c r="AJ3325" t="s">
        <v>2114</v>
      </c>
      <c r="AK3325" s="115">
        <v>15</v>
      </c>
      <c r="AL3325" s="115" t="s">
        <v>28</v>
      </c>
      <c r="AM3325" s="115" t="s">
        <v>1848</v>
      </c>
      <c r="AN3325" s="115" t="s">
        <v>1618</v>
      </c>
      <c r="AO3325" s="115" t="s">
        <v>1645</v>
      </c>
    </row>
    <row r="3326" spans="35:41" ht="13">
      <c r="AI3326" s="115" t="s">
        <v>1415</v>
      </c>
      <c r="AJ3326" t="s">
        <v>2114</v>
      </c>
      <c r="AK3326" s="115">
        <v>15</v>
      </c>
      <c r="AL3326" s="115" t="s">
        <v>28</v>
      </c>
      <c r="AM3326" s="115" t="s">
        <v>1846</v>
      </c>
      <c r="AN3326" s="115" t="s">
        <v>1618</v>
      </c>
      <c r="AO3326" s="115" t="s">
        <v>1645</v>
      </c>
    </row>
    <row r="3327" spans="35:41" ht="13">
      <c r="AI3327" s="115" t="s">
        <v>1415</v>
      </c>
      <c r="AJ3327" t="s">
        <v>2114</v>
      </c>
      <c r="AK3327" s="115">
        <v>15</v>
      </c>
      <c r="AL3327" s="115" t="s">
        <v>28</v>
      </c>
      <c r="AM3327" s="115" t="s">
        <v>1843</v>
      </c>
      <c r="AN3327" s="115" t="s">
        <v>1618</v>
      </c>
      <c r="AO3327" s="115" t="s">
        <v>1645</v>
      </c>
    </row>
    <row r="3328" spans="35:41" ht="13">
      <c r="AI3328" s="115" t="s">
        <v>1415</v>
      </c>
      <c r="AJ3328" t="s">
        <v>2114</v>
      </c>
      <c r="AK3328" s="115">
        <v>15</v>
      </c>
      <c r="AL3328" s="115" t="s">
        <v>28</v>
      </c>
      <c r="AM3328" s="115" t="s">
        <v>1832</v>
      </c>
      <c r="AN3328" s="115" t="s">
        <v>1618</v>
      </c>
      <c r="AO3328" s="115" t="s">
        <v>1645</v>
      </c>
    </row>
    <row r="3329" spans="35:41" ht="13">
      <c r="AI3329" s="115" t="s">
        <v>1415</v>
      </c>
      <c r="AJ3329" t="s">
        <v>2114</v>
      </c>
      <c r="AK3329" s="115">
        <v>15</v>
      </c>
      <c r="AL3329" s="115" t="s">
        <v>28</v>
      </c>
      <c r="AM3329" s="115" t="s">
        <v>1846</v>
      </c>
      <c r="AN3329" s="115" t="s">
        <v>1618</v>
      </c>
      <c r="AO3329" s="115" t="s">
        <v>1646</v>
      </c>
    </row>
    <row r="3330" spans="35:41" ht="13">
      <c r="AI3330" s="115" t="s">
        <v>1415</v>
      </c>
      <c r="AJ3330" t="s">
        <v>2114</v>
      </c>
      <c r="AK3330" s="115">
        <v>15</v>
      </c>
      <c r="AL3330" s="115" t="s">
        <v>28</v>
      </c>
      <c r="AM3330" s="115" t="s">
        <v>1843</v>
      </c>
      <c r="AN3330" s="115" t="s">
        <v>1618</v>
      </c>
      <c r="AO3330" s="115" t="s">
        <v>1646</v>
      </c>
    </row>
    <row r="3331" spans="35:41" ht="13">
      <c r="AI3331" s="115" t="s">
        <v>1415</v>
      </c>
      <c r="AJ3331" t="s">
        <v>2114</v>
      </c>
      <c r="AK3331" s="115">
        <v>15</v>
      </c>
      <c r="AL3331" s="115" t="s">
        <v>28</v>
      </c>
      <c r="AM3331" s="115" t="s">
        <v>1846</v>
      </c>
      <c r="AN3331" s="115" t="s">
        <v>1618</v>
      </c>
      <c r="AO3331" s="115" t="s">
        <v>1647</v>
      </c>
    </row>
    <row r="3332" spans="35:41" ht="13">
      <c r="AI3332" s="115" t="s">
        <v>1415</v>
      </c>
      <c r="AJ3332" t="s">
        <v>2114</v>
      </c>
      <c r="AK3332" s="115">
        <v>15</v>
      </c>
      <c r="AL3332" s="115" t="s">
        <v>28</v>
      </c>
      <c r="AM3332" s="115" t="s">
        <v>1843</v>
      </c>
      <c r="AN3332" s="115" t="s">
        <v>1618</v>
      </c>
      <c r="AO3332" s="115" t="s">
        <v>1647</v>
      </c>
    </row>
    <row r="3333" spans="35:41" ht="13">
      <c r="AI3333" s="115" t="s">
        <v>1415</v>
      </c>
      <c r="AJ3333" t="s">
        <v>2114</v>
      </c>
      <c r="AK3333" s="115">
        <v>15</v>
      </c>
      <c r="AL3333" s="115" t="s">
        <v>28</v>
      </c>
      <c r="AM3333" s="115" t="s">
        <v>1843</v>
      </c>
      <c r="AN3333" s="115" t="s">
        <v>1618</v>
      </c>
      <c r="AO3333" s="115" t="s">
        <v>1639</v>
      </c>
    </row>
    <row r="3334" spans="35:41" ht="13">
      <c r="AI3334" s="115" t="s">
        <v>1415</v>
      </c>
      <c r="AJ3334" t="s">
        <v>2114</v>
      </c>
      <c r="AK3334" s="115">
        <v>15</v>
      </c>
      <c r="AL3334" s="115" t="s">
        <v>28</v>
      </c>
      <c r="AM3334" s="115" t="s">
        <v>1846</v>
      </c>
      <c r="AN3334" s="115" t="s">
        <v>1618</v>
      </c>
      <c r="AO3334" s="115" t="s">
        <v>1639</v>
      </c>
    </row>
    <row r="3335" spans="35:41" ht="13">
      <c r="AI3335" s="115" t="s">
        <v>1415</v>
      </c>
      <c r="AJ3335" t="s">
        <v>2114</v>
      </c>
      <c r="AK3335" s="115">
        <v>15</v>
      </c>
      <c r="AL3335" s="115" t="s">
        <v>28</v>
      </c>
      <c r="AM3335" s="115" t="s">
        <v>1846</v>
      </c>
      <c r="AN3335" s="115" t="s">
        <v>1618</v>
      </c>
      <c r="AO3335" s="115" t="s">
        <v>373</v>
      </c>
    </row>
    <row r="3336" spans="35:41" ht="13">
      <c r="AI3336" s="115" t="s">
        <v>1415</v>
      </c>
      <c r="AJ3336" t="s">
        <v>2114</v>
      </c>
      <c r="AK3336" s="115">
        <v>15</v>
      </c>
      <c r="AL3336" s="115" t="s">
        <v>28</v>
      </c>
      <c r="AM3336" s="115" t="s">
        <v>1843</v>
      </c>
      <c r="AN3336" s="115" t="s">
        <v>1618</v>
      </c>
      <c r="AO3336" s="115" t="s">
        <v>373</v>
      </c>
    </row>
    <row r="3337" spans="35:41" ht="13">
      <c r="AI3337" s="115" t="s">
        <v>1415</v>
      </c>
      <c r="AJ3337" t="s">
        <v>2114</v>
      </c>
      <c r="AK3337" s="115">
        <v>15</v>
      </c>
      <c r="AL3337" s="115" t="s">
        <v>28</v>
      </c>
      <c r="AM3337" s="115" t="s">
        <v>1849</v>
      </c>
      <c r="AN3337" s="115" t="s">
        <v>1618</v>
      </c>
      <c r="AO3337" s="115" t="s">
        <v>373</v>
      </c>
    </row>
    <row r="3338" spans="35:41" ht="13">
      <c r="AI3338" s="115" t="s">
        <v>1415</v>
      </c>
      <c r="AJ3338" t="s">
        <v>2114</v>
      </c>
      <c r="AK3338" s="115">
        <v>15</v>
      </c>
      <c r="AL3338" s="115" t="s">
        <v>28</v>
      </c>
      <c r="AM3338" s="115" t="s">
        <v>1850</v>
      </c>
      <c r="AN3338" s="115" t="s">
        <v>1618</v>
      </c>
      <c r="AO3338" s="115" t="s">
        <v>373</v>
      </c>
    </row>
    <row r="3339" spans="35:41" ht="13">
      <c r="AI3339" s="115" t="s">
        <v>1415</v>
      </c>
      <c r="AJ3339" t="s">
        <v>2114</v>
      </c>
      <c r="AK3339" s="115">
        <v>15</v>
      </c>
      <c r="AL3339" s="115" t="s">
        <v>28</v>
      </c>
      <c r="AM3339" s="115" t="s">
        <v>1848</v>
      </c>
      <c r="AN3339" s="115" t="s">
        <v>1618</v>
      </c>
      <c r="AO3339" s="115" t="s">
        <v>373</v>
      </c>
    </row>
    <row r="3340" spans="35:41" ht="13">
      <c r="AI3340" s="115" t="s">
        <v>1415</v>
      </c>
      <c r="AJ3340" t="s">
        <v>2114</v>
      </c>
      <c r="AK3340" s="115">
        <v>15</v>
      </c>
      <c r="AL3340" s="115" t="s">
        <v>28</v>
      </c>
      <c r="AM3340" s="115" t="s">
        <v>1832</v>
      </c>
      <c r="AN3340" s="115" t="s">
        <v>1618</v>
      </c>
      <c r="AO3340" s="115" t="s">
        <v>373</v>
      </c>
    </row>
    <row r="3341" spans="35:41" ht="13">
      <c r="AI3341" s="115" t="s">
        <v>1415</v>
      </c>
      <c r="AJ3341" t="s">
        <v>2114</v>
      </c>
      <c r="AK3341" s="115">
        <v>15</v>
      </c>
      <c r="AL3341" s="115" t="s">
        <v>28</v>
      </c>
      <c r="AM3341" s="115" t="s">
        <v>1832</v>
      </c>
      <c r="AN3341" s="115" t="s">
        <v>1618</v>
      </c>
      <c r="AO3341" s="115" t="s">
        <v>380</v>
      </c>
    </row>
    <row r="3342" spans="35:41" ht="13">
      <c r="AI3342" s="115" t="s">
        <v>1415</v>
      </c>
      <c r="AJ3342" t="s">
        <v>2114</v>
      </c>
      <c r="AK3342" s="115">
        <v>15</v>
      </c>
      <c r="AL3342" s="115" t="s">
        <v>28</v>
      </c>
      <c r="AM3342" s="115" t="s">
        <v>1843</v>
      </c>
      <c r="AN3342" s="115" t="s">
        <v>1618</v>
      </c>
      <c r="AO3342" s="115" t="s">
        <v>380</v>
      </c>
    </row>
    <row r="3343" spans="35:41" ht="13">
      <c r="AI3343" s="115" t="s">
        <v>1415</v>
      </c>
      <c r="AJ3343" t="s">
        <v>2114</v>
      </c>
      <c r="AK3343" s="115">
        <v>15</v>
      </c>
      <c r="AL3343" s="115" t="s">
        <v>28</v>
      </c>
      <c r="AM3343" s="115" t="s">
        <v>1848</v>
      </c>
      <c r="AN3343" s="115" t="s">
        <v>1618</v>
      </c>
      <c r="AO3343" s="115" t="s">
        <v>380</v>
      </c>
    </row>
    <row r="3344" spans="35:41" ht="13">
      <c r="AI3344" s="115" t="s">
        <v>1415</v>
      </c>
      <c r="AJ3344" t="s">
        <v>2114</v>
      </c>
      <c r="AK3344" s="115">
        <v>15</v>
      </c>
      <c r="AL3344" s="115" t="s">
        <v>28</v>
      </c>
      <c r="AM3344" s="115" t="s">
        <v>1850</v>
      </c>
      <c r="AN3344" s="115" t="s">
        <v>1618</v>
      </c>
      <c r="AO3344" s="115" t="s">
        <v>380</v>
      </c>
    </row>
    <row r="3345" spans="35:41" ht="13">
      <c r="AI3345" s="115" t="s">
        <v>1415</v>
      </c>
      <c r="AJ3345" t="s">
        <v>2114</v>
      </c>
      <c r="AK3345" s="115">
        <v>15</v>
      </c>
      <c r="AL3345" s="115" t="s">
        <v>28</v>
      </c>
      <c r="AM3345" s="115" t="s">
        <v>1849</v>
      </c>
      <c r="AN3345" s="115" t="s">
        <v>1618</v>
      </c>
      <c r="AO3345" s="115" t="s">
        <v>380</v>
      </c>
    </row>
    <row r="3346" spans="35:41" ht="13">
      <c r="AI3346" s="115" t="s">
        <v>1415</v>
      </c>
      <c r="AJ3346" t="s">
        <v>2114</v>
      </c>
      <c r="AK3346" s="115">
        <v>15</v>
      </c>
      <c r="AL3346" s="115" t="s">
        <v>28</v>
      </c>
      <c r="AM3346" s="115" t="s">
        <v>1846</v>
      </c>
      <c r="AN3346" s="115" t="s">
        <v>1618</v>
      </c>
      <c r="AO3346" s="115" t="s">
        <v>380</v>
      </c>
    </row>
    <row r="3347" spans="35:41" ht="13">
      <c r="AI3347" s="115" t="s">
        <v>1415</v>
      </c>
      <c r="AJ3347" t="s">
        <v>2114</v>
      </c>
      <c r="AK3347" s="115">
        <v>15</v>
      </c>
      <c r="AL3347" s="115" t="s">
        <v>28</v>
      </c>
      <c r="AM3347" s="115" t="s">
        <v>1849</v>
      </c>
      <c r="AN3347" s="115" t="s">
        <v>1624</v>
      </c>
      <c r="AO3347" s="115" t="s">
        <v>1274</v>
      </c>
    </row>
    <row r="3348" spans="35:41" ht="13">
      <c r="AI3348" s="115" t="s">
        <v>1415</v>
      </c>
      <c r="AJ3348" t="s">
        <v>2114</v>
      </c>
      <c r="AK3348" s="115">
        <v>15</v>
      </c>
      <c r="AL3348" s="115" t="s">
        <v>28</v>
      </c>
      <c r="AM3348" s="115" t="s">
        <v>1832</v>
      </c>
      <c r="AN3348" s="115" t="s">
        <v>1624</v>
      </c>
      <c r="AO3348" s="115" t="s">
        <v>1274</v>
      </c>
    </row>
    <row r="3349" spans="35:41" ht="13">
      <c r="AI3349" s="115" t="s">
        <v>1415</v>
      </c>
      <c r="AJ3349" t="s">
        <v>2114</v>
      </c>
      <c r="AK3349" s="115">
        <v>15</v>
      </c>
      <c r="AL3349" s="115" t="s">
        <v>28</v>
      </c>
      <c r="AM3349" s="115" t="s">
        <v>1850</v>
      </c>
      <c r="AN3349" s="115" t="s">
        <v>1624</v>
      </c>
      <c r="AO3349" s="115" t="s">
        <v>1274</v>
      </c>
    </row>
    <row r="3350" spans="35:41" ht="13">
      <c r="AI3350" s="115" t="s">
        <v>1415</v>
      </c>
      <c r="AJ3350" t="s">
        <v>2114</v>
      </c>
      <c r="AK3350" s="115">
        <v>15</v>
      </c>
      <c r="AL3350" s="115" t="s">
        <v>28</v>
      </c>
      <c r="AM3350" s="115" t="s">
        <v>1843</v>
      </c>
      <c r="AN3350" s="115" t="s">
        <v>1624</v>
      </c>
      <c r="AO3350" s="115" t="s">
        <v>1274</v>
      </c>
    </row>
    <row r="3351" spans="35:41" ht="13">
      <c r="AI3351" s="115" t="s">
        <v>1415</v>
      </c>
      <c r="AJ3351" t="s">
        <v>2114</v>
      </c>
      <c r="AK3351" s="115">
        <v>15</v>
      </c>
      <c r="AL3351" s="115" t="s">
        <v>28</v>
      </c>
      <c r="AM3351" s="115" t="s">
        <v>1848</v>
      </c>
      <c r="AN3351" s="115" t="s">
        <v>1624</v>
      </c>
      <c r="AO3351" s="115" t="s">
        <v>1274</v>
      </c>
    </row>
    <row r="3352" spans="35:41" ht="13">
      <c r="AI3352" s="115" t="s">
        <v>1415</v>
      </c>
      <c r="AJ3352" t="s">
        <v>2114</v>
      </c>
      <c r="AK3352" s="115">
        <v>15</v>
      </c>
      <c r="AL3352" s="115" t="s">
        <v>28</v>
      </c>
      <c r="AM3352" s="115" t="s">
        <v>1846</v>
      </c>
      <c r="AN3352" s="115" t="s">
        <v>1624</v>
      </c>
      <c r="AO3352" s="115" t="s">
        <v>1274</v>
      </c>
    </row>
    <row r="3353" spans="35:41" ht="13">
      <c r="AI3353" s="115" t="s">
        <v>1415</v>
      </c>
      <c r="AJ3353" t="s">
        <v>2114</v>
      </c>
      <c r="AK3353" s="115">
        <v>15</v>
      </c>
      <c r="AL3353" s="115" t="s">
        <v>28</v>
      </c>
      <c r="AM3353" s="115" t="s">
        <v>1843</v>
      </c>
      <c r="AN3353" s="115" t="s">
        <v>1624</v>
      </c>
      <c r="AO3353" s="115" t="s">
        <v>379</v>
      </c>
    </row>
    <row r="3354" spans="35:41" ht="13">
      <c r="AI3354" s="115" t="s">
        <v>1415</v>
      </c>
      <c r="AJ3354" t="s">
        <v>2114</v>
      </c>
      <c r="AK3354" s="115">
        <v>15</v>
      </c>
      <c r="AL3354" s="115" t="s">
        <v>28</v>
      </c>
      <c r="AM3354" s="115" t="s">
        <v>1849</v>
      </c>
      <c r="AN3354" s="115" t="s">
        <v>1624</v>
      </c>
      <c r="AO3354" s="115" t="s">
        <v>379</v>
      </c>
    </row>
    <row r="3355" spans="35:41" ht="13">
      <c r="AI3355" s="115" t="s">
        <v>1415</v>
      </c>
      <c r="AJ3355" t="s">
        <v>2114</v>
      </c>
      <c r="AK3355" s="115">
        <v>15</v>
      </c>
      <c r="AL3355" s="115" t="s">
        <v>28</v>
      </c>
      <c r="AM3355" s="115" t="s">
        <v>1850</v>
      </c>
      <c r="AN3355" s="115" t="s">
        <v>1624</v>
      </c>
      <c r="AO3355" s="115" t="s">
        <v>379</v>
      </c>
    </row>
    <row r="3356" spans="35:41" ht="13">
      <c r="AI3356" s="115" t="s">
        <v>1415</v>
      </c>
      <c r="AJ3356" t="s">
        <v>2114</v>
      </c>
      <c r="AK3356" s="115">
        <v>15</v>
      </c>
      <c r="AL3356" s="115" t="s">
        <v>28</v>
      </c>
      <c r="AM3356" s="115" t="s">
        <v>1832</v>
      </c>
      <c r="AN3356" s="115" t="s">
        <v>1624</v>
      </c>
      <c r="AO3356" s="115" t="s">
        <v>379</v>
      </c>
    </row>
    <row r="3357" spans="35:41" ht="13">
      <c r="AI3357" s="115" t="s">
        <v>1415</v>
      </c>
      <c r="AJ3357" t="s">
        <v>2114</v>
      </c>
      <c r="AK3357" s="115">
        <v>15</v>
      </c>
      <c r="AL3357" s="115" t="s">
        <v>28</v>
      </c>
      <c r="AM3357" s="115" t="s">
        <v>1846</v>
      </c>
      <c r="AN3357" s="115" t="s">
        <v>1624</v>
      </c>
      <c r="AO3357" s="115" t="s">
        <v>379</v>
      </c>
    </row>
    <row r="3358" spans="35:41" ht="13">
      <c r="AI3358" s="115" t="s">
        <v>1415</v>
      </c>
      <c r="AJ3358" t="s">
        <v>2114</v>
      </c>
      <c r="AK3358" s="115">
        <v>15</v>
      </c>
      <c r="AL3358" s="115" t="s">
        <v>28</v>
      </c>
      <c r="AM3358" s="115" t="s">
        <v>1848</v>
      </c>
      <c r="AN3358" s="115" t="s">
        <v>1624</v>
      </c>
      <c r="AO3358" s="115" t="s">
        <v>379</v>
      </c>
    </row>
    <row r="3359" spans="35:41" ht="13">
      <c r="AI3359" s="115" t="s">
        <v>1415</v>
      </c>
      <c r="AJ3359" t="s">
        <v>2114</v>
      </c>
      <c r="AK3359" s="115">
        <v>15</v>
      </c>
      <c r="AL3359" s="115" t="s">
        <v>28</v>
      </c>
      <c r="AM3359" s="115" t="s">
        <v>1846</v>
      </c>
      <c r="AN3359" s="115" t="s">
        <v>1624</v>
      </c>
      <c r="AO3359" s="115" t="s">
        <v>1639</v>
      </c>
    </row>
    <row r="3360" spans="35:41" ht="13">
      <c r="AI3360" s="115" t="s">
        <v>1415</v>
      </c>
      <c r="AJ3360" t="s">
        <v>2114</v>
      </c>
      <c r="AK3360" s="115">
        <v>15</v>
      </c>
      <c r="AL3360" s="115" t="s">
        <v>28</v>
      </c>
      <c r="AM3360" s="115" t="s">
        <v>1843</v>
      </c>
      <c r="AN3360" s="115" t="s">
        <v>1624</v>
      </c>
      <c r="AO3360" s="115" t="s">
        <v>1639</v>
      </c>
    </row>
    <row r="3361" spans="35:41" ht="13">
      <c r="AI3361" s="115" t="s">
        <v>1415</v>
      </c>
      <c r="AJ3361" t="s">
        <v>2114</v>
      </c>
      <c r="AK3361" s="115">
        <v>15</v>
      </c>
      <c r="AL3361" s="115" t="s">
        <v>28</v>
      </c>
      <c r="AM3361" s="115" t="s">
        <v>1832</v>
      </c>
      <c r="AN3361" s="115" t="s">
        <v>1624</v>
      </c>
      <c r="AO3361" s="115" t="s">
        <v>373</v>
      </c>
    </row>
    <row r="3362" spans="35:41" ht="13">
      <c r="AI3362" s="115" t="s">
        <v>1415</v>
      </c>
      <c r="AJ3362" t="s">
        <v>2114</v>
      </c>
      <c r="AK3362" s="115">
        <v>15</v>
      </c>
      <c r="AL3362" s="115" t="s">
        <v>28</v>
      </c>
      <c r="AM3362" s="115" t="s">
        <v>1848</v>
      </c>
      <c r="AN3362" s="115" t="s">
        <v>1624</v>
      </c>
      <c r="AO3362" s="115" t="s">
        <v>373</v>
      </c>
    </row>
    <row r="3363" spans="35:41" ht="13">
      <c r="AI3363" s="115" t="s">
        <v>1415</v>
      </c>
      <c r="AJ3363" t="s">
        <v>2114</v>
      </c>
      <c r="AK3363" s="115">
        <v>15</v>
      </c>
      <c r="AL3363" s="115" t="s">
        <v>28</v>
      </c>
      <c r="AM3363" s="115" t="s">
        <v>1849</v>
      </c>
      <c r="AN3363" s="115" t="s">
        <v>1624</v>
      </c>
      <c r="AO3363" s="115" t="s">
        <v>373</v>
      </c>
    </row>
    <row r="3364" spans="35:41" ht="13">
      <c r="AI3364" s="115" t="s">
        <v>1415</v>
      </c>
      <c r="AJ3364" t="s">
        <v>2114</v>
      </c>
      <c r="AK3364" s="115">
        <v>15</v>
      </c>
      <c r="AL3364" s="115" t="s">
        <v>28</v>
      </c>
      <c r="AM3364" s="115" t="s">
        <v>1843</v>
      </c>
      <c r="AN3364" s="115" t="s">
        <v>1624</v>
      </c>
      <c r="AO3364" s="115" t="s">
        <v>373</v>
      </c>
    </row>
    <row r="3365" spans="35:41" ht="13">
      <c r="AI3365" s="115" t="s">
        <v>1415</v>
      </c>
      <c r="AJ3365" t="s">
        <v>2114</v>
      </c>
      <c r="AK3365" s="115">
        <v>15</v>
      </c>
      <c r="AL3365" s="115" t="s">
        <v>28</v>
      </c>
      <c r="AM3365" s="115" t="s">
        <v>1850</v>
      </c>
      <c r="AN3365" s="115" t="s">
        <v>1624</v>
      </c>
      <c r="AO3365" s="115" t="s">
        <v>373</v>
      </c>
    </row>
    <row r="3366" spans="35:41" ht="13">
      <c r="AI3366" s="115" t="s">
        <v>1415</v>
      </c>
      <c r="AJ3366" t="s">
        <v>2114</v>
      </c>
      <c r="AK3366" s="115">
        <v>15</v>
      </c>
      <c r="AL3366" s="115" t="s">
        <v>28</v>
      </c>
      <c r="AM3366" s="115" t="s">
        <v>1846</v>
      </c>
      <c r="AN3366" s="115" t="s">
        <v>1624</v>
      </c>
      <c r="AO3366" s="115" t="s">
        <v>373</v>
      </c>
    </row>
    <row r="3367" spans="35:41" ht="13">
      <c r="AI3367" s="115" t="s">
        <v>1415</v>
      </c>
      <c r="AJ3367" t="s">
        <v>2114</v>
      </c>
      <c r="AK3367" s="115">
        <v>15</v>
      </c>
      <c r="AL3367" s="115" t="s">
        <v>28</v>
      </c>
      <c r="AM3367" s="115" t="s">
        <v>1832</v>
      </c>
      <c r="AN3367" s="115" t="s">
        <v>1624</v>
      </c>
      <c r="AO3367" s="115" t="s">
        <v>380</v>
      </c>
    </row>
    <row r="3368" spans="35:41" ht="13">
      <c r="AI3368" s="115" t="s">
        <v>1415</v>
      </c>
      <c r="AJ3368" t="s">
        <v>2114</v>
      </c>
      <c r="AK3368" s="115">
        <v>15</v>
      </c>
      <c r="AL3368" s="115" t="s">
        <v>28</v>
      </c>
      <c r="AM3368" s="115" t="s">
        <v>1843</v>
      </c>
      <c r="AN3368" s="115" t="s">
        <v>1624</v>
      </c>
      <c r="AO3368" s="115" t="s">
        <v>380</v>
      </c>
    </row>
    <row r="3369" spans="35:41" ht="13">
      <c r="AI3369" s="115" t="s">
        <v>1415</v>
      </c>
      <c r="AJ3369" t="s">
        <v>2114</v>
      </c>
      <c r="AK3369" s="115">
        <v>15</v>
      </c>
      <c r="AL3369" s="115" t="s">
        <v>28</v>
      </c>
      <c r="AM3369" s="115" t="s">
        <v>1849</v>
      </c>
      <c r="AN3369" s="115" t="s">
        <v>1624</v>
      </c>
      <c r="AO3369" s="115" t="s">
        <v>380</v>
      </c>
    </row>
    <row r="3370" spans="35:41" ht="13">
      <c r="AI3370" s="115" t="s">
        <v>1415</v>
      </c>
      <c r="AJ3370" t="s">
        <v>2114</v>
      </c>
      <c r="AK3370" s="115">
        <v>15</v>
      </c>
      <c r="AL3370" s="115" t="s">
        <v>28</v>
      </c>
      <c r="AM3370" s="115" t="s">
        <v>1848</v>
      </c>
      <c r="AN3370" s="115" t="s">
        <v>1624</v>
      </c>
      <c r="AO3370" s="115" t="s">
        <v>380</v>
      </c>
    </row>
    <row r="3371" spans="35:41" ht="13">
      <c r="AI3371" s="115" t="s">
        <v>1415</v>
      </c>
      <c r="AJ3371" t="s">
        <v>2114</v>
      </c>
      <c r="AK3371" s="115">
        <v>15</v>
      </c>
      <c r="AL3371" s="115" t="s">
        <v>28</v>
      </c>
      <c r="AM3371" s="115" t="s">
        <v>1850</v>
      </c>
      <c r="AN3371" s="115" t="s">
        <v>1624</v>
      </c>
      <c r="AO3371" s="115" t="s">
        <v>380</v>
      </c>
    </row>
    <row r="3372" spans="35:41" ht="13">
      <c r="AI3372" s="115" t="s">
        <v>1415</v>
      </c>
      <c r="AJ3372" t="s">
        <v>2114</v>
      </c>
      <c r="AK3372" s="115">
        <v>15</v>
      </c>
      <c r="AL3372" s="115" t="s">
        <v>28</v>
      </c>
      <c r="AM3372" s="115" t="s">
        <v>1846</v>
      </c>
      <c r="AN3372" s="115" t="s">
        <v>1624</v>
      </c>
      <c r="AO3372" s="115" t="s">
        <v>380</v>
      </c>
    </row>
    <row r="3373" spans="35:41" ht="13">
      <c r="AI3373" s="115" t="s">
        <v>1415</v>
      </c>
      <c r="AJ3373" t="s">
        <v>2114</v>
      </c>
      <c r="AK3373" s="115">
        <v>15</v>
      </c>
      <c r="AL3373" s="115" t="s">
        <v>28</v>
      </c>
      <c r="AM3373" s="115" t="s">
        <v>1843</v>
      </c>
      <c r="AN3373" s="115" t="s">
        <v>1626</v>
      </c>
      <c r="AO3373" s="115" t="s">
        <v>1644</v>
      </c>
    </row>
    <row r="3374" spans="35:41" ht="13">
      <c r="AI3374" s="115" t="s">
        <v>1415</v>
      </c>
      <c r="AJ3374" t="s">
        <v>2114</v>
      </c>
      <c r="AK3374" s="115">
        <v>15</v>
      </c>
      <c r="AL3374" s="115" t="s">
        <v>28</v>
      </c>
      <c r="AM3374" s="115" t="s">
        <v>1850</v>
      </c>
      <c r="AN3374" s="115" t="s">
        <v>1626</v>
      </c>
      <c r="AO3374" s="115" t="s">
        <v>1644</v>
      </c>
    </row>
    <row r="3375" spans="35:41" ht="13">
      <c r="AI3375" s="115" t="s">
        <v>1415</v>
      </c>
      <c r="AJ3375" t="s">
        <v>2114</v>
      </c>
      <c r="AK3375" s="115">
        <v>15</v>
      </c>
      <c r="AL3375" s="115" t="s">
        <v>28</v>
      </c>
      <c r="AM3375" s="115" t="s">
        <v>1848</v>
      </c>
      <c r="AN3375" s="115" t="s">
        <v>1626</v>
      </c>
      <c r="AO3375" s="115" t="s">
        <v>1644</v>
      </c>
    </row>
    <row r="3376" spans="35:41" ht="13">
      <c r="AI3376" s="115" t="s">
        <v>1415</v>
      </c>
      <c r="AJ3376" t="s">
        <v>2114</v>
      </c>
      <c r="AK3376" s="115">
        <v>15</v>
      </c>
      <c r="AL3376" s="115" t="s">
        <v>28</v>
      </c>
      <c r="AM3376" s="115" t="s">
        <v>1832</v>
      </c>
      <c r="AN3376" s="115" t="s">
        <v>1626</v>
      </c>
      <c r="AO3376" s="115" t="s">
        <v>1644</v>
      </c>
    </row>
    <row r="3377" spans="35:41" ht="13">
      <c r="AI3377" s="115" t="s">
        <v>1415</v>
      </c>
      <c r="AJ3377" t="s">
        <v>2114</v>
      </c>
      <c r="AK3377" s="115">
        <v>15</v>
      </c>
      <c r="AL3377" s="115" t="s">
        <v>28</v>
      </c>
      <c r="AM3377" s="115" t="s">
        <v>1832</v>
      </c>
      <c r="AN3377" s="115" t="s">
        <v>1626</v>
      </c>
      <c r="AO3377" s="115" t="s">
        <v>1274</v>
      </c>
    </row>
    <row r="3378" spans="35:41" ht="13">
      <c r="AI3378" s="115" t="s">
        <v>1415</v>
      </c>
      <c r="AJ3378" t="s">
        <v>2114</v>
      </c>
      <c r="AK3378" s="115">
        <v>15</v>
      </c>
      <c r="AL3378" s="115" t="s">
        <v>28</v>
      </c>
      <c r="AM3378" s="115" t="s">
        <v>1846</v>
      </c>
      <c r="AN3378" s="115" t="s">
        <v>1626</v>
      </c>
      <c r="AO3378" s="115" t="s">
        <v>1274</v>
      </c>
    </row>
    <row r="3379" spans="35:41" ht="13">
      <c r="AI3379" s="115" t="s">
        <v>1415</v>
      </c>
      <c r="AJ3379" t="s">
        <v>2114</v>
      </c>
      <c r="AK3379" s="115">
        <v>15</v>
      </c>
      <c r="AL3379" s="115" t="s">
        <v>28</v>
      </c>
      <c r="AM3379" s="115" t="s">
        <v>1849</v>
      </c>
      <c r="AN3379" s="115" t="s">
        <v>1626</v>
      </c>
      <c r="AO3379" s="115" t="s">
        <v>1274</v>
      </c>
    </row>
    <row r="3380" spans="35:41" ht="13">
      <c r="AI3380" s="115" t="s">
        <v>1415</v>
      </c>
      <c r="AJ3380" t="s">
        <v>2114</v>
      </c>
      <c r="AK3380" s="115">
        <v>15</v>
      </c>
      <c r="AL3380" s="115" t="s">
        <v>28</v>
      </c>
      <c r="AM3380" s="115" t="s">
        <v>1848</v>
      </c>
      <c r="AN3380" s="115" t="s">
        <v>1626</v>
      </c>
      <c r="AO3380" s="115" t="s">
        <v>1274</v>
      </c>
    </row>
    <row r="3381" spans="35:41" ht="13">
      <c r="AI3381" s="115" t="s">
        <v>1415</v>
      </c>
      <c r="AJ3381" t="s">
        <v>2114</v>
      </c>
      <c r="AK3381" s="115">
        <v>15</v>
      </c>
      <c r="AL3381" s="115" t="s">
        <v>28</v>
      </c>
      <c r="AM3381" s="115" t="s">
        <v>1850</v>
      </c>
      <c r="AN3381" s="115" t="s">
        <v>1626</v>
      </c>
      <c r="AO3381" s="115" t="s">
        <v>1274</v>
      </c>
    </row>
    <row r="3382" spans="35:41" ht="13">
      <c r="AI3382" s="115" t="s">
        <v>1415</v>
      </c>
      <c r="AJ3382" t="s">
        <v>2114</v>
      </c>
      <c r="AK3382" s="115">
        <v>15</v>
      </c>
      <c r="AL3382" s="115" t="s">
        <v>28</v>
      </c>
      <c r="AM3382" s="115" t="s">
        <v>1843</v>
      </c>
      <c r="AN3382" s="115" t="s">
        <v>1626</v>
      </c>
      <c r="AO3382" s="115" t="s">
        <v>1274</v>
      </c>
    </row>
    <row r="3383" spans="35:41" ht="13">
      <c r="AI3383" s="115" t="s">
        <v>1415</v>
      </c>
      <c r="AJ3383" t="s">
        <v>2114</v>
      </c>
      <c r="AK3383" s="115">
        <v>15</v>
      </c>
      <c r="AL3383" s="115" t="s">
        <v>28</v>
      </c>
      <c r="AM3383" s="115" t="s">
        <v>1849</v>
      </c>
      <c r="AN3383" s="115" t="s">
        <v>1626</v>
      </c>
      <c r="AO3383" s="115" t="s">
        <v>381</v>
      </c>
    </row>
    <row r="3384" spans="35:41" ht="13">
      <c r="AI3384" s="115" t="s">
        <v>1415</v>
      </c>
      <c r="AJ3384" t="s">
        <v>2114</v>
      </c>
      <c r="AK3384" s="115">
        <v>15</v>
      </c>
      <c r="AL3384" s="115" t="s">
        <v>28</v>
      </c>
      <c r="AM3384" s="115" t="s">
        <v>1843</v>
      </c>
      <c r="AN3384" s="115" t="s">
        <v>1626</v>
      </c>
      <c r="AO3384" s="115" t="s">
        <v>381</v>
      </c>
    </row>
    <row r="3385" spans="35:41" ht="13">
      <c r="AI3385" s="115" t="s">
        <v>1415</v>
      </c>
      <c r="AJ3385" t="s">
        <v>2114</v>
      </c>
      <c r="AK3385" s="115">
        <v>15</v>
      </c>
      <c r="AL3385" s="115" t="s">
        <v>28</v>
      </c>
      <c r="AM3385" s="115" t="s">
        <v>1832</v>
      </c>
      <c r="AN3385" s="115" t="s">
        <v>1626</v>
      </c>
      <c r="AO3385" s="115" t="s">
        <v>381</v>
      </c>
    </row>
    <row r="3386" spans="35:41" ht="13">
      <c r="AI3386" s="115" t="s">
        <v>1415</v>
      </c>
      <c r="AJ3386" t="s">
        <v>2114</v>
      </c>
      <c r="AK3386" s="115">
        <v>15</v>
      </c>
      <c r="AL3386" s="115" t="s">
        <v>28</v>
      </c>
      <c r="AM3386" s="115" t="s">
        <v>1846</v>
      </c>
      <c r="AN3386" s="115" t="s">
        <v>1626</v>
      </c>
      <c r="AO3386" s="115" t="s">
        <v>381</v>
      </c>
    </row>
    <row r="3387" spans="35:41" ht="13">
      <c r="AI3387" s="115" t="s">
        <v>1415</v>
      </c>
      <c r="AJ3387" t="s">
        <v>2114</v>
      </c>
      <c r="AK3387" s="115">
        <v>15</v>
      </c>
      <c r="AL3387" s="115" t="s">
        <v>28</v>
      </c>
      <c r="AM3387" s="115" t="s">
        <v>1850</v>
      </c>
      <c r="AN3387" s="115" t="s">
        <v>1626</v>
      </c>
      <c r="AO3387" s="115" t="s">
        <v>381</v>
      </c>
    </row>
    <row r="3388" spans="35:41" ht="13">
      <c r="AI3388" s="115" t="s">
        <v>1415</v>
      </c>
      <c r="AJ3388" t="s">
        <v>2114</v>
      </c>
      <c r="AK3388" s="115">
        <v>15</v>
      </c>
      <c r="AL3388" s="115" t="s">
        <v>28</v>
      </c>
      <c r="AM3388" s="115" t="s">
        <v>1848</v>
      </c>
      <c r="AN3388" s="115" t="s">
        <v>1626</v>
      </c>
      <c r="AO3388" s="115" t="s">
        <v>381</v>
      </c>
    </row>
    <row r="3389" spans="35:41" ht="13">
      <c r="AI3389" s="115" t="s">
        <v>1415</v>
      </c>
      <c r="AJ3389" t="s">
        <v>2114</v>
      </c>
      <c r="AK3389" s="115">
        <v>15</v>
      </c>
      <c r="AL3389" s="115" t="s">
        <v>28</v>
      </c>
      <c r="AM3389" s="115" t="s">
        <v>1846</v>
      </c>
      <c r="AN3389" s="115" t="s">
        <v>1626</v>
      </c>
      <c r="AO3389" s="115" t="s">
        <v>379</v>
      </c>
    </row>
    <row r="3390" spans="35:41" ht="13">
      <c r="AI3390" s="115" t="s">
        <v>1415</v>
      </c>
      <c r="AJ3390" t="s">
        <v>2114</v>
      </c>
      <c r="AK3390" s="115">
        <v>15</v>
      </c>
      <c r="AL3390" s="115" t="s">
        <v>28</v>
      </c>
      <c r="AM3390" s="115" t="s">
        <v>1843</v>
      </c>
      <c r="AN3390" s="115" t="s">
        <v>1626</v>
      </c>
      <c r="AO3390" s="115" t="s">
        <v>379</v>
      </c>
    </row>
    <row r="3391" spans="35:41" ht="13">
      <c r="AI3391" s="115" t="s">
        <v>1415</v>
      </c>
      <c r="AJ3391" t="s">
        <v>2114</v>
      </c>
      <c r="AK3391" s="115">
        <v>15</v>
      </c>
      <c r="AL3391" s="115" t="s">
        <v>28</v>
      </c>
      <c r="AM3391" s="115" t="s">
        <v>1850</v>
      </c>
      <c r="AN3391" s="115" t="s">
        <v>1626</v>
      </c>
      <c r="AO3391" s="115" t="s">
        <v>379</v>
      </c>
    </row>
    <row r="3392" spans="35:41" ht="13">
      <c r="AI3392" s="115" t="s">
        <v>1415</v>
      </c>
      <c r="AJ3392" t="s">
        <v>2114</v>
      </c>
      <c r="AK3392" s="115">
        <v>15</v>
      </c>
      <c r="AL3392" s="115" t="s">
        <v>28</v>
      </c>
      <c r="AM3392" s="115" t="s">
        <v>1832</v>
      </c>
      <c r="AN3392" s="115" t="s">
        <v>1626</v>
      </c>
      <c r="AO3392" s="115" t="s">
        <v>379</v>
      </c>
    </row>
    <row r="3393" spans="35:41" ht="13">
      <c r="AI3393" s="115" t="s">
        <v>1415</v>
      </c>
      <c r="AJ3393" t="s">
        <v>2114</v>
      </c>
      <c r="AK3393" s="115">
        <v>15</v>
      </c>
      <c r="AL3393" s="115" t="s">
        <v>28</v>
      </c>
      <c r="AM3393" s="115" t="s">
        <v>1849</v>
      </c>
      <c r="AN3393" s="115" t="s">
        <v>1626</v>
      </c>
      <c r="AO3393" s="115" t="s">
        <v>379</v>
      </c>
    </row>
    <row r="3394" spans="35:41" ht="13">
      <c r="AI3394" s="115" t="s">
        <v>1415</v>
      </c>
      <c r="AJ3394" t="s">
        <v>2114</v>
      </c>
      <c r="AK3394" s="115">
        <v>15</v>
      </c>
      <c r="AL3394" s="115" t="s">
        <v>28</v>
      </c>
      <c r="AM3394" s="115" t="s">
        <v>1848</v>
      </c>
      <c r="AN3394" s="115" t="s">
        <v>1626</v>
      </c>
      <c r="AO3394" s="115" t="s">
        <v>379</v>
      </c>
    </row>
    <row r="3395" spans="35:41" ht="13">
      <c r="AI3395" s="115" t="s">
        <v>1415</v>
      </c>
      <c r="AJ3395" t="s">
        <v>2114</v>
      </c>
      <c r="AK3395" s="115">
        <v>15</v>
      </c>
      <c r="AL3395" s="115" t="s">
        <v>28</v>
      </c>
      <c r="AM3395" s="115" t="s">
        <v>1846</v>
      </c>
      <c r="AN3395" s="115" t="s">
        <v>1626</v>
      </c>
      <c r="AO3395" s="115" t="s">
        <v>1645</v>
      </c>
    </row>
    <row r="3396" spans="35:41" ht="13">
      <c r="AI3396" s="115" t="s">
        <v>1415</v>
      </c>
      <c r="AJ3396" t="s">
        <v>2114</v>
      </c>
      <c r="AK3396" s="115">
        <v>15</v>
      </c>
      <c r="AL3396" s="115" t="s">
        <v>28</v>
      </c>
      <c r="AM3396" s="115" t="s">
        <v>1850</v>
      </c>
      <c r="AN3396" s="115" t="s">
        <v>1626</v>
      </c>
      <c r="AO3396" s="115" t="s">
        <v>1645</v>
      </c>
    </row>
    <row r="3397" spans="35:41" ht="13">
      <c r="AI3397" s="115" t="s">
        <v>1415</v>
      </c>
      <c r="AJ3397" t="s">
        <v>2114</v>
      </c>
      <c r="AK3397" s="115">
        <v>15</v>
      </c>
      <c r="AL3397" s="115" t="s">
        <v>28</v>
      </c>
      <c r="AM3397" s="115" t="s">
        <v>1849</v>
      </c>
      <c r="AN3397" s="115" t="s">
        <v>1626</v>
      </c>
      <c r="AO3397" s="115" t="s">
        <v>1645</v>
      </c>
    </row>
    <row r="3398" spans="35:41" ht="13">
      <c r="AI3398" s="115" t="s">
        <v>1415</v>
      </c>
      <c r="AJ3398" t="s">
        <v>2114</v>
      </c>
      <c r="AK3398" s="115">
        <v>15</v>
      </c>
      <c r="AL3398" s="115" t="s">
        <v>28</v>
      </c>
      <c r="AM3398" s="115" t="s">
        <v>1843</v>
      </c>
      <c r="AN3398" s="115" t="s">
        <v>1626</v>
      </c>
      <c r="AO3398" s="115" t="s">
        <v>1645</v>
      </c>
    </row>
    <row r="3399" spans="35:41" ht="13">
      <c r="AI3399" s="115" t="s">
        <v>1415</v>
      </c>
      <c r="AJ3399" t="s">
        <v>2114</v>
      </c>
      <c r="AK3399" s="115">
        <v>15</v>
      </c>
      <c r="AL3399" s="115" t="s">
        <v>28</v>
      </c>
      <c r="AM3399" s="115" t="s">
        <v>1832</v>
      </c>
      <c r="AN3399" s="115" t="s">
        <v>1626</v>
      </c>
      <c r="AO3399" s="115" t="s">
        <v>1645</v>
      </c>
    </row>
    <row r="3400" spans="35:41" ht="13">
      <c r="AI3400" s="115" t="s">
        <v>1415</v>
      </c>
      <c r="AJ3400" t="s">
        <v>2114</v>
      </c>
      <c r="AK3400" s="115">
        <v>15</v>
      </c>
      <c r="AL3400" s="115" t="s">
        <v>28</v>
      </c>
      <c r="AM3400" s="115" t="s">
        <v>1848</v>
      </c>
      <c r="AN3400" s="115" t="s">
        <v>1626</v>
      </c>
      <c r="AO3400" s="115" t="s">
        <v>1645</v>
      </c>
    </row>
    <row r="3401" spans="35:41" ht="13">
      <c r="AI3401" s="115" t="s">
        <v>1415</v>
      </c>
      <c r="AJ3401" t="s">
        <v>2114</v>
      </c>
      <c r="AK3401" s="115">
        <v>15</v>
      </c>
      <c r="AL3401" s="115" t="s">
        <v>28</v>
      </c>
      <c r="AM3401" s="115" t="s">
        <v>1846</v>
      </c>
      <c r="AN3401" s="115" t="s">
        <v>1626</v>
      </c>
      <c r="AO3401" s="115" t="s">
        <v>1646</v>
      </c>
    </row>
    <row r="3402" spans="35:41" ht="13">
      <c r="AI3402" s="115" t="s">
        <v>1415</v>
      </c>
      <c r="AJ3402" t="s">
        <v>2114</v>
      </c>
      <c r="AK3402" s="115">
        <v>15</v>
      </c>
      <c r="AL3402" s="115" t="s">
        <v>28</v>
      </c>
      <c r="AM3402" s="115" t="s">
        <v>1843</v>
      </c>
      <c r="AN3402" s="115" t="s">
        <v>1626</v>
      </c>
      <c r="AO3402" s="115" t="s">
        <v>1646</v>
      </c>
    </row>
    <row r="3403" spans="35:41" ht="13">
      <c r="AI3403" s="115" t="s">
        <v>1415</v>
      </c>
      <c r="AJ3403" t="s">
        <v>2114</v>
      </c>
      <c r="AK3403" s="115">
        <v>15</v>
      </c>
      <c r="AL3403" s="115" t="s">
        <v>28</v>
      </c>
      <c r="AM3403" s="115" t="s">
        <v>1843</v>
      </c>
      <c r="AN3403" s="115" t="s">
        <v>1626</v>
      </c>
      <c r="AO3403" s="115" t="s">
        <v>1647</v>
      </c>
    </row>
    <row r="3404" spans="35:41" ht="13">
      <c r="AI3404" s="115" t="s">
        <v>1415</v>
      </c>
      <c r="AJ3404" t="s">
        <v>2114</v>
      </c>
      <c r="AK3404" s="115">
        <v>15</v>
      </c>
      <c r="AL3404" s="115" t="s">
        <v>28</v>
      </c>
      <c r="AM3404" s="115" t="s">
        <v>1846</v>
      </c>
      <c r="AN3404" s="115" t="s">
        <v>1626</v>
      </c>
      <c r="AO3404" s="115" t="s">
        <v>1647</v>
      </c>
    </row>
    <row r="3405" spans="35:41" ht="13">
      <c r="AI3405" s="115" t="s">
        <v>1415</v>
      </c>
      <c r="AJ3405" t="s">
        <v>2114</v>
      </c>
      <c r="AK3405" s="115">
        <v>15</v>
      </c>
      <c r="AL3405" s="115" t="s">
        <v>28</v>
      </c>
      <c r="AM3405" s="115" t="s">
        <v>1843</v>
      </c>
      <c r="AN3405" s="115" t="s">
        <v>1626</v>
      </c>
      <c r="AO3405" s="115" t="s">
        <v>1639</v>
      </c>
    </row>
    <row r="3406" spans="35:41" ht="13">
      <c r="AI3406" s="115" t="s">
        <v>1415</v>
      </c>
      <c r="AJ3406" t="s">
        <v>2114</v>
      </c>
      <c r="AK3406" s="115">
        <v>15</v>
      </c>
      <c r="AL3406" s="115" t="s">
        <v>28</v>
      </c>
      <c r="AM3406" s="115" t="s">
        <v>1846</v>
      </c>
      <c r="AN3406" s="115" t="s">
        <v>1626</v>
      </c>
      <c r="AO3406" s="115" t="s">
        <v>1639</v>
      </c>
    </row>
    <row r="3407" spans="35:41" ht="13">
      <c r="AI3407" s="115" t="s">
        <v>1415</v>
      </c>
      <c r="AJ3407" t="s">
        <v>2114</v>
      </c>
      <c r="AK3407" s="115">
        <v>15</v>
      </c>
      <c r="AL3407" s="115" t="s">
        <v>28</v>
      </c>
      <c r="AM3407" s="115" t="s">
        <v>1843</v>
      </c>
      <c r="AN3407" s="115" t="s">
        <v>1626</v>
      </c>
      <c r="AO3407" s="115" t="s">
        <v>373</v>
      </c>
    </row>
    <row r="3408" spans="35:41" ht="13">
      <c r="AI3408" s="115" t="s">
        <v>1415</v>
      </c>
      <c r="AJ3408" t="s">
        <v>2114</v>
      </c>
      <c r="AK3408" s="115">
        <v>15</v>
      </c>
      <c r="AL3408" s="115" t="s">
        <v>28</v>
      </c>
      <c r="AM3408" s="115" t="s">
        <v>1846</v>
      </c>
      <c r="AN3408" s="115" t="s">
        <v>1626</v>
      </c>
      <c r="AO3408" s="115" t="s">
        <v>373</v>
      </c>
    </row>
    <row r="3409" spans="35:41" ht="13">
      <c r="AI3409" s="115" t="s">
        <v>1415</v>
      </c>
      <c r="AJ3409" t="s">
        <v>2114</v>
      </c>
      <c r="AK3409" s="115">
        <v>15</v>
      </c>
      <c r="AL3409" s="115" t="s">
        <v>28</v>
      </c>
      <c r="AM3409" s="115" t="s">
        <v>1848</v>
      </c>
      <c r="AN3409" s="115" t="s">
        <v>1626</v>
      </c>
      <c r="AO3409" s="115" t="s">
        <v>373</v>
      </c>
    </row>
    <row r="3410" spans="35:41" ht="13">
      <c r="AI3410" s="115" t="s">
        <v>1415</v>
      </c>
      <c r="AJ3410" t="s">
        <v>2114</v>
      </c>
      <c r="AK3410" s="115">
        <v>15</v>
      </c>
      <c r="AL3410" s="115" t="s">
        <v>28</v>
      </c>
      <c r="AM3410" s="115" t="s">
        <v>1850</v>
      </c>
      <c r="AN3410" s="115" t="s">
        <v>1626</v>
      </c>
      <c r="AO3410" s="115" t="s">
        <v>373</v>
      </c>
    </row>
    <row r="3411" spans="35:41" ht="13">
      <c r="AI3411" s="115" t="s">
        <v>1415</v>
      </c>
      <c r="AJ3411" t="s">
        <v>2114</v>
      </c>
      <c r="AK3411" s="115">
        <v>15</v>
      </c>
      <c r="AL3411" s="115" t="s">
        <v>28</v>
      </c>
      <c r="AM3411" s="115" t="s">
        <v>1832</v>
      </c>
      <c r="AN3411" s="115" t="s">
        <v>1626</v>
      </c>
      <c r="AO3411" s="115" t="s">
        <v>373</v>
      </c>
    </row>
    <row r="3412" spans="35:41" ht="13">
      <c r="AI3412" s="115" t="s">
        <v>1415</v>
      </c>
      <c r="AJ3412" t="s">
        <v>2114</v>
      </c>
      <c r="AK3412" s="115">
        <v>15</v>
      </c>
      <c r="AL3412" s="115" t="s">
        <v>28</v>
      </c>
      <c r="AM3412" s="115" t="s">
        <v>1849</v>
      </c>
      <c r="AN3412" s="115" t="s">
        <v>1626</v>
      </c>
      <c r="AO3412" s="115" t="s">
        <v>373</v>
      </c>
    </row>
    <row r="3413" spans="35:41" ht="13">
      <c r="AI3413" s="115" t="s">
        <v>1415</v>
      </c>
      <c r="AJ3413" t="s">
        <v>2114</v>
      </c>
      <c r="AK3413" s="115">
        <v>15</v>
      </c>
      <c r="AL3413" s="115" t="s">
        <v>28</v>
      </c>
      <c r="AM3413" s="115" t="s">
        <v>1843</v>
      </c>
      <c r="AN3413" s="115" t="s">
        <v>1626</v>
      </c>
      <c r="AO3413" s="115" t="s">
        <v>380</v>
      </c>
    </row>
    <row r="3414" spans="35:41" ht="13">
      <c r="AI3414" s="115" t="s">
        <v>1415</v>
      </c>
      <c r="AJ3414" t="s">
        <v>2114</v>
      </c>
      <c r="AK3414" s="115">
        <v>15</v>
      </c>
      <c r="AL3414" s="115" t="s">
        <v>28</v>
      </c>
      <c r="AM3414" s="115" t="s">
        <v>1848</v>
      </c>
      <c r="AN3414" s="115" t="s">
        <v>1626</v>
      </c>
      <c r="AO3414" s="115" t="s">
        <v>380</v>
      </c>
    </row>
    <row r="3415" spans="35:41" ht="13">
      <c r="AI3415" s="115" t="s">
        <v>1415</v>
      </c>
      <c r="AJ3415" t="s">
        <v>2114</v>
      </c>
      <c r="AK3415" s="115">
        <v>15</v>
      </c>
      <c r="AL3415" s="115" t="s">
        <v>28</v>
      </c>
      <c r="AM3415" s="115" t="s">
        <v>1849</v>
      </c>
      <c r="AN3415" s="115" t="s">
        <v>1626</v>
      </c>
      <c r="AO3415" s="115" t="s">
        <v>380</v>
      </c>
    </row>
    <row r="3416" spans="35:41" ht="13">
      <c r="AI3416" s="115" t="s">
        <v>1415</v>
      </c>
      <c r="AJ3416" t="s">
        <v>2114</v>
      </c>
      <c r="AK3416" s="115">
        <v>15</v>
      </c>
      <c r="AL3416" s="115" t="s">
        <v>28</v>
      </c>
      <c r="AM3416" s="115" t="s">
        <v>1832</v>
      </c>
      <c r="AN3416" s="115" t="s">
        <v>1626</v>
      </c>
      <c r="AO3416" s="115" t="s">
        <v>380</v>
      </c>
    </row>
    <row r="3417" spans="35:41" ht="13">
      <c r="AI3417" s="115" t="s">
        <v>1415</v>
      </c>
      <c r="AJ3417" t="s">
        <v>2114</v>
      </c>
      <c r="AK3417" s="115">
        <v>15</v>
      </c>
      <c r="AL3417" s="115" t="s">
        <v>28</v>
      </c>
      <c r="AM3417" s="115" t="s">
        <v>1850</v>
      </c>
      <c r="AN3417" s="115" t="s">
        <v>1626</v>
      </c>
      <c r="AO3417" s="115" t="s">
        <v>380</v>
      </c>
    </row>
    <row r="3418" spans="35:41" ht="13">
      <c r="AI3418" s="115" t="s">
        <v>1415</v>
      </c>
      <c r="AJ3418" t="s">
        <v>2114</v>
      </c>
      <c r="AK3418" s="115">
        <v>15</v>
      </c>
      <c r="AL3418" s="115" t="s">
        <v>28</v>
      </c>
      <c r="AM3418" s="115" t="s">
        <v>1846</v>
      </c>
      <c r="AN3418" s="115" t="s">
        <v>1626</v>
      </c>
      <c r="AO3418" s="115" t="s">
        <v>380</v>
      </c>
    </row>
    <row r="3419" spans="35:41" ht="13">
      <c r="AI3419" s="115" t="s">
        <v>1415</v>
      </c>
      <c r="AJ3419" t="s">
        <v>2114</v>
      </c>
      <c r="AK3419" s="115">
        <v>15</v>
      </c>
      <c r="AL3419" s="115" t="s">
        <v>28</v>
      </c>
      <c r="AM3419" s="115" t="s">
        <v>1849</v>
      </c>
      <c r="AN3419" s="115" t="s">
        <v>1619</v>
      </c>
      <c r="AO3419" s="115" t="s">
        <v>1274</v>
      </c>
    </row>
    <row r="3420" spans="35:41" ht="13">
      <c r="AI3420" s="115" t="s">
        <v>1415</v>
      </c>
      <c r="AJ3420" t="s">
        <v>2114</v>
      </c>
      <c r="AK3420" s="115">
        <v>15</v>
      </c>
      <c r="AL3420" s="115" t="s">
        <v>28</v>
      </c>
      <c r="AM3420" s="115" t="s">
        <v>1850</v>
      </c>
      <c r="AN3420" s="115" t="s">
        <v>1619</v>
      </c>
      <c r="AO3420" s="115" t="s">
        <v>1274</v>
      </c>
    </row>
    <row r="3421" spans="35:41" ht="13">
      <c r="AI3421" s="115" t="s">
        <v>1415</v>
      </c>
      <c r="AJ3421" t="s">
        <v>2114</v>
      </c>
      <c r="AK3421" s="115">
        <v>15</v>
      </c>
      <c r="AL3421" s="115" t="s">
        <v>28</v>
      </c>
      <c r="AM3421" s="115" t="s">
        <v>1832</v>
      </c>
      <c r="AN3421" s="115" t="s">
        <v>1619</v>
      </c>
      <c r="AO3421" s="115" t="s">
        <v>1274</v>
      </c>
    </row>
    <row r="3422" spans="35:41" ht="13">
      <c r="AI3422" s="115" t="s">
        <v>1415</v>
      </c>
      <c r="AJ3422" t="s">
        <v>2114</v>
      </c>
      <c r="AK3422" s="115">
        <v>15</v>
      </c>
      <c r="AL3422" s="115" t="s">
        <v>28</v>
      </c>
      <c r="AM3422" s="115" t="s">
        <v>1848</v>
      </c>
      <c r="AN3422" s="115" t="s">
        <v>1619</v>
      </c>
      <c r="AO3422" s="115" t="s">
        <v>1274</v>
      </c>
    </row>
    <row r="3423" spans="35:41" ht="13">
      <c r="AI3423" s="115" t="s">
        <v>1415</v>
      </c>
      <c r="AJ3423" t="s">
        <v>2114</v>
      </c>
      <c r="AK3423" s="115">
        <v>15</v>
      </c>
      <c r="AL3423" s="115" t="s">
        <v>28</v>
      </c>
      <c r="AM3423" s="115" t="s">
        <v>1843</v>
      </c>
      <c r="AN3423" s="115" t="s">
        <v>1619</v>
      </c>
      <c r="AO3423" s="115" t="s">
        <v>1274</v>
      </c>
    </row>
    <row r="3424" spans="35:41" ht="13">
      <c r="AI3424" s="115" t="s">
        <v>1415</v>
      </c>
      <c r="AJ3424" t="s">
        <v>2114</v>
      </c>
      <c r="AK3424" s="115">
        <v>15</v>
      </c>
      <c r="AL3424" s="115" t="s">
        <v>28</v>
      </c>
      <c r="AM3424" s="115" t="s">
        <v>1846</v>
      </c>
      <c r="AN3424" s="115" t="s">
        <v>1619</v>
      </c>
      <c r="AO3424" s="115" t="s">
        <v>1274</v>
      </c>
    </row>
    <row r="3425" spans="35:41" ht="13">
      <c r="AI3425" s="115" t="s">
        <v>1415</v>
      </c>
      <c r="AJ3425" t="s">
        <v>2114</v>
      </c>
      <c r="AK3425" s="115">
        <v>15</v>
      </c>
      <c r="AL3425" s="115" t="s">
        <v>28</v>
      </c>
      <c r="AM3425" s="115" t="s">
        <v>1832</v>
      </c>
      <c r="AN3425" s="115" t="s">
        <v>1619</v>
      </c>
      <c r="AO3425" s="115" t="s">
        <v>379</v>
      </c>
    </row>
    <row r="3426" spans="35:41" ht="13">
      <c r="AI3426" s="115" t="s">
        <v>1415</v>
      </c>
      <c r="AJ3426" t="s">
        <v>2114</v>
      </c>
      <c r="AK3426" s="115">
        <v>15</v>
      </c>
      <c r="AL3426" s="115" t="s">
        <v>28</v>
      </c>
      <c r="AM3426" s="115" t="s">
        <v>1843</v>
      </c>
      <c r="AN3426" s="115" t="s">
        <v>1619</v>
      </c>
      <c r="AO3426" s="115" t="s">
        <v>379</v>
      </c>
    </row>
    <row r="3427" spans="35:41" ht="13">
      <c r="AI3427" s="115" t="s">
        <v>1415</v>
      </c>
      <c r="AJ3427" t="s">
        <v>2114</v>
      </c>
      <c r="AK3427" s="115">
        <v>15</v>
      </c>
      <c r="AL3427" s="115" t="s">
        <v>28</v>
      </c>
      <c r="AM3427" s="115" t="s">
        <v>1848</v>
      </c>
      <c r="AN3427" s="115" t="s">
        <v>1619</v>
      </c>
      <c r="AO3427" s="115" t="s">
        <v>379</v>
      </c>
    </row>
    <row r="3428" spans="35:41" ht="13">
      <c r="AI3428" s="115" t="s">
        <v>1415</v>
      </c>
      <c r="AJ3428" t="s">
        <v>2114</v>
      </c>
      <c r="AK3428" s="115">
        <v>15</v>
      </c>
      <c r="AL3428" s="115" t="s">
        <v>28</v>
      </c>
      <c r="AM3428" s="115" t="s">
        <v>1850</v>
      </c>
      <c r="AN3428" s="115" t="s">
        <v>1619</v>
      </c>
      <c r="AO3428" s="115" t="s">
        <v>379</v>
      </c>
    </row>
    <row r="3429" spans="35:41" ht="13">
      <c r="AI3429" s="115" t="s">
        <v>1415</v>
      </c>
      <c r="AJ3429" t="s">
        <v>2114</v>
      </c>
      <c r="AK3429" s="115">
        <v>15</v>
      </c>
      <c r="AL3429" s="115" t="s">
        <v>28</v>
      </c>
      <c r="AM3429" s="115" t="s">
        <v>1846</v>
      </c>
      <c r="AN3429" s="115" t="s">
        <v>1619</v>
      </c>
      <c r="AO3429" s="115" t="s">
        <v>379</v>
      </c>
    </row>
    <row r="3430" spans="35:41" ht="13">
      <c r="AI3430" s="115" t="s">
        <v>1415</v>
      </c>
      <c r="AJ3430" t="s">
        <v>2114</v>
      </c>
      <c r="AK3430" s="115">
        <v>15</v>
      </c>
      <c r="AL3430" s="115" t="s">
        <v>28</v>
      </c>
      <c r="AM3430" s="115" t="s">
        <v>1849</v>
      </c>
      <c r="AN3430" s="115" t="s">
        <v>1619</v>
      </c>
      <c r="AO3430" s="115" t="s">
        <v>379</v>
      </c>
    </row>
    <row r="3431" spans="35:41" ht="13">
      <c r="AI3431" s="115" t="s">
        <v>1415</v>
      </c>
      <c r="AJ3431" t="s">
        <v>2114</v>
      </c>
      <c r="AK3431" s="115">
        <v>15</v>
      </c>
      <c r="AL3431" s="115" t="s">
        <v>28</v>
      </c>
      <c r="AM3431" s="115" t="s">
        <v>1846</v>
      </c>
      <c r="AN3431" s="115" t="s">
        <v>1619</v>
      </c>
      <c r="AO3431" s="115" t="s">
        <v>1639</v>
      </c>
    </row>
    <row r="3432" spans="35:41" ht="13">
      <c r="AI3432" s="115" t="s">
        <v>1415</v>
      </c>
      <c r="AJ3432" t="s">
        <v>2114</v>
      </c>
      <c r="AK3432" s="115">
        <v>15</v>
      </c>
      <c r="AL3432" s="115" t="s">
        <v>28</v>
      </c>
      <c r="AM3432" s="115" t="s">
        <v>1843</v>
      </c>
      <c r="AN3432" s="115" t="s">
        <v>1619</v>
      </c>
      <c r="AO3432" s="115" t="s">
        <v>1639</v>
      </c>
    </row>
    <row r="3433" spans="35:41" ht="13">
      <c r="AI3433" s="115" t="s">
        <v>1415</v>
      </c>
      <c r="AJ3433" t="s">
        <v>2114</v>
      </c>
      <c r="AK3433" s="115">
        <v>15</v>
      </c>
      <c r="AL3433" s="115" t="s">
        <v>28</v>
      </c>
      <c r="AM3433" s="115" t="s">
        <v>1849</v>
      </c>
      <c r="AN3433" s="115" t="s">
        <v>1619</v>
      </c>
      <c r="AO3433" s="115" t="s">
        <v>380</v>
      </c>
    </row>
    <row r="3434" spans="35:41" ht="13">
      <c r="AI3434" s="115" t="s">
        <v>1415</v>
      </c>
      <c r="AJ3434" t="s">
        <v>2114</v>
      </c>
      <c r="AK3434" s="115">
        <v>15</v>
      </c>
      <c r="AL3434" s="115" t="s">
        <v>28</v>
      </c>
      <c r="AM3434" s="115" t="s">
        <v>1832</v>
      </c>
      <c r="AN3434" s="115" t="s">
        <v>1619</v>
      </c>
      <c r="AO3434" s="115" t="s">
        <v>380</v>
      </c>
    </row>
    <row r="3435" spans="35:41" ht="13">
      <c r="AI3435" s="115" t="s">
        <v>1415</v>
      </c>
      <c r="AJ3435" t="s">
        <v>2114</v>
      </c>
      <c r="AK3435" s="115">
        <v>15</v>
      </c>
      <c r="AL3435" s="115" t="s">
        <v>28</v>
      </c>
      <c r="AM3435" s="115" t="s">
        <v>1846</v>
      </c>
      <c r="AN3435" s="115" t="s">
        <v>1619</v>
      </c>
      <c r="AO3435" s="115" t="s">
        <v>380</v>
      </c>
    </row>
    <row r="3436" spans="35:41" ht="13">
      <c r="AI3436" s="115" t="s">
        <v>1415</v>
      </c>
      <c r="AJ3436" t="s">
        <v>2114</v>
      </c>
      <c r="AK3436" s="115">
        <v>15</v>
      </c>
      <c r="AL3436" s="115" t="s">
        <v>28</v>
      </c>
      <c r="AM3436" s="115" t="s">
        <v>1848</v>
      </c>
      <c r="AN3436" s="115" t="s">
        <v>1619</v>
      </c>
      <c r="AO3436" s="115" t="s">
        <v>380</v>
      </c>
    </row>
    <row r="3437" spans="35:41" ht="13">
      <c r="AI3437" s="115" t="s">
        <v>1415</v>
      </c>
      <c r="AJ3437" t="s">
        <v>2114</v>
      </c>
      <c r="AK3437" s="115">
        <v>15</v>
      </c>
      <c r="AL3437" s="115" t="s">
        <v>28</v>
      </c>
      <c r="AM3437" s="115" t="s">
        <v>1843</v>
      </c>
      <c r="AN3437" s="115" t="s">
        <v>1619</v>
      </c>
      <c r="AO3437" s="115" t="s">
        <v>380</v>
      </c>
    </row>
    <row r="3438" spans="35:41" ht="13">
      <c r="AI3438" s="115" t="s">
        <v>1415</v>
      </c>
      <c r="AJ3438" t="s">
        <v>2114</v>
      </c>
      <c r="AK3438" s="115">
        <v>15</v>
      </c>
      <c r="AL3438" s="115" t="s">
        <v>28</v>
      </c>
      <c r="AM3438" s="115" t="s">
        <v>1850</v>
      </c>
      <c r="AN3438" s="115" t="s">
        <v>1619</v>
      </c>
      <c r="AO3438" s="115" t="s">
        <v>380</v>
      </c>
    </row>
    <row r="3439" spans="35:41" ht="13">
      <c r="AI3439" s="115" t="s">
        <v>1415</v>
      </c>
      <c r="AJ3439" t="s">
        <v>2114</v>
      </c>
      <c r="AK3439" s="115">
        <v>15</v>
      </c>
      <c r="AL3439" s="115" t="s">
        <v>28</v>
      </c>
      <c r="AM3439" s="115" t="s">
        <v>1846</v>
      </c>
      <c r="AN3439" s="115" t="s">
        <v>1420</v>
      </c>
      <c r="AO3439" s="115" t="s">
        <v>1643</v>
      </c>
    </row>
    <row r="3440" spans="35:41" ht="13">
      <c r="AI3440" s="115" t="s">
        <v>1415</v>
      </c>
      <c r="AJ3440" t="s">
        <v>2114</v>
      </c>
      <c r="AK3440" s="115">
        <v>15</v>
      </c>
      <c r="AL3440" s="115" t="s">
        <v>28</v>
      </c>
      <c r="AM3440" s="115" t="s">
        <v>1848</v>
      </c>
      <c r="AN3440" s="115" t="s">
        <v>1420</v>
      </c>
      <c r="AO3440" s="115" t="s">
        <v>1643</v>
      </c>
    </row>
    <row r="3441" spans="35:41" ht="13">
      <c r="AI3441" s="115" t="s">
        <v>1415</v>
      </c>
      <c r="AJ3441" t="s">
        <v>2114</v>
      </c>
      <c r="AK3441" s="115">
        <v>15</v>
      </c>
      <c r="AL3441" s="115" t="s">
        <v>28</v>
      </c>
      <c r="AM3441" s="115" t="s">
        <v>1849</v>
      </c>
      <c r="AN3441" s="115" t="s">
        <v>1420</v>
      </c>
      <c r="AO3441" s="115" t="s">
        <v>1643</v>
      </c>
    </row>
    <row r="3442" spans="35:41" ht="13">
      <c r="AI3442" s="115" t="s">
        <v>1415</v>
      </c>
      <c r="AJ3442" t="s">
        <v>2114</v>
      </c>
      <c r="AK3442" s="115">
        <v>15</v>
      </c>
      <c r="AL3442" s="115" t="s">
        <v>28</v>
      </c>
      <c r="AM3442" s="115" t="s">
        <v>1843</v>
      </c>
      <c r="AN3442" s="115" t="s">
        <v>1420</v>
      </c>
      <c r="AO3442" s="115" t="s">
        <v>1643</v>
      </c>
    </row>
    <row r="3443" spans="35:41" ht="13">
      <c r="AI3443" s="115" t="s">
        <v>1415</v>
      </c>
      <c r="AJ3443" t="s">
        <v>2114</v>
      </c>
      <c r="AK3443" s="115">
        <v>15</v>
      </c>
      <c r="AL3443" s="115" t="s">
        <v>28</v>
      </c>
      <c r="AM3443" s="115" t="s">
        <v>1850</v>
      </c>
      <c r="AN3443" s="115" t="s">
        <v>1420</v>
      </c>
      <c r="AO3443" s="115" t="s">
        <v>1643</v>
      </c>
    </row>
    <row r="3444" spans="35:41" ht="13">
      <c r="AI3444" s="115" t="s">
        <v>1415</v>
      </c>
      <c r="AJ3444" t="s">
        <v>2114</v>
      </c>
      <c r="AK3444" s="115">
        <v>15</v>
      </c>
      <c r="AL3444" s="115" t="s">
        <v>28</v>
      </c>
      <c r="AM3444" s="115" t="s">
        <v>1832</v>
      </c>
      <c r="AN3444" s="115" t="s">
        <v>1420</v>
      </c>
      <c r="AO3444" s="115" t="s">
        <v>1643</v>
      </c>
    </row>
    <row r="3445" spans="35:41" ht="13">
      <c r="AI3445" s="115" t="s">
        <v>1415</v>
      </c>
      <c r="AJ3445" t="s">
        <v>2114</v>
      </c>
      <c r="AK3445" s="115">
        <v>15</v>
      </c>
      <c r="AL3445" s="115" t="s">
        <v>1842</v>
      </c>
      <c r="AM3445" s="115" t="s">
        <v>1849</v>
      </c>
      <c r="AN3445" s="115" t="s">
        <v>1419</v>
      </c>
      <c r="AO3445" s="115" t="s">
        <v>1643</v>
      </c>
    </row>
    <row r="3446" spans="35:41" ht="13">
      <c r="AI3446" s="115" t="s">
        <v>1415</v>
      </c>
      <c r="AJ3446" t="s">
        <v>2114</v>
      </c>
      <c r="AK3446" s="115">
        <v>15</v>
      </c>
      <c r="AL3446" s="115" t="s">
        <v>1842</v>
      </c>
      <c r="AM3446" s="115" t="s">
        <v>1848</v>
      </c>
      <c r="AN3446" s="115" t="s">
        <v>1419</v>
      </c>
      <c r="AO3446" s="115" t="s">
        <v>1643</v>
      </c>
    </row>
    <row r="3447" spans="35:41" ht="13">
      <c r="AI3447" s="115" t="s">
        <v>1415</v>
      </c>
      <c r="AJ3447" t="s">
        <v>2114</v>
      </c>
      <c r="AK3447" s="115">
        <v>15</v>
      </c>
      <c r="AL3447" s="115" t="s">
        <v>1842</v>
      </c>
      <c r="AM3447" s="115" t="s">
        <v>1843</v>
      </c>
      <c r="AN3447" s="115" t="s">
        <v>1419</v>
      </c>
      <c r="AO3447" s="115" t="s">
        <v>1643</v>
      </c>
    </row>
    <row r="3448" spans="35:41" ht="13">
      <c r="AI3448" s="115" t="s">
        <v>1415</v>
      </c>
      <c r="AJ3448" t="s">
        <v>2114</v>
      </c>
      <c r="AK3448" s="115">
        <v>15</v>
      </c>
      <c r="AL3448" s="115" t="s">
        <v>1842</v>
      </c>
      <c r="AM3448" s="115" t="s">
        <v>1832</v>
      </c>
      <c r="AN3448" s="115" t="s">
        <v>1419</v>
      </c>
      <c r="AO3448" s="115" t="s">
        <v>1643</v>
      </c>
    </row>
    <row r="3449" spans="35:41" ht="13">
      <c r="AI3449" s="115" t="s">
        <v>1415</v>
      </c>
      <c r="AJ3449" t="s">
        <v>2114</v>
      </c>
      <c r="AK3449" s="115">
        <v>15</v>
      </c>
      <c r="AL3449" s="115" t="s">
        <v>1842</v>
      </c>
      <c r="AM3449" s="115" t="s">
        <v>1846</v>
      </c>
      <c r="AN3449" s="115" t="s">
        <v>1419</v>
      </c>
      <c r="AO3449" s="115" t="s">
        <v>1643</v>
      </c>
    </row>
    <row r="3450" spans="35:41" ht="13">
      <c r="AI3450" s="115" t="s">
        <v>1415</v>
      </c>
      <c r="AJ3450" t="s">
        <v>2114</v>
      </c>
      <c r="AK3450" s="115">
        <v>15</v>
      </c>
      <c r="AL3450" s="115" t="s">
        <v>1842</v>
      </c>
      <c r="AM3450" s="115" t="s">
        <v>1850</v>
      </c>
      <c r="AN3450" s="115" t="s">
        <v>1419</v>
      </c>
      <c r="AO3450" s="115" t="s">
        <v>1643</v>
      </c>
    </row>
    <row r="3451" spans="35:41" ht="13">
      <c r="AI3451" s="115" t="s">
        <v>1415</v>
      </c>
      <c r="AJ3451" t="s">
        <v>2114</v>
      </c>
      <c r="AK3451" s="115">
        <v>15</v>
      </c>
      <c r="AL3451" s="115" t="s">
        <v>1842</v>
      </c>
      <c r="AM3451" s="115" t="s">
        <v>1843</v>
      </c>
      <c r="AN3451" s="115" t="s">
        <v>1419</v>
      </c>
      <c r="AO3451" s="115" t="s">
        <v>1641</v>
      </c>
    </row>
    <row r="3452" spans="35:41" ht="13">
      <c r="AI3452" s="115" t="s">
        <v>1415</v>
      </c>
      <c r="AJ3452" t="s">
        <v>2114</v>
      </c>
      <c r="AK3452" s="115">
        <v>15</v>
      </c>
      <c r="AL3452" s="115" t="s">
        <v>1842</v>
      </c>
      <c r="AM3452" s="115" t="s">
        <v>1850</v>
      </c>
      <c r="AN3452" s="115" t="s">
        <v>1419</v>
      </c>
      <c r="AO3452" s="115" t="s">
        <v>1641</v>
      </c>
    </row>
    <row r="3453" spans="35:41" ht="13">
      <c r="AI3453" s="115" t="s">
        <v>1415</v>
      </c>
      <c r="AJ3453" t="s">
        <v>2114</v>
      </c>
      <c r="AK3453" s="115">
        <v>15</v>
      </c>
      <c r="AL3453" s="115" t="s">
        <v>1842</v>
      </c>
      <c r="AM3453" s="115" t="s">
        <v>1848</v>
      </c>
      <c r="AN3453" s="115" t="s">
        <v>1419</v>
      </c>
      <c r="AO3453" s="115" t="s">
        <v>1641</v>
      </c>
    </row>
    <row r="3454" spans="35:41" ht="13">
      <c r="AI3454" s="115" t="s">
        <v>1415</v>
      </c>
      <c r="AJ3454" t="s">
        <v>2114</v>
      </c>
      <c r="AK3454" s="115">
        <v>15</v>
      </c>
      <c r="AL3454" s="115" t="s">
        <v>1842</v>
      </c>
      <c r="AM3454" s="115" t="s">
        <v>1832</v>
      </c>
      <c r="AN3454" s="115" t="s">
        <v>1419</v>
      </c>
      <c r="AO3454" s="115" t="s">
        <v>1641</v>
      </c>
    </row>
    <row r="3455" spans="35:41" ht="13">
      <c r="AI3455" s="115" t="s">
        <v>1415</v>
      </c>
      <c r="AJ3455" t="s">
        <v>2114</v>
      </c>
      <c r="AK3455" s="115">
        <v>15</v>
      </c>
      <c r="AL3455" s="115" t="s">
        <v>1842</v>
      </c>
      <c r="AM3455" s="115" t="s">
        <v>1849</v>
      </c>
      <c r="AN3455" s="115" t="s">
        <v>1419</v>
      </c>
      <c r="AO3455" s="115" t="s">
        <v>380</v>
      </c>
    </row>
    <row r="3456" spans="35:41" ht="13">
      <c r="AI3456" s="115" t="s">
        <v>1415</v>
      </c>
      <c r="AJ3456" t="s">
        <v>2114</v>
      </c>
      <c r="AK3456" s="115">
        <v>15</v>
      </c>
      <c r="AL3456" s="115" t="s">
        <v>1842</v>
      </c>
      <c r="AM3456" s="115" t="s">
        <v>1848</v>
      </c>
      <c r="AN3456" s="115" t="s">
        <v>1419</v>
      </c>
      <c r="AO3456" s="115" t="s">
        <v>380</v>
      </c>
    </row>
    <row r="3457" spans="35:41" ht="13">
      <c r="AI3457" s="115" t="s">
        <v>1415</v>
      </c>
      <c r="AJ3457" t="s">
        <v>2114</v>
      </c>
      <c r="AK3457" s="115">
        <v>15</v>
      </c>
      <c r="AL3457" s="115" t="s">
        <v>1842</v>
      </c>
      <c r="AM3457" s="115" t="s">
        <v>1843</v>
      </c>
      <c r="AN3457" s="115" t="s">
        <v>1419</v>
      </c>
      <c r="AO3457" s="115" t="s">
        <v>380</v>
      </c>
    </row>
    <row r="3458" spans="35:41" ht="13">
      <c r="AI3458" s="115" t="s">
        <v>1415</v>
      </c>
      <c r="AJ3458" t="s">
        <v>2114</v>
      </c>
      <c r="AK3458" s="115">
        <v>15</v>
      </c>
      <c r="AL3458" s="115" t="s">
        <v>1842</v>
      </c>
      <c r="AM3458" s="115" t="s">
        <v>1832</v>
      </c>
      <c r="AN3458" s="115" t="s">
        <v>1419</v>
      </c>
      <c r="AO3458" s="115" t="s">
        <v>380</v>
      </c>
    </row>
    <row r="3459" spans="35:41" ht="13">
      <c r="AI3459" s="115" t="s">
        <v>1415</v>
      </c>
      <c r="AJ3459" t="s">
        <v>2114</v>
      </c>
      <c r="AK3459" s="115">
        <v>15</v>
      </c>
      <c r="AL3459" s="115" t="s">
        <v>1842</v>
      </c>
      <c r="AM3459" s="115" t="s">
        <v>1846</v>
      </c>
      <c r="AN3459" s="115" t="s">
        <v>1419</v>
      </c>
      <c r="AO3459" s="115" t="s">
        <v>380</v>
      </c>
    </row>
    <row r="3460" spans="35:41" ht="13">
      <c r="AI3460" s="115" t="s">
        <v>1415</v>
      </c>
      <c r="AJ3460" t="s">
        <v>2114</v>
      </c>
      <c r="AK3460" s="115">
        <v>15</v>
      </c>
      <c r="AL3460" s="115" t="s">
        <v>1842</v>
      </c>
      <c r="AM3460" s="115" t="s">
        <v>1850</v>
      </c>
      <c r="AN3460" s="115" t="s">
        <v>1419</v>
      </c>
      <c r="AO3460" s="115" t="s">
        <v>380</v>
      </c>
    </row>
    <row r="3461" spans="35:41" ht="13">
      <c r="AI3461" s="115" t="s">
        <v>1415</v>
      </c>
      <c r="AJ3461" t="s">
        <v>2114</v>
      </c>
      <c r="AK3461" s="115">
        <v>15</v>
      </c>
      <c r="AL3461" s="115" t="s">
        <v>1842</v>
      </c>
      <c r="AM3461" s="115" t="s">
        <v>1848</v>
      </c>
      <c r="AN3461" s="115" t="s">
        <v>1419</v>
      </c>
      <c r="AO3461" s="115" t="s">
        <v>372</v>
      </c>
    </row>
    <row r="3462" spans="35:41" ht="13">
      <c r="AI3462" s="115" t="s">
        <v>1415</v>
      </c>
      <c r="AJ3462" t="s">
        <v>2114</v>
      </c>
      <c r="AK3462" s="115">
        <v>15</v>
      </c>
      <c r="AL3462" s="115" t="s">
        <v>1842</v>
      </c>
      <c r="AM3462" s="115" t="s">
        <v>1849</v>
      </c>
      <c r="AN3462" s="115" t="s">
        <v>1419</v>
      </c>
      <c r="AO3462" s="115" t="s">
        <v>372</v>
      </c>
    </row>
    <row r="3463" spans="35:41" ht="13">
      <c r="AI3463" s="115" t="s">
        <v>1415</v>
      </c>
      <c r="AJ3463" t="s">
        <v>2114</v>
      </c>
      <c r="AK3463" s="115">
        <v>15</v>
      </c>
      <c r="AL3463" s="115" t="s">
        <v>1842</v>
      </c>
      <c r="AM3463" s="115" t="s">
        <v>1846</v>
      </c>
      <c r="AN3463" s="115" t="s">
        <v>1419</v>
      </c>
      <c r="AO3463" s="115" t="s">
        <v>372</v>
      </c>
    </row>
    <row r="3464" spans="35:41" ht="13">
      <c r="AI3464" s="115" t="s">
        <v>1415</v>
      </c>
      <c r="AJ3464" t="s">
        <v>2114</v>
      </c>
      <c r="AK3464" s="115">
        <v>15</v>
      </c>
      <c r="AL3464" s="115" t="s">
        <v>1842</v>
      </c>
      <c r="AM3464" s="115" t="s">
        <v>1832</v>
      </c>
      <c r="AN3464" s="115" t="s">
        <v>1419</v>
      </c>
      <c r="AO3464" s="115" t="s">
        <v>372</v>
      </c>
    </row>
    <row r="3465" spans="35:41" ht="13">
      <c r="AI3465" s="115" t="s">
        <v>1415</v>
      </c>
      <c r="AJ3465" t="s">
        <v>2114</v>
      </c>
      <c r="AK3465" s="115">
        <v>15</v>
      </c>
      <c r="AL3465" s="115" t="s">
        <v>1842</v>
      </c>
      <c r="AM3465" s="115" t="s">
        <v>1850</v>
      </c>
      <c r="AN3465" s="115" t="s">
        <v>1419</v>
      </c>
      <c r="AO3465" s="115" t="s">
        <v>372</v>
      </c>
    </row>
    <row r="3466" spans="35:41" ht="13">
      <c r="AI3466" s="115" t="s">
        <v>1415</v>
      </c>
      <c r="AJ3466" t="s">
        <v>2114</v>
      </c>
      <c r="AK3466" s="115">
        <v>15</v>
      </c>
      <c r="AL3466" s="115" t="s">
        <v>1842</v>
      </c>
      <c r="AM3466" s="115" t="s">
        <v>1843</v>
      </c>
      <c r="AN3466" s="115" t="s">
        <v>1419</v>
      </c>
      <c r="AO3466" s="115" t="s">
        <v>372</v>
      </c>
    </row>
    <row r="3467" spans="35:41" ht="13">
      <c r="AI3467" s="115" t="s">
        <v>1415</v>
      </c>
      <c r="AJ3467" t="s">
        <v>2114</v>
      </c>
      <c r="AK3467" s="115">
        <v>15</v>
      </c>
      <c r="AL3467" s="115" t="s">
        <v>28</v>
      </c>
      <c r="AM3467" s="115" t="s">
        <v>1849</v>
      </c>
      <c r="AN3467" s="115" t="s">
        <v>1284</v>
      </c>
      <c r="AO3467" s="115" t="s">
        <v>1643</v>
      </c>
    </row>
    <row r="3468" spans="35:41" ht="13">
      <c r="AI3468" s="115" t="s">
        <v>1415</v>
      </c>
      <c r="AJ3468" t="s">
        <v>2114</v>
      </c>
      <c r="AK3468" s="115">
        <v>15</v>
      </c>
      <c r="AL3468" s="115" t="s">
        <v>28</v>
      </c>
      <c r="AM3468" s="115" t="s">
        <v>1850</v>
      </c>
      <c r="AN3468" s="115" t="s">
        <v>1284</v>
      </c>
      <c r="AO3468" s="115" t="s">
        <v>1643</v>
      </c>
    </row>
    <row r="3469" spans="35:41" ht="13">
      <c r="AI3469" s="115" t="s">
        <v>1415</v>
      </c>
      <c r="AJ3469" t="s">
        <v>2114</v>
      </c>
      <c r="AK3469" s="115">
        <v>15</v>
      </c>
      <c r="AL3469" s="115" t="s">
        <v>28</v>
      </c>
      <c r="AM3469" s="115" t="s">
        <v>1848</v>
      </c>
      <c r="AN3469" s="115" t="s">
        <v>1284</v>
      </c>
      <c r="AO3469" s="115" t="s">
        <v>1643</v>
      </c>
    </row>
    <row r="3470" spans="35:41" ht="13">
      <c r="AI3470" s="115" t="s">
        <v>1415</v>
      </c>
      <c r="AJ3470" t="s">
        <v>2114</v>
      </c>
      <c r="AK3470" s="115">
        <v>15</v>
      </c>
      <c r="AL3470" s="115" t="s">
        <v>28</v>
      </c>
      <c r="AM3470" s="115" t="s">
        <v>1846</v>
      </c>
      <c r="AN3470" s="115" t="s">
        <v>1284</v>
      </c>
      <c r="AO3470" s="115" t="s">
        <v>1643</v>
      </c>
    </row>
    <row r="3471" spans="35:41" ht="13">
      <c r="AI3471" s="115" t="s">
        <v>1415</v>
      </c>
      <c r="AJ3471" t="s">
        <v>2114</v>
      </c>
      <c r="AK3471" s="115">
        <v>15</v>
      </c>
      <c r="AL3471" s="115" t="s">
        <v>28</v>
      </c>
      <c r="AM3471" s="115" t="s">
        <v>1832</v>
      </c>
      <c r="AN3471" s="115" t="s">
        <v>1284</v>
      </c>
      <c r="AO3471" s="115" t="s">
        <v>1643</v>
      </c>
    </row>
    <row r="3472" spans="35:41" ht="13">
      <c r="AI3472" s="115" t="s">
        <v>1415</v>
      </c>
      <c r="AJ3472" t="s">
        <v>2114</v>
      </c>
      <c r="AK3472" s="115">
        <v>15</v>
      </c>
      <c r="AL3472" s="115" t="s">
        <v>28</v>
      </c>
      <c r="AM3472" s="115" t="s">
        <v>1843</v>
      </c>
      <c r="AN3472" s="115" t="s">
        <v>1284</v>
      </c>
      <c r="AO3472" s="115" t="s">
        <v>1643</v>
      </c>
    </row>
    <row r="3473" spans="35:41" ht="13">
      <c r="AI3473" s="115" t="s">
        <v>1415</v>
      </c>
      <c r="AJ3473" t="s">
        <v>2114</v>
      </c>
      <c r="AK3473" s="115">
        <v>15</v>
      </c>
      <c r="AL3473" s="115" t="s">
        <v>28</v>
      </c>
      <c r="AM3473" s="115" t="s">
        <v>1849</v>
      </c>
      <c r="AN3473" s="115" t="s">
        <v>1284</v>
      </c>
      <c r="AO3473" s="115" t="s">
        <v>379</v>
      </c>
    </row>
    <row r="3474" spans="35:41" ht="13">
      <c r="AI3474" s="115" t="s">
        <v>1415</v>
      </c>
      <c r="AJ3474" t="s">
        <v>2114</v>
      </c>
      <c r="AK3474" s="115">
        <v>15</v>
      </c>
      <c r="AL3474" s="115" t="s">
        <v>28</v>
      </c>
      <c r="AM3474" s="115" t="s">
        <v>1850</v>
      </c>
      <c r="AN3474" s="115" t="s">
        <v>1284</v>
      </c>
      <c r="AO3474" s="115" t="s">
        <v>379</v>
      </c>
    </row>
    <row r="3475" spans="35:41" ht="13">
      <c r="AI3475" s="115" t="s">
        <v>1415</v>
      </c>
      <c r="AJ3475" t="s">
        <v>2114</v>
      </c>
      <c r="AK3475" s="115">
        <v>15</v>
      </c>
      <c r="AL3475" s="115" t="s">
        <v>28</v>
      </c>
      <c r="AM3475" s="115" t="s">
        <v>1832</v>
      </c>
      <c r="AN3475" s="115" t="s">
        <v>1284</v>
      </c>
      <c r="AO3475" s="115" t="s">
        <v>379</v>
      </c>
    </row>
    <row r="3476" spans="35:41" ht="13">
      <c r="AI3476" s="115" t="s">
        <v>1415</v>
      </c>
      <c r="AJ3476" t="s">
        <v>2114</v>
      </c>
      <c r="AK3476" s="115">
        <v>15</v>
      </c>
      <c r="AL3476" s="115" t="s">
        <v>28</v>
      </c>
      <c r="AM3476" s="115" t="s">
        <v>1843</v>
      </c>
      <c r="AN3476" s="115" t="s">
        <v>1284</v>
      </c>
      <c r="AO3476" s="115" t="s">
        <v>379</v>
      </c>
    </row>
    <row r="3477" spans="35:41" ht="13">
      <c r="AI3477" s="115" t="s">
        <v>1415</v>
      </c>
      <c r="AJ3477" t="s">
        <v>2114</v>
      </c>
      <c r="AK3477" s="115">
        <v>15</v>
      </c>
      <c r="AL3477" s="115" t="s">
        <v>28</v>
      </c>
      <c r="AM3477" s="115" t="s">
        <v>1848</v>
      </c>
      <c r="AN3477" s="115" t="s">
        <v>1284</v>
      </c>
      <c r="AO3477" s="115" t="s">
        <v>379</v>
      </c>
    </row>
    <row r="3478" spans="35:41" ht="13">
      <c r="AI3478" s="115" t="s">
        <v>1415</v>
      </c>
      <c r="AJ3478" t="s">
        <v>2114</v>
      </c>
      <c r="AK3478" s="115">
        <v>15</v>
      </c>
      <c r="AL3478" s="115" t="s">
        <v>28</v>
      </c>
      <c r="AM3478" s="115" t="s">
        <v>1846</v>
      </c>
      <c r="AN3478" s="115" t="s">
        <v>1284</v>
      </c>
      <c r="AO3478" s="115" t="s">
        <v>379</v>
      </c>
    </row>
    <row r="3479" spans="35:41" ht="13">
      <c r="AI3479" s="115" t="s">
        <v>1415</v>
      </c>
      <c r="AJ3479" t="s">
        <v>2114</v>
      </c>
      <c r="AK3479" s="115">
        <v>15</v>
      </c>
      <c r="AL3479" s="115" t="s">
        <v>28</v>
      </c>
      <c r="AM3479" s="115" t="s">
        <v>1848</v>
      </c>
      <c r="AN3479" s="115" t="s">
        <v>1284</v>
      </c>
      <c r="AO3479" s="115" t="s">
        <v>1641</v>
      </c>
    </row>
    <row r="3480" spans="35:41" ht="13">
      <c r="AI3480" s="115" t="s">
        <v>1415</v>
      </c>
      <c r="AJ3480" t="s">
        <v>2114</v>
      </c>
      <c r="AK3480" s="115">
        <v>15</v>
      </c>
      <c r="AL3480" s="115" t="s">
        <v>28</v>
      </c>
      <c r="AM3480" s="115" t="s">
        <v>1850</v>
      </c>
      <c r="AN3480" s="115" t="s">
        <v>1284</v>
      </c>
      <c r="AO3480" s="115" t="s">
        <v>1641</v>
      </c>
    </row>
    <row r="3481" spans="35:41" ht="13">
      <c r="AI3481" s="115" t="s">
        <v>1415</v>
      </c>
      <c r="AJ3481" t="s">
        <v>2114</v>
      </c>
      <c r="AK3481" s="115">
        <v>15</v>
      </c>
      <c r="AL3481" s="115" t="s">
        <v>28</v>
      </c>
      <c r="AM3481" s="115" t="s">
        <v>1843</v>
      </c>
      <c r="AN3481" s="115" t="s">
        <v>1284</v>
      </c>
      <c r="AO3481" s="115" t="s">
        <v>1641</v>
      </c>
    </row>
    <row r="3482" spans="35:41" ht="13">
      <c r="AI3482" s="115" t="s">
        <v>1415</v>
      </c>
      <c r="AJ3482" t="s">
        <v>2114</v>
      </c>
      <c r="AK3482" s="115">
        <v>15</v>
      </c>
      <c r="AL3482" s="115" t="s">
        <v>28</v>
      </c>
      <c r="AM3482" s="115" t="s">
        <v>1832</v>
      </c>
      <c r="AN3482" s="115" t="s">
        <v>1284</v>
      </c>
      <c r="AO3482" s="115" t="s">
        <v>1641</v>
      </c>
    </row>
    <row r="3483" spans="35:41" ht="13">
      <c r="AI3483" s="115" t="s">
        <v>1415</v>
      </c>
      <c r="AJ3483" t="s">
        <v>2114</v>
      </c>
      <c r="AK3483" s="115">
        <v>15</v>
      </c>
      <c r="AL3483" s="115" t="s">
        <v>28</v>
      </c>
      <c r="AM3483" s="115" t="s">
        <v>1848</v>
      </c>
      <c r="AN3483" s="115" t="s">
        <v>1284</v>
      </c>
      <c r="AO3483" s="115" t="s">
        <v>373</v>
      </c>
    </row>
    <row r="3484" spans="35:41" ht="13">
      <c r="AI3484" s="115" t="s">
        <v>1415</v>
      </c>
      <c r="AJ3484" t="s">
        <v>2114</v>
      </c>
      <c r="AK3484" s="115">
        <v>15</v>
      </c>
      <c r="AL3484" s="115" t="s">
        <v>28</v>
      </c>
      <c r="AM3484" s="115" t="s">
        <v>1850</v>
      </c>
      <c r="AN3484" s="115" t="s">
        <v>1284</v>
      </c>
      <c r="AO3484" s="115" t="s">
        <v>373</v>
      </c>
    </row>
    <row r="3485" spans="35:41" ht="13">
      <c r="AI3485" s="115" t="s">
        <v>1415</v>
      </c>
      <c r="AJ3485" t="s">
        <v>2114</v>
      </c>
      <c r="AK3485" s="115">
        <v>15</v>
      </c>
      <c r="AL3485" s="115" t="s">
        <v>28</v>
      </c>
      <c r="AM3485" s="115" t="s">
        <v>1849</v>
      </c>
      <c r="AN3485" s="115" t="s">
        <v>1284</v>
      </c>
      <c r="AO3485" s="115" t="s">
        <v>373</v>
      </c>
    </row>
    <row r="3486" spans="35:41" ht="13">
      <c r="AI3486" s="115" t="s">
        <v>1415</v>
      </c>
      <c r="AJ3486" t="s">
        <v>2114</v>
      </c>
      <c r="AK3486" s="115">
        <v>15</v>
      </c>
      <c r="AL3486" s="115" t="s">
        <v>28</v>
      </c>
      <c r="AM3486" s="115" t="s">
        <v>1846</v>
      </c>
      <c r="AN3486" s="115" t="s">
        <v>1284</v>
      </c>
      <c r="AO3486" s="115" t="s">
        <v>373</v>
      </c>
    </row>
    <row r="3487" spans="35:41" ht="13">
      <c r="AI3487" s="115" t="s">
        <v>1415</v>
      </c>
      <c r="AJ3487" t="s">
        <v>2114</v>
      </c>
      <c r="AK3487" s="115">
        <v>15</v>
      </c>
      <c r="AL3487" s="115" t="s">
        <v>28</v>
      </c>
      <c r="AM3487" s="115" t="s">
        <v>1843</v>
      </c>
      <c r="AN3487" s="115" t="s">
        <v>1284</v>
      </c>
      <c r="AO3487" s="115" t="s">
        <v>373</v>
      </c>
    </row>
    <row r="3488" spans="35:41" ht="13">
      <c r="AI3488" s="115" t="s">
        <v>1415</v>
      </c>
      <c r="AJ3488" t="s">
        <v>2114</v>
      </c>
      <c r="AK3488" s="115">
        <v>15</v>
      </c>
      <c r="AL3488" s="115" t="s">
        <v>28</v>
      </c>
      <c r="AM3488" s="115" t="s">
        <v>1832</v>
      </c>
      <c r="AN3488" s="115" t="s">
        <v>1284</v>
      </c>
      <c r="AO3488" s="115" t="s">
        <v>373</v>
      </c>
    </row>
    <row r="3489" spans="35:41" ht="13">
      <c r="AI3489" s="115" t="s">
        <v>1415</v>
      </c>
      <c r="AJ3489" t="s">
        <v>2114</v>
      </c>
      <c r="AK3489" s="115">
        <v>15</v>
      </c>
      <c r="AL3489" s="115" t="s">
        <v>28</v>
      </c>
      <c r="AM3489" s="115" t="s">
        <v>1849</v>
      </c>
      <c r="AN3489" s="115" t="s">
        <v>1284</v>
      </c>
      <c r="AO3489" s="115" t="s">
        <v>380</v>
      </c>
    </row>
    <row r="3490" spans="35:41" ht="13">
      <c r="AI3490" s="115" t="s">
        <v>1415</v>
      </c>
      <c r="AJ3490" t="s">
        <v>2114</v>
      </c>
      <c r="AK3490" s="115">
        <v>15</v>
      </c>
      <c r="AL3490" s="115" t="s">
        <v>28</v>
      </c>
      <c r="AM3490" s="115" t="s">
        <v>1846</v>
      </c>
      <c r="AN3490" s="115" t="s">
        <v>1284</v>
      </c>
      <c r="AO3490" s="115" t="s">
        <v>380</v>
      </c>
    </row>
    <row r="3491" spans="35:41" ht="13">
      <c r="AI3491" s="115" t="s">
        <v>1415</v>
      </c>
      <c r="AJ3491" t="s">
        <v>2114</v>
      </c>
      <c r="AK3491" s="115">
        <v>15</v>
      </c>
      <c r="AL3491" s="115" t="s">
        <v>28</v>
      </c>
      <c r="AM3491" s="115" t="s">
        <v>1843</v>
      </c>
      <c r="AN3491" s="115" t="s">
        <v>1284</v>
      </c>
      <c r="AO3491" s="115" t="s">
        <v>380</v>
      </c>
    </row>
    <row r="3492" spans="35:41" ht="13">
      <c r="AI3492" s="115" t="s">
        <v>1415</v>
      </c>
      <c r="AJ3492" t="s">
        <v>2114</v>
      </c>
      <c r="AK3492" s="115">
        <v>15</v>
      </c>
      <c r="AL3492" s="115" t="s">
        <v>28</v>
      </c>
      <c r="AM3492" s="115" t="s">
        <v>1832</v>
      </c>
      <c r="AN3492" s="115" t="s">
        <v>1284</v>
      </c>
      <c r="AO3492" s="115" t="s">
        <v>380</v>
      </c>
    </row>
    <row r="3493" spans="35:41" ht="13">
      <c r="AI3493" s="115" t="s">
        <v>1415</v>
      </c>
      <c r="AJ3493" t="s">
        <v>2114</v>
      </c>
      <c r="AK3493" s="115">
        <v>15</v>
      </c>
      <c r="AL3493" s="115" t="s">
        <v>28</v>
      </c>
      <c r="AM3493" s="115" t="s">
        <v>1848</v>
      </c>
      <c r="AN3493" s="115" t="s">
        <v>1284</v>
      </c>
      <c r="AO3493" s="115" t="s">
        <v>380</v>
      </c>
    </row>
    <row r="3494" spans="35:41" ht="13">
      <c r="AI3494" s="115" t="s">
        <v>1415</v>
      </c>
      <c r="AJ3494" t="s">
        <v>2114</v>
      </c>
      <c r="AK3494" s="115">
        <v>15</v>
      </c>
      <c r="AL3494" s="115" t="s">
        <v>28</v>
      </c>
      <c r="AM3494" s="115" t="s">
        <v>1850</v>
      </c>
      <c r="AN3494" s="115" t="s">
        <v>1284</v>
      </c>
      <c r="AO3494" s="115" t="s">
        <v>380</v>
      </c>
    </row>
    <row r="3495" spans="35:41" ht="13">
      <c r="AI3495" s="115" t="s">
        <v>1415</v>
      </c>
      <c r="AJ3495" t="s">
        <v>2114</v>
      </c>
      <c r="AK3495" s="115">
        <v>15</v>
      </c>
      <c r="AL3495" s="115" t="s">
        <v>28</v>
      </c>
      <c r="AM3495" s="115" t="s">
        <v>1843</v>
      </c>
      <c r="AN3495" s="115" t="s">
        <v>1284</v>
      </c>
      <c r="AO3495" s="115" t="s">
        <v>372</v>
      </c>
    </row>
    <row r="3496" spans="35:41" ht="13">
      <c r="AI3496" s="115" t="s">
        <v>1415</v>
      </c>
      <c r="AJ3496" t="s">
        <v>2114</v>
      </c>
      <c r="AK3496" s="115">
        <v>15</v>
      </c>
      <c r="AL3496" s="115" t="s">
        <v>28</v>
      </c>
      <c r="AM3496" s="115" t="s">
        <v>1832</v>
      </c>
      <c r="AN3496" s="115" t="s">
        <v>1284</v>
      </c>
      <c r="AO3496" s="115" t="s">
        <v>372</v>
      </c>
    </row>
    <row r="3497" spans="35:41" ht="13">
      <c r="AI3497" s="115" t="s">
        <v>1415</v>
      </c>
      <c r="AJ3497" t="s">
        <v>2114</v>
      </c>
      <c r="AK3497" s="115">
        <v>15</v>
      </c>
      <c r="AL3497" s="115" t="s">
        <v>28</v>
      </c>
      <c r="AM3497" s="115" t="s">
        <v>1849</v>
      </c>
      <c r="AN3497" s="115" t="s">
        <v>1284</v>
      </c>
      <c r="AO3497" s="115" t="s">
        <v>372</v>
      </c>
    </row>
    <row r="3498" spans="35:41" ht="13">
      <c r="AI3498" s="115" t="s">
        <v>1415</v>
      </c>
      <c r="AJ3498" t="s">
        <v>2114</v>
      </c>
      <c r="AK3498" s="115">
        <v>15</v>
      </c>
      <c r="AL3498" s="115" t="s">
        <v>28</v>
      </c>
      <c r="AM3498" s="115" t="s">
        <v>1848</v>
      </c>
      <c r="AN3498" s="115" t="s">
        <v>1284</v>
      </c>
      <c r="AO3498" s="115" t="s">
        <v>372</v>
      </c>
    </row>
    <row r="3499" spans="35:41" ht="13">
      <c r="AI3499" s="115" t="s">
        <v>1415</v>
      </c>
      <c r="AJ3499" t="s">
        <v>2114</v>
      </c>
      <c r="AK3499" s="115">
        <v>15</v>
      </c>
      <c r="AL3499" s="115" t="s">
        <v>28</v>
      </c>
      <c r="AM3499" s="115" t="s">
        <v>1850</v>
      </c>
      <c r="AN3499" s="115" t="s">
        <v>1284</v>
      </c>
      <c r="AO3499" s="115" t="s">
        <v>372</v>
      </c>
    </row>
    <row r="3500" spans="35:41" ht="13">
      <c r="AI3500" s="115" t="s">
        <v>1415</v>
      </c>
      <c r="AJ3500" t="s">
        <v>2114</v>
      </c>
      <c r="AK3500" s="115">
        <v>15</v>
      </c>
      <c r="AL3500" s="115" t="s">
        <v>28</v>
      </c>
      <c r="AM3500" s="115" t="s">
        <v>1846</v>
      </c>
      <c r="AN3500" s="115" t="s">
        <v>1284</v>
      </c>
      <c r="AO3500" s="115" t="s">
        <v>372</v>
      </c>
    </row>
    <row r="3501" spans="35:41" ht="13">
      <c r="AI3501" s="115" t="s">
        <v>1415</v>
      </c>
      <c r="AJ3501" t="s">
        <v>2114</v>
      </c>
      <c r="AK3501" s="115">
        <v>15</v>
      </c>
      <c r="AL3501" s="115" t="s">
        <v>1842</v>
      </c>
      <c r="AM3501" s="115" t="s">
        <v>1832</v>
      </c>
      <c r="AN3501" s="115" t="s">
        <v>418</v>
      </c>
      <c r="AO3501" s="115" t="s">
        <v>1645</v>
      </c>
    </row>
    <row r="3502" spans="35:41" ht="13">
      <c r="AI3502" s="115" t="s">
        <v>1415</v>
      </c>
      <c r="AJ3502" t="s">
        <v>2114</v>
      </c>
      <c r="AK3502" s="115">
        <v>15</v>
      </c>
      <c r="AL3502" s="115" t="s">
        <v>1842</v>
      </c>
      <c r="AM3502" s="115" t="s">
        <v>1843</v>
      </c>
      <c r="AN3502" s="115" t="s">
        <v>418</v>
      </c>
      <c r="AO3502" s="115" t="s">
        <v>1645</v>
      </c>
    </row>
    <row r="3503" spans="35:41" ht="13">
      <c r="AI3503" s="115" t="s">
        <v>1415</v>
      </c>
      <c r="AJ3503" t="s">
        <v>2114</v>
      </c>
      <c r="AK3503" s="115">
        <v>15</v>
      </c>
      <c r="AL3503" s="115" t="s">
        <v>1842</v>
      </c>
      <c r="AM3503" s="115" t="s">
        <v>1849</v>
      </c>
      <c r="AN3503" s="115" t="s">
        <v>418</v>
      </c>
      <c r="AO3503" s="115" t="s">
        <v>1645</v>
      </c>
    </row>
    <row r="3504" spans="35:41" ht="13">
      <c r="AI3504" s="115" t="s">
        <v>1415</v>
      </c>
      <c r="AJ3504" t="s">
        <v>2114</v>
      </c>
      <c r="AK3504" s="115">
        <v>15</v>
      </c>
      <c r="AL3504" s="115" t="s">
        <v>1842</v>
      </c>
      <c r="AM3504" s="115" t="s">
        <v>1846</v>
      </c>
      <c r="AN3504" s="115" t="s">
        <v>418</v>
      </c>
      <c r="AO3504" s="115" t="s">
        <v>1645</v>
      </c>
    </row>
    <row r="3505" spans="35:41" ht="13">
      <c r="AI3505" s="115" t="s">
        <v>1415</v>
      </c>
      <c r="AJ3505" t="s">
        <v>2114</v>
      </c>
      <c r="AK3505" s="115">
        <v>15</v>
      </c>
      <c r="AL3505" s="115" t="s">
        <v>1842</v>
      </c>
      <c r="AM3505" s="115" t="s">
        <v>1848</v>
      </c>
      <c r="AN3505" s="115" t="s">
        <v>418</v>
      </c>
      <c r="AO3505" s="115" t="s">
        <v>1645</v>
      </c>
    </row>
    <row r="3506" spans="35:41" ht="13">
      <c r="AI3506" s="115" t="s">
        <v>1415</v>
      </c>
      <c r="AJ3506" t="s">
        <v>2114</v>
      </c>
      <c r="AK3506" s="115">
        <v>15</v>
      </c>
      <c r="AL3506" s="115" t="s">
        <v>1842</v>
      </c>
      <c r="AM3506" s="115" t="s">
        <v>1850</v>
      </c>
      <c r="AN3506" s="115" t="s">
        <v>418</v>
      </c>
      <c r="AO3506" s="115" t="s">
        <v>1645</v>
      </c>
    </row>
    <row r="3507" spans="35:41" ht="13">
      <c r="AI3507" s="115" t="s">
        <v>1415</v>
      </c>
      <c r="AJ3507" t="s">
        <v>2114</v>
      </c>
      <c r="AK3507" s="115">
        <v>15</v>
      </c>
      <c r="AL3507" s="115" t="s">
        <v>1842</v>
      </c>
      <c r="AM3507" s="115" t="s">
        <v>1846</v>
      </c>
      <c r="AN3507" s="115" t="s">
        <v>418</v>
      </c>
      <c r="AO3507" s="115" t="s">
        <v>380</v>
      </c>
    </row>
    <row r="3508" spans="35:41" ht="13">
      <c r="AI3508" s="115" t="s">
        <v>1415</v>
      </c>
      <c r="AJ3508" t="s">
        <v>2114</v>
      </c>
      <c r="AK3508" s="115">
        <v>15</v>
      </c>
      <c r="AL3508" s="115" t="s">
        <v>1842</v>
      </c>
      <c r="AM3508" s="115" t="s">
        <v>1848</v>
      </c>
      <c r="AN3508" s="115" t="s">
        <v>418</v>
      </c>
      <c r="AO3508" s="115" t="s">
        <v>380</v>
      </c>
    </row>
    <row r="3509" spans="35:41" ht="13">
      <c r="AI3509" s="115" t="s">
        <v>1415</v>
      </c>
      <c r="AJ3509" t="s">
        <v>2114</v>
      </c>
      <c r="AK3509" s="115">
        <v>15</v>
      </c>
      <c r="AL3509" s="115" t="s">
        <v>1842</v>
      </c>
      <c r="AM3509" s="115" t="s">
        <v>1843</v>
      </c>
      <c r="AN3509" s="115" t="s">
        <v>418</v>
      </c>
      <c r="AO3509" s="115" t="s">
        <v>380</v>
      </c>
    </row>
    <row r="3510" spans="35:41" ht="13">
      <c r="AI3510" s="115" t="s">
        <v>1415</v>
      </c>
      <c r="AJ3510" t="s">
        <v>2114</v>
      </c>
      <c r="AK3510" s="115">
        <v>15</v>
      </c>
      <c r="AL3510" s="115" t="s">
        <v>1842</v>
      </c>
      <c r="AM3510" s="115" t="s">
        <v>1850</v>
      </c>
      <c r="AN3510" s="115" t="s">
        <v>418</v>
      </c>
      <c r="AO3510" s="115" t="s">
        <v>380</v>
      </c>
    </row>
    <row r="3511" spans="35:41" ht="13">
      <c r="AI3511" s="115" t="s">
        <v>1415</v>
      </c>
      <c r="AJ3511" t="s">
        <v>2114</v>
      </c>
      <c r="AK3511" s="115">
        <v>15</v>
      </c>
      <c r="AL3511" s="115" t="s">
        <v>1842</v>
      </c>
      <c r="AM3511" s="115" t="s">
        <v>1832</v>
      </c>
      <c r="AN3511" s="115" t="s">
        <v>418</v>
      </c>
      <c r="AO3511" s="115" t="s">
        <v>380</v>
      </c>
    </row>
    <row r="3512" spans="35:41" ht="13">
      <c r="AI3512" s="115" t="s">
        <v>1415</v>
      </c>
      <c r="AJ3512" t="s">
        <v>2114</v>
      </c>
      <c r="AK3512" s="115">
        <v>15</v>
      </c>
      <c r="AL3512" s="115" t="s">
        <v>1842</v>
      </c>
      <c r="AM3512" s="115" t="s">
        <v>1849</v>
      </c>
      <c r="AN3512" s="115" t="s">
        <v>418</v>
      </c>
      <c r="AO3512" s="115" t="s">
        <v>380</v>
      </c>
    </row>
    <row r="3513" spans="35:41" ht="13">
      <c r="AI3513" s="115" t="s">
        <v>1415</v>
      </c>
      <c r="AJ3513" t="s">
        <v>2114</v>
      </c>
      <c r="AK3513" s="115">
        <v>15</v>
      </c>
      <c r="AL3513" s="115" t="s">
        <v>28</v>
      </c>
      <c r="AM3513" s="115" t="s">
        <v>1850</v>
      </c>
      <c r="AN3513" s="115" t="s">
        <v>360</v>
      </c>
      <c r="AO3513" s="115" t="s">
        <v>360</v>
      </c>
    </row>
    <row r="3514" spans="35:41" ht="13">
      <c r="AI3514" s="115" t="s">
        <v>1415</v>
      </c>
      <c r="AJ3514" t="s">
        <v>2114</v>
      </c>
      <c r="AK3514" s="115">
        <v>15</v>
      </c>
      <c r="AL3514" s="115" t="s">
        <v>28</v>
      </c>
      <c r="AM3514" s="115" t="s">
        <v>1848</v>
      </c>
      <c r="AN3514" s="115" t="s">
        <v>360</v>
      </c>
      <c r="AO3514" s="115" t="s">
        <v>360</v>
      </c>
    </row>
    <row r="3515" spans="35:41" ht="13">
      <c r="AI3515" s="115" t="s">
        <v>1415</v>
      </c>
      <c r="AJ3515" t="s">
        <v>2114</v>
      </c>
      <c r="AK3515" s="115">
        <v>15</v>
      </c>
      <c r="AL3515" s="115" t="s">
        <v>28</v>
      </c>
      <c r="AM3515" s="115" t="s">
        <v>1843</v>
      </c>
      <c r="AN3515" s="115" t="s">
        <v>360</v>
      </c>
      <c r="AO3515" s="115" t="s">
        <v>360</v>
      </c>
    </row>
    <row r="3516" spans="35:41" ht="13">
      <c r="AI3516" s="115" t="s">
        <v>1415</v>
      </c>
      <c r="AJ3516" t="s">
        <v>2114</v>
      </c>
      <c r="AK3516" s="115">
        <v>15</v>
      </c>
      <c r="AL3516" s="115" t="s">
        <v>28</v>
      </c>
      <c r="AM3516" s="115" t="s">
        <v>1849</v>
      </c>
      <c r="AN3516" s="115" t="s">
        <v>360</v>
      </c>
      <c r="AO3516" s="115" t="s">
        <v>360</v>
      </c>
    </row>
    <row r="3517" spans="35:41" ht="13">
      <c r="AI3517" s="115" t="s">
        <v>1415</v>
      </c>
      <c r="AJ3517" t="s">
        <v>2114</v>
      </c>
      <c r="AK3517" s="115">
        <v>15</v>
      </c>
      <c r="AL3517" s="115" t="s">
        <v>28</v>
      </c>
      <c r="AM3517" s="115" t="s">
        <v>1832</v>
      </c>
      <c r="AN3517" s="115" t="s">
        <v>360</v>
      </c>
      <c r="AO3517" s="115" t="s">
        <v>360</v>
      </c>
    </row>
    <row r="3518" spans="35:41" ht="13">
      <c r="AI3518" s="115" t="s">
        <v>1415</v>
      </c>
      <c r="AJ3518" t="s">
        <v>2114</v>
      </c>
      <c r="AK3518" s="115">
        <v>15</v>
      </c>
      <c r="AL3518" s="115" t="s">
        <v>28</v>
      </c>
      <c r="AM3518" s="115" t="s">
        <v>1846</v>
      </c>
      <c r="AN3518" s="115" t="s">
        <v>360</v>
      </c>
      <c r="AO3518" s="115" t="s">
        <v>360</v>
      </c>
    </row>
    <row r="3519" spans="35:41" ht="13">
      <c r="AI3519" s="115" t="s">
        <v>1415</v>
      </c>
      <c r="AJ3519" t="s">
        <v>2114</v>
      </c>
      <c r="AK3519" s="115">
        <v>15</v>
      </c>
      <c r="AL3519" s="115" t="s">
        <v>28</v>
      </c>
      <c r="AM3519" s="115" t="s">
        <v>1848</v>
      </c>
      <c r="AN3519" s="115" t="s">
        <v>1461</v>
      </c>
      <c r="AO3519" s="115" t="s">
        <v>1644</v>
      </c>
    </row>
    <row r="3520" spans="35:41" ht="13">
      <c r="AI3520" s="115" t="s">
        <v>1415</v>
      </c>
      <c r="AJ3520" t="s">
        <v>2114</v>
      </c>
      <c r="AK3520" s="115">
        <v>15</v>
      </c>
      <c r="AL3520" s="115" t="s">
        <v>28</v>
      </c>
      <c r="AM3520" s="115" t="s">
        <v>1843</v>
      </c>
      <c r="AN3520" s="115" t="s">
        <v>1461</v>
      </c>
      <c r="AO3520" s="115" t="s">
        <v>1644</v>
      </c>
    </row>
    <row r="3521" spans="35:41" ht="13">
      <c r="AI3521" s="115" t="s">
        <v>1415</v>
      </c>
      <c r="AJ3521" t="s">
        <v>2114</v>
      </c>
      <c r="AK3521" s="115">
        <v>15</v>
      </c>
      <c r="AL3521" s="115" t="s">
        <v>28</v>
      </c>
      <c r="AM3521" s="115" t="s">
        <v>1832</v>
      </c>
      <c r="AN3521" s="115" t="s">
        <v>1461</v>
      </c>
      <c r="AO3521" s="115" t="s">
        <v>1644</v>
      </c>
    </row>
    <row r="3522" spans="35:41" ht="13">
      <c r="AI3522" s="115" t="s">
        <v>1415</v>
      </c>
      <c r="AJ3522" t="s">
        <v>2114</v>
      </c>
      <c r="AK3522" s="115">
        <v>15</v>
      </c>
      <c r="AL3522" s="115" t="s">
        <v>28</v>
      </c>
      <c r="AM3522" s="115" t="s">
        <v>1850</v>
      </c>
      <c r="AN3522" s="115" t="s">
        <v>1461</v>
      </c>
      <c r="AO3522" s="115" t="s">
        <v>1644</v>
      </c>
    </row>
    <row r="3523" spans="35:41" ht="13">
      <c r="AI3523" s="115" t="s">
        <v>1415</v>
      </c>
      <c r="AJ3523" t="s">
        <v>2114</v>
      </c>
      <c r="AK3523" s="115">
        <v>15</v>
      </c>
      <c r="AL3523" s="115" t="s">
        <v>28</v>
      </c>
      <c r="AM3523" s="115" t="s">
        <v>1850</v>
      </c>
      <c r="AN3523" s="115" t="s">
        <v>1461</v>
      </c>
      <c r="AO3523" s="115" t="s">
        <v>1274</v>
      </c>
    </row>
    <row r="3524" spans="35:41" ht="13">
      <c r="AI3524" s="115" t="s">
        <v>1415</v>
      </c>
      <c r="AJ3524" t="s">
        <v>2114</v>
      </c>
      <c r="AK3524" s="115">
        <v>15</v>
      </c>
      <c r="AL3524" s="115" t="s">
        <v>28</v>
      </c>
      <c r="AM3524" s="115" t="s">
        <v>1849</v>
      </c>
      <c r="AN3524" s="115" t="s">
        <v>1461</v>
      </c>
      <c r="AO3524" s="115" t="s">
        <v>1274</v>
      </c>
    </row>
    <row r="3525" spans="35:41" ht="13">
      <c r="AI3525" s="115" t="s">
        <v>1415</v>
      </c>
      <c r="AJ3525" t="s">
        <v>2114</v>
      </c>
      <c r="AK3525" s="115">
        <v>15</v>
      </c>
      <c r="AL3525" s="115" t="s">
        <v>28</v>
      </c>
      <c r="AM3525" s="115" t="s">
        <v>1832</v>
      </c>
      <c r="AN3525" s="115" t="s">
        <v>1461</v>
      </c>
      <c r="AO3525" s="115" t="s">
        <v>1274</v>
      </c>
    </row>
    <row r="3526" spans="35:41" ht="13">
      <c r="AI3526" s="115" t="s">
        <v>1415</v>
      </c>
      <c r="AJ3526" t="s">
        <v>2114</v>
      </c>
      <c r="AK3526" s="115">
        <v>15</v>
      </c>
      <c r="AL3526" s="115" t="s">
        <v>28</v>
      </c>
      <c r="AM3526" s="115" t="s">
        <v>1846</v>
      </c>
      <c r="AN3526" s="115" t="s">
        <v>1461</v>
      </c>
      <c r="AO3526" s="115" t="s">
        <v>1274</v>
      </c>
    </row>
    <row r="3527" spans="35:41" ht="13">
      <c r="AI3527" s="115" t="s">
        <v>1415</v>
      </c>
      <c r="AJ3527" t="s">
        <v>2114</v>
      </c>
      <c r="AK3527" s="115">
        <v>15</v>
      </c>
      <c r="AL3527" s="115" t="s">
        <v>28</v>
      </c>
      <c r="AM3527" s="115" t="s">
        <v>1843</v>
      </c>
      <c r="AN3527" s="115" t="s">
        <v>1461</v>
      </c>
      <c r="AO3527" s="115" t="s">
        <v>1274</v>
      </c>
    </row>
    <row r="3528" spans="35:41" ht="13">
      <c r="AI3528" s="115" t="s">
        <v>1415</v>
      </c>
      <c r="AJ3528" t="s">
        <v>2114</v>
      </c>
      <c r="AK3528" s="115">
        <v>15</v>
      </c>
      <c r="AL3528" s="115" t="s">
        <v>28</v>
      </c>
      <c r="AM3528" s="115" t="s">
        <v>1848</v>
      </c>
      <c r="AN3528" s="115" t="s">
        <v>1461</v>
      </c>
      <c r="AO3528" s="115" t="s">
        <v>1274</v>
      </c>
    </row>
    <row r="3529" spans="35:41" ht="13">
      <c r="AI3529" s="115" t="s">
        <v>1415</v>
      </c>
      <c r="AJ3529" t="s">
        <v>2114</v>
      </c>
      <c r="AK3529" s="115">
        <v>15</v>
      </c>
      <c r="AL3529" s="115" t="s">
        <v>28</v>
      </c>
      <c r="AM3529" s="115" t="s">
        <v>1850</v>
      </c>
      <c r="AN3529" s="115" t="s">
        <v>1461</v>
      </c>
      <c r="AO3529" s="115" t="s">
        <v>379</v>
      </c>
    </row>
    <row r="3530" spans="35:41" ht="13">
      <c r="AI3530" s="115" t="s">
        <v>1415</v>
      </c>
      <c r="AJ3530" t="s">
        <v>2114</v>
      </c>
      <c r="AK3530" s="115">
        <v>15</v>
      </c>
      <c r="AL3530" s="115" t="s">
        <v>28</v>
      </c>
      <c r="AM3530" s="115" t="s">
        <v>1849</v>
      </c>
      <c r="AN3530" s="115" t="s">
        <v>1461</v>
      </c>
      <c r="AO3530" s="115" t="s">
        <v>379</v>
      </c>
    </row>
    <row r="3531" spans="35:41" ht="13">
      <c r="AI3531" s="115" t="s">
        <v>1415</v>
      </c>
      <c r="AJ3531" t="s">
        <v>2114</v>
      </c>
      <c r="AK3531" s="115">
        <v>15</v>
      </c>
      <c r="AL3531" s="115" t="s">
        <v>28</v>
      </c>
      <c r="AM3531" s="115" t="s">
        <v>1843</v>
      </c>
      <c r="AN3531" s="115" t="s">
        <v>1461</v>
      </c>
      <c r="AO3531" s="115" t="s">
        <v>379</v>
      </c>
    </row>
    <row r="3532" spans="35:41" ht="13">
      <c r="AI3532" s="115" t="s">
        <v>1415</v>
      </c>
      <c r="AJ3532" t="s">
        <v>2114</v>
      </c>
      <c r="AK3532" s="115">
        <v>15</v>
      </c>
      <c r="AL3532" s="115" t="s">
        <v>28</v>
      </c>
      <c r="AM3532" s="115" t="s">
        <v>1848</v>
      </c>
      <c r="AN3532" s="115" t="s">
        <v>1461</v>
      </c>
      <c r="AO3532" s="115" t="s">
        <v>379</v>
      </c>
    </row>
    <row r="3533" spans="35:41" ht="13">
      <c r="AI3533" s="115" t="s">
        <v>1415</v>
      </c>
      <c r="AJ3533" t="s">
        <v>2114</v>
      </c>
      <c r="AK3533" s="115">
        <v>15</v>
      </c>
      <c r="AL3533" s="115" t="s">
        <v>28</v>
      </c>
      <c r="AM3533" s="115" t="s">
        <v>1846</v>
      </c>
      <c r="AN3533" s="115" t="s">
        <v>1461</v>
      </c>
      <c r="AO3533" s="115" t="s">
        <v>379</v>
      </c>
    </row>
    <row r="3534" spans="35:41" ht="13">
      <c r="AI3534" s="115" t="s">
        <v>1415</v>
      </c>
      <c r="AJ3534" t="s">
        <v>2114</v>
      </c>
      <c r="AK3534" s="115">
        <v>15</v>
      </c>
      <c r="AL3534" s="115" t="s">
        <v>28</v>
      </c>
      <c r="AM3534" s="115" t="s">
        <v>1832</v>
      </c>
      <c r="AN3534" s="115" t="s">
        <v>1461</v>
      </c>
      <c r="AO3534" s="115" t="s">
        <v>379</v>
      </c>
    </row>
    <row r="3535" spans="35:41" ht="13">
      <c r="AI3535" s="115" t="s">
        <v>1415</v>
      </c>
      <c r="AJ3535" t="s">
        <v>2114</v>
      </c>
      <c r="AK3535" s="115">
        <v>15</v>
      </c>
      <c r="AL3535" s="115" t="s">
        <v>28</v>
      </c>
      <c r="AM3535" s="115" t="s">
        <v>1843</v>
      </c>
      <c r="AN3535" s="115" t="s">
        <v>1461</v>
      </c>
      <c r="AO3535" s="115" t="s">
        <v>1645</v>
      </c>
    </row>
    <row r="3536" spans="35:41" ht="13">
      <c r="AI3536" s="115" t="s">
        <v>1415</v>
      </c>
      <c r="AJ3536" t="s">
        <v>2114</v>
      </c>
      <c r="AK3536" s="115">
        <v>15</v>
      </c>
      <c r="AL3536" s="115" t="s">
        <v>28</v>
      </c>
      <c r="AM3536" s="115" t="s">
        <v>1832</v>
      </c>
      <c r="AN3536" s="115" t="s">
        <v>1461</v>
      </c>
      <c r="AO3536" s="115" t="s">
        <v>1645</v>
      </c>
    </row>
    <row r="3537" spans="35:41" ht="13">
      <c r="AI3537" s="115" t="s">
        <v>1415</v>
      </c>
      <c r="AJ3537" t="s">
        <v>2114</v>
      </c>
      <c r="AK3537" s="115">
        <v>15</v>
      </c>
      <c r="AL3537" s="115" t="s">
        <v>28</v>
      </c>
      <c r="AM3537" s="115" t="s">
        <v>1850</v>
      </c>
      <c r="AN3537" s="115" t="s">
        <v>1461</v>
      </c>
      <c r="AO3537" s="115" t="s">
        <v>1645</v>
      </c>
    </row>
    <row r="3538" spans="35:41" ht="13">
      <c r="AI3538" s="115" t="s">
        <v>1415</v>
      </c>
      <c r="AJ3538" t="s">
        <v>2114</v>
      </c>
      <c r="AK3538" s="115">
        <v>15</v>
      </c>
      <c r="AL3538" s="115" t="s">
        <v>28</v>
      </c>
      <c r="AM3538" s="115" t="s">
        <v>1846</v>
      </c>
      <c r="AN3538" s="115" t="s">
        <v>1461</v>
      </c>
      <c r="AO3538" s="115" t="s">
        <v>1645</v>
      </c>
    </row>
    <row r="3539" spans="35:41" ht="13">
      <c r="AI3539" s="115" t="s">
        <v>1415</v>
      </c>
      <c r="AJ3539" t="s">
        <v>2114</v>
      </c>
      <c r="AK3539" s="115">
        <v>15</v>
      </c>
      <c r="AL3539" s="115" t="s">
        <v>28</v>
      </c>
      <c r="AM3539" s="115" t="s">
        <v>1848</v>
      </c>
      <c r="AN3539" s="115" t="s">
        <v>1461</v>
      </c>
      <c r="AO3539" s="115" t="s">
        <v>1645</v>
      </c>
    </row>
    <row r="3540" spans="35:41" ht="13">
      <c r="AI3540" s="115" t="s">
        <v>1415</v>
      </c>
      <c r="AJ3540" t="s">
        <v>2114</v>
      </c>
      <c r="AK3540" s="115">
        <v>15</v>
      </c>
      <c r="AL3540" s="115" t="s">
        <v>28</v>
      </c>
      <c r="AM3540" s="115" t="s">
        <v>1849</v>
      </c>
      <c r="AN3540" s="115" t="s">
        <v>1461</v>
      </c>
      <c r="AO3540" s="115" t="s">
        <v>1645</v>
      </c>
    </row>
    <row r="3541" spans="35:41" ht="13">
      <c r="AI3541" s="115" t="s">
        <v>1415</v>
      </c>
      <c r="AJ3541" t="s">
        <v>2114</v>
      </c>
      <c r="AK3541" s="115">
        <v>15</v>
      </c>
      <c r="AL3541" s="115" t="s">
        <v>28</v>
      </c>
      <c r="AM3541" s="115" t="s">
        <v>1843</v>
      </c>
      <c r="AN3541" s="115" t="s">
        <v>1461</v>
      </c>
      <c r="AO3541" s="115" t="s">
        <v>1646</v>
      </c>
    </row>
    <row r="3542" spans="35:41" ht="13">
      <c r="AI3542" s="115" t="s">
        <v>1415</v>
      </c>
      <c r="AJ3542" t="s">
        <v>2114</v>
      </c>
      <c r="AK3542" s="115">
        <v>15</v>
      </c>
      <c r="AL3542" s="115" t="s">
        <v>28</v>
      </c>
      <c r="AM3542" s="115" t="s">
        <v>1846</v>
      </c>
      <c r="AN3542" s="115" t="s">
        <v>1461</v>
      </c>
      <c r="AO3542" s="115" t="s">
        <v>1646</v>
      </c>
    </row>
    <row r="3543" spans="35:41" ht="13">
      <c r="AI3543" s="115" t="s">
        <v>1415</v>
      </c>
      <c r="AJ3543" t="s">
        <v>2114</v>
      </c>
      <c r="AK3543" s="115">
        <v>15</v>
      </c>
      <c r="AL3543" s="115" t="s">
        <v>28</v>
      </c>
      <c r="AM3543" s="115" t="s">
        <v>1846</v>
      </c>
      <c r="AN3543" s="115" t="s">
        <v>1461</v>
      </c>
      <c r="AO3543" s="115" t="s">
        <v>1647</v>
      </c>
    </row>
    <row r="3544" spans="35:41" ht="13">
      <c r="AI3544" s="115" t="s">
        <v>1415</v>
      </c>
      <c r="AJ3544" t="s">
        <v>2114</v>
      </c>
      <c r="AK3544" s="115">
        <v>15</v>
      </c>
      <c r="AL3544" s="115" t="s">
        <v>28</v>
      </c>
      <c r="AM3544" s="115" t="s">
        <v>1843</v>
      </c>
      <c r="AN3544" s="115" t="s">
        <v>1461</v>
      </c>
      <c r="AO3544" s="115" t="s">
        <v>1647</v>
      </c>
    </row>
    <row r="3545" spans="35:41" ht="13">
      <c r="AI3545" s="115" t="s">
        <v>1415</v>
      </c>
      <c r="AJ3545" t="s">
        <v>2114</v>
      </c>
      <c r="AK3545" s="115">
        <v>15</v>
      </c>
      <c r="AL3545" s="115" t="s">
        <v>28</v>
      </c>
      <c r="AM3545" s="115" t="s">
        <v>1846</v>
      </c>
      <c r="AN3545" s="115" t="s">
        <v>1461</v>
      </c>
      <c r="AO3545" s="115" t="s">
        <v>1639</v>
      </c>
    </row>
    <row r="3546" spans="35:41" ht="13">
      <c r="AI3546" s="115" t="s">
        <v>1415</v>
      </c>
      <c r="AJ3546" t="s">
        <v>2114</v>
      </c>
      <c r="AK3546" s="115">
        <v>15</v>
      </c>
      <c r="AL3546" s="115" t="s">
        <v>28</v>
      </c>
      <c r="AM3546" s="115" t="s">
        <v>1843</v>
      </c>
      <c r="AN3546" s="115" t="s">
        <v>1461</v>
      </c>
      <c r="AO3546" s="115" t="s">
        <v>1639</v>
      </c>
    </row>
    <row r="3547" spans="35:41" ht="13">
      <c r="AI3547" s="115" t="s">
        <v>1415</v>
      </c>
      <c r="AJ3547" t="s">
        <v>2114</v>
      </c>
      <c r="AK3547" s="115">
        <v>15</v>
      </c>
      <c r="AL3547" s="115" t="s">
        <v>28</v>
      </c>
      <c r="AM3547" s="115" t="s">
        <v>1848</v>
      </c>
      <c r="AN3547" s="115" t="s">
        <v>1461</v>
      </c>
      <c r="AO3547" s="115" t="s">
        <v>380</v>
      </c>
    </row>
    <row r="3548" spans="35:41" ht="13">
      <c r="AI3548" s="115" t="s">
        <v>1415</v>
      </c>
      <c r="AJ3548" t="s">
        <v>2114</v>
      </c>
      <c r="AK3548" s="115">
        <v>15</v>
      </c>
      <c r="AL3548" s="115" t="s">
        <v>28</v>
      </c>
      <c r="AM3548" s="115" t="s">
        <v>1846</v>
      </c>
      <c r="AN3548" s="115" t="s">
        <v>1461</v>
      </c>
      <c r="AO3548" s="115" t="s">
        <v>380</v>
      </c>
    </row>
    <row r="3549" spans="35:41" ht="13">
      <c r="AI3549" s="115" t="s">
        <v>1415</v>
      </c>
      <c r="AJ3549" t="s">
        <v>2114</v>
      </c>
      <c r="AK3549" s="115">
        <v>15</v>
      </c>
      <c r="AL3549" s="115" t="s">
        <v>28</v>
      </c>
      <c r="AM3549" s="115" t="s">
        <v>1850</v>
      </c>
      <c r="AN3549" s="115" t="s">
        <v>1461</v>
      </c>
      <c r="AO3549" s="115" t="s">
        <v>380</v>
      </c>
    </row>
    <row r="3550" spans="35:41" ht="13">
      <c r="AI3550" s="115" t="s">
        <v>1415</v>
      </c>
      <c r="AJ3550" t="s">
        <v>2114</v>
      </c>
      <c r="AK3550" s="115">
        <v>15</v>
      </c>
      <c r="AL3550" s="115" t="s">
        <v>28</v>
      </c>
      <c r="AM3550" s="115" t="s">
        <v>1849</v>
      </c>
      <c r="AN3550" s="115" t="s">
        <v>1461</v>
      </c>
      <c r="AO3550" s="115" t="s">
        <v>380</v>
      </c>
    </row>
    <row r="3551" spans="35:41" ht="13">
      <c r="AI3551" s="115" t="s">
        <v>1415</v>
      </c>
      <c r="AJ3551" t="s">
        <v>2114</v>
      </c>
      <c r="AK3551" s="115">
        <v>15</v>
      </c>
      <c r="AL3551" s="115" t="s">
        <v>28</v>
      </c>
      <c r="AM3551" s="115" t="s">
        <v>1832</v>
      </c>
      <c r="AN3551" s="115" t="s">
        <v>1461</v>
      </c>
      <c r="AO3551" s="115" t="s">
        <v>380</v>
      </c>
    </row>
    <row r="3552" spans="35:41" ht="13">
      <c r="AI3552" s="115" t="s">
        <v>1415</v>
      </c>
      <c r="AJ3552" t="s">
        <v>2114</v>
      </c>
      <c r="AK3552" s="115">
        <v>15</v>
      </c>
      <c r="AL3552" s="115" t="s">
        <v>28</v>
      </c>
      <c r="AM3552" s="115" t="s">
        <v>1843</v>
      </c>
      <c r="AN3552" s="115" t="s">
        <v>1461</v>
      </c>
      <c r="AO3552" s="115" t="s">
        <v>380</v>
      </c>
    </row>
    <row r="3553" spans="35:41" ht="13">
      <c r="AI3553" s="115" t="s">
        <v>1415</v>
      </c>
      <c r="AJ3553" t="s">
        <v>2114</v>
      </c>
      <c r="AK3553" s="115">
        <v>15</v>
      </c>
      <c r="AL3553" s="115" t="s">
        <v>28</v>
      </c>
      <c r="AM3553" s="115" t="s">
        <v>1843</v>
      </c>
      <c r="AN3553" s="115" t="s">
        <v>1628</v>
      </c>
      <c r="AO3553" s="115" t="s">
        <v>1644</v>
      </c>
    </row>
    <row r="3554" spans="35:41" ht="13">
      <c r="AI3554" s="115" t="s">
        <v>1415</v>
      </c>
      <c r="AJ3554" t="s">
        <v>2114</v>
      </c>
      <c r="AK3554" s="115">
        <v>15</v>
      </c>
      <c r="AL3554" s="115" t="s">
        <v>28</v>
      </c>
      <c r="AM3554" s="115" t="s">
        <v>1850</v>
      </c>
      <c r="AN3554" s="115" t="s">
        <v>1628</v>
      </c>
      <c r="AO3554" s="115" t="s">
        <v>1644</v>
      </c>
    </row>
    <row r="3555" spans="35:41" ht="13">
      <c r="AI3555" s="115" t="s">
        <v>1415</v>
      </c>
      <c r="AJ3555" t="s">
        <v>2114</v>
      </c>
      <c r="AK3555" s="115">
        <v>15</v>
      </c>
      <c r="AL3555" s="115" t="s">
        <v>28</v>
      </c>
      <c r="AM3555" s="115" t="s">
        <v>1848</v>
      </c>
      <c r="AN3555" s="115" t="s">
        <v>1628</v>
      </c>
      <c r="AO3555" s="115" t="s">
        <v>1644</v>
      </c>
    </row>
    <row r="3556" spans="35:41" ht="13">
      <c r="AI3556" s="115" t="s">
        <v>1415</v>
      </c>
      <c r="AJ3556" t="s">
        <v>2114</v>
      </c>
      <c r="AK3556" s="115">
        <v>15</v>
      </c>
      <c r="AL3556" s="115" t="s">
        <v>28</v>
      </c>
      <c r="AM3556" s="115" t="s">
        <v>1832</v>
      </c>
      <c r="AN3556" s="115" t="s">
        <v>1628</v>
      </c>
      <c r="AO3556" s="115" t="s">
        <v>1644</v>
      </c>
    </row>
    <row r="3557" spans="35:41" ht="13">
      <c r="AI3557" s="115" t="s">
        <v>1415</v>
      </c>
      <c r="AJ3557" t="s">
        <v>2114</v>
      </c>
      <c r="AK3557" s="115">
        <v>15</v>
      </c>
      <c r="AL3557" s="115" t="s">
        <v>28</v>
      </c>
      <c r="AM3557" s="115" t="s">
        <v>1846</v>
      </c>
      <c r="AN3557" s="115" t="s">
        <v>1628</v>
      </c>
      <c r="AO3557" s="115" t="s">
        <v>1274</v>
      </c>
    </row>
    <row r="3558" spans="35:41" ht="13">
      <c r="AI3558" s="115" t="s">
        <v>1415</v>
      </c>
      <c r="AJ3558" t="s">
        <v>2114</v>
      </c>
      <c r="AK3558" s="115">
        <v>15</v>
      </c>
      <c r="AL3558" s="115" t="s">
        <v>28</v>
      </c>
      <c r="AM3558" s="115" t="s">
        <v>1832</v>
      </c>
      <c r="AN3558" s="115" t="s">
        <v>1628</v>
      </c>
      <c r="AO3558" s="115" t="s">
        <v>1274</v>
      </c>
    </row>
    <row r="3559" spans="35:41" ht="13">
      <c r="AI3559" s="115" t="s">
        <v>1415</v>
      </c>
      <c r="AJ3559" t="s">
        <v>2114</v>
      </c>
      <c r="AK3559" s="115">
        <v>15</v>
      </c>
      <c r="AL3559" s="115" t="s">
        <v>28</v>
      </c>
      <c r="AM3559" s="115" t="s">
        <v>1850</v>
      </c>
      <c r="AN3559" s="115" t="s">
        <v>1628</v>
      </c>
      <c r="AO3559" s="115" t="s">
        <v>1274</v>
      </c>
    </row>
    <row r="3560" spans="35:41" ht="13">
      <c r="AI3560" s="115" t="s">
        <v>1415</v>
      </c>
      <c r="AJ3560" t="s">
        <v>2114</v>
      </c>
      <c r="AK3560" s="115">
        <v>15</v>
      </c>
      <c r="AL3560" s="115" t="s">
        <v>28</v>
      </c>
      <c r="AM3560" s="115" t="s">
        <v>1848</v>
      </c>
      <c r="AN3560" s="115" t="s">
        <v>1628</v>
      </c>
      <c r="AO3560" s="115" t="s">
        <v>1274</v>
      </c>
    </row>
    <row r="3561" spans="35:41" ht="13">
      <c r="AI3561" s="115" t="s">
        <v>1415</v>
      </c>
      <c r="AJ3561" t="s">
        <v>2114</v>
      </c>
      <c r="AK3561" s="115">
        <v>15</v>
      </c>
      <c r="AL3561" s="115" t="s">
        <v>28</v>
      </c>
      <c r="AM3561" s="115" t="s">
        <v>1843</v>
      </c>
      <c r="AN3561" s="115" t="s">
        <v>1628</v>
      </c>
      <c r="AO3561" s="115" t="s">
        <v>1274</v>
      </c>
    </row>
    <row r="3562" spans="35:41" ht="13">
      <c r="AI3562" s="115" t="s">
        <v>1415</v>
      </c>
      <c r="AJ3562" t="s">
        <v>2114</v>
      </c>
      <c r="AK3562" s="115">
        <v>15</v>
      </c>
      <c r="AL3562" s="115" t="s">
        <v>28</v>
      </c>
      <c r="AM3562" s="115" t="s">
        <v>1849</v>
      </c>
      <c r="AN3562" s="115" t="s">
        <v>1628</v>
      </c>
      <c r="AO3562" s="115" t="s">
        <v>1274</v>
      </c>
    </row>
    <row r="3563" spans="35:41" ht="13">
      <c r="AI3563" s="115" t="s">
        <v>1415</v>
      </c>
      <c r="AJ3563" t="s">
        <v>2114</v>
      </c>
      <c r="AK3563" s="115">
        <v>15</v>
      </c>
      <c r="AL3563" s="115" t="s">
        <v>28</v>
      </c>
      <c r="AM3563" s="115" t="s">
        <v>1832</v>
      </c>
      <c r="AN3563" s="115" t="s">
        <v>1628</v>
      </c>
      <c r="AO3563" s="115" t="s">
        <v>381</v>
      </c>
    </row>
    <row r="3564" spans="35:41" ht="13">
      <c r="AI3564" s="115" t="s">
        <v>1415</v>
      </c>
      <c r="AJ3564" t="s">
        <v>2114</v>
      </c>
      <c r="AK3564" s="115">
        <v>15</v>
      </c>
      <c r="AL3564" s="115" t="s">
        <v>28</v>
      </c>
      <c r="AM3564" s="115" t="s">
        <v>1843</v>
      </c>
      <c r="AN3564" s="115" t="s">
        <v>1628</v>
      </c>
      <c r="AO3564" s="115" t="s">
        <v>381</v>
      </c>
    </row>
    <row r="3565" spans="35:41" ht="13">
      <c r="AI3565" s="115" t="s">
        <v>1415</v>
      </c>
      <c r="AJ3565" t="s">
        <v>2114</v>
      </c>
      <c r="AK3565" s="115">
        <v>15</v>
      </c>
      <c r="AL3565" s="115" t="s">
        <v>28</v>
      </c>
      <c r="AM3565" s="115" t="s">
        <v>1848</v>
      </c>
      <c r="AN3565" s="115" t="s">
        <v>1628</v>
      </c>
      <c r="AO3565" s="115" t="s">
        <v>381</v>
      </c>
    </row>
    <row r="3566" spans="35:41" ht="13">
      <c r="AI3566" s="115" t="s">
        <v>1415</v>
      </c>
      <c r="AJ3566" t="s">
        <v>2114</v>
      </c>
      <c r="AK3566" s="115">
        <v>15</v>
      </c>
      <c r="AL3566" s="115" t="s">
        <v>28</v>
      </c>
      <c r="AM3566" s="115" t="s">
        <v>1846</v>
      </c>
      <c r="AN3566" s="115" t="s">
        <v>1628</v>
      </c>
      <c r="AO3566" s="115" t="s">
        <v>381</v>
      </c>
    </row>
    <row r="3567" spans="35:41" ht="13">
      <c r="AI3567" s="115" t="s">
        <v>1415</v>
      </c>
      <c r="AJ3567" t="s">
        <v>2114</v>
      </c>
      <c r="AK3567" s="115">
        <v>15</v>
      </c>
      <c r="AL3567" s="115" t="s">
        <v>28</v>
      </c>
      <c r="AM3567" s="115" t="s">
        <v>1849</v>
      </c>
      <c r="AN3567" s="115" t="s">
        <v>1628</v>
      </c>
      <c r="AO3567" s="115" t="s">
        <v>381</v>
      </c>
    </row>
    <row r="3568" spans="35:41" ht="13">
      <c r="AI3568" s="115" t="s">
        <v>1415</v>
      </c>
      <c r="AJ3568" t="s">
        <v>2114</v>
      </c>
      <c r="AK3568" s="115">
        <v>15</v>
      </c>
      <c r="AL3568" s="115" t="s">
        <v>28</v>
      </c>
      <c r="AM3568" s="115" t="s">
        <v>1850</v>
      </c>
      <c r="AN3568" s="115" t="s">
        <v>1628</v>
      </c>
      <c r="AO3568" s="115" t="s">
        <v>381</v>
      </c>
    </row>
    <row r="3569" spans="35:41" ht="13">
      <c r="AI3569" s="115" t="s">
        <v>1415</v>
      </c>
      <c r="AJ3569" t="s">
        <v>2114</v>
      </c>
      <c r="AK3569" s="115">
        <v>15</v>
      </c>
      <c r="AL3569" s="115" t="s">
        <v>28</v>
      </c>
      <c r="AM3569" s="115" t="s">
        <v>1843</v>
      </c>
      <c r="AN3569" s="115" t="s">
        <v>1628</v>
      </c>
      <c r="AO3569" s="115" t="s">
        <v>379</v>
      </c>
    </row>
    <row r="3570" spans="35:41" ht="13">
      <c r="AI3570" s="115" t="s">
        <v>1415</v>
      </c>
      <c r="AJ3570" t="s">
        <v>2114</v>
      </c>
      <c r="AK3570" s="115">
        <v>15</v>
      </c>
      <c r="AL3570" s="115" t="s">
        <v>28</v>
      </c>
      <c r="AM3570" s="115" t="s">
        <v>1848</v>
      </c>
      <c r="AN3570" s="115" t="s">
        <v>1628</v>
      </c>
      <c r="AO3570" s="115" t="s">
        <v>379</v>
      </c>
    </row>
    <row r="3571" spans="35:41" ht="13">
      <c r="AI3571" s="115" t="s">
        <v>1415</v>
      </c>
      <c r="AJ3571" t="s">
        <v>2114</v>
      </c>
      <c r="AK3571" s="115">
        <v>15</v>
      </c>
      <c r="AL3571" s="115" t="s">
        <v>28</v>
      </c>
      <c r="AM3571" s="115" t="s">
        <v>1849</v>
      </c>
      <c r="AN3571" s="115" t="s">
        <v>1628</v>
      </c>
      <c r="AO3571" s="115" t="s">
        <v>379</v>
      </c>
    </row>
    <row r="3572" spans="35:41" ht="13">
      <c r="AI3572" s="115" t="s">
        <v>1415</v>
      </c>
      <c r="AJ3572" t="s">
        <v>2114</v>
      </c>
      <c r="AK3572" s="115">
        <v>15</v>
      </c>
      <c r="AL3572" s="115" t="s">
        <v>28</v>
      </c>
      <c r="AM3572" s="115" t="s">
        <v>1850</v>
      </c>
      <c r="AN3572" s="115" t="s">
        <v>1628</v>
      </c>
      <c r="AO3572" s="115" t="s">
        <v>379</v>
      </c>
    </row>
    <row r="3573" spans="35:41" ht="13">
      <c r="AI3573" s="115" t="s">
        <v>1415</v>
      </c>
      <c r="AJ3573" t="s">
        <v>2114</v>
      </c>
      <c r="AK3573" s="115">
        <v>15</v>
      </c>
      <c r="AL3573" s="115" t="s">
        <v>28</v>
      </c>
      <c r="AM3573" s="115" t="s">
        <v>1832</v>
      </c>
      <c r="AN3573" s="115" t="s">
        <v>1628</v>
      </c>
      <c r="AO3573" s="115" t="s">
        <v>379</v>
      </c>
    </row>
    <row r="3574" spans="35:41" ht="13">
      <c r="AI3574" s="115" t="s">
        <v>1415</v>
      </c>
      <c r="AJ3574" t="s">
        <v>2114</v>
      </c>
      <c r="AK3574" s="115">
        <v>15</v>
      </c>
      <c r="AL3574" s="115" t="s">
        <v>28</v>
      </c>
      <c r="AM3574" s="115" t="s">
        <v>1846</v>
      </c>
      <c r="AN3574" s="115" t="s">
        <v>1628</v>
      </c>
      <c r="AO3574" s="115" t="s">
        <v>379</v>
      </c>
    </row>
    <row r="3575" spans="35:41" ht="13">
      <c r="AI3575" s="115" t="s">
        <v>1415</v>
      </c>
      <c r="AJ3575" t="s">
        <v>2114</v>
      </c>
      <c r="AK3575" s="115">
        <v>15</v>
      </c>
      <c r="AL3575" s="115" t="s">
        <v>28</v>
      </c>
      <c r="AM3575" s="115" t="s">
        <v>1832</v>
      </c>
      <c r="AN3575" s="115" t="s">
        <v>1628</v>
      </c>
      <c r="AO3575" s="115" t="s">
        <v>1645</v>
      </c>
    </row>
    <row r="3576" spans="35:41" ht="13">
      <c r="AI3576" s="115" t="s">
        <v>1415</v>
      </c>
      <c r="AJ3576" t="s">
        <v>2114</v>
      </c>
      <c r="AK3576" s="115">
        <v>15</v>
      </c>
      <c r="AL3576" s="115" t="s">
        <v>28</v>
      </c>
      <c r="AM3576" s="115" t="s">
        <v>1848</v>
      </c>
      <c r="AN3576" s="115" t="s">
        <v>1628</v>
      </c>
      <c r="AO3576" s="115" t="s">
        <v>1645</v>
      </c>
    </row>
    <row r="3577" spans="35:41" ht="13">
      <c r="AI3577" s="115" t="s">
        <v>1415</v>
      </c>
      <c r="AJ3577" t="s">
        <v>2114</v>
      </c>
      <c r="AK3577" s="115">
        <v>15</v>
      </c>
      <c r="AL3577" s="115" t="s">
        <v>28</v>
      </c>
      <c r="AM3577" s="115" t="s">
        <v>1849</v>
      </c>
      <c r="AN3577" s="115" t="s">
        <v>1628</v>
      </c>
      <c r="AO3577" s="115" t="s">
        <v>1645</v>
      </c>
    </row>
    <row r="3578" spans="35:41" ht="13">
      <c r="AI3578" s="115" t="s">
        <v>1415</v>
      </c>
      <c r="AJ3578" t="s">
        <v>2114</v>
      </c>
      <c r="AK3578" s="115">
        <v>15</v>
      </c>
      <c r="AL3578" s="115" t="s">
        <v>28</v>
      </c>
      <c r="AM3578" s="115" t="s">
        <v>1846</v>
      </c>
      <c r="AN3578" s="115" t="s">
        <v>1628</v>
      </c>
      <c r="AO3578" s="115" t="s">
        <v>1645</v>
      </c>
    </row>
    <row r="3579" spans="35:41" ht="13">
      <c r="AI3579" s="115" t="s">
        <v>1415</v>
      </c>
      <c r="AJ3579" t="s">
        <v>2114</v>
      </c>
      <c r="AK3579" s="115">
        <v>15</v>
      </c>
      <c r="AL3579" s="115" t="s">
        <v>28</v>
      </c>
      <c r="AM3579" s="115" t="s">
        <v>1843</v>
      </c>
      <c r="AN3579" s="115" t="s">
        <v>1628</v>
      </c>
      <c r="AO3579" s="115" t="s">
        <v>1645</v>
      </c>
    </row>
    <row r="3580" spans="35:41" ht="13">
      <c r="AI3580" s="115" t="s">
        <v>1415</v>
      </c>
      <c r="AJ3580" t="s">
        <v>2114</v>
      </c>
      <c r="AK3580" s="115">
        <v>15</v>
      </c>
      <c r="AL3580" s="115" t="s">
        <v>28</v>
      </c>
      <c r="AM3580" s="115" t="s">
        <v>1850</v>
      </c>
      <c r="AN3580" s="115" t="s">
        <v>1628</v>
      </c>
      <c r="AO3580" s="115" t="s">
        <v>1645</v>
      </c>
    </row>
    <row r="3581" spans="35:41" ht="13">
      <c r="AI3581" s="115" t="s">
        <v>1415</v>
      </c>
      <c r="AJ3581" t="s">
        <v>2114</v>
      </c>
      <c r="AK3581" s="115">
        <v>15</v>
      </c>
      <c r="AL3581" s="115" t="s">
        <v>28</v>
      </c>
      <c r="AM3581" s="115" t="s">
        <v>1846</v>
      </c>
      <c r="AN3581" s="115" t="s">
        <v>1628</v>
      </c>
      <c r="AO3581" s="115" t="s">
        <v>1646</v>
      </c>
    </row>
    <row r="3582" spans="35:41" ht="13">
      <c r="AI3582" s="115" t="s">
        <v>1415</v>
      </c>
      <c r="AJ3582" t="s">
        <v>2114</v>
      </c>
      <c r="AK3582" s="115">
        <v>15</v>
      </c>
      <c r="AL3582" s="115" t="s">
        <v>28</v>
      </c>
      <c r="AM3582" s="115" t="s">
        <v>1843</v>
      </c>
      <c r="AN3582" s="115" t="s">
        <v>1628</v>
      </c>
      <c r="AO3582" s="115" t="s">
        <v>1646</v>
      </c>
    </row>
    <row r="3583" spans="35:41" ht="13">
      <c r="AI3583" s="115" t="s">
        <v>1415</v>
      </c>
      <c r="AJ3583" t="s">
        <v>2114</v>
      </c>
      <c r="AK3583" s="115">
        <v>15</v>
      </c>
      <c r="AL3583" s="115" t="s">
        <v>28</v>
      </c>
      <c r="AM3583" s="115" t="s">
        <v>1846</v>
      </c>
      <c r="AN3583" s="115" t="s">
        <v>1628</v>
      </c>
      <c r="AO3583" s="115" t="s">
        <v>1647</v>
      </c>
    </row>
    <row r="3584" spans="35:41" ht="13">
      <c r="AI3584" s="115" t="s">
        <v>1415</v>
      </c>
      <c r="AJ3584" t="s">
        <v>2114</v>
      </c>
      <c r="AK3584" s="115">
        <v>15</v>
      </c>
      <c r="AL3584" s="115" t="s">
        <v>28</v>
      </c>
      <c r="AM3584" s="115" t="s">
        <v>1843</v>
      </c>
      <c r="AN3584" s="115" t="s">
        <v>1628</v>
      </c>
      <c r="AO3584" s="115" t="s">
        <v>1647</v>
      </c>
    </row>
    <row r="3585" spans="35:41" ht="13">
      <c r="AI3585" s="115" t="s">
        <v>1415</v>
      </c>
      <c r="AJ3585" t="s">
        <v>2114</v>
      </c>
      <c r="AK3585" s="115">
        <v>15</v>
      </c>
      <c r="AL3585" s="115" t="s">
        <v>28</v>
      </c>
      <c r="AM3585" s="115" t="s">
        <v>1843</v>
      </c>
      <c r="AN3585" s="115" t="s">
        <v>1628</v>
      </c>
      <c r="AO3585" s="115" t="s">
        <v>1639</v>
      </c>
    </row>
    <row r="3586" spans="35:41" ht="13">
      <c r="AI3586" s="115" t="s">
        <v>1415</v>
      </c>
      <c r="AJ3586" t="s">
        <v>2114</v>
      </c>
      <c r="AK3586" s="115">
        <v>15</v>
      </c>
      <c r="AL3586" s="115" t="s">
        <v>28</v>
      </c>
      <c r="AM3586" s="115" t="s">
        <v>1846</v>
      </c>
      <c r="AN3586" s="115" t="s">
        <v>1628</v>
      </c>
      <c r="AO3586" s="115" t="s">
        <v>1639</v>
      </c>
    </row>
    <row r="3587" spans="35:41" ht="13">
      <c r="AI3587" s="115" t="s">
        <v>1415</v>
      </c>
      <c r="AJ3587" t="s">
        <v>2114</v>
      </c>
      <c r="AK3587" s="115">
        <v>15</v>
      </c>
      <c r="AL3587" s="115" t="s">
        <v>28</v>
      </c>
      <c r="AM3587" s="115" t="s">
        <v>1846</v>
      </c>
      <c r="AN3587" s="115" t="s">
        <v>1628</v>
      </c>
      <c r="AO3587" s="115" t="s">
        <v>373</v>
      </c>
    </row>
    <row r="3588" spans="35:41" ht="13">
      <c r="AI3588" s="115" t="s">
        <v>1415</v>
      </c>
      <c r="AJ3588" t="s">
        <v>2114</v>
      </c>
      <c r="AK3588" s="115">
        <v>15</v>
      </c>
      <c r="AL3588" s="115" t="s">
        <v>28</v>
      </c>
      <c r="AM3588" s="115" t="s">
        <v>1850</v>
      </c>
      <c r="AN3588" s="115" t="s">
        <v>1628</v>
      </c>
      <c r="AO3588" s="115" t="s">
        <v>373</v>
      </c>
    </row>
    <row r="3589" spans="35:41" ht="13">
      <c r="AI3589" s="115" t="s">
        <v>1415</v>
      </c>
      <c r="AJ3589" t="s">
        <v>2114</v>
      </c>
      <c r="AK3589" s="115">
        <v>15</v>
      </c>
      <c r="AL3589" s="115" t="s">
        <v>28</v>
      </c>
      <c r="AM3589" s="115" t="s">
        <v>1848</v>
      </c>
      <c r="AN3589" s="115" t="s">
        <v>1628</v>
      </c>
      <c r="AO3589" s="115" t="s">
        <v>373</v>
      </c>
    </row>
    <row r="3590" spans="35:41" ht="13">
      <c r="AI3590" s="115" t="s">
        <v>1415</v>
      </c>
      <c r="AJ3590" t="s">
        <v>2114</v>
      </c>
      <c r="AK3590" s="115">
        <v>15</v>
      </c>
      <c r="AL3590" s="115" t="s">
        <v>28</v>
      </c>
      <c r="AM3590" s="115" t="s">
        <v>1843</v>
      </c>
      <c r="AN3590" s="115" t="s">
        <v>1628</v>
      </c>
      <c r="AO3590" s="115" t="s">
        <v>373</v>
      </c>
    </row>
    <row r="3591" spans="35:41" ht="13">
      <c r="AI3591" s="115" t="s">
        <v>1415</v>
      </c>
      <c r="AJ3591" t="s">
        <v>2114</v>
      </c>
      <c r="AK3591" s="115">
        <v>15</v>
      </c>
      <c r="AL3591" s="115" t="s">
        <v>28</v>
      </c>
      <c r="AM3591" s="115" t="s">
        <v>1849</v>
      </c>
      <c r="AN3591" s="115" t="s">
        <v>1628</v>
      </c>
      <c r="AO3591" s="115" t="s">
        <v>373</v>
      </c>
    </row>
    <row r="3592" spans="35:41" ht="13">
      <c r="AI3592" s="115" t="s">
        <v>1415</v>
      </c>
      <c r="AJ3592" t="s">
        <v>2114</v>
      </c>
      <c r="AK3592" s="115">
        <v>15</v>
      </c>
      <c r="AL3592" s="115" t="s">
        <v>28</v>
      </c>
      <c r="AM3592" s="115" t="s">
        <v>1832</v>
      </c>
      <c r="AN3592" s="115" t="s">
        <v>1628</v>
      </c>
      <c r="AO3592" s="115" t="s">
        <v>373</v>
      </c>
    </row>
    <row r="3593" spans="35:41" ht="13">
      <c r="AI3593" s="115" t="s">
        <v>1415</v>
      </c>
      <c r="AJ3593" t="s">
        <v>2114</v>
      </c>
      <c r="AK3593" s="115">
        <v>15</v>
      </c>
      <c r="AL3593" s="115" t="s">
        <v>28</v>
      </c>
      <c r="AM3593" s="115" t="s">
        <v>1849</v>
      </c>
      <c r="AN3593" s="115" t="s">
        <v>1628</v>
      </c>
      <c r="AO3593" s="115" t="s">
        <v>380</v>
      </c>
    </row>
    <row r="3594" spans="35:41" ht="13">
      <c r="AI3594" s="115" t="s">
        <v>1415</v>
      </c>
      <c r="AJ3594" t="s">
        <v>2114</v>
      </c>
      <c r="AK3594" s="115">
        <v>15</v>
      </c>
      <c r="AL3594" s="115" t="s">
        <v>28</v>
      </c>
      <c r="AM3594" s="115" t="s">
        <v>1832</v>
      </c>
      <c r="AN3594" s="115" t="s">
        <v>1628</v>
      </c>
      <c r="AO3594" s="115" t="s">
        <v>380</v>
      </c>
    </row>
    <row r="3595" spans="35:41" ht="13">
      <c r="AI3595" s="115" t="s">
        <v>1415</v>
      </c>
      <c r="AJ3595" t="s">
        <v>2114</v>
      </c>
      <c r="AK3595" s="115">
        <v>15</v>
      </c>
      <c r="AL3595" s="115" t="s">
        <v>28</v>
      </c>
      <c r="AM3595" s="115" t="s">
        <v>1846</v>
      </c>
      <c r="AN3595" s="115" t="s">
        <v>1628</v>
      </c>
      <c r="AO3595" s="115" t="s">
        <v>380</v>
      </c>
    </row>
    <row r="3596" spans="35:41" ht="13">
      <c r="AI3596" s="115" t="s">
        <v>1415</v>
      </c>
      <c r="AJ3596" t="s">
        <v>2114</v>
      </c>
      <c r="AK3596" s="115">
        <v>15</v>
      </c>
      <c r="AL3596" s="115" t="s">
        <v>28</v>
      </c>
      <c r="AM3596" s="115" t="s">
        <v>1848</v>
      </c>
      <c r="AN3596" s="115" t="s">
        <v>1628</v>
      </c>
      <c r="AO3596" s="115" t="s">
        <v>380</v>
      </c>
    </row>
    <row r="3597" spans="35:41" ht="13">
      <c r="AI3597" s="115" t="s">
        <v>1415</v>
      </c>
      <c r="AJ3597" t="s">
        <v>2114</v>
      </c>
      <c r="AK3597" s="115">
        <v>15</v>
      </c>
      <c r="AL3597" s="115" t="s">
        <v>28</v>
      </c>
      <c r="AM3597" s="115" t="s">
        <v>1850</v>
      </c>
      <c r="AN3597" s="115" t="s">
        <v>1628</v>
      </c>
      <c r="AO3597" s="115" t="s">
        <v>380</v>
      </c>
    </row>
    <row r="3598" spans="35:41" ht="13">
      <c r="AI3598" s="115" t="s">
        <v>1415</v>
      </c>
      <c r="AJ3598" t="s">
        <v>2114</v>
      </c>
      <c r="AK3598" s="115">
        <v>15</v>
      </c>
      <c r="AL3598" s="115" t="s">
        <v>28</v>
      </c>
      <c r="AM3598" s="115" t="s">
        <v>1843</v>
      </c>
      <c r="AN3598" s="115" t="s">
        <v>1628</v>
      </c>
      <c r="AO3598" s="115" t="s">
        <v>380</v>
      </c>
    </row>
    <row r="3599" spans="35:41" ht="13">
      <c r="AI3599" s="115" t="s">
        <v>1415</v>
      </c>
      <c r="AJ3599" t="s">
        <v>2114</v>
      </c>
      <c r="AK3599" s="115">
        <v>15</v>
      </c>
      <c r="AL3599" s="115" t="s">
        <v>28</v>
      </c>
      <c r="AM3599" s="115" t="s">
        <v>1849</v>
      </c>
      <c r="AN3599" s="115" t="s">
        <v>1674</v>
      </c>
      <c r="AO3599" s="115" t="s">
        <v>1643</v>
      </c>
    </row>
    <row r="3600" spans="35:41" ht="13">
      <c r="AI3600" s="115" t="s">
        <v>1415</v>
      </c>
      <c r="AJ3600" t="s">
        <v>2114</v>
      </c>
      <c r="AK3600" s="115">
        <v>15</v>
      </c>
      <c r="AL3600" s="115" t="s">
        <v>28</v>
      </c>
      <c r="AM3600" s="115" t="s">
        <v>1846</v>
      </c>
      <c r="AN3600" s="115" t="s">
        <v>1674</v>
      </c>
      <c r="AO3600" s="115" t="s">
        <v>1643</v>
      </c>
    </row>
    <row r="3601" spans="35:41" ht="13">
      <c r="AI3601" s="115" t="s">
        <v>1415</v>
      </c>
      <c r="AJ3601" t="s">
        <v>2114</v>
      </c>
      <c r="AK3601" s="115">
        <v>15</v>
      </c>
      <c r="AL3601" s="115" t="s">
        <v>28</v>
      </c>
      <c r="AM3601" s="115" t="s">
        <v>1848</v>
      </c>
      <c r="AN3601" s="115" t="s">
        <v>1674</v>
      </c>
      <c r="AO3601" s="115" t="s">
        <v>1643</v>
      </c>
    </row>
    <row r="3602" spans="35:41" ht="13">
      <c r="AI3602" s="115" t="s">
        <v>1415</v>
      </c>
      <c r="AJ3602" t="s">
        <v>2114</v>
      </c>
      <c r="AK3602" s="115">
        <v>15</v>
      </c>
      <c r="AL3602" s="115" t="s">
        <v>28</v>
      </c>
      <c r="AM3602" s="115" t="s">
        <v>1832</v>
      </c>
      <c r="AN3602" s="115" t="s">
        <v>1674</v>
      </c>
      <c r="AO3602" s="115" t="s">
        <v>1643</v>
      </c>
    </row>
    <row r="3603" spans="35:41" ht="13">
      <c r="AI3603" s="115" t="s">
        <v>1415</v>
      </c>
      <c r="AJ3603" t="s">
        <v>2114</v>
      </c>
      <c r="AK3603" s="115">
        <v>15</v>
      </c>
      <c r="AL3603" s="115" t="s">
        <v>28</v>
      </c>
      <c r="AM3603" s="115" t="s">
        <v>1850</v>
      </c>
      <c r="AN3603" s="115" t="s">
        <v>1674</v>
      </c>
      <c r="AO3603" s="115" t="s">
        <v>1643</v>
      </c>
    </row>
    <row r="3604" spans="35:41" ht="13">
      <c r="AI3604" s="115" t="s">
        <v>1415</v>
      </c>
      <c r="AJ3604" t="s">
        <v>2114</v>
      </c>
      <c r="AK3604" s="115">
        <v>15</v>
      </c>
      <c r="AL3604" s="115" t="s">
        <v>28</v>
      </c>
      <c r="AM3604" s="115" t="s">
        <v>1843</v>
      </c>
      <c r="AN3604" s="115" t="s">
        <v>1674</v>
      </c>
      <c r="AO3604" s="115" t="s">
        <v>1643</v>
      </c>
    </row>
    <row r="3605" spans="35:41" ht="13">
      <c r="AI3605" s="115" t="s">
        <v>1415</v>
      </c>
      <c r="AJ3605" t="s">
        <v>2114</v>
      </c>
      <c r="AK3605" s="115">
        <v>15</v>
      </c>
      <c r="AL3605" s="115" t="s">
        <v>28</v>
      </c>
      <c r="AM3605" s="115" t="s">
        <v>1849</v>
      </c>
      <c r="AN3605" s="115" t="s">
        <v>1674</v>
      </c>
      <c r="AO3605" s="115" t="s">
        <v>360</v>
      </c>
    </row>
    <row r="3606" spans="35:41" ht="13">
      <c r="AI3606" s="115" t="s">
        <v>1415</v>
      </c>
      <c r="AJ3606" t="s">
        <v>2114</v>
      </c>
      <c r="AK3606" s="115">
        <v>15</v>
      </c>
      <c r="AL3606" s="115" t="s">
        <v>28</v>
      </c>
      <c r="AM3606" s="115" t="s">
        <v>1848</v>
      </c>
      <c r="AN3606" s="115" t="s">
        <v>1674</v>
      </c>
      <c r="AO3606" s="115" t="s">
        <v>360</v>
      </c>
    </row>
    <row r="3607" spans="35:41" ht="13">
      <c r="AI3607" s="115" t="s">
        <v>1415</v>
      </c>
      <c r="AJ3607" t="s">
        <v>2114</v>
      </c>
      <c r="AK3607" s="115">
        <v>15</v>
      </c>
      <c r="AL3607" s="115" t="s">
        <v>28</v>
      </c>
      <c r="AM3607" s="115" t="s">
        <v>1832</v>
      </c>
      <c r="AN3607" s="115" t="s">
        <v>1674</v>
      </c>
      <c r="AO3607" s="115" t="s">
        <v>360</v>
      </c>
    </row>
    <row r="3608" spans="35:41" ht="13">
      <c r="AI3608" s="115" t="s">
        <v>1415</v>
      </c>
      <c r="AJ3608" t="s">
        <v>2114</v>
      </c>
      <c r="AK3608" s="115">
        <v>15</v>
      </c>
      <c r="AL3608" s="115" t="s">
        <v>28</v>
      </c>
      <c r="AM3608" s="115" t="s">
        <v>1846</v>
      </c>
      <c r="AN3608" s="115" t="s">
        <v>1674</v>
      </c>
      <c r="AO3608" s="115" t="s">
        <v>360</v>
      </c>
    </row>
    <row r="3609" spans="35:41" ht="13">
      <c r="AI3609" s="115" t="s">
        <v>1415</v>
      </c>
      <c r="AJ3609" t="s">
        <v>2114</v>
      </c>
      <c r="AK3609" s="115">
        <v>15</v>
      </c>
      <c r="AL3609" s="115" t="s">
        <v>28</v>
      </c>
      <c r="AM3609" s="115" t="s">
        <v>1850</v>
      </c>
      <c r="AN3609" s="115" t="s">
        <v>1674</v>
      </c>
      <c r="AO3609" s="115" t="s">
        <v>360</v>
      </c>
    </row>
    <row r="3610" spans="35:41" ht="13">
      <c r="AI3610" s="115" t="s">
        <v>1415</v>
      </c>
      <c r="AJ3610" t="s">
        <v>2114</v>
      </c>
      <c r="AK3610" s="115">
        <v>15</v>
      </c>
      <c r="AL3610" s="115" t="s">
        <v>28</v>
      </c>
      <c r="AM3610" s="115" t="s">
        <v>1843</v>
      </c>
      <c r="AN3610" s="115" t="s">
        <v>1674</v>
      </c>
      <c r="AO3610" s="115" t="s">
        <v>360</v>
      </c>
    </row>
    <row r="3611" spans="35:41" ht="13">
      <c r="AI3611" s="115" t="s">
        <v>1415</v>
      </c>
      <c r="AJ3611" t="s">
        <v>2114</v>
      </c>
      <c r="AK3611" s="115">
        <v>15</v>
      </c>
      <c r="AL3611" s="115" t="s">
        <v>28</v>
      </c>
      <c r="AM3611" s="115" t="s">
        <v>1848</v>
      </c>
      <c r="AN3611" s="115" t="s">
        <v>1674</v>
      </c>
      <c r="AO3611" s="115" t="s">
        <v>372</v>
      </c>
    </row>
    <row r="3612" spans="35:41" ht="13">
      <c r="AI3612" s="115" t="s">
        <v>1415</v>
      </c>
      <c r="AJ3612" t="s">
        <v>2114</v>
      </c>
      <c r="AK3612" s="115">
        <v>15</v>
      </c>
      <c r="AL3612" s="115" t="s">
        <v>28</v>
      </c>
      <c r="AM3612" s="115" t="s">
        <v>1850</v>
      </c>
      <c r="AN3612" s="115" t="s">
        <v>1674</v>
      </c>
      <c r="AO3612" s="115" t="s">
        <v>372</v>
      </c>
    </row>
    <row r="3613" spans="35:41" ht="13">
      <c r="AI3613" s="115" t="s">
        <v>1415</v>
      </c>
      <c r="AJ3613" t="s">
        <v>2114</v>
      </c>
      <c r="AK3613" s="115">
        <v>15</v>
      </c>
      <c r="AL3613" s="115" t="s">
        <v>28</v>
      </c>
      <c r="AM3613" s="115" t="s">
        <v>1832</v>
      </c>
      <c r="AN3613" s="115" t="s">
        <v>1674</v>
      </c>
      <c r="AO3613" s="115" t="s">
        <v>372</v>
      </c>
    </row>
    <row r="3614" spans="35:41" ht="13">
      <c r="AI3614" s="115" t="s">
        <v>1415</v>
      </c>
      <c r="AJ3614" t="s">
        <v>2114</v>
      </c>
      <c r="AK3614" s="115">
        <v>15</v>
      </c>
      <c r="AL3614" s="115" t="s">
        <v>28</v>
      </c>
      <c r="AM3614" s="115" t="s">
        <v>1849</v>
      </c>
      <c r="AN3614" s="115" t="s">
        <v>1674</v>
      </c>
      <c r="AO3614" s="115" t="s">
        <v>372</v>
      </c>
    </row>
    <row r="3615" spans="35:41" ht="13">
      <c r="AI3615" s="115" t="s">
        <v>1415</v>
      </c>
      <c r="AJ3615" t="s">
        <v>2114</v>
      </c>
      <c r="AK3615" s="115">
        <v>15</v>
      </c>
      <c r="AL3615" s="115" t="s">
        <v>28</v>
      </c>
      <c r="AM3615" s="115" t="s">
        <v>1843</v>
      </c>
      <c r="AN3615" s="115" t="s">
        <v>1674</v>
      </c>
      <c r="AO3615" s="115" t="s">
        <v>372</v>
      </c>
    </row>
    <row r="3616" spans="35:41" ht="13">
      <c r="AI3616" s="115" t="s">
        <v>1415</v>
      </c>
      <c r="AJ3616" t="s">
        <v>2114</v>
      </c>
      <c r="AK3616" s="115">
        <v>15</v>
      </c>
      <c r="AL3616" s="115" t="s">
        <v>28</v>
      </c>
      <c r="AM3616" s="115" t="s">
        <v>1846</v>
      </c>
      <c r="AN3616" s="115" t="s">
        <v>1674</v>
      </c>
      <c r="AO3616" s="115" t="s">
        <v>372</v>
      </c>
    </row>
    <row r="3617" spans="35:41" ht="13">
      <c r="AI3617" s="115" t="s">
        <v>1415</v>
      </c>
      <c r="AJ3617" t="s">
        <v>2114</v>
      </c>
      <c r="AK3617" s="115">
        <v>15</v>
      </c>
      <c r="AL3617" s="115" t="s">
        <v>28</v>
      </c>
      <c r="AM3617" s="115" t="s">
        <v>1849</v>
      </c>
      <c r="AN3617" s="115" t="s">
        <v>1675</v>
      </c>
      <c r="AO3617" s="115" t="s">
        <v>1643</v>
      </c>
    </row>
    <row r="3618" spans="35:41" ht="13">
      <c r="AI3618" s="115" t="s">
        <v>1415</v>
      </c>
      <c r="AJ3618" t="s">
        <v>2114</v>
      </c>
      <c r="AK3618" s="115">
        <v>15</v>
      </c>
      <c r="AL3618" s="115" t="s">
        <v>28</v>
      </c>
      <c r="AM3618" s="115" t="s">
        <v>1843</v>
      </c>
      <c r="AN3618" s="115" t="s">
        <v>1675</v>
      </c>
      <c r="AO3618" s="115" t="s">
        <v>1643</v>
      </c>
    </row>
    <row r="3619" spans="35:41" ht="13">
      <c r="AI3619" s="115" t="s">
        <v>1415</v>
      </c>
      <c r="AJ3619" t="s">
        <v>2114</v>
      </c>
      <c r="AK3619" s="115">
        <v>15</v>
      </c>
      <c r="AL3619" s="115" t="s">
        <v>28</v>
      </c>
      <c r="AM3619" s="115" t="s">
        <v>1846</v>
      </c>
      <c r="AN3619" s="115" t="s">
        <v>1675</v>
      </c>
      <c r="AO3619" s="115" t="s">
        <v>1643</v>
      </c>
    </row>
    <row r="3620" spans="35:41" ht="13">
      <c r="AI3620" s="115" t="s">
        <v>1415</v>
      </c>
      <c r="AJ3620" t="s">
        <v>2114</v>
      </c>
      <c r="AK3620" s="115">
        <v>15</v>
      </c>
      <c r="AL3620" s="115" t="s">
        <v>28</v>
      </c>
      <c r="AM3620" s="115" t="s">
        <v>1848</v>
      </c>
      <c r="AN3620" s="115" t="s">
        <v>1675</v>
      </c>
      <c r="AO3620" s="115" t="s">
        <v>1643</v>
      </c>
    </row>
    <row r="3621" spans="35:41" ht="13">
      <c r="AI3621" s="115" t="s">
        <v>1415</v>
      </c>
      <c r="AJ3621" t="s">
        <v>2114</v>
      </c>
      <c r="AK3621" s="115">
        <v>15</v>
      </c>
      <c r="AL3621" s="115" t="s">
        <v>28</v>
      </c>
      <c r="AM3621" s="115" t="s">
        <v>1832</v>
      </c>
      <c r="AN3621" s="115" t="s">
        <v>1675</v>
      </c>
      <c r="AO3621" s="115" t="s">
        <v>1643</v>
      </c>
    </row>
    <row r="3622" spans="35:41" ht="13">
      <c r="AI3622" s="115" t="s">
        <v>1415</v>
      </c>
      <c r="AJ3622" t="s">
        <v>2114</v>
      </c>
      <c r="AK3622" s="115">
        <v>15</v>
      </c>
      <c r="AL3622" s="115" t="s">
        <v>28</v>
      </c>
      <c r="AM3622" s="115" t="s">
        <v>1850</v>
      </c>
      <c r="AN3622" s="115" t="s">
        <v>1675</v>
      </c>
      <c r="AO3622" s="115" t="s">
        <v>1643</v>
      </c>
    </row>
    <row r="3623" spans="35:41" ht="13">
      <c r="AI3623" s="115" t="s">
        <v>1415</v>
      </c>
      <c r="AJ3623" t="s">
        <v>2114</v>
      </c>
      <c r="AK3623" s="115">
        <v>15</v>
      </c>
      <c r="AL3623" s="115" t="s">
        <v>28</v>
      </c>
      <c r="AM3623" s="115" t="s">
        <v>1848</v>
      </c>
      <c r="AN3623" s="115" t="s">
        <v>1675</v>
      </c>
      <c r="AO3623" s="115" t="s">
        <v>1642</v>
      </c>
    </row>
    <row r="3624" spans="35:41" ht="13">
      <c r="AI3624" s="115" t="s">
        <v>1415</v>
      </c>
      <c r="AJ3624" t="s">
        <v>2114</v>
      </c>
      <c r="AK3624" s="115">
        <v>15</v>
      </c>
      <c r="AL3624" s="115" t="s">
        <v>28</v>
      </c>
      <c r="AM3624" s="115" t="s">
        <v>1832</v>
      </c>
      <c r="AN3624" s="115" t="s">
        <v>1675</v>
      </c>
      <c r="AO3624" s="115" t="s">
        <v>1642</v>
      </c>
    </row>
    <row r="3625" spans="35:41" ht="13">
      <c r="AI3625" s="115" t="s">
        <v>1415</v>
      </c>
      <c r="AJ3625" t="s">
        <v>2114</v>
      </c>
      <c r="AK3625" s="115">
        <v>15</v>
      </c>
      <c r="AL3625" s="115" t="s">
        <v>28</v>
      </c>
      <c r="AM3625" s="115" t="s">
        <v>1850</v>
      </c>
      <c r="AN3625" s="115" t="s">
        <v>1675</v>
      </c>
      <c r="AO3625" s="115" t="s">
        <v>1642</v>
      </c>
    </row>
    <row r="3626" spans="35:41" ht="13">
      <c r="AI3626" s="115" t="s">
        <v>1415</v>
      </c>
      <c r="AJ3626" t="s">
        <v>2114</v>
      </c>
      <c r="AK3626" s="115">
        <v>15</v>
      </c>
      <c r="AL3626" s="115" t="s">
        <v>28</v>
      </c>
      <c r="AM3626" s="115" t="s">
        <v>1843</v>
      </c>
      <c r="AN3626" s="115" t="s">
        <v>1675</v>
      </c>
      <c r="AO3626" s="115" t="s">
        <v>1642</v>
      </c>
    </row>
    <row r="3627" spans="35:41" ht="13">
      <c r="AI3627" s="115" t="s">
        <v>1415</v>
      </c>
      <c r="AJ3627" t="s">
        <v>2114</v>
      </c>
      <c r="AK3627" s="115">
        <v>15</v>
      </c>
      <c r="AL3627" s="115" t="s">
        <v>28</v>
      </c>
      <c r="AM3627" s="115" t="s">
        <v>1849</v>
      </c>
      <c r="AN3627" s="115" t="s">
        <v>1675</v>
      </c>
      <c r="AO3627" s="115" t="s">
        <v>379</v>
      </c>
    </row>
    <row r="3628" spans="35:41" ht="13">
      <c r="AI3628" s="115" t="s">
        <v>1415</v>
      </c>
      <c r="AJ3628" t="s">
        <v>2114</v>
      </c>
      <c r="AK3628" s="115">
        <v>15</v>
      </c>
      <c r="AL3628" s="115" t="s">
        <v>28</v>
      </c>
      <c r="AM3628" s="115" t="s">
        <v>1843</v>
      </c>
      <c r="AN3628" s="115" t="s">
        <v>1675</v>
      </c>
      <c r="AO3628" s="115" t="s">
        <v>379</v>
      </c>
    </row>
    <row r="3629" spans="35:41" ht="13">
      <c r="AI3629" s="115" t="s">
        <v>1415</v>
      </c>
      <c r="AJ3629" t="s">
        <v>2114</v>
      </c>
      <c r="AK3629" s="115">
        <v>15</v>
      </c>
      <c r="AL3629" s="115" t="s">
        <v>28</v>
      </c>
      <c r="AM3629" s="115" t="s">
        <v>1848</v>
      </c>
      <c r="AN3629" s="115" t="s">
        <v>1675</v>
      </c>
      <c r="AO3629" s="115" t="s">
        <v>379</v>
      </c>
    </row>
    <row r="3630" spans="35:41" ht="13">
      <c r="AI3630" s="115" t="s">
        <v>1415</v>
      </c>
      <c r="AJ3630" t="s">
        <v>2114</v>
      </c>
      <c r="AK3630" s="115">
        <v>15</v>
      </c>
      <c r="AL3630" s="115" t="s">
        <v>28</v>
      </c>
      <c r="AM3630" s="115" t="s">
        <v>1846</v>
      </c>
      <c r="AN3630" s="115" t="s">
        <v>1675</v>
      </c>
      <c r="AO3630" s="115" t="s">
        <v>379</v>
      </c>
    </row>
    <row r="3631" spans="35:41" ht="13">
      <c r="AI3631" s="115" t="s">
        <v>1415</v>
      </c>
      <c r="AJ3631" t="s">
        <v>2114</v>
      </c>
      <c r="AK3631" s="115">
        <v>15</v>
      </c>
      <c r="AL3631" s="115" t="s">
        <v>28</v>
      </c>
      <c r="AM3631" s="115" t="s">
        <v>1832</v>
      </c>
      <c r="AN3631" s="115" t="s">
        <v>1675</v>
      </c>
      <c r="AO3631" s="115" t="s">
        <v>379</v>
      </c>
    </row>
    <row r="3632" spans="35:41" ht="13">
      <c r="AI3632" s="115" t="s">
        <v>1415</v>
      </c>
      <c r="AJ3632" t="s">
        <v>2114</v>
      </c>
      <c r="AK3632" s="115">
        <v>15</v>
      </c>
      <c r="AL3632" s="115" t="s">
        <v>28</v>
      </c>
      <c r="AM3632" s="115" t="s">
        <v>1850</v>
      </c>
      <c r="AN3632" s="115" t="s">
        <v>1675</v>
      </c>
      <c r="AO3632" s="115" t="s">
        <v>379</v>
      </c>
    </row>
    <row r="3633" spans="35:41" ht="13">
      <c r="AI3633" s="115" t="s">
        <v>1415</v>
      </c>
      <c r="AJ3633" t="s">
        <v>2114</v>
      </c>
      <c r="AK3633" s="115">
        <v>15</v>
      </c>
      <c r="AL3633" s="115" t="s">
        <v>28</v>
      </c>
      <c r="AM3633" s="115" t="s">
        <v>1848</v>
      </c>
      <c r="AN3633" s="115" t="s">
        <v>1675</v>
      </c>
      <c r="AO3633" s="115" t="s">
        <v>1641</v>
      </c>
    </row>
    <row r="3634" spans="35:41" ht="13">
      <c r="AI3634" s="115" t="s">
        <v>1415</v>
      </c>
      <c r="AJ3634" t="s">
        <v>2114</v>
      </c>
      <c r="AK3634" s="115">
        <v>15</v>
      </c>
      <c r="AL3634" s="115" t="s">
        <v>28</v>
      </c>
      <c r="AM3634" s="115" t="s">
        <v>1850</v>
      </c>
      <c r="AN3634" s="115" t="s">
        <v>1675</v>
      </c>
      <c r="AO3634" s="115" t="s">
        <v>1641</v>
      </c>
    </row>
    <row r="3635" spans="35:41" ht="13">
      <c r="AI3635" s="115" t="s">
        <v>1415</v>
      </c>
      <c r="AJ3635" t="s">
        <v>2114</v>
      </c>
      <c r="AK3635" s="115">
        <v>15</v>
      </c>
      <c r="AL3635" s="115" t="s">
        <v>28</v>
      </c>
      <c r="AM3635" s="115" t="s">
        <v>1832</v>
      </c>
      <c r="AN3635" s="115" t="s">
        <v>1675</v>
      </c>
      <c r="AO3635" s="115" t="s">
        <v>1641</v>
      </c>
    </row>
    <row r="3636" spans="35:41" ht="13">
      <c r="AI3636" s="115" t="s">
        <v>1415</v>
      </c>
      <c r="AJ3636" t="s">
        <v>2114</v>
      </c>
      <c r="AK3636" s="115">
        <v>15</v>
      </c>
      <c r="AL3636" s="115" t="s">
        <v>28</v>
      </c>
      <c r="AM3636" s="115" t="s">
        <v>1843</v>
      </c>
      <c r="AN3636" s="115" t="s">
        <v>1675</v>
      </c>
      <c r="AO3636" s="115" t="s">
        <v>1641</v>
      </c>
    </row>
    <row r="3637" spans="35:41" ht="13">
      <c r="AI3637" s="115" t="s">
        <v>1415</v>
      </c>
      <c r="AJ3637" t="s">
        <v>2114</v>
      </c>
      <c r="AK3637" s="115">
        <v>15</v>
      </c>
      <c r="AL3637" s="115" t="s">
        <v>28</v>
      </c>
      <c r="AM3637" s="115" t="s">
        <v>1846</v>
      </c>
      <c r="AN3637" s="115" t="s">
        <v>1675</v>
      </c>
      <c r="AO3637" s="115" t="s">
        <v>373</v>
      </c>
    </row>
    <row r="3638" spans="35:41" ht="13">
      <c r="AI3638" s="115" t="s">
        <v>1415</v>
      </c>
      <c r="AJ3638" t="s">
        <v>2114</v>
      </c>
      <c r="AK3638" s="115">
        <v>15</v>
      </c>
      <c r="AL3638" s="115" t="s">
        <v>28</v>
      </c>
      <c r="AM3638" s="115" t="s">
        <v>1832</v>
      </c>
      <c r="AN3638" s="115" t="s">
        <v>1675</v>
      </c>
      <c r="AO3638" s="115" t="s">
        <v>373</v>
      </c>
    </row>
    <row r="3639" spans="35:41" ht="13">
      <c r="AI3639" s="115" t="s">
        <v>1415</v>
      </c>
      <c r="AJ3639" t="s">
        <v>2114</v>
      </c>
      <c r="AK3639" s="115">
        <v>15</v>
      </c>
      <c r="AL3639" s="115" t="s">
        <v>28</v>
      </c>
      <c r="AM3639" s="115" t="s">
        <v>1850</v>
      </c>
      <c r="AN3639" s="115" t="s">
        <v>1675</v>
      </c>
      <c r="AO3639" s="115" t="s">
        <v>373</v>
      </c>
    </row>
    <row r="3640" spans="35:41" ht="13">
      <c r="AI3640" s="115" t="s">
        <v>1415</v>
      </c>
      <c r="AJ3640" t="s">
        <v>2114</v>
      </c>
      <c r="AK3640" s="115">
        <v>15</v>
      </c>
      <c r="AL3640" s="115" t="s">
        <v>28</v>
      </c>
      <c r="AM3640" s="115" t="s">
        <v>1848</v>
      </c>
      <c r="AN3640" s="115" t="s">
        <v>1675</v>
      </c>
      <c r="AO3640" s="115" t="s">
        <v>373</v>
      </c>
    </row>
    <row r="3641" spans="35:41" ht="13">
      <c r="AI3641" s="115" t="s">
        <v>1415</v>
      </c>
      <c r="AJ3641" t="s">
        <v>2114</v>
      </c>
      <c r="AK3641" s="115">
        <v>15</v>
      </c>
      <c r="AL3641" s="115" t="s">
        <v>28</v>
      </c>
      <c r="AM3641" s="115" t="s">
        <v>1849</v>
      </c>
      <c r="AN3641" s="115" t="s">
        <v>1675</v>
      </c>
      <c r="AO3641" s="115" t="s">
        <v>373</v>
      </c>
    </row>
    <row r="3642" spans="35:41" ht="13">
      <c r="AI3642" s="115" t="s">
        <v>1415</v>
      </c>
      <c r="AJ3642" t="s">
        <v>2114</v>
      </c>
      <c r="AK3642" s="115">
        <v>15</v>
      </c>
      <c r="AL3642" s="115" t="s">
        <v>28</v>
      </c>
      <c r="AM3642" s="115" t="s">
        <v>1843</v>
      </c>
      <c r="AN3642" s="115" t="s">
        <v>1675</v>
      </c>
      <c r="AO3642" s="115" t="s">
        <v>373</v>
      </c>
    </row>
    <row r="3643" spans="35:41" ht="13">
      <c r="AI3643" s="115" t="s">
        <v>1415</v>
      </c>
      <c r="AJ3643" t="s">
        <v>2114</v>
      </c>
      <c r="AK3643" s="115">
        <v>15</v>
      </c>
      <c r="AL3643" s="115" t="s">
        <v>1842</v>
      </c>
      <c r="AM3643" s="115" t="s">
        <v>1843</v>
      </c>
      <c r="AN3643" s="115" t="s">
        <v>1676</v>
      </c>
      <c r="AO3643" s="115" t="s">
        <v>1643</v>
      </c>
    </row>
    <row r="3644" spans="35:41" ht="13">
      <c r="AI3644" s="115" t="s">
        <v>1415</v>
      </c>
      <c r="AJ3644" t="s">
        <v>2114</v>
      </c>
      <c r="AK3644" s="115">
        <v>15</v>
      </c>
      <c r="AL3644" s="115" t="s">
        <v>1842</v>
      </c>
      <c r="AM3644" s="115" t="s">
        <v>1832</v>
      </c>
      <c r="AN3644" s="115" t="s">
        <v>1676</v>
      </c>
      <c r="AO3644" s="115" t="s">
        <v>1643</v>
      </c>
    </row>
    <row r="3645" spans="35:41" ht="13">
      <c r="AI3645" s="115" t="s">
        <v>1415</v>
      </c>
      <c r="AJ3645" t="s">
        <v>2114</v>
      </c>
      <c r="AK3645" s="115">
        <v>15</v>
      </c>
      <c r="AL3645" s="115" t="s">
        <v>1842</v>
      </c>
      <c r="AM3645" s="115" t="s">
        <v>1846</v>
      </c>
      <c r="AN3645" s="115" t="s">
        <v>1676</v>
      </c>
      <c r="AO3645" s="115" t="s">
        <v>1643</v>
      </c>
    </row>
    <row r="3646" spans="35:41" ht="13">
      <c r="AI3646" s="115" t="s">
        <v>1415</v>
      </c>
      <c r="AJ3646" t="s">
        <v>2114</v>
      </c>
      <c r="AK3646" s="115">
        <v>15</v>
      </c>
      <c r="AL3646" s="115" t="s">
        <v>1842</v>
      </c>
      <c r="AM3646" s="115" t="s">
        <v>1848</v>
      </c>
      <c r="AN3646" s="115" t="s">
        <v>1676</v>
      </c>
      <c r="AO3646" s="115" t="s">
        <v>1643</v>
      </c>
    </row>
    <row r="3647" spans="35:41" ht="13">
      <c r="AI3647" s="115" t="s">
        <v>1415</v>
      </c>
      <c r="AJ3647" t="s">
        <v>2114</v>
      </c>
      <c r="AK3647" s="115">
        <v>15</v>
      </c>
      <c r="AL3647" s="115" t="s">
        <v>1842</v>
      </c>
      <c r="AM3647" s="115" t="s">
        <v>1850</v>
      </c>
      <c r="AN3647" s="115" t="s">
        <v>1676</v>
      </c>
      <c r="AO3647" s="115" t="s">
        <v>1643</v>
      </c>
    </row>
    <row r="3648" spans="35:41" ht="13">
      <c r="AI3648" s="115" t="s">
        <v>1415</v>
      </c>
      <c r="AJ3648" t="s">
        <v>2114</v>
      </c>
      <c r="AK3648" s="115">
        <v>15</v>
      </c>
      <c r="AL3648" s="115" t="s">
        <v>1842</v>
      </c>
      <c r="AM3648" s="115" t="s">
        <v>1849</v>
      </c>
      <c r="AN3648" s="115" t="s">
        <v>1676</v>
      </c>
      <c r="AO3648" s="115" t="s">
        <v>1643</v>
      </c>
    </row>
    <row r="3649" spans="35:41" ht="13">
      <c r="AI3649" s="115" t="s">
        <v>1415</v>
      </c>
      <c r="AJ3649" t="s">
        <v>2114</v>
      </c>
      <c r="AK3649" s="115">
        <v>15</v>
      </c>
      <c r="AL3649" s="115" t="s">
        <v>28</v>
      </c>
      <c r="AM3649" s="115" t="s">
        <v>1850</v>
      </c>
      <c r="AN3649" s="115" t="s">
        <v>1676</v>
      </c>
      <c r="AO3649" s="115" t="s">
        <v>1643</v>
      </c>
    </row>
    <row r="3650" spans="35:41" ht="13">
      <c r="AI3650" s="115" t="s">
        <v>1415</v>
      </c>
      <c r="AJ3650" t="s">
        <v>2114</v>
      </c>
      <c r="AK3650" s="115">
        <v>15</v>
      </c>
      <c r="AL3650" s="115" t="s">
        <v>28</v>
      </c>
      <c r="AM3650" s="115" t="s">
        <v>1843</v>
      </c>
      <c r="AN3650" s="115" t="s">
        <v>1676</v>
      </c>
      <c r="AO3650" s="115" t="s">
        <v>1643</v>
      </c>
    </row>
    <row r="3651" spans="35:41" ht="13">
      <c r="AI3651" s="115" t="s">
        <v>1415</v>
      </c>
      <c r="AJ3651" t="s">
        <v>2114</v>
      </c>
      <c r="AK3651" s="115">
        <v>15</v>
      </c>
      <c r="AL3651" s="115" t="s">
        <v>28</v>
      </c>
      <c r="AM3651" s="115" t="s">
        <v>1849</v>
      </c>
      <c r="AN3651" s="115" t="s">
        <v>1676</v>
      </c>
      <c r="AO3651" s="115" t="s">
        <v>1643</v>
      </c>
    </row>
    <row r="3652" spans="35:41" ht="13">
      <c r="AI3652" s="115" t="s">
        <v>1415</v>
      </c>
      <c r="AJ3652" t="s">
        <v>2114</v>
      </c>
      <c r="AK3652" s="115">
        <v>15</v>
      </c>
      <c r="AL3652" s="115" t="s">
        <v>28</v>
      </c>
      <c r="AM3652" s="115" t="s">
        <v>1848</v>
      </c>
      <c r="AN3652" s="115" t="s">
        <v>1676</v>
      </c>
      <c r="AO3652" s="115" t="s">
        <v>1643</v>
      </c>
    </row>
    <row r="3653" spans="35:41" ht="13">
      <c r="AI3653" s="115" t="s">
        <v>1415</v>
      </c>
      <c r="AJ3653" t="s">
        <v>2114</v>
      </c>
      <c r="AK3653" s="115">
        <v>15</v>
      </c>
      <c r="AL3653" s="115" t="s">
        <v>28</v>
      </c>
      <c r="AM3653" s="115" t="s">
        <v>1846</v>
      </c>
      <c r="AN3653" s="115" t="s">
        <v>1676</v>
      </c>
      <c r="AO3653" s="115" t="s">
        <v>1643</v>
      </c>
    </row>
    <row r="3654" spans="35:41" ht="13">
      <c r="AI3654" s="115" t="s">
        <v>1415</v>
      </c>
      <c r="AJ3654" t="s">
        <v>2114</v>
      </c>
      <c r="AK3654" s="115">
        <v>15</v>
      </c>
      <c r="AL3654" s="115" t="s">
        <v>28</v>
      </c>
      <c r="AM3654" s="115" t="s">
        <v>1832</v>
      </c>
      <c r="AN3654" s="115" t="s">
        <v>1676</v>
      </c>
      <c r="AO3654" s="115" t="s">
        <v>1643</v>
      </c>
    </row>
    <row r="3655" spans="35:41" ht="13">
      <c r="AI3655" s="115" t="s">
        <v>1415</v>
      </c>
      <c r="AJ3655" t="s">
        <v>2114</v>
      </c>
      <c r="AK3655" s="115">
        <v>15</v>
      </c>
      <c r="AL3655" s="115" t="s">
        <v>28</v>
      </c>
      <c r="AM3655" s="115" t="s">
        <v>1846</v>
      </c>
      <c r="AN3655" s="115" t="s">
        <v>1676</v>
      </c>
      <c r="AO3655" s="115" t="s">
        <v>379</v>
      </c>
    </row>
    <row r="3656" spans="35:41" ht="13">
      <c r="AI3656" s="115" t="s">
        <v>1415</v>
      </c>
      <c r="AJ3656" t="s">
        <v>2114</v>
      </c>
      <c r="AK3656" s="115">
        <v>15</v>
      </c>
      <c r="AL3656" s="115" t="s">
        <v>28</v>
      </c>
      <c r="AM3656" s="115" t="s">
        <v>1848</v>
      </c>
      <c r="AN3656" s="115" t="s">
        <v>1676</v>
      </c>
      <c r="AO3656" s="115" t="s">
        <v>379</v>
      </c>
    </row>
    <row r="3657" spans="35:41" ht="13">
      <c r="AI3657" s="115" t="s">
        <v>1415</v>
      </c>
      <c r="AJ3657" t="s">
        <v>2114</v>
      </c>
      <c r="AK3657" s="115">
        <v>15</v>
      </c>
      <c r="AL3657" s="115" t="s">
        <v>28</v>
      </c>
      <c r="AM3657" s="115" t="s">
        <v>1843</v>
      </c>
      <c r="AN3657" s="115" t="s">
        <v>1676</v>
      </c>
      <c r="AO3657" s="115" t="s">
        <v>379</v>
      </c>
    </row>
    <row r="3658" spans="35:41" ht="13">
      <c r="AI3658" s="115" t="s">
        <v>1415</v>
      </c>
      <c r="AJ3658" t="s">
        <v>2114</v>
      </c>
      <c r="AK3658" s="115">
        <v>15</v>
      </c>
      <c r="AL3658" s="115" t="s">
        <v>28</v>
      </c>
      <c r="AM3658" s="115" t="s">
        <v>1849</v>
      </c>
      <c r="AN3658" s="115" t="s">
        <v>1676</v>
      </c>
      <c r="AO3658" s="115" t="s">
        <v>379</v>
      </c>
    </row>
    <row r="3659" spans="35:41" ht="13">
      <c r="AI3659" s="115" t="s">
        <v>1415</v>
      </c>
      <c r="AJ3659" t="s">
        <v>2114</v>
      </c>
      <c r="AK3659" s="115">
        <v>15</v>
      </c>
      <c r="AL3659" s="115" t="s">
        <v>28</v>
      </c>
      <c r="AM3659" s="115" t="s">
        <v>1850</v>
      </c>
      <c r="AN3659" s="115" t="s">
        <v>1676</v>
      </c>
      <c r="AO3659" s="115" t="s">
        <v>379</v>
      </c>
    </row>
    <row r="3660" spans="35:41" ht="13">
      <c r="AI3660" s="115" t="s">
        <v>1415</v>
      </c>
      <c r="AJ3660" t="s">
        <v>2114</v>
      </c>
      <c r="AK3660" s="115">
        <v>15</v>
      </c>
      <c r="AL3660" s="115" t="s">
        <v>28</v>
      </c>
      <c r="AM3660" s="115" t="s">
        <v>1832</v>
      </c>
      <c r="AN3660" s="115" t="s">
        <v>1676</v>
      </c>
      <c r="AO3660" s="115" t="s">
        <v>379</v>
      </c>
    </row>
    <row r="3661" spans="35:41" ht="13">
      <c r="AI3661" s="115" t="s">
        <v>1415</v>
      </c>
      <c r="AJ3661" t="s">
        <v>2114</v>
      </c>
      <c r="AK3661" s="115">
        <v>15</v>
      </c>
      <c r="AL3661" s="115" t="s">
        <v>28</v>
      </c>
      <c r="AM3661" s="115" t="s">
        <v>1850</v>
      </c>
      <c r="AN3661" s="115" t="s">
        <v>1676</v>
      </c>
      <c r="AO3661" s="115" t="s">
        <v>1641</v>
      </c>
    </row>
    <row r="3662" spans="35:41" ht="13">
      <c r="AI3662" s="115" t="s">
        <v>1415</v>
      </c>
      <c r="AJ3662" t="s">
        <v>2114</v>
      </c>
      <c r="AK3662" s="115">
        <v>15</v>
      </c>
      <c r="AL3662" s="115" t="s">
        <v>28</v>
      </c>
      <c r="AM3662" s="115" t="s">
        <v>1832</v>
      </c>
      <c r="AN3662" s="115" t="s">
        <v>1676</v>
      </c>
      <c r="AO3662" s="115" t="s">
        <v>1641</v>
      </c>
    </row>
    <row r="3663" spans="35:41" ht="13">
      <c r="AI3663" s="115" t="s">
        <v>1415</v>
      </c>
      <c r="AJ3663" t="s">
        <v>2114</v>
      </c>
      <c r="AK3663" s="115">
        <v>15</v>
      </c>
      <c r="AL3663" s="115" t="s">
        <v>1842</v>
      </c>
      <c r="AM3663" s="115" t="s">
        <v>1850</v>
      </c>
      <c r="AN3663" s="115" t="s">
        <v>1676</v>
      </c>
      <c r="AO3663" s="115" t="s">
        <v>1641</v>
      </c>
    </row>
    <row r="3664" spans="35:41" ht="13">
      <c r="AI3664" s="115" t="s">
        <v>1415</v>
      </c>
      <c r="AJ3664" t="s">
        <v>2114</v>
      </c>
      <c r="AK3664" s="115">
        <v>15</v>
      </c>
      <c r="AL3664" s="115" t="s">
        <v>28</v>
      </c>
      <c r="AM3664" s="115" t="s">
        <v>1843</v>
      </c>
      <c r="AN3664" s="115" t="s">
        <v>1676</v>
      </c>
      <c r="AO3664" s="115" t="s">
        <v>1641</v>
      </c>
    </row>
    <row r="3665" spans="35:41" ht="13">
      <c r="AI3665" s="115" t="s">
        <v>1415</v>
      </c>
      <c r="AJ3665" t="s">
        <v>2114</v>
      </c>
      <c r="AK3665" s="115">
        <v>15</v>
      </c>
      <c r="AL3665" s="115" t="s">
        <v>1842</v>
      </c>
      <c r="AM3665" s="115" t="s">
        <v>1832</v>
      </c>
      <c r="AN3665" s="115" t="s">
        <v>1676</v>
      </c>
      <c r="AO3665" s="115" t="s">
        <v>1641</v>
      </c>
    </row>
    <row r="3666" spans="35:41" ht="13">
      <c r="AI3666" s="115" t="s">
        <v>1415</v>
      </c>
      <c r="AJ3666" t="s">
        <v>2114</v>
      </c>
      <c r="AK3666" s="115">
        <v>15</v>
      </c>
      <c r="AL3666" s="115" t="s">
        <v>1842</v>
      </c>
      <c r="AM3666" s="115" t="s">
        <v>1843</v>
      </c>
      <c r="AN3666" s="115" t="s">
        <v>1676</v>
      </c>
      <c r="AO3666" s="115" t="s">
        <v>1641</v>
      </c>
    </row>
    <row r="3667" spans="35:41" ht="13">
      <c r="AI3667" s="115" t="s">
        <v>1415</v>
      </c>
      <c r="AJ3667" t="s">
        <v>2114</v>
      </c>
      <c r="AK3667" s="115">
        <v>15</v>
      </c>
      <c r="AL3667" s="115" t="s">
        <v>28</v>
      </c>
      <c r="AM3667" s="115" t="s">
        <v>1848</v>
      </c>
      <c r="AN3667" s="115" t="s">
        <v>1676</v>
      </c>
      <c r="AO3667" s="115" t="s">
        <v>1641</v>
      </c>
    </row>
    <row r="3668" spans="35:41" ht="13">
      <c r="AI3668" s="115" t="s">
        <v>1415</v>
      </c>
      <c r="AJ3668" t="s">
        <v>2114</v>
      </c>
      <c r="AK3668" s="115">
        <v>15</v>
      </c>
      <c r="AL3668" s="115" t="s">
        <v>1842</v>
      </c>
      <c r="AM3668" s="115" t="s">
        <v>1848</v>
      </c>
      <c r="AN3668" s="115" t="s">
        <v>1676</v>
      </c>
      <c r="AO3668" s="115" t="s">
        <v>1641</v>
      </c>
    </row>
    <row r="3669" spans="35:41" ht="13">
      <c r="AI3669" s="115" t="s">
        <v>1415</v>
      </c>
      <c r="AJ3669" t="s">
        <v>2114</v>
      </c>
      <c r="AK3669" s="115">
        <v>15</v>
      </c>
      <c r="AL3669" s="115" t="s">
        <v>28</v>
      </c>
      <c r="AM3669" s="115" t="s">
        <v>1832</v>
      </c>
      <c r="AN3669" s="115" t="s">
        <v>1676</v>
      </c>
      <c r="AO3669" s="115" t="s">
        <v>373</v>
      </c>
    </row>
    <row r="3670" spans="35:41" ht="13">
      <c r="AI3670" s="115" t="s">
        <v>1415</v>
      </c>
      <c r="AJ3670" t="s">
        <v>2114</v>
      </c>
      <c r="AK3670" s="115">
        <v>15</v>
      </c>
      <c r="AL3670" s="115" t="s">
        <v>28</v>
      </c>
      <c r="AM3670" s="115" t="s">
        <v>1846</v>
      </c>
      <c r="AN3670" s="115" t="s">
        <v>1676</v>
      </c>
      <c r="AO3670" s="115" t="s">
        <v>373</v>
      </c>
    </row>
    <row r="3671" spans="35:41" ht="13">
      <c r="AI3671" s="115" t="s">
        <v>1415</v>
      </c>
      <c r="AJ3671" t="s">
        <v>2114</v>
      </c>
      <c r="AK3671" s="115">
        <v>15</v>
      </c>
      <c r="AL3671" s="115" t="s">
        <v>28</v>
      </c>
      <c r="AM3671" s="115" t="s">
        <v>1848</v>
      </c>
      <c r="AN3671" s="115" t="s">
        <v>1676</v>
      </c>
      <c r="AO3671" s="115" t="s">
        <v>373</v>
      </c>
    </row>
    <row r="3672" spans="35:41" ht="13">
      <c r="AI3672" s="115" t="s">
        <v>1415</v>
      </c>
      <c r="AJ3672" t="s">
        <v>2114</v>
      </c>
      <c r="AK3672" s="115">
        <v>15</v>
      </c>
      <c r="AL3672" s="115" t="s">
        <v>28</v>
      </c>
      <c r="AM3672" s="115" t="s">
        <v>1850</v>
      </c>
      <c r="AN3672" s="115" t="s">
        <v>1676</v>
      </c>
      <c r="AO3672" s="115" t="s">
        <v>373</v>
      </c>
    </row>
    <row r="3673" spans="35:41" ht="13">
      <c r="AI3673" s="115" t="s">
        <v>1415</v>
      </c>
      <c r="AJ3673" t="s">
        <v>2114</v>
      </c>
      <c r="AK3673" s="115">
        <v>15</v>
      </c>
      <c r="AL3673" s="115" t="s">
        <v>28</v>
      </c>
      <c r="AM3673" s="115" t="s">
        <v>1849</v>
      </c>
      <c r="AN3673" s="115" t="s">
        <v>1676</v>
      </c>
      <c r="AO3673" s="115" t="s">
        <v>373</v>
      </c>
    </row>
    <row r="3674" spans="35:41" ht="13">
      <c r="AI3674" s="115" t="s">
        <v>1415</v>
      </c>
      <c r="AJ3674" t="s">
        <v>2114</v>
      </c>
      <c r="AK3674" s="115">
        <v>15</v>
      </c>
      <c r="AL3674" s="115" t="s">
        <v>28</v>
      </c>
      <c r="AM3674" s="115" t="s">
        <v>1843</v>
      </c>
      <c r="AN3674" s="115" t="s">
        <v>1676</v>
      </c>
      <c r="AO3674" s="115" t="s">
        <v>373</v>
      </c>
    </row>
    <row r="3675" spans="35:41" ht="13">
      <c r="AI3675" s="115" t="s">
        <v>1415</v>
      </c>
      <c r="AJ3675" t="s">
        <v>2114</v>
      </c>
      <c r="AK3675" s="115">
        <v>15</v>
      </c>
      <c r="AL3675" s="115" t="s">
        <v>28</v>
      </c>
      <c r="AM3675" s="115" t="s">
        <v>1850</v>
      </c>
      <c r="AN3675" s="115" t="s">
        <v>1676</v>
      </c>
      <c r="AO3675" s="115" t="s">
        <v>380</v>
      </c>
    </row>
    <row r="3676" spans="35:41" ht="13">
      <c r="AI3676" s="115" t="s">
        <v>1415</v>
      </c>
      <c r="AJ3676" t="s">
        <v>2114</v>
      </c>
      <c r="AK3676" s="115">
        <v>15</v>
      </c>
      <c r="AL3676" s="115" t="s">
        <v>1842</v>
      </c>
      <c r="AM3676" s="115" t="s">
        <v>1832</v>
      </c>
      <c r="AN3676" s="115" t="s">
        <v>1676</v>
      </c>
      <c r="AO3676" s="115" t="s">
        <v>380</v>
      </c>
    </row>
    <row r="3677" spans="35:41" ht="13">
      <c r="AI3677" s="115" t="s">
        <v>1415</v>
      </c>
      <c r="AJ3677" t="s">
        <v>2114</v>
      </c>
      <c r="AK3677" s="115">
        <v>15</v>
      </c>
      <c r="AL3677" s="115" t="s">
        <v>1842</v>
      </c>
      <c r="AM3677" s="115" t="s">
        <v>1846</v>
      </c>
      <c r="AN3677" s="115" t="s">
        <v>1676</v>
      </c>
      <c r="AO3677" s="115" t="s">
        <v>380</v>
      </c>
    </row>
    <row r="3678" spans="35:41" ht="13">
      <c r="AI3678" s="115" t="s">
        <v>1415</v>
      </c>
      <c r="AJ3678" t="s">
        <v>2114</v>
      </c>
      <c r="AK3678" s="115">
        <v>15</v>
      </c>
      <c r="AL3678" s="115" t="s">
        <v>28</v>
      </c>
      <c r="AM3678" s="115" t="s">
        <v>1846</v>
      </c>
      <c r="AN3678" s="115" t="s">
        <v>1676</v>
      </c>
      <c r="AO3678" s="115" t="s">
        <v>380</v>
      </c>
    </row>
    <row r="3679" spans="35:41" ht="13">
      <c r="AI3679" s="115" t="s">
        <v>1415</v>
      </c>
      <c r="AJ3679" t="s">
        <v>2114</v>
      </c>
      <c r="AK3679" s="115">
        <v>15</v>
      </c>
      <c r="AL3679" s="115" t="s">
        <v>1842</v>
      </c>
      <c r="AM3679" s="115" t="s">
        <v>1848</v>
      </c>
      <c r="AN3679" s="115" t="s">
        <v>1676</v>
      </c>
      <c r="AO3679" s="115" t="s">
        <v>380</v>
      </c>
    </row>
    <row r="3680" spans="35:41" ht="13">
      <c r="AI3680" s="115" t="s">
        <v>1415</v>
      </c>
      <c r="AJ3680" t="s">
        <v>2114</v>
      </c>
      <c r="AK3680" s="115">
        <v>15</v>
      </c>
      <c r="AL3680" s="115" t="s">
        <v>1842</v>
      </c>
      <c r="AM3680" s="115" t="s">
        <v>1843</v>
      </c>
      <c r="AN3680" s="115" t="s">
        <v>1676</v>
      </c>
      <c r="AO3680" s="115" t="s">
        <v>380</v>
      </c>
    </row>
    <row r="3681" spans="35:41" ht="13">
      <c r="AI3681" s="115" t="s">
        <v>1415</v>
      </c>
      <c r="AJ3681" t="s">
        <v>2114</v>
      </c>
      <c r="AK3681" s="115">
        <v>15</v>
      </c>
      <c r="AL3681" s="115" t="s">
        <v>28</v>
      </c>
      <c r="AM3681" s="115" t="s">
        <v>1849</v>
      </c>
      <c r="AN3681" s="115" t="s">
        <v>1676</v>
      </c>
      <c r="AO3681" s="115" t="s">
        <v>380</v>
      </c>
    </row>
    <row r="3682" spans="35:41" ht="13">
      <c r="AI3682" s="115" t="s">
        <v>1415</v>
      </c>
      <c r="AJ3682" t="s">
        <v>2114</v>
      </c>
      <c r="AK3682" s="115">
        <v>15</v>
      </c>
      <c r="AL3682" s="115" t="s">
        <v>28</v>
      </c>
      <c r="AM3682" s="115" t="s">
        <v>1843</v>
      </c>
      <c r="AN3682" s="115" t="s">
        <v>1676</v>
      </c>
      <c r="AO3682" s="115" t="s">
        <v>380</v>
      </c>
    </row>
    <row r="3683" spans="35:41" ht="13">
      <c r="AI3683" s="115" t="s">
        <v>1415</v>
      </c>
      <c r="AJ3683" t="s">
        <v>2114</v>
      </c>
      <c r="AK3683" s="115">
        <v>15</v>
      </c>
      <c r="AL3683" s="115" t="s">
        <v>1842</v>
      </c>
      <c r="AM3683" s="115" t="s">
        <v>1850</v>
      </c>
      <c r="AN3683" s="115" t="s">
        <v>1676</v>
      </c>
      <c r="AO3683" s="115" t="s">
        <v>380</v>
      </c>
    </row>
    <row r="3684" spans="35:41" ht="13">
      <c r="AI3684" s="115" t="s">
        <v>1415</v>
      </c>
      <c r="AJ3684" t="s">
        <v>2114</v>
      </c>
      <c r="AK3684" s="115">
        <v>15</v>
      </c>
      <c r="AL3684" s="115" t="s">
        <v>28</v>
      </c>
      <c r="AM3684" s="115" t="s">
        <v>1848</v>
      </c>
      <c r="AN3684" s="115" t="s">
        <v>1676</v>
      </c>
      <c r="AO3684" s="115" t="s">
        <v>380</v>
      </c>
    </row>
    <row r="3685" spans="35:41" ht="13">
      <c r="AI3685" s="115" t="s">
        <v>1415</v>
      </c>
      <c r="AJ3685" t="s">
        <v>2114</v>
      </c>
      <c r="AK3685" s="115">
        <v>15</v>
      </c>
      <c r="AL3685" s="115" t="s">
        <v>28</v>
      </c>
      <c r="AM3685" s="115" t="s">
        <v>1832</v>
      </c>
      <c r="AN3685" s="115" t="s">
        <v>1676</v>
      </c>
      <c r="AO3685" s="115" t="s">
        <v>380</v>
      </c>
    </row>
    <row r="3686" spans="35:41" ht="13">
      <c r="AI3686" s="115" t="s">
        <v>1415</v>
      </c>
      <c r="AJ3686" t="s">
        <v>2114</v>
      </c>
      <c r="AK3686" s="115">
        <v>15</v>
      </c>
      <c r="AL3686" s="115" t="s">
        <v>1842</v>
      </c>
      <c r="AM3686" s="115" t="s">
        <v>1849</v>
      </c>
      <c r="AN3686" s="115" t="s">
        <v>1676</v>
      </c>
      <c r="AO3686" s="115" t="s">
        <v>380</v>
      </c>
    </row>
    <row r="3687" spans="35:41" ht="13">
      <c r="AI3687" s="115" t="s">
        <v>1415</v>
      </c>
      <c r="AJ3687" t="s">
        <v>2114</v>
      </c>
      <c r="AK3687" s="115">
        <v>15</v>
      </c>
      <c r="AL3687" s="115" t="s">
        <v>1842</v>
      </c>
      <c r="AM3687" s="115" t="s">
        <v>1843</v>
      </c>
      <c r="AN3687" s="115" t="s">
        <v>1676</v>
      </c>
      <c r="AO3687" s="115" t="s">
        <v>372</v>
      </c>
    </row>
    <row r="3688" spans="35:41" ht="13">
      <c r="AI3688" s="115" t="s">
        <v>1415</v>
      </c>
      <c r="AJ3688" t="s">
        <v>2114</v>
      </c>
      <c r="AK3688" s="115">
        <v>15</v>
      </c>
      <c r="AL3688" s="115" t="s">
        <v>1842</v>
      </c>
      <c r="AM3688" s="115" t="s">
        <v>1850</v>
      </c>
      <c r="AN3688" s="115" t="s">
        <v>1676</v>
      </c>
      <c r="AO3688" s="115" t="s">
        <v>372</v>
      </c>
    </row>
    <row r="3689" spans="35:41" ht="13">
      <c r="AI3689" s="115" t="s">
        <v>1415</v>
      </c>
      <c r="AJ3689" t="s">
        <v>2114</v>
      </c>
      <c r="AK3689" s="115">
        <v>15</v>
      </c>
      <c r="AL3689" s="115" t="s">
        <v>1842</v>
      </c>
      <c r="AM3689" s="115" t="s">
        <v>1832</v>
      </c>
      <c r="AN3689" s="115" t="s">
        <v>1676</v>
      </c>
      <c r="AO3689" s="115" t="s">
        <v>372</v>
      </c>
    </row>
    <row r="3690" spans="35:41" ht="13">
      <c r="AI3690" s="115" t="s">
        <v>1415</v>
      </c>
      <c r="AJ3690" t="s">
        <v>2114</v>
      </c>
      <c r="AK3690" s="115">
        <v>15</v>
      </c>
      <c r="AL3690" s="115" t="s">
        <v>1842</v>
      </c>
      <c r="AM3690" s="115" t="s">
        <v>1848</v>
      </c>
      <c r="AN3690" s="115" t="s">
        <v>1676</v>
      </c>
      <c r="AO3690" s="115" t="s">
        <v>372</v>
      </c>
    </row>
    <row r="3691" spans="35:41" ht="13">
      <c r="AI3691" s="115" t="s">
        <v>1415</v>
      </c>
      <c r="AJ3691" t="s">
        <v>2114</v>
      </c>
      <c r="AK3691" s="115">
        <v>15</v>
      </c>
      <c r="AL3691" s="115" t="s">
        <v>1842</v>
      </c>
      <c r="AM3691" s="115" t="s">
        <v>1849</v>
      </c>
      <c r="AN3691" s="115" t="s">
        <v>1676</v>
      </c>
      <c r="AO3691" s="115" t="s">
        <v>372</v>
      </c>
    </row>
    <row r="3692" spans="35:41" ht="13">
      <c r="AI3692" s="115" t="s">
        <v>1415</v>
      </c>
      <c r="AJ3692" t="s">
        <v>2114</v>
      </c>
      <c r="AK3692" s="115">
        <v>15</v>
      </c>
      <c r="AL3692" s="115" t="s">
        <v>1842</v>
      </c>
      <c r="AM3692" s="115" t="s">
        <v>1846</v>
      </c>
      <c r="AN3692" s="115" t="s">
        <v>1676</v>
      </c>
      <c r="AO3692" s="115" t="s">
        <v>372</v>
      </c>
    </row>
    <row r="3693" spans="35:41" ht="13">
      <c r="AI3693" s="115" t="s">
        <v>1415</v>
      </c>
      <c r="AJ3693" t="s">
        <v>2114</v>
      </c>
      <c r="AK3693" s="115">
        <v>15</v>
      </c>
      <c r="AL3693" s="115" t="s">
        <v>28</v>
      </c>
      <c r="AM3693" s="115" t="s">
        <v>1849</v>
      </c>
      <c r="AN3693" s="115" t="s">
        <v>1676</v>
      </c>
      <c r="AO3693" s="115" t="s">
        <v>372</v>
      </c>
    </row>
    <row r="3694" spans="35:41" ht="13">
      <c r="AI3694" s="115" t="s">
        <v>1415</v>
      </c>
      <c r="AJ3694" t="s">
        <v>2114</v>
      </c>
      <c r="AK3694" s="115">
        <v>15</v>
      </c>
      <c r="AL3694" s="115" t="s">
        <v>28</v>
      </c>
      <c r="AM3694" s="115" t="s">
        <v>1850</v>
      </c>
      <c r="AN3694" s="115" t="s">
        <v>1676</v>
      </c>
      <c r="AO3694" s="115" t="s">
        <v>372</v>
      </c>
    </row>
    <row r="3695" spans="35:41" ht="13">
      <c r="AI3695" s="115" t="s">
        <v>1415</v>
      </c>
      <c r="AJ3695" t="s">
        <v>2114</v>
      </c>
      <c r="AK3695" s="115">
        <v>15</v>
      </c>
      <c r="AL3695" s="115" t="s">
        <v>28</v>
      </c>
      <c r="AM3695" s="115" t="s">
        <v>1848</v>
      </c>
      <c r="AN3695" s="115" t="s">
        <v>1676</v>
      </c>
      <c r="AO3695" s="115" t="s">
        <v>372</v>
      </c>
    </row>
    <row r="3696" spans="35:41" ht="13">
      <c r="AI3696" s="115" t="s">
        <v>1415</v>
      </c>
      <c r="AJ3696" t="s">
        <v>2114</v>
      </c>
      <c r="AK3696" s="115">
        <v>15</v>
      </c>
      <c r="AL3696" s="115" t="s">
        <v>28</v>
      </c>
      <c r="AM3696" s="115" t="s">
        <v>1832</v>
      </c>
      <c r="AN3696" s="115" t="s">
        <v>1676</v>
      </c>
      <c r="AO3696" s="115" t="s">
        <v>372</v>
      </c>
    </row>
    <row r="3697" spans="35:41" ht="13">
      <c r="AI3697" s="115" t="s">
        <v>1415</v>
      </c>
      <c r="AJ3697" t="s">
        <v>2114</v>
      </c>
      <c r="AK3697" s="115">
        <v>15</v>
      </c>
      <c r="AL3697" s="115" t="s">
        <v>28</v>
      </c>
      <c r="AM3697" s="115" t="s">
        <v>1846</v>
      </c>
      <c r="AN3697" s="115" t="s">
        <v>1676</v>
      </c>
      <c r="AO3697" s="115" t="s">
        <v>372</v>
      </c>
    </row>
    <row r="3698" spans="35:41" ht="13">
      <c r="AI3698" s="115" t="s">
        <v>1415</v>
      </c>
      <c r="AJ3698" t="s">
        <v>2114</v>
      </c>
      <c r="AK3698" s="115">
        <v>15</v>
      </c>
      <c r="AL3698" s="115" t="s">
        <v>28</v>
      </c>
      <c r="AM3698" s="115" t="s">
        <v>1843</v>
      </c>
      <c r="AN3698" s="115" t="s">
        <v>1676</v>
      </c>
      <c r="AO3698" s="115" t="s">
        <v>372</v>
      </c>
    </row>
    <row r="3699" spans="35:41" ht="13">
      <c r="AI3699" s="115" t="s">
        <v>1415</v>
      </c>
      <c r="AJ3699" t="s">
        <v>2114</v>
      </c>
      <c r="AK3699" s="115">
        <v>15</v>
      </c>
      <c r="AL3699" s="115" t="s">
        <v>28</v>
      </c>
      <c r="AM3699" s="115" t="s">
        <v>1843</v>
      </c>
      <c r="AN3699" s="115" t="s">
        <v>1629</v>
      </c>
      <c r="AO3699" s="115" t="s">
        <v>1644</v>
      </c>
    </row>
    <row r="3700" spans="35:41" ht="13">
      <c r="AI3700" s="115" t="s">
        <v>1415</v>
      </c>
      <c r="AJ3700" t="s">
        <v>2114</v>
      </c>
      <c r="AK3700" s="115">
        <v>15</v>
      </c>
      <c r="AL3700" s="115" t="s">
        <v>28</v>
      </c>
      <c r="AM3700" s="115" t="s">
        <v>1850</v>
      </c>
      <c r="AN3700" s="115" t="s">
        <v>1629</v>
      </c>
      <c r="AO3700" s="115" t="s">
        <v>1644</v>
      </c>
    </row>
    <row r="3701" spans="35:41" ht="13">
      <c r="AI3701" s="115" t="s">
        <v>1415</v>
      </c>
      <c r="AJ3701" t="s">
        <v>2114</v>
      </c>
      <c r="AK3701" s="115">
        <v>15</v>
      </c>
      <c r="AL3701" s="115" t="s">
        <v>28</v>
      </c>
      <c r="AM3701" s="115" t="s">
        <v>1848</v>
      </c>
      <c r="AN3701" s="115" t="s">
        <v>1629</v>
      </c>
      <c r="AO3701" s="115" t="s">
        <v>1644</v>
      </c>
    </row>
    <row r="3702" spans="35:41" ht="13">
      <c r="AI3702" s="115" t="s">
        <v>1415</v>
      </c>
      <c r="AJ3702" t="s">
        <v>2114</v>
      </c>
      <c r="AK3702" s="115">
        <v>15</v>
      </c>
      <c r="AL3702" s="115" t="s">
        <v>28</v>
      </c>
      <c r="AM3702" s="115" t="s">
        <v>1832</v>
      </c>
      <c r="AN3702" s="115" t="s">
        <v>1629</v>
      </c>
      <c r="AO3702" s="115" t="s">
        <v>1644</v>
      </c>
    </row>
    <row r="3703" spans="35:41" ht="13">
      <c r="AI3703" s="115" t="s">
        <v>1415</v>
      </c>
      <c r="AJ3703" t="s">
        <v>2114</v>
      </c>
      <c r="AK3703" s="115">
        <v>15</v>
      </c>
      <c r="AL3703" s="115" t="s">
        <v>28</v>
      </c>
      <c r="AM3703" s="115" t="s">
        <v>1849</v>
      </c>
      <c r="AN3703" s="115" t="s">
        <v>1629</v>
      </c>
      <c r="AO3703" s="115" t="s">
        <v>1274</v>
      </c>
    </row>
    <row r="3704" spans="35:41" ht="13">
      <c r="AI3704" s="115" t="s">
        <v>1415</v>
      </c>
      <c r="AJ3704" t="s">
        <v>2114</v>
      </c>
      <c r="AK3704" s="115">
        <v>15</v>
      </c>
      <c r="AL3704" s="115" t="s">
        <v>28</v>
      </c>
      <c r="AM3704" s="115" t="s">
        <v>1846</v>
      </c>
      <c r="AN3704" s="115" t="s">
        <v>1629</v>
      </c>
      <c r="AO3704" s="115" t="s">
        <v>1274</v>
      </c>
    </row>
    <row r="3705" spans="35:41" ht="13">
      <c r="AI3705" s="115" t="s">
        <v>1415</v>
      </c>
      <c r="AJ3705" t="s">
        <v>2114</v>
      </c>
      <c r="AK3705" s="115">
        <v>15</v>
      </c>
      <c r="AL3705" s="115" t="s">
        <v>28</v>
      </c>
      <c r="AM3705" s="115" t="s">
        <v>1843</v>
      </c>
      <c r="AN3705" s="115" t="s">
        <v>1629</v>
      </c>
      <c r="AO3705" s="115" t="s">
        <v>1274</v>
      </c>
    </row>
    <row r="3706" spans="35:41" ht="13">
      <c r="AI3706" s="115" t="s">
        <v>1415</v>
      </c>
      <c r="AJ3706" t="s">
        <v>2114</v>
      </c>
      <c r="AK3706" s="115">
        <v>15</v>
      </c>
      <c r="AL3706" s="115" t="s">
        <v>28</v>
      </c>
      <c r="AM3706" s="115" t="s">
        <v>1850</v>
      </c>
      <c r="AN3706" s="115" t="s">
        <v>1629</v>
      </c>
      <c r="AO3706" s="115" t="s">
        <v>1274</v>
      </c>
    </row>
    <row r="3707" spans="35:41" ht="13">
      <c r="AI3707" s="115" t="s">
        <v>1415</v>
      </c>
      <c r="AJ3707" t="s">
        <v>2114</v>
      </c>
      <c r="AK3707" s="115">
        <v>15</v>
      </c>
      <c r="AL3707" s="115" t="s">
        <v>28</v>
      </c>
      <c r="AM3707" s="115" t="s">
        <v>1848</v>
      </c>
      <c r="AN3707" s="115" t="s">
        <v>1629</v>
      </c>
      <c r="AO3707" s="115" t="s">
        <v>1274</v>
      </c>
    </row>
    <row r="3708" spans="35:41" ht="13">
      <c r="AI3708" s="115" t="s">
        <v>1415</v>
      </c>
      <c r="AJ3708" t="s">
        <v>2114</v>
      </c>
      <c r="AK3708" s="115">
        <v>15</v>
      </c>
      <c r="AL3708" s="115" t="s">
        <v>28</v>
      </c>
      <c r="AM3708" s="115" t="s">
        <v>1832</v>
      </c>
      <c r="AN3708" s="115" t="s">
        <v>1629</v>
      </c>
      <c r="AO3708" s="115" t="s">
        <v>1274</v>
      </c>
    </row>
    <row r="3709" spans="35:41" ht="13">
      <c r="AI3709" s="115" t="s">
        <v>1415</v>
      </c>
      <c r="AJ3709" t="s">
        <v>2114</v>
      </c>
      <c r="AK3709" s="115">
        <v>15</v>
      </c>
      <c r="AL3709" s="115" t="s">
        <v>28</v>
      </c>
      <c r="AM3709" s="115" t="s">
        <v>1848</v>
      </c>
      <c r="AN3709" s="115" t="s">
        <v>1629</v>
      </c>
      <c r="AO3709" s="115" t="s">
        <v>381</v>
      </c>
    </row>
    <row r="3710" spans="35:41" ht="13">
      <c r="AI3710" s="115" t="s">
        <v>1415</v>
      </c>
      <c r="AJ3710" t="s">
        <v>2114</v>
      </c>
      <c r="AK3710" s="115">
        <v>15</v>
      </c>
      <c r="AL3710" s="115" t="s">
        <v>28</v>
      </c>
      <c r="AM3710" s="115" t="s">
        <v>1846</v>
      </c>
      <c r="AN3710" s="115" t="s">
        <v>1629</v>
      </c>
      <c r="AO3710" s="115" t="s">
        <v>381</v>
      </c>
    </row>
    <row r="3711" spans="35:41" ht="13">
      <c r="AI3711" s="115" t="s">
        <v>1415</v>
      </c>
      <c r="AJ3711" t="s">
        <v>2114</v>
      </c>
      <c r="AK3711" s="115">
        <v>15</v>
      </c>
      <c r="AL3711" s="115" t="s">
        <v>28</v>
      </c>
      <c r="AM3711" s="115" t="s">
        <v>1849</v>
      </c>
      <c r="AN3711" s="115" t="s">
        <v>1629</v>
      </c>
      <c r="AO3711" s="115" t="s">
        <v>381</v>
      </c>
    </row>
    <row r="3712" spans="35:41" ht="13">
      <c r="AI3712" s="115" t="s">
        <v>1415</v>
      </c>
      <c r="AJ3712" t="s">
        <v>2114</v>
      </c>
      <c r="AK3712" s="115">
        <v>15</v>
      </c>
      <c r="AL3712" s="115" t="s">
        <v>28</v>
      </c>
      <c r="AM3712" s="115" t="s">
        <v>1832</v>
      </c>
      <c r="AN3712" s="115" t="s">
        <v>1629</v>
      </c>
      <c r="AO3712" s="115" t="s">
        <v>381</v>
      </c>
    </row>
    <row r="3713" spans="35:41" ht="13">
      <c r="AI3713" s="115" t="s">
        <v>1415</v>
      </c>
      <c r="AJ3713" t="s">
        <v>2114</v>
      </c>
      <c r="AK3713" s="115">
        <v>15</v>
      </c>
      <c r="AL3713" s="115" t="s">
        <v>28</v>
      </c>
      <c r="AM3713" s="115" t="s">
        <v>1843</v>
      </c>
      <c r="AN3713" s="115" t="s">
        <v>1629</v>
      </c>
      <c r="AO3713" s="115" t="s">
        <v>381</v>
      </c>
    </row>
    <row r="3714" spans="35:41" ht="13">
      <c r="AI3714" s="115" t="s">
        <v>1415</v>
      </c>
      <c r="AJ3714" t="s">
        <v>2114</v>
      </c>
      <c r="AK3714" s="115">
        <v>15</v>
      </c>
      <c r="AL3714" s="115" t="s">
        <v>28</v>
      </c>
      <c r="AM3714" s="115" t="s">
        <v>1850</v>
      </c>
      <c r="AN3714" s="115" t="s">
        <v>1629</v>
      </c>
      <c r="AO3714" s="115" t="s">
        <v>381</v>
      </c>
    </row>
    <row r="3715" spans="35:41" ht="13">
      <c r="AI3715" s="115" t="s">
        <v>1415</v>
      </c>
      <c r="AJ3715" t="s">
        <v>2114</v>
      </c>
      <c r="AK3715" s="115">
        <v>15</v>
      </c>
      <c r="AL3715" s="115" t="s">
        <v>28</v>
      </c>
      <c r="AM3715" s="115" t="s">
        <v>1849</v>
      </c>
      <c r="AN3715" s="115" t="s">
        <v>1629</v>
      </c>
      <c r="AO3715" s="115" t="s">
        <v>379</v>
      </c>
    </row>
    <row r="3716" spans="35:41" ht="13">
      <c r="AI3716" s="115" t="s">
        <v>1415</v>
      </c>
      <c r="AJ3716" t="s">
        <v>2114</v>
      </c>
      <c r="AK3716" s="115">
        <v>15</v>
      </c>
      <c r="AL3716" s="115" t="s">
        <v>28</v>
      </c>
      <c r="AM3716" s="115" t="s">
        <v>1846</v>
      </c>
      <c r="AN3716" s="115" t="s">
        <v>1629</v>
      </c>
      <c r="AO3716" s="115" t="s">
        <v>379</v>
      </c>
    </row>
    <row r="3717" spans="35:41" ht="13">
      <c r="AI3717" s="115" t="s">
        <v>1415</v>
      </c>
      <c r="AJ3717" t="s">
        <v>2114</v>
      </c>
      <c r="AK3717" s="115">
        <v>15</v>
      </c>
      <c r="AL3717" s="115" t="s">
        <v>28</v>
      </c>
      <c r="AM3717" s="115" t="s">
        <v>1848</v>
      </c>
      <c r="AN3717" s="115" t="s">
        <v>1629</v>
      </c>
      <c r="AO3717" s="115" t="s">
        <v>379</v>
      </c>
    </row>
    <row r="3718" spans="35:41" ht="13">
      <c r="AI3718" s="115" t="s">
        <v>1415</v>
      </c>
      <c r="AJ3718" t="s">
        <v>2114</v>
      </c>
      <c r="AK3718" s="115">
        <v>15</v>
      </c>
      <c r="AL3718" s="115" t="s">
        <v>28</v>
      </c>
      <c r="AM3718" s="115" t="s">
        <v>1850</v>
      </c>
      <c r="AN3718" s="115" t="s">
        <v>1629</v>
      </c>
      <c r="AO3718" s="115" t="s">
        <v>379</v>
      </c>
    </row>
    <row r="3719" spans="35:41" ht="13">
      <c r="AI3719" s="115" t="s">
        <v>1415</v>
      </c>
      <c r="AJ3719" t="s">
        <v>2114</v>
      </c>
      <c r="AK3719" s="115">
        <v>15</v>
      </c>
      <c r="AL3719" s="115" t="s">
        <v>28</v>
      </c>
      <c r="AM3719" s="115" t="s">
        <v>1843</v>
      </c>
      <c r="AN3719" s="115" t="s">
        <v>1629</v>
      </c>
      <c r="AO3719" s="115" t="s">
        <v>379</v>
      </c>
    </row>
    <row r="3720" spans="35:41" ht="13">
      <c r="AI3720" s="115" t="s">
        <v>1415</v>
      </c>
      <c r="AJ3720" t="s">
        <v>2114</v>
      </c>
      <c r="AK3720" s="115">
        <v>15</v>
      </c>
      <c r="AL3720" s="115" t="s">
        <v>28</v>
      </c>
      <c r="AM3720" s="115" t="s">
        <v>1832</v>
      </c>
      <c r="AN3720" s="115" t="s">
        <v>1629</v>
      </c>
      <c r="AO3720" s="115" t="s">
        <v>379</v>
      </c>
    </row>
    <row r="3721" spans="35:41" ht="13">
      <c r="AI3721" s="115" t="s">
        <v>1415</v>
      </c>
      <c r="AJ3721" t="s">
        <v>2114</v>
      </c>
      <c r="AK3721" s="115">
        <v>15</v>
      </c>
      <c r="AL3721" s="115" t="s">
        <v>28</v>
      </c>
      <c r="AM3721" s="115" t="s">
        <v>1846</v>
      </c>
      <c r="AN3721" s="115" t="s">
        <v>1629</v>
      </c>
      <c r="AO3721" s="115" t="s">
        <v>1645</v>
      </c>
    </row>
    <row r="3722" spans="35:41" ht="13">
      <c r="AI3722" s="115" t="s">
        <v>1415</v>
      </c>
      <c r="AJ3722" t="s">
        <v>2114</v>
      </c>
      <c r="AK3722" s="115">
        <v>15</v>
      </c>
      <c r="AL3722" s="115" t="s">
        <v>28</v>
      </c>
      <c r="AM3722" s="115" t="s">
        <v>1848</v>
      </c>
      <c r="AN3722" s="115" t="s">
        <v>1629</v>
      </c>
      <c r="AO3722" s="115" t="s">
        <v>1645</v>
      </c>
    </row>
    <row r="3723" spans="35:41" ht="13">
      <c r="AI3723" s="115" t="s">
        <v>1415</v>
      </c>
      <c r="AJ3723" t="s">
        <v>2114</v>
      </c>
      <c r="AK3723" s="115">
        <v>15</v>
      </c>
      <c r="AL3723" s="115" t="s">
        <v>28</v>
      </c>
      <c r="AM3723" s="115" t="s">
        <v>1850</v>
      </c>
      <c r="AN3723" s="115" t="s">
        <v>1629</v>
      </c>
      <c r="AO3723" s="115" t="s">
        <v>1645</v>
      </c>
    </row>
    <row r="3724" spans="35:41" ht="13">
      <c r="AI3724" s="115" t="s">
        <v>1415</v>
      </c>
      <c r="AJ3724" t="s">
        <v>2114</v>
      </c>
      <c r="AK3724" s="115">
        <v>15</v>
      </c>
      <c r="AL3724" s="115" t="s">
        <v>28</v>
      </c>
      <c r="AM3724" s="115" t="s">
        <v>1832</v>
      </c>
      <c r="AN3724" s="115" t="s">
        <v>1629</v>
      </c>
      <c r="AO3724" s="115" t="s">
        <v>1645</v>
      </c>
    </row>
    <row r="3725" spans="35:41" ht="13">
      <c r="AI3725" s="115" t="s">
        <v>1415</v>
      </c>
      <c r="AJ3725" t="s">
        <v>2114</v>
      </c>
      <c r="AK3725" s="115">
        <v>15</v>
      </c>
      <c r="AL3725" s="115" t="s">
        <v>28</v>
      </c>
      <c r="AM3725" s="115" t="s">
        <v>1849</v>
      </c>
      <c r="AN3725" s="115" t="s">
        <v>1629</v>
      </c>
      <c r="AO3725" s="115" t="s">
        <v>1645</v>
      </c>
    </row>
    <row r="3726" spans="35:41" ht="13">
      <c r="AI3726" s="115" t="s">
        <v>1415</v>
      </c>
      <c r="AJ3726" t="s">
        <v>2114</v>
      </c>
      <c r="AK3726" s="115">
        <v>15</v>
      </c>
      <c r="AL3726" s="115" t="s">
        <v>28</v>
      </c>
      <c r="AM3726" s="115" t="s">
        <v>1843</v>
      </c>
      <c r="AN3726" s="115" t="s">
        <v>1629</v>
      </c>
      <c r="AO3726" s="115" t="s">
        <v>1645</v>
      </c>
    </row>
    <row r="3727" spans="35:41" ht="13">
      <c r="AI3727" s="115" t="s">
        <v>1415</v>
      </c>
      <c r="AJ3727" t="s">
        <v>2114</v>
      </c>
      <c r="AK3727" s="115">
        <v>15</v>
      </c>
      <c r="AL3727" s="115" t="s">
        <v>28</v>
      </c>
      <c r="AM3727" s="115" t="s">
        <v>1846</v>
      </c>
      <c r="AN3727" s="115" t="s">
        <v>1629</v>
      </c>
      <c r="AO3727" s="115" t="s">
        <v>1646</v>
      </c>
    </row>
    <row r="3728" spans="35:41" ht="13">
      <c r="AI3728" s="115" t="s">
        <v>1415</v>
      </c>
      <c r="AJ3728" t="s">
        <v>2114</v>
      </c>
      <c r="AK3728" s="115">
        <v>15</v>
      </c>
      <c r="AL3728" s="115" t="s">
        <v>28</v>
      </c>
      <c r="AM3728" s="115" t="s">
        <v>1843</v>
      </c>
      <c r="AN3728" s="115" t="s">
        <v>1629</v>
      </c>
      <c r="AO3728" s="115" t="s">
        <v>1646</v>
      </c>
    </row>
    <row r="3729" spans="35:41" ht="13">
      <c r="AI3729" s="115" t="s">
        <v>1415</v>
      </c>
      <c r="AJ3729" t="s">
        <v>2114</v>
      </c>
      <c r="AK3729" s="115">
        <v>15</v>
      </c>
      <c r="AL3729" s="115" t="s">
        <v>28</v>
      </c>
      <c r="AM3729" s="115" t="s">
        <v>1843</v>
      </c>
      <c r="AN3729" s="115" t="s">
        <v>1629</v>
      </c>
      <c r="AO3729" s="115" t="s">
        <v>1647</v>
      </c>
    </row>
    <row r="3730" spans="35:41" ht="13">
      <c r="AI3730" s="115" t="s">
        <v>1415</v>
      </c>
      <c r="AJ3730" t="s">
        <v>2114</v>
      </c>
      <c r="AK3730" s="115">
        <v>15</v>
      </c>
      <c r="AL3730" s="115" t="s">
        <v>28</v>
      </c>
      <c r="AM3730" s="115" t="s">
        <v>1846</v>
      </c>
      <c r="AN3730" s="115" t="s">
        <v>1629</v>
      </c>
      <c r="AO3730" s="115" t="s">
        <v>1647</v>
      </c>
    </row>
    <row r="3731" spans="35:41" ht="13">
      <c r="AI3731" s="115" t="s">
        <v>1415</v>
      </c>
      <c r="AJ3731" t="s">
        <v>2114</v>
      </c>
      <c r="AK3731" s="115">
        <v>15</v>
      </c>
      <c r="AL3731" s="115" t="s">
        <v>28</v>
      </c>
      <c r="AM3731" s="115" t="s">
        <v>1846</v>
      </c>
      <c r="AN3731" s="115" t="s">
        <v>1629</v>
      </c>
      <c r="AO3731" s="115" t="s">
        <v>1639</v>
      </c>
    </row>
    <row r="3732" spans="35:41" ht="13">
      <c r="AI3732" s="115" t="s">
        <v>1415</v>
      </c>
      <c r="AJ3732" t="s">
        <v>2114</v>
      </c>
      <c r="AK3732" s="115">
        <v>15</v>
      </c>
      <c r="AL3732" s="115" t="s">
        <v>28</v>
      </c>
      <c r="AM3732" s="115" t="s">
        <v>1843</v>
      </c>
      <c r="AN3732" s="115" t="s">
        <v>1629</v>
      </c>
      <c r="AO3732" s="115" t="s">
        <v>1639</v>
      </c>
    </row>
    <row r="3733" spans="35:41" ht="13">
      <c r="AI3733" s="115" t="s">
        <v>1415</v>
      </c>
      <c r="AJ3733" t="s">
        <v>2114</v>
      </c>
      <c r="AK3733" s="115">
        <v>15</v>
      </c>
      <c r="AL3733" s="115" t="s">
        <v>28</v>
      </c>
      <c r="AM3733" s="115" t="s">
        <v>1848</v>
      </c>
      <c r="AN3733" s="115" t="s">
        <v>1629</v>
      </c>
      <c r="AO3733" s="115" t="s">
        <v>373</v>
      </c>
    </row>
    <row r="3734" spans="35:41" ht="13">
      <c r="AI3734" s="115" t="s">
        <v>1415</v>
      </c>
      <c r="AJ3734" t="s">
        <v>2114</v>
      </c>
      <c r="AK3734" s="115">
        <v>15</v>
      </c>
      <c r="AL3734" s="115" t="s">
        <v>28</v>
      </c>
      <c r="AM3734" s="115" t="s">
        <v>1846</v>
      </c>
      <c r="AN3734" s="115" t="s">
        <v>1629</v>
      </c>
      <c r="AO3734" s="115" t="s">
        <v>373</v>
      </c>
    </row>
    <row r="3735" spans="35:41" ht="13">
      <c r="AI3735" s="115" t="s">
        <v>1415</v>
      </c>
      <c r="AJ3735" t="s">
        <v>2114</v>
      </c>
      <c r="AK3735" s="115">
        <v>15</v>
      </c>
      <c r="AL3735" s="115" t="s">
        <v>28</v>
      </c>
      <c r="AM3735" s="115" t="s">
        <v>1849</v>
      </c>
      <c r="AN3735" s="115" t="s">
        <v>1629</v>
      </c>
      <c r="AO3735" s="115" t="s">
        <v>373</v>
      </c>
    </row>
    <row r="3736" spans="35:41" ht="13">
      <c r="AI3736" s="115" t="s">
        <v>1415</v>
      </c>
      <c r="AJ3736" t="s">
        <v>2114</v>
      </c>
      <c r="AK3736" s="115">
        <v>15</v>
      </c>
      <c r="AL3736" s="115" t="s">
        <v>28</v>
      </c>
      <c r="AM3736" s="115" t="s">
        <v>1832</v>
      </c>
      <c r="AN3736" s="115" t="s">
        <v>1629</v>
      </c>
      <c r="AO3736" s="115" t="s">
        <v>373</v>
      </c>
    </row>
    <row r="3737" spans="35:41" ht="13">
      <c r="AI3737" s="115" t="s">
        <v>1415</v>
      </c>
      <c r="AJ3737" t="s">
        <v>2114</v>
      </c>
      <c r="AK3737" s="115">
        <v>15</v>
      </c>
      <c r="AL3737" s="115" t="s">
        <v>28</v>
      </c>
      <c r="AM3737" s="115" t="s">
        <v>1843</v>
      </c>
      <c r="AN3737" s="115" t="s">
        <v>1629</v>
      </c>
      <c r="AO3737" s="115" t="s">
        <v>373</v>
      </c>
    </row>
    <row r="3738" spans="35:41" ht="13">
      <c r="AI3738" s="115" t="s">
        <v>1415</v>
      </c>
      <c r="AJ3738" t="s">
        <v>2114</v>
      </c>
      <c r="AK3738" s="115">
        <v>15</v>
      </c>
      <c r="AL3738" s="115" t="s">
        <v>28</v>
      </c>
      <c r="AM3738" s="115" t="s">
        <v>1850</v>
      </c>
      <c r="AN3738" s="115" t="s">
        <v>1629</v>
      </c>
      <c r="AO3738" s="115" t="s">
        <v>373</v>
      </c>
    </row>
    <row r="3739" spans="35:41" ht="13">
      <c r="AI3739" s="115" t="s">
        <v>1415</v>
      </c>
      <c r="AJ3739" t="s">
        <v>2114</v>
      </c>
      <c r="AK3739" s="115">
        <v>15</v>
      </c>
      <c r="AL3739" s="115" t="s">
        <v>28</v>
      </c>
      <c r="AM3739" s="115" t="s">
        <v>1848</v>
      </c>
      <c r="AN3739" s="115" t="s">
        <v>1629</v>
      </c>
      <c r="AO3739" s="115" t="s">
        <v>380</v>
      </c>
    </row>
    <row r="3740" spans="35:41" ht="13">
      <c r="AI3740" s="115" t="s">
        <v>1415</v>
      </c>
      <c r="AJ3740" t="s">
        <v>2114</v>
      </c>
      <c r="AK3740" s="115">
        <v>15</v>
      </c>
      <c r="AL3740" s="115" t="s">
        <v>28</v>
      </c>
      <c r="AM3740" s="115" t="s">
        <v>1846</v>
      </c>
      <c r="AN3740" s="115" t="s">
        <v>1629</v>
      </c>
      <c r="AO3740" s="115" t="s">
        <v>380</v>
      </c>
    </row>
    <row r="3741" spans="35:41" ht="13">
      <c r="AI3741" s="115" t="s">
        <v>1415</v>
      </c>
      <c r="AJ3741" t="s">
        <v>2114</v>
      </c>
      <c r="AK3741" s="115">
        <v>15</v>
      </c>
      <c r="AL3741" s="115" t="s">
        <v>28</v>
      </c>
      <c r="AM3741" s="115" t="s">
        <v>1843</v>
      </c>
      <c r="AN3741" s="115" t="s">
        <v>1629</v>
      </c>
      <c r="AO3741" s="115" t="s">
        <v>380</v>
      </c>
    </row>
    <row r="3742" spans="35:41" ht="13">
      <c r="AI3742" s="115" t="s">
        <v>1415</v>
      </c>
      <c r="AJ3742" t="s">
        <v>2114</v>
      </c>
      <c r="AK3742" s="115">
        <v>15</v>
      </c>
      <c r="AL3742" s="115" t="s">
        <v>28</v>
      </c>
      <c r="AM3742" s="115" t="s">
        <v>1849</v>
      </c>
      <c r="AN3742" s="115" t="s">
        <v>1629</v>
      </c>
      <c r="AO3742" s="115" t="s">
        <v>380</v>
      </c>
    </row>
    <row r="3743" spans="35:41" ht="13">
      <c r="AI3743" s="115" t="s">
        <v>1415</v>
      </c>
      <c r="AJ3743" t="s">
        <v>2114</v>
      </c>
      <c r="AK3743" s="115">
        <v>15</v>
      </c>
      <c r="AL3743" s="115" t="s">
        <v>28</v>
      </c>
      <c r="AM3743" s="115" t="s">
        <v>1850</v>
      </c>
      <c r="AN3743" s="115" t="s">
        <v>1629</v>
      </c>
      <c r="AO3743" s="115" t="s">
        <v>380</v>
      </c>
    </row>
    <row r="3744" spans="35:41" ht="13">
      <c r="AI3744" s="115" t="s">
        <v>1415</v>
      </c>
      <c r="AJ3744" t="s">
        <v>2114</v>
      </c>
      <c r="AK3744" s="115">
        <v>15</v>
      </c>
      <c r="AL3744" s="115" t="s">
        <v>28</v>
      </c>
      <c r="AM3744" s="115" t="s">
        <v>1832</v>
      </c>
      <c r="AN3744" s="115" t="s">
        <v>1629</v>
      </c>
      <c r="AO3744" s="115" t="s">
        <v>380</v>
      </c>
    </row>
    <row r="3745" spans="35:41" ht="13">
      <c r="AI3745" s="115" t="s">
        <v>1415</v>
      </c>
      <c r="AJ3745" t="s">
        <v>2114</v>
      </c>
      <c r="AK3745" s="115">
        <v>15</v>
      </c>
      <c r="AL3745" s="115" t="s">
        <v>1842</v>
      </c>
      <c r="AM3745" s="115" t="s">
        <v>1832</v>
      </c>
      <c r="AN3745" s="115" t="s">
        <v>1677</v>
      </c>
      <c r="AO3745" s="115" t="s">
        <v>1643</v>
      </c>
    </row>
    <row r="3746" spans="35:41" ht="13">
      <c r="AI3746" s="115" t="s">
        <v>1415</v>
      </c>
      <c r="AJ3746" t="s">
        <v>2114</v>
      </c>
      <c r="AK3746" s="115">
        <v>15</v>
      </c>
      <c r="AL3746" s="115" t="s">
        <v>1842</v>
      </c>
      <c r="AM3746" s="115" t="s">
        <v>1850</v>
      </c>
      <c r="AN3746" s="115" t="s">
        <v>1677</v>
      </c>
      <c r="AO3746" s="115" t="s">
        <v>1643</v>
      </c>
    </row>
    <row r="3747" spans="35:41" ht="13">
      <c r="AI3747" s="115" t="s">
        <v>1415</v>
      </c>
      <c r="AJ3747" t="s">
        <v>2114</v>
      </c>
      <c r="AK3747" s="115">
        <v>15</v>
      </c>
      <c r="AL3747" s="115" t="s">
        <v>28</v>
      </c>
      <c r="AM3747" s="115" t="s">
        <v>1849</v>
      </c>
      <c r="AN3747" s="115" t="s">
        <v>1677</v>
      </c>
      <c r="AO3747" s="115" t="s">
        <v>1643</v>
      </c>
    </row>
    <row r="3748" spans="35:41" ht="13">
      <c r="AI3748" s="115" t="s">
        <v>1415</v>
      </c>
      <c r="AJ3748" t="s">
        <v>2114</v>
      </c>
      <c r="AK3748" s="115">
        <v>15</v>
      </c>
      <c r="AL3748" s="115" t="s">
        <v>1842</v>
      </c>
      <c r="AM3748" s="115" t="s">
        <v>1848</v>
      </c>
      <c r="AN3748" s="115" t="s">
        <v>1677</v>
      </c>
      <c r="AO3748" s="115" t="s">
        <v>1643</v>
      </c>
    </row>
    <row r="3749" spans="35:41" ht="13">
      <c r="AI3749" s="115" t="s">
        <v>1415</v>
      </c>
      <c r="AJ3749" t="s">
        <v>2114</v>
      </c>
      <c r="AK3749" s="115">
        <v>15</v>
      </c>
      <c r="AL3749" s="115" t="s">
        <v>1842</v>
      </c>
      <c r="AM3749" s="115" t="s">
        <v>1843</v>
      </c>
      <c r="AN3749" s="115" t="s">
        <v>1677</v>
      </c>
      <c r="AO3749" s="115" t="s">
        <v>1643</v>
      </c>
    </row>
    <row r="3750" spans="35:41" ht="13">
      <c r="AI3750" s="115" t="s">
        <v>1415</v>
      </c>
      <c r="AJ3750" t="s">
        <v>2114</v>
      </c>
      <c r="AK3750" s="115">
        <v>15</v>
      </c>
      <c r="AL3750" s="115" t="s">
        <v>28</v>
      </c>
      <c r="AM3750" s="115" t="s">
        <v>1846</v>
      </c>
      <c r="AN3750" s="115" t="s">
        <v>1677</v>
      </c>
      <c r="AO3750" s="115" t="s">
        <v>1643</v>
      </c>
    </row>
    <row r="3751" spans="35:41" ht="13">
      <c r="AI3751" s="115" t="s">
        <v>1415</v>
      </c>
      <c r="AJ3751" t="s">
        <v>2114</v>
      </c>
      <c r="AK3751" s="115">
        <v>15</v>
      </c>
      <c r="AL3751" s="115" t="s">
        <v>28</v>
      </c>
      <c r="AM3751" s="115" t="s">
        <v>1850</v>
      </c>
      <c r="AN3751" s="115" t="s">
        <v>1677</v>
      </c>
      <c r="AO3751" s="115" t="s">
        <v>1643</v>
      </c>
    </row>
    <row r="3752" spans="35:41" ht="13">
      <c r="AI3752" s="115" t="s">
        <v>1415</v>
      </c>
      <c r="AJ3752" t="s">
        <v>2114</v>
      </c>
      <c r="AK3752" s="115">
        <v>15</v>
      </c>
      <c r="AL3752" s="115" t="s">
        <v>28</v>
      </c>
      <c r="AM3752" s="115" t="s">
        <v>1848</v>
      </c>
      <c r="AN3752" s="115" t="s">
        <v>1677</v>
      </c>
      <c r="AO3752" s="115" t="s">
        <v>1643</v>
      </c>
    </row>
    <row r="3753" spans="35:41" ht="13">
      <c r="AI3753" s="115" t="s">
        <v>1415</v>
      </c>
      <c r="AJ3753" t="s">
        <v>2114</v>
      </c>
      <c r="AK3753" s="115">
        <v>15</v>
      </c>
      <c r="AL3753" s="115" t="s">
        <v>28</v>
      </c>
      <c r="AM3753" s="115" t="s">
        <v>1832</v>
      </c>
      <c r="AN3753" s="115" t="s">
        <v>1677</v>
      </c>
      <c r="AO3753" s="115" t="s">
        <v>1643</v>
      </c>
    </row>
    <row r="3754" spans="35:41" ht="13">
      <c r="AI3754" s="115" t="s">
        <v>1415</v>
      </c>
      <c r="AJ3754" t="s">
        <v>2114</v>
      </c>
      <c r="AK3754" s="115">
        <v>15</v>
      </c>
      <c r="AL3754" s="115" t="s">
        <v>28</v>
      </c>
      <c r="AM3754" s="115" t="s">
        <v>1843</v>
      </c>
      <c r="AN3754" s="115" t="s">
        <v>1677</v>
      </c>
      <c r="AO3754" s="115" t="s">
        <v>1643</v>
      </c>
    </row>
    <row r="3755" spans="35:41" ht="13">
      <c r="AI3755" s="115" t="s">
        <v>1415</v>
      </c>
      <c r="AJ3755" t="s">
        <v>2114</v>
      </c>
      <c r="AK3755" s="115">
        <v>15</v>
      </c>
      <c r="AL3755" s="115" t="s">
        <v>1842</v>
      </c>
      <c r="AM3755" s="115" t="s">
        <v>1846</v>
      </c>
      <c r="AN3755" s="115" t="s">
        <v>1677</v>
      </c>
      <c r="AO3755" s="115" t="s">
        <v>1643</v>
      </c>
    </row>
    <row r="3756" spans="35:41" ht="13">
      <c r="AI3756" s="115" t="s">
        <v>1415</v>
      </c>
      <c r="AJ3756" t="s">
        <v>2114</v>
      </c>
      <c r="AK3756" s="115">
        <v>15</v>
      </c>
      <c r="AL3756" s="115" t="s">
        <v>1842</v>
      </c>
      <c r="AM3756" s="115" t="s">
        <v>1849</v>
      </c>
      <c r="AN3756" s="115" t="s">
        <v>1677</v>
      </c>
      <c r="AO3756" s="115" t="s">
        <v>1643</v>
      </c>
    </row>
    <row r="3757" spans="35:41" ht="13">
      <c r="AI3757" s="115" t="s">
        <v>1415</v>
      </c>
      <c r="AJ3757" t="s">
        <v>2114</v>
      </c>
      <c r="AK3757" s="115">
        <v>15</v>
      </c>
      <c r="AL3757" s="115" t="s">
        <v>28</v>
      </c>
      <c r="AM3757" s="115" t="s">
        <v>1850</v>
      </c>
      <c r="AN3757" s="115" t="s">
        <v>1677</v>
      </c>
      <c r="AO3757" s="115" t="s">
        <v>1642</v>
      </c>
    </row>
    <row r="3758" spans="35:41" ht="13">
      <c r="AI3758" s="115" t="s">
        <v>1415</v>
      </c>
      <c r="AJ3758" t="s">
        <v>2114</v>
      </c>
      <c r="AK3758" s="115">
        <v>15</v>
      </c>
      <c r="AL3758" s="115" t="s">
        <v>28</v>
      </c>
      <c r="AM3758" s="115" t="s">
        <v>1843</v>
      </c>
      <c r="AN3758" s="115" t="s">
        <v>1677</v>
      </c>
      <c r="AO3758" s="115" t="s">
        <v>1642</v>
      </c>
    </row>
    <row r="3759" spans="35:41" ht="13">
      <c r="AI3759" s="115" t="s">
        <v>1415</v>
      </c>
      <c r="AJ3759" t="s">
        <v>2114</v>
      </c>
      <c r="AK3759" s="115">
        <v>15</v>
      </c>
      <c r="AL3759" s="115" t="s">
        <v>28</v>
      </c>
      <c r="AM3759" s="115" t="s">
        <v>1832</v>
      </c>
      <c r="AN3759" s="115" t="s">
        <v>1677</v>
      </c>
      <c r="AO3759" s="115" t="s">
        <v>1642</v>
      </c>
    </row>
    <row r="3760" spans="35:41" ht="13">
      <c r="AI3760" s="115" t="s">
        <v>1415</v>
      </c>
      <c r="AJ3760" t="s">
        <v>2114</v>
      </c>
      <c r="AK3760" s="115">
        <v>15</v>
      </c>
      <c r="AL3760" s="115" t="s">
        <v>28</v>
      </c>
      <c r="AM3760" s="115" t="s">
        <v>1848</v>
      </c>
      <c r="AN3760" s="115" t="s">
        <v>1677</v>
      </c>
      <c r="AO3760" s="115" t="s">
        <v>1642</v>
      </c>
    </row>
    <row r="3761" spans="35:41" ht="13">
      <c r="AI3761" s="115" t="s">
        <v>1415</v>
      </c>
      <c r="AJ3761" t="s">
        <v>2114</v>
      </c>
      <c r="AK3761" s="115">
        <v>15</v>
      </c>
      <c r="AL3761" s="115" t="s">
        <v>28</v>
      </c>
      <c r="AM3761" s="115" t="s">
        <v>1848</v>
      </c>
      <c r="AN3761" s="115" t="s">
        <v>1677</v>
      </c>
      <c r="AO3761" s="115" t="s">
        <v>1644</v>
      </c>
    </row>
    <row r="3762" spans="35:41" ht="13">
      <c r="AI3762" s="115" t="s">
        <v>1415</v>
      </c>
      <c r="AJ3762" t="s">
        <v>2114</v>
      </c>
      <c r="AK3762" s="115">
        <v>15</v>
      </c>
      <c r="AL3762" s="115" t="s">
        <v>28</v>
      </c>
      <c r="AM3762" s="115" t="s">
        <v>1850</v>
      </c>
      <c r="AN3762" s="115" t="s">
        <v>1677</v>
      </c>
      <c r="AO3762" s="115" t="s">
        <v>1644</v>
      </c>
    </row>
    <row r="3763" spans="35:41" ht="13">
      <c r="AI3763" s="115" t="s">
        <v>1415</v>
      </c>
      <c r="AJ3763" t="s">
        <v>2114</v>
      </c>
      <c r="AK3763" s="115">
        <v>15</v>
      </c>
      <c r="AL3763" s="115" t="s">
        <v>28</v>
      </c>
      <c r="AM3763" s="115" t="s">
        <v>1843</v>
      </c>
      <c r="AN3763" s="115" t="s">
        <v>1677</v>
      </c>
      <c r="AO3763" s="115" t="s">
        <v>1644</v>
      </c>
    </row>
    <row r="3764" spans="35:41" ht="13">
      <c r="AI3764" s="115" t="s">
        <v>1415</v>
      </c>
      <c r="AJ3764" t="s">
        <v>2114</v>
      </c>
      <c r="AK3764" s="115">
        <v>15</v>
      </c>
      <c r="AL3764" s="115" t="s">
        <v>28</v>
      </c>
      <c r="AM3764" s="115" t="s">
        <v>1832</v>
      </c>
      <c r="AN3764" s="115" t="s">
        <v>1677</v>
      </c>
      <c r="AO3764" s="115" t="s">
        <v>1644</v>
      </c>
    </row>
    <row r="3765" spans="35:41" ht="13">
      <c r="AI3765" s="115" t="s">
        <v>1415</v>
      </c>
      <c r="AJ3765" t="s">
        <v>2114</v>
      </c>
      <c r="AK3765" s="115">
        <v>15</v>
      </c>
      <c r="AL3765" s="115" t="s">
        <v>28</v>
      </c>
      <c r="AM3765" s="115" t="s">
        <v>1850</v>
      </c>
      <c r="AN3765" s="115" t="s">
        <v>1677</v>
      </c>
      <c r="AO3765" s="115" t="s">
        <v>1274</v>
      </c>
    </row>
    <row r="3766" spans="35:41" ht="13">
      <c r="AI3766" s="115" t="s">
        <v>1415</v>
      </c>
      <c r="AJ3766" t="s">
        <v>2114</v>
      </c>
      <c r="AK3766" s="115">
        <v>15</v>
      </c>
      <c r="AL3766" s="115" t="s">
        <v>28</v>
      </c>
      <c r="AM3766" s="115" t="s">
        <v>1843</v>
      </c>
      <c r="AN3766" s="115" t="s">
        <v>1677</v>
      </c>
      <c r="AO3766" s="115" t="s">
        <v>1274</v>
      </c>
    </row>
    <row r="3767" spans="35:41" ht="13">
      <c r="AI3767" s="115" t="s">
        <v>1415</v>
      </c>
      <c r="AJ3767" t="s">
        <v>2114</v>
      </c>
      <c r="AK3767" s="115">
        <v>15</v>
      </c>
      <c r="AL3767" s="115" t="s">
        <v>28</v>
      </c>
      <c r="AM3767" s="115" t="s">
        <v>1846</v>
      </c>
      <c r="AN3767" s="115" t="s">
        <v>1677</v>
      </c>
      <c r="AO3767" s="115" t="s">
        <v>1274</v>
      </c>
    </row>
    <row r="3768" spans="35:41" ht="13">
      <c r="AI3768" s="115" t="s">
        <v>1415</v>
      </c>
      <c r="AJ3768" t="s">
        <v>2114</v>
      </c>
      <c r="AK3768" s="115">
        <v>15</v>
      </c>
      <c r="AL3768" s="115" t="s">
        <v>28</v>
      </c>
      <c r="AM3768" s="115" t="s">
        <v>1849</v>
      </c>
      <c r="AN3768" s="115" t="s">
        <v>1677</v>
      </c>
      <c r="AO3768" s="115" t="s">
        <v>1274</v>
      </c>
    </row>
    <row r="3769" spans="35:41" ht="13">
      <c r="AI3769" s="115" t="s">
        <v>1415</v>
      </c>
      <c r="AJ3769" t="s">
        <v>2114</v>
      </c>
      <c r="AK3769" s="115">
        <v>15</v>
      </c>
      <c r="AL3769" s="115" t="s">
        <v>28</v>
      </c>
      <c r="AM3769" s="115" t="s">
        <v>1832</v>
      </c>
      <c r="AN3769" s="115" t="s">
        <v>1677</v>
      </c>
      <c r="AO3769" s="115" t="s">
        <v>1274</v>
      </c>
    </row>
    <row r="3770" spans="35:41" ht="13">
      <c r="AI3770" s="115" t="s">
        <v>1415</v>
      </c>
      <c r="AJ3770" t="s">
        <v>2114</v>
      </c>
      <c r="AK3770" s="115">
        <v>15</v>
      </c>
      <c r="AL3770" s="115" t="s">
        <v>28</v>
      </c>
      <c r="AM3770" s="115" t="s">
        <v>1848</v>
      </c>
      <c r="AN3770" s="115" t="s">
        <v>1677</v>
      </c>
      <c r="AO3770" s="115" t="s">
        <v>1274</v>
      </c>
    </row>
    <row r="3771" spans="35:41" ht="13">
      <c r="AI3771" s="115" t="s">
        <v>1415</v>
      </c>
      <c r="AJ3771" t="s">
        <v>2114</v>
      </c>
      <c r="AK3771" s="115">
        <v>15</v>
      </c>
      <c r="AL3771" s="115" t="s">
        <v>28</v>
      </c>
      <c r="AM3771" s="115" t="s">
        <v>1850</v>
      </c>
      <c r="AN3771" s="115" t="s">
        <v>1677</v>
      </c>
      <c r="AO3771" s="115" t="s">
        <v>381</v>
      </c>
    </row>
    <row r="3772" spans="35:41" ht="13">
      <c r="AI3772" s="115" t="s">
        <v>1415</v>
      </c>
      <c r="AJ3772" t="s">
        <v>2114</v>
      </c>
      <c r="AK3772" s="115">
        <v>15</v>
      </c>
      <c r="AL3772" s="115" t="s">
        <v>28</v>
      </c>
      <c r="AM3772" s="115" t="s">
        <v>1849</v>
      </c>
      <c r="AN3772" s="115" t="s">
        <v>1677</v>
      </c>
      <c r="AO3772" s="115" t="s">
        <v>381</v>
      </c>
    </row>
    <row r="3773" spans="35:41" ht="13">
      <c r="AI3773" s="115" t="s">
        <v>1415</v>
      </c>
      <c r="AJ3773" t="s">
        <v>2114</v>
      </c>
      <c r="AK3773" s="115">
        <v>15</v>
      </c>
      <c r="AL3773" s="115" t="s">
        <v>28</v>
      </c>
      <c r="AM3773" s="115" t="s">
        <v>1832</v>
      </c>
      <c r="AN3773" s="115" t="s">
        <v>1677</v>
      </c>
      <c r="AO3773" s="115" t="s">
        <v>381</v>
      </c>
    </row>
    <row r="3774" spans="35:41" ht="13">
      <c r="AI3774" s="115" t="s">
        <v>1415</v>
      </c>
      <c r="AJ3774" t="s">
        <v>2114</v>
      </c>
      <c r="AK3774" s="115">
        <v>15</v>
      </c>
      <c r="AL3774" s="115" t="s">
        <v>28</v>
      </c>
      <c r="AM3774" s="115" t="s">
        <v>1846</v>
      </c>
      <c r="AN3774" s="115" t="s">
        <v>1677</v>
      </c>
      <c r="AO3774" s="115" t="s">
        <v>381</v>
      </c>
    </row>
    <row r="3775" spans="35:41" ht="13">
      <c r="AI3775" s="115" t="s">
        <v>1415</v>
      </c>
      <c r="AJ3775" t="s">
        <v>2114</v>
      </c>
      <c r="AK3775" s="115">
        <v>15</v>
      </c>
      <c r="AL3775" s="115" t="s">
        <v>28</v>
      </c>
      <c r="AM3775" s="115" t="s">
        <v>1843</v>
      </c>
      <c r="AN3775" s="115" t="s">
        <v>1677</v>
      </c>
      <c r="AO3775" s="115" t="s">
        <v>381</v>
      </c>
    </row>
    <row r="3776" spans="35:41" ht="13">
      <c r="AI3776" s="115" t="s">
        <v>1415</v>
      </c>
      <c r="AJ3776" t="s">
        <v>2114</v>
      </c>
      <c r="AK3776" s="115">
        <v>15</v>
      </c>
      <c r="AL3776" s="115" t="s">
        <v>28</v>
      </c>
      <c r="AM3776" s="115" t="s">
        <v>1848</v>
      </c>
      <c r="AN3776" s="115" t="s">
        <v>1677</v>
      </c>
      <c r="AO3776" s="115" t="s">
        <v>381</v>
      </c>
    </row>
    <row r="3777" spans="35:41" ht="13">
      <c r="AI3777" s="115" t="s">
        <v>1415</v>
      </c>
      <c r="AJ3777" t="s">
        <v>2114</v>
      </c>
      <c r="AK3777" s="115">
        <v>15</v>
      </c>
      <c r="AL3777" s="115" t="s">
        <v>28</v>
      </c>
      <c r="AM3777" s="115" t="s">
        <v>1843</v>
      </c>
      <c r="AN3777" s="115" t="s">
        <v>1677</v>
      </c>
      <c r="AO3777" s="115" t="s">
        <v>379</v>
      </c>
    </row>
    <row r="3778" spans="35:41" ht="13">
      <c r="AI3778" s="115" t="s">
        <v>1415</v>
      </c>
      <c r="AJ3778" t="s">
        <v>2114</v>
      </c>
      <c r="AK3778" s="115">
        <v>15</v>
      </c>
      <c r="AL3778" s="115" t="s">
        <v>28</v>
      </c>
      <c r="AM3778" s="115" t="s">
        <v>1849</v>
      </c>
      <c r="AN3778" s="115" t="s">
        <v>1677</v>
      </c>
      <c r="AO3778" s="115" t="s">
        <v>379</v>
      </c>
    </row>
    <row r="3779" spans="35:41" ht="13">
      <c r="AI3779" s="115" t="s">
        <v>1415</v>
      </c>
      <c r="AJ3779" t="s">
        <v>2114</v>
      </c>
      <c r="AK3779" s="115">
        <v>15</v>
      </c>
      <c r="AL3779" s="115" t="s">
        <v>28</v>
      </c>
      <c r="AM3779" s="115" t="s">
        <v>1850</v>
      </c>
      <c r="AN3779" s="115" t="s">
        <v>1677</v>
      </c>
      <c r="AO3779" s="115" t="s">
        <v>379</v>
      </c>
    </row>
    <row r="3780" spans="35:41" ht="13">
      <c r="AI3780" s="115" t="s">
        <v>1415</v>
      </c>
      <c r="AJ3780" t="s">
        <v>2114</v>
      </c>
      <c r="AK3780" s="115">
        <v>15</v>
      </c>
      <c r="AL3780" s="115" t="s">
        <v>28</v>
      </c>
      <c r="AM3780" s="115" t="s">
        <v>1832</v>
      </c>
      <c r="AN3780" s="115" t="s">
        <v>1677</v>
      </c>
      <c r="AO3780" s="115" t="s">
        <v>379</v>
      </c>
    </row>
    <row r="3781" spans="35:41" ht="13">
      <c r="AI3781" s="115" t="s">
        <v>1415</v>
      </c>
      <c r="AJ3781" t="s">
        <v>2114</v>
      </c>
      <c r="AK3781" s="115">
        <v>15</v>
      </c>
      <c r="AL3781" s="115" t="s">
        <v>28</v>
      </c>
      <c r="AM3781" s="115" t="s">
        <v>1846</v>
      </c>
      <c r="AN3781" s="115" t="s">
        <v>1677</v>
      </c>
      <c r="AO3781" s="115" t="s">
        <v>379</v>
      </c>
    </row>
    <row r="3782" spans="35:41" ht="13">
      <c r="AI3782" s="115" t="s">
        <v>1415</v>
      </c>
      <c r="AJ3782" t="s">
        <v>2114</v>
      </c>
      <c r="AK3782" s="115">
        <v>15</v>
      </c>
      <c r="AL3782" s="115" t="s">
        <v>28</v>
      </c>
      <c r="AM3782" s="115" t="s">
        <v>1848</v>
      </c>
      <c r="AN3782" s="115" t="s">
        <v>1677</v>
      </c>
      <c r="AO3782" s="115" t="s">
        <v>379</v>
      </c>
    </row>
    <row r="3783" spans="35:41" ht="13">
      <c r="AI3783" s="115" t="s">
        <v>1415</v>
      </c>
      <c r="AJ3783" t="s">
        <v>2114</v>
      </c>
      <c r="AK3783" s="115">
        <v>15</v>
      </c>
      <c r="AL3783" s="115" t="s">
        <v>1842</v>
      </c>
      <c r="AM3783" s="115" t="s">
        <v>1850</v>
      </c>
      <c r="AN3783" s="115" t="s">
        <v>1677</v>
      </c>
      <c r="AO3783" s="115" t="s">
        <v>1641</v>
      </c>
    </row>
    <row r="3784" spans="35:41" ht="13">
      <c r="AI3784" s="115" t="s">
        <v>1415</v>
      </c>
      <c r="AJ3784" t="s">
        <v>2114</v>
      </c>
      <c r="AK3784" s="115">
        <v>15</v>
      </c>
      <c r="AL3784" s="115" t="s">
        <v>28</v>
      </c>
      <c r="AM3784" s="115" t="s">
        <v>1850</v>
      </c>
      <c r="AN3784" s="115" t="s">
        <v>1677</v>
      </c>
      <c r="AO3784" s="115" t="s">
        <v>1641</v>
      </c>
    </row>
    <row r="3785" spans="35:41" ht="13">
      <c r="AI3785" s="115" t="s">
        <v>1415</v>
      </c>
      <c r="AJ3785" t="s">
        <v>2114</v>
      </c>
      <c r="AK3785" s="115">
        <v>15</v>
      </c>
      <c r="AL3785" s="115" t="s">
        <v>1842</v>
      </c>
      <c r="AM3785" s="115" t="s">
        <v>1848</v>
      </c>
      <c r="AN3785" s="115" t="s">
        <v>1677</v>
      </c>
      <c r="AO3785" s="115" t="s">
        <v>1641</v>
      </c>
    </row>
    <row r="3786" spans="35:41" ht="13">
      <c r="AI3786" s="115" t="s">
        <v>1415</v>
      </c>
      <c r="AJ3786" t="s">
        <v>2114</v>
      </c>
      <c r="AK3786" s="115">
        <v>15</v>
      </c>
      <c r="AL3786" s="115" t="s">
        <v>28</v>
      </c>
      <c r="AM3786" s="115" t="s">
        <v>1848</v>
      </c>
      <c r="AN3786" s="115" t="s">
        <v>1677</v>
      </c>
      <c r="AO3786" s="115" t="s">
        <v>1641</v>
      </c>
    </row>
    <row r="3787" spans="35:41" ht="13">
      <c r="AI3787" s="115" t="s">
        <v>1415</v>
      </c>
      <c r="AJ3787" t="s">
        <v>2114</v>
      </c>
      <c r="AK3787" s="115">
        <v>15</v>
      </c>
      <c r="AL3787" s="115" t="s">
        <v>1842</v>
      </c>
      <c r="AM3787" s="115" t="s">
        <v>1843</v>
      </c>
      <c r="AN3787" s="115" t="s">
        <v>1677</v>
      </c>
      <c r="AO3787" s="115" t="s">
        <v>1641</v>
      </c>
    </row>
    <row r="3788" spans="35:41" ht="13">
      <c r="AI3788" s="115" t="s">
        <v>1415</v>
      </c>
      <c r="AJ3788" t="s">
        <v>2114</v>
      </c>
      <c r="AK3788" s="115">
        <v>15</v>
      </c>
      <c r="AL3788" s="115" t="s">
        <v>1842</v>
      </c>
      <c r="AM3788" s="115" t="s">
        <v>1832</v>
      </c>
      <c r="AN3788" s="115" t="s">
        <v>1677</v>
      </c>
      <c r="AO3788" s="115" t="s">
        <v>1641</v>
      </c>
    </row>
    <row r="3789" spans="35:41" ht="13">
      <c r="AI3789" s="115" t="s">
        <v>1415</v>
      </c>
      <c r="AJ3789" t="s">
        <v>2114</v>
      </c>
      <c r="AK3789" s="115">
        <v>15</v>
      </c>
      <c r="AL3789" s="115" t="s">
        <v>28</v>
      </c>
      <c r="AM3789" s="115" t="s">
        <v>1843</v>
      </c>
      <c r="AN3789" s="115" t="s">
        <v>1677</v>
      </c>
      <c r="AO3789" s="115" t="s">
        <v>1641</v>
      </c>
    </row>
    <row r="3790" spans="35:41" ht="13">
      <c r="AI3790" s="115" t="s">
        <v>1415</v>
      </c>
      <c r="AJ3790" t="s">
        <v>2114</v>
      </c>
      <c r="AK3790" s="115">
        <v>15</v>
      </c>
      <c r="AL3790" s="115" t="s">
        <v>28</v>
      </c>
      <c r="AM3790" s="115" t="s">
        <v>1832</v>
      </c>
      <c r="AN3790" s="115" t="s">
        <v>1677</v>
      </c>
      <c r="AO3790" s="115" t="s">
        <v>1641</v>
      </c>
    </row>
    <row r="3791" spans="35:41" ht="13">
      <c r="AI3791" s="115" t="s">
        <v>1415</v>
      </c>
      <c r="AJ3791" t="s">
        <v>2114</v>
      </c>
      <c r="AK3791" s="115">
        <v>15</v>
      </c>
      <c r="AL3791" s="115" t="s">
        <v>28</v>
      </c>
      <c r="AM3791" s="115" t="s">
        <v>1846</v>
      </c>
      <c r="AN3791" s="115" t="s">
        <v>1677</v>
      </c>
      <c r="AO3791" s="115" t="s">
        <v>1645</v>
      </c>
    </row>
    <row r="3792" spans="35:41" ht="13">
      <c r="AI3792" s="115" t="s">
        <v>1415</v>
      </c>
      <c r="AJ3792" t="s">
        <v>2114</v>
      </c>
      <c r="AK3792" s="115">
        <v>15</v>
      </c>
      <c r="AL3792" s="115" t="s">
        <v>28</v>
      </c>
      <c r="AM3792" s="115" t="s">
        <v>1848</v>
      </c>
      <c r="AN3792" s="115" t="s">
        <v>1677</v>
      </c>
      <c r="AO3792" s="115" t="s">
        <v>1645</v>
      </c>
    </row>
    <row r="3793" spans="35:41" ht="13">
      <c r="AI3793" s="115" t="s">
        <v>1415</v>
      </c>
      <c r="AJ3793" t="s">
        <v>2114</v>
      </c>
      <c r="AK3793" s="115">
        <v>15</v>
      </c>
      <c r="AL3793" s="115" t="s">
        <v>1842</v>
      </c>
      <c r="AM3793" s="115" t="s">
        <v>1850</v>
      </c>
      <c r="AN3793" s="115" t="s">
        <v>1677</v>
      </c>
      <c r="AO3793" s="115" t="s">
        <v>1645</v>
      </c>
    </row>
    <row r="3794" spans="35:41" ht="13">
      <c r="AI3794" s="115" t="s">
        <v>1415</v>
      </c>
      <c r="AJ3794" t="s">
        <v>2114</v>
      </c>
      <c r="AK3794" s="115">
        <v>15</v>
      </c>
      <c r="AL3794" s="115" t="s">
        <v>1842</v>
      </c>
      <c r="AM3794" s="115" t="s">
        <v>1849</v>
      </c>
      <c r="AN3794" s="115" t="s">
        <v>1677</v>
      </c>
      <c r="AO3794" s="115" t="s">
        <v>1645</v>
      </c>
    </row>
    <row r="3795" spans="35:41" ht="13">
      <c r="AI3795" s="115" t="s">
        <v>1415</v>
      </c>
      <c r="AJ3795" t="s">
        <v>2114</v>
      </c>
      <c r="AK3795" s="115">
        <v>15</v>
      </c>
      <c r="AL3795" s="115" t="s">
        <v>28</v>
      </c>
      <c r="AM3795" s="115" t="s">
        <v>1843</v>
      </c>
      <c r="AN3795" s="115" t="s">
        <v>1677</v>
      </c>
      <c r="AO3795" s="115" t="s">
        <v>1645</v>
      </c>
    </row>
    <row r="3796" spans="35:41" ht="13">
      <c r="AI3796" s="115" t="s">
        <v>1415</v>
      </c>
      <c r="AJ3796" t="s">
        <v>2114</v>
      </c>
      <c r="AK3796" s="115">
        <v>15</v>
      </c>
      <c r="AL3796" s="115" t="s">
        <v>1842</v>
      </c>
      <c r="AM3796" s="115" t="s">
        <v>1843</v>
      </c>
      <c r="AN3796" s="115" t="s">
        <v>1677</v>
      </c>
      <c r="AO3796" s="115" t="s">
        <v>1645</v>
      </c>
    </row>
    <row r="3797" spans="35:41" ht="13">
      <c r="AI3797" s="115" t="s">
        <v>1415</v>
      </c>
      <c r="AJ3797" t="s">
        <v>2114</v>
      </c>
      <c r="AK3797" s="115">
        <v>15</v>
      </c>
      <c r="AL3797" s="115" t="s">
        <v>1842</v>
      </c>
      <c r="AM3797" s="115" t="s">
        <v>1832</v>
      </c>
      <c r="AN3797" s="115" t="s">
        <v>1677</v>
      </c>
      <c r="AO3797" s="115" t="s">
        <v>1645</v>
      </c>
    </row>
    <row r="3798" spans="35:41" ht="13">
      <c r="AI3798" s="115" t="s">
        <v>1415</v>
      </c>
      <c r="AJ3798" t="s">
        <v>2114</v>
      </c>
      <c r="AK3798" s="115">
        <v>15</v>
      </c>
      <c r="AL3798" s="115" t="s">
        <v>28</v>
      </c>
      <c r="AM3798" s="115" t="s">
        <v>1832</v>
      </c>
      <c r="AN3798" s="115" t="s">
        <v>1677</v>
      </c>
      <c r="AO3798" s="115" t="s">
        <v>1645</v>
      </c>
    </row>
    <row r="3799" spans="35:41" ht="13">
      <c r="AI3799" s="115" t="s">
        <v>1415</v>
      </c>
      <c r="AJ3799" t="s">
        <v>2114</v>
      </c>
      <c r="AK3799" s="115">
        <v>15</v>
      </c>
      <c r="AL3799" s="115" t="s">
        <v>28</v>
      </c>
      <c r="AM3799" s="115" t="s">
        <v>1849</v>
      </c>
      <c r="AN3799" s="115" t="s">
        <v>1677</v>
      </c>
      <c r="AO3799" s="115" t="s">
        <v>1645</v>
      </c>
    </row>
    <row r="3800" spans="35:41" ht="13">
      <c r="AI3800" s="115" t="s">
        <v>1415</v>
      </c>
      <c r="AJ3800" t="s">
        <v>2114</v>
      </c>
      <c r="AK3800" s="115">
        <v>15</v>
      </c>
      <c r="AL3800" s="115" t="s">
        <v>1842</v>
      </c>
      <c r="AM3800" s="115" t="s">
        <v>1848</v>
      </c>
      <c r="AN3800" s="115" t="s">
        <v>1677</v>
      </c>
      <c r="AO3800" s="115" t="s">
        <v>1645</v>
      </c>
    </row>
    <row r="3801" spans="35:41" ht="13">
      <c r="AI3801" s="115" t="s">
        <v>1415</v>
      </c>
      <c r="AJ3801" t="s">
        <v>2114</v>
      </c>
      <c r="AK3801" s="115">
        <v>15</v>
      </c>
      <c r="AL3801" s="115" t="s">
        <v>28</v>
      </c>
      <c r="AM3801" s="115" t="s">
        <v>1850</v>
      </c>
      <c r="AN3801" s="115" t="s">
        <v>1677</v>
      </c>
      <c r="AO3801" s="115" t="s">
        <v>1645</v>
      </c>
    </row>
    <row r="3802" spans="35:41" ht="13">
      <c r="AI3802" s="115" t="s">
        <v>1415</v>
      </c>
      <c r="AJ3802" t="s">
        <v>2114</v>
      </c>
      <c r="AK3802" s="115">
        <v>15</v>
      </c>
      <c r="AL3802" s="115" t="s">
        <v>1842</v>
      </c>
      <c r="AM3802" s="115" t="s">
        <v>1846</v>
      </c>
      <c r="AN3802" s="115" t="s">
        <v>1677</v>
      </c>
      <c r="AO3802" s="115" t="s">
        <v>1645</v>
      </c>
    </row>
    <row r="3803" spans="35:41" ht="13">
      <c r="AI3803" s="115" t="s">
        <v>1415</v>
      </c>
      <c r="AJ3803" t="s">
        <v>2114</v>
      </c>
      <c r="AK3803" s="115">
        <v>15</v>
      </c>
      <c r="AL3803" s="115" t="s">
        <v>28</v>
      </c>
      <c r="AM3803" s="115" t="s">
        <v>1846</v>
      </c>
      <c r="AN3803" s="115" t="s">
        <v>1677</v>
      </c>
      <c r="AO3803" s="115" t="s">
        <v>1646</v>
      </c>
    </row>
    <row r="3804" spans="35:41" ht="13">
      <c r="AI3804" s="115" t="s">
        <v>1415</v>
      </c>
      <c r="AJ3804" t="s">
        <v>2114</v>
      </c>
      <c r="AK3804" s="115">
        <v>15</v>
      </c>
      <c r="AL3804" s="115" t="s">
        <v>28</v>
      </c>
      <c r="AM3804" s="115" t="s">
        <v>1843</v>
      </c>
      <c r="AN3804" s="115" t="s">
        <v>1677</v>
      </c>
      <c r="AO3804" s="115" t="s">
        <v>1646</v>
      </c>
    </row>
    <row r="3805" spans="35:41" ht="13">
      <c r="AI3805" s="115" t="s">
        <v>1415</v>
      </c>
      <c r="AJ3805" t="s">
        <v>2114</v>
      </c>
      <c r="AK3805" s="115">
        <v>15</v>
      </c>
      <c r="AL3805" s="115" t="s">
        <v>28</v>
      </c>
      <c r="AM3805" s="115" t="s">
        <v>1843</v>
      </c>
      <c r="AN3805" s="115" t="s">
        <v>1677</v>
      </c>
      <c r="AO3805" s="115" t="s">
        <v>1647</v>
      </c>
    </row>
    <row r="3806" spans="35:41" ht="13">
      <c r="AI3806" s="115" t="s">
        <v>1415</v>
      </c>
      <c r="AJ3806" t="s">
        <v>2114</v>
      </c>
      <c r="AK3806" s="115">
        <v>15</v>
      </c>
      <c r="AL3806" s="115" t="s">
        <v>28</v>
      </c>
      <c r="AM3806" s="115" t="s">
        <v>1846</v>
      </c>
      <c r="AN3806" s="115" t="s">
        <v>1677</v>
      </c>
      <c r="AO3806" s="115" t="s">
        <v>1647</v>
      </c>
    </row>
    <row r="3807" spans="35:41" ht="13">
      <c r="AI3807" s="115" t="s">
        <v>1415</v>
      </c>
      <c r="AJ3807" t="s">
        <v>2114</v>
      </c>
      <c r="AK3807" s="115">
        <v>15</v>
      </c>
      <c r="AL3807" s="115" t="s">
        <v>28</v>
      </c>
      <c r="AM3807" s="115" t="s">
        <v>1843</v>
      </c>
      <c r="AN3807" s="115" t="s">
        <v>1677</v>
      </c>
      <c r="AO3807" s="115" t="s">
        <v>1639</v>
      </c>
    </row>
    <row r="3808" spans="35:41" ht="13">
      <c r="AI3808" s="115" t="s">
        <v>1415</v>
      </c>
      <c r="AJ3808" t="s">
        <v>2114</v>
      </c>
      <c r="AK3808" s="115">
        <v>15</v>
      </c>
      <c r="AL3808" s="115" t="s">
        <v>28</v>
      </c>
      <c r="AM3808" s="115" t="s">
        <v>1846</v>
      </c>
      <c r="AN3808" s="115" t="s">
        <v>1677</v>
      </c>
      <c r="AO3808" s="115" t="s">
        <v>1639</v>
      </c>
    </row>
    <row r="3809" spans="35:41" ht="13">
      <c r="AI3809" s="115" t="s">
        <v>1415</v>
      </c>
      <c r="AJ3809" t="s">
        <v>2114</v>
      </c>
      <c r="AK3809" s="115">
        <v>15</v>
      </c>
      <c r="AL3809" s="115" t="s">
        <v>28</v>
      </c>
      <c r="AM3809" s="115" t="s">
        <v>1843</v>
      </c>
      <c r="AN3809" s="115" t="s">
        <v>1677</v>
      </c>
      <c r="AO3809" s="115" t="s">
        <v>373</v>
      </c>
    </row>
    <row r="3810" spans="35:41" ht="13">
      <c r="AI3810" s="115" t="s">
        <v>1415</v>
      </c>
      <c r="AJ3810" t="s">
        <v>2114</v>
      </c>
      <c r="AK3810" s="115">
        <v>15</v>
      </c>
      <c r="AL3810" s="115" t="s">
        <v>28</v>
      </c>
      <c r="AM3810" s="115" t="s">
        <v>1848</v>
      </c>
      <c r="AN3810" s="115" t="s">
        <v>1677</v>
      </c>
      <c r="AO3810" s="115" t="s">
        <v>373</v>
      </c>
    </row>
    <row r="3811" spans="35:41" ht="13">
      <c r="AI3811" s="115" t="s">
        <v>1415</v>
      </c>
      <c r="AJ3811" t="s">
        <v>2114</v>
      </c>
      <c r="AK3811" s="115">
        <v>15</v>
      </c>
      <c r="AL3811" s="115" t="s">
        <v>28</v>
      </c>
      <c r="AM3811" s="115" t="s">
        <v>1850</v>
      </c>
      <c r="AN3811" s="115" t="s">
        <v>1677</v>
      </c>
      <c r="AO3811" s="115" t="s">
        <v>373</v>
      </c>
    </row>
    <row r="3812" spans="35:41" ht="13">
      <c r="AI3812" s="115" t="s">
        <v>1415</v>
      </c>
      <c r="AJ3812" t="s">
        <v>2114</v>
      </c>
      <c r="AK3812" s="115">
        <v>15</v>
      </c>
      <c r="AL3812" s="115" t="s">
        <v>28</v>
      </c>
      <c r="AM3812" s="115" t="s">
        <v>1849</v>
      </c>
      <c r="AN3812" s="115" t="s">
        <v>1677</v>
      </c>
      <c r="AO3812" s="115" t="s">
        <v>373</v>
      </c>
    </row>
    <row r="3813" spans="35:41" ht="13">
      <c r="AI3813" s="115" t="s">
        <v>1415</v>
      </c>
      <c r="AJ3813" t="s">
        <v>2114</v>
      </c>
      <c r="AK3813" s="115">
        <v>15</v>
      </c>
      <c r="AL3813" s="115" t="s">
        <v>28</v>
      </c>
      <c r="AM3813" s="115" t="s">
        <v>1832</v>
      </c>
      <c r="AN3813" s="115" t="s">
        <v>1677</v>
      </c>
      <c r="AO3813" s="115" t="s">
        <v>373</v>
      </c>
    </row>
    <row r="3814" spans="35:41" ht="13">
      <c r="AI3814" s="115" t="s">
        <v>1415</v>
      </c>
      <c r="AJ3814" t="s">
        <v>2114</v>
      </c>
      <c r="AK3814" s="115">
        <v>15</v>
      </c>
      <c r="AL3814" s="115" t="s">
        <v>28</v>
      </c>
      <c r="AM3814" s="115" t="s">
        <v>1846</v>
      </c>
      <c r="AN3814" s="115" t="s">
        <v>1677</v>
      </c>
      <c r="AO3814" s="115" t="s">
        <v>373</v>
      </c>
    </row>
    <row r="3815" spans="35:41" ht="13">
      <c r="AI3815" s="115" t="s">
        <v>1415</v>
      </c>
      <c r="AJ3815" t="s">
        <v>2114</v>
      </c>
      <c r="AK3815" s="115">
        <v>15</v>
      </c>
      <c r="AL3815" s="115" t="s">
        <v>28</v>
      </c>
      <c r="AM3815" s="115" t="s">
        <v>1849</v>
      </c>
      <c r="AN3815" s="115" t="s">
        <v>1677</v>
      </c>
      <c r="AO3815" s="115" t="s">
        <v>380</v>
      </c>
    </row>
    <row r="3816" spans="35:41" ht="13">
      <c r="AI3816" s="115" t="s">
        <v>1415</v>
      </c>
      <c r="AJ3816" t="s">
        <v>2114</v>
      </c>
      <c r="AK3816" s="115">
        <v>15</v>
      </c>
      <c r="AL3816" s="115" t="s">
        <v>1842</v>
      </c>
      <c r="AM3816" s="115" t="s">
        <v>1843</v>
      </c>
      <c r="AN3816" s="115" t="s">
        <v>1677</v>
      </c>
      <c r="AO3816" s="115" t="s">
        <v>380</v>
      </c>
    </row>
    <row r="3817" spans="35:41" ht="13">
      <c r="AI3817" s="115" t="s">
        <v>1415</v>
      </c>
      <c r="AJ3817" t="s">
        <v>2114</v>
      </c>
      <c r="AK3817" s="115">
        <v>15</v>
      </c>
      <c r="AL3817" s="115" t="s">
        <v>1842</v>
      </c>
      <c r="AM3817" s="115" t="s">
        <v>1849</v>
      </c>
      <c r="AN3817" s="115" t="s">
        <v>1677</v>
      </c>
      <c r="AO3817" s="115" t="s">
        <v>380</v>
      </c>
    </row>
    <row r="3818" spans="35:41" ht="13">
      <c r="AI3818" s="115" t="s">
        <v>1415</v>
      </c>
      <c r="AJ3818" t="s">
        <v>2114</v>
      </c>
      <c r="AK3818" s="115">
        <v>15</v>
      </c>
      <c r="AL3818" s="115" t="s">
        <v>28</v>
      </c>
      <c r="AM3818" s="115" t="s">
        <v>1843</v>
      </c>
      <c r="AN3818" s="115" t="s">
        <v>1677</v>
      </c>
      <c r="AO3818" s="115" t="s">
        <v>380</v>
      </c>
    </row>
    <row r="3819" spans="35:41" ht="13">
      <c r="AI3819" s="115" t="s">
        <v>1415</v>
      </c>
      <c r="AJ3819" t="s">
        <v>2114</v>
      </c>
      <c r="AK3819" s="115">
        <v>15</v>
      </c>
      <c r="AL3819" s="115" t="s">
        <v>1842</v>
      </c>
      <c r="AM3819" s="115" t="s">
        <v>1832</v>
      </c>
      <c r="AN3819" s="115" t="s">
        <v>1677</v>
      </c>
      <c r="AO3819" s="115" t="s">
        <v>380</v>
      </c>
    </row>
    <row r="3820" spans="35:41" ht="13">
      <c r="AI3820" s="115" t="s">
        <v>1415</v>
      </c>
      <c r="AJ3820" t="s">
        <v>2114</v>
      </c>
      <c r="AK3820" s="115">
        <v>15</v>
      </c>
      <c r="AL3820" s="115" t="s">
        <v>28</v>
      </c>
      <c r="AM3820" s="115" t="s">
        <v>1846</v>
      </c>
      <c r="AN3820" s="115" t="s">
        <v>1677</v>
      </c>
      <c r="AO3820" s="115" t="s">
        <v>380</v>
      </c>
    </row>
    <row r="3821" spans="35:41" ht="13">
      <c r="AI3821" s="115" t="s">
        <v>1415</v>
      </c>
      <c r="AJ3821" t="s">
        <v>2114</v>
      </c>
      <c r="AK3821" s="115">
        <v>15</v>
      </c>
      <c r="AL3821" s="115" t="s">
        <v>28</v>
      </c>
      <c r="AM3821" s="115" t="s">
        <v>1848</v>
      </c>
      <c r="AN3821" s="115" t="s">
        <v>1677</v>
      </c>
      <c r="AO3821" s="115" t="s">
        <v>380</v>
      </c>
    </row>
    <row r="3822" spans="35:41" ht="13">
      <c r="AI3822" s="115" t="s">
        <v>1415</v>
      </c>
      <c r="AJ3822" t="s">
        <v>2114</v>
      </c>
      <c r="AK3822" s="115">
        <v>15</v>
      </c>
      <c r="AL3822" s="115" t="s">
        <v>28</v>
      </c>
      <c r="AM3822" s="115" t="s">
        <v>1832</v>
      </c>
      <c r="AN3822" s="115" t="s">
        <v>1677</v>
      </c>
      <c r="AO3822" s="115" t="s">
        <v>380</v>
      </c>
    </row>
    <row r="3823" spans="35:41" ht="13">
      <c r="AI3823" s="115" t="s">
        <v>1415</v>
      </c>
      <c r="AJ3823" t="s">
        <v>2114</v>
      </c>
      <c r="AK3823" s="115">
        <v>15</v>
      </c>
      <c r="AL3823" s="115" t="s">
        <v>28</v>
      </c>
      <c r="AM3823" s="115" t="s">
        <v>1850</v>
      </c>
      <c r="AN3823" s="115" t="s">
        <v>1677</v>
      </c>
      <c r="AO3823" s="115" t="s">
        <v>380</v>
      </c>
    </row>
    <row r="3824" spans="35:41" ht="13">
      <c r="AI3824" s="115" t="s">
        <v>1415</v>
      </c>
      <c r="AJ3824" t="s">
        <v>2114</v>
      </c>
      <c r="AK3824" s="115">
        <v>15</v>
      </c>
      <c r="AL3824" s="115" t="s">
        <v>1842</v>
      </c>
      <c r="AM3824" s="115" t="s">
        <v>1846</v>
      </c>
      <c r="AN3824" s="115" t="s">
        <v>1677</v>
      </c>
      <c r="AO3824" s="115" t="s">
        <v>380</v>
      </c>
    </row>
    <row r="3825" spans="35:41" ht="13">
      <c r="AI3825" s="115" t="s">
        <v>1415</v>
      </c>
      <c r="AJ3825" t="s">
        <v>2114</v>
      </c>
      <c r="AK3825" s="115">
        <v>15</v>
      </c>
      <c r="AL3825" s="115" t="s">
        <v>1842</v>
      </c>
      <c r="AM3825" s="115" t="s">
        <v>1850</v>
      </c>
      <c r="AN3825" s="115" t="s">
        <v>1677</v>
      </c>
      <c r="AO3825" s="115" t="s">
        <v>380</v>
      </c>
    </row>
    <row r="3826" spans="35:41" ht="13">
      <c r="AI3826" s="115" t="s">
        <v>1415</v>
      </c>
      <c r="AJ3826" t="s">
        <v>2114</v>
      </c>
      <c r="AK3826" s="115">
        <v>15</v>
      </c>
      <c r="AL3826" s="115" t="s">
        <v>1842</v>
      </c>
      <c r="AM3826" s="115" t="s">
        <v>1848</v>
      </c>
      <c r="AN3826" s="115" t="s">
        <v>1677</v>
      </c>
      <c r="AO3826" s="115" t="s">
        <v>380</v>
      </c>
    </row>
    <row r="3827" spans="35:41" ht="13">
      <c r="AI3827" s="115" t="s">
        <v>1415</v>
      </c>
      <c r="AJ3827" t="s">
        <v>2114</v>
      </c>
      <c r="AK3827" s="115">
        <v>15</v>
      </c>
      <c r="AL3827" s="115" t="s">
        <v>28</v>
      </c>
      <c r="AM3827" s="115" t="s">
        <v>1846</v>
      </c>
      <c r="AN3827" s="115" t="s">
        <v>1677</v>
      </c>
      <c r="AO3827" s="115" t="s">
        <v>360</v>
      </c>
    </row>
    <row r="3828" spans="35:41" ht="13">
      <c r="AI3828" s="115" t="s">
        <v>1415</v>
      </c>
      <c r="AJ3828" t="s">
        <v>2114</v>
      </c>
      <c r="AK3828" s="115">
        <v>15</v>
      </c>
      <c r="AL3828" s="115" t="s">
        <v>28</v>
      </c>
      <c r="AM3828" s="115" t="s">
        <v>1850</v>
      </c>
      <c r="AN3828" s="115" t="s">
        <v>1677</v>
      </c>
      <c r="AO3828" s="115" t="s">
        <v>360</v>
      </c>
    </row>
    <row r="3829" spans="35:41" ht="13">
      <c r="AI3829" s="115" t="s">
        <v>1415</v>
      </c>
      <c r="AJ3829" t="s">
        <v>2114</v>
      </c>
      <c r="AK3829" s="115">
        <v>15</v>
      </c>
      <c r="AL3829" s="115" t="s">
        <v>28</v>
      </c>
      <c r="AM3829" s="115" t="s">
        <v>1843</v>
      </c>
      <c r="AN3829" s="115" t="s">
        <v>1677</v>
      </c>
      <c r="AO3829" s="115" t="s">
        <v>360</v>
      </c>
    </row>
    <row r="3830" spans="35:41" ht="13">
      <c r="AI3830" s="115" t="s">
        <v>1415</v>
      </c>
      <c r="AJ3830" t="s">
        <v>2114</v>
      </c>
      <c r="AK3830" s="115">
        <v>15</v>
      </c>
      <c r="AL3830" s="115" t="s">
        <v>28</v>
      </c>
      <c r="AM3830" s="115" t="s">
        <v>1848</v>
      </c>
      <c r="AN3830" s="115" t="s">
        <v>1677</v>
      </c>
      <c r="AO3830" s="115" t="s">
        <v>360</v>
      </c>
    </row>
    <row r="3831" spans="35:41" ht="13">
      <c r="AI3831" s="115" t="s">
        <v>1415</v>
      </c>
      <c r="AJ3831" t="s">
        <v>2114</v>
      </c>
      <c r="AK3831" s="115">
        <v>15</v>
      </c>
      <c r="AL3831" s="115" t="s">
        <v>28</v>
      </c>
      <c r="AM3831" s="115" t="s">
        <v>1832</v>
      </c>
      <c r="AN3831" s="115" t="s">
        <v>1677</v>
      </c>
      <c r="AO3831" s="115" t="s">
        <v>360</v>
      </c>
    </row>
    <row r="3832" spans="35:41" ht="13">
      <c r="AI3832" s="115" t="s">
        <v>1415</v>
      </c>
      <c r="AJ3832" t="s">
        <v>2114</v>
      </c>
      <c r="AK3832" s="115">
        <v>15</v>
      </c>
      <c r="AL3832" s="115" t="s">
        <v>28</v>
      </c>
      <c r="AM3832" s="115" t="s">
        <v>1849</v>
      </c>
      <c r="AN3832" s="115" t="s">
        <v>1677</v>
      </c>
      <c r="AO3832" s="115" t="s">
        <v>360</v>
      </c>
    </row>
    <row r="3833" spans="35:41" ht="13">
      <c r="AI3833" s="115" t="s">
        <v>1415</v>
      </c>
      <c r="AJ3833" t="s">
        <v>2114</v>
      </c>
      <c r="AK3833" s="115">
        <v>15</v>
      </c>
      <c r="AL3833" s="115" t="s">
        <v>1842</v>
      </c>
      <c r="AM3833" s="115" t="s">
        <v>1850</v>
      </c>
      <c r="AN3833" s="115" t="s">
        <v>1677</v>
      </c>
      <c r="AO3833" s="115" t="s">
        <v>372</v>
      </c>
    </row>
    <row r="3834" spans="35:41" ht="13">
      <c r="AI3834" s="115" t="s">
        <v>1415</v>
      </c>
      <c r="AJ3834" t="s">
        <v>2114</v>
      </c>
      <c r="AK3834" s="115">
        <v>15</v>
      </c>
      <c r="AL3834" s="115" t="s">
        <v>1842</v>
      </c>
      <c r="AM3834" s="115" t="s">
        <v>1832</v>
      </c>
      <c r="AN3834" s="115" t="s">
        <v>1677</v>
      </c>
      <c r="AO3834" s="115" t="s">
        <v>372</v>
      </c>
    </row>
    <row r="3835" spans="35:41" ht="13">
      <c r="AI3835" s="115" t="s">
        <v>1415</v>
      </c>
      <c r="AJ3835" t="s">
        <v>2114</v>
      </c>
      <c r="AK3835" s="115">
        <v>15</v>
      </c>
      <c r="AL3835" s="115" t="s">
        <v>28</v>
      </c>
      <c r="AM3835" s="115" t="s">
        <v>1848</v>
      </c>
      <c r="AN3835" s="115" t="s">
        <v>1677</v>
      </c>
      <c r="AO3835" s="115" t="s">
        <v>372</v>
      </c>
    </row>
    <row r="3836" spans="35:41" ht="13">
      <c r="AI3836" s="115" t="s">
        <v>1415</v>
      </c>
      <c r="AJ3836" t="s">
        <v>2114</v>
      </c>
      <c r="AK3836" s="115">
        <v>15</v>
      </c>
      <c r="AL3836" s="115" t="s">
        <v>28</v>
      </c>
      <c r="AM3836" s="115" t="s">
        <v>1849</v>
      </c>
      <c r="AN3836" s="115" t="s">
        <v>1677</v>
      </c>
      <c r="AO3836" s="115" t="s">
        <v>372</v>
      </c>
    </row>
    <row r="3837" spans="35:41" ht="13">
      <c r="AI3837" s="115" t="s">
        <v>1415</v>
      </c>
      <c r="AJ3837" t="s">
        <v>2114</v>
      </c>
      <c r="AK3837" s="115">
        <v>15</v>
      </c>
      <c r="AL3837" s="115" t="s">
        <v>28</v>
      </c>
      <c r="AM3837" s="115" t="s">
        <v>1850</v>
      </c>
      <c r="AN3837" s="115" t="s">
        <v>1677</v>
      </c>
      <c r="AO3837" s="115" t="s">
        <v>372</v>
      </c>
    </row>
    <row r="3838" spans="35:41" ht="13">
      <c r="AI3838" s="115" t="s">
        <v>1415</v>
      </c>
      <c r="AJ3838" t="s">
        <v>2114</v>
      </c>
      <c r="AK3838" s="115">
        <v>15</v>
      </c>
      <c r="AL3838" s="115" t="s">
        <v>1842</v>
      </c>
      <c r="AM3838" s="115" t="s">
        <v>1846</v>
      </c>
      <c r="AN3838" s="115" t="s">
        <v>1677</v>
      </c>
      <c r="AO3838" s="115" t="s">
        <v>372</v>
      </c>
    </row>
    <row r="3839" spans="35:41" ht="13">
      <c r="AI3839" s="115" t="s">
        <v>1415</v>
      </c>
      <c r="AJ3839" t="s">
        <v>2114</v>
      </c>
      <c r="AK3839" s="115">
        <v>15</v>
      </c>
      <c r="AL3839" s="115" t="s">
        <v>28</v>
      </c>
      <c r="AM3839" s="115" t="s">
        <v>1832</v>
      </c>
      <c r="AN3839" s="115" t="s">
        <v>1677</v>
      </c>
      <c r="AO3839" s="115" t="s">
        <v>372</v>
      </c>
    </row>
    <row r="3840" spans="35:41" ht="13">
      <c r="AI3840" s="115" t="s">
        <v>1415</v>
      </c>
      <c r="AJ3840" t="s">
        <v>2114</v>
      </c>
      <c r="AK3840" s="115">
        <v>15</v>
      </c>
      <c r="AL3840" s="115" t="s">
        <v>28</v>
      </c>
      <c r="AM3840" s="115" t="s">
        <v>1843</v>
      </c>
      <c r="AN3840" s="115" t="s">
        <v>1677</v>
      </c>
      <c r="AO3840" s="115" t="s">
        <v>372</v>
      </c>
    </row>
    <row r="3841" spans="35:41" ht="13">
      <c r="AI3841" s="115" t="s">
        <v>1415</v>
      </c>
      <c r="AJ3841" t="s">
        <v>2114</v>
      </c>
      <c r="AK3841" s="115">
        <v>15</v>
      </c>
      <c r="AL3841" s="115" t="s">
        <v>1842</v>
      </c>
      <c r="AM3841" s="115" t="s">
        <v>1843</v>
      </c>
      <c r="AN3841" s="115" t="s">
        <v>1677</v>
      </c>
      <c r="AO3841" s="115" t="s">
        <v>372</v>
      </c>
    </row>
    <row r="3842" spans="35:41" ht="13">
      <c r="AI3842" s="115" t="s">
        <v>1415</v>
      </c>
      <c r="AJ3842" t="s">
        <v>2114</v>
      </c>
      <c r="AK3842" s="115">
        <v>15</v>
      </c>
      <c r="AL3842" s="115" t="s">
        <v>1842</v>
      </c>
      <c r="AM3842" s="115" t="s">
        <v>1849</v>
      </c>
      <c r="AN3842" s="115" t="s">
        <v>1677</v>
      </c>
      <c r="AO3842" s="115" t="s">
        <v>372</v>
      </c>
    </row>
    <row r="3843" spans="35:41" ht="13">
      <c r="AI3843" s="115" t="s">
        <v>1415</v>
      </c>
      <c r="AJ3843" t="s">
        <v>2114</v>
      </c>
      <c r="AK3843" s="115">
        <v>15</v>
      </c>
      <c r="AL3843" s="115" t="s">
        <v>28</v>
      </c>
      <c r="AM3843" s="115" t="s">
        <v>1846</v>
      </c>
      <c r="AN3843" s="115" t="s">
        <v>1677</v>
      </c>
      <c r="AO3843" s="115" t="s">
        <v>372</v>
      </c>
    </row>
    <row r="3844" spans="35:41" ht="13">
      <c r="AI3844" s="115" t="s">
        <v>1415</v>
      </c>
      <c r="AJ3844" t="s">
        <v>2114</v>
      </c>
      <c r="AK3844" s="115">
        <v>15</v>
      </c>
      <c r="AL3844" s="115" t="s">
        <v>1842</v>
      </c>
      <c r="AM3844" s="115" t="s">
        <v>1848</v>
      </c>
      <c r="AN3844" s="115" t="s">
        <v>1677</v>
      </c>
      <c r="AO3844" s="115" t="s">
        <v>372</v>
      </c>
    </row>
    <row r="3845" spans="35:41" ht="13">
      <c r="AI3845" s="115" t="s">
        <v>1415</v>
      </c>
      <c r="AJ3845" t="s">
        <v>2114</v>
      </c>
      <c r="AK3845" s="115">
        <v>15</v>
      </c>
      <c r="AL3845" s="115" t="s">
        <v>28</v>
      </c>
      <c r="AM3845" s="115" t="s">
        <v>1843</v>
      </c>
      <c r="AN3845" s="115" t="s">
        <v>1677</v>
      </c>
      <c r="AO3845" s="115" t="s">
        <v>386</v>
      </c>
    </row>
    <row r="3846" spans="35:41" ht="13">
      <c r="AI3846" s="115" t="s">
        <v>1415</v>
      </c>
      <c r="AJ3846" t="s">
        <v>2114</v>
      </c>
      <c r="AK3846" s="115">
        <v>15</v>
      </c>
      <c r="AL3846" s="115" t="s">
        <v>1842</v>
      </c>
      <c r="AM3846" s="115" t="s">
        <v>1843</v>
      </c>
      <c r="AN3846" s="115" t="s">
        <v>1677</v>
      </c>
      <c r="AO3846" s="115" t="s">
        <v>386</v>
      </c>
    </row>
    <row r="3847" spans="35:41" ht="13">
      <c r="AI3847" s="115" t="s">
        <v>1415</v>
      </c>
      <c r="AJ3847" t="s">
        <v>2114</v>
      </c>
      <c r="AK3847" s="115">
        <v>15</v>
      </c>
      <c r="AL3847" s="115" t="s">
        <v>28</v>
      </c>
      <c r="AM3847" s="115" t="s">
        <v>1846</v>
      </c>
      <c r="AN3847" s="115" t="s">
        <v>1677</v>
      </c>
      <c r="AO3847" s="115" t="s">
        <v>386</v>
      </c>
    </row>
    <row r="3848" spans="35:41" ht="13">
      <c r="AI3848" s="115" t="s">
        <v>1415</v>
      </c>
      <c r="AJ3848" t="s">
        <v>2114</v>
      </c>
      <c r="AK3848" s="115">
        <v>15</v>
      </c>
      <c r="AL3848" s="115" t="s">
        <v>1842</v>
      </c>
      <c r="AM3848" s="115" t="s">
        <v>1846</v>
      </c>
      <c r="AN3848" s="115" t="s">
        <v>1677</v>
      </c>
      <c r="AO3848" s="115" t="s">
        <v>386</v>
      </c>
    </row>
    <row r="3849" spans="35:41" ht="13">
      <c r="AI3849" s="115" t="s">
        <v>1415</v>
      </c>
      <c r="AJ3849" t="s">
        <v>2114</v>
      </c>
      <c r="AK3849" s="115">
        <v>15</v>
      </c>
      <c r="AL3849" s="115" t="s">
        <v>1842</v>
      </c>
      <c r="AM3849" s="115" t="s">
        <v>1846</v>
      </c>
      <c r="AN3849" s="115" t="s">
        <v>1678</v>
      </c>
      <c r="AO3849" s="115" t="s">
        <v>1645</v>
      </c>
    </row>
    <row r="3850" spans="35:41" ht="13">
      <c r="AI3850" s="115" t="s">
        <v>1415</v>
      </c>
      <c r="AJ3850" t="s">
        <v>2114</v>
      </c>
      <c r="AK3850" s="115">
        <v>15</v>
      </c>
      <c r="AL3850" s="115" t="s">
        <v>28</v>
      </c>
      <c r="AM3850" s="115" t="s">
        <v>1849</v>
      </c>
      <c r="AN3850" s="115" t="s">
        <v>1678</v>
      </c>
      <c r="AO3850" s="115" t="s">
        <v>1645</v>
      </c>
    </row>
    <row r="3851" spans="35:41" ht="13">
      <c r="AI3851" s="115" t="s">
        <v>1415</v>
      </c>
      <c r="AJ3851" t="s">
        <v>2114</v>
      </c>
      <c r="AK3851" s="115">
        <v>15</v>
      </c>
      <c r="AL3851" s="115" t="s">
        <v>28</v>
      </c>
      <c r="AM3851" s="115" t="s">
        <v>1848</v>
      </c>
      <c r="AN3851" s="115" t="s">
        <v>1678</v>
      </c>
      <c r="AO3851" s="115" t="s">
        <v>1645</v>
      </c>
    </row>
    <row r="3852" spans="35:41" ht="13">
      <c r="AI3852" s="115" t="s">
        <v>1415</v>
      </c>
      <c r="AJ3852" t="s">
        <v>2114</v>
      </c>
      <c r="AK3852" s="115">
        <v>15</v>
      </c>
      <c r="AL3852" s="115" t="s">
        <v>28</v>
      </c>
      <c r="AM3852" s="115" t="s">
        <v>1850</v>
      </c>
      <c r="AN3852" s="115" t="s">
        <v>1678</v>
      </c>
      <c r="AO3852" s="115" t="s">
        <v>1645</v>
      </c>
    </row>
    <row r="3853" spans="35:41" ht="13">
      <c r="AI3853" s="115" t="s">
        <v>1415</v>
      </c>
      <c r="AJ3853" t="s">
        <v>2114</v>
      </c>
      <c r="AK3853" s="115">
        <v>15</v>
      </c>
      <c r="AL3853" s="115" t="s">
        <v>28</v>
      </c>
      <c r="AM3853" s="115" t="s">
        <v>1832</v>
      </c>
      <c r="AN3853" s="115" t="s">
        <v>1678</v>
      </c>
      <c r="AO3853" s="115" t="s">
        <v>1645</v>
      </c>
    </row>
    <row r="3854" spans="35:41" ht="13">
      <c r="AI3854" s="115" t="s">
        <v>1415</v>
      </c>
      <c r="AJ3854" t="s">
        <v>2114</v>
      </c>
      <c r="AK3854" s="115">
        <v>15</v>
      </c>
      <c r="AL3854" s="115" t="s">
        <v>28</v>
      </c>
      <c r="AM3854" s="115" t="s">
        <v>1846</v>
      </c>
      <c r="AN3854" s="115" t="s">
        <v>1678</v>
      </c>
      <c r="AO3854" s="115" t="s">
        <v>1645</v>
      </c>
    </row>
    <row r="3855" spans="35:41" ht="13">
      <c r="AI3855" s="115" t="s">
        <v>1415</v>
      </c>
      <c r="AJ3855" t="s">
        <v>2114</v>
      </c>
      <c r="AK3855" s="115">
        <v>15</v>
      </c>
      <c r="AL3855" s="115" t="s">
        <v>1842</v>
      </c>
      <c r="AM3855" s="115" t="s">
        <v>1832</v>
      </c>
      <c r="AN3855" s="115" t="s">
        <v>1678</v>
      </c>
      <c r="AO3855" s="115" t="s">
        <v>1645</v>
      </c>
    </row>
    <row r="3856" spans="35:41" ht="13">
      <c r="AI3856" s="115" t="s">
        <v>1415</v>
      </c>
      <c r="AJ3856" t="s">
        <v>2114</v>
      </c>
      <c r="AK3856" s="115">
        <v>15</v>
      </c>
      <c r="AL3856" s="115" t="s">
        <v>1842</v>
      </c>
      <c r="AM3856" s="115" t="s">
        <v>1850</v>
      </c>
      <c r="AN3856" s="115" t="s">
        <v>1678</v>
      </c>
      <c r="AO3856" s="115" t="s">
        <v>1645</v>
      </c>
    </row>
    <row r="3857" spans="35:41" ht="13">
      <c r="AI3857" s="115" t="s">
        <v>1415</v>
      </c>
      <c r="AJ3857" t="s">
        <v>2114</v>
      </c>
      <c r="AK3857" s="115">
        <v>15</v>
      </c>
      <c r="AL3857" s="115" t="s">
        <v>28</v>
      </c>
      <c r="AM3857" s="115" t="s">
        <v>1843</v>
      </c>
      <c r="AN3857" s="115" t="s">
        <v>1678</v>
      </c>
      <c r="AO3857" s="115" t="s">
        <v>1645</v>
      </c>
    </row>
    <row r="3858" spans="35:41" ht="13">
      <c r="AI3858" s="115" t="s">
        <v>1415</v>
      </c>
      <c r="AJ3858" t="s">
        <v>2114</v>
      </c>
      <c r="AK3858" s="115">
        <v>15</v>
      </c>
      <c r="AL3858" s="115" t="s">
        <v>1842</v>
      </c>
      <c r="AM3858" s="115" t="s">
        <v>1848</v>
      </c>
      <c r="AN3858" s="115" t="s">
        <v>1678</v>
      </c>
      <c r="AO3858" s="115" t="s">
        <v>1645</v>
      </c>
    </row>
    <row r="3859" spans="35:41" ht="13">
      <c r="AI3859" s="115" t="s">
        <v>1415</v>
      </c>
      <c r="AJ3859" t="s">
        <v>2114</v>
      </c>
      <c r="AK3859" s="115">
        <v>15</v>
      </c>
      <c r="AL3859" s="115" t="s">
        <v>1842</v>
      </c>
      <c r="AM3859" s="115" t="s">
        <v>1843</v>
      </c>
      <c r="AN3859" s="115" t="s">
        <v>1678</v>
      </c>
      <c r="AO3859" s="115" t="s">
        <v>1645</v>
      </c>
    </row>
    <row r="3860" spans="35:41" ht="13">
      <c r="AI3860" s="115" t="s">
        <v>1415</v>
      </c>
      <c r="AJ3860" t="s">
        <v>2114</v>
      </c>
      <c r="AK3860" s="115">
        <v>15</v>
      </c>
      <c r="AL3860" s="115" t="s">
        <v>1842</v>
      </c>
      <c r="AM3860" s="115" t="s">
        <v>1849</v>
      </c>
      <c r="AN3860" s="115" t="s">
        <v>1678</v>
      </c>
      <c r="AO3860" s="115" t="s">
        <v>1645</v>
      </c>
    </row>
    <row r="3861" spans="35:41" ht="13">
      <c r="AI3861" s="115" t="s">
        <v>1415</v>
      </c>
      <c r="AJ3861" t="s">
        <v>2114</v>
      </c>
      <c r="AK3861" s="115">
        <v>15</v>
      </c>
      <c r="AL3861" s="115" t="s">
        <v>1842</v>
      </c>
      <c r="AM3861" s="115" t="s">
        <v>1848</v>
      </c>
      <c r="AN3861" s="115" t="s">
        <v>1678</v>
      </c>
      <c r="AO3861" s="115" t="s">
        <v>380</v>
      </c>
    </row>
    <row r="3862" spans="35:41" ht="13">
      <c r="AI3862" s="115" t="s">
        <v>1415</v>
      </c>
      <c r="AJ3862" t="s">
        <v>2114</v>
      </c>
      <c r="AK3862" s="115">
        <v>15</v>
      </c>
      <c r="AL3862" s="115" t="s">
        <v>1842</v>
      </c>
      <c r="AM3862" s="115" t="s">
        <v>1846</v>
      </c>
      <c r="AN3862" s="115" t="s">
        <v>1678</v>
      </c>
      <c r="AO3862" s="115" t="s">
        <v>380</v>
      </c>
    </row>
    <row r="3863" spans="35:41" ht="13">
      <c r="AI3863" s="115" t="s">
        <v>1415</v>
      </c>
      <c r="AJ3863" t="s">
        <v>2114</v>
      </c>
      <c r="AK3863" s="115">
        <v>15</v>
      </c>
      <c r="AL3863" s="115" t="s">
        <v>28</v>
      </c>
      <c r="AM3863" s="115" t="s">
        <v>1849</v>
      </c>
      <c r="AN3863" s="115" t="s">
        <v>1678</v>
      </c>
      <c r="AO3863" s="115" t="s">
        <v>380</v>
      </c>
    </row>
    <row r="3864" spans="35:41" ht="13">
      <c r="AI3864" s="115" t="s">
        <v>1415</v>
      </c>
      <c r="AJ3864" t="s">
        <v>2114</v>
      </c>
      <c r="AK3864" s="115">
        <v>15</v>
      </c>
      <c r="AL3864" s="115" t="s">
        <v>28</v>
      </c>
      <c r="AM3864" s="115" t="s">
        <v>1850</v>
      </c>
      <c r="AN3864" s="115" t="s">
        <v>1678</v>
      </c>
      <c r="AO3864" s="115" t="s">
        <v>380</v>
      </c>
    </row>
    <row r="3865" spans="35:41" ht="13">
      <c r="AI3865" s="115" t="s">
        <v>1415</v>
      </c>
      <c r="AJ3865" t="s">
        <v>2114</v>
      </c>
      <c r="AK3865" s="115">
        <v>15</v>
      </c>
      <c r="AL3865" s="115" t="s">
        <v>28</v>
      </c>
      <c r="AM3865" s="115" t="s">
        <v>1843</v>
      </c>
      <c r="AN3865" s="115" t="s">
        <v>1678</v>
      </c>
      <c r="AO3865" s="115" t="s">
        <v>380</v>
      </c>
    </row>
    <row r="3866" spans="35:41" ht="13">
      <c r="AI3866" s="115" t="s">
        <v>1415</v>
      </c>
      <c r="AJ3866" t="s">
        <v>2114</v>
      </c>
      <c r="AK3866" s="115">
        <v>15</v>
      </c>
      <c r="AL3866" s="115" t="s">
        <v>28</v>
      </c>
      <c r="AM3866" s="115" t="s">
        <v>1832</v>
      </c>
      <c r="AN3866" s="115" t="s">
        <v>1678</v>
      </c>
      <c r="AO3866" s="115" t="s">
        <v>380</v>
      </c>
    </row>
    <row r="3867" spans="35:41" ht="13">
      <c r="AI3867" s="115" t="s">
        <v>1415</v>
      </c>
      <c r="AJ3867" t="s">
        <v>2114</v>
      </c>
      <c r="AK3867" s="115">
        <v>15</v>
      </c>
      <c r="AL3867" s="115" t="s">
        <v>1842</v>
      </c>
      <c r="AM3867" s="115" t="s">
        <v>1843</v>
      </c>
      <c r="AN3867" s="115" t="s">
        <v>1678</v>
      </c>
      <c r="AO3867" s="115" t="s">
        <v>380</v>
      </c>
    </row>
    <row r="3868" spans="35:41" ht="13">
      <c r="AI3868" s="115" t="s">
        <v>1415</v>
      </c>
      <c r="AJ3868" t="s">
        <v>2114</v>
      </c>
      <c r="AK3868" s="115">
        <v>15</v>
      </c>
      <c r="AL3868" s="115" t="s">
        <v>28</v>
      </c>
      <c r="AM3868" s="115" t="s">
        <v>1846</v>
      </c>
      <c r="AN3868" s="115" t="s">
        <v>1678</v>
      </c>
      <c r="AO3868" s="115" t="s">
        <v>380</v>
      </c>
    </row>
    <row r="3869" spans="35:41" ht="13">
      <c r="AI3869" s="115" t="s">
        <v>1415</v>
      </c>
      <c r="AJ3869" t="s">
        <v>2114</v>
      </c>
      <c r="AK3869" s="115">
        <v>15</v>
      </c>
      <c r="AL3869" s="115" t="s">
        <v>1842</v>
      </c>
      <c r="AM3869" s="115" t="s">
        <v>1832</v>
      </c>
      <c r="AN3869" s="115" t="s">
        <v>1678</v>
      </c>
      <c r="AO3869" s="115" t="s">
        <v>380</v>
      </c>
    </row>
    <row r="3870" spans="35:41" ht="13">
      <c r="AI3870" s="115" t="s">
        <v>1415</v>
      </c>
      <c r="AJ3870" t="s">
        <v>2114</v>
      </c>
      <c r="AK3870" s="115">
        <v>15</v>
      </c>
      <c r="AL3870" s="115" t="s">
        <v>1842</v>
      </c>
      <c r="AM3870" s="115" t="s">
        <v>1849</v>
      </c>
      <c r="AN3870" s="115" t="s">
        <v>1678</v>
      </c>
      <c r="AO3870" s="115" t="s">
        <v>380</v>
      </c>
    </row>
    <row r="3871" spans="35:41" ht="13">
      <c r="AI3871" s="115" t="s">
        <v>1415</v>
      </c>
      <c r="AJ3871" t="s">
        <v>2114</v>
      </c>
      <c r="AK3871" s="115">
        <v>15</v>
      </c>
      <c r="AL3871" s="115" t="s">
        <v>28</v>
      </c>
      <c r="AM3871" s="115" t="s">
        <v>1848</v>
      </c>
      <c r="AN3871" s="115" t="s">
        <v>1678</v>
      </c>
      <c r="AO3871" s="115" t="s">
        <v>380</v>
      </c>
    </row>
    <row r="3872" spans="35:41" ht="13">
      <c r="AI3872" s="115" t="s">
        <v>1415</v>
      </c>
      <c r="AJ3872" t="s">
        <v>2114</v>
      </c>
      <c r="AK3872" s="115">
        <v>15</v>
      </c>
      <c r="AL3872" s="115" t="s">
        <v>1842</v>
      </c>
      <c r="AM3872" s="115" t="s">
        <v>1850</v>
      </c>
      <c r="AN3872" s="115" t="s">
        <v>1678</v>
      </c>
      <c r="AO3872" s="115" t="s">
        <v>380</v>
      </c>
    </row>
    <row r="3873" spans="35:41" ht="13">
      <c r="AI3873" s="115" t="s">
        <v>1415</v>
      </c>
      <c r="AJ3873" t="s">
        <v>2114</v>
      </c>
      <c r="AK3873" s="115">
        <v>15</v>
      </c>
      <c r="AL3873" s="115" t="s">
        <v>1842</v>
      </c>
      <c r="AM3873" s="115" t="s">
        <v>1846</v>
      </c>
      <c r="AN3873" s="115" t="s">
        <v>1678</v>
      </c>
      <c r="AO3873" s="115" t="s">
        <v>386</v>
      </c>
    </row>
    <row r="3874" spans="35:41" ht="13">
      <c r="AI3874" s="115" t="s">
        <v>1415</v>
      </c>
      <c r="AJ3874" t="s">
        <v>2114</v>
      </c>
      <c r="AK3874" s="115">
        <v>15</v>
      </c>
      <c r="AL3874" s="115" t="s">
        <v>1842</v>
      </c>
      <c r="AM3874" s="115" t="s">
        <v>1843</v>
      </c>
      <c r="AN3874" s="115" t="s">
        <v>1678</v>
      </c>
      <c r="AO3874" s="115" t="s">
        <v>386</v>
      </c>
    </row>
    <row r="3875" spans="35:41" ht="13">
      <c r="AI3875" s="115" t="s">
        <v>1415</v>
      </c>
      <c r="AJ3875" t="s">
        <v>2114</v>
      </c>
      <c r="AK3875" s="115">
        <v>15</v>
      </c>
      <c r="AL3875" s="115" t="s">
        <v>28</v>
      </c>
      <c r="AM3875" s="115" t="s">
        <v>1846</v>
      </c>
      <c r="AN3875" s="115" t="s">
        <v>1678</v>
      </c>
      <c r="AO3875" s="115" t="s">
        <v>386</v>
      </c>
    </row>
    <row r="3876" spans="35:41" ht="13">
      <c r="AI3876" s="115" t="s">
        <v>1415</v>
      </c>
      <c r="AJ3876" t="s">
        <v>2114</v>
      </c>
      <c r="AK3876" s="115">
        <v>15</v>
      </c>
      <c r="AL3876" s="115" t="s">
        <v>28</v>
      </c>
      <c r="AM3876" s="115" t="s">
        <v>1843</v>
      </c>
      <c r="AN3876" s="115" t="s">
        <v>1678</v>
      </c>
      <c r="AO3876" s="115" t="s">
        <v>386</v>
      </c>
    </row>
    <row r="3877" spans="35:41" ht="13">
      <c r="AI3877" s="115" t="s">
        <v>1415</v>
      </c>
      <c r="AJ3877" t="s">
        <v>2114</v>
      </c>
      <c r="AK3877" s="115">
        <v>15</v>
      </c>
      <c r="AL3877" s="115" t="s">
        <v>28</v>
      </c>
      <c r="AM3877" s="115" t="s">
        <v>1846</v>
      </c>
      <c r="AN3877" s="115" t="s">
        <v>1567</v>
      </c>
      <c r="AO3877" s="115" t="s">
        <v>1639</v>
      </c>
    </row>
    <row r="3878" spans="35:41" ht="13">
      <c r="AI3878" s="115" t="s">
        <v>1415</v>
      </c>
      <c r="AJ3878" t="s">
        <v>2114</v>
      </c>
      <c r="AK3878" s="115">
        <v>15</v>
      </c>
      <c r="AL3878" s="115" t="s">
        <v>28</v>
      </c>
      <c r="AM3878" s="115" t="s">
        <v>1843</v>
      </c>
      <c r="AN3878" s="115" t="s">
        <v>1567</v>
      </c>
      <c r="AO3878" s="115" t="s">
        <v>1639</v>
      </c>
    </row>
    <row r="3879" spans="35:41" ht="13">
      <c r="AI3879" s="115" t="s">
        <v>1415</v>
      </c>
      <c r="AJ3879" t="s">
        <v>2114</v>
      </c>
      <c r="AK3879" s="115">
        <v>15</v>
      </c>
      <c r="AL3879" s="115" t="s">
        <v>28</v>
      </c>
      <c r="AM3879" s="115" t="s">
        <v>1843</v>
      </c>
      <c r="AN3879" s="115" t="s">
        <v>404</v>
      </c>
      <c r="AO3879" s="115" t="s">
        <v>386</v>
      </c>
    </row>
    <row r="3880" spans="35:41" ht="13">
      <c r="AI3880" s="115" t="s">
        <v>1415</v>
      </c>
      <c r="AJ3880" t="s">
        <v>2114</v>
      </c>
      <c r="AK3880" s="115">
        <v>15</v>
      </c>
      <c r="AL3880" s="115" t="s">
        <v>28</v>
      </c>
      <c r="AM3880" s="115" t="s">
        <v>1846</v>
      </c>
      <c r="AN3880" s="115" t="s">
        <v>404</v>
      </c>
      <c r="AO3880" s="115" t="s">
        <v>386</v>
      </c>
    </row>
    <row r="3881" spans="35:41" ht="13">
      <c r="AI3881" s="115" t="s">
        <v>1415</v>
      </c>
      <c r="AJ3881" t="s">
        <v>2114</v>
      </c>
      <c r="AK3881" s="115">
        <v>15</v>
      </c>
      <c r="AL3881" s="115" t="s">
        <v>28</v>
      </c>
      <c r="AM3881" s="115" t="s">
        <v>1843</v>
      </c>
      <c r="AN3881" s="115" t="s">
        <v>1568</v>
      </c>
      <c r="AO3881" s="115" t="s">
        <v>1639</v>
      </c>
    </row>
    <row r="3882" spans="35:41" ht="13">
      <c r="AI3882" s="115" t="s">
        <v>1415</v>
      </c>
      <c r="AJ3882" t="s">
        <v>2114</v>
      </c>
      <c r="AK3882" s="115">
        <v>15</v>
      </c>
      <c r="AL3882" s="115" t="s">
        <v>28</v>
      </c>
      <c r="AM3882" s="115" t="s">
        <v>1846</v>
      </c>
      <c r="AN3882" s="115" t="s">
        <v>1568</v>
      </c>
      <c r="AO3882" s="115" t="s">
        <v>1639</v>
      </c>
    </row>
    <row r="3883" spans="35:41" ht="13">
      <c r="AI3883" s="115" t="s">
        <v>1415</v>
      </c>
      <c r="AJ3883" t="s">
        <v>2114</v>
      </c>
      <c r="AK3883" s="115">
        <v>15</v>
      </c>
      <c r="AL3883" s="115" t="s">
        <v>28</v>
      </c>
      <c r="AM3883" s="115" t="s">
        <v>1832</v>
      </c>
      <c r="AN3883" s="115" t="s">
        <v>1625</v>
      </c>
      <c r="AO3883" s="115" t="s">
        <v>1274</v>
      </c>
    </row>
    <row r="3884" spans="35:41" ht="13">
      <c r="AI3884" s="115" t="s">
        <v>1415</v>
      </c>
      <c r="AJ3884" t="s">
        <v>2114</v>
      </c>
      <c r="AK3884" s="115">
        <v>15</v>
      </c>
      <c r="AL3884" s="115" t="s">
        <v>28</v>
      </c>
      <c r="AM3884" s="115" t="s">
        <v>1850</v>
      </c>
      <c r="AN3884" s="115" t="s">
        <v>1625</v>
      </c>
      <c r="AO3884" s="115" t="s">
        <v>1274</v>
      </c>
    </row>
    <row r="3885" spans="35:41" ht="13">
      <c r="AI3885" s="115" t="s">
        <v>1415</v>
      </c>
      <c r="AJ3885" t="s">
        <v>2114</v>
      </c>
      <c r="AK3885" s="115">
        <v>15</v>
      </c>
      <c r="AL3885" s="115" t="s">
        <v>28</v>
      </c>
      <c r="AM3885" s="115" t="s">
        <v>1848</v>
      </c>
      <c r="AN3885" s="115" t="s">
        <v>1625</v>
      </c>
      <c r="AO3885" s="115" t="s">
        <v>1274</v>
      </c>
    </row>
    <row r="3886" spans="35:41" ht="13">
      <c r="AI3886" s="115" t="s">
        <v>1415</v>
      </c>
      <c r="AJ3886" t="s">
        <v>2114</v>
      </c>
      <c r="AK3886" s="115">
        <v>15</v>
      </c>
      <c r="AL3886" s="115" t="s">
        <v>28</v>
      </c>
      <c r="AM3886" s="115" t="s">
        <v>1843</v>
      </c>
      <c r="AN3886" s="115" t="s">
        <v>1625</v>
      </c>
      <c r="AO3886" s="115" t="s">
        <v>1274</v>
      </c>
    </row>
    <row r="3887" spans="35:41" ht="13">
      <c r="AI3887" s="115" t="s">
        <v>1415</v>
      </c>
      <c r="AJ3887" t="s">
        <v>2114</v>
      </c>
      <c r="AK3887" s="115">
        <v>15</v>
      </c>
      <c r="AL3887" s="115" t="s">
        <v>28</v>
      </c>
      <c r="AM3887" s="115" t="s">
        <v>1849</v>
      </c>
      <c r="AN3887" s="115" t="s">
        <v>1625</v>
      </c>
      <c r="AO3887" s="115" t="s">
        <v>1274</v>
      </c>
    </row>
    <row r="3888" spans="35:41" ht="13">
      <c r="AI3888" s="115" t="s">
        <v>1415</v>
      </c>
      <c r="AJ3888" t="s">
        <v>2114</v>
      </c>
      <c r="AK3888" s="115">
        <v>15</v>
      </c>
      <c r="AL3888" s="115" t="s">
        <v>28</v>
      </c>
      <c r="AM3888" s="115" t="s">
        <v>1846</v>
      </c>
      <c r="AN3888" s="115" t="s">
        <v>1625</v>
      </c>
      <c r="AO3888" s="115" t="s">
        <v>1274</v>
      </c>
    </row>
    <row r="3889" spans="35:41" ht="13">
      <c r="AI3889" s="115" t="s">
        <v>1415</v>
      </c>
      <c r="AJ3889" t="s">
        <v>2114</v>
      </c>
      <c r="AK3889" s="115">
        <v>15</v>
      </c>
      <c r="AL3889" s="115" t="s">
        <v>28</v>
      </c>
      <c r="AM3889" s="115" t="s">
        <v>1849</v>
      </c>
      <c r="AN3889" s="115" t="s">
        <v>1625</v>
      </c>
      <c r="AO3889" s="115" t="s">
        <v>379</v>
      </c>
    </row>
    <row r="3890" spans="35:41" ht="13">
      <c r="AI3890" s="115" t="s">
        <v>1415</v>
      </c>
      <c r="AJ3890" t="s">
        <v>2114</v>
      </c>
      <c r="AK3890" s="115">
        <v>15</v>
      </c>
      <c r="AL3890" s="115" t="s">
        <v>28</v>
      </c>
      <c r="AM3890" s="115" t="s">
        <v>1846</v>
      </c>
      <c r="AN3890" s="115" t="s">
        <v>1625</v>
      </c>
      <c r="AO3890" s="115" t="s">
        <v>379</v>
      </c>
    </row>
    <row r="3891" spans="35:41" ht="13">
      <c r="AI3891" s="115" t="s">
        <v>1415</v>
      </c>
      <c r="AJ3891" t="s">
        <v>2114</v>
      </c>
      <c r="AK3891" s="115">
        <v>15</v>
      </c>
      <c r="AL3891" s="115" t="s">
        <v>28</v>
      </c>
      <c r="AM3891" s="115" t="s">
        <v>1850</v>
      </c>
      <c r="AN3891" s="115" t="s">
        <v>1625</v>
      </c>
      <c r="AO3891" s="115" t="s">
        <v>379</v>
      </c>
    </row>
    <row r="3892" spans="35:41" ht="13">
      <c r="AI3892" s="115" t="s">
        <v>1415</v>
      </c>
      <c r="AJ3892" t="s">
        <v>2114</v>
      </c>
      <c r="AK3892" s="115">
        <v>15</v>
      </c>
      <c r="AL3892" s="115" t="s">
        <v>28</v>
      </c>
      <c r="AM3892" s="115" t="s">
        <v>1832</v>
      </c>
      <c r="AN3892" s="115" t="s">
        <v>1625</v>
      </c>
      <c r="AO3892" s="115" t="s">
        <v>379</v>
      </c>
    </row>
    <row r="3893" spans="35:41" ht="13">
      <c r="AI3893" s="115" t="s">
        <v>1415</v>
      </c>
      <c r="AJ3893" t="s">
        <v>2114</v>
      </c>
      <c r="AK3893" s="115">
        <v>15</v>
      </c>
      <c r="AL3893" s="115" t="s">
        <v>28</v>
      </c>
      <c r="AM3893" s="115" t="s">
        <v>1843</v>
      </c>
      <c r="AN3893" s="115" t="s">
        <v>1625</v>
      </c>
      <c r="AO3893" s="115" t="s">
        <v>379</v>
      </c>
    </row>
    <row r="3894" spans="35:41" ht="13">
      <c r="AI3894" s="115" t="s">
        <v>1415</v>
      </c>
      <c r="AJ3894" t="s">
        <v>2114</v>
      </c>
      <c r="AK3894" s="115">
        <v>15</v>
      </c>
      <c r="AL3894" s="115" t="s">
        <v>28</v>
      </c>
      <c r="AM3894" s="115" t="s">
        <v>1848</v>
      </c>
      <c r="AN3894" s="115" t="s">
        <v>1625</v>
      </c>
      <c r="AO3894" s="115" t="s">
        <v>379</v>
      </c>
    </row>
    <row r="3895" spans="35:41" ht="13">
      <c r="AI3895" s="115" t="s">
        <v>1415</v>
      </c>
      <c r="AJ3895" t="s">
        <v>2114</v>
      </c>
      <c r="AK3895" s="115">
        <v>15</v>
      </c>
      <c r="AL3895" s="115" t="s">
        <v>28</v>
      </c>
      <c r="AM3895" s="115" t="s">
        <v>1843</v>
      </c>
      <c r="AN3895" s="115" t="s">
        <v>1625</v>
      </c>
      <c r="AO3895" s="115" t="s">
        <v>1639</v>
      </c>
    </row>
    <row r="3896" spans="35:41" ht="13">
      <c r="AI3896" s="115" t="s">
        <v>1415</v>
      </c>
      <c r="AJ3896" t="s">
        <v>2114</v>
      </c>
      <c r="AK3896" s="115">
        <v>15</v>
      </c>
      <c r="AL3896" s="115" t="s">
        <v>28</v>
      </c>
      <c r="AM3896" s="115" t="s">
        <v>1846</v>
      </c>
      <c r="AN3896" s="115" t="s">
        <v>1625</v>
      </c>
      <c r="AO3896" s="115" t="s">
        <v>1639</v>
      </c>
    </row>
    <row r="3897" spans="35:41" ht="13">
      <c r="AI3897" s="115" t="s">
        <v>1415</v>
      </c>
      <c r="AJ3897" t="s">
        <v>2114</v>
      </c>
      <c r="AK3897" s="115">
        <v>15</v>
      </c>
      <c r="AL3897" s="115" t="s">
        <v>28</v>
      </c>
      <c r="AM3897" s="115" t="s">
        <v>1848</v>
      </c>
      <c r="AN3897" s="115" t="s">
        <v>1625</v>
      </c>
      <c r="AO3897" s="115" t="s">
        <v>380</v>
      </c>
    </row>
    <row r="3898" spans="35:41" ht="13">
      <c r="AI3898" s="115" t="s">
        <v>1415</v>
      </c>
      <c r="AJ3898" t="s">
        <v>2114</v>
      </c>
      <c r="AK3898" s="115">
        <v>15</v>
      </c>
      <c r="AL3898" s="115" t="s">
        <v>28</v>
      </c>
      <c r="AM3898" s="115" t="s">
        <v>1832</v>
      </c>
      <c r="AN3898" s="115" t="s">
        <v>1625</v>
      </c>
      <c r="AO3898" s="115" t="s">
        <v>380</v>
      </c>
    </row>
    <row r="3899" spans="35:41" ht="13">
      <c r="AI3899" s="115" t="s">
        <v>1415</v>
      </c>
      <c r="AJ3899" t="s">
        <v>2114</v>
      </c>
      <c r="AK3899" s="115">
        <v>15</v>
      </c>
      <c r="AL3899" s="115" t="s">
        <v>28</v>
      </c>
      <c r="AM3899" s="115" t="s">
        <v>1849</v>
      </c>
      <c r="AN3899" s="115" t="s">
        <v>1625</v>
      </c>
      <c r="AO3899" s="115" t="s">
        <v>380</v>
      </c>
    </row>
    <row r="3900" spans="35:41" ht="13">
      <c r="AI3900" s="115" t="s">
        <v>1415</v>
      </c>
      <c r="AJ3900" t="s">
        <v>2114</v>
      </c>
      <c r="AK3900" s="115">
        <v>15</v>
      </c>
      <c r="AL3900" s="115" t="s">
        <v>28</v>
      </c>
      <c r="AM3900" s="115" t="s">
        <v>1850</v>
      </c>
      <c r="AN3900" s="115" t="s">
        <v>1625</v>
      </c>
      <c r="AO3900" s="115" t="s">
        <v>380</v>
      </c>
    </row>
    <row r="3901" spans="35:41" ht="13">
      <c r="AI3901" s="115" t="s">
        <v>1415</v>
      </c>
      <c r="AJ3901" t="s">
        <v>2114</v>
      </c>
      <c r="AK3901" s="115">
        <v>15</v>
      </c>
      <c r="AL3901" s="115" t="s">
        <v>28</v>
      </c>
      <c r="AM3901" s="115" t="s">
        <v>1843</v>
      </c>
      <c r="AN3901" s="115" t="s">
        <v>1625</v>
      </c>
      <c r="AO3901" s="115" t="s">
        <v>380</v>
      </c>
    </row>
    <row r="3902" spans="35:41" ht="13">
      <c r="AI3902" s="115" t="s">
        <v>1415</v>
      </c>
      <c r="AJ3902" t="s">
        <v>2114</v>
      </c>
      <c r="AK3902" s="115">
        <v>15</v>
      </c>
      <c r="AL3902" s="115" t="s">
        <v>28</v>
      </c>
      <c r="AM3902" s="115" t="s">
        <v>1846</v>
      </c>
      <c r="AN3902" s="115" t="s">
        <v>1625</v>
      </c>
      <c r="AO3902" s="115" t="s">
        <v>380</v>
      </c>
    </row>
    <row r="3903" spans="35:41" ht="13">
      <c r="AI3903" s="115" t="s">
        <v>1415</v>
      </c>
      <c r="AJ3903" t="s">
        <v>2114</v>
      </c>
      <c r="AK3903" s="115">
        <v>15</v>
      </c>
      <c r="AL3903" s="115" t="s">
        <v>28</v>
      </c>
      <c r="AM3903" s="115" t="s">
        <v>1849</v>
      </c>
      <c r="AN3903" s="115" t="s">
        <v>1459</v>
      </c>
      <c r="AO3903" s="115" t="s">
        <v>1274</v>
      </c>
    </row>
    <row r="3904" spans="35:41" ht="13">
      <c r="AI3904" s="115" t="s">
        <v>1415</v>
      </c>
      <c r="AJ3904" t="s">
        <v>2114</v>
      </c>
      <c r="AK3904" s="115">
        <v>15</v>
      </c>
      <c r="AL3904" s="115" t="s">
        <v>28</v>
      </c>
      <c r="AM3904" s="115" t="s">
        <v>1832</v>
      </c>
      <c r="AN3904" s="115" t="s">
        <v>1459</v>
      </c>
      <c r="AO3904" s="115" t="s">
        <v>1274</v>
      </c>
    </row>
    <row r="3905" spans="35:41" ht="13">
      <c r="AI3905" s="115" t="s">
        <v>1415</v>
      </c>
      <c r="AJ3905" t="s">
        <v>2114</v>
      </c>
      <c r="AK3905" s="115">
        <v>15</v>
      </c>
      <c r="AL3905" s="115" t="s">
        <v>28</v>
      </c>
      <c r="AM3905" s="115" t="s">
        <v>1846</v>
      </c>
      <c r="AN3905" s="115" t="s">
        <v>1459</v>
      </c>
      <c r="AO3905" s="115" t="s">
        <v>1274</v>
      </c>
    </row>
    <row r="3906" spans="35:41" ht="13">
      <c r="AI3906" s="115" t="s">
        <v>1415</v>
      </c>
      <c r="AJ3906" t="s">
        <v>2114</v>
      </c>
      <c r="AK3906" s="115">
        <v>15</v>
      </c>
      <c r="AL3906" s="115" t="s">
        <v>28</v>
      </c>
      <c r="AM3906" s="115" t="s">
        <v>1850</v>
      </c>
      <c r="AN3906" s="115" t="s">
        <v>1459</v>
      </c>
      <c r="AO3906" s="115" t="s">
        <v>1274</v>
      </c>
    </row>
    <row r="3907" spans="35:41" ht="13">
      <c r="AI3907" s="115" t="s">
        <v>1415</v>
      </c>
      <c r="AJ3907" t="s">
        <v>2114</v>
      </c>
      <c r="AK3907" s="115">
        <v>15</v>
      </c>
      <c r="AL3907" s="115" t="s">
        <v>28</v>
      </c>
      <c r="AM3907" s="115" t="s">
        <v>1848</v>
      </c>
      <c r="AN3907" s="115" t="s">
        <v>1459</v>
      </c>
      <c r="AO3907" s="115" t="s">
        <v>1274</v>
      </c>
    </row>
    <row r="3908" spans="35:41" ht="13">
      <c r="AI3908" s="115" t="s">
        <v>1415</v>
      </c>
      <c r="AJ3908" t="s">
        <v>2114</v>
      </c>
      <c r="AK3908" s="115">
        <v>15</v>
      </c>
      <c r="AL3908" s="115" t="s">
        <v>28</v>
      </c>
      <c r="AM3908" s="115" t="s">
        <v>1843</v>
      </c>
      <c r="AN3908" s="115" t="s">
        <v>1459</v>
      </c>
      <c r="AO3908" s="115" t="s">
        <v>1274</v>
      </c>
    </row>
    <row r="3909" spans="35:41" ht="13">
      <c r="AI3909" s="115" t="s">
        <v>1415</v>
      </c>
      <c r="AJ3909" t="s">
        <v>2114</v>
      </c>
      <c r="AK3909" s="115">
        <v>15</v>
      </c>
      <c r="AL3909" s="115" t="s">
        <v>28</v>
      </c>
      <c r="AM3909" s="115" t="s">
        <v>1849</v>
      </c>
      <c r="AN3909" s="115" t="s">
        <v>1459</v>
      </c>
      <c r="AO3909" s="115" t="s">
        <v>381</v>
      </c>
    </row>
    <row r="3910" spans="35:41" ht="13">
      <c r="AI3910" s="115" t="s">
        <v>1415</v>
      </c>
      <c r="AJ3910" t="s">
        <v>2114</v>
      </c>
      <c r="AK3910" s="115">
        <v>15</v>
      </c>
      <c r="AL3910" s="115" t="s">
        <v>28</v>
      </c>
      <c r="AM3910" s="115" t="s">
        <v>1846</v>
      </c>
      <c r="AN3910" s="115" t="s">
        <v>1459</v>
      </c>
      <c r="AO3910" s="115" t="s">
        <v>381</v>
      </c>
    </row>
    <row r="3911" spans="35:41" ht="13">
      <c r="AI3911" s="115" t="s">
        <v>1415</v>
      </c>
      <c r="AJ3911" t="s">
        <v>2114</v>
      </c>
      <c r="AK3911" s="115">
        <v>15</v>
      </c>
      <c r="AL3911" s="115" t="s">
        <v>28</v>
      </c>
      <c r="AM3911" s="115" t="s">
        <v>1832</v>
      </c>
      <c r="AN3911" s="115" t="s">
        <v>1459</v>
      </c>
      <c r="AO3911" s="115" t="s">
        <v>381</v>
      </c>
    </row>
    <row r="3912" spans="35:41" ht="13">
      <c r="AI3912" s="115" t="s">
        <v>1415</v>
      </c>
      <c r="AJ3912" t="s">
        <v>2114</v>
      </c>
      <c r="AK3912" s="115">
        <v>15</v>
      </c>
      <c r="AL3912" s="115" t="s">
        <v>28</v>
      </c>
      <c r="AM3912" s="115" t="s">
        <v>1843</v>
      </c>
      <c r="AN3912" s="115" t="s">
        <v>1459</v>
      </c>
      <c r="AO3912" s="115" t="s">
        <v>381</v>
      </c>
    </row>
    <row r="3913" spans="35:41" ht="13">
      <c r="AI3913" s="115" t="s">
        <v>1415</v>
      </c>
      <c r="AJ3913" t="s">
        <v>2114</v>
      </c>
      <c r="AK3913" s="115">
        <v>15</v>
      </c>
      <c r="AL3913" s="115" t="s">
        <v>28</v>
      </c>
      <c r="AM3913" s="115" t="s">
        <v>1848</v>
      </c>
      <c r="AN3913" s="115" t="s">
        <v>1459</v>
      </c>
      <c r="AO3913" s="115" t="s">
        <v>381</v>
      </c>
    </row>
    <row r="3914" spans="35:41" ht="13">
      <c r="AI3914" s="115" t="s">
        <v>1415</v>
      </c>
      <c r="AJ3914" t="s">
        <v>2114</v>
      </c>
      <c r="AK3914" s="115">
        <v>15</v>
      </c>
      <c r="AL3914" s="115" t="s">
        <v>28</v>
      </c>
      <c r="AM3914" s="115" t="s">
        <v>1850</v>
      </c>
      <c r="AN3914" s="115" t="s">
        <v>1459</v>
      </c>
      <c r="AO3914" s="115" t="s">
        <v>381</v>
      </c>
    </row>
    <row r="3915" spans="35:41" ht="13">
      <c r="AI3915" s="115" t="s">
        <v>1415</v>
      </c>
      <c r="AJ3915" t="s">
        <v>2114</v>
      </c>
      <c r="AK3915" s="115">
        <v>15</v>
      </c>
      <c r="AL3915" s="115" t="s">
        <v>28</v>
      </c>
      <c r="AM3915" s="115" t="s">
        <v>1843</v>
      </c>
      <c r="AN3915" s="115" t="s">
        <v>1459</v>
      </c>
      <c r="AO3915" s="115" t="s">
        <v>379</v>
      </c>
    </row>
    <row r="3916" spans="35:41" ht="13">
      <c r="AI3916" s="115" t="s">
        <v>1415</v>
      </c>
      <c r="AJ3916" t="s">
        <v>2114</v>
      </c>
      <c r="AK3916" s="115">
        <v>15</v>
      </c>
      <c r="AL3916" s="115" t="s">
        <v>28</v>
      </c>
      <c r="AM3916" s="115" t="s">
        <v>1848</v>
      </c>
      <c r="AN3916" s="115" t="s">
        <v>1459</v>
      </c>
      <c r="AO3916" s="115" t="s">
        <v>379</v>
      </c>
    </row>
    <row r="3917" spans="35:41" ht="13">
      <c r="AI3917" s="115" t="s">
        <v>1415</v>
      </c>
      <c r="AJ3917" t="s">
        <v>2114</v>
      </c>
      <c r="AK3917" s="115">
        <v>15</v>
      </c>
      <c r="AL3917" s="115" t="s">
        <v>28</v>
      </c>
      <c r="AM3917" s="115" t="s">
        <v>1850</v>
      </c>
      <c r="AN3917" s="115" t="s">
        <v>1459</v>
      </c>
      <c r="AO3917" s="115" t="s">
        <v>379</v>
      </c>
    </row>
    <row r="3918" spans="35:41" ht="13">
      <c r="AI3918" s="115" t="s">
        <v>1415</v>
      </c>
      <c r="AJ3918" t="s">
        <v>2114</v>
      </c>
      <c r="AK3918" s="115">
        <v>15</v>
      </c>
      <c r="AL3918" s="115" t="s">
        <v>28</v>
      </c>
      <c r="AM3918" s="115" t="s">
        <v>1849</v>
      </c>
      <c r="AN3918" s="115" t="s">
        <v>1459</v>
      </c>
      <c r="AO3918" s="115" t="s">
        <v>379</v>
      </c>
    </row>
    <row r="3919" spans="35:41" ht="13">
      <c r="AI3919" s="115" t="s">
        <v>1415</v>
      </c>
      <c r="AJ3919" t="s">
        <v>2114</v>
      </c>
      <c r="AK3919" s="115">
        <v>15</v>
      </c>
      <c r="AL3919" s="115" t="s">
        <v>28</v>
      </c>
      <c r="AM3919" s="115" t="s">
        <v>1846</v>
      </c>
      <c r="AN3919" s="115" t="s">
        <v>1459</v>
      </c>
      <c r="AO3919" s="115" t="s">
        <v>379</v>
      </c>
    </row>
    <row r="3920" spans="35:41" ht="13">
      <c r="AI3920" s="115" t="s">
        <v>1415</v>
      </c>
      <c r="AJ3920" t="s">
        <v>2114</v>
      </c>
      <c r="AK3920" s="115">
        <v>15</v>
      </c>
      <c r="AL3920" s="115" t="s">
        <v>28</v>
      </c>
      <c r="AM3920" s="115" t="s">
        <v>1832</v>
      </c>
      <c r="AN3920" s="115" t="s">
        <v>1459</v>
      </c>
      <c r="AO3920" s="115" t="s">
        <v>379</v>
      </c>
    </row>
    <row r="3921" spans="35:41" ht="13">
      <c r="AI3921" s="115" t="s">
        <v>1415</v>
      </c>
      <c r="AJ3921" t="s">
        <v>2114</v>
      </c>
      <c r="AK3921" s="115">
        <v>15</v>
      </c>
      <c r="AL3921" s="115" t="s">
        <v>28</v>
      </c>
      <c r="AM3921" s="115" t="s">
        <v>1846</v>
      </c>
      <c r="AN3921" s="115" t="s">
        <v>1459</v>
      </c>
      <c r="AO3921" s="115" t="s">
        <v>1645</v>
      </c>
    </row>
    <row r="3922" spans="35:41" ht="13">
      <c r="AI3922" s="115" t="s">
        <v>1415</v>
      </c>
      <c r="AJ3922" t="s">
        <v>2114</v>
      </c>
      <c r="AK3922" s="115">
        <v>15</v>
      </c>
      <c r="AL3922" s="115" t="s">
        <v>28</v>
      </c>
      <c r="AM3922" s="115" t="s">
        <v>1832</v>
      </c>
      <c r="AN3922" s="115" t="s">
        <v>1459</v>
      </c>
      <c r="AO3922" s="115" t="s">
        <v>1645</v>
      </c>
    </row>
    <row r="3923" spans="35:41" ht="13">
      <c r="AI3923" s="115" t="s">
        <v>1415</v>
      </c>
      <c r="AJ3923" t="s">
        <v>2114</v>
      </c>
      <c r="AK3923" s="115">
        <v>15</v>
      </c>
      <c r="AL3923" s="115" t="s">
        <v>28</v>
      </c>
      <c r="AM3923" s="115" t="s">
        <v>1843</v>
      </c>
      <c r="AN3923" s="115" t="s">
        <v>1459</v>
      </c>
      <c r="AO3923" s="115" t="s">
        <v>1645</v>
      </c>
    </row>
    <row r="3924" spans="35:41" ht="13">
      <c r="AI3924" s="115" t="s">
        <v>1415</v>
      </c>
      <c r="AJ3924" t="s">
        <v>2114</v>
      </c>
      <c r="AK3924" s="115">
        <v>15</v>
      </c>
      <c r="AL3924" s="115" t="s">
        <v>28</v>
      </c>
      <c r="AM3924" s="115" t="s">
        <v>1848</v>
      </c>
      <c r="AN3924" s="115" t="s">
        <v>1459</v>
      </c>
      <c r="AO3924" s="115" t="s">
        <v>1645</v>
      </c>
    </row>
    <row r="3925" spans="35:41" ht="13">
      <c r="AI3925" s="115" t="s">
        <v>1415</v>
      </c>
      <c r="AJ3925" t="s">
        <v>2114</v>
      </c>
      <c r="AK3925" s="115">
        <v>15</v>
      </c>
      <c r="AL3925" s="115" t="s">
        <v>28</v>
      </c>
      <c r="AM3925" s="115" t="s">
        <v>1850</v>
      </c>
      <c r="AN3925" s="115" t="s">
        <v>1459</v>
      </c>
      <c r="AO3925" s="115" t="s">
        <v>1645</v>
      </c>
    </row>
    <row r="3926" spans="35:41" ht="13">
      <c r="AI3926" s="115" t="s">
        <v>1415</v>
      </c>
      <c r="AJ3926" t="s">
        <v>2114</v>
      </c>
      <c r="AK3926" s="115">
        <v>15</v>
      </c>
      <c r="AL3926" s="115" t="s">
        <v>28</v>
      </c>
      <c r="AM3926" s="115" t="s">
        <v>1849</v>
      </c>
      <c r="AN3926" s="115" t="s">
        <v>1459</v>
      </c>
      <c r="AO3926" s="115" t="s">
        <v>1645</v>
      </c>
    </row>
    <row r="3927" spans="35:41" ht="13">
      <c r="AI3927" s="115" t="s">
        <v>1415</v>
      </c>
      <c r="AJ3927" t="s">
        <v>2114</v>
      </c>
      <c r="AK3927" s="115">
        <v>15</v>
      </c>
      <c r="AL3927" s="115" t="s">
        <v>28</v>
      </c>
      <c r="AM3927" s="115" t="s">
        <v>1843</v>
      </c>
      <c r="AN3927" s="115" t="s">
        <v>1459</v>
      </c>
      <c r="AO3927" s="115" t="s">
        <v>1646</v>
      </c>
    </row>
    <row r="3928" spans="35:41" ht="13">
      <c r="AI3928" s="115" t="s">
        <v>1415</v>
      </c>
      <c r="AJ3928" t="s">
        <v>2114</v>
      </c>
      <c r="AK3928" s="115">
        <v>15</v>
      </c>
      <c r="AL3928" s="115" t="s">
        <v>28</v>
      </c>
      <c r="AM3928" s="115" t="s">
        <v>1846</v>
      </c>
      <c r="AN3928" s="115" t="s">
        <v>1459</v>
      </c>
      <c r="AO3928" s="115" t="s">
        <v>1646</v>
      </c>
    </row>
    <row r="3929" spans="35:41" ht="13">
      <c r="AI3929" s="115" t="s">
        <v>1415</v>
      </c>
      <c r="AJ3929" t="s">
        <v>2114</v>
      </c>
      <c r="AK3929" s="115">
        <v>15</v>
      </c>
      <c r="AL3929" s="115" t="s">
        <v>28</v>
      </c>
      <c r="AM3929" s="115" t="s">
        <v>1843</v>
      </c>
      <c r="AN3929" s="115" t="s">
        <v>1459</v>
      </c>
      <c r="AO3929" s="115" t="s">
        <v>1639</v>
      </c>
    </row>
    <row r="3930" spans="35:41" ht="13">
      <c r="AI3930" s="115" t="s">
        <v>1415</v>
      </c>
      <c r="AJ3930" t="s">
        <v>2114</v>
      </c>
      <c r="AK3930" s="115">
        <v>15</v>
      </c>
      <c r="AL3930" s="115" t="s">
        <v>28</v>
      </c>
      <c r="AM3930" s="115" t="s">
        <v>1846</v>
      </c>
      <c r="AN3930" s="115" t="s">
        <v>1459</v>
      </c>
      <c r="AO3930" s="115" t="s">
        <v>1639</v>
      </c>
    </row>
    <row r="3931" spans="35:41" ht="13">
      <c r="AI3931" s="115" t="s">
        <v>1415</v>
      </c>
      <c r="AJ3931" t="s">
        <v>2114</v>
      </c>
      <c r="AK3931" s="115">
        <v>15</v>
      </c>
      <c r="AL3931" s="115" t="s">
        <v>28</v>
      </c>
      <c r="AM3931" s="115" t="s">
        <v>1848</v>
      </c>
      <c r="AN3931" s="115" t="s">
        <v>1459</v>
      </c>
      <c r="AO3931" s="115" t="s">
        <v>380</v>
      </c>
    </row>
    <row r="3932" spans="35:41" ht="13">
      <c r="AI3932" s="115" t="s">
        <v>1415</v>
      </c>
      <c r="AJ3932" t="s">
        <v>2114</v>
      </c>
      <c r="AK3932" s="115">
        <v>15</v>
      </c>
      <c r="AL3932" s="115" t="s">
        <v>28</v>
      </c>
      <c r="AM3932" s="115" t="s">
        <v>1832</v>
      </c>
      <c r="AN3932" s="115" t="s">
        <v>1459</v>
      </c>
      <c r="AO3932" s="115" t="s">
        <v>380</v>
      </c>
    </row>
    <row r="3933" spans="35:41" ht="13">
      <c r="AI3933" s="115" t="s">
        <v>1415</v>
      </c>
      <c r="AJ3933" t="s">
        <v>2114</v>
      </c>
      <c r="AK3933" s="115">
        <v>15</v>
      </c>
      <c r="AL3933" s="115" t="s">
        <v>28</v>
      </c>
      <c r="AM3933" s="115" t="s">
        <v>1849</v>
      </c>
      <c r="AN3933" s="115" t="s">
        <v>1459</v>
      </c>
      <c r="AO3933" s="115" t="s">
        <v>380</v>
      </c>
    </row>
    <row r="3934" spans="35:41" ht="13">
      <c r="AI3934" s="115" t="s">
        <v>1415</v>
      </c>
      <c r="AJ3934" t="s">
        <v>2114</v>
      </c>
      <c r="AK3934" s="115">
        <v>15</v>
      </c>
      <c r="AL3934" s="115" t="s">
        <v>28</v>
      </c>
      <c r="AM3934" s="115" t="s">
        <v>1846</v>
      </c>
      <c r="AN3934" s="115" t="s">
        <v>1459</v>
      </c>
      <c r="AO3934" s="115" t="s">
        <v>380</v>
      </c>
    </row>
    <row r="3935" spans="35:41" ht="13">
      <c r="AI3935" s="115" t="s">
        <v>1415</v>
      </c>
      <c r="AJ3935" t="s">
        <v>2114</v>
      </c>
      <c r="AK3935" s="115">
        <v>15</v>
      </c>
      <c r="AL3935" s="115" t="s">
        <v>28</v>
      </c>
      <c r="AM3935" s="115" t="s">
        <v>1843</v>
      </c>
      <c r="AN3935" s="115" t="s">
        <v>1459</v>
      </c>
      <c r="AO3935" s="115" t="s">
        <v>380</v>
      </c>
    </row>
    <row r="3936" spans="35:41" ht="13">
      <c r="AI3936" s="115" t="s">
        <v>1415</v>
      </c>
      <c r="AJ3936" t="s">
        <v>2114</v>
      </c>
      <c r="AK3936" s="115">
        <v>15</v>
      </c>
      <c r="AL3936" s="115" t="s">
        <v>28</v>
      </c>
      <c r="AM3936" s="115" t="s">
        <v>1850</v>
      </c>
      <c r="AN3936" s="115" t="s">
        <v>1459</v>
      </c>
      <c r="AO3936" s="115" t="s">
        <v>380</v>
      </c>
    </row>
    <row r="3937" spans="35:41" ht="13">
      <c r="AI3937" s="115" t="s">
        <v>1415</v>
      </c>
      <c r="AJ3937" t="s">
        <v>2114</v>
      </c>
      <c r="AK3937" s="115">
        <v>16</v>
      </c>
      <c r="AL3937" s="115" t="s">
        <v>28</v>
      </c>
      <c r="AM3937" s="115" t="s">
        <v>1843</v>
      </c>
      <c r="AN3937" s="115" t="s">
        <v>1660</v>
      </c>
      <c r="AO3937" s="115" t="s">
        <v>1274</v>
      </c>
    </row>
    <row r="3938" spans="35:41" ht="13">
      <c r="AI3938" s="115" t="s">
        <v>1415</v>
      </c>
      <c r="AJ3938" t="s">
        <v>2114</v>
      </c>
      <c r="AK3938" s="115">
        <v>16</v>
      </c>
      <c r="AL3938" s="115" t="s">
        <v>28</v>
      </c>
      <c r="AM3938" s="115" t="s">
        <v>1849</v>
      </c>
      <c r="AN3938" s="115" t="s">
        <v>1660</v>
      </c>
      <c r="AO3938" s="115" t="s">
        <v>1274</v>
      </c>
    </row>
    <row r="3939" spans="35:41" ht="13">
      <c r="AI3939" s="115" t="s">
        <v>1415</v>
      </c>
      <c r="AJ3939" t="s">
        <v>2114</v>
      </c>
      <c r="AK3939" s="115">
        <v>16</v>
      </c>
      <c r="AL3939" s="115" t="s">
        <v>28</v>
      </c>
      <c r="AM3939" s="115" t="s">
        <v>1850</v>
      </c>
      <c r="AN3939" s="115" t="s">
        <v>1660</v>
      </c>
      <c r="AO3939" s="115" t="s">
        <v>1274</v>
      </c>
    </row>
    <row r="3940" spans="35:41" ht="13">
      <c r="AI3940" s="115" t="s">
        <v>1415</v>
      </c>
      <c r="AJ3940" t="s">
        <v>2114</v>
      </c>
      <c r="AK3940" s="115">
        <v>16</v>
      </c>
      <c r="AL3940" s="115" t="s">
        <v>28</v>
      </c>
      <c r="AM3940" s="115" t="s">
        <v>1832</v>
      </c>
      <c r="AN3940" s="115" t="s">
        <v>1660</v>
      </c>
      <c r="AO3940" s="115" t="s">
        <v>1274</v>
      </c>
    </row>
    <row r="3941" spans="35:41" ht="13">
      <c r="AI3941" s="115" t="s">
        <v>1415</v>
      </c>
      <c r="AJ3941" t="s">
        <v>2114</v>
      </c>
      <c r="AK3941" s="115">
        <v>16</v>
      </c>
      <c r="AL3941" s="115" t="s">
        <v>28</v>
      </c>
      <c r="AM3941" s="115" t="s">
        <v>1846</v>
      </c>
      <c r="AN3941" s="115" t="s">
        <v>1660</v>
      </c>
      <c r="AO3941" s="115" t="s">
        <v>1274</v>
      </c>
    </row>
    <row r="3942" spans="35:41" ht="13">
      <c r="AI3942" s="115" t="s">
        <v>1415</v>
      </c>
      <c r="AJ3942" t="s">
        <v>2114</v>
      </c>
      <c r="AK3942" s="115">
        <v>16</v>
      </c>
      <c r="AL3942" s="115" t="s">
        <v>28</v>
      </c>
      <c r="AM3942" s="115" t="s">
        <v>1848</v>
      </c>
      <c r="AN3942" s="115" t="s">
        <v>1660</v>
      </c>
      <c r="AO3942" s="115" t="s">
        <v>1274</v>
      </c>
    </row>
    <row r="3943" spans="35:41" ht="13">
      <c r="AI3943" s="115" t="s">
        <v>1415</v>
      </c>
      <c r="AJ3943" t="s">
        <v>2114</v>
      </c>
      <c r="AK3943" s="115">
        <v>16</v>
      </c>
      <c r="AL3943" s="115" t="s">
        <v>28</v>
      </c>
      <c r="AM3943" s="115" t="s">
        <v>1849</v>
      </c>
      <c r="AN3943" s="115" t="s">
        <v>362</v>
      </c>
      <c r="AO3943" s="115" t="s">
        <v>381</v>
      </c>
    </row>
    <row r="3944" spans="35:41" ht="13">
      <c r="AI3944" s="115" t="s">
        <v>1415</v>
      </c>
      <c r="AJ3944" t="s">
        <v>2114</v>
      </c>
      <c r="AK3944" s="115">
        <v>16</v>
      </c>
      <c r="AL3944" s="115" t="s">
        <v>28</v>
      </c>
      <c r="AM3944" s="115" t="s">
        <v>1832</v>
      </c>
      <c r="AN3944" s="115" t="s">
        <v>362</v>
      </c>
      <c r="AO3944" s="115" t="s">
        <v>381</v>
      </c>
    </row>
    <row r="3945" spans="35:41" ht="13">
      <c r="AI3945" s="115" t="s">
        <v>1415</v>
      </c>
      <c r="AJ3945" t="s">
        <v>2114</v>
      </c>
      <c r="AK3945" s="115">
        <v>16</v>
      </c>
      <c r="AL3945" s="115" t="s">
        <v>28</v>
      </c>
      <c r="AM3945" s="115" t="s">
        <v>1843</v>
      </c>
      <c r="AN3945" s="115" t="s">
        <v>362</v>
      </c>
      <c r="AO3945" s="115" t="s">
        <v>381</v>
      </c>
    </row>
    <row r="3946" spans="35:41" ht="13">
      <c r="AI3946" s="115" t="s">
        <v>1415</v>
      </c>
      <c r="AJ3946" t="s">
        <v>2114</v>
      </c>
      <c r="AK3946" s="115">
        <v>16</v>
      </c>
      <c r="AL3946" s="115" t="s">
        <v>28</v>
      </c>
      <c r="AM3946" s="115" t="s">
        <v>1850</v>
      </c>
      <c r="AN3946" s="115" t="s">
        <v>362</v>
      </c>
      <c r="AO3946" s="115" t="s">
        <v>381</v>
      </c>
    </row>
    <row r="3947" spans="35:41" ht="13">
      <c r="AI3947" s="115" t="s">
        <v>1415</v>
      </c>
      <c r="AJ3947" t="s">
        <v>2114</v>
      </c>
      <c r="AK3947" s="115">
        <v>16</v>
      </c>
      <c r="AL3947" s="115" t="s">
        <v>28</v>
      </c>
      <c r="AM3947" s="115" t="s">
        <v>1846</v>
      </c>
      <c r="AN3947" s="115" t="s">
        <v>362</v>
      </c>
      <c r="AO3947" s="115" t="s">
        <v>381</v>
      </c>
    </row>
    <row r="3948" spans="35:41" ht="13">
      <c r="AI3948" s="115" t="s">
        <v>1415</v>
      </c>
      <c r="AJ3948" t="s">
        <v>2114</v>
      </c>
      <c r="AK3948" s="115">
        <v>16</v>
      </c>
      <c r="AL3948" s="115" t="s">
        <v>28</v>
      </c>
      <c r="AM3948" s="115" t="s">
        <v>1848</v>
      </c>
      <c r="AN3948" s="115" t="s">
        <v>362</v>
      </c>
      <c r="AO3948" s="115" t="s">
        <v>381</v>
      </c>
    </row>
    <row r="3949" spans="35:41" ht="13">
      <c r="AI3949" s="115" t="s">
        <v>1415</v>
      </c>
      <c r="AJ3949" t="s">
        <v>2114</v>
      </c>
      <c r="AK3949" s="115">
        <v>16</v>
      </c>
      <c r="AL3949" s="115" t="s">
        <v>28</v>
      </c>
      <c r="AM3949" s="115" t="s">
        <v>1843</v>
      </c>
      <c r="AN3949" s="115" t="s">
        <v>362</v>
      </c>
      <c r="AO3949" s="115" t="s">
        <v>1646</v>
      </c>
    </row>
    <row r="3950" spans="35:41" ht="13">
      <c r="AI3950" s="115" t="s">
        <v>1415</v>
      </c>
      <c r="AJ3950" t="s">
        <v>2114</v>
      </c>
      <c r="AK3950" s="115">
        <v>16</v>
      </c>
      <c r="AL3950" s="115" t="s">
        <v>28</v>
      </c>
      <c r="AM3950" s="115" t="s">
        <v>1846</v>
      </c>
      <c r="AN3950" s="115" t="s">
        <v>362</v>
      </c>
      <c r="AO3950" s="115" t="s">
        <v>1646</v>
      </c>
    </row>
    <row r="3951" spans="35:41" ht="13">
      <c r="AI3951" s="115" t="s">
        <v>1415</v>
      </c>
      <c r="AJ3951" t="s">
        <v>2114</v>
      </c>
      <c r="AK3951" s="115">
        <v>16</v>
      </c>
      <c r="AL3951" s="115" t="s">
        <v>28</v>
      </c>
      <c r="AM3951" s="115" t="s">
        <v>1843</v>
      </c>
      <c r="AN3951" s="115" t="s">
        <v>1417</v>
      </c>
      <c r="AO3951" s="115" t="s">
        <v>1641</v>
      </c>
    </row>
    <row r="3952" spans="35:41" ht="13">
      <c r="AI3952" s="115" t="s">
        <v>1415</v>
      </c>
      <c r="AJ3952" t="s">
        <v>2114</v>
      </c>
      <c r="AK3952" s="115">
        <v>16</v>
      </c>
      <c r="AL3952" s="115" t="s">
        <v>28</v>
      </c>
      <c r="AM3952" s="115" t="s">
        <v>1850</v>
      </c>
      <c r="AN3952" s="115" t="s">
        <v>1417</v>
      </c>
      <c r="AO3952" s="115" t="s">
        <v>1641</v>
      </c>
    </row>
    <row r="3953" spans="35:41" ht="13">
      <c r="AI3953" s="115" t="s">
        <v>1415</v>
      </c>
      <c r="AJ3953" t="s">
        <v>2114</v>
      </c>
      <c r="AK3953" s="115">
        <v>16</v>
      </c>
      <c r="AL3953" s="115" t="s">
        <v>28</v>
      </c>
      <c r="AM3953" s="115" t="s">
        <v>1832</v>
      </c>
      <c r="AN3953" s="115" t="s">
        <v>1417</v>
      </c>
      <c r="AO3953" s="115" t="s">
        <v>1641</v>
      </c>
    </row>
    <row r="3954" spans="35:41" ht="13">
      <c r="AI3954" s="115" t="s">
        <v>1415</v>
      </c>
      <c r="AJ3954" t="s">
        <v>2114</v>
      </c>
      <c r="AK3954" s="115">
        <v>16</v>
      </c>
      <c r="AL3954" s="115" t="s">
        <v>28</v>
      </c>
      <c r="AM3954" s="115" t="s">
        <v>1848</v>
      </c>
      <c r="AN3954" s="115" t="s">
        <v>1417</v>
      </c>
      <c r="AO3954" s="115" t="s">
        <v>1641</v>
      </c>
    </row>
    <row r="3955" spans="35:41" ht="13">
      <c r="AI3955" s="115" t="s">
        <v>1415</v>
      </c>
      <c r="AJ3955" t="s">
        <v>2114</v>
      </c>
      <c r="AK3955" s="115">
        <v>16</v>
      </c>
      <c r="AL3955" s="115" t="s">
        <v>28</v>
      </c>
      <c r="AM3955" s="115" t="s">
        <v>1849</v>
      </c>
      <c r="AN3955" s="115" t="s">
        <v>1631</v>
      </c>
      <c r="AO3955" s="115" t="s">
        <v>379</v>
      </c>
    </row>
    <row r="3956" spans="35:41" ht="13">
      <c r="AI3956" s="115" t="s">
        <v>1415</v>
      </c>
      <c r="AJ3956" t="s">
        <v>2114</v>
      </c>
      <c r="AK3956" s="115">
        <v>16</v>
      </c>
      <c r="AL3956" s="115" t="s">
        <v>28</v>
      </c>
      <c r="AM3956" s="115" t="s">
        <v>1850</v>
      </c>
      <c r="AN3956" s="115" t="s">
        <v>1631</v>
      </c>
      <c r="AO3956" s="115" t="s">
        <v>379</v>
      </c>
    </row>
    <row r="3957" spans="35:41" ht="13">
      <c r="AI3957" s="115" t="s">
        <v>1415</v>
      </c>
      <c r="AJ3957" t="s">
        <v>2114</v>
      </c>
      <c r="AK3957" s="115">
        <v>16</v>
      </c>
      <c r="AL3957" s="115" t="s">
        <v>28</v>
      </c>
      <c r="AM3957" s="115" t="s">
        <v>1843</v>
      </c>
      <c r="AN3957" s="115" t="s">
        <v>1631</v>
      </c>
      <c r="AO3957" s="115" t="s">
        <v>379</v>
      </c>
    </row>
    <row r="3958" spans="35:41" ht="13">
      <c r="AI3958" s="115" t="s">
        <v>1415</v>
      </c>
      <c r="AJ3958" t="s">
        <v>2114</v>
      </c>
      <c r="AK3958" s="115">
        <v>16</v>
      </c>
      <c r="AL3958" s="115" t="s">
        <v>28</v>
      </c>
      <c r="AM3958" s="115" t="s">
        <v>1848</v>
      </c>
      <c r="AN3958" s="115" t="s">
        <v>1631</v>
      </c>
      <c r="AO3958" s="115" t="s">
        <v>379</v>
      </c>
    </row>
    <row r="3959" spans="35:41" ht="13">
      <c r="AI3959" s="115" t="s">
        <v>1415</v>
      </c>
      <c r="AJ3959" t="s">
        <v>2114</v>
      </c>
      <c r="AK3959" s="115">
        <v>16</v>
      </c>
      <c r="AL3959" s="115" t="s">
        <v>28</v>
      </c>
      <c r="AM3959" s="115" t="s">
        <v>1846</v>
      </c>
      <c r="AN3959" s="115" t="s">
        <v>1631</v>
      </c>
      <c r="AO3959" s="115" t="s">
        <v>379</v>
      </c>
    </row>
    <row r="3960" spans="35:41" ht="13">
      <c r="AI3960" s="115" t="s">
        <v>1415</v>
      </c>
      <c r="AJ3960" t="s">
        <v>2114</v>
      </c>
      <c r="AK3960" s="115">
        <v>16</v>
      </c>
      <c r="AL3960" s="115" t="s">
        <v>28</v>
      </c>
      <c r="AM3960" s="115" t="s">
        <v>1832</v>
      </c>
      <c r="AN3960" s="115" t="s">
        <v>1631</v>
      </c>
      <c r="AO3960" s="115" t="s">
        <v>379</v>
      </c>
    </row>
    <row r="3961" spans="35:41" ht="13">
      <c r="AI3961" s="115" t="s">
        <v>1415</v>
      </c>
      <c r="AJ3961" t="s">
        <v>2114</v>
      </c>
      <c r="AK3961" s="115">
        <v>16</v>
      </c>
      <c r="AL3961" s="115" t="s">
        <v>28</v>
      </c>
      <c r="AM3961" s="115" t="s">
        <v>1849</v>
      </c>
      <c r="AN3961" s="115" t="s">
        <v>1631</v>
      </c>
      <c r="AO3961" s="115" t="s">
        <v>380</v>
      </c>
    </row>
    <row r="3962" spans="35:41" ht="13">
      <c r="AI3962" s="115" t="s">
        <v>1415</v>
      </c>
      <c r="AJ3962" t="s">
        <v>2114</v>
      </c>
      <c r="AK3962" s="115">
        <v>16</v>
      </c>
      <c r="AL3962" s="115" t="s">
        <v>28</v>
      </c>
      <c r="AM3962" s="115" t="s">
        <v>1846</v>
      </c>
      <c r="AN3962" s="115" t="s">
        <v>1631</v>
      </c>
      <c r="AO3962" s="115" t="s">
        <v>380</v>
      </c>
    </row>
    <row r="3963" spans="35:41" ht="13">
      <c r="AI3963" s="115" t="s">
        <v>1415</v>
      </c>
      <c r="AJ3963" t="s">
        <v>2114</v>
      </c>
      <c r="AK3963" s="115">
        <v>16</v>
      </c>
      <c r="AL3963" s="115" t="s">
        <v>28</v>
      </c>
      <c r="AM3963" s="115" t="s">
        <v>1850</v>
      </c>
      <c r="AN3963" s="115" t="s">
        <v>1631</v>
      </c>
      <c r="AO3963" s="115" t="s">
        <v>380</v>
      </c>
    </row>
    <row r="3964" spans="35:41" ht="13">
      <c r="AI3964" s="115" t="s">
        <v>1415</v>
      </c>
      <c r="AJ3964" t="s">
        <v>2114</v>
      </c>
      <c r="AK3964" s="115">
        <v>16</v>
      </c>
      <c r="AL3964" s="115" t="s">
        <v>28</v>
      </c>
      <c r="AM3964" s="115" t="s">
        <v>1832</v>
      </c>
      <c r="AN3964" s="115" t="s">
        <v>1631</v>
      </c>
      <c r="AO3964" s="115" t="s">
        <v>380</v>
      </c>
    </row>
    <row r="3965" spans="35:41" ht="13">
      <c r="AI3965" s="115" t="s">
        <v>1415</v>
      </c>
      <c r="AJ3965" t="s">
        <v>2114</v>
      </c>
      <c r="AK3965" s="115">
        <v>16</v>
      </c>
      <c r="AL3965" s="115" t="s">
        <v>28</v>
      </c>
      <c r="AM3965" s="115" t="s">
        <v>1843</v>
      </c>
      <c r="AN3965" s="115" t="s">
        <v>1631</v>
      </c>
      <c r="AO3965" s="115" t="s">
        <v>380</v>
      </c>
    </row>
    <row r="3966" spans="35:41" ht="13">
      <c r="AI3966" s="115" t="s">
        <v>1415</v>
      </c>
      <c r="AJ3966" t="s">
        <v>2114</v>
      </c>
      <c r="AK3966" s="115">
        <v>16</v>
      </c>
      <c r="AL3966" s="115" t="s">
        <v>28</v>
      </c>
      <c r="AM3966" s="115" t="s">
        <v>1848</v>
      </c>
      <c r="AN3966" s="115" t="s">
        <v>1631</v>
      </c>
      <c r="AO3966" s="115" t="s">
        <v>380</v>
      </c>
    </row>
    <row r="3967" spans="35:41" ht="13">
      <c r="AI3967" s="115" t="s">
        <v>1415</v>
      </c>
      <c r="AJ3967" t="s">
        <v>2114</v>
      </c>
      <c r="AK3967" s="115">
        <v>16</v>
      </c>
      <c r="AL3967" s="115" t="s">
        <v>28</v>
      </c>
      <c r="AM3967" s="115" t="s">
        <v>1832</v>
      </c>
      <c r="AN3967" s="115" t="s">
        <v>1462</v>
      </c>
      <c r="AO3967" s="115" t="s">
        <v>1644</v>
      </c>
    </row>
    <row r="3968" spans="35:41" ht="13">
      <c r="AI3968" s="115" t="s">
        <v>1415</v>
      </c>
      <c r="AJ3968" t="s">
        <v>2114</v>
      </c>
      <c r="AK3968" s="115">
        <v>16</v>
      </c>
      <c r="AL3968" s="115" t="s">
        <v>28</v>
      </c>
      <c r="AM3968" s="115" t="s">
        <v>1850</v>
      </c>
      <c r="AN3968" s="115" t="s">
        <v>1462</v>
      </c>
      <c r="AO3968" s="115" t="s">
        <v>1644</v>
      </c>
    </row>
    <row r="3969" spans="35:41" ht="13">
      <c r="AI3969" s="115" t="s">
        <v>1415</v>
      </c>
      <c r="AJ3969" t="s">
        <v>2114</v>
      </c>
      <c r="AK3969" s="115">
        <v>16</v>
      </c>
      <c r="AL3969" s="115" t="s">
        <v>28</v>
      </c>
      <c r="AM3969" s="115" t="s">
        <v>1843</v>
      </c>
      <c r="AN3969" s="115" t="s">
        <v>1462</v>
      </c>
      <c r="AO3969" s="115" t="s">
        <v>1644</v>
      </c>
    </row>
    <row r="3970" spans="35:41" ht="13">
      <c r="AI3970" s="115" t="s">
        <v>1415</v>
      </c>
      <c r="AJ3970" t="s">
        <v>2114</v>
      </c>
      <c r="AK3970" s="115">
        <v>16</v>
      </c>
      <c r="AL3970" s="115" t="s">
        <v>28</v>
      </c>
      <c r="AM3970" s="115" t="s">
        <v>1848</v>
      </c>
      <c r="AN3970" s="115" t="s">
        <v>1462</v>
      </c>
      <c r="AO3970" s="115" t="s">
        <v>1644</v>
      </c>
    </row>
    <row r="3971" spans="35:41" ht="13">
      <c r="AI3971" s="115" t="s">
        <v>1415</v>
      </c>
      <c r="AJ3971" t="s">
        <v>2114</v>
      </c>
      <c r="AK3971" s="115">
        <v>16</v>
      </c>
      <c r="AL3971" s="115" t="s">
        <v>28</v>
      </c>
      <c r="AM3971" s="115" t="s">
        <v>1832</v>
      </c>
      <c r="AN3971" s="115" t="s">
        <v>1462</v>
      </c>
      <c r="AO3971" s="115" t="s">
        <v>1274</v>
      </c>
    </row>
    <row r="3972" spans="35:41" ht="13">
      <c r="AI3972" s="115" t="s">
        <v>1415</v>
      </c>
      <c r="AJ3972" t="s">
        <v>2114</v>
      </c>
      <c r="AK3972" s="115">
        <v>16</v>
      </c>
      <c r="AL3972" s="115" t="s">
        <v>28</v>
      </c>
      <c r="AM3972" s="115" t="s">
        <v>1849</v>
      </c>
      <c r="AN3972" s="115" t="s">
        <v>1462</v>
      </c>
      <c r="AO3972" s="115" t="s">
        <v>1274</v>
      </c>
    </row>
    <row r="3973" spans="35:41" ht="13">
      <c r="AI3973" s="115" t="s">
        <v>1415</v>
      </c>
      <c r="AJ3973" t="s">
        <v>2114</v>
      </c>
      <c r="AK3973" s="115">
        <v>16</v>
      </c>
      <c r="AL3973" s="115" t="s">
        <v>28</v>
      </c>
      <c r="AM3973" s="115" t="s">
        <v>1843</v>
      </c>
      <c r="AN3973" s="115" t="s">
        <v>1462</v>
      </c>
      <c r="AO3973" s="115" t="s">
        <v>1274</v>
      </c>
    </row>
    <row r="3974" spans="35:41" ht="13">
      <c r="AI3974" s="115" t="s">
        <v>1415</v>
      </c>
      <c r="AJ3974" t="s">
        <v>2114</v>
      </c>
      <c r="AK3974" s="115">
        <v>16</v>
      </c>
      <c r="AL3974" s="115" t="s">
        <v>28</v>
      </c>
      <c r="AM3974" s="115" t="s">
        <v>1848</v>
      </c>
      <c r="AN3974" s="115" t="s">
        <v>1462</v>
      </c>
      <c r="AO3974" s="115" t="s">
        <v>1274</v>
      </c>
    </row>
    <row r="3975" spans="35:41" ht="13">
      <c r="AI3975" s="115" t="s">
        <v>1415</v>
      </c>
      <c r="AJ3975" t="s">
        <v>2114</v>
      </c>
      <c r="AK3975" s="115">
        <v>16</v>
      </c>
      <c r="AL3975" s="115" t="s">
        <v>28</v>
      </c>
      <c r="AM3975" s="115" t="s">
        <v>1846</v>
      </c>
      <c r="AN3975" s="115" t="s">
        <v>1462</v>
      </c>
      <c r="AO3975" s="115" t="s">
        <v>1274</v>
      </c>
    </row>
    <row r="3976" spans="35:41" ht="13">
      <c r="AI3976" s="115" t="s">
        <v>1415</v>
      </c>
      <c r="AJ3976" t="s">
        <v>2114</v>
      </c>
      <c r="AK3976" s="115">
        <v>16</v>
      </c>
      <c r="AL3976" s="115" t="s">
        <v>28</v>
      </c>
      <c r="AM3976" s="115" t="s">
        <v>1850</v>
      </c>
      <c r="AN3976" s="115" t="s">
        <v>1462</v>
      </c>
      <c r="AO3976" s="115" t="s">
        <v>1274</v>
      </c>
    </row>
    <row r="3977" spans="35:41" ht="13">
      <c r="AI3977" s="115" t="s">
        <v>1415</v>
      </c>
      <c r="AJ3977" t="s">
        <v>2114</v>
      </c>
      <c r="AK3977" s="115">
        <v>16</v>
      </c>
      <c r="AL3977" s="115" t="s">
        <v>28</v>
      </c>
      <c r="AM3977" s="115" t="s">
        <v>1849</v>
      </c>
      <c r="AN3977" s="115" t="s">
        <v>1462</v>
      </c>
      <c r="AO3977" s="115" t="s">
        <v>379</v>
      </c>
    </row>
    <row r="3978" spans="35:41" ht="13">
      <c r="AI3978" s="115" t="s">
        <v>1415</v>
      </c>
      <c r="AJ3978" t="s">
        <v>2114</v>
      </c>
      <c r="AK3978" s="115">
        <v>16</v>
      </c>
      <c r="AL3978" s="115" t="s">
        <v>28</v>
      </c>
      <c r="AM3978" s="115" t="s">
        <v>1850</v>
      </c>
      <c r="AN3978" s="115" t="s">
        <v>1462</v>
      </c>
      <c r="AO3978" s="115" t="s">
        <v>379</v>
      </c>
    </row>
    <row r="3979" spans="35:41" ht="13">
      <c r="AI3979" s="115" t="s">
        <v>1415</v>
      </c>
      <c r="AJ3979" t="s">
        <v>2114</v>
      </c>
      <c r="AK3979" s="115">
        <v>16</v>
      </c>
      <c r="AL3979" s="115" t="s">
        <v>28</v>
      </c>
      <c r="AM3979" s="115" t="s">
        <v>1846</v>
      </c>
      <c r="AN3979" s="115" t="s">
        <v>1462</v>
      </c>
      <c r="AO3979" s="115" t="s">
        <v>379</v>
      </c>
    </row>
    <row r="3980" spans="35:41" ht="13">
      <c r="AI3980" s="115" t="s">
        <v>1415</v>
      </c>
      <c r="AJ3980" t="s">
        <v>2114</v>
      </c>
      <c r="AK3980" s="115">
        <v>16</v>
      </c>
      <c r="AL3980" s="115" t="s">
        <v>28</v>
      </c>
      <c r="AM3980" s="115" t="s">
        <v>1843</v>
      </c>
      <c r="AN3980" s="115" t="s">
        <v>1462</v>
      </c>
      <c r="AO3980" s="115" t="s">
        <v>379</v>
      </c>
    </row>
    <row r="3981" spans="35:41" ht="13">
      <c r="AI3981" s="115" t="s">
        <v>1415</v>
      </c>
      <c r="AJ3981" t="s">
        <v>2114</v>
      </c>
      <c r="AK3981" s="115">
        <v>16</v>
      </c>
      <c r="AL3981" s="115" t="s">
        <v>28</v>
      </c>
      <c r="AM3981" s="115" t="s">
        <v>1848</v>
      </c>
      <c r="AN3981" s="115" t="s">
        <v>1462</v>
      </c>
      <c r="AO3981" s="115" t="s">
        <v>379</v>
      </c>
    </row>
    <row r="3982" spans="35:41" ht="13">
      <c r="AI3982" s="115" t="s">
        <v>1415</v>
      </c>
      <c r="AJ3982" t="s">
        <v>2114</v>
      </c>
      <c r="AK3982" s="115">
        <v>16</v>
      </c>
      <c r="AL3982" s="115" t="s">
        <v>28</v>
      </c>
      <c r="AM3982" s="115" t="s">
        <v>1832</v>
      </c>
      <c r="AN3982" s="115" t="s">
        <v>1462</v>
      </c>
      <c r="AO3982" s="115" t="s">
        <v>379</v>
      </c>
    </row>
    <row r="3983" spans="35:41" ht="13">
      <c r="AI3983" s="115" t="s">
        <v>1415</v>
      </c>
      <c r="AJ3983" t="s">
        <v>2114</v>
      </c>
      <c r="AK3983" s="115">
        <v>16</v>
      </c>
      <c r="AL3983" s="115" t="s">
        <v>28</v>
      </c>
      <c r="AM3983" s="115" t="s">
        <v>1846</v>
      </c>
      <c r="AN3983" s="115" t="s">
        <v>1462</v>
      </c>
      <c r="AO3983" s="115" t="s">
        <v>1646</v>
      </c>
    </row>
    <row r="3984" spans="35:41" ht="13">
      <c r="AI3984" s="115" t="s">
        <v>1415</v>
      </c>
      <c r="AJ3984" t="s">
        <v>2114</v>
      </c>
      <c r="AK3984" s="115">
        <v>16</v>
      </c>
      <c r="AL3984" s="115" t="s">
        <v>28</v>
      </c>
      <c r="AM3984" s="115" t="s">
        <v>1843</v>
      </c>
      <c r="AN3984" s="115" t="s">
        <v>1462</v>
      </c>
      <c r="AO3984" s="115" t="s">
        <v>1646</v>
      </c>
    </row>
    <row r="3985" spans="35:41" ht="13">
      <c r="AI3985" s="115" t="s">
        <v>1415</v>
      </c>
      <c r="AJ3985" t="s">
        <v>2114</v>
      </c>
      <c r="AK3985" s="115">
        <v>16</v>
      </c>
      <c r="AL3985" s="115" t="s">
        <v>28</v>
      </c>
      <c r="AM3985" s="115" t="s">
        <v>1843</v>
      </c>
      <c r="AN3985" s="115" t="s">
        <v>1462</v>
      </c>
      <c r="AO3985" s="115" t="s">
        <v>1647</v>
      </c>
    </row>
    <row r="3986" spans="35:41" ht="13">
      <c r="AI3986" s="115" t="s">
        <v>1415</v>
      </c>
      <c r="AJ3986" t="s">
        <v>2114</v>
      </c>
      <c r="AK3986" s="115">
        <v>16</v>
      </c>
      <c r="AL3986" s="115" t="s">
        <v>28</v>
      </c>
      <c r="AM3986" s="115" t="s">
        <v>1846</v>
      </c>
      <c r="AN3986" s="115" t="s">
        <v>1462</v>
      </c>
      <c r="AO3986" s="115" t="s">
        <v>1647</v>
      </c>
    </row>
    <row r="3987" spans="35:41" ht="13">
      <c r="AI3987" s="115" t="s">
        <v>1415</v>
      </c>
      <c r="AJ3987" t="s">
        <v>2114</v>
      </c>
      <c r="AK3987" s="115">
        <v>16</v>
      </c>
      <c r="AL3987" s="115" t="s">
        <v>28</v>
      </c>
      <c r="AM3987" s="115" t="s">
        <v>1846</v>
      </c>
      <c r="AN3987" s="115" t="s">
        <v>1462</v>
      </c>
      <c r="AO3987" s="115" t="s">
        <v>1639</v>
      </c>
    </row>
    <row r="3988" spans="35:41" ht="13">
      <c r="AI3988" s="115" t="s">
        <v>1415</v>
      </c>
      <c r="AJ3988" t="s">
        <v>2114</v>
      </c>
      <c r="AK3988" s="115">
        <v>16</v>
      </c>
      <c r="AL3988" s="115" t="s">
        <v>28</v>
      </c>
      <c r="AM3988" s="115" t="s">
        <v>1843</v>
      </c>
      <c r="AN3988" s="115" t="s">
        <v>1462</v>
      </c>
      <c r="AO3988" s="115" t="s">
        <v>1639</v>
      </c>
    </row>
    <row r="3989" spans="35:41" ht="13">
      <c r="AI3989" s="115" t="s">
        <v>1415</v>
      </c>
      <c r="AJ3989" t="s">
        <v>2114</v>
      </c>
      <c r="AK3989" s="115">
        <v>16</v>
      </c>
      <c r="AL3989" s="115" t="s">
        <v>28</v>
      </c>
      <c r="AM3989" s="115" t="s">
        <v>1849</v>
      </c>
      <c r="AN3989" s="115" t="s">
        <v>1462</v>
      </c>
      <c r="AO3989" s="115" t="s">
        <v>373</v>
      </c>
    </row>
    <row r="3990" spans="35:41" ht="13">
      <c r="AI3990" s="115" t="s">
        <v>1415</v>
      </c>
      <c r="AJ3990" t="s">
        <v>2114</v>
      </c>
      <c r="AK3990" s="115">
        <v>16</v>
      </c>
      <c r="AL3990" s="115" t="s">
        <v>28</v>
      </c>
      <c r="AM3990" s="115" t="s">
        <v>1850</v>
      </c>
      <c r="AN3990" s="115" t="s">
        <v>1462</v>
      </c>
      <c r="AO3990" s="115" t="s">
        <v>373</v>
      </c>
    </row>
    <row r="3991" spans="35:41" ht="13">
      <c r="AI3991" s="115" t="s">
        <v>1415</v>
      </c>
      <c r="AJ3991" t="s">
        <v>2114</v>
      </c>
      <c r="AK3991" s="115">
        <v>16</v>
      </c>
      <c r="AL3991" s="115" t="s">
        <v>28</v>
      </c>
      <c r="AM3991" s="115" t="s">
        <v>1843</v>
      </c>
      <c r="AN3991" s="115" t="s">
        <v>1462</v>
      </c>
      <c r="AO3991" s="115" t="s">
        <v>373</v>
      </c>
    </row>
    <row r="3992" spans="35:41" ht="13">
      <c r="AI3992" s="115" t="s">
        <v>1415</v>
      </c>
      <c r="AJ3992" t="s">
        <v>2114</v>
      </c>
      <c r="AK3992" s="115">
        <v>16</v>
      </c>
      <c r="AL3992" s="115" t="s">
        <v>28</v>
      </c>
      <c r="AM3992" s="115" t="s">
        <v>1832</v>
      </c>
      <c r="AN3992" s="115" t="s">
        <v>1462</v>
      </c>
      <c r="AO3992" s="115" t="s">
        <v>373</v>
      </c>
    </row>
    <row r="3993" spans="35:41" ht="13">
      <c r="AI3993" s="115" t="s">
        <v>1415</v>
      </c>
      <c r="AJ3993" t="s">
        <v>2114</v>
      </c>
      <c r="AK3993" s="115">
        <v>16</v>
      </c>
      <c r="AL3993" s="115" t="s">
        <v>28</v>
      </c>
      <c r="AM3993" s="115" t="s">
        <v>1846</v>
      </c>
      <c r="AN3993" s="115" t="s">
        <v>1462</v>
      </c>
      <c r="AO3993" s="115" t="s">
        <v>373</v>
      </c>
    </row>
    <row r="3994" spans="35:41" ht="13">
      <c r="AI3994" s="115" t="s">
        <v>1415</v>
      </c>
      <c r="AJ3994" t="s">
        <v>2114</v>
      </c>
      <c r="AK3994" s="115">
        <v>16</v>
      </c>
      <c r="AL3994" s="115" t="s">
        <v>28</v>
      </c>
      <c r="AM3994" s="115" t="s">
        <v>1848</v>
      </c>
      <c r="AN3994" s="115" t="s">
        <v>1462</v>
      </c>
      <c r="AO3994" s="115" t="s">
        <v>373</v>
      </c>
    </row>
    <row r="3995" spans="35:41" ht="13">
      <c r="AI3995" s="115" t="s">
        <v>1415</v>
      </c>
      <c r="AJ3995" t="s">
        <v>2114</v>
      </c>
      <c r="AK3995" s="115">
        <v>16</v>
      </c>
      <c r="AL3995" s="115" t="s">
        <v>28</v>
      </c>
      <c r="AM3995" s="115" t="s">
        <v>1832</v>
      </c>
      <c r="AN3995" s="115" t="s">
        <v>1462</v>
      </c>
      <c r="AO3995" s="115" t="s">
        <v>380</v>
      </c>
    </row>
    <row r="3996" spans="35:41" ht="13">
      <c r="AI3996" s="115" t="s">
        <v>1415</v>
      </c>
      <c r="AJ3996" t="s">
        <v>2114</v>
      </c>
      <c r="AK3996" s="115">
        <v>16</v>
      </c>
      <c r="AL3996" s="115" t="s">
        <v>28</v>
      </c>
      <c r="AM3996" s="115" t="s">
        <v>1850</v>
      </c>
      <c r="AN3996" s="115" t="s">
        <v>1462</v>
      </c>
      <c r="AO3996" s="115" t="s">
        <v>380</v>
      </c>
    </row>
    <row r="3997" spans="35:41" ht="13">
      <c r="AI3997" s="115" t="s">
        <v>1415</v>
      </c>
      <c r="AJ3997" t="s">
        <v>2114</v>
      </c>
      <c r="AK3997" s="115">
        <v>16</v>
      </c>
      <c r="AL3997" s="115" t="s">
        <v>28</v>
      </c>
      <c r="AM3997" s="115" t="s">
        <v>1843</v>
      </c>
      <c r="AN3997" s="115" t="s">
        <v>1462</v>
      </c>
      <c r="AO3997" s="115" t="s">
        <v>380</v>
      </c>
    </row>
    <row r="3998" spans="35:41" ht="13">
      <c r="AI3998" s="115" t="s">
        <v>1415</v>
      </c>
      <c r="AJ3998" t="s">
        <v>2114</v>
      </c>
      <c r="AK3998" s="115">
        <v>16</v>
      </c>
      <c r="AL3998" s="115" t="s">
        <v>28</v>
      </c>
      <c r="AM3998" s="115" t="s">
        <v>1846</v>
      </c>
      <c r="AN3998" s="115" t="s">
        <v>1462</v>
      </c>
      <c r="AO3998" s="115" t="s">
        <v>380</v>
      </c>
    </row>
    <row r="3999" spans="35:41" ht="13">
      <c r="AI3999" s="115" t="s">
        <v>1415</v>
      </c>
      <c r="AJ3999" t="s">
        <v>2114</v>
      </c>
      <c r="AK3999" s="115">
        <v>16</v>
      </c>
      <c r="AL3999" s="115" t="s">
        <v>28</v>
      </c>
      <c r="AM3999" s="115" t="s">
        <v>1849</v>
      </c>
      <c r="AN3999" s="115" t="s">
        <v>1462</v>
      </c>
      <c r="AO3999" s="115" t="s">
        <v>380</v>
      </c>
    </row>
    <row r="4000" spans="35:41" ht="13">
      <c r="AI4000" s="115" t="s">
        <v>1415</v>
      </c>
      <c r="AJ4000" t="s">
        <v>2114</v>
      </c>
      <c r="AK4000" s="115">
        <v>16</v>
      </c>
      <c r="AL4000" s="115" t="s">
        <v>28</v>
      </c>
      <c r="AM4000" s="115" t="s">
        <v>1848</v>
      </c>
      <c r="AN4000" s="115" t="s">
        <v>1462</v>
      </c>
      <c r="AO4000" s="115" t="s">
        <v>380</v>
      </c>
    </row>
    <row r="4001" spans="35:41" ht="13">
      <c r="AI4001" s="115" t="s">
        <v>1415</v>
      </c>
      <c r="AJ4001" t="s">
        <v>2114</v>
      </c>
      <c r="AK4001" s="115">
        <v>16</v>
      </c>
      <c r="AL4001" s="115" t="s">
        <v>28</v>
      </c>
      <c r="AM4001" s="115" t="s">
        <v>1843</v>
      </c>
      <c r="AN4001" s="115" t="s">
        <v>1460</v>
      </c>
      <c r="AO4001" s="115" t="s">
        <v>1646</v>
      </c>
    </row>
    <row r="4002" spans="35:41" ht="13">
      <c r="AI4002" s="115" t="s">
        <v>1415</v>
      </c>
      <c r="AJ4002" t="s">
        <v>2114</v>
      </c>
      <c r="AK4002" s="115">
        <v>16</v>
      </c>
      <c r="AL4002" s="115" t="s">
        <v>28</v>
      </c>
      <c r="AM4002" s="115" t="s">
        <v>1846</v>
      </c>
      <c r="AN4002" s="115" t="s">
        <v>1460</v>
      </c>
      <c r="AO4002" s="115" t="s">
        <v>1646</v>
      </c>
    </row>
    <row r="4003" spans="35:41" ht="13">
      <c r="AI4003" s="115" t="s">
        <v>1415</v>
      </c>
      <c r="AJ4003" t="s">
        <v>2114</v>
      </c>
      <c r="AK4003" s="115">
        <v>16</v>
      </c>
      <c r="AL4003" s="115" t="s">
        <v>28</v>
      </c>
      <c r="AM4003" s="115" t="s">
        <v>1843</v>
      </c>
      <c r="AN4003" s="115" t="s">
        <v>1460</v>
      </c>
      <c r="AO4003" s="115" t="s">
        <v>380</v>
      </c>
    </row>
    <row r="4004" spans="35:41" ht="13">
      <c r="AI4004" s="115" t="s">
        <v>1415</v>
      </c>
      <c r="AJ4004" t="s">
        <v>2114</v>
      </c>
      <c r="AK4004" s="115">
        <v>16</v>
      </c>
      <c r="AL4004" s="115" t="s">
        <v>28</v>
      </c>
      <c r="AM4004" s="115" t="s">
        <v>1832</v>
      </c>
      <c r="AN4004" s="115" t="s">
        <v>1460</v>
      </c>
      <c r="AO4004" s="115" t="s">
        <v>380</v>
      </c>
    </row>
    <row r="4005" spans="35:41" ht="13">
      <c r="AI4005" s="115" t="s">
        <v>1415</v>
      </c>
      <c r="AJ4005" t="s">
        <v>2114</v>
      </c>
      <c r="AK4005" s="115">
        <v>16</v>
      </c>
      <c r="AL4005" s="115" t="s">
        <v>28</v>
      </c>
      <c r="AM4005" s="115" t="s">
        <v>1849</v>
      </c>
      <c r="AN4005" s="115" t="s">
        <v>1460</v>
      </c>
      <c r="AO4005" s="115" t="s">
        <v>380</v>
      </c>
    </row>
    <row r="4006" spans="35:41" ht="13">
      <c r="AI4006" s="115" t="s">
        <v>1415</v>
      </c>
      <c r="AJ4006" t="s">
        <v>2114</v>
      </c>
      <c r="AK4006" s="115">
        <v>16</v>
      </c>
      <c r="AL4006" s="115" t="s">
        <v>28</v>
      </c>
      <c r="AM4006" s="115" t="s">
        <v>1848</v>
      </c>
      <c r="AN4006" s="115" t="s">
        <v>1460</v>
      </c>
      <c r="AO4006" s="115" t="s">
        <v>380</v>
      </c>
    </row>
    <row r="4007" spans="35:41" ht="13">
      <c r="AI4007" s="115" t="s">
        <v>1415</v>
      </c>
      <c r="AJ4007" t="s">
        <v>2114</v>
      </c>
      <c r="AK4007" s="115">
        <v>16</v>
      </c>
      <c r="AL4007" s="115" t="s">
        <v>28</v>
      </c>
      <c r="AM4007" s="115" t="s">
        <v>1846</v>
      </c>
      <c r="AN4007" s="115" t="s">
        <v>1460</v>
      </c>
      <c r="AO4007" s="115" t="s">
        <v>380</v>
      </c>
    </row>
    <row r="4008" spans="35:41" ht="13">
      <c r="AI4008" s="115" t="s">
        <v>1415</v>
      </c>
      <c r="AJ4008" t="s">
        <v>2114</v>
      </c>
      <c r="AK4008" s="115">
        <v>16</v>
      </c>
      <c r="AL4008" s="115" t="s">
        <v>28</v>
      </c>
      <c r="AM4008" s="115" t="s">
        <v>1850</v>
      </c>
      <c r="AN4008" s="115" t="s">
        <v>1460</v>
      </c>
      <c r="AO4008" s="115" t="s">
        <v>380</v>
      </c>
    </row>
    <row r="4009" spans="35:41" ht="13">
      <c r="AI4009" s="115" t="s">
        <v>1415</v>
      </c>
      <c r="AJ4009" t="s">
        <v>2114</v>
      </c>
      <c r="AK4009" s="115">
        <v>16</v>
      </c>
      <c r="AL4009" s="115" t="s">
        <v>28</v>
      </c>
      <c r="AM4009" s="115" t="s">
        <v>1843</v>
      </c>
      <c r="AN4009" s="115" t="s">
        <v>1418</v>
      </c>
      <c r="AO4009" s="115" t="s">
        <v>1643</v>
      </c>
    </row>
    <row r="4010" spans="35:41" ht="13">
      <c r="AI4010" s="115" t="s">
        <v>1415</v>
      </c>
      <c r="AJ4010" t="s">
        <v>2114</v>
      </c>
      <c r="AK4010" s="115">
        <v>16</v>
      </c>
      <c r="AL4010" s="115" t="s">
        <v>28</v>
      </c>
      <c r="AM4010" s="115" t="s">
        <v>1850</v>
      </c>
      <c r="AN4010" s="115" t="s">
        <v>1418</v>
      </c>
      <c r="AO4010" s="115" t="s">
        <v>1643</v>
      </c>
    </row>
    <row r="4011" spans="35:41" ht="13">
      <c r="AI4011" s="115" t="s">
        <v>1415</v>
      </c>
      <c r="AJ4011" t="s">
        <v>2114</v>
      </c>
      <c r="AK4011" s="115">
        <v>16</v>
      </c>
      <c r="AL4011" s="115" t="s">
        <v>28</v>
      </c>
      <c r="AM4011" s="115" t="s">
        <v>1846</v>
      </c>
      <c r="AN4011" s="115" t="s">
        <v>1418</v>
      </c>
      <c r="AO4011" s="115" t="s">
        <v>1643</v>
      </c>
    </row>
    <row r="4012" spans="35:41" ht="13">
      <c r="AI4012" s="115" t="s">
        <v>1415</v>
      </c>
      <c r="AJ4012" t="s">
        <v>2114</v>
      </c>
      <c r="AK4012" s="115">
        <v>16</v>
      </c>
      <c r="AL4012" s="115" t="s">
        <v>28</v>
      </c>
      <c r="AM4012" s="115" t="s">
        <v>1849</v>
      </c>
      <c r="AN4012" s="115" t="s">
        <v>1418</v>
      </c>
      <c r="AO4012" s="115" t="s">
        <v>1643</v>
      </c>
    </row>
    <row r="4013" spans="35:41" ht="13">
      <c r="AI4013" s="115" t="s">
        <v>1415</v>
      </c>
      <c r="AJ4013" t="s">
        <v>2114</v>
      </c>
      <c r="AK4013" s="115">
        <v>16</v>
      </c>
      <c r="AL4013" s="115" t="s">
        <v>28</v>
      </c>
      <c r="AM4013" s="115" t="s">
        <v>1848</v>
      </c>
      <c r="AN4013" s="115" t="s">
        <v>1418</v>
      </c>
      <c r="AO4013" s="115" t="s">
        <v>1643</v>
      </c>
    </row>
    <row r="4014" spans="35:41" ht="13">
      <c r="AI4014" s="115" t="s">
        <v>1415</v>
      </c>
      <c r="AJ4014" t="s">
        <v>2114</v>
      </c>
      <c r="AK4014" s="115">
        <v>16</v>
      </c>
      <c r="AL4014" s="115" t="s">
        <v>28</v>
      </c>
      <c r="AM4014" s="115" t="s">
        <v>1832</v>
      </c>
      <c r="AN4014" s="115" t="s">
        <v>1418</v>
      </c>
      <c r="AO4014" s="115" t="s">
        <v>1643</v>
      </c>
    </row>
    <row r="4015" spans="35:41" ht="13">
      <c r="AI4015" s="115" t="s">
        <v>1415</v>
      </c>
      <c r="AJ4015" t="s">
        <v>2114</v>
      </c>
      <c r="AK4015" s="115">
        <v>16</v>
      </c>
      <c r="AL4015" s="115" t="s">
        <v>28</v>
      </c>
      <c r="AM4015" s="115" t="s">
        <v>1850</v>
      </c>
      <c r="AN4015" s="115" t="s">
        <v>1418</v>
      </c>
      <c r="AO4015" s="115" t="s">
        <v>1642</v>
      </c>
    </row>
    <row r="4016" spans="35:41" ht="13">
      <c r="AI4016" s="115" t="s">
        <v>1415</v>
      </c>
      <c r="AJ4016" t="s">
        <v>2114</v>
      </c>
      <c r="AK4016" s="115">
        <v>16</v>
      </c>
      <c r="AL4016" s="115" t="s">
        <v>28</v>
      </c>
      <c r="AM4016" s="115" t="s">
        <v>1843</v>
      </c>
      <c r="AN4016" s="115" t="s">
        <v>1418</v>
      </c>
      <c r="AO4016" s="115" t="s">
        <v>1642</v>
      </c>
    </row>
    <row r="4017" spans="35:41" ht="13">
      <c r="AI4017" s="115" t="s">
        <v>1415</v>
      </c>
      <c r="AJ4017" t="s">
        <v>2114</v>
      </c>
      <c r="AK4017" s="115">
        <v>16</v>
      </c>
      <c r="AL4017" s="115" t="s">
        <v>28</v>
      </c>
      <c r="AM4017" s="115" t="s">
        <v>1848</v>
      </c>
      <c r="AN4017" s="115" t="s">
        <v>1418</v>
      </c>
      <c r="AO4017" s="115" t="s">
        <v>1642</v>
      </c>
    </row>
    <row r="4018" spans="35:41" ht="13">
      <c r="AI4018" s="115" t="s">
        <v>1415</v>
      </c>
      <c r="AJ4018" t="s">
        <v>2114</v>
      </c>
      <c r="AK4018" s="115">
        <v>16</v>
      </c>
      <c r="AL4018" s="115" t="s">
        <v>28</v>
      </c>
      <c r="AM4018" s="115" t="s">
        <v>1832</v>
      </c>
      <c r="AN4018" s="115" t="s">
        <v>1418</v>
      </c>
      <c r="AO4018" s="115" t="s">
        <v>1642</v>
      </c>
    </row>
    <row r="4019" spans="35:41" ht="13">
      <c r="AI4019" s="115" t="s">
        <v>1415</v>
      </c>
      <c r="AJ4019" t="s">
        <v>2114</v>
      </c>
      <c r="AK4019" s="115">
        <v>16</v>
      </c>
      <c r="AL4019" s="115" t="s">
        <v>28</v>
      </c>
      <c r="AM4019" s="115" t="s">
        <v>1849</v>
      </c>
      <c r="AN4019" s="115" t="s">
        <v>1418</v>
      </c>
      <c r="AO4019" s="115" t="s">
        <v>379</v>
      </c>
    </row>
    <row r="4020" spans="35:41" ht="13">
      <c r="AI4020" s="115" t="s">
        <v>1415</v>
      </c>
      <c r="AJ4020" t="s">
        <v>2114</v>
      </c>
      <c r="AK4020" s="115">
        <v>16</v>
      </c>
      <c r="AL4020" s="115" t="s">
        <v>28</v>
      </c>
      <c r="AM4020" s="115" t="s">
        <v>1843</v>
      </c>
      <c r="AN4020" s="115" t="s">
        <v>1418</v>
      </c>
      <c r="AO4020" s="115" t="s">
        <v>379</v>
      </c>
    </row>
    <row r="4021" spans="35:41" ht="13">
      <c r="AI4021" s="115" t="s">
        <v>1415</v>
      </c>
      <c r="AJ4021" t="s">
        <v>2114</v>
      </c>
      <c r="AK4021" s="115">
        <v>16</v>
      </c>
      <c r="AL4021" s="115" t="s">
        <v>28</v>
      </c>
      <c r="AM4021" s="115" t="s">
        <v>1848</v>
      </c>
      <c r="AN4021" s="115" t="s">
        <v>1418</v>
      </c>
      <c r="AO4021" s="115" t="s">
        <v>379</v>
      </c>
    </row>
    <row r="4022" spans="35:41" ht="13">
      <c r="AI4022" s="115" t="s">
        <v>1415</v>
      </c>
      <c r="AJ4022" t="s">
        <v>2114</v>
      </c>
      <c r="AK4022" s="115">
        <v>16</v>
      </c>
      <c r="AL4022" s="115" t="s">
        <v>28</v>
      </c>
      <c r="AM4022" s="115" t="s">
        <v>1832</v>
      </c>
      <c r="AN4022" s="115" t="s">
        <v>1418</v>
      </c>
      <c r="AO4022" s="115" t="s">
        <v>379</v>
      </c>
    </row>
    <row r="4023" spans="35:41" ht="13">
      <c r="AI4023" s="115" t="s">
        <v>1415</v>
      </c>
      <c r="AJ4023" t="s">
        <v>2114</v>
      </c>
      <c r="AK4023" s="115">
        <v>16</v>
      </c>
      <c r="AL4023" s="115" t="s">
        <v>28</v>
      </c>
      <c r="AM4023" s="115" t="s">
        <v>1846</v>
      </c>
      <c r="AN4023" s="115" t="s">
        <v>1418</v>
      </c>
      <c r="AO4023" s="115" t="s">
        <v>379</v>
      </c>
    </row>
    <row r="4024" spans="35:41" ht="13">
      <c r="AI4024" s="115" t="s">
        <v>1415</v>
      </c>
      <c r="AJ4024" t="s">
        <v>2114</v>
      </c>
      <c r="AK4024" s="115">
        <v>16</v>
      </c>
      <c r="AL4024" s="115" t="s">
        <v>28</v>
      </c>
      <c r="AM4024" s="115" t="s">
        <v>1850</v>
      </c>
      <c r="AN4024" s="115" t="s">
        <v>1418</v>
      </c>
      <c r="AO4024" s="115" t="s">
        <v>379</v>
      </c>
    </row>
    <row r="4025" spans="35:41" ht="13">
      <c r="AI4025" s="115" t="s">
        <v>1415</v>
      </c>
      <c r="AJ4025" t="s">
        <v>2114</v>
      </c>
      <c r="AK4025" s="115">
        <v>16</v>
      </c>
      <c r="AL4025" s="115" t="s">
        <v>28</v>
      </c>
      <c r="AM4025" s="115" t="s">
        <v>1850</v>
      </c>
      <c r="AN4025" s="115" t="s">
        <v>1418</v>
      </c>
      <c r="AO4025" s="115" t="s">
        <v>373</v>
      </c>
    </row>
    <row r="4026" spans="35:41" ht="13">
      <c r="AI4026" s="115" t="s">
        <v>1415</v>
      </c>
      <c r="AJ4026" t="s">
        <v>2114</v>
      </c>
      <c r="AK4026" s="115">
        <v>16</v>
      </c>
      <c r="AL4026" s="115" t="s">
        <v>28</v>
      </c>
      <c r="AM4026" s="115" t="s">
        <v>1849</v>
      </c>
      <c r="AN4026" s="115" t="s">
        <v>1418</v>
      </c>
      <c r="AO4026" s="115" t="s">
        <v>373</v>
      </c>
    </row>
    <row r="4027" spans="35:41" ht="13">
      <c r="AI4027" s="115" t="s">
        <v>1415</v>
      </c>
      <c r="AJ4027" t="s">
        <v>2114</v>
      </c>
      <c r="AK4027" s="115">
        <v>16</v>
      </c>
      <c r="AL4027" s="115" t="s">
        <v>28</v>
      </c>
      <c r="AM4027" s="115" t="s">
        <v>1832</v>
      </c>
      <c r="AN4027" s="115" t="s">
        <v>1418</v>
      </c>
      <c r="AO4027" s="115" t="s">
        <v>373</v>
      </c>
    </row>
    <row r="4028" spans="35:41" ht="13">
      <c r="AI4028" s="115" t="s">
        <v>1415</v>
      </c>
      <c r="AJ4028" t="s">
        <v>2114</v>
      </c>
      <c r="AK4028" s="115">
        <v>16</v>
      </c>
      <c r="AL4028" s="115" t="s">
        <v>28</v>
      </c>
      <c r="AM4028" s="115" t="s">
        <v>1848</v>
      </c>
      <c r="AN4028" s="115" t="s">
        <v>1418</v>
      </c>
      <c r="AO4028" s="115" t="s">
        <v>373</v>
      </c>
    </row>
    <row r="4029" spans="35:41" ht="13">
      <c r="AI4029" s="115" t="s">
        <v>1415</v>
      </c>
      <c r="AJ4029" t="s">
        <v>2114</v>
      </c>
      <c r="AK4029" s="115">
        <v>16</v>
      </c>
      <c r="AL4029" s="115" t="s">
        <v>28</v>
      </c>
      <c r="AM4029" s="115" t="s">
        <v>1846</v>
      </c>
      <c r="AN4029" s="115" t="s">
        <v>1418</v>
      </c>
      <c r="AO4029" s="115" t="s">
        <v>373</v>
      </c>
    </row>
    <row r="4030" spans="35:41" ht="13">
      <c r="AI4030" s="115" t="s">
        <v>1415</v>
      </c>
      <c r="AJ4030" t="s">
        <v>2114</v>
      </c>
      <c r="AK4030" s="115">
        <v>16</v>
      </c>
      <c r="AL4030" s="115" t="s">
        <v>28</v>
      </c>
      <c r="AM4030" s="115" t="s">
        <v>1843</v>
      </c>
      <c r="AN4030" s="115" t="s">
        <v>1418</v>
      </c>
      <c r="AO4030" s="115" t="s">
        <v>373</v>
      </c>
    </row>
    <row r="4031" spans="35:41" ht="13">
      <c r="AI4031" s="115" t="s">
        <v>1415</v>
      </c>
      <c r="AJ4031" t="s">
        <v>2114</v>
      </c>
      <c r="AK4031" s="115">
        <v>16</v>
      </c>
      <c r="AL4031" s="115" t="s">
        <v>28</v>
      </c>
      <c r="AM4031" s="115" t="s">
        <v>1846</v>
      </c>
      <c r="AN4031" s="115" t="s">
        <v>1632</v>
      </c>
      <c r="AO4031" s="115" t="s">
        <v>1274</v>
      </c>
    </row>
    <row r="4032" spans="35:41" ht="13">
      <c r="AI4032" s="115" t="s">
        <v>1415</v>
      </c>
      <c r="AJ4032" t="s">
        <v>2114</v>
      </c>
      <c r="AK4032" s="115">
        <v>16</v>
      </c>
      <c r="AL4032" s="115" t="s">
        <v>28</v>
      </c>
      <c r="AM4032" s="115" t="s">
        <v>1848</v>
      </c>
      <c r="AN4032" s="115" t="s">
        <v>1632</v>
      </c>
      <c r="AO4032" s="115" t="s">
        <v>1274</v>
      </c>
    </row>
    <row r="4033" spans="35:41" ht="13">
      <c r="AI4033" s="115" t="s">
        <v>1415</v>
      </c>
      <c r="AJ4033" t="s">
        <v>2114</v>
      </c>
      <c r="AK4033" s="115">
        <v>16</v>
      </c>
      <c r="AL4033" s="115" t="s">
        <v>28</v>
      </c>
      <c r="AM4033" s="115" t="s">
        <v>1850</v>
      </c>
      <c r="AN4033" s="115" t="s">
        <v>1632</v>
      </c>
      <c r="AO4033" s="115" t="s">
        <v>1274</v>
      </c>
    </row>
    <row r="4034" spans="35:41" ht="13">
      <c r="AI4034" s="115" t="s">
        <v>1415</v>
      </c>
      <c r="AJ4034" t="s">
        <v>2114</v>
      </c>
      <c r="AK4034" s="115">
        <v>16</v>
      </c>
      <c r="AL4034" s="115" t="s">
        <v>28</v>
      </c>
      <c r="AM4034" s="115" t="s">
        <v>1843</v>
      </c>
      <c r="AN4034" s="115" t="s">
        <v>1632</v>
      </c>
      <c r="AO4034" s="115" t="s">
        <v>1274</v>
      </c>
    </row>
    <row r="4035" spans="35:41" ht="13">
      <c r="AI4035" s="115" t="s">
        <v>1415</v>
      </c>
      <c r="AJ4035" t="s">
        <v>2114</v>
      </c>
      <c r="AK4035" s="115">
        <v>16</v>
      </c>
      <c r="AL4035" s="115" t="s">
        <v>28</v>
      </c>
      <c r="AM4035" s="115" t="s">
        <v>1849</v>
      </c>
      <c r="AN4035" s="115" t="s">
        <v>1632</v>
      </c>
      <c r="AO4035" s="115" t="s">
        <v>1274</v>
      </c>
    </row>
    <row r="4036" spans="35:41" ht="13">
      <c r="AI4036" s="115" t="s">
        <v>1415</v>
      </c>
      <c r="AJ4036" t="s">
        <v>2114</v>
      </c>
      <c r="AK4036" s="115">
        <v>16</v>
      </c>
      <c r="AL4036" s="115" t="s">
        <v>28</v>
      </c>
      <c r="AM4036" s="115" t="s">
        <v>1832</v>
      </c>
      <c r="AN4036" s="115" t="s">
        <v>1632</v>
      </c>
      <c r="AO4036" s="115" t="s">
        <v>1274</v>
      </c>
    </row>
    <row r="4037" spans="35:41" ht="13">
      <c r="AI4037" s="115" t="s">
        <v>1415</v>
      </c>
      <c r="AJ4037" t="s">
        <v>2114</v>
      </c>
      <c r="AK4037" s="115">
        <v>16</v>
      </c>
      <c r="AL4037" s="115" t="s">
        <v>28</v>
      </c>
      <c r="AM4037" s="115" t="s">
        <v>1848</v>
      </c>
      <c r="AN4037" s="115" t="s">
        <v>1632</v>
      </c>
      <c r="AO4037" s="115" t="s">
        <v>379</v>
      </c>
    </row>
    <row r="4038" spans="35:41" ht="13">
      <c r="AI4038" s="115" t="s">
        <v>1415</v>
      </c>
      <c r="AJ4038" t="s">
        <v>2114</v>
      </c>
      <c r="AK4038" s="115">
        <v>16</v>
      </c>
      <c r="AL4038" s="115" t="s">
        <v>28</v>
      </c>
      <c r="AM4038" s="115" t="s">
        <v>1843</v>
      </c>
      <c r="AN4038" s="115" t="s">
        <v>1632</v>
      </c>
      <c r="AO4038" s="115" t="s">
        <v>379</v>
      </c>
    </row>
    <row r="4039" spans="35:41" ht="13">
      <c r="AI4039" s="115" t="s">
        <v>1415</v>
      </c>
      <c r="AJ4039" t="s">
        <v>2114</v>
      </c>
      <c r="AK4039" s="115">
        <v>16</v>
      </c>
      <c r="AL4039" s="115" t="s">
        <v>28</v>
      </c>
      <c r="AM4039" s="115" t="s">
        <v>1846</v>
      </c>
      <c r="AN4039" s="115" t="s">
        <v>1632</v>
      </c>
      <c r="AO4039" s="115" t="s">
        <v>379</v>
      </c>
    </row>
    <row r="4040" spans="35:41" ht="13">
      <c r="AI4040" s="115" t="s">
        <v>1415</v>
      </c>
      <c r="AJ4040" t="s">
        <v>2114</v>
      </c>
      <c r="AK4040" s="115">
        <v>16</v>
      </c>
      <c r="AL4040" s="115" t="s">
        <v>28</v>
      </c>
      <c r="AM4040" s="115" t="s">
        <v>1850</v>
      </c>
      <c r="AN4040" s="115" t="s">
        <v>1632</v>
      </c>
      <c r="AO4040" s="115" t="s">
        <v>379</v>
      </c>
    </row>
    <row r="4041" spans="35:41" ht="13">
      <c r="AI4041" s="115" t="s">
        <v>1415</v>
      </c>
      <c r="AJ4041" t="s">
        <v>2114</v>
      </c>
      <c r="AK4041" s="115">
        <v>16</v>
      </c>
      <c r="AL4041" s="115" t="s">
        <v>28</v>
      </c>
      <c r="AM4041" s="115" t="s">
        <v>1832</v>
      </c>
      <c r="AN4041" s="115" t="s">
        <v>1632</v>
      </c>
      <c r="AO4041" s="115" t="s">
        <v>379</v>
      </c>
    </row>
    <row r="4042" spans="35:41" ht="13">
      <c r="AI4042" s="115" t="s">
        <v>1415</v>
      </c>
      <c r="AJ4042" t="s">
        <v>2114</v>
      </c>
      <c r="AK4042" s="115">
        <v>16</v>
      </c>
      <c r="AL4042" s="115" t="s">
        <v>28</v>
      </c>
      <c r="AM4042" s="115" t="s">
        <v>1849</v>
      </c>
      <c r="AN4042" s="115" t="s">
        <v>1632</v>
      </c>
      <c r="AO4042" s="115" t="s">
        <v>379</v>
      </c>
    </row>
    <row r="4043" spans="35:41" ht="13">
      <c r="AI4043" s="115" t="s">
        <v>1415</v>
      </c>
      <c r="AJ4043" t="s">
        <v>2114</v>
      </c>
      <c r="AK4043" s="115">
        <v>16</v>
      </c>
      <c r="AL4043" s="115" t="s">
        <v>28</v>
      </c>
      <c r="AM4043" s="115" t="s">
        <v>1843</v>
      </c>
      <c r="AN4043" s="115" t="s">
        <v>1632</v>
      </c>
      <c r="AO4043" s="115" t="s">
        <v>1639</v>
      </c>
    </row>
    <row r="4044" spans="35:41" ht="13">
      <c r="AI4044" s="115" t="s">
        <v>1415</v>
      </c>
      <c r="AJ4044" t="s">
        <v>2114</v>
      </c>
      <c r="AK4044" s="115">
        <v>16</v>
      </c>
      <c r="AL4044" s="115" t="s">
        <v>28</v>
      </c>
      <c r="AM4044" s="115" t="s">
        <v>1846</v>
      </c>
      <c r="AN4044" s="115" t="s">
        <v>1632</v>
      </c>
      <c r="AO4044" s="115" t="s">
        <v>1639</v>
      </c>
    </row>
    <row r="4045" spans="35:41" ht="13">
      <c r="AI4045" s="115" t="s">
        <v>1415</v>
      </c>
      <c r="AJ4045" t="s">
        <v>2114</v>
      </c>
      <c r="AK4045" s="115">
        <v>16</v>
      </c>
      <c r="AL4045" s="115" t="s">
        <v>28</v>
      </c>
      <c r="AM4045" s="115" t="s">
        <v>1848</v>
      </c>
      <c r="AN4045" s="115" t="s">
        <v>1632</v>
      </c>
      <c r="AO4045" s="115" t="s">
        <v>380</v>
      </c>
    </row>
    <row r="4046" spans="35:41" ht="13">
      <c r="AI4046" s="115" t="s">
        <v>1415</v>
      </c>
      <c r="AJ4046" t="s">
        <v>2114</v>
      </c>
      <c r="AK4046" s="115">
        <v>16</v>
      </c>
      <c r="AL4046" s="115" t="s">
        <v>28</v>
      </c>
      <c r="AM4046" s="115" t="s">
        <v>1832</v>
      </c>
      <c r="AN4046" s="115" t="s">
        <v>1632</v>
      </c>
      <c r="AO4046" s="115" t="s">
        <v>380</v>
      </c>
    </row>
    <row r="4047" spans="35:41" ht="13">
      <c r="AI4047" s="115" t="s">
        <v>1415</v>
      </c>
      <c r="AJ4047" t="s">
        <v>2114</v>
      </c>
      <c r="AK4047" s="115">
        <v>16</v>
      </c>
      <c r="AL4047" s="115" t="s">
        <v>28</v>
      </c>
      <c r="AM4047" s="115" t="s">
        <v>1850</v>
      </c>
      <c r="AN4047" s="115" t="s">
        <v>1632</v>
      </c>
      <c r="AO4047" s="115" t="s">
        <v>380</v>
      </c>
    </row>
    <row r="4048" spans="35:41" ht="13">
      <c r="AI4048" s="115" t="s">
        <v>1415</v>
      </c>
      <c r="AJ4048" t="s">
        <v>2114</v>
      </c>
      <c r="AK4048" s="115">
        <v>16</v>
      </c>
      <c r="AL4048" s="115" t="s">
        <v>28</v>
      </c>
      <c r="AM4048" s="115" t="s">
        <v>1849</v>
      </c>
      <c r="AN4048" s="115" t="s">
        <v>1632</v>
      </c>
      <c r="AO4048" s="115" t="s">
        <v>380</v>
      </c>
    </row>
    <row r="4049" spans="35:41" ht="13">
      <c r="AI4049" s="115" t="s">
        <v>1415</v>
      </c>
      <c r="AJ4049" t="s">
        <v>2114</v>
      </c>
      <c r="AK4049" s="115">
        <v>16</v>
      </c>
      <c r="AL4049" s="115" t="s">
        <v>28</v>
      </c>
      <c r="AM4049" s="115" t="s">
        <v>1843</v>
      </c>
      <c r="AN4049" s="115" t="s">
        <v>1632</v>
      </c>
      <c r="AO4049" s="115" t="s">
        <v>380</v>
      </c>
    </row>
    <row r="4050" spans="35:41" ht="13">
      <c r="AI4050" s="115" t="s">
        <v>1415</v>
      </c>
      <c r="AJ4050" t="s">
        <v>2114</v>
      </c>
      <c r="AK4050" s="115">
        <v>16</v>
      </c>
      <c r="AL4050" s="115" t="s">
        <v>28</v>
      </c>
      <c r="AM4050" s="115" t="s">
        <v>1846</v>
      </c>
      <c r="AN4050" s="115" t="s">
        <v>1632</v>
      </c>
      <c r="AO4050" s="115" t="s">
        <v>380</v>
      </c>
    </row>
    <row r="4051" spans="35:41" ht="13">
      <c r="AI4051" s="115" t="s">
        <v>1415</v>
      </c>
      <c r="AJ4051" t="s">
        <v>2114</v>
      </c>
      <c r="AK4051" s="115">
        <v>16</v>
      </c>
      <c r="AL4051" s="115" t="s">
        <v>28</v>
      </c>
      <c r="AM4051" s="115" t="s">
        <v>1850</v>
      </c>
      <c r="AN4051" s="115" t="s">
        <v>1421</v>
      </c>
      <c r="AO4051" s="115" t="s">
        <v>1643</v>
      </c>
    </row>
    <row r="4052" spans="35:41" ht="13">
      <c r="AI4052" s="115" t="s">
        <v>1415</v>
      </c>
      <c r="AJ4052" t="s">
        <v>2114</v>
      </c>
      <c r="AK4052" s="115">
        <v>16</v>
      </c>
      <c r="AL4052" s="115" t="s">
        <v>28</v>
      </c>
      <c r="AM4052" s="115" t="s">
        <v>1848</v>
      </c>
      <c r="AN4052" s="115" t="s">
        <v>1421</v>
      </c>
      <c r="AO4052" s="115" t="s">
        <v>1643</v>
      </c>
    </row>
    <row r="4053" spans="35:41" ht="13">
      <c r="AI4053" s="115" t="s">
        <v>1415</v>
      </c>
      <c r="AJ4053" t="s">
        <v>2114</v>
      </c>
      <c r="AK4053" s="115">
        <v>16</v>
      </c>
      <c r="AL4053" s="115" t="s">
        <v>28</v>
      </c>
      <c r="AM4053" s="115" t="s">
        <v>1849</v>
      </c>
      <c r="AN4053" s="115" t="s">
        <v>1421</v>
      </c>
      <c r="AO4053" s="115" t="s">
        <v>1643</v>
      </c>
    </row>
    <row r="4054" spans="35:41" ht="13">
      <c r="AI4054" s="115" t="s">
        <v>1415</v>
      </c>
      <c r="AJ4054" t="s">
        <v>2114</v>
      </c>
      <c r="AK4054" s="115">
        <v>16</v>
      </c>
      <c r="AL4054" s="115" t="s">
        <v>28</v>
      </c>
      <c r="AM4054" s="115" t="s">
        <v>1846</v>
      </c>
      <c r="AN4054" s="115" t="s">
        <v>1421</v>
      </c>
      <c r="AO4054" s="115" t="s">
        <v>1643</v>
      </c>
    </row>
    <row r="4055" spans="35:41" ht="13">
      <c r="AI4055" s="115" t="s">
        <v>1415</v>
      </c>
      <c r="AJ4055" t="s">
        <v>2114</v>
      </c>
      <c r="AK4055" s="115">
        <v>16</v>
      </c>
      <c r="AL4055" s="115" t="s">
        <v>28</v>
      </c>
      <c r="AM4055" s="115" t="s">
        <v>1832</v>
      </c>
      <c r="AN4055" s="115" t="s">
        <v>1421</v>
      </c>
      <c r="AO4055" s="115" t="s">
        <v>1643</v>
      </c>
    </row>
    <row r="4056" spans="35:41" ht="13">
      <c r="AI4056" s="115" t="s">
        <v>1415</v>
      </c>
      <c r="AJ4056" t="s">
        <v>2114</v>
      </c>
      <c r="AK4056" s="115">
        <v>16</v>
      </c>
      <c r="AL4056" s="115" t="s">
        <v>28</v>
      </c>
      <c r="AM4056" s="115" t="s">
        <v>1843</v>
      </c>
      <c r="AN4056" s="115" t="s">
        <v>1421</v>
      </c>
      <c r="AO4056" s="115" t="s">
        <v>1643</v>
      </c>
    </row>
    <row r="4057" spans="35:41" ht="13">
      <c r="AI4057" s="115" t="s">
        <v>1415</v>
      </c>
      <c r="AJ4057" t="s">
        <v>2114</v>
      </c>
      <c r="AK4057" s="115">
        <v>16</v>
      </c>
      <c r="AL4057" s="115" t="s">
        <v>28</v>
      </c>
      <c r="AM4057" s="115" t="s">
        <v>1850</v>
      </c>
      <c r="AN4057" s="115" t="s">
        <v>1421</v>
      </c>
      <c r="AO4057" s="115" t="s">
        <v>372</v>
      </c>
    </row>
    <row r="4058" spans="35:41" ht="13">
      <c r="AI4058" s="115" t="s">
        <v>1415</v>
      </c>
      <c r="AJ4058" t="s">
        <v>2114</v>
      </c>
      <c r="AK4058" s="115">
        <v>16</v>
      </c>
      <c r="AL4058" s="115" t="s">
        <v>28</v>
      </c>
      <c r="AM4058" s="115" t="s">
        <v>1848</v>
      </c>
      <c r="AN4058" s="115" t="s">
        <v>1421</v>
      </c>
      <c r="AO4058" s="115" t="s">
        <v>372</v>
      </c>
    </row>
    <row r="4059" spans="35:41" ht="13">
      <c r="AI4059" s="115" t="s">
        <v>1415</v>
      </c>
      <c r="AJ4059" t="s">
        <v>2114</v>
      </c>
      <c r="AK4059" s="115">
        <v>16</v>
      </c>
      <c r="AL4059" s="115" t="s">
        <v>28</v>
      </c>
      <c r="AM4059" s="115" t="s">
        <v>1843</v>
      </c>
      <c r="AN4059" s="115" t="s">
        <v>1421</v>
      </c>
      <c r="AO4059" s="115" t="s">
        <v>372</v>
      </c>
    </row>
    <row r="4060" spans="35:41" ht="13">
      <c r="AI4060" s="115" t="s">
        <v>1415</v>
      </c>
      <c r="AJ4060" t="s">
        <v>2114</v>
      </c>
      <c r="AK4060" s="115">
        <v>16</v>
      </c>
      <c r="AL4060" s="115" t="s">
        <v>28</v>
      </c>
      <c r="AM4060" s="115" t="s">
        <v>1832</v>
      </c>
      <c r="AN4060" s="115" t="s">
        <v>1421</v>
      </c>
      <c r="AO4060" s="115" t="s">
        <v>372</v>
      </c>
    </row>
    <row r="4061" spans="35:41" ht="13">
      <c r="AI4061" s="115" t="s">
        <v>1415</v>
      </c>
      <c r="AJ4061" t="s">
        <v>2114</v>
      </c>
      <c r="AK4061" s="115">
        <v>16</v>
      </c>
      <c r="AL4061" s="115" t="s">
        <v>28</v>
      </c>
      <c r="AM4061" s="115" t="s">
        <v>1846</v>
      </c>
      <c r="AN4061" s="115" t="s">
        <v>1421</v>
      </c>
      <c r="AO4061" s="115" t="s">
        <v>372</v>
      </c>
    </row>
    <row r="4062" spans="35:41" ht="13">
      <c r="AI4062" s="115" t="s">
        <v>1415</v>
      </c>
      <c r="AJ4062" t="s">
        <v>2114</v>
      </c>
      <c r="AK4062" s="115">
        <v>16</v>
      </c>
      <c r="AL4062" s="115" t="s">
        <v>28</v>
      </c>
      <c r="AM4062" s="115" t="s">
        <v>1849</v>
      </c>
      <c r="AN4062" s="115" t="s">
        <v>1421</v>
      </c>
      <c r="AO4062" s="115" t="s">
        <v>372</v>
      </c>
    </row>
    <row r="4063" spans="35:41" ht="13">
      <c r="AI4063" s="115" t="s">
        <v>1415</v>
      </c>
      <c r="AJ4063" t="s">
        <v>2114</v>
      </c>
      <c r="AK4063" s="115">
        <v>16</v>
      </c>
      <c r="AL4063" s="115" t="s">
        <v>28</v>
      </c>
      <c r="AM4063" s="115" t="s">
        <v>1848</v>
      </c>
      <c r="AN4063" s="115" t="s">
        <v>1627</v>
      </c>
      <c r="AO4063" s="115" t="s">
        <v>1274</v>
      </c>
    </row>
    <row r="4064" spans="35:41" ht="13">
      <c r="AI4064" s="115" t="s">
        <v>1415</v>
      </c>
      <c r="AJ4064" t="s">
        <v>2114</v>
      </c>
      <c r="AK4064" s="115">
        <v>16</v>
      </c>
      <c r="AL4064" s="115" t="s">
        <v>28</v>
      </c>
      <c r="AM4064" s="115" t="s">
        <v>1843</v>
      </c>
      <c r="AN4064" s="115" t="s">
        <v>1627</v>
      </c>
      <c r="AO4064" s="115" t="s">
        <v>1274</v>
      </c>
    </row>
    <row r="4065" spans="35:41" ht="13">
      <c r="AI4065" s="115" t="s">
        <v>1415</v>
      </c>
      <c r="AJ4065" t="s">
        <v>2114</v>
      </c>
      <c r="AK4065" s="115">
        <v>16</v>
      </c>
      <c r="AL4065" s="115" t="s">
        <v>28</v>
      </c>
      <c r="AM4065" s="115" t="s">
        <v>1832</v>
      </c>
      <c r="AN4065" s="115" t="s">
        <v>1627</v>
      </c>
      <c r="AO4065" s="115" t="s">
        <v>1274</v>
      </c>
    </row>
    <row r="4066" spans="35:41" ht="13">
      <c r="AI4066" s="115" t="s">
        <v>1415</v>
      </c>
      <c r="AJ4066" t="s">
        <v>2114</v>
      </c>
      <c r="AK4066" s="115">
        <v>16</v>
      </c>
      <c r="AL4066" s="115" t="s">
        <v>28</v>
      </c>
      <c r="AM4066" s="115" t="s">
        <v>1849</v>
      </c>
      <c r="AN4066" s="115" t="s">
        <v>1627</v>
      </c>
      <c r="AO4066" s="115" t="s">
        <v>1274</v>
      </c>
    </row>
    <row r="4067" spans="35:41" ht="13">
      <c r="AI4067" s="115" t="s">
        <v>1415</v>
      </c>
      <c r="AJ4067" t="s">
        <v>2114</v>
      </c>
      <c r="AK4067" s="115">
        <v>16</v>
      </c>
      <c r="AL4067" s="115" t="s">
        <v>28</v>
      </c>
      <c r="AM4067" s="115" t="s">
        <v>1850</v>
      </c>
      <c r="AN4067" s="115" t="s">
        <v>1627</v>
      </c>
      <c r="AO4067" s="115" t="s">
        <v>1274</v>
      </c>
    </row>
    <row r="4068" spans="35:41" ht="13">
      <c r="AI4068" s="115" t="s">
        <v>1415</v>
      </c>
      <c r="AJ4068" t="s">
        <v>2114</v>
      </c>
      <c r="AK4068" s="115">
        <v>16</v>
      </c>
      <c r="AL4068" s="115" t="s">
        <v>28</v>
      </c>
      <c r="AM4068" s="115" t="s">
        <v>1846</v>
      </c>
      <c r="AN4068" s="115" t="s">
        <v>1627</v>
      </c>
      <c r="AO4068" s="115" t="s">
        <v>1274</v>
      </c>
    </row>
    <row r="4069" spans="35:41" ht="13">
      <c r="AI4069" s="115" t="s">
        <v>1415</v>
      </c>
      <c r="AJ4069" t="s">
        <v>2114</v>
      </c>
      <c r="AK4069" s="115">
        <v>16</v>
      </c>
      <c r="AL4069" s="115" t="s">
        <v>28</v>
      </c>
      <c r="AM4069" s="115" t="s">
        <v>1848</v>
      </c>
      <c r="AN4069" s="115" t="s">
        <v>1627</v>
      </c>
      <c r="AO4069" s="115" t="s">
        <v>379</v>
      </c>
    </row>
    <row r="4070" spans="35:41" ht="13">
      <c r="AI4070" s="115" t="s">
        <v>1415</v>
      </c>
      <c r="AJ4070" t="s">
        <v>2114</v>
      </c>
      <c r="AK4070" s="115">
        <v>16</v>
      </c>
      <c r="AL4070" s="115" t="s">
        <v>28</v>
      </c>
      <c r="AM4070" s="115" t="s">
        <v>1843</v>
      </c>
      <c r="AN4070" s="115" t="s">
        <v>1627</v>
      </c>
      <c r="AO4070" s="115" t="s">
        <v>379</v>
      </c>
    </row>
    <row r="4071" spans="35:41" ht="13">
      <c r="AI4071" s="115" t="s">
        <v>1415</v>
      </c>
      <c r="AJ4071" t="s">
        <v>2114</v>
      </c>
      <c r="AK4071" s="115">
        <v>16</v>
      </c>
      <c r="AL4071" s="115" t="s">
        <v>28</v>
      </c>
      <c r="AM4071" s="115" t="s">
        <v>1849</v>
      </c>
      <c r="AN4071" s="115" t="s">
        <v>1627</v>
      </c>
      <c r="AO4071" s="115" t="s">
        <v>379</v>
      </c>
    </row>
    <row r="4072" spans="35:41" ht="13">
      <c r="AI4072" s="115" t="s">
        <v>1415</v>
      </c>
      <c r="AJ4072" t="s">
        <v>2114</v>
      </c>
      <c r="AK4072" s="115">
        <v>16</v>
      </c>
      <c r="AL4072" s="115" t="s">
        <v>28</v>
      </c>
      <c r="AM4072" s="115" t="s">
        <v>1850</v>
      </c>
      <c r="AN4072" s="115" t="s">
        <v>1627</v>
      </c>
      <c r="AO4072" s="115" t="s">
        <v>379</v>
      </c>
    </row>
    <row r="4073" spans="35:41" ht="13">
      <c r="AI4073" s="115" t="s">
        <v>1415</v>
      </c>
      <c r="AJ4073" t="s">
        <v>2114</v>
      </c>
      <c r="AK4073" s="115">
        <v>16</v>
      </c>
      <c r="AL4073" s="115" t="s">
        <v>28</v>
      </c>
      <c r="AM4073" s="115" t="s">
        <v>1832</v>
      </c>
      <c r="AN4073" s="115" t="s">
        <v>1627</v>
      </c>
      <c r="AO4073" s="115" t="s">
        <v>379</v>
      </c>
    </row>
    <row r="4074" spans="35:41" ht="13">
      <c r="AI4074" s="115" t="s">
        <v>1415</v>
      </c>
      <c r="AJ4074" t="s">
        <v>2114</v>
      </c>
      <c r="AK4074" s="115">
        <v>16</v>
      </c>
      <c r="AL4074" s="115" t="s">
        <v>28</v>
      </c>
      <c r="AM4074" s="115" t="s">
        <v>1846</v>
      </c>
      <c r="AN4074" s="115" t="s">
        <v>1627</v>
      </c>
      <c r="AO4074" s="115" t="s">
        <v>379</v>
      </c>
    </row>
    <row r="4075" spans="35:41" ht="13">
      <c r="AI4075" s="115" t="s">
        <v>1415</v>
      </c>
      <c r="AJ4075" t="s">
        <v>2114</v>
      </c>
      <c r="AK4075" s="115">
        <v>16</v>
      </c>
      <c r="AL4075" s="115" t="s">
        <v>28</v>
      </c>
      <c r="AM4075" s="115" t="s">
        <v>1846</v>
      </c>
      <c r="AN4075" s="115" t="s">
        <v>1627</v>
      </c>
      <c r="AO4075" s="115" t="s">
        <v>1639</v>
      </c>
    </row>
    <row r="4076" spans="35:41" ht="13">
      <c r="AI4076" s="115" t="s">
        <v>1415</v>
      </c>
      <c r="AJ4076" t="s">
        <v>2114</v>
      </c>
      <c r="AK4076" s="115">
        <v>16</v>
      </c>
      <c r="AL4076" s="115" t="s">
        <v>28</v>
      </c>
      <c r="AM4076" s="115" t="s">
        <v>1843</v>
      </c>
      <c r="AN4076" s="115" t="s">
        <v>1627</v>
      </c>
      <c r="AO4076" s="115" t="s">
        <v>1639</v>
      </c>
    </row>
    <row r="4077" spans="35:41" ht="13">
      <c r="AI4077" s="115" t="s">
        <v>1415</v>
      </c>
      <c r="AJ4077" t="s">
        <v>2114</v>
      </c>
      <c r="AK4077" s="115">
        <v>16</v>
      </c>
      <c r="AL4077" s="115" t="s">
        <v>28</v>
      </c>
      <c r="AM4077" s="115" t="s">
        <v>1832</v>
      </c>
      <c r="AN4077" s="115" t="s">
        <v>1607</v>
      </c>
      <c r="AO4077" s="115" t="s">
        <v>1644</v>
      </c>
    </row>
    <row r="4078" spans="35:41" ht="13">
      <c r="AI4078" s="115" t="s">
        <v>1415</v>
      </c>
      <c r="AJ4078" t="s">
        <v>2114</v>
      </c>
      <c r="AK4078" s="115">
        <v>16</v>
      </c>
      <c r="AL4078" s="115" t="s">
        <v>28</v>
      </c>
      <c r="AM4078" s="115" t="s">
        <v>1850</v>
      </c>
      <c r="AN4078" s="115" t="s">
        <v>1607</v>
      </c>
      <c r="AO4078" s="115" t="s">
        <v>1644</v>
      </c>
    </row>
    <row r="4079" spans="35:41" ht="13">
      <c r="AI4079" s="115" t="s">
        <v>1415</v>
      </c>
      <c r="AJ4079" t="s">
        <v>2114</v>
      </c>
      <c r="AK4079" s="115">
        <v>16</v>
      </c>
      <c r="AL4079" s="115" t="s">
        <v>28</v>
      </c>
      <c r="AM4079" s="115" t="s">
        <v>1848</v>
      </c>
      <c r="AN4079" s="115" t="s">
        <v>1607</v>
      </c>
      <c r="AO4079" s="115" t="s">
        <v>1644</v>
      </c>
    </row>
    <row r="4080" spans="35:41" ht="13">
      <c r="AI4080" s="115" t="s">
        <v>1415</v>
      </c>
      <c r="AJ4080" t="s">
        <v>2114</v>
      </c>
      <c r="AK4080" s="115">
        <v>16</v>
      </c>
      <c r="AL4080" s="115" t="s">
        <v>28</v>
      </c>
      <c r="AM4080" s="115" t="s">
        <v>1843</v>
      </c>
      <c r="AN4080" s="115" t="s">
        <v>1607</v>
      </c>
      <c r="AO4080" s="115" t="s">
        <v>1644</v>
      </c>
    </row>
    <row r="4081" spans="35:41" ht="13">
      <c r="AI4081" s="115" t="s">
        <v>1415</v>
      </c>
      <c r="AJ4081" t="s">
        <v>2114</v>
      </c>
      <c r="AK4081" s="115">
        <v>16</v>
      </c>
      <c r="AL4081" s="115" t="s">
        <v>28</v>
      </c>
      <c r="AM4081" s="115" t="s">
        <v>1850</v>
      </c>
      <c r="AN4081" s="115" t="s">
        <v>1607</v>
      </c>
      <c r="AO4081" s="115" t="s">
        <v>1274</v>
      </c>
    </row>
    <row r="4082" spans="35:41" ht="13">
      <c r="AI4082" s="115" t="s">
        <v>1415</v>
      </c>
      <c r="AJ4082" t="s">
        <v>2114</v>
      </c>
      <c r="AK4082" s="115">
        <v>16</v>
      </c>
      <c r="AL4082" s="115" t="s">
        <v>28</v>
      </c>
      <c r="AM4082" s="115" t="s">
        <v>1846</v>
      </c>
      <c r="AN4082" s="115" t="s">
        <v>1607</v>
      </c>
      <c r="AO4082" s="115" t="s">
        <v>1274</v>
      </c>
    </row>
    <row r="4083" spans="35:41" ht="13">
      <c r="AI4083" s="115" t="s">
        <v>1415</v>
      </c>
      <c r="AJ4083" t="s">
        <v>2114</v>
      </c>
      <c r="AK4083" s="115">
        <v>16</v>
      </c>
      <c r="AL4083" s="115" t="s">
        <v>28</v>
      </c>
      <c r="AM4083" s="115" t="s">
        <v>1848</v>
      </c>
      <c r="AN4083" s="115" t="s">
        <v>1607</v>
      </c>
      <c r="AO4083" s="115" t="s">
        <v>1274</v>
      </c>
    </row>
    <row r="4084" spans="35:41" ht="13">
      <c r="AI4084" s="115" t="s">
        <v>1415</v>
      </c>
      <c r="AJ4084" t="s">
        <v>2114</v>
      </c>
      <c r="AK4084" s="115">
        <v>16</v>
      </c>
      <c r="AL4084" s="115" t="s">
        <v>28</v>
      </c>
      <c r="AM4084" s="115" t="s">
        <v>1832</v>
      </c>
      <c r="AN4084" s="115" t="s">
        <v>1607</v>
      </c>
      <c r="AO4084" s="115" t="s">
        <v>1274</v>
      </c>
    </row>
    <row r="4085" spans="35:41" ht="13">
      <c r="AI4085" s="115" t="s">
        <v>1415</v>
      </c>
      <c r="AJ4085" t="s">
        <v>2114</v>
      </c>
      <c r="AK4085" s="115">
        <v>16</v>
      </c>
      <c r="AL4085" s="115" t="s">
        <v>28</v>
      </c>
      <c r="AM4085" s="115" t="s">
        <v>1843</v>
      </c>
      <c r="AN4085" s="115" t="s">
        <v>1607</v>
      </c>
      <c r="AO4085" s="115" t="s">
        <v>1274</v>
      </c>
    </row>
    <row r="4086" spans="35:41" ht="13">
      <c r="AI4086" s="115" t="s">
        <v>1415</v>
      </c>
      <c r="AJ4086" t="s">
        <v>2114</v>
      </c>
      <c r="AK4086" s="115">
        <v>16</v>
      </c>
      <c r="AL4086" s="115" t="s">
        <v>28</v>
      </c>
      <c r="AM4086" s="115" t="s">
        <v>1849</v>
      </c>
      <c r="AN4086" s="115" t="s">
        <v>1607</v>
      </c>
      <c r="AO4086" s="115" t="s">
        <v>1274</v>
      </c>
    </row>
    <row r="4087" spans="35:41" ht="13">
      <c r="AI4087" s="115" t="s">
        <v>1415</v>
      </c>
      <c r="AJ4087" t="s">
        <v>2114</v>
      </c>
      <c r="AK4087" s="115">
        <v>16</v>
      </c>
      <c r="AL4087" s="115" t="s">
        <v>28</v>
      </c>
      <c r="AM4087" s="115" t="s">
        <v>1850</v>
      </c>
      <c r="AN4087" s="115" t="s">
        <v>1607</v>
      </c>
      <c r="AO4087" s="115" t="s">
        <v>379</v>
      </c>
    </row>
    <row r="4088" spans="35:41" ht="13">
      <c r="AI4088" s="115" t="s">
        <v>1415</v>
      </c>
      <c r="AJ4088" t="s">
        <v>2114</v>
      </c>
      <c r="AK4088" s="115">
        <v>16</v>
      </c>
      <c r="AL4088" s="115" t="s">
        <v>28</v>
      </c>
      <c r="AM4088" s="115" t="s">
        <v>1832</v>
      </c>
      <c r="AN4088" s="115" t="s">
        <v>1607</v>
      </c>
      <c r="AO4088" s="115" t="s">
        <v>379</v>
      </c>
    </row>
    <row r="4089" spans="35:41" ht="13">
      <c r="AI4089" s="115" t="s">
        <v>1415</v>
      </c>
      <c r="AJ4089" t="s">
        <v>2114</v>
      </c>
      <c r="AK4089" s="115">
        <v>16</v>
      </c>
      <c r="AL4089" s="115" t="s">
        <v>28</v>
      </c>
      <c r="AM4089" s="115" t="s">
        <v>1848</v>
      </c>
      <c r="AN4089" s="115" t="s">
        <v>1607</v>
      </c>
      <c r="AO4089" s="115" t="s">
        <v>379</v>
      </c>
    </row>
    <row r="4090" spans="35:41" ht="13">
      <c r="AI4090" s="115" t="s">
        <v>1415</v>
      </c>
      <c r="AJ4090" t="s">
        <v>2114</v>
      </c>
      <c r="AK4090" s="115">
        <v>16</v>
      </c>
      <c r="AL4090" s="115" t="s">
        <v>28</v>
      </c>
      <c r="AM4090" s="115" t="s">
        <v>1846</v>
      </c>
      <c r="AN4090" s="115" t="s">
        <v>1607</v>
      </c>
      <c r="AO4090" s="115" t="s">
        <v>379</v>
      </c>
    </row>
    <row r="4091" spans="35:41" ht="13">
      <c r="AI4091" s="115" t="s">
        <v>1415</v>
      </c>
      <c r="AJ4091" t="s">
        <v>2114</v>
      </c>
      <c r="AK4091" s="115">
        <v>16</v>
      </c>
      <c r="AL4091" s="115" t="s">
        <v>28</v>
      </c>
      <c r="AM4091" s="115" t="s">
        <v>1843</v>
      </c>
      <c r="AN4091" s="115" t="s">
        <v>1607</v>
      </c>
      <c r="AO4091" s="115" t="s">
        <v>379</v>
      </c>
    </row>
    <row r="4092" spans="35:41" ht="13">
      <c r="AI4092" s="115" t="s">
        <v>1415</v>
      </c>
      <c r="AJ4092" t="s">
        <v>2114</v>
      </c>
      <c r="AK4092" s="115">
        <v>16</v>
      </c>
      <c r="AL4092" s="115" t="s">
        <v>28</v>
      </c>
      <c r="AM4092" s="115" t="s">
        <v>1849</v>
      </c>
      <c r="AN4092" s="115" t="s">
        <v>1607</v>
      </c>
      <c r="AO4092" s="115" t="s">
        <v>379</v>
      </c>
    </row>
    <row r="4093" spans="35:41" ht="13">
      <c r="AI4093" s="115" t="s">
        <v>1415</v>
      </c>
      <c r="AJ4093" t="s">
        <v>2114</v>
      </c>
      <c r="AK4093" s="115">
        <v>16</v>
      </c>
      <c r="AL4093" s="115" t="s">
        <v>28</v>
      </c>
      <c r="AM4093" s="115" t="s">
        <v>1843</v>
      </c>
      <c r="AN4093" s="115" t="s">
        <v>1607</v>
      </c>
      <c r="AO4093" s="115" t="s">
        <v>1646</v>
      </c>
    </row>
    <row r="4094" spans="35:41" ht="13">
      <c r="AI4094" s="115" t="s">
        <v>1415</v>
      </c>
      <c r="AJ4094" t="s">
        <v>2114</v>
      </c>
      <c r="AK4094" s="115">
        <v>16</v>
      </c>
      <c r="AL4094" s="115" t="s">
        <v>28</v>
      </c>
      <c r="AM4094" s="115" t="s">
        <v>1846</v>
      </c>
      <c r="AN4094" s="115" t="s">
        <v>1607</v>
      </c>
      <c r="AO4094" s="115" t="s">
        <v>1646</v>
      </c>
    </row>
    <row r="4095" spans="35:41" ht="13">
      <c r="AI4095" s="115" t="s">
        <v>1415</v>
      </c>
      <c r="AJ4095" t="s">
        <v>2114</v>
      </c>
      <c r="AK4095" s="115">
        <v>16</v>
      </c>
      <c r="AL4095" s="115" t="s">
        <v>28</v>
      </c>
      <c r="AM4095" s="115" t="s">
        <v>1846</v>
      </c>
      <c r="AN4095" s="115" t="s">
        <v>1607</v>
      </c>
      <c r="AO4095" s="115" t="s">
        <v>1647</v>
      </c>
    </row>
    <row r="4096" spans="35:41" ht="13">
      <c r="AI4096" s="115" t="s">
        <v>1415</v>
      </c>
      <c r="AJ4096" t="s">
        <v>2114</v>
      </c>
      <c r="AK4096" s="115">
        <v>16</v>
      </c>
      <c r="AL4096" s="115" t="s">
        <v>28</v>
      </c>
      <c r="AM4096" s="115" t="s">
        <v>1843</v>
      </c>
      <c r="AN4096" s="115" t="s">
        <v>1607</v>
      </c>
      <c r="AO4096" s="115" t="s">
        <v>1647</v>
      </c>
    </row>
    <row r="4097" spans="35:41" ht="13">
      <c r="AI4097" s="115" t="s">
        <v>1415</v>
      </c>
      <c r="AJ4097" t="s">
        <v>2114</v>
      </c>
      <c r="AK4097" s="115">
        <v>16</v>
      </c>
      <c r="AL4097" s="115" t="s">
        <v>28</v>
      </c>
      <c r="AM4097" s="115" t="s">
        <v>1846</v>
      </c>
      <c r="AN4097" s="115" t="s">
        <v>1607</v>
      </c>
      <c r="AO4097" s="115" t="s">
        <v>1639</v>
      </c>
    </row>
    <row r="4098" spans="35:41" ht="13">
      <c r="AI4098" s="115" t="s">
        <v>1415</v>
      </c>
      <c r="AJ4098" t="s">
        <v>2114</v>
      </c>
      <c r="AK4098" s="115">
        <v>16</v>
      </c>
      <c r="AL4098" s="115" t="s">
        <v>28</v>
      </c>
      <c r="AM4098" s="115" t="s">
        <v>1843</v>
      </c>
      <c r="AN4098" s="115" t="s">
        <v>1607</v>
      </c>
      <c r="AO4098" s="115" t="s">
        <v>1639</v>
      </c>
    </row>
    <row r="4099" spans="35:41" ht="13">
      <c r="AI4099" s="115" t="s">
        <v>1415</v>
      </c>
      <c r="AJ4099" t="s">
        <v>2114</v>
      </c>
      <c r="AK4099" s="115">
        <v>16</v>
      </c>
      <c r="AL4099" s="115" t="s">
        <v>28</v>
      </c>
      <c r="AM4099" s="115" t="s">
        <v>1850</v>
      </c>
      <c r="AN4099" s="115" t="s">
        <v>1608</v>
      </c>
      <c r="AO4099" s="115" t="s">
        <v>1644</v>
      </c>
    </row>
    <row r="4100" spans="35:41" ht="13">
      <c r="AI4100" s="115" t="s">
        <v>1415</v>
      </c>
      <c r="AJ4100" t="s">
        <v>2114</v>
      </c>
      <c r="AK4100" s="115">
        <v>16</v>
      </c>
      <c r="AL4100" s="115" t="s">
        <v>28</v>
      </c>
      <c r="AM4100" s="115" t="s">
        <v>1843</v>
      </c>
      <c r="AN4100" s="115" t="s">
        <v>1608</v>
      </c>
      <c r="AO4100" s="115" t="s">
        <v>1644</v>
      </c>
    </row>
    <row r="4101" spans="35:41" ht="13">
      <c r="AI4101" s="115" t="s">
        <v>1415</v>
      </c>
      <c r="AJ4101" t="s">
        <v>2114</v>
      </c>
      <c r="AK4101" s="115">
        <v>16</v>
      </c>
      <c r="AL4101" s="115" t="s">
        <v>28</v>
      </c>
      <c r="AM4101" s="115" t="s">
        <v>1832</v>
      </c>
      <c r="AN4101" s="115" t="s">
        <v>1608</v>
      </c>
      <c r="AO4101" s="115" t="s">
        <v>1644</v>
      </c>
    </row>
    <row r="4102" spans="35:41" ht="13">
      <c r="AI4102" s="115" t="s">
        <v>1415</v>
      </c>
      <c r="AJ4102" t="s">
        <v>2114</v>
      </c>
      <c r="AK4102" s="115">
        <v>16</v>
      </c>
      <c r="AL4102" s="115" t="s">
        <v>28</v>
      </c>
      <c r="AM4102" s="115" t="s">
        <v>1848</v>
      </c>
      <c r="AN4102" s="115" t="s">
        <v>1608</v>
      </c>
      <c r="AO4102" s="115" t="s">
        <v>1644</v>
      </c>
    </row>
    <row r="4103" spans="35:41" ht="13">
      <c r="AI4103" s="115" t="s">
        <v>1415</v>
      </c>
      <c r="AJ4103" t="s">
        <v>2114</v>
      </c>
      <c r="AK4103" s="115">
        <v>16</v>
      </c>
      <c r="AL4103" s="115" t="s">
        <v>28</v>
      </c>
      <c r="AM4103" s="115" t="s">
        <v>1848</v>
      </c>
      <c r="AN4103" s="115" t="s">
        <v>1608</v>
      </c>
      <c r="AO4103" s="115" t="s">
        <v>1274</v>
      </c>
    </row>
    <row r="4104" spans="35:41" ht="13">
      <c r="AI4104" s="115" t="s">
        <v>1415</v>
      </c>
      <c r="AJ4104" t="s">
        <v>2114</v>
      </c>
      <c r="AK4104" s="115">
        <v>16</v>
      </c>
      <c r="AL4104" s="115" t="s">
        <v>28</v>
      </c>
      <c r="AM4104" s="115" t="s">
        <v>1843</v>
      </c>
      <c r="AN4104" s="115" t="s">
        <v>1608</v>
      </c>
      <c r="AO4104" s="115" t="s">
        <v>1274</v>
      </c>
    </row>
    <row r="4105" spans="35:41" ht="13">
      <c r="AI4105" s="115" t="s">
        <v>1415</v>
      </c>
      <c r="AJ4105" t="s">
        <v>2114</v>
      </c>
      <c r="AK4105" s="115">
        <v>16</v>
      </c>
      <c r="AL4105" s="115" t="s">
        <v>28</v>
      </c>
      <c r="AM4105" s="115" t="s">
        <v>1846</v>
      </c>
      <c r="AN4105" s="115" t="s">
        <v>1608</v>
      </c>
      <c r="AO4105" s="115" t="s">
        <v>1274</v>
      </c>
    </row>
    <row r="4106" spans="35:41" ht="13">
      <c r="AI4106" s="115" t="s">
        <v>1415</v>
      </c>
      <c r="AJ4106" t="s">
        <v>2114</v>
      </c>
      <c r="AK4106" s="115">
        <v>16</v>
      </c>
      <c r="AL4106" s="115" t="s">
        <v>28</v>
      </c>
      <c r="AM4106" s="115" t="s">
        <v>1849</v>
      </c>
      <c r="AN4106" s="115" t="s">
        <v>1608</v>
      </c>
      <c r="AO4106" s="115" t="s">
        <v>1274</v>
      </c>
    </row>
    <row r="4107" spans="35:41" ht="13">
      <c r="AI4107" s="115" t="s">
        <v>1415</v>
      </c>
      <c r="AJ4107" t="s">
        <v>2114</v>
      </c>
      <c r="AK4107" s="115">
        <v>16</v>
      </c>
      <c r="AL4107" s="115" t="s">
        <v>28</v>
      </c>
      <c r="AM4107" s="115" t="s">
        <v>1832</v>
      </c>
      <c r="AN4107" s="115" t="s">
        <v>1608</v>
      </c>
      <c r="AO4107" s="115" t="s">
        <v>1274</v>
      </c>
    </row>
    <row r="4108" spans="35:41" ht="13">
      <c r="AI4108" s="115" t="s">
        <v>1415</v>
      </c>
      <c r="AJ4108" t="s">
        <v>2114</v>
      </c>
      <c r="AK4108" s="115">
        <v>16</v>
      </c>
      <c r="AL4108" s="115" t="s">
        <v>28</v>
      </c>
      <c r="AM4108" s="115" t="s">
        <v>1850</v>
      </c>
      <c r="AN4108" s="115" t="s">
        <v>1608</v>
      </c>
      <c r="AO4108" s="115" t="s">
        <v>1274</v>
      </c>
    </row>
    <row r="4109" spans="35:41" ht="13">
      <c r="AI4109" s="115" t="s">
        <v>1415</v>
      </c>
      <c r="AJ4109" t="s">
        <v>2114</v>
      </c>
      <c r="AK4109" s="115">
        <v>16</v>
      </c>
      <c r="AL4109" s="115" t="s">
        <v>28</v>
      </c>
      <c r="AM4109" s="115" t="s">
        <v>1843</v>
      </c>
      <c r="AN4109" s="115" t="s">
        <v>1608</v>
      </c>
      <c r="AO4109" s="115" t="s">
        <v>379</v>
      </c>
    </row>
    <row r="4110" spans="35:41" ht="13">
      <c r="AI4110" s="115" t="s">
        <v>1415</v>
      </c>
      <c r="AJ4110" t="s">
        <v>2114</v>
      </c>
      <c r="AK4110" s="115">
        <v>16</v>
      </c>
      <c r="AL4110" s="115" t="s">
        <v>28</v>
      </c>
      <c r="AM4110" s="115" t="s">
        <v>1850</v>
      </c>
      <c r="AN4110" s="115" t="s">
        <v>1608</v>
      </c>
      <c r="AO4110" s="115" t="s">
        <v>379</v>
      </c>
    </row>
    <row r="4111" spans="35:41" ht="13">
      <c r="AI4111" s="115" t="s">
        <v>1415</v>
      </c>
      <c r="AJ4111" t="s">
        <v>2114</v>
      </c>
      <c r="AK4111" s="115">
        <v>16</v>
      </c>
      <c r="AL4111" s="115" t="s">
        <v>28</v>
      </c>
      <c r="AM4111" s="115" t="s">
        <v>1849</v>
      </c>
      <c r="AN4111" s="115" t="s">
        <v>1608</v>
      </c>
      <c r="AO4111" s="115" t="s">
        <v>379</v>
      </c>
    </row>
    <row r="4112" spans="35:41" ht="13">
      <c r="AI4112" s="115" t="s">
        <v>1415</v>
      </c>
      <c r="AJ4112" t="s">
        <v>2114</v>
      </c>
      <c r="AK4112" s="115">
        <v>16</v>
      </c>
      <c r="AL4112" s="115" t="s">
        <v>28</v>
      </c>
      <c r="AM4112" s="115" t="s">
        <v>1848</v>
      </c>
      <c r="AN4112" s="115" t="s">
        <v>1608</v>
      </c>
      <c r="AO4112" s="115" t="s">
        <v>379</v>
      </c>
    </row>
    <row r="4113" spans="35:41" ht="13">
      <c r="AI4113" s="115" t="s">
        <v>1415</v>
      </c>
      <c r="AJ4113" t="s">
        <v>2114</v>
      </c>
      <c r="AK4113" s="115">
        <v>16</v>
      </c>
      <c r="AL4113" s="115" t="s">
        <v>28</v>
      </c>
      <c r="AM4113" s="115" t="s">
        <v>1846</v>
      </c>
      <c r="AN4113" s="115" t="s">
        <v>1608</v>
      </c>
      <c r="AO4113" s="115" t="s">
        <v>379</v>
      </c>
    </row>
    <row r="4114" spans="35:41" ht="13">
      <c r="AI4114" s="115" t="s">
        <v>1415</v>
      </c>
      <c r="AJ4114" t="s">
        <v>2114</v>
      </c>
      <c r="AK4114" s="115">
        <v>16</v>
      </c>
      <c r="AL4114" s="115" t="s">
        <v>28</v>
      </c>
      <c r="AM4114" s="115" t="s">
        <v>1832</v>
      </c>
      <c r="AN4114" s="115" t="s">
        <v>1608</v>
      </c>
      <c r="AO4114" s="115" t="s">
        <v>379</v>
      </c>
    </row>
    <row r="4115" spans="35:41" ht="13">
      <c r="AI4115" s="115" t="s">
        <v>1415</v>
      </c>
      <c r="AJ4115" t="s">
        <v>2114</v>
      </c>
      <c r="AK4115" s="115">
        <v>16</v>
      </c>
      <c r="AL4115" s="115" t="s">
        <v>28</v>
      </c>
      <c r="AM4115" s="115" t="s">
        <v>1843</v>
      </c>
      <c r="AN4115" s="115" t="s">
        <v>1608</v>
      </c>
      <c r="AO4115" s="115" t="s">
        <v>1646</v>
      </c>
    </row>
    <row r="4116" spans="35:41" ht="13">
      <c r="AI4116" s="115" t="s">
        <v>1415</v>
      </c>
      <c r="AJ4116" t="s">
        <v>2114</v>
      </c>
      <c r="AK4116" s="115">
        <v>16</v>
      </c>
      <c r="AL4116" s="115" t="s">
        <v>28</v>
      </c>
      <c r="AM4116" s="115" t="s">
        <v>1846</v>
      </c>
      <c r="AN4116" s="115" t="s">
        <v>1608</v>
      </c>
      <c r="AO4116" s="115" t="s">
        <v>1646</v>
      </c>
    </row>
    <row r="4117" spans="35:41" ht="13">
      <c r="AI4117" s="115" t="s">
        <v>1415</v>
      </c>
      <c r="AJ4117" t="s">
        <v>2114</v>
      </c>
      <c r="AK4117" s="115">
        <v>16</v>
      </c>
      <c r="AL4117" s="115" t="s">
        <v>28</v>
      </c>
      <c r="AM4117" s="115" t="s">
        <v>1843</v>
      </c>
      <c r="AN4117" s="115" t="s">
        <v>1608</v>
      </c>
      <c r="AO4117" s="115" t="s">
        <v>1647</v>
      </c>
    </row>
    <row r="4118" spans="35:41" ht="13">
      <c r="AI4118" s="115" t="s">
        <v>1415</v>
      </c>
      <c r="AJ4118" t="s">
        <v>2114</v>
      </c>
      <c r="AK4118" s="115">
        <v>16</v>
      </c>
      <c r="AL4118" s="115" t="s">
        <v>28</v>
      </c>
      <c r="AM4118" s="115" t="s">
        <v>1846</v>
      </c>
      <c r="AN4118" s="115" t="s">
        <v>1608</v>
      </c>
      <c r="AO4118" s="115" t="s">
        <v>1647</v>
      </c>
    </row>
    <row r="4119" spans="35:41" ht="13">
      <c r="AI4119" s="115" t="s">
        <v>1415</v>
      </c>
      <c r="AJ4119" t="s">
        <v>2114</v>
      </c>
      <c r="AK4119" s="115">
        <v>16</v>
      </c>
      <c r="AL4119" s="115" t="s">
        <v>28</v>
      </c>
      <c r="AM4119" s="115" t="s">
        <v>1843</v>
      </c>
      <c r="AN4119" s="115" t="s">
        <v>1608</v>
      </c>
      <c r="AO4119" s="115" t="s">
        <v>1639</v>
      </c>
    </row>
    <row r="4120" spans="35:41" ht="13">
      <c r="AI4120" s="115" t="s">
        <v>1415</v>
      </c>
      <c r="AJ4120" t="s">
        <v>2114</v>
      </c>
      <c r="AK4120" s="115">
        <v>16</v>
      </c>
      <c r="AL4120" s="115" t="s">
        <v>28</v>
      </c>
      <c r="AM4120" s="115" t="s">
        <v>1846</v>
      </c>
      <c r="AN4120" s="115" t="s">
        <v>1608</v>
      </c>
      <c r="AO4120" s="115" t="s">
        <v>1639</v>
      </c>
    </row>
    <row r="4121" spans="35:41" ht="13">
      <c r="AI4121" s="115" t="s">
        <v>1415</v>
      </c>
      <c r="AJ4121" t="s">
        <v>2114</v>
      </c>
      <c r="AK4121" s="115">
        <v>16</v>
      </c>
      <c r="AL4121" s="115" t="s">
        <v>28</v>
      </c>
      <c r="AM4121" s="115" t="s">
        <v>1850</v>
      </c>
      <c r="AN4121" s="115" t="s">
        <v>1608</v>
      </c>
      <c r="AO4121" s="115" t="s">
        <v>373</v>
      </c>
    </row>
    <row r="4122" spans="35:41" ht="13">
      <c r="AI4122" s="115" t="s">
        <v>1415</v>
      </c>
      <c r="AJ4122" t="s">
        <v>2114</v>
      </c>
      <c r="AK4122" s="115">
        <v>16</v>
      </c>
      <c r="AL4122" s="115" t="s">
        <v>28</v>
      </c>
      <c r="AM4122" s="115" t="s">
        <v>1832</v>
      </c>
      <c r="AN4122" s="115" t="s">
        <v>1608</v>
      </c>
      <c r="AO4122" s="115" t="s">
        <v>373</v>
      </c>
    </row>
    <row r="4123" spans="35:41" ht="13">
      <c r="AI4123" s="115" t="s">
        <v>1415</v>
      </c>
      <c r="AJ4123" t="s">
        <v>2114</v>
      </c>
      <c r="AK4123" s="115">
        <v>16</v>
      </c>
      <c r="AL4123" s="115" t="s">
        <v>28</v>
      </c>
      <c r="AM4123" s="115" t="s">
        <v>1849</v>
      </c>
      <c r="AN4123" s="115" t="s">
        <v>1608</v>
      </c>
      <c r="AO4123" s="115" t="s">
        <v>373</v>
      </c>
    </row>
    <row r="4124" spans="35:41" ht="13">
      <c r="AI4124" s="115" t="s">
        <v>1415</v>
      </c>
      <c r="AJ4124" t="s">
        <v>2114</v>
      </c>
      <c r="AK4124" s="115">
        <v>16</v>
      </c>
      <c r="AL4124" s="115" t="s">
        <v>28</v>
      </c>
      <c r="AM4124" s="115" t="s">
        <v>1846</v>
      </c>
      <c r="AN4124" s="115" t="s">
        <v>1608</v>
      </c>
      <c r="AO4124" s="115" t="s">
        <v>373</v>
      </c>
    </row>
    <row r="4125" spans="35:41" ht="13">
      <c r="AI4125" s="115" t="s">
        <v>1415</v>
      </c>
      <c r="AJ4125" t="s">
        <v>2114</v>
      </c>
      <c r="AK4125" s="115">
        <v>16</v>
      </c>
      <c r="AL4125" s="115" t="s">
        <v>28</v>
      </c>
      <c r="AM4125" s="115" t="s">
        <v>1848</v>
      </c>
      <c r="AN4125" s="115" t="s">
        <v>1608</v>
      </c>
      <c r="AO4125" s="115" t="s">
        <v>373</v>
      </c>
    </row>
    <row r="4126" spans="35:41" ht="13">
      <c r="AI4126" s="115" t="s">
        <v>1415</v>
      </c>
      <c r="AJ4126" t="s">
        <v>2114</v>
      </c>
      <c r="AK4126" s="115">
        <v>16</v>
      </c>
      <c r="AL4126" s="115" t="s">
        <v>28</v>
      </c>
      <c r="AM4126" s="115" t="s">
        <v>1843</v>
      </c>
      <c r="AN4126" s="115" t="s">
        <v>1608</v>
      </c>
      <c r="AO4126" s="115" t="s">
        <v>373</v>
      </c>
    </row>
    <row r="4127" spans="35:41" ht="13">
      <c r="AI4127" s="115" t="s">
        <v>1415</v>
      </c>
      <c r="AJ4127" t="s">
        <v>2114</v>
      </c>
      <c r="AK4127" s="115">
        <v>16</v>
      </c>
      <c r="AL4127" s="115" t="s">
        <v>28</v>
      </c>
      <c r="AM4127" s="115" t="s">
        <v>1849</v>
      </c>
      <c r="AN4127" s="115" t="s">
        <v>1608</v>
      </c>
      <c r="AO4127" s="115" t="s">
        <v>380</v>
      </c>
    </row>
    <row r="4128" spans="35:41" ht="13">
      <c r="AI4128" s="115" t="s">
        <v>1415</v>
      </c>
      <c r="AJ4128" t="s">
        <v>2114</v>
      </c>
      <c r="AK4128" s="115">
        <v>16</v>
      </c>
      <c r="AL4128" s="115" t="s">
        <v>28</v>
      </c>
      <c r="AM4128" s="115" t="s">
        <v>1848</v>
      </c>
      <c r="AN4128" s="115" t="s">
        <v>1608</v>
      </c>
      <c r="AO4128" s="115" t="s">
        <v>380</v>
      </c>
    </row>
    <row r="4129" spans="35:41" ht="13">
      <c r="AI4129" s="115" t="s">
        <v>1415</v>
      </c>
      <c r="AJ4129" t="s">
        <v>2114</v>
      </c>
      <c r="AK4129" s="115">
        <v>16</v>
      </c>
      <c r="AL4129" s="115" t="s">
        <v>28</v>
      </c>
      <c r="AM4129" s="115" t="s">
        <v>1846</v>
      </c>
      <c r="AN4129" s="115" t="s">
        <v>1608</v>
      </c>
      <c r="AO4129" s="115" t="s">
        <v>380</v>
      </c>
    </row>
    <row r="4130" spans="35:41" ht="13">
      <c r="AI4130" s="115" t="s">
        <v>1415</v>
      </c>
      <c r="AJ4130" t="s">
        <v>2114</v>
      </c>
      <c r="AK4130" s="115">
        <v>16</v>
      </c>
      <c r="AL4130" s="115" t="s">
        <v>28</v>
      </c>
      <c r="AM4130" s="115" t="s">
        <v>1843</v>
      </c>
      <c r="AN4130" s="115" t="s">
        <v>1608</v>
      </c>
      <c r="AO4130" s="115" t="s">
        <v>380</v>
      </c>
    </row>
    <row r="4131" spans="35:41" ht="13">
      <c r="AI4131" s="115" t="s">
        <v>1415</v>
      </c>
      <c r="AJ4131" t="s">
        <v>2114</v>
      </c>
      <c r="AK4131" s="115">
        <v>16</v>
      </c>
      <c r="AL4131" s="115" t="s">
        <v>28</v>
      </c>
      <c r="AM4131" s="115" t="s">
        <v>1850</v>
      </c>
      <c r="AN4131" s="115" t="s">
        <v>1608</v>
      </c>
      <c r="AO4131" s="115" t="s">
        <v>380</v>
      </c>
    </row>
    <row r="4132" spans="35:41" ht="13">
      <c r="AI4132" s="115" t="s">
        <v>1415</v>
      </c>
      <c r="AJ4132" t="s">
        <v>2114</v>
      </c>
      <c r="AK4132" s="115">
        <v>16</v>
      </c>
      <c r="AL4132" s="115" t="s">
        <v>28</v>
      </c>
      <c r="AM4132" s="115" t="s">
        <v>1832</v>
      </c>
      <c r="AN4132" s="115" t="s">
        <v>1608</v>
      </c>
      <c r="AO4132" s="115" t="s">
        <v>380</v>
      </c>
    </row>
    <row r="4133" spans="35:41" ht="13">
      <c r="AI4133" s="115" t="s">
        <v>1415</v>
      </c>
      <c r="AJ4133" t="s">
        <v>2114</v>
      </c>
      <c r="AK4133" s="115">
        <v>16</v>
      </c>
      <c r="AL4133" s="115" t="s">
        <v>28</v>
      </c>
      <c r="AM4133" s="115" t="s">
        <v>1850</v>
      </c>
      <c r="AN4133" s="115" t="s">
        <v>1606</v>
      </c>
      <c r="AO4133" s="115" t="s">
        <v>1274</v>
      </c>
    </row>
    <row r="4134" spans="35:41" ht="13">
      <c r="AI4134" s="115" t="s">
        <v>1415</v>
      </c>
      <c r="AJ4134" t="s">
        <v>2114</v>
      </c>
      <c r="AK4134" s="115">
        <v>16</v>
      </c>
      <c r="AL4134" s="115" t="s">
        <v>28</v>
      </c>
      <c r="AM4134" s="115" t="s">
        <v>1846</v>
      </c>
      <c r="AN4134" s="115" t="s">
        <v>1606</v>
      </c>
      <c r="AO4134" s="115" t="s">
        <v>1274</v>
      </c>
    </row>
    <row r="4135" spans="35:41" ht="13">
      <c r="AI4135" s="115" t="s">
        <v>1415</v>
      </c>
      <c r="AJ4135" t="s">
        <v>2114</v>
      </c>
      <c r="AK4135" s="115">
        <v>16</v>
      </c>
      <c r="AL4135" s="115" t="s">
        <v>28</v>
      </c>
      <c r="AM4135" s="115" t="s">
        <v>1848</v>
      </c>
      <c r="AN4135" s="115" t="s">
        <v>1606</v>
      </c>
      <c r="AO4135" s="115" t="s">
        <v>1274</v>
      </c>
    </row>
    <row r="4136" spans="35:41" ht="13">
      <c r="AI4136" s="115" t="s">
        <v>1415</v>
      </c>
      <c r="AJ4136" t="s">
        <v>2114</v>
      </c>
      <c r="AK4136" s="115">
        <v>16</v>
      </c>
      <c r="AL4136" s="115" t="s">
        <v>28</v>
      </c>
      <c r="AM4136" s="115" t="s">
        <v>1832</v>
      </c>
      <c r="AN4136" s="115" t="s">
        <v>1606</v>
      </c>
      <c r="AO4136" s="115" t="s">
        <v>1274</v>
      </c>
    </row>
    <row r="4137" spans="35:41" ht="13">
      <c r="AI4137" s="115" t="s">
        <v>1415</v>
      </c>
      <c r="AJ4137" t="s">
        <v>2114</v>
      </c>
      <c r="AK4137" s="115">
        <v>16</v>
      </c>
      <c r="AL4137" s="115" t="s">
        <v>28</v>
      </c>
      <c r="AM4137" s="115" t="s">
        <v>1843</v>
      </c>
      <c r="AN4137" s="115" t="s">
        <v>1606</v>
      </c>
      <c r="AO4137" s="115" t="s">
        <v>1274</v>
      </c>
    </row>
    <row r="4138" spans="35:41" ht="13">
      <c r="AI4138" s="115" t="s">
        <v>1415</v>
      </c>
      <c r="AJ4138" t="s">
        <v>2114</v>
      </c>
      <c r="AK4138" s="115">
        <v>16</v>
      </c>
      <c r="AL4138" s="115" t="s">
        <v>28</v>
      </c>
      <c r="AM4138" s="115" t="s">
        <v>1849</v>
      </c>
      <c r="AN4138" s="115" t="s">
        <v>1606</v>
      </c>
      <c r="AO4138" s="115" t="s">
        <v>1274</v>
      </c>
    </row>
    <row r="4139" spans="35:41" ht="13">
      <c r="AI4139" s="115" t="s">
        <v>1415</v>
      </c>
      <c r="AJ4139" t="s">
        <v>2114</v>
      </c>
      <c r="AK4139" s="115">
        <v>16</v>
      </c>
      <c r="AL4139" s="115" t="s">
        <v>28</v>
      </c>
      <c r="AM4139" s="115" t="s">
        <v>1846</v>
      </c>
      <c r="AN4139" s="115" t="s">
        <v>1606</v>
      </c>
      <c r="AO4139" s="115" t="s">
        <v>379</v>
      </c>
    </row>
    <row r="4140" spans="35:41" ht="13">
      <c r="AI4140" s="115" t="s">
        <v>1415</v>
      </c>
      <c r="AJ4140" t="s">
        <v>2114</v>
      </c>
      <c r="AK4140" s="115">
        <v>16</v>
      </c>
      <c r="AL4140" s="115" t="s">
        <v>28</v>
      </c>
      <c r="AM4140" s="115" t="s">
        <v>1848</v>
      </c>
      <c r="AN4140" s="115" t="s">
        <v>1606</v>
      </c>
      <c r="AO4140" s="115" t="s">
        <v>379</v>
      </c>
    </row>
    <row r="4141" spans="35:41" ht="13">
      <c r="AI4141" s="115" t="s">
        <v>1415</v>
      </c>
      <c r="AJ4141" t="s">
        <v>2114</v>
      </c>
      <c r="AK4141" s="115">
        <v>16</v>
      </c>
      <c r="AL4141" s="115" t="s">
        <v>28</v>
      </c>
      <c r="AM4141" s="115" t="s">
        <v>1849</v>
      </c>
      <c r="AN4141" s="115" t="s">
        <v>1606</v>
      </c>
      <c r="AO4141" s="115" t="s">
        <v>379</v>
      </c>
    </row>
    <row r="4142" spans="35:41" ht="13">
      <c r="AI4142" s="115" t="s">
        <v>1415</v>
      </c>
      <c r="AJ4142" t="s">
        <v>2114</v>
      </c>
      <c r="AK4142" s="115">
        <v>16</v>
      </c>
      <c r="AL4142" s="115" t="s">
        <v>28</v>
      </c>
      <c r="AM4142" s="115" t="s">
        <v>1843</v>
      </c>
      <c r="AN4142" s="115" t="s">
        <v>1606</v>
      </c>
      <c r="AO4142" s="115" t="s">
        <v>379</v>
      </c>
    </row>
    <row r="4143" spans="35:41" ht="13">
      <c r="AI4143" s="115" t="s">
        <v>1415</v>
      </c>
      <c r="AJ4143" t="s">
        <v>2114</v>
      </c>
      <c r="AK4143" s="115">
        <v>16</v>
      </c>
      <c r="AL4143" s="115" t="s">
        <v>28</v>
      </c>
      <c r="AM4143" s="115" t="s">
        <v>1832</v>
      </c>
      <c r="AN4143" s="115" t="s">
        <v>1606</v>
      </c>
      <c r="AO4143" s="115" t="s">
        <v>379</v>
      </c>
    </row>
    <row r="4144" spans="35:41" ht="13">
      <c r="AI4144" s="115" t="s">
        <v>1415</v>
      </c>
      <c r="AJ4144" t="s">
        <v>2114</v>
      </c>
      <c r="AK4144" s="115">
        <v>16</v>
      </c>
      <c r="AL4144" s="115" t="s">
        <v>28</v>
      </c>
      <c r="AM4144" s="115" t="s">
        <v>1850</v>
      </c>
      <c r="AN4144" s="115" t="s">
        <v>1606</v>
      </c>
      <c r="AO4144" s="115" t="s">
        <v>379</v>
      </c>
    </row>
    <row r="4145" spans="35:41" ht="13">
      <c r="AI4145" s="115" t="s">
        <v>1415</v>
      </c>
      <c r="AJ4145" t="s">
        <v>2114</v>
      </c>
      <c r="AK4145" s="115">
        <v>16</v>
      </c>
      <c r="AL4145" s="115" t="s">
        <v>28</v>
      </c>
      <c r="AM4145" s="115" t="s">
        <v>1843</v>
      </c>
      <c r="AN4145" s="115" t="s">
        <v>1606</v>
      </c>
      <c r="AO4145" s="115" t="s">
        <v>1639</v>
      </c>
    </row>
    <row r="4146" spans="35:41" ht="13">
      <c r="AI4146" s="115" t="s">
        <v>1415</v>
      </c>
      <c r="AJ4146" t="s">
        <v>2114</v>
      </c>
      <c r="AK4146" s="115">
        <v>16</v>
      </c>
      <c r="AL4146" s="115" t="s">
        <v>28</v>
      </c>
      <c r="AM4146" s="115" t="s">
        <v>1846</v>
      </c>
      <c r="AN4146" s="115" t="s">
        <v>1606</v>
      </c>
      <c r="AO4146" s="115" t="s">
        <v>1639</v>
      </c>
    </row>
    <row r="4147" spans="35:41" ht="13">
      <c r="AI4147" s="115" t="s">
        <v>1415</v>
      </c>
      <c r="AJ4147" t="s">
        <v>2114</v>
      </c>
      <c r="AK4147" s="115">
        <v>16</v>
      </c>
      <c r="AL4147" s="115" t="s">
        <v>28</v>
      </c>
      <c r="AM4147" s="115" t="s">
        <v>1832</v>
      </c>
      <c r="AN4147" s="115" t="s">
        <v>1633</v>
      </c>
      <c r="AO4147" s="115" t="s">
        <v>1274</v>
      </c>
    </row>
    <row r="4148" spans="35:41" ht="13">
      <c r="AI4148" s="115" t="s">
        <v>1415</v>
      </c>
      <c r="AJ4148" t="s">
        <v>2114</v>
      </c>
      <c r="AK4148" s="115">
        <v>16</v>
      </c>
      <c r="AL4148" s="115" t="s">
        <v>28</v>
      </c>
      <c r="AM4148" s="115" t="s">
        <v>1850</v>
      </c>
      <c r="AN4148" s="115" t="s">
        <v>1633</v>
      </c>
      <c r="AO4148" s="115" t="s">
        <v>1274</v>
      </c>
    </row>
    <row r="4149" spans="35:41" ht="13">
      <c r="AI4149" s="115" t="s">
        <v>1415</v>
      </c>
      <c r="AJ4149" t="s">
        <v>2114</v>
      </c>
      <c r="AK4149" s="115">
        <v>16</v>
      </c>
      <c r="AL4149" s="115" t="s">
        <v>28</v>
      </c>
      <c r="AM4149" s="115" t="s">
        <v>1849</v>
      </c>
      <c r="AN4149" s="115" t="s">
        <v>1633</v>
      </c>
      <c r="AO4149" s="115" t="s">
        <v>1274</v>
      </c>
    </row>
    <row r="4150" spans="35:41" ht="13">
      <c r="AI4150" s="115" t="s">
        <v>1415</v>
      </c>
      <c r="AJ4150" t="s">
        <v>2114</v>
      </c>
      <c r="AK4150" s="115">
        <v>16</v>
      </c>
      <c r="AL4150" s="115" t="s">
        <v>28</v>
      </c>
      <c r="AM4150" s="115" t="s">
        <v>1843</v>
      </c>
      <c r="AN4150" s="115" t="s">
        <v>1633</v>
      </c>
      <c r="AO4150" s="115" t="s">
        <v>1274</v>
      </c>
    </row>
    <row r="4151" spans="35:41" ht="13">
      <c r="AI4151" s="115" t="s">
        <v>1415</v>
      </c>
      <c r="AJ4151" t="s">
        <v>2114</v>
      </c>
      <c r="AK4151" s="115">
        <v>16</v>
      </c>
      <c r="AL4151" s="115" t="s">
        <v>28</v>
      </c>
      <c r="AM4151" s="115" t="s">
        <v>1848</v>
      </c>
      <c r="AN4151" s="115" t="s">
        <v>1633</v>
      </c>
      <c r="AO4151" s="115" t="s">
        <v>1274</v>
      </c>
    </row>
    <row r="4152" spans="35:41" ht="13">
      <c r="AI4152" s="115" t="s">
        <v>1415</v>
      </c>
      <c r="AJ4152" t="s">
        <v>2114</v>
      </c>
      <c r="AK4152" s="115">
        <v>16</v>
      </c>
      <c r="AL4152" s="115" t="s">
        <v>28</v>
      </c>
      <c r="AM4152" s="115" t="s">
        <v>1846</v>
      </c>
      <c r="AN4152" s="115" t="s">
        <v>1633</v>
      </c>
      <c r="AO4152" s="115" t="s">
        <v>1274</v>
      </c>
    </row>
    <row r="4153" spans="35:41" ht="13">
      <c r="AI4153" s="115" t="s">
        <v>1415</v>
      </c>
      <c r="AJ4153" t="s">
        <v>2114</v>
      </c>
      <c r="AK4153" s="115">
        <v>16</v>
      </c>
      <c r="AL4153" s="115" t="s">
        <v>28</v>
      </c>
      <c r="AM4153" s="115" t="s">
        <v>1832</v>
      </c>
      <c r="AN4153" s="115" t="s">
        <v>1633</v>
      </c>
      <c r="AO4153" s="115" t="s">
        <v>379</v>
      </c>
    </row>
    <row r="4154" spans="35:41" ht="13">
      <c r="AI4154" s="115" t="s">
        <v>1415</v>
      </c>
      <c r="AJ4154" t="s">
        <v>2114</v>
      </c>
      <c r="AK4154" s="115">
        <v>16</v>
      </c>
      <c r="AL4154" s="115" t="s">
        <v>28</v>
      </c>
      <c r="AM4154" s="115" t="s">
        <v>1850</v>
      </c>
      <c r="AN4154" s="115" t="s">
        <v>1633</v>
      </c>
      <c r="AO4154" s="115" t="s">
        <v>379</v>
      </c>
    </row>
    <row r="4155" spans="35:41" ht="13">
      <c r="AI4155" s="115" t="s">
        <v>1415</v>
      </c>
      <c r="AJ4155" t="s">
        <v>2114</v>
      </c>
      <c r="AK4155" s="115">
        <v>16</v>
      </c>
      <c r="AL4155" s="115" t="s">
        <v>28</v>
      </c>
      <c r="AM4155" s="115" t="s">
        <v>1849</v>
      </c>
      <c r="AN4155" s="115" t="s">
        <v>1633</v>
      </c>
      <c r="AO4155" s="115" t="s">
        <v>379</v>
      </c>
    </row>
    <row r="4156" spans="35:41" ht="13">
      <c r="AI4156" s="115" t="s">
        <v>1415</v>
      </c>
      <c r="AJ4156" t="s">
        <v>2114</v>
      </c>
      <c r="AK4156" s="115">
        <v>16</v>
      </c>
      <c r="AL4156" s="115" t="s">
        <v>28</v>
      </c>
      <c r="AM4156" s="115" t="s">
        <v>1843</v>
      </c>
      <c r="AN4156" s="115" t="s">
        <v>1633</v>
      </c>
      <c r="AO4156" s="115" t="s">
        <v>379</v>
      </c>
    </row>
    <row r="4157" spans="35:41" ht="13">
      <c r="AI4157" s="115" t="s">
        <v>1415</v>
      </c>
      <c r="AJ4157" t="s">
        <v>2114</v>
      </c>
      <c r="AK4157" s="115">
        <v>16</v>
      </c>
      <c r="AL4157" s="115" t="s">
        <v>28</v>
      </c>
      <c r="AM4157" s="115" t="s">
        <v>1848</v>
      </c>
      <c r="AN4157" s="115" t="s">
        <v>1633</v>
      </c>
      <c r="AO4157" s="115" t="s">
        <v>379</v>
      </c>
    </row>
    <row r="4158" spans="35:41" ht="13">
      <c r="AI4158" s="115" t="s">
        <v>1415</v>
      </c>
      <c r="AJ4158" t="s">
        <v>2114</v>
      </c>
      <c r="AK4158" s="115">
        <v>16</v>
      </c>
      <c r="AL4158" s="115" t="s">
        <v>28</v>
      </c>
      <c r="AM4158" s="115" t="s">
        <v>1846</v>
      </c>
      <c r="AN4158" s="115" t="s">
        <v>1633</v>
      </c>
      <c r="AO4158" s="115" t="s">
        <v>379</v>
      </c>
    </row>
    <row r="4159" spans="35:41" ht="13">
      <c r="AI4159" s="115" t="s">
        <v>1415</v>
      </c>
      <c r="AJ4159" t="s">
        <v>2114</v>
      </c>
      <c r="AK4159" s="115">
        <v>16</v>
      </c>
      <c r="AL4159" s="115" t="s">
        <v>28</v>
      </c>
      <c r="AM4159" s="115" t="s">
        <v>1843</v>
      </c>
      <c r="AN4159" s="115" t="s">
        <v>1661</v>
      </c>
      <c r="AO4159" s="115" t="s">
        <v>1274</v>
      </c>
    </row>
    <row r="4160" spans="35:41" ht="13">
      <c r="AI4160" s="115" t="s">
        <v>1415</v>
      </c>
      <c r="AJ4160" t="s">
        <v>2114</v>
      </c>
      <c r="AK4160" s="115">
        <v>16</v>
      </c>
      <c r="AL4160" s="115" t="s">
        <v>28</v>
      </c>
      <c r="AM4160" s="115" t="s">
        <v>1848</v>
      </c>
      <c r="AN4160" s="115" t="s">
        <v>1661</v>
      </c>
      <c r="AO4160" s="115" t="s">
        <v>1274</v>
      </c>
    </row>
    <row r="4161" spans="35:41" ht="13">
      <c r="AI4161" s="115" t="s">
        <v>1415</v>
      </c>
      <c r="AJ4161" t="s">
        <v>2114</v>
      </c>
      <c r="AK4161" s="115">
        <v>16</v>
      </c>
      <c r="AL4161" s="115" t="s">
        <v>28</v>
      </c>
      <c r="AM4161" s="115" t="s">
        <v>1849</v>
      </c>
      <c r="AN4161" s="115" t="s">
        <v>1661</v>
      </c>
      <c r="AO4161" s="115" t="s">
        <v>1274</v>
      </c>
    </row>
    <row r="4162" spans="35:41" ht="13">
      <c r="AI4162" s="115" t="s">
        <v>1415</v>
      </c>
      <c r="AJ4162" t="s">
        <v>2114</v>
      </c>
      <c r="AK4162" s="115">
        <v>16</v>
      </c>
      <c r="AL4162" s="115" t="s">
        <v>28</v>
      </c>
      <c r="AM4162" s="115" t="s">
        <v>1832</v>
      </c>
      <c r="AN4162" s="115" t="s">
        <v>1661</v>
      </c>
      <c r="AO4162" s="115" t="s">
        <v>1274</v>
      </c>
    </row>
    <row r="4163" spans="35:41" ht="13">
      <c r="AI4163" s="115" t="s">
        <v>1415</v>
      </c>
      <c r="AJ4163" t="s">
        <v>2114</v>
      </c>
      <c r="AK4163" s="115">
        <v>16</v>
      </c>
      <c r="AL4163" s="115" t="s">
        <v>28</v>
      </c>
      <c r="AM4163" s="115" t="s">
        <v>1846</v>
      </c>
      <c r="AN4163" s="115" t="s">
        <v>1661</v>
      </c>
      <c r="AO4163" s="115" t="s">
        <v>1274</v>
      </c>
    </row>
    <row r="4164" spans="35:41" ht="13">
      <c r="AI4164" s="115" t="s">
        <v>1415</v>
      </c>
      <c r="AJ4164" t="s">
        <v>2114</v>
      </c>
      <c r="AK4164" s="115">
        <v>16</v>
      </c>
      <c r="AL4164" s="115" t="s">
        <v>28</v>
      </c>
      <c r="AM4164" s="115" t="s">
        <v>1850</v>
      </c>
      <c r="AN4164" s="115" t="s">
        <v>1661</v>
      </c>
      <c r="AO4164" s="115" t="s">
        <v>1274</v>
      </c>
    </row>
    <row r="4165" spans="35:41" ht="13">
      <c r="AI4165" s="115" t="s">
        <v>1415</v>
      </c>
      <c r="AJ4165" t="s">
        <v>2114</v>
      </c>
      <c r="AK4165" s="115">
        <v>16</v>
      </c>
      <c r="AL4165" s="115" t="s">
        <v>28</v>
      </c>
      <c r="AM4165" s="115" t="s">
        <v>1843</v>
      </c>
      <c r="AN4165" s="115" t="s">
        <v>1662</v>
      </c>
      <c r="AO4165" s="115" t="s">
        <v>1274</v>
      </c>
    </row>
    <row r="4166" spans="35:41" ht="13">
      <c r="AI4166" s="115" t="s">
        <v>1415</v>
      </c>
      <c r="AJ4166" t="s">
        <v>2114</v>
      </c>
      <c r="AK4166" s="115">
        <v>16</v>
      </c>
      <c r="AL4166" s="115" t="s">
        <v>28</v>
      </c>
      <c r="AM4166" s="115" t="s">
        <v>1848</v>
      </c>
      <c r="AN4166" s="115" t="s">
        <v>1662</v>
      </c>
      <c r="AO4166" s="115" t="s">
        <v>1274</v>
      </c>
    </row>
    <row r="4167" spans="35:41" ht="13">
      <c r="AI4167" s="115" t="s">
        <v>1415</v>
      </c>
      <c r="AJ4167" t="s">
        <v>2114</v>
      </c>
      <c r="AK4167" s="115">
        <v>16</v>
      </c>
      <c r="AL4167" s="115" t="s">
        <v>28</v>
      </c>
      <c r="AM4167" s="115" t="s">
        <v>1832</v>
      </c>
      <c r="AN4167" s="115" t="s">
        <v>1662</v>
      </c>
      <c r="AO4167" s="115" t="s">
        <v>1274</v>
      </c>
    </row>
    <row r="4168" spans="35:41" ht="13">
      <c r="AI4168" s="115" t="s">
        <v>1415</v>
      </c>
      <c r="AJ4168" t="s">
        <v>2114</v>
      </c>
      <c r="AK4168" s="115">
        <v>16</v>
      </c>
      <c r="AL4168" s="115" t="s">
        <v>28</v>
      </c>
      <c r="AM4168" s="115" t="s">
        <v>1850</v>
      </c>
      <c r="AN4168" s="115" t="s">
        <v>1662</v>
      </c>
      <c r="AO4168" s="115" t="s">
        <v>1274</v>
      </c>
    </row>
    <row r="4169" spans="35:41" ht="13">
      <c r="AI4169" s="115" t="s">
        <v>1415</v>
      </c>
      <c r="AJ4169" t="s">
        <v>2114</v>
      </c>
      <c r="AK4169" s="115">
        <v>16</v>
      </c>
      <c r="AL4169" s="115" t="s">
        <v>28</v>
      </c>
      <c r="AM4169" s="115" t="s">
        <v>1849</v>
      </c>
      <c r="AN4169" s="115" t="s">
        <v>1662</v>
      </c>
      <c r="AO4169" s="115" t="s">
        <v>1274</v>
      </c>
    </row>
    <row r="4170" spans="35:41" ht="13">
      <c r="AI4170" s="115" t="s">
        <v>1415</v>
      </c>
      <c r="AJ4170" t="s">
        <v>2114</v>
      </c>
      <c r="AK4170" s="115">
        <v>16</v>
      </c>
      <c r="AL4170" s="115" t="s">
        <v>28</v>
      </c>
      <c r="AM4170" s="115" t="s">
        <v>1846</v>
      </c>
      <c r="AN4170" s="115" t="s">
        <v>1662</v>
      </c>
      <c r="AO4170" s="115" t="s">
        <v>1274</v>
      </c>
    </row>
    <row r="4171" spans="35:41" ht="13">
      <c r="AI4171" s="115" t="s">
        <v>1415</v>
      </c>
      <c r="AJ4171" t="s">
        <v>2114</v>
      </c>
      <c r="AK4171" s="115">
        <v>16</v>
      </c>
      <c r="AL4171" s="115" t="s">
        <v>28</v>
      </c>
      <c r="AM4171" s="115" t="s">
        <v>1848</v>
      </c>
      <c r="AN4171" s="115" t="s">
        <v>1663</v>
      </c>
      <c r="AO4171" s="115" t="s">
        <v>1274</v>
      </c>
    </row>
    <row r="4172" spans="35:41" ht="13">
      <c r="AI4172" s="115" t="s">
        <v>1415</v>
      </c>
      <c r="AJ4172" t="s">
        <v>2114</v>
      </c>
      <c r="AK4172" s="115">
        <v>16</v>
      </c>
      <c r="AL4172" s="115" t="s">
        <v>28</v>
      </c>
      <c r="AM4172" s="115" t="s">
        <v>1843</v>
      </c>
      <c r="AN4172" s="115" t="s">
        <v>1663</v>
      </c>
      <c r="AO4172" s="115" t="s">
        <v>1274</v>
      </c>
    </row>
    <row r="4173" spans="35:41" ht="13">
      <c r="AI4173" s="115" t="s">
        <v>1415</v>
      </c>
      <c r="AJ4173" t="s">
        <v>2114</v>
      </c>
      <c r="AK4173" s="115">
        <v>16</v>
      </c>
      <c r="AL4173" s="115" t="s">
        <v>28</v>
      </c>
      <c r="AM4173" s="115" t="s">
        <v>1850</v>
      </c>
      <c r="AN4173" s="115" t="s">
        <v>1663</v>
      </c>
      <c r="AO4173" s="115" t="s">
        <v>1274</v>
      </c>
    </row>
    <row r="4174" spans="35:41" ht="13">
      <c r="AI4174" s="115" t="s">
        <v>1415</v>
      </c>
      <c r="AJ4174" t="s">
        <v>2114</v>
      </c>
      <c r="AK4174" s="115">
        <v>16</v>
      </c>
      <c r="AL4174" s="115" t="s">
        <v>28</v>
      </c>
      <c r="AM4174" s="115" t="s">
        <v>1849</v>
      </c>
      <c r="AN4174" s="115" t="s">
        <v>1663</v>
      </c>
      <c r="AO4174" s="115" t="s">
        <v>1274</v>
      </c>
    </row>
    <row r="4175" spans="35:41" ht="13">
      <c r="AI4175" s="115" t="s">
        <v>1415</v>
      </c>
      <c r="AJ4175" t="s">
        <v>2114</v>
      </c>
      <c r="AK4175" s="115">
        <v>16</v>
      </c>
      <c r="AL4175" s="115" t="s">
        <v>28</v>
      </c>
      <c r="AM4175" s="115" t="s">
        <v>1846</v>
      </c>
      <c r="AN4175" s="115" t="s">
        <v>1663</v>
      </c>
      <c r="AO4175" s="115" t="s">
        <v>1274</v>
      </c>
    </row>
    <row r="4176" spans="35:41" ht="13">
      <c r="AI4176" s="115" t="s">
        <v>1415</v>
      </c>
      <c r="AJ4176" t="s">
        <v>2114</v>
      </c>
      <c r="AK4176" s="115">
        <v>16</v>
      </c>
      <c r="AL4176" s="115" t="s">
        <v>28</v>
      </c>
      <c r="AM4176" s="115" t="s">
        <v>1832</v>
      </c>
      <c r="AN4176" s="115" t="s">
        <v>1663</v>
      </c>
      <c r="AO4176" s="115" t="s">
        <v>1274</v>
      </c>
    </row>
    <row r="4177" spans="35:41" ht="13">
      <c r="AI4177" s="115" t="s">
        <v>1415</v>
      </c>
      <c r="AJ4177" t="s">
        <v>2114</v>
      </c>
      <c r="AK4177" s="115">
        <v>16</v>
      </c>
      <c r="AL4177" s="115" t="s">
        <v>28</v>
      </c>
      <c r="AM4177" s="115" t="s">
        <v>1832</v>
      </c>
      <c r="AN4177" s="115" t="s">
        <v>1613</v>
      </c>
      <c r="AO4177" s="115" t="s">
        <v>1274</v>
      </c>
    </row>
    <row r="4178" spans="35:41" ht="13">
      <c r="AI4178" s="115" t="s">
        <v>1415</v>
      </c>
      <c r="AJ4178" t="s">
        <v>2114</v>
      </c>
      <c r="AK4178" s="115">
        <v>16</v>
      </c>
      <c r="AL4178" s="115" t="s">
        <v>28</v>
      </c>
      <c r="AM4178" s="115" t="s">
        <v>1846</v>
      </c>
      <c r="AN4178" s="115" t="s">
        <v>1613</v>
      </c>
      <c r="AO4178" s="115" t="s">
        <v>1274</v>
      </c>
    </row>
    <row r="4179" spans="35:41" ht="13">
      <c r="AI4179" s="115" t="s">
        <v>1415</v>
      </c>
      <c r="AJ4179" t="s">
        <v>2114</v>
      </c>
      <c r="AK4179" s="115">
        <v>16</v>
      </c>
      <c r="AL4179" s="115" t="s">
        <v>28</v>
      </c>
      <c r="AM4179" s="115" t="s">
        <v>1850</v>
      </c>
      <c r="AN4179" s="115" t="s">
        <v>1613</v>
      </c>
      <c r="AO4179" s="115" t="s">
        <v>1274</v>
      </c>
    </row>
    <row r="4180" spans="35:41" ht="13">
      <c r="AI4180" s="115" t="s">
        <v>1415</v>
      </c>
      <c r="AJ4180" t="s">
        <v>2114</v>
      </c>
      <c r="AK4180" s="115">
        <v>16</v>
      </c>
      <c r="AL4180" s="115" t="s">
        <v>28</v>
      </c>
      <c r="AM4180" s="115" t="s">
        <v>1848</v>
      </c>
      <c r="AN4180" s="115" t="s">
        <v>1613</v>
      </c>
      <c r="AO4180" s="115" t="s">
        <v>1274</v>
      </c>
    </row>
    <row r="4181" spans="35:41" ht="13">
      <c r="AI4181" s="115" t="s">
        <v>1415</v>
      </c>
      <c r="AJ4181" t="s">
        <v>2114</v>
      </c>
      <c r="AK4181" s="115">
        <v>16</v>
      </c>
      <c r="AL4181" s="115" t="s">
        <v>28</v>
      </c>
      <c r="AM4181" s="115" t="s">
        <v>1843</v>
      </c>
      <c r="AN4181" s="115" t="s">
        <v>1613</v>
      </c>
      <c r="AO4181" s="115" t="s">
        <v>1274</v>
      </c>
    </row>
    <row r="4182" spans="35:41" ht="13">
      <c r="AI4182" s="115" t="s">
        <v>1415</v>
      </c>
      <c r="AJ4182" t="s">
        <v>2114</v>
      </c>
      <c r="AK4182" s="115">
        <v>16</v>
      </c>
      <c r="AL4182" s="115" t="s">
        <v>28</v>
      </c>
      <c r="AM4182" s="115" t="s">
        <v>1849</v>
      </c>
      <c r="AN4182" s="115" t="s">
        <v>1613</v>
      </c>
      <c r="AO4182" s="115" t="s">
        <v>1274</v>
      </c>
    </row>
    <row r="4183" spans="35:41" ht="13">
      <c r="AI4183" s="115" t="s">
        <v>1415</v>
      </c>
      <c r="AJ4183" t="s">
        <v>2114</v>
      </c>
      <c r="AK4183" s="115">
        <v>16</v>
      </c>
      <c r="AL4183" s="115" t="s">
        <v>28</v>
      </c>
      <c r="AM4183" s="115" t="s">
        <v>1832</v>
      </c>
      <c r="AN4183" s="115" t="s">
        <v>1613</v>
      </c>
      <c r="AO4183" s="115" t="s">
        <v>379</v>
      </c>
    </row>
    <row r="4184" spans="35:41" ht="13">
      <c r="AI4184" s="115" t="s">
        <v>1415</v>
      </c>
      <c r="AJ4184" t="s">
        <v>2114</v>
      </c>
      <c r="AK4184" s="115">
        <v>16</v>
      </c>
      <c r="AL4184" s="115" t="s">
        <v>28</v>
      </c>
      <c r="AM4184" s="115" t="s">
        <v>1850</v>
      </c>
      <c r="AN4184" s="115" t="s">
        <v>1613</v>
      </c>
      <c r="AO4184" s="115" t="s">
        <v>379</v>
      </c>
    </row>
    <row r="4185" spans="35:41" ht="13">
      <c r="AI4185" s="115" t="s">
        <v>1415</v>
      </c>
      <c r="AJ4185" t="s">
        <v>2114</v>
      </c>
      <c r="AK4185" s="115">
        <v>16</v>
      </c>
      <c r="AL4185" s="115" t="s">
        <v>28</v>
      </c>
      <c r="AM4185" s="115" t="s">
        <v>1849</v>
      </c>
      <c r="AN4185" s="115" t="s">
        <v>1613</v>
      </c>
      <c r="AO4185" s="115" t="s">
        <v>379</v>
      </c>
    </row>
    <row r="4186" spans="35:41" ht="13">
      <c r="AI4186" s="115" t="s">
        <v>1415</v>
      </c>
      <c r="AJ4186" t="s">
        <v>2114</v>
      </c>
      <c r="AK4186" s="115">
        <v>16</v>
      </c>
      <c r="AL4186" s="115" t="s">
        <v>28</v>
      </c>
      <c r="AM4186" s="115" t="s">
        <v>1843</v>
      </c>
      <c r="AN4186" s="115" t="s">
        <v>1613</v>
      </c>
      <c r="AO4186" s="115" t="s">
        <v>379</v>
      </c>
    </row>
    <row r="4187" spans="35:41" ht="13">
      <c r="AI4187" s="115" t="s">
        <v>1415</v>
      </c>
      <c r="AJ4187" t="s">
        <v>2114</v>
      </c>
      <c r="AK4187" s="115">
        <v>16</v>
      </c>
      <c r="AL4187" s="115" t="s">
        <v>28</v>
      </c>
      <c r="AM4187" s="115" t="s">
        <v>1846</v>
      </c>
      <c r="AN4187" s="115" t="s">
        <v>1613</v>
      </c>
      <c r="AO4187" s="115" t="s">
        <v>379</v>
      </c>
    </row>
    <row r="4188" spans="35:41" ht="13">
      <c r="AI4188" s="115" t="s">
        <v>1415</v>
      </c>
      <c r="AJ4188" t="s">
        <v>2114</v>
      </c>
      <c r="AK4188" s="115">
        <v>16</v>
      </c>
      <c r="AL4188" s="115" t="s">
        <v>28</v>
      </c>
      <c r="AM4188" s="115" t="s">
        <v>1848</v>
      </c>
      <c r="AN4188" s="115" t="s">
        <v>1613</v>
      </c>
      <c r="AO4188" s="115" t="s">
        <v>379</v>
      </c>
    </row>
    <row r="4189" spans="35:41" ht="13">
      <c r="AI4189" s="115" t="s">
        <v>1415</v>
      </c>
      <c r="AJ4189" t="s">
        <v>2114</v>
      </c>
      <c r="AK4189" s="115">
        <v>16</v>
      </c>
      <c r="AL4189" s="115" t="s">
        <v>28</v>
      </c>
      <c r="AM4189" s="115" t="s">
        <v>1843</v>
      </c>
      <c r="AN4189" s="115" t="s">
        <v>1613</v>
      </c>
      <c r="AO4189" s="115" t="s">
        <v>1639</v>
      </c>
    </row>
    <row r="4190" spans="35:41" ht="13">
      <c r="AI4190" s="115" t="s">
        <v>1415</v>
      </c>
      <c r="AJ4190" t="s">
        <v>2114</v>
      </c>
      <c r="AK4190" s="115">
        <v>16</v>
      </c>
      <c r="AL4190" s="115" t="s">
        <v>28</v>
      </c>
      <c r="AM4190" s="115" t="s">
        <v>1846</v>
      </c>
      <c r="AN4190" s="115" t="s">
        <v>1613</v>
      </c>
      <c r="AO4190" s="115" t="s">
        <v>1639</v>
      </c>
    </row>
    <row r="4191" spans="35:41" ht="13">
      <c r="AI4191" s="115" t="s">
        <v>1415</v>
      </c>
      <c r="AJ4191" t="s">
        <v>2114</v>
      </c>
      <c r="AK4191" s="115">
        <v>16</v>
      </c>
      <c r="AL4191" s="115" t="s">
        <v>28</v>
      </c>
      <c r="AM4191" s="115" t="s">
        <v>1850</v>
      </c>
      <c r="AN4191" s="115" t="s">
        <v>1615</v>
      </c>
      <c r="AO4191" s="115" t="s">
        <v>1274</v>
      </c>
    </row>
    <row r="4192" spans="35:41" ht="13">
      <c r="AI4192" s="115" t="s">
        <v>1415</v>
      </c>
      <c r="AJ4192" t="s">
        <v>2114</v>
      </c>
      <c r="AK4192" s="115">
        <v>16</v>
      </c>
      <c r="AL4192" s="115" t="s">
        <v>28</v>
      </c>
      <c r="AM4192" s="115" t="s">
        <v>1846</v>
      </c>
      <c r="AN4192" s="115" t="s">
        <v>1615</v>
      </c>
      <c r="AO4192" s="115" t="s">
        <v>1274</v>
      </c>
    </row>
    <row r="4193" spans="35:41" ht="13">
      <c r="AI4193" s="115" t="s">
        <v>1415</v>
      </c>
      <c r="AJ4193" t="s">
        <v>2114</v>
      </c>
      <c r="AK4193" s="115">
        <v>16</v>
      </c>
      <c r="AL4193" s="115" t="s">
        <v>28</v>
      </c>
      <c r="AM4193" s="115" t="s">
        <v>1843</v>
      </c>
      <c r="AN4193" s="115" t="s">
        <v>1615</v>
      </c>
      <c r="AO4193" s="115" t="s">
        <v>1274</v>
      </c>
    </row>
    <row r="4194" spans="35:41" ht="13">
      <c r="AI4194" s="115" t="s">
        <v>1415</v>
      </c>
      <c r="AJ4194" t="s">
        <v>2114</v>
      </c>
      <c r="AK4194" s="115">
        <v>16</v>
      </c>
      <c r="AL4194" s="115" t="s">
        <v>28</v>
      </c>
      <c r="AM4194" s="115" t="s">
        <v>1848</v>
      </c>
      <c r="AN4194" s="115" t="s">
        <v>1615</v>
      </c>
      <c r="AO4194" s="115" t="s">
        <v>1274</v>
      </c>
    </row>
    <row r="4195" spans="35:41" ht="13">
      <c r="AI4195" s="115" t="s">
        <v>1415</v>
      </c>
      <c r="AJ4195" t="s">
        <v>2114</v>
      </c>
      <c r="AK4195" s="115">
        <v>16</v>
      </c>
      <c r="AL4195" s="115" t="s">
        <v>28</v>
      </c>
      <c r="AM4195" s="115" t="s">
        <v>1849</v>
      </c>
      <c r="AN4195" s="115" t="s">
        <v>1615</v>
      </c>
      <c r="AO4195" s="115" t="s">
        <v>1274</v>
      </c>
    </row>
    <row r="4196" spans="35:41" ht="13">
      <c r="AI4196" s="115" t="s">
        <v>1415</v>
      </c>
      <c r="AJ4196" t="s">
        <v>2114</v>
      </c>
      <c r="AK4196" s="115">
        <v>16</v>
      </c>
      <c r="AL4196" s="115" t="s">
        <v>28</v>
      </c>
      <c r="AM4196" s="115" t="s">
        <v>1832</v>
      </c>
      <c r="AN4196" s="115" t="s">
        <v>1615</v>
      </c>
      <c r="AO4196" s="115" t="s">
        <v>1274</v>
      </c>
    </row>
    <row r="4197" spans="35:41" ht="13">
      <c r="AI4197" s="115" t="s">
        <v>1415</v>
      </c>
      <c r="AJ4197" t="s">
        <v>2114</v>
      </c>
      <c r="AK4197" s="115">
        <v>16</v>
      </c>
      <c r="AL4197" s="115" t="s">
        <v>28</v>
      </c>
      <c r="AM4197" s="115" t="s">
        <v>1843</v>
      </c>
      <c r="AN4197" s="115" t="s">
        <v>1615</v>
      </c>
      <c r="AO4197" s="115" t="s">
        <v>379</v>
      </c>
    </row>
    <row r="4198" spans="35:41" ht="13">
      <c r="AI4198" s="115" t="s">
        <v>1415</v>
      </c>
      <c r="AJ4198" t="s">
        <v>2114</v>
      </c>
      <c r="AK4198" s="115">
        <v>16</v>
      </c>
      <c r="AL4198" s="115" t="s">
        <v>28</v>
      </c>
      <c r="AM4198" s="115" t="s">
        <v>1848</v>
      </c>
      <c r="AN4198" s="115" t="s">
        <v>1615</v>
      </c>
      <c r="AO4198" s="115" t="s">
        <v>379</v>
      </c>
    </row>
    <row r="4199" spans="35:41" ht="13">
      <c r="AI4199" s="115" t="s">
        <v>1415</v>
      </c>
      <c r="AJ4199" t="s">
        <v>2114</v>
      </c>
      <c r="AK4199" s="115">
        <v>16</v>
      </c>
      <c r="AL4199" s="115" t="s">
        <v>28</v>
      </c>
      <c r="AM4199" s="115" t="s">
        <v>1832</v>
      </c>
      <c r="AN4199" s="115" t="s">
        <v>1615</v>
      </c>
      <c r="AO4199" s="115" t="s">
        <v>379</v>
      </c>
    </row>
    <row r="4200" spans="35:41" ht="13">
      <c r="AI4200" s="115" t="s">
        <v>1415</v>
      </c>
      <c r="AJ4200" t="s">
        <v>2114</v>
      </c>
      <c r="AK4200" s="115">
        <v>16</v>
      </c>
      <c r="AL4200" s="115" t="s">
        <v>28</v>
      </c>
      <c r="AM4200" s="115" t="s">
        <v>1850</v>
      </c>
      <c r="AN4200" s="115" t="s">
        <v>1615</v>
      </c>
      <c r="AO4200" s="115" t="s">
        <v>379</v>
      </c>
    </row>
    <row r="4201" spans="35:41" ht="13">
      <c r="AI4201" s="115" t="s">
        <v>1415</v>
      </c>
      <c r="AJ4201" t="s">
        <v>2114</v>
      </c>
      <c r="AK4201" s="115">
        <v>16</v>
      </c>
      <c r="AL4201" s="115" t="s">
        <v>28</v>
      </c>
      <c r="AM4201" s="115" t="s">
        <v>1846</v>
      </c>
      <c r="AN4201" s="115" t="s">
        <v>1615</v>
      </c>
      <c r="AO4201" s="115" t="s">
        <v>379</v>
      </c>
    </row>
    <row r="4202" spans="35:41" ht="13">
      <c r="AI4202" s="115" t="s">
        <v>1415</v>
      </c>
      <c r="AJ4202" t="s">
        <v>2114</v>
      </c>
      <c r="AK4202" s="115">
        <v>16</v>
      </c>
      <c r="AL4202" s="115" t="s">
        <v>28</v>
      </c>
      <c r="AM4202" s="115" t="s">
        <v>1849</v>
      </c>
      <c r="AN4202" s="115" t="s">
        <v>1615</v>
      </c>
      <c r="AO4202" s="115" t="s">
        <v>379</v>
      </c>
    </row>
    <row r="4203" spans="35:41" ht="13">
      <c r="AI4203" s="115" t="s">
        <v>1415</v>
      </c>
      <c r="AJ4203" t="s">
        <v>2114</v>
      </c>
      <c r="AK4203" s="115">
        <v>16</v>
      </c>
      <c r="AL4203" s="115" t="s">
        <v>28</v>
      </c>
      <c r="AM4203" s="115" t="s">
        <v>1846</v>
      </c>
      <c r="AN4203" s="115" t="s">
        <v>1615</v>
      </c>
      <c r="AO4203" s="115" t="s">
        <v>1639</v>
      </c>
    </row>
    <row r="4204" spans="35:41" ht="13">
      <c r="AI4204" s="115" t="s">
        <v>1415</v>
      </c>
      <c r="AJ4204" t="s">
        <v>2114</v>
      </c>
      <c r="AK4204" s="115">
        <v>16</v>
      </c>
      <c r="AL4204" s="115" t="s">
        <v>28</v>
      </c>
      <c r="AM4204" s="115" t="s">
        <v>1843</v>
      </c>
      <c r="AN4204" s="115" t="s">
        <v>1615</v>
      </c>
      <c r="AO4204" s="115" t="s">
        <v>1639</v>
      </c>
    </row>
    <row r="4205" spans="35:41" ht="13">
      <c r="AI4205" s="115" t="s">
        <v>1415</v>
      </c>
      <c r="AJ4205" t="s">
        <v>2114</v>
      </c>
      <c r="AK4205" s="115">
        <v>16</v>
      </c>
      <c r="AL4205" s="115" t="s">
        <v>28</v>
      </c>
      <c r="AM4205" s="115" t="s">
        <v>1850</v>
      </c>
      <c r="AN4205" s="115" t="s">
        <v>1617</v>
      </c>
      <c r="AO4205" s="115" t="s">
        <v>1644</v>
      </c>
    </row>
    <row r="4206" spans="35:41" ht="13">
      <c r="AI4206" s="115" t="s">
        <v>1415</v>
      </c>
      <c r="AJ4206" t="s">
        <v>2114</v>
      </c>
      <c r="AK4206" s="115">
        <v>16</v>
      </c>
      <c r="AL4206" s="115" t="s">
        <v>28</v>
      </c>
      <c r="AM4206" s="115" t="s">
        <v>1832</v>
      </c>
      <c r="AN4206" s="115" t="s">
        <v>1617</v>
      </c>
      <c r="AO4206" s="115" t="s">
        <v>1644</v>
      </c>
    </row>
    <row r="4207" spans="35:41" ht="13">
      <c r="AI4207" s="115" t="s">
        <v>1415</v>
      </c>
      <c r="AJ4207" t="s">
        <v>2114</v>
      </c>
      <c r="AK4207" s="115">
        <v>16</v>
      </c>
      <c r="AL4207" s="115" t="s">
        <v>28</v>
      </c>
      <c r="AM4207" s="115" t="s">
        <v>1843</v>
      </c>
      <c r="AN4207" s="115" t="s">
        <v>1617</v>
      </c>
      <c r="AO4207" s="115" t="s">
        <v>1644</v>
      </c>
    </row>
    <row r="4208" spans="35:41" ht="13">
      <c r="AI4208" s="115" t="s">
        <v>1415</v>
      </c>
      <c r="AJ4208" t="s">
        <v>2114</v>
      </c>
      <c r="AK4208" s="115">
        <v>16</v>
      </c>
      <c r="AL4208" s="115" t="s">
        <v>28</v>
      </c>
      <c r="AM4208" s="115" t="s">
        <v>1848</v>
      </c>
      <c r="AN4208" s="115" t="s">
        <v>1617</v>
      </c>
      <c r="AO4208" s="115" t="s">
        <v>1644</v>
      </c>
    </row>
    <row r="4209" spans="35:41" ht="13">
      <c r="AI4209" s="115" t="s">
        <v>1415</v>
      </c>
      <c r="AJ4209" t="s">
        <v>2114</v>
      </c>
      <c r="AK4209" s="115">
        <v>16</v>
      </c>
      <c r="AL4209" s="115" t="s">
        <v>28</v>
      </c>
      <c r="AM4209" s="115" t="s">
        <v>1846</v>
      </c>
      <c r="AN4209" s="115" t="s">
        <v>1617</v>
      </c>
      <c r="AO4209" s="115" t="s">
        <v>1274</v>
      </c>
    </row>
    <row r="4210" spans="35:41" ht="13">
      <c r="AI4210" s="115" t="s">
        <v>1415</v>
      </c>
      <c r="AJ4210" t="s">
        <v>2114</v>
      </c>
      <c r="AK4210" s="115">
        <v>16</v>
      </c>
      <c r="AL4210" s="115" t="s">
        <v>28</v>
      </c>
      <c r="AM4210" s="115" t="s">
        <v>1850</v>
      </c>
      <c r="AN4210" s="115" t="s">
        <v>1617</v>
      </c>
      <c r="AO4210" s="115" t="s">
        <v>1274</v>
      </c>
    </row>
    <row r="4211" spans="35:41" ht="13">
      <c r="AI4211" s="115" t="s">
        <v>1415</v>
      </c>
      <c r="AJ4211" t="s">
        <v>2114</v>
      </c>
      <c r="AK4211" s="115">
        <v>16</v>
      </c>
      <c r="AL4211" s="115" t="s">
        <v>28</v>
      </c>
      <c r="AM4211" s="115" t="s">
        <v>1849</v>
      </c>
      <c r="AN4211" s="115" t="s">
        <v>1617</v>
      </c>
      <c r="AO4211" s="115" t="s">
        <v>1274</v>
      </c>
    </row>
    <row r="4212" spans="35:41" ht="13">
      <c r="AI4212" s="115" t="s">
        <v>1415</v>
      </c>
      <c r="AJ4212" t="s">
        <v>2114</v>
      </c>
      <c r="AK4212" s="115">
        <v>16</v>
      </c>
      <c r="AL4212" s="115" t="s">
        <v>28</v>
      </c>
      <c r="AM4212" s="115" t="s">
        <v>1832</v>
      </c>
      <c r="AN4212" s="115" t="s">
        <v>1617</v>
      </c>
      <c r="AO4212" s="115" t="s">
        <v>1274</v>
      </c>
    </row>
    <row r="4213" spans="35:41" ht="13">
      <c r="AI4213" s="115" t="s">
        <v>1415</v>
      </c>
      <c r="AJ4213" t="s">
        <v>2114</v>
      </c>
      <c r="AK4213" s="115">
        <v>16</v>
      </c>
      <c r="AL4213" s="115" t="s">
        <v>28</v>
      </c>
      <c r="AM4213" s="115" t="s">
        <v>1843</v>
      </c>
      <c r="AN4213" s="115" t="s">
        <v>1617</v>
      </c>
      <c r="AO4213" s="115" t="s">
        <v>1274</v>
      </c>
    </row>
    <row r="4214" spans="35:41" ht="13">
      <c r="AI4214" s="115" t="s">
        <v>1415</v>
      </c>
      <c r="AJ4214" t="s">
        <v>2114</v>
      </c>
      <c r="AK4214" s="115">
        <v>16</v>
      </c>
      <c r="AL4214" s="115" t="s">
        <v>28</v>
      </c>
      <c r="AM4214" s="115" t="s">
        <v>1848</v>
      </c>
      <c r="AN4214" s="115" t="s">
        <v>1617</v>
      </c>
      <c r="AO4214" s="115" t="s">
        <v>1274</v>
      </c>
    </row>
    <row r="4215" spans="35:41" ht="13">
      <c r="AI4215" s="115" t="s">
        <v>1415</v>
      </c>
      <c r="AJ4215" t="s">
        <v>2114</v>
      </c>
      <c r="AK4215" s="115">
        <v>16</v>
      </c>
      <c r="AL4215" s="115" t="s">
        <v>28</v>
      </c>
      <c r="AM4215" s="115" t="s">
        <v>1848</v>
      </c>
      <c r="AN4215" s="115" t="s">
        <v>1617</v>
      </c>
      <c r="AO4215" s="115" t="s">
        <v>379</v>
      </c>
    </row>
    <row r="4216" spans="35:41" ht="13">
      <c r="AI4216" s="115" t="s">
        <v>1415</v>
      </c>
      <c r="AJ4216" t="s">
        <v>2114</v>
      </c>
      <c r="AK4216" s="115">
        <v>16</v>
      </c>
      <c r="AL4216" s="115" t="s">
        <v>28</v>
      </c>
      <c r="AM4216" s="115" t="s">
        <v>1849</v>
      </c>
      <c r="AN4216" s="115" t="s">
        <v>1617</v>
      </c>
      <c r="AO4216" s="115" t="s">
        <v>379</v>
      </c>
    </row>
    <row r="4217" spans="35:41" ht="13">
      <c r="AI4217" s="115" t="s">
        <v>1415</v>
      </c>
      <c r="AJ4217" t="s">
        <v>2114</v>
      </c>
      <c r="AK4217" s="115">
        <v>16</v>
      </c>
      <c r="AL4217" s="115" t="s">
        <v>28</v>
      </c>
      <c r="AM4217" s="115" t="s">
        <v>1850</v>
      </c>
      <c r="AN4217" s="115" t="s">
        <v>1617</v>
      </c>
      <c r="AO4217" s="115" t="s">
        <v>379</v>
      </c>
    </row>
    <row r="4218" spans="35:41" ht="13">
      <c r="AI4218" s="115" t="s">
        <v>1415</v>
      </c>
      <c r="AJ4218" t="s">
        <v>2114</v>
      </c>
      <c r="AK4218" s="115">
        <v>16</v>
      </c>
      <c r="AL4218" s="115" t="s">
        <v>28</v>
      </c>
      <c r="AM4218" s="115" t="s">
        <v>1843</v>
      </c>
      <c r="AN4218" s="115" t="s">
        <v>1617</v>
      </c>
      <c r="AO4218" s="115" t="s">
        <v>379</v>
      </c>
    </row>
    <row r="4219" spans="35:41" ht="13">
      <c r="AI4219" s="115" t="s">
        <v>1415</v>
      </c>
      <c r="AJ4219" t="s">
        <v>2114</v>
      </c>
      <c r="AK4219" s="115">
        <v>16</v>
      </c>
      <c r="AL4219" s="115" t="s">
        <v>28</v>
      </c>
      <c r="AM4219" s="115" t="s">
        <v>1832</v>
      </c>
      <c r="AN4219" s="115" t="s">
        <v>1617</v>
      </c>
      <c r="AO4219" s="115" t="s">
        <v>379</v>
      </c>
    </row>
    <row r="4220" spans="35:41" ht="13">
      <c r="AI4220" s="115" t="s">
        <v>1415</v>
      </c>
      <c r="AJ4220" t="s">
        <v>2114</v>
      </c>
      <c r="AK4220" s="115">
        <v>16</v>
      </c>
      <c r="AL4220" s="115" t="s">
        <v>28</v>
      </c>
      <c r="AM4220" s="115" t="s">
        <v>1846</v>
      </c>
      <c r="AN4220" s="115" t="s">
        <v>1617</v>
      </c>
      <c r="AO4220" s="115" t="s">
        <v>379</v>
      </c>
    </row>
    <row r="4221" spans="35:41" ht="13">
      <c r="AI4221" s="115" t="s">
        <v>1415</v>
      </c>
      <c r="AJ4221" t="s">
        <v>2114</v>
      </c>
      <c r="AK4221" s="115">
        <v>16</v>
      </c>
      <c r="AL4221" s="115" t="s">
        <v>28</v>
      </c>
      <c r="AM4221" s="115" t="s">
        <v>1843</v>
      </c>
      <c r="AN4221" s="115" t="s">
        <v>1617</v>
      </c>
      <c r="AO4221" s="115" t="s">
        <v>1646</v>
      </c>
    </row>
    <row r="4222" spans="35:41" ht="13">
      <c r="AI4222" s="115" t="s">
        <v>1415</v>
      </c>
      <c r="AJ4222" t="s">
        <v>2114</v>
      </c>
      <c r="AK4222" s="115">
        <v>16</v>
      </c>
      <c r="AL4222" s="115" t="s">
        <v>28</v>
      </c>
      <c r="AM4222" s="115" t="s">
        <v>1846</v>
      </c>
      <c r="AN4222" s="115" t="s">
        <v>1617</v>
      </c>
      <c r="AO4222" s="115" t="s">
        <v>1646</v>
      </c>
    </row>
    <row r="4223" spans="35:41" ht="13">
      <c r="AI4223" s="115" t="s">
        <v>1415</v>
      </c>
      <c r="AJ4223" t="s">
        <v>2114</v>
      </c>
      <c r="AK4223" s="115">
        <v>16</v>
      </c>
      <c r="AL4223" s="115" t="s">
        <v>28</v>
      </c>
      <c r="AM4223" s="115" t="s">
        <v>1843</v>
      </c>
      <c r="AN4223" s="115" t="s">
        <v>1617</v>
      </c>
      <c r="AO4223" s="115" t="s">
        <v>1647</v>
      </c>
    </row>
    <row r="4224" spans="35:41" ht="13">
      <c r="AI4224" s="115" t="s">
        <v>1415</v>
      </c>
      <c r="AJ4224" t="s">
        <v>2114</v>
      </c>
      <c r="AK4224" s="115">
        <v>16</v>
      </c>
      <c r="AL4224" s="115" t="s">
        <v>28</v>
      </c>
      <c r="AM4224" s="115" t="s">
        <v>1846</v>
      </c>
      <c r="AN4224" s="115" t="s">
        <v>1617</v>
      </c>
      <c r="AO4224" s="115" t="s">
        <v>1647</v>
      </c>
    </row>
    <row r="4225" spans="35:41" ht="13">
      <c r="AI4225" s="115" t="s">
        <v>1415</v>
      </c>
      <c r="AJ4225" t="s">
        <v>2114</v>
      </c>
      <c r="AK4225" s="115">
        <v>16</v>
      </c>
      <c r="AL4225" s="115" t="s">
        <v>28</v>
      </c>
      <c r="AM4225" s="115" t="s">
        <v>1843</v>
      </c>
      <c r="AN4225" s="115" t="s">
        <v>1617</v>
      </c>
      <c r="AO4225" s="115" t="s">
        <v>1639</v>
      </c>
    </row>
    <row r="4226" spans="35:41" ht="13">
      <c r="AI4226" s="115" t="s">
        <v>1415</v>
      </c>
      <c r="AJ4226" t="s">
        <v>2114</v>
      </c>
      <c r="AK4226" s="115">
        <v>16</v>
      </c>
      <c r="AL4226" s="115" t="s">
        <v>28</v>
      </c>
      <c r="AM4226" s="115" t="s">
        <v>1846</v>
      </c>
      <c r="AN4226" s="115" t="s">
        <v>1617</v>
      </c>
      <c r="AO4226" s="115" t="s">
        <v>1639</v>
      </c>
    </row>
    <row r="4227" spans="35:41" ht="13">
      <c r="AI4227" s="115" t="s">
        <v>1415</v>
      </c>
      <c r="AJ4227" t="s">
        <v>2114</v>
      </c>
      <c r="AK4227" s="115">
        <v>16</v>
      </c>
      <c r="AL4227" s="115" t="s">
        <v>28</v>
      </c>
      <c r="AM4227" s="115" t="s">
        <v>1850</v>
      </c>
      <c r="AN4227" s="115" t="s">
        <v>1626</v>
      </c>
      <c r="AO4227" s="115" t="s">
        <v>1274</v>
      </c>
    </row>
    <row r="4228" spans="35:41" ht="13">
      <c r="AI4228" s="115" t="s">
        <v>1415</v>
      </c>
      <c r="AJ4228" t="s">
        <v>2114</v>
      </c>
      <c r="AK4228" s="115">
        <v>16</v>
      </c>
      <c r="AL4228" s="115" t="s">
        <v>28</v>
      </c>
      <c r="AM4228" s="115" t="s">
        <v>1849</v>
      </c>
      <c r="AN4228" s="115" t="s">
        <v>1626</v>
      </c>
      <c r="AO4228" s="115" t="s">
        <v>1274</v>
      </c>
    </row>
    <row r="4229" spans="35:41" ht="13">
      <c r="AI4229" s="115" t="s">
        <v>1415</v>
      </c>
      <c r="AJ4229" t="s">
        <v>2114</v>
      </c>
      <c r="AK4229" s="115">
        <v>16</v>
      </c>
      <c r="AL4229" s="115" t="s">
        <v>28</v>
      </c>
      <c r="AM4229" s="115" t="s">
        <v>1846</v>
      </c>
      <c r="AN4229" s="115" t="s">
        <v>1626</v>
      </c>
      <c r="AO4229" s="115" t="s">
        <v>1274</v>
      </c>
    </row>
    <row r="4230" spans="35:41" ht="13">
      <c r="AI4230" s="115" t="s">
        <v>1415</v>
      </c>
      <c r="AJ4230" t="s">
        <v>2114</v>
      </c>
      <c r="AK4230" s="115">
        <v>16</v>
      </c>
      <c r="AL4230" s="115" t="s">
        <v>28</v>
      </c>
      <c r="AM4230" s="115" t="s">
        <v>1843</v>
      </c>
      <c r="AN4230" s="115" t="s">
        <v>1626</v>
      </c>
      <c r="AO4230" s="115" t="s">
        <v>1274</v>
      </c>
    </row>
    <row r="4231" spans="35:41" ht="13">
      <c r="AI4231" s="115" t="s">
        <v>1415</v>
      </c>
      <c r="AJ4231" t="s">
        <v>2114</v>
      </c>
      <c r="AK4231" s="115">
        <v>16</v>
      </c>
      <c r="AL4231" s="115" t="s">
        <v>28</v>
      </c>
      <c r="AM4231" s="115" t="s">
        <v>1848</v>
      </c>
      <c r="AN4231" s="115" t="s">
        <v>1626</v>
      </c>
      <c r="AO4231" s="115" t="s">
        <v>1274</v>
      </c>
    </row>
    <row r="4232" spans="35:41" ht="13">
      <c r="AI4232" s="115" t="s">
        <v>1415</v>
      </c>
      <c r="AJ4232" t="s">
        <v>2114</v>
      </c>
      <c r="AK4232" s="115">
        <v>16</v>
      </c>
      <c r="AL4232" s="115" t="s">
        <v>28</v>
      </c>
      <c r="AM4232" s="115" t="s">
        <v>1832</v>
      </c>
      <c r="AN4232" s="115" t="s">
        <v>1626</v>
      </c>
      <c r="AO4232" s="115" t="s">
        <v>1274</v>
      </c>
    </row>
    <row r="4233" spans="35:41" ht="13">
      <c r="AI4233" s="115" t="s">
        <v>1415</v>
      </c>
      <c r="AJ4233" t="s">
        <v>2114</v>
      </c>
      <c r="AK4233" s="115">
        <v>16</v>
      </c>
      <c r="AL4233" s="115" t="s">
        <v>28</v>
      </c>
      <c r="AM4233" s="115" t="s">
        <v>1832</v>
      </c>
      <c r="AN4233" s="115" t="s">
        <v>1630</v>
      </c>
      <c r="AO4233" s="115" t="s">
        <v>1274</v>
      </c>
    </row>
    <row r="4234" spans="35:41" ht="13">
      <c r="AI4234" s="115" t="s">
        <v>1415</v>
      </c>
      <c r="AJ4234" t="s">
        <v>2114</v>
      </c>
      <c r="AK4234" s="115">
        <v>16</v>
      </c>
      <c r="AL4234" s="115" t="s">
        <v>28</v>
      </c>
      <c r="AM4234" s="115" t="s">
        <v>1843</v>
      </c>
      <c r="AN4234" s="115" t="s">
        <v>1630</v>
      </c>
      <c r="AO4234" s="115" t="s">
        <v>1274</v>
      </c>
    </row>
    <row r="4235" spans="35:41" ht="13">
      <c r="AI4235" s="115" t="s">
        <v>1415</v>
      </c>
      <c r="AJ4235" t="s">
        <v>2114</v>
      </c>
      <c r="AK4235" s="115">
        <v>16</v>
      </c>
      <c r="AL4235" s="115" t="s">
        <v>28</v>
      </c>
      <c r="AM4235" s="115" t="s">
        <v>1846</v>
      </c>
      <c r="AN4235" s="115" t="s">
        <v>1630</v>
      </c>
      <c r="AO4235" s="115" t="s">
        <v>1274</v>
      </c>
    </row>
    <row r="4236" spans="35:41" ht="13">
      <c r="AI4236" s="115" t="s">
        <v>1415</v>
      </c>
      <c r="AJ4236" t="s">
        <v>2114</v>
      </c>
      <c r="AK4236" s="115">
        <v>16</v>
      </c>
      <c r="AL4236" s="115" t="s">
        <v>28</v>
      </c>
      <c r="AM4236" s="115" t="s">
        <v>1850</v>
      </c>
      <c r="AN4236" s="115" t="s">
        <v>1630</v>
      </c>
      <c r="AO4236" s="115" t="s">
        <v>1274</v>
      </c>
    </row>
    <row r="4237" spans="35:41" ht="13">
      <c r="AI4237" s="115" t="s">
        <v>1415</v>
      </c>
      <c r="AJ4237" t="s">
        <v>2114</v>
      </c>
      <c r="AK4237" s="115">
        <v>16</v>
      </c>
      <c r="AL4237" s="115" t="s">
        <v>28</v>
      </c>
      <c r="AM4237" s="115" t="s">
        <v>1849</v>
      </c>
      <c r="AN4237" s="115" t="s">
        <v>1630</v>
      </c>
      <c r="AO4237" s="115" t="s">
        <v>1274</v>
      </c>
    </row>
    <row r="4238" spans="35:41" ht="13">
      <c r="AI4238" s="115" t="s">
        <v>1415</v>
      </c>
      <c r="AJ4238" t="s">
        <v>2114</v>
      </c>
      <c r="AK4238" s="115">
        <v>16</v>
      </c>
      <c r="AL4238" s="115" t="s">
        <v>28</v>
      </c>
      <c r="AM4238" s="115" t="s">
        <v>1848</v>
      </c>
      <c r="AN4238" s="115" t="s">
        <v>1630</v>
      </c>
      <c r="AO4238" s="115" t="s">
        <v>1274</v>
      </c>
    </row>
    <row r="4239" spans="35:41" ht="13">
      <c r="AI4239" s="115" t="s">
        <v>1415</v>
      </c>
      <c r="AJ4239" t="s">
        <v>2114</v>
      </c>
      <c r="AK4239" s="115">
        <v>16</v>
      </c>
      <c r="AL4239" s="115" t="s">
        <v>28</v>
      </c>
      <c r="AM4239" s="115" t="s">
        <v>1846</v>
      </c>
      <c r="AN4239" s="115" t="s">
        <v>1630</v>
      </c>
      <c r="AO4239" s="115" t="s">
        <v>379</v>
      </c>
    </row>
    <row r="4240" spans="35:41" ht="13">
      <c r="AI4240" s="115" t="s">
        <v>1415</v>
      </c>
      <c r="AJ4240" t="s">
        <v>2114</v>
      </c>
      <c r="AK4240" s="115">
        <v>16</v>
      </c>
      <c r="AL4240" s="115" t="s">
        <v>28</v>
      </c>
      <c r="AM4240" s="115" t="s">
        <v>1843</v>
      </c>
      <c r="AN4240" s="115" t="s">
        <v>1630</v>
      </c>
      <c r="AO4240" s="115" t="s">
        <v>379</v>
      </c>
    </row>
    <row r="4241" spans="35:41" ht="13">
      <c r="AI4241" s="115" t="s">
        <v>1415</v>
      </c>
      <c r="AJ4241" t="s">
        <v>2114</v>
      </c>
      <c r="AK4241" s="115">
        <v>16</v>
      </c>
      <c r="AL4241" s="115" t="s">
        <v>28</v>
      </c>
      <c r="AM4241" s="115" t="s">
        <v>1843</v>
      </c>
      <c r="AN4241" s="115" t="s">
        <v>1630</v>
      </c>
      <c r="AO4241" s="115" t="s">
        <v>380</v>
      </c>
    </row>
    <row r="4242" spans="35:41" ht="13">
      <c r="AI4242" s="115" t="s">
        <v>1415</v>
      </c>
      <c r="AJ4242" t="s">
        <v>2114</v>
      </c>
      <c r="AK4242" s="115">
        <v>16</v>
      </c>
      <c r="AL4242" s="115" t="s">
        <v>28</v>
      </c>
      <c r="AM4242" s="115" t="s">
        <v>1846</v>
      </c>
      <c r="AN4242" s="115" t="s">
        <v>1630</v>
      </c>
      <c r="AO4242" s="115" t="s">
        <v>380</v>
      </c>
    </row>
    <row r="4243" spans="35:41" ht="13">
      <c r="AI4243" s="115" t="s">
        <v>1415</v>
      </c>
      <c r="AJ4243" t="s">
        <v>2114</v>
      </c>
      <c r="AK4243" s="115">
        <v>16</v>
      </c>
      <c r="AL4243" s="115" t="s">
        <v>28</v>
      </c>
      <c r="AM4243" s="115" t="s">
        <v>1848</v>
      </c>
      <c r="AN4243" s="115" t="s">
        <v>1630</v>
      </c>
      <c r="AO4243" s="115" t="s">
        <v>380</v>
      </c>
    </row>
    <row r="4244" spans="35:41" ht="13">
      <c r="AI4244" s="115" t="s">
        <v>1415</v>
      </c>
      <c r="AJ4244" t="s">
        <v>2114</v>
      </c>
      <c r="AK4244" s="115">
        <v>16</v>
      </c>
      <c r="AL4244" s="115" t="s">
        <v>28</v>
      </c>
      <c r="AM4244" s="115" t="s">
        <v>1849</v>
      </c>
      <c r="AN4244" s="115" t="s">
        <v>1630</v>
      </c>
      <c r="AO4244" s="115" t="s">
        <v>380</v>
      </c>
    </row>
    <row r="4245" spans="35:41" ht="13">
      <c r="AI4245" s="115" t="s">
        <v>1415</v>
      </c>
      <c r="AJ4245" t="s">
        <v>2114</v>
      </c>
      <c r="AK4245" s="115">
        <v>16</v>
      </c>
      <c r="AL4245" s="115" t="s">
        <v>28</v>
      </c>
      <c r="AM4245" s="115" t="s">
        <v>1832</v>
      </c>
      <c r="AN4245" s="115" t="s">
        <v>1630</v>
      </c>
      <c r="AO4245" s="115" t="s">
        <v>380</v>
      </c>
    </row>
    <row r="4246" spans="35:41" ht="13">
      <c r="AI4246" s="115" t="s">
        <v>1415</v>
      </c>
      <c r="AJ4246" t="s">
        <v>2114</v>
      </c>
      <c r="AK4246" s="115">
        <v>16</v>
      </c>
      <c r="AL4246" s="115" t="s">
        <v>28</v>
      </c>
      <c r="AM4246" s="115" t="s">
        <v>1850</v>
      </c>
      <c r="AN4246" s="115" t="s">
        <v>1630</v>
      </c>
      <c r="AO4246" s="115" t="s">
        <v>380</v>
      </c>
    </row>
    <row r="4247" spans="35:41" ht="13">
      <c r="AI4247" s="115" t="s">
        <v>1415</v>
      </c>
      <c r="AJ4247" t="s">
        <v>2114</v>
      </c>
      <c r="AK4247" s="115">
        <v>16</v>
      </c>
      <c r="AL4247" s="115" t="s">
        <v>28</v>
      </c>
      <c r="AM4247" s="115" t="s">
        <v>1832</v>
      </c>
      <c r="AN4247" s="115" t="s">
        <v>1420</v>
      </c>
      <c r="AO4247" s="115" t="s">
        <v>1643</v>
      </c>
    </row>
    <row r="4248" spans="35:41" ht="13">
      <c r="AI4248" s="115" t="s">
        <v>1415</v>
      </c>
      <c r="AJ4248" t="s">
        <v>2114</v>
      </c>
      <c r="AK4248" s="115">
        <v>16</v>
      </c>
      <c r="AL4248" s="115" t="s">
        <v>28</v>
      </c>
      <c r="AM4248" s="115" t="s">
        <v>1848</v>
      </c>
      <c r="AN4248" s="115" t="s">
        <v>1420</v>
      </c>
      <c r="AO4248" s="115" t="s">
        <v>1643</v>
      </c>
    </row>
    <row r="4249" spans="35:41" ht="13">
      <c r="AI4249" s="115" t="s">
        <v>1415</v>
      </c>
      <c r="AJ4249" t="s">
        <v>2114</v>
      </c>
      <c r="AK4249" s="115">
        <v>16</v>
      </c>
      <c r="AL4249" s="115" t="s">
        <v>28</v>
      </c>
      <c r="AM4249" s="115" t="s">
        <v>1846</v>
      </c>
      <c r="AN4249" s="115" t="s">
        <v>1420</v>
      </c>
      <c r="AO4249" s="115" t="s">
        <v>1643</v>
      </c>
    </row>
    <row r="4250" spans="35:41" ht="13">
      <c r="AI4250" s="115" t="s">
        <v>1415</v>
      </c>
      <c r="AJ4250" t="s">
        <v>2114</v>
      </c>
      <c r="AK4250" s="115">
        <v>16</v>
      </c>
      <c r="AL4250" s="115" t="s">
        <v>28</v>
      </c>
      <c r="AM4250" s="115" t="s">
        <v>1850</v>
      </c>
      <c r="AN4250" s="115" t="s">
        <v>1420</v>
      </c>
      <c r="AO4250" s="115" t="s">
        <v>1643</v>
      </c>
    </row>
    <row r="4251" spans="35:41" ht="13">
      <c r="AI4251" s="115" t="s">
        <v>1415</v>
      </c>
      <c r="AJ4251" t="s">
        <v>2114</v>
      </c>
      <c r="AK4251" s="115">
        <v>16</v>
      </c>
      <c r="AL4251" s="115" t="s">
        <v>28</v>
      </c>
      <c r="AM4251" s="115" t="s">
        <v>1843</v>
      </c>
      <c r="AN4251" s="115" t="s">
        <v>1420</v>
      </c>
      <c r="AO4251" s="115" t="s">
        <v>1643</v>
      </c>
    </row>
    <row r="4252" spans="35:41" ht="13">
      <c r="AI4252" s="115" t="s">
        <v>1415</v>
      </c>
      <c r="AJ4252" t="s">
        <v>2114</v>
      </c>
      <c r="AK4252" s="115">
        <v>16</v>
      </c>
      <c r="AL4252" s="115" t="s">
        <v>28</v>
      </c>
      <c r="AM4252" s="115" t="s">
        <v>1849</v>
      </c>
      <c r="AN4252" s="115" t="s">
        <v>1420</v>
      </c>
      <c r="AO4252" s="115" t="s">
        <v>1643</v>
      </c>
    </row>
    <row r="4253" spans="35:41" ht="13">
      <c r="AI4253" s="115" t="s">
        <v>1415</v>
      </c>
      <c r="AJ4253" t="s">
        <v>2114</v>
      </c>
      <c r="AK4253" s="115">
        <v>16</v>
      </c>
      <c r="AL4253" s="115" t="s">
        <v>28</v>
      </c>
      <c r="AM4253" s="115" t="s">
        <v>1832</v>
      </c>
      <c r="AN4253" s="115" t="s">
        <v>1284</v>
      </c>
      <c r="AO4253" s="115" t="s">
        <v>379</v>
      </c>
    </row>
    <row r="4254" spans="35:41" ht="13">
      <c r="AI4254" s="115" t="s">
        <v>1415</v>
      </c>
      <c r="AJ4254" t="s">
        <v>2114</v>
      </c>
      <c r="AK4254" s="115">
        <v>16</v>
      </c>
      <c r="AL4254" s="115" t="s">
        <v>28</v>
      </c>
      <c r="AM4254" s="115" t="s">
        <v>1850</v>
      </c>
      <c r="AN4254" s="115" t="s">
        <v>1284</v>
      </c>
      <c r="AO4254" s="115" t="s">
        <v>379</v>
      </c>
    </row>
    <row r="4255" spans="35:41" ht="13">
      <c r="AI4255" s="115" t="s">
        <v>1415</v>
      </c>
      <c r="AJ4255" t="s">
        <v>2114</v>
      </c>
      <c r="AK4255" s="115">
        <v>16</v>
      </c>
      <c r="AL4255" s="115" t="s">
        <v>28</v>
      </c>
      <c r="AM4255" s="115" t="s">
        <v>1848</v>
      </c>
      <c r="AN4255" s="115" t="s">
        <v>1284</v>
      </c>
      <c r="AO4255" s="115" t="s">
        <v>379</v>
      </c>
    </row>
    <row r="4256" spans="35:41" ht="13">
      <c r="AI4256" s="115" t="s">
        <v>1415</v>
      </c>
      <c r="AJ4256" t="s">
        <v>2114</v>
      </c>
      <c r="AK4256" s="115">
        <v>16</v>
      </c>
      <c r="AL4256" s="115" t="s">
        <v>28</v>
      </c>
      <c r="AM4256" s="115" t="s">
        <v>1849</v>
      </c>
      <c r="AN4256" s="115" t="s">
        <v>1284</v>
      </c>
      <c r="AO4256" s="115" t="s">
        <v>379</v>
      </c>
    </row>
    <row r="4257" spans="35:41" ht="13">
      <c r="AI4257" s="115" t="s">
        <v>1415</v>
      </c>
      <c r="AJ4257" t="s">
        <v>2114</v>
      </c>
      <c r="AK4257" s="115">
        <v>16</v>
      </c>
      <c r="AL4257" s="115" t="s">
        <v>28</v>
      </c>
      <c r="AM4257" s="115" t="s">
        <v>1843</v>
      </c>
      <c r="AN4257" s="115" t="s">
        <v>1284</v>
      </c>
      <c r="AO4257" s="115" t="s">
        <v>379</v>
      </c>
    </row>
    <row r="4258" spans="35:41" ht="13">
      <c r="AI4258" s="115" t="s">
        <v>1415</v>
      </c>
      <c r="AJ4258" t="s">
        <v>2114</v>
      </c>
      <c r="AK4258" s="115">
        <v>16</v>
      </c>
      <c r="AL4258" s="115" t="s">
        <v>28</v>
      </c>
      <c r="AM4258" s="115" t="s">
        <v>1846</v>
      </c>
      <c r="AN4258" s="115" t="s">
        <v>1284</v>
      </c>
      <c r="AO4258" s="115" t="s">
        <v>379</v>
      </c>
    </row>
    <row r="4259" spans="35:41" ht="13">
      <c r="AI4259" s="115" t="s">
        <v>1415</v>
      </c>
      <c r="AJ4259" t="s">
        <v>2114</v>
      </c>
      <c r="AK4259" s="115">
        <v>16</v>
      </c>
      <c r="AL4259" s="115" t="s">
        <v>28</v>
      </c>
      <c r="AM4259" s="115" t="s">
        <v>1850</v>
      </c>
      <c r="AN4259" s="115" t="s">
        <v>1284</v>
      </c>
      <c r="AO4259" s="115" t="s">
        <v>1641</v>
      </c>
    </row>
    <row r="4260" spans="35:41" ht="13">
      <c r="AI4260" s="115" t="s">
        <v>1415</v>
      </c>
      <c r="AJ4260" t="s">
        <v>2114</v>
      </c>
      <c r="AK4260" s="115">
        <v>16</v>
      </c>
      <c r="AL4260" s="115" t="s">
        <v>28</v>
      </c>
      <c r="AM4260" s="115" t="s">
        <v>1832</v>
      </c>
      <c r="AN4260" s="115" t="s">
        <v>1284</v>
      </c>
      <c r="AO4260" s="115" t="s">
        <v>1641</v>
      </c>
    </row>
    <row r="4261" spans="35:41" ht="13">
      <c r="AI4261" s="115" t="s">
        <v>1415</v>
      </c>
      <c r="AJ4261" t="s">
        <v>2114</v>
      </c>
      <c r="AK4261" s="115">
        <v>16</v>
      </c>
      <c r="AL4261" s="115" t="s">
        <v>28</v>
      </c>
      <c r="AM4261" s="115" t="s">
        <v>1848</v>
      </c>
      <c r="AN4261" s="115" t="s">
        <v>1284</v>
      </c>
      <c r="AO4261" s="115" t="s">
        <v>1641</v>
      </c>
    </row>
    <row r="4262" spans="35:41" ht="13">
      <c r="AI4262" s="115" t="s">
        <v>1415</v>
      </c>
      <c r="AJ4262" t="s">
        <v>2114</v>
      </c>
      <c r="AK4262" s="115">
        <v>16</v>
      </c>
      <c r="AL4262" s="115" t="s">
        <v>28</v>
      </c>
      <c r="AM4262" s="115" t="s">
        <v>1843</v>
      </c>
      <c r="AN4262" s="115" t="s">
        <v>1284</v>
      </c>
      <c r="AO4262" s="115" t="s">
        <v>1641</v>
      </c>
    </row>
    <row r="4263" spans="35:41" ht="13">
      <c r="AI4263" s="115" t="s">
        <v>1415</v>
      </c>
      <c r="AJ4263" t="s">
        <v>2114</v>
      </c>
      <c r="AK4263" s="115">
        <v>16</v>
      </c>
      <c r="AL4263" s="115" t="s">
        <v>28</v>
      </c>
      <c r="AM4263" s="115" t="s">
        <v>1843</v>
      </c>
      <c r="AN4263" s="115" t="s">
        <v>1284</v>
      </c>
      <c r="AO4263" s="115" t="s">
        <v>380</v>
      </c>
    </row>
    <row r="4264" spans="35:41" ht="13">
      <c r="AI4264" s="115" t="s">
        <v>1415</v>
      </c>
      <c r="AJ4264" t="s">
        <v>2114</v>
      </c>
      <c r="AK4264" s="115">
        <v>16</v>
      </c>
      <c r="AL4264" s="115" t="s">
        <v>28</v>
      </c>
      <c r="AM4264" s="115" t="s">
        <v>1849</v>
      </c>
      <c r="AN4264" s="115" t="s">
        <v>1284</v>
      </c>
      <c r="AO4264" s="115" t="s">
        <v>380</v>
      </c>
    </row>
    <row r="4265" spans="35:41" ht="13">
      <c r="AI4265" s="115" t="s">
        <v>1415</v>
      </c>
      <c r="AJ4265" t="s">
        <v>2114</v>
      </c>
      <c r="AK4265" s="115">
        <v>16</v>
      </c>
      <c r="AL4265" s="115" t="s">
        <v>28</v>
      </c>
      <c r="AM4265" s="115" t="s">
        <v>1846</v>
      </c>
      <c r="AN4265" s="115" t="s">
        <v>1284</v>
      </c>
      <c r="AO4265" s="115" t="s">
        <v>380</v>
      </c>
    </row>
    <row r="4266" spans="35:41" ht="13">
      <c r="AI4266" s="115" t="s">
        <v>1415</v>
      </c>
      <c r="AJ4266" t="s">
        <v>2114</v>
      </c>
      <c r="AK4266" s="115">
        <v>16</v>
      </c>
      <c r="AL4266" s="115" t="s">
        <v>28</v>
      </c>
      <c r="AM4266" s="115" t="s">
        <v>1848</v>
      </c>
      <c r="AN4266" s="115" t="s">
        <v>1284</v>
      </c>
      <c r="AO4266" s="115" t="s">
        <v>380</v>
      </c>
    </row>
    <row r="4267" spans="35:41" ht="13">
      <c r="AI4267" s="115" t="s">
        <v>1415</v>
      </c>
      <c r="AJ4267" t="s">
        <v>2114</v>
      </c>
      <c r="AK4267" s="115">
        <v>16</v>
      </c>
      <c r="AL4267" s="115" t="s">
        <v>28</v>
      </c>
      <c r="AM4267" s="115" t="s">
        <v>1850</v>
      </c>
      <c r="AN4267" s="115" t="s">
        <v>1284</v>
      </c>
      <c r="AO4267" s="115" t="s">
        <v>380</v>
      </c>
    </row>
    <row r="4268" spans="35:41" ht="13">
      <c r="AI4268" s="115" t="s">
        <v>1415</v>
      </c>
      <c r="AJ4268" t="s">
        <v>2114</v>
      </c>
      <c r="AK4268" s="115">
        <v>16</v>
      </c>
      <c r="AL4268" s="115" t="s">
        <v>28</v>
      </c>
      <c r="AM4268" s="115" t="s">
        <v>1832</v>
      </c>
      <c r="AN4268" s="115" t="s">
        <v>1284</v>
      </c>
      <c r="AO4268" s="115" t="s">
        <v>380</v>
      </c>
    </row>
    <row r="4269" spans="35:41" ht="13">
      <c r="AI4269" s="115" t="s">
        <v>1415</v>
      </c>
      <c r="AJ4269" t="s">
        <v>2114</v>
      </c>
      <c r="AK4269" s="115">
        <v>16</v>
      </c>
      <c r="AL4269" s="115" t="s">
        <v>28</v>
      </c>
      <c r="AM4269" s="115" t="s">
        <v>1850</v>
      </c>
      <c r="AN4269" s="115" t="s">
        <v>360</v>
      </c>
      <c r="AO4269" s="115" t="s">
        <v>360</v>
      </c>
    </row>
    <row r="4270" spans="35:41" ht="13">
      <c r="AI4270" s="115" t="s">
        <v>1415</v>
      </c>
      <c r="AJ4270" t="s">
        <v>2114</v>
      </c>
      <c r="AK4270" s="115">
        <v>16</v>
      </c>
      <c r="AL4270" s="115" t="s">
        <v>28</v>
      </c>
      <c r="AM4270" s="115" t="s">
        <v>1848</v>
      </c>
      <c r="AN4270" s="115" t="s">
        <v>360</v>
      </c>
      <c r="AO4270" s="115" t="s">
        <v>360</v>
      </c>
    </row>
    <row r="4271" spans="35:41" ht="13">
      <c r="AI4271" s="115" t="s">
        <v>1415</v>
      </c>
      <c r="AJ4271" t="s">
        <v>2114</v>
      </c>
      <c r="AK4271" s="115">
        <v>16</v>
      </c>
      <c r="AL4271" s="115" t="s">
        <v>28</v>
      </c>
      <c r="AM4271" s="115" t="s">
        <v>1846</v>
      </c>
      <c r="AN4271" s="115" t="s">
        <v>360</v>
      </c>
      <c r="AO4271" s="115" t="s">
        <v>360</v>
      </c>
    </row>
    <row r="4272" spans="35:41" ht="13">
      <c r="AI4272" s="115" t="s">
        <v>1415</v>
      </c>
      <c r="AJ4272" t="s">
        <v>2114</v>
      </c>
      <c r="AK4272" s="115">
        <v>16</v>
      </c>
      <c r="AL4272" s="115" t="s">
        <v>28</v>
      </c>
      <c r="AM4272" s="115" t="s">
        <v>1849</v>
      </c>
      <c r="AN4272" s="115" t="s">
        <v>360</v>
      </c>
      <c r="AO4272" s="115" t="s">
        <v>360</v>
      </c>
    </row>
    <row r="4273" spans="35:41" ht="13">
      <c r="AI4273" s="115" t="s">
        <v>1415</v>
      </c>
      <c r="AJ4273" t="s">
        <v>2114</v>
      </c>
      <c r="AK4273" s="115">
        <v>16</v>
      </c>
      <c r="AL4273" s="115" t="s">
        <v>28</v>
      </c>
      <c r="AM4273" s="115" t="s">
        <v>1832</v>
      </c>
      <c r="AN4273" s="115" t="s">
        <v>360</v>
      </c>
      <c r="AO4273" s="115" t="s">
        <v>360</v>
      </c>
    </row>
    <row r="4274" spans="35:41" ht="13">
      <c r="AI4274" s="115" t="s">
        <v>1415</v>
      </c>
      <c r="AJ4274" t="s">
        <v>2114</v>
      </c>
      <c r="AK4274" s="115">
        <v>16</v>
      </c>
      <c r="AL4274" s="115" t="s">
        <v>28</v>
      </c>
      <c r="AM4274" s="115" t="s">
        <v>1843</v>
      </c>
      <c r="AN4274" s="115" t="s">
        <v>360</v>
      </c>
      <c r="AO4274" s="115" t="s">
        <v>360</v>
      </c>
    </row>
    <row r="4275" spans="35:41" ht="13">
      <c r="AI4275" s="115" t="s">
        <v>1415</v>
      </c>
      <c r="AJ4275" t="s">
        <v>2114</v>
      </c>
      <c r="AK4275" s="115">
        <v>16</v>
      </c>
      <c r="AL4275" s="115" t="s">
        <v>28</v>
      </c>
      <c r="AM4275" s="115" t="s">
        <v>1832</v>
      </c>
      <c r="AN4275" s="115" t="s">
        <v>1461</v>
      </c>
      <c r="AO4275" s="115" t="s">
        <v>1644</v>
      </c>
    </row>
    <row r="4276" spans="35:41" ht="13">
      <c r="AI4276" s="115" t="s">
        <v>1415</v>
      </c>
      <c r="AJ4276" t="s">
        <v>2114</v>
      </c>
      <c r="AK4276" s="115">
        <v>16</v>
      </c>
      <c r="AL4276" s="115" t="s">
        <v>28</v>
      </c>
      <c r="AM4276" s="115" t="s">
        <v>1850</v>
      </c>
      <c r="AN4276" s="115" t="s">
        <v>1461</v>
      </c>
      <c r="AO4276" s="115" t="s">
        <v>1644</v>
      </c>
    </row>
    <row r="4277" spans="35:41" ht="13">
      <c r="AI4277" s="115" t="s">
        <v>1415</v>
      </c>
      <c r="AJ4277" t="s">
        <v>2114</v>
      </c>
      <c r="AK4277" s="115">
        <v>16</v>
      </c>
      <c r="AL4277" s="115" t="s">
        <v>28</v>
      </c>
      <c r="AM4277" s="115" t="s">
        <v>1843</v>
      </c>
      <c r="AN4277" s="115" t="s">
        <v>1461</v>
      </c>
      <c r="AO4277" s="115" t="s">
        <v>1644</v>
      </c>
    </row>
    <row r="4278" spans="35:41" ht="13">
      <c r="AI4278" s="115" t="s">
        <v>1415</v>
      </c>
      <c r="AJ4278" t="s">
        <v>2114</v>
      </c>
      <c r="AK4278" s="115">
        <v>16</v>
      </c>
      <c r="AL4278" s="115" t="s">
        <v>28</v>
      </c>
      <c r="AM4278" s="115" t="s">
        <v>1848</v>
      </c>
      <c r="AN4278" s="115" t="s">
        <v>1461</v>
      </c>
      <c r="AO4278" s="115" t="s">
        <v>1644</v>
      </c>
    </row>
    <row r="4279" spans="35:41" ht="13">
      <c r="AI4279" s="115" t="s">
        <v>1415</v>
      </c>
      <c r="AJ4279" t="s">
        <v>2114</v>
      </c>
      <c r="AK4279" s="115">
        <v>16</v>
      </c>
      <c r="AL4279" s="115" t="s">
        <v>28</v>
      </c>
      <c r="AM4279" s="115" t="s">
        <v>1843</v>
      </c>
      <c r="AN4279" s="115" t="s">
        <v>1461</v>
      </c>
      <c r="AO4279" s="115" t="s">
        <v>1274</v>
      </c>
    </row>
    <row r="4280" spans="35:41" ht="13">
      <c r="AI4280" s="115" t="s">
        <v>1415</v>
      </c>
      <c r="AJ4280" t="s">
        <v>2114</v>
      </c>
      <c r="AK4280" s="115">
        <v>16</v>
      </c>
      <c r="AL4280" s="115" t="s">
        <v>28</v>
      </c>
      <c r="AM4280" s="115" t="s">
        <v>1832</v>
      </c>
      <c r="AN4280" s="115" t="s">
        <v>1461</v>
      </c>
      <c r="AO4280" s="115" t="s">
        <v>1274</v>
      </c>
    </row>
    <row r="4281" spans="35:41" ht="13">
      <c r="AI4281" s="115" t="s">
        <v>1415</v>
      </c>
      <c r="AJ4281" t="s">
        <v>2114</v>
      </c>
      <c r="AK4281" s="115">
        <v>16</v>
      </c>
      <c r="AL4281" s="115" t="s">
        <v>28</v>
      </c>
      <c r="AM4281" s="115" t="s">
        <v>1850</v>
      </c>
      <c r="AN4281" s="115" t="s">
        <v>1461</v>
      </c>
      <c r="AO4281" s="115" t="s">
        <v>1274</v>
      </c>
    </row>
    <row r="4282" spans="35:41" ht="13">
      <c r="AI4282" s="115" t="s">
        <v>1415</v>
      </c>
      <c r="AJ4282" t="s">
        <v>2114</v>
      </c>
      <c r="AK4282" s="115">
        <v>16</v>
      </c>
      <c r="AL4282" s="115" t="s">
        <v>28</v>
      </c>
      <c r="AM4282" s="115" t="s">
        <v>1848</v>
      </c>
      <c r="AN4282" s="115" t="s">
        <v>1461</v>
      </c>
      <c r="AO4282" s="115" t="s">
        <v>1274</v>
      </c>
    </row>
    <row r="4283" spans="35:41" ht="13">
      <c r="AI4283" s="115" t="s">
        <v>1415</v>
      </c>
      <c r="AJ4283" t="s">
        <v>2114</v>
      </c>
      <c r="AK4283" s="115">
        <v>16</v>
      </c>
      <c r="AL4283" s="115" t="s">
        <v>28</v>
      </c>
      <c r="AM4283" s="115" t="s">
        <v>1849</v>
      </c>
      <c r="AN4283" s="115" t="s">
        <v>1461</v>
      </c>
      <c r="AO4283" s="115" t="s">
        <v>1274</v>
      </c>
    </row>
    <row r="4284" spans="35:41" ht="13">
      <c r="AI4284" s="115" t="s">
        <v>1415</v>
      </c>
      <c r="AJ4284" t="s">
        <v>2114</v>
      </c>
      <c r="AK4284" s="115">
        <v>16</v>
      </c>
      <c r="AL4284" s="115" t="s">
        <v>28</v>
      </c>
      <c r="AM4284" s="115" t="s">
        <v>1846</v>
      </c>
      <c r="AN4284" s="115" t="s">
        <v>1461</v>
      </c>
      <c r="AO4284" s="115" t="s">
        <v>1274</v>
      </c>
    </row>
    <row r="4285" spans="35:41" ht="13">
      <c r="AI4285" s="115" t="s">
        <v>1415</v>
      </c>
      <c r="AJ4285" t="s">
        <v>2114</v>
      </c>
      <c r="AK4285" s="115">
        <v>16</v>
      </c>
      <c r="AL4285" s="115" t="s">
        <v>28</v>
      </c>
      <c r="AM4285" s="115" t="s">
        <v>1846</v>
      </c>
      <c r="AN4285" s="115" t="s">
        <v>1461</v>
      </c>
      <c r="AO4285" s="115" t="s">
        <v>379</v>
      </c>
    </row>
    <row r="4286" spans="35:41" ht="13">
      <c r="AI4286" s="115" t="s">
        <v>1415</v>
      </c>
      <c r="AJ4286" t="s">
        <v>2114</v>
      </c>
      <c r="AK4286" s="115">
        <v>16</v>
      </c>
      <c r="AL4286" s="115" t="s">
        <v>28</v>
      </c>
      <c r="AM4286" s="115" t="s">
        <v>1849</v>
      </c>
      <c r="AN4286" s="115" t="s">
        <v>1461</v>
      </c>
      <c r="AO4286" s="115" t="s">
        <v>379</v>
      </c>
    </row>
    <row r="4287" spans="35:41" ht="13">
      <c r="AI4287" s="115" t="s">
        <v>1415</v>
      </c>
      <c r="AJ4287" t="s">
        <v>2114</v>
      </c>
      <c r="AK4287" s="115">
        <v>16</v>
      </c>
      <c r="AL4287" s="115" t="s">
        <v>28</v>
      </c>
      <c r="AM4287" s="115" t="s">
        <v>1832</v>
      </c>
      <c r="AN4287" s="115" t="s">
        <v>1461</v>
      </c>
      <c r="AO4287" s="115" t="s">
        <v>379</v>
      </c>
    </row>
    <row r="4288" spans="35:41" ht="13">
      <c r="AI4288" s="115" t="s">
        <v>1415</v>
      </c>
      <c r="AJ4288" t="s">
        <v>2114</v>
      </c>
      <c r="AK4288" s="115">
        <v>16</v>
      </c>
      <c r="AL4288" s="115" t="s">
        <v>28</v>
      </c>
      <c r="AM4288" s="115" t="s">
        <v>1848</v>
      </c>
      <c r="AN4288" s="115" t="s">
        <v>1461</v>
      </c>
      <c r="AO4288" s="115" t="s">
        <v>379</v>
      </c>
    </row>
    <row r="4289" spans="35:41" ht="13">
      <c r="AI4289" s="115" t="s">
        <v>1415</v>
      </c>
      <c r="AJ4289" t="s">
        <v>2114</v>
      </c>
      <c r="AK4289" s="115">
        <v>16</v>
      </c>
      <c r="AL4289" s="115" t="s">
        <v>28</v>
      </c>
      <c r="AM4289" s="115" t="s">
        <v>1843</v>
      </c>
      <c r="AN4289" s="115" t="s">
        <v>1461</v>
      </c>
      <c r="AO4289" s="115" t="s">
        <v>379</v>
      </c>
    </row>
    <row r="4290" spans="35:41" ht="13">
      <c r="AI4290" s="115" t="s">
        <v>1415</v>
      </c>
      <c r="AJ4290" t="s">
        <v>2114</v>
      </c>
      <c r="AK4290" s="115">
        <v>16</v>
      </c>
      <c r="AL4290" s="115" t="s">
        <v>28</v>
      </c>
      <c r="AM4290" s="115" t="s">
        <v>1850</v>
      </c>
      <c r="AN4290" s="115" t="s">
        <v>1461</v>
      </c>
      <c r="AO4290" s="115" t="s">
        <v>379</v>
      </c>
    </row>
    <row r="4291" spans="35:41" ht="13">
      <c r="AI4291" s="115" t="s">
        <v>1415</v>
      </c>
      <c r="AJ4291" t="s">
        <v>2114</v>
      </c>
      <c r="AK4291" s="115">
        <v>16</v>
      </c>
      <c r="AL4291" s="115" t="s">
        <v>28</v>
      </c>
      <c r="AM4291" s="115" t="s">
        <v>1846</v>
      </c>
      <c r="AN4291" s="115" t="s">
        <v>1461</v>
      </c>
      <c r="AO4291" s="115" t="s">
        <v>1646</v>
      </c>
    </row>
    <row r="4292" spans="35:41" ht="13">
      <c r="AI4292" s="115" t="s">
        <v>1415</v>
      </c>
      <c r="AJ4292" t="s">
        <v>2114</v>
      </c>
      <c r="AK4292" s="115">
        <v>16</v>
      </c>
      <c r="AL4292" s="115" t="s">
        <v>28</v>
      </c>
      <c r="AM4292" s="115" t="s">
        <v>1843</v>
      </c>
      <c r="AN4292" s="115" t="s">
        <v>1461</v>
      </c>
      <c r="AO4292" s="115" t="s">
        <v>1646</v>
      </c>
    </row>
    <row r="4293" spans="35:41" ht="13">
      <c r="AI4293" s="115" t="s">
        <v>1415</v>
      </c>
      <c r="AJ4293" t="s">
        <v>2114</v>
      </c>
      <c r="AK4293" s="115">
        <v>16</v>
      </c>
      <c r="AL4293" s="115" t="s">
        <v>28</v>
      </c>
      <c r="AM4293" s="115" t="s">
        <v>1843</v>
      </c>
      <c r="AN4293" s="115" t="s">
        <v>1461</v>
      </c>
      <c r="AO4293" s="115" t="s">
        <v>1647</v>
      </c>
    </row>
    <row r="4294" spans="35:41" ht="13">
      <c r="AI4294" s="115" t="s">
        <v>1415</v>
      </c>
      <c r="AJ4294" t="s">
        <v>2114</v>
      </c>
      <c r="AK4294" s="115">
        <v>16</v>
      </c>
      <c r="AL4294" s="115" t="s">
        <v>28</v>
      </c>
      <c r="AM4294" s="115" t="s">
        <v>1846</v>
      </c>
      <c r="AN4294" s="115" t="s">
        <v>1461</v>
      </c>
      <c r="AO4294" s="115" t="s">
        <v>1647</v>
      </c>
    </row>
    <row r="4295" spans="35:41" ht="13">
      <c r="AI4295" s="115" t="s">
        <v>1415</v>
      </c>
      <c r="AJ4295" t="s">
        <v>2114</v>
      </c>
      <c r="AK4295" s="115">
        <v>16</v>
      </c>
      <c r="AL4295" s="115" t="s">
        <v>28</v>
      </c>
      <c r="AM4295" s="115" t="s">
        <v>1843</v>
      </c>
      <c r="AN4295" s="115" t="s">
        <v>1461</v>
      </c>
      <c r="AO4295" s="115" t="s">
        <v>1639</v>
      </c>
    </row>
    <row r="4296" spans="35:41" ht="13">
      <c r="AI4296" s="115" t="s">
        <v>1415</v>
      </c>
      <c r="AJ4296" t="s">
        <v>2114</v>
      </c>
      <c r="AK4296" s="115">
        <v>16</v>
      </c>
      <c r="AL4296" s="115" t="s">
        <v>28</v>
      </c>
      <c r="AM4296" s="115" t="s">
        <v>1846</v>
      </c>
      <c r="AN4296" s="115" t="s">
        <v>1461</v>
      </c>
      <c r="AO4296" s="115" t="s">
        <v>1639</v>
      </c>
    </row>
    <row r="4297" spans="35:41" ht="13">
      <c r="AI4297" s="115" t="s">
        <v>1415</v>
      </c>
      <c r="AJ4297" t="s">
        <v>2114</v>
      </c>
      <c r="AK4297" s="115">
        <v>16</v>
      </c>
      <c r="AL4297" s="115" t="s">
        <v>28</v>
      </c>
      <c r="AM4297" s="115" t="s">
        <v>1850</v>
      </c>
      <c r="AN4297" s="115" t="s">
        <v>1461</v>
      </c>
      <c r="AO4297" s="115" t="s">
        <v>380</v>
      </c>
    </row>
    <row r="4298" spans="35:41" ht="13">
      <c r="AI4298" s="115" t="s">
        <v>1415</v>
      </c>
      <c r="AJ4298" t="s">
        <v>2114</v>
      </c>
      <c r="AK4298" s="115">
        <v>16</v>
      </c>
      <c r="AL4298" s="115" t="s">
        <v>28</v>
      </c>
      <c r="AM4298" s="115" t="s">
        <v>1848</v>
      </c>
      <c r="AN4298" s="115" t="s">
        <v>1461</v>
      </c>
      <c r="AO4298" s="115" t="s">
        <v>380</v>
      </c>
    </row>
    <row r="4299" spans="35:41" ht="13">
      <c r="AI4299" s="115" t="s">
        <v>1415</v>
      </c>
      <c r="AJ4299" t="s">
        <v>2114</v>
      </c>
      <c r="AK4299" s="115">
        <v>16</v>
      </c>
      <c r="AL4299" s="115" t="s">
        <v>28</v>
      </c>
      <c r="AM4299" s="115" t="s">
        <v>1832</v>
      </c>
      <c r="AN4299" s="115" t="s">
        <v>1461</v>
      </c>
      <c r="AO4299" s="115" t="s">
        <v>380</v>
      </c>
    </row>
    <row r="4300" spans="35:41" ht="13">
      <c r="AI4300" s="115" t="s">
        <v>1415</v>
      </c>
      <c r="AJ4300" t="s">
        <v>2114</v>
      </c>
      <c r="AK4300" s="115">
        <v>16</v>
      </c>
      <c r="AL4300" s="115" t="s">
        <v>28</v>
      </c>
      <c r="AM4300" s="115" t="s">
        <v>1846</v>
      </c>
      <c r="AN4300" s="115" t="s">
        <v>1461</v>
      </c>
      <c r="AO4300" s="115" t="s">
        <v>380</v>
      </c>
    </row>
    <row r="4301" spans="35:41" ht="13">
      <c r="AI4301" s="115" t="s">
        <v>1415</v>
      </c>
      <c r="AJ4301" t="s">
        <v>2114</v>
      </c>
      <c r="AK4301" s="115">
        <v>16</v>
      </c>
      <c r="AL4301" s="115" t="s">
        <v>28</v>
      </c>
      <c r="AM4301" s="115" t="s">
        <v>1843</v>
      </c>
      <c r="AN4301" s="115" t="s">
        <v>1461</v>
      </c>
      <c r="AO4301" s="115" t="s">
        <v>380</v>
      </c>
    </row>
    <row r="4302" spans="35:41" ht="13">
      <c r="AI4302" s="115" t="s">
        <v>1415</v>
      </c>
      <c r="AJ4302" t="s">
        <v>2114</v>
      </c>
      <c r="AK4302" s="115">
        <v>16</v>
      </c>
      <c r="AL4302" s="115" t="s">
        <v>28</v>
      </c>
      <c r="AM4302" s="115" t="s">
        <v>1849</v>
      </c>
      <c r="AN4302" s="115" t="s">
        <v>1461</v>
      </c>
      <c r="AO4302" s="115" t="s">
        <v>380</v>
      </c>
    </row>
    <row r="4303" spans="35:41" ht="13">
      <c r="AI4303" s="115" t="s">
        <v>1415</v>
      </c>
      <c r="AJ4303" t="s">
        <v>2114</v>
      </c>
      <c r="AK4303" s="115">
        <v>16</v>
      </c>
      <c r="AL4303" s="115" t="s">
        <v>28</v>
      </c>
      <c r="AM4303" s="115" t="s">
        <v>1848</v>
      </c>
      <c r="AN4303" s="115" t="s">
        <v>1628</v>
      </c>
      <c r="AO4303" s="115" t="s">
        <v>1644</v>
      </c>
    </row>
    <row r="4304" spans="35:41" ht="13">
      <c r="AI4304" s="115" t="s">
        <v>1415</v>
      </c>
      <c r="AJ4304" t="s">
        <v>2114</v>
      </c>
      <c r="AK4304" s="115">
        <v>16</v>
      </c>
      <c r="AL4304" s="115" t="s">
        <v>28</v>
      </c>
      <c r="AM4304" s="115" t="s">
        <v>1843</v>
      </c>
      <c r="AN4304" s="115" t="s">
        <v>1628</v>
      </c>
      <c r="AO4304" s="115" t="s">
        <v>1644</v>
      </c>
    </row>
    <row r="4305" spans="35:41" ht="13">
      <c r="AI4305" s="115" t="s">
        <v>1415</v>
      </c>
      <c r="AJ4305" t="s">
        <v>2114</v>
      </c>
      <c r="AK4305" s="115">
        <v>16</v>
      </c>
      <c r="AL4305" s="115" t="s">
        <v>28</v>
      </c>
      <c r="AM4305" s="115" t="s">
        <v>1850</v>
      </c>
      <c r="AN4305" s="115" t="s">
        <v>1628</v>
      </c>
      <c r="AO4305" s="115" t="s">
        <v>1644</v>
      </c>
    </row>
    <row r="4306" spans="35:41" ht="13">
      <c r="AI4306" s="115" t="s">
        <v>1415</v>
      </c>
      <c r="AJ4306" t="s">
        <v>2114</v>
      </c>
      <c r="AK4306" s="115">
        <v>16</v>
      </c>
      <c r="AL4306" s="115" t="s">
        <v>28</v>
      </c>
      <c r="AM4306" s="115" t="s">
        <v>1832</v>
      </c>
      <c r="AN4306" s="115" t="s">
        <v>1628</v>
      </c>
      <c r="AO4306" s="115" t="s">
        <v>1644</v>
      </c>
    </row>
    <row r="4307" spans="35:41" ht="13">
      <c r="AI4307" s="115" t="s">
        <v>1415</v>
      </c>
      <c r="AJ4307" t="s">
        <v>2114</v>
      </c>
      <c r="AK4307" s="115">
        <v>16</v>
      </c>
      <c r="AL4307" s="115" t="s">
        <v>28</v>
      </c>
      <c r="AM4307" s="115" t="s">
        <v>1848</v>
      </c>
      <c r="AN4307" s="115" t="s">
        <v>1628</v>
      </c>
      <c r="AO4307" s="115" t="s">
        <v>1274</v>
      </c>
    </row>
    <row r="4308" spans="35:41" ht="13">
      <c r="AI4308" s="115" t="s">
        <v>1415</v>
      </c>
      <c r="AJ4308" t="s">
        <v>2114</v>
      </c>
      <c r="AK4308" s="115">
        <v>16</v>
      </c>
      <c r="AL4308" s="115" t="s">
        <v>28</v>
      </c>
      <c r="AM4308" s="115" t="s">
        <v>1832</v>
      </c>
      <c r="AN4308" s="115" t="s">
        <v>1628</v>
      </c>
      <c r="AO4308" s="115" t="s">
        <v>1274</v>
      </c>
    </row>
    <row r="4309" spans="35:41" ht="13">
      <c r="AI4309" s="115" t="s">
        <v>1415</v>
      </c>
      <c r="AJ4309" t="s">
        <v>2114</v>
      </c>
      <c r="AK4309" s="115">
        <v>16</v>
      </c>
      <c r="AL4309" s="115" t="s">
        <v>28</v>
      </c>
      <c r="AM4309" s="115" t="s">
        <v>1843</v>
      </c>
      <c r="AN4309" s="115" t="s">
        <v>1628</v>
      </c>
      <c r="AO4309" s="115" t="s">
        <v>1274</v>
      </c>
    </row>
    <row r="4310" spans="35:41" ht="13">
      <c r="AI4310" s="115" t="s">
        <v>1415</v>
      </c>
      <c r="AJ4310" t="s">
        <v>2114</v>
      </c>
      <c r="AK4310" s="115">
        <v>16</v>
      </c>
      <c r="AL4310" s="115" t="s">
        <v>28</v>
      </c>
      <c r="AM4310" s="115" t="s">
        <v>1850</v>
      </c>
      <c r="AN4310" s="115" t="s">
        <v>1628</v>
      </c>
      <c r="AO4310" s="115" t="s">
        <v>1274</v>
      </c>
    </row>
    <row r="4311" spans="35:41" ht="13">
      <c r="AI4311" s="115" t="s">
        <v>1415</v>
      </c>
      <c r="AJ4311" t="s">
        <v>2114</v>
      </c>
      <c r="AK4311" s="115">
        <v>16</v>
      </c>
      <c r="AL4311" s="115" t="s">
        <v>28</v>
      </c>
      <c r="AM4311" s="115" t="s">
        <v>1846</v>
      </c>
      <c r="AN4311" s="115" t="s">
        <v>1628</v>
      </c>
      <c r="AO4311" s="115" t="s">
        <v>1274</v>
      </c>
    </row>
    <row r="4312" spans="35:41" ht="13">
      <c r="AI4312" s="115" t="s">
        <v>1415</v>
      </c>
      <c r="AJ4312" t="s">
        <v>2114</v>
      </c>
      <c r="AK4312" s="115">
        <v>16</v>
      </c>
      <c r="AL4312" s="115" t="s">
        <v>28</v>
      </c>
      <c r="AM4312" s="115" t="s">
        <v>1849</v>
      </c>
      <c r="AN4312" s="115" t="s">
        <v>1628</v>
      </c>
      <c r="AO4312" s="115" t="s">
        <v>1274</v>
      </c>
    </row>
    <row r="4313" spans="35:41" ht="13">
      <c r="AI4313" s="115" t="s">
        <v>1415</v>
      </c>
      <c r="AJ4313" t="s">
        <v>2114</v>
      </c>
      <c r="AK4313" s="115">
        <v>16</v>
      </c>
      <c r="AL4313" s="115" t="s">
        <v>28</v>
      </c>
      <c r="AM4313" s="115" t="s">
        <v>1850</v>
      </c>
      <c r="AN4313" s="115" t="s">
        <v>1628</v>
      </c>
      <c r="AO4313" s="115" t="s">
        <v>381</v>
      </c>
    </row>
    <row r="4314" spans="35:41" ht="13">
      <c r="AI4314" s="115" t="s">
        <v>1415</v>
      </c>
      <c r="AJ4314" t="s">
        <v>2114</v>
      </c>
      <c r="AK4314" s="115">
        <v>16</v>
      </c>
      <c r="AL4314" s="115" t="s">
        <v>28</v>
      </c>
      <c r="AM4314" s="115" t="s">
        <v>1832</v>
      </c>
      <c r="AN4314" s="115" t="s">
        <v>1628</v>
      </c>
      <c r="AO4314" s="115" t="s">
        <v>381</v>
      </c>
    </row>
    <row r="4315" spans="35:41" ht="13">
      <c r="AI4315" s="115" t="s">
        <v>1415</v>
      </c>
      <c r="AJ4315" t="s">
        <v>2114</v>
      </c>
      <c r="AK4315" s="115">
        <v>16</v>
      </c>
      <c r="AL4315" s="115" t="s">
        <v>28</v>
      </c>
      <c r="AM4315" s="115" t="s">
        <v>1846</v>
      </c>
      <c r="AN4315" s="115" t="s">
        <v>1628</v>
      </c>
      <c r="AO4315" s="115" t="s">
        <v>381</v>
      </c>
    </row>
    <row r="4316" spans="35:41" ht="13">
      <c r="AI4316" s="115" t="s">
        <v>1415</v>
      </c>
      <c r="AJ4316" t="s">
        <v>2114</v>
      </c>
      <c r="AK4316" s="115">
        <v>16</v>
      </c>
      <c r="AL4316" s="115" t="s">
        <v>28</v>
      </c>
      <c r="AM4316" s="115" t="s">
        <v>1849</v>
      </c>
      <c r="AN4316" s="115" t="s">
        <v>1628</v>
      </c>
      <c r="AO4316" s="115" t="s">
        <v>381</v>
      </c>
    </row>
    <row r="4317" spans="35:41" ht="13">
      <c r="AI4317" s="115" t="s">
        <v>1415</v>
      </c>
      <c r="AJ4317" t="s">
        <v>2114</v>
      </c>
      <c r="AK4317" s="115">
        <v>16</v>
      </c>
      <c r="AL4317" s="115" t="s">
        <v>28</v>
      </c>
      <c r="AM4317" s="115" t="s">
        <v>1843</v>
      </c>
      <c r="AN4317" s="115" t="s">
        <v>1628</v>
      </c>
      <c r="AO4317" s="115" t="s">
        <v>381</v>
      </c>
    </row>
    <row r="4318" spans="35:41" ht="13">
      <c r="AI4318" s="115" t="s">
        <v>1415</v>
      </c>
      <c r="AJ4318" t="s">
        <v>2114</v>
      </c>
      <c r="AK4318" s="115">
        <v>16</v>
      </c>
      <c r="AL4318" s="115" t="s">
        <v>28</v>
      </c>
      <c r="AM4318" s="115" t="s">
        <v>1848</v>
      </c>
      <c r="AN4318" s="115" t="s">
        <v>1628</v>
      </c>
      <c r="AO4318" s="115" t="s">
        <v>381</v>
      </c>
    </row>
    <row r="4319" spans="35:41" ht="13">
      <c r="AI4319" s="115" t="s">
        <v>1415</v>
      </c>
      <c r="AJ4319" t="s">
        <v>2114</v>
      </c>
      <c r="AK4319" s="115">
        <v>16</v>
      </c>
      <c r="AL4319" s="115" t="s">
        <v>28</v>
      </c>
      <c r="AM4319" s="115" t="s">
        <v>1849</v>
      </c>
      <c r="AN4319" s="115" t="s">
        <v>1628</v>
      </c>
      <c r="AO4319" s="115" t="s">
        <v>379</v>
      </c>
    </row>
    <row r="4320" spans="35:41" ht="13">
      <c r="AI4320" s="115" t="s">
        <v>1415</v>
      </c>
      <c r="AJ4320" t="s">
        <v>2114</v>
      </c>
      <c r="AK4320" s="115">
        <v>16</v>
      </c>
      <c r="AL4320" s="115" t="s">
        <v>28</v>
      </c>
      <c r="AM4320" s="115" t="s">
        <v>1843</v>
      </c>
      <c r="AN4320" s="115" t="s">
        <v>1628</v>
      </c>
      <c r="AO4320" s="115" t="s">
        <v>379</v>
      </c>
    </row>
    <row r="4321" spans="35:41" ht="13">
      <c r="AI4321" s="115" t="s">
        <v>1415</v>
      </c>
      <c r="AJ4321" t="s">
        <v>2114</v>
      </c>
      <c r="AK4321" s="115">
        <v>16</v>
      </c>
      <c r="AL4321" s="115" t="s">
        <v>28</v>
      </c>
      <c r="AM4321" s="115" t="s">
        <v>1832</v>
      </c>
      <c r="AN4321" s="115" t="s">
        <v>1628</v>
      </c>
      <c r="AO4321" s="115" t="s">
        <v>379</v>
      </c>
    </row>
    <row r="4322" spans="35:41" ht="13">
      <c r="AI4322" s="115" t="s">
        <v>1415</v>
      </c>
      <c r="AJ4322" t="s">
        <v>2114</v>
      </c>
      <c r="AK4322" s="115">
        <v>16</v>
      </c>
      <c r="AL4322" s="115" t="s">
        <v>28</v>
      </c>
      <c r="AM4322" s="115" t="s">
        <v>1848</v>
      </c>
      <c r="AN4322" s="115" t="s">
        <v>1628</v>
      </c>
      <c r="AO4322" s="115" t="s">
        <v>379</v>
      </c>
    </row>
    <row r="4323" spans="35:41" ht="13">
      <c r="AI4323" s="115" t="s">
        <v>1415</v>
      </c>
      <c r="AJ4323" t="s">
        <v>2114</v>
      </c>
      <c r="AK4323" s="115">
        <v>16</v>
      </c>
      <c r="AL4323" s="115" t="s">
        <v>28</v>
      </c>
      <c r="AM4323" s="115" t="s">
        <v>1850</v>
      </c>
      <c r="AN4323" s="115" t="s">
        <v>1628</v>
      </c>
      <c r="AO4323" s="115" t="s">
        <v>379</v>
      </c>
    </row>
    <row r="4324" spans="35:41" ht="13">
      <c r="AI4324" s="115" t="s">
        <v>1415</v>
      </c>
      <c r="AJ4324" t="s">
        <v>2114</v>
      </c>
      <c r="AK4324" s="115">
        <v>16</v>
      </c>
      <c r="AL4324" s="115" t="s">
        <v>28</v>
      </c>
      <c r="AM4324" s="115" t="s">
        <v>1846</v>
      </c>
      <c r="AN4324" s="115" t="s">
        <v>1628</v>
      </c>
      <c r="AO4324" s="115" t="s">
        <v>379</v>
      </c>
    </row>
    <row r="4325" spans="35:41" ht="13">
      <c r="AI4325" s="115" t="s">
        <v>1415</v>
      </c>
      <c r="AJ4325" t="s">
        <v>2114</v>
      </c>
      <c r="AK4325" s="115">
        <v>16</v>
      </c>
      <c r="AL4325" s="115" t="s">
        <v>28</v>
      </c>
      <c r="AM4325" s="115" t="s">
        <v>1832</v>
      </c>
      <c r="AN4325" s="115" t="s">
        <v>1628</v>
      </c>
      <c r="AO4325" s="115" t="s">
        <v>1645</v>
      </c>
    </row>
    <row r="4326" spans="35:41" ht="13">
      <c r="AI4326" s="115" t="s">
        <v>1415</v>
      </c>
      <c r="AJ4326" t="s">
        <v>2114</v>
      </c>
      <c r="AK4326" s="115">
        <v>16</v>
      </c>
      <c r="AL4326" s="115" t="s">
        <v>28</v>
      </c>
      <c r="AM4326" s="115" t="s">
        <v>1850</v>
      </c>
      <c r="AN4326" s="115" t="s">
        <v>1628</v>
      </c>
      <c r="AO4326" s="115" t="s">
        <v>1645</v>
      </c>
    </row>
    <row r="4327" spans="35:41" ht="13">
      <c r="AI4327" s="115" t="s">
        <v>1415</v>
      </c>
      <c r="AJ4327" t="s">
        <v>2114</v>
      </c>
      <c r="AK4327" s="115">
        <v>16</v>
      </c>
      <c r="AL4327" s="115" t="s">
        <v>28</v>
      </c>
      <c r="AM4327" s="115" t="s">
        <v>1846</v>
      </c>
      <c r="AN4327" s="115" t="s">
        <v>1628</v>
      </c>
      <c r="AO4327" s="115" t="s">
        <v>1645</v>
      </c>
    </row>
    <row r="4328" spans="35:41" ht="13">
      <c r="AI4328" s="115" t="s">
        <v>1415</v>
      </c>
      <c r="AJ4328" t="s">
        <v>2114</v>
      </c>
      <c r="AK4328" s="115">
        <v>16</v>
      </c>
      <c r="AL4328" s="115" t="s">
        <v>28</v>
      </c>
      <c r="AM4328" s="115" t="s">
        <v>1848</v>
      </c>
      <c r="AN4328" s="115" t="s">
        <v>1628</v>
      </c>
      <c r="AO4328" s="115" t="s">
        <v>1645</v>
      </c>
    </row>
    <row r="4329" spans="35:41" ht="13">
      <c r="AI4329" s="115" t="s">
        <v>1415</v>
      </c>
      <c r="AJ4329" t="s">
        <v>2114</v>
      </c>
      <c r="AK4329" s="115">
        <v>16</v>
      </c>
      <c r="AL4329" s="115" t="s">
        <v>28</v>
      </c>
      <c r="AM4329" s="115" t="s">
        <v>1843</v>
      </c>
      <c r="AN4329" s="115" t="s">
        <v>1628</v>
      </c>
      <c r="AO4329" s="115" t="s">
        <v>1645</v>
      </c>
    </row>
    <row r="4330" spans="35:41" ht="13">
      <c r="AI4330" s="115" t="s">
        <v>1415</v>
      </c>
      <c r="AJ4330" t="s">
        <v>2114</v>
      </c>
      <c r="AK4330" s="115">
        <v>16</v>
      </c>
      <c r="AL4330" s="115" t="s">
        <v>28</v>
      </c>
      <c r="AM4330" s="115" t="s">
        <v>1849</v>
      </c>
      <c r="AN4330" s="115" t="s">
        <v>1628</v>
      </c>
      <c r="AO4330" s="115" t="s">
        <v>1645</v>
      </c>
    </row>
    <row r="4331" spans="35:41" ht="13">
      <c r="AI4331" s="115" t="s">
        <v>1415</v>
      </c>
      <c r="AJ4331" t="s">
        <v>2114</v>
      </c>
      <c r="AK4331" s="115">
        <v>16</v>
      </c>
      <c r="AL4331" s="115" t="s">
        <v>28</v>
      </c>
      <c r="AM4331" s="115" t="s">
        <v>1843</v>
      </c>
      <c r="AN4331" s="115" t="s">
        <v>1628</v>
      </c>
      <c r="AO4331" s="115" t="s">
        <v>1646</v>
      </c>
    </row>
    <row r="4332" spans="35:41" ht="13">
      <c r="AI4332" s="115" t="s">
        <v>1415</v>
      </c>
      <c r="AJ4332" t="s">
        <v>2114</v>
      </c>
      <c r="AK4332" s="115">
        <v>16</v>
      </c>
      <c r="AL4332" s="115" t="s">
        <v>28</v>
      </c>
      <c r="AM4332" s="115" t="s">
        <v>1846</v>
      </c>
      <c r="AN4332" s="115" t="s">
        <v>1628</v>
      </c>
      <c r="AO4332" s="115" t="s">
        <v>1646</v>
      </c>
    </row>
    <row r="4333" spans="35:41" ht="13">
      <c r="AI4333" s="115" t="s">
        <v>1415</v>
      </c>
      <c r="AJ4333" t="s">
        <v>2114</v>
      </c>
      <c r="AK4333" s="115">
        <v>16</v>
      </c>
      <c r="AL4333" s="115" t="s">
        <v>28</v>
      </c>
      <c r="AM4333" s="115" t="s">
        <v>1843</v>
      </c>
      <c r="AN4333" s="115" t="s">
        <v>1628</v>
      </c>
      <c r="AO4333" s="115" t="s">
        <v>1647</v>
      </c>
    </row>
    <row r="4334" spans="35:41" ht="13">
      <c r="AI4334" s="115" t="s">
        <v>1415</v>
      </c>
      <c r="AJ4334" t="s">
        <v>2114</v>
      </c>
      <c r="AK4334" s="115">
        <v>16</v>
      </c>
      <c r="AL4334" s="115" t="s">
        <v>28</v>
      </c>
      <c r="AM4334" s="115" t="s">
        <v>1846</v>
      </c>
      <c r="AN4334" s="115" t="s">
        <v>1628</v>
      </c>
      <c r="AO4334" s="115" t="s">
        <v>1647</v>
      </c>
    </row>
    <row r="4335" spans="35:41" ht="13">
      <c r="AI4335" s="115" t="s">
        <v>1415</v>
      </c>
      <c r="AJ4335" t="s">
        <v>2114</v>
      </c>
      <c r="AK4335" s="115">
        <v>16</v>
      </c>
      <c r="AL4335" s="115" t="s">
        <v>28</v>
      </c>
      <c r="AM4335" s="115" t="s">
        <v>1846</v>
      </c>
      <c r="AN4335" s="115" t="s">
        <v>1628</v>
      </c>
      <c r="AO4335" s="115" t="s">
        <v>1639</v>
      </c>
    </row>
    <row r="4336" spans="35:41" ht="13">
      <c r="AI4336" s="115" t="s">
        <v>1415</v>
      </c>
      <c r="AJ4336" t="s">
        <v>2114</v>
      </c>
      <c r="AK4336" s="115">
        <v>16</v>
      </c>
      <c r="AL4336" s="115" t="s">
        <v>28</v>
      </c>
      <c r="AM4336" s="115" t="s">
        <v>1843</v>
      </c>
      <c r="AN4336" s="115" t="s">
        <v>1628</v>
      </c>
      <c r="AO4336" s="115" t="s">
        <v>1639</v>
      </c>
    </row>
    <row r="4337" spans="35:41" ht="13">
      <c r="AI4337" s="115" t="s">
        <v>1415</v>
      </c>
      <c r="AJ4337" t="s">
        <v>2114</v>
      </c>
      <c r="AK4337" s="115">
        <v>16</v>
      </c>
      <c r="AL4337" s="115" t="s">
        <v>28</v>
      </c>
      <c r="AM4337" s="115" t="s">
        <v>1849</v>
      </c>
      <c r="AN4337" s="115" t="s">
        <v>1628</v>
      </c>
      <c r="AO4337" s="115" t="s">
        <v>380</v>
      </c>
    </row>
    <row r="4338" spans="35:41" ht="13">
      <c r="AI4338" s="115" t="s">
        <v>1415</v>
      </c>
      <c r="AJ4338" t="s">
        <v>2114</v>
      </c>
      <c r="AK4338" s="115">
        <v>16</v>
      </c>
      <c r="AL4338" s="115" t="s">
        <v>28</v>
      </c>
      <c r="AM4338" s="115" t="s">
        <v>1850</v>
      </c>
      <c r="AN4338" s="115" t="s">
        <v>1628</v>
      </c>
      <c r="AO4338" s="115" t="s">
        <v>380</v>
      </c>
    </row>
    <row r="4339" spans="35:41" ht="13">
      <c r="AI4339" s="115" t="s">
        <v>1415</v>
      </c>
      <c r="AJ4339" t="s">
        <v>2114</v>
      </c>
      <c r="AK4339" s="115">
        <v>16</v>
      </c>
      <c r="AL4339" s="115" t="s">
        <v>28</v>
      </c>
      <c r="AM4339" s="115" t="s">
        <v>1843</v>
      </c>
      <c r="AN4339" s="115" t="s">
        <v>1628</v>
      </c>
      <c r="AO4339" s="115" t="s">
        <v>380</v>
      </c>
    </row>
    <row r="4340" spans="35:41" ht="13">
      <c r="AI4340" s="115" t="s">
        <v>1415</v>
      </c>
      <c r="AJ4340" t="s">
        <v>2114</v>
      </c>
      <c r="AK4340" s="115">
        <v>16</v>
      </c>
      <c r="AL4340" s="115" t="s">
        <v>28</v>
      </c>
      <c r="AM4340" s="115" t="s">
        <v>1848</v>
      </c>
      <c r="AN4340" s="115" t="s">
        <v>1628</v>
      </c>
      <c r="AO4340" s="115" t="s">
        <v>380</v>
      </c>
    </row>
    <row r="4341" spans="35:41" ht="13">
      <c r="AI4341" s="115" t="s">
        <v>1415</v>
      </c>
      <c r="AJ4341" t="s">
        <v>2114</v>
      </c>
      <c r="AK4341" s="115">
        <v>16</v>
      </c>
      <c r="AL4341" s="115" t="s">
        <v>28</v>
      </c>
      <c r="AM4341" s="115" t="s">
        <v>1846</v>
      </c>
      <c r="AN4341" s="115" t="s">
        <v>1628</v>
      </c>
      <c r="AO4341" s="115" t="s">
        <v>380</v>
      </c>
    </row>
    <row r="4342" spans="35:41" ht="13">
      <c r="AI4342" s="115" t="s">
        <v>1415</v>
      </c>
      <c r="AJ4342" t="s">
        <v>2114</v>
      </c>
      <c r="AK4342" s="115">
        <v>16</v>
      </c>
      <c r="AL4342" s="115" t="s">
        <v>28</v>
      </c>
      <c r="AM4342" s="115" t="s">
        <v>1832</v>
      </c>
      <c r="AN4342" s="115" t="s">
        <v>1628</v>
      </c>
      <c r="AO4342" s="115" t="s">
        <v>380</v>
      </c>
    </row>
    <row r="4343" spans="35:41" ht="13">
      <c r="AI4343" s="115" t="s">
        <v>1415</v>
      </c>
      <c r="AJ4343" t="s">
        <v>2114</v>
      </c>
      <c r="AK4343" s="115">
        <v>16</v>
      </c>
      <c r="AL4343" s="115" t="s">
        <v>28</v>
      </c>
      <c r="AM4343" s="115" t="s">
        <v>1849</v>
      </c>
      <c r="AN4343" s="115" t="s">
        <v>1674</v>
      </c>
      <c r="AO4343" s="115" t="s">
        <v>1643</v>
      </c>
    </row>
    <row r="4344" spans="35:41" ht="13">
      <c r="AI4344" s="115" t="s">
        <v>1415</v>
      </c>
      <c r="AJ4344" t="s">
        <v>2114</v>
      </c>
      <c r="AK4344" s="115">
        <v>16</v>
      </c>
      <c r="AL4344" s="115" t="s">
        <v>28</v>
      </c>
      <c r="AM4344" s="115" t="s">
        <v>1848</v>
      </c>
      <c r="AN4344" s="115" t="s">
        <v>1674</v>
      </c>
      <c r="AO4344" s="115" t="s">
        <v>1643</v>
      </c>
    </row>
    <row r="4345" spans="35:41" ht="13">
      <c r="AI4345" s="115" t="s">
        <v>1415</v>
      </c>
      <c r="AJ4345" t="s">
        <v>2114</v>
      </c>
      <c r="AK4345" s="115">
        <v>16</v>
      </c>
      <c r="AL4345" s="115" t="s">
        <v>28</v>
      </c>
      <c r="AM4345" s="115" t="s">
        <v>1850</v>
      </c>
      <c r="AN4345" s="115" t="s">
        <v>1674</v>
      </c>
      <c r="AO4345" s="115" t="s">
        <v>1643</v>
      </c>
    </row>
    <row r="4346" spans="35:41" ht="13">
      <c r="AI4346" s="115" t="s">
        <v>1415</v>
      </c>
      <c r="AJ4346" t="s">
        <v>2114</v>
      </c>
      <c r="AK4346" s="115">
        <v>16</v>
      </c>
      <c r="AL4346" s="115" t="s">
        <v>28</v>
      </c>
      <c r="AM4346" s="115" t="s">
        <v>1846</v>
      </c>
      <c r="AN4346" s="115" t="s">
        <v>1674</v>
      </c>
      <c r="AO4346" s="115" t="s">
        <v>1643</v>
      </c>
    </row>
    <row r="4347" spans="35:41" ht="13">
      <c r="AI4347" s="115" t="s">
        <v>1415</v>
      </c>
      <c r="AJ4347" t="s">
        <v>2114</v>
      </c>
      <c r="AK4347" s="115">
        <v>16</v>
      </c>
      <c r="AL4347" s="115" t="s">
        <v>28</v>
      </c>
      <c r="AM4347" s="115" t="s">
        <v>1832</v>
      </c>
      <c r="AN4347" s="115" t="s">
        <v>1674</v>
      </c>
      <c r="AO4347" s="115" t="s">
        <v>1643</v>
      </c>
    </row>
    <row r="4348" spans="35:41" ht="13">
      <c r="AI4348" s="115" t="s">
        <v>1415</v>
      </c>
      <c r="AJ4348" t="s">
        <v>2114</v>
      </c>
      <c r="AK4348" s="115">
        <v>16</v>
      </c>
      <c r="AL4348" s="115" t="s">
        <v>28</v>
      </c>
      <c r="AM4348" s="115" t="s">
        <v>1843</v>
      </c>
      <c r="AN4348" s="115" t="s">
        <v>1674</v>
      </c>
      <c r="AO4348" s="115" t="s">
        <v>1643</v>
      </c>
    </row>
    <row r="4349" spans="35:41" ht="13">
      <c r="AI4349" s="115" t="s">
        <v>1415</v>
      </c>
      <c r="AJ4349" t="s">
        <v>2114</v>
      </c>
      <c r="AK4349" s="115">
        <v>16</v>
      </c>
      <c r="AL4349" s="115" t="s">
        <v>28</v>
      </c>
      <c r="AM4349" s="115" t="s">
        <v>1850</v>
      </c>
      <c r="AN4349" s="115" t="s">
        <v>1674</v>
      </c>
      <c r="AO4349" s="115" t="s">
        <v>360</v>
      </c>
    </row>
    <row r="4350" spans="35:41" ht="13">
      <c r="AI4350" s="115" t="s">
        <v>1415</v>
      </c>
      <c r="AJ4350" t="s">
        <v>2114</v>
      </c>
      <c r="AK4350" s="115">
        <v>16</v>
      </c>
      <c r="AL4350" s="115" t="s">
        <v>28</v>
      </c>
      <c r="AM4350" s="115" t="s">
        <v>1846</v>
      </c>
      <c r="AN4350" s="115" t="s">
        <v>1674</v>
      </c>
      <c r="AO4350" s="115" t="s">
        <v>360</v>
      </c>
    </row>
    <row r="4351" spans="35:41" ht="13">
      <c r="AI4351" s="115" t="s">
        <v>1415</v>
      </c>
      <c r="AJ4351" t="s">
        <v>2114</v>
      </c>
      <c r="AK4351" s="115">
        <v>16</v>
      </c>
      <c r="AL4351" s="115" t="s">
        <v>28</v>
      </c>
      <c r="AM4351" s="115" t="s">
        <v>1843</v>
      </c>
      <c r="AN4351" s="115" t="s">
        <v>1674</v>
      </c>
      <c r="AO4351" s="115" t="s">
        <v>360</v>
      </c>
    </row>
    <row r="4352" spans="35:41" ht="13">
      <c r="AI4352" s="115" t="s">
        <v>1415</v>
      </c>
      <c r="AJ4352" t="s">
        <v>2114</v>
      </c>
      <c r="AK4352" s="115">
        <v>16</v>
      </c>
      <c r="AL4352" s="115" t="s">
        <v>28</v>
      </c>
      <c r="AM4352" s="115" t="s">
        <v>1832</v>
      </c>
      <c r="AN4352" s="115" t="s">
        <v>1674</v>
      </c>
      <c r="AO4352" s="115" t="s">
        <v>360</v>
      </c>
    </row>
    <row r="4353" spans="35:41" ht="13">
      <c r="AI4353" s="115" t="s">
        <v>1415</v>
      </c>
      <c r="AJ4353" t="s">
        <v>2114</v>
      </c>
      <c r="AK4353" s="115">
        <v>16</v>
      </c>
      <c r="AL4353" s="115" t="s">
        <v>28</v>
      </c>
      <c r="AM4353" s="115" t="s">
        <v>1849</v>
      </c>
      <c r="AN4353" s="115" t="s">
        <v>1674</v>
      </c>
      <c r="AO4353" s="115" t="s">
        <v>360</v>
      </c>
    </row>
    <row r="4354" spans="35:41" ht="13">
      <c r="AI4354" s="115" t="s">
        <v>1415</v>
      </c>
      <c r="AJ4354" t="s">
        <v>2114</v>
      </c>
      <c r="AK4354" s="115">
        <v>16</v>
      </c>
      <c r="AL4354" s="115" t="s">
        <v>28</v>
      </c>
      <c r="AM4354" s="115" t="s">
        <v>1848</v>
      </c>
      <c r="AN4354" s="115" t="s">
        <v>1674</v>
      </c>
      <c r="AO4354" s="115" t="s">
        <v>360</v>
      </c>
    </row>
    <row r="4355" spans="35:41" ht="13">
      <c r="AI4355" s="115" t="s">
        <v>1415</v>
      </c>
      <c r="AJ4355" t="s">
        <v>2114</v>
      </c>
      <c r="AK4355" s="115">
        <v>16</v>
      </c>
      <c r="AL4355" s="115" t="s">
        <v>28</v>
      </c>
      <c r="AM4355" s="115" t="s">
        <v>1848</v>
      </c>
      <c r="AN4355" s="115" t="s">
        <v>1674</v>
      </c>
      <c r="AO4355" s="115" t="s">
        <v>372</v>
      </c>
    </row>
    <row r="4356" spans="35:41" ht="13">
      <c r="AI4356" s="115" t="s">
        <v>1415</v>
      </c>
      <c r="AJ4356" t="s">
        <v>2114</v>
      </c>
      <c r="AK4356" s="115">
        <v>16</v>
      </c>
      <c r="AL4356" s="115" t="s">
        <v>28</v>
      </c>
      <c r="AM4356" s="115" t="s">
        <v>1846</v>
      </c>
      <c r="AN4356" s="115" t="s">
        <v>1674</v>
      </c>
      <c r="AO4356" s="115" t="s">
        <v>372</v>
      </c>
    </row>
    <row r="4357" spans="35:41" ht="13">
      <c r="AI4357" s="115" t="s">
        <v>1415</v>
      </c>
      <c r="AJ4357" t="s">
        <v>2114</v>
      </c>
      <c r="AK4357" s="115">
        <v>16</v>
      </c>
      <c r="AL4357" s="115" t="s">
        <v>28</v>
      </c>
      <c r="AM4357" s="115" t="s">
        <v>1843</v>
      </c>
      <c r="AN4357" s="115" t="s">
        <v>1674</v>
      </c>
      <c r="AO4357" s="115" t="s">
        <v>372</v>
      </c>
    </row>
    <row r="4358" spans="35:41" ht="13">
      <c r="AI4358" s="115" t="s">
        <v>1415</v>
      </c>
      <c r="AJ4358" t="s">
        <v>2114</v>
      </c>
      <c r="AK4358" s="115">
        <v>16</v>
      </c>
      <c r="AL4358" s="115" t="s">
        <v>28</v>
      </c>
      <c r="AM4358" s="115" t="s">
        <v>1849</v>
      </c>
      <c r="AN4358" s="115" t="s">
        <v>1674</v>
      </c>
      <c r="AO4358" s="115" t="s">
        <v>372</v>
      </c>
    </row>
    <row r="4359" spans="35:41" ht="13">
      <c r="AI4359" s="115" t="s">
        <v>1415</v>
      </c>
      <c r="AJ4359" t="s">
        <v>2114</v>
      </c>
      <c r="AK4359" s="115">
        <v>16</v>
      </c>
      <c r="AL4359" s="115" t="s">
        <v>28</v>
      </c>
      <c r="AM4359" s="115" t="s">
        <v>1850</v>
      </c>
      <c r="AN4359" s="115" t="s">
        <v>1674</v>
      </c>
      <c r="AO4359" s="115" t="s">
        <v>372</v>
      </c>
    </row>
    <row r="4360" spans="35:41" ht="13">
      <c r="AI4360" s="115" t="s">
        <v>1415</v>
      </c>
      <c r="AJ4360" t="s">
        <v>2114</v>
      </c>
      <c r="AK4360" s="115">
        <v>16</v>
      </c>
      <c r="AL4360" s="115" t="s">
        <v>28</v>
      </c>
      <c r="AM4360" s="115" t="s">
        <v>1832</v>
      </c>
      <c r="AN4360" s="115" t="s">
        <v>1674</v>
      </c>
      <c r="AO4360" s="115" t="s">
        <v>372</v>
      </c>
    </row>
    <row r="4361" spans="35:41" ht="13">
      <c r="AI4361" s="115" t="s">
        <v>1415</v>
      </c>
      <c r="AJ4361" t="s">
        <v>2114</v>
      </c>
      <c r="AK4361" s="115">
        <v>16</v>
      </c>
      <c r="AL4361" s="115" t="s">
        <v>28</v>
      </c>
      <c r="AM4361" s="115" t="s">
        <v>1832</v>
      </c>
      <c r="AN4361" s="115" t="s">
        <v>1675</v>
      </c>
      <c r="AO4361" s="115" t="s">
        <v>1643</v>
      </c>
    </row>
    <row r="4362" spans="35:41" ht="13">
      <c r="AI4362" s="115" t="s">
        <v>1415</v>
      </c>
      <c r="AJ4362" t="s">
        <v>2114</v>
      </c>
      <c r="AK4362" s="115">
        <v>16</v>
      </c>
      <c r="AL4362" s="115" t="s">
        <v>28</v>
      </c>
      <c r="AM4362" s="115" t="s">
        <v>1843</v>
      </c>
      <c r="AN4362" s="115" t="s">
        <v>1675</v>
      </c>
      <c r="AO4362" s="115" t="s">
        <v>1643</v>
      </c>
    </row>
    <row r="4363" spans="35:41" ht="13">
      <c r="AI4363" s="115" t="s">
        <v>1415</v>
      </c>
      <c r="AJ4363" t="s">
        <v>2114</v>
      </c>
      <c r="AK4363" s="115">
        <v>16</v>
      </c>
      <c r="AL4363" s="115" t="s">
        <v>28</v>
      </c>
      <c r="AM4363" s="115" t="s">
        <v>1848</v>
      </c>
      <c r="AN4363" s="115" t="s">
        <v>1675</v>
      </c>
      <c r="AO4363" s="115" t="s">
        <v>1643</v>
      </c>
    </row>
    <row r="4364" spans="35:41" ht="13">
      <c r="AI4364" s="115" t="s">
        <v>1415</v>
      </c>
      <c r="AJ4364" t="s">
        <v>2114</v>
      </c>
      <c r="AK4364" s="115">
        <v>16</v>
      </c>
      <c r="AL4364" s="115" t="s">
        <v>28</v>
      </c>
      <c r="AM4364" s="115" t="s">
        <v>1846</v>
      </c>
      <c r="AN4364" s="115" t="s">
        <v>1675</v>
      </c>
      <c r="AO4364" s="115" t="s">
        <v>1643</v>
      </c>
    </row>
    <row r="4365" spans="35:41" ht="13">
      <c r="AI4365" s="115" t="s">
        <v>1415</v>
      </c>
      <c r="AJ4365" t="s">
        <v>2114</v>
      </c>
      <c r="AK4365" s="115">
        <v>16</v>
      </c>
      <c r="AL4365" s="115" t="s">
        <v>28</v>
      </c>
      <c r="AM4365" s="115" t="s">
        <v>1850</v>
      </c>
      <c r="AN4365" s="115" t="s">
        <v>1675</v>
      </c>
      <c r="AO4365" s="115" t="s">
        <v>1643</v>
      </c>
    </row>
    <row r="4366" spans="35:41" ht="13">
      <c r="AI4366" s="115" t="s">
        <v>1415</v>
      </c>
      <c r="AJ4366" t="s">
        <v>2114</v>
      </c>
      <c r="AK4366" s="115">
        <v>16</v>
      </c>
      <c r="AL4366" s="115" t="s">
        <v>28</v>
      </c>
      <c r="AM4366" s="115" t="s">
        <v>1849</v>
      </c>
      <c r="AN4366" s="115" t="s">
        <v>1675</v>
      </c>
      <c r="AO4366" s="115" t="s">
        <v>1643</v>
      </c>
    </row>
    <row r="4367" spans="35:41" ht="13">
      <c r="AI4367" s="115" t="s">
        <v>1415</v>
      </c>
      <c r="AJ4367" t="s">
        <v>2114</v>
      </c>
      <c r="AK4367" s="115">
        <v>16</v>
      </c>
      <c r="AL4367" s="115" t="s">
        <v>28</v>
      </c>
      <c r="AM4367" s="115" t="s">
        <v>1832</v>
      </c>
      <c r="AN4367" s="115" t="s">
        <v>1675</v>
      </c>
      <c r="AO4367" s="115" t="s">
        <v>1642</v>
      </c>
    </row>
    <row r="4368" spans="35:41" ht="13">
      <c r="AI4368" s="115" t="s">
        <v>1415</v>
      </c>
      <c r="AJ4368" t="s">
        <v>2114</v>
      </c>
      <c r="AK4368" s="115">
        <v>16</v>
      </c>
      <c r="AL4368" s="115" t="s">
        <v>28</v>
      </c>
      <c r="AM4368" s="115" t="s">
        <v>1848</v>
      </c>
      <c r="AN4368" s="115" t="s">
        <v>1675</v>
      </c>
      <c r="AO4368" s="115" t="s">
        <v>1642</v>
      </c>
    </row>
    <row r="4369" spans="35:41" ht="13">
      <c r="AI4369" s="115" t="s">
        <v>1415</v>
      </c>
      <c r="AJ4369" t="s">
        <v>2114</v>
      </c>
      <c r="AK4369" s="115">
        <v>16</v>
      </c>
      <c r="AL4369" s="115" t="s">
        <v>28</v>
      </c>
      <c r="AM4369" s="115" t="s">
        <v>1843</v>
      </c>
      <c r="AN4369" s="115" t="s">
        <v>1675</v>
      </c>
      <c r="AO4369" s="115" t="s">
        <v>1642</v>
      </c>
    </row>
    <row r="4370" spans="35:41" ht="13">
      <c r="AI4370" s="115" t="s">
        <v>1415</v>
      </c>
      <c r="AJ4370" t="s">
        <v>2114</v>
      </c>
      <c r="AK4370" s="115">
        <v>16</v>
      </c>
      <c r="AL4370" s="115" t="s">
        <v>28</v>
      </c>
      <c r="AM4370" s="115" t="s">
        <v>1850</v>
      </c>
      <c r="AN4370" s="115" t="s">
        <v>1675</v>
      </c>
      <c r="AO4370" s="115" t="s">
        <v>1642</v>
      </c>
    </row>
    <row r="4371" spans="35:41" ht="13">
      <c r="AI4371" s="115" t="s">
        <v>1415</v>
      </c>
      <c r="AJ4371" t="s">
        <v>2114</v>
      </c>
      <c r="AK4371" s="115">
        <v>16</v>
      </c>
      <c r="AL4371" s="115" t="s">
        <v>28</v>
      </c>
      <c r="AM4371" s="115" t="s">
        <v>1832</v>
      </c>
      <c r="AN4371" s="115" t="s">
        <v>1675</v>
      </c>
      <c r="AO4371" s="115" t="s">
        <v>379</v>
      </c>
    </row>
    <row r="4372" spans="35:41" ht="13">
      <c r="AI4372" s="115" t="s">
        <v>1415</v>
      </c>
      <c r="AJ4372" t="s">
        <v>2114</v>
      </c>
      <c r="AK4372" s="115">
        <v>16</v>
      </c>
      <c r="AL4372" s="115" t="s">
        <v>28</v>
      </c>
      <c r="AM4372" s="115" t="s">
        <v>1850</v>
      </c>
      <c r="AN4372" s="115" t="s">
        <v>1675</v>
      </c>
      <c r="AO4372" s="115" t="s">
        <v>379</v>
      </c>
    </row>
    <row r="4373" spans="35:41" ht="13">
      <c r="AI4373" s="115" t="s">
        <v>1415</v>
      </c>
      <c r="AJ4373" t="s">
        <v>2114</v>
      </c>
      <c r="AK4373" s="115">
        <v>16</v>
      </c>
      <c r="AL4373" s="115" t="s">
        <v>28</v>
      </c>
      <c r="AM4373" s="115" t="s">
        <v>1846</v>
      </c>
      <c r="AN4373" s="115" t="s">
        <v>1675</v>
      </c>
      <c r="AO4373" s="115" t="s">
        <v>379</v>
      </c>
    </row>
    <row r="4374" spans="35:41" ht="13">
      <c r="AI4374" s="115" t="s">
        <v>1415</v>
      </c>
      <c r="AJ4374" t="s">
        <v>2114</v>
      </c>
      <c r="AK4374" s="115">
        <v>16</v>
      </c>
      <c r="AL4374" s="115" t="s">
        <v>28</v>
      </c>
      <c r="AM4374" s="115" t="s">
        <v>1848</v>
      </c>
      <c r="AN4374" s="115" t="s">
        <v>1675</v>
      </c>
      <c r="AO4374" s="115" t="s">
        <v>379</v>
      </c>
    </row>
    <row r="4375" spans="35:41" ht="13">
      <c r="AI4375" s="115" t="s">
        <v>1415</v>
      </c>
      <c r="AJ4375" t="s">
        <v>2114</v>
      </c>
      <c r="AK4375" s="115">
        <v>16</v>
      </c>
      <c r="AL4375" s="115" t="s">
        <v>28</v>
      </c>
      <c r="AM4375" s="115" t="s">
        <v>1843</v>
      </c>
      <c r="AN4375" s="115" t="s">
        <v>1675</v>
      </c>
      <c r="AO4375" s="115" t="s">
        <v>379</v>
      </c>
    </row>
    <row r="4376" spans="35:41" ht="13">
      <c r="AI4376" s="115" t="s">
        <v>1415</v>
      </c>
      <c r="AJ4376" t="s">
        <v>2114</v>
      </c>
      <c r="AK4376" s="115">
        <v>16</v>
      </c>
      <c r="AL4376" s="115" t="s">
        <v>28</v>
      </c>
      <c r="AM4376" s="115" t="s">
        <v>1849</v>
      </c>
      <c r="AN4376" s="115" t="s">
        <v>1675</v>
      </c>
      <c r="AO4376" s="115" t="s">
        <v>379</v>
      </c>
    </row>
    <row r="4377" spans="35:41" ht="13">
      <c r="AI4377" s="115" t="s">
        <v>1415</v>
      </c>
      <c r="AJ4377" t="s">
        <v>2114</v>
      </c>
      <c r="AK4377" s="115">
        <v>16</v>
      </c>
      <c r="AL4377" s="115" t="s">
        <v>28</v>
      </c>
      <c r="AM4377" s="115" t="s">
        <v>1850</v>
      </c>
      <c r="AN4377" s="115" t="s">
        <v>1675</v>
      </c>
      <c r="AO4377" s="115" t="s">
        <v>1641</v>
      </c>
    </row>
    <row r="4378" spans="35:41" ht="13">
      <c r="AI4378" s="115" t="s">
        <v>1415</v>
      </c>
      <c r="AJ4378" t="s">
        <v>2114</v>
      </c>
      <c r="AK4378" s="115">
        <v>16</v>
      </c>
      <c r="AL4378" s="115" t="s">
        <v>28</v>
      </c>
      <c r="AM4378" s="115" t="s">
        <v>1832</v>
      </c>
      <c r="AN4378" s="115" t="s">
        <v>1675</v>
      </c>
      <c r="AO4378" s="115" t="s">
        <v>1641</v>
      </c>
    </row>
    <row r="4379" spans="35:41" ht="13">
      <c r="AI4379" s="115" t="s">
        <v>1415</v>
      </c>
      <c r="AJ4379" t="s">
        <v>2114</v>
      </c>
      <c r="AK4379" s="115">
        <v>16</v>
      </c>
      <c r="AL4379" s="115" t="s">
        <v>28</v>
      </c>
      <c r="AM4379" s="115" t="s">
        <v>1848</v>
      </c>
      <c r="AN4379" s="115" t="s">
        <v>1675</v>
      </c>
      <c r="AO4379" s="115" t="s">
        <v>1641</v>
      </c>
    </row>
    <row r="4380" spans="35:41" ht="13">
      <c r="AI4380" s="115" t="s">
        <v>1415</v>
      </c>
      <c r="AJ4380" t="s">
        <v>2114</v>
      </c>
      <c r="AK4380" s="115">
        <v>16</v>
      </c>
      <c r="AL4380" s="115" t="s">
        <v>28</v>
      </c>
      <c r="AM4380" s="115" t="s">
        <v>1843</v>
      </c>
      <c r="AN4380" s="115" t="s">
        <v>1675</v>
      </c>
      <c r="AO4380" s="115" t="s">
        <v>1641</v>
      </c>
    </row>
    <row r="4381" spans="35:41" ht="13">
      <c r="AI4381" s="115" t="s">
        <v>1415</v>
      </c>
      <c r="AJ4381" t="s">
        <v>2114</v>
      </c>
      <c r="AK4381" s="115">
        <v>16</v>
      </c>
      <c r="AL4381" s="115" t="s">
        <v>28</v>
      </c>
      <c r="AM4381" s="115" t="s">
        <v>1832</v>
      </c>
      <c r="AN4381" s="115" t="s">
        <v>1675</v>
      </c>
      <c r="AO4381" s="115" t="s">
        <v>373</v>
      </c>
    </row>
    <row r="4382" spans="35:41" ht="13">
      <c r="AI4382" s="115" t="s">
        <v>1415</v>
      </c>
      <c r="AJ4382" t="s">
        <v>2114</v>
      </c>
      <c r="AK4382" s="115">
        <v>16</v>
      </c>
      <c r="AL4382" s="115" t="s">
        <v>28</v>
      </c>
      <c r="AM4382" s="115" t="s">
        <v>1848</v>
      </c>
      <c r="AN4382" s="115" t="s">
        <v>1675</v>
      </c>
      <c r="AO4382" s="115" t="s">
        <v>373</v>
      </c>
    </row>
    <row r="4383" spans="35:41" ht="13">
      <c r="AI4383" s="115" t="s">
        <v>1415</v>
      </c>
      <c r="AJ4383" t="s">
        <v>2114</v>
      </c>
      <c r="AK4383" s="115">
        <v>16</v>
      </c>
      <c r="AL4383" s="115" t="s">
        <v>28</v>
      </c>
      <c r="AM4383" s="115" t="s">
        <v>1846</v>
      </c>
      <c r="AN4383" s="115" t="s">
        <v>1675</v>
      </c>
      <c r="AO4383" s="115" t="s">
        <v>373</v>
      </c>
    </row>
    <row r="4384" spans="35:41" ht="13">
      <c r="AI4384" s="115" t="s">
        <v>1415</v>
      </c>
      <c r="AJ4384" t="s">
        <v>2114</v>
      </c>
      <c r="AK4384" s="115">
        <v>16</v>
      </c>
      <c r="AL4384" s="115" t="s">
        <v>28</v>
      </c>
      <c r="AM4384" s="115" t="s">
        <v>1849</v>
      </c>
      <c r="AN4384" s="115" t="s">
        <v>1675</v>
      </c>
      <c r="AO4384" s="115" t="s">
        <v>373</v>
      </c>
    </row>
    <row r="4385" spans="35:41" ht="13">
      <c r="AI4385" s="115" t="s">
        <v>1415</v>
      </c>
      <c r="AJ4385" t="s">
        <v>2114</v>
      </c>
      <c r="AK4385" s="115">
        <v>16</v>
      </c>
      <c r="AL4385" s="115" t="s">
        <v>28</v>
      </c>
      <c r="AM4385" s="115" t="s">
        <v>1850</v>
      </c>
      <c r="AN4385" s="115" t="s">
        <v>1675</v>
      </c>
      <c r="AO4385" s="115" t="s">
        <v>373</v>
      </c>
    </row>
    <row r="4386" spans="35:41" ht="13">
      <c r="AI4386" s="115" t="s">
        <v>1415</v>
      </c>
      <c r="AJ4386" t="s">
        <v>2114</v>
      </c>
      <c r="AK4386" s="115">
        <v>16</v>
      </c>
      <c r="AL4386" s="115" t="s">
        <v>28</v>
      </c>
      <c r="AM4386" s="115" t="s">
        <v>1843</v>
      </c>
      <c r="AN4386" s="115" t="s">
        <v>1675</v>
      </c>
      <c r="AO4386" s="115" t="s">
        <v>373</v>
      </c>
    </row>
    <row r="4387" spans="35:41" ht="13">
      <c r="AI4387" s="115" t="s">
        <v>1415</v>
      </c>
      <c r="AJ4387" t="s">
        <v>2114</v>
      </c>
      <c r="AK4387" s="115">
        <v>16</v>
      </c>
      <c r="AL4387" s="115" t="s">
        <v>28</v>
      </c>
      <c r="AM4387" s="115" t="s">
        <v>1849</v>
      </c>
      <c r="AN4387" s="115" t="s">
        <v>1676</v>
      </c>
      <c r="AO4387" s="115" t="s">
        <v>379</v>
      </c>
    </row>
    <row r="4388" spans="35:41" ht="13">
      <c r="AI4388" s="115" t="s">
        <v>1415</v>
      </c>
      <c r="AJ4388" t="s">
        <v>2114</v>
      </c>
      <c r="AK4388" s="115">
        <v>16</v>
      </c>
      <c r="AL4388" s="115" t="s">
        <v>28</v>
      </c>
      <c r="AM4388" s="115" t="s">
        <v>1843</v>
      </c>
      <c r="AN4388" s="115" t="s">
        <v>1676</v>
      </c>
      <c r="AO4388" s="115" t="s">
        <v>379</v>
      </c>
    </row>
    <row r="4389" spans="35:41" ht="13">
      <c r="AI4389" s="115" t="s">
        <v>1415</v>
      </c>
      <c r="AJ4389" t="s">
        <v>2114</v>
      </c>
      <c r="AK4389" s="115">
        <v>16</v>
      </c>
      <c r="AL4389" s="115" t="s">
        <v>28</v>
      </c>
      <c r="AM4389" s="115" t="s">
        <v>1832</v>
      </c>
      <c r="AN4389" s="115" t="s">
        <v>1676</v>
      </c>
      <c r="AO4389" s="115" t="s">
        <v>379</v>
      </c>
    </row>
    <row r="4390" spans="35:41" ht="13">
      <c r="AI4390" s="115" t="s">
        <v>1415</v>
      </c>
      <c r="AJ4390" t="s">
        <v>2114</v>
      </c>
      <c r="AK4390" s="115">
        <v>16</v>
      </c>
      <c r="AL4390" s="115" t="s">
        <v>28</v>
      </c>
      <c r="AM4390" s="115" t="s">
        <v>1848</v>
      </c>
      <c r="AN4390" s="115" t="s">
        <v>1676</v>
      </c>
      <c r="AO4390" s="115" t="s">
        <v>379</v>
      </c>
    </row>
    <row r="4391" spans="35:41" ht="13">
      <c r="AI4391" s="115" t="s">
        <v>1415</v>
      </c>
      <c r="AJ4391" t="s">
        <v>2114</v>
      </c>
      <c r="AK4391" s="115">
        <v>16</v>
      </c>
      <c r="AL4391" s="115" t="s">
        <v>28</v>
      </c>
      <c r="AM4391" s="115" t="s">
        <v>1846</v>
      </c>
      <c r="AN4391" s="115" t="s">
        <v>1676</v>
      </c>
      <c r="AO4391" s="115" t="s">
        <v>379</v>
      </c>
    </row>
    <row r="4392" spans="35:41" ht="13">
      <c r="AI4392" s="115" t="s">
        <v>1415</v>
      </c>
      <c r="AJ4392" t="s">
        <v>2114</v>
      </c>
      <c r="AK4392" s="115">
        <v>16</v>
      </c>
      <c r="AL4392" s="115" t="s">
        <v>28</v>
      </c>
      <c r="AM4392" s="115" t="s">
        <v>1850</v>
      </c>
      <c r="AN4392" s="115" t="s">
        <v>1676</v>
      </c>
      <c r="AO4392" s="115" t="s">
        <v>379</v>
      </c>
    </row>
    <row r="4393" spans="35:41" ht="13">
      <c r="AI4393" s="115" t="s">
        <v>1415</v>
      </c>
      <c r="AJ4393" t="s">
        <v>2114</v>
      </c>
      <c r="AK4393" s="115">
        <v>16</v>
      </c>
      <c r="AL4393" s="115" t="s">
        <v>28</v>
      </c>
      <c r="AM4393" s="115" t="s">
        <v>1850</v>
      </c>
      <c r="AN4393" s="115" t="s">
        <v>1676</v>
      </c>
      <c r="AO4393" s="115" t="s">
        <v>1641</v>
      </c>
    </row>
    <row r="4394" spans="35:41" ht="13">
      <c r="AI4394" s="115" t="s">
        <v>1415</v>
      </c>
      <c r="AJ4394" t="s">
        <v>2114</v>
      </c>
      <c r="AK4394" s="115">
        <v>16</v>
      </c>
      <c r="AL4394" s="115" t="s">
        <v>28</v>
      </c>
      <c r="AM4394" s="115" t="s">
        <v>1832</v>
      </c>
      <c r="AN4394" s="115" t="s">
        <v>1676</v>
      </c>
      <c r="AO4394" s="115" t="s">
        <v>1641</v>
      </c>
    </row>
    <row r="4395" spans="35:41" ht="13">
      <c r="AI4395" s="115" t="s">
        <v>1415</v>
      </c>
      <c r="AJ4395" t="s">
        <v>2114</v>
      </c>
      <c r="AK4395" s="115">
        <v>16</v>
      </c>
      <c r="AL4395" s="115" t="s">
        <v>28</v>
      </c>
      <c r="AM4395" s="115" t="s">
        <v>1843</v>
      </c>
      <c r="AN4395" s="115" t="s">
        <v>1676</v>
      </c>
      <c r="AO4395" s="115" t="s">
        <v>1641</v>
      </c>
    </row>
    <row r="4396" spans="35:41" ht="13">
      <c r="AI4396" s="115" t="s">
        <v>1415</v>
      </c>
      <c r="AJ4396" t="s">
        <v>2114</v>
      </c>
      <c r="AK4396" s="115">
        <v>16</v>
      </c>
      <c r="AL4396" s="115" t="s">
        <v>28</v>
      </c>
      <c r="AM4396" s="115" t="s">
        <v>1848</v>
      </c>
      <c r="AN4396" s="115" t="s">
        <v>1676</v>
      </c>
      <c r="AO4396" s="115" t="s">
        <v>1641</v>
      </c>
    </row>
    <row r="4397" spans="35:41" ht="13">
      <c r="AI4397" s="115" t="s">
        <v>1415</v>
      </c>
      <c r="AJ4397" t="s">
        <v>2114</v>
      </c>
      <c r="AK4397" s="115">
        <v>16</v>
      </c>
      <c r="AL4397" s="115" t="s">
        <v>28</v>
      </c>
      <c r="AM4397" s="115" t="s">
        <v>1848</v>
      </c>
      <c r="AN4397" s="115" t="s">
        <v>1676</v>
      </c>
      <c r="AO4397" s="115" t="s">
        <v>380</v>
      </c>
    </row>
    <row r="4398" spans="35:41" ht="13">
      <c r="AI4398" s="115" t="s">
        <v>1415</v>
      </c>
      <c r="AJ4398" t="s">
        <v>2114</v>
      </c>
      <c r="AK4398" s="115">
        <v>16</v>
      </c>
      <c r="AL4398" s="115" t="s">
        <v>28</v>
      </c>
      <c r="AM4398" s="115" t="s">
        <v>1843</v>
      </c>
      <c r="AN4398" s="115" t="s">
        <v>1676</v>
      </c>
      <c r="AO4398" s="115" t="s">
        <v>380</v>
      </c>
    </row>
    <row r="4399" spans="35:41" ht="13">
      <c r="AI4399" s="115" t="s">
        <v>1415</v>
      </c>
      <c r="AJ4399" t="s">
        <v>2114</v>
      </c>
      <c r="AK4399" s="115">
        <v>16</v>
      </c>
      <c r="AL4399" s="115" t="s">
        <v>28</v>
      </c>
      <c r="AM4399" s="115" t="s">
        <v>1850</v>
      </c>
      <c r="AN4399" s="115" t="s">
        <v>1676</v>
      </c>
      <c r="AO4399" s="115" t="s">
        <v>380</v>
      </c>
    </row>
    <row r="4400" spans="35:41" ht="13">
      <c r="AI4400" s="115" t="s">
        <v>1415</v>
      </c>
      <c r="AJ4400" t="s">
        <v>2114</v>
      </c>
      <c r="AK4400" s="115">
        <v>16</v>
      </c>
      <c r="AL4400" s="115" t="s">
        <v>28</v>
      </c>
      <c r="AM4400" s="115" t="s">
        <v>1846</v>
      </c>
      <c r="AN4400" s="115" t="s">
        <v>1676</v>
      </c>
      <c r="AO4400" s="115" t="s">
        <v>380</v>
      </c>
    </row>
    <row r="4401" spans="35:41" ht="13">
      <c r="AI4401" s="115" t="s">
        <v>1415</v>
      </c>
      <c r="AJ4401" t="s">
        <v>2114</v>
      </c>
      <c r="AK4401" s="115">
        <v>16</v>
      </c>
      <c r="AL4401" s="115" t="s">
        <v>28</v>
      </c>
      <c r="AM4401" s="115" t="s">
        <v>1849</v>
      </c>
      <c r="AN4401" s="115" t="s">
        <v>1676</v>
      </c>
      <c r="AO4401" s="115" t="s">
        <v>380</v>
      </c>
    </row>
    <row r="4402" spans="35:41" ht="13">
      <c r="AI4402" s="115" t="s">
        <v>1415</v>
      </c>
      <c r="AJ4402" t="s">
        <v>2114</v>
      </c>
      <c r="AK4402" s="115">
        <v>16</v>
      </c>
      <c r="AL4402" s="115" t="s">
        <v>28</v>
      </c>
      <c r="AM4402" s="115" t="s">
        <v>1832</v>
      </c>
      <c r="AN4402" s="115" t="s">
        <v>1676</v>
      </c>
      <c r="AO4402" s="115" t="s">
        <v>380</v>
      </c>
    </row>
    <row r="4403" spans="35:41" ht="13">
      <c r="AI4403" s="115" t="s">
        <v>1415</v>
      </c>
      <c r="AJ4403" t="s">
        <v>2114</v>
      </c>
      <c r="AK4403" s="115">
        <v>16</v>
      </c>
      <c r="AL4403" s="115" t="s">
        <v>28</v>
      </c>
      <c r="AM4403" s="115" t="s">
        <v>1850</v>
      </c>
      <c r="AN4403" s="115" t="s">
        <v>1629</v>
      </c>
      <c r="AO4403" s="115" t="s">
        <v>1644</v>
      </c>
    </row>
    <row r="4404" spans="35:41" ht="13">
      <c r="AI4404" s="115" t="s">
        <v>1415</v>
      </c>
      <c r="AJ4404" t="s">
        <v>2114</v>
      </c>
      <c r="AK4404" s="115">
        <v>16</v>
      </c>
      <c r="AL4404" s="115" t="s">
        <v>28</v>
      </c>
      <c r="AM4404" s="115" t="s">
        <v>1832</v>
      </c>
      <c r="AN4404" s="115" t="s">
        <v>1629</v>
      </c>
      <c r="AO4404" s="115" t="s">
        <v>1644</v>
      </c>
    </row>
    <row r="4405" spans="35:41" ht="13">
      <c r="AI4405" s="115" t="s">
        <v>1415</v>
      </c>
      <c r="AJ4405" t="s">
        <v>2114</v>
      </c>
      <c r="AK4405" s="115">
        <v>16</v>
      </c>
      <c r="AL4405" s="115" t="s">
        <v>28</v>
      </c>
      <c r="AM4405" s="115" t="s">
        <v>1848</v>
      </c>
      <c r="AN4405" s="115" t="s">
        <v>1629</v>
      </c>
      <c r="AO4405" s="115" t="s">
        <v>1644</v>
      </c>
    </row>
    <row r="4406" spans="35:41" ht="13">
      <c r="AI4406" s="115" t="s">
        <v>1415</v>
      </c>
      <c r="AJ4406" t="s">
        <v>2114</v>
      </c>
      <c r="AK4406" s="115">
        <v>16</v>
      </c>
      <c r="AL4406" s="115" t="s">
        <v>28</v>
      </c>
      <c r="AM4406" s="115" t="s">
        <v>1843</v>
      </c>
      <c r="AN4406" s="115" t="s">
        <v>1629</v>
      </c>
      <c r="AO4406" s="115" t="s">
        <v>1644</v>
      </c>
    </row>
    <row r="4407" spans="35:41" ht="13">
      <c r="AI4407" s="115" t="s">
        <v>1415</v>
      </c>
      <c r="AJ4407" t="s">
        <v>2114</v>
      </c>
      <c r="AK4407" s="115">
        <v>16</v>
      </c>
      <c r="AL4407" s="115" t="s">
        <v>28</v>
      </c>
      <c r="AM4407" s="115" t="s">
        <v>1850</v>
      </c>
      <c r="AN4407" s="115" t="s">
        <v>1629</v>
      </c>
      <c r="AO4407" s="115" t="s">
        <v>1274</v>
      </c>
    </row>
    <row r="4408" spans="35:41" ht="13">
      <c r="AI4408" s="115" t="s">
        <v>1415</v>
      </c>
      <c r="AJ4408" t="s">
        <v>2114</v>
      </c>
      <c r="AK4408" s="115">
        <v>16</v>
      </c>
      <c r="AL4408" s="115" t="s">
        <v>28</v>
      </c>
      <c r="AM4408" s="115" t="s">
        <v>1843</v>
      </c>
      <c r="AN4408" s="115" t="s">
        <v>1629</v>
      </c>
      <c r="AO4408" s="115" t="s">
        <v>1274</v>
      </c>
    </row>
    <row r="4409" spans="35:41" ht="13">
      <c r="AI4409" s="115" t="s">
        <v>1415</v>
      </c>
      <c r="AJ4409" t="s">
        <v>2114</v>
      </c>
      <c r="AK4409" s="115">
        <v>16</v>
      </c>
      <c r="AL4409" s="115" t="s">
        <v>28</v>
      </c>
      <c r="AM4409" s="115" t="s">
        <v>1832</v>
      </c>
      <c r="AN4409" s="115" t="s">
        <v>1629</v>
      </c>
      <c r="AO4409" s="115" t="s">
        <v>1274</v>
      </c>
    </row>
    <row r="4410" spans="35:41" ht="13">
      <c r="AI4410" s="115" t="s">
        <v>1415</v>
      </c>
      <c r="AJ4410" t="s">
        <v>2114</v>
      </c>
      <c r="AK4410" s="115">
        <v>16</v>
      </c>
      <c r="AL4410" s="115" t="s">
        <v>28</v>
      </c>
      <c r="AM4410" s="115" t="s">
        <v>1848</v>
      </c>
      <c r="AN4410" s="115" t="s">
        <v>1629</v>
      </c>
      <c r="AO4410" s="115" t="s">
        <v>1274</v>
      </c>
    </row>
    <row r="4411" spans="35:41" ht="13">
      <c r="AI4411" s="115" t="s">
        <v>1415</v>
      </c>
      <c r="AJ4411" t="s">
        <v>2114</v>
      </c>
      <c r="AK4411" s="115">
        <v>16</v>
      </c>
      <c r="AL4411" s="115" t="s">
        <v>28</v>
      </c>
      <c r="AM4411" s="115" t="s">
        <v>1849</v>
      </c>
      <c r="AN4411" s="115" t="s">
        <v>1629</v>
      </c>
      <c r="AO4411" s="115" t="s">
        <v>1274</v>
      </c>
    </row>
    <row r="4412" spans="35:41" ht="13">
      <c r="AI4412" s="115" t="s">
        <v>1415</v>
      </c>
      <c r="AJ4412" t="s">
        <v>2114</v>
      </c>
      <c r="AK4412" s="115">
        <v>16</v>
      </c>
      <c r="AL4412" s="115" t="s">
        <v>28</v>
      </c>
      <c r="AM4412" s="115" t="s">
        <v>1846</v>
      </c>
      <c r="AN4412" s="115" t="s">
        <v>1629</v>
      </c>
      <c r="AO4412" s="115" t="s">
        <v>1274</v>
      </c>
    </row>
    <row r="4413" spans="35:41" ht="13">
      <c r="AI4413" s="115" t="s">
        <v>1415</v>
      </c>
      <c r="AJ4413" t="s">
        <v>2114</v>
      </c>
      <c r="AK4413" s="115">
        <v>16</v>
      </c>
      <c r="AL4413" s="115" t="s">
        <v>28</v>
      </c>
      <c r="AM4413" s="115" t="s">
        <v>1846</v>
      </c>
      <c r="AN4413" s="115" t="s">
        <v>1629</v>
      </c>
      <c r="AO4413" s="115" t="s">
        <v>379</v>
      </c>
    </row>
    <row r="4414" spans="35:41" ht="13">
      <c r="AI4414" s="115" t="s">
        <v>1415</v>
      </c>
      <c r="AJ4414" t="s">
        <v>2114</v>
      </c>
      <c r="AK4414" s="115">
        <v>16</v>
      </c>
      <c r="AL4414" s="115" t="s">
        <v>28</v>
      </c>
      <c r="AM4414" s="115" t="s">
        <v>1843</v>
      </c>
      <c r="AN4414" s="115" t="s">
        <v>1629</v>
      </c>
      <c r="AO4414" s="115" t="s">
        <v>379</v>
      </c>
    </row>
    <row r="4415" spans="35:41" ht="13">
      <c r="AI4415" s="115" t="s">
        <v>1415</v>
      </c>
      <c r="AJ4415" t="s">
        <v>2114</v>
      </c>
      <c r="AK4415" s="115">
        <v>16</v>
      </c>
      <c r="AL4415" s="115" t="s">
        <v>28</v>
      </c>
      <c r="AM4415" s="115" t="s">
        <v>1848</v>
      </c>
      <c r="AN4415" s="115" t="s">
        <v>1629</v>
      </c>
      <c r="AO4415" s="115" t="s">
        <v>379</v>
      </c>
    </row>
    <row r="4416" spans="35:41" ht="13">
      <c r="AI4416" s="115" t="s">
        <v>1415</v>
      </c>
      <c r="AJ4416" t="s">
        <v>2114</v>
      </c>
      <c r="AK4416" s="115">
        <v>16</v>
      </c>
      <c r="AL4416" s="115" t="s">
        <v>28</v>
      </c>
      <c r="AM4416" s="115" t="s">
        <v>1850</v>
      </c>
      <c r="AN4416" s="115" t="s">
        <v>1629</v>
      </c>
      <c r="AO4416" s="115" t="s">
        <v>379</v>
      </c>
    </row>
    <row r="4417" spans="35:41" ht="13">
      <c r="AI4417" s="115" t="s">
        <v>1415</v>
      </c>
      <c r="AJ4417" t="s">
        <v>2114</v>
      </c>
      <c r="AK4417" s="115">
        <v>16</v>
      </c>
      <c r="AL4417" s="115" t="s">
        <v>28</v>
      </c>
      <c r="AM4417" s="115" t="s">
        <v>1849</v>
      </c>
      <c r="AN4417" s="115" t="s">
        <v>1629</v>
      </c>
      <c r="AO4417" s="115" t="s">
        <v>379</v>
      </c>
    </row>
    <row r="4418" spans="35:41" ht="13">
      <c r="AI4418" s="115" t="s">
        <v>1415</v>
      </c>
      <c r="AJ4418" t="s">
        <v>2114</v>
      </c>
      <c r="AK4418" s="115">
        <v>16</v>
      </c>
      <c r="AL4418" s="115" t="s">
        <v>28</v>
      </c>
      <c r="AM4418" s="115" t="s">
        <v>1832</v>
      </c>
      <c r="AN4418" s="115" t="s">
        <v>1629</v>
      </c>
      <c r="AO4418" s="115" t="s">
        <v>379</v>
      </c>
    </row>
    <row r="4419" spans="35:41" ht="13">
      <c r="AI4419" s="115" t="s">
        <v>1415</v>
      </c>
      <c r="AJ4419" t="s">
        <v>2114</v>
      </c>
      <c r="AK4419" s="115">
        <v>16</v>
      </c>
      <c r="AL4419" s="115" t="s">
        <v>28</v>
      </c>
      <c r="AM4419" s="115" t="s">
        <v>1846</v>
      </c>
      <c r="AN4419" s="115" t="s">
        <v>1629</v>
      </c>
      <c r="AO4419" s="115" t="s">
        <v>1646</v>
      </c>
    </row>
    <row r="4420" spans="35:41" ht="13">
      <c r="AI4420" s="115" t="s">
        <v>1415</v>
      </c>
      <c r="AJ4420" t="s">
        <v>2114</v>
      </c>
      <c r="AK4420" s="115">
        <v>16</v>
      </c>
      <c r="AL4420" s="115" t="s">
        <v>28</v>
      </c>
      <c r="AM4420" s="115" t="s">
        <v>1843</v>
      </c>
      <c r="AN4420" s="115" t="s">
        <v>1629</v>
      </c>
      <c r="AO4420" s="115" t="s">
        <v>1646</v>
      </c>
    </row>
    <row r="4421" spans="35:41" ht="13">
      <c r="AI4421" s="115" t="s">
        <v>1415</v>
      </c>
      <c r="AJ4421" t="s">
        <v>2114</v>
      </c>
      <c r="AK4421" s="115">
        <v>16</v>
      </c>
      <c r="AL4421" s="115" t="s">
        <v>28</v>
      </c>
      <c r="AM4421" s="115" t="s">
        <v>1843</v>
      </c>
      <c r="AN4421" s="115" t="s">
        <v>1629</v>
      </c>
      <c r="AO4421" s="115" t="s">
        <v>1647</v>
      </c>
    </row>
    <row r="4422" spans="35:41" ht="13">
      <c r="AI4422" s="115" t="s">
        <v>1415</v>
      </c>
      <c r="AJ4422" t="s">
        <v>2114</v>
      </c>
      <c r="AK4422" s="115">
        <v>16</v>
      </c>
      <c r="AL4422" s="115" t="s">
        <v>28</v>
      </c>
      <c r="AM4422" s="115" t="s">
        <v>1846</v>
      </c>
      <c r="AN4422" s="115" t="s">
        <v>1629</v>
      </c>
      <c r="AO4422" s="115" t="s">
        <v>1647</v>
      </c>
    </row>
    <row r="4423" spans="35:41" ht="13">
      <c r="AI4423" s="115" t="s">
        <v>1415</v>
      </c>
      <c r="AJ4423" t="s">
        <v>2114</v>
      </c>
      <c r="AK4423" s="115">
        <v>16</v>
      </c>
      <c r="AL4423" s="115" t="s">
        <v>28</v>
      </c>
      <c r="AM4423" s="115" t="s">
        <v>1846</v>
      </c>
      <c r="AN4423" s="115" t="s">
        <v>1629</v>
      </c>
      <c r="AO4423" s="115" t="s">
        <v>1639</v>
      </c>
    </row>
    <row r="4424" spans="35:41" ht="13">
      <c r="AI4424" s="115" t="s">
        <v>1415</v>
      </c>
      <c r="AJ4424" t="s">
        <v>2114</v>
      </c>
      <c r="AK4424" s="115">
        <v>16</v>
      </c>
      <c r="AL4424" s="115" t="s">
        <v>28</v>
      </c>
      <c r="AM4424" s="115" t="s">
        <v>1843</v>
      </c>
      <c r="AN4424" s="115" t="s">
        <v>1629</v>
      </c>
      <c r="AO4424" s="115" t="s">
        <v>1639</v>
      </c>
    </row>
    <row r="4425" spans="35:41" ht="13">
      <c r="AI4425" s="115" t="s">
        <v>1415</v>
      </c>
      <c r="AJ4425" t="s">
        <v>2114</v>
      </c>
      <c r="AK4425" s="115">
        <v>16</v>
      </c>
      <c r="AL4425" s="115" t="s">
        <v>28</v>
      </c>
      <c r="AM4425" s="115" t="s">
        <v>1843</v>
      </c>
      <c r="AN4425" s="115" t="s">
        <v>1629</v>
      </c>
      <c r="AO4425" s="115" t="s">
        <v>373</v>
      </c>
    </row>
    <row r="4426" spans="35:41" ht="13">
      <c r="AI4426" s="115" t="s">
        <v>1415</v>
      </c>
      <c r="AJ4426" t="s">
        <v>2114</v>
      </c>
      <c r="AK4426" s="115">
        <v>16</v>
      </c>
      <c r="AL4426" s="115" t="s">
        <v>28</v>
      </c>
      <c r="AM4426" s="115" t="s">
        <v>1848</v>
      </c>
      <c r="AN4426" s="115" t="s">
        <v>1629</v>
      </c>
      <c r="AO4426" s="115" t="s">
        <v>373</v>
      </c>
    </row>
    <row r="4427" spans="35:41" ht="13">
      <c r="AI4427" s="115" t="s">
        <v>1415</v>
      </c>
      <c r="AJ4427" t="s">
        <v>2114</v>
      </c>
      <c r="AK4427" s="115">
        <v>16</v>
      </c>
      <c r="AL4427" s="115" t="s">
        <v>28</v>
      </c>
      <c r="AM4427" s="115" t="s">
        <v>1849</v>
      </c>
      <c r="AN4427" s="115" t="s">
        <v>1629</v>
      </c>
      <c r="AO4427" s="115" t="s">
        <v>373</v>
      </c>
    </row>
    <row r="4428" spans="35:41" ht="13">
      <c r="AI4428" s="115" t="s">
        <v>1415</v>
      </c>
      <c r="AJ4428" t="s">
        <v>2114</v>
      </c>
      <c r="AK4428" s="115">
        <v>16</v>
      </c>
      <c r="AL4428" s="115" t="s">
        <v>28</v>
      </c>
      <c r="AM4428" s="115" t="s">
        <v>1850</v>
      </c>
      <c r="AN4428" s="115" t="s">
        <v>1629</v>
      </c>
      <c r="AO4428" s="115" t="s">
        <v>373</v>
      </c>
    </row>
    <row r="4429" spans="35:41" ht="13">
      <c r="AI4429" s="115" t="s">
        <v>1415</v>
      </c>
      <c r="AJ4429" t="s">
        <v>2114</v>
      </c>
      <c r="AK4429" s="115">
        <v>16</v>
      </c>
      <c r="AL4429" s="115" t="s">
        <v>28</v>
      </c>
      <c r="AM4429" s="115" t="s">
        <v>1832</v>
      </c>
      <c r="AN4429" s="115" t="s">
        <v>1629</v>
      </c>
      <c r="AO4429" s="115" t="s">
        <v>373</v>
      </c>
    </row>
    <row r="4430" spans="35:41" ht="13">
      <c r="AI4430" s="115" t="s">
        <v>1415</v>
      </c>
      <c r="AJ4430" t="s">
        <v>2114</v>
      </c>
      <c r="AK4430" s="115">
        <v>16</v>
      </c>
      <c r="AL4430" s="115" t="s">
        <v>28</v>
      </c>
      <c r="AM4430" s="115" t="s">
        <v>1846</v>
      </c>
      <c r="AN4430" s="115" t="s">
        <v>1629</v>
      </c>
      <c r="AO4430" s="115" t="s">
        <v>373</v>
      </c>
    </row>
    <row r="4431" spans="35:41" ht="13">
      <c r="AI4431" s="115" t="s">
        <v>1415</v>
      </c>
      <c r="AJ4431" t="s">
        <v>2114</v>
      </c>
      <c r="AK4431" s="115">
        <v>16</v>
      </c>
      <c r="AL4431" s="115" t="s">
        <v>28</v>
      </c>
      <c r="AM4431" s="115" t="s">
        <v>1832</v>
      </c>
      <c r="AN4431" s="115" t="s">
        <v>1629</v>
      </c>
      <c r="AO4431" s="115" t="s">
        <v>380</v>
      </c>
    </row>
    <row r="4432" spans="35:41" ht="13">
      <c r="AI4432" s="115" t="s">
        <v>1415</v>
      </c>
      <c r="AJ4432" t="s">
        <v>2114</v>
      </c>
      <c r="AK4432" s="115">
        <v>16</v>
      </c>
      <c r="AL4432" s="115" t="s">
        <v>28</v>
      </c>
      <c r="AM4432" s="115" t="s">
        <v>1848</v>
      </c>
      <c r="AN4432" s="115" t="s">
        <v>1629</v>
      </c>
      <c r="AO4432" s="115" t="s">
        <v>380</v>
      </c>
    </row>
    <row r="4433" spans="35:41" ht="13">
      <c r="AI4433" s="115" t="s">
        <v>1415</v>
      </c>
      <c r="AJ4433" t="s">
        <v>2114</v>
      </c>
      <c r="AK4433" s="115">
        <v>16</v>
      </c>
      <c r="AL4433" s="115" t="s">
        <v>28</v>
      </c>
      <c r="AM4433" s="115" t="s">
        <v>1846</v>
      </c>
      <c r="AN4433" s="115" t="s">
        <v>1629</v>
      </c>
      <c r="AO4433" s="115" t="s">
        <v>380</v>
      </c>
    </row>
    <row r="4434" spans="35:41" ht="13">
      <c r="AI4434" s="115" t="s">
        <v>1415</v>
      </c>
      <c r="AJ4434" t="s">
        <v>2114</v>
      </c>
      <c r="AK4434" s="115">
        <v>16</v>
      </c>
      <c r="AL4434" s="115" t="s">
        <v>28</v>
      </c>
      <c r="AM4434" s="115" t="s">
        <v>1850</v>
      </c>
      <c r="AN4434" s="115" t="s">
        <v>1629</v>
      </c>
      <c r="AO4434" s="115" t="s">
        <v>380</v>
      </c>
    </row>
    <row r="4435" spans="35:41" ht="13">
      <c r="AI4435" s="115" t="s">
        <v>1415</v>
      </c>
      <c r="AJ4435" t="s">
        <v>2114</v>
      </c>
      <c r="AK4435" s="115">
        <v>16</v>
      </c>
      <c r="AL4435" s="115" t="s">
        <v>28</v>
      </c>
      <c r="AM4435" s="115" t="s">
        <v>1849</v>
      </c>
      <c r="AN4435" s="115" t="s">
        <v>1629</v>
      </c>
      <c r="AO4435" s="115" t="s">
        <v>380</v>
      </c>
    </row>
    <row r="4436" spans="35:41" ht="13">
      <c r="AI4436" s="115" t="s">
        <v>1415</v>
      </c>
      <c r="AJ4436" t="s">
        <v>2114</v>
      </c>
      <c r="AK4436" s="115">
        <v>16</v>
      </c>
      <c r="AL4436" s="115" t="s">
        <v>28</v>
      </c>
      <c r="AM4436" s="115" t="s">
        <v>1843</v>
      </c>
      <c r="AN4436" s="115" t="s">
        <v>1629</v>
      </c>
      <c r="AO4436" s="115" t="s">
        <v>380</v>
      </c>
    </row>
    <row r="4437" spans="35:41" ht="13">
      <c r="AI4437" s="115" t="s">
        <v>1415</v>
      </c>
      <c r="AJ4437" t="s">
        <v>2114</v>
      </c>
      <c r="AK4437" s="115">
        <v>16</v>
      </c>
      <c r="AL4437" s="115" t="s">
        <v>28</v>
      </c>
      <c r="AM4437" s="115" t="s">
        <v>1850</v>
      </c>
      <c r="AN4437" s="115" t="s">
        <v>1677</v>
      </c>
      <c r="AO4437" s="115" t="s">
        <v>1643</v>
      </c>
    </row>
    <row r="4438" spans="35:41" ht="13">
      <c r="AI4438" s="115" t="s">
        <v>1415</v>
      </c>
      <c r="AJ4438" t="s">
        <v>2114</v>
      </c>
      <c r="AK4438" s="115">
        <v>16</v>
      </c>
      <c r="AL4438" s="115" t="s">
        <v>28</v>
      </c>
      <c r="AM4438" s="115" t="s">
        <v>1846</v>
      </c>
      <c r="AN4438" s="115" t="s">
        <v>1677</v>
      </c>
      <c r="AO4438" s="115" t="s">
        <v>1643</v>
      </c>
    </row>
    <row r="4439" spans="35:41" ht="13">
      <c r="AI4439" s="115" t="s">
        <v>1415</v>
      </c>
      <c r="AJ4439" t="s">
        <v>2114</v>
      </c>
      <c r="AK4439" s="115">
        <v>16</v>
      </c>
      <c r="AL4439" s="115" t="s">
        <v>28</v>
      </c>
      <c r="AM4439" s="115" t="s">
        <v>1849</v>
      </c>
      <c r="AN4439" s="115" t="s">
        <v>1677</v>
      </c>
      <c r="AO4439" s="115" t="s">
        <v>1643</v>
      </c>
    </row>
    <row r="4440" spans="35:41" ht="13">
      <c r="AI4440" s="115" t="s">
        <v>1415</v>
      </c>
      <c r="AJ4440" t="s">
        <v>2114</v>
      </c>
      <c r="AK4440" s="115">
        <v>16</v>
      </c>
      <c r="AL4440" s="115" t="s">
        <v>28</v>
      </c>
      <c r="AM4440" s="115" t="s">
        <v>1832</v>
      </c>
      <c r="AN4440" s="115" t="s">
        <v>1677</v>
      </c>
      <c r="AO4440" s="115" t="s">
        <v>1643</v>
      </c>
    </row>
    <row r="4441" spans="35:41" ht="13">
      <c r="AI4441" s="115" t="s">
        <v>1415</v>
      </c>
      <c r="AJ4441" t="s">
        <v>2114</v>
      </c>
      <c r="AK4441" s="115">
        <v>16</v>
      </c>
      <c r="AL4441" s="115" t="s">
        <v>28</v>
      </c>
      <c r="AM4441" s="115" t="s">
        <v>1848</v>
      </c>
      <c r="AN4441" s="115" t="s">
        <v>1677</v>
      </c>
      <c r="AO4441" s="115" t="s">
        <v>1643</v>
      </c>
    </row>
    <row r="4442" spans="35:41" ht="13">
      <c r="AI4442" s="115" t="s">
        <v>1415</v>
      </c>
      <c r="AJ4442" t="s">
        <v>2114</v>
      </c>
      <c r="AK4442" s="115">
        <v>16</v>
      </c>
      <c r="AL4442" s="115" t="s">
        <v>28</v>
      </c>
      <c r="AM4442" s="115" t="s">
        <v>1843</v>
      </c>
      <c r="AN4442" s="115" t="s">
        <v>1677</v>
      </c>
      <c r="AO4442" s="115" t="s">
        <v>1643</v>
      </c>
    </row>
    <row r="4443" spans="35:41" ht="13">
      <c r="AI4443" s="115" t="s">
        <v>1415</v>
      </c>
      <c r="AJ4443" t="s">
        <v>2114</v>
      </c>
      <c r="AK4443" s="115">
        <v>16</v>
      </c>
      <c r="AL4443" s="115" t="s">
        <v>28</v>
      </c>
      <c r="AM4443" s="115" t="s">
        <v>1843</v>
      </c>
      <c r="AN4443" s="115" t="s">
        <v>1677</v>
      </c>
      <c r="AO4443" s="115" t="s">
        <v>1642</v>
      </c>
    </row>
    <row r="4444" spans="35:41" ht="13">
      <c r="AI4444" s="115" t="s">
        <v>1415</v>
      </c>
      <c r="AJ4444" t="s">
        <v>2114</v>
      </c>
      <c r="AK4444" s="115">
        <v>16</v>
      </c>
      <c r="AL4444" s="115" t="s">
        <v>28</v>
      </c>
      <c r="AM4444" s="115" t="s">
        <v>1832</v>
      </c>
      <c r="AN4444" s="115" t="s">
        <v>1677</v>
      </c>
      <c r="AO4444" s="115" t="s">
        <v>1642</v>
      </c>
    </row>
    <row r="4445" spans="35:41" ht="13">
      <c r="AI4445" s="115" t="s">
        <v>1415</v>
      </c>
      <c r="AJ4445" t="s">
        <v>2114</v>
      </c>
      <c r="AK4445" s="115">
        <v>16</v>
      </c>
      <c r="AL4445" s="115" t="s">
        <v>28</v>
      </c>
      <c r="AM4445" s="115" t="s">
        <v>1848</v>
      </c>
      <c r="AN4445" s="115" t="s">
        <v>1677</v>
      </c>
      <c r="AO4445" s="115" t="s">
        <v>1642</v>
      </c>
    </row>
    <row r="4446" spans="35:41" ht="13">
      <c r="AI4446" s="115" t="s">
        <v>1415</v>
      </c>
      <c r="AJ4446" t="s">
        <v>2114</v>
      </c>
      <c r="AK4446" s="115">
        <v>16</v>
      </c>
      <c r="AL4446" s="115" t="s">
        <v>28</v>
      </c>
      <c r="AM4446" s="115" t="s">
        <v>1850</v>
      </c>
      <c r="AN4446" s="115" t="s">
        <v>1677</v>
      </c>
      <c r="AO4446" s="115" t="s">
        <v>1642</v>
      </c>
    </row>
    <row r="4447" spans="35:41" ht="13">
      <c r="AI4447" s="115" t="s">
        <v>1415</v>
      </c>
      <c r="AJ4447" t="s">
        <v>2114</v>
      </c>
      <c r="AK4447" s="115">
        <v>16</v>
      </c>
      <c r="AL4447" s="115" t="s">
        <v>28</v>
      </c>
      <c r="AM4447" s="115" t="s">
        <v>1832</v>
      </c>
      <c r="AN4447" s="115" t="s">
        <v>1677</v>
      </c>
      <c r="AO4447" s="115" t="s">
        <v>1644</v>
      </c>
    </row>
    <row r="4448" spans="35:41" ht="13">
      <c r="AI4448" s="115" t="s">
        <v>1415</v>
      </c>
      <c r="AJ4448" t="s">
        <v>2114</v>
      </c>
      <c r="AK4448" s="115">
        <v>16</v>
      </c>
      <c r="AL4448" s="115" t="s">
        <v>28</v>
      </c>
      <c r="AM4448" s="115" t="s">
        <v>1843</v>
      </c>
      <c r="AN4448" s="115" t="s">
        <v>1677</v>
      </c>
      <c r="AO4448" s="115" t="s">
        <v>1644</v>
      </c>
    </row>
    <row r="4449" spans="35:41" ht="13">
      <c r="AI4449" s="115" t="s">
        <v>1415</v>
      </c>
      <c r="AJ4449" t="s">
        <v>2114</v>
      </c>
      <c r="AK4449" s="115">
        <v>16</v>
      </c>
      <c r="AL4449" s="115" t="s">
        <v>28</v>
      </c>
      <c r="AM4449" s="115" t="s">
        <v>1850</v>
      </c>
      <c r="AN4449" s="115" t="s">
        <v>1677</v>
      </c>
      <c r="AO4449" s="115" t="s">
        <v>1644</v>
      </c>
    </row>
    <row r="4450" spans="35:41" ht="13">
      <c r="AI4450" s="115" t="s">
        <v>1415</v>
      </c>
      <c r="AJ4450" t="s">
        <v>2114</v>
      </c>
      <c r="AK4450" s="115">
        <v>16</v>
      </c>
      <c r="AL4450" s="115" t="s">
        <v>28</v>
      </c>
      <c r="AM4450" s="115" t="s">
        <v>1848</v>
      </c>
      <c r="AN4450" s="115" t="s">
        <v>1677</v>
      </c>
      <c r="AO4450" s="115" t="s">
        <v>1644</v>
      </c>
    </row>
    <row r="4451" spans="35:41" ht="13">
      <c r="AI4451" s="115" t="s">
        <v>1415</v>
      </c>
      <c r="AJ4451" t="s">
        <v>2114</v>
      </c>
      <c r="AK4451" s="115">
        <v>16</v>
      </c>
      <c r="AL4451" s="115" t="s">
        <v>28</v>
      </c>
      <c r="AM4451" s="115" t="s">
        <v>1848</v>
      </c>
      <c r="AN4451" s="115" t="s">
        <v>1677</v>
      </c>
      <c r="AO4451" s="115" t="s">
        <v>1274</v>
      </c>
    </row>
    <row r="4452" spans="35:41" ht="13">
      <c r="AI4452" s="115" t="s">
        <v>1415</v>
      </c>
      <c r="AJ4452" t="s">
        <v>2114</v>
      </c>
      <c r="AK4452" s="115">
        <v>16</v>
      </c>
      <c r="AL4452" s="115" t="s">
        <v>28</v>
      </c>
      <c r="AM4452" s="115" t="s">
        <v>1843</v>
      </c>
      <c r="AN4452" s="115" t="s">
        <v>1677</v>
      </c>
      <c r="AO4452" s="115" t="s">
        <v>1274</v>
      </c>
    </row>
    <row r="4453" spans="35:41" ht="13">
      <c r="AI4453" s="115" t="s">
        <v>1415</v>
      </c>
      <c r="AJ4453" t="s">
        <v>2114</v>
      </c>
      <c r="AK4453" s="115">
        <v>16</v>
      </c>
      <c r="AL4453" s="115" t="s">
        <v>28</v>
      </c>
      <c r="AM4453" s="115" t="s">
        <v>1846</v>
      </c>
      <c r="AN4453" s="115" t="s">
        <v>1677</v>
      </c>
      <c r="AO4453" s="115" t="s">
        <v>1274</v>
      </c>
    </row>
    <row r="4454" spans="35:41" ht="13">
      <c r="AI4454" s="115" t="s">
        <v>1415</v>
      </c>
      <c r="AJ4454" t="s">
        <v>2114</v>
      </c>
      <c r="AK4454" s="115">
        <v>16</v>
      </c>
      <c r="AL4454" s="115" t="s">
        <v>28</v>
      </c>
      <c r="AM4454" s="115" t="s">
        <v>1849</v>
      </c>
      <c r="AN4454" s="115" t="s">
        <v>1677</v>
      </c>
      <c r="AO4454" s="115" t="s">
        <v>1274</v>
      </c>
    </row>
    <row r="4455" spans="35:41" ht="13">
      <c r="AI4455" s="115" t="s">
        <v>1415</v>
      </c>
      <c r="AJ4455" t="s">
        <v>2114</v>
      </c>
      <c r="AK4455" s="115">
        <v>16</v>
      </c>
      <c r="AL4455" s="115" t="s">
        <v>28</v>
      </c>
      <c r="AM4455" s="115" t="s">
        <v>1850</v>
      </c>
      <c r="AN4455" s="115" t="s">
        <v>1677</v>
      </c>
      <c r="AO4455" s="115" t="s">
        <v>1274</v>
      </c>
    </row>
    <row r="4456" spans="35:41" ht="13">
      <c r="AI4456" s="115" t="s">
        <v>1415</v>
      </c>
      <c r="AJ4456" t="s">
        <v>2114</v>
      </c>
      <c r="AK4456" s="115">
        <v>16</v>
      </c>
      <c r="AL4456" s="115" t="s">
        <v>28</v>
      </c>
      <c r="AM4456" s="115" t="s">
        <v>1832</v>
      </c>
      <c r="AN4456" s="115" t="s">
        <v>1677</v>
      </c>
      <c r="AO4456" s="115" t="s">
        <v>1274</v>
      </c>
    </row>
    <row r="4457" spans="35:41" ht="13">
      <c r="AI4457" s="115" t="s">
        <v>1415</v>
      </c>
      <c r="AJ4457" t="s">
        <v>2114</v>
      </c>
      <c r="AK4457" s="115">
        <v>16</v>
      </c>
      <c r="AL4457" s="115" t="s">
        <v>28</v>
      </c>
      <c r="AM4457" s="115" t="s">
        <v>1849</v>
      </c>
      <c r="AN4457" s="115" t="s">
        <v>1677</v>
      </c>
      <c r="AO4457" s="115" t="s">
        <v>381</v>
      </c>
    </row>
    <row r="4458" spans="35:41" ht="13">
      <c r="AI4458" s="115" t="s">
        <v>1415</v>
      </c>
      <c r="AJ4458" t="s">
        <v>2114</v>
      </c>
      <c r="AK4458" s="115">
        <v>16</v>
      </c>
      <c r="AL4458" s="115" t="s">
        <v>28</v>
      </c>
      <c r="AM4458" s="115" t="s">
        <v>1832</v>
      </c>
      <c r="AN4458" s="115" t="s">
        <v>1677</v>
      </c>
      <c r="AO4458" s="115" t="s">
        <v>381</v>
      </c>
    </row>
    <row r="4459" spans="35:41" ht="13">
      <c r="AI4459" s="115" t="s">
        <v>1415</v>
      </c>
      <c r="AJ4459" t="s">
        <v>2114</v>
      </c>
      <c r="AK4459" s="115">
        <v>16</v>
      </c>
      <c r="AL4459" s="115" t="s">
        <v>28</v>
      </c>
      <c r="AM4459" s="115" t="s">
        <v>1843</v>
      </c>
      <c r="AN4459" s="115" t="s">
        <v>1677</v>
      </c>
      <c r="AO4459" s="115" t="s">
        <v>381</v>
      </c>
    </row>
    <row r="4460" spans="35:41" ht="13">
      <c r="AI4460" s="115" t="s">
        <v>1415</v>
      </c>
      <c r="AJ4460" t="s">
        <v>2114</v>
      </c>
      <c r="AK4460" s="115">
        <v>16</v>
      </c>
      <c r="AL4460" s="115" t="s">
        <v>28</v>
      </c>
      <c r="AM4460" s="115" t="s">
        <v>1846</v>
      </c>
      <c r="AN4460" s="115" t="s">
        <v>1677</v>
      </c>
      <c r="AO4460" s="115" t="s">
        <v>381</v>
      </c>
    </row>
    <row r="4461" spans="35:41" ht="13">
      <c r="AI4461" s="115" t="s">
        <v>1415</v>
      </c>
      <c r="AJ4461" t="s">
        <v>2114</v>
      </c>
      <c r="AK4461" s="115">
        <v>16</v>
      </c>
      <c r="AL4461" s="115" t="s">
        <v>28</v>
      </c>
      <c r="AM4461" s="115" t="s">
        <v>1850</v>
      </c>
      <c r="AN4461" s="115" t="s">
        <v>1677</v>
      </c>
      <c r="AO4461" s="115" t="s">
        <v>381</v>
      </c>
    </row>
    <row r="4462" spans="35:41" ht="13">
      <c r="AI4462" s="115" t="s">
        <v>1415</v>
      </c>
      <c r="AJ4462" t="s">
        <v>2114</v>
      </c>
      <c r="AK4462" s="115">
        <v>16</v>
      </c>
      <c r="AL4462" s="115" t="s">
        <v>28</v>
      </c>
      <c r="AM4462" s="115" t="s">
        <v>1848</v>
      </c>
      <c r="AN4462" s="115" t="s">
        <v>1677</v>
      </c>
      <c r="AO4462" s="115" t="s">
        <v>381</v>
      </c>
    </row>
    <row r="4463" spans="35:41" ht="13">
      <c r="AI4463" s="115" t="s">
        <v>1415</v>
      </c>
      <c r="AJ4463" t="s">
        <v>2114</v>
      </c>
      <c r="AK4463" s="115">
        <v>16</v>
      </c>
      <c r="AL4463" s="115" t="s">
        <v>28</v>
      </c>
      <c r="AM4463" s="115" t="s">
        <v>1850</v>
      </c>
      <c r="AN4463" s="115" t="s">
        <v>1677</v>
      </c>
      <c r="AO4463" s="115" t="s">
        <v>379</v>
      </c>
    </row>
    <row r="4464" spans="35:41" ht="13">
      <c r="AI4464" s="115" t="s">
        <v>1415</v>
      </c>
      <c r="AJ4464" t="s">
        <v>2114</v>
      </c>
      <c r="AK4464" s="115">
        <v>16</v>
      </c>
      <c r="AL4464" s="115" t="s">
        <v>28</v>
      </c>
      <c r="AM4464" s="115" t="s">
        <v>1843</v>
      </c>
      <c r="AN4464" s="115" t="s">
        <v>1677</v>
      </c>
      <c r="AO4464" s="115" t="s">
        <v>379</v>
      </c>
    </row>
    <row r="4465" spans="35:41" ht="13">
      <c r="AI4465" s="115" t="s">
        <v>1415</v>
      </c>
      <c r="AJ4465" t="s">
        <v>2114</v>
      </c>
      <c r="AK4465" s="115">
        <v>16</v>
      </c>
      <c r="AL4465" s="115" t="s">
        <v>28</v>
      </c>
      <c r="AM4465" s="115" t="s">
        <v>1849</v>
      </c>
      <c r="AN4465" s="115" t="s">
        <v>1677</v>
      </c>
      <c r="AO4465" s="115" t="s">
        <v>379</v>
      </c>
    </row>
    <row r="4466" spans="35:41" ht="13">
      <c r="AI4466" s="115" t="s">
        <v>1415</v>
      </c>
      <c r="AJ4466" t="s">
        <v>2114</v>
      </c>
      <c r="AK4466" s="115">
        <v>16</v>
      </c>
      <c r="AL4466" s="115" t="s">
        <v>28</v>
      </c>
      <c r="AM4466" s="115" t="s">
        <v>1848</v>
      </c>
      <c r="AN4466" s="115" t="s">
        <v>1677</v>
      </c>
      <c r="AO4466" s="115" t="s">
        <v>379</v>
      </c>
    </row>
    <row r="4467" spans="35:41" ht="13">
      <c r="AI4467" s="115" t="s">
        <v>1415</v>
      </c>
      <c r="AJ4467" t="s">
        <v>2114</v>
      </c>
      <c r="AK4467" s="115">
        <v>16</v>
      </c>
      <c r="AL4467" s="115" t="s">
        <v>28</v>
      </c>
      <c r="AM4467" s="115" t="s">
        <v>1846</v>
      </c>
      <c r="AN4467" s="115" t="s">
        <v>1677</v>
      </c>
      <c r="AO4467" s="115" t="s">
        <v>379</v>
      </c>
    </row>
    <row r="4468" spans="35:41" ht="13">
      <c r="AI4468" s="115" t="s">
        <v>1415</v>
      </c>
      <c r="AJ4468" t="s">
        <v>2114</v>
      </c>
      <c r="AK4468" s="115">
        <v>16</v>
      </c>
      <c r="AL4468" s="115" t="s">
        <v>28</v>
      </c>
      <c r="AM4468" s="115" t="s">
        <v>1832</v>
      </c>
      <c r="AN4468" s="115" t="s">
        <v>1677</v>
      </c>
      <c r="AO4468" s="115" t="s">
        <v>379</v>
      </c>
    </row>
    <row r="4469" spans="35:41" ht="13">
      <c r="AI4469" s="115" t="s">
        <v>1415</v>
      </c>
      <c r="AJ4469" t="s">
        <v>2114</v>
      </c>
      <c r="AK4469" s="115">
        <v>16</v>
      </c>
      <c r="AL4469" s="115" t="s">
        <v>28</v>
      </c>
      <c r="AM4469" s="115" t="s">
        <v>1832</v>
      </c>
      <c r="AN4469" s="115" t="s">
        <v>1677</v>
      </c>
      <c r="AO4469" s="115" t="s">
        <v>1641</v>
      </c>
    </row>
    <row r="4470" spans="35:41" ht="13">
      <c r="AI4470" s="115" t="s">
        <v>1415</v>
      </c>
      <c r="AJ4470" t="s">
        <v>2114</v>
      </c>
      <c r="AK4470" s="115">
        <v>16</v>
      </c>
      <c r="AL4470" s="115" t="s">
        <v>28</v>
      </c>
      <c r="AM4470" s="115" t="s">
        <v>1850</v>
      </c>
      <c r="AN4470" s="115" t="s">
        <v>1677</v>
      </c>
      <c r="AO4470" s="115" t="s">
        <v>1641</v>
      </c>
    </row>
    <row r="4471" spans="35:41" ht="13">
      <c r="AI4471" s="115" t="s">
        <v>1415</v>
      </c>
      <c r="AJ4471" t="s">
        <v>2114</v>
      </c>
      <c r="AK4471" s="115">
        <v>16</v>
      </c>
      <c r="AL4471" s="115" t="s">
        <v>28</v>
      </c>
      <c r="AM4471" s="115" t="s">
        <v>1848</v>
      </c>
      <c r="AN4471" s="115" t="s">
        <v>1677</v>
      </c>
      <c r="AO4471" s="115" t="s">
        <v>1641</v>
      </c>
    </row>
    <row r="4472" spans="35:41" ht="13">
      <c r="AI4472" s="115" t="s">
        <v>1415</v>
      </c>
      <c r="AJ4472" t="s">
        <v>2114</v>
      </c>
      <c r="AK4472" s="115">
        <v>16</v>
      </c>
      <c r="AL4472" s="115" t="s">
        <v>28</v>
      </c>
      <c r="AM4472" s="115" t="s">
        <v>1843</v>
      </c>
      <c r="AN4472" s="115" t="s">
        <v>1677</v>
      </c>
      <c r="AO4472" s="115" t="s">
        <v>1641</v>
      </c>
    </row>
    <row r="4473" spans="35:41" ht="13">
      <c r="AI4473" s="115" t="s">
        <v>1415</v>
      </c>
      <c r="AJ4473" t="s">
        <v>2114</v>
      </c>
      <c r="AK4473" s="115">
        <v>16</v>
      </c>
      <c r="AL4473" s="115" t="s">
        <v>28</v>
      </c>
      <c r="AM4473" s="115" t="s">
        <v>1850</v>
      </c>
      <c r="AN4473" s="115" t="s">
        <v>1677</v>
      </c>
      <c r="AO4473" s="115" t="s">
        <v>1645</v>
      </c>
    </row>
    <row r="4474" spans="35:41" ht="13">
      <c r="AI4474" s="115" t="s">
        <v>1415</v>
      </c>
      <c r="AJ4474" t="s">
        <v>2114</v>
      </c>
      <c r="AK4474" s="115">
        <v>16</v>
      </c>
      <c r="AL4474" s="115" t="s">
        <v>28</v>
      </c>
      <c r="AM4474" s="115" t="s">
        <v>1846</v>
      </c>
      <c r="AN4474" s="115" t="s">
        <v>1677</v>
      </c>
      <c r="AO4474" s="115" t="s">
        <v>1645</v>
      </c>
    </row>
    <row r="4475" spans="35:41" ht="13">
      <c r="AI4475" s="115" t="s">
        <v>1415</v>
      </c>
      <c r="AJ4475" t="s">
        <v>2114</v>
      </c>
      <c r="AK4475" s="115">
        <v>16</v>
      </c>
      <c r="AL4475" s="115" t="s">
        <v>28</v>
      </c>
      <c r="AM4475" s="115" t="s">
        <v>1849</v>
      </c>
      <c r="AN4475" s="115" t="s">
        <v>1677</v>
      </c>
      <c r="AO4475" s="115" t="s">
        <v>1645</v>
      </c>
    </row>
    <row r="4476" spans="35:41" ht="13">
      <c r="AI4476" s="115" t="s">
        <v>1415</v>
      </c>
      <c r="AJ4476" t="s">
        <v>2114</v>
      </c>
      <c r="AK4476" s="115">
        <v>16</v>
      </c>
      <c r="AL4476" s="115" t="s">
        <v>28</v>
      </c>
      <c r="AM4476" s="115" t="s">
        <v>1848</v>
      </c>
      <c r="AN4476" s="115" t="s">
        <v>1677</v>
      </c>
      <c r="AO4476" s="115" t="s">
        <v>1645</v>
      </c>
    </row>
    <row r="4477" spans="35:41" ht="13">
      <c r="AI4477" s="115" t="s">
        <v>1415</v>
      </c>
      <c r="AJ4477" t="s">
        <v>2114</v>
      </c>
      <c r="AK4477" s="115">
        <v>16</v>
      </c>
      <c r="AL4477" s="115" t="s">
        <v>28</v>
      </c>
      <c r="AM4477" s="115" t="s">
        <v>1843</v>
      </c>
      <c r="AN4477" s="115" t="s">
        <v>1677</v>
      </c>
      <c r="AO4477" s="115" t="s">
        <v>1645</v>
      </c>
    </row>
    <row r="4478" spans="35:41" ht="13">
      <c r="AI4478" s="115" t="s">
        <v>1415</v>
      </c>
      <c r="AJ4478" t="s">
        <v>2114</v>
      </c>
      <c r="AK4478" s="115">
        <v>16</v>
      </c>
      <c r="AL4478" s="115" t="s">
        <v>28</v>
      </c>
      <c r="AM4478" s="115" t="s">
        <v>1832</v>
      </c>
      <c r="AN4478" s="115" t="s">
        <v>1677</v>
      </c>
      <c r="AO4478" s="115" t="s">
        <v>1645</v>
      </c>
    </row>
    <row r="4479" spans="35:41" ht="13">
      <c r="AI4479" s="115" t="s">
        <v>1415</v>
      </c>
      <c r="AJ4479" t="s">
        <v>2114</v>
      </c>
      <c r="AK4479" s="115">
        <v>16</v>
      </c>
      <c r="AL4479" s="115" t="s">
        <v>28</v>
      </c>
      <c r="AM4479" s="115" t="s">
        <v>1843</v>
      </c>
      <c r="AN4479" s="115" t="s">
        <v>1677</v>
      </c>
      <c r="AO4479" s="115" t="s">
        <v>1646</v>
      </c>
    </row>
    <row r="4480" spans="35:41" ht="13">
      <c r="AI4480" s="115" t="s">
        <v>1415</v>
      </c>
      <c r="AJ4480" t="s">
        <v>2114</v>
      </c>
      <c r="AK4480" s="115">
        <v>16</v>
      </c>
      <c r="AL4480" s="115" t="s">
        <v>28</v>
      </c>
      <c r="AM4480" s="115" t="s">
        <v>1846</v>
      </c>
      <c r="AN4480" s="115" t="s">
        <v>1677</v>
      </c>
      <c r="AO4480" s="115" t="s">
        <v>1646</v>
      </c>
    </row>
    <row r="4481" spans="35:41" ht="13">
      <c r="AI4481" s="115" t="s">
        <v>1415</v>
      </c>
      <c r="AJ4481" t="s">
        <v>2114</v>
      </c>
      <c r="AK4481" s="115">
        <v>16</v>
      </c>
      <c r="AL4481" s="115" t="s">
        <v>28</v>
      </c>
      <c r="AM4481" s="115" t="s">
        <v>1846</v>
      </c>
      <c r="AN4481" s="115" t="s">
        <v>1677</v>
      </c>
      <c r="AO4481" s="115" t="s">
        <v>1647</v>
      </c>
    </row>
    <row r="4482" spans="35:41" ht="13">
      <c r="AI4482" s="115" t="s">
        <v>1415</v>
      </c>
      <c r="AJ4482" t="s">
        <v>2114</v>
      </c>
      <c r="AK4482" s="115">
        <v>16</v>
      </c>
      <c r="AL4482" s="115" t="s">
        <v>28</v>
      </c>
      <c r="AM4482" s="115" t="s">
        <v>1843</v>
      </c>
      <c r="AN4482" s="115" t="s">
        <v>1677</v>
      </c>
      <c r="AO4482" s="115" t="s">
        <v>1647</v>
      </c>
    </row>
    <row r="4483" spans="35:41" ht="13">
      <c r="AI4483" s="115" t="s">
        <v>1415</v>
      </c>
      <c r="AJ4483" t="s">
        <v>2114</v>
      </c>
      <c r="AK4483" s="115">
        <v>16</v>
      </c>
      <c r="AL4483" s="115" t="s">
        <v>28</v>
      </c>
      <c r="AM4483" s="115" t="s">
        <v>1843</v>
      </c>
      <c r="AN4483" s="115" t="s">
        <v>1677</v>
      </c>
      <c r="AO4483" s="115" t="s">
        <v>1639</v>
      </c>
    </row>
    <row r="4484" spans="35:41" ht="13">
      <c r="AI4484" s="115" t="s">
        <v>1415</v>
      </c>
      <c r="AJ4484" t="s">
        <v>2114</v>
      </c>
      <c r="AK4484" s="115">
        <v>16</v>
      </c>
      <c r="AL4484" s="115" t="s">
        <v>28</v>
      </c>
      <c r="AM4484" s="115" t="s">
        <v>1846</v>
      </c>
      <c r="AN4484" s="115" t="s">
        <v>1677</v>
      </c>
      <c r="AO4484" s="115" t="s">
        <v>1639</v>
      </c>
    </row>
    <row r="4485" spans="35:41" ht="13">
      <c r="AI4485" s="115" t="s">
        <v>1415</v>
      </c>
      <c r="AJ4485" t="s">
        <v>2114</v>
      </c>
      <c r="AK4485" s="115">
        <v>16</v>
      </c>
      <c r="AL4485" s="115" t="s">
        <v>28</v>
      </c>
      <c r="AM4485" s="115" t="s">
        <v>1843</v>
      </c>
      <c r="AN4485" s="115" t="s">
        <v>1677</v>
      </c>
      <c r="AO4485" s="115" t="s">
        <v>373</v>
      </c>
    </row>
    <row r="4486" spans="35:41" ht="13">
      <c r="AI4486" s="115" t="s">
        <v>1415</v>
      </c>
      <c r="AJ4486" t="s">
        <v>2114</v>
      </c>
      <c r="AK4486" s="115">
        <v>16</v>
      </c>
      <c r="AL4486" s="115" t="s">
        <v>28</v>
      </c>
      <c r="AM4486" s="115" t="s">
        <v>1848</v>
      </c>
      <c r="AN4486" s="115" t="s">
        <v>1677</v>
      </c>
      <c r="AO4486" s="115" t="s">
        <v>373</v>
      </c>
    </row>
    <row r="4487" spans="35:41" ht="13">
      <c r="AI4487" s="115" t="s">
        <v>1415</v>
      </c>
      <c r="AJ4487" t="s">
        <v>2114</v>
      </c>
      <c r="AK4487" s="115">
        <v>16</v>
      </c>
      <c r="AL4487" s="115" t="s">
        <v>28</v>
      </c>
      <c r="AM4487" s="115" t="s">
        <v>1849</v>
      </c>
      <c r="AN4487" s="115" t="s">
        <v>1677</v>
      </c>
      <c r="AO4487" s="115" t="s">
        <v>373</v>
      </c>
    </row>
    <row r="4488" spans="35:41" ht="13">
      <c r="AI4488" s="115" t="s">
        <v>1415</v>
      </c>
      <c r="AJ4488" t="s">
        <v>2114</v>
      </c>
      <c r="AK4488" s="115">
        <v>16</v>
      </c>
      <c r="AL4488" s="115" t="s">
        <v>28</v>
      </c>
      <c r="AM4488" s="115" t="s">
        <v>1850</v>
      </c>
      <c r="AN4488" s="115" t="s">
        <v>1677</v>
      </c>
      <c r="AO4488" s="115" t="s">
        <v>373</v>
      </c>
    </row>
    <row r="4489" spans="35:41" ht="13">
      <c r="AI4489" s="115" t="s">
        <v>1415</v>
      </c>
      <c r="AJ4489" t="s">
        <v>2114</v>
      </c>
      <c r="AK4489" s="115">
        <v>16</v>
      </c>
      <c r="AL4489" s="115" t="s">
        <v>28</v>
      </c>
      <c r="AM4489" s="115" t="s">
        <v>1846</v>
      </c>
      <c r="AN4489" s="115" t="s">
        <v>1677</v>
      </c>
      <c r="AO4489" s="115" t="s">
        <v>373</v>
      </c>
    </row>
    <row r="4490" spans="35:41" ht="13">
      <c r="AI4490" s="115" t="s">
        <v>1415</v>
      </c>
      <c r="AJ4490" t="s">
        <v>2114</v>
      </c>
      <c r="AK4490" s="115">
        <v>16</v>
      </c>
      <c r="AL4490" s="115" t="s">
        <v>28</v>
      </c>
      <c r="AM4490" s="115" t="s">
        <v>1832</v>
      </c>
      <c r="AN4490" s="115" t="s">
        <v>1677</v>
      </c>
      <c r="AO4490" s="115" t="s">
        <v>373</v>
      </c>
    </row>
    <row r="4491" spans="35:41" ht="13">
      <c r="AI4491" s="115" t="s">
        <v>1415</v>
      </c>
      <c r="AJ4491" t="s">
        <v>2114</v>
      </c>
      <c r="AK4491" s="115">
        <v>16</v>
      </c>
      <c r="AL4491" s="115" t="s">
        <v>28</v>
      </c>
      <c r="AM4491" s="115" t="s">
        <v>1832</v>
      </c>
      <c r="AN4491" s="115" t="s">
        <v>1677</v>
      </c>
      <c r="AO4491" s="115" t="s">
        <v>380</v>
      </c>
    </row>
    <row r="4492" spans="35:41" ht="13">
      <c r="AI4492" s="115" t="s">
        <v>1415</v>
      </c>
      <c r="AJ4492" t="s">
        <v>2114</v>
      </c>
      <c r="AK4492" s="115">
        <v>16</v>
      </c>
      <c r="AL4492" s="115" t="s">
        <v>28</v>
      </c>
      <c r="AM4492" s="115" t="s">
        <v>1843</v>
      </c>
      <c r="AN4492" s="115" t="s">
        <v>1677</v>
      </c>
      <c r="AO4492" s="115" t="s">
        <v>380</v>
      </c>
    </row>
    <row r="4493" spans="35:41" ht="13">
      <c r="AI4493" s="115" t="s">
        <v>1415</v>
      </c>
      <c r="AJ4493" t="s">
        <v>2114</v>
      </c>
      <c r="AK4493" s="115">
        <v>16</v>
      </c>
      <c r="AL4493" s="115" t="s">
        <v>28</v>
      </c>
      <c r="AM4493" s="115" t="s">
        <v>1848</v>
      </c>
      <c r="AN4493" s="115" t="s">
        <v>1677</v>
      </c>
      <c r="AO4493" s="115" t="s">
        <v>380</v>
      </c>
    </row>
    <row r="4494" spans="35:41" ht="13">
      <c r="AI4494" s="115" t="s">
        <v>1415</v>
      </c>
      <c r="AJ4494" t="s">
        <v>2114</v>
      </c>
      <c r="AK4494" s="115">
        <v>16</v>
      </c>
      <c r="AL4494" s="115" t="s">
        <v>28</v>
      </c>
      <c r="AM4494" s="115" t="s">
        <v>1849</v>
      </c>
      <c r="AN4494" s="115" t="s">
        <v>1677</v>
      </c>
      <c r="AO4494" s="115" t="s">
        <v>380</v>
      </c>
    </row>
    <row r="4495" spans="35:41" ht="13">
      <c r="AI4495" s="115" t="s">
        <v>1415</v>
      </c>
      <c r="AJ4495" t="s">
        <v>2114</v>
      </c>
      <c r="AK4495" s="115">
        <v>16</v>
      </c>
      <c r="AL4495" s="115" t="s">
        <v>28</v>
      </c>
      <c r="AM4495" s="115" t="s">
        <v>1846</v>
      </c>
      <c r="AN4495" s="115" t="s">
        <v>1677</v>
      </c>
      <c r="AO4495" s="115" t="s">
        <v>380</v>
      </c>
    </row>
    <row r="4496" spans="35:41" ht="13">
      <c r="AI4496" s="115" t="s">
        <v>1415</v>
      </c>
      <c r="AJ4496" t="s">
        <v>2114</v>
      </c>
      <c r="AK4496" s="115">
        <v>16</v>
      </c>
      <c r="AL4496" s="115" t="s">
        <v>28</v>
      </c>
      <c r="AM4496" s="115" t="s">
        <v>1850</v>
      </c>
      <c r="AN4496" s="115" t="s">
        <v>1677</v>
      </c>
      <c r="AO4496" s="115" t="s">
        <v>380</v>
      </c>
    </row>
    <row r="4497" spans="35:41" ht="13">
      <c r="AI4497" s="115" t="s">
        <v>1415</v>
      </c>
      <c r="AJ4497" t="s">
        <v>2114</v>
      </c>
      <c r="AK4497" s="115">
        <v>16</v>
      </c>
      <c r="AL4497" s="115" t="s">
        <v>28</v>
      </c>
      <c r="AM4497" s="115" t="s">
        <v>1832</v>
      </c>
      <c r="AN4497" s="115" t="s">
        <v>1677</v>
      </c>
      <c r="AO4497" s="115" t="s">
        <v>360</v>
      </c>
    </row>
    <row r="4498" spans="35:41" ht="13">
      <c r="AI4498" s="115" t="s">
        <v>1415</v>
      </c>
      <c r="AJ4498" t="s">
        <v>2114</v>
      </c>
      <c r="AK4498" s="115">
        <v>16</v>
      </c>
      <c r="AL4498" s="115" t="s">
        <v>28</v>
      </c>
      <c r="AM4498" s="115" t="s">
        <v>1843</v>
      </c>
      <c r="AN4498" s="115" t="s">
        <v>1677</v>
      </c>
      <c r="AO4498" s="115" t="s">
        <v>360</v>
      </c>
    </row>
    <row r="4499" spans="35:41" ht="13">
      <c r="AI4499" s="115" t="s">
        <v>1415</v>
      </c>
      <c r="AJ4499" t="s">
        <v>2114</v>
      </c>
      <c r="AK4499" s="115">
        <v>16</v>
      </c>
      <c r="AL4499" s="115" t="s">
        <v>28</v>
      </c>
      <c r="AM4499" s="115" t="s">
        <v>1850</v>
      </c>
      <c r="AN4499" s="115" t="s">
        <v>1677</v>
      </c>
      <c r="AO4499" s="115" t="s">
        <v>360</v>
      </c>
    </row>
    <row r="4500" spans="35:41" ht="13">
      <c r="AI4500" s="115" t="s">
        <v>1415</v>
      </c>
      <c r="AJ4500" t="s">
        <v>2114</v>
      </c>
      <c r="AK4500" s="115">
        <v>16</v>
      </c>
      <c r="AL4500" s="115" t="s">
        <v>28</v>
      </c>
      <c r="AM4500" s="115" t="s">
        <v>1849</v>
      </c>
      <c r="AN4500" s="115" t="s">
        <v>1677</v>
      </c>
      <c r="AO4500" s="115" t="s">
        <v>360</v>
      </c>
    </row>
    <row r="4501" spans="35:41" ht="13">
      <c r="AI4501" s="115" t="s">
        <v>1415</v>
      </c>
      <c r="AJ4501" t="s">
        <v>2114</v>
      </c>
      <c r="AK4501" s="115">
        <v>16</v>
      </c>
      <c r="AL4501" s="115" t="s">
        <v>28</v>
      </c>
      <c r="AM4501" s="115" t="s">
        <v>1848</v>
      </c>
      <c r="AN4501" s="115" t="s">
        <v>1677</v>
      </c>
      <c r="AO4501" s="115" t="s">
        <v>360</v>
      </c>
    </row>
    <row r="4502" spans="35:41" ht="13">
      <c r="AI4502" s="115" t="s">
        <v>1415</v>
      </c>
      <c r="AJ4502" t="s">
        <v>2114</v>
      </c>
      <c r="AK4502" s="115">
        <v>16</v>
      </c>
      <c r="AL4502" s="115" t="s">
        <v>28</v>
      </c>
      <c r="AM4502" s="115" t="s">
        <v>1846</v>
      </c>
      <c r="AN4502" s="115" t="s">
        <v>1677</v>
      </c>
      <c r="AO4502" s="115" t="s">
        <v>360</v>
      </c>
    </row>
    <row r="4503" spans="35:41" ht="13">
      <c r="AI4503" s="115" t="s">
        <v>1415</v>
      </c>
      <c r="AJ4503" t="s">
        <v>2114</v>
      </c>
      <c r="AK4503" s="115">
        <v>16</v>
      </c>
      <c r="AL4503" s="115" t="s">
        <v>28</v>
      </c>
      <c r="AM4503" s="115" t="s">
        <v>1846</v>
      </c>
      <c r="AN4503" s="115" t="s">
        <v>1677</v>
      </c>
      <c r="AO4503" s="115" t="s">
        <v>372</v>
      </c>
    </row>
    <row r="4504" spans="35:41" ht="13">
      <c r="AI4504" s="115" t="s">
        <v>1415</v>
      </c>
      <c r="AJ4504" t="s">
        <v>2114</v>
      </c>
      <c r="AK4504" s="115">
        <v>16</v>
      </c>
      <c r="AL4504" s="115" t="s">
        <v>28</v>
      </c>
      <c r="AM4504" s="115" t="s">
        <v>1849</v>
      </c>
      <c r="AN4504" s="115" t="s">
        <v>1677</v>
      </c>
      <c r="AO4504" s="115" t="s">
        <v>372</v>
      </c>
    </row>
    <row r="4505" spans="35:41" ht="13">
      <c r="AI4505" s="115" t="s">
        <v>1415</v>
      </c>
      <c r="AJ4505" t="s">
        <v>2114</v>
      </c>
      <c r="AK4505" s="115">
        <v>16</v>
      </c>
      <c r="AL4505" s="115" t="s">
        <v>28</v>
      </c>
      <c r="AM4505" s="115" t="s">
        <v>1832</v>
      </c>
      <c r="AN4505" s="115" t="s">
        <v>1677</v>
      </c>
      <c r="AO4505" s="115" t="s">
        <v>372</v>
      </c>
    </row>
    <row r="4506" spans="35:41" ht="13">
      <c r="AI4506" s="115" t="s">
        <v>1415</v>
      </c>
      <c r="AJ4506" t="s">
        <v>2114</v>
      </c>
      <c r="AK4506" s="115">
        <v>16</v>
      </c>
      <c r="AL4506" s="115" t="s">
        <v>28</v>
      </c>
      <c r="AM4506" s="115" t="s">
        <v>1850</v>
      </c>
      <c r="AN4506" s="115" t="s">
        <v>1677</v>
      </c>
      <c r="AO4506" s="115" t="s">
        <v>372</v>
      </c>
    </row>
    <row r="4507" spans="35:41" ht="13">
      <c r="AI4507" s="115" t="s">
        <v>1415</v>
      </c>
      <c r="AJ4507" t="s">
        <v>2114</v>
      </c>
      <c r="AK4507" s="115">
        <v>16</v>
      </c>
      <c r="AL4507" s="115" t="s">
        <v>28</v>
      </c>
      <c r="AM4507" s="115" t="s">
        <v>1848</v>
      </c>
      <c r="AN4507" s="115" t="s">
        <v>1677</v>
      </c>
      <c r="AO4507" s="115" t="s">
        <v>372</v>
      </c>
    </row>
    <row r="4508" spans="35:41" ht="13">
      <c r="AI4508" s="115" t="s">
        <v>1415</v>
      </c>
      <c r="AJ4508" t="s">
        <v>2114</v>
      </c>
      <c r="AK4508" s="115">
        <v>16</v>
      </c>
      <c r="AL4508" s="115" t="s">
        <v>28</v>
      </c>
      <c r="AM4508" s="115" t="s">
        <v>1843</v>
      </c>
      <c r="AN4508" s="115" t="s">
        <v>1677</v>
      </c>
      <c r="AO4508" s="115" t="s">
        <v>372</v>
      </c>
    </row>
    <row r="4509" spans="35:41" ht="13">
      <c r="AI4509" s="115" t="s">
        <v>1415</v>
      </c>
      <c r="AJ4509" t="s">
        <v>2114</v>
      </c>
      <c r="AK4509" s="115">
        <v>16</v>
      </c>
      <c r="AL4509" s="115" t="s">
        <v>28</v>
      </c>
      <c r="AM4509" s="115" t="s">
        <v>1849</v>
      </c>
      <c r="AN4509" s="115" t="s">
        <v>1459</v>
      </c>
      <c r="AO4509" s="115" t="s">
        <v>1274</v>
      </c>
    </row>
    <row r="4510" spans="35:41" ht="13">
      <c r="AI4510" s="115" t="s">
        <v>1415</v>
      </c>
      <c r="AJ4510" t="s">
        <v>2114</v>
      </c>
      <c r="AK4510" s="115">
        <v>16</v>
      </c>
      <c r="AL4510" s="115" t="s">
        <v>28</v>
      </c>
      <c r="AM4510" s="115" t="s">
        <v>1846</v>
      </c>
      <c r="AN4510" s="115" t="s">
        <v>1459</v>
      </c>
      <c r="AO4510" s="115" t="s">
        <v>1274</v>
      </c>
    </row>
    <row r="4511" spans="35:41" ht="13">
      <c r="AI4511" s="115" t="s">
        <v>1415</v>
      </c>
      <c r="AJ4511" t="s">
        <v>2114</v>
      </c>
      <c r="AK4511" s="115">
        <v>16</v>
      </c>
      <c r="AL4511" s="115" t="s">
        <v>28</v>
      </c>
      <c r="AM4511" s="115" t="s">
        <v>1850</v>
      </c>
      <c r="AN4511" s="115" t="s">
        <v>1459</v>
      </c>
      <c r="AO4511" s="115" t="s">
        <v>1274</v>
      </c>
    </row>
    <row r="4512" spans="35:41" ht="13">
      <c r="AI4512" s="115" t="s">
        <v>1415</v>
      </c>
      <c r="AJ4512" t="s">
        <v>2114</v>
      </c>
      <c r="AK4512" s="115">
        <v>16</v>
      </c>
      <c r="AL4512" s="115" t="s">
        <v>28</v>
      </c>
      <c r="AM4512" s="115" t="s">
        <v>1848</v>
      </c>
      <c r="AN4512" s="115" t="s">
        <v>1459</v>
      </c>
      <c r="AO4512" s="115" t="s">
        <v>1274</v>
      </c>
    </row>
    <row r="4513" spans="35:41" ht="13">
      <c r="AI4513" s="115" t="s">
        <v>1415</v>
      </c>
      <c r="AJ4513" t="s">
        <v>2114</v>
      </c>
      <c r="AK4513" s="115">
        <v>16</v>
      </c>
      <c r="AL4513" s="115" t="s">
        <v>28</v>
      </c>
      <c r="AM4513" s="115" t="s">
        <v>1832</v>
      </c>
      <c r="AN4513" s="115" t="s">
        <v>1459</v>
      </c>
      <c r="AO4513" s="115" t="s">
        <v>1274</v>
      </c>
    </row>
    <row r="4514" spans="35:41" ht="13">
      <c r="AI4514" s="115" t="s">
        <v>1415</v>
      </c>
      <c r="AJ4514" t="s">
        <v>2114</v>
      </c>
      <c r="AK4514" s="115">
        <v>16</v>
      </c>
      <c r="AL4514" s="115" t="s">
        <v>28</v>
      </c>
      <c r="AM4514" s="115" t="s">
        <v>1843</v>
      </c>
      <c r="AN4514" s="115" t="s">
        <v>1459</v>
      </c>
      <c r="AO4514" s="115" t="s">
        <v>1274</v>
      </c>
    </row>
    <row r="4515" spans="35:41" ht="13">
      <c r="AI4515" s="115" t="s">
        <v>1415</v>
      </c>
      <c r="AJ4515" t="s">
        <v>2114</v>
      </c>
      <c r="AK4515" s="115">
        <v>16</v>
      </c>
      <c r="AL4515" s="115" t="s">
        <v>28</v>
      </c>
      <c r="AM4515" s="115" t="s">
        <v>1846</v>
      </c>
      <c r="AN4515" s="115" t="s">
        <v>1459</v>
      </c>
      <c r="AO4515" s="115" t="s">
        <v>381</v>
      </c>
    </row>
    <row r="4516" spans="35:41" ht="13">
      <c r="AI4516" s="115" t="s">
        <v>1415</v>
      </c>
      <c r="AJ4516" t="s">
        <v>2114</v>
      </c>
      <c r="AK4516" s="115">
        <v>16</v>
      </c>
      <c r="AL4516" s="115" t="s">
        <v>28</v>
      </c>
      <c r="AM4516" s="115" t="s">
        <v>1843</v>
      </c>
      <c r="AN4516" s="115" t="s">
        <v>1459</v>
      </c>
      <c r="AO4516" s="115" t="s">
        <v>381</v>
      </c>
    </row>
    <row r="4517" spans="35:41" ht="13">
      <c r="AI4517" s="115" t="s">
        <v>1415</v>
      </c>
      <c r="AJ4517" t="s">
        <v>2114</v>
      </c>
      <c r="AK4517" s="115">
        <v>16</v>
      </c>
      <c r="AL4517" s="115" t="s">
        <v>28</v>
      </c>
      <c r="AM4517" s="115" t="s">
        <v>1848</v>
      </c>
      <c r="AN4517" s="115" t="s">
        <v>1459</v>
      </c>
      <c r="AO4517" s="115" t="s">
        <v>381</v>
      </c>
    </row>
    <row r="4518" spans="35:41" ht="13">
      <c r="AI4518" s="115" t="s">
        <v>1415</v>
      </c>
      <c r="AJ4518" t="s">
        <v>2114</v>
      </c>
      <c r="AK4518" s="115">
        <v>16</v>
      </c>
      <c r="AL4518" s="115" t="s">
        <v>28</v>
      </c>
      <c r="AM4518" s="115" t="s">
        <v>1832</v>
      </c>
      <c r="AN4518" s="115" t="s">
        <v>1459</v>
      </c>
      <c r="AO4518" s="115" t="s">
        <v>381</v>
      </c>
    </row>
    <row r="4519" spans="35:41" ht="13">
      <c r="AI4519" s="115" t="s">
        <v>1415</v>
      </c>
      <c r="AJ4519" t="s">
        <v>2114</v>
      </c>
      <c r="AK4519" s="115">
        <v>16</v>
      </c>
      <c r="AL4519" s="115" t="s">
        <v>28</v>
      </c>
      <c r="AM4519" s="115" t="s">
        <v>1849</v>
      </c>
      <c r="AN4519" s="115" t="s">
        <v>1459</v>
      </c>
      <c r="AO4519" s="115" t="s">
        <v>381</v>
      </c>
    </row>
    <row r="4520" spans="35:41" ht="13">
      <c r="AI4520" s="115" t="s">
        <v>1415</v>
      </c>
      <c r="AJ4520" t="s">
        <v>2114</v>
      </c>
      <c r="AK4520" s="115">
        <v>16</v>
      </c>
      <c r="AL4520" s="115" t="s">
        <v>28</v>
      </c>
      <c r="AM4520" s="115" t="s">
        <v>1850</v>
      </c>
      <c r="AN4520" s="115" t="s">
        <v>1459</v>
      </c>
      <c r="AO4520" s="115" t="s">
        <v>381</v>
      </c>
    </row>
    <row r="4521" spans="35:41" ht="13">
      <c r="AI4521" s="115" t="s">
        <v>1415</v>
      </c>
      <c r="AJ4521" t="s">
        <v>2114</v>
      </c>
      <c r="AK4521" s="115">
        <v>16</v>
      </c>
      <c r="AL4521" s="115" t="s">
        <v>28</v>
      </c>
      <c r="AM4521" s="115" t="s">
        <v>1843</v>
      </c>
      <c r="AN4521" s="115" t="s">
        <v>1459</v>
      </c>
      <c r="AO4521" s="115" t="s">
        <v>1645</v>
      </c>
    </row>
    <row r="4522" spans="35:41" ht="13">
      <c r="AI4522" s="115" t="s">
        <v>1415</v>
      </c>
      <c r="AJ4522" t="s">
        <v>2114</v>
      </c>
      <c r="AK4522" s="115">
        <v>16</v>
      </c>
      <c r="AL4522" s="115" t="s">
        <v>28</v>
      </c>
      <c r="AM4522" s="115" t="s">
        <v>1846</v>
      </c>
      <c r="AN4522" s="115" t="s">
        <v>1459</v>
      </c>
      <c r="AO4522" s="115" t="s">
        <v>1645</v>
      </c>
    </row>
    <row r="4523" spans="35:41" ht="13">
      <c r="AI4523" s="115" t="s">
        <v>1415</v>
      </c>
      <c r="AJ4523" t="s">
        <v>2114</v>
      </c>
      <c r="AK4523" s="115">
        <v>16</v>
      </c>
      <c r="AL4523" s="115" t="s">
        <v>28</v>
      </c>
      <c r="AM4523" s="115" t="s">
        <v>1849</v>
      </c>
      <c r="AN4523" s="115" t="s">
        <v>1459</v>
      </c>
      <c r="AO4523" s="115" t="s">
        <v>1645</v>
      </c>
    </row>
    <row r="4524" spans="35:41" ht="13">
      <c r="AI4524" s="115" t="s">
        <v>1415</v>
      </c>
      <c r="AJ4524" t="s">
        <v>2114</v>
      </c>
      <c r="AK4524" s="115">
        <v>16</v>
      </c>
      <c r="AL4524" s="115" t="s">
        <v>28</v>
      </c>
      <c r="AM4524" s="115" t="s">
        <v>1850</v>
      </c>
      <c r="AN4524" s="115" t="s">
        <v>1459</v>
      </c>
      <c r="AO4524" s="115" t="s">
        <v>1645</v>
      </c>
    </row>
    <row r="4525" spans="35:41" ht="13">
      <c r="AI4525" s="115" t="s">
        <v>1415</v>
      </c>
      <c r="AJ4525" t="s">
        <v>2114</v>
      </c>
      <c r="AK4525" s="115">
        <v>16</v>
      </c>
      <c r="AL4525" s="115" t="s">
        <v>28</v>
      </c>
      <c r="AM4525" s="115" t="s">
        <v>1848</v>
      </c>
      <c r="AN4525" s="115" t="s">
        <v>1459</v>
      </c>
      <c r="AO4525" s="115" t="s">
        <v>1645</v>
      </c>
    </row>
    <row r="4526" spans="35:41" ht="13">
      <c r="AI4526" s="115" t="s">
        <v>1415</v>
      </c>
      <c r="AJ4526" t="s">
        <v>2114</v>
      </c>
      <c r="AK4526" s="115">
        <v>16</v>
      </c>
      <c r="AL4526" s="115" t="s">
        <v>28</v>
      </c>
      <c r="AM4526" s="115" t="s">
        <v>1832</v>
      </c>
      <c r="AN4526" s="115" t="s">
        <v>1459</v>
      </c>
      <c r="AO4526" s="115" t="s">
        <v>1645</v>
      </c>
    </row>
    <row r="4527" spans="35:41" ht="13">
      <c r="AI4527" s="115" t="s">
        <v>1415</v>
      </c>
      <c r="AJ4527" t="s">
        <v>2114</v>
      </c>
      <c r="AK4527" s="115">
        <v>16</v>
      </c>
      <c r="AL4527" s="115" t="s">
        <v>28</v>
      </c>
      <c r="AM4527" s="115" t="s">
        <v>1846</v>
      </c>
      <c r="AN4527" s="115" t="s">
        <v>1459</v>
      </c>
      <c r="AO4527" s="115" t="s">
        <v>1646</v>
      </c>
    </row>
    <row r="4528" spans="35:41" ht="13">
      <c r="AI4528" s="115" t="s">
        <v>1415</v>
      </c>
      <c r="AJ4528" t="s">
        <v>2114</v>
      </c>
      <c r="AK4528" s="115">
        <v>16</v>
      </c>
      <c r="AL4528" s="115" t="s">
        <v>28</v>
      </c>
      <c r="AM4528" s="115" t="s">
        <v>1843</v>
      </c>
      <c r="AN4528" s="115" t="s">
        <v>1459</v>
      </c>
      <c r="AO4528" s="115" t="s">
        <v>1646</v>
      </c>
    </row>
    <row r="4529" spans="35:41" ht="13">
      <c r="AI4529" s="115" t="s">
        <v>1415</v>
      </c>
      <c r="AJ4529" t="s">
        <v>2114</v>
      </c>
      <c r="AK4529" s="115">
        <v>16</v>
      </c>
      <c r="AL4529" s="115" t="s">
        <v>28</v>
      </c>
      <c r="AM4529" s="115" t="s">
        <v>1846</v>
      </c>
      <c r="AN4529" s="115" t="s">
        <v>1459</v>
      </c>
      <c r="AO4529" s="115" t="s">
        <v>1639</v>
      </c>
    </row>
    <row r="4530" spans="35:41" ht="13">
      <c r="AI4530" s="115" t="s">
        <v>1415</v>
      </c>
      <c r="AJ4530" t="s">
        <v>2114</v>
      </c>
      <c r="AK4530" s="115">
        <v>16</v>
      </c>
      <c r="AL4530" s="115" t="s">
        <v>28</v>
      </c>
      <c r="AM4530" s="115" t="s">
        <v>1843</v>
      </c>
      <c r="AN4530" s="115" t="s">
        <v>1459</v>
      </c>
      <c r="AO4530" s="115" t="s">
        <v>1639</v>
      </c>
    </row>
  </sheetData>
  <dataConsolidate link="1"/>
  <phoneticPr fontId="47" type="noConversion"/>
  <conditionalFormatting sqref="BX38:BX184 BZ185:BZ1048576 CC2:CC37">
    <cfRule type="iconSet" priority="1">
      <iconSet iconSet="5Quarters" showValue="0">
        <cfvo type="percent" val="0"/>
        <cfvo type="percent" val="20"/>
        <cfvo type="percent" val="40"/>
        <cfvo type="percent" val="60"/>
        <cfvo type="percent" val="80"/>
      </iconSet>
    </cfRule>
  </conditionalFormatting>
  <pageMargins left="0.7" right="0.7" top="0.75" bottom="0.75" header="0.3" footer="0.3"/>
  <pageSetup paperSize="9"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5EBC2-858F-4BA2-AB99-845F24216033}">
  <sheetPr codeName="Sheet1"/>
  <dimension ref="A1:EC296"/>
  <sheetViews>
    <sheetView tabSelected="1" topLeftCell="AA3" zoomScale="400" zoomScaleNormal="160" workbookViewId="0">
      <selection activeCell="AE5" sqref="AE5"/>
    </sheetView>
  </sheetViews>
  <sheetFormatPr baseColWidth="10" defaultColWidth="8.83203125" defaultRowHeight="13"/>
  <cols>
    <col min="1" max="1" width="1.83203125" style="135" bestFit="1" customWidth="1"/>
    <col min="2" max="2" width="3" style="21" bestFit="1" customWidth="1"/>
    <col min="4" max="5" width="5" bestFit="1" customWidth="1"/>
    <col min="6" max="6" width="23.6640625" style="131" bestFit="1" customWidth="1"/>
    <col min="7" max="7" width="5.33203125" style="23" bestFit="1" customWidth="1"/>
    <col min="8" max="8" width="24.5" style="23" customWidth="1"/>
    <col min="9" max="9" width="5" bestFit="1" customWidth="1"/>
    <col min="10" max="10" width="5" customWidth="1"/>
    <col min="11" max="11" width="2.83203125" customWidth="1"/>
    <col min="12" max="15" width="5.83203125" customWidth="1"/>
    <col min="16" max="16" width="9" customWidth="1"/>
    <col min="17" max="17" width="36" customWidth="1"/>
    <col min="18" max="20" width="4.33203125" style="131" customWidth="1"/>
    <col min="21" max="21" width="8.83203125" style="208"/>
    <col min="22" max="22" width="4" style="208" customWidth="1"/>
    <col min="23" max="24" width="2.33203125" style="208" customWidth="1"/>
    <col min="25" max="25" width="11" style="131" bestFit="1" customWidth="1"/>
    <col min="26" max="26" width="10.1640625" style="131" customWidth="1"/>
    <col min="27" max="27" width="9.1640625" style="131" bestFit="1" customWidth="1"/>
    <col min="28" max="28" width="4.33203125" style="131" customWidth="1"/>
    <col min="29" max="29" width="7.83203125" bestFit="1" customWidth="1"/>
    <col min="30" max="30" width="7.1640625" customWidth="1"/>
    <col min="31" max="31" width="0.33203125" customWidth="1"/>
    <col min="32" max="36" width="0.33203125" style="21" customWidth="1"/>
    <col min="37" max="37" width="0.33203125" style="108" customWidth="1"/>
    <col min="38" max="38" width="0.33203125" style="109" customWidth="1"/>
    <col min="39" max="60" width="0.33203125" style="108" customWidth="1"/>
    <col min="61" max="61" width="1.6640625" style="108" customWidth="1"/>
    <col min="62" max="62" width="7.1640625" style="108" customWidth="1"/>
    <col min="63" max="63" width="6.6640625" customWidth="1"/>
    <col min="64" max="64" width="0.33203125" customWidth="1"/>
    <col min="65" max="69" width="0.33203125" style="21" customWidth="1"/>
    <col min="70" max="70" width="0.33203125" style="108" customWidth="1"/>
    <col min="71" max="71" width="0.33203125" style="109" customWidth="1"/>
    <col min="72" max="93" width="0.33203125" style="108" customWidth="1"/>
    <col min="94" max="94" width="1.6640625" style="108" customWidth="1"/>
    <col min="95" max="95" width="6.6640625" customWidth="1"/>
    <col min="96" max="96" width="0.33203125" customWidth="1"/>
    <col min="97" max="101" width="0.33203125" style="21" customWidth="1"/>
    <col min="102" max="102" width="0.33203125" style="108" customWidth="1"/>
    <col min="103" max="103" width="0.33203125" style="109" customWidth="1"/>
    <col min="104" max="125" width="0.33203125" style="108" customWidth="1"/>
    <col min="127" max="127" width="11.83203125" style="184" bestFit="1" customWidth="1"/>
    <col min="128" max="128" width="3" style="115" bestFit="1" customWidth="1"/>
    <col min="131" max="131" width="4" style="369" bestFit="1" customWidth="1"/>
    <col min="132" max="132" width="8.5" style="369" bestFit="1" customWidth="1"/>
    <col min="133" max="133" width="4" style="369" bestFit="1" customWidth="1"/>
  </cols>
  <sheetData>
    <row r="1" spans="1:133" s="135" customFormat="1" ht="19">
      <c r="B1" s="136"/>
      <c r="C1" s="136"/>
      <c r="D1" s="136"/>
      <c r="E1" s="136"/>
      <c r="F1" s="136"/>
      <c r="G1" s="136"/>
      <c r="H1" s="136"/>
      <c r="I1" s="136"/>
      <c r="J1" s="136"/>
      <c r="K1" s="136"/>
      <c r="L1" s="136"/>
      <c r="M1" s="136"/>
      <c r="N1" s="136"/>
      <c r="O1" s="136"/>
      <c r="P1" s="136" t="s">
        <v>2047</v>
      </c>
      <c r="Q1" s="136"/>
      <c r="R1" s="136"/>
      <c r="S1" s="136"/>
      <c r="T1" s="207" t="s">
        <v>2053</v>
      </c>
      <c r="U1" s="41"/>
      <c r="V1" s="207"/>
      <c r="W1" s="207"/>
      <c r="X1" s="136"/>
      <c r="Y1" s="340"/>
      <c r="Z1" s="136"/>
      <c r="AA1" s="136"/>
      <c r="AB1" s="136" t="s">
        <v>2046</v>
      </c>
      <c r="AC1" s="136" t="s">
        <v>1636</v>
      </c>
      <c r="AD1" s="136"/>
      <c r="AE1" s="137"/>
      <c r="AF1" s="138"/>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c r="BE1" s="137"/>
      <c r="BF1" s="137"/>
      <c r="BJ1" s="136" t="s">
        <v>1637</v>
      </c>
      <c r="BK1" s="136"/>
      <c r="BL1" s="137"/>
      <c r="BM1" s="138"/>
      <c r="BN1" s="137"/>
      <c r="BO1" s="137"/>
      <c r="BP1" s="137"/>
      <c r="BQ1" s="137"/>
      <c r="BR1" s="137"/>
      <c r="BS1" s="137"/>
      <c r="BT1" s="137"/>
      <c r="BU1" s="137"/>
      <c r="BV1" s="137"/>
      <c r="BW1" s="137"/>
      <c r="BX1" s="137"/>
      <c r="BY1" s="137"/>
      <c r="BZ1" s="137"/>
      <c r="CA1" s="137"/>
      <c r="CB1" s="137"/>
      <c r="CC1" s="137"/>
      <c r="CD1" s="137"/>
      <c r="CE1" s="137"/>
      <c r="CF1" s="137"/>
      <c r="CG1" s="137"/>
      <c r="CH1" s="137"/>
      <c r="CI1" s="137"/>
      <c r="CJ1" s="137"/>
      <c r="CK1" s="137"/>
      <c r="CP1" s="136" t="s">
        <v>1650</v>
      </c>
      <c r="CQ1" s="136"/>
      <c r="CR1" s="137"/>
      <c r="CS1" s="138"/>
      <c r="CT1" s="137"/>
      <c r="CU1" s="137"/>
      <c r="CV1" s="137"/>
      <c r="CW1" s="137"/>
      <c r="CX1" s="137"/>
      <c r="CY1" s="137"/>
      <c r="CZ1" s="137"/>
      <c r="DA1" s="137"/>
      <c r="DB1" s="137"/>
      <c r="DC1" s="137"/>
      <c r="DD1" s="137"/>
      <c r="DE1" s="137"/>
      <c r="DF1" s="137"/>
      <c r="DG1" s="137"/>
      <c r="DH1" s="137"/>
      <c r="DI1" s="137"/>
      <c r="DJ1" s="137"/>
      <c r="DK1" s="137"/>
      <c r="DL1" s="137"/>
      <c r="DM1" s="137"/>
      <c r="DN1" s="137"/>
      <c r="DO1" s="137"/>
      <c r="DP1" s="137"/>
      <c r="DQ1" s="137"/>
      <c r="DZ1" s="218"/>
      <c r="EA1" s="218"/>
      <c r="EB1" s="218"/>
    </row>
    <row r="2" spans="1:133">
      <c r="B2" s="21" t="str" cm="1">
        <f t="array" aca="1" ref="B2" ca="1">_xlfn.TEXTAFTER(CELL("filename",INDIRECT("A1")),"]")</f>
        <v>AsgnBaaN</v>
      </c>
      <c r="C2" s="131"/>
      <c r="D2" s="131"/>
      <c r="E2" s="23"/>
      <c r="F2" s="23"/>
      <c r="G2" s="131"/>
      <c r="H2" s="131"/>
      <c r="I2" s="131"/>
      <c r="J2" s="131"/>
      <c r="K2" s="131"/>
      <c r="L2" s="131"/>
      <c r="M2" s="131"/>
      <c r="N2" s="131"/>
      <c r="O2" s="131"/>
      <c r="P2" s="131"/>
      <c r="Q2" s="21"/>
      <c r="R2" s="21"/>
      <c r="S2" s="21"/>
      <c r="T2" s="208"/>
      <c r="X2" s="21"/>
      <c r="Y2" s="23"/>
      <c r="Z2" s="21"/>
      <c r="AA2" s="21"/>
      <c r="AB2"/>
      <c r="AD2" s="108"/>
      <c r="AE2" s="108"/>
      <c r="AF2" s="109"/>
      <c r="AG2" s="108"/>
      <c r="AH2" s="108"/>
      <c r="AI2" s="108"/>
      <c r="AJ2" s="108"/>
      <c r="AL2" s="108"/>
      <c r="BE2"/>
      <c r="BF2"/>
      <c r="BG2"/>
      <c r="BH2"/>
      <c r="BI2"/>
      <c r="BJ2"/>
      <c r="BK2" s="108"/>
      <c r="BL2" s="108"/>
      <c r="BM2" s="109"/>
      <c r="BN2" s="108"/>
      <c r="BO2" s="108"/>
      <c r="BP2" s="108"/>
      <c r="BQ2" s="108"/>
      <c r="BS2" s="108"/>
      <c r="CO2"/>
      <c r="CP2"/>
      <c r="CQ2" s="108"/>
      <c r="CR2" s="108"/>
      <c r="CS2" s="109"/>
      <c r="CT2" s="108"/>
      <c r="CU2" s="108"/>
      <c r="CV2" s="108"/>
      <c r="CW2" s="108"/>
      <c r="CY2" s="108"/>
      <c r="DU2"/>
      <c r="DV2" s="184"/>
      <c r="DW2" s="115"/>
      <c r="DX2"/>
      <c r="DZ2" s="369"/>
      <c r="EC2"/>
    </row>
    <row r="3" spans="1:133" ht="47" thickBot="1">
      <c r="A3" s="135" t="s">
        <v>390</v>
      </c>
      <c r="B3" s="26" t="s">
        <v>1377</v>
      </c>
      <c r="C3" s="172" t="s">
        <v>1299</v>
      </c>
      <c r="D3" s="171" t="s">
        <v>457</v>
      </c>
      <c r="E3" s="172" t="s">
        <v>11</v>
      </c>
      <c r="F3" s="171" t="s">
        <v>12</v>
      </c>
      <c r="G3" s="171" t="s">
        <v>64</v>
      </c>
      <c r="H3" s="172" t="s">
        <v>1276</v>
      </c>
      <c r="I3" s="391" t="s">
        <v>2129</v>
      </c>
      <c r="J3" s="391" t="s">
        <v>2266</v>
      </c>
      <c r="K3" s="326" t="s">
        <v>1691</v>
      </c>
      <c r="L3" s="327" t="s">
        <v>1706</v>
      </c>
      <c r="M3" s="326" t="s">
        <v>1692</v>
      </c>
      <c r="N3" s="327" t="s">
        <v>1693</v>
      </c>
      <c r="O3" s="326" t="s">
        <v>1788</v>
      </c>
      <c r="P3" s="326" t="s">
        <v>1985</v>
      </c>
      <c r="Q3" s="133"/>
      <c r="R3" s="133"/>
      <c r="S3" s="133"/>
      <c r="T3" s="185" t="s">
        <v>1653</v>
      </c>
      <c r="U3" s="114"/>
      <c r="V3" s="185" t="s">
        <v>1684</v>
      </c>
      <c r="W3" s="185" t="s">
        <v>1657</v>
      </c>
      <c r="X3" s="133"/>
      <c r="Y3" s="341" t="s">
        <v>1976</v>
      </c>
      <c r="Z3" s="341" t="s">
        <v>1977</v>
      </c>
      <c r="AA3" s="133"/>
      <c r="AB3" s="190" t="str" cm="1">
        <f t="array" aca="1" ref="AB3" ca="1">_xlfn.LET(_xlpm.x,MATCH("SOR",$A:$A,0),_xlpm.y,SUM(COLUMN()),ADDRESS(_xlpm.x+1,_xlpm.y,4,1,$B$2)&amp;":"&amp;ADDRESS(1+_xlpm.x+COUNT(CODE(_xlfn.ANCHORARRAY(AB$5))),_xlpm.y,4))</f>
        <v>AsgnBaaN!AB4:AB6</v>
      </c>
      <c r="AC3" s="190" t="str" cm="1">
        <f t="array" aca="1" ref="AC3" ca="1">_xlfn.LET(_xlpm.x,MATCH("SOR",$A:$A,0),_xlpm.y,SUM(COLUMN()),ADDRESS(_xlpm.x+1,_xlpm.y,4,1,$B$2)&amp;":"&amp;ADDRESS(1+_xlpm.x+COUNT(CODE(_xlfn.ANCHORARRAY($AB$5))),_xlpm.y,4))</f>
        <v>AsgnBaaN!AC4:AC6</v>
      </c>
      <c r="AE3" s="21"/>
      <c r="AF3" s="108"/>
      <c r="AG3" s="108"/>
      <c r="AH3" s="108"/>
      <c r="AI3" s="108"/>
      <c r="AJ3" s="108"/>
      <c r="AL3" s="108"/>
      <c r="BE3"/>
      <c r="BF3"/>
      <c r="BG3"/>
      <c r="BH3"/>
      <c r="BI3"/>
      <c r="BJ3" s="190" t="str" cm="1">
        <f t="array" aca="1" ref="BJ3" ca="1">_xlfn.LET(_xlpm.x,MATCH("SOR",$A:$A,0),_xlpm.y,SUM(COLUMN()),ADDRESS(_xlpm.x+1,_xlpm.y,4,1,$B$2)&amp;":"&amp;ADDRESS(1+_xlpm.x+COUNT(CODE(_xlfn.ANCHORARRAY(AB$5))),_xlpm.y,4))</f>
        <v>AsgnBaaN!BJ4:BJ6</v>
      </c>
      <c r="BL3" s="21"/>
      <c r="BM3" s="108"/>
      <c r="BN3" s="108"/>
      <c r="BO3" s="108"/>
      <c r="BP3" s="108"/>
      <c r="BQ3" s="108"/>
      <c r="BS3" s="108"/>
      <c r="CO3"/>
      <c r="CP3" s="190" t="str" cm="1">
        <f t="array" aca="1" ref="CP3" ca="1">_xlfn.LET(_xlpm.x,MATCH("SOR",$A:$A,0),_xlpm.y,SUM(COLUMN()),ADDRESS(_xlpm.x+1,_xlpm.y,4,1,$B$2)&amp;":"&amp;ADDRESS(1+_xlpm.x+COUNT(CODE(_xlfn.ANCHORARRAY($AB$5))),_xlpm.y,4))</f>
        <v>AsgnBaaN!CP4:CP6</v>
      </c>
      <c r="CR3" s="21"/>
      <c r="CS3" s="108"/>
      <c r="CT3" s="108"/>
      <c r="CU3" s="108"/>
      <c r="CV3" s="108"/>
      <c r="CW3" s="108"/>
      <c r="CY3" s="108"/>
      <c r="DU3"/>
      <c r="DV3" s="372" t="s">
        <v>2058</v>
      </c>
      <c r="DW3" s="372" t="s">
        <v>2059</v>
      </c>
      <c r="DX3"/>
      <c r="DZ3" s="373" t="s">
        <v>444</v>
      </c>
      <c r="EA3" s="373" t="s">
        <v>392</v>
      </c>
      <c r="EB3" s="373" t="s">
        <v>416</v>
      </c>
      <c r="EC3"/>
    </row>
    <row r="4" spans="1:133" ht="12.75" customHeight="1" thickTop="1">
      <c r="C4" s="44" t="s">
        <v>1415</v>
      </c>
      <c r="D4" s="44" t="str" cm="1">
        <f t="array" ref="D4">IF(TbAssign[[#This Row],[Módulo]]="X","X",_xlfn.UNIQUE(_xlfn._xlws.FILTER(TbStd[RowId],TbStd[RowGrp]=TbAssign[[#This Row],[Puesto]]," "))&amp;TEXT($W4,"00"))</f>
        <v>XA01</v>
      </c>
      <c r="E4" s="23" t="s">
        <v>1790</v>
      </c>
      <c r="F4" s="23" t="s">
        <v>358</v>
      </c>
      <c r="G4" s="44" t="str" cm="1">
        <f t="array" ref="G4">_xlfn._xlws.FILTER(FrmBH3[OFbId],(FrmBH3[PrjId]=TbAssign[[#This Row],[Project]])*(FrmBH3[OFbNam]=TbAssign[[#This Row],[O.F.Name]]),"X")</f>
        <v>624323</v>
      </c>
      <c r="H4" s="44" t="s">
        <v>358</v>
      </c>
      <c r="I4" s="44" t="s">
        <v>2114</v>
      </c>
      <c r="J4" s="44">
        <v>3</v>
      </c>
      <c r="K4" s="44" t="str" cm="1">
        <f t="array" ref="K4">_xlfn.UNIQUE(_xlfn._xlws.FILTER(TbStd[Amortz.],TbStd[RowGrp]=TbAssign[[#This Row],[Puesto]]," "))</f>
        <v>X</v>
      </c>
      <c r="L4" s="44" t="s">
        <v>375</v>
      </c>
      <c r="M4" s="44" t="str" cm="1">
        <f t="array" ref="M4">_xlfn.UNIQUE(_xlfn._xlws.FILTER(TbStd[Site],TbStd[RowGrp]=TbAssign[[#This Row],[Puesto]],"X"))</f>
        <v>S</v>
      </c>
      <c r="N4" s="44" t="s">
        <v>1695</v>
      </c>
      <c r="O4" s="44" t="s">
        <v>1787</v>
      </c>
      <c r="P4" s="368" t="s">
        <v>2048</v>
      </c>
      <c r="Q4" s="21"/>
      <c r="R4" s="21"/>
      <c r="S4" s="21"/>
      <c r="T4" s="209" t="str" cm="1">
        <f t="array" ref="T4">_xlfn.LET(_xlpm.x,MATCH($A$3,$A:$A,0),_xlpm.y,SUM(COLUMN()),ADDRESS(2+_xlpm.x,_xlpm.y,4)&amp;":"&amp;ADDRESS(2+_xlpm.x+COUNT(CODE(_xlfn._xlws.FILTER(_xlfn.ANCHORARRAY(T6),_xlfn.ANCHORARRAY(T6)&lt;&gt;"X","X"))),_xlpm.y,4))</f>
        <v>T5:T22</v>
      </c>
      <c r="U4" s="23"/>
      <c r="V4" s="191">
        <f>COUNTIFS(TbAssign[RowId],$D4,TbAssign[Project],$C4)</f>
        <v>3</v>
      </c>
      <c r="W4" s="191" cm="1">
        <f t="array" ref="W4">_xlfn.LET(_xlpm.x,_xlfn.TAKE(TbAssign[Puesto],SUM(ROW()-MATCH("SOR",$A:$A,0))),COUNT(CODE(_xlfn._xlws.FILTER(_xlpm.x,_xlpm.x=TbAssign[[#This Row],[Puesto]],"X"))))</f>
        <v>1</v>
      </c>
      <c r="X4" s="21"/>
      <c r="Y4" s="342" t="str" cm="1">
        <f t="array" ref="Y4:Y46">_xlfn._xlws.SORT(FrmBH3[PrjId]&amp;":"&amp;FrmBH3[Cia]&amp;":"&amp;FrmBH3[OFbId])</f>
        <v>31199:Sp:624317</v>
      </c>
      <c r="Z4" s="342" t="str" cm="1">
        <f t="array" ref="Z4:Z46">_xlfn._xlws.SORT(_xlfn._xlws.FILTER(TbAssign[Project]&amp;":"&amp;TbAssign[Cia]&amp;":"&amp;TbAssign[O.F.],TbAssign[O.F.]&lt;&gt;"X","X"))</f>
        <v>31199:Sp:624317</v>
      </c>
      <c r="AA4" s="21"/>
      <c r="AB4" s="106" t="s">
        <v>375</v>
      </c>
      <c r="AC4" s="188" t="s">
        <v>375</v>
      </c>
      <c r="AF4"/>
      <c r="AG4"/>
      <c r="AH4"/>
      <c r="AI4"/>
      <c r="AJ4"/>
      <c r="AK4"/>
      <c r="AL4"/>
      <c r="AM4"/>
      <c r="AN4"/>
      <c r="AO4"/>
      <c r="AP4"/>
      <c r="AQ4"/>
      <c r="AR4"/>
      <c r="AS4"/>
      <c r="AT4"/>
      <c r="AU4"/>
      <c r="AV4"/>
      <c r="AW4"/>
      <c r="AX4"/>
      <c r="AY4"/>
      <c r="AZ4"/>
      <c r="BA4"/>
      <c r="BB4"/>
      <c r="BC4"/>
      <c r="BD4"/>
      <c r="BE4"/>
      <c r="BF4"/>
      <c r="BG4"/>
      <c r="BH4"/>
      <c r="BI4"/>
      <c r="BJ4" s="188" t="s">
        <v>375</v>
      </c>
      <c r="BM4"/>
      <c r="BN4"/>
      <c r="BO4"/>
      <c r="BP4"/>
      <c r="BQ4"/>
      <c r="BR4"/>
      <c r="BS4"/>
      <c r="BT4"/>
      <c r="BU4"/>
      <c r="BV4"/>
      <c r="BW4"/>
      <c r="BX4"/>
      <c r="BY4"/>
      <c r="BZ4"/>
      <c r="CA4"/>
      <c r="CB4"/>
      <c r="CC4"/>
      <c r="CD4"/>
      <c r="CE4"/>
      <c r="CF4"/>
      <c r="CG4"/>
      <c r="CH4"/>
      <c r="CI4"/>
      <c r="CJ4"/>
      <c r="CK4"/>
      <c r="CO4"/>
      <c r="CP4" s="188" t="s">
        <v>375</v>
      </c>
      <c r="CS4"/>
      <c r="CT4"/>
      <c r="CU4"/>
      <c r="CV4"/>
      <c r="CW4"/>
      <c r="CX4"/>
      <c r="CY4"/>
      <c r="CZ4"/>
      <c r="DA4"/>
      <c r="DB4"/>
      <c r="DC4"/>
      <c r="DD4"/>
      <c r="DE4"/>
      <c r="DF4"/>
      <c r="DG4"/>
      <c r="DH4"/>
      <c r="DI4"/>
      <c r="DJ4"/>
      <c r="DK4"/>
      <c r="DL4"/>
      <c r="DM4"/>
      <c r="DN4"/>
      <c r="DO4"/>
      <c r="DP4"/>
      <c r="DQ4"/>
      <c r="DU4"/>
      <c r="DV4" s="336" t="str" cm="1">
        <f t="array" ref="DV4:DV11">_xlfn._xlws.SORT(_xlfn.UNIQUE(SchPdt3[Row]))</f>
        <v>DISC</v>
      </c>
      <c r="DW4" s="336" cm="1">
        <f t="array" aca="1" ref="DW4" ca="1">_xlfn.LET(_xlpm.x,_xlfn._xlws.FILTER(TbAssign[FrmSch],ISNUMBER(FIND(INDIRECT("rc[-1]",FALSE),TbAssign[FrmSch])),"X"),_xlpm.y,INDIRECT("rc[-1]",FALSE),IF(OR(_xlpm.y="",_xlpm.x="X"),0,COUNTA(_xlpm.x)))</f>
        <v>0</v>
      </c>
      <c r="DX4"/>
      <c r="DZ4" s="369">
        <v>31200</v>
      </c>
      <c r="EA4" s="369" t="s">
        <v>2043</v>
      </c>
      <c r="EB4" s="369" t="s">
        <v>2055</v>
      </c>
      <c r="EC4"/>
    </row>
    <row r="5" spans="1:133" ht="12.75" customHeight="1">
      <c r="C5" s="44" t="s">
        <v>1415</v>
      </c>
      <c r="D5" s="44" t="str" cm="1">
        <f t="array" ref="D5">IF(TbAssign[[#This Row],[Módulo]]="X","X",_xlfn.UNIQUE(_xlfn._xlws.FILTER(TbStd[RowId],TbStd[RowGrp]=TbAssign[[#This Row],[Puesto]]," "))&amp;TEXT($W5,"00"))</f>
        <v>XB01</v>
      </c>
      <c r="E5" s="23" t="s">
        <v>1796</v>
      </c>
      <c r="F5" s="23" t="s">
        <v>428</v>
      </c>
      <c r="G5" s="44" t="str" cm="1">
        <f t="array" ref="G5">_xlfn._xlws.FILTER(FrmBH3[OFbId],(FrmBH3[PrjId]=TbAssign[[#This Row],[Project]])*(FrmBH3[OFbNam]=TbAssign[[#This Row],[O.F.Name]]),"X")</f>
        <v>624324</v>
      </c>
      <c r="H5" s="44" t="s">
        <v>428</v>
      </c>
      <c r="I5" s="44" t="s">
        <v>2114</v>
      </c>
      <c r="J5" s="44">
        <v>5</v>
      </c>
      <c r="K5" s="44" t="str" cm="1">
        <f t="array" ref="K5">_xlfn.UNIQUE(_xlfn._xlws.FILTER(TbStd[Amortz.],TbStd[RowGrp]=TbAssign[[#This Row],[Puesto]]," "))</f>
        <v>C</v>
      </c>
      <c r="L5" s="44" t="s">
        <v>1300</v>
      </c>
      <c r="M5" s="44" t="str" cm="1">
        <f t="array" ref="M5">_xlfn.UNIQUE(_xlfn._xlws.FILTER(TbStd[Site],TbStd[RowGrp]=TbAssign[[#This Row],[Puesto]],"X"))</f>
        <v>S</v>
      </c>
      <c r="N5" s="44" t="s">
        <v>375</v>
      </c>
      <c r="O5" s="44" t="s">
        <v>1787</v>
      </c>
      <c r="P5" s="368" t="s">
        <v>2037</v>
      </c>
      <c r="Q5" s="21"/>
      <c r="R5" s="21"/>
      <c r="S5" s="21"/>
      <c r="T5" s="191" t="s">
        <v>375</v>
      </c>
      <c r="U5" s="210"/>
      <c r="V5" s="191">
        <f>COUNTIFS(TbAssign[RowId],$D5,TbAssign[Project],$C5)</f>
        <v>2</v>
      </c>
      <c r="W5" s="191" cm="1">
        <f t="array" ref="W5">_xlfn.LET(_xlpm.x,_xlfn.TAKE(TbAssign[Puesto],SUM(ROW()-MATCH("SOR",$A:$A,0))),COUNT(CODE(_xlfn._xlws.FILTER(_xlpm.x,_xlpm.x=TbAssign[[#This Row],[Puesto]],"X"))))</f>
        <v>1</v>
      </c>
      <c r="X5" s="21"/>
      <c r="Y5" s="342" t="str">
        <v>31199:Sp:624318</v>
      </c>
      <c r="Z5" s="342" t="str">
        <v>31199:Sp:624318</v>
      </c>
      <c r="AA5" s="21"/>
      <c r="AB5" s="134" t="str" cm="1">
        <f t="array" aca="1" ref="AB5:AB6" ca="1">_xlfn._xlws.FILTER(TEXT(_xlfn.ANCHORARRAY(InData!$G$3),"@"),_xlfn.ANCHORARRAY(InData!$G$3)&lt;&gt;"X","X")</f>
        <v>31199</v>
      </c>
      <c r="AC5" s="189" t="str" cm="1">
        <f t="array" aca="1" ref="AC5" ca="1">IF($AB5="","X",_xlfn.LET(_xlpm.x,SUM(ROW()),_xlpm.y,MATCH(AC$1,$1:$1,0),ADDRESS(_xlpm.x,_xlpm.y+1,4,1,$B$2)&amp;":"&amp;ADDRESS(_xlpm.x,1+_xlpm.y+COUNT(CODE(_xlfn._xlws.FILTER(_xlfn.ANCHORARRAY($AE5),_xlfn.ANCHORARRAY($AE5)&lt;&gt;"X","X"))),4)))</f>
        <v>AsgnBaaN!AD5:AU5</v>
      </c>
      <c r="AD5" s="112" t="s">
        <v>375</v>
      </c>
      <c r="AE5" s="112" t="str" cm="1">
        <f t="array" aca="1" ref="AE5:AU5" ca="1">IF(OR($AB5="X",$AB5=""),"X",TRANSPOSE(_xlfn._xlws.SORT(_xlfn.UNIQUE(_xlfn._xlws.FILTER(FrmBH3[OFbNam],(FrmBH3[PrjId]=$AB5),"X")))))</f>
        <v>COSTES EVITABLES</v>
      </c>
      <c r="AF5" s="111" t="str">
        <f ca="1"/>
        <v>COSTES EVITABLES PROVEEDORES</v>
      </c>
      <c r="AG5" s="112" t="str">
        <f ca="1"/>
        <v>CUADRANTE NO ESTRUCTURADO</v>
      </c>
      <c r="AH5" s="112" t="str">
        <f ca="1"/>
        <v>CUADRANTES CD2</v>
      </c>
      <c r="AI5" s="112" t="str">
        <f ca="1"/>
        <v>DISEÑO HARDWARE</v>
      </c>
      <c r="AJ5" s="112" t="str">
        <f ca="1"/>
        <v>DISEÑO MECANICO UTILES/GARRAS</v>
      </c>
      <c r="AK5" s="112" t="str">
        <f ca="1"/>
        <v>DISEÑO SOFTWARE</v>
      </c>
      <c r="AL5" s="112" t="str">
        <f ca="1"/>
        <v>ENR UTILES/GARRAS</v>
      </c>
      <c r="AM5" s="112" t="str">
        <f ca="1"/>
        <v>FABRICACION UTILES/GARRAS</v>
      </c>
      <c r="AN5" s="112" t="str">
        <f ca="1"/>
        <v>GASTOS ADUANALES</v>
      </c>
      <c r="AO5" s="112" t="str">
        <f ca="1"/>
        <v>GASTOS DE DESPLAZAMIENTO</v>
      </c>
      <c r="AP5" s="112" t="str">
        <f ca="1"/>
        <v>GASTOS GENERALES</v>
      </c>
      <c r="AQ5" s="112" t="str">
        <f ca="1"/>
        <v>GESTION Y COORDINACION</v>
      </c>
      <c r="AR5" s="112" t="str">
        <f ca="1"/>
        <v>PUESTA EN MARCHA EN PLANTA</v>
      </c>
      <c r="AS5" s="112" t="str">
        <f ca="1"/>
        <v>RECEPCION UTILES</v>
      </c>
      <c r="AT5" s="112" t="str">
        <f ca="1"/>
        <v>ROBCAD</v>
      </c>
      <c r="AU5" s="112" t="str">
        <f ca="1"/>
        <v>TRANSPORTES Y EMBALAJES</v>
      </c>
      <c r="AV5" s="112"/>
      <c r="AW5" s="112"/>
      <c r="AX5" s="112"/>
      <c r="AY5" s="112"/>
      <c r="AZ5" s="112"/>
      <c r="BA5" s="112"/>
      <c r="BB5" s="112"/>
      <c r="BC5" s="112"/>
      <c r="BD5" s="112"/>
      <c r="BE5"/>
      <c r="BF5"/>
      <c r="BG5"/>
      <c r="BH5"/>
      <c r="BI5"/>
      <c r="BJ5" s="189" t="str" cm="1">
        <f t="array" aca="1" ref="BJ5" ca="1">IF($AB5="","X",_xlfn.LET(_xlpm.x,SUM(ROW()),_xlpm.y,MATCH(BJ$1,$1:$1,0),ADDRESS(_xlpm.x,_xlpm.y+1,4,1,$B$2)&amp;":"&amp;ADDRESS(_xlpm.x,1+_xlpm.y+COUNT(CODE(_xlfn._xlws.FILTER(_xlfn.ANCHORARRAY($BL5),_xlfn.ANCHORARRAY($BL5)&lt;&gt;"X","X"))),4)))</f>
        <v>AsgnBaaN!BK5:CC5</v>
      </c>
      <c r="BK5" s="112" t="s">
        <v>375</v>
      </c>
      <c r="BL5" s="112" t="str" cm="1">
        <f t="array" aca="1" ref="BL5:CC5" ca="1">TRANSPOSE(_xlfn._xlws.SORT(_xlfn.UNIQUE(_xlfn._xlws.FILTER(TbAssign[Módulo],(TbAssign[Project]=$AB5),"X"))))</f>
        <v>COSTES EVITABLES</v>
      </c>
      <c r="BM5" s="111" t="str">
        <f ca="1"/>
        <v>COSTES EVITABLES PROVEEDORES</v>
      </c>
      <c r="BN5" s="112" t="str">
        <f ca="1"/>
        <v>CUADRANTE ESTRUCTURADO</v>
      </c>
      <c r="BO5" s="112" t="str">
        <f ca="1"/>
        <v>CUADRANTES CD2</v>
      </c>
      <c r="BP5" s="112" t="str">
        <f ca="1"/>
        <v>DISEÑO HARDWARE</v>
      </c>
      <c r="BQ5" s="112" t="str">
        <f ca="1"/>
        <v>DISEÑO SOFTWARE</v>
      </c>
      <c r="BR5" s="112" t="str">
        <f ca="1"/>
        <v>DISEÑO UTILES/GARRAS</v>
      </c>
      <c r="BS5" s="112" t="str">
        <f ca="1"/>
        <v>ENR. UTILES/GARRAS</v>
      </c>
      <c r="BT5" s="112" t="str">
        <f ca="1"/>
        <v>FABRICACION ELEMENTOS IMPLANTA</v>
      </c>
      <c r="BU5" s="112" t="str">
        <f ca="1"/>
        <v>FABRICACION UTILES/GARRAS</v>
      </c>
      <c r="BV5" s="112" t="str">
        <f ca="1"/>
        <v>GASTOS ADUANALES</v>
      </c>
      <c r="BW5" s="112" t="str">
        <f ca="1"/>
        <v>GASTOS DE DESPLAZAMIENTO</v>
      </c>
      <c r="BX5" s="112" t="str">
        <f ca="1"/>
        <v>GASTOS GENERALES</v>
      </c>
      <c r="BY5" s="112" t="str">
        <f ca="1"/>
        <v>GESTION Y COORDINACION</v>
      </c>
      <c r="BZ5" s="112" t="str">
        <f ca="1"/>
        <v>PUESTA EN MARCHA EN PLANTA</v>
      </c>
      <c r="CA5" s="112" t="str">
        <f ca="1"/>
        <v>RECEPCION UTILES</v>
      </c>
      <c r="CB5" s="112" t="str">
        <f ca="1"/>
        <v>ROBCAD</v>
      </c>
      <c r="CC5" s="112" t="str">
        <f ca="1"/>
        <v>TRANSPORTES Y EMBALAJES</v>
      </c>
      <c r="CD5" s="112"/>
      <c r="CE5" s="112"/>
      <c r="CF5" s="112"/>
      <c r="CG5" s="112"/>
      <c r="CH5" s="112"/>
      <c r="CI5" s="112"/>
      <c r="CJ5" s="112"/>
      <c r="CK5" s="112"/>
      <c r="CO5"/>
      <c r="CP5" s="189" t="str" cm="1">
        <f t="array" aca="1" ref="CP5" ca="1">IF($AB5="","X",_xlfn.LET(_xlpm.x,SUM(ROW()),_xlpm.y,MATCH(CP$1,$1:$1,0),ADDRESS(_xlpm.x,_xlpm.y+1,4,1,$B$2)&amp;":"&amp;ADDRESS(_xlpm.x,1+_xlpm.y+COUNT(CODE(_xlfn._xlws.FILTER(_xlfn.ANCHORARRAY($BL5),_xlfn.ANCHORARRAY($BL5)&lt;&gt;"X","X"))),4)))</f>
        <v>AsgnBaaN!CQ5:DI5</v>
      </c>
      <c r="CQ5" s="112" t="s">
        <v>375</v>
      </c>
      <c r="CR5" s="112" t="str" cm="1">
        <f t="array" aca="1" ref="CR5" ca="1">TRANSPOSE(_xlfn._xlws.SORT(_xlfn.UNIQUE(_xlfn._xlws.FILTER(SchPdt1[Row],(SchPdt1[PrjId]=$AB5),"X"))))</f>
        <v>X</v>
      </c>
      <c r="CS5" s="111"/>
      <c r="CT5" s="112"/>
      <c r="CU5" s="112"/>
      <c r="CV5" s="112"/>
      <c r="CW5" s="112"/>
      <c r="CX5" s="112"/>
      <c r="CY5" s="112"/>
      <c r="CZ5" s="112"/>
      <c r="DA5" s="112"/>
      <c r="DB5" s="112"/>
      <c r="DC5" s="112"/>
      <c r="DD5" s="112"/>
      <c r="DE5" s="112"/>
      <c r="DF5" s="112"/>
      <c r="DG5" s="112"/>
      <c r="DH5" s="112"/>
      <c r="DI5" s="112"/>
      <c r="DJ5" s="112"/>
      <c r="DK5" s="112"/>
      <c r="DL5" s="112"/>
      <c r="DM5" s="112"/>
      <c r="DN5" s="112"/>
      <c r="DO5" s="112"/>
      <c r="DP5" s="112"/>
      <c r="DQ5" s="112"/>
      <c r="DU5"/>
      <c r="DV5" s="336" t="str">
        <v>DIST</v>
      </c>
      <c r="DW5" s="336" cm="1">
        <f t="array" aca="1" ref="DW5" ca="1">_xlfn.LET(_xlpm.x,_xlfn._xlws.FILTER(TbAssign[FrmSch],ISNUMBER(FIND(INDIRECT("rc[-1]",FALSE),TbAssign[FrmSch])),"X"),_xlpm.y,INDIRECT("rc[-1]",FALSE),IF(OR(_xlpm.y="",_xlpm.x="X"),0,COUNTA(_xlpm.x)))</f>
        <v>0</v>
      </c>
      <c r="DX5"/>
      <c r="DZ5" s="369">
        <v>31200</v>
      </c>
      <c r="EA5" s="369" t="s">
        <v>2043</v>
      </c>
      <c r="EB5" s="369" t="s">
        <v>2055</v>
      </c>
      <c r="EC5"/>
    </row>
    <row r="6" spans="1:133" ht="12.75" customHeight="1">
      <c r="C6" s="44" t="s">
        <v>1415</v>
      </c>
      <c r="D6" s="44" t="str" cm="1">
        <f t="array" ref="D6">IF(TbAssign[[#This Row],[Módulo]]="X","X",_xlfn.UNIQUE(_xlfn._xlws.FILTER(TbStd[RowId],TbStd[RowGrp]=TbAssign[[#This Row],[Puesto]]," "))&amp;TEXT($W6,"00"))</f>
        <v>XB01</v>
      </c>
      <c r="E6" s="23" t="s">
        <v>1797</v>
      </c>
      <c r="F6" s="23" t="s">
        <v>430</v>
      </c>
      <c r="G6" s="44" t="str" cm="1">
        <f t="array" ref="G6">_xlfn._xlws.FILTER(FrmBH3[OFbId],(FrmBH3[PrjId]=TbAssign[[#This Row],[Project]])*(FrmBH3[OFbNam]=TbAssign[[#This Row],[O.F.Name]]),"X")</f>
        <v>624325</v>
      </c>
      <c r="H6" s="44" t="s">
        <v>430</v>
      </c>
      <c r="I6" s="44" t="s">
        <v>2114</v>
      </c>
      <c r="J6" s="44">
        <v>7</v>
      </c>
      <c r="K6" s="44" t="str" cm="1">
        <f t="array" ref="K6">_xlfn.UNIQUE(_xlfn._xlws.FILTER(TbStd[Amortz.],TbStd[RowGrp]=TbAssign[[#This Row],[Puesto]]," "))</f>
        <v>T</v>
      </c>
      <c r="L6" s="44" t="s">
        <v>1300</v>
      </c>
      <c r="M6" s="44" t="str" cm="1">
        <f t="array" ref="M6">_xlfn.UNIQUE(_xlfn._xlws.FILTER(TbStd[Site],TbStd[RowGrp]=TbAssign[[#This Row],[Puesto]],"X"))</f>
        <v>S</v>
      </c>
      <c r="N6" s="44" t="s">
        <v>375</v>
      </c>
      <c r="O6" s="44" t="s">
        <v>1787</v>
      </c>
      <c r="P6" s="368" t="s">
        <v>375</v>
      </c>
      <c r="Q6" s="21"/>
      <c r="R6" s="21"/>
      <c r="S6" s="21"/>
      <c r="T6" s="191" t="str" cm="1">
        <f t="array" ref="T6:T22">_xlfn._xlws.SORT(_xlfn.UNIQUE(_xlfn._xlws.FILTER(TbStd[RowGrp],TbStd[RowGrp]&lt;&gt;"X","X")))</f>
        <v>CTBA</v>
      </c>
      <c r="U6" s="210"/>
      <c r="V6" s="191">
        <f>COUNTIFS(TbAssign[RowId],$D6,TbAssign[Project],$C6)</f>
        <v>2</v>
      </c>
      <c r="W6" s="191" cm="1">
        <f t="array" ref="W6">_xlfn.LET(_xlpm.x,_xlfn.TAKE(TbAssign[Puesto],SUM(ROW()-MATCH("SOR",$A:$A,0))),COUNT(CODE(_xlfn._xlws.FILTER(_xlpm.x,_xlpm.x=TbAssign[[#This Row],[Puesto]],"X"))))</f>
        <v>1</v>
      </c>
      <c r="X6" s="21"/>
      <c r="Y6" s="342" t="str">
        <v>31199:Sp:624319</v>
      </c>
      <c r="Z6" s="342" t="str">
        <v>31199:Sp:624319</v>
      </c>
      <c r="AA6" s="21"/>
      <c r="AB6" s="106" t="str">
        <f ca="1"/>
        <v>31200</v>
      </c>
      <c r="AC6" s="189" t="str" cm="1">
        <f t="array" aca="1" ref="AC6" ca="1">IF($AB6="","X",_xlfn.LET(_xlpm.x,SUM(ROW()),_xlpm.y,MATCH(AC$1,$1:$1,0),ADDRESS(_xlpm.x,_xlpm.y+1,4,1,$B$2)&amp;":"&amp;ADDRESS(_xlpm.x,1+_xlpm.y+COUNT(CODE(_xlfn._xlws.FILTER(_xlfn.ANCHORARRAY($AE6),_xlfn.ANCHORARRAY($AE6)&lt;&gt;"X","X"))),4)))</f>
        <v>AsgnBaaN!AD6:BD6</v>
      </c>
      <c r="AD6" s="112" t="s">
        <v>375</v>
      </c>
      <c r="AE6" s="112" t="str" cm="1">
        <f t="array" aca="1" ref="AE6:BD6" ca="1">IF(OR($AB6="X",$AB6=""),"X",TRANSPOSE(_xlfn._xlws.SORT(_xlfn.UNIQUE(_xlfn._xlws.FILTER(FrmBH3[OFbNam],(FrmBH3[PrjId]=$AB6),"X")))))</f>
        <v>ARMARIOS ELECTRICOS</v>
      </c>
      <c r="AF6" s="111" t="str">
        <f ca="1"/>
        <v>COSTES EVITABLES</v>
      </c>
      <c r="AG6" s="112" t="str">
        <f ca="1"/>
        <v>COSTES EVITABLES PROVEEDORES</v>
      </c>
      <c r="AH6" s="112" t="str">
        <f ca="1"/>
        <v>CUADRANTE NO ESTRUCTURADO</v>
      </c>
      <c r="AI6" s="112" t="str">
        <f ca="1"/>
        <v>CUADRANTES CD2</v>
      </c>
      <c r="AJ6" s="112" t="str">
        <f ca="1"/>
        <v>DISEÑO ELEMENTOS IMPLANTACION</v>
      </c>
      <c r="AK6" s="112" t="str">
        <f ca="1"/>
        <v>DISEÑO HARDWARE</v>
      </c>
      <c r="AL6" s="112" t="str">
        <f ca="1"/>
        <v>DISEÑO SOFTWARE</v>
      </c>
      <c r="AM6" s="112" t="str">
        <f ca="1"/>
        <v>DISEÑO UTILES/GARRAS</v>
      </c>
      <c r="AN6" s="112" t="str">
        <f ca="1"/>
        <v>ENR. UTILES/GARRAS</v>
      </c>
      <c r="AO6" s="112" t="str">
        <f ca="1"/>
        <v>FABRICACION ELEMENTOS IMPLANTA</v>
      </c>
      <c r="AP6" s="112" t="str">
        <f ca="1"/>
        <v>FABRICACION UTILES/GARRAS</v>
      </c>
      <c r="AQ6" s="112" t="str">
        <f ca="1"/>
        <v>GASTOS ADUANALES</v>
      </c>
      <c r="AR6" s="112" t="str">
        <f ca="1"/>
        <v>GASTOS DE DESPLAZAMIENTO</v>
      </c>
      <c r="AS6" s="112" t="str">
        <f ca="1"/>
        <v>GASTOS GENERALES</v>
      </c>
      <c r="AT6" s="112" t="str">
        <f ca="1"/>
        <v>GESTION Y COORDINACION</v>
      </c>
      <c r="AU6" s="112" t="str">
        <f ca="1"/>
        <v>GRANDES COMPRAS</v>
      </c>
      <c r="AV6" s="112" t="str">
        <f ca="1"/>
        <v>MATERIAL SERRA UNP</v>
      </c>
      <c r="AW6" s="112" t="str">
        <f ca="1"/>
        <v>MONTAJE EN SERRA</v>
      </c>
      <c r="AX6" s="112" t="str">
        <f ca="1"/>
        <v>PROGRAMA STD PLC SIEMENS</v>
      </c>
      <c r="AY6" s="112" t="str">
        <f ca="1"/>
        <v>PUESTA EN MARCHA EN PLANTA</v>
      </c>
      <c r="AZ6" s="112" t="str">
        <f ca="1"/>
        <v>PUESTA EN MARCHA EN SERRA</v>
      </c>
      <c r="BA6" s="112" t="str">
        <f ca="1"/>
        <v>RECEPCION UTILES</v>
      </c>
      <c r="BB6" s="112" t="str">
        <f ca="1"/>
        <v>ROBCAD</v>
      </c>
      <c r="BC6" s="112" t="str">
        <f ca="1"/>
        <v>TRANSPORTES Y EMBALAJES</v>
      </c>
      <c r="BD6" s="112" t="str">
        <f ca="1"/>
        <v>TRASLADO</v>
      </c>
      <c r="BE6"/>
      <c r="BF6"/>
      <c r="BG6"/>
      <c r="BH6"/>
      <c r="BI6"/>
      <c r="BJ6" s="189" t="str" cm="1">
        <f t="array" aca="1" ref="BJ6" ca="1">IF($AB6="","X",_xlfn.LET(_xlpm.x,SUM(ROW()),_xlpm.y,MATCH(BJ$1,$1:$1,0),ADDRESS(_xlpm.x,_xlpm.y+1,4,1,$B$2)&amp;":"&amp;ADDRESS(_xlpm.x,1+_xlpm.y+COUNT(CODE(_xlfn._xlws.FILTER(_xlfn.ANCHORARRAY($BL6),_xlfn.ANCHORARRAY($BL6)&lt;&gt;"X","X"))),4)))</f>
        <v>AsgnBaaN!BK6:CL6</v>
      </c>
      <c r="BK6" s="112" t="s">
        <v>375</v>
      </c>
      <c r="BL6" s="112" t="str" cm="1">
        <f t="array" aca="1" ref="BL6:CL6" ca="1">TRANSPOSE(_xlfn._xlws.SORT(_xlfn.UNIQUE(_xlfn._xlws.FILTER(TbAssign[Módulo],(TbAssign[Project]=$AB6),"X"))))</f>
        <v>ARMARIOS ELECTRICOS</v>
      </c>
      <c r="BM6" s="111" t="str">
        <f ca="1"/>
        <v>ASISTENCIA PRODUCCIÓN</v>
      </c>
      <c r="BN6" s="112" t="str">
        <f ca="1"/>
        <v>COSTES EVITABLES</v>
      </c>
      <c r="BO6" s="112" t="str">
        <f ca="1"/>
        <v>COSTES EVITABLES PROVEEDORES</v>
      </c>
      <c r="BP6" s="112" t="str">
        <f ca="1"/>
        <v>CUADRANTE ESTRUCTURADO</v>
      </c>
      <c r="BQ6" s="112" t="str">
        <f ca="1"/>
        <v>CUADRANTES CD2</v>
      </c>
      <c r="BR6" s="112" t="str">
        <f ca="1"/>
        <v>DESMONTAJE</v>
      </c>
      <c r="BS6" s="112" t="str">
        <f ca="1"/>
        <v>DISEÑO ELEMENTOS IMPLANTACION</v>
      </c>
      <c r="BT6" s="112" t="str">
        <f ca="1"/>
        <v>DISEÑO HARDWARE</v>
      </c>
      <c r="BU6" s="112" t="str">
        <f ca="1"/>
        <v>DISEÑO SOFTWARE</v>
      </c>
      <c r="BV6" s="112" t="str">
        <f ca="1"/>
        <v>DISEÑO UTILES/GARRAS</v>
      </c>
      <c r="BW6" s="112" t="str">
        <f ca="1"/>
        <v>ENR. UTILES/GARRAS</v>
      </c>
      <c r="BX6" s="112" t="str">
        <f ca="1"/>
        <v>FABRICACION ELEMENTOS IMPLANTA</v>
      </c>
      <c r="BY6" s="112" t="str">
        <f ca="1"/>
        <v>FABRICACION UTILES/GARRAS</v>
      </c>
      <c r="BZ6" s="112" t="str">
        <f ca="1"/>
        <v>GASTOS ADUANALES</v>
      </c>
      <c r="CA6" s="112" t="str">
        <f ca="1"/>
        <v>GASTOS DE DESPLAZAMIENTO</v>
      </c>
      <c r="CB6" s="112" t="str">
        <f ca="1"/>
        <v>GASTOS GENERALES</v>
      </c>
      <c r="CC6" s="112" t="str">
        <f ca="1"/>
        <v>GESTION Y COORDINACION</v>
      </c>
      <c r="CD6" s="112" t="str">
        <f ca="1"/>
        <v>GRANDES COMPRAS</v>
      </c>
      <c r="CE6" s="112" t="str">
        <f ca="1"/>
        <v>MATERIAL SERRA UNP</v>
      </c>
      <c r="CF6" s="112" t="str">
        <f ca="1"/>
        <v>MONTAJE EN SERRA</v>
      </c>
      <c r="CG6" s="112" t="str">
        <f ca="1"/>
        <v>PROGRAMA STD PLC SIEMENS</v>
      </c>
      <c r="CH6" s="112" t="str">
        <f ca="1"/>
        <v>PUESTA EN MARCHA EN PLANTA</v>
      </c>
      <c r="CI6" s="112" t="str">
        <f ca="1"/>
        <v>PUESTA EN MARCHA EN SERRA</v>
      </c>
      <c r="CJ6" s="112" t="str">
        <f ca="1"/>
        <v>RECEPCION UTILES</v>
      </c>
      <c r="CK6" s="112" t="str">
        <f ca="1"/>
        <v>ROBCAD</v>
      </c>
      <c r="CL6" s="108" t="str">
        <f ca="1"/>
        <v>TRANSPORTES Y EMBALAJES</v>
      </c>
      <c r="CO6"/>
      <c r="CP6" s="189" t="str" cm="1">
        <f t="array" aca="1" ref="CP6" ca="1">IF($AB6="","X",_xlfn.LET(_xlpm.x,SUM(ROW()),_xlpm.y,MATCH(CP$1,$1:$1,0),ADDRESS(_xlpm.x,_xlpm.y+1,4,1,$B$2)&amp;":"&amp;ADDRESS(_xlpm.x,1+_xlpm.y+COUNT(CODE(_xlfn._xlws.FILTER(_xlfn.ANCHORARRAY($BL6),_xlfn.ANCHORARRAY($BL6)&lt;&gt;"X","X"))),4)))</f>
        <v>AsgnBaaN!CQ6:DR6</v>
      </c>
      <c r="CQ6" s="112" t="s">
        <v>375</v>
      </c>
      <c r="CR6" s="112" t="str" cm="1">
        <f t="array" aca="1" ref="CR6:CY6" ca="1">TRANSPOSE(_xlfn._xlws.SORT(_xlfn.UNIQUE(_xlfn._xlws.FILTER(SchPdt1[Row],(SchPdt1[PrjId]=$AB6),"X"))))</f>
        <v>DISC</v>
      </c>
      <c r="CS6" s="111" t="str">
        <f ca="1"/>
        <v>DIST</v>
      </c>
      <c r="CT6" s="112" t="str">
        <f ca="1"/>
        <v>FABT</v>
      </c>
      <c r="CU6" s="112" t="str">
        <f ca="1"/>
        <v>GESH</v>
      </c>
      <c r="CV6" s="112" t="str">
        <f ca="1"/>
        <v>IMPC</v>
      </c>
      <c r="CW6" s="112" t="str">
        <f ca="1"/>
        <v>IMPT</v>
      </c>
      <c r="CX6" s="112" t="str">
        <f ca="1"/>
        <v>PEMC</v>
      </c>
      <c r="CY6" s="112" t="str">
        <f ca="1"/>
        <v>PEMT</v>
      </c>
      <c r="CZ6" s="112"/>
      <c r="DA6" s="112"/>
      <c r="DB6" s="112"/>
      <c r="DC6" s="112"/>
      <c r="DD6" s="112"/>
      <c r="DE6" s="112"/>
      <c r="DF6" s="112"/>
      <c r="DG6" s="112"/>
      <c r="DH6" s="112"/>
      <c r="DI6" s="112"/>
      <c r="DJ6" s="112"/>
      <c r="DK6" s="112"/>
      <c r="DL6" s="112"/>
      <c r="DM6" s="112"/>
      <c r="DN6" s="112"/>
      <c r="DO6" s="112"/>
      <c r="DP6" s="112"/>
      <c r="DQ6" s="112"/>
      <c r="DU6"/>
      <c r="DV6" s="336" t="str">
        <v>FABT</v>
      </c>
      <c r="DW6" s="336" cm="1">
        <f t="array" aca="1" ref="DW6" ca="1">_xlfn.LET(_xlpm.x,_xlfn._xlws.FILTER(TbAssign[FrmSch],ISNUMBER(FIND(INDIRECT("rc[-1]",FALSE),TbAssign[FrmSch])),"X"),_xlpm.y,INDIRECT("rc[-1]",FALSE),IF(OR(_xlpm.y="",_xlpm.x="X"),0,COUNTA(_xlpm.x)))</f>
        <v>0</v>
      </c>
      <c r="DX6"/>
      <c r="DZ6" s="369">
        <v>31200</v>
      </c>
      <c r="EA6" s="369" t="s">
        <v>2043</v>
      </c>
      <c r="EB6" s="369" t="s">
        <v>2055</v>
      </c>
      <c r="EC6"/>
    </row>
    <row r="7" spans="1:133" ht="12.75" customHeight="1">
      <c r="C7" s="44" t="s">
        <v>1415</v>
      </c>
      <c r="D7" s="44" t="str" cm="1">
        <f t="array" ref="D7">IF(TbAssign[[#This Row],[Módulo]]="X","X",_xlfn.UNIQUE(_xlfn._xlws.FILTER(TbStd[RowId],TbStd[RowGrp]=TbAssign[[#This Row],[Puesto]]," "))&amp;TEXT($W7,"00"))</f>
        <v>XB02</v>
      </c>
      <c r="E7" s="23" t="s">
        <v>1796</v>
      </c>
      <c r="F7" s="23" t="s">
        <v>360</v>
      </c>
      <c r="G7" s="44" t="str" cm="1">
        <f t="array" ref="G7">_xlfn._xlws.FILTER(FrmBH3[OFbId],(FrmBH3[PrjId]=TbAssign[[#This Row],[Project]])*(FrmBH3[OFbNam]=TbAssign[[#This Row],[O.F.Name]]),"X")</f>
        <v>624326</v>
      </c>
      <c r="H7" s="44" t="s">
        <v>360</v>
      </c>
      <c r="I7" s="44" t="s">
        <v>2114</v>
      </c>
      <c r="J7" s="44">
        <v>8</v>
      </c>
      <c r="K7" s="44" t="str" cm="1">
        <f t="array" ref="K7">_xlfn.UNIQUE(_xlfn._xlws.FILTER(TbStd[Amortz.],TbStd[RowGrp]=TbAssign[[#This Row],[Puesto]]," "))</f>
        <v>C</v>
      </c>
      <c r="L7" s="44" t="s">
        <v>1696</v>
      </c>
      <c r="M7" s="44" t="str" cm="1">
        <f t="array" ref="M7">_xlfn.UNIQUE(_xlfn._xlws.FILTER(TbStd[Site],TbStd[RowGrp]=TbAssign[[#This Row],[Puesto]],"X"))</f>
        <v>S</v>
      </c>
      <c r="N7" s="44" t="s">
        <v>375</v>
      </c>
      <c r="O7" s="44" t="s">
        <v>1787</v>
      </c>
      <c r="P7" s="368" t="s">
        <v>375</v>
      </c>
      <c r="Q7" s="21"/>
      <c r="R7" s="21"/>
      <c r="S7" s="21"/>
      <c r="T7" s="191" t="str">
        <v>CTCT</v>
      </c>
      <c r="U7" s="210"/>
      <c r="V7" s="191">
        <f>COUNTIFS(TbAssign[RowId],$D7,TbAssign[Project],$C7)</f>
        <v>2</v>
      </c>
      <c r="W7" s="191" cm="1">
        <f t="array" ref="W7">_xlfn.LET(_xlpm.x,_xlfn.TAKE(TbAssign[Puesto],SUM(ROW()-MATCH("SOR",$A:$A,0))),COUNT(CODE(_xlfn._xlws.FILTER(_xlpm.x,_xlpm.x=TbAssign[[#This Row],[Puesto]],"X"))))</f>
        <v>2</v>
      </c>
      <c r="X7" s="21"/>
      <c r="Y7" s="342" t="str">
        <v>31199:Sp:624320</v>
      </c>
      <c r="Z7" s="342" t="str">
        <v>31199:Sp:624320</v>
      </c>
      <c r="AA7" s="21"/>
      <c r="AB7" s="106"/>
      <c r="AC7" s="189" t="str" cm="1">
        <f t="array" ref="AC7">IF($AB7="","X",_xlfn.LET(_xlpm.x,SUM(ROW()),_xlpm.y,MATCH(AC$1,$1:$1,0),ADDRESS(_xlpm.x,_xlpm.y+1,4,1,$B$2)&amp;":"&amp;ADDRESS(_xlpm.x,1+_xlpm.y+COUNT(CODE(_xlfn._xlws.FILTER(_xlfn.ANCHORARRAY($AE7),_xlfn.ANCHORARRAY($AE7)&lt;&gt;"X","X"))),4)))</f>
        <v>X</v>
      </c>
      <c r="AD7" s="112" t="s">
        <v>375</v>
      </c>
      <c r="AE7" s="112" t="str" cm="1">
        <f t="array" ref="AE7">IF(OR($AB7="X",$AB7=""),"X",TRANSPOSE(_xlfn._xlws.SORT(_xlfn.UNIQUE(_xlfn._xlws.FILTER(FrmBH3[OFbNam],(FrmBH3[PrjId]=$AB7),"X")))))</f>
        <v>X</v>
      </c>
      <c r="AF7" s="111"/>
      <c r="AG7" s="112"/>
      <c r="AH7" s="112"/>
      <c r="AI7" s="112"/>
      <c r="AJ7" s="112"/>
      <c r="AK7" s="112"/>
      <c r="AL7" s="112"/>
      <c r="AM7" s="112"/>
      <c r="AN7" s="112"/>
      <c r="AO7" s="112"/>
      <c r="AP7" s="112"/>
      <c r="AQ7" s="112"/>
      <c r="AR7" s="112"/>
      <c r="AS7" s="112"/>
      <c r="AT7" s="112"/>
      <c r="AU7" s="112"/>
      <c r="AV7" s="112"/>
      <c r="AW7" s="112"/>
      <c r="AX7" s="112"/>
      <c r="AY7" s="112"/>
      <c r="AZ7" s="112"/>
      <c r="BA7" s="112"/>
      <c r="BB7" s="112"/>
      <c r="BC7" s="112"/>
      <c r="BD7" s="112"/>
      <c r="BE7"/>
      <c r="BF7"/>
      <c r="BG7"/>
      <c r="BH7"/>
      <c r="BI7"/>
      <c r="BJ7" s="189" t="str" cm="1">
        <f t="array" ref="BJ7">IF($AB7="","X",_xlfn.LET(_xlpm.x,SUM(ROW()),_xlpm.y,MATCH(BJ$1,$1:$1,0),ADDRESS(_xlpm.x,_xlpm.y+1,4)&amp;":"&amp;ADDRESS(_xlpm.x,1+_xlpm.y+COUNT(CODE(_xlfn._xlws.FILTER(_xlfn.ANCHORARRAY($BL7),_xlfn.ANCHORARRAY($BL7)&lt;&gt;"X","X"))),4)))</f>
        <v>X</v>
      </c>
      <c r="BK7" s="112" t="s">
        <v>375</v>
      </c>
      <c r="BL7" s="112" t="str" cm="1">
        <f t="array" ref="BL7">TRANSPOSE(_xlfn._xlws.SORT(_xlfn.UNIQUE(_xlfn._xlws.FILTER(TbAssign[Módulo],(TbAssign[Project]=$AB7),"X"))))</f>
        <v>X</v>
      </c>
      <c r="BM7" s="111"/>
      <c r="BN7" s="112"/>
      <c r="BO7" s="112"/>
      <c r="BP7" s="112"/>
      <c r="BQ7" s="112"/>
      <c r="BR7" s="112"/>
      <c r="BS7" s="112"/>
      <c r="BT7" s="112"/>
      <c r="BU7" s="112"/>
      <c r="BV7" s="112"/>
      <c r="BW7" s="112"/>
      <c r="BX7" s="112"/>
      <c r="BY7" s="112"/>
      <c r="BZ7" s="112"/>
      <c r="CA7" s="112"/>
      <c r="CB7" s="112"/>
      <c r="CC7" s="112"/>
      <c r="CD7" s="112"/>
      <c r="CE7" s="112"/>
      <c r="CF7" s="112"/>
      <c r="CG7" s="112"/>
      <c r="CH7" s="112"/>
      <c r="CI7" s="112"/>
      <c r="CJ7" s="112"/>
      <c r="CK7" s="112"/>
      <c r="CO7"/>
      <c r="CP7" s="189" t="str" cm="1">
        <f t="array" ref="CP7">IF($AB7="","X",_xlfn.LET(_xlpm.x,SUM(ROW()),_xlpm.y,MATCH(CP$1,$1:$1,0),ADDRESS(_xlpm.x,_xlpm.y+1,4)&amp;":"&amp;ADDRESS(_xlpm.x,1+_xlpm.y+COUNT(CODE(_xlfn._xlws.FILTER(_xlfn.ANCHORARRAY($BL7),_xlfn.ANCHORARRAY($BL7)&lt;&gt;"X","X"))),4)))</f>
        <v>X</v>
      </c>
      <c r="CQ7" s="112" t="s">
        <v>375</v>
      </c>
      <c r="CR7" s="112" t="str" cm="1">
        <f t="array" ref="CR7">TRANSPOSE(_xlfn._xlws.SORT(_xlfn.UNIQUE(_xlfn._xlws.FILTER(SchPdt1[Row],(SchPdt1[PrjId]=$AB7),"X"))))</f>
        <v>X</v>
      </c>
      <c r="CS7" s="111"/>
      <c r="CT7" s="112"/>
      <c r="CU7" s="112"/>
      <c r="CV7" s="112"/>
      <c r="CW7" s="112"/>
      <c r="CX7" s="112"/>
      <c r="CY7" s="112"/>
      <c r="CZ7" s="112"/>
      <c r="DA7" s="112"/>
      <c r="DB7" s="112"/>
      <c r="DC7" s="112"/>
      <c r="DD7" s="112"/>
      <c r="DE7" s="112"/>
      <c r="DF7" s="112"/>
      <c r="DG7" s="112"/>
      <c r="DH7" s="112"/>
      <c r="DI7" s="112"/>
      <c r="DJ7" s="112"/>
      <c r="DK7" s="112"/>
      <c r="DL7" s="112"/>
      <c r="DM7" s="112"/>
      <c r="DN7" s="112"/>
      <c r="DO7" s="112"/>
      <c r="DP7" s="112"/>
      <c r="DQ7" s="112"/>
      <c r="DU7"/>
      <c r="DV7" s="336" t="str">
        <v>GESH</v>
      </c>
      <c r="DW7" s="336" cm="1">
        <f t="array" aca="1" ref="DW7" ca="1">_xlfn.LET(_xlpm.x,_xlfn._xlws.FILTER(TbAssign[FrmSch],ISNUMBER(FIND(INDIRECT("rc[-1]",FALSE),TbAssign[FrmSch])),"X"),_xlpm.y,INDIRECT("rc[-1]",FALSE),IF(OR(_xlpm.y="",_xlpm.x="X"),0,COUNTA(_xlpm.x)))</f>
        <v>0</v>
      </c>
      <c r="DX7"/>
      <c r="DZ7" s="369">
        <v>31200</v>
      </c>
      <c r="EA7" s="369" t="s">
        <v>2043</v>
      </c>
      <c r="EB7" s="369" t="s">
        <v>2055</v>
      </c>
      <c r="EC7"/>
    </row>
    <row r="8" spans="1:133">
      <c r="C8" s="44" t="s">
        <v>1415</v>
      </c>
      <c r="D8" s="44" t="str" cm="1">
        <f t="array" ref="D8">IF(TbAssign[[#This Row],[Módulo]]="X","X",_xlfn.UNIQUE(_xlfn._xlws.FILTER(TbStd[RowId],TbStd[RowGrp]=TbAssign[[#This Row],[Puesto]]," "))&amp;TEXT($W8,"00"))</f>
        <v>XE01</v>
      </c>
      <c r="E8" s="23" t="s">
        <v>1802</v>
      </c>
      <c r="F8" s="23" t="s">
        <v>1284</v>
      </c>
      <c r="G8" s="44" t="str" cm="1">
        <f t="array" ref="G8">_xlfn._xlws.FILTER(FrmBH3[OFbId],(FrmBH3[PrjId]=TbAssign[[#This Row],[Project]])*(FrmBH3[OFbNam]=TbAssign[[#This Row],[O.F.Name]]),"X")</f>
        <v>624327</v>
      </c>
      <c r="H8" s="44" t="s">
        <v>1284</v>
      </c>
      <c r="I8" s="44" t="s">
        <v>2114</v>
      </c>
      <c r="J8" s="44">
        <v>15</v>
      </c>
      <c r="K8" s="44" t="str" cm="1">
        <f t="array" ref="K8">_xlfn.UNIQUE(_xlfn._xlws.FILTER(TbStd[Amortz.],TbStd[RowGrp]=TbAssign[[#This Row],[Puesto]]," "))</f>
        <v>C</v>
      </c>
      <c r="L8" s="44" t="s">
        <v>375</v>
      </c>
      <c r="M8" s="44" t="str" cm="1">
        <f t="array" ref="M8">_xlfn.UNIQUE(_xlfn._xlws.FILTER(TbStd[Site],TbStd[RowGrp]=TbAssign[[#This Row],[Puesto]],"X"))</f>
        <v>S</v>
      </c>
      <c r="N8" s="44" t="s">
        <v>375</v>
      </c>
      <c r="O8" s="44" t="s">
        <v>1787</v>
      </c>
      <c r="P8" s="368" t="s">
        <v>2041</v>
      </c>
      <c r="Q8" s="21"/>
      <c r="R8" s="21"/>
      <c r="S8" s="21"/>
      <c r="T8" s="191" t="str">
        <v>DISC</v>
      </c>
      <c r="U8" s="210"/>
      <c r="V8" s="191">
        <f>COUNTIFS(TbAssign[RowId],$D8,TbAssign[Project],$C8)</f>
        <v>3</v>
      </c>
      <c r="W8" s="191" cm="1">
        <f t="array" ref="W8">_xlfn.LET(_xlpm.x,_xlfn.TAKE(TbAssign[Puesto],SUM(ROW()-MATCH("SOR",$A:$A,0))),COUNT(CODE(_xlfn._xlws.FILTER(_xlpm.x,_xlpm.x=TbAssign[[#This Row],[Puesto]],"X"))))</f>
        <v>1</v>
      </c>
      <c r="X8" s="21"/>
      <c r="Y8" s="342" t="str">
        <v>31199:Sp:624321</v>
      </c>
      <c r="Z8" s="342" t="str">
        <v>31199:Sp:624321</v>
      </c>
      <c r="AA8" s="21"/>
      <c r="AB8" s="173" t="s">
        <v>444</v>
      </c>
      <c r="AC8" s="173" t="s">
        <v>392</v>
      </c>
      <c r="AF8"/>
      <c r="AG8"/>
      <c r="AH8"/>
      <c r="AI8"/>
      <c r="AJ8"/>
      <c r="AK8"/>
      <c r="AL8"/>
      <c r="AM8"/>
      <c r="AN8"/>
      <c r="AO8"/>
      <c r="AP8"/>
      <c r="AQ8"/>
      <c r="AR8"/>
      <c r="AS8"/>
      <c r="AT8"/>
      <c r="AU8"/>
      <c r="AV8"/>
      <c r="AW8"/>
      <c r="AX8"/>
      <c r="AY8"/>
      <c r="AZ8"/>
      <c r="BA8"/>
      <c r="BB8"/>
      <c r="BC8"/>
      <c r="BD8"/>
      <c r="BE8"/>
      <c r="BF8"/>
      <c r="BG8"/>
      <c r="BH8"/>
      <c r="BI8"/>
      <c r="BJ8" s="173" t="s">
        <v>392</v>
      </c>
      <c r="BM8"/>
      <c r="BN8"/>
      <c r="BO8"/>
      <c r="BP8"/>
      <c r="BQ8"/>
      <c r="BR8"/>
      <c r="BS8"/>
      <c r="BT8"/>
      <c r="BU8"/>
      <c r="BV8"/>
      <c r="BW8"/>
      <c r="BX8"/>
      <c r="BY8"/>
      <c r="BZ8"/>
      <c r="CA8"/>
      <c r="CB8"/>
      <c r="CC8"/>
      <c r="CD8"/>
      <c r="CE8"/>
      <c r="CF8"/>
      <c r="CG8"/>
      <c r="CH8"/>
      <c r="CI8"/>
      <c r="CJ8"/>
      <c r="CK8"/>
      <c r="CO8"/>
      <c r="CP8" s="173" t="s">
        <v>392</v>
      </c>
      <c r="CS8"/>
      <c r="CT8"/>
      <c r="CU8"/>
      <c r="CV8"/>
      <c r="CW8"/>
      <c r="CX8"/>
      <c r="CY8"/>
      <c r="CZ8"/>
      <c r="DA8"/>
      <c r="DB8"/>
      <c r="DC8"/>
      <c r="DD8"/>
      <c r="DE8"/>
      <c r="DF8"/>
      <c r="DG8"/>
      <c r="DH8"/>
      <c r="DI8"/>
      <c r="DJ8"/>
      <c r="DK8"/>
      <c r="DL8"/>
      <c r="DM8"/>
      <c r="DN8"/>
      <c r="DO8"/>
      <c r="DP8"/>
      <c r="DQ8"/>
      <c r="DU8"/>
      <c r="DV8" s="336" t="str">
        <v>IMPC</v>
      </c>
      <c r="DW8" s="336" cm="1">
        <f t="array" aca="1" ref="DW8" ca="1">_xlfn.LET(_xlpm.x,_xlfn._xlws.FILTER(TbAssign[FrmSch],ISNUMBER(FIND(INDIRECT("rc[-1]",FALSE),TbAssign[FrmSch])),"X"),_xlpm.y,INDIRECT("rc[-1]",FALSE),IF(OR(_xlpm.y="",_xlpm.x="X"),0,COUNTA(_xlpm.x)))</f>
        <v>0</v>
      </c>
      <c r="DX8"/>
      <c r="DZ8" s="369">
        <v>31200</v>
      </c>
      <c r="EA8" s="369" t="s">
        <v>2043</v>
      </c>
      <c r="EB8" s="369" t="s">
        <v>2055</v>
      </c>
      <c r="EC8"/>
    </row>
    <row r="9" spans="1:133">
      <c r="C9" s="44" t="s">
        <v>1415</v>
      </c>
      <c r="D9" s="44" t="str" cm="1">
        <f t="array" ref="D9">IF(TbAssign[[#This Row],[Módulo]]="X","X",_xlfn.UNIQUE(_xlfn._xlws.FILTER(TbStd[RowId],TbStd[RowGrp]=TbAssign[[#This Row],[Puesto]]," "))&amp;TEXT($W9,"00"))</f>
        <v>XD01</v>
      </c>
      <c r="E9" s="23" t="s">
        <v>1800</v>
      </c>
      <c r="F9" s="325" t="s">
        <v>417</v>
      </c>
      <c r="G9" s="44" t="str" cm="1">
        <f t="array" ref="G9">_xlfn._xlws.FILTER(FrmBH3[OFbId],(FrmBH3[PrjId]=TbAssign[[#This Row],[Project]])*(FrmBH3[OFbNam]=TbAssign[[#This Row],[O.F.Name]]),"X")</f>
        <v>624328</v>
      </c>
      <c r="H9" s="44" t="s">
        <v>359</v>
      </c>
      <c r="I9" s="44" t="s">
        <v>2114</v>
      </c>
      <c r="J9" s="44">
        <v>14</v>
      </c>
      <c r="K9" s="44" t="str" cm="1">
        <f t="array" ref="K9">_xlfn.UNIQUE(_xlfn._xlws.FILTER(TbStd[Amortz.],TbStd[RowGrp]=TbAssign[[#This Row],[Puesto]]," "))</f>
        <v>C</v>
      </c>
      <c r="L9" s="44" t="s">
        <v>375</v>
      </c>
      <c r="M9" s="44" t="str" cm="1">
        <f t="array" ref="M9">_xlfn.UNIQUE(_xlfn._xlws.FILTER(TbStd[Site],TbStd[RowGrp]=TbAssign[[#This Row],[Puesto]],"X"))</f>
        <v>S</v>
      </c>
      <c r="N9" s="44" t="s">
        <v>375</v>
      </c>
      <c r="O9" s="44" t="s">
        <v>1787</v>
      </c>
      <c r="P9" s="368" t="s">
        <v>2049</v>
      </c>
      <c r="Q9" s="21"/>
      <c r="R9" s="21"/>
      <c r="S9" s="21"/>
      <c r="T9" s="191" t="str">
        <v>DIST</v>
      </c>
      <c r="U9" s="210"/>
      <c r="V9" s="191">
        <f>COUNTIFS(TbAssign[RowId],$D9,TbAssign[Project],$C9)</f>
        <v>2</v>
      </c>
      <c r="W9" s="191" cm="1">
        <f t="array" ref="W9">_xlfn.LET(_xlpm.x,_xlfn.TAKE(TbAssign[Puesto],SUM(ROW()-MATCH("SOR",$A:$A,0))),COUNT(CODE(_xlfn._xlws.FILTER(_xlpm.x,_xlpm.x=TbAssign[[#This Row],[Puesto]],"X"))))</f>
        <v>1</v>
      </c>
      <c r="X9" s="21"/>
      <c r="Y9" s="342" t="str">
        <v>31199:Sp:634332</v>
      </c>
      <c r="Z9" s="342" t="str">
        <v>31199:Sp:634332</v>
      </c>
      <c r="AA9" s="21"/>
      <c r="AB9" s="107"/>
      <c r="AF9"/>
      <c r="AG9"/>
      <c r="AH9"/>
      <c r="AI9"/>
      <c r="AJ9"/>
      <c r="AK9"/>
      <c r="AL9"/>
      <c r="AM9"/>
      <c r="AN9"/>
      <c r="AO9"/>
      <c r="AP9"/>
      <c r="AQ9"/>
      <c r="AR9"/>
      <c r="AS9"/>
      <c r="AT9"/>
      <c r="AU9"/>
      <c r="AV9"/>
      <c r="AW9"/>
      <c r="AX9"/>
      <c r="AY9"/>
      <c r="AZ9"/>
      <c r="BA9"/>
      <c r="BB9"/>
      <c r="BC9"/>
      <c r="BD9"/>
      <c r="BE9"/>
      <c r="BF9"/>
      <c r="BG9"/>
      <c r="BH9"/>
      <c r="BI9"/>
      <c r="BJ9"/>
      <c r="BM9"/>
      <c r="BN9"/>
      <c r="BO9"/>
      <c r="BP9"/>
      <c r="BQ9"/>
      <c r="BR9"/>
      <c r="BS9"/>
      <c r="BT9"/>
      <c r="BU9"/>
      <c r="BV9"/>
      <c r="BW9"/>
      <c r="BX9"/>
      <c r="BY9"/>
      <c r="BZ9"/>
      <c r="CA9"/>
      <c r="CB9"/>
      <c r="CC9"/>
      <c r="CD9"/>
      <c r="CE9"/>
      <c r="CF9"/>
      <c r="CG9"/>
      <c r="CH9"/>
      <c r="CI9"/>
      <c r="CJ9"/>
      <c r="CK9"/>
      <c r="CO9"/>
      <c r="CP9"/>
      <c r="CS9"/>
      <c r="CT9"/>
      <c r="CU9"/>
      <c r="CV9"/>
      <c r="CW9"/>
      <c r="CX9"/>
      <c r="CY9"/>
      <c r="CZ9"/>
      <c r="DA9"/>
      <c r="DB9"/>
      <c r="DC9"/>
      <c r="DD9"/>
      <c r="DE9"/>
      <c r="DF9"/>
      <c r="DG9"/>
      <c r="DH9"/>
      <c r="DI9"/>
      <c r="DJ9"/>
      <c r="DK9"/>
      <c r="DL9"/>
      <c r="DM9"/>
      <c r="DN9"/>
      <c r="DO9"/>
      <c r="DP9"/>
      <c r="DQ9"/>
      <c r="DU9"/>
      <c r="DV9" s="336" t="str">
        <v>IMPT</v>
      </c>
      <c r="DW9" s="336" cm="1">
        <f t="array" aca="1" ref="DW9" ca="1">_xlfn.LET(_xlpm.x,_xlfn._xlws.FILTER(TbAssign[FrmSch],ISNUMBER(FIND(INDIRECT("rc[-1]",FALSE),TbAssign[FrmSch])),"X"),_xlpm.y,INDIRECT("rc[-1]",FALSE),IF(OR(_xlpm.y="",_xlpm.x="X"),0,COUNTA(_xlpm.x)))</f>
        <v>0</v>
      </c>
      <c r="DX9"/>
      <c r="DZ9" s="369">
        <v>31200</v>
      </c>
      <c r="EA9" s="369" t="s">
        <v>2043</v>
      </c>
      <c r="EB9" s="369" t="s">
        <v>2055</v>
      </c>
      <c r="EC9"/>
    </row>
    <row r="10" spans="1:133">
      <c r="C10" s="44" t="s">
        <v>1415</v>
      </c>
      <c r="D10" s="44" t="str" cm="1">
        <f t="array" ref="D10">IF(TbAssign[[#This Row],[Módulo]]="X","X",_xlfn.UNIQUE(_xlfn._xlws.FILTER(TbStd[RowId],TbStd[RowGrp]=TbAssign[[#This Row],[Puesto]]," "))&amp;TEXT($W10,"00"))</f>
        <v>XE01</v>
      </c>
      <c r="E10" s="23" t="s">
        <v>1804</v>
      </c>
      <c r="F10" s="23" t="s">
        <v>1467</v>
      </c>
      <c r="G10" s="44" t="str" cm="1">
        <f t="array" ref="G10">_xlfn._xlws.FILTER(FrmBH3[OFbId],(FrmBH3[PrjId]=TbAssign[[#This Row],[Project]])*(FrmBH3[OFbNam]=TbAssign[[#This Row],[O.F.Name]]),"X")</f>
        <v>624329</v>
      </c>
      <c r="H10" s="44" t="s">
        <v>1467</v>
      </c>
      <c r="I10" s="44" t="s">
        <v>2114</v>
      </c>
      <c r="J10" s="44">
        <v>26</v>
      </c>
      <c r="K10" s="44" t="str" cm="1">
        <f t="array" ref="K10">_xlfn.UNIQUE(_xlfn._xlws.FILTER(TbStd[Amortz.],TbStd[RowGrp]=TbAssign[[#This Row],[Puesto]]," "))</f>
        <v>X</v>
      </c>
      <c r="L10" s="44" t="s">
        <v>375</v>
      </c>
      <c r="M10" s="44" t="str" cm="1">
        <f t="array" ref="M10">_xlfn.UNIQUE(_xlfn._xlws.FILTER(TbStd[Site],TbStd[RowGrp]=TbAssign[[#This Row],[Puesto]],"X"))</f>
        <v>P</v>
      </c>
      <c r="N10" s="44" t="s">
        <v>375</v>
      </c>
      <c r="O10" s="44" t="s">
        <v>1787</v>
      </c>
      <c r="P10" s="368" t="s">
        <v>2052</v>
      </c>
      <c r="Q10" s="21"/>
      <c r="R10" s="21"/>
      <c r="S10" s="21"/>
      <c r="T10" s="191" t="str">
        <v>FABC</v>
      </c>
      <c r="U10" s="210"/>
      <c r="V10" s="191">
        <f>COUNTIFS(TbAssign[RowId],$D10,TbAssign[Project],$C10)</f>
        <v>3</v>
      </c>
      <c r="W10" s="191" cm="1">
        <f t="array" ref="W10">_xlfn.LET(_xlpm.x,_xlfn.TAKE(TbAssign[Puesto],SUM(ROW()-MATCH("SOR",$A:$A,0))),COUNT(CODE(_xlfn._xlws.FILTER(_xlpm.x,_xlpm.x=TbAssign[[#This Row],[Puesto]],"X"))))</f>
        <v>1</v>
      </c>
      <c r="X10" s="21"/>
      <c r="Y10" s="342" t="str">
        <v>31199:Sp:634333</v>
      </c>
      <c r="Z10" s="342" t="str">
        <v>31199:Sp:634333</v>
      </c>
      <c r="AA10" s="21"/>
      <c r="AB10" s="21"/>
      <c r="AC10" s="21"/>
      <c r="AF10"/>
      <c r="AG10"/>
      <c r="AH10"/>
      <c r="AI10"/>
      <c r="AJ10"/>
      <c r="AK10"/>
      <c r="AL10"/>
      <c r="AM10"/>
      <c r="AN10"/>
      <c r="AO10"/>
      <c r="AP10"/>
      <c r="AQ10"/>
      <c r="AR10"/>
      <c r="AS10"/>
      <c r="AT10"/>
      <c r="AU10"/>
      <c r="AV10"/>
      <c r="AW10"/>
      <c r="AX10"/>
      <c r="AY10"/>
      <c r="AZ10"/>
      <c r="BA10"/>
      <c r="BB10"/>
      <c r="BC10"/>
      <c r="BD10"/>
      <c r="BE10"/>
      <c r="BF10"/>
      <c r="BG10"/>
      <c r="BH10"/>
      <c r="BI10"/>
      <c r="BJ10" s="21"/>
      <c r="BM10"/>
      <c r="BN10"/>
      <c r="BO10"/>
      <c r="BP10"/>
      <c r="BQ10"/>
      <c r="BR10"/>
      <c r="BS10"/>
      <c r="BT10"/>
      <c r="BU10"/>
      <c r="BV10"/>
      <c r="BW10"/>
      <c r="BX10"/>
      <c r="BY10"/>
      <c r="BZ10"/>
      <c r="CA10"/>
      <c r="CB10"/>
      <c r="CC10"/>
      <c r="CD10"/>
      <c r="CE10"/>
      <c r="CF10"/>
      <c r="CG10"/>
      <c r="CH10"/>
      <c r="CI10"/>
      <c r="CJ10"/>
      <c r="CK10"/>
      <c r="CO10"/>
      <c r="CP10" s="21"/>
      <c r="CS10"/>
      <c r="CT10"/>
      <c r="CU10"/>
      <c r="CV10"/>
      <c r="CW10"/>
      <c r="CX10"/>
      <c r="CY10"/>
      <c r="CZ10"/>
      <c r="DA10"/>
      <c r="DB10"/>
      <c r="DC10"/>
      <c r="DD10"/>
      <c r="DE10"/>
      <c r="DF10"/>
      <c r="DG10"/>
      <c r="DH10"/>
      <c r="DI10"/>
      <c r="DJ10"/>
      <c r="DK10"/>
      <c r="DL10"/>
      <c r="DM10"/>
      <c r="DN10"/>
      <c r="DO10"/>
      <c r="DP10"/>
      <c r="DQ10"/>
      <c r="DU10"/>
      <c r="DV10" s="336" t="str">
        <v>PEMC</v>
      </c>
      <c r="DW10" s="336" cm="1">
        <f t="array" aca="1" ref="DW10" ca="1">_xlfn.LET(_xlpm.x,_xlfn._xlws.FILTER(TbAssign[FrmSch],ISNUMBER(FIND(INDIRECT("rc[-1]",FALSE),TbAssign[FrmSch])),"X"),_xlpm.y,INDIRECT("rc[-1]",FALSE),IF(OR(_xlpm.y="",_xlpm.x="X"),0,COUNTA(_xlpm.x)))</f>
        <v>0</v>
      </c>
      <c r="DX10"/>
      <c r="DZ10" s="369">
        <v>31200</v>
      </c>
      <c r="EA10" s="369" t="s">
        <v>2043</v>
      </c>
      <c r="EB10" s="369" t="s">
        <v>2055</v>
      </c>
      <c r="EC10"/>
    </row>
    <row r="11" spans="1:133">
      <c r="C11" s="44" t="s">
        <v>1415</v>
      </c>
      <c r="D11" s="44" t="str" cm="1">
        <f t="array" ref="D11">IF(TbAssign[[#This Row],[Módulo]]="X","X",_xlfn.UNIQUE(_xlfn._xlws.FILTER(TbStd[RowId],TbStd[RowGrp]=TbAssign[[#This Row],[Puesto]]," "))&amp;TEXT($W11,"00"))</f>
        <v>XB02</v>
      </c>
      <c r="E11" s="23" t="s">
        <v>1797</v>
      </c>
      <c r="F11" s="23" t="s">
        <v>1468</v>
      </c>
      <c r="G11" s="44" t="str" cm="1">
        <f t="array" ref="G11">_xlfn._xlws.FILTER(FrmBH3[OFbId],(FrmBH3[PrjId]=TbAssign[[#This Row],[Project]])*(FrmBH3[OFbNam]=TbAssign[[#This Row],[O.F.Name]]),"X")</f>
        <v>634341</v>
      </c>
      <c r="H11" s="44" t="s">
        <v>1468</v>
      </c>
      <c r="I11" s="44" t="s">
        <v>2114</v>
      </c>
      <c r="J11" s="44">
        <v>6</v>
      </c>
      <c r="K11" s="44" t="str" cm="1">
        <f t="array" ref="K11">_xlfn.UNIQUE(_xlfn._xlws.FILTER(TbStd[Amortz.],TbStd[RowGrp]=TbAssign[[#This Row],[Puesto]]," "))</f>
        <v>T</v>
      </c>
      <c r="L11" s="44" t="s">
        <v>1696</v>
      </c>
      <c r="M11" s="44" t="str" cm="1">
        <f t="array" ref="M11">_xlfn.UNIQUE(_xlfn._xlws.FILTER(TbStd[Site],TbStd[RowGrp]=TbAssign[[#This Row],[Puesto]],"X"))</f>
        <v>S</v>
      </c>
      <c r="N11" s="44" t="s">
        <v>375</v>
      </c>
      <c r="O11" s="44" t="s">
        <v>1787</v>
      </c>
      <c r="P11" s="368" t="s">
        <v>2040</v>
      </c>
      <c r="Q11" s="21"/>
      <c r="R11" s="21"/>
      <c r="S11" s="21"/>
      <c r="T11" s="191" t="str">
        <v>FABT</v>
      </c>
      <c r="U11" s="210"/>
      <c r="V11" s="191">
        <f>COUNTIFS(TbAssign[RowId],$D11,TbAssign[Project],$C11)</f>
        <v>2</v>
      </c>
      <c r="W11" s="191" cm="1">
        <f t="array" ref="W11">_xlfn.LET(_xlpm.x,_xlfn.TAKE(TbAssign[Puesto],SUM(ROW()-MATCH("SOR",$A:$A,0))),COUNT(CODE(_xlfn._xlws.FILTER(_xlpm.x,_xlpm.x=TbAssign[[#This Row],[Puesto]],"X"))))</f>
        <v>2</v>
      </c>
      <c r="X11" s="21"/>
      <c r="Y11" s="342" t="str">
        <v>31199:Sp:634334</v>
      </c>
      <c r="Z11" s="342" t="str">
        <v>31199:Sp:634334</v>
      </c>
      <c r="AA11" s="21"/>
      <c r="AB11" s="21"/>
      <c r="AC11" s="21"/>
      <c r="AD11" s="21"/>
      <c r="AE11" s="108"/>
      <c r="AF11" s="109"/>
      <c r="AG11" s="108"/>
      <c r="AH11" s="108"/>
      <c r="AI11" s="108"/>
      <c r="AJ11" s="108"/>
      <c r="AL11" s="108"/>
      <c r="BE11"/>
      <c r="BF11"/>
      <c r="BG11"/>
      <c r="BH11"/>
      <c r="BI11"/>
      <c r="BJ11" s="21"/>
      <c r="BK11" s="21"/>
      <c r="BL11" s="108"/>
      <c r="BM11" s="109"/>
      <c r="BN11" s="108"/>
      <c r="BO11" s="108"/>
      <c r="BP11" s="108"/>
      <c r="BQ11" s="108"/>
      <c r="BS11" s="108"/>
      <c r="CO11"/>
      <c r="CP11" s="21"/>
      <c r="CQ11" s="21"/>
      <c r="CR11" s="108"/>
      <c r="CS11" s="109"/>
      <c r="CT11" s="108"/>
      <c r="CU11" s="108"/>
      <c r="CV11" s="108"/>
      <c r="CW11" s="108"/>
      <c r="CY11" s="108"/>
      <c r="DU11"/>
      <c r="DV11" s="336" t="str">
        <v>PEMT</v>
      </c>
      <c r="DW11" s="336" cm="1">
        <f t="array" aca="1" ref="DW11" ca="1">_xlfn.LET(_xlpm.x,_xlfn._xlws.FILTER(TbAssign[FrmSch],ISNUMBER(FIND(INDIRECT("rc[-1]",FALSE),TbAssign[FrmSch])),"X"),_xlpm.y,INDIRECT("rc[-1]",FALSE),IF(OR(_xlpm.y="",_xlpm.x="X"),0,COUNTA(_xlpm.x)))</f>
        <v>0</v>
      </c>
      <c r="DX11"/>
      <c r="DZ11" s="369">
        <v>31200</v>
      </c>
      <c r="EA11" s="369" t="s">
        <v>2043</v>
      </c>
      <c r="EB11" s="369" t="s">
        <v>2055</v>
      </c>
      <c r="EC11"/>
    </row>
    <row r="12" spans="1:133">
      <c r="C12" s="44" t="s">
        <v>1415</v>
      </c>
      <c r="D12" s="44" t="str" cm="1">
        <f t="array" ref="D12">IF(TbAssign[[#This Row],[Módulo]]="X","X",_xlfn.UNIQUE(_xlfn._xlws.FILTER(TbStd[RowId],TbStd[RowGrp]=TbAssign[[#This Row],[Puesto]]," "))&amp;TEXT($W12,"00"))</f>
        <v>XB03</v>
      </c>
      <c r="E12" s="23" t="s">
        <v>1796</v>
      </c>
      <c r="F12" s="23" t="s">
        <v>1286</v>
      </c>
      <c r="G12" s="44" t="str" cm="1">
        <f t="array" ref="G12">_xlfn._xlws.FILTER(FrmBH3[OFbId],(FrmBH3[PrjId]=TbAssign[[#This Row],[Project]])*(FrmBH3[OFbNam]=TbAssign[[#This Row],[O.F.Name]]),"X")</f>
        <v>634342</v>
      </c>
      <c r="H12" s="44" t="s">
        <v>1286</v>
      </c>
      <c r="I12" s="44" t="s">
        <v>2114</v>
      </c>
      <c r="J12" s="44">
        <v>4</v>
      </c>
      <c r="K12" s="44" t="str" cm="1">
        <f t="array" ref="K12">_xlfn.UNIQUE(_xlfn._xlws.FILTER(TbStd[Amortz.],TbStd[RowGrp]=TbAssign[[#This Row],[Puesto]]," "))</f>
        <v>C</v>
      </c>
      <c r="L12" s="44" t="s">
        <v>1696</v>
      </c>
      <c r="M12" s="44" t="str" cm="1">
        <f t="array" ref="M12">_xlfn.UNIQUE(_xlfn._xlws.FILTER(TbStd[Site],TbStd[RowGrp]=TbAssign[[#This Row],[Puesto]],"X"))</f>
        <v>S</v>
      </c>
      <c r="N12" s="44" t="s">
        <v>375</v>
      </c>
      <c r="O12" s="44" t="s">
        <v>1787</v>
      </c>
      <c r="P12" s="368" t="s">
        <v>2038</v>
      </c>
      <c r="Q12" s="21"/>
      <c r="R12" s="21"/>
      <c r="S12" s="21"/>
      <c r="T12" s="191" t="str">
        <v>GDHR</v>
      </c>
      <c r="U12" s="210"/>
      <c r="V12" s="191">
        <f>COUNTIFS(TbAssign[RowId],$D12,TbAssign[Project],$C12)</f>
        <v>1</v>
      </c>
      <c r="W12" s="191" cm="1">
        <f t="array" ref="W12">_xlfn.LET(_xlpm.x,_xlfn.TAKE(TbAssign[Puesto],SUM(ROW()-MATCH("SOR",$A:$A,0))),COUNT(CODE(_xlfn._xlws.FILTER(_xlpm.x,_xlpm.x=TbAssign[[#This Row],[Puesto]],"X"))))</f>
        <v>3</v>
      </c>
      <c r="X12" s="21"/>
      <c r="Y12" s="342" t="str">
        <v>31199:Sp:634335</v>
      </c>
      <c r="Z12" s="342" t="str">
        <v>31199:Sp:634335</v>
      </c>
      <c r="AA12" s="21"/>
      <c r="AB12" s="21"/>
      <c r="AC12" s="21"/>
      <c r="AD12" s="21"/>
      <c r="AE12" s="108"/>
      <c r="AF12" s="109"/>
      <c r="AG12" s="108"/>
      <c r="AH12" s="108"/>
      <c r="AI12" s="108"/>
      <c r="AJ12" s="108"/>
      <c r="AL12" s="108"/>
      <c r="BE12"/>
      <c r="BF12"/>
      <c r="BG12"/>
      <c r="BH12"/>
      <c r="BI12"/>
      <c r="BJ12" s="21"/>
      <c r="BK12" s="21"/>
      <c r="BL12" s="108"/>
      <c r="BM12" s="109"/>
      <c r="BN12" s="108"/>
      <c r="BO12" s="108"/>
      <c r="BP12" s="108"/>
      <c r="BQ12" s="108"/>
      <c r="BS12" s="108"/>
      <c r="CO12"/>
      <c r="CP12" s="21"/>
      <c r="CQ12" s="21"/>
      <c r="CR12" s="108"/>
      <c r="CS12" s="109"/>
      <c r="CT12" s="108"/>
      <c r="CU12" s="108"/>
      <c r="CV12" s="108"/>
      <c r="CW12" s="108"/>
      <c r="CY12" s="108"/>
      <c r="DU12"/>
      <c r="DV12" s="336"/>
      <c r="DW12" s="336" cm="1">
        <f t="array" aca="1" ref="DW12" ca="1">_xlfn.LET(_xlpm.x,_xlfn._xlws.FILTER(TbAssign[FrmSch],ISNUMBER(FIND(INDIRECT("rc[-1]",FALSE),TbAssign[FrmSch])),"X"),_xlpm.y,INDIRECT("rc[-1]",FALSE),IF(OR(_xlpm.y="",_xlpm.x="X"),0,COUNTA(_xlpm.x)))</f>
        <v>0</v>
      </c>
      <c r="DX12"/>
      <c r="DZ12" s="369">
        <v>31200</v>
      </c>
      <c r="EA12" s="369" t="s">
        <v>2039</v>
      </c>
      <c r="EB12" s="369" t="s">
        <v>2055</v>
      </c>
      <c r="EC12"/>
    </row>
    <row r="13" spans="1:133">
      <c r="C13" s="44" t="s">
        <v>1415</v>
      </c>
      <c r="D13" s="44" t="str" cm="1">
        <f t="array" ref="D13">IF(TbAssign[[#This Row],[Módulo]]="X","X",_xlfn.UNIQUE(_xlfn._xlws.FILTER(TbStd[RowId],TbStd[RowGrp]=TbAssign[[#This Row],[Puesto]]," "))&amp;TEXT($W13,"00"))</f>
        <v>XE01</v>
      </c>
      <c r="E13" s="23" t="s">
        <v>1803</v>
      </c>
      <c r="F13" s="23" t="s">
        <v>298</v>
      </c>
      <c r="G13" s="44" t="str" cm="1">
        <f t="array" ref="G13">_xlfn._xlws.FILTER(FrmBH3[OFbId],(FrmBH3[PrjId]=TbAssign[[#This Row],[Project]])*(FrmBH3[OFbNam]=TbAssign[[#This Row],[O.F.Name]]),"X")</f>
        <v>634343</v>
      </c>
      <c r="H13" s="44" t="s">
        <v>298</v>
      </c>
      <c r="I13" s="44" t="s">
        <v>2114</v>
      </c>
      <c r="J13" s="44">
        <v>16</v>
      </c>
      <c r="K13" s="44" t="str" cm="1">
        <f t="array" ref="K13">_xlfn.UNIQUE(_xlfn._xlws.FILTER(TbStd[Amortz.],TbStd[RowGrp]=TbAssign[[#This Row],[Puesto]]," "))</f>
        <v>T</v>
      </c>
      <c r="L13" s="44" t="s">
        <v>375</v>
      </c>
      <c r="M13" s="44" t="str" cm="1">
        <f t="array" ref="M13">_xlfn.UNIQUE(_xlfn._xlws.FILTER(TbStd[Site],TbStd[RowGrp]=TbAssign[[#This Row],[Puesto]],"X"))</f>
        <v>S</v>
      </c>
      <c r="N13" s="44" t="s">
        <v>375</v>
      </c>
      <c r="O13" s="44" t="s">
        <v>1787</v>
      </c>
      <c r="P13" s="368" t="s">
        <v>2044</v>
      </c>
      <c r="Q13" s="21"/>
      <c r="R13" s="21"/>
      <c r="S13" s="21"/>
      <c r="T13" s="191" t="str">
        <v>GSGT</v>
      </c>
      <c r="U13" s="210"/>
      <c r="V13" s="191">
        <f>COUNTIFS(TbAssign[RowId],$D13,TbAssign[Project],$C13)</f>
        <v>3</v>
      </c>
      <c r="W13" s="191" cm="1">
        <f t="array" ref="W13">_xlfn.LET(_xlpm.x,_xlfn.TAKE(TbAssign[Puesto],SUM(ROW()-MATCH("SOR",$A:$A,0))),COUNT(CODE(_xlfn._xlws.FILTER(_xlpm.x,_xlpm.x=TbAssign[[#This Row],[Puesto]],"X"))))</f>
        <v>1</v>
      </c>
      <c r="X13" s="21"/>
      <c r="Y13" s="342" t="str">
        <v>31199:Sp:651835</v>
      </c>
      <c r="Z13" s="342" t="str">
        <v>31199:Sp:651835</v>
      </c>
      <c r="AA13" s="21"/>
      <c r="AB13" s="21"/>
      <c r="AC13" s="21"/>
      <c r="AD13" s="21"/>
      <c r="AE13" s="108"/>
      <c r="AF13" s="109"/>
      <c r="AG13" s="108"/>
      <c r="AH13" s="108"/>
      <c r="AI13" s="108"/>
      <c r="AJ13" s="108"/>
      <c r="AL13" s="108"/>
      <c r="BE13"/>
      <c r="BF13"/>
      <c r="BG13"/>
      <c r="BH13"/>
      <c r="BI13"/>
      <c r="BJ13" s="21"/>
      <c r="BK13" s="21"/>
      <c r="BL13" s="108"/>
      <c r="BM13" s="109"/>
      <c r="BN13" s="108"/>
      <c r="BO13" s="108"/>
      <c r="BP13" s="108"/>
      <c r="BQ13" s="108"/>
      <c r="BS13" s="108"/>
      <c r="CO13"/>
      <c r="CP13" s="21"/>
      <c r="CQ13" s="21"/>
      <c r="CR13" s="108"/>
      <c r="CS13" s="109"/>
      <c r="CT13" s="108"/>
      <c r="CU13" s="108"/>
      <c r="CV13" s="108"/>
      <c r="CW13" s="108"/>
      <c r="CY13" s="108"/>
      <c r="DU13"/>
      <c r="DV13" s="336"/>
      <c r="DW13" s="336" cm="1">
        <f t="array" aca="1" ref="DW13" ca="1">_xlfn.LET(_xlpm.x,_xlfn._xlws.FILTER(TbAssign[FrmSch],ISNUMBER(FIND(INDIRECT("rc[-1]",FALSE),TbAssign[FrmSch])),"X"),_xlpm.y,INDIRECT("rc[-1]",FALSE),IF(OR(_xlpm.y="",_xlpm.x="X"),0,COUNTA(_xlpm.x)))</f>
        <v>0</v>
      </c>
      <c r="DX13"/>
      <c r="DZ13" s="369">
        <v>31200</v>
      </c>
      <c r="EA13" s="369" t="s">
        <v>2039</v>
      </c>
      <c r="EB13" s="369" t="s">
        <v>2055</v>
      </c>
      <c r="EC13"/>
    </row>
    <row r="14" spans="1:133">
      <c r="C14" s="44" t="s">
        <v>1415</v>
      </c>
      <c r="D14" s="44" t="str" cm="1">
        <f t="array" ref="D14">IF(TbAssign[[#This Row],[Módulo]]="X","X",_xlfn.UNIQUE(_xlfn._xlws.FILTER(TbStd[RowId],TbStd[RowGrp]=TbAssign[[#This Row],[Puesto]]," "))&amp;TEXT($W14,"00"))</f>
        <v>XC01</v>
      </c>
      <c r="E14" s="23" t="s">
        <v>1798</v>
      </c>
      <c r="F14" s="23" t="s">
        <v>362</v>
      </c>
      <c r="G14" s="44" t="str" cm="1">
        <f t="array" ref="G14">_xlfn._xlws.FILTER(FrmBH3[OFbId],(FrmBH3[PrjId]=TbAssign[[#This Row],[Project]])*(FrmBH3[OFbNam]=TbAssign[[#This Row],[O.F.Name]]),"X")</f>
        <v>634344</v>
      </c>
      <c r="H14" s="44" t="s">
        <v>362</v>
      </c>
      <c r="I14" s="44" t="s">
        <v>2114</v>
      </c>
      <c r="J14" s="44">
        <v>10</v>
      </c>
      <c r="K14" s="44" t="str" cm="1">
        <f t="array" ref="K14">_xlfn.UNIQUE(_xlfn._xlws.FILTER(TbStd[Amortz.],TbStd[RowGrp]=TbAssign[[#This Row],[Puesto]]," "))</f>
        <v>C</v>
      </c>
      <c r="L14" s="44" t="s">
        <v>1300</v>
      </c>
      <c r="M14" s="44" t="str" cm="1">
        <f t="array" ref="M14">_xlfn.UNIQUE(_xlfn._xlws.FILTER(TbStd[Site],TbStd[RowGrp]=TbAssign[[#This Row],[Puesto]],"X"))</f>
        <v>S</v>
      </c>
      <c r="N14" s="44" t="s">
        <v>1698</v>
      </c>
      <c r="O14" s="44" t="s">
        <v>375</v>
      </c>
      <c r="P14" s="368" t="s">
        <v>375</v>
      </c>
      <c r="Q14" s="21"/>
      <c r="R14" s="21"/>
      <c r="S14" s="21"/>
      <c r="T14" s="191" t="str">
        <v>GSMT</v>
      </c>
      <c r="U14" s="210"/>
      <c r="V14" s="191">
        <f>COUNTIFS(TbAssign[RowId],$D14,TbAssign[Project],$C14)</f>
        <v>2</v>
      </c>
      <c r="W14" s="191" cm="1">
        <f t="array" ref="W14">_xlfn.LET(_xlpm.x,_xlfn.TAKE(TbAssign[Puesto],SUM(ROW()-MATCH("SOR",$A:$A,0))),COUNT(CODE(_xlfn._xlws.FILTER(_xlpm.x,_xlpm.x=TbAssign[[#This Row],[Puesto]],"X"))))</f>
        <v>1</v>
      </c>
      <c r="X14" s="21"/>
      <c r="Y14" s="342" t="str">
        <v>31199:Sp:651836</v>
      </c>
      <c r="Z14" s="342" t="str">
        <v>31199:Sp:651836</v>
      </c>
      <c r="AA14" s="21"/>
      <c r="AB14" s="21"/>
      <c r="AC14" s="21"/>
      <c r="AD14" s="21"/>
      <c r="AE14" s="108"/>
      <c r="AF14" s="109"/>
      <c r="AG14" s="108"/>
      <c r="AH14" s="108"/>
      <c r="AI14" s="108"/>
      <c r="AJ14" s="108"/>
      <c r="AL14" s="108"/>
      <c r="BE14"/>
      <c r="BF14"/>
      <c r="BG14"/>
      <c r="BH14"/>
      <c r="BI14"/>
      <c r="BJ14" s="21"/>
      <c r="BK14" s="21"/>
      <c r="BL14" s="108"/>
      <c r="BM14" s="109"/>
      <c r="BN14" s="108"/>
      <c r="BO14" s="108"/>
      <c r="BP14" s="108"/>
      <c r="BQ14" s="108"/>
      <c r="BS14" s="108"/>
      <c r="CO14"/>
      <c r="CP14" s="21"/>
      <c r="CQ14" s="21"/>
      <c r="CR14" s="108"/>
      <c r="CS14" s="109"/>
      <c r="CT14" s="108"/>
      <c r="CU14" s="108"/>
      <c r="CV14" s="108"/>
      <c r="CW14" s="108"/>
      <c r="CY14" s="108"/>
      <c r="DU14"/>
      <c r="DV14" s="336"/>
      <c r="DW14" s="336" cm="1">
        <f t="array" aca="1" ref="DW14" ca="1">_xlfn.LET(_xlpm.x,_xlfn._xlws.FILTER(TbAssign[FrmSch],ISNUMBER(FIND(INDIRECT("rc[-1]",FALSE),TbAssign[FrmSch])),"X"),_xlpm.y,INDIRECT("rc[-1]",FALSE),IF(OR(_xlpm.y="",_xlpm.x="X"),0,COUNTA(_xlpm.x)))</f>
        <v>0</v>
      </c>
      <c r="DX14"/>
      <c r="DZ14" s="369">
        <v>31200</v>
      </c>
      <c r="EA14" s="369" t="s">
        <v>2039</v>
      </c>
      <c r="EB14" s="369" t="s">
        <v>2055</v>
      </c>
      <c r="EC14"/>
    </row>
    <row r="15" spans="1:133">
      <c r="C15" s="44" t="s">
        <v>1415</v>
      </c>
      <c r="D15" s="44" t="str" cm="1">
        <f t="array" ref="D15">IF(TbAssign[[#This Row],[Módulo]]="X","X",_xlfn.UNIQUE(_xlfn._xlws.FILTER(TbStd[RowId],TbStd[RowGrp]=TbAssign[[#This Row],[Puesto]]," "))&amp;TEXT($W15,"00"))</f>
        <v>XC02</v>
      </c>
      <c r="E15" s="23" t="s">
        <v>1798</v>
      </c>
      <c r="F15" s="23" t="s">
        <v>368</v>
      </c>
      <c r="G15" s="44" t="str" cm="1">
        <f t="array" ref="G15">_xlfn._xlws.FILTER(FrmBH3[OFbId],(FrmBH3[PrjId]=TbAssign[[#This Row],[Project]])*(FrmBH3[OFbNam]=TbAssign[[#This Row],[O.F.Name]]),"X")</f>
        <v>634345</v>
      </c>
      <c r="H15" s="44" t="s">
        <v>368</v>
      </c>
      <c r="I15" s="44" t="s">
        <v>2114</v>
      </c>
      <c r="J15" s="44">
        <v>9</v>
      </c>
      <c r="K15" s="44" t="str" cm="1">
        <f t="array" ref="K15">_xlfn.UNIQUE(_xlfn._xlws.FILTER(TbStd[Amortz.],TbStd[RowGrp]=TbAssign[[#This Row],[Puesto]]," "))</f>
        <v>C</v>
      </c>
      <c r="L15" s="44" t="s">
        <v>1696</v>
      </c>
      <c r="M15" s="44" t="str" cm="1">
        <f t="array" ref="M15">_xlfn.UNIQUE(_xlfn._xlws.FILTER(TbStd[Site],TbStd[RowGrp]=TbAssign[[#This Row],[Puesto]],"X"))</f>
        <v>S</v>
      </c>
      <c r="N15" s="44" t="s">
        <v>375</v>
      </c>
      <c r="O15" s="44" t="s">
        <v>375</v>
      </c>
      <c r="P15" s="368" t="s">
        <v>375</v>
      </c>
      <c r="Q15" s="21"/>
      <c r="R15" s="21"/>
      <c r="S15" s="21"/>
      <c r="T15" s="191" t="str">
        <v>IMCP</v>
      </c>
      <c r="U15" s="210"/>
      <c r="V15" s="191">
        <f>COUNTIFS(TbAssign[RowId],$D15,TbAssign[Project],$C15)</f>
        <v>1</v>
      </c>
      <c r="W15" s="191" cm="1">
        <f t="array" ref="W15">_xlfn.LET(_xlpm.x,_xlfn.TAKE(TbAssign[Puesto],SUM(ROW()-MATCH("SOR",$A:$A,0))),COUNT(CODE(_xlfn._xlws.FILTER(_xlpm.x,_xlpm.x=TbAssign[[#This Row],[Puesto]],"X"))))</f>
        <v>2</v>
      </c>
      <c r="X15" s="21"/>
      <c r="Y15" s="342" t="str">
        <v>31199:Sp:CDC</v>
      </c>
      <c r="Z15" s="342" t="str">
        <v>31199:Sp:CDC</v>
      </c>
      <c r="AA15" s="21"/>
      <c r="AB15" s="21"/>
      <c r="AC15" s="21"/>
      <c r="AD15" s="21"/>
      <c r="AE15" s="108"/>
      <c r="AF15" s="109"/>
      <c r="AG15" s="108"/>
      <c r="AH15" s="108"/>
      <c r="AI15" s="108"/>
      <c r="AJ15" s="108"/>
      <c r="AL15" s="108"/>
      <c r="BE15"/>
      <c r="BF15"/>
      <c r="BG15"/>
      <c r="BH15"/>
      <c r="BI15"/>
      <c r="BJ15" s="21"/>
      <c r="BK15" s="21"/>
      <c r="BL15" s="108"/>
      <c r="BM15" s="109"/>
      <c r="BN15" s="108"/>
      <c r="BO15" s="108"/>
      <c r="BP15" s="108"/>
      <c r="BQ15" s="108"/>
      <c r="BS15" s="108"/>
      <c r="CO15"/>
      <c r="CP15" s="21"/>
      <c r="CQ15" s="21"/>
      <c r="CR15" s="108"/>
      <c r="CS15" s="109"/>
      <c r="CT15" s="108"/>
      <c r="CU15" s="108"/>
      <c r="CV15" s="108"/>
      <c r="CW15" s="108"/>
      <c r="CY15" s="108"/>
      <c r="DU15"/>
      <c r="DV15" s="336"/>
      <c r="DW15" s="336" cm="1">
        <f t="array" aca="1" ref="DW15" ca="1">_xlfn.LET(_xlpm.x,_xlfn._xlws.FILTER(TbAssign[FrmSch],ISNUMBER(FIND(INDIRECT("rc[-1]",FALSE),TbAssign[FrmSch])),"X"),_xlpm.y,INDIRECT("rc[-1]",FALSE),IF(OR(_xlpm.y="",_xlpm.x="X"),0,COUNTA(_xlpm.x)))</f>
        <v>0</v>
      </c>
      <c r="DX15"/>
      <c r="DZ15" s="369">
        <v>31200</v>
      </c>
      <c r="EA15" s="369" t="s">
        <v>2039</v>
      </c>
      <c r="EB15" s="369" t="s">
        <v>2055</v>
      </c>
      <c r="EC15"/>
    </row>
    <row r="16" spans="1:133">
      <c r="C16" s="44" t="s">
        <v>1415</v>
      </c>
      <c r="D16" s="44" t="str" cm="1">
        <f t="array" ref="D16">IF(TbAssign[[#This Row],[Módulo]]="X","X",_xlfn.UNIQUE(_xlfn._xlws.FILTER(TbStd[RowId],TbStd[RowGrp]=TbAssign[[#This Row],[Puesto]]," "))&amp;TEXT($W16,"00"))</f>
        <v>XD02</v>
      </c>
      <c r="E16" s="23" t="s">
        <v>1800</v>
      </c>
      <c r="F16" s="23" t="s">
        <v>1410</v>
      </c>
      <c r="G16" s="44" t="str" cm="1">
        <f t="array" ref="G16">_xlfn._xlws.FILTER(FrmBH3[OFbId],(FrmBH3[PrjId]=TbAssign[[#This Row],[Project]])*(FrmBH3[OFbNam]=TbAssign[[#This Row],[O.F.Name]]),"X")</f>
        <v>634346</v>
      </c>
      <c r="H16" s="44" t="s">
        <v>1410</v>
      </c>
      <c r="I16" s="44" t="s">
        <v>2114</v>
      </c>
      <c r="J16" s="44">
        <v>13</v>
      </c>
      <c r="K16" s="44" t="str" cm="1">
        <f t="array" ref="K16">_xlfn.UNIQUE(_xlfn._xlws.FILTER(TbStd[Amortz.],TbStd[RowGrp]=TbAssign[[#This Row],[Puesto]]," "))</f>
        <v>C</v>
      </c>
      <c r="L16" s="44" t="s">
        <v>375</v>
      </c>
      <c r="M16" s="44" t="str" cm="1">
        <f t="array" ref="M16">_xlfn.UNIQUE(_xlfn._xlws.FILTER(TbStd[Site],TbStd[RowGrp]=TbAssign[[#This Row],[Puesto]],"X"))</f>
        <v>S</v>
      </c>
      <c r="N16" s="44" t="s">
        <v>375</v>
      </c>
      <c r="O16" s="44" t="s">
        <v>1787</v>
      </c>
      <c r="P16" s="368" t="s">
        <v>2042</v>
      </c>
      <c r="Q16" s="21"/>
      <c r="R16" s="21"/>
      <c r="S16" s="21"/>
      <c r="T16" s="191" t="str">
        <v>IMCS</v>
      </c>
      <c r="U16" s="210"/>
      <c r="V16" s="191">
        <f>COUNTIFS(TbAssign[RowId],$D16,TbAssign[Project],$C16)</f>
        <v>1</v>
      </c>
      <c r="W16" s="191" cm="1">
        <f t="array" ref="W16">_xlfn.LET(_xlpm.x,_xlfn.TAKE(TbAssign[Puesto],SUM(ROW()-MATCH("SOR",$A:$A,0))),COUNT(CODE(_xlfn._xlws.FILTER(_xlpm.x,_xlpm.x=TbAssign[[#This Row],[Puesto]],"X"))))</f>
        <v>2</v>
      </c>
      <c r="X16" s="21"/>
      <c r="Y16" s="342" t="str">
        <v>31199:Sp:CPE</v>
      </c>
      <c r="Z16" s="342" t="str">
        <v>31199:Sp:CPE</v>
      </c>
      <c r="AA16" s="21"/>
      <c r="AB16" s="21"/>
      <c r="AC16" s="21"/>
      <c r="AD16" s="21"/>
      <c r="AE16" s="108"/>
      <c r="AF16" s="109"/>
      <c r="AG16" s="108"/>
      <c r="AH16" s="108"/>
      <c r="AI16" s="108"/>
      <c r="AJ16" s="108"/>
      <c r="AL16" s="108"/>
      <c r="BE16"/>
      <c r="BF16"/>
      <c r="BG16"/>
      <c r="BH16"/>
      <c r="BI16"/>
      <c r="BJ16" s="21"/>
      <c r="BK16" s="21"/>
      <c r="BL16" s="108"/>
      <c r="BM16" s="109"/>
      <c r="BN16" s="108"/>
      <c r="BO16" s="108"/>
      <c r="BP16" s="108"/>
      <c r="BQ16" s="108"/>
      <c r="BS16" s="108"/>
      <c r="CO16"/>
      <c r="CP16" s="21"/>
      <c r="CQ16" s="21"/>
      <c r="CR16" s="108"/>
      <c r="CS16" s="109"/>
      <c r="CT16" s="108"/>
      <c r="CU16" s="108"/>
      <c r="CV16" s="108"/>
      <c r="CW16" s="108"/>
      <c r="CY16" s="108"/>
      <c r="DU16"/>
      <c r="DV16" s="336"/>
      <c r="DW16" s="336" cm="1">
        <f t="array" aca="1" ref="DW16" ca="1">_xlfn.LET(_xlpm.x,_xlfn._xlws.FILTER(TbAssign[FrmSch],ISNUMBER(FIND(INDIRECT("rc[-1]",FALSE),TbAssign[FrmSch])),"X"),_xlpm.y,INDIRECT("rc[-1]",FALSE),IF(OR(_xlpm.y="",_xlpm.x="X"),0,COUNTA(_xlpm.x)))</f>
        <v>0</v>
      </c>
      <c r="DX16"/>
      <c r="DZ16" s="369">
        <v>31200</v>
      </c>
      <c r="EA16" s="369" t="s">
        <v>2039</v>
      </c>
      <c r="EB16" s="369" t="s">
        <v>2055</v>
      </c>
      <c r="EC16"/>
    </row>
    <row r="17" spans="3:133">
      <c r="C17" s="44" t="s">
        <v>1415</v>
      </c>
      <c r="D17" s="44" t="str" cm="1">
        <f t="array" ref="D17">IF(TbAssign[[#This Row],[Módulo]]="X","X",_xlfn.UNIQUE(_xlfn._xlws.FILTER(TbStd[RowId],TbStd[RowGrp]=TbAssign[[#This Row],[Puesto]]," "))&amp;TEXT($W17,"00"))</f>
        <v>XH01</v>
      </c>
      <c r="E17" s="23" t="s">
        <v>1794</v>
      </c>
      <c r="F17" s="23" t="s">
        <v>288</v>
      </c>
      <c r="G17" s="44" t="str" cm="1">
        <f t="array" ref="G17">_xlfn._xlws.FILTER(FrmBH3[OFbId],(FrmBH3[PrjId]=TbAssign[[#This Row],[Project]])*(FrmBH3[OFbNam]=TbAssign[[#This Row],[O.F.Name]]),"X")</f>
        <v>651843</v>
      </c>
      <c r="H17" s="44" t="s">
        <v>288</v>
      </c>
      <c r="I17" s="44" t="s">
        <v>2114</v>
      </c>
      <c r="J17" s="44">
        <v>19</v>
      </c>
      <c r="K17" s="44" t="str" cm="1">
        <f t="array" ref="K17">_xlfn.UNIQUE(_xlfn._xlws.FILTER(TbStd[Amortz.],TbStd[RowGrp]=TbAssign[[#This Row],[Puesto]]," "))</f>
        <v>X</v>
      </c>
      <c r="L17" s="44" t="s">
        <v>375</v>
      </c>
      <c r="M17" s="44" t="str" cm="1">
        <f t="array" ref="M17">_xlfn.UNIQUE(_xlfn._xlws.FILTER(TbStd[Site],TbStd[RowGrp]=TbAssign[[#This Row],[Puesto]],"X"))</f>
        <v>X</v>
      </c>
      <c r="N17" s="44" t="s">
        <v>1695</v>
      </c>
      <c r="O17" s="44" t="s">
        <v>375</v>
      </c>
      <c r="P17" s="368" t="s">
        <v>375</v>
      </c>
      <c r="Q17" s="21"/>
      <c r="R17" s="21"/>
      <c r="S17" s="21"/>
      <c r="T17" s="191" t="str">
        <v>IMTS</v>
      </c>
      <c r="U17" s="210"/>
      <c r="V17" s="191">
        <f>COUNTIFS(TbAssign[RowId],$D17,TbAssign[Project],$C17)</f>
        <v>2</v>
      </c>
      <c r="W17" s="191" cm="1">
        <f t="array" ref="W17">_xlfn.LET(_xlpm.x,_xlfn.TAKE(TbAssign[Puesto],SUM(ROW()-MATCH("SOR",$A:$A,0))),COUNT(CODE(_xlfn._xlws.FILTER(_xlpm.x,_xlpm.x=TbAssign[[#This Row],[Puesto]],"X"))))</f>
        <v>1</v>
      </c>
      <c r="X17" s="131"/>
      <c r="Y17" s="343" t="str">
        <v>31199:Sp:GDA</v>
      </c>
      <c r="Z17" s="342" t="str">
        <v>31199:Sp:GDA</v>
      </c>
      <c r="AB17"/>
      <c r="AE17" s="21"/>
      <c r="AJ17" s="108"/>
      <c r="AK17" s="109"/>
      <c r="AL17" s="108"/>
      <c r="BJ17"/>
      <c r="BL17" s="21"/>
      <c r="BQ17" s="108"/>
      <c r="BR17" s="109"/>
      <c r="BS17" s="108"/>
      <c r="CP17"/>
      <c r="CR17" s="21"/>
      <c r="CW17" s="108"/>
      <c r="CX17" s="109"/>
      <c r="CY17" s="108"/>
      <c r="DU17"/>
      <c r="DV17" s="336"/>
      <c r="DW17" s="336" cm="1">
        <f t="array" aca="1" ref="DW17" ca="1">_xlfn.LET(_xlpm.x,_xlfn._xlws.FILTER(TbAssign[FrmSch],ISNUMBER(FIND(INDIRECT("rc[-1]",FALSE),TbAssign[FrmSch])),"X"),_xlpm.y,INDIRECT("rc[-1]",FALSE),IF(OR(_xlpm.y="",_xlpm.x="X"),0,COUNTA(_xlpm.x)))</f>
        <v>0</v>
      </c>
      <c r="DX17"/>
      <c r="DZ17" s="369">
        <v>31200</v>
      </c>
      <c r="EA17" s="369" t="s">
        <v>2039</v>
      </c>
      <c r="EB17" s="369" t="s">
        <v>2055</v>
      </c>
      <c r="EC17"/>
    </row>
    <row r="18" spans="3:133">
      <c r="C18" s="44" t="s">
        <v>1415</v>
      </c>
      <c r="D18" s="44" t="str" cm="1">
        <f t="array" ref="D18">IF(TbAssign[[#This Row],[Módulo]]="X","X",_xlfn.UNIQUE(_xlfn._xlws.FILTER(TbStd[RowId],TbStd[RowGrp]=TbAssign[[#This Row],[Puesto]]," "))&amp;TEXT($W18,"00"))</f>
        <v>XH02</v>
      </c>
      <c r="E18" s="23" t="s">
        <v>1794</v>
      </c>
      <c r="F18" s="23" t="s">
        <v>1285</v>
      </c>
      <c r="G18" s="44" t="str" cm="1">
        <f t="array" ref="G18">_xlfn._xlws.FILTER(FrmBH3[OFbId],(FrmBH3[PrjId]=TbAssign[[#This Row],[Project]])*(FrmBH3[OFbNam]=TbAssign[[#This Row],[O.F.Name]]),"X")</f>
        <v>651844</v>
      </c>
      <c r="H18" s="44" t="s">
        <v>1285</v>
      </c>
      <c r="I18" s="44" t="s">
        <v>2114</v>
      </c>
      <c r="J18" s="44">
        <v>20</v>
      </c>
      <c r="K18" s="44" t="str" cm="1">
        <f t="array" ref="K18">_xlfn.UNIQUE(_xlfn._xlws.FILTER(TbStd[Amortz.],TbStd[RowGrp]=TbAssign[[#This Row],[Puesto]]," "))</f>
        <v>X</v>
      </c>
      <c r="L18" s="44" t="s">
        <v>375</v>
      </c>
      <c r="M18" s="44" t="str" cm="1">
        <f t="array" ref="M18">_xlfn.UNIQUE(_xlfn._xlws.FILTER(TbStd[Site],TbStd[RowGrp]=TbAssign[[#This Row],[Puesto]],"X"))</f>
        <v>X</v>
      </c>
      <c r="N18" s="44" t="s">
        <v>1698</v>
      </c>
      <c r="O18" s="44" t="s">
        <v>375</v>
      </c>
      <c r="P18" s="368" t="s">
        <v>375</v>
      </c>
      <c r="Q18" s="21"/>
      <c r="R18" s="21"/>
      <c r="S18" s="21"/>
      <c r="T18" s="191" t="str">
        <v>PMCS</v>
      </c>
      <c r="U18" s="210"/>
      <c r="V18" s="191">
        <f>COUNTIFS(TbAssign[RowId],$D18,TbAssign[Project],$C18)</f>
        <v>2</v>
      </c>
      <c r="W18" s="191" cm="1">
        <f t="array" ref="W18">_xlfn.LET(_xlpm.x,_xlfn.TAKE(TbAssign[Puesto],SUM(ROW()-MATCH("SOR",$A:$A,0))),COUNT(CODE(_xlfn._xlws.FILTER(_xlpm.x,_xlpm.x=TbAssign[[#This Row],[Puesto]],"X"))))</f>
        <v>2</v>
      </c>
      <c r="X18" s="131"/>
      <c r="Y18" s="343" t="str">
        <v>31199:Sp:GDD</v>
      </c>
      <c r="Z18" s="342" t="str">
        <v>31199:Sp:GDD</v>
      </c>
      <c r="AB18"/>
      <c r="AE18" s="21"/>
      <c r="AJ18" s="108"/>
      <c r="AK18" s="109"/>
      <c r="AL18" s="108"/>
      <c r="BJ18"/>
      <c r="BL18" s="21"/>
      <c r="BQ18" s="108"/>
      <c r="BR18" s="109"/>
      <c r="BS18" s="108"/>
      <c r="CP18"/>
      <c r="CR18" s="21"/>
      <c r="CW18" s="108"/>
      <c r="CX18" s="109"/>
      <c r="CY18" s="108"/>
      <c r="DU18"/>
      <c r="DV18" s="336"/>
      <c r="DW18" s="336" cm="1">
        <f t="array" aca="1" ref="DW18" ca="1">_xlfn.LET(_xlpm.x,_xlfn._xlws.FILTER(TbAssign[FrmSch],ISNUMBER(FIND(INDIRECT("rc[-1]",FALSE),TbAssign[FrmSch])),"X"),_xlpm.y,INDIRECT("rc[-1]",FALSE),IF(OR(_xlpm.y="",_xlpm.x="X"),0,COUNTA(_xlpm.x)))</f>
        <v>0</v>
      </c>
      <c r="DX18"/>
      <c r="DZ18" s="369">
        <v>31200</v>
      </c>
      <c r="EA18" s="369" t="s">
        <v>2039</v>
      </c>
      <c r="EB18" s="369" t="s">
        <v>2055</v>
      </c>
      <c r="EC18"/>
    </row>
    <row r="19" spans="3:133">
      <c r="C19" s="44" t="s">
        <v>1415</v>
      </c>
      <c r="D19" s="44" t="str" cm="1">
        <f t="array" ref="D19">IF(TbAssign[[#This Row],[Módulo]]="X","X",_xlfn.UNIQUE(_xlfn._xlws.FILTER(TbStd[RowId],TbStd[RowGrp]=TbAssign[[#This Row],[Puesto]]," "))&amp;TEXT($W19,"00"))</f>
        <v>XC01</v>
      </c>
      <c r="E19" s="23" t="s">
        <v>1799</v>
      </c>
      <c r="F19" s="23" t="s">
        <v>1473</v>
      </c>
      <c r="G19" s="44" t="str" cm="1">
        <f t="array" ref="G19">_xlfn._xlws.FILTER(FrmBH3[OFbId],(FrmBH3[PrjId]=TbAssign[[#This Row],[Project]])*(FrmBH3[OFbNam]=TbAssign[[#This Row],[O.F.Name]]),"X")</f>
        <v>634347</v>
      </c>
      <c r="H19" s="44" t="s">
        <v>1473</v>
      </c>
      <c r="I19" s="44" t="s">
        <v>2114</v>
      </c>
      <c r="J19" s="44">
        <v>11</v>
      </c>
      <c r="K19" s="44" t="str" cm="1">
        <f t="array" ref="K19">_xlfn.UNIQUE(_xlfn._xlws.FILTER(TbStd[Amortz.],TbStd[RowGrp]=TbAssign[[#This Row],[Puesto]]," "))</f>
        <v>T</v>
      </c>
      <c r="L19" s="44" t="s">
        <v>1696</v>
      </c>
      <c r="M19" s="44" t="str" cm="1">
        <f t="array" ref="M19">_xlfn.UNIQUE(_xlfn._xlws.FILTER(TbStd[Site],TbStd[RowGrp]=TbAssign[[#This Row],[Puesto]],"X"))</f>
        <v>S</v>
      </c>
      <c r="N19" s="44" t="s">
        <v>375</v>
      </c>
      <c r="O19" s="44" t="s">
        <v>375</v>
      </c>
      <c r="P19" s="368" t="s">
        <v>2043</v>
      </c>
      <c r="Q19" s="21"/>
      <c r="R19" s="21"/>
      <c r="S19" s="21"/>
      <c r="T19" s="191" t="str">
        <v>PMTS</v>
      </c>
      <c r="U19" s="210"/>
      <c r="V19" s="191">
        <f>COUNTIFS(TbAssign[RowId],$D19,TbAssign[Project],$C19)</f>
        <v>2</v>
      </c>
      <c r="W19" s="191" cm="1">
        <f t="array" ref="W19">_xlfn.LET(_xlpm.x,_xlfn.TAKE(TbAssign[Puesto],SUM(ROW()-MATCH("SOR",$A:$A,0))),COUNT(CODE(_xlfn._xlws.FILTER(_xlpm.x,_xlpm.x=TbAssign[[#This Row],[Puesto]],"X"))))</f>
        <v>1</v>
      </c>
      <c r="X19" s="131"/>
      <c r="Y19" s="343" t="str">
        <v>31199:Sp:GDG</v>
      </c>
      <c r="Z19" s="342" t="str">
        <v>31199:Sp:GDG</v>
      </c>
      <c r="AB19"/>
      <c r="AE19" s="21"/>
      <c r="AJ19" s="108"/>
      <c r="AK19" s="109"/>
      <c r="AL19" s="108"/>
      <c r="BJ19"/>
      <c r="BL19" s="21"/>
      <c r="BQ19" s="108"/>
      <c r="BR19" s="109"/>
      <c r="BS19" s="108"/>
      <c r="CP19"/>
      <c r="CR19" s="21"/>
      <c r="CW19" s="108"/>
      <c r="CX19" s="109"/>
      <c r="CY19" s="108"/>
      <c r="DU19"/>
      <c r="DV19" s="336"/>
      <c r="DW19" s="336" cm="1">
        <f t="array" aca="1" ref="DW19" ca="1">_xlfn.LET(_xlpm.x,_xlfn._xlws.FILTER(TbAssign[FrmSch],ISNUMBER(FIND(INDIRECT("rc[-1]",FALSE),TbAssign[FrmSch])),"X"),_xlpm.y,INDIRECT("rc[-1]",FALSE),IF(OR(_xlpm.y="",_xlpm.x="X"),0,COUNTA(_xlpm.x)))</f>
        <v>0</v>
      </c>
      <c r="DX19"/>
      <c r="DZ19" s="369">
        <v>31200</v>
      </c>
      <c r="EA19" s="369" t="s">
        <v>2039</v>
      </c>
      <c r="EB19" s="369" t="s">
        <v>2055</v>
      </c>
      <c r="EC19"/>
    </row>
    <row r="20" spans="3:133">
      <c r="C20" s="44" t="s">
        <v>1415</v>
      </c>
      <c r="D20" s="44" t="str" cm="1">
        <f t="array" ref="D20">IF(TbAssign[[#This Row],[Módulo]]="X","X",_xlfn.UNIQUE(_xlfn._xlws.FILTER(TbStd[RowId],TbStd[RowGrp]=TbAssign[[#This Row],[Puesto]]," "))&amp;TEXT($W20,"00"))</f>
        <v>XD01</v>
      </c>
      <c r="E20" s="23" t="s">
        <v>1801</v>
      </c>
      <c r="F20" s="23" t="s">
        <v>1475</v>
      </c>
      <c r="G20" s="44" t="str" cm="1">
        <f t="array" ref="G20">_xlfn._xlws.FILTER(FrmBH3[OFbId],(FrmBH3[PrjId]=TbAssign[[#This Row],[Project]])*(FrmBH3[OFbNam]=TbAssign[[#This Row],[O.F.Name]]),"X")</f>
        <v>634348</v>
      </c>
      <c r="H20" s="44" t="s">
        <v>1475</v>
      </c>
      <c r="I20" s="44" t="s">
        <v>2114</v>
      </c>
      <c r="J20" s="44">
        <v>12</v>
      </c>
      <c r="K20" s="44" t="str" cm="1">
        <f t="array" ref="K20">_xlfn.UNIQUE(_xlfn._xlws.FILTER(TbStd[Amortz.],TbStd[RowGrp]=TbAssign[[#This Row],[Puesto]]," "))</f>
        <v>T</v>
      </c>
      <c r="L20" s="44" t="s">
        <v>1300</v>
      </c>
      <c r="M20" s="44" t="str" cm="1">
        <f t="array" ref="M20">_xlfn.UNIQUE(_xlfn._xlws.FILTER(TbStd[Site],TbStd[RowGrp]=TbAssign[[#This Row],[Puesto]],"X"))</f>
        <v>S</v>
      </c>
      <c r="N20" s="44" t="s">
        <v>1698</v>
      </c>
      <c r="O20" s="44" t="s">
        <v>1787</v>
      </c>
      <c r="P20" s="368" t="s">
        <v>2039</v>
      </c>
      <c r="Q20" s="21"/>
      <c r="R20" s="21"/>
      <c r="S20" s="21"/>
      <c r="T20" s="191" t="str">
        <v>PMXP</v>
      </c>
      <c r="U20" s="210"/>
      <c r="V20" s="191">
        <f>COUNTIFS(TbAssign[RowId],$D20,TbAssign[Project],$C20)</f>
        <v>2</v>
      </c>
      <c r="W20" s="191" cm="1">
        <f t="array" ref="W20">_xlfn.LET(_xlpm.x,_xlfn.TAKE(TbAssign[Puesto],SUM(ROW()-MATCH("SOR",$A:$A,0))),COUNT(CODE(_xlfn._xlws.FILTER(_xlpm.x,_xlpm.x=TbAssign[[#This Row],[Puesto]],"X"))))</f>
        <v>1</v>
      </c>
      <c r="X20" s="131"/>
      <c r="Y20" s="343" t="str">
        <v>31199:Sp:GDT</v>
      </c>
      <c r="Z20" s="342" t="str">
        <v>31199:Sp:GDT</v>
      </c>
      <c r="AB20"/>
      <c r="AE20" s="21"/>
      <c r="AJ20" s="108"/>
      <c r="AK20" s="109"/>
      <c r="AL20" s="108"/>
      <c r="BJ20"/>
      <c r="BL20" s="21"/>
      <c r="BQ20" s="108"/>
      <c r="BR20" s="109"/>
      <c r="BS20" s="108"/>
      <c r="CP20"/>
      <c r="CR20" s="21"/>
      <c r="CW20" s="108"/>
      <c r="CX20" s="109"/>
      <c r="CY20" s="108"/>
      <c r="DU20"/>
      <c r="DV20" s="336"/>
      <c r="DW20" s="336" cm="1">
        <f t="array" aca="1" ref="DW20" ca="1">_xlfn.LET(_xlpm.x,_xlfn._xlws.FILTER(TbAssign[FrmSch],ISNUMBER(FIND(INDIRECT("rc[-1]",FALSE),TbAssign[FrmSch])),"X"),_xlpm.y,INDIRECT("rc[-1]",FALSE),IF(OR(_xlpm.y="",_xlpm.x="X"),0,COUNTA(_xlpm.x)))</f>
        <v>0</v>
      </c>
      <c r="DX20"/>
      <c r="DZ20" s="369">
        <v>31200</v>
      </c>
      <c r="EA20" s="369" t="s">
        <v>2039</v>
      </c>
      <c r="EB20" s="369" t="s">
        <v>2055</v>
      </c>
      <c r="EC20"/>
    </row>
    <row r="21" spans="3:133">
      <c r="C21" s="44" t="s">
        <v>1415</v>
      </c>
      <c r="D21" s="44" t="str" cm="1">
        <f t="array" ref="D21">IF(TbAssign[[#This Row],[Módulo]]="X","X",_xlfn.UNIQUE(_xlfn._xlws.FILTER(TbStd[RowId],TbStd[RowGrp]=TbAssign[[#This Row],[Puesto]]," "))&amp;TEXT($W21,"00"))</f>
        <v>XA01</v>
      </c>
      <c r="E21" s="23" t="s">
        <v>1789</v>
      </c>
      <c r="F21" s="23" t="s">
        <v>291</v>
      </c>
      <c r="G21" s="44" t="str" cm="1">
        <f t="array" ref="G21">_xlfn._xlws.FILTER(FrmBH3[OFbId],(FrmBH3[PrjId]=TbAssign[[#This Row],[Project]])*(FrmBH3[OFbNam]=TbAssign[[#This Row],[O.F.Name]]),"X")</f>
        <v>634349</v>
      </c>
      <c r="H21" s="44" t="s">
        <v>291</v>
      </c>
      <c r="I21" s="44" t="s">
        <v>2114</v>
      </c>
      <c r="J21" s="44">
        <v>17</v>
      </c>
      <c r="K21" s="44" t="str" cm="1">
        <f t="array" ref="K21">_xlfn.UNIQUE(_xlfn._xlws.FILTER(TbStd[Amortz.],TbStd[RowGrp]=TbAssign[[#This Row],[Puesto]]," "))</f>
        <v>X</v>
      </c>
      <c r="L21" s="44" t="s">
        <v>375</v>
      </c>
      <c r="M21" s="44" t="str" cm="1">
        <f t="array" ref="M21">_xlfn.UNIQUE(_xlfn._xlws.FILTER(TbStd[Site],TbStd[RowGrp]=TbAssign[[#This Row],[Puesto]],"X"))</f>
        <v>S</v>
      </c>
      <c r="N21" s="44" t="s">
        <v>1698</v>
      </c>
      <c r="O21" s="44" t="s">
        <v>1696</v>
      </c>
      <c r="P21" s="368" t="s">
        <v>375</v>
      </c>
      <c r="Q21" s="21"/>
      <c r="R21" s="21"/>
      <c r="S21" s="21"/>
      <c r="T21" s="191" t="str">
        <v>TRHR</v>
      </c>
      <c r="U21" s="210"/>
      <c r="V21" s="191">
        <f>COUNTIFS(TbAssign[RowId],$D21,TbAssign[Project],$C21)</f>
        <v>3</v>
      </c>
      <c r="W21" s="191" cm="1">
        <f t="array" ref="W21">_xlfn.LET(_xlpm.x,_xlfn.TAKE(TbAssign[Puesto],SUM(ROW()-MATCH("SOR",$A:$A,0))),COUNT(CODE(_xlfn._xlws.FILTER(_xlpm.x,_xlpm.x=TbAssign[[#This Row],[Puesto]],"X"))))</f>
        <v>1</v>
      </c>
      <c r="X21" s="131"/>
      <c r="Y21" s="343" t="str">
        <v>31200:Sp:624323</v>
      </c>
      <c r="Z21" s="342" t="str">
        <v>31200:Sp:624323</v>
      </c>
      <c r="AB21"/>
      <c r="AE21" s="21"/>
      <c r="AJ21" s="108"/>
      <c r="AK21" s="109"/>
      <c r="AL21" s="108"/>
      <c r="BJ21"/>
      <c r="BL21" s="21"/>
      <c r="BQ21" s="108"/>
      <c r="BR21" s="109"/>
      <c r="BS21" s="108"/>
      <c r="CP21"/>
      <c r="CR21" s="21"/>
      <c r="CW21" s="108"/>
      <c r="CX21" s="109"/>
      <c r="CY21" s="108"/>
      <c r="DU21"/>
      <c r="DV21" s="336"/>
      <c r="DW21" s="336" cm="1">
        <f t="array" aca="1" ref="DW21" ca="1">_xlfn.LET(_xlpm.x,_xlfn._xlws.FILTER(TbAssign[FrmSch],ISNUMBER(FIND(INDIRECT("rc[-1]",FALSE),TbAssign[FrmSch])),"X"),_xlpm.y,INDIRECT("rc[-1]",FALSE),IF(OR(_xlpm.y="",_xlpm.x="X"),0,COUNTA(_xlpm.x)))</f>
        <v>0</v>
      </c>
      <c r="DX21"/>
      <c r="DZ21" s="369">
        <v>31200</v>
      </c>
      <c r="EA21" s="369" t="s">
        <v>2039</v>
      </c>
      <c r="EB21" s="369" t="s">
        <v>2055</v>
      </c>
      <c r="EC21"/>
    </row>
    <row r="22" spans="3:133">
      <c r="C22" s="44" t="s">
        <v>1415</v>
      </c>
      <c r="D22" s="44" t="str" cm="1">
        <f t="array" ref="D22">IF(TbAssign[[#This Row],[Módulo]]="X","X",_xlfn.UNIQUE(_xlfn._xlws.FILTER(TbStd[RowId],TbStd[RowGrp]=TbAssign[[#This Row],[Puesto]]," "))&amp;TEXT($W22,"00"))</f>
        <v>XA02</v>
      </c>
      <c r="E22" s="23" t="s">
        <v>1789</v>
      </c>
      <c r="F22" s="23" t="s">
        <v>1478</v>
      </c>
      <c r="G22" s="44" t="str" cm="1">
        <f t="array" ref="G22">_xlfn._xlws.FILTER(FrmBH3[OFbId],(FrmBH3[PrjId]=TbAssign[[#This Row],[Project]])*(FrmBH3[OFbNam]=TbAssign[[#This Row],[O.F.Name]]),"X")</f>
        <v>624331</v>
      </c>
      <c r="H22" s="44" t="s">
        <v>1478</v>
      </c>
      <c r="I22" s="44" t="s">
        <v>2114</v>
      </c>
      <c r="J22" s="44">
        <v>18</v>
      </c>
      <c r="K22" s="44" t="str" cm="1">
        <f t="array" ref="K22">_xlfn.UNIQUE(_xlfn._xlws.FILTER(TbStd[Amortz.],TbStd[RowGrp]=TbAssign[[#This Row],[Puesto]]," "))</f>
        <v>X</v>
      </c>
      <c r="L22" s="44" t="s">
        <v>375</v>
      </c>
      <c r="M22" s="44" t="str" cm="1">
        <f t="array" ref="M22">_xlfn.UNIQUE(_xlfn._xlws.FILTER(TbStd[Site],TbStd[RowGrp]=TbAssign[[#This Row],[Puesto]],"X"))</f>
        <v>S</v>
      </c>
      <c r="N22" s="44" t="s">
        <v>1698</v>
      </c>
      <c r="O22" s="44" t="s">
        <v>1696</v>
      </c>
      <c r="P22" s="368" t="s">
        <v>375</v>
      </c>
      <c r="Q22" s="21"/>
      <c r="R22" s="21"/>
      <c r="S22" s="21"/>
      <c r="T22" s="191" t="str">
        <v>TRMT</v>
      </c>
      <c r="U22" s="210"/>
      <c r="V22" s="191">
        <f>COUNTIFS(TbAssign[RowId],$D22,TbAssign[Project],$C22)</f>
        <v>2</v>
      </c>
      <c r="W22" s="191" cm="1">
        <f t="array" ref="W22">_xlfn.LET(_xlpm.x,_xlfn.TAKE(TbAssign[Puesto],SUM(ROW()-MATCH("SOR",$A:$A,0))),COUNT(CODE(_xlfn._xlws.FILTER(_xlpm.x,_xlpm.x=TbAssign[[#This Row],[Puesto]],"X"))))</f>
        <v>2</v>
      </c>
      <c r="X22" s="131"/>
      <c r="Y22" s="343" t="str">
        <v>31200:Sp:624324</v>
      </c>
      <c r="Z22" s="342" t="str">
        <v>31200:Sp:624324</v>
      </c>
      <c r="AB22"/>
      <c r="AE22" s="21"/>
      <c r="AJ22" s="108"/>
      <c r="AK22" s="109"/>
      <c r="AL22" s="108"/>
      <c r="BJ22"/>
      <c r="BL22" s="21"/>
      <c r="BQ22" s="108"/>
      <c r="BR22" s="109"/>
      <c r="BS22" s="108"/>
      <c r="CP22"/>
      <c r="CR22" s="21"/>
      <c r="CW22" s="108"/>
      <c r="CX22" s="109"/>
      <c r="CY22" s="108"/>
      <c r="DU22"/>
      <c r="DV22" s="115"/>
      <c r="DW22" s="115"/>
      <c r="DX22"/>
      <c r="DZ22" s="369">
        <v>31200</v>
      </c>
      <c r="EA22" s="369" t="s">
        <v>2039</v>
      </c>
      <c r="EB22" s="369" t="s">
        <v>2055</v>
      </c>
      <c r="EC22"/>
    </row>
    <row r="23" spans="3:133">
      <c r="C23" s="44" t="s">
        <v>1415</v>
      </c>
      <c r="D23" s="44" t="str" cm="1">
        <f t="array" ref="D23">IF(TbAssign[[#This Row],[Módulo]]="X","X",_xlfn.UNIQUE(_xlfn._xlws.FILTER(TbStd[RowId],TbStd[RowGrp]=TbAssign[[#This Row],[Puesto]]," "))&amp;TEXT($W23,"00"))</f>
        <v>XB04</v>
      </c>
      <c r="E23" s="23" t="s">
        <v>1796</v>
      </c>
      <c r="F23" s="23" t="s">
        <v>1412</v>
      </c>
      <c r="G23" s="44" t="str" cm="1">
        <f t="array" ref="G23">_xlfn._xlws.FILTER(FrmBH3[OFbId],(FrmBH3[PrjId]=TbAssign[[#This Row],[Project]])*(FrmBH3[OFbNam]=TbAssign[[#This Row],[O.F.Name]]),"X")</f>
        <v>634367</v>
      </c>
      <c r="H23" s="44" t="s">
        <v>1412</v>
      </c>
      <c r="I23" s="44" t="s">
        <v>2114</v>
      </c>
      <c r="J23" s="44">
        <v>21</v>
      </c>
      <c r="K23" s="44" t="str" cm="1">
        <f t="array" ref="K23">_xlfn.UNIQUE(_xlfn._xlws.FILTER(TbStd[Amortz.],TbStd[RowGrp]=TbAssign[[#This Row],[Puesto]]," "))</f>
        <v>C</v>
      </c>
      <c r="L23" s="44" t="s">
        <v>1300</v>
      </c>
      <c r="M23" s="44" t="str" cm="1">
        <f t="array" ref="M23">_xlfn.UNIQUE(_xlfn._xlws.FILTER(TbStd[Site],TbStd[RowGrp]=TbAssign[[#This Row],[Puesto]],"X"))</f>
        <v>S</v>
      </c>
      <c r="N23" s="44" t="s">
        <v>375</v>
      </c>
      <c r="O23" s="44" t="s">
        <v>1787</v>
      </c>
      <c r="P23" s="368" t="s">
        <v>375</v>
      </c>
      <c r="Q23" s="21"/>
      <c r="R23" s="21"/>
      <c r="S23" s="21"/>
      <c r="T23" s="191"/>
      <c r="U23" s="210"/>
      <c r="V23" s="191">
        <f>COUNTIFS(TbAssign[RowId],$D23,TbAssign[Project],$C23)</f>
        <v>1</v>
      </c>
      <c r="W23" s="191" cm="1">
        <f t="array" ref="W23">_xlfn.LET(_xlpm.x,_xlfn.TAKE(TbAssign[Puesto],SUM(ROW()-MATCH("SOR",$A:$A,0))),COUNT(CODE(_xlfn._xlws.FILTER(_xlpm.x,_xlpm.x=TbAssign[[#This Row],[Puesto]],"X"))))</f>
        <v>4</v>
      </c>
      <c r="X23" s="131"/>
      <c r="Y23" s="343" t="str">
        <v>31200:Sp:624325</v>
      </c>
      <c r="Z23" s="342" t="str">
        <v>31200:Sp:624325</v>
      </c>
      <c r="AB23"/>
      <c r="AE23" s="21"/>
      <c r="AJ23" s="108"/>
      <c r="AK23" s="109"/>
      <c r="AL23" s="108"/>
      <c r="BJ23"/>
      <c r="BL23" s="21"/>
      <c r="BQ23" s="108"/>
      <c r="BR23" s="109"/>
      <c r="BS23" s="108"/>
      <c r="CP23"/>
      <c r="CR23" s="21"/>
      <c r="CW23" s="108"/>
      <c r="CX23" s="109"/>
      <c r="CY23" s="108"/>
      <c r="DU23"/>
      <c r="DV23" s="115"/>
      <c r="DW23" s="115"/>
      <c r="DX23"/>
      <c r="DZ23" s="369">
        <v>31200</v>
      </c>
      <c r="EA23" s="369" t="s">
        <v>2039</v>
      </c>
      <c r="EB23" s="369" t="s">
        <v>2055</v>
      </c>
      <c r="EC23"/>
    </row>
    <row r="24" spans="3:133">
      <c r="C24" s="44" t="s">
        <v>1415</v>
      </c>
      <c r="D24" s="44" t="str" cm="1">
        <f t="array" ref="D24">IF(TbAssign[[#This Row],[Módulo]]="X","X",_xlfn.UNIQUE(_xlfn._xlws.FILTER(TbStd[RowId],TbStd[RowGrp]=TbAssign[[#This Row],[Puesto]]," "))&amp;TEXT($W24,"00"))</f>
        <v>XA01</v>
      </c>
      <c r="E24" s="23" t="s">
        <v>1791</v>
      </c>
      <c r="F24" s="23" t="s">
        <v>1242</v>
      </c>
      <c r="G24" s="44" t="str" cm="1">
        <f t="array" ref="G24">_xlfn._xlws.FILTER(FrmBH3[OFbId],(FrmBH3[PrjId]=TbAssign[[#This Row],[Project]])*(FrmBH3[OFbNam]=TbAssign[[#This Row],[O.F.Name]]),"X")</f>
        <v>GDG</v>
      </c>
      <c r="H24" s="44" t="s">
        <v>1242</v>
      </c>
      <c r="I24" s="44" t="s">
        <v>2114</v>
      </c>
      <c r="J24" s="44">
        <v>22</v>
      </c>
      <c r="K24" s="44" t="str" cm="1">
        <f t="array" ref="K24">_xlfn.UNIQUE(_xlfn._xlws.FILTER(TbStd[Amortz.],TbStd[RowGrp]=TbAssign[[#This Row],[Puesto]]," "))</f>
        <v>X</v>
      </c>
      <c r="L24" s="44" t="s">
        <v>375</v>
      </c>
      <c r="M24" s="44" t="str" cm="1">
        <f t="array" ref="M24">_xlfn.UNIQUE(_xlfn._xlws.FILTER(TbStd[Site],TbStd[RowGrp]=TbAssign[[#This Row],[Puesto]],"X"))</f>
        <v>S</v>
      </c>
      <c r="N24" s="44" t="s">
        <v>1695</v>
      </c>
      <c r="O24" s="44" t="s">
        <v>1698</v>
      </c>
      <c r="P24" s="368" t="s">
        <v>375</v>
      </c>
      <c r="Q24" s="21"/>
      <c r="R24" s="21"/>
      <c r="S24" s="21"/>
      <c r="T24" s="191"/>
      <c r="U24" s="210"/>
      <c r="V24" s="191">
        <f>COUNTIFS(TbAssign[RowId],$D24,TbAssign[Project],$C24)</f>
        <v>3</v>
      </c>
      <c r="W24" s="191" cm="1">
        <f t="array" ref="W24">_xlfn.LET(_xlpm.x,_xlfn.TAKE(TbAssign[Puesto],SUM(ROW()-MATCH("SOR",$A:$A,0))),COUNT(CODE(_xlfn._xlws.FILTER(_xlpm.x,_xlpm.x=TbAssign[[#This Row],[Puesto]],"X"))))</f>
        <v>1</v>
      </c>
      <c r="X24" s="131"/>
      <c r="Y24" s="343" t="str">
        <v>31200:Sp:624326</v>
      </c>
      <c r="Z24" s="342" t="str">
        <v>31200:Sp:624326</v>
      </c>
      <c r="AB24"/>
      <c r="AE24" s="21"/>
      <c r="AJ24" s="108"/>
      <c r="AK24" s="109"/>
      <c r="AL24" s="108"/>
      <c r="BJ24"/>
      <c r="BL24" s="21"/>
      <c r="BQ24" s="108"/>
      <c r="BR24" s="109"/>
      <c r="BS24" s="108"/>
      <c r="CP24"/>
      <c r="CR24" s="21"/>
      <c r="CW24" s="108"/>
      <c r="CX24" s="109"/>
      <c r="CY24" s="108"/>
      <c r="DU24"/>
      <c r="DV24" s="115"/>
      <c r="DW24" s="115"/>
      <c r="DX24"/>
      <c r="DZ24" s="369">
        <v>31200</v>
      </c>
      <c r="EA24" s="369" t="s">
        <v>2039</v>
      </c>
      <c r="EB24" s="369" t="s">
        <v>2055</v>
      </c>
      <c r="EC24"/>
    </row>
    <row r="25" spans="3:133">
      <c r="C25" s="44" t="s">
        <v>1415</v>
      </c>
      <c r="D25" s="44" t="str" cm="1">
        <f t="array" ref="D25">IF(TbAssign[[#This Row],[Módulo]]="X","X",_xlfn.UNIQUE(_xlfn._xlws.FILTER(TbStd[RowId],TbStd[RowGrp]=TbAssign[[#This Row],[Puesto]]," "))&amp;TEXT($W25,"00"))</f>
        <v>XF01</v>
      </c>
      <c r="E25" s="23" t="s">
        <v>1792</v>
      </c>
      <c r="F25" s="23" t="s">
        <v>300</v>
      </c>
      <c r="G25" s="44" t="str" cm="1">
        <f t="array" ref="G25">_xlfn._xlws.FILTER(FrmBH3[OFbId],(FrmBH3[PrjId]=TbAssign[[#This Row],[Project]])*(FrmBH3[OFbNam]=TbAssign[[#This Row],[O.F.Name]]),"X")</f>
        <v>GDT</v>
      </c>
      <c r="H25" s="44" t="s">
        <v>300</v>
      </c>
      <c r="I25" s="44" t="s">
        <v>2114</v>
      </c>
      <c r="J25" s="44">
        <v>1</v>
      </c>
      <c r="K25" s="44" t="str" cm="1">
        <f t="array" ref="K25">_xlfn.UNIQUE(_xlfn._xlws.FILTER(TbStd[Amortz.],TbStd[RowGrp]=TbAssign[[#This Row],[Puesto]]," "))</f>
        <v>X</v>
      </c>
      <c r="L25" s="44" t="s">
        <v>375</v>
      </c>
      <c r="M25" s="44" t="str" cm="1">
        <f t="array" ref="M25">_xlfn.UNIQUE(_xlfn._xlws.FILTER(TbStd[Site],TbStd[RowGrp]=TbAssign[[#This Row],[Puesto]],"X"))</f>
        <v>S</v>
      </c>
      <c r="N25" s="44" t="s">
        <v>1695</v>
      </c>
      <c r="O25" s="44" t="s">
        <v>1698</v>
      </c>
      <c r="P25" s="368" t="s">
        <v>375</v>
      </c>
      <c r="Q25" s="21"/>
      <c r="R25" s="21"/>
      <c r="S25" s="21"/>
      <c r="T25" s="191"/>
      <c r="U25" s="210"/>
      <c r="V25" s="191">
        <f>COUNTIFS(TbAssign[RowId],$D25,TbAssign[Project],$C25)</f>
        <v>2</v>
      </c>
      <c r="W25" s="191" cm="1">
        <f t="array" ref="W25">_xlfn.LET(_xlpm.x,_xlfn.TAKE(TbAssign[Puesto],SUM(ROW()-MATCH("SOR",$A:$A,0))),COUNT(CODE(_xlfn._xlws.FILTER(_xlpm.x,_xlpm.x=TbAssign[[#This Row],[Puesto]],"X"))))</f>
        <v>1</v>
      </c>
      <c r="X25" s="131"/>
      <c r="Y25" s="343" t="str">
        <v>31200:Sp:624327</v>
      </c>
      <c r="Z25" s="342" t="str">
        <v>31200:Sp:624327</v>
      </c>
      <c r="AB25"/>
      <c r="AE25" s="21"/>
      <c r="AJ25" s="108"/>
      <c r="AK25" s="109"/>
      <c r="AL25" s="108"/>
      <c r="BJ25"/>
      <c r="BL25" s="21"/>
      <c r="BQ25" s="108"/>
      <c r="BR25" s="109"/>
      <c r="BS25" s="108"/>
      <c r="CP25"/>
      <c r="CR25" s="21"/>
      <c r="CW25" s="108"/>
      <c r="CX25" s="109"/>
      <c r="CY25" s="108"/>
      <c r="DU25"/>
      <c r="DV25" s="115"/>
      <c r="DW25" s="115"/>
      <c r="DX25"/>
      <c r="DZ25" s="369">
        <v>31200</v>
      </c>
      <c r="EA25" s="369" t="s">
        <v>2039</v>
      </c>
      <c r="EB25" s="369" t="s">
        <v>2055</v>
      </c>
      <c r="EC25"/>
    </row>
    <row r="26" spans="3:133">
      <c r="C26" s="44" t="s">
        <v>1415</v>
      </c>
      <c r="D26" s="44" t="str" cm="1">
        <f t="array" ref="D26">IF(TbAssign[[#This Row],[Módulo]]="X","X",_xlfn.UNIQUE(_xlfn._xlws.FILTER(TbStd[RowId],TbStd[RowGrp]=TbAssign[[#This Row],[Puesto]]," "))&amp;TEXT($W26,"00"))</f>
        <v>XF01</v>
      </c>
      <c r="E26" s="23" t="s">
        <v>1793</v>
      </c>
      <c r="F26" s="23" t="s">
        <v>301</v>
      </c>
      <c r="G26" s="44" t="str" cm="1">
        <f t="array" ref="G26">_xlfn._xlws.FILTER(FrmBH3[OFbId],(FrmBH3[PrjId]=TbAssign[[#This Row],[Project]])*(FrmBH3[OFbNam]=TbAssign[[#This Row],[O.F.Name]]),"X")</f>
        <v>GDD</v>
      </c>
      <c r="H26" s="44" t="s">
        <v>301</v>
      </c>
      <c r="I26" s="44" t="s">
        <v>2114</v>
      </c>
      <c r="J26" s="44">
        <v>2</v>
      </c>
      <c r="K26" s="44" t="str" cm="1">
        <f t="array" ref="K26">_xlfn.UNIQUE(_xlfn._xlws.FILTER(TbStd[Amortz.],TbStd[RowGrp]=TbAssign[[#This Row],[Puesto]]," "))</f>
        <v>X</v>
      </c>
      <c r="L26" s="44" t="s">
        <v>375</v>
      </c>
      <c r="M26" s="44" t="str" cm="1">
        <f t="array" ref="M26">_xlfn.UNIQUE(_xlfn._xlws.FILTER(TbStd[Site],TbStd[RowGrp]=TbAssign[[#This Row],[Puesto]],"X"))</f>
        <v>P</v>
      </c>
      <c r="N26" s="44" t="s">
        <v>375</v>
      </c>
      <c r="O26" s="44" t="s">
        <v>1698</v>
      </c>
      <c r="P26" s="368" t="s">
        <v>375</v>
      </c>
      <c r="Q26" s="21"/>
      <c r="R26" s="21"/>
      <c r="S26" s="21"/>
      <c r="T26" s="191"/>
      <c r="U26" s="210"/>
      <c r="V26" s="191">
        <f>COUNTIFS(TbAssign[RowId],$D26,TbAssign[Project],$C26)</f>
        <v>2</v>
      </c>
      <c r="W26" s="191" cm="1">
        <f t="array" ref="W26">_xlfn.LET(_xlpm.x,_xlfn.TAKE(TbAssign[Puesto],SUM(ROW()-MATCH("SOR",$A:$A,0))),COUNT(CODE(_xlfn._xlws.FILTER(_xlpm.x,_xlpm.x=TbAssign[[#This Row],[Puesto]],"X"))))</f>
        <v>1</v>
      </c>
      <c r="X26" s="131"/>
      <c r="Y26" s="343" t="str">
        <v>31200:Sp:624328</v>
      </c>
      <c r="Z26" s="342" t="str">
        <v>31200:Sp:624328</v>
      </c>
      <c r="AB26"/>
      <c r="AE26" s="21"/>
      <c r="AJ26" s="108"/>
      <c r="AK26" s="109"/>
      <c r="AL26" s="108"/>
      <c r="BJ26"/>
      <c r="BL26" s="21"/>
      <c r="BQ26" s="108"/>
      <c r="BR26" s="109"/>
      <c r="BS26" s="108"/>
      <c r="CP26"/>
      <c r="CR26" s="21"/>
      <c r="CW26" s="108"/>
      <c r="CX26" s="109"/>
      <c r="CY26" s="108"/>
      <c r="DU26"/>
      <c r="DV26" s="115"/>
      <c r="DW26" s="115"/>
      <c r="DX26"/>
      <c r="DZ26" s="369">
        <v>31200</v>
      </c>
      <c r="EA26" s="369" t="s">
        <v>2039</v>
      </c>
      <c r="EB26" s="369" t="s">
        <v>2055</v>
      </c>
      <c r="EC26"/>
    </row>
    <row r="27" spans="3:133">
      <c r="C27" s="44" t="s">
        <v>1415</v>
      </c>
      <c r="D27" s="44" t="str" cm="1">
        <f t="array" ref="D27">IF(TbAssign[[#This Row],[Módulo]]="X","X",_xlfn.UNIQUE(_xlfn._xlws.FILTER(TbStd[RowId],TbStd[RowGrp]=TbAssign[[#This Row],[Puesto]]," "))&amp;TEXT($W27,"00"))</f>
        <v>XA02</v>
      </c>
      <c r="E27" s="23" t="s">
        <v>1791</v>
      </c>
      <c r="F27" s="23" t="s">
        <v>1243</v>
      </c>
      <c r="G27" s="44" t="str" cm="1">
        <f t="array" ref="G27">_xlfn._xlws.FILTER(FrmBH3[OFbId],(FrmBH3[PrjId]=TbAssign[[#This Row],[Project]])*(FrmBH3[OFbNam]=TbAssign[[#This Row],[O.F.Name]]),"X")</f>
        <v>GDA</v>
      </c>
      <c r="H27" s="44" t="s">
        <v>1243</v>
      </c>
      <c r="I27" s="44" t="s">
        <v>2114</v>
      </c>
      <c r="J27" s="44">
        <v>23</v>
      </c>
      <c r="K27" s="44" t="str" cm="1">
        <f t="array" ref="K27">_xlfn.UNIQUE(_xlfn._xlws.FILTER(TbStd[Amortz.],TbStd[RowGrp]=TbAssign[[#This Row],[Puesto]]," "))</f>
        <v>X</v>
      </c>
      <c r="L27" s="44" t="s">
        <v>375</v>
      </c>
      <c r="M27" s="44" t="str" cm="1">
        <f t="array" ref="M27">_xlfn.UNIQUE(_xlfn._xlws.FILTER(TbStd[Site],TbStd[RowGrp]=TbAssign[[#This Row],[Puesto]],"X"))</f>
        <v>S</v>
      </c>
      <c r="N27" s="44" t="s">
        <v>1698</v>
      </c>
      <c r="O27" s="44" t="s">
        <v>1698</v>
      </c>
      <c r="P27" s="368" t="s">
        <v>375</v>
      </c>
      <c r="Q27" s="21"/>
      <c r="R27" s="21"/>
      <c r="S27" s="21"/>
      <c r="T27" s="191"/>
      <c r="U27" s="210"/>
      <c r="V27" s="191">
        <f>COUNTIFS(TbAssign[RowId],$D27,TbAssign[Project],$C27)</f>
        <v>2</v>
      </c>
      <c r="W27" s="191" cm="1">
        <f t="array" ref="W27">_xlfn.LET(_xlpm.x,_xlfn.TAKE(TbAssign[Puesto],SUM(ROW()-MATCH("SOR",$A:$A,0))),COUNT(CODE(_xlfn._xlws.FILTER(_xlpm.x,_xlpm.x=TbAssign[[#This Row],[Puesto]],"X"))))</f>
        <v>2</v>
      </c>
      <c r="X27" s="131"/>
      <c r="Y27" s="343" t="str">
        <v>31200:Sp:624329</v>
      </c>
      <c r="Z27" s="342" t="str">
        <v>31200:Sp:624329</v>
      </c>
      <c r="AB27"/>
      <c r="AE27" s="21"/>
      <c r="AJ27" s="108"/>
      <c r="AK27" s="109"/>
      <c r="AL27" s="108"/>
      <c r="BJ27"/>
      <c r="BL27" s="21"/>
      <c r="BQ27" s="108"/>
      <c r="BR27" s="109"/>
      <c r="BS27" s="108"/>
      <c r="CP27"/>
      <c r="CR27" s="21"/>
      <c r="CW27" s="108"/>
      <c r="CX27" s="109"/>
      <c r="CY27" s="108"/>
      <c r="DU27"/>
      <c r="DV27" s="115"/>
      <c r="DW27" s="115"/>
      <c r="DX27"/>
      <c r="DZ27" s="369">
        <v>31200</v>
      </c>
      <c r="EA27" s="369" t="s">
        <v>2039</v>
      </c>
      <c r="EB27" s="369" t="s">
        <v>2055</v>
      </c>
      <c r="EC27"/>
    </row>
    <row r="28" spans="3:133">
      <c r="C28" s="44" t="s">
        <v>1415</v>
      </c>
      <c r="D28" s="44" t="str" cm="1">
        <f t="array" ref="D28">IF(TbAssign[[#This Row],[Módulo]]="X","X",_xlfn.UNIQUE(_xlfn._xlws.FILTER(TbStd[RowId],TbStd[RowGrp]=TbAssign[[#This Row],[Puesto]]," "))&amp;TEXT($W28,"00"))</f>
        <v>XH01</v>
      </c>
      <c r="E28" s="23" t="s">
        <v>1795</v>
      </c>
      <c r="F28" s="23" t="s">
        <v>1245</v>
      </c>
      <c r="G28" s="44" t="str" cm="1">
        <f t="array" ref="G28">_xlfn._xlws.FILTER(FrmBH3[OFbId],(FrmBH3[PrjId]=TbAssign[[#This Row],[Project]])*(FrmBH3[OFbNam]=TbAssign[[#This Row],[O.F.Name]]),"X")</f>
        <v>CPE</v>
      </c>
      <c r="H28" s="44" t="s">
        <v>2126</v>
      </c>
      <c r="I28" s="44" t="s">
        <v>2114</v>
      </c>
      <c r="J28" s="44">
        <v>24</v>
      </c>
      <c r="K28" s="44" t="str" cm="1">
        <f t="array" ref="K28">_xlfn.UNIQUE(_xlfn._xlws.FILTER(TbStd[Amortz.],TbStd[RowGrp]=TbAssign[[#This Row],[Puesto]]," "))</f>
        <v>X</v>
      </c>
      <c r="L28" s="44" t="s">
        <v>375</v>
      </c>
      <c r="M28" s="44" t="str" cm="1">
        <f t="array" ref="M28">_xlfn.UNIQUE(_xlfn._xlws.FILTER(TbStd[Site],TbStd[RowGrp]=TbAssign[[#This Row],[Puesto]],"X"))</f>
        <v>S</v>
      </c>
      <c r="N28" s="44" t="s">
        <v>1698</v>
      </c>
      <c r="O28" s="44" t="s">
        <v>375</v>
      </c>
      <c r="P28" s="368" t="s">
        <v>375</v>
      </c>
      <c r="Q28" s="21"/>
      <c r="R28" s="21"/>
      <c r="S28" s="21"/>
      <c r="T28" s="191"/>
      <c r="U28" s="210"/>
      <c r="V28" s="191">
        <f>COUNTIFS(TbAssign[RowId],$D28,TbAssign[Project],$C28)</f>
        <v>2</v>
      </c>
      <c r="W28" s="191" cm="1">
        <f t="array" ref="W28">_xlfn.LET(_xlpm.x,_xlfn.TAKE(TbAssign[Puesto],SUM(ROW()-MATCH("SOR",$A:$A,0))),COUNT(CODE(_xlfn._xlws.FILTER(_xlpm.x,_xlpm.x=TbAssign[[#This Row],[Puesto]],"X"))))</f>
        <v>1</v>
      </c>
      <c r="X28" s="131"/>
      <c r="Y28" s="343" t="str">
        <v>31200:Sp:624331</v>
      </c>
      <c r="Z28" s="342" t="str">
        <v>31200:Sp:624331</v>
      </c>
      <c r="AB28"/>
      <c r="AE28" s="21"/>
      <c r="AJ28" s="108"/>
      <c r="AK28" s="109"/>
      <c r="AL28" s="108"/>
      <c r="BJ28"/>
      <c r="BL28" s="21"/>
      <c r="BQ28" s="108"/>
      <c r="BR28" s="109"/>
      <c r="BS28" s="108"/>
      <c r="CP28"/>
      <c r="CR28" s="21"/>
      <c r="CW28" s="108"/>
      <c r="CX28" s="109"/>
      <c r="CY28" s="108"/>
      <c r="DU28"/>
      <c r="DV28" s="115"/>
      <c r="DW28" s="115"/>
      <c r="DX28"/>
      <c r="DZ28" s="369">
        <v>31200</v>
      </c>
      <c r="EA28" s="369" t="s">
        <v>2039</v>
      </c>
      <c r="EB28" s="369" t="s">
        <v>2055</v>
      </c>
      <c r="EC28"/>
    </row>
    <row r="29" spans="3:133">
      <c r="C29" s="44" t="s">
        <v>1415</v>
      </c>
      <c r="D29" s="44" t="str" cm="1">
        <f t="array" ref="D29">IF(TbAssign[[#This Row],[Módulo]]="X","X",_xlfn.UNIQUE(_xlfn._xlws.FILTER(TbStd[RowId],TbStd[RowGrp]=TbAssign[[#This Row],[Puesto]]," "))&amp;TEXT($W29,"00"))</f>
        <v>XH02</v>
      </c>
      <c r="E29" s="23" t="s">
        <v>1795</v>
      </c>
      <c r="F29" s="23" t="s">
        <v>1244</v>
      </c>
      <c r="G29" s="44" t="str" cm="1">
        <f t="array" ref="G29">_xlfn._xlws.FILTER(FrmBH3[OFbId],(FrmBH3[PrjId]=TbAssign[[#This Row],[Project]])*(FrmBH3[OFbNam]=TbAssign[[#This Row],[O.F.Name]]),"X")</f>
        <v>CDC</v>
      </c>
      <c r="H29" s="44" t="s">
        <v>1244</v>
      </c>
      <c r="I29" s="44" t="s">
        <v>2114</v>
      </c>
      <c r="J29" s="44">
        <v>25</v>
      </c>
      <c r="K29" s="44" t="str" cm="1">
        <f t="array" ref="K29">_xlfn.UNIQUE(_xlfn._xlws.FILTER(TbStd[Amortz.],TbStd[RowGrp]=TbAssign[[#This Row],[Puesto]]," "))</f>
        <v>X</v>
      </c>
      <c r="L29" s="44" t="s">
        <v>375</v>
      </c>
      <c r="M29" s="44" t="str" cm="1">
        <f t="array" ref="M29">_xlfn.UNIQUE(_xlfn._xlws.FILTER(TbStd[Site],TbStd[RowGrp]=TbAssign[[#This Row],[Puesto]],"X"))</f>
        <v>S</v>
      </c>
      <c r="N29" s="44" t="s">
        <v>1695</v>
      </c>
      <c r="O29" s="44" t="s">
        <v>375</v>
      </c>
      <c r="P29" s="368" t="s">
        <v>375</v>
      </c>
      <c r="Q29" s="21"/>
      <c r="R29" s="21"/>
      <c r="S29" s="21"/>
      <c r="T29" s="191"/>
      <c r="U29" s="210"/>
      <c r="V29" s="191">
        <f>COUNTIFS(TbAssign[RowId],$D29,TbAssign[Project],$C29)</f>
        <v>2</v>
      </c>
      <c r="W29" s="191" cm="1">
        <f t="array" ref="W29">_xlfn.LET(_xlpm.x,_xlfn.TAKE(TbAssign[Puesto],SUM(ROW()-MATCH("SOR",$A:$A,0))),COUNT(CODE(_xlfn._xlws.FILTER(_xlpm.x,_xlpm.x=TbAssign[[#This Row],[Puesto]],"X"))))</f>
        <v>2</v>
      </c>
      <c r="X29" s="131"/>
      <c r="Y29" s="343" t="str">
        <v>31200:Sp:634341</v>
      </c>
      <c r="Z29" s="342" t="str">
        <v>31200:Sp:634341</v>
      </c>
      <c r="AB29"/>
      <c r="AE29" s="21"/>
      <c r="AJ29" s="108"/>
      <c r="AK29" s="109"/>
      <c r="AL29" s="108"/>
      <c r="BJ29"/>
      <c r="BL29" s="21"/>
      <c r="BQ29" s="108"/>
      <c r="BR29" s="109"/>
      <c r="BS29" s="108"/>
      <c r="CP29"/>
      <c r="CR29" s="21"/>
      <c r="CW29" s="108"/>
      <c r="CX29" s="109"/>
      <c r="CY29" s="108"/>
      <c r="DU29"/>
      <c r="DV29" s="115"/>
      <c r="DW29" s="115"/>
      <c r="DX29"/>
      <c r="DZ29" s="369">
        <v>31200</v>
      </c>
      <c r="EA29" s="369" t="s">
        <v>2039</v>
      </c>
      <c r="EB29" s="369" t="s">
        <v>2055</v>
      </c>
      <c r="EC29"/>
    </row>
    <row r="30" spans="3:133">
      <c r="C30" s="44" t="s">
        <v>1415</v>
      </c>
      <c r="D30" s="44" t="str" cm="1">
        <f t="array" ref="D30">IF(TbAssign[[#This Row],[Módulo]]="X","X",_xlfn.UNIQUE(_xlfn._xlws.FILTER(TbStd[RowId],TbStd[RowGrp]=TbAssign[[#This Row],[Puesto]]," "))&amp;TEXT($W30,"00"))</f>
        <v>XE02</v>
      </c>
      <c r="E30" s="23" t="s">
        <v>1804</v>
      </c>
      <c r="F30" s="23" t="s">
        <v>2051</v>
      </c>
      <c r="G30" s="44" t="str" cm="1">
        <f t="array" ref="G30">_xlfn._xlws.FILTER(FrmBH3[OFbId],(FrmBH3[PrjId]=TbAssign[[#This Row],[Project]])*(FrmBH3[OFbNam]=TbAssign[[#This Row],[O.F.Name]]),"X")</f>
        <v>X</v>
      </c>
      <c r="H30" s="44" t="s">
        <v>375</v>
      </c>
      <c r="I30" s="44" t="s">
        <v>2114</v>
      </c>
      <c r="J30" s="44">
        <v>27</v>
      </c>
      <c r="K30" s="44" t="s">
        <v>1699</v>
      </c>
      <c r="L30" s="44" t="s">
        <v>1300</v>
      </c>
      <c r="M30" s="44" t="s">
        <v>1697</v>
      </c>
      <c r="N30" s="44" t="s">
        <v>375</v>
      </c>
      <c r="O30" s="44" t="s">
        <v>1787</v>
      </c>
      <c r="P30" s="368" t="s">
        <v>375</v>
      </c>
      <c r="Q30" s="21"/>
      <c r="R30" s="21"/>
      <c r="S30" s="21"/>
      <c r="T30" s="191"/>
      <c r="U30" s="210"/>
      <c r="V30" s="191">
        <f>COUNTIFS(TbAssign[RowId],$D31,TbAssign[Project],$C31)</f>
        <v>1</v>
      </c>
      <c r="W30" s="191" cm="1">
        <f t="array" ref="W30">_xlfn.LET(_xlpm.x,_xlfn.TAKE(TbAssign[Puesto],SUM(ROW()-MATCH("SOR",$A:$A,0))),COUNT(CODE(_xlfn._xlws.FILTER(_xlpm.x,_xlpm.x=TbAssign[[#This Row],[Puesto]],"X"))))</f>
        <v>2</v>
      </c>
      <c r="X30" s="131"/>
      <c r="Y30" s="343" t="str">
        <v>31200:Sp:634342</v>
      </c>
      <c r="Z30" s="342" t="str">
        <v>31200:Sp:634342</v>
      </c>
      <c r="AB30"/>
      <c r="AE30" s="21"/>
      <c r="AJ30" s="108"/>
      <c r="AK30" s="109"/>
      <c r="AL30" s="108"/>
      <c r="BJ30"/>
      <c r="BL30" s="21"/>
      <c r="BQ30" s="108"/>
      <c r="BR30" s="109"/>
      <c r="BS30" s="108"/>
      <c r="CP30"/>
      <c r="CR30" s="21"/>
      <c r="CW30" s="108"/>
      <c r="CX30" s="109"/>
      <c r="CY30" s="108"/>
      <c r="DU30"/>
      <c r="DV30" s="115"/>
      <c r="DW30" s="115"/>
      <c r="DX30"/>
      <c r="DZ30" s="369">
        <v>31200</v>
      </c>
      <c r="EA30" s="369" t="s">
        <v>2039</v>
      </c>
      <c r="EB30" s="369" t="s">
        <v>2055</v>
      </c>
      <c r="EC30"/>
    </row>
    <row r="31" spans="3:133">
      <c r="C31" s="44" t="s">
        <v>1416</v>
      </c>
      <c r="D31" s="44" t="str" cm="1">
        <f t="array" ref="D31">IF(TbAssign[[#This Row],[Módulo]]="X","X",_xlfn.UNIQUE(_xlfn._xlws.FILTER(TbStd[RowId],TbStd[RowGrp]=TbAssign[[#This Row],[Puesto]]," "))&amp;TEXT($W31,"00"))</f>
        <v>XA02</v>
      </c>
      <c r="E31" s="23" t="s">
        <v>1790</v>
      </c>
      <c r="F31" s="23" t="s">
        <v>358</v>
      </c>
      <c r="G31" s="44" t="str" cm="1">
        <f t="array" ref="G31">_xlfn._xlws.FILTER(FrmBH3[OFbId],(FrmBH3[PrjId]=TbAssign[[#This Row],[Project]])*(FrmBH3[OFbNam]=TbAssign[[#This Row],[O.F.Name]]),"X")</f>
        <v>624317</v>
      </c>
      <c r="H31" s="44" t="s">
        <v>358</v>
      </c>
      <c r="I31" s="44" t="s">
        <v>2114</v>
      </c>
      <c r="J31" s="44">
        <v>3</v>
      </c>
      <c r="K31" s="44" t="str" cm="1">
        <f t="array" ref="K31">_xlfn.UNIQUE(_xlfn._xlws.FILTER(TbStd[Amortz.],TbStd[RowGrp]=TbAssign[[#This Row],[Puesto]]," "))</f>
        <v>X</v>
      </c>
      <c r="L31" s="44" t="s">
        <v>375</v>
      </c>
      <c r="M31" s="44" t="str" cm="1">
        <f t="array" ref="M31">_xlfn.UNIQUE(_xlfn._xlws.FILTER(TbStd[Site],TbStd[RowGrp]=TbAssign[[#This Row],[Puesto]],"X"))</f>
        <v>S</v>
      </c>
      <c r="N31" s="44" t="s">
        <v>1695</v>
      </c>
      <c r="O31" s="44" t="s">
        <v>1787</v>
      </c>
      <c r="P31" s="368" t="s">
        <v>375</v>
      </c>
      <c r="Q31" s="21"/>
      <c r="R31" s="21"/>
      <c r="S31" s="21"/>
      <c r="T31" s="191"/>
      <c r="U31" s="210"/>
      <c r="V31" s="191">
        <f>COUNTIFS(TbAssign[RowId],$D32,TbAssign[Project],$C32)</f>
        <v>1</v>
      </c>
      <c r="W31" s="191" cm="1">
        <f t="array" ref="W31">_xlfn.LET(_xlpm.x,_xlfn.TAKE(TbAssign[Puesto],SUM(ROW()-MATCH("SOR",$A:$A,0))),COUNT(CODE(_xlfn._xlws.FILTER(_xlpm.x,_xlpm.x=TbAssign[[#This Row],[Puesto]],"X"))))</f>
        <v>2</v>
      </c>
      <c r="X31" s="131"/>
      <c r="Y31" s="343" t="str">
        <v>31200:Sp:634343</v>
      </c>
      <c r="Z31" s="342" t="str">
        <v>31200:Sp:634343</v>
      </c>
      <c r="AB31"/>
      <c r="AE31" s="21"/>
      <c r="AJ31" s="108"/>
      <c r="AK31" s="109"/>
      <c r="AL31" s="108"/>
      <c r="BJ31"/>
      <c r="BL31" s="21"/>
      <c r="BQ31" s="108"/>
      <c r="BR31" s="109"/>
      <c r="BS31" s="108"/>
      <c r="CP31"/>
      <c r="CR31" s="21"/>
      <c r="CW31" s="108"/>
      <c r="CX31" s="109"/>
      <c r="CY31" s="108"/>
      <c r="DU31"/>
      <c r="DV31" s="115"/>
      <c r="DW31" s="115"/>
      <c r="DX31"/>
      <c r="DZ31" s="369">
        <v>31200</v>
      </c>
      <c r="EA31" s="369" t="s">
        <v>2039</v>
      </c>
      <c r="EB31" s="369" t="s">
        <v>2055</v>
      </c>
      <c r="EC31"/>
    </row>
    <row r="32" spans="3:133">
      <c r="C32" s="44" t="s">
        <v>1416</v>
      </c>
      <c r="D32" s="44" t="str" cm="1">
        <f t="array" ref="D32">IF(TbAssign[[#This Row],[Módulo]]="X","X",_xlfn.UNIQUE(_xlfn._xlws.FILTER(TbStd[RowId],TbStd[RowGrp]=TbAssign[[#This Row],[Puesto]]," "))&amp;TEXT($W32,"00"))</f>
        <v>XB05</v>
      </c>
      <c r="E32" s="23" t="s">
        <v>1796</v>
      </c>
      <c r="F32" s="23" t="s">
        <v>428</v>
      </c>
      <c r="G32" s="44" t="str" cm="1">
        <f t="array" ref="G32">_xlfn._xlws.FILTER(FrmBH3[OFbId],(FrmBH3[PrjId]=TbAssign[[#This Row],[Project]])*(FrmBH3[OFbNam]=TbAssign[[#This Row],[O.F.Name]]),"X")</f>
        <v>624318</v>
      </c>
      <c r="H32" s="44" t="s">
        <v>428</v>
      </c>
      <c r="I32" s="44" t="s">
        <v>2114</v>
      </c>
      <c r="J32" s="44">
        <v>5</v>
      </c>
      <c r="K32" s="44" t="str" cm="1">
        <f t="array" ref="K32">_xlfn.UNIQUE(_xlfn._xlws.FILTER(TbStd[Amortz.],TbStd[RowGrp]=TbAssign[[#This Row],[Puesto]]," "))</f>
        <v>C</v>
      </c>
      <c r="L32" s="44" t="s">
        <v>1300</v>
      </c>
      <c r="M32" s="44" t="str" cm="1">
        <f t="array" ref="M32">_xlfn.UNIQUE(_xlfn._xlws.FILTER(TbStd[Site],TbStd[RowGrp]=TbAssign[[#This Row],[Puesto]],"X"))</f>
        <v>S</v>
      </c>
      <c r="N32" s="44" t="s">
        <v>375</v>
      </c>
      <c r="O32" s="44" t="s">
        <v>1787</v>
      </c>
      <c r="P32" s="368" t="s">
        <v>375</v>
      </c>
      <c r="Q32" s="21"/>
      <c r="R32" s="21"/>
      <c r="S32" s="21"/>
      <c r="T32" s="191"/>
      <c r="U32" s="210"/>
      <c r="V32" s="191">
        <f>COUNTIFS(TbAssign[RowId],$D33,TbAssign[Project],$C33)</f>
        <v>1</v>
      </c>
      <c r="W32" s="191" cm="1">
        <f t="array" ref="W32">_xlfn.LET(_xlpm.x,_xlfn.TAKE(TbAssign[Puesto],SUM(ROW()-MATCH("SOR",$A:$A,0))),COUNT(CODE(_xlfn._xlws.FILTER(_xlpm.x,_xlpm.x=TbAssign[[#This Row],[Puesto]],"X"))))</f>
        <v>5</v>
      </c>
      <c r="X32" s="131"/>
      <c r="Y32" s="343" t="str">
        <v>31200:Sp:634344</v>
      </c>
      <c r="Z32" s="342" t="str">
        <v>31200:Sp:634344</v>
      </c>
      <c r="AB32"/>
      <c r="AE32" s="21"/>
      <c r="AJ32" s="108"/>
      <c r="AK32" s="109"/>
      <c r="AL32" s="108"/>
      <c r="BJ32"/>
      <c r="BL32" s="21"/>
      <c r="BQ32" s="108"/>
      <c r="BR32" s="109"/>
      <c r="BS32" s="108"/>
      <c r="CP32"/>
      <c r="CR32" s="21"/>
      <c r="CW32" s="108"/>
      <c r="CX32" s="109"/>
      <c r="CY32" s="108"/>
      <c r="DU32"/>
      <c r="DV32" s="115"/>
      <c r="DW32" s="115"/>
      <c r="DX32"/>
      <c r="DZ32" s="369">
        <v>31200</v>
      </c>
      <c r="EA32" s="369" t="s">
        <v>2042</v>
      </c>
      <c r="EB32" s="369" t="s">
        <v>2055</v>
      </c>
      <c r="EC32"/>
    </row>
    <row r="33" spans="3:133">
      <c r="C33" s="44" t="s">
        <v>1416</v>
      </c>
      <c r="D33" s="44" t="str" cm="1">
        <f t="array" ref="D33">IF(TbAssign[[#This Row],[Módulo]]="X","X",_xlfn.UNIQUE(_xlfn._xlws.FILTER(TbStd[RowId],TbStd[RowGrp]=TbAssign[[#This Row],[Puesto]]," "))&amp;TEXT($W33,"00"))</f>
        <v>XB03</v>
      </c>
      <c r="E33" s="23" t="s">
        <v>1797</v>
      </c>
      <c r="F33" s="23" t="s">
        <v>430</v>
      </c>
      <c r="G33" s="44" t="str" cm="1">
        <f t="array" ref="G33">_xlfn._xlws.FILTER(FrmBH3[OFbId],(FrmBH3[PrjId]=TbAssign[[#This Row],[Project]])*(FrmBH3[OFbNam]=TbAssign[[#This Row],[O.F.Name]]),"X")</f>
        <v>624319</v>
      </c>
      <c r="H33" s="44" t="s">
        <v>430</v>
      </c>
      <c r="I33" s="44" t="s">
        <v>2114</v>
      </c>
      <c r="J33" s="44">
        <v>7</v>
      </c>
      <c r="K33" s="44" t="str" cm="1">
        <f t="array" ref="K33">_xlfn.UNIQUE(_xlfn._xlws.FILTER(TbStd[Amortz.],TbStd[RowGrp]=TbAssign[[#This Row],[Puesto]]," "))</f>
        <v>T</v>
      </c>
      <c r="L33" s="44" t="s">
        <v>1300</v>
      </c>
      <c r="M33" s="44" t="str" cm="1">
        <f t="array" ref="M33">_xlfn.UNIQUE(_xlfn._xlws.FILTER(TbStd[Site],TbStd[RowGrp]=TbAssign[[#This Row],[Puesto]],"X"))</f>
        <v>S</v>
      </c>
      <c r="N33" s="44" t="s">
        <v>375</v>
      </c>
      <c r="O33" s="44" t="s">
        <v>1787</v>
      </c>
      <c r="P33" s="368" t="s">
        <v>375</v>
      </c>
      <c r="Q33" s="21"/>
      <c r="R33" s="21"/>
      <c r="S33" s="21"/>
      <c r="T33" s="191"/>
      <c r="U33" s="210"/>
      <c r="V33" s="191">
        <f>COUNTIFS(TbAssign[RowId],$D34,TbAssign[Project],$C34)</f>
        <v>1</v>
      </c>
      <c r="W33" s="191" cm="1">
        <f t="array" ref="W33">_xlfn.LET(_xlpm.x,_xlfn.TAKE(TbAssign[Puesto],SUM(ROW()-MATCH("SOR",$A:$A,0))),COUNT(CODE(_xlfn._xlws.FILTER(_xlpm.x,_xlpm.x=TbAssign[[#This Row],[Puesto]],"X"))))</f>
        <v>3</v>
      </c>
      <c r="X33" s="131"/>
      <c r="Y33" s="343" t="str">
        <v>31200:Sp:634345</v>
      </c>
      <c r="Z33" s="342" t="str">
        <v>31200:Sp:634345</v>
      </c>
      <c r="AB33"/>
      <c r="AE33" s="21"/>
      <c r="AJ33" s="108"/>
      <c r="AK33" s="109"/>
      <c r="AL33" s="108"/>
      <c r="BJ33"/>
      <c r="BL33" s="21"/>
      <c r="BQ33" s="108"/>
      <c r="BR33" s="109"/>
      <c r="BS33" s="108"/>
      <c r="CP33"/>
      <c r="CR33" s="21"/>
      <c r="CW33" s="108"/>
      <c r="CX33" s="109"/>
      <c r="CY33" s="108"/>
      <c r="DU33"/>
      <c r="DV33" s="115"/>
      <c r="DW33" s="115"/>
      <c r="DX33"/>
      <c r="DZ33" s="369">
        <v>31200</v>
      </c>
      <c r="EA33" s="369" t="s">
        <v>2042</v>
      </c>
      <c r="EB33" s="369" t="s">
        <v>2055</v>
      </c>
      <c r="EC33"/>
    </row>
    <row r="34" spans="3:133">
      <c r="C34" s="44" t="s">
        <v>1416</v>
      </c>
      <c r="D34" s="44" t="str" cm="1">
        <f t="array" ref="D34">IF(TbAssign[[#This Row],[Módulo]]="X","X",_xlfn.UNIQUE(_xlfn._xlws.FILTER(TbStd[RowId],TbStd[RowGrp]=TbAssign[[#This Row],[Puesto]]," "))&amp;TEXT($W34,"00"))</f>
        <v>XB06</v>
      </c>
      <c r="E34" s="23" t="s">
        <v>1796</v>
      </c>
      <c r="F34" s="23" t="s">
        <v>360</v>
      </c>
      <c r="G34" s="44" t="str" cm="1">
        <f t="array" ref="G34">_xlfn._xlws.FILTER(FrmBH3[OFbId],(FrmBH3[PrjId]=TbAssign[[#This Row],[Project]])*(FrmBH3[OFbNam]=TbAssign[[#This Row],[O.F.Name]]),"X")</f>
        <v>624320</v>
      </c>
      <c r="H34" s="44" t="s">
        <v>360</v>
      </c>
      <c r="I34" s="44" t="s">
        <v>2114</v>
      </c>
      <c r="J34" s="44">
        <v>6</v>
      </c>
      <c r="K34" s="44" t="str" cm="1">
        <f t="array" ref="K34">_xlfn.UNIQUE(_xlfn._xlws.FILTER(TbStd[Amortz.],TbStd[RowGrp]=TbAssign[[#This Row],[Puesto]]," "))</f>
        <v>C</v>
      </c>
      <c r="L34" s="44" t="s">
        <v>1696</v>
      </c>
      <c r="M34" s="44" t="str" cm="1">
        <f t="array" ref="M34">_xlfn.UNIQUE(_xlfn._xlws.FILTER(TbStd[Site],TbStd[RowGrp]=TbAssign[[#This Row],[Puesto]],"X"))</f>
        <v>S</v>
      </c>
      <c r="N34" s="44" t="s">
        <v>375</v>
      </c>
      <c r="O34" s="44" t="s">
        <v>1787</v>
      </c>
      <c r="P34" s="368" t="s">
        <v>375</v>
      </c>
      <c r="Q34" s="21"/>
      <c r="R34" s="21"/>
      <c r="S34" s="21"/>
      <c r="T34" s="191"/>
      <c r="U34" s="210"/>
      <c r="V34" s="191">
        <f>COUNTIFS(TbAssign[RowId],$D35,TbAssign[Project],$C35)</f>
        <v>1</v>
      </c>
      <c r="W34" s="191" cm="1">
        <f t="array" ref="W34">_xlfn.LET(_xlpm.x,_xlfn.TAKE(TbAssign[Puesto],SUM(ROW()-MATCH("SOR",$A:$A,0))),COUNT(CODE(_xlfn._xlws.FILTER(_xlpm.x,_xlpm.x=TbAssign[[#This Row],[Puesto]],"X"))))</f>
        <v>6</v>
      </c>
      <c r="X34" s="131"/>
      <c r="Y34" s="343" t="str">
        <v>31200:Sp:634346</v>
      </c>
      <c r="Z34" s="342" t="str">
        <v>31200:Sp:634346</v>
      </c>
      <c r="AB34"/>
      <c r="AE34" s="21"/>
      <c r="AJ34" s="108"/>
      <c r="AK34" s="109"/>
      <c r="AL34" s="108"/>
      <c r="BJ34"/>
      <c r="BL34" s="21"/>
      <c r="BQ34" s="108"/>
      <c r="BR34" s="109"/>
      <c r="BS34" s="108"/>
      <c r="CP34"/>
      <c r="CR34" s="21"/>
      <c r="CW34" s="108"/>
      <c r="CX34" s="109"/>
      <c r="CY34" s="108"/>
      <c r="DU34"/>
      <c r="DV34" s="115"/>
      <c r="DW34" s="115"/>
      <c r="DX34"/>
      <c r="DZ34" s="369">
        <v>31200</v>
      </c>
      <c r="EA34" s="369" t="s">
        <v>2042</v>
      </c>
      <c r="EB34" s="369" t="s">
        <v>2055</v>
      </c>
      <c r="EC34"/>
    </row>
    <row r="35" spans="3:133">
      <c r="C35" s="44" t="s">
        <v>1416</v>
      </c>
      <c r="D35" s="44" t="str" cm="1">
        <f t="array" ref="D35">IF(TbAssign[[#This Row],[Módulo]]="X","X",_xlfn.UNIQUE(_xlfn._xlws.FILTER(TbStd[RowId],TbStd[RowGrp]=TbAssign[[#This Row],[Puesto]]," "))&amp;TEXT($W35,"00"))</f>
        <v>XB04</v>
      </c>
      <c r="E35" s="23" t="s">
        <v>1797</v>
      </c>
      <c r="F35" s="23" t="s">
        <v>1468</v>
      </c>
      <c r="G35" s="44" t="str" cm="1">
        <f t="array" ref="G35">_xlfn._xlws.FILTER(FrmBH3[OFbId],(FrmBH3[PrjId]=TbAssign[[#This Row],[Project]])*(FrmBH3[OFbNam]=TbAssign[[#This Row],[O.F.Name]]),"X")</f>
        <v>634332</v>
      </c>
      <c r="H35" s="44" t="s">
        <v>1486</v>
      </c>
      <c r="I35" s="44" t="s">
        <v>2114</v>
      </c>
      <c r="J35" s="44">
        <v>4</v>
      </c>
      <c r="K35" s="44" t="str" cm="1">
        <f t="array" ref="K35">_xlfn.UNIQUE(_xlfn._xlws.FILTER(TbStd[Amortz.],TbStd[RowGrp]=TbAssign[[#This Row],[Puesto]]," "))</f>
        <v>T</v>
      </c>
      <c r="L35" s="44" t="s">
        <v>1696</v>
      </c>
      <c r="M35" s="44" t="str" cm="1">
        <f t="array" ref="M35">_xlfn.UNIQUE(_xlfn._xlws.FILTER(TbStd[Site],TbStd[RowGrp]=TbAssign[[#This Row],[Puesto]],"X"))</f>
        <v>S</v>
      </c>
      <c r="N35" s="44" t="s">
        <v>375</v>
      </c>
      <c r="O35" s="44" t="s">
        <v>1787</v>
      </c>
      <c r="P35" s="368" t="s">
        <v>375</v>
      </c>
      <c r="Q35" s="21"/>
      <c r="R35" s="21"/>
      <c r="S35" s="21"/>
      <c r="T35" s="191"/>
      <c r="U35" s="210"/>
      <c r="V35" s="191">
        <f>COUNTIFS(TbAssign[RowId],$D36,TbAssign[Project],$C36)</f>
        <v>1</v>
      </c>
      <c r="W35" s="191" cm="1">
        <f t="array" ref="W35">_xlfn.LET(_xlpm.x,_xlfn.TAKE(TbAssign[Puesto],SUM(ROW()-MATCH("SOR",$A:$A,0))),COUNT(CODE(_xlfn._xlws.FILTER(_xlpm.x,_xlpm.x=TbAssign[[#This Row],[Puesto]],"X"))))</f>
        <v>4</v>
      </c>
      <c r="X35" s="131"/>
      <c r="Y35" s="343" t="str">
        <v>31200:Sp:634347</v>
      </c>
      <c r="Z35" s="342" t="str">
        <v>31200:Sp:634347</v>
      </c>
      <c r="AB35"/>
      <c r="AE35" s="21"/>
      <c r="AJ35" s="108"/>
      <c r="AK35" s="109"/>
      <c r="AL35" s="108"/>
      <c r="BJ35"/>
      <c r="BL35" s="21"/>
      <c r="BQ35" s="108"/>
      <c r="BR35" s="109"/>
      <c r="BS35" s="108"/>
      <c r="CP35"/>
      <c r="CR35" s="21"/>
      <c r="CW35" s="108"/>
      <c r="CX35" s="109"/>
      <c r="CY35" s="108"/>
      <c r="DU35"/>
      <c r="DV35" s="115"/>
      <c r="DW35" s="115"/>
      <c r="DX35"/>
      <c r="DZ35" s="369">
        <v>31200</v>
      </c>
      <c r="EA35" s="369" t="s">
        <v>2042</v>
      </c>
      <c r="EB35" s="369" t="s">
        <v>2055</v>
      </c>
      <c r="EC35"/>
    </row>
    <row r="36" spans="3:133">
      <c r="C36" s="44" t="s">
        <v>1416</v>
      </c>
      <c r="D36" s="44" t="str" cm="1">
        <f t="array" ref="D36">IF(TbAssign[[#This Row],[Módulo]]="X","X",_xlfn.UNIQUE(_xlfn._xlws.FILTER(TbStd[RowId],TbStd[RowGrp]=TbAssign[[#This Row],[Puesto]]," "))&amp;TEXT($W36,"00"))</f>
        <v>XC02</v>
      </c>
      <c r="E36" s="23" t="s">
        <v>1799</v>
      </c>
      <c r="F36" s="23" t="s">
        <v>1473</v>
      </c>
      <c r="G36" s="44" t="str" cm="1">
        <f t="array" ref="G36">_xlfn._xlws.FILTER(FrmBH3[OFbId],(FrmBH3[PrjId]=TbAssign[[#This Row],[Project]])*(FrmBH3[OFbNam]=TbAssign[[#This Row],[O.F.Name]]),"X")</f>
        <v>634333</v>
      </c>
      <c r="H36" s="44" t="s">
        <v>1473</v>
      </c>
      <c r="I36" s="44" t="s">
        <v>2114</v>
      </c>
      <c r="J36" s="44">
        <v>8</v>
      </c>
      <c r="K36" s="44" t="str" cm="1">
        <f t="array" ref="K36">_xlfn.UNIQUE(_xlfn._xlws.FILTER(TbStd[Amortz.],TbStd[RowGrp]=TbAssign[[#This Row],[Puesto]]," "))</f>
        <v>T</v>
      </c>
      <c r="L36" s="44" t="s">
        <v>1696</v>
      </c>
      <c r="M36" s="44" t="str" cm="1">
        <f t="array" ref="M36">_xlfn.UNIQUE(_xlfn._xlws.FILTER(TbStd[Site],TbStd[RowGrp]=TbAssign[[#This Row],[Puesto]],"X"))</f>
        <v>S</v>
      </c>
      <c r="N36" s="44" t="s">
        <v>375</v>
      </c>
      <c r="O36" s="44" t="s">
        <v>375</v>
      </c>
      <c r="P36" s="368" t="s">
        <v>375</v>
      </c>
      <c r="Q36" s="21"/>
      <c r="R36" s="21"/>
      <c r="S36" s="21"/>
      <c r="T36" s="191"/>
      <c r="U36" s="210"/>
      <c r="V36" s="191">
        <f>COUNTIFS(TbAssign[RowId],$D37,TbAssign[Project],$C37)</f>
        <v>1</v>
      </c>
      <c r="W36" s="191" cm="1">
        <f t="array" ref="W36">_xlfn.LET(_xlpm.x,_xlfn.TAKE(TbAssign[Puesto],SUM(ROW()-MATCH("SOR",$A:$A,0))),COUNT(CODE(_xlfn._xlws.FILTER(_xlpm.x,_xlpm.x=TbAssign[[#This Row],[Puesto]],"X"))))</f>
        <v>2</v>
      </c>
      <c r="X36" s="131"/>
      <c r="Y36" s="343" t="str">
        <v>31200:Sp:634348</v>
      </c>
      <c r="Z36" s="342" t="str">
        <v>31200:Sp:634348</v>
      </c>
      <c r="AB36"/>
      <c r="AE36" s="21"/>
      <c r="AJ36" s="108"/>
      <c r="AK36" s="109"/>
      <c r="AL36" s="108"/>
      <c r="BJ36"/>
      <c r="BL36" s="21"/>
      <c r="BQ36" s="108"/>
      <c r="BR36" s="109"/>
      <c r="BS36" s="108"/>
      <c r="CP36"/>
      <c r="CR36" s="21"/>
      <c r="CW36" s="108"/>
      <c r="CX36" s="109"/>
      <c r="CY36" s="108"/>
      <c r="DU36"/>
      <c r="DV36" s="115"/>
      <c r="DW36" s="115"/>
      <c r="DX36"/>
      <c r="DZ36" s="369">
        <v>31200</v>
      </c>
      <c r="EA36" s="369" t="s">
        <v>2042</v>
      </c>
      <c r="EB36" s="369" t="s">
        <v>2055</v>
      </c>
      <c r="EC36"/>
    </row>
    <row r="37" spans="3:133">
      <c r="C37" s="44" t="s">
        <v>1416</v>
      </c>
      <c r="D37" s="44" t="str" cm="1">
        <f t="array" ref="D37">IF(TbAssign[[#This Row],[Módulo]]="X","X",_xlfn.UNIQUE(_xlfn._xlws.FILTER(TbStd[RowId],TbStd[RowGrp]=TbAssign[[#This Row],[Puesto]]," "))&amp;TEXT($W37,"00"))</f>
        <v>XD02</v>
      </c>
      <c r="E37" s="23" t="s">
        <v>1801</v>
      </c>
      <c r="F37" s="23" t="s">
        <v>1475</v>
      </c>
      <c r="G37" s="44" t="str" cm="1">
        <f t="array" ref="G37">_xlfn._xlws.FILTER(FrmBH3[OFbId],(FrmBH3[PrjId]=TbAssign[[#This Row],[Project]])*(FrmBH3[OFbNam]=TbAssign[[#This Row],[O.F.Name]]),"X")</f>
        <v>634334</v>
      </c>
      <c r="H37" s="44" t="s">
        <v>1490</v>
      </c>
      <c r="I37" s="44" t="s">
        <v>2114</v>
      </c>
      <c r="J37" s="44">
        <v>9</v>
      </c>
      <c r="K37" s="44" t="str" cm="1">
        <f t="array" ref="K37">_xlfn.UNIQUE(_xlfn._xlws.FILTER(TbStd[Amortz.],TbStd[RowGrp]=TbAssign[[#This Row],[Puesto]]," "))</f>
        <v>T</v>
      </c>
      <c r="L37" s="44" t="s">
        <v>1300</v>
      </c>
      <c r="M37" s="44" t="str" cm="1">
        <f t="array" ref="M37">_xlfn.UNIQUE(_xlfn._xlws.FILTER(TbStd[Site],TbStd[RowGrp]=TbAssign[[#This Row],[Puesto]],"X"))</f>
        <v>S</v>
      </c>
      <c r="N37" s="44" t="s">
        <v>375</v>
      </c>
      <c r="O37" s="44" t="s">
        <v>1787</v>
      </c>
      <c r="P37" s="368" t="s">
        <v>375</v>
      </c>
      <c r="Q37" s="21"/>
      <c r="R37" s="21"/>
      <c r="S37" s="21"/>
      <c r="T37" s="191"/>
      <c r="U37" s="210"/>
      <c r="V37" s="191">
        <f>COUNTIFS(TbAssign[RowId],$D38,TbAssign[Project],$C38)</f>
        <v>1</v>
      </c>
      <c r="W37" s="191" cm="1">
        <f t="array" ref="W37">_xlfn.LET(_xlpm.x,_xlfn.TAKE(TbAssign[Puesto],SUM(ROW()-MATCH("SOR",$A:$A,0))),COUNT(CODE(_xlfn._xlws.FILTER(_xlpm.x,_xlpm.x=TbAssign[[#This Row],[Puesto]],"X"))))</f>
        <v>2</v>
      </c>
      <c r="X37" s="131"/>
      <c r="Y37" s="343" t="str">
        <v>31200:Sp:634349</v>
      </c>
      <c r="Z37" s="342" t="str">
        <v>31200:Sp:634349</v>
      </c>
      <c r="AB37"/>
      <c r="AE37" s="21"/>
      <c r="AJ37" s="108"/>
      <c r="AK37" s="109"/>
      <c r="AL37" s="108"/>
      <c r="BJ37"/>
      <c r="BL37" s="21"/>
      <c r="BQ37" s="108"/>
      <c r="BR37" s="109"/>
      <c r="BS37" s="108"/>
      <c r="CP37"/>
      <c r="CR37" s="21"/>
      <c r="CW37" s="108"/>
      <c r="CX37" s="109"/>
      <c r="CY37" s="108"/>
      <c r="DU37"/>
      <c r="DV37" s="115"/>
      <c r="DW37" s="115"/>
      <c r="DX37"/>
      <c r="DZ37" s="369">
        <v>31200</v>
      </c>
      <c r="EA37" s="369" t="s">
        <v>2042</v>
      </c>
      <c r="EB37" s="369" t="s">
        <v>2055</v>
      </c>
      <c r="EC37"/>
    </row>
    <row r="38" spans="3:133">
      <c r="C38" s="44" t="s">
        <v>1416</v>
      </c>
      <c r="D38" s="44" t="str" cm="1">
        <f t="array" ref="D38">IF(TbAssign[[#This Row],[Módulo]]="X","X",_xlfn.UNIQUE(_xlfn._xlws.FILTER(TbStd[RowId],TbStd[RowGrp]=TbAssign[[#This Row],[Puesto]]," "))&amp;TEXT($W38,"00"))</f>
        <v>XE02</v>
      </c>
      <c r="E38" s="23" t="s">
        <v>1803</v>
      </c>
      <c r="F38" s="23" t="s">
        <v>298</v>
      </c>
      <c r="G38" s="44" t="str" cm="1">
        <f t="array" ref="G38">_xlfn._xlws.FILTER(FrmBH3[OFbId],(FrmBH3[PrjId]=TbAssign[[#This Row],[Project]])*(FrmBH3[OFbNam]=TbAssign[[#This Row],[O.F.Name]]),"X")</f>
        <v>634335</v>
      </c>
      <c r="H38" s="44" t="s">
        <v>298</v>
      </c>
      <c r="I38" s="44" t="s">
        <v>2114</v>
      </c>
      <c r="J38" s="44">
        <v>10</v>
      </c>
      <c r="K38" s="44" t="str" cm="1">
        <f t="array" ref="K38">_xlfn.UNIQUE(_xlfn._xlws.FILTER(TbStd[Amortz.],TbStd[RowGrp]=TbAssign[[#This Row],[Puesto]]," "))</f>
        <v>T</v>
      </c>
      <c r="L38" s="44" t="s">
        <v>375</v>
      </c>
      <c r="M38" s="44" t="str" cm="1">
        <f t="array" ref="M38">_xlfn.UNIQUE(_xlfn._xlws.FILTER(TbStd[Site],TbStd[RowGrp]=TbAssign[[#This Row],[Puesto]],"X"))</f>
        <v>S</v>
      </c>
      <c r="N38" s="44" t="s">
        <v>375</v>
      </c>
      <c r="O38" s="44" t="s">
        <v>1787</v>
      </c>
      <c r="P38" s="368" t="s">
        <v>375</v>
      </c>
      <c r="Q38" s="21"/>
      <c r="R38" s="21"/>
      <c r="S38" s="21"/>
      <c r="T38" s="208"/>
      <c r="V38" s="191">
        <f>COUNTIFS(TbAssign[RowId],$D39,TbAssign[Project],$C39)</f>
        <v>2</v>
      </c>
      <c r="W38" s="191" cm="1">
        <f t="array" ref="W38">_xlfn.LET(_xlpm.x,_xlfn.TAKE(TbAssign[Puesto],SUM(ROW()-MATCH("SOR",$A:$A,0))),COUNT(CODE(_xlfn._xlws.FILTER(_xlpm.x,_xlpm.x=TbAssign[[#This Row],[Puesto]],"X"))))</f>
        <v>2</v>
      </c>
      <c r="X38" s="131"/>
      <c r="Y38" s="343" t="str">
        <v>31200:Sp:634367</v>
      </c>
      <c r="Z38" s="342" t="str">
        <v>31200:Sp:634367</v>
      </c>
      <c r="AB38"/>
      <c r="AE38" s="21"/>
      <c r="AJ38" s="108"/>
      <c r="AK38" s="109"/>
      <c r="AL38" s="108"/>
      <c r="BJ38"/>
      <c r="BL38" s="21"/>
      <c r="BQ38" s="108"/>
      <c r="BR38" s="109"/>
      <c r="BS38" s="108"/>
      <c r="CP38"/>
      <c r="CR38" s="21"/>
      <c r="CW38" s="108"/>
      <c r="CX38" s="109"/>
      <c r="CY38" s="108"/>
      <c r="DU38"/>
      <c r="DV38" s="115"/>
      <c r="DW38" s="115"/>
      <c r="DX38"/>
      <c r="DZ38" s="369">
        <v>31200</v>
      </c>
      <c r="EA38" s="369" t="s">
        <v>2042</v>
      </c>
      <c r="EB38" s="369" t="s">
        <v>2055</v>
      </c>
      <c r="EC38"/>
    </row>
    <row r="39" spans="3:133">
      <c r="C39" s="44" t="s">
        <v>1416</v>
      </c>
      <c r="D39" s="44" t="str" cm="1">
        <f t="array" ref="D39">IF(TbAssign[[#This Row],[Módulo]]="X","X",_xlfn.UNIQUE(_xlfn._xlws.FILTER(TbStd[RowId],TbStd[RowGrp]=TbAssign[[#This Row],[Puesto]]," "))&amp;TEXT($W39,"00"))</f>
        <v>XH03</v>
      </c>
      <c r="E39" s="23" t="s">
        <v>1794</v>
      </c>
      <c r="F39" s="23" t="s">
        <v>288</v>
      </c>
      <c r="G39" s="44" t="str" cm="1">
        <f t="array" ref="G39">_xlfn._xlws.FILTER(FrmBH3[OFbId],(FrmBH3[PrjId]=TbAssign[[#This Row],[Project]])*(FrmBH3[OFbNam]=TbAssign[[#This Row],[O.F.Name]]),"X")</f>
        <v>651835</v>
      </c>
      <c r="H39" s="44" t="s">
        <v>288</v>
      </c>
      <c r="I39" s="44" t="s">
        <v>2114</v>
      </c>
      <c r="J39" s="44">
        <v>16</v>
      </c>
      <c r="K39" s="44" t="str" cm="1">
        <f t="array" ref="K39">_xlfn.UNIQUE(_xlfn._xlws.FILTER(TbStd[Amortz.],TbStd[RowGrp]=TbAssign[[#This Row],[Puesto]]," "))</f>
        <v>X</v>
      </c>
      <c r="L39" s="44" t="s">
        <v>375</v>
      </c>
      <c r="M39" s="44" t="str" cm="1">
        <f t="array" ref="M39">_xlfn.UNIQUE(_xlfn._xlws.FILTER(TbStd[Site],TbStd[RowGrp]=TbAssign[[#This Row],[Puesto]],"X"))</f>
        <v>X</v>
      </c>
      <c r="N39" s="44" t="s">
        <v>1695</v>
      </c>
      <c r="O39" s="44" t="s">
        <v>375</v>
      </c>
      <c r="P39" s="368" t="s">
        <v>375</v>
      </c>
      <c r="Q39" s="21"/>
      <c r="R39" s="21"/>
      <c r="S39" s="21"/>
      <c r="T39" s="208"/>
      <c r="V39" s="191">
        <f>COUNTIFS(TbAssign[RowId],$D40,TbAssign[Project],$C40)</f>
        <v>2</v>
      </c>
      <c r="W39" s="191" cm="1">
        <f t="array" ref="W39">_xlfn.LET(_xlpm.x,_xlfn.TAKE(TbAssign[Puesto],SUM(ROW()-MATCH("SOR",$A:$A,0))),COUNT(CODE(_xlfn._xlws.FILTER(_xlpm.x,_xlpm.x=TbAssign[[#This Row],[Puesto]],"X"))))</f>
        <v>3</v>
      </c>
      <c r="X39" s="131"/>
      <c r="Y39" s="343" t="str">
        <v>31200:Sp:651843</v>
      </c>
      <c r="Z39" s="342" t="str">
        <v>31200:Sp:651843</v>
      </c>
      <c r="AB39"/>
      <c r="AE39" s="21"/>
      <c r="AJ39" s="108"/>
      <c r="AK39" s="109"/>
      <c r="AL39" s="108"/>
      <c r="BJ39"/>
      <c r="BL39" s="21"/>
      <c r="BQ39" s="108"/>
      <c r="BR39" s="109"/>
      <c r="BS39" s="108"/>
      <c r="CP39"/>
      <c r="CR39" s="21"/>
      <c r="CW39" s="108"/>
      <c r="CX39" s="109"/>
      <c r="CY39" s="108"/>
      <c r="DU39"/>
      <c r="DV39" s="115"/>
      <c r="DW39" s="115"/>
      <c r="DX39"/>
      <c r="DZ39" s="369">
        <v>31200</v>
      </c>
      <c r="EA39" s="369" t="s">
        <v>2042</v>
      </c>
      <c r="EB39" s="369" t="s">
        <v>2055</v>
      </c>
      <c r="EC39"/>
    </row>
    <row r="40" spans="3:133">
      <c r="C40" s="44" t="s">
        <v>1416</v>
      </c>
      <c r="D40" s="44" t="str" cm="1">
        <f t="array" ref="D40">IF(TbAssign[[#This Row],[Módulo]]="X","X",_xlfn.UNIQUE(_xlfn._xlws.FILTER(TbStd[RowId],TbStd[RowGrp]=TbAssign[[#This Row],[Puesto]]," "))&amp;TEXT($W40,"00"))</f>
        <v>XH04</v>
      </c>
      <c r="E40" s="23" t="s">
        <v>1794</v>
      </c>
      <c r="F40" s="23" t="s">
        <v>1285</v>
      </c>
      <c r="G40" s="44" t="str" cm="1">
        <f t="array" ref="G40">_xlfn._xlws.FILTER(FrmBH3[OFbId],(FrmBH3[PrjId]=TbAssign[[#This Row],[Project]])*(FrmBH3[OFbNam]=TbAssign[[#This Row],[O.F.Name]]),"X")</f>
        <v>651836</v>
      </c>
      <c r="H40" s="44" t="s">
        <v>1285</v>
      </c>
      <c r="I40" s="44" t="s">
        <v>2114</v>
      </c>
      <c r="J40" s="44">
        <v>17</v>
      </c>
      <c r="K40" s="44" t="str" cm="1">
        <f t="array" ref="K40">_xlfn.UNIQUE(_xlfn._xlws.FILTER(TbStd[Amortz.],TbStd[RowGrp]=TbAssign[[#This Row],[Puesto]]," "))</f>
        <v>X</v>
      </c>
      <c r="L40" s="44" t="s">
        <v>375</v>
      </c>
      <c r="M40" s="44" t="str" cm="1">
        <f t="array" ref="M40">_xlfn.UNIQUE(_xlfn._xlws.FILTER(TbStd[Site],TbStd[RowGrp]=TbAssign[[#This Row],[Puesto]],"X"))</f>
        <v>X</v>
      </c>
      <c r="N40" s="44" t="s">
        <v>1698</v>
      </c>
      <c r="O40" s="44" t="s">
        <v>375</v>
      </c>
      <c r="P40" s="368" t="s">
        <v>375</v>
      </c>
      <c r="Q40" s="21"/>
      <c r="R40" s="21"/>
      <c r="S40" s="21"/>
      <c r="T40" s="208"/>
      <c r="V40" s="191">
        <f>COUNTIFS(TbAssign[RowId],$D41,TbAssign[Project],$C41)</f>
        <v>2</v>
      </c>
      <c r="W40" s="191" cm="1">
        <f t="array" ref="W40">_xlfn.LET(_xlpm.x,_xlfn.TAKE(TbAssign[Puesto],SUM(ROW()-MATCH("SOR",$A:$A,0))),COUNT(CODE(_xlfn._xlws.FILTER(_xlpm.x,_xlpm.x=TbAssign[[#This Row],[Puesto]],"X"))))</f>
        <v>4</v>
      </c>
      <c r="X40" s="131"/>
      <c r="Y40" s="343" t="str">
        <v>31200:Sp:651844</v>
      </c>
      <c r="Z40" s="342" t="str">
        <v>31200:Sp:651844</v>
      </c>
      <c r="AB40"/>
      <c r="AE40" s="21"/>
      <c r="AJ40" s="108"/>
      <c r="AK40" s="109"/>
      <c r="AL40" s="108"/>
      <c r="BJ40"/>
      <c r="BL40" s="21"/>
      <c r="BQ40" s="108"/>
      <c r="BR40" s="109"/>
      <c r="BS40" s="108"/>
      <c r="CP40"/>
      <c r="CR40" s="21"/>
      <c r="CW40" s="108"/>
      <c r="CX40" s="109"/>
      <c r="CY40" s="108"/>
      <c r="DU40"/>
      <c r="DV40" s="115"/>
      <c r="DW40" s="115"/>
      <c r="DX40"/>
      <c r="DZ40" s="369">
        <v>31200</v>
      </c>
      <c r="EA40" s="369" t="s">
        <v>2042</v>
      </c>
      <c r="EB40" s="369" t="s">
        <v>2055</v>
      </c>
      <c r="EC40"/>
    </row>
    <row r="41" spans="3:133">
      <c r="C41" s="44" t="s">
        <v>1416</v>
      </c>
      <c r="D41" s="44" t="str" cm="1">
        <f t="array" ref="D41">IF(TbAssign[[#This Row],[Módulo]]="X","X",_xlfn.UNIQUE(_xlfn._xlws.FILTER(TbStd[RowId],TbStd[RowGrp]=TbAssign[[#This Row],[Puesto]]," "))&amp;TEXT($W41,"00"))</f>
        <v>XF02</v>
      </c>
      <c r="E41" s="23" t="s">
        <v>1792</v>
      </c>
      <c r="F41" s="23" t="s">
        <v>300</v>
      </c>
      <c r="G41" s="44" t="str" cm="1">
        <f t="array" ref="G41">_xlfn._xlws.FILTER(FrmBH3[OFbId],(FrmBH3[PrjId]=TbAssign[[#This Row],[Project]])*(FrmBH3[OFbNam]=TbAssign[[#This Row],[O.F.Name]]),"X")</f>
        <v>GDT</v>
      </c>
      <c r="H41" s="44" t="s">
        <v>300</v>
      </c>
      <c r="I41" s="44" t="s">
        <v>2114</v>
      </c>
      <c r="J41" s="44">
        <v>1</v>
      </c>
      <c r="K41" s="44" t="str" cm="1">
        <f t="array" ref="K41">_xlfn.UNIQUE(_xlfn._xlws.FILTER(TbStd[Amortz.],TbStd[RowGrp]=TbAssign[[#This Row],[Puesto]]," "))</f>
        <v>X</v>
      </c>
      <c r="L41" s="44" t="s">
        <v>375</v>
      </c>
      <c r="M41" s="44" t="str" cm="1">
        <f t="array" ref="M41">_xlfn.UNIQUE(_xlfn._xlws.FILTER(TbStd[Site],TbStd[RowGrp]=TbAssign[[#This Row],[Puesto]],"X"))</f>
        <v>S</v>
      </c>
      <c r="N41" s="44" t="s">
        <v>1695</v>
      </c>
      <c r="O41" s="44" t="s">
        <v>1698</v>
      </c>
      <c r="P41" s="368" t="s">
        <v>375</v>
      </c>
      <c r="Q41" s="21"/>
      <c r="R41" s="21"/>
      <c r="S41" s="21"/>
      <c r="T41" s="208"/>
      <c r="V41" s="191">
        <f>COUNTIFS(TbAssign[RowId],$D42,TbAssign[Project],$C42)</f>
        <v>2</v>
      </c>
      <c r="W41" s="191" cm="1">
        <f t="array" ref="W41">_xlfn.LET(_xlpm.x,_xlfn.TAKE(TbAssign[Puesto],SUM(ROW()-MATCH("SOR",$A:$A,0))),COUNT(CODE(_xlfn._xlws.FILTER(_xlpm.x,_xlpm.x=TbAssign[[#This Row],[Puesto]],"X"))))</f>
        <v>2</v>
      </c>
      <c r="X41" s="131"/>
      <c r="Y41" s="343" t="str">
        <v>31200:Sp:CDC</v>
      </c>
      <c r="Z41" s="342" t="str">
        <v>31200:Sp:CDC</v>
      </c>
      <c r="AB41"/>
      <c r="AE41" s="21"/>
      <c r="AJ41" s="108"/>
      <c r="AK41" s="109"/>
      <c r="AL41" s="108"/>
      <c r="BJ41"/>
      <c r="BL41" s="21"/>
      <c r="BQ41" s="108"/>
      <c r="BR41" s="109"/>
      <c r="BS41" s="108"/>
      <c r="CP41"/>
      <c r="CR41" s="21"/>
      <c r="CW41" s="108"/>
      <c r="CX41" s="109"/>
      <c r="CY41" s="108"/>
      <c r="DU41"/>
      <c r="DV41" s="115"/>
      <c r="DW41" s="115"/>
      <c r="DX41"/>
      <c r="DZ41" s="369">
        <v>31200</v>
      </c>
      <c r="EA41" s="369" t="s">
        <v>2042</v>
      </c>
      <c r="EB41" s="369" t="s">
        <v>2055</v>
      </c>
      <c r="EC41"/>
    </row>
    <row r="42" spans="3:133">
      <c r="C42" s="44" t="s">
        <v>1416</v>
      </c>
      <c r="D42" s="44" t="str" cm="1">
        <f t="array" ref="D42">IF(TbAssign[[#This Row],[Módulo]]="X","X",_xlfn.UNIQUE(_xlfn._xlws.FILTER(TbStd[RowId],TbStd[RowGrp]=TbAssign[[#This Row],[Puesto]]," "))&amp;TEXT($W42,"00"))</f>
        <v>XF02</v>
      </c>
      <c r="E42" s="23" t="s">
        <v>1793</v>
      </c>
      <c r="F42" s="23" t="s">
        <v>301</v>
      </c>
      <c r="G42" s="44" t="str" cm="1">
        <f t="array" ref="G42">_xlfn._xlws.FILTER(FrmBH3[OFbId],(FrmBH3[PrjId]=TbAssign[[#This Row],[Project]])*(FrmBH3[OFbNam]=TbAssign[[#This Row],[O.F.Name]]),"X")</f>
        <v>GDD</v>
      </c>
      <c r="H42" s="44" t="s">
        <v>301</v>
      </c>
      <c r="I42" s="44" t="s">
        <v>2114</v>
      </c>
      <c r="J42" s="44">
        <v>2</v>
      </c>
      <c r="K42" s="44" t="str" cm="1">
        <f t="array" ref="K42">_xlfn.UNIQUE(_xlfn._xlws.FILTER(TbStd[Amortz.],TbStd[RowGrp]=TbAssign[[#This Row],[Puesto]]," "))</f>
        <v>X</v>
      </c>
      <c r="L42" s="44" t="s">
        <v>375</v>
      </c>
      <c r="M42" s="44" t="str" cm="1">
        <f t="array" ref="M42">_xlfn.UNIQUE(_xlfn._xlws.FILTER(TbStd[Site],TbStd[RowGrp]=TbAssign[[#This Row],[Puesto]],"X"))</f>
        <v>P</v>
      </c>
      <c r="N42" s="44" t="s">
        <v>375</v>
      </c>
      <c r="O42" s="44" t="s">
        <v>1698</v>
      </c>
      <c r="P42" s="368" t="s">
        <v>375</v>
      </c>
      <c r="Q42" s="21"/>
      <c r="R42" s="21"/>
      <c r="S42" s="21"/>
      <c r="T42" s="208"/>
      <c r="V42" s="191">
        <f>COUNTIFS(TbAssign[RowId],$D43,TbAssign[Project],$C43)</f>
        <v>1</v>
      </c>
      <c r="W42" s="191" cm="1">
        <f t="array" ref="W42">_xlfn.LET(_xlpm.x,_xlfn.TAKE(TbAssign[Puesto],SUM(ROW()-MATCH("SOR",$A:$A,0))),COUNT(CODE(_xlfn._xlws.FILTER(_xlpm.x,_xlpm.x=TbAssign[[#This Row],[Puesto]],"X"))))</f>
        <v>2</v>
      </c>
      <c r="X42" s="131"/>
      <c r="Y42" s="343" t="str">
        <v>31200:Sp:CPE</v>
      </c>
      <c r="Z42" s="342" t="str">
        <v>31200:Sp:CPE</v>
      </c>
      <c r="AB42"/>
      <c r="AE42" s="21"/>
      <c r="AJ42" s="108"/>
      <c r="AK42" s="109"/>
      <c r="AL42" s="108"/>
      <c r="BJ42"/>
      <c r="BL42" s="21"/>
      <c r="BQ42" s="108"/>
      <c r="BR42" s="109"/>
      <c r="BS42" s="108"/>
      <c r="CP42"/>
      <c r="CR42" s="21"/>
      <c r="CW42" s="108"/>
      <c r="CX42" s="109"/>
      <c r="CY42" s="108"/>
      <c r="DU42"/>
      <c r="DV42" s="115"/>
      <c r="DW42" s="115"/>
      <c r="DX42"/>
      <c r="DZ42" s="369">
        <v>31200</v>
      </c>
      <c r="EA42" s="369" t="s">
        <v>2042</v>
      </c>
      <c r="EB42" s="369" t="s">
        <v>2055</v>
      </c>
      <c r="EC42"/>
    </row>
    <row r="43" spans="3:133">
      <c r="C43" s="44" t="s">
        <v>1416</v>
      </c>
      <c r="D43" s="44" t="str" cm="1">
        <f t="array" ref="D43">IF(TbAssign[[#This Row],[Módulo]]="X","X",_xlfn.UNIQUE(_xlfn._xlws.FILTER(TbStd[RowId],TbStd[RowGrp]=TbAssign[[#This Row],[Puesto]]," "))&amp;TEXT($W43,"00"))</f>
        <v>XA03</v>
      </c>
      <c r="E43" s="23" t="s">
        <v>1791</v>
      </c>
      <c r="F43" s="23" t="s">
        <v>1242</v>
      </c>
      <c r="G43" s="44" t="str" cm="1">
        <f t="array" ref="G43">_xlfn._xlws.FILTER(FrmBH3[OFbId],(FrmBH3[PrjId]=TbAssign[[#This Row],[Project]])*(FrmBH3[OFbNam]=TbAssign[[#This Row],[O.F.Name]]),"X")</f>
        <v>GDG</v>
      </c>
      <c r="H43" s="44" t="s">
        <v>1242</v>
      </c>
      <c r="I43" s="44" t="s">
        <v>2114</v>
      </c>
      <c r="J43" s="44">
        <v>12</v>
      </c>
      <c r="K43" s="44" t="str" cm="1">
        <f t="array" ref="K43">_xlfn.UNIQUE(_xlfn._xlws.FILTER(TbStd[Amortz.],TbStd[RowGrp]=TbAssign[[#This Row],[Puesto]]," "))</f>
        <v>X</v>
      </c>
      <c r="L43" s="44" t="s">
        <v>375</v>
      </c>
      <c r="M43" s="44" t="str" cm="1">
        <f t="array" ref="M43">_xlfn.UNIQUE(_xlfn._xlws.FILTER(TbStd[Site],TbStd[RowGrp]=TbAssign[[#This Row],[Puesto]],"X"))</f>
        <v>S</v>
      </c>
      <c r="N43" s="44" t="s">
        <v>1695</v>
      </c>
      <c r="O43" s="44" t="s">
        <v>1698</v>
      </c>
      <c r="P43" s="368" t="s">
        <v>375</v>
      </c>
      <c r="Q43" s="21"/>
      <c r="R43" s="21"/>
      <c r="S43" s="21"/>
      <c r="T43" s="208"/>
      <c r="V43" s="191">
        <f>COUNTIFS(TbAssign[RowId],$D44,TbAssign[Project],$C44)</f>
        <v>1</v>
      </c>
      <c r="W43" s="191" cm="1">
        <f t="array" ref="W43">_xlfn.LET(_xlpm.x,_xlfn.TAKE(TbAssign[Puesto],SUM(ROW()-MATCH("SOR",$A:$A,0))),COUNT(CODE(_xlfn._xlws.FILTER(_xlpm.x,_xlpm.x=TbAssign[[#This Row],[Puesto]],"X"))))</f>
        <v>3</v>
      </c>
      <c r="X43" s="131"/>
      <c r="Y43" s="343" t="str">
        <v>31200:Sp:GDA</v>
      </c>
      <c r="Z43" s="342" t="str">
        <v>31200:Sp:GDA</v>
      </c>
      <c r="AB43"/>
      <c r="AE43" s="21"/>
      <c r="AJ43" s="108"/>
      <c r="AK43" s="109"/>
      <c r="AL43" s="108"/>
      <c r="BJ43"/>
      <c r="BL43" s="21"/>
      <c r="BQ43" s="108"/>
      <c r="BR43" s="109"/>
      <c r="BS43" s="108"/>
      <c r="CP43"/>
      <c r="CR43" s="21"/>
      <c r="CW43" s="108"/>
      <c r="CX43" s="109"/>
      <c r="CY43" s="108"/>
      <c r="DU43"/>
      <c r="DV43" s="115"/>
      <c r="DW43" s="115"/>
      <c r="DX43"/>
      <c r="DZ43" s="369">
        <v>31200</v>
      </c>
      <c r="EA43" s="369" t="s">
        <v>2042</v>
      </c>
      <c r="EB43" s="369" t="s">
        <v>2055</v>
      </c>
      <c r="EC43"/>
    </row>
    <row r="44" spans="3:133">
      <c r="C44" s="44" t="s">
        <v>1416</v>
      </c>
      <c r="D44" s="44" t="str" cm="1">
        <f t="array" ref="D44">IF(TbAssign[[#This Row],[Módulo]]="X","X",_xlfn.UNIQUE(_xlfn._xlws.FILTER(TbStd[RowId],TbStd[RowGrp]=TbAssign[[#This Row],[Puesto]]," "))&amp;TEXT($W44,"00"))</f>
        <v>XA04</v>
      </c>
      <c r="E44" s="23" t="s">
        <v>1791</v>
      </c>
      <c r="F44" s="23" t="s">
        <v>1243</v>
      </c>
      <c r="G44" s="44" t="str" cm="1">
        <f t="array" ref="G44">_xlfn._xlws.FILTER(FrmBH3[OFbId],(FrmBH3[PrjId]=TbAssign[[#This Row],[Project]])*(FrmBH3[OFbNam]=TbAssign[[#This Row],[O.F.Name]]),"X")</f>
        <v>GDA</v>
      </c>
      <c r="H44" s="44" t="s">
        <v>1243</v>
      </c>
      <c r="I44" s="44" t="s">
        <v>2114</v>
      </c>
      <c r="J44" s="44">
        <v>13</v>
      </c>
      <c r="K44" s="44" t="str" cm="1">
        <f t="array" ref="K44">_xlfn.UNIQUE(_xlfn._xlws.FILTER(TbStd[Amortz.],TbStd[RowGrp]=TbAssign[[#This Row],[Puesto]]," "))</f>
        <v>X</v>
      </c>
      <c r="L44" s="44" t="s">
        <v>375</v>
      </c>
      <c r="M44" s="44" t="str" cm="1">
        <f t="array" ref="M44">_xlfn.UNIQUE(_xlfn._xlws.FILTER(TbStd[Site],TbStd[RowGrp]=TbAssign[[#This Row],[Puesto]],"X"))</f>
        <v>S</v>
      </c>
      <c r="N44" s="44" t="s">
        <v>1698</v>
      </c>
      <c r="O44" s="44" t="s">
        <v>1698</v>
      </c>
      <c r="P44" s="368" t="s">
        <v>375</v>
      </c>
      <c r="Q44" s="21"/>
      <c r="R44" s="21"/>
      <c r="S44" s="21"/>
      <c r="T44" s="208"/>
      <c r="V44" s="191">
        <f>COUNTIFS(TbAssign[RowId],$D45,TbAssign[Project],$C45)</f>
        <v>2</v>
      </c>
      <c r="W44" s="191" cm="1">
        <f t="array" ref="W44">_xlfn.LET(_xlpm.x,_xlfn.TAKE(TbAssign[Puesto],SUM(ROW()-MATCH("SOR",$A:$A,0))),COUNT(CODE(_xlfn._xlws.FILTER(_xlpm.x,_xlpm.x=TbAssign[[#This Row],[Puesto]],"X"))))</f>
        <v>4</v>
      </c>
      <c r="X44" s="131"/>
      <c r="Y44" s="343" t="str">
        <v>31200:Sp:GDD</v>
      </c>
      <c r="Z44" s="342" t="str">
        <v>31200:Sp:GDD</v>
      </c>
      <c r="AB44"/>
      <c r="AE44" s="21"/>
      <c r="AJ44" s="108"/>
      <c r="AK44" s="109"/>
      <c r="AL44" s="108"/>
      <c r="BJ44"/>
      <c r="BL44" s="21"/>
      <c r="BQ44" s="108"/>
      <c r="BR44" s="109"/>
      <c r="BS44" s="108"/>
      <c r="CP44"/>
      <c r="CR44" s="21"/>
      <c r="CW44" s="108"/>
      <c r="CX44" s="109"/>
      <c r="CY44" s="108"/>
      <c r="DU44"/>
      <c r="DV44" s="115"/>
      <c r="DW44" s="115"/>
      <c r="DX44"/>
      <c r="DZ44" s="369">
        <v>31200</v>
      </c>
      <c r="EA44" s="369" t="s">
        <v>2042</v>
      </c>
      <c r="EB44" s="369" t="s">
        <v>2055</v>
      </c>
      <c r="EC44"/>
    </row>
    <row r="45" spans="3:133">
      <c r="C45" s="44" t="s">
        <v>1416</v>
      </c>
      <c r="D45" s="44" t="str" cm="1">
        <f t="array" ref="D45">IF(TbAssign[[#This Row],[Módulo]]="X","X",_xlfn.UNIQUE(_xlfn._xlws.FILTER(TbStd[RowId],TbStd[RowGrp]=TbAssign[[#This Row],[Puesto]]," "))&amp;TEXT($W45,"00"))</f>
        <v>XH03</v>
      </c>
      <c r="E45" s="23" t="s">
        <v>1795</v>
      </c>
      <c r="F45" s="23" t="s">
        <v>1245</v>
      </c>
      <c r="G45" s="44" t="str" cm="1">
        <f t="array" ref="G45">_xlfn._xlws.FILTER(FrmBH3[OFbId],(FrmBH3[PrjId]=TbAssign[[#This Row],[Project]])*(FrmBH3[OFbNam]=TbAssign[[#This Row],[O.F.Name]]),"X")</f>
        <v>CPE</v>
      </c>
      <c r="H45" s="44" t="s">
        <v>2126</v>
      </c>
      <c r="I45" s="44" t="s">
        <v>2114</v>
      </c>
      <c r="J45" s="44">
        <v>14</v>
      </c>
      <c r="K45" s="44" t="str" cm="1">
        <f t="array" ref="K45">_xlfn.UNIQUE(_xlfn._xlws.FILTER(TbStd[Amortz.],TbStd[RowGrp]=TbAssign[[#This Row],[Puesto]]," "))</f>
        <v>X</v>
      </c>
      <c r="L45" s="44" t="s">
        <v>375</v>
      </c>
      <c r="M45" s="44" t="str" cm="1">
        <f t="array" ref="M45">_xlfn.UNIQUE(_xlfn._xlws.FILTER(TbStd[Site],TbStd[RowGrp]=TbAssign[[#This Row],[Puesto]],"X"))</f>
        <v>S</v>
      </c>
      <c r="N45" s="44" t="s">
        <v>1698</v>
      </c>
      <c r="O45" s="44" t="s">
        <v>375</v>
      </c>
      <c r="P45" s="368" t="s">
        <v>375</v>
      </c>
      <c r="Q45" s="21"/>
      <c r="R45" s="21"/>
      <c r="S45" s="21"/>
      <c r="T45" s="208"/>
      <c r="V45" s="191">
        <f>COUNTIFS(TbAssign[RowId],$D46,TbAssign[Project],$C46)</f>
        <v>2</v>
      </c>
      <c r="W45" s="191" cm="1">
        <f t="array" ref="W45">_xlfn.LET(_xlpm.x,_xlfn.TAKE(TbAssign[Puesto],SUM(ROW()-MATCH("SOR",$A:$A,0))),COUNT(CODE(_xlfn._xlws.FILTER(_xlpm.x,_xlpm.x=TbAssign[[#This Row],[Puesto]],"X"))))</f>
        <v>3</v>
      </c>
      <c r="X45" s="131"/>
      <c r="Y45" s="343" t="str">
        <v>31200:Sp:GDG</v>
      </c>
      <c r="Z45" s="342" t="str">
        <v>31200:Sp:GDG</v>
      </c>
      <c r="AB45"/>
      <c r="AE45" s="21"/>
      <c r="AJ45" s="108"/>
      <c r="AK45" s="109"/>
      <c r="AL45" s="108"/>
      <c r="BJ45"/>
      <c r="BL45" s="21"/>
      <c r="BQ45" s="108"/>
      <c r="BR45" s="109"/>
      <c r="BS45" s="108"/>
      <c r="CP45"/>
      <c r="CR45" s="21"/>
      <c r="CW45" s="108"/>
      <c r="CX45" s="109"/>
      <c r="CY45" s="108"/>
      <c r="DU45"/>
      <c r="DV45" s="115"/>
      <c r="DW45" s="115"/>
      <c r="DX45"/>
      <c r="DZ45" s="369">
        <v>31200</v>
      </c>
      <c r="EA45" s="369" t="s">
        <v>2042</v>
      </c>
      <c r="EB45" s="369" t="s">
        <v>2055</v>
      </c>
      <c r="EC45"/>
    </row>
    <row r="46" spans="3:133">
      <c r="C46" s="44" t="s">
        <v>1416</v>
      </c>
      <c r="D46" s="44" t="str" cm="1">
        <f t="array" ref="D46">IF(TbAssign[[#This Row],[Módulo]]="X","X",_xlfn.UNIQUE(_xlfn._xlws.FILTER(TbStd[RowId],TbStd[RowGrp]=TbAssign[[#This Row],[Puesto]]," "))&amp;TEXT($W46,"00"))</f>
        <v>XH04</v>
      </c>
      <c r="E46" s="23" t="s">
        <v>1795</v>
      </c>
      <c r="F46" s="23" t="s">
        <v>1244</v>
      </c>
      <c r="G46" s="44" t="str" cm="1">
        <f t="array" ref="G46">_xlfn._xlws.FILTER(FrmBH3[OFbId],(FrmBH3[PrjId]=TbAssign[[#This Row],[Project]])*(FrmBH3[OFbNam]=TbAssign[[#This Row],[O.F.Name]]),"X")</f>
        <v>CDC</v>
      </c>
      <c r="H46" s="44" t="s">
        <v>1244</v>
      </c>
      <c r="I46" s="44" t="s">
        <v>2114</v>
      </c>
      <c r="J46" s="44">
        <v>15</v>
      </c>
      <c r="K46" s="44" t="str" cm="1">
        <f t="array" ref="K46">_xlfn.UNIQUE(_xlfn._xlws.FILTER(TbStd[Amortz.],TbStd[RowGrp]=TbAssign[[#This Row],[Puesto]]," "))</f>
        <v>X</v>
      </c>
      <c r="L46" s="44" t="s">
        <v>375</v>
      </c>
      <c r="M46" s="44" t="str" cm="1">
        <f t="array" ref="M46">_xlfn.UNIQUE(_xlfn._xlws.FILTER(TbStd[Site],TbStd[RowGrp]=TbAssign[[#This Row],[Puesto]],"X"))</f>
        <v>S</v>
      </c>
      <c r="N46" s="44" t="s">
        <v>1695</v>
      </c>
      <c r="O46" s="44" t="s">
        <v>375</v>
      </c>
      <c r="P46" s="368" t="s">
        <v>375</v>
      </c>
      <c r="Q46" s="21"/>
      <c r="R46" s="21"/>
      <c r="S46" s="21"/>
      <c r="T46" s="208"/>
      <c r="V46" s="191">
        <f>COUNTIFS(TbAssign[RowId],$D47,TbAssign[Project],$C47)</f>
        <v>1</v>
      </c>
      <c r="W46" s="191" cm="1">
        <f t="array" ref="W46">_xlfn.LET(_xlpm.x,_xlfn.TAKE(TbAssign[Puesto],SUM(ROW()-MATCH("SOR",$A:$A,0))),COUNT(CODE(_xlfn._xlws.FILTER(_xlpm.x,_xlpm.x=TbAssign[[#This Row],[Puesto]],"X"))))</f>
        <v>4</v>
      </c>
      <c r="X46" s="131"/>
      <c r="Y46" s="343" t="str">
        <v>31200:Sp:GDT</v>
      </c>
      <c r="Z46" s="342" t="str">
        <v>31200:Sp:GDT</v>
      </c>
      <c r="AB46"/>
      <c r="AE46" s="21"/>
      <c r="AJ46" s="108"/>
      <c r="AK46" s="109"/>
      <c r="AL46" s="108"/>
      <c r="BJ46"/>
      <c r="BL46" s="21"/>
      <c r="BQ46" s="108"/>
      <c r="BR46" s="109"/>
      <c r="BS46" s="108"/>
      <c r="CP46"/>
      <c r="CR46" s="21"/>
      <c r="CW46" s="108"/>
      <c r="CX46" s="109"/>
      <c r="CY46" s="108"/>
      <c r="DU46"/>
      <c r="DV46" s="115"/>
      <c r="DW46" s="115"/>
      <c r="DX46"/>
      <c r="DZ46" s="369">
        <v>31200</v>
      </c>
      <c r="EA46" s="369" t="s">
        <v>2042</v>
      </c>
      <c r="EB46" s="369" t="s">
        <v>2055</v>
      </c>
      <c r="EC46"/>
    </row>
    <row r="47" spans="3:133">
      <c r="C47" s="44" t="s">
        <v>1416</v>
      </c>
      <c r="D47" s="44" t="str" cm="1">
        <f t="array" ref="D47">IF(TbAssign[[#This Row],[Módulo]]="X","X",_xlfn.UNIQUE(_xlfn._xlws.FILTER(TbStd[RowId],TbStd[RowGrp]=TbAssign[[#This Row],[Puesto]]," "))&amp;TEXT($W47,"00"))</f>
        <v>XE03</v>
      </c>
      <c r="E47" s="23" t="s">
        <v>1804</v>
      </c>
      <c r="F47" s="23" t="s">
        <v>1467</v>
      </c>
      <c r="G47" s="44" t="str" cm="1">
        <f t="array" ref="G47">_xlfn._xlws.FILTER(FrmBH3[OFbId],(FrmBH3[PrjId]=TbAssign[[#This Row],[Project]])*(FrmBH3[OFbNam]=TbAssign[[#This Row],[O.F.Name]]),"X")</f>
        <v>624321</v>
      </c>
      <c r="H47" s="44" t="s">
        <v>1467</v>
      </c>
      <c r="I47" s="44" t="s">
        <v>2114</v>
      </c>
      <c r="J47" s="44">
        <v>11</v>
      </c>
      <c r="K47" s="44" t="str" cm="1">
        <f t="array" ref="K47">_xlfn.UNIQUE(_xlfn._xlws.FILTER(TbStd[Amortz.],TbStd[RowGrp]=TbAssign[[#This Row],[Puesto]]," "))</f>
        <v>X</v>
      </c>
      <c r="L47" s="44" t="s">
        <v>375</v>
      </c>
      <c r="M47" s="44" t="str" cm="1">
        <f t="array" ref="M47">_xlfn.UNIQUE(_xlfn._xlws.FILTER(TbStd[Site],TbStd[RowGrp]=TbAssign[[#This Row],[Puesto]],"X"))</f>
        <v>P</v>
      </c>
      <c r="N47" s="44" t="s">
        <v>375</v>
      </c>
      <c r="O47" s="44" t="s">
        <v>1787</v>
      </c>
      <c r="P47" s="368" t="s">
        <v>375</v>
      </c>
      <c r="Q47" s="21"/>
      <c r="R47" s="21"/>
      <c r="S47" s="21"/>
      <c r="T47" s="208"/>
      <c r="V47" s="191">
        <f>COUNTIFS(TbAssign[RowId],$D48,TbAssign[Project],$C48)</f>
        <v>1</v>
      </c>
      <c r="W47" s="191" cm="1">
        <f t="array" ref="W47">_xlfn.LET(_xlpm.x,_xlfn.TAKE(TbAssign[Puesto],SUM(ROW()-MATCH("SOR",$A:$A,0))),COUNT(CODE(_xlfn._xlws.FILTER(_xlpm.x,_xlpm.x=TbAssign[[#This Row],[Puesto]],"X"))))</f>
        <v>3</v>
      </c>
      <c r="X47" s="131"/>
      <c r="Y47" s="343"/>
      <c r="Z47" s="342"/>
      <c r="AB47"/>
      <c r="AE47" s="21"/>
      <c r="AJ47" s="108"/>
      <c r="AK47" s="109"/>
      <c r="AL47" s="108"/>
      <c r="BJ47"/>
      <c r="BL47" s="21"/>
      <c r="BQ47" s="108"/>
      <c r="BR47" s="109"/>
      <c r="BS47" s="108"/>
      <c r="CP47"/>
      <c r="CR47" s="21"/>
      <c r="CW47" s="108"/>
      <c r="CX47" s="109"/>
      <c r="CY47" s="108"/>
      <c r="DU47"/>
      <c r="DV47" s="115"/>
      <c r="DW47" s="115"/>
      <c r="DX47"/>
      <c r="DZ47" s="369">
        <v>31200</v>
      </c>
      <c r="EA47" s="369" t="s">
        <v>2042</v>
      </c>
      <c r="EB47" s="369" t="s">
        <v>2055</v>
      </c>
      <c r="EC47"/>
    </row>
    <row r="48" spans="3:133">
      <c r="C48" s="44" t="s">
        <v>1416</v>
      </c>
      <c r="D48" s="44" t="str" cm="1">
        <f t="array" ref="D48">IF(TbAssign[[#This Row],[Módulo]]="X","X",_xlfn.UNIQUE(_xlfn._xlws.FILTER(TbStd[RowId],TbStd[RowGrp]=TbAssign[[#This Row],[Puesto]]," "))&amp;TEXT($W48,"00"))</f>
        <v>XC03</v>
      </c>
      <c r="E48" s="23" t="s">
        <v>1798</v>
      </c>
      <c r="F48" s="23" t="s">
        <v>368</v>
      </c>
      <c r="G48" s="44" t="str" cm="1">
        <f t="array" ref="G48">_xlfn._xlws.FILTER(FrmBH3[OFbId],(FrmBH3[PrjId]=TbAssign[[#This Row],[Project]])*(FrmBH3[OFbNam]=TbAssign[[#This Row],[O.F.Name]]),"X")</f>
        <v>X</v>
      </c>
      <c r="H48" s="44" t="s">
        <v>375</v>
      </c>
      <c r="I48" s="44" t="s">
        <v>2114</v>
      </c>
      <c r="J48" s="44">
        <v>18</v>
      </c>
      <c r="K48" s="44" t="str" cm="1">
        <f t="array" ref="K48">_xlfn.UNIQUE(_xlfn._xlws.FILTER(TbStd[Amortz.],TbStd[RowGrp]=TbAssign[[#This Row],[Puesto]]," "))</f>
        <v>C</v>
      </c>
      <c r="L48" s="44" t="s">
        <v>1696</v>
      </c>
      <c r="M48" s="44" t="str" cm="1">
        <f t="array" ref="M48">_xlfn.UNIQUE(_xlfn._xlws.FILTER(TbStd[Site],TbStd[RowGrp]=TbAssign[[#This Row],[Puesto]],"X"))</f>
        <v>S</v>
      </c>
      <c r="N48" s="44" t="s">
        <v>375</v>
      </c>
      <c r="O48" s="44" t="s">
        <v>375</v>
      </c>
      <c r="P48" s="368" t="s">
        <v>375</v>
      </c>
      <c r="Q48" s="21"/>
      <c r="R48" s="21"/>
      <c r="S48" s="21"/>
      <c r="T48" s="208"/>
      <c r="V48" s="191">
        <f>COUNTIFS(TbAssign[RowId],$D49,TbAssign[Project],$C49)</f>
        <v>0</v>
      </c>
      <c r="W48" s="191" cm="1">
        <f t="array" ref="W48">_xlfn.LET(_xlpm.x,_xlfn.TAKE(TbAssign[Puesto],SUM(ROW()-MATCH("SOR",$A:$A,0))),COUNT(CODE(_xlfn._xlws.FILTER(_xlpm.x,_xlpm.x=TbAssign[[#This Row],[Puesto]],"X"))))</f>
        <v>3</v>
      </c>
      <c r="X48" s="131"/>
      <c r="AB48"/>
      <c r="AE48" s="21"/>
      <c r="AJ48" s="108"/>
      <c r="AK48" s="109"/>
      <c r="AL48" s="108"/>
      <c r="BJ48"/>
      <c r="BL48" s="21"/>
      <c r="BQ48" s="108"/>
      <c r="BR48" s="109"/>
      <c r="BS48" s="108"/>
      <c r="CP48"/>
      <c r="CR48" s="21"/>
      <c r="CW48" s="108"/>
      <c r="CX48" s="109"/>
      <c r="CY48" s="108"/>
      <c r="DU48"/>
      <c r="DV48" s="115"/>
      <c r="DW48" s="115"/>
      <c r="DX48"/>
      <c r="DZ48" s="369">
        <v>31200</v>
      </c>
      <c r="EA48" s="369" t="s">
        <v>2042</v>
      </c>
      <c r="EB48" s="369" t="s">
        <v>2055</v>
      </c>
      <c r="EC48"/>
    </row>
    <row r="49" spans="3:133">
      <c r="C49" s="131"/>
      <c r="D49" s="44" t="str" cm="1">
        <f t="array" ref="D49">IF(TbAssign[[#This Row],[Módulo]]="X","X",_xlfn.UNIQUE(_xlfn._xlws.FILTER(TbStd[RowId],TbStd[RowGrp]=TbAssign[[#This Row],[Puesto]]," "))&amp;TEXT($W49,"00"))</f>
        <v>X</v>
      </c>
      <c r="E49" s="23" t="s">
        <v>375</v>
      </c>
      <c r="F49" s="23" t="s">
        <v>375</v>
      </c>
      <c r="G49" s="44" t="str" cm="1">
        <f t="array" ref="G49">_xlfn._xlws.FILTER(FrmBH3[OFbId],(FrmBH3[PrjId]=TbAssign[[#This Row],[Project]])*(FrmBH3[OFbNam]=TbAssign[[#This Row],[O.F.Name]]),"X")</f>
        <v>X</v>
      </c>
      <c r="H49" s="131"/>
      <c r="I49" s="131"/>
      <c r="J49" s="131"/>
      <c r="K49" s="44" t="str" cm="1">
        <f t="array" ref="K49">_xlfn.UNIQUE(_xlfn._xlws.FILTER(TbStd[Amortz.],TbStd[RowGrp]=TbAssign[[#This Row],[Puesto]]," "))</f>
        <v xml:space="preserve"> </v>
      </c>
      <c r="L49" s="131"/>
      <c r="M49" s="131"/>
      <c r="N49" s="131"/>
      <c r="O49" s="44" t="s">
        <v>375</v>
      </c>
      <c r="P49" s="368" t="s">
        <v>375</v>
      </c>
      <c r="Q49" s="131"/>
      <c r="T49" s="208"/>
      <c r="X49" s="131"/>
      <c r="AB49"/>
      <c r="AE49" s="21"/>
      <c r="AJ49" s="108"/>
      <c r="AK49" s="109"/>
      <c r="AL49" s="108"/>
      <c r="BJ49"/>
      <c r="BL49" s="21"/>
      <c r="BQ49" s="108"/>
      <c r="BR49" s="109"/>
      <c r="BS49" s="108"/>
      <c r="CP49"/>
      <c r="CR49" s="21"/>
      <c r="CW49" s="108"/>
      <c r="CX49" s="109"/>
      <c r="CY49" s="108"/>
      <c r="DU49"/>
      <c r="DV49" s="115"/>
      <c r="DW49" s="115"/>
      <c r="DX49"/>
      <c r="DZ49" s="369">
        <v>31200</v>
      </c>
      <c r="EA49" s="369" t="s">
        <v>2042</v>
      </c>
      <c r="EB49" s="369" t="s">
        <v>2055</v>
      </c>
      <c r="EC49"/>
    </row>
    <row r="50" spans="3:133">
      <c r="DW50" s="115"/>
      <c r="EA50" s="369">
        <v>31200</v>
      </c>
      <c r="EB50" s="369" t="s">
        <v>2042</v>
      </c>
      <c r="EC50" s="369" t="s">
        <v>2055</v>
      </c>
    </row>
    <row r="51" spans="3:133">
      <c r="DW51" s="115"/>
      <c r="EA51" s="369">
        <v>31200</v>
      </c>
      <c r="EB51" s="369" t="s">
        <v>2042</v>
      </c>
      <c r="EC51" s="369" t="s">
        <v>2055</v>
      </c>
    </row>
    <row r="52" spans="3:133">
      <c r="DW52" s="115"/>
      <c r="EA52" s="369">
        <v>31200</v>
      </c>
      <c r="EB52" s="369" t="s">
        <v>2042</v>
      </c>
      <c r="EC52" s="369" t="s">
        <v>2055</v>
      </c>
    </row>
    <row r="53" spans="3:133">
      <c r="DW53" s="115"/>
      <c r="EA53" s="369">
        <v>31200</v>
      </c>
      <c r="EB53" s="369" t="s">
        <v>2042</v>
      </c>
      <c r="EC53" s="369" t="s">
        <v>2055</v>
      </c>
    </row>
    <row r="54" spans="3:133">
      <c r="DW54" s="115"/>
      <c r="EA54" s="369">
        <v>31200</v>
      </c>
      <c r="EB54" s="369" t="s">
        <v>2042</v>
      </c>
      <c r="EC54" s="369" t="s">
        <v>2055</v>
      </c>
    </row>
    <row r="55" spans="3:133">
      <c r="DW55" s="115"/>
      <c r="EA55" s="369">
        <v>31200</v>
      </c>
      <c r="EB55" s="369" t="s">
        <v>2042</v>
      </c>
      <c r="EC55" s="369" t="s">
        <v>2055</v>
      </c>
    </row>
    <row r="56" spans="3:133">
      <c r="DW56" s="115"/>
      <c r="EA56" s="369">
        <v>31200</v>
      </c>
      <c r="EB56" s="369" t="s">
        <v>2042</v>
      </c>
      <c r="EC56" s="369" t="s">
        <v>2055</v>
      </c>
    </row>
    <row r="57" spans="3:133">
      <c r="DW57" s="115"/>
      <c r="EA57" s="369">
        <v>31200</v>
      </c>
      <c r="EB57" s="369" t="s">
        <v>2042</v>
      </c>
      <c r="EC57" s="369" t="s">
        <v>2055</v>
      </c>
    </row>
    <row r="58" spans="3:133">
      <c r="DW58" s="115"/>
      <c r="EA58" s="369">
        <v>31200</v>
      </c>
      <c r="EB58" s="369" t="s">
        <v>2042</v>
      </c>
      <c r="EC58" s="369" t="s">
        <v>2055</v>
      </c>
    </row>
    <row r="59" spans="3:133">
      <c r="DW59" s="115"/>
      <c r="EA59" s="369">
        <v>31200</v>
      </c>
      <c r="EB59" s="369" t="s">
        <v>2042</v>
      </c>
      <c r="EC59" s="369" t="s">
        <v>2055</v>
      </c>
    </row>
    <row r="60" spans="3:133">
      <c r="DW60" s="115"/>
      <c r="EA60" s="369">
        <v>31200</v>
      </c>
      <c r="EB60" s="369" t="s">
        <v>2042</v>
      </c>
      <c r="EC60" s="369" t="s">
        <v>2055</v>
      </c>
    </row>
    <row r="61" spans="3:133">
      <c r="DW61" s="115"/>
      <c r="EA61" s="369">
        <v>31200</v>
      </c>
      <c r="EB61" s="369" t="s">
        <v>2042</v>
      </c>
      <c r="EC61" s="369" t="s">
        <v>2055</v>
      </c>
    </row>
    <row r="62" spans="3:133">
      <c r="DW62" s="115"/>
      <c r="EA62" s="369">
        <v>31200</v>
      </c>
      <c r="EB62" s="369" t="s">
        <v>2042</v>
      </c>
      <c r="EC62" s="369" t="s">
        <v>2055</v>
      </c>
    </row>
    <row r="63" spans="3:133">
      <c r="DW63" s="115"/>
      <c r="EA63" s="369">
        <v>31200</v>
      </c>
      <c r="EB63" s="369" t="s">
        <v>2042</v>
      </c>
      <c r="EC63" s="369" t="s">
        <v>2055</v>
      </c>
    </row>
    <row r="64" spans="3:133">
      <c r="DW64" s="115"/>
      <c r="EA64" s="369">
        <v>31200</v>
      </c>
      <c r="EB64" s="369" t="s">
        <v>2042</v>
      </c>
      <c r="EC64" s="369" t="s">
        <v>2055</v>
      </c>
    </row>
    <row r="65" spans="131:133">
      <c r="EA65" s="369">
        <v>31200</v>
      </c>
      <c r="EB65" s="369" t="s">
        <v>2042</v>
      </c>
      <c r="EC65" s="369" t="s">
        <v>2055</v>
      </c>
    </row>
    <row r="66" spans="131:133">
      <c r="EA66" s="369">
        <v>31200</v>
      </c>
      <c r="EB66" s="369" t="s">
        <v>2042</v>
      </c>
      <c r="EC66" s="369" t="s">
        <v>2055</v>
      </c>
    </row>
    <row r="67" spans="131:133">
      <c r="EA67" s="369">
        <v>31200</v>
      </c>
      <c r="EB67" s="369" t="s">
        <v>2042</v>
      </c>
      <c r="EC67" s="369" t="s">
        <v>2055</v>
      </c>
    </row>
    <row r="68" spans="131:133">
      <c r="EA68" s="369">
        <v>31200</v>
      </c>
      <c r="EB68" s="369" t="s">
        <v>2042</v>
      </c>
      <c r="EC68" s="369" t="s">
        <v>2055</v>
      </c>
    </row>
    <row r="69" spans="131:133">
      <c r="EA69" s="369">
        <v>31200</v>
      </c>
      <c r="EB69" s="369" t="s">
        <v>2042</v>
      </c>
      <c r="EC69" s="369" t="s">
        <v>2055</v>
      </c>
    </row>
    <row r="70" spans="131:133">
      <c r="EA70" s="369">
        <v>31200</v>
      </c>
      <c r="EB70" s="369" t="s">
        <v>2042</v>
      </c>
      <c r="EC70" s="369" t="s">
        <v>2055</v>
      </c>
    </row>
    <row r="71" spans="131:133">
      <c r="EA71" s="369">
        <v>31200</v>
      </c>
      <c r="EB71" s="369" t="s">
        <v>2042</v>
      </c>
      <c r="EC71" s="369" t="s">
        <v>2055</v>
      </c>
    </row>
    <row r="72" spans="131:133">
      <c r="EA72" s="369">
        <v>31200</v>
      </c>
      <c r="EB72" s="369" t="s">
        <v>2042</v>
      </c>
      <c r="EC72" s="369" t="s">
        <v>2055</v>
      </c>
    </row>
    <row r="73" spans="131:133">
      <c r="EA73" s="369">
        <v>31200</v>
      </c>
      <c r="EB73" s="369" t="s">
        <v>2042</v>
      </c>
      <c r="EC73" s="369" t="s">
        <v>2055</v>
      </c>
    </row>
    <row r="74" spans="131:133">
      <c r="EA74" s="369">
        <v>31200</v>
      </c>
      <c r="EB74" s="369" t="s">
        <v>2042</v>
      </c>
      <c r="EC74" s="369" t="s">
        <v>2055</v>
      </c>
    </row>
    <row r="75" spans="131:133">
      <c r="EA75" s="369">
        <v>31200</v>
      </c>
      <c r="EB75" s="369" t="s">
        <v>2042</v>
      </c>
      <c r="EC75" s="369" t="s">
        <v>2055</v>
      </c>
    </row>
    <row r="76" spans="131:133">
      <c r="EA76" s="369">
        <v>31200</v>
      </c>
      <c r="EB76" s="369" t="s">
        <v>2042</v>
      </c>
      <c r="EC76" s="369" t="s">
        <v>2055</v>
      </c>
    </row>
    <row r="77" spans="131:133">
      <c r="EA77" s="369">
        <v>31200</v>
      </c>
      <c r="EB77" s="369" t="s">
        <v>2042</v>
      </c>
      <c r="EC77" s="369" t="s">
        <v>2055</v>
      </c>
    </row>
    <row r="78" spans="131:133">
      <c r="EA78" s="369">
        <v>31200</v>
      </c>
      <c r="EB78" s="369" t="s">
        <v>2042</v>
      </c>
      <c r="EC78" s="369" t="s">
        <v>2055</v>
      </c>
    </row>
    <row r="79" spans="131:133">
      <c r="EA79" s="369">
        <v>31200</v>
      </c>
      <c r="EB79" s="369" t="s">
        <v>2042</v>
      </c>
      <c r="EC79" s="369" t="s">
        <v>2055</v>
      </c>
    </row>
    <row r="80" spans="131:133">
      <c r="EA80" s="369">
        <v>31200</v>
      </c>
      <c r="EB80" s="369" t="s">
        <v>2042</v>
      </c>
      <c r="EC80" s="369" t="s">
        <v>2055</v>
      </c>
    </row>
    <row r="81" spans="131:133">
      <c r="EA81" s="369">
        <v>31200</v>
      </c>
      <c r="EB81" s="369" t="s">
        <v>2042</v>
      </c>
      <c r="EC81" s="369" t="s">
        <v>2055</v>
      </c>
    </row>
    <row r="82" spans="131:133">
      <c r="EA82" s="369">
        <v>31200</v>
      </c>
      <c r="EB82" s="369" t="s">
        <v>2042</v>
      </c>
      <c r="EC82" s="369" t="s">
        <v>2055</v>
      </c>
    </row>
    <row r="83" spans="131:133">
      <c r="EA83" s="369">
        <v>31200</v>
      </c>
      <c r="EB83" s="369" t="s">
        <v>2042</v>
      </c>
      <c r="EC83" s="369" t="s">
        <v>2055</v>
      </c>
    </row>
    <row r="84" spans="131:133">
      <c r="EA84" s="369">
        <v>31200</v>
      </c>
      <c r="EB84" s="369" t="s">
        <v>2042</v>
      </c>
      <c r="EC84" s="369" t="s">
        <v>2055</v>
      </c>
    </row>
    <row r="85" spans="131:133">
      <c r="EA85" s="369">
        <v>31200</v>
      </c>
      <c r="EB85" s="369" t="s">
        <v>2042</v>
      </c>
      <c r="EC85" s="369" t="s">
        <v>2055</v>
      </c>
    </row>
    <row r="86" spans="131:133">
      <c r="EA86" s="369">
        <v>31200</v>
      </c>
      <c r="EB86" s="369" t="s">
        <v>2042</v>
      </c>
      <c r="EC86" s="369" t="s">
        <v>2055</v>
      </c>
    </row>
    <row r="87" spans="131:133">
      <c r="EA87" s="369">
        <v>31200</v>
      </c>
      <c r="EB87" s="369" t="s">
        <v>2042</v>
      </c>
      <c r="EC87" s="369" t="s">
        <v>2055</v>
      </c>
    </row>
    <row r="88" spans="131:133">
      <c r="EA88" s="369">
        <v>31200</v>
      </c>
      <c r="EB88" s="369" t="s">
        <v>2042</v>
      </c>
      <c r="EC88" s="369" t="s">
        <v>2055</v>
      </c>
    </row>
    <row r="89" spans="131:133">
      <c r="EA89" s="369">
        <v>31200</v>
      </c>
      <c r="EB89" s="369" t="s">
        <v>2042</v>
      </c>
      <c r="EC89" s="369" t="s">
        <v>2055</v>
      </c>
    </row>
    <row r="90" spans="131:133">
      <c r="EA90" s="369">
        <v>31200</v>
      </c>
      <c r="EB90" s="369" t="s">
        <v>2042</v>
      </c>
      <c r="EC90" s="369" t="s">
        <v>2055</v>
      </c>
    </row>
    <row r="91" spans="131:133">
      <c r="EA91" s="369">
        <v>31200</v>
      </c>
      <c r="EB91" s="369" t="s">
        <v>2042</v>
      </c>
      <c r="EC91" s="369" t="s">
        <v>2055</v>
      </c>
    </row>
    <row r="92" spans="131:133">
      <c r="EA92" s="369">
        <v>31200</v>
      </c>
      <c r="EB92" s="369" t="s">
        <v>2042</v>
      </c>
      <c r="EC92" s="369" t="s">
        <v>2055</v>
      </c>
    </row>
    <row r="93" spans="131:133">
      <c r="EA93" s="369">
        <v>31200</v>
      </c>
      <c r="EB93" s="369" t="s">
        <v>2042</v>
      </c>
      <c r="EC93" s="369" t="s">
        <v>2055</v>
      </c>
    </row>
    <row r="94" spans="131:133">
      <c r="EA94" s="369">
        <v>31200</v>
      </c>
      <c r="EB94" s="369" t="s">
        <v>2042</v>
      </c>
      <c r="EC94" s="369" t="s">
        <v>2055</v>
      </c>
    </row>
    <row r="95" spans="131:133">
      <c r="EA95" s="369">
        <v>31200</v>
      </c>
      <c r="EB95" s="369" t="s">
        <v>2042</v>
      </c>
      <c r="EC95" s="369" t="s">
        <v>2055</v>
      </c>
    </row>
    <row r="96" spans="131:133">
      <c r="EA96" s="369">
        <v>31200</v>
      </c>
      <c r="EB96" s="369" t="s">
        <v>2042</v>
      </c>
      <c r="EC96" s="369" t="s">
        <v>2055</v>
      </c>
    </row>
    <row r="97" spans="131:133">
      <c r="EA97" s="369">
        <v>31200</v>
      </c>
      <c r="EB97" s="369" t="s">
        <v>2042</v>
      </c>
      <c r="EC97" s="369" t="s">
        <v>2055</v>
      </c>
    </row>
    <row r="98" spans="131:133">
      <c r="EA98" s="369">
        <v>31200</v>
      </c>
      <c r="EB98" s="369" t="s">
        <v>2042</v>
      </c>
      <c r="EC98" s="369" t="s">
        <v>2055</v>
      </c>
    </row>
    <row r="99" spans="131:133">
      <c r="EA99" s="369">
        <v>31200</v>
      </c>
      <c r="EB99" s="369" t="s">
        <v>2042</v>
      </c>
      <c r="EC99" s="369" t="s">
        <v>2055</v>
      </c>
    </row>
    <row r="100" spans="131:133">
      <c r="EA100" s="369">
        <v>31200</v>
      </c>
      <c r="EB100" s="369" t="s">
        <v>2042</v>
      </c>
      <c r="EC100" s="369" t="s">
        <v>2055</v>
      </c>
    </row>
    <row r="101" spans="131:133">
      <c r="EA101" s="369">
        <v>31200</v>
      </c>
      <c r="EB101" s="369" t="s">
        <v>2042</v>
      </c>
      <c r="EC101" s="369" t="s">
        <v>2055</v>
      </c>
    </row>
    <row r="102" spans="131:133">
      <c r="EA102" s="369">
        <v>31200</v>
      </c>
      <c r="EB102" s="369" t="s">
        <v>2042</v>
      </c>
      <c r="EC102" s="369" t="s">
        <v>2055</v>
      </c>
    </row>
    <row r="103" spans="131:133">
      <c r="EA103" s="369">
        <v>31200</v>
      </c>
      <c r="EB103" s="369" t="s">
        <v>2042</v>
      </c>
      <c r="EC103" s="369" t="s">
        <v>2055</v>
      </c>
    </row>
    <row r="104" spans="131:133">
      <c r="EA104" s="369">
        <v>31200</v>
      </c>
      <c r="EB104" s="369" t="s">
        <v>2042</v>
      </c>
      <c r="EC104" s="369" t="s">
        <v>2055</v>
      </c>
    </row>
    <row r="105" spans="131:133">
      <c r="EA105" s="369">
        <v>31200</v>
      </c>
      <c r="EB105" s="369" t="s">
        <v>2042</v>
      </c>
      <c r="EC105" s="369" t="s">
        <v>2055</v>
      </c>
    </row>
    <row r="106" spans="131:133">
      <c r="EA106" s="369">
        <v>31200</v>
      </c>
      <c r="EB106" s="369" t="s">
        <v>2042</v>
      </c>
      <c r="EC106" s="369" t="s">
        <v>2055</v>
      </c>
    </row>
    <row r="107" spans="131:133">
      <c r="EA107" s="369">
        <v>31200</v>
      </c>
      <c r="EB107" s="369" t="s">
        <v>2042</v>
      </c>
      <c r="EC107" s="369" t="s">
        <v>2055</v>
      </c>
    </row>
    <row r="108" spans="131:133">
      <c r="EA108" s="369">
        <v>31200</v>
      </c>
      <c r="EB108" s="369" t="s">
        <v>2042</v>
      </c>
      <c r="EC108" s="369" t="s">
        <v>2055</v>
      </c>
    </row>
    <row r="109" spans="131:133">
      <c r="EA109" s="369">
        <v>31200</v>
      </c>
      <c r="EB109" s="369" t="s">
        <v>2042</v>
      </c>
      <c r="EC109" s="369" t="s">
        <v>2055</v>
      </c>
    </row>
    <row r="110" spans="131:133">
      <c r="EA110" s="369">
        <v>31200</v>
      </c>
      <c r="EB110" s="369" t="s">
        <v>2042</v>
      </c>
      <c r="EC110" s="369" t="s">
        <v>2055</v>
      </c>
    </row>
    <row r="111" spans="131:133">
      <c r="EA111" s="369">
        <v>31200</v>
      </c>
      <c r="EB111" s="369" t="s">
        <v>2042</v>
      </c>
      <c r="EC111" s="369" t="s">
        <v>2055</v>
      </c>
    </row>
    <row r="112" spans="131:133">
      <c r="EA112" s="369">
        <v>31200</v>
      </c>
      <c r="EB112" s="369" t="s">
        <v>2042</v>
      </c>
      <c r="EC112" s="369" t="s">
        <v>2055</v>
      </c>
    </row>
    <row r="113" spans="131:133">
      <c r="EA113" s="369">
        <v>31200</v>
      </c>
      <c r="EB113" s="369" t="s">
        <v>2042</v>
      </c>
      <c r="EC113" s="369" t="s">
        <v>2055</v>
      </c>
    </row>
    <row r="114" spans="131:133">
      <c r="EA114" s="369">
        <v>31200</v>
      </c>
      <c r="EB114" s="369" t="s">
        <v>2049</v>
      </c>
      <c r="EC114" s="369" t="s">
        <v>2055</v>
      </c>
    </row>
    <row r="115" spans="131:133">
      <c r="EA115" s="369">
        <v>31200</v>
      </c>
      <c r="EB115" s="369" t="s">
        <v>2049</v>
      </c>
      <c r="EC115" s="369" t="s">
        <v>2055</v>
      </c>
    </row>
    <row r="116" spans="131:133">
      <c r="EA116" s="369">
        <v>31200</v>
      </c>
      <c r="EB116" s="369" t="s">
        <v>2049</v>
      </c>
      <c r="EC116" s="369" t="s">
        <v>2055</v>
      </c>
    </row>
    <row r="117" spans="131:133">
      <c r="EA117" s="369">
        <v>31200</v>
      </c>
      <c r="EB117" s="369" t="s">
        <v>2049</v>
      </c>
      <c r="EC117" s="369" t="s">
        <v>2055</v>
      </c>
    </row>
    <row r="118" spans="131:133">
      <c r="EA118" s="369">
        <v>31200</v>
      </c>
      <c r="EB118" s="369" t="s">
        <v>2049</v>
      </c>
      <c r="EC118" s="369" t="s">
        <v>2055</v>
      </c>
    </row>
    <row r="119" spans="131:133">
      <c r="EA119" s="369">
        <v>31200</v>
      </c>
      <c r="EB119" s="369" t="s">
        <v>2049</v>
      </c>
      <c r="EC119" s="369" t="s">
        <v>2055</v>
      </c>
    </row>
    <row r="120" spans="131:133">
      <c r="EA120" s="369">
        <v>31200</v>
      </c>
      <c r="EB120" s="369" t="s">
        <v>2049</v>
      </c>
      <c r="EC120" s="369" t="s">
        <v>2055</v>
      </c>
    </row>
    <row r="121" spans="131:133">
      <c r="EA121" s="369">
        <v>31200</v>
      </c>
      <c r="EB121" s="369" t="s">
        <v>2049</v>
      </c>
      <c r="EC121" s="369" t="s">
        <v>2055</v>
      </c>
    </row>
    <row r="122" spans="131:133">
      <c r="EA122" s="369">
        <v>31200</v>
      </c>
      <c r="EB122" s="369" t="s">
        <v>2049</v>
      </c>
      <c r="EC122" s="369" t="s">
        <v>2055</v>
      </c>
    </row>
    <row r="123" spans="131:133">
      <c r="EA123" s="369">
        <v>31200</v>
      </c>
      <c r="EB123" s="369" t="s">
        <v>2049</v>
      </c>
      <c r="EC123" s="369" t="s">
        <v>2055</v>
      </c>
    </row>
    <row r="124" spans="131:133">
      <c r="EA124" s="369">
        <v>31200</v>
      </c>
      <c r="EB124" s="369" t="s">
        <v>2049</v>
      </c>
      <c r="EC124" s="369" t="s">
        <v>2055</v>
      </c>
    </row>
    <row r="125" spans="131:133">
      <c r="EA125" s="369">
        <v>31200</v>
      </c>
      <c r="EB125" s="369" t="s">
        <v>2049</v>
      </c>
      <c r="EC125" s="369" t="s">
        <v>2055</v>
      </c>
    </row>
    <row r="126" spans="131:133">
      <c r="EA126" s="369">
        <v>31200</v>
      </c>
      <c r="EB126" s="369" t="s">
        <v>2049</v>
      </c>
      <c r="EC126" s="369" t="s">
        <v>2055</v>
      </c>
    </row>
    <row r="127" spans="131:133">
      <c r="EA127" s="369">
        <v>31200</v>
      </c>
      <c r="EB127" s="369" t="s">
        <v>2049</v>
      </c>
      <c r="EC127" s="369" t="s">
        <v>2055</v>
      </c>
    </row>
    <row r="128" spans="131:133">
      <c r="EA128" s="369">
        <v>31200</v>
      </c>
      <c r="EB128" s="369" t="s">
        <v>2049</v>
      </c>
      <c r="EC128" s="369" t="s">
        <v>2055</v>
      </c>
    </row>
    <row r="129" spans="131:133">
      <c r="EA129" s="369">
        <v>31200</v>
      </c>
      <c r="EB129" s="369" t="s">
        <v>2049</v>
      </c>
      <c r="EC129" s="369" t="s">
        <v>2055</v>
      </c>
    </row>
    <row r="130" spans="131:133">
      <c r="EA130" s="369">
        <v>31200</v>
      </c>
      <c r="EB130" s="369" t="s">
        <v>2049</v>
      </c>
      <c r="EC130" s="369" t="s">
        <v>2055</v>
      </c>
    </row>
    <row r="131" spans="131:133">
      <c r="EA131" s="369">
        <v>31200</v>
      </c>
      <c r="EB131" s="369" t="s">
        <v>2049</v>
      </c>
      <c r="EC131" s="369" t="s">
        <v>2055</v>
      </c>
    </row>
    <row r="132" spans="131:133">
      <c r="EA132" s="369">
        <v>31200</v>
      </c>
      <c r="EB132" s="369" t="s">
        <v>2049</v>
      </c>
      <c r="EC132" s="369" t="s">
        <v>2055</v>
      </c>
    </row>
    <row r="133" spans="131:133">
      <c r="EA133" s="369">
        <v>31200</v>
      </c>
      <c r="EB133" s="369" t="s">
        <v>2049</v>
      </c>
      <c r="EC133" s="369" t="s">
        <v>2055</v>
      </c>
    </row>
    <row r="134" spans="131:133">
      <c r="EA134" s="369">
        <v>31200</v>
      </c>
      <c r="EB134" s="369" t="s">
        <v>2049</v>
      </c>
      <c r="EC134" s="369" t="s">
        <v>2055</v>
      </c>
    </row>
    <row r="135" spans="131:133">
      <c r="EA135" s="369">
        <v>31200</v>
      </c>
      <c r="EB135" s="369" t="s">
        <v>2049</v>
      </c>
      <c r="EC135" s="369" t="s">
        <v>2055</v>
      </c>
    </row>
    <row r="136" spans="131:133">
      <c r="EA136" s="369">
        <v>31200</v>
      </c>
      <c r="EB136" s="369" t="s">
        <v>2049</v>
      </c>
      <c r="EC136" s="369" t="s">
        <v>2055</v>
      </c>
    </row>
    <row r="137" spans="131:133">
      <c r="EA137" s="369">
        <v>31200</v>
      </c>
      <c r="EB137" s="369" t="s">
        <v>2049</v>
      </c>
      <c r="EC137" s="369" t="s">
        <v>2055</v>
      </c>
    </row>
    <row r="138" spans="131:133">
      <c r="EA138" s="369">
        <v>31200</v>
      </c>
      <c r="EB138" s="369" t="s">
        <v>2049</v>
      </c>
      <c r="EC138" s="369" t="s">
        <v>2055</v>
      </c>
    </row>
    <row r="139" spans="131:133">
      <c r="EA139" s="369">
        <v>31200</v>
      </c>
      <c r="EB139" s="369" t="s">
        <v>2049</v>
      </c>
      <c r="EC139" s="369" t="s">
        <v>2055</v>
      </c>
    </row>
    <row r="140" spans="131:133">
      <c r="EA140" s="369">
        <v>31200</v>
      </c>
      <c r="EB140" s="369" t="s">
        <v>2049</v>
      </c>
      <c r="EC140" s="369" t="s">
        <v>2055</v>
      </c>
    </row>
    <row r="141" spans="131:133">
      <c r="EA141" s="369">
        <v>31200</v>
      </c>
      <c r="EB141" s="369" t="s">
        <v>2049</v>
      </c>
      <c r="EC141" s="369" t="s">
        <v>2055</v>
      </c>
    </row>
    <row r="142" spans="131:133">
      <c r="EA142" s="369">
        <v>31200</v>
      </c>
      <c r="EB142" s="369" t="s">
        <v>2049</v>
      </c>
      <c r="EC142" s="369" t="s">
        <v>2055</v>
      </c>
    </row>
    <row r="143" spans="131:133">
      <c r="EA143" s="369">
        <v>31200</v>
      </c>
      <c r="EB143" s="369" t="s">
        <v>2049</v>
      </c>
      <c r="EC143" s="369" t="s">
        <v>2055</v>
      </c>
    </row>
    <row r="144" spans="131:133">
      <c r="EA144" s="369">
        <v>31200</v>
      </c>
      <c r="EB144" s="369" t="s">
        <v>2049</v>
      </c>
      <c r="EC144" s="369" t="s">
        <v>2055</v>
      </c>
    </row>
    <row r="145" spans="131:133">
      <c r="EA145" s="369">
        <v>31200</v>
      </c>
      <c r="EB145" s="369" t="s">
        <v>2049</v>
      </c>
      <c r="EC145" s="369" t="s">
        <v>2055</v>
      </c>
    </row>
    <row r="146" spans="131:133">
      <c r="EA146" s="369">
        <v>31200</v>
      </c>
      <c r="EB146" s="369" t="s">
        <v>2049</v>
      </c>
      <c r="EC146" s="369" t="s">
        <v>2055</v>
      </c>
    </row>
    <row r="147" spans="131:133">
      <c r="EA147" s="369">
        <v>31200</v>
      </c>
      <c r="EB147" s="369" t="s">
        <v>2049</v>
      </c>
      <c r="EC147" s="369" t="s">
        <v>2055</v>
      </c>
    </row>
    <row r="148" spans="131:133">
      <c r="EA148" s="369">
        <v>31200</v>
      </c>
      <c r="EB148" s="369" t="s">
        <v>2049</v>
      </c>
      <c r="EC148" s="369" t="s">
        <v>2055</v>
      </c>
    </row>
    <row r="149" spans="131:133">
      <c r="EA149" s="369">
        <v>31200</v>
      </c>
      <c r="EB149" s="369" t="s">
        <v>2049</v>
      </c>
      <c r="EC149" s="369" t="s">
        <v>2055</v>
      </c>
    </row>
    <row r="150" spans="131:133">
      <c r="EA150" s="369">
        <v>31200</v>
      </c>
      <c r="EB150" s="369" t="s">
        <v>2049</v>
      </c>
      <c r="EC150" s="369" t="s">
        <v>2055</v>
      </c>
    </row>
    <row r="151" spans="131:133">
      <c r="EA151" s="369">
        <v>31200</v>
      </c>
      <c r="EB151" s="369" t="s">
        <v>2049</v>
      </c>
      <c r="EC151" s="369" t="s">
        <v>2055</v>
      </c>
    </row>
    <row r="152" spans="131:133">
      <c r="EA152" s="369">
        <v>31200</v>
      </c>
      <c r="EB152" s="369" t="s">
        <v>2049</v>
      </c>
      <c r="EC152" s="369" t="s">
        <v>2055</v>
      </c>
    </row>
    <row r="153" spans="131:133">
      <c r="EA153" s="369">
        <v>31200</v>
      </c>
      <c r="EB153" s="369" t="s">
        <v>2049</v>
      </c>
      <c r="EC153" s="369" t="s">
        <v>2055</v>
      </c>
    </row>
    <row r="154" spans="131:133">
      <c r="EA154" s="369">
        <v>31200</v>
      </c>
      <c r="EB154" s="369" t="s">
        <v>2049</v>
      </c>
      <c r="EC154" s="369" t="s">
        <v>2055</v>
      </c>
    </row>
    <row r="155" spans="131:133">
      <c r="EA155" s="369">
        <v>31200</v>
      </c>
      <c r="EB155" s="369" t="s">
        <v>2049</v>
      </c>
      <c r="EC155" s="369" t="s">
        <v>2055</v>
      </c>
    </row>
    <row r="156" spans="131:133">
      <c r="EA156" s="369">
        <v>31200</v>
      </c>
      <c r="EB156" s="369" t="s">
        <v>2049</v>
      </c>
      <c r="EC156" s="369" t="s">
        <v>2055</v>
      </c>
    </row>
    <row r="157" spans="131:133">
      <c r="EA157" s="369">
        <v>31200</v>
      </c>
      <c r="EB157" s="369" t="s">
        <v>2049</v>
      </c>
      <c r="EC157" s="369" t="s">
        <v>2055</v>
      </c>
    </row>
    <row r="158" spans="131:133">
      <c r="EA158" s="369">
        <v>31200</v>
      </c>
      <c r="EB158" s="369" t="s">
        <v>2049</v>
      </c>
      <c r="EC158" s="369" t="s">
        <v>2055</v>
      </c>
    </row>
    <row r="159" spans="131:133">
      <c r="EA159" s="369">
        <v>31200</v>
      </c>
      <c r="EB159" s="369" t="s">
        <v>2049</v>
      </c>
      <c r="EC159" s="369" t="s">
        <v>2055</v>
      </c>
    </row>
    <row r="160" spans="131:133">
      <c r="EA160" s="369">
        <v>31200</v>
      </c>
      <c r="EB160" s="369" t="s">
        <v>2049</v>
      </c>
      <c r="EC160" s="369" t="s">
        <v>2055</v>
      </c>
    </row>
    <row r="161" spans="131:133">
      <c r="EA161" s="369">
        <v>31200</v>
      </c>
      <c r="EB161" s="369" t="s">
        <v>2049</v>
      </c>
      <c r="EC161" s="369" t="s">
        <v>2055</v>
      </c>
    </row>
    <row r="162" spans="131:133">
      <c r="EA162" s="369">
        <v>31200</v>
      </c>
      <c r="EB162" s="369" t="s">
        <v>2049</v>
      </c>
      <c r="EC162" s="369" t="s">
        <v>2055</v>
      </c>
    </row>
    <row r="163" spans="131:133">
      <c r="EA163" s="369">
        <v>31200</v>
      </c>
      <c r="EB163" s="369" t="s">
        <v>2049</v>
      </c>
      <c r="EC163" s="369" t="s">
        <v>2055</v>
      </c>
    </row>
    <row r="164" spans="131:133">
      <c r="EA164" s="369">
        <v>31200</v>
      </c>
      <c r="EB164" s="369" t="s">
        <v>2049</v>
      </c>
      <c r="EC164" s="369" t="s">
        <v>2055</v>
      </c>
    </row>
    <row r="165" spans="131:133">
      <c r="EA165" s="369">
        <v>31200</v>
      </c>
      <c r="EB165" s="369" t="s">
        <v>2049</v>
      </c>
      <c r="EC165" s="369" t="s">
        <v>2055</v>
      </c>
    </row>
    <row r="166" spans="131:133">
      <c r="EA166" s="369">
        <v>31200</v>
      </c>
      <c r="EB166" s="369" t="s">
        <v>2049</v>
      </c>
      <c r="EC166" s="369" t="s">
        <v>2055</v>
      </c>
    </row>
    <row r="167" spans="131:133">
      <c r="EA167" s="369">
        <v>31200</v>
      </c>
      <c r="EB167" s="369" t="s">
        <v>2049</v>
      </c>
      <c r="EC167" s="369" t="s">
        <v>2055</v>
      </c>
    </row>
    <row r="168" spans="131:133">
      <c r="EA168" s="369">
        <v>31200</v>
      </c>
      <c r="EB168" s="369" t="s">
        <v>2049</v>
      </c>
      <c r="EC168" s="369" t="s">
        <v>2055</v>
      </c>
    </row>
    <row r="169" spans="131:133">
      <c r="EA169" s="369">
        <v>31200</v>
      </c>
      <c r="EB169" s="369" t="s">
        <v>2049</v>
      </c>
      <c r="EC169" s="369" t="s">
        <v>2055</v>
      </c>
    </row>
    <row r="170" spans="131:133">
      <c r="EA170" s="369">
        <v>31200</v>
      </c>
      <c r="EB170" s="369" t="s">
        <v>2049</v>
      </c>
      <c r="EC170" s="369" t="s">
        <v>2055</v>
      </c>
    </row>
    <row r="171" spans="131:133">
      <c r="EA171" s="369">
        <v>31200</v>
      </c>
      <c r="EB171" s="369" t="s">
        <v>2049</v>
      </c>
      <c r="EC171" s="369" t="s">
        <v>2055</v>
      </c>
    </row>
    <row r="172" spans="131:133">
      <c r="EA172" s="369">
        <v>31200</v>
      </c>
      <c r="EB172" s="369" t="s">
        <v>2049</v>
      </c>
      <c r="EC172" s="369" t="s">
        <v>2055</v>
      </c>
    </row>
    <row r="173" spans="131:133">
      <c r="EA173" s="369">
        <v>31200</v>
      </c>
      <c r="EB173" s="369" t="s">
        <v>2049</v>
      </c>
      <c r="EC173" s="369" t="s">
        <v>2055</v>
      </c>
    </row>
    <row r="296" spans="21:21">
      <c r="U296" s="208" t="e" cm="1">
        <f t="array" aca="1" ref="U296" ca="1">INDIRECT(INDEX(INDIRECT(AsgnBaaN!$BJ$3),MATCH($C3,INDIRECT(AsgnBaaN!$AB$3),0)))</f>
        <v>#N/A</v>
      </c>
    </row>
  </sheetData>
  <autoFilter ref="EA3:EC173" xr:uid="{BC75EBC2-858F-4BA2-AB99-845F24216033}"/>
  <phoneticPr fontId="14" type="noConversion"/>
  <conditionalFormatting sqref="Y4:Z47">
    <cfRule type="expression" dxfId="34" priority="3">
      <formula>($Y4=$Z4)</formula>
    </cfRule>
    <cfRule type="expression" dxfId="33" priority="4">
      <formula>($Y4&lt;&gt;$Z4)</formula>
    </cfRule>
  </conditionalFormatting>
  <conditionalFormatting sqref="DV4:DW21">
    <cfRule type="expression" dxfId="32" priority="2">
      <formula>($DW4=1)</formula>
    </cfRule>
  </conditionalFormatting>
  <conditionalFormatting sqref="J3:J49">
    <cfRule type="expression" dxfId="31" priority="1" stopIfTrue="1">
      <formula>(COUNTIFS($J$3:$J$31,$J3,$C$3:$C$31,$C3,$I$3:$I$31,$I3)&gt;1)</formula>
    </cfRule>
  </conditionalFormatting>
  <dataValidations count="7">
    <dataValidation type="list" allowBlank="1" showInputMessage="1" showErrorMessage="1" sqref="C4" xr:uid="{6F8B2773-15A2-4C9F-BCA9-8A44071E2257}">
      <formula1>INDIRECT($AB$3)</formula1>
    </dataValidation>
    <dataValidation type="list" allowBlank="1" showInputMessage="1" showErrorMessage="1" sqref="C5:C49 I49" xr:uid="{6B18D042-2518-41B2-AF28-384292BDB16E}">
      <formula1>INDIRECT($DB$2)</formula1>
    </dataValidation>
    <dataValidation type="list" allowBlank="1" showInputMessage="1" showErrorMessage="1" sqref="E4:E49" xr:uid="{953479FC-4966-DF49-9D58-373654D40633}">
      <formula1>INDIRECT($T$4)</formula1>
    </dataValidation>
    <dataValidation type="list" allowBlank="1" showInputMessage="1" showErrorMessage="1" sqref="I4:I48" xr:uid="{DCB3A386-7F0F-4270-8A38-D416CE94D291}">
      <formula1>"Sp,Mx"</formula1>
    </dataValidation>
    <dataValidation type="list" allowBlank="1" showInputMessage="1" showErrorMessage="1" sqref="H4:H49" xr:uid="{71515665-5BF2-4A52-B8D3-2616835A4BE9}">
      <formula1>INDIRECT(INDEX(INDIRECT($AC$3),MATCH($C4,INDIRECT($AB$3),0)))</formula1>
    </dataValidation>
    <dataValidation type="list" allowBlank="1" showInputMessage="1" showErrorMessage="1" sqref="P4:P49" xr:uid="{0AFB3FD4-6185-493E-AC10-D727D0B81391}">
      <formula1>INDIRECT(INDEX(INDIRECT(INDIRECT("r"&amp;MATCH("SOR",$A:$A,0)&amp;"c"&amp;MATCH("SO3",$1:$1,0),FALSE)),MATCH($C4,INDIRECT(INDIRECT("r"&amp;MATCH("SOR",$A:$A,0)&amp;"c"&amp;MATCH("SO0",$1:$1,0),FALSE)),0)))</formula1>
    </dataValidation>
    <dataValidation type="whole" allowBlank="1" showInputMessage="1" showErrorMessage="1" sqref="J4:J49" xr:uid="{F362C543-F1D9-48F4-8644-553C29D82FA8}">
      <formula1>1</formula1>
      <formula2>100</formula2>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6CC6C-6A4E-4FA7-977F-5C17BFDC1C74}">
  <sheetPr codeName="Sheet3"/>
  <dimension ref="A1:JL255"/>
  <sheetViews>
    <sheetView topLeftCell="C70" zoomScale="145" zoomScaleNormal="145" workbookViewId="0">
      <selection activeCell="P80" sqref="P80"/>
    </sheetView>
  </sheetViews>
  <sheetFormatPr baseColWidth="10" defaultColWidth="8.83203125" defaultRowHeight="13"/>
  <cols>
    <col min="1" max="1" width="1.83203125" style="135" bestFit="1" customWidth="1"/>
    <col min="2" max="2" width="1.83203125" style="135" customWidth="1"/>
    <col min="3" max="3" width="7" style="23" customWidth="1"/>
    <col min="4" max="4" width="4.1640625" style="23" customWidth="1"/>
    <col min="5" max="5" width="5.5" style="23" customWidth="1"/>
    <col min="6" max="6" width="4.33203125" style="23" customWidth="1"/>
    <col min="7" max="7" width="5.1640625" style="132" customWidth="1"/>
    <col min="8" max="8" width="3.33203125" style="71" customWidth="1"/>
    <col min="9" max="9" width="5.6640625" style="23" customWidth="1"/>
    <col min="10" max="10" width="4.83203125" style="23" customWidth="1"/>
    <col min="11" max="11" width="25.6640625" style="23" customWidth="1"/>
    <col min="12" max="12" width="17.5" style="23" customWidth="1"/>
    <col min="13" max="13" width="5" style="23" bestFit="1" customWidth="1"/>
    <col min="14" max="14" width="6.83203125" style="23" customWidth="1"/>
    <col min="15" max="15" width="6" style="23" customWidth="1"/>
    <col min="16" max="16" width="25.6640625" style="23" customWidth="1"/>
    <col min="17" max="17" width="16" style="23" customWidth="1"/>
    <col min="18" max="18" width="2.1640625" style="23" customWidth="1"/>
    <col min="19" max="19" width="5.33203125" style="23" customWidth="1"/>
    <col min="20" max="20" width="4.1640625" style="23" customWidth="1"/>
    <col min="21" max="21" width="8" style="71" bestFit="1" customWidth="1"/>
    <col min="22" max="22" width="8" bestFit="1" customWidth="1"/>
    <col min="23" max="23" width="8.5" style="113" customWidth="1"/>
    <col min="24" max="25" width="7.83203125" bestFit="1" customWidth="1"/>
    <col min="26" max="26" width="6.6640625" bestFit="1" customWidth="1"/>
    <col min="27" max="27" width="7.6640625" customWidth="1"/>
    <col min="28" max="28" width="6.6640625" customWidth="1"/>
    <col min="29" max="29" width="8.1640625" customWidth="1"/>
    <col min="30" max="31" width="5.6640625" customWidth="1"/>
    <col min="32" max="32" width="23.33203125" style="113" bestFit="1" customWidth="1"/>
    <col min="33" max="35" width="3" style="175" bestFit="1" customWidth="1"/>
    <col min="36" max="36" width="5.5" customWidth="1"/>
    <col min="37" max="37" width="5.6640625" customWidth="1"/>
    <col min="38" max="51" width="3" style="175" customWidth="1"/>
    <col min="52" max="52" width="3" customWidth="1"/>
    <col min="53" max="53" width="5.6640625" customWidth="1"/>
    <col min="54" max="110" width="3" style="175" customWidth="1"/>
    <col min="111" max="111" width="5.6640625" style="108" customWidth="1"/>
    <col min="112" max="112" width="7" bestFit="1" customWidth="1"/>
    <col min="113" max="113" width="3" style="113" bestFit="1" customWidth="1"/>
    <col min="114" max="116" width="3" style="175" bestFit="1" customWidth="1"/>
    <col min="117" max="117" width="8.1640625" style="175" bestFit="1" customWidth="1"/>
    <col min="118" max="159" width="3" style="175" bestFit="1" customWidth="1"/>
    <col min="160" max="166" width="5.6640625" style="108" customWidth="1"/>
    <col min="167" max="167" width="4.33203125" bestFit="1" customWidth="1"/>
    <col min="168" max="168" width="2.83203125" bestFit="1" customWidth="1"/>
    <col min="169" max="169" width="7" bestFit="1" customWidth="1"/>
    <col min="170" max="170" width="3" style="113" bestFit="1" customWidth="1"/>
    <col min="171" max="272" width="3" style="175" bestFit="1" customWidth="1"/>
  </cols>
  <sheetData>
    <row r="1" spans="1:220" s="135" customFormat="1" ht="15">
      <c r="B1" s="218" t="s">
        <v>1314</v>
      </c>
      <c r="C1" s="136"/>
      <c r="D1" s="136"/>
      <c r="E1" s="136" t="s">
        <v>1723</v>
      </c>
      <c r="F1" s="136" t="s">
        <v>1724</v>
      </c>
      <c r="G1" s="180" t="s">
        <v>1387</v>
      </c>
      <c r="H1" s="174" t="s">
        <v>1668</v>
      </c>
      <c r="I1" s="136" t="s">
        <v>1725</v>
      </c>
      <c r="J1" s="136"/>
      <c r="K1" s="136" t="s">
        <v>1669</v>
      </c>
      <c r="L1" s="136"/>
      <c r="M1" s="136"/>
      <c r="N1" s="136"/>
      <c r="O1" s="136"/>
      <c r="P1" s="136" t="s">
        <v>1385</v>
      </c>
      <c r="Q1" s="136" t="s">
        <v>1386</v>
      </c>
      <c r="R1" s="136"/>
      <c r="S1" s="136"/>
      <c r="T1" s="136"/>
      <c r="U1" s="174" t="s">
        <v>2173</v>
      </c>
      <c r="V1" s="135" t="s">
        <v>2174</v>
      </c>
      <c r="W1" s="135" t="s">
        <v>2175</v>
      </c>
      <c r="AA1" s="135" t="s">
        <v>2176</v>
      </c>
      <c r="AB1" s="135" t="s">
        <v>2177</v>
      </c>
      <c r="AC1" s="135" t="s">
        <v>2178</v>
      </c>
      <c r="AD1" s="135" t="s">
        <v>1315</v>
      </c>
      <c r="AF1" s="136"/>
      <c r="AG1" s="137"/>
      <c r="AH1" s="138"/>
      <c r="AI1" s="136" t="s">
        <v>1715</v>
      </c>
      <c r="AJ1" s="136" t="s">
        <v>1636</v>
      </c>
      <c r="AL1" s="137"/>
      <c r="AM1" s="137"/>
      <c r="AN1" s="137"/>
      <c r="AO1" s="137"/>
      <c r="AP1" s="136" t="s">
        <v>1712</v>
      </c>
      <c r="AQ1" s="137"/>
      <c r="AR1" s="137"/>
      <c r="AS1" s="137"/>
      <c r="AT1" s="137"/>
      <c r="AU1" s="137"/>
      <c r="AV1" s="137"/>
      <c r="AW1" s="137"/>
      <c r="AX1" s="137"/>
      <c r="AY1" s="137"/>
      <c r="AZ1" s="137"/>
      <c r="BB1" s="137"/>
      <c r="BC1" s="137"/>
      <c r="BD1" s="137"/>
      <c r="BE1" s="137"/>
      <c r="BF1" s="136" t="s">
        <v>1713</v>
      </c>
      <c r="BH1" s="137"/>
      <c r="BI1" s="137"/>
      <c r="BJ1" s="137"/>
      <c r="BK1" s="137"/>
      <c r="BL1" s="137"/>
      <c r="BM1" s="137"/>
      <c r="BN1" s="137"/>
      <c r="BO1" s="137"/>
      <c r="BP1" s="137"/>
      <c r="BQ1" s="137"/>
      <c r="BR1" s="137"/>
      <c r="BS1" s="137"/>
      <c r="BT1" s="137"/>
      <c r="BU1" s="137"/>
      <c r="BV1" s="137"/>
      <c r="BW1" s="137"/>
      <c r="BX1" s="137"/>
      <c r="BY1" s="137"/>
      <c r="BZ1" s="137"/>
      <c r="CA1" s="137"/>
      <c r="CB1" s="137"/>
      <c r="CC1" s="137"/>
      <c r="CD1" s="137"/>
      <c r="CE1" s="137"/>
      <c r="CF1" s="137"/>
      <c r="CG1" s="137"/>
      <c r="CH1" s="137"/>
      <c r="CI1" s="137"/>
      <c r="CJ1" s="137"/>
      <c r="CK1" s="137"/>
      <c r="CL1" s="137"/>
      <c r="CM1" s="137"/>
      <c r="CN1" s="137"/>
      <c r="CO1" s="137"/>
      <c r="CP1" s="137"/>
      <c r="CQ1" s="137"/>
      <c r="CR1" s="137"/>
      <c r="CS1" s="137"/>
      <c r="CT1" s="137"/>
      <c r="CU1" s="137"/>
      <c r="CV1" s="137"/>
      <c r="CW1" s="137"/>
      <c r="CX1" s="137"/>
      <c r="CY1" s="137"/>
      <c r="CZ1" s="137"/>
      <c r="DA1" s="137"/>
      <c r="DB1" s="137"/>
      <c r="DC1" s="137"/>
      <c r="DD1" s="137"/>
      <c r="DE1" s="137"/>
      <c r="DF1" s="137"/>
      <c r="DG1" s="137"/>
      <c r="DI1" s="136"/>
      <c r="DJ1" s="137"/>
      <c r="DK1" s="137"/>
      <c r="DL1" s="137"/>
      <c r="DM1" s="136" t="s">
        <v>1650</v>
      </c>
      <c r="DN1" s="137"/>
      <c r="DO1" s="137"/>
      <c r="DP1" s="137"/>
      <c r="DQ1" s="137"/>
      <c r="DR1" s="137"/>
      <c r="DS1" s="137"/>
      <c r="DT1" s="137"/>
      <c r="DU1" s="137"/>
      <c r="DV1" s="137"/>
      <c r="DW1" s="137"/>
      <c r="DX1" s="137"/>
      <c r="DY1" s="137"/>
      <c r="DZ1" s="137"/>
      <c r="EA1" s="137"/>
      <c r="EB1" s="137"/>
      <c r="EC1" s="137"/>
      <c r="ED1" s="137"/>
      <c r="EE1" s="137"/>
      <c r="EF1" s="137"/>
      <c r="EG1" s="137"/>
      <c r="EH1" s="137"/>
      <c r="EI1" s="137"/>
      <c r="EJ1" s="137"/>
      <c r="EK1" s="137"/>
      <c r="EL1" s="137"/>
      <c r="EM1" s="137"/>
      <c r="EN1" s="137"/>
      <c r="EO1" s="137"/>
      <c r="EP1" s="137"/>
      <c r="EQ1" s="137"/>
      <c r="ER1" s="137"/>
      <c r="ES1" s="137"/>
      <c r="ET1" s="137"/>
      <c r="EU1" s="137"/>
      <c r="EV1" s="137"/>
      <c r="EW1" s="137"/>
      <c r="EX1" s="137"/>
      <c r="EY1" s="137"/>
      <c r="EZ1" s="137"/>
      <c r="FA1" s="137"/>
      <c r="FB1" s="137"/>
      <c r="FC1" s="137"/>
      <c r="FD1" s="137"/>
      <c r="FE1" s="137"/>
      <c r="FF1" s="137"/>
      <c r="FG1" s="137"/>
      <c r="FH1" s="137"/>
      <c r="FI1" s="137"/>
      <c r="FJ1" s="137"/>
      <c r="FK1" s="136"/>
      <c r="FL1" s="136"/>
      <c r="FN1" s="136"/>
      <c r="FO1" s="137"/>
      <c r="FP1" s="138"/>
      <c r="FQ1" s="137"/>
      <c r="FR1" s="136" t="s">
        <v>1637</v>
      </c>
      <c r="FS1" s="137"/>
      <c r="FT1" s="137"/>
      <c r="FU1" s="137"/>
      <c r="FV1" s="137"/>
      <c r="FW1" s="137"/>
      <c r="FX1" s="137"/>
      <c r="FY1" s="137"/>
      <c r="FZ1" s="137"/>
      <c r="GA1" s="137"/>
      <c r="GB1" s="137"/>
      <c r="GC1" s="137"/>
      <c r="GD1" s="137"/>
      <c r="GE1" s="137"/>
      <c r="GF1" s="137"/>
      <c r="GG1" s="137"/>
      <c r="GH1" s="137"/>
      <c r="GI1" s="137"/>
      <c r="GJ1" s="137"/>
      <c r="GK1" s="137"/>
      <c r="GL1" s="137"/>
      <c r="GM1" s="137"/>
      <c r="GN1" s="137"/>
      <c r="GO1" s="137"/>
      <c r="GP1" s="137"/>
      <c r="GQ1" s="137"/>
      <c r="GR1" s="137"/>
      <c r="GS1" s="137"/>
      <c r="GT1" s="137"/>
      <c r="GU1" s="137"/>
      <c r="GV1" s="137"/>
      <c r="GW1" s="137"/>
      <c r="GX1" s="137"/>
      <c r="GY1" s="137"/>
      <c r="GZ1" s="137"/>
      <c r="HA1" s="137"/>
      <c r="HB1" s="137"/>
      <c r="HC1" s="137"/>
      <c r="HD1" s="137"/>
      <c r="HE1" s="137"/>
      <c r="HF1" s="137"/>
      <c r="HG1" s="137"/>
      <c r="HH1" s="137"/>
      <c r="HI1" s="137"/>
      <c r="HJ1" s="137"/>
      <c r="HK1" s="137"/>
      <c r="HL1" s="137"/>
    </row>
    <row r="2" spans="1:220" s="135" customFormat="1" ht="19">
      <c r="A2" s="135" t="s">
        <v>1855</v>
      </c>
      <c r="C2" s="33" t="str" cm="1">
        <f t="array" aca="1" ref="C2" ca="1">_xlfn.TEXTAFTER(CELL("filename",INDIRECT("A1")),"]")</f>
        <v>AsgnPpto</v>
      </c>
      <c r="D2" s="136"/>
      <c r="E2" s="136"/>
      <c r="F2" s="136"/>
      <c r="G2" s="180"/>
      <c r="H2" s="174"/>
      <c r="I2" s="136"/>
      <c r="J2" s="136"/>
      <c r="K2" s="136"/>
      <c r="L2" s="136"/>
      <c r="M2" s="136"/>
      <c r="N2" s="136"/>
      <c r="O2" s="136"/>
      <c r="P2" s="136"/>
      <c r="Q2" s="136"/>
      <c r="R2" s="136"/>
      <c r="S2" s="136"/>
      <c r="T2" s="136"/>
      <c r="U2" s="174"/>
      <c r="AD2" s="218" t="str">
        <f>ADDRESS(1,MATCH("SOC",$1:$1,0)+1,4)&amp;":"&amp;ADDRESS(1,MATCH("EOC",$1:$1,0)-1,4)</f>
        <v>C1:AC1</v>
      </c>
      <c r="AF2" s="136"/>
      <c r="AG2" s="137"/>
      <c r="AH2" s="138"/>
      <c r="AI2" s="136"/>
      <c r="AJ2" s="136"/>
      <c r="AL2" s="137"/>
      <c r="AM2" s="137"/>
      <c r="AN2" s="137"/>
      <c r="AO2" s="137"/>
      <c r="AP2" s="136"/>
      <c r="AQ2" s="137"/>
      <c r="AR2" s="137"/>
      <c r="AS2" s="137"/>
      <c r="AT2" s="137"/>
      <c r="AU2" s="137"/>
      <c r="AV2" s="137"/>
      <c r="AW2" s="137"/>
      <c r="AX2" s="137"/>
      <c r="AY2" s="137"/>
      <c r="AZ2" s="137"/>
      <c r="BB2" s="137"/>
      <c r="BC2" s="137"/>
      <c r="BD2" s="137"/>
      <c r="BE2" s="137"/>
      <c r="BF2" s="136"/>
      <c r="BH2" s="137"/>
      <c r="BI2" s="137"/>
      <c r="BJ2" s="137"/>
      <c r="BK2" s="137"/>
      <c r="BL2" s="137"/>
      <c r="BM2" s="137"/>
      <c r="BN2" s="137"/>
      <c r="BO2" s="137"/>
      <c r="BP2" s="137"/>
      <c r="BQ2" s="137"/>
      <c r="BR2" s="137"/>
      <c r="BS2" s="137"/>
      <c r="BT2" s="137"/>
      <c r="BU2" s="137"/>
      <c r="BV2" s="137"/>
      <c r="BW2" s="137"/>
      <c r="BX2" s="137"/>
      <c r="BY2" s="137"/>
      <c r="BZ2" s="137"/>
      <c r="CA2" s="137"/>
      <c r="CB2" s="137"/>
      <c r="CC2" s="137"/>
      <c r="CD2" s="137"/>
      <c r="CE2" s="137"/>
      <c r="CF2" s="137"/>
      <c r="CG2" s="137"/>
      <c r="CH2" s="137"/>
      <c r="CI2" s="137"/>
      <c r="CJ2" s="137"/>
      <c r="CK2" s="137"/>
      <c r="CL2" s="137"/>
      <c r="CM2" s="137"/>
      <c r="CN2" s="137"/>
      <c r="CO2" s="137"/>
      <c r="CP2" s="137"/>
      <c r="CQ2" s="137"/>
      <c r="CR2" s="137"/>
      <c r="CS2" s="137"/>
      <c r="CT2" s="137"/>
      <c r="CU2" s="137"/>
      <c r="CV2" s="137"/>
      <c r="CW2" s="137"/>
      <c r="CX2" s="137"/>
      <c r="CY2" s="137"/>
      <c r="CZ2" s="137"/>
      <c r="DA2" s="137"/>
      <c r="DB2" s="137"/>
      <c r="DC2" s="137"/>
      <c r="DD2" s="137"/>
      <c r="DE2" s="137"/>
      <c r="DF2" s="137"/>
      <c r="DG2" s="137"/>
      <c r="DI2" s="136"/>
      <c r="DJ2" s="137"/>
      <c r="DK2" s="137"/>
      <c r="DL2" s="137"/>
      <c r="DM2" s="136"/>
      <c r="DN2" s="137"/>
      <c r="DO2" s="137"/>
      <c r="DP2" s="137"/>
      <c r="DQ2" s="137"/>
      <c r="DR2" s="137"/>
      <c r="DS2" s="137"/>
      <c r="DT2" s="137"/>
      <c r="DU2" s="137"/>
      <c r="DV2" s="137"/>
      <c r="DW2" s="137"/>
      <c r="DX2" s="137"/>
      <c r="DY2" s="137"/>
      <c r="DZ2" s="137"/>
      <c r="EA2" s="137"/>
      <c r="EB2" s="137"/>
      <c r="EC2" s="137"/>
      <c r="ED2" s="137"/>
      <c r="EE2" s="137"/>
      <c r="EF2" s="137"/>
      <c r="EG2" s="137"/>
      <c r="EH2" s="137"/>
      <c r="EI2" s="137"/>
      <c r="EJ2" s="137"/>
      <c r="EK2" s="137"/>
      <c r="EL2" s="137"/>
      <c r="EM2" s="137"/>
      <c r="EN2" s="137"/>
      <c r="EO2" s="137"/>
      <c r="EP2" s="137"/>
      <c r="EQ2" s="137"/>
      <c r="ER2" s="137"/>
      <c r="ES2" s="137"/>
      <c r="ET2" s="137"/>
      <c r="EU2" s="137"/>
      <c r="EV2" s="137"/>
      <c r="EW2" s="137"/>
      <c r="EX2" s="137"/>
      <c r="EY2" s="137"/>
      <c r="EZ2" s="137"/>
      <c r="FA2" s="137"/>
      <c r="FB2" s="137"/>
      <c r="FC2" s="137"/>
      <c r="FD2" s="137"/>
      <c r="FE2" s="137"/>
      <c r="FF2" s="137"/>
      <c r="FG2" s="137"/>
      <c r="FH2" s="137"/>
      <c r="FI2" s="137"/>
      <c r="FJ2" s="137"/>
      <c r="FK2" s="136"/>
      <c r="FL2" s="136"/>
      <c r="FN2" s="136"/>
      <c r="FO2" s="137"/>
      <c r="FP2" s="138"/>
      <c r="FQ2" s="137"/>
      <c r="FR2" s="136"/>
      <c r="FS2" s="137"/>
      <c r="FT2" s="137"/>
      <c r="FU2" s="137"/>
      <c r="FV2" s="137"/>
      <c r="FW2" s="137"/>
      <c r="FX2" s="137"/>
      <c r="FY2" s="137"/>
      <c r="FZ2" s="137"/>
      <c r="GA2" s="137"/>
      <c r="GB2" s="137"/>
      <c r="GC2" s="137"/>
      <c r="GD2" s="137"/>
      <c r="GE2" s="137"/>
      <c r="GF2" s="137"/>
      <c r="GG2" s="137"/>
      <c r="GH2" s="137"/>
      <c r="GI2" s="137"/>
      <c r="GJ2" s="137"/>
      <c r="GK2" s="137"/>
      <c r="GL2" s="137"/>
      <c r="GM2" s="137"/>
      <c r="GN2" s="137"/>
      <c r="GO2" s="137"/>
      <c r="GP2" s="137"/>
      <c r="GQ2" s="137"/>
      <c r="GR2" s="137"/>
      <c r="GS2" s="137"/>
      <c r="GT2" s="137"/>
      <c r="GU2" s="137"/>
      <c r="GV2" s="137"/>
      <c r="GW2" s="137"/>
      <c r="GX2" s="137"/>
      <c r="GY2" s="137"/>
      <c r="GZ2" s="137"/>
      <c r="HA2" s="137"/>
      <c r="HB2" s="137"/>
      <c r="HC2" s="137"/>
      <c r="HD2" s="137"/>
      <c r="HE2" s="137"/>
      <c r="HF2" s="137"/>
      <c r="HG2" s="137"/>
      <c r="HH2" s="137"/>
      <c r="HI2" s="137"/>
      <c r="HJ2" s="137"/>
      <c r="HK2" s="137"/>
      <c r="HL2" s="137"/>
    </row>
    <row r="3" spans="1:220" s="135" customFormat="1" ht="19">
      <c r="A3" s="135" t="s">
        <v>407</v>
      </c>
      <c r="C3" s="198" t="str">
        <f ca="1">ADDRESS(MATCH("SO"&amp;RIGHT($A3,1),$A:$A,0)+1,SUM(COLUMN()),4,1,$C$2)&amp;":"&amp;ADDRESS(MATCH("EO"&amp;RIGHT($A3,1),$A:$A,0)-1,SUM(COLUMN()),4)</f>
        <v>AsgnPpto!C5:C254</v>
      </c>
      <c r="D3" s="198" t="str">
        <f t="shared" ref="D3:AC3" ca="1" si="0">ADDRESS(MATCH("SO"&amp;RIGHT($A3,1),$A:$A,0)+1,SUM(COLUMN()),4,1,$C$2)&amp;":"&amp;ADDRESS(MATCH("EO"&amp;RIGHT($A3,1),$A:$A,0)-1,SUM(COLUMN()),4)</f>
        <v>AsgnPpto!D5:D254</v>
      </c>
      <c r="E3" s="198" t="str">
        <f t="shared" ca="1" si="0"/>
        <v>AsgnPpto!E5:E254</v>
      </c>
      <c r="F3" s="198" t="str">
        <f t="shared" ca="1" si="0"/>
        <v>AsgnPpto!F5:F254</v>
      </c>
      <c r="G3" s="198" t="str">
        <f t="shared" ca="1" si="0"/>
        <v>AsgnPpto!G5:G254</v>
      </c>
      <c r="H3" s="198" t="str">
        <f t="shared" ca="1" si="0"/>
        <v>AsgnPpto!H5:H254</v>
      </c>
      <c r="I3" s="198" t="str">
        <f t="shared" ca="1" si="0"/>
        <v>AsgnPpto!I5:I254</v>
      </c>
      <c r="J3" s="198" t="str">
        <f t="shared" ca="1" si="0"/>
        <v>AsgnPpto!J5:J254</v>
      </c>
      <c r="K3" s="198" t="str">
        <f t="shared" ca="1" si="0"/>
        <v>AsgnPpto!K5:K254</v>
      </c>
      <c r="L3" s="198" t="str">
        <f t="shared" ca="1" si="0"/>
        <v>AsgnPpto!L5:L254</v>
      </c>
      <c r="M3" s="198" t="str">
        <f t="shared" ca="1" si="0"/>
        <v>AsgnPpto!M5:M254</v>
      </c>
      <c r="N3" s="198" t="str">
        <f t="shared" ca="1" si="0"/>
        <v>AsgnPpto!N5:N254</v>
      </c>
      <c r="O3" s="198" t="str">
        <f t="shared" ca="1" si="0"/>
        <v>AsgnPpto!O5:O254</v>
      </c>
      <c r="P3" s="198" t="str">
        <f t="shared" ca="1" si="0"/>
        <v>AsgnPpto!P5:P254</v>
      </c>
      <c r="Q3" s="198" t="str">
        <f t="shared" ca="1" si="0"/>
        <v>AsgnPpto!Q5:Q254</v>
      </c>
      <c r="R3" s="198" t="str">
        <f t="shared" ca="1" si="0"/>
        <v>AsgnPpto!R5:R254</v>
      </c>
      <c r="S3" s="198" t="str">
        <f t="shared" ca="1" si="0"/>
        <v>AsgnPpto!S5:S254</v>
      </c>
      <c r="T3" s="198" t="str">
        <f t="shared" ca="1" si="0"/>
        <v>AsgnPpto!T5:T254</v>
      </c>
      <c r="U3" s="198" t="str">
        <f t="shared" ca="1" si="0"/>
        <v>AsgnPpto!U5:U254</v>
      </c>
      <c r="V3" s="198" t="str">
        <f t="shared" ca="1" si="0"/>
        <v>AsgnPpto!V5:V254</v>
      </c>
      <c r="W3" s="198" t="str">
        <f t="shared" ca="1" si="0"/>
        <v>AsgnPpto!W5:W254</v>
      </c>
      <c r="X3" s="198" t="str">
        <f t="shared" ca="1" si="0"/>
        <v>AsgnPpto!X5:X254</v>
      </c>
      <c r="Y3" s="198" t="str">
        <f t="shared" ca="1" si="0"/>
        <v>AsgnPpto!Y5:Y254</v>
      </c>
      <c r="Z3" s="198" t="str">
        <f t="shared" ca="1" si="0"/>
        <v>AsgnPpto!Z5:Z254</v>
      </c>
      <c r="AA3" s="198" t="str">
        <f t="shared" ca="1" si="0"/>
        <v>AsgnPpto!AA5:AA254</v>
      </c>
      <c r="AB3" s="198" t="str">
        <f t="shared" ca="1" si="0"/>
        <v>AsgnPpto!AB5:AB254</v>
      </c>
      <c r="AC3" s="198" t="str">
        <f t="shared" ca="1" si="0"/>
        <v>AsgnPpto!AC5:AC254</v>
      </c>
      <c r="AD3" s="218" t="str">
        <f>ADDRESS(SUM(ROW()),MATCH("SOC",$1:$1,0)+1,4)&amp;":"&amp;ADDRESS(SUM(ROW()),MATCH("EOC",$1:$1,0)-1,4)</f>
        <v>C3:AC3</v>
      </c>
      <c r="AE3" s="136"/>
      <c r="AF3" s="136"/>
      <c r="AG3" s="137"/>
      <c r="AH3" s="138"/>
      <c r="AI3" s="137"/>
      <c r="AJ3" s="137"/>
      <c r="AK3" s="136"/>
      <c r="AL3" s="137"/>
      <c r="AM3" s="137"/>
      <c r="AN3" s="137"/>
      <c r="AO3" s="137"/>
      <c r="AP3" s="137"/>
      <c r="AQ3" s="137"/>
      <c r="AR3" s="137"/>
      <c r="AS3" s="137"/>
      <c r="AT3" s="137"/>
      <c r="AU3" s="137"/>
      <c r="AV3" s="137"/>
      <c r="AW3" s="137"/>
      <c r="AX3" s="137"/>
      <c r="AY3" s="137"/>
      <c r="AZ3" s="137"/>
      <c r="BA3" s="136"/>
      <c r="BB3" s="137"/>
      <c r="BC3" s="137"/>
      <c r="BD3" s="137"/>
      <c r="BE3" s="137"/>
      <c r="BF3" s="137"/>
      <c r="BG3" s="137"/>
      <c r="BH3" s="137"/>
      <c r="BI3" s="137"/>
      <c r="BJ3" s="137"/>
      <c r="BK3" s="137"/>
      <c r="BL3" s="137"/>
      <c r="BM3" s="137"/>
      <c r="BN3" s="137"/>
      <c r="BO3" s="137"/>
      <c r="BP3" s="137"/>
      <c r="BQ3" s="137"/>
      <c r="BR3" s="137"/>
      <c r="BS3" s="137"/>
      <c r="BT3" s="137"/>
      <c r="BU3" s="137"/>
      <c r="BV3" s="137"/>
      <c r="BW3" s="137"/>
      <c r="BX3" s="137"/>
      <c r="BY3" s="137"/>
      <c r="BZ3" s="137"/>
      <c r="CA3" s="137"/>
      <c r="CB3" s="137"/>
      <c r="CC3" s="137"/>
      <c r="CD3" s="137"/>
      <c r="CE3" s="137"/>
      <c r="CF3" s="137"/>
      <c r="CG3" s="137"/>
      <c r="CH3" s="137"/>
      <c r="CI3" s="137"/>
      <c r="CJ3" s="137"/>
      <c r="CK3" s="137"/>
      <c r="CL3" s="137"/>
      <c r="CM3" s="137"/>
      <c r="CN3" s="137"/>
      <c r="CO3" s="137"/>
      <c r="CP3" s="137"/>
      <c r="CQ3" s="137"/>
      <c r="CR3" s="137"/>
      <c r="CS3" s="137"/>
      <c r="CT3" s="137"/>
      <c r="CU3" s="137"/>
      <c r="CV3" s="137"/>
      <c r="CW3" s="137"/>
      <c r="CX3" s="137"/>
      <c r="CY3" s="137"/>
      <c r="CZ3" s="137"/>
      <c r="DA3" s="137"/>
      <c r="DB3" s="137"/>
      <c r="DC3" s="137"/>
      <c r="DD3" s="137"/>
      <c r="DE3" s="137"/>
      <c r="DF3" s="137"/>
      <c r="DG3" s="137"/>
      <c r="DH3" s="136"/>
      <c r="DI3" s="136"/>
      <c r="DJ3" s="137"/>
      <c r="DK3" s="137"/>
      <c r="DL3" s="137"/>
      <c r="DM3" s="137"/>
      <c r="DN3" s="137"/>
      <c r="DO3" s="137"/>
      <c r="DP3" s="137"/>
      <c r="DQ3" s="137"/>
      <c r="DR3" s="137"/>
      <c r="DS3" s="137"/>
      <c r="DT3" s="137"/>
      <c r="DU3" s="137"/>
      <c r="DV3" s="137"/>
      <c r="DW3" s="137"/>
      <c r="DX3" s="137"/>
      <c r="DY3" s="137"/>
      <c r="DZ3" s="137"/>
      <c r="EA3" s="137"/>
      <c r="EB3" s="137"/>
      <c r="EC3" s="137"/>
      <c r="ED3" s="137"/>
      <c r="EE3" s="137"/>
      <c r="EF3" s="137"/>
      <c r="EG3" s="137"/>
      <c r="EH3" s="137"/>
      <c r="EI3" s="137"/>
      <c r="EJ3" s="137"/>
      <c r="EK3" s="137"/>
      <c r="EL3" s="137"/>
      <c r="EM3" s="137"/>
      <c r="EN3" s="137"/>
      <c r="EO3" s="137"/>
      <c r="EP3" s="137"/>
      <c r="EQ3" s="137"/>
      <c r="ER3" s="137"/>
      <c r="ES3" s="137"/>
      <c r="ET3" s="137"/>
      <c r="EU3" s="137"/>
      <c r="EV3" s="137"/>
      <c r="EW3" s="137"/>
      <c r="EX3" s="137"/>
      <c r="EY3" s="137"/>
      <c r="EZ3" s="137"/>
      <c r="FA3" s="137"/>
      <c r="FB3" s="137"/>
      <c r="FC3" s="137"/>
      <c r="FD3" s="137"/>
      <c r="FE3" s="137"/>
      <c r="FF3" s="137"/>
      <c r="FG3" s="137"/>
      <c r="FH3" s="137"/>
      <c r="FI3" s="137"/>
      <c r="FJ3" s="137"/>
      <c r="FK3" s="136"/>
      <c r="FL3" s="136"/>
      <c r="FM3" s="136"/>
      <c r="FN3" s="136"/>
      <c r="FO3" s="137"/>
      <c r="FP3" s="138"/>
      <c r="FQ3" s="137"/>
      <c r="FR3" s="137"/>
      <c r="FS3" s="137"/>
      <c r="FT3" s="137"/>
      <c r="FU3" s="137"/>
      <c r="FV3" s="137"/>
      <c r="FW3" s="137"/>
      <c r="FX3" s="137"/>
      <c r="FY3" s="137"/>
      <c r="FZ3" s="137"/>
      <c r="GA3" s="137"/>
      <c r="GB3" s="137"/>
      <c r="GC3" s="137"/>
      <c r="GD3" s="137"/>
      <c r="GE3" s="137"/>
      <c r="GF3" s="137"/>
      <c r="GG3" s="137"/>
      <c r="GH3" s="137"/>
      <c r="GI3" s="137"/>
      <c r="GJ3" s="137"/>
      <c r="GK3" s="137"/>
      <c r="GL3" s="137"/>
      <c r="GM3" s="137"/>
      <c r="GN3" s="137"/>
      <c r="GO3" s="137"/>
      <c r="GP3" s="137"/>
      <c r="GQ3" s="137"/>
      <c r="GR3" s="137"/>
      <c r="GS3" s="137"/>
      <c r="GT3" s="137"/>
      <c r="GU3" s="137"/>
      <c r="GV3" s="137"/>
      <c r="GW3" s="137"/>
      <c r="GX3" s="137"/>
      <c r="GY3" s="137"/>
      <c r="GZ3" s="137"/>
      <c r="HA3" s="137"/>
      <c r="HB3" s="137"/>
      <c r="HC3" s="137"/>
      <c r="HD3" s="137"/>
      <c r="HE3" s="137"/>
      <c r="HF3" s="137"/>
      <c r="HG3" s="137"/>
      <c r="HH3" s="137"/>
      <c r="HI3" s="137"/>
      <c r="HJ3" s="137"/>
      <c r="HK3" s="137"/>
      <c r="HL3" s="137"/>
    </row>
    <row r="4" spans="1:220" ht="49">
      <c r="A4" s="135" t="s">
        <v>390</v>
      </c>
      <c r="B4" s="135" t="s">
        <v>1861</v>
      </c>
      <c r="C4" s="26" t="s">
        <v>398</v>
      </c>
      <c r="D4" s="26" t="s">
        <v>2129</v>
      </c>
      <c r="E4" s="26" t="s">
        <v>1708</v>
      </c>
      <c r="F4" s="26" t="s">
        <v>1709</v>
      </c>
      <c r="G4" s="181" t="s">
        <v>1299</v>
      </c>
      <c r="H4" s="73" t="s">
        <v>1565</v>
      </c>
      <c r="I4" s="26" t="s">
        <v>1664</v>
      </c>
      <c r="J4" s="26" t="s">
        <v>399</v>
      </c>
      <c r="K4" s="72" t="s">
        <v>1634</v>
      </c>
      <c r="L4" s="72" t="s">
        <v>1635</v>
      </c>
      <c r="M4" s="72" t="s">
        <v>1495</v>
      </c>
      <c r="N4" s="72" t="s">
        <v>1317</v>
      </c>
      <c r="O4" s="72" t="s">
        <v>1316</v>
      </c>
      <c r="P4" s="26" t="s">
        <v>400</v>
      </c>
      <c r="Q4" s="26" t="s">
        <v>401</v>
      </c>
      <c r="R4" s="26" t="s">
        <v>402</v>
      </c>
      <c r="S4" s="26" t="s">
        <v>1283</v>
      </c>
      <c r="T4" s="26" t="s">
        <v>1318</v>
      </c>
      <c r="U4" s="73" t="s">
        <v>1843</v>
      </c>
      <c r="V4" s="73" t="s">
        <v>1848</v>
      </c>
      <c r="W4" s="73" t="s">
        <v>1846</v>
      </c>
      <c r="X4" s="73" t="s">
        <v>1832</v>
      </c>
      <c r="Y4" s="73" t="s">
        <v>1850</v>
      </c>
      <c r="Z4" s="73" t="s">
        <v>1849</v>
      </c>
      <c r="AA4" s="73" t="s">
        <v>2170</v>
      </c>
      <c r="AB4" s="73" t="s">
        <v>2171</v>
      </c>
      <c r="AC4" s="73" t="s">
        <v>2172</v>
      </c>
      <c r="AF4" s="211" t="s">
        <v>1651</v>
      </c>
      <c r="AG4"/>
      <c r="AH4"/>
      <c r="AI4" s="105" t="str" cm="1">
        <f t="array" aca="1" ref="AI4" ca="1">_xlfn.LET(_xlpm.x,MATCH("SOR",$A:$A,0),_xlpm.y,SUM(COLUMN()),ADDRESS(_xlpm.x+1,_xlpm.y,4)&amp;":"&amp;ADDRESS(1+_xlpm.x+COUNT(CODE(_xlfn.ANCHORARRAY(AI$6))),_xlpm.y,4))</f>
        <v>AI5:AI7</v>
      </c>
      <c r="AJ4" s="105" t="str" cm="1">
        <f t="array" aca="1" ref="AJ4" ca="1">_xlfn.LET(_xlpm.x,MATCH("SOR",$A:$A,0),_xlpm.y,SUM(COLUMN()),ADDRESS(_xlpm.x+1,_xlpm.y,4)&amp;":"&amp;ADDRESS(1+_xlpm.x+COUNT(CODE(INDIRECT(INDIRECT("rc["&amp;SUM(MATCH("PJS",$1:$1,0)-COLUMN())&amp;"]",FALSE)))),_xlpm.y,4))</f>
        <v>AJ5:AJ8</v>
      </c>
      <c r="AK4" s="113"/>
      <c r="AM4" s="176"/>
      <c r="AN4" s="176"/>
      <c r="AO4"/>
      <c r="AP4" s="105" t="str" cm="1">
        <f t="array" aca="1" ref="AP4" ca="1">_xlfn.LET(_xlpm.x,MATCH("SOR",$A:$A,0),_xlpm.y,SUM(COLUMN()),ADDRESS(_xlpm.x+1,_xlpm.y,4)&amp;":"&amp;ADDRESS(1+_xlpm.x+COUNT(CODE(INDIRECT(INDIRECT("rc["&amp;SUM(MATCH("PJS",$1:$1,0)-COLUMN())&amp;"]",FALSE)))),_xlpm.y,4))</f>
        <v>AP5:AP8</v>
      </c>
      <c r="AQ4" s="176"/>
      <c r="AR4" s="176"/>
      <c r="AS4" s="176"/>
      <c r="AT4" s="176"/>
      <c r="AU4" s="176"/>
      <c r="AV4" s="176"/>
      <c r="AW4" s="176"/>
      <c r="AX4" s="176"/>
      <c r="AY4" s="176"/>
      <c r="AZ4" s="176"/>
      <c r="BA4" s="176"/>
      <c r="BB4" s="176"/>
      <c r="BC4" s="176"/>
      <c r="BD4" s="176"/>
      <c r="BE4"/>
      <c r="BF4" s="105" t="str" cm="1">
        <f t="array" aca="1" ref="BF4" ca="1">_xlfn.LET(_xlpm.x,MATCH("SOR",$A:$A,0),_xlpm.y,SUM(COLUMN()),ADDRESS(_xlpm.x+1,_xlpm.y,4)&amp;":"&amp;ADDRESS(1+_xlpm.x+COUNT(CODE(INDIRECT(INDIRECT("rc["&amp;SUM(MATCH("PJS",$1:$1,0)-COLUMN())&amp;"]",FALSE)))),_xlpm.y,4))</f>
        <v>BF5:BF8</v>
      </c>
      <c r="BG4" s="176"/>
      <c r="BH4" s="176"/>
      <c r="BI4" s="176"/>
      <c r="BJ4" s="176"/>
      <c r="BK4" s="176"/>
      <c r="BL4" s="176"/>
      <c r="BM4" s="176"/>
      <c r="BN4" s="176"/>
      <c r="BO4" s="176"/>
      <c r="BP4" s="176"/>
      <c r="BQ4" s="176"/>
      <c r="BR4" s="176"/>
      <c r="BS4" s="176"/>
      <c r="BT4" s="176"/>
      <c r="BU4" s="176"/>
      <c r="BV4" s="176"/>
      <c r="BW4" s="176"/>
      <c r="BX4" s="176"/>
      <c r="BY4" s="176"/>
      <c r="BZ4" s="176"/>
      <c r="CA4" s="176"/>
      <c r="CB4" s="176"/>
      <c r="CC4" s="176"/>
      <c r="CD4" s="176"/>
      <c r="CE4" s="176"/>
      <c r="CF4" s="176"/>
      <c r="CG4" s="176"/>
      <c r="CH4" s="176"/>
      <c r="CI4" s="176"/>
      <c r="CJ4" s="176"/>
      <c r="CK4" s="176"/>
      <c r="CL4" s="176"/>
      <c r="CM4" s="176"/>
      <c r="CN4" s="176"/>
      <c r="CO4" s="176"/>
      <c r="CP4" s="176"/>
      <c r="CQ4" s="176"/>
      <c r="CR4" s="176"/>
      <c r="CS4" s="176"/>
      <c r="CT4" s="176"/>
      <c r="CU4" s="176"/>
      <c r="CV4" s="176"/>
      <c r="CW4" s="176"/>
      <c r="CX4" s="176"/>
      <c r="CY4" s="176"/>
      <c r="CZ4" s="176"/>
      <c r="DA4" s="176"/>
      <c r="DB4" s="176"/>
      <c r="DC4" s="176"/>
      <c r="DD4" s="176"/>
      <c r="DE4" s="176"/>
      <c r="DF4" s="176"/>
      <c r="DG4" s="176"/>
      <c r="DH4" s="176"/>
      <c r="DI4" s="176"/>
      <c r="DJ4" s="176"/>
      <c r="DK4" s="176"/>
      <c r="DL4"/>
      <c r="DM4" s="105" t="str">
        <f>_xlfn.LET(_xlpm.x,MATCH("SOR",$A:$A,0),_xlpm.y,SUM(COLUMN()),ADDRESS(_xlpm.x+1,_xlpm.y,4)&amp;":"&amp;ADDRESS(1+_xlpm.x+3*3,_xlpm.y,4))</f>
        <v>DM5:DM14</v>
      </c>
      <c r="DN4" s="113"/>
      <c r="FD4"/>
      <c r="FE4"/>
      <c r="FF4"/>
      <c r="FG4"/>
      <c r="FH4"/>
      <c r="FI4"/>
      <c r="FJ4"/>
      <c r="FN4"/>
      <c r="FO4"/>
      <c r="FP4" s="105" t="str">
        <f>_xlfn.LET(_xlpm.x,MATCH("SOR",$A:$A,0),_xlpm.y,SUM(COLUMN()),ADDRESS(_xlpm.x+1,_xlpm.y,4)&amp;":"&amp;ADDRESS(1+_xlpm.x+3*3,_xlpm.y,4))</f>
        <v>FP5:FP14</v>
      </c>
      <c r="FQ4" s="105" t="str">
        <f>_xlfn.LET(_xlpm.x,MATCH("SOR",$A:$A,0),_xlpm.y,SUM(COLUMN()),ADDRESS(_xlpm.x+1,_xlpm.y,4)&amp;":"&amp;ADDRESS(1+_xlpm.x+3*3,_xlpm.y,4))</f>
        <v>FQ5:FQ14</v>
      </c>
      <c r="FR4" s="105" t="str">
        <f>_xlfn.LET(_xlpm.x,MATCH("SOR",$A:$A,0),_xlpm.y,SUM(COLUMN()),ADDRESS(_xlpm.x+1,_xlpm.y,4)&amp;":"&amp;ADDRESS(1+_xlpm.x+3*3,_xlpm.y,4))</f>
        <v>FR5:FR14</v>
      </c>
      <c r="FS4" s="113"/>
      <c r="FU4" s="176"/>
      <c r="FV4" s="176"/>
      <c r="FW4" s="176"/>
      <c r="FX4" s="176"/>
      <c r="FY4" s="176"/>
      <c r="FZ4" s="176"/>
      <c r="GA4" s="176"/>
      <c r="GB4" s="176"/>
      <c r="GC4" s="176"/>
      <c r="GD4" s="176"/>
      <c r="GE4" s="176"/>
      <c r="GF4" s="176"/>
      <c r="GG4" s="176"/>
      <c r="GH4" s="176"/>
      <c r="GI4" s="176"/>
      <c r="GJ4" s="176"/>
      <c r="GK4" s="176"/>
      <c r="GL4" s="176"/>
      <c r="GM4" s="176"/>
      <c r="GN4" s="176"/>
      <c r="GO4" s="176"/>
      <c r="GP4" s="176"/>
      <c r="GQ4" s="176"/>
      <c r="GR4" s="176"/>
      <c r="GS4" s="176"/>
      <c r="GT4" s="176"/>
      <c r="GU4" s="176"/>
      <c r="GV4" s="176"/>
      <c r="GW4" s="176"/>
      <c r="GX4" s="176"/>
      <c r="GY4" s="176"/>
      <c r="GZ4" s="176"/>
      <c r="HA4" s="176"/>
      <c r="HB4" s="176"/>
      <c r="HC4" s="176"/>
      <c r="HD4" s="176"/>
      <c r="HE4" s="176"/>
      <c r="HF4" s="176"/>
      <c r="HG4" s="176"/>
      <c r="HH4" s="176"/>
      <c r="HI4" s="176"/>
      <c r="HJ4" s="176"/>
      <c r="HK4" s="176"/>
      <c r="HL4" s="176"/>
    </row>
    <row r="5" spans="1:220" ht="13" customHeight="1">
      <c r="C5" s="213">
        <v>45252</v>
      </c>
      <c r="D5" s="213" t="s">
        <v>2114</v>
      </c>
      <c r="E5" s="213" t="s">
        <v>1710</v>
      </c>
      <c r="F5" s="219" t="s">
        <v>375</v>
      </c>
      <c r="G5" s="201" t="s">
        <v>1415</v>
      </c>
      <c r="H5" s="202">
        <v>15</v>
      </c>
      <c r="I5" s="339" t="str" cm="1">
        <f t="array" aca="1" ref="I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G003</v>
      </c>
      <c r="J5" s="203" t="str" cm="1">
        <f t="array" ref="J5">IF(OR(PptoSty[[#This Row],[Project]]="",PptoSty[[#This Row],[Project]]="X"),"X",_xlfn.UNIQUE(_xlfn._xlws.FILTER(CstGrpS[Nature],ISNUMBER(FIND(SUBSTITUTE(PptoSty[[#This Row],[PiColumn]]," +%",""),UPPER(SUBSTITUTE(CstGrpS[GrpPrv],"  "," ")))),"X")))</f>
        <v>Hrs</v>
      </c>
      <c r="K5" s="96" t="s">
        <v>1417</v>
      </c>
      <c r="L5" s="96" t="s">
        <v>1641</v>
      </c>
      <c r="M5" s="96" t="s">
        <v>375</v>
      </c>
      <c r="N5" s="96" t="str" cm="1">
        <f t="array" ref="N5">IF(OR(PptoSty[[#This Row],[Project]]="",PptoSty[[#This Row],[Project]]="X"),"X",_xlfn._xlws.FILTER(TbAssign[RowId],(TbAssign[Project]=PptoSty[[#This Row],[Project]])*(TbAssign[Módulo]=PptoSty[[#This Row],[PptoVsRow]]),"X"))</f>
        <v>XA01</v>
      </c>
      <c r="O5" s="96" t="str" cm="1">
        <f t="array" ref="O5">IF(OR(PptoSty[[#This Row],[Project]]="",PptoSty[[#This Row],[Project]]="X"),"X",_xlfn.UNIQUE(_xlfn._xlws.FILTER(F_RT14[Amortz.],(F_RT14[Measure]="CurPpto")*(F_RT14[PrjId]=PptoSty[[#This Row],[Project]])*(F_RT14[Vrs]=PptoSty[[#This Row],[Vrs]])*(_xlfn.TEXTAFTER(F_RT14[ActGrp],":")=PptoSty[[#This Row],[PiRow]]),"X")))</f>
        <v>GSDF</v>
      </c>
      <c r="P5" s="96" t="s">
        <v>358</v>
      </c>
      <c r="Q5" s="96" t="s">
        <v>387</v>
      </c>
      <c r="R5" s="204" t="s">
        <v>403</v>
      </c>
      <c r="S5" s="204">
        <v>1</v>
      </c>
      <c r="T5" s="205" t="str" cm="1">
        <f t="array" aca="1" ref="T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5" s="206" cm="1">
        <f t="array" ref="U5">IFERROR((1/PptoSty[[#This Row],[Division]])*IF(PptoSty[[#This Row],[Sign]]="+",1,-1)*(IF(PptoSty[[#This Row],[POvsCT]]="PO",SUM(_xlfn.CHOOSECOLS(_xlfn._xlws.FILTER(F_RT14[],(IF($M5="X",TRUE,F_RT14[Site]=$M5))*(F_RT14[Measure]=U$4)*(F_RT14[PrjId]=PptoSty[[#This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56666.994329896908</v>
      </c>
      <c r="V5" s="206" cm="1">
        <f t="array" ref="V5">IFERROR((1/PptoSty[[#This Row],[Division]])*IF(PptoSty[[#This Row],[Sign]]="+",1,-1)*(IF(PptoSty[[#This Row],[POvsCT]]="PO",SUM(_xlfn.CHOOSECOLS(_xlfn._xlws.FILTER(F_RT14[],(IF($M5="X",TRUE,F_RT14[Site]=$M5))*(F_RT14[Measure]=V$4)*(F_RT14[PrjId]=PptoSty[[#This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57107.120497000011</v>
      </c>
      <c r="W5" s="206" cm="1">
        <f t="array" ref="W5">IFERROR((1/PptoSty[[#This Row],[Division]])*IF(PptoSty[[#This Row],[Sign]]="+",1,-1)*(IF(PptoSty[[#This Row],[POvsCT]]="PO",SUM(_xlfn.CHOOSECOLS(_xlfn._xlws.FILTER(F_RT14[],(IF($M5="X",TRUE,F_RT14[Site]=$M5))*(F_RT14[Measure]=W$4)*(F_RT14[PrjId]=PptoSty[[#This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5" s="338" cm="1">
        <f t="array" ref="X5">IFERROR(IF(PptoSty[[#This Row],[Nature]]&lt;&gt;"Hrs",0,(1/PptoSty[[#This Row],[Division]])*IF(PptoSty[[#This Row],[Sign]]="+",1,-1)*(IF(PptoSty[[#This Row],[POvsCT]]="PO",SUM(_xlfn.CHOOSECOLS(_xlfn._xlws.FILTER(F_RT14[],(IF($M5="X",TRUE,F_RT14[Site]=$M5))*(F_RT14[Measure]=X$4)*(F_RT14[PrjId]=PptoSty[[#This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1099.0000000000002</v>
      </c>
      <c r="Y5" s="338" cm="1">
        <f t="array" ref="Y5">IFERROR(IF(PptoSty[[#This Row],[Nature]]&lt;&gt;"Hrs",0,(1/PptoSty[[#This Row],[Division]])*IF(PptoSty[[#This Row],[Sign]]="+",1,-1)*(IF(PptoSty[[#This Row],[POvsCT]]="PO",SUM(_xlfn.CHOOSECOLS(_xlfn._xlws.FILTER(F_RT14[],(IF($M5="X",TRUE,F_RT14[Site]=$M5))*(F_RT14[Measure]=Y$4)*(F_RT14[PrjId]=PptoSty[[#This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1066.0300000000002</v>
      </c>
      <c r="Z5" s="338" cm="1">
        <f t="array" ref="Z5">IFERROR(IF(PptoSty[[#This Row],[Nature]]&lt;&gt;"Hrs",0,(1/PptoSty[[#This Row],[Division]])*IF(PptoSty[[#This Row],[Sign]]="+",1,-1)*(IF(PptoSty[[#This Row],[POvsCT]]="PO",SUM(_xlfn.CHOOSECOLS(_xlfn._xlws.FILTER(F_RT14[],(IF($M5="X",TRUE,F_RT14[Site]=$M5))*(F_RT14[Measure]=Z$4)*(F_RT14[PrjId]=PptoSty[[#This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5" s="206" cm="1">
        <f t="array" aca="1" ref="AA5"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56666.994329896908</v>
      </c>
      <c r="AB5" s="206" cm="1">
        <f t="array" aca="1" ref="AB5"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57107.120497000011</v>
      </c>
      <c r="AC5" s="206" cm="1">
        <f t="array" aca="1" ref="AC5"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F5" s="188" t="str" cm="1">
        <f t="array" ref="AF5">_xlfn.LET(_xlpm.x,MATCH($A$4,$A:$A,0),_xlpm.y,SUM(COLUMN()),ADDRESS(2+_xlpm.x,_xlpm.y,4)&amp;":"&amp;ADDRESS(2+_xlpm.x+COUNT(CODE(_xlfn._xlws.FILTER(_xlfn.ANCHORARRAY($AF$7),_xlfn.ANCHORARRAY($AF$7)&lt;&gt;"X","X"))),_xlpm.y,4))</f>
        <v>AF6:AF24</v>
      </c>
      <c r="AG5"/>
      <c r="AH5"/>
      <c r="AI5" s="106" t="s">
        <v>375</v>
      </c>
      <c r="AJ5" s="110" t="s">
        <v>375</v>
      </c>
      <c r="AK5" s="113"/>
      <c r="AL5" s="113"/>
      <c r="AM5" s="113"/>
      <c r="AN5" s="113"/>
      <c r="AO5"/>
      <c r="AP5" s="110" t="s">
        <v>375</v>
      </c>
      <c r="AQ5" s="113"/>
      <c r="AR5" s="113"/>
      <c r="AS5" s="113"/>
      <c r="AT5" s="113"/>
      <c r="AU5" s="113"/>
      <c r="AV5" s="113"/>
      <c r="AW5" s="113"/>
      <c r="AX5" s="113"/>
      <c r="AY5" s="113"/>
      <c r="AZ5" s="113"/>
      <c r="BA5" s="113"/>
      <c r="BB5" s="113"/>
      <c r="BC5" s="113"/>
      <c r="BD5" s="113"/>
      <c r="BE5"/>
      <c r="BF5" s="110" t="s">
        <v>375</v>
      </c>
      <c r="BG5" s="113"/>
      <c r="BH5" s="113"/>
      <c r="BI5" s="113"/>
      <c r="BJ5" s="113"/>
      <c r="BK5" s="113"/>
      <c r="BL5" s="113"/>
      <c r="BM5" s="113"/>
      <c r="BN5" s="113"/>
      <c r="BO5" s="113"/>
      <c r="BP5" s="113"/>
      <c r="BQ5" s="113"/>
      <c r="BR5" s="113"/>
      <c r="BS5" s="113"/>
      <c r="BT5" s="113"/>
      <c r="BU5" s="113"/>
      <c r="BV5" s="113"/>
      <c r="BW5" s="113"/>
      <c r="BX5" s="113"/>
      <c r="BY5" s="113"/>
      <c r="BZ5" s="113"/>
      <c r="CA5" s="113"/>
      <c r="CB5" s="113"/>
      <c r="CC5" s="113"/>
      <c r="CD5" s="113"/>
      <c r="CE5" s="113"/>
      <c r="CF5" s="113"/>
      <c r="CG5" s="113"/>
      <c r="CH5" s="113"/>
      <c r="CI5" s="113"/>
      <c r="CJ5" s="113"/>
      <c r="CK5" s="113"/>
      <c r="CL5" s="113"/>
      <c r="CM5" s="113"/>
      <c r="CN5" s="113"/>
      <c r="CO5" s="113"/>
      <c r="CP5" s="113"/>
      <c r="CQ5" s="113"/>
      <c r="CR5" s="113"/>
      <c r="CS5" s="113"/>
      <c r="CT5" s="113"/>
      <c r="CU5" s="113"/>
      <c r="CV5" s="113"/>
      <c r="CW5" s="113"/>
      <c r="CX5" s="113"/>
      <c r="CY5" s="113"/>
      <c r="CZ5" s="113"/>
      <c r="DA5" s="113"/>
      <c r="DB5" s="113"/>
      <c r="DC5" s="113"/>
      <c r="DD5" s="113"/>
      <c r="DE5" s="113"/>
      <c r="DF5" s="113"/>
      <c r="DG5" s="113"/>
      <c r="DH5" s="113"/>
      <c r="DJ5" s="113"/>
      <c r="DK5" s="113"/>
      <c r="DL5"/>
      <c r="DM5" s="366" t="str" cm="1">
        <f t="array" aca="1" ref="DM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DN5:DO5</v>
      </c>
      <c r="DN5" s="177" t="s">
        <v>375</v>
      </c>
      <c r="DO5" s="177" t="str" cm="1">
        <f t="array" aca="1" ref="DO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GESTIÓN PROYECTOS</v>
      </c>
      <c r="DP5" s="177"/>
      <c r="DQ5" s="177"/>
      <c r="DR5" s="177"/>
      <c r="DS5" s="177"/>
      <c r="DT5" s="177"/>
      <c r="DU5" s="177"/>
      <c r="DV5" s="177"/>
      <c r="DW5" s="177"/>
      <c r="DX5" s="177"/>
      <c r="DY5" s="177"/>
      <c r="DZ5" s="177"/>
      <c r="EA5" s="177"/>
      <c r="EB5" s="177"/>
      <c r="EC5" s="177"/>
      <c r="ED5" s="177"/>
      <c r="EE5" s="177"/>
      <c r="EF5" s="177"/>
      <c r="EG5" s="177"/>
      <c r="EH5" s="177"/>
      <c r="EI5" s="177"/>
      <c r="EJ5" s="177"/>
      <c r="EK5" s="177"/>
      <c r="EL5" s="177"/>
      <c r="EM5" s="177"/>
      <c r="EN5" s="177"/>
      <c r="EO5" s="177"/>
      <c r="EP5" s="177"/>
      <c r="EQ5" s="177"/>
      <c r="ER5" s="177"/>
      <c r="ES5" s="177"/>
      <c r="ET5" s="177"/>
      <c r="EU5" s="177"/>
      <c r="EV5" s="177"/>
      <c r="EW5" s="177"/>
      <c r="EX5" s="177"/>
      <c r="EY5" s="177"/>
      <c r="EZ5" s="177"/>
      <c r="FA5" s="177"/>
      <c r="FB5" s="177"/>
      <c r="FC5" s="177"/>
      <c r="FD5"/>
      <c r="FE5"/>
      <c r="FF5"/>
      <c r="FG5"/>
      <c r="FH5"/>
      <c r="FI5"/>
      <c r="FJ5"/>
      <c r="FN5"/>
      <c r="FO5"/>
      <c r="FP5" s="106" t="s">
        <v>375</v>
      </c>
      <c r="FQ5" s="106" t="s">
        <v>375</v>
      </c>
      <c r="FR5" s="110" t="s">
        <v>375</v>
      </c>
      <c r="FS5" s="113"/>
      <c r="FT5" s="113"/>
      <c r="FU5" s="113"/>
      <c r="FV5" s="113"/>
      <c r="FW5" s="113"/>
      <c r="FX5" s="113"/>
      <c r="FY5" s="113"/>
      <c r="FZ5" s="113"/>
      <c r="GA5" s="113"/>
      <c r="GB5" s="113"/>
      <c r="GC5" s="113"/>
      <c r="GD5" s="113"/>
      <c r="GE5" s="113"/>
      <c r="GF5" s="113"/>
      <c r="GG5" s="113"/>
      <c r="GH5" s="113"/>
      <c r="GI5" s="113"/>
      <c r="GJ5" s="113"/>
      <c r="GK5" s="113"/>
      <c r="GL5" s="113"/>
      <c r="GM5" s="113"/>
      <c r="GN5" s="113"/>
      <c r="GO5" s="113"/>
      <c r="GP5" s="113"/>
      <c r="GQ5" s="113"/>
      <c r="GR5" s="113"/>
      <c r="GS5" s="113"/>
      <c r="GT5" s="113"/>
      <c r="GU5" s="113"/>
      <c r="GV5" s="113"/>
      <c r="GW5" s="113"/>
      <c r="GX5" s="113"/>
      <c r="GY5" s="113"/>
      <c r="GZ5" s="113"/>
      <c r="HA5" s="113"/>
      <c r="HB5" s="113"/>
      <c r="HC5" s="113"/>
      <c r="HD5" s="113"/>
      <c r="HE5" s="113"/>
      <c r="HF5" s="113"/>
      <c r="HG5" s="113"/>
      <c r="HH5" s="113"/>
      <c r="HI5" s="113"/>
      <c r="HJ5" s="113"/>
      <c r="HK5" s="113"/>
      <c r="HL5" s="113"/>
    </row>
    <row r="6" spans="1:220" ht="13" customHeight="1">
      <c r="C6" s="213">
        <v>45252</v>
      </c>
      <c r="D6" s="213" t="s">
        <v>2114</v>
      </c>
      <c r="E6" s="213" t="s">
        <v>1710</v>
      </c>
      <c r="F6" s="219" t="s">
        <v>375</v>
      </c>
      <c r="G6" s="201" t="s">
        <v>1415</v>
      </c>
      <c r="H6" s="202">
        <v>15</v>
      </c>
      <c r="I6" s="339" t="str" cm="1">
        <f t="array" aca="1" ref="I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G005</v>
      </c>
      <c r="J6" s="203" t="str" cm="1">
        <f t="array" ref="J6">IF(OR(PptoSty[[#This Row],[Project]]="",PptoSty[[#This Row],[Project]]="X"),"X",_xlfn.UNIQUE(_xlfn._xlws.FILTER(CstGrpS[Nature],ISNUMBER(FIND(SUBSTITUTE(PptoSty[[#This Row],[PiColumn]]," +%",""),UPPER(SUBSTITUTE(CstGrpS[GrpPrv],"  "," ")))),"X")))</f>
        <v>Hrs</v>
      </c>
      <c r="K6" s="96" t="s">
        <v>1284</v>
      </c>
      <c r="L6" s="96" t="s">
        <v>1641</v>
      </c>
      <c r="M6" s="96" t="s">
        <v>375</v>
      </c>
      <c r="N6" s="96" t="str" cm="1">
        <f t="array" ref="N6">IF(OR(PptoSty[[#This Row],[Project]]="",PptoSty[[#This Row],[Project]]="X"),"X",_xlfn._xlws.FILTER(TbAssign[RowId],(TbAssign[Project]=PptoSty[[#This Row],[Project]])*(TbAssign[Módulo]=PptoSty[[#This Row],[PptoVsRow]]),"X"))</f>
        <v>XE01</v>
      </c>
      <c r="O6" s="96" t="str" cm="1">
        <f t="array" ref="O6">IF(OR(PptoSty[[#This Row],[Project]]="",PptoSty[[#This Row],[Project]]="X"),"X",_xlfn.UNIQUE(_xlfn._xlws.FILTER(F_RT14[Amortz.],(F_RT14[Measure]="CurPpto")*(F_RT14[PrjId]=PptoSty[[#This Row],[Project]])*(F_RT14[Vrs]=PptoSty[[#This Row],[Vrs]])*(_xlfn.TEXTAFTER(F_RT14[ActGrp],":")=PptoSty[[#This Row],[PiRow]]),"X")))</f>
        <v>PEMX</v>
      </c>
      <c r="P6" s="96" t="s">
        <v>1284</v>
      </c>
      <c r="Q6" s="96" t="s">
        <v>387</v>
      </c>
      <c r="R6" s="204" t="s">
        <v>403</v>
      </c>
      <c r="S6" s="204">
        <v>1</v>
      </c>
      <c r="T6" s="205" t="str" cm="1">
        <f t="array" aca="1" ref="T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6" s="206" cm="1">
        <f t="array" ref="U6">IFERROR((1/PptoSty[[#This Row],[Division]])*IF(PptoSty[[#This Row],[Sign]]="+",1,-1)*(IF(PptoSty[[#This Row],[POvsCT]]="PO",SUM(_xlfn.CHOOSECOLS(_xlfn._xlws.FILTER(F_RT14[],(IF($M6="X",TRUE,F_RT14[Site]=$M6))*(F_RT14[Measure]=U$4)*(F_RT14[PrjId]=PptoSty[[#This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36204.485979381447</v>
      </c>
      <c r="V6" s="206" cm="1">
        <f t="array" ref="V6">IFERROR((1/PptoSty[[#This Row],[Division]])*IF(PptoSty[[#This Row],[Sign]]="+",1,-1)*(IF(PptoSty[[#This Row],[POvsCT]]="PO",SUM(_xlfn.CHOOSECOLS(_xlfn._xlws.FILTER(F_RT14[],(IF($M6="X",TRUE,F_RT14[Site]=$M6))*(F_RT14[Measure]=V$4)*(F_RT14[PrjId]=PptoSty[[#This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36485.682126449996</v>
      </c>
      <c r="W6" s="206" cm="1">
        <f t="array" ref="W6">IFERROR((1/PptoSty[[#This Row],[Division]])*IF(PptoSty[[#This Row],[Sign]]="+",1,-1)*(IF(PptoSty[[#This Row],[POvsCT]]="PO",SUM(_xlfn.CHOOSECOLS(_xlfn._xlws.FILTER(F_RT14[],(IF($M6="X",TRUE,F_RT14[Site]=$M6))*(F_RT14[Measure]=W$4)*(F_RT14[PrjId]=PptoSty[[#This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6" s="338" cm="1">
        <f t="array" ref="X6">IFERROR(IF(PptoSty[[#This Row],[Nature]]&lt;&gt;"Hrs",0,(1/PptoSty[[#This Row],[Division]])*IF(PptoSty[[#This Row],[Sign]]="+",1,-1)*(IF(PptoSty[[#This Row],[POvsCT]]="PO",SUM(_xlfn.CHOOSECOLS(_xlfn._xlws.FILTER(F_RT14[],(IF($M6="X",TRUE,F_RT14[Site]=$M6))*(F_RT14[Measure]=X$4)*(F_RT14[PrjId]=PptoSty[[#This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702.15000000000009</v>
      </c>
      <c r="Y6" s="338" cm="1">
        <f t="array" ref="Y6">IFERROR(IF(PptoSty[[#This Row],[Nature]]&lt;&gt;"Hrs",0,(1/PptoSty[[#This Row],[Division]])*IF(PptoSty[[#This Row],[Sign]]="+",1,-1)*(IF(PptoSty[[#This Row],[POvsCT]]="PO",SUM(_xlfn.CHOOSECOLS(_xlfn._xlws.FILTER(F_RT14[],(IF($M6="X",TRUE,F_RT14[Site]=$M6))*(F_RT14[Measure]=Y$4)*(F_RT14[PrjId]=PptoSty[[#This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681.08550000000002</v>
      </c>
      <c r="Z6" s="338" cm="1">
        <f t="array" ref="Z6">IFERROR(IF(PptoSty[[#This Row],[Nature]]&lt;&gt;"Hrs",0,(1/PptoSty[[#This Row],[Division]])*IF(PptoSty[[#This Row],[Sign]]="+",1,-1)*(IF(PptoSty[[#This Row],[POvsCT]]="PO",SUM(_xlfn.CHOOSECOLS(_xlfn._xlws.FILTER(F_RT14[],(IF($M6="X",TRUE,F_RT14[Site]=$M6))*(F_RT14[Measure]=Z$4)*(F_RT14[PrjId]=PptoSty[[#This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6" s="206" cm="1">
        <f t="array" aca="1" ref="AA6"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36204.485979381447</v>
      </c>
      <c r="AB6" s="206" cm="1">
        <f t="array" aca="1" ref="AB6"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36485.682126449996</v>
      </c>
      <c r="AC6" s="206" cm="1">
        <f t="array" aca="1" ref="AC6"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F6" s="212" t="s">
        <v>375</v>
      </c>
      <c r="AG6"/>
      <c r="AH6"/>
      <c r="AI6" s="134" t="str" cm="1">
        <f t="array" aca="1" ref="AI6:AI7" ca="1">_xlfn._xlws.FILTER(TEXT(_xlfn.ANCHORARRAY(InData!$G$3),"@"),_xlfn.ANCHORARRAY(InData!$G$3)&lt;&gt;"X","X")</f>
        <v>31199</v>
      </c>
      <c r="AJ6" s="110" t="str" cm="1">
        <f t="array" aca="1" ref="AJ6" ca="1">IF($AI6="","X",_xlfn.LET(_xlpm.x,SUM(ROW()),_xlpm.y,MATCH(AJ$1,$1:$1,0),ADDRESS(_xlpm.x,_xlpm.y+1,4)&amp;":"&amp;ADDRESS(_xlpm.x,1+_xlpm.y+COUNT(CODE(_xlfn._xlws.FILTER(_xlfn.ANCHORARRAY($AL6),_xlfn.ANCHORARRAY($AL6)&lt;&gt;"X","X"))),4)))</f>
        <v>AK6:AL6</v>
      </c>
      <c r="AK6" s="177" t="s">
        <v>375</v>
      </c>
      <c r="AL6" s="177" cm="1">
        <f t="array" aca="1" ref="AL6" ca="1">TRANSPOSE(_xlfn._xlws.SORT(_xlfn.UNIQUE(_xlfn._xlws.FILTER(F_ED0[Vrs],(F_ED0[PrjNam]=$AI6),"X"))))</f>
        <v>0</v>
      </c>
      <c r="AM6" s="178"/>
      <c r="AN6" s="177"/>
      <c r="AO6"/>
      <c r="AP6" s="110" t="str" cm="1">
        <f t="array" aca="1" ref="AP6" ca="1">IF($AI6="","X",_xlfn.LET(_xlpm.x,SUM(ROW()),_xlpm.y,MATCH(AP$1,$1:$1,0),ADDRESS(_xlpm.x,_xlpm.y+1,4)&amp;":"&amp;ADDRESS(_xlpm.x,1+_xlpm.y+_xlfn.LET(_xlpm.z,INDIRECT("rc[2]#",FALSE),COUNT(CODE(_xlfn._xlws.FILTER(_xlpm.z,_xlpm.z&lt;&gt;"X","X")))),4)))</f>
        <v>AQ6:AS6</v>
      </c>
      <c r="AQ6" s="177" t="s">
        <v>375</v>
      </c>
      <c r="AR6" s="177" cm="1">
        <f t="array" aca="1" ref="AR6:AS6" ca="1">IFERROR(TRANSPOSE(_xlfn._xlws.SORT(VALUE(_xlfn.TEXTAFTER(_xlfn.TEXTBEFORE(_xlfn._xlws.FILTER(PInt2[PInNxm],(PInt2[PrjId]=$AI6)*(PInt2[PInNxm]&lt;&gt;"")*(LEFT(PInt2[PInNxm],2)=$AP$9),"X"),"/"),"-")))),"X")</f>
        <v>1</v>
      </c>
      <c r="AS6" s="177">
        <f ca="1"/>
        <v>2</v>
      </c>
      <c r="AT6" s="177"/>
      <c r="AU6" s="177"/>
      <c r="AV6" s="177"/>
      <c r="AW6" s="177"/>
      <c r="AX6" s="177"/>
      <c r="AY6" s="177"/>
      <c r="AZ6" s="177"/>
      <c r="BA6" s="177"/>
      <c r="BB6" s="177"/>
      <c r="BC6" s="177"/>
      <c r="BD6" s="177"/>
      <c r="BE6"/>
      <c r="BF6" s="110" t="str" cm="1">
        <f t="array" aca="1" ref="BF6" ca="1">IF($AI6="","X",_xlfn.LET(_xlpm.x,SUM(ROW()),_xlpm.y,MATCH(BF$1,$1:$1,0),ADDRESS(_xlpm.x,_xlpm.y+1,4)&amp;":"&amp;ADDRESS(_xlpm.x,1+_xlpm.y+_xlfn.LET(_xlpm.z,INDIRECT("rc[2]#",FALSE),COUNT(CODE(_xlfn._xlws.FILTER(_xlpm.z,_xlpm.z&lt;&gt;"X","X")))),4)))</f>
        <v>BG6:BH6</v>
      </c>
      <c r="BG6" s="177" t="s">
        <v>375</v>
      </c>
      <c r="BH6" s="177" t="str" cm="1">
        <f t="array" aca="1" ref="BH6" ca="1">IFERROR(TRANSPOSE(_xlfn._xlws.SORT(_xlfn.UNIQUE(VALUE(_xlfn.TEXTAFTER(_xlfn._xlws.FILTER(CstClcCur[Name],(ISNUMBER(FIND(CstClcCur[Name],_xlfn.TEXTJOIN(":",TRUE,_xlfn._xlws.FILTER(TbRsmIn[Enquiry No],TbRsmIn[Alive]&lt;&gt;"C","X")))))*(VALUE(LEFT(CstClcCur[Name],1))=INDEX(_xlfn._xlws.FILTER(#REF!,#REF!=TEXT($AI6,"@"),"X"),1))*(CstClcCur[Value]&lt;&gt;0),"X"),"CT"))))),"X")</f>
        <v>X</v>
      </c>
      <c r="BI6" s="177"/>
      <c r="BJ6" s="177"/>
      <c r="BK6" s="177"/>
      <c r="BL6" s="177"/>
      <c r="BM6" s="177"/>
      <c r="BN6" s="177"/>
      <c r="BO6" s="177"/>
      <c r="BP6" s="177"/>
      <c r="BQ6" s="177"/>
      <c r="BR6" s="177"/>
      <c r="BS6" s="177"/>
      <c r="BT6" s="177"/>
      <c r="BU6" s="177"/>
      <c r="BV6" s="177"/>
      <c r="BW6" s="177"/>
      <c r="BX6" s="177"/>
      <c r="BY6" s="177"/>
      <c r="BZ6" s="177"/>
      <c r="CA6" s="177"/>
      <c r="CB6" s="177"/>
      <c r="CC6" s="177"/>
      <c r="CD6" s="177"/>
      <c r="CE6" s="177"/>
      <c r="CF6" s="177"/>
      <c r="CG6" s="177"/>
      <c r="CH6" s="177"/>
      <c r="CI6" s="177"/>
      <c r="CJ6" s="177"/>
      <c r="CK6" s="177"/>
      <c r="CL6" s="177"/>
      <c r="CM6" s="177"/>
      <c r="CN6" s="177"/>
      <c r="CO6" s="177"/>
      <c r="CP6" s="177"/>
      <c r="CQ6" s="177"/>
      <c r="CR6" s="177"/>
      <c r="CS6" s="177"/>
      <c r="CT6" s="177"/>
      <c r="CU6" s="177"/>
      <c r="CV6" s="177"/>
      <c r="CW6" s="177"/>
      <c r="CX6" s="177"/>
      <c r="CY6" s="177"/>
      <c r="CZ6" s="177"/>
      <c r="DA6" s="177"/>
      <c r="DB6" s="177"/>
      <c r="DC6" s="177"/>
      <c r="DD6" s="177"/>
      <c r="DE6" s="177"/>
      <c r="DF6" s="177"/>
      <c r="DG6" s="177"/>
      <c r="DH6" s="177"/>
      <c r="DI6" s="177"/>
      <c r="DJ6" s="177"/>
      <c r="DK6" s="177"/>
      <c r="DL6"/>
      <c r="DM6" s="366" t="str" cm="1">
        <f t="array" aca="1" ref="DM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DN6:DT6</v>
      </c>
      <c r="DN6" s="177" t="s">
        <v>375</v>
      </c>
      <c r="DO6" s="177" t="str" cm="1">
        <f t="array" aca="1" ref="DO6:DT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6" s="177" t="str">
        <f ca="1"/>
        <v>FABRICACIÓN MECÁNICA</v>
      </c>
      <c r="DQ6" s="177" t="str">
        <f ca="1"/>
        <v>GESTIÓN PROYECTOS</v>
      </c>
      <c r="DR6" s="177" t="str">
        <f ca="1"/>
        <v>METROLOGÍA</v>
      </c>
      <c r="DS6" s="177" t="str">
        <f ca="1"/>
        <v>MONTAJE MECÁNICO</v>
      </c>
      <c r="DT6" s="177" t="str">
        <f ca="1"/>
        <v>ROBÓTICA</v>
      </c>
      <c r="DU6" s="177"/>
      <c r="DV6" s="177"/>
      <c r="DW6" s="177"/>
      <c r="DX6" s="177"/>
      <c r="DY6" s="177"/>
      <c r="DZ6" s="177"/>
      <c r="EA6" s="177"/>
      <c r="EB6" s="177"/>
      <c r="EC6" s="177"/>
      <c r="ED6" s="177"/>
      <c r="EE6" s="177"/>
      <c r="EF6" s="177"/>
      <c r="EG6" s="177"/>
      <c r="EH6" s="177"/>
      <c r="EI6" s="177"/>
      <c r="EJ6" s="177"/>
      <c r="EK6" s="177"/>
      <c r="EL6" s="177"/>
      <c r="EM6" s="177"/>
      <c r="EN6" s="177"/>
      <c r="EO6" s="177"/>
      <c r="EP6" s="177"/>
      <c r="EQ6" s="177"/>
      <c r="ER6" s="177"/>
      <c r="ES6" s="177"/>
      <c r="ET6" s="177"/>
      <c r="EU6" s="177"/>
      <c r="EV6" s="177"/>
      <c r="EW6" s="177"/>
      <c r="EX6" s="177"/>
      <c r="EY6" s="177"/>
      <c r="EZ6" s="177"/>
      <c r="FA6" s="177"/>
      <c r="FB6" s="177"/>
      <c r="FC6" s="177"/>
      <c r="FD6"/>
      <c r="FE6"/>
      <c r="FF6"/>
      <c r="FG6"/>
      <c r="FH6"/>
      <c r="FI6"/>
      <c r="FJ6"/>
      <c r="FN6"/>
      <c r="FO6"/>
      <c r="FP6" s="134" t="str">
        <f ca="1">$AI6</f>
        <v>31199</v>
      </c>
      <c r="FQ6" s="106" cm="1">
        <f t="array" aca="1" ref="FQ6" ca="1">TRANSPOSE(_xlfn.ANCHORARRAY($AL6))</f>
        <v>0</v>
      </c>
      <c r="FR6" s="110" t="str" cm="1">
        <f t="array" aca="1" ref="FR6" ca="1">IF(OR($FP6="",$FQ6="",$FP6="X",$FQ6="X"),"X",_xlfn.LET(_xlpm.x,SUM(ROW()),_xlpm.y,MATCH(FR$1,$1:$1,0),ADDRESS(_xlpm.x,_xlpm.y+1,4)&amp;":"&amp;ADDRESS(_xlpm.x,1+_xlpm.y+COUNT(CODE(_xlfn._xlws.FILTER(_xlfn.ANCHORARRAY($FT6),_xlfn.ANCHORARRAY($FT6)&lt;&gt;"X","X"))),4)))</f>
        <v>FS6:HE6</v>
      </c>
      <c r="FS6" s="177" t="s">
        <v>375</v>
      </c>
      <c r="FT6" s="177" t="str" cm="1">
        <f t="array" aca="1" ref="FT6:HE6" ca="1">IF($FQ6="","X",TRANSPOSE(_xlfn._xlws.SORT(_xlfn.UNIQUE(_xlfn._xlws.FILTER(F_RT15[Módulo],(F_RT15[PrjId]=$FP6)*(F_RT15[Vrs]=$FQ6),"X")))))</f>
        <v>ASISTENCIA EN PLANTA CLIENTE</v>
      </c>
      <c r="FU6" s="178" t="str">
        <f ca="1"/>
        <v>COORDINACIÓN DEL PROYECTO</v>
      </c>
      <c r="FV6" s="177" t="str">
        <f ca="1"/>
        <v>DIETAS, DESPLAZAMIENTOS Y HOSPEDAJE</v>
      </c>
      <c r="FW6" s="177" t="str">
        <f ca="1"/>
        <v>DISEÑO PALETAS PARA CONVEYORS</v>
      </c>
      <c r="FX6" s="177" t="str">
        <f ca="1"/>
        <v>ESCUADRAS ACOPLAMIENTO ÚTILES</v>
      </c>
      <c r="FY6" s="177" t="str">
        <f ca="1"/>
        <v>FABRICACIÓN PALETAS PARA CONVEYORS</v>
      </c>
      <c r="FZ6" s="177" t="str">
        <f ca="1"/>
        <v>FIXTURE OP-110 / 210 SIDE RAIL SUB-ASSY I</v>
      </c>
      <c r="GA6" s="177" t="str">
        <f ca="1"/>
        <v>FIXTURE OP-120 / 220 SIDE RAIL SUB-ASSY II</v>
      </c>
      <c r="GB6" s="177" t="str">
        <f ca="1"/>
        <v>FIXTURE OP-130 / 230 SIDE RAIL REWELD</v>
      </c>
      <c r="GC6" s="177" t="str">
        <f ca="1"/>
        <v>FIXTURE OP-310 XMBR SUB-ASSY I</v>
      </c>
      <c r="GD6" s="177" t="str">
        <f ca="1"/>
        <v>FIXTURE OP-320 XMBR SUB-ASSY II</v>
      </c>
      <c r="GE6" s="177" t="str">
        <f ca="1"/>
        <v>FIXTURE OP-330 XMBR REWELD I</v>
      </c>
      <c r="GF6" s="177" t="str">
        <f ca="1"/>
        <v>FIXTURE OP-410 REWELD</v>
      </c>
      <c r="GG6" s="177" t="str">
        <f ca="1"/>
        <v>FIXTURE OP-415 GEO I</v>
      </c>
      <c r="GH6" s="177" t="str">
        <f ca="1"/>
        <v>FIXTURE OP-420 REWELD</v>
      </c>
      <c r="GI6" s="177" t="str">
        <f ca="1"/>
        <v>FIXTURE OP-430 GEO II</v>
      </c>
      <c r="GJ6" s="177" t="str">
        <f ca="1"/>
        <v>FIXTURE OP-510 GEO III</v>
      </c>
      <c r="GK6" s="177" t="str">
        <f ca="1"/>
        <v>FIXTURE OP-520 GEO IV</v>
      </c>
      <c r="GL6" s="177" t="str">
        <f ca="1"/>
        <v>FIXTURE OP-530 REWELD</v>
      </c>
      <c r="GM6" s="177" t="str">
        <f ca="1"/>
        <v>FIXTURE OP-610 TOWERS SUB-ASSY I</v>
      </c>
      <c r="GN6" s="177" t="str">
        <f ca="1"/>
        <v>FIXTURE OP-620 TOWERS SUB-ASSY II</v>
      </c>
      <c r="GO6" s="177" t="str">
        <f ca="1"/>
        <v>GARRAS ROBOT</v>
      </c>
      <c r="GP6" s="177" t="str">
        <f ca="1"/>
        <v>INGENIERÍA GESTIÓN DISEÑO</v>
      </c>
      <c r="GQ6" s="177" t="str">
        <f ca="1"/>
        <v>OFF LINE PLC &amp; ROBOTICA</v>
      </c>
      <c r="GR6" s="177" t="str">
        <f ca="1"/>
        <v>OP-710 MACHINING</v>
      </c>
      <c r="GS6" s="177" t="str">
        <f ca="1"/>
        <v>OP-735 NEST</v>
      </c>
      <c r="GT6" s="177" t="str">
        <f ca="1"/>
        <v>OP-810 PIERCING</v>
      </c>
      <c r="GU6" s="177" t="str">
        <f ca="1"/>
        <v>PROYECTO ELÉCTRICO HARD</v>
      </c>
      <c r="GV6" s="177" t="str">
        <f ca="1"/>
        <v>PUESTA EN MARCHA EN SERRA</v>
      </c>
      <c r="GW6" s="177" t="str">
        <f ca="1"/>
        <v>ROBCAD</v>
      </c>
      <c r="GX6" s="177" t="str">
        <f ca="1"/>
        <v>SUBGROUP CELL</v>
      </c>
      <c r="GY6" s="177" t="str">
        <f ca="1"/>
        <v>SUBGROUP DISI</v>
      </c>
      <c r="GZ6" s="177" t="str">
        <f ca="1"/>
        <v>SUBGROUP GSDF</v>
      </c>
      <c r="HA6" s="177" t="str">
        <f ca="1"/>
        <v>SUBGROUP PEMX</v>
      </c>
      <c r="HB6" s="177" t="str">
        <f ca="1"/>
        <v>SUBGROUP TOOL</v>
      </c>
      <c r="HC6" s="177" t="str">
        <f ca="1"/>
        <v>SUBGROUP TOTS</v>
      </c>
      <c r="HD6" s="177" t="str">
        <f ca="1"/>
        <v>SUBGROUP TRSL</v>
      </c>
      <c r="HE6" s="177" t="str">
        <f ca="1"/>
        <v>TRANSPORTES &amp; EMBALAJES</v>
      </c>
      <c r="HF6" s="177"/>
      <c r="HG6" s="177"/>
      <c r="HH6" s="177"/>
      <c r="HI6" s="177"/>
      <c r="HJ6" s="177"/>
      <c r="HK6" s="177"/>
      <c r="HL6" s="177"/>
    </row>
    <row r="7" spans="1:220" ht="13" customHeight="1">
      <c r="C7" s="213">
        <v>45252</v>
      </c>
      <c r="D7" s="213" t="s">
        <v>2114</v>
      </c>
      <c r="E7" s="213" t="s">
        <v>1710</v>
      </c>
      <c r="F7" s="219" t="s">
        <v>375</v>
      </c>
      <c r="G7" s="201" t="s">
        <v>1415</v>
      </c>
      <c r="H7" s="202">
        <v>15</v>
      </c>
      <c r="I7" s="339" t="str" cm="1">
        <f t="array" aca="1" ref="I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G008</v>
      </c>
      <c r="J7" s="203" t="str" cm="1">
        <f t="array" ref="J7">IF(OR(PptoSty[[#This Row],[Project]]="",PptoSty[[#This Row],[Project]]="X"),"X",_xlfn.UNIQUE(_xlfn._xlws.FILTER(CstGrpS[Nature],ISNUMBER(FIND(SUBSTITUTE(PptoSty[[#This Row],[PiColumn]]," +%",""),UPPER(SUBSTITUTE(CstGrpS[GrpPrv],"  "," ")))),"X")))</f>
        <v>Hrs</v>
      </c>
      <c r="K7" s="96" t="s">
        <v>1419</v>
      </c>
      <c r="L7" s="96" t="s">
        <v>1641</v>
      </c>
      <c r="M7" s="96" t="s">
        <v>375</v>
      </c>
      <c r="N7" s="96" t="str" cm="1">
        <f t="array" ref="N7">IF(OR(PptoSty[[#This Row],[Project]]="",PptoSty[[#This Row],[Project]]="X"),"X",_xlfn._xlws.FILTER(TbAssign[RowId],(TbAssign[Project]=PptoSty[[#This Row],[Project]])*(TbAssign[Módulo]=PptoSty[[#This Row],[PptoVsRow]]),"X"))</f>
        <v>XE01</v>
      </c>
      <c r="O7" s="96" t="str" cm="1">
        <f t="array" ref="O7">IF(OR(PptoSty[[#This Row],[Project]]="",PptoSty[[#This Row],[Project]]="X"),"X",_xlfn.UNIQUE(_xlfn._xlws.FILTER(F_RT14[Amortz.],(F_RT14[Measure]="CurPpto")*(F_RT14[PrjId]=PptoSty[[#This Row],[Project]])*(F_RT14[Vrs]=PptoSty[[#This Row],[Vrs]])*(_xlfn.TEXTAFTER(F_RT14[ActGrp],":")=PptoSty[[#This Row],[PiRow]]),"X")))</f>
        <v>PEMX</v>
      </c>
      <c r="P7" s="96" t="s">
        <v>1467</v>
      </c>
      <c r="Q7" s="96" t="s">
        <v>387</v>
      </c>
      <c r="R7" s="204" t="s">
        <v>403</v>
      </c>
      <c r="S7" s="204">
        <v>1</v>
      </c>
      <c r="T7" s="205" t="str" cm="1">
        <f t="array" aca="1" ref="T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7" s="206" cm="1">
        <f t="array" ref="U7">IFERROR((1/PptoSty[[#This Row],[Division]])*IF(PptoSty[[#This Row],[Sign]]="+",1,-1)*(IF(PptoSty[[#This Row],[POvsCT]]="PO",SUM(_xlfn.CHOOSECOLS(_xlfn._xlws.FILTER(F_RT14[],(IF($M7="X",TRUE,F_RT14[Site]=$M7))*(F_RT14[Measure]=U$4)*(F_RT14[PrjId]=PptoSty[[#This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20418.680412371134</v>
      </c>
      <c r="V7" s="206" cm="1">
        <f t="array" ref="V7">IFERROR((1/PptoSty[[#This Row],[Division]])*IF(PptoSty[[#This Row],[Sign]]="+",1,-1)*(IF(PptoSty[[#This Row],[POvsCT]]="PO",SUM(_xlfn.CHOOSECOLS(_xlfn._xlws.FILTER(F_RT14[],(IF($M7="X",TRUE,F_RT14[Site]=$M7))*(F_RT14[Measure]=V$4)*(F_RT14[PrjId]=PptoSty[[#This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20577.269987999996</v>
      </c>
      <c r="W7" s="206" cm="1">
        <f t="array" ref="W7">IFERROR((1/PptoSty[[#This Row],[Division]])*IF(PptoSty[[#This Row],[Sign]]="+",1,-1)*(IF(PptoSty[[#This Row],[POvsCT]]="PO",SUM(_xlfn.CHOOSECOLS(_xlfn._xlws.FILTER(F_RT14[],(IF($M7="X",TRUE,F_RT14[Site]=$M7))*(F_RT14[Measure]=W$4)*(F_RT14[PrjId]=PptoSty[[#This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7" s="338" cm="1">
        <f t="array" ref="X7">IFERROR(IF(PptoSty[[#This Row],[Nature]]&lt;&gt;"Hrs",0,(1/PptoSty[[#This Row],[Division]])*IF(PptoSty[[#This Row],[Sign]]="+",1,-1)*(IF(PptoSty[[#This Row],[POvsCT]]="PO",SUM(_xlfn.CHOOSECOLS(_xlfn._xlws.FILTER(F_RT14[],(IF($M7="X",TRUE,F_RT14[Site]=$M7))*(F_RT14[Measure]=X$4)*(F_RT14[PrjId]=PptoSty[[#This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395.99999999999994</v>
      </c>
      <c r="Y7" s="338" cm="1">
        <f t="array" ref="Y7">IFERROR(IF(PptoSty[[#This Row],[Nature]]&lt;&gt;"Hrs",0,(1/PptoSty[[#This Row],[Division]])*IF(PptoSty[[#This Row],[Sign]]="+",1,-1)*(IF(PptoSty[[#This Row],[POvsCT]]="PO",SUM(_xlfn.CHOOSECOLS(_xlfn._xlws.FILTER(F_RT14[],(IF($M7="X",TRUE,F_RT14[Site]=$M7))*(F_RT14[Measure]=Y$4)*(F_RT14[PrjId]=PptoSty[[#This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384.11999999999995</v>
      </c>
      <c r="Z7" s="338" cm="1">
        <f t="array" ref="Z7">IFERROR(IF(PptoSty[[#This Row],[Nature]]&lt;&gt;"Hrs",0,(1/PptoSty[[#This Row],[Division]])*IF(PptoSty[[#This Row],[Sign]]="+",1,-1)*(IF(PptoSty[[#This Row],[POvsCT]]="PO",SUM(_xlfn.CHOOSECOLS(_xlfn._xlws.FILTER(F_RT14[],(IF($M7="X",TRUE,F_RT14[Site]=$M7))*(F_RT14[Measure]=Z$4)*(F_RT14[PrjId]=PptoSty[[#This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7" s="206" cm="1">
        <f t="array" aca="1" ref="AA7"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20418.680412371134</v>
      </c>
      <c r="AB7" s="206" cm="1">
        <f t="array" aca="1" ref="AB7"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20577.269987999996</v>
      </c>
      <c r="AC7" s="206" cm="1">
        <f t="array" aca="1" ref="AC7"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F7" s="212" t="str" cm="1">
        <f t="array" ref="AF7:AF24">_xlfn._xlws.SORT(_xlfn.UNIQUE(_xlfn._xlws.FILTER(UPPER(CstGrpS[GprDest]),(CstGrpS[GprDest]&lt;&gt;"")*(CstGrpS[GprDest]&lt;&gt;"X"),"X")))</f>
        <v>ASIST. TÉCNICA</v>
      </c>
      <c r="AG7"/>
      <c r="AH7"/>
      <c r="AI7" s="134" t="str">
        <f ca="1"/>
        <v>31200</v>
      </c>
      <c r="AJ7" s="110" t="str" cm="1">
        <f t="array" aca="1" ref="AJ7" ca="1">IF($AI7="","X",_xlfn.LET(_xlpm.x,SUM(ROW()),_xlpm.y,MATCH(AJ$1,$1:$1,0),ADDRESS(_xlpm.x,_xlpm.y+1,4)&amp;":"&amp;ADDRESS(_xlpm.x,1+_xlpm.y+COUNT(CODE(_xlfn._xlws.FILTER(_xlfn.ANCHORARRAY($AL7),_xlfn.ANCHORARRAY($AL7)&lt;&gt;"X","X"))),4)))</f>
        <v>AK7:AN7</v>
      </c>
      <c r="AK7" s="177" t="s">
        <v>375</v>
      </c>
      <c r="AL7" s="177" cm="1">
        <f t="array" aca="1" ref="AL7:AN7" ca="1">TRANSPOSE(_xlfn._xlws.SORT(_xlfn.UNIQUE(_xlfn._xlws.FILTER(F_ED0[Vrs],(F_ED0[PrjNam]=$AI7),"X"))))</f>
        <v>0</v>
      </c>
      <c r="AM7" s="178">
        <f ca="1"/>
        <v>15</v>
      </c>
      <c r="AN7" s="177">
        <f ca="1"/>
        <v>16</v>
      </c>
      <c r="AO7"/>
      <c r="AP7" s="110" t="str" cm="1">
        <f t="array" aca="1" ref="AP7" ca="1">IF($AI7="","X",_xlfn.LET(_xlpm.x,SUM(ROW()),_xlpm.y,MATCH(AP$1,$1:$1,0),ADDRESS(_xlpm.x,_xlpm.y+1,4)&amp;":"&amp;ADDRESS(_xlpm.x,1+_xlpm.y+_xlfn.LET(_xlpm.z,INDIRECT("rc[2]#",FALSE),COUNT(CODE(_xlfn._xlws.FILTER(_xlpm.z,_xlpm.z&lt;&gt;"X","X")))),4)))</f>
        <v>AQ7:AU7</v>
      </c>
      <c r="AQ7" s="177" t="s">
        <v>375</v>
      </c>
      <c r="AR7" s="177" cm="1">
        <f t="array" aca="1" ref="AR7:AU7" ca="1">IFERROR(TRANSPOSE(_xlfn._xlws.SORT(VALUE(_xlfn.TEXTAFTER(_xlfn.TEXTBEFORE(_xlfn._xlws.FILTER(PInt2[PInNxm],(PInt2[PrjId]=$AI7)*(PInt2[PInNxm]&lt;&gt;"")*(LEFT(PInt2[PInNxm],2)=$AP$9),"X"),"/"),"-")))),"X")</f>
        <v>1</v>
      </c>
      <c r="AS7" s="177">
        <f ca="1"/>
        <v>2</v>
      </c>
      <c r="AT7" s="177">
        <f ca="1"/>
        <v>3</v>
      </c>
      <c r="AU7" s="177">
        <f ca="1"/>
        <v>4</v>
      </c>
      <c r="AV7" s="177"/>
      <c r="AW7" s="177"/>
      <c r="AX7" s="177"/>
      <c r="AY7" s="177"/>
      <c r="AZ7" s="177"/>
      <c r="BA7" s="177"/>
      <c r="BB7" s="177"/>
      <c r="BC7" s="177"/>
      <c r="BD7" s="177"/>
      <c r="BE7"/>
      <c r="BF7" s="110" t="str" cm="1">
        <f t="array" aca="1" ref="BF7" ca="1">IF($AI7="","X",_xlfn.LET(_xlpm.x,SUM(ROW()),_xlpm.y,MATCH(BF$1,$1:$1,0),ADDRESS(_xlpm.x,_xlpm.y+1,4)&amp;":"&amp;ADDRESS(_xlpm.x,1+_xlpm.y+_xlfn.LET(_xlpm.z,INDIRECT("rc[2]#",FALSE),COUNT(CODE(_xlfn._xlws.FILTER(_xlpm.z,_xlpm.z&lt;&gt;"X","X")))),4)))</f>
        <v>BG7:BH7</v>
      </c>
      <c r="BG7" s="177" t="s">
        <v>375</v>
      </c>
      <c r="BH7" s="177" t="str" cm="1">
        <f t="array" aca="1" ref="BH7" ca="1">IFERROR(TRANSPOSE(_xlfn._xlws.SORT(_xlfn.UNIQUE(VALUE(_xlfn.TEXTAFTER(_xlfn._xlws.FILTER(CstClcCur[Name],(ISNUMBER(FIND(CstClcCur[Name],_xlfn.TEXTJOIN(":",TRUE,_xlfn._xlws.FILTER(TbRsmIn[Enquiry No],((TbRsmIn[Alive]&lt;&gt;"C")+(TbRsmIn[Alive]&lt;&gt;"N")),"X")))))*(VALUE(LEFT(CstClcCur[Name],1))=INDEX(_xlfn._xlws.FILTER(#REF!,#REF!=TEXT($AI7,"@"),"X"),1))*(CstClcCur[Value]&lt;&gt;0),"X"),"CT"))))),"X")</f>
        <v>X</v>
      </c>
      <c r="BI7" s="177"/>
      <c r="BJ7" s="177"/>
      <c r="BK7" s="177"/>
      <c r="BL7" s="177"/>
      <c r="BM7" s="177"/>
      <c r="BN7" s="177"/>
      <c r="BO7" s="177"/>
      <c r="BP7" s="177"/>
      <c r="BQ7" s="177"/>
      <c r="BR7" s="177"/>
      <c r="BS7" s="177"/>
      <c r="BT7" s="177"/>
      <c r="BU7" s="177"/>
      <c r="BV7" s="177"/>
      <c r="BW7" s="177"/>
      <c r="BX7" s="177"/>
      <c r="BY7" s="177"/>
      <c r="BZ7" s="177"/>
      <c r="CA7" s="177"/>
      <c r="CB7" s="177"/>
      <c r="CC7" s="177"/>
      <c r="CD7" s="177"/>
      <c r="CE7" s="177"/>
      <c r="CF7" s="177"/>
      <c r="CG7" s="177"/>
      <c r="CH7" s="177"/>
      <c r="CI7" s="177"/>
      <c r="CJ7" s="177"/>
      <c r="CK7" s="177"/>
      <c r="CL7" s="177"/>
      <c r="CM7" s="177"/>
      <c r="CN7" s="177"/>
      <c r="CO7" s="177"/>
      <c r="CP7" s="177"/>
      <c r="CQ7" s="177"/>
      <c r="CR7" s="177"/>
      <c r="CS7" s="177"/>
      <c r="CT7" s="177"/>
      <c r="CU7" s="177"/>
      <c r="CV7" s="177"/>
      <c r="CW7" s="177"/>
      <c r="CX7" s="177"/>
      <c r="CY7" s="177"/>
      <c r="CZ7" s="177"/>
      <c r="DA7" s="177"/>
      <c r="DB7" s="177"/>
      <c r="DC7" s="177"/>
      <c r="DD7" s="177"/>
      <c r="DE7" s="177"/>
      <c r="DF7" s="177"/>
      <c r="DG7" s="177"/>
      <c r="DH7" s="177"/>
      <c r="DI7" s="177"/>
      <c r="DJ7" s="177"/>
      <c r="DK7" s="177"/>
      <c r="DL7"/>
      <c r="DM7" s="366" t="str" cm="1">
        <f t="array" aca="1" ref="DM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DN7:DR7</v>
      </c>
      <c r="DN7" s="177" t="s">
        <v>375</v>
      </c>
      <c r="DO7" s="177" t="str" cm="1">
        <f t="array" aca="1" ref="DO7:DR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7" s="177" t="str">
        <f ca="1"/>
        <v>GESTIÓN PROYECTOS</v>
      </c>
      <c r="DQ7" s="177" t="str">
        <f ca="1"/>
        <v>MONTAJE MECÁNICO</v>
      </c>
      <c r="DR7" s="177" t="str">
        <f ca="1"/>
        <v>ROBÓTICA</v>
      </c>
      <c r="DS7" s="177"/>
      <c r="DT7" s="177"/>
      <c r="DU7" s="177"/>
      <c r="DV7" s="177"/>
      <c r="DW7" s="177"/>
      <c r="DX7" s="177"/>
      <c r="DY7" s="177"/>
      <c r="DZ7" s="177"/>
      <c r="EA7" s="177"/>
      <c r="EB7" s="177"/>
      <c r="EC7" s="177"/>
      <c r="ED7" s="177"/>
      <c r="EE7" s="177"/>
      <c r="EF7" s="177"/>
      <c r="EG7" s="177"/>
      <c r="EH7" s="177"/>
      <c r="EI7" s="177"/>
      <c r="EJ7" s="177"/>
      <c r="EK7" s="177"/>
      <c r="EL7" s="177"/>
      <c r="EM7" s="177"/>
      <c r="EN7" s="177"/>
      <c r="EO7" s="177"/>
      <c r="EP7" s="177"/>
      <c r="EQ7" s="177"/>
      <c r="ER7" s="177"/>
      <c r="ES7" s="177"/>
      <c r="ET7" s="177"/>
      <c r="EU7" s="177"/>
      <c r="EV7" s="177"/>
      <c r="EW7" s="177"/>
      <c r="EX7" s="177"/>
      <c r="EY7" s="177"/>
      <c r="EZ7" s="177"/>
      <c r="FA7" s="177"/>
      <c r="FB7" s="177"/>
      <c r="FC7" s="177"/>
      <c r="FD7"/>
      <c r="FE7"/>
      <c r="FF7"/>
      <c r="FG7"/>
      <c r="FH7"/>
      <c r="FI7"/>
      <c r="FJ7"/>
      <c r="FN7"/>
      <c r="FO7"/>
      <c r="FP7" s="134" t="str" cm="1">
        <f t="array" aca="1" ref="FP7" ca="1">INDIRECT("r[-1]c",FALSE)</f>
        <v>31199</v>
      </c>
      <c r="FQ7" s="106"/>
      <c r="FR7" s="110" t="str" cm="1">
        <f t="array" aca="1" ref="FR7" ca="1">IF(OR($FP7="",$FQ7="",$FP7="X",$FQ7="X"),"X",_xlfn.LET(_xlpm.x,SUM(ROW()),_xlpm.y,MATCH(FR$1,$1:$1,0),ADDRESS(_xlpm.x,_xlpm.y+1,4)&amp;":"&amp;ADDRESS(_xlpm.x,1+_xlpm.y+COUNT(CODE(_xlfn._xlws.FILTER(_xlfn.ANCHORARRAY($FT7),_xlfn.ANCHORARRAY($FT7)&lt;&gt;"X","X"))),4)))</f>
        <v>X</v>
      </c>
      <c r="FS7" s="177" t="s">
        <v>375</v>
      </c>
      <c r="FT7" s="177" t="str" cm="1">
        <f t="array" ref="FT7">IF($FQ7="","X",TRANSPOSE(_xlfn._xlws.SORT(_xlfn.UNIQUE(_xlfn._xlws.FILTER(F_RT15[Módulo],(F_RT15[PrjId]=$FP7)*(F_RT15[Vrs]=$FQ7),"X")))))</f>
        <v>X</v>
      </c>
      <c r="FU7" s="178"/>
      <c r="FV7" s="177"/>
      <c r="FW7" s="177"/>
      <c r="FX7" s="177"/>
      <c r="FY7" s="177"/>
      <c r="FZ7" s="177"/>
      <c r="GA7" s="177"/>
      <c r="GB7" s="177"/>
      <c r="GC7" s="177"/>
      <c r="GD7" s="177"/>
      <c r="GE7" s="177"/>
      <c r="GF7" s="177"/>
      <c r="GG7" s="177"/>
      <c r="GH7" s="177"/>
      <c r="GI7" s="177"/>
      <c r="GJ7" s="177"/>
      <c r="GK7" s="177"/>
      <c r="GL7" s="177"/>
      <c r="GM7" s="177"/>
      <c r="GN7" s="177"/>
      <c r="GO7" s="177"/>
      <c r="GP7" s="177"/>
      <c r="GQ7" s="177"/>
      <c r="GR7" s="177"/>
      <c r="GS7" s="177"/>
      <c r="GT7" s="177"/>
      <c r="GU7" s="177"/>
      <c r="GV7" s="177"/>
      <c r="GW7" s="177"/>
      <c r="GX7" s="177"/>
      <c r="GY7" s="177"/>
      <c r="GZ7" s="177"/>
      <c r="HA7" s="177"/>
      <c r="HB7" s="177"/>
      <c r="HC7" s="177"/>
      <c r="HD7" s="177"/>
      <c r="HE7" s="177"/>
      <c r="HF7" s="177"/>
      <c r="HG7" s="177"/>
      <c r="HH7" s="177"/>
      <c r="HI7" s="177"/>
      <c r="HJ7" s="177"/>
      <c r="HK7" s="177"/>
      <c r="HL7" s="177"/>
    </row>
    <row r="8" spans="1:220" ht="13" customHeight="1">
      <c r="C8" s="213">
        <v>45252</v>
      </c>
      <c r="D8" s="213" t="s">
        <v>2114</v>
      </c>
      <c r="E8" s="213" t="s">
        <v>1710</v>
      </c>
      <c r="F8" s="219" t="s">
        <v>375</v>
      </c>
      <c r="G8" s="201" t="s">
        <v>1415</v>
      </c>
      <c r="H8" s="202">
        <v>15</v>
      </c>
      <c r="I8" s="339" t="str" cm="1">
        <f t="array" aca="1" ref="I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G004</v>
      </c>
      <c r="J8" s="203" t="str" cm="1">
        <f t="array" ref="J8">IF(OR(PptoSty[[#This Row],[Project]]="",PptoSty[[#This Row],[Project]]="X"),"X",_xlfn.UNIQUE(_xlfn._xlws.FILTER(CstGrpS[Nature],ISNUMBER(FIND(SUBSTITUTE(PptoSty[[#This Row],[PiColumn]]," +%",""),UPPER(SUBSTITUTE(CstGrpS[GrpPrv],"  "," ")))),"X")))</f>
        <v>Hrs</v>
      </c>
      <c r="K8" s="96" t="s">
        <v>1418</v>
      </c>
      <c r="L8" s="96" t="s">
        <v>1642</v>
      </c>
      <c r="M8" s="96" t="s">
        <v>375</v>
      </c>
      <c r="N8" s="96" t="str" cm="1">
        <f t="array" ref="N8">IF(OR(PptoSty[[#This Row],[Project]]="",PptoSty[[#This Row],[Project]]="X"),"X",_xlfn._xlws.FILTER(TbAssign[RowId],(TbAssign[Project]=PptoSty[[#This Row],[Project]])*(TbAssign[Módulo]=PptoSty[[#This Row],[PptoVsRow]]),"X"))</f>
        <v>XA01</v>
      </c>
      <c r="O8" s="96" t="str" cm="1">
        <f t="array" ref="O8">IF(OR(PptoSty[[#This Row],[Project]]="",PptoSty[[#This Row],[Project]]="X"),"X",_xlfn.UNIQUE(_xlfn._xlws.FILTER(F_RT14[Amortz.],(F_RT14[Measure]="CurPpto")*(F_RT14[PrjId]=PptoSty[[#This Row],[Project]])*(F_RT14[Vrs]=PptoSty[[#This Row],[Vrs]])*(_xlfn.TEXTAFTER(F_RT14[ActGrp],":")=PptoSty[[#This Row],[PiRow]]),"X")))</f>
        <v>GSDF</v>
      </c>
      <c r="P8" s="96" t="s">
        <v>358</v>
      </c>
      <c r="Q8" s="96" t="s">
        <v>376</v>
      </c>
      <c r="R8" s="204" t="s">
        <v>403</v>
      </c>
      <c r="S8" s="204">
        <v>1</v>
      </c>
      <c r="T8" s="205" t="str" cm="1">
        <f t="array" aca="1" ref="T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8" s="206" cm="1">
        <f t="array" ref="U8">IFERROR((1/PptoSty[[#This Row],[Division]])*IF(PptoSty[[#This Row],[Sign]]="+",1,-1)*(IF(PptoSty[[#This Row],[POvsCT]]="PO",SUM(_xlfn.CHOOSECOLS(_xlfn._xlws.FILTER(F_RT14[],(IF($M8="X",TRUE,F_RT14[Site]=$M8))*(F_RT14[Measure]=U$4)*(F_RT14[PrjId]=PptoSty[[#This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111972.85958762887</v>
      </c>
      <c r="V8" s="206" cm="1">
        <f t="array" ref="V8">IFERROR((1/PptoSty[[#This Row],[Division]])*IF(PptoSty[[#This Row],[Sign]]="+",1,-1)*(IF(PptoSty[[#This Row],[POvsCT]]="PO",SUM(_xlfn.CHOOSECOLS(_xlfn._xlws.FILTER(F_RT14[],(IF($M8="X",TRUE,F_RT14[Site]=$M8))*(F_RT14[Measure]=V$4)*(F_RT14[PrjId]=PptoSty[[#This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112842.694944</v>
      </c>
      <c r="W8" s="206" cm="1">
        <f t="array" ref="W8">IFERROR((1/PptoSty[[#This Row],[Division]])*IF(PptoSty[[#This Row],[Sign]]="+",1,-1)*(IF(PptoSty[[#This Row],[POvsCT]]="PO",SUM(_xlfn.CHOOSECOLS(_xlfn._xlws.FILTER(F_RT14[],(IF($M8="X",TRUE,F_RT14[Site]=$M8))*(F_RT14[Measure]=W$4)*(F_RT14[PrjId]=PptoSty[[#This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8" s="338" cm="1">
        <f t="array" ref="X8">IFERROR(IF(PptoSty[[#This Row],[Nature]]&lt;&gt;"Hrs",0,(1/PptoSty[[#This Row],[Division]])*IF(PptoSty[[#This Row],[Sign]]="+",1,-1)*(IF(PptoSty[[#This Row],[POvsCT]]="PO",SUM(_xlfn.CHOOSECOLS(_xlfn._xlws.FILTER(F_RT14[],(IF($M8="X",TRUE,F_RT14[Site]=$M8))*(F_RT14[Measure]=X$4)*(F_RT14[PrjId]=PptoSty[[#This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2898</v>
      </c>
      <c r="Y8" s="338" cm="1">
        <f t="array" ref="Y8">IFERROR(IF(PptoSty[[#This Row],[Nature]]&lt;&gt;"Hrs",0,(1/PptoSty[[#This Row],[Division]])*IF(PptoSty[[#This Row],[Sign]]="+",1,-1)*(IF(PptoSty[[#This Row],[POvsCT]]="PO",SUM(_xlfn.CHOOSECOLS(_xlfn._xlws.FILTER(F_RT14[],(IF($M8="X",TRUE,F_RT14[Site]=$M8))*(F_RT14[Measure]=Y$4)*(F_RT14[PrjId]=PptoSty[[#This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2811.06</v>
      </c>
      <c r="Z8" s="338" cm="1">
        <f t="array" ref="Z8">IFERROR(IF(PptoSty[[#This Row],[Nature]]&lt;&gt;"Hrs",0,(1/PptoSty[[#This Row],[Division]])*IF(PptoSty[[#This Row],[Sign]]="+",1,-1)*(IF(PptoSty[[#This Row],[POvsCT]]="PO",SUM(_xlfn.CHOOSECOLS(_xlfn._xlws.FILTER(F_RT14[],(IF($M8="X",TRUE,F_RT14[Site]=$M8))*(F_RT14[Measure]=Z$4)*(F_RT14[PrjId]=PptoSty[[#This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8" s="206" cm="1">
        <f t="array" aca="1" ref="AA8"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111972.85958762887</v>
      </c>
      <c r="AB8" s="206" cm="1">
        <f t="array" aca="1" ref="AB8"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112842.694944</v>
      </c>
      <c r="AC8" s="206" cm="1">
        <f t="array" aca="1" ref="AC8"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F8" s="212" t="str">
        <v>DISEÑO ELÉCTRICO</v>
      </c>
      <c r="AG8"/>
      <c r="AH8"/>
      <c r="AI8" s="134"/>
      <c r="AJ8" s="110" t="str" cm="1">
        <f t="array" ref="AJ8">IF($AI8="","X",_xlfn.LET(_xlpm.x,SUM(ROW()),_xlpm.y,MATCH(AJ$1,$1:$1,0),ADDRESS(_xlpm.x,_xlpm.y+1,4)&amp;":"&amp;ADDRESS(_xlpm.x,1+_xlpm.y+COUNT(CODE(_xlfn._xlws.FILTER(_xlfn.ANCHORARRAY($AL8),_xlfn.ANCHORARRAY($AL8)&lt;&gt;"X","X"))),4)))</f>
        <v>X</v>
      </c>
      <c r="AK8" s="177" t="s">
        <v>375</v>
      </c>
      <c r="AL8" s="177" t="str" cm="1">
        <f t="array" ref="AL8">TRANSPOSE(_xlfn._xlws.SORT(_xlfn.UNIQUE(_xlfn._xlws.FILTER(F_ED0[Vrs],(F_ED0[PrjNam]=$AI8),"X"))))</f>
        <v>X</v>
      </c>
      <c r="AM8" s="178"/>
      <c r="AN8" s="177"/>
      <c r="AO8"/>
      <c r="AP8" s="110" t="str" cm="1">
        <f t="array" aca="1" ref="AP8" ca="1">IF($AI8="","X",_xlfn.LET(_xlpm.x,SUM(ROW()),_xlpm.y,MATCH(AP$1,$1:$1,0),ADDRESS(_xlpm.x,_xlpm.y+1,4)&amp;":"&amp;ADDRESS(_xlpm.x,1+_xlpm.y+_xlfn.LET(_xlpm.z,INDIRECT("rc[2]#",FALSE),COUNT(CODE(_xlfn._xlws.FILTER(_xlpm.z,_xlpm.z&lt;&gt;"X","X")))),4)))</f>
        <v>X</v>
      </c>
      <c r="AQ8" s="177" t="s">
        <v>375</v>
      </c>
      <c r="AR8" s="177" t="str" cm="1">
        <f t="array" ref="AR8">IFERROR(TRANSPOSE(_xlfn._xlws.SORT(VALUE(_xlfn.TEXTAFTER(_xlfn.TEXTBEFORE(_xlfn._xlws.FILTER(PInt2[PInNxm],(PInt2[PrjId]=$AI8)*(PInt2[PInNxm]&lt;&gt;"")*(LEFT(PInt2[PInNxm],2)=$AP$9),"X"),"/"),"-")))),"X")</f>
        <v>X</v>
      </c>
      <c r="AS8" s="177"/>
      <c r="AT8" s="177"/>
      <c r="AU8" s="177"/>
      <c r="AV8" s="177"/>
      <c r="AW8" s="177"/>
      <c r="AX8" s="177"/>
      <c r="AY8" s="177"/>
      <c r="AZ8" s="177"/>
      <c r="BA8" s="177"/>
      <c r="BB8" s="177"/>
      <c r="BC8" s="177"/>
      <c r="BD8" s="177"/>
      <c r="BE8"/>
      <c r="BF8" s="110" t="str" cm="1">
        <f t="array" aca="1" ref="BF8" ca="1">IF($AI8="","X",_xlfn.LET(_xlpm.x,SUM(ROW()),_xlpm.y,MATCH(BF$1,$1:$1,0),ADDRESS(_xlpm.x,_xlpm.y+1,4)&amp;":"&amp;ADDRESS(_xlpm.x,1+_xlpm.y+_xlfn.LET(_xlpm.z,INDIRECT("rc[2]#",FALSE),COUNT(CODE(_xlfn._xlws.FILTER(_xlpm.z,_xlpm.z&lt;&gt;"X","X")))),4)))</f>
        <v>X</v>
      </c>
      <c r="BG8" s="177" t="s">
        <v>375</v>
      </c>
      <c r="BH8" s="177" t="str" cm="1">
        <f t="array" ref="BH8">IFERROR(TRANSPOSE(_xlfn._xlws.SORT(_xlfn.UNIQUE(VALUE(_xlfn.TEXTAFTER(_xlfn._xlws.FILTER(CstClcCur[Name],(ISNUMBER(FIND(CstClcCur[Name],_xlfn.TEXTJOIN(":",TRUE,_xlfn._xlws.FILTER(TbRsmIn[Enquiry No],TbRsmIn[Alive]&lt;&gt;"C","X")))))*(VALUE(LEFT(CstClcCur[Name],1))=INDEX(_xlfn._xlws.FILTER(#REF!,#REF!=TEXT($AI8,"@"),"X"),1))*(CstClcCur[Value]&lt;&gt;0),"X"),"CT"))))),"X")</f>
        <v>X</v>
      </c>
      <c r="BI8" s="177"/>
      <c r="BJ8" s="177"/>
      <c r="BK8" s="177"/>
      <c r="BL8" s="177"/>
      <c r="BM8" s="177"/>
      <c r="BN8" s="177"/>
      <c r="BO8" s="177"/>
      <c r="BP8" s="177"/>
      <c r="BQ8" s="177"/>
      <c r="BR8" s="177"/>
      <c r="BS8" s="177"/>
      <c r="BT8" s="177"/>
      <c r="BU8" s="177"/>
      <c r="BV8" s="177"/>
      <c r="BW8" s="177"/>
      <c r="BX8" s="177"/>
      <c r="BY8" s="177"/>
      <c r="BZ8" s="177"/>
      <c r="CA8" s="177"/>
      <c r="CB8" s="177"/>
      <c r="CC8" s="177"/>
      <c r="CD8" s="177"/>
      <c r="CE8" s="177"/>
      <c r="CF8" s="177"/>
      <c r="CG8" s="177"/>
      <c r="CH8" s="177"/>
      <c r="CI8" s="177"/>
      <c r="CJ8" s="177"/>
      <c r="CK8" s="177"/>
      <c r="CL8" s="177"/>
      <c r="CM8" s="177"/>
      <c r="CN8" s="177"/>
      <c r="CO8" s="177"/>
      <c r="CP8" s="177"/>
      <c r="CQ8" s="177"/>
      <c r="CR8" s="177"/>
      <c r="CS8" s="177"/>
      <c r="CT8" s="177"/>
      <c r="CU8" s="177"/>
      <c r="CV8" s="177"/>
      <c r="CW8" s="177"/>
      <c r="CX8" s="177"/>
      <c r="CY8" s="177"/>
      <c r="CZ8" s="177"/>
      <c r="DA8" s="177"/>
      <c r="DB8" s="177"/>
      <c r="DC8" s="177"/>
      <c r="DD8" s="177"/>
      <c r="DE8" s="177"/>
      <c r="DF8" s="177"/>
      <c r="DG8" s="177"/>
      <c r="DH8" s="177"/>
      <c r="DI8" s="177"/>
      <c r="DJ8" s="177"/>
      <c r="DK8" s="177"/>
      <c r="DL8"/>
      <c r="DM8" s="366" t="str" cm="1">
        <f t="array" aca="1" ref="DM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DN8:DR8</v>
      </c>
      <c r="DN8" s="177" t="s">
        <v>375</v>
      </c>
      <c r="DO8" s="177" t="str" cm="1">
        <f t="array" aca="1" ref="DO8:DR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8" s="177" t="str">
        <f ca="1"/>
        <v>DEFINICIÓN</v>
      </c>
      <c r="DQ8" s="177" t="str">
        <f ca="1"/>
        <v>FABRICACIÓN MECÁNICA</v>
      </c>
      <c r="DR8" s="177" t="str">
        <f ca="1"/>
        <v>METROLOGÍA</v>
      </c>
      <c r="DS8" s="177"/>
      <c r="DT8" s="177"/>
      <c r="DU8" s="177"/>
      <c r="DV8" s="177"/>
      <c r="DW8" s="177"/>
      <c r="DX8" s="177"/>
      <c r="DY8" s="177"/>
      <c r="DZ8" s="177"/>
      <c r="EA8" s="177"/>
      <c r="EB8" s="177"/>
      <c r="EC8" s="177"/>
      <c r="ED8" s="177"/>
      <c r="EE8" s="177"/>
      <c r="EF8" s="177"/>
      <c r="EG8" s="177"/>
      <c r="EH8" s="177"/>
      <c r="EI8" s="177"/>
      <c r="EJ8" s="177"/>
      <c r="EK8" s="177"/>
      <c r="EL8" s="177"/>
      <c r="EM8" s="177"/>
      <c r="EN8" s="177"/>
      <c r="EO8" s="177"/>
      <c r="EP8" s="177"/>
      <c r="EQ8" s="177"/>
      <c r="ER8" s="177"/>
      <c r="ES8" s="177"/>
      <c r="ET8" s="177"/>
      <c r="EU8" s="177"/>
      <c r="EV8" s="177"/>
      <c r="EW8" s="177"/>
      <c r="EX8" s="177"/>
      <c r="EY8" s="177"/>
      <c r="EZ8" s="177"/>
      <c r="FA8" s="177"/>
      <c r="FB8" s="177"/>
      <c r="FC8" s="177"/>
      <c r="FD8"/>
      <c r="FE8"/>
      <c r="FF8"/>
      <c r="FG8"/>
      <c r="FH8"/>
      <c r="FI8"/>
      <c r="FJ8"/>
      <c r="FN8"/>
      <c r="FO8"/>
      <c r="FP8" s="134" t="str" cm="1">
        <f t="array" aca="1" ref="FP8" ca="1">INDIRECT("r[-1]c",FALSE)</f>
        <v>31199</v>
      </c>
      <c r="FQ8" s="106"/>
      <c r="FR8" s="110" t="str" cm="1">
        <f t="array" aca="1" ref="FR8" ca="1">IF(OR($FP8="",$FQ8="",$FP8="X",$FQ8="X"),"X",_xlfn.LET(_xlpm.x,SUM(ROW()),_xlpm.y,MATCH(FR$1,$1:$1,0),ADDRESS(_xlpm.x,_xlpm.y+1,4)&amp;":"&amp;ADDRESS(_xlpm.x,1+_xlpm.y+COUNT(CODE(_xlfn._xlws.FILTER(_xlfn.ANCHORARRAY($FT8),_xlfn.ANCHORARRAY($FT8)&lt;&gt;"X","X"))),4)))</f>
        <v>X</v>
      </c>
      <c r="FS8" s="177" t="s">
        <v>375</v>
      </c>
      <c r="FT8" s="177" t="str" cm="1">
        <f t="array" ref="FT8">IF($FQ8="","X",TRANSPOSE(_xlfn._xlws.SORT(_xlfn.UNIQUE(_xlfn._xlws.FILTER(F_RT15[Módulo],(F_RT15[PrjId]=$FP8)*(F_RT15[Vrs]=$FQ8),"X")))))</f>
        <v>X</v>
      </c>
      <c r="FU8" s="178"/>
      <c r="FV8" s="177"/>
      <c r="FW8" s="177"/>
      <c r="FX8" s="177"/>
      <c r="FY8" s="177"/>
      <c r="FZ8" s="177"/>
      <c r="GA8" s="177"/>
      <c r="GB8" s="177"/>
      <c r="GC8" s="177"/>
      <c r="GD8" s="177"/>
      <c r="GE8" s="177"/>
      <c r="GF8" s="177"/>
      <c r="GG8" s="177"/>
      <c r="GH8" s="177"/>
      <c r="GI8" s="177"/>
      <c r="GJ8" s="177"/>
      <c r="GK8" s="177"/>
      <c r="GL8" s="177"/>
      <c r="GM8" s="177"/>
      <c r="GN8" s="177"/>
      <c r="GO8" s="177"/>
      <c r="GP8" s="177"/>
      <c r="GQ8" s="177"/>
      <c r="GR8" s="177"/>
      <c r="GS8" s="177"/>
      <c r="GT8" s="177"/>
      <c r="GU8" s="177"/>
      <c r="GV8" s="177"/>
      <c r="GW8" s="177"/>
      <c r="GX8" s="177"/>
      <c r="GY8" s="177"/>
      <c r="GZ8" s="177"/>
      <c r="HA8" s="177"/>
      <c r="HB8" s="177"/>
      <c r="HC8" s="177"/>
      <c r="HD8" s="177"/>
      <c r="HE8" s="177"/>
      <c r="HF8" s="177"/>
      <c r="HG8" s="177"/>
      <c r="HH8" s="177"/>
      <c r="HI8" s="177"/>
      <c r="HJ8" s="177"/>
      <c r="HK8" s="177"/>
      <c r="HL8" s="177"/>
    </row>
    <row r="9" spans="1:220" ht="13" customHeight="1">
      <c r="C9" s="213">
        <v>45252</v>
      </c>
      <c r="D9" s="213" t="s">
        <v>2114</v>
      </c>
      <c r="E9" s="213" t="s">
        <v>1710</v>
      </c>
      <c r="F9" s="219" t="s">
        <v>375</v>
      </c>
      <c r="G9" s="201" t="s">
        <v>1415</v>
      </c>
      <c r="H9" s="202">
        <v>15</v>
      </c>
      <c r="I9" s="339" t="str" cm="1">
        <f t="array" aca="1" ref="I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9" s="203" t="str" cm="1">
        <f t="array" ref="J9">IF(OR(PptoSty[[#This Row],[Project]]="",PptoSty[[#This Row],[Project]]="X"),"X",_xlfn.UNIQUE(_xlfn._xlws.FILTER(CstGrpS[Nature],ISNUMBER(FIND(SUBSTITUTE(PptoSty[[#This Row],[PiColumn]]," +%",""),UPPER(SUBSTITUTE(CstGrpS[GrpPrv],"  "," ")))),"X")))</f>
        <v>Hrs</v>
      </c>
      <c r="K9" s="96" t="s">
        <v>1629</v>
      </c>
      <c r="L9" s="96" t="s">
        <v>1274</v>
      </c>
      <c r="M9" s="96" t="s">
        <v>28</v>
      </c>
      <c r="N9" s="96" t="str" cm="1">
        <f t="array" ref="N9">IF(OR(PptoSty[[#This Row],[Project]]="",PptoSty[[#This Row],[Project]]="X"),"X",_xlfn._xlws.FILTER(TbAssign[RowId],(TbAssign[Project]=PptoSty[[#This Row],[Project]])*(TbAssign[Módulo]=PptoSty[[#This Row],[PptoVsRow]]),"X"))</f>
        <v>XB02</v>
      </c>
      <c r="O9" s="96" t="str" cm="1">
        <f t="array" ref="O9">IF(OR(PptoSty[[#This Row],[Project]]="",PptoSty[[#This Row],[Project]]="X"),"X",_xlfn.UNIQUE(_xlfn._xlws.FILTER(F_RT14[Amortz.],(F_RT14[Measure]="CurPpto")*(F_RT14[PrjId]=PptoSty[[#This Row],[Project]])*(F_RT14[Vrs]=PptoSty[[#This Row],[Vrs]])*(_xlfn.TEXTAFTER(F_RT14[ActGrp],":")=PptoSty[[#This Row],[PiRow]]),"X")))</f>
        <v>TOOL</v>
      </c>
      <c r="P9" s="96" t="s">
        <v>1468</v>
      </c>
      <c r="Q9" s="96" t="s">
        <v>1274</v>
      </c>
      <c r="R9" s="204" t="s">
        <v>403</v>
      </c>
      <c r="S9" s="204">
        <v>1</v>
      </c>
      <c r="T9" s="205" cm="1">
        <f t="array" aca="1" ref="T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9" s="206" cm="1">
        <f t="array" ref="U9">IFERROR((1/PptoSty[[#This Row],[Division]])*IF(PptoSty[[#This Row],[Sign]]="+",1,-1)*(IF(PptoSty[[#This Row],[POvsCT]]="PO",SUM(_xlfn.CHOOSECOLS(_xlfn._xlws.FILTER(F_RT14[],(IF($M9="X",TRUE,F_RT14[Site]=$M9))*(F_RT14[Measure]=U$4)*(F_RT14[PrjId]=PptoSty[[#This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389783.15391752578</v>
      </c>
      <c r="V9" s="206" cm="1">
        <f t="array" ref="V9">IFERROR((1/PptoSty[[#This Row],[Division]])*IF(PptoSty[[#This Row],[Sign]]="+",1,-1)*(IF(PptoSty[[#This Row],[POvsCT]]="PO",SUM(_xlfn.CHOOSECOLS(_xlfn._xlws.FILTER(F_RT14[],(IF($M9="X",TRUE,F_RT14[Site]=$M9))*(F_RT14[Measure]=V$4)*(F_RT14[PrjId]=PptoSty[[#This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336265.78703025001</v>
      </c>
      <c r="W9" s="206" cm="1">
        <f t="array" ref="W9">IFERROR((1/PptoSty[[#This Row],[Division]])*IF(PptoSty[[#This Row],[Sign]]="+",1,-1)*(IF(PptoSty[[#This Row],[POvsCT]]="PO",SUM(_xlfn.CHOOSECOLS(_xlfn._xlws.FILTER(F_RT14[],(IF($M9="X",TRUE,F_RT14[Site]=$M9))*(F_RT14[Measure]=W$4)*(F_RT14[PrjId]=PptoSty[[#This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57021.787511499999</v>
      </c>
      <c r="X9" s="338" cm="1">
        <f t="array" ref="X9">IFERROR(IF(PptoSty[[#This Row],[Nature]]&lt;&gt;"Hrs",0,(1/PptoSty[[#This Row],[Division]])*IF(PptoSty[[#This Row],[Sign]]="+",1,-1)*(IF(PptoSty[[#This Row],[POvsCT]]="PO",SUM(_xlfn.CHOOSECOLS(_xlfn._xlws.FILTER(F_RT14[],(IF($M9="X",TRUE,F_RT14[Site]=$M9))*(F_RT14[Measure]=X$4)*(F_RT14[PrjId]=PptoSty[[#This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10409</v>
      </c>
      <c r="Y9" s="338" cm="1">
        <f t="array" ref="Y9">IFERROR(IF(PptoSty[[#This Row],[Nature]]&lt;&gt;"Hrs",0,(1/PptoSty[[#This Row],[Division]])*IF(PptoSty[[#This Row],[Sign]]="+",1,-1)*(IF(PptoSty[[#This Row],[POvsCT]]="PO",SUM(_xlfn.CHOOSECOLS(_xlfn._xlws.FILTER(F_RT14[],(IF($M9="X",TRUE,F_RT14[Site]=$M9))*(F_RT14[Measure]=Y$4)*(F_RT14[PrjId]=PptoSty[[#This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7572.5475000000006</v>
      </c>
      <c r="Z9" s="338" cm="1">
        <f t="array" ref="Z9">IFERROR(IF(PptoSty[[#This Row],[Nature]]&lt;&gt;"Hrs",0,(1/PptoSty[[#This Row],[Division]])*IF(PptoSty[[#This Row],[Sign]]="+",1,-1)*(IF(PptoSty[[#This Row],[POvsCT]]="PO",SUM(_xlfn.CHOOSECOLS(_xlfn._xlws.FILTER(F_RT14[],(IF($M9="X",TRUE,F_RT14[Site]=$M9))*(F_RT14[Measure]=Z$4)*(F_RT14[PrjId]=PptoSty[[#This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2524.1824999999999</v>
      </c>
      <c r="AA9" s="206" cm="1">
        <f t="array" aca="1" ref="AA9"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389783.15391752578</v>
      </c>
      <c r="AB9" s="206" cm="1">
        <f t="array" aca="1" ref="AB9"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336265.78703025001</v>
      </c>
      <c r="AC9" s="206" cm="1">
        <f t="array" aca="1" ref="AC9"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57021.787511499999</v>
      </c>
      <c r="AF9" s="212" t="str">
        <v>DISEÑO MECÁNICO</v>
      </c>
      <c r="AG9"/>
      <c r="AH9"/>
      <c r="AI9" s="173" t="s">
        <v>444</v>
      </c>
      <c r="AJ9" s="173" t="s">
        <v>1565</v>
      </c>
      <c r="AK9" s="113"/>
      <c r="AL9" s="113"/>
      <c r="AM9" s="113"/>
      <c r="AN9" s="113"/>
      <c r="AO9"/>
      <c r="AP9" s="173" t="s">
        <v>1710</v>
      </c>
      <c r="AQ9" s="113"/>
      <c r="AR9" s="113"/>
      <c r="AS9" s="113"/>
      <c r="AT9" s="113"/>
      <c r="AU9" s="113"/>
      <c r="AV9" s="113"/>
      <c r="AW9" s="113"/>
      <c r="AX9" s="113"/>
      <c r="AY9" s="113"/>
      <c r="AZ9" s="113"/>
      <c r="BA9" s="113"/>
      <c r="BB9" s="113"/>
      <c r="BC9" s="113"/>
      <c r="BD9" s="113"/>
      <c r="BE9"/>
      <c r="BF9" s="173" t="s">
        <v>1711</v>
      </c>
      <c r="BG9" s="113"/>
      <c r="BH9" s="113"/>
      <c r="BI9" s="113"/>
      <c r="BJ9" s="113"/>
      <c r="BK9" s="113"/>
      <c r="BL9" s="113"/>
      <c r="BM9" s="113"/>
      <c r="BN9" s="113"/>
      <c r="BO9" s="113"/>
      <c r="BP9" s="113"/>
      <c r="BQ9" s="113"/>
      <c r="BR9" s="113"/>
      <c r="BS9" s="113"/>
      <c r="BT9" s="113"/>
      <c r="BU9" s="113"/>
      <c r="BV9" s="113"/>
      <c r="BW9" s="113"/>
      <c r="BX9" s="113"/>
      <c r="BY9" s="113"/>
      <c r="BZ9" s="113"/>
      <c r="CA9" s="113"/>
      <c r="CB9" s="113"/>
      <c r="CC9" s="113"/>
      <c r="CD9" s="113"/>
      <c r="CE9" s="113"/>
      <c r="CF9" s="113"/>
      <c r="CG9" s="113"/>
      <c r="CH9" s="113"/>
      <c r="CI9" s="113"/>
      <c r="CJ9" s="113"/>
      <c r="CK9" s="113"/>
      <c r="CL9" s="113"/>
      <c r="CM9" s="113"/>
      <c r="CN9" s="113"/>
      <c r="CO9" s="113"/>
      <c r="CP9" s="113"/>
      <c r="CQ9" s="113"/>
      <c r="CR9" s="113"/>
      <c r="CS9" s="113"/>
      <c r="CT9" s="113"/>
      <c r="CU9" s="113"/>
      <c r="CV9" s="113"/>
      <c r="CW9" s="113"/>
      <c r="CX9" s="113"/>
      <c r="CY9" s="113"/>
      <c r="CZ9" s="113"/>
      <c r="DA9" s="113"/>
      <c r="DB9" s="113"/>
      <c r="DC9" s="113"/>
      <c r="DD9" s="113"/>
      <c r="DE9" s="113"/>
      <c r="DF9" s="113"/>
      <c r="DG9" s="113"/>
      <c r="DH9" s="113"/>
      <c r="DJ9" s="113"/>
      <c r="DK9" s="113"/>
      <c r="DL9"/>
      <c r="DM9" s="366" t="str" cm="1">
        <f t="array" aca="1" ref="DM9"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DN9:DX9</v>
      </c>
      <c r="DN9" s="177" t="s">
        <v>375</v>
      </c>
      <c r="DO9" s="177" t="str" cm="1">
        <f t="array" aca="1" ref="DO9:DX9"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9" s="177" t="str">
        <f ca="1"/>
        <v>DISEÑO MECÁNICO</v>
      </c>
      <c r="DQ9" s="177" t="str">
        <f ca="1"/>
        <v>FABRICACIÓN ELÉCTRICA</v>
      </c>
      <c r="DR9" s="177" t="str">
        <f ca="1"/>
        <v>FABRICACIÓN MECÁNICA</v>
      </c>
      <c r="DS9" s="177" t="str">
        <f ca="1"/>
        <v>INSTALACIÓN ENR</v>
      </c>
      <c r="DT9" s="177" t="str">
        <f ca="1"/>
        <v>MATERIAL ELÉCTRICO +%</v>
      </c>
      <c r="DU9" s="177" t="str">
        <f ca="1"/>
        <v>MATERIAL FLUIDOS +%</v>
      </c>
      <c r="DV9" s="177" t="str">
        <f ca="1"/>
        <v>MATERIAL MECÁNICO +%</v>
      </c>
      <c r="DW9" s="177" t="str">
        <f ca="1"/>
        <v>METROLOGÍA</v>
      </c>
      <c r="DX9" s="177" t="str">
        <f ca="1"/>
        <v>MONTAJE MECÁNICO</v>
      </c>
      <c r="DY9" s="177"/>
      <c r="DZ9" s="177"/>
      <c r="EA9" s="177"/>
      <c r="EB9" s="177"/>
      <c r="EC9" s="177"/>
      <c r="ED9" s="177"/>
      <c r="EE9" s="177"/>
      <c r="EF9" s="177"/>
      <c r="EG9" s="177"/>
      <c r="EH9" s="177"/>
      <c r="EI9" s="177"/>
      <c r="EJ9" s="177"/>
      <c r="EK9" s="177"/>
      <c r="EL9" s="177"/>
      <c r="EM9" s="177"/>
      <c r="EN9" s="177"/>
      <c r="EO9" s="177"/>
      <c r="EP9" s="177"/>
      <c r="EQ9" s="177"/>
      <c r="ER9" s="177"/>
      <c r="ES9" s="177"/>
      <c r="ET9" s="177"/>
      <c r="EU9" s="177"/>
      <c r="EV9" s="177"/>
      <c r="EW9" s="177"/>
      <c r="EX9" s="177"/>
      <c r="EY9" s="177"/>
      <c r="EZ9" s="177"/>
      <c r="FA9" s="177"/>
      <c r="FB9" s="177"/>
      <c r="FC9" s="177"/>
      <c r="FD9"/>
      <c r="FE9"/>
      <c r="FF9"/>
      <c r="FG9"/>
      <c r="FH9"/>
      <c r="FI9"/>
      <c r="FJ9"/>
      <c r="FN9"/>
      <c r="FO9"/>
      <c r="FP9" s="134" t="str">
        <f ca="1">$AI7</f>
        <v>31200</v>
      </c>
      <c r="FQ9" s="106" cm="1">
        <f t="array" aca="1" ref="FQ9" ca="1">TRANSPOSE($AL7)</f>
        <v>0</v>
      </c>
      <c r="FR9" s="110" t="str" cm="1">
        <f t="array" aca="1" ref="FR9" ca="1">IF(OR($FP9="",$FQ9="",$FP9="X",$FQ9="X"),"X",_xlfn.LET(_xlpm.x,SUM(ROW()),_xlpm.y,MATCH(FR$1,$1:$1,0),ADDRESS(_xlpm.x,_xlpm.y+1,4)&amp;":"&amp;ADDRESS(_xlpm.x,1+_xlpm.y+COUNT(CODE(_xlfn._xlws.FILTER(_xlfn.ANCHORARRAY($FT9),_xlfn.ANCHORARRAY($FT9)&lt;&gt;"X","X"))),4)))</f>
        <v>FS9:HL9</v>
      </c>
      <c r="FS9" s="177" t="s">
        <v>375</v>
      </c>
      <c r="FT9" s="177" t="str" cm="1">
        <f t="array" aca="1" ref="FT9:HL9" ca="1">IF($FQ9="","X",TRANSPOSE(_xlfn._xlws.SORT(_xlfn.UNIQUE(_xlfn._xlws.FILTER(F_RT15[Módulo],(F_RT15[PrjId]=$FP9)*(F_RT15[Vrs]=$FQ9),"X")))))</f>
        <v>ARMARIOS ELECTRICOS</v>
      </c>
      <c r="FU9" s="178" t="str">
        <f ca="1"/>
        <v>COORDINACIÓN DEL PROYECTO</v>
      </c>
      <c r="FV9" s="177" t="str">
        <f ca="1"/>
        <v>DESMONTAJE</v>
      </c>
      <c r="FW9" s="177" t="str">
        <f ca="1"/>
        <v>DIETAS, DESPLAZAMIENTOS Y HOSPEDAJE</v>
      </c>
      <c r="FX9" s="177" t="str">
        <f ca="1"/>
        <v>DISEÑO PALETAS</v>
      </c>
      <c r="FY9" s="177" t="str">
        <f ca="1"/>
        <v>ESCUADRAS ACOPLAMIENTO ÚTILES</v>
      </c>
      <c r="FZ9" s="177" t="str">
        <f ca="1"/>
        <v>GARRAS ROBOT</v>
      </c>
      <c r="GA9" s="177" t="str">
        <f ca="1"/>
        <v>IMPLANTACIÓN GENERAL</v>
      </c>
      <c r="GB9" s="177" t="str">
        <f ca="1"/>
        <v>INGENIERÍA GESTIÓN DISEÑO</v>
      </c>
      <c r="GC9" s="177" t="str">
        <f ca="1"/>
        <v>MARCADO LÁSER PANASONIC + MARCADO TECHNIFOR</v>
      </c>
      <c r="GD9" s="177" t="str">
        <f ca="1"/>
        <v>MATERIAL UNP SERRA</v>
      </c>
      <c r="GE9" s="177" t="str">
        <f ca="1"/>
        <v>MUEBLES ACÚMULO TÜNKERS, CINTAS SALIDA NIKAI</v>
      </c>
      <c r="GF9" s="177" t="str">
        <f ca="1"/>
        <v>OFF LINE PLC &amp; ROBOTICA</v>
      </c>
      <c r="GG9" s="177" t="str">
        <f ca="1"/>
        <v>OP-10.1/2 GEO</v>
      </c>
      <c r="GH9" s="177" t="str">
        <f ca="1"/>
        <v>OP-125 MARKING FIXTURE</v>
      </c>
      <c r="GI9" s="177" t="str">
        <f ca="1"/>
        <v>OP-15 INSPECTION FIXTURE</v>
      </c>
      <c r="GJ9" s="177" t="str">
        <f ca="1"/>
        <v>OP-20.1/2 GEO</v>
      </c>
      <c r="GK9" s="177" t="str">
        <f ca="1"/>
        <v>OP-25 MARKING FIXTURE</v>
      </c>
      <c r="GL9" s="177" t="str">
        <f ca="1"/>
        <v>OP-30.1/2 GEO</v>
      </c>
      <c r="GM9" s="177" t="str">
        <f ca="1"/>
        <v>OP-40.1/2 GEO</v>
      </c>
      <c r="GN9" s="177" t="str">
        <f ca="1"/>
        <v>OP-50.1/2 GEO</v>
      </c>
      <c r="GO9" s="177" t="str">
        <f ca="1"/>
        <v>OP-55.1/2 REWELD</v>
      </c>
      <c r="GP9" s="177" t="str">
        <f ca="1"/>
        <v>OP-60.1/2 GEO</v>
      </c>
      <c r="GQ9" s="177" t="str">
        <f ca="1"/>
        <v>OP-70.1/2 GEO</v>
      </c>
      <c r="GR9" s="177" t="str">
        <f ca="1"/>
        <v>OP-75.1 REWELD</v>
      </c>
      <c r="GS9" s="177" t="str">
        <f ca="1"/>
        <v>OP-80.1/2 GEO</v>
      </c>
      <c r="GT9" s="177" t="str">
        <f ca="1"/>
        <v>OP-85.1 REWELD</v>
      </c>
      <c r="GU9" s="177" t="str">
        <f ca="1"/>
        <v>OP-95.1 REWELD</v>
      </c>
      <c r="GV9" s="177" t="str">
        <f ca="1"/>
        <v>PLATAFORMAS</v>
      </c>
      <c r="GW9" s="177" t="str">
        <f ca="1"/>
        <v>PROYECTO ELÉCTRICO HARD</v>
      </c>
      <c r="GX9" s="177" t="str">
        <f ca="1"/>
        <v>PUESTA EN MARCHA EN PLANTA CLIENTE</v>
      </c>
      <c r="GY9" s="177" t="str">
        <f ca="1"/>
        <v>PUESTA EN MARCHA EN SERRA</v>
      </c>
      <c r="GZ9" s="177" t="str">
        <f ca="1"/>
        <v>REMONTAJE</v>
      </c>
      <c r="HA9" s="177" t="str">
        <f ca="1"/>
        <v>ROBCAD</v>
      </c>
      <c r="HB9" s="177" t="str">
        <f ca="1"/>
        <v>ROBOTS</v>
      </c>
      <c r="HC9" s="177" t="str">
        <f ca="1"/>
        <v>SOPORTE ESTANTERIAS KLT</v>
      </c>
      <c r="HD9" s="177" t="str">
        <f ca="1"/>
        <v>SUBGROUP CELL</v>
      </c>
      <c r="HE9" s="177" t="str">
        <f ca="1"/>
        <v>SUBGROUP DISI</v>
      </c>
      <c r="HF9" s="177" t="str">
        <f ca="1"/>
        <v>SUBGROUP GSDF</v>
      </c>
      <c r="HG9" s="177" t="str">
        <f ca="1"/>
        <v>SUBGROUP PEMX</v>
      </c>
      <c r="HH9" s="177" t="str">
        <f ca="1"/>
        <v>SUBGROUP TOOL</v>
      </c>
      <c r="HI9" s="177" t="str">
        <f ca="1"/>
        <v>SUBGROUP TOTS</v>
      </c>
      <c r="HJ9" s="177" t="str">
        <f ca="1"/>
        <v>SUBGROUP TRSL</v>
      </c>
      <c r="HK9" s="177" t="str">
        <f ca="1"/>
        <v>TRANSPORTES &amp; EMBALAJES</v>
      </c>
      <c r="HL9" s="177" t="str">
        <f ca="1"/>
        <v>VALLADOS &amp; SEGURIDADES</v>
      </c>
    </row>
    <row r="10" spans="1:220" ht="13" customHeight="1">
      <c r="C10" s="213">
        <v>45252</v>
      </c>
      <c r="D10" s="213" t="s">
        <v>2114</v>
      </c>
      <c r="E10" s="213" t="s">
        <v>1710</v>
      </c>
      <c r="F10" s="219" t="s">
        <v>375</v>
      </c>
      <c r="G10" s="201" t="s">
        <v>1415</v>
      </c>
      <c r="H10" s="202">
        <v>15</v>
      </c>
      <c r="I10" s="339" t="str" cm="1">
        <f t="array" aca="1" ref="I1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X002</v>
      </c>
      <c r="J10" s="203" t="str" cm="1">
        <f t="array" ref="J10">IF(OR(PptoSty[[#This Row],[Project]]="",PptoSty[[#This Row],[Project]]="X"),"X",_xlfn.UNIQUE(_xlfn._xlws.FILTER(CstGrpS[Nature],ISNUMBER(FIND(SUBSTITUTE(PptoSty[[#This Row],[PiColumn]]," +%",""),UPPER(SUBSTITUTE(CstGrpS[GrpPrv],"  "," ")))),"X")))</f>
        <v>Hrs</v>
      </c>
      <c r="K10" s="96" t="s">
        <v>1628</v>
      </c>
      <c r="L10" s="96" t="s">
        <v>1274</v>
      </c>
      <c r="M10" s="96" t="s">
        <v>28</v>
      </c>
      <c r="N10" s="96" t="str" cm="1">
        <f t="array" ref="N10">IF(OR(PptoSty[[#This Row],[Project]]="",PptoSty[[#This Row],[Project]]="X"),"X",_xlfn._xlws.FILTER(TbAssign[RowId],(TbAssign[Project]=PptoSty[[#This Row],[Project]])*(TbAssign[Módulo]=PptoSty[[#This Row],[PptoVsRow]]),"X"))</f>
        <v>XB03</v>
      </c>
      <c r="O10" s="96" t="str" cm="1">
        <f t="array" ref="O10">IF(OR(PptoSty[[#This Row],[Project]]="",PptoSty[[#This Row],[Project]]="X"),"X",_xlfn.UNIQUE(_xlfn._xlws.FILTER(F_RT14[Amortz.],(F_RT14[Measure]="CurPpto")*(F_RT14[PrjId]=PptoSty[[#This Row],[Project]])*(F_RT14[Vrs]=PptoSty[[#This Row],[Vrs]])*(_xlfn.TEXTAFTER(F_RT14[ActGrp],":")=PptoSty[[#This Row],[PiRow]]),"X")))</f>
        <v>CELL</v>
      </c>
      <c r="P10" s="96" t="s">
        <v>1286</v>
      </c>
      <c r="Q10" s="96" t="s">
        <v>1274</v>
      </c>
      <c r="R10" s="204" t="s">
        <v>403</v>
      </c>
      <c r="S10" s="204">
        <v>1</v>
      </c>
      <c r="T10" s="205" cm="1">
        <f t="array" aca="1" ref="T1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10" s="206" cm="1">
        <f t="array" ref="U10">IFERROR((1/PptoSty[[#This Row],[Division]])*IF(PptoSty[[#This Row],[Sign]]="+",1,-1)*(IF(PptoSty[[#This Row],[POvsCT]]="PO",SUM(_xlfn.CHOOSECOLS(_xlfn._xlws.FILTER(F_RT14[],(IF($M10="X",TRUE,F_RT14[Site]=$M10))*(F_RT14[Measure]=U$4)*(F_RT14[PrjId]=PptoSty[[#This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52150.207319587636</v>
      </c>
      <c r="V10" s="206" cm="1">
        <f t="array" ref="V10">IFERROR((1/PptoSty[[#This Row],[Division]])*IF(PptoSty[[#This Row],[Sign]]="+",1,-1)*(IF(PptoSty[[#This Row],[POvsCT]]="PO",SUM(_xlfn.CHOOSECOLS(_xlfn._xlws.FILTER(F_RT14[],(IF($M10="X",TRUE,F_RT14[Site]=$M10))*(F_RT14[Measure]=V$4)*(F_RT14[PrjId]=PptoSty[[#This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44989.965251962501</v>
      </c>
      <c r="W10" s="206" cm="1">
        <f t="array" ref="W10">IFERROR((1/PptoSty[[#This Row],[Division]])*IF(PptoSty[[#This Row],[Sign]]="+",1,-1)*(IF(PptoSty[[#This Row],[POvsCT]]="PO",SUM(_xlfn.CHOOSECOLS(_xlfn._xlws.FILTER(F_RT14[],(IF($M10="X",TRUE,F_RT14[Site]=$M10))*(F_RT14[Measure]=W$4)*(F_RT14[PrjId]=PptoSty[[#This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7629.1086922750001</v>
      </c>
      <c r="X10" s="338" cm="1">
        <f t="array" ref="X10">IFERROR(IF(PptoSty[[#This Row],[Nature]]&lt;&gt;"Hrs",0,(1/PptoSty[[#This Row],[Division]])*IF(PptoSty[[#This Row],[Sign]]="+",1,-1)*(IF(PptoSty[[#This Row],[POvsCT]]="PO",SUM(_xlfn.CHOOSECOLS(_xlfn._xlws.FILTER(F_RT14[],(IF($M10="X",TRUE,F_RT14[Site]=$M10))*(F_RT14[Measure]=X$4)*(F_RT14[PrjId]=PptoSty[[#This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1392.65</v>
      </c>
      <c r="Y10" s="338" cm="1">
        <f t="array" ref="Y10">IFERROR(IF(PptoSty[[#This Row],[Nature]]&lt;&gt;"Hrs",0,(1/PptoSty[[#This Row],[Division]])*IF(PptoSty[[#This Row],[Sign]]="+",1,-1)*(IF(PptoSty[[#This Row],[POvsCT]]="PO",SUM(_xlfn.CHOOSECOLS(_xlfn._xlws.FILTER(F_RT14[],(IF($M10="X",TRUE,F_RT14[Site]=$M10))*(F_RT14[Measure]=Y$4)*(F_RT14[PrjId]=PptoSty[[#This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1013.152875</v>
      </c>
      <c r="Z10" s="338" cm="1">
        <f t="array" ref="Z10">IFERROR(IF(PptoSty[[#This Row],[Nature]]&lt;&gt;"Hrs",0,(1/PptoSty[[#This Row],[Division]])*IF(PptoSty[[#This Row],[Sign]]="+",1,-1)*(IF(PptoSty[[#This Row],[POvsCT]]="PO",SUM(_xlfn.CHOOSECOLS(_xlfn._xlws.FILTER(F_RT14[],(IF($M10="X",TRUE,F_RT14[Site]=$M10))*(F_RT14[Measure]=Z$4)*(F_RT14[PrjId]=PptoSty[[#This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337.71762500000006</v>
      </c>
      <c r="AA10" s="206" cm="1">
        <f t="array" aca="1" ref="AA10"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52150.207319587636</v>
      </c>
      <c r="AB10" s="206" cm="1">
        <f t="array" aca="1" ref="AB10"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44989.965251962501</v>
      </c>
      <c r="AC10" s="206" cm="1">
        <f t="array" aca="1" ref="AC10"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7629.1086922750001</v>
      </c>
      <c r="AF10" s="212" t="str">
        <v>DISEÑO NR</v>
      </c>
      <c r="AG10"/>
      <c r="AH10"/>
      <c r="AI10" s="107"/>
      <c r="AK10" s="113"/>
      <c r="AL10" s="113"/>
      <c r="AM10" s="113"/>
      <c r="AN10" s="113"/>
      <c r="AO10"/>
      <c r="AP10"/>
      <c r="AQ10" s="113"/>
      <c r="AR10" s="113"/>
      <c r="AS10" s="113"/>
      <c r="AT10" s="113"/>
      <c r="AU10" s="113"/>
      <c r="AV10" s="113"/>
      <c r="AW10" s="113"/>
      <c r="AX10" s="113"/>
      <c r="AY10" s="113"/>
      <c r="AZ10" s="113"/>
      <c r="BA10" s="113"/>
      <c r="BB10" s="113"/>
      <c r="BC10" s="113"/>
      <c r="BD10" s="113"/>
      <c r="BE10"/>
      <c r="BF10"/>
      <c r="BG10" s="113"/>
      <c r="BH10" s="113"/>
      <c r="BI10" s="113"/>
      <c r="BJ10" s="113"/>
      <c r="BK10" s="113"/>
      <c r="BL10" s="113"/>
      <c r="BM10" s="113"/>
      <c r="BN10" s="113"/>
      <c r="BO10" s="113"/>
      <c r="BP10" s="113"/>
      <c r="BQ10" s="113"/>
      <c r="BR10" s="113"/>
      <c r="BS10" s="113"/>
      <c r="BT10" s="113"/>
      <c r="BU10" s="113"/>
      <c r="BV10" s="113"/>
      <c r="BW10" s="113"/>
      <c r="BX10" s="113"/>
      <c r="BY10" s="113"/>
      <c r="BZ10" s="113"/>
      <c r="CA10" s="113"/>
      <c r="CB10" s="113"/>
      <c r="CC10" s="113"/>
      <c r="CD10" s="113"/>
      <c r="CE10" s="113"/>
      <c r="CF10" s="113"/>
      <c r="CG10" s="113"/>
      <c r="CH10" s="113"/>
      <c r="CI10" s="113"/>
      <c r="CJ10" s="113"/>
      <c r="CK10" s="113"/>
      <c r="CL10" s="113"/>
      <c r="CM10" s="113"/>
      <c r="CN10" s="113"/>
      <c r="CO10" s="113"/>
      <c r="CP10" s="113"/>
      <c r="CQ10" s="113"/>
      <c r="CR10" s="113"/>
      <c r="CS10" s="113"/>
      <c r="CT10" s="113"/>
      <c r="CU10" s="113"/>
      <c r="CV10" s="113"/>
      <c r="CW10" s="113"/>
      <c r="CX10" s="113"/>
      <c r="CY10" s="113"/>
      <c r="CZ10" s="113"/>
      <c r="DA10" s="113"/>
      <c r="DB10" s="113"/>
      <c r="DC10" s="113"/>
      <c r="DD10" s="113"/>
      <c r="DE10" s="113"/>
      <c r="DF10" s="113"/>
      <c r="DG10" s="113"/>
      <c r="DH10" s="113"/>
      <c r="DJ10" s="113"/>
      <c r="DK10" s="113"/>
      <c r="DL10"/>
      <c r="DM10" s="366" t="str" cm="1">
        <f t="array" aca="1" ref="DM10"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DN10:DX10</v>
      </c>
      <c r="DN10" s="177" t="s">
        <v>375</v>
      </c>
      <c r="DO10" s="177" t="str" cm="1">
        <f t="array" aca="1" ref="DO10:DX10"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10" s="177" t="str">
        <f ca="1"/>
        <v>DISEÑO MECÁNICO</v>
      </c>
      <c r="DQ10" s="177" t="str">
        <f ca="1"/>
        <v>FABRICACIÓN ELÉCTRICA</v>
      </c>
      <c r="DR10" s="177" t="str">
        <f ca="1"/>
        <v>FABRICACIÓN MECÁNICA</v>
      </c>
      <c r="DS10" s="177" t="str">
        <f ca="1"/>
        <v>INSTALACIÓN ENR</v>
      </c>
      <c r="DT10" s="177" t="str">
        <f ca="1"/>
        <v>MATERIAL ELÉCTRICO +%</v>
      </c>
      <c r="DU10" s="177" t="str">
        <f ca="1"/>
        <v>MATERIAL FLUIDOS +%</v>
      </c>
      <c r="DV10" s="177" t="str">
        <f ca="1"/>
        <v>MATERIAL MECÁNICO +%</v>
      </c>
      <c r="DW10" s="177" t="str">
        <f ca="1"/>
        <v>METROLOGÍA</v>
      </c>
      <c r="DX10" s="177" t="str">
        <f ca="1"/>
        <v>MONTAJE MECÁNICO</v>
      </c>
      <c r="DY10" s="177"/>
      <c r="DZ10" s="177"/>
      <c r="EA10" s="177"/>
      <c r="EB10" s="177"/>
      <c r="EC10" s="177"/>
      <c r="ED10" s="177"/>
      <c r="EE10" s="177"/>
      <c r="EF10" s="177"/>
      <c r="EG10" s="177"/>
      <c r="EH10" s="177"/>
      <c r="EI10" s="177"/>
      <c r="EJ10" s="177"/>
      <c r="EK10" s="177"/>
      <c r="EL10" s="177"/>
      <c r="EM10" s="177"/>
      <c r="EN10" s="177"/>
      <c r="EO10" s="177"/>
      <c r="EP10" s="177"/>
      <c r="EQ10" s="177"/>
      <c r="ER10" s="177"/>
      <c r="ES10" s="177"/>
      <c r="ET10" s="177"/>
      <c r="EU10" s="177"/>
      <c r="EV10" s="177"/>
      <c r="EW10" s="177"/>
      <c r="EX10" s="177"/>
      <c r="EY10" s="177"/>
      <c r="EZ10" s="177"/>
      <c r="FA10" s="177"/>
      <c r="FB10" s="177"/>
      <c r="FC10" s="177"/>
      <c r="FD10"/>
      <c r="FE10"/>
      <c r="FF10"/>
      <c r="FG10"/>
      <c r="FH10"/>
      <c r="FI10"/>
      <c r="FJ10"/>
      <c r="FN10"/>
      <c r="FO10"/>
      <c r="FP10" s="134" t="str" cm="1">
        <f t="array" aca="1" ref="FP10" ca="1">INDIRECT("r[-1]c",FALSE)</f>
        <v>31200</v>
      </c>
      <c r="FQ10" s="106"/>
      <c r="FR10" s="110" t="str" cm="1">
        <f t="array" aca="1" ref="FR10" ca="1">IF(OR($FP10="",$FQ10="",$FP10="X",$FQ10="X"),"X",_xlfn.LET(_xlpm.x,SUM(ROW()),_xlpm.y,MATCH(FR$1,$1:$1,0),ADDRESS(_xlpm.x,_xlpm.y+1,4)&amp;":"&amp;ADDRESS(_xlpm.x,1+_xlpm.y+COUNT(CODE(_xlfn._xlws.FILTER(_xlfn.ANCHORARRAY($FT10),_xlfn.ANCHORARRAY($FT10)&lt;&gt;"X","X"))),4)))</f>
        <v>X</v>
      </c>
      <c r="FS10" s="177" t="s">
        <v>375</v>
      </c>
      <c r="FT10" s="177" t="str" cm="1">
        <f t="array" ref="FT10">IF($FQ10="","X",TRANSPOSE(_xlfn._xlws.SORT(_xlfn.UNIQUE(_xlfn._xlws.FILTER(F_RT15[Módulo],(F_RT15[PrjId]=$FP10)*(F_RT15[Vrs]=$FQ10),"X")))))</f>
        <v>X</v>
      </c>
      <c r="FU10" s="178"/>
      <c r="FV10" s="177"/>
      <c r="FW10" s="177"/>
      <c r="FX10" s="177"/>
      <c r="FY10" s="177"/>
      <c r="FZ10" s="177"/>
      <c r="GA10" s="177"/>
      <c r="GB10" s="177"/>
      <c r="GC10" s="177"/>
      <c r="GD10" s="177"/>
      <c r="GE10" s="177"/>
      <c r="GF10" s="177"/>
      <c r="GG10" s="177"/>
      <c r="GH10" s="177"/>
      <c r="GI10" s="177"/>
      <c r="GJ10" s="177"/>
      <c r="GK10" s="177"/>
      <c r="GL10" s="177"/>
      <c r="GM10" s="177"/>
      <c r="GN10" s="177"/>
      <c r="GO10" s="177"/>
      <c r="GP10" s="177"/>
      <c r="GQ10" s="177"/>
      <c r="GR10" s="177"/>
      <c r="GS10" s="177"/>
      <c r="GT10" s="177"/>
      <c r="GU10" s="177"/>
      <c r="GV10" s="177"/>
      <c r="GW10" s="177"/>
      <c r="GX10" s="177"/>
      <c r="GY10" s="177"/>
      <c r="GZ10" s="177"/>
      <c r="HA10" s="177"/>
      <c r="HB10" s="177"/>
      <c r="HC10" s="177"/>
      <c r="HD10" s="177"/>
      <c r="HE10" s="177"/>
      <c r="HF10" s="177"/>
      <c r="HG10" s="177"/>
      <c r="HH10" s="177"/>
      <c r="HI10" s="177"/>
      <c r="HJ10" s="177"/>
      <c r="HK10" s="177"/>
      <c r="HL10" s="177"/>
    </row>
    <row r="11" spans="1:220" ht="13" customHeight="1">
      <c r="C11" s="213">
        <v>45252</v>
      </c>
      <c r="D11" s="213" t="s">
        <v>2114</v>
      </c>
      <c r="E11" s="213" t="s">
        <v>1710</v>
      </c>
      <c r="F11" s="219" t="s">
        <v>375</v>
      </c>
      <c r="G11" s="201" t="s">
        <v>1415</v>
      </c>
      <c r="H11" s="202">
        <v>15</v>
      </c>
      <c r="I11" s="339" t="str" cm="1">
        <f t="array" aca="1" ref="I1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X006</v>
      </c>
      <c r="J11" s="203" t="str" cm="1">
        <f t="array" ref="J11">IF(OR(PptoSty[[#This Row],[Project]]="",PptoSty[[#This Row],[Project]]="X"),"X",_xlfn.UNIQUE(_xlfn._xlws.FILTER(CstGrpS[Nature],ISNUMBER(FIND(SUBSTITUTE(PptoSty[[#This Row],[PiColumn]]," +%",""),UPPER(SUBSTITUTE(CstGrpS[GrpPrv],"  "," ")))),"X")))</f>
        <v>Hrs</v>
      </c>
      <c r="K11" s="96" t="s">
        <v>1674</v>
      </c>
      <c r="L11" s="96" t="s">
        <v>360</v>
      </c>
      <c r="M11" s="96" t="s">
        <v>28</v>
      </c>
      <c r="N11" s="96" t="str" cm="1">
        <f t="array" ref="N11">IF(OR(PptoSty[[#This Row],[Project]]="",PptoSty[[#This Row],[Project]]="X"),"X",_xlfn._xlws.FILTER(TbAssign[RowId],(TbAssign[Project]=PptoSty[[#This Row],[Project]])*(TbAssign[Módulo]=PptoSty[[#This Row],[PptoVsRow]]),"X"))</f>
        <v>XB02</v>
      </c>
      <c r="O11" s="96" t="str" cm="1">
        <f t="array" ref="O11">IF(OR(PptoSty[[#This Row],[Project]]="",PptoSty[[#This Row],[Project]]="X"),"X",_xlfn.UNIQUE(_xlfn._xlws.FILTER(F_RT14[Amortz.],(F_RT14[Measure]="CurPpto")*(F_RT14[PrjId]=PptoSty[[#This Row],[Project]])*(F_RT14[Vrs]=PptoSty[[#This Row],[Vrs]])*(_xlfn.TEXTAFTER(F_RT14[ActGrp],":")=PptoSty[[#This Row],[PiRow]]),"X")))</f>
        <v>DISI</v>
      </c>
      <c r="P11" s="96" t="s">
        <v>360</v>
      </c>
      <c r="Q11" s="96" t="s">
        <v>360</v>
      </c>
      <c r="R11" s="204" t="s">
        <v>403</v>
      </c>
      <c r="S11" s="204">
        <v>1</v>
      </c>
      <c r="T11" s="205" cm="1">
        <f t="array" aca="1" ref="T1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11" s="206" cm="1">
        <f t="array" ref="U11">IFERROR((1/PptoSty[[#This Row],[Division]])*IF(PptoSty[[#This Row],[Sign]]="+",1,-1)*(IF(PptoSty[[#This Row],[POvsCT]]="PO",SUM(_xlfn.CHOOSECOLS(_xlfn._xlws.FILTER(F_RT14[],(IF($M11="X",TRUE,F_RT14[Site]=$M11))*(F_RT14[Measure]=U$4)*(F_RT14[PrjId]=PptoSty[[#This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94753.2475257732</v>
      </c>
      <c r="V11" s="206" cm="1">
        <f t="array" ref="V11">IFERROR((1/PptoSty[[#This Row],[Division]])*IF(PptoSty[[#This Row],[Sign]]="+",1,-1)*(IF(PptoSty[[#This Row],[POvsCT]]="PO",SUM(_xlfn.CHOOSECOLS(_xlfn._xlws.FILTER(F_RT14[],(IF($M11="X",TRUE,F_RT14[Site]=$M11))*(F_RT14[Measure]=V$4)*(F_RT14[PrjId]=PptoSty[[#This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46074.681981135</v>
      </c>
      <c r="W11" s="206" cm="1">
        <f t="array" ref="W11">IFERROR((1/PptoSty[[#This Row],[Division]])*IF(PptoSty[[#This Row],[Sign]]="+",1,-1)*(IF(PptoSty[[#This Row],[POvsCT]]="PO",SUM(_xlfn.CHOOSECOLS(_xlfn._xlws.FILTER(F_RT14[],(IF($M11="X",TRUE,F_RT14[Site]=$M11))*(F_RT14[Measure]=W$4)*(F_RT14[PrjId]=PptoSty[[#This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49831.396140285004</v>
      </c>
      <c r="X11" s="338" cm="1">
        <f t="array" ref="X11">IFERROR(IF(PptoSty[[#This Row],[Nature]]&lt;&gt;"Hrs",0,(1/PptoSty[[#This Row],[Division]])*IF(PptoSty[[#This Row],[Sign]]="+",1,-1)*(IF(PptoSty[[#This Row],[POvsCT]]="PO",SUM(_xlfn.CHOOSECOLS(_xlfn._xlws.FILTER(F_RT14[],(IF($M11="X",TRUE,F_RT14[Site]=$M11))*(F_RT14[Measure]=X$4)*(F_RT14[PrjId]=PptoSty[[#This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1954.53</v>
      </c>
      <c r="Y11" s="338" cm="1">
        <f t="array" ref="Y11">IFERROR(IF(PptoSty[[#This Row],[Nature]]&lt;&gt;"Hrs",0,(1/PptoSty[[#This Row],[Division]])*IF(PptoSty[[#This Row],[Sign]]="+",1,-1)*(IF(PptoSty[[#This Row],[POvsCT]]="PO",SUM(_xlfn.CHOOSECOLS(_xlfn._xlws.FILTER(F_RT14[],(IF($M11="X",TRUE,F_RT14[Site]=$M11))*(F_RT14[Measure]=Y$4)*(F_RT14[PrjId]=PptoSty[[#This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947.94704999999999</v>
      </c>
      <c r="Z11" s="338" cm="1">
        <f t="array" ref="Z11">IFERROR(IF(PptoSty[[#This Row],[Nature]]&lt;&gt;"Hrs",0,(1/PptoSty[[#This Row],[Division]])*IF(PptoSty[[#This Row],[Sign]]="+",1,-1)*(IF(PptoSty[[#This Row],[POvsCT]]="PO",SUM(_xlfn.CHOOSECOLS(_xlfn._xlws.FILTER(F_RT14[],(IF($M11="X",TRUE,F_RT14[Site]=$M11))*(F_RT14[Measure]=Z$4)*(F_RT14[PrjId]=PptoSty[[#This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947.94704999999999</v>
      </c>
      <c r="AA11" s="206" cm="1">
        <f t="array" aca="1" ref="AA11"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94753.2475257732</v>
      </c>
      <c r="AB11" s="206" cm="1">
        <f t="array" aca="1" ref="AB11"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46074.681981135</v>
      </c>
      <c r="AC11" s="206" cm="1">
        <f t="array" aca="1" ref="AC11"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49831.396140285004</v>
      </c>
      <c r="AF11" s="212" t="str">
        <v>FABRICACIÓN ELÉCTRICA</v>
      </c>
      <c r="AG11"/>
      <c r="AH11"/>
      <c r="AI11" s="107"/>
      <c r="AK11" s="113"/>
      <c r="AL11" s="113"/>
      <c r="AM11" s="113"/>
      <c r="AN11" s="113"/>
      <c r="AO11"/>
      <c r="AP11"/>
      <c r="AQ11" s="113"/>
      <c r="AR11" s="113"/>
      <c r="AS11" s="113"/>
      <c r="AT11" s="113"/>
      <c r="AU11" s="113"/>
      <c r="AV11" s="113"/>
      <c r="AW11" s="113"/>
      <c r="AX11" s="113"/>
      <c r="AY11" s="113"/>
      <c r="AZ11" s="113"/>
      <c r="BA11" s="113"/>
      <c r="BB11" s="113"/>
      <c r="BC11" s="113"/>
      <c r="BD11" s="113"/>
      <c r="BE11"/>
      <c r="BF11"/>
      <c r="BG11" s="113"/>
      <c r="BH11" s="113"/>
      <c r="BI11" s="113"/>
      <c r="BJ11" s="113"/>
      <c r="BK11" s="113"/>
      <c r="BL11" s="113"/>
      <c r="BM11" s="113"/>
      <c r="BN11" s="113"/>
      <c r="BO11" s="113"/>
      <c r="BP11" s="113"/>
      <c r="BQ11" s="113"/>
      <c r="BR11" s="113"/>
      <c r="BS11" s="113"/>
      <c r="BT11" s="113"/>
      <c r="BU11" s="113"/>
      <c r="BV11" s="113"/>
      <c r="BW11" s="113"/>
      <c r="BX11" s="113"/>
      <c r="BY11" s="113"/>
      <c r="BZ11" s="113"/>
      <c r="CA11" s="113"/>
      <c r="CB11" s="113"/>
      <c r="CC11" s="113"/>
      <c r="CD11" s="113"/>
      <c r="CE11" s="113"/>
      <c r="CF11" s="113"/>
      <c r="CG11" s="113"/>
      <c r="CH11" s="113"/>
      <c r="CI11" s="113"/>
      <c r="CJ11" s="113"/>
      <c r="CK11" s="113"/>
      <c r="CL11" s="113"/>
      <c r="CM11" s="113"/>
      <c r="CN11" s="113"/>
      <c r="CO11" s="113"/>
      <c r="CP11" s="113"/>
      <c r="CQ11" s="113"/>
      <c r="CR11" s="113"/>
      <c r="CS11" s="113"/>
      <c r="CT11" s="113"/>
      <c r="CU11" s="113"/>
      <c r="CV11" s="113"/>
      <c r="CW11" s="113"/>
      <c r="CX11" s="113"/>
      <c r="CY11" s="113"/>
      <c r="CZ11" s="113"/>
      <c r="DA11" s="113"/>
      <c r="DB11" s="113"/>
      <c r="DC11" s="113"/>
      <c r="DD11" s="113"/>
      <c r="DE11" s="113"/>
      <c r="DF11" s="113"/>
      <c r="DG11" s="113"/>
      <c r="DH11" s="113"/>
      <c r="DJ11" s="113"/>
      <c r="DK11" s="113"/>
      <c r="DL11"/>
      <c r="DM11" s="366" t="str" cm="1">
        <f t="array" aca="1" ref="DM11"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DN11:DQ11</v>
      </c>
      <c r="DN11" s="177" t="s">
        <v>375</v>
      </c>
      <c r="DO11" s="177" t="str" cm="1">
        <f t="array" aca="1" ref="DO11:DQ11"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11" s="177" t="str">
        <f ca="1"/>
        <v>ROBCAD</v>
      </c>
      <c r="DQ11" s="177" t="str">
        <f ca="1"/>
        <v>ROBÓTICA</v>
      </c>
      <c r="DR11" s="177"/>
      <c r="DS11" s="177"/>
      <c r="DT11" s="177"/>
      <c r="DU11" s="177"/>
      <c r="DV11" s="177"/>
      <c r="DW11" s="177"/>
      <c r="DX11" s="177"/>
      <c r="DY11" s="177"/>
      <c r="DZ11" s="177"/>
      <c r="EA11" s="177"/>
      <c r="EB11" s="177"/>
      <c r="EC11" s="177"/>
      <c r="ED11" s="177"/>
      <c r="EE11" s="177"/>
      <c r="EF11" s="177"/>
      <c r="EG11" s="177"/>
      <c r="EH11" s="177"/>
      <c r="EI11" s="177"/>
      <c r="EJ11" s="177"/>
      <c r="EK11" s="177"/>
      <c r="EL11" s="177"/>
      <c r="EM11" s="177"/>
      <c r="EN11" s="177"/>
      <c r="EO11" s="177"/>
      <c r="EP11" s="177"/>
      <c r="EQ11" s="177"/>
      <c r="ER11" s="177"/>
      <c r="ES11" s="177"/>
      <c r="ET11" s="177"/>
      <c r="EU11" s="177"/>
      <c r="EV11" s="177"/>
      <c r="EW11" s="177"/>
      <c r="EX11" s="177"/>
      <c r="EY11" s="177"/>
      <c r="EZ11" s="177"/>
      <c r="FA11" s="177"/>
      <c r="FB11" s="177"/>
      <c r="FC11" s="177"/>
      <c r="FD11"/>
      <c r="FE11"/>
      <c r="FF11"/>
      <c r="FG11"/>
      <c r="FH11"/>
      <c r="FI11"/>
      <c r="FJ11"/>
      <c r="FN11"/>
      <c r="FO11"/>
      <c r="FP11" s="134" t="str" cm="1">
        <f t="array" aca="1" ref="FP11" ca="1">INDIRECT("r[-1]c",FALSE)</f>
        <v>31200</v>
      </c>
      <c r="FQ11" s="106"/>
      <c r="FR11" s="110" t="str" cm="1">
        <f t="array" aca="1" ref="FR11" ca="1">IF(OR($FP11="",$FQ11="",$FP11="X",$FQ11="X"),"X",_xlfn.LET(_xlpm.x,SUM(ROW()),_xlpm.y,MATCH(FR$1,$1:$1,0),ADDRESS(_xlpm.x,_xlpm.y+1,4)&amp;":"&amp;ADDRESS(_xlpm.x,1+_xlpm.y+COUNT(CODE(_xlfn._xlws.FILTER(_xlfn.ANCHORARRAY($FT11),_xlfn.ANCHORARRAY($FT11)&lt;&gt;"X","X"))),4)))</f>
        <v>X</v>
      </c>
      <c r="FS11" s="177" t="s">
        <v>375</v>
      </c>
      <c r="FT11" s="177" t="str" cm="1">
        <f t="array" ref="FT11">IF($FQ11="","X",TRANSPOSE(_xlfn._xlws.SORT(_xlfn.UNIQUE(_xlfn._xlws.FILTER(F_RT15[Módulo],(F_RT15[PrjId]=$FP11)*(F_RT15[Vrs]=$FQ11),"X")))))</f>
        <v>X</v>
      </c>
      <c r="FU11" s="178"/>
      <c r="FV11" s="177"/>
      <c r="FW11" s="177"/>
      <c r="FX11" s="177"/>
      <c r="FY11" s="177"/>
      <c r="FZ11" s="177"/>
      <c r="GA11" s="177"/>
      <c r="GB11" s="177"/>
      <c r="GC11" s="177"/>
      <c r="GD11" s="177"/>
      <c r="GE11" s="177"/>
      <c r="GF11" s="177"/>
      <c r="GG11" s="177"/>
      <c r="GH11" s="177"/>
      <c r="GI11" s="177"/>
      <c r="GJ11" s="177"/>
      <c r="GK11" s="177"/>
      <c r="GL11" s="177"/>
      <c r="GM11" s="177"/>
      <c r="GN11" s="177"/>
      <c r="GO11" s="177"/>
      <c r="GP11" s="177"/>
      <c r="GQ11" s="177"/>
      <c r="GR11" s="177"/>
      <c r="GS11" s="177"/>
      <c r="GT11" s="177"/>
      <c r="GU11" s="177"/>
      <c r="GV11" s="177"/>
      <c r="GW11" s="177"/>
      <c r="GX11" s="177"/>
      <c r="GY11" s="177"/>
      <c r="GZ11" s="177"/>
      <c r="HA11" s="177"/>
      <c r="HB11" s="177"/>
      <c r="HC11" s="177"/>
      <c r="HD11" s="177"/>
      <c r="HE11" s="177"/>
      <c r="HF11" s="177"/>
      <c r="HG11" s="177"/>
      <c r="HH11" s="177"/>
      <c r="HI11" s="177"/>
      <c r="HJ11" s="177"/>
      <c r="HK11" s="177"/>
      <c r="HL11" s="177"/>
    </row>
    <row r="12" spans="1:220" ht="13" customHeight="1">
      <c r="C12" s="213">
        <v>45252</v>
      </c>
      <c r="D12" s="213" t="s">
        <v>2114</v>
      </c>
      <c r="E12" s="213" t="s">
        <v>1710</v>
      </c>
      <c r="F12" s="219" t="s">
        <v>375</v>
      </c>
      <c r="G12" s="201" t="s">
        <v>1415</v>
      </c>
      <c r="H12" s="202">
        <v>15</v>
      </c>
      <c r="I12" s="339" t="str" cm="1">
        <f t="array" aca="1" ref="I1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G004</v>
      </c>
      <c r="J12" s="203" t="str" cm="1">
        <f t="array" ref="J12">IF(OR(PptoSty[[#This Row],[Project]]="",PptoSty[[#This Row],[Project]]="X"),"X",_xlfn.UNIQUE(_xlfn._xlws.FILTER(CstGrpS[Nature],ISNUMBER(FIND(SUBSTITUTE(PptoSty[[#This Row],[PiColumn]]," +%",""),UPPER(SUBSTITUTE(CstGrpS[GrpPrv],"  "," ")))),"X")))</f>
        <v>Hrs</v>
      </c>
      <c r="K12" s="96" t="s">
        <v>1418</v>
      </c>
      <c r="L12" s="96" t="s">
        <v>1643</v>
      </c>
      <c r="M12" s="96" t="s">
        <v>375</v>
      </c>
      <c r="N12" s="96" t="str" cm="1">
        <f t="array" ref="N12">IF(OR(PptoSty[[#This Row],[Project]]="",PptoSty[[#This Row],[Project]]="X"),"X",_xlfn._xlws.FILTER(TbAssign[RowId],(TbAssign[Project]=PptoSty[[#This Row],[Project]])*(TbAssign[Módulo]=PptoSty[[#This Row],[PptoVsRow]]),"X"))</f>
        <v>XA01</v>
      </c>
      <c r="O12" s="96" t="str" cm="1">
        <f t="array" ref="O12">IF(OR(PptoSty[[#This Row],[Project]]="",PptoSty[[#This Row],[Project]]="X"),"X",_xlfn.UNIQUE(_xlfn._xlws.FILTER(F_RT14[Amortz.],(F_RT14[Measure]="CurPpto")*(F_RT14[PrjId]=PptoSty[[#This Row],[Project]])*(F_RT14[Vrs]=PptoSty[[#This Row],[Vrs]])*(_xlfn.TEXTAFTER(F_RT14[ActGrp],":")=PptoSty[[#This Row],[PiRow]]),"X")))</f>
        <v>GSDF</v>
      </c>
      <c r="P12" s="96" t="s">
        <v>358</v>
      </c>
      <c r="Q12" s="96" t="s">
        <v>377</v>
      </c>
      <c r="R12" s="204" t="s">
        <v>403</v>
      </c>
      <c r="S12" s="204">
        <v>1</v>
      </c>
      <c r="T12" s="205" t="str" cm="1">
        <f t="array" aca="1" ref="T1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2" s="206" cm="1">
        <f t="array" ref="U12">IFERROR((1/PptoSty[[#This Row],[Division]])*IF(PptoSty[[#This Row],[Sign]]="+",1,-1)*(IF(PptoSty[[#This Row],[POvsCT]]="PO",SUM(_xlfn.CHOOSECOLS(_xlfn._xlws.FILTER(F_RT14[],(IF($M12="X",TRUE,F_RT14[Site]=$M12))*(F_RT14[Measure]=U$4)*(F_RT14[PrjId]=PptoSty[[#This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58360.868762886596</v>
      </c>
      <c r="V12" s="206" cm="1">
        <f t="array" ref="V12">IFERROR((1/PptoSty[[#This Row],[Division]])*IF(PptoSty[[#This Row],[Sign]]="+",1,-1)*(IF(PptoSty[[#This Row],[POvsCT]]="PO",SUM(_xlfn.CHOOSECOLS(_xlfn._xlws.FILTER(F_RT14[],(IF($M12="X",TRUE,F_RT14[Site]=$M12))*(F_RT14[Measure]=V$4)*(F_RT14[PrjId]=PptoSty[[#This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28255.563231372813</v>
      </c>
      <c r="W12" s="206" cm="1">
        <f t="array" ref="W12">IFERROR((1/PptoSty[[#This Row],[Division]])*IF(PptoSty[[#This Row],[Sign]]="+",1,-1)*(IF(PptoSty[[#This Row],[POvsCT]]="PO",SUM(_xlfn.CHOOSECOLS(_xlfn._xlws.FILTER(F_RT14[],(IF($M12="X",TRUE,F_RT14[Site]=$M12))*(F_RT14[Measure]=W$4)*(F_RT14[PrjId]=PptoSty[[#This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30816.408497999062</v>
      </c>
      <c r="X12" s="338" cm="1">
        <f t="array" ref="X12">IFERROR(IF(PptoSty[[#This Row],[Nature]]&lt;&gt;"Hrs",0,(1/PptoSty[[#This Row],[Division]])*IF(PptoSty[[#This Row],[Sign]]="+",1,-1)*(IF(PptoSty[[#This Row],[POvsCT]]="PO",SUM(_xlfn.CHOOSECOLS(_xlfn._xlws.FILTER(F_RT14[],(IF($M12="X",TRUE,F_RT14[Site]=$M12))*(F_RT14[Measure]=X$4)*(F_RT14[PrjId]=PptoSty[[#This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1253.464375</v>
      </c>
      <c r="Y12" s="338" cm="1">
        <f t="array" ref="Y12">IFERROR(IF(PptoSty[[#This Row],[Nature]]&lt;&gt;"Hrs",0,(1/PptoSty[[#This Row],[Division]])*IF(PptoSty[[#This Row],[Sign]]="+",1,-1)*(IF(PptoSty[[#This Row],[POvsCT]]="PO",SUM(_xlfn.CHOOSECOLS(_xlfn._xlws.FILTER(F_RT14[],(IF($M12="X",TRUE,F_RT14[Site]=$M12))*(F_RT14[Measure]=Y$4)*(F_RT14[PrjId]=PptoSty[[#This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607.93022187500003</v>
      </c>
      <c r="Z12" s="338" cm="1">
        <f t="array" ref="Z12">IFERROR(IF(PptoSty[[#This Row],[Nature]]&lt;&gt;"Hrs",0,(1/PptoSty[[#This Row],[Division]])*IF(PptoSty[[#This Row],[Sign]]="+",1,-1)*(IF(PptoSty[[#This Row],[POvsCT]]="PO",SUM(_xlfn.CHOOSECOLS(_xlfn._xlws.FILTER(F_RT14[],(IF($M12="X",TRUE,F_RT14[Site]=$M12))*(F_RT14[Measure]=Z$4)*(F_RT14[PrjId]=PptoSty[[#This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607.93022187500003</v>
      </c>
      <c r="AA12" s="206" cm="1">
        <f t="array" aca="1" ref="AA12"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58360.868762886596</v>
      </c>
      <c r="AB12" s="206" cm="1">
        <f t="array" aca="1" ref="AB12"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28255.563231372813</v>
      </c>
      <c r="AC12" s="206" cm="1">
        <f t="array" aca="1" ref="AC12"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30816.408497999062</v>
      </c>
      <c r="AF12" s="212" t="str">
        <v>FABRICACIÓN MECÁNICA (INCLUYE MATERIAS PRIMAS)</v>
      </c>
      <c r="AG12"/>
      <c r="AH12"/>
      <c r="AI12" s="107"/>
      <c r="AK12" s="113"/>
      <c r="AL12" s="113"/>
      <c r="AM12" s="179"/>
      <c r="AN12" s="176"/>
      <c r="AO12"/>
      <c r="AP12"/>
      <c r="AQ12" s="176"/>
      <c r="AR12" s="176"/>
      <c r="AS12" s="176"/>
      <c r="AT12" s="176"/>
      <c r="AU12" s="176"/>
      <c r="AV12" s="176"/>
      <c r="AW12" s="176"/>
      <c r="AX12" s="176"/>
      <c r="AY12" s="176"/>
      <c r="AZ12" s="176"/>
      <c r="BA12" s="176"/>
      <c r="BB12" s="176"/>
      <c r="BC12" s="176"/>
      <c r="BD12" s="176"/>
      <c r="BE12"/>
      <c r="BF12"/>
      <c r="BG12" s="176"/>
      <c r="BH12" s="176"/>
      <c r="BI12" s="176"/>
      <c r="BJ12" s="176"/>
      <c r="BK12" s="176"/>
      <c r="BL12" s="176"/>
      <c r="BM12" s="176"/>
      <c r="BN12" s="176"/>
      <c r="BO12" s="176"/>
      <c r="BP12" s="176"/>
      <c r="BQ12" s="176"/>
      <c r="BR12" s="176"/>
      <c r="BS12" s="176"/>
      <c r="BT12" s="176"/>
      <c r="BU12" s="176"/>
      <c r="BV12" s="176"/>
      <c r="BW12" s="176"/>
      <c r="BX12" s="176"/>
      <c r="BY12" s="176"/>
      <c r="BZ12" s="176"/>
      <c r="CA12" s="176"/>
      <c r="CB12" s="176"/>
      <c r="CC12" s="176"/>
      <c r="CD12" s="176"/>
      <c r="CE12" s="176"/>
      <c r="CF12" s="176"/>
      <c r="CG12" s="176"/>
      <c r="CH12" s="176"/>
      <c r="CI12" s="176"/>
      <c r="CJ12" s="176"/>
      <c r="CK12" s="176"/>
      <c r="CL12" s="176"/>
      <c r="CM12" s="176"/>
      <c r="CN12" s="176"/>
      <c r="CO12" s="176"/>
      <c r="CP12" s="176"/>
      <c r="CQ12" s="176"/>
      <c r="CR12" s="176"/>
      <c r="CS12" s="176"/>
      <c r="CT12" s="176"/>
      <c r="CU12" s="176"/>
      <c r="CV12" s="176"/>
      <c r="CW12" s="176"/>
      <c r="CX12" s="176"/>
      <c r="CY12" s="176"/>
      <c r="CZ12" s="176"/>
      <c r="DA12" s="176"/>
      <c r="DB12" s="176"/>
      <c r="DC12" s="176"/>
      <c r="DD12" s="176"/>
      <c r="DE12" s="176"/>
      <c r="DF12" s="176"/>
      <c r="DG12" s="176"/>
      <c r="DH12" s="176"/>
      <c r="DI12" s="176"/>
      <c r="DJ12" s="176"/>
      <c r="DK12" s="176"/>
      <c r="DL12"/>
      <c r="DM12" s="366" t="str" cm="1">
        <f t="array" aca="1" ref="DM12"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DN12:DR12</v>
      </c>
      <c r="DN12" s="177" t="s">
        <v>375</v>
      </c>
      <c r="DO12" s="177" t="str" cm="1">
        <f t="array" aca="1" ref="DO12:DR12"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12" s="177" t="str">
        <f ca="1"/>
        <v>DEFINICIÓN</v>
      </c>
      <c r="DQ12" s="177" t="str">
        <f ca="1"/>
        <v>FABRICACIÓN MECÁNICA</v>
      </c>
      <c r="DR12" s="177" t="str">
        <f ca="1"/>
        <v>METROLOGÍA</v>
      </c>
      <c r="DS12" s="177"/>
      <c r="DT12" s="177"/>
      <c r="DU12" s="177"/>
      <c r="DV12" s="177"/>
      <c r="DW12" s="177"/>
      <c r="DX12" s="177"/>
      <c r="DY12" s="177"/>
      <c r="DZ12" s="177"/>
      <c r="EA12" s="177"/>
      <c r="EB12" s="177"/>
      <c r="EC12" s="177"/>
      <c r="ED12" s="177"/>
      <c r="EE12" s="177"/>
      <c r="EF12" s="177"/>
      <c r="EG12" s="177"/>
      <c r="EH12" s="177"/>
      <c r="EI12" s="177"/>
      <c r="EJ12" s="177"/>
      <c r="EK12" s="177"/>
      <c r="EL12" s="177"/>
      <c r="EM12" s="177"/>
      <c r="EN12" s="177"/>
      <c r="EO12" s="177"/>
      <c r="EP12" s="177"/>
      <c r="EQ12" s="177"/>
      <c r="ER12" s="177"/>
      <c r="ES12" s="177"/>
      <c r="ET12" s="177"/>
      <c r="EU12" s="177"/>
      <c r="EV12" s="177"/>
      <c r="EW12" s="177"/>
      <c r="EX12" s="177"/>
      <c r="EY12" s="177"/>
      <c r="EZ12" s="177"/>
      <c r="FA12" s="177"/>
      <c r="FB12" s="177"/>
      <c r="FC12" s="177"/>
      <c r="FD12"/>
      <c r="FE12"/>
      <c r="FF12"/>
      <c r="FG12"/>
      <c r="FH12"/>
      <c r="FI12"/>
      <c r="FJ12"/>
      <c r="FN12"/>
      <c r="FO12"/>
      <c r="FP12" s="134" t="str">
        <f>IF(AI8="","X",AI8)</f>
        <v>X</v>
      </c>
      <c r="FQ12" s="106" t="str" cm="1">
        <f t="array" ref="FQ12">TRANSPOSE($AL8)</f>
        <v>X</v>
      </c>
      <c r="FR12" s="110" t="str" cm="1">
        <f t="array" ref="FR12">IF(OR($FP12="",$FQ12="",$FP12="X",$FQ12="X"),"X",_xlfn.LET(_xlpm.x,SUM(ROW()),_xlpm.y,MATCH(FR$1,$1:$1,0),ADDRESS(_xlpm.x,_xlpm.y+1,4)&amp;":"&amp;ADDRESS(_xlpm.x,1+_xlpm.y+COUNT(CODE(_xlfn._xlws.FILTER(_xlfn.ANCHORARRAY($FT12),_xlfn.ANCHORARRAY($FT12)&lt;&gt;"X","X"))),4)))</f>
        <v>X</v>
      </c>
      <c r="FS12" s="177" t="s">
        <v>375</v>
      </c>
      <c r="FT12" s="177" t="str" cm="1">
        <f t="array" ref="FT12">IF($FQ12="","X",TRANSPOSE(_xlfn._xlws.SORT(_xlfn.UNIQUE(_xlfn._xlws.FILTER(F_RT15[Módulo],(F_RT15[PrjId]=$FP12)*(F_RT15[Vrs]=$FQ12),"X")))))</f>
        <v>X</v>
      </c>
      <c r="FU12" s="178"/>
      <c r="FV12" s="177"/>
      <c r="FW12" s="177"/>
      <c r="FX12" s="177"/>
      <c r="FY12" s="177"/>
      <c r="FZ12" s="177"/>
      <c r="GA12" s="177"/>
      <c r="GB12" s="177"/>
      <c r="GC12" s="177"/>
      <c r="GD12" s="177"/>
      <c r="GE12" s="177"/>
      <c r="GF12" s="177"/>
      <c r="GG12" s="177"/>
      <c r="GH12" s="177"/>
      <c r="GI12" s="177"/>
      <c r="GJ12" s="177"/>
      <c r="GK12" s="177"/>
      <c r="GL12" s="177"/>
      <c r="GM12" s="177"/>
      <c r="GN12" s="177"/>
      <c r="GO12" s="177"/>
      <c r="GP12" s="177"/>
      <c r="GQ12" s="177"/>
      <c r="GR12" s="177"/>
      <c r="GS12" s="177"/>
      <c r="GT12" s="177"/>
      <c r="GU12" s="177"/>
      <c r="GV12" s="177"/>
      <c r="GW12" s="177"/>
      <c r="GX12" s="177"/>
      <c r="GY12" s="177"/>
      <c r="GZ12" s="177"/>
      <c r="HA12" s="177"/>
      <c r="HB12" s="177"/>
      <c r="HC12" s="177"/>
      <c r="HD12" s="177"/>
      <c r="HE12" s="177"/>
      <c r="HF12" s="177"/>
      <c r="HG12" s="177"/>
      <c r="HH12" s="177"/>
      <c r="HI12" s="177"/>
      <c r="HJ12" s="177"/>
      <c r="HK12" s="177"/>
      <c r="HL12" s="177"/>
    </row>
    <row r="13" spans="1:220" ht="13" customHeight="1">
      <c r="C13" s="213">
        <v>45252</v>
      </c>
      <c r="D13" s="213" t="s">
        <v>2114</v>
      </c>
      <c r="E13" s="213" t="s">
        <v>1710</v>
      </c>
      <c r="F13" s="219" t="s">
        <v>375</v>
      </c>
      <c r="G13" s="201" t="s">
        <v>1415</v>
      </c>
      <c r="H13" s="202">
        <v>15</v>
      </c>
      <c r="I13" s="339" t="str" cm="1">
        <f t="array" aca="1" ref="I1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G011</v>
      </c>
      <c r="J13" s="203" t="str" cm="1">
        <f t="array" ref="J13">IF(OR(PptoSty[[#This Row],[Project]]="",PptoSty[[#This Row],[Project]]="X"),"X",_xlfn.UNIQUE(_xlfn._xlws.FILTER(CstGrpS[Nature],ISNUMBER(FIND(SUBSTITUTE(PptoSty[[#This Row],[PiColumn]]," +%",""),UPPER(SUBSTITUTE(CstGrpS[GrpPrv],"  "," ")))),"X")))</f>
        <v>Hrs</v>
      </c>
      <c r="K13" s="96" t="s">
        <v>1420</v>
      </c>
      <c r="L13" s="96" t="s">
        <v>1643</v>
      </c>
      <c r="M13" s="96" t="s">
        <v>375</v>
      </c>
      <c r="N13" s="96" t="str" cm="1">
        <f t="array" ref="N13">IF(OR(PptoSty[[#This Row],[Project]]="",PptoSty[[#This Row],[Project]]="X"),"X",_xlfn._xlws.FILTER(TbAssign[RowId],(TbAssign[Project]=PptoSty[[#This Row],[Project]])*(TbAssign[Módulo]=PptoSty[[#This Row],[PptoVsRow]]),"X"))</f>
        <v>XB01</v>
      </c>
      <c r="O13" s="96" t="str" cm="1">
        <f t="array" ref="O13">IF(OR(PptoSty[[#This Row],[Project]]="",PptoSty[[#This Row],[Project]]="X"),"X",_xlfn.UNIQUE(_xlfn._xlws.FILTER(F_RT14[Amortz.],(F_RT14[Measure]="CurPpto")*(F_RT14[PrjId]=PptoSty[[#This Row],[Project]])*(F_RT14[Vrs]=PptoSty[[#This Row],[Vrs]])*(_xlfn.TEXTAFTER(F_RT14[ActGrp],":")=PptoSty[[#This Row],[PiRow]]),"X")))</f>
        <v>DISI</v>
      </c>
      <c r="P13" s="96" t="s">
        <v>428</v>
      </c>
      <c r="Q13" s="96" t="s">
        <v>377</v>
      </c>
      <c r="R13" s="204" t="s">
        <v>403</v>
      </c>
      <c r="S13" s="204">
        <v>1</v>
      </c>
      <c r="T13" s="205" t="str" cm="1">
        <f t="array" aca="1" ref="T1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3" s="206" cm="1">
        <f t="array" ref="U13">IFERROR((1/PptoSty[[#This Row],[Division]])*IF(PptoSty[[#This Row],[Sign]]="+",1,-1)*(IF(PptoSty[[#This Row],[POvsCT]]="PO",SUM(_xlfn.CHOOSECOLS(_xlfn._xlws.FILTER(F_RT14[],(IF($M13="X",TRUE,F_RT14[Site]=$M13))*(F_RT14[Measure]=U$4)*(F_RT14[PrjId]=PptoSty[[#This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28112.719690721649</v>
      </c>
      <c r="V13" s="206" cm="1">
        <f t="array" ref="V13">IFERROR((1/PptoSty[[#This Row],[Division]])*IF(PptoSty[[#This Row],[Sign]]="+",1,-1)*(IF(PptoSty[[#This Row],[POvsCT]]="PO",SUM(_xlfn.CHOOSECOLS(_xlfn._xlws.FILTER(F_RT14[],(IF($M13="X",TRUE,F_RT14[Site]=$M13))*(F_RT14[Measure]=V$4)*(F_RT14[PrjId]=PptoSty[[#This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13610.844806900001</v>
      </c>
      <c r="W13" s="206" cm="1">
        <f t="array" ref="W13">IFERROR((1/PptoSty[[#This Row],[Division]])*IF(PptoSty[[#This Row],[Sign]]="+",1,-1)*(IF(PptoSty[[#This Row],[POvsCT]]="PO",SUM(_xlfn.CHOOSECOLS(_xlfn._xlws.FILTER(F_RT14[],(IF($M13="X",TRUE,F_RT14[Site]=$M13))*(F_RT14[Measure]=W$4)*(F_RT14[PrjId]=PptoSty[[#This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14844.416660100002</v>
      </c>
      <c r="X13" s="338" cm="1">
        <f t="array" ref="X13">IFERROR(IF(PptoSty[[#This Row],[Nature]]&lt;&gt;"Hrs",0,(1/PptoSty[[#This Row],[Division]])*IF(PptoSty[[#This Row],[Sign]]="+",1,-1)*(IF(PptoSty[[#This Row],[POvsCT]]="PO",SUM(_xlfn.CHOOSECOLS(_xlfn._xlws.FILTER(F_RT14[],(IF($M13="X",TRUE,F_RT14[Site]=$M13))*(F_RT14[Measure]=X$4)*(F_RT14[PrjId]=PptoSty[[#This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603.80000000000007</v>
      </c>
      <c r="Y13" s="338" cm="1">
        <f t="array" ref="Y13">IFERROR(IF(PptoSty[[#This Row],[Nature]]&lt;&gt;"Hrs",0,(1/PptoSty[[#This Row],[Division]])*IF(PptoSty[[#This Row],[Sign]]="+",1,-1)*(IF(PptoSty[[#This Row],[POvsCT]]="PO",SUM(_xlfn.CHOOSECOLS(_xlfn._xlws.FILTER(F_RT14[],(IF($M13="X",TRUE,F_RT14[Site]=$M13))*(F_RT14[Measure]=Y$4)*(F_RT14[PrjId]=PptoSty[[#This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292.84300000000002</v>
      </c>
      <c r="Z13" s="338" cm="1">
        <f t="array" ref="Z13">IFERROR(IF(PptoSty[[#This Row],[Nature]]&lt;&gt;"Hrs",0,(1/PptoSty[[#This Row],[Division]])*IF(PptoSty[[#This Row],[Sign]]="+",1,-1)*(IF(PptoSty[[#This Row],[POvsCT]]="PO",SUM(_xlfn.CHOOSECOLS(_xlfn._xlws.FILTER(F_RT14[],(IF($M13="X",TRUE,F_RT14[Site]=$M13))*(F_RT14[Measure]=Z$4)*(F_RT14[PrjId]=PptoSty[[#This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292.84300000000002</v>
      </c>
      <c r="AA13" s="206" cm="1">
        <f t="array" aca="1" ref="AA13"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28112.719690721649</v>
      </c>
      <c r="AB13" s="206" cm="1">
        <f t="array" aca="1" ref="AB13"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13610.844806900001</v>
      </c>
      <c r="AC13" s="206" cm="1">
        <f t="array" aca="1" ref="AC13"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14844.416660100002</v>
      </c>
      <c r="AF13" s="212" t="str">
        <v>GESTIÓN DE PROYECTOS</v>
      </c>
      <c r="AG13"/>
      <c r="AH13"/>
      <c r="AI13" s="107"/>
      <c r="AK13" s="113"/>
      <c r="AL13" s="113"/>
      <c r="AM13" s="179"/>
      <c r="AN13" s="176"/>
      <c r="AO13"/>
      <c r="AP13"/>
      <c r="AQ13" s="176"/>
      <c r="AR13" s="176"/>
      <c r="AS13" s="176"/>
      <c r="AT13" s="176"/>
      <c r="AU13" s="176"/>
      <c r="AV13" s="176"/>
      <c r="AW13" s="176"/>
      <c r="AX13" s="176"/>
      <c r="AY13" s="176"/>
      <c r="AZ13" s="176"/>
      <c r="BA13" s="176"/>
      <c r="BB13" s="176"/>
      <c r="BC13" s="176"/>
      <c r="BD13" s="176"/>
      <c r="BE13"/>
      <c r="BF13"/>
      <c r="BG13" s="176"/>
      <c r="BH13" s="176"/>
      <c r="BI13" s="176"/>
      <c r="BJ13" s="176"/>
      <c r="BK13" s="176"/>
      <c r="BL13" s="176"/>
      <c r="BM13" s="176"/>
      <c r="BN13" s="176"/>
      <c r="BO13" s="176"/>
      <c r="BP13" s="176"/>
      <c r="BQ13" s="176"/>
      <c r="BR13" s="176"/>
      <c r="BS13" s="176"/>
      <c r="BT13" s="176"/>
      <c r="BU13" s="176"/>
      <c r="BV13" s="176"/>
      <c r="BW13" s="176"/>
      <c r="BX13" s="176"/>
      <c r="BY13" s="176"/>
      <c r="BZ13" s="176"/>
      <c r="CA13" s="176"/>
      <c r="CB13" s="176"/>
      <c r="CC13" s="176"/>
      <c r="CD13" s="176"/>
      <c r="CE13" s="176"/>
      <c r="CF13" s="176"/>
      <c r="CG13" s="176"/>
      <c r="CH13" s="176"/>
      <c r="CI13" s="176"/>
      <c r="CJ13" s="176"/>
      <c r="CK13" s="176"/>
      <c r="CL13" s="176"/>
      <c r="CM13" s="176"/>
      <c r="CN13" s="176"/>
      <c r="CO13" s="176"/>
      <c r="CP13" s="176"/>
      <c r="CQ13" s="176"/>
      <c r="CR13" s="176"/>
      <c r="CS13" s="176"/>
      <c r="CT13" s="176"/>
      <c r="CU13" s="176"/>
      <c r="CV13" s="176"/>
      <c r="CW13" s="176"/>
      <c r="CX13" s="176"/>
      <c r="CY13" s="176"/>
      <c r="CZ13" s="176"/>
      <c r="DA13" s="176"/>
      <c r="DB13" s="176"/>
      <c r="DC13" s="176"/>
      <c r="DD13" s="176"/>
      <c r="DE13" s="176"/>
      <c r="DF13" s="176"/>
      <c r="DG13" s="176"/>
      <c r="DH13" s="176"/>
      <c r="DI13" s="176"/>
      <c r="DJ13" s="176"/>
      <c r="DK13" s="176"/>
      <c r="DL13"/>
      <c r="DM13" s="366" t="str" cm="1">
        <f t="array" aca="1" ref="DM13"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DN13:DO13</v>
      </c>
      <c r="DN13" s="177" t="s">
        <v>375</v>
      </c>
      <c r="DO13" s="177" t="str" cm="1">
        <f t="array" aca="1" ref="DO13"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13" s="177"/>
      <c r="DQ13" s="177"/>
      <c r="DR13" s="177"/>
      <c r="DS13" s="177"/>
      <c r="DT13" s="177"/>
      <c r="DU13" s="177"/>
      <c r="DV13" s="177"/>
      <c r="DW13" s="177"/>
      <c r="DX13" s="177"/>
      <c r="DY13" s="177"/>
      <c r="DZ13" s="177"/>
      <c r="EA13" s="177"/>
      <c r="EB13" s="177"/>
      <c r="EC13" s="177"/>
      <c r="ED13" s="177"/>
      <c r="EE13" s="177"/>
      <c r="EF13" s="177"/>
      <c r="EG13" s="177"/>
      <c r="EH13" s="177"/>
      <c r="EI13" s="177"/>
      <c r="EJ13" s="177"/>
      <c r="EK13" s="177"/>
      <c r="EL13" s="177"/>
      <c r="EM13" s="177"/>
      <c r="EN13" s="177"/>
      <c r="EO13" s="177"/>
      <c r="EP13" s="177"/>
      <c r="EQ13" s="177"/>
      <c r="ER13" s="177"/>
      <c r="ES13" s="177"/>
      <c r="ET13" s="177"/>
      <c r="EU13" s="177"/>
      <c r="EV13" s="177"/>
      <c r="EW13" s="177"/>
      <c r="EX13" s="177"/>
      <c r="EY13" s="177"/>
      <c r="EZ13" s="177"/>
      <c r="FA13" s="177"/>
      <c r="FB13" s="177"/>
      <c r="FC13" s="177"/>
      <c r="FD13"/>
      <c r="FE13"/>
      <c r="FF13"/>
      <c r="FG13"/>
      <c r="FH13"/>
      <c r="FI13"/>
      <c r="FJ13"/>
      <c r="FN13"/>
      <c r="FO13"/>
      <c r="FP13" s="134" t="str" cm="1">
        <f t="array" aca="1" ref="FP13" ca="1">INDIRECT("r[-1]c",FALSE)</f>
        <v>X</v>
      </c>
      <c r="FQ13" s="106"/>
      <c r="FR13" s="110" t="str" cm="1">
        <f t="array" aca="1" ref="FR13" ca="1">IF(OR($FP13="",$FQ13="",$FP13="X",$FQ13="X"),"X",_xlfn.LET(_xlpm.x,SUM(ROW()),_xlpm.y,MATCH(FR$1,$1:$1,0),ADDRESS(_xlpm.x,_xlpm.y+1,4)&amp;":"&amp;ADDRESS(_xlpm.x,1+_xlpm.y+COUNT(CODE(_xlfn._xlws.FILTER(_xlfn.ANCHORARRAY($FT13),_xlfn.ANCHORARRAY($FT13)&lt;&gt;"X","X"))),4)))</f>
        <v>X</v>
      </c>
      <c r="FS13" s="177" t="s">
        <v>375</v>
      </c>
      <c r="FT13" s="177" t="str" cm="1">
        <f t="array" ref="FT13">IF($FQ13="","X",TRANSPOSE(_xlfn._xlws.SORT(_xlfn.UNIQUE(_xlfn._xlws.FILTER(F_RT15[Módulo],(F_RT15[PrjId]=$FP13)*(F_RT15[Vrs]=$FQ13),"X")))))</f>
        <v>X</v>
      </c>
      <c r="FU13" s="178"/>
      <c r="FV13" s="177"/>
      <c r="FW13" s="177"/>
      <c r="FX13" s="177"/>
      <c r="FY13" s="177"/>
      <c r="FZ13" s="177"/>
      <c r="GA13" s="177"/>
      <c r="GB13" s="177"/>
      <c r="GC13" s="177"/>
      <c r="GD13" s="177"/>
      <c r="GE13" s="177"/>
      <c r="GF13" s="177"/>
      <c r="GG13" s="177"/>
      <c r="GH13" s="177"/>
      <c r="GI13" s="177"/>
      <c r="GJ13" s="177"/>
      <c r="GK13" s="177"/>
      <c r="GL13" s="177"/>
      <c r="GM13" s="177"/>
      <c r="GN13" s="177"/>
      <c r="GO13" s="177"/>
      <c r="GP13" s="177"/>
      <c r="GQ13" s="177"/>
      <c r="GR13" s="177"/>
      <c r="GS13" s="177"/>
      <c r="GT13" s="177"/>
      <c r="GU13" s="177"/>
      <c r="GV13" s="177"/>
      <c r="GW13" s="177"/>
      <c r="GX13" s="177"/>
      <c r="GY13" s="177"/>
      <c r="GZ13" s="177"/>
      <c r="HA13" s="177"/>
      <c r="HB13" s="177"/>
      <c r="HC13" s="177"/>
      <c r="HD13" s="177"/>
      <c r="HE13" s="177"/>
      <c r="HF13" s="177"/>
      <c r="HG13" s="177"/>
      <c r="HH13" s="177"/>
      <c r="HI13" s="177"/>
      <c r="HJ13" s="177"/>
      <c r="HK13" s="177"/>
      <c r="HL13" s="177"/>
    </row>
    <row r="14" spans="1:220" ht="13" customHeight="1">
      <c r="C14" s="213">
        <v>45252</v>
      </c>
      <c r="D14" s="213" t="s">
        <v>2114</v>
      </c>
      <c r="E14" s="213" t="s">
        <v>1710</v>
      </c>
      <c r="F14" s="219" t="s">
        <v>375</v>
      </c>
      <c r="G14" s="201" t="s">
        <v>1415</v>
      </c>
      <c r="H14" s="202">
        <v>15</v>
      </c>
      <c r="I14" s="339" t="str" cm="1">
        <f t="array" aca="1" ref="I1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G012</v>
      </c>
      <c r="J14" s="203" t="str" cm="1">
        <f t="array" ref="J14">IF(OR(PptoSty[[#This Row],[Project]]="",PptoSty[[#This Row],[Project]]="X"),"X",_xlfn.UNIQUE(_xlfn._xlws.FILTER(CstGrpS[Nature],ISNUMBER(FIND(SUBSTITUTE(PptoSty[[#This Row],[PiColumn]]," +%",""),UPPER(SUBSTITUTE(CstGrpS[GrpPrv],"  "," ")))),"X")))</f>
        <v>Hrs</v>
      </c>
      <c r="K14" s="96" t="s">
        <v>1421</v>
      </c>
      <c r="L14" s="96" t="s">
        <v>1643</v>
      </c>
      <c r="M14" s="96" t="s">
        <v>375</v>
      </c>
      <c r="N14" s="96" t="str" cm="1">
        <f t="array" ref="N14">IF(OR(PptoSty[[#This Row],[Project]]="",PptoSty[[#This Row],[Project]]="X"),"X",_xlfn._xlws.FILTER(TbAssign[RowId],(TbAssign[Project]=PptoSty[[#This Row],[Project]])*(TbAssign[Módulo]=PptoSty[[#This Row],[PptoVsRow]]),"X"))</f>
        <v>XB01</v>
      </c>
      <c r="O14" s="96" t="str" cm="1">
        <f t="array" ref="O14">IF(OR(PptoSty[[#This Row],[Project]]="",PptoSty[[#This Row],[Project]]="X"),"X",_xlfn.UNIQUE(_xlfn._xlws.FILTER(F_RT14[Amortz.],(F_RT14[Measure]="CurPpto")*(F_RT14[PrjId]=PptoSty[[#This Row],[Project]])*(F_RT14[Vrs]=PptoSty[[#This Row],[Vrs]])*(_xlfn.TEXTAFTER(F_RT14[ActGrp],":")=PptoSty[[#This Row],[PiRow]]),"X")))</f>
        <v>DISI</v>
      </c>
      <c r="P14" s="96" t="s">
        <v>430</v>
      </c>
      <c r="Q14" s="96" t="s">
        <v>377</v>
      </c>
      <c r="R14" s="204" t="s">
        <v>403</v>
      </c>
      <c r="S14" s="204">
        <v>1</v>
      </c>
      <c r="T14" s="205" t="str" cm="1">
        <f t="array" aca="1" ref="T1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4" s="206" cm="1">
        <f t="array" ref="U14">IFERROR((1/PptoSty[[#This Row],[Division]])*IF(PptoSty[[#This Row],[Sign]]="+",1,-1)*(IF(PptoSty[[#This Row],[POvsCT]]="PO",SUM(_xlfn.CHOOSECOLS(_xlfn._xlws.FILTER(F_RT14[],(IF($M14="X",TRUE,F_RT14[Site]=$M14))*(F_RT14[Measure]=U$4)*(F_RT14[PrjId]=PptoSty[[#This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67093.393917525784</v>
      </c>
      <c r="V14" s="206" cm="1">
        <f t="array" ref="V14">IFERROR((1/PptoSty[[#This Row],[Division]])*IF(PptoSty[[#This Row],[Sign]]="+",1,-1)*(IF(PptoSty[[#This Row],[POvsCT]]="PO",SUM(_xlfn.CHOOSECOLS(_xlfn._xlws.FILTER(F_RT14[],(IF($M14="X",TRUE,F_RT14[Site]=$M14))*(F_RT14[Measure]=V$4)*(F_RT14[PrjId]=PptoSty[[#This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32483.437535009991</v>
      </c>
      <c r="W14" s="206" cm="1">
        <f t="array" ref="W14">IFERROR((1/PptoSty[[#This Row],[Division]])*IF(PptoSty[[#This Row],[Sign]]="+",1,-1)*(IF(PptoSty[[#This Row],[POvsCT]]="PO",SUM(_xlfn.CHOOSECOLS(_xlfn._xlws.FILTER(F_RT14[],(IF($M14="X",TRUE,F_RT14[Site]=$M14))*(F_RT14[Measure]=W$4)*(F_RT14[PrjId]=PptoSty[[#This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35427.46156928999</v>
      </c>
      <c r="X14" s="338" cm="1">
        <f t="array" ref="X14">IFERROR(IF(PptoSty[[#This Row],[Nature]]&lt;&gt;"Hrs",0,(1/PptoSty[[#This Row],[Division]])*IF(PptoSty[[#This Row],[Sign]]="+",1,-1)*(IF(PptoSty[[#This Row],[POvsCT]]="PO",SUM(_xlfn.CHOOSECOLS(_xlfn._xlws.FILTER(F_RT14[],(IF($M14="X",TRUE,F_RT14[Site]=$M14))*(F_RT14[Measure]=X$4)*(F_RT14[PrjId]=PptoSty[[#This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1441.0199999999998</v>
      </c>
      <c r="Y14" s="338" cm="1">
        <f t="array" ref="Y14">IFERROR(IF(PptoSty[[#This Row],[Nature]]&lt;&gt;"Hrs",0,(1/PptoSty[[#This Row],[Division]])*IF(PptoSty[[#This Row],[Sign]]="+",1,-1)*(IF(PptoSty[[#This Row],[POvsCT]]="PO",SUM(_xlfn.CHOOSECOLS(_xlfn._xlws.FILTER(F_RT14[],(IF($M14="X",TRUE,F_RT14[Site]=$M14))*(F_RT14[Measure]=Y$4)*(F_RT14[PrjId]=PptoSty[[#This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698.89469999999983</v>
      </c>
      <c r="Z14" s="338" cm="1">
        <f t="array" ref="Z14">IFERROR(IF(PptoSty[[#This Row],[Nature]]&lt;&gt;"Hrs",0,(1/PptoSty[[#This Row],[Division]])*IF(PptoSty[[#This Row],[Sign]]="+",1,-1)*(IF(PptoSty[[#This Row],[POvsCT]]="PO",SUM(_xlfn.CHOOSECOLS(_xlfn._xlws.FILTER(F_RT14[],(IF($M14="X",TRUE,F_RT14[Site]=$M14))*(F_RT14[Measure]=Z$4)*(F_RT14[PrjId]=PptoSty[[#This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698.89469999999983</v>
      </c>
      <c r="AA14" s="206" cm="1">
        <f t="array" aca="1" ref="AA14"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67093.393917525784</v>
      </c>
      <c r="AB14" s="206" cm="1">
        <f t="array" aca="1" ref="AB14"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32483.437535009991</v>
      </c>
      <c r="AC14" s="206" cm="1">
        <f t="array" aca="1" ref="AC14"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35427.46156928999</v>
      </c>
      <c r="AF14" s="212" t="str">
        <v>GESTIÓN MECÁNICA</v>
      </c>
      <c r="AG14"/>
      <c r="AH14"/>
      <c r="AI14" s="107"/>
      <c r="AK14" s="113"/>
      <c r="AL14" s="113"/>
      <c r="AO14"/>
      <c r="AP14"/>
      <c r="AZ14" s="175"/>
      <c r="BA14" s="175"/>
      <c r="BE14"/>
      <c r="BF14"/>
      <c r="DG14" s="175"/>
      <c r="DH14" s="175"/>
      <c r="DI14" s="175"/>
      <c r="DL14"/>
      <c r="DM14" s="366" t="str" cm="1">
        <f t="array" aca="1" ref="DM14"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DN14:DP14</v>
      </c>
      <c r="DN14" s="177" t="s">
        <v>375</v>
      </c>
      <c r="DO14" s="177" t="str" cm="1">
        <f t="array" aca="1" ref="DO14:DP14"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14" s="177" t="str">
        <f ca="1"/>
        <v>ROBÓTICA</v>
      </c>
      <c r="DQ14" s="177"/>
      <c r="DR14" s="177"/>
      <c r="DS14" s="177"/>
      <c r="DT14" s="177"/>
      <c r="DU14" s="177"/>
      <c r="DV14" s="177"/>
      <c r="DW14" s="177"/>
      <c r="DX14" s="177"/>
      <c r="DY14" s="177"/>
      <c r="DZ14" s="177"/>
      <c r="EA14" s="177"/>
      <c r="EB14" s="177"/>
      <c r="EC14" s="177"/>
      <c r="ED14" s="177"/>
      <c r="EE14" s="177"/>
      <c r="EF14" s="177"/>
      <c r="EG14" s="177"/>
      <c r="EH14" s="177"/>
      <c r="EI14" s="177"/>
      <c r="EJ14" s="177"/>
      <c r="EK14" s="177"/>
      <c r="EL14" s="177"/>
      <c r="EM14" s="177"/>
      <c r="EN14" s="177"/>
      <c r="EO14" s="177"/>
      <c r="EP14" s="177"/>
      <c r="EQ14" s="177"/>
      <c r="ER14" s="177"/>
      <c r="ES14" s="177"/>
      <c r="ET14" s="177"/>
      <c r="EU14" s="177"/>
      <c r="EV14" s="177"/>
      <c r="EW14" s="177"/>
      <c r="EX14" s="177"/>
      <c r="EY14" s="177"/>
      <c r="EZ14" s="177"/>
      <c r="FA14" s="177"/>
      <c r="FB14" s="177"/>
      <c r="FC14" s="177"/>
      <c r="FD14"/>
      <c r="FE14"/>
      <c r="FF14"/>
      <c r="FG14"/>
      <c r="FH14"/>
      <c r="FI14"/>
      <c r="FJ14"/>
      <c r="FN14"/>
      <c r="FO14"/>
      <c r="FP14" s="134" t="str" cm="1">
        <f t="array" aca="1" ref="FP14" ca="1">INDIRECT("r[-1]c",FALSE)</f>
        <v>X</v>
      </c>
      <c r="FQ14" s="106"/>
      <c r="FR14" s="110" t="str" cm="1">
        <f t="array" aca="1" ref="FR14" ca="1">IF(OR($FP14="",$FQ14="",$FP14="X",$FQ14="X"),"X",_xlfn.LET(_xlpm.x,SUM(ROW()),_xlpm.y,MATCH(FR$1,$1:$1,0),ADDRESS(_xlpm.x,_xlpm.y+1,4)&amp;":"&amp;ADDRESS(_xlpm.x,1+_xlpm.y+COUNT(CODE(_xlfn._xlws.FILTER(_xlfn.ANCHORARRAY($FT14),_xlfn.ANCHORARRAY($FT14)&lt;&gt;"X","X"))),4)))</f>
        <v>X</v>
      </c>
      <c r="FS14" s="177" t="s">
        <v>375</v>
      </c>
      <c r="FT14" s="177" t="str" cm="1">
        <f t="array" ref="FT14">IF($FQ14="","X",TRANSPOSE(_xlfn._xlws.SORT(_xlfn.UNIQUE(_xlfn._xlws.FILTER(F_RT15[Módulo],(F_RT15[PrjId]=$FP14)*(F_RT15[Vrs]=$FQ14),"X")))))</f>
        <v>X</v>
      </c>
      <c r="FU14" s="178"/>
      <c r="FV14" s="177"/>
      <c r="FW14" s="177"/>
      <c r="FX14" s="177"/>
      <c r="FY14" s="177"/>
      <c r="FZ14" s="177"/>
      <c r="GA14" s="177"/>
      <c r="GB14" s="177"/>
      <c r="GC14" s="177"/>
      <c r="GD14" s="177"/>
      <c r="GE14" s="177"/>
      <c r="GF14" s="177"/>
      <c r="GG14" s="177"/>
      <c r="GH14" s="177"/>
      <c r="GI14" s="177"/>
      <c r="GJ14" s="177"/>
      <c r="GK14" s="177"/>
      <c r="GL14" s="177"/>
      <c r="GM14" s="177"/>
      <c r="GN14" s="177"/>
      <c r="GO14" s="177"/>
      <c r="GP14" s="177"/>
      <c r="GQ14" s="177"/>
      <c r="GR14" s="177"/>
      <c r="GS14" s="177"/>
      <c r="GT14" s="177"/>
      <c r="GU14" s="177"/>
      <c r="GV14" s="177"/>
      <c r="GW14" s="177"/>
      <c r="GX14" s="177"/>
      <c r="GY14" s="177"/>
      <c r="GZ14" s="177"/>
      <c r="HA14" s="177"/>
      <c r="HB14" s="177"/>
      <c r="HC14" s="177"/>
      <c r="HD14" s="177"/>
      <c r="HE14" s="177"/>
      <c r="HF14" s="177"/>
      <c r="HG14" s="177"/>
      <c r="HH14" s="177"/>
      <c r="HI14" s="177"/>
      <c r="HJ14" s="177"/>
      <c r="HK14" s="177"/>
      <c r="HL14" s="177"/>
    </row>
    <row r="15" spans="1:220" ht="13" customHeight="1">
      <c r="C15" s="213">
        <v>45252</v>
      </c>
      <c r="D15" s="213" t="s">
        <v>2114</v>
      </c>
      <c r="E15" s="213" t="s">
        <v>1710</v>
      </c>
      <c r="F15" s="219" t="s">
        <v>375</v>
      </c>
      <c r="G15" s="201" t="s">
        <v>1415</v>
      </c>
      <c r="H15" s="202">
        <v>15</v>
      </c>
      <c r="I15" s="339" t="str" cm="1">
        <f t="array" aca="1" ref="I1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X100</v>
      </c>
      <c r="J15" s="203" t="str" cm="1">
        <f t="array" ref="J15">IF(OR(PptoSty[[#This Row],[Project]]="",PptoSty[[#This Row],[Project]]="X"),"X",_xlfn.UNIQUE(_xlfn._xlws.FILTER(CstGrpS[Nature],ISNUMBER(FIND(SUBSTITUTE(PptoSty[[#This Row],[PiColumn]]," +%",""),UPPER(SUBSTITUTE(CstGrpS[GrpPrv],"  "," ")))),"X")))</f>
        <v>Hrs</v>
      </c>
      <c r="K15" s="96" t="s">
        <v>1677</v>
      </c>
      <c r="L15" s="96" t="s">
        <v>1644</v>
      </c>
      <c r="M15" s="96" t="s">
        <v>28</v>
      </c>
      <c r="N15" s="96" t="str" cm="1">
        <f t="array" ref="N15">IF(OR(PptoSty[[#This Row],[Project]]="",PptoSty[[#This Row],[Project]]="X"),"X",_xlfn._xlws.FILTER(TbAssign[RowId],(TbAssign[Project]=PptoSty[[#This Row],[Project]])*(TbAssign[Módulo]=PptoSty[[#This Row],[PptoVsRow]]),"X"))</f>
        <v>XB01</v>
      </c>
      <c r="O15" s="96" t="str" cm="1">
        <f t="array" ref="O15">IF(OR(PptoSty[[#This Row],[Project]]="",PptoSty[[#This Row],[Project]]="X"),"X",_xlfn.UNIQUE(_xlfn._xlws.FILTER(F_RT14[Amortz.],(F_RT14[Measure]="CurPpto")*(F_RT14[PrjId]=PptoSty[[#This Row],[Project]])*(F_RT14[Vrs]=PptoSty[[#This Row],[Vrs]])*(_xlfn.TEXTAFTER(F_RT14[ActGrp],":")=PptoSty[[#This Row],[PiRow]]),"X")))</f>
        <v>TOTS</v>
      </c>
      <c r="P15" s="96" t="s">
        <v>428</v>
      </c>
      <c r="Q15" s="96" t="s">
        <v>378</v>
      </c>
      <c r="R15" s="204" t="s">
        <v>403</v>
      </c>
      <c r="S15" s="204">
        <v>1</v>
      </c>
      <c r="T15" s="205" cm="1">
        <f t="array" aca="1" ref="T1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15" s="206" cm="1">
        <f t="array" ref="U15">IFERROR((1/PptoSty[[#This Row],[Division]])*IF(PptoSty[[#This Row],[Sign]]="+",1,-1)*(IF(PptoSty[[#This Row],[POvsCT]]="PO",SUM(_xlfn.CHOOSECOLS(_xlfn._xlws.FILTER(F_RT14[],(IF($M15="X",TRUE,F_RT14[Site]=$M15))*(F_RT14[Measure]=U$4)*(F_RT14[PrjId]=PptoSty[[#This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23422.366494845362</v>
      </c>
      <c r="V15" s="206" cm="1">
        <f t="array" ref="V15">IFERROR((1/PptoSty[[#This Row],[Division]])*IF(PptoSty[[#This Row],[Sign]]="+",1,-1)*(IF(PptoSty[[#This Row],[POvsCT]]="PO",SUM(_xlfn.CHOOSECOLS(_xlfn._xlws.FILTER(F_RT14[],(IF($M15="X",TRUE,F_RT14[Site]=$M15))*(F_RT14[Measure]=V$4)*(F_RT14[PrjId]=PptoSty[[#This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23604.266095437499</v>
      </c>
      <c r="W15" s="206" cm="1">
        <f t="array" ref="W15">IFERROR((1/PptoSty[[#This Row],[Division]])*IF(PptoSty[[#This Row],[Sign]]="+",1,-1)*(IF(PptoSty[[#This Row],[POvsCT]]="PO",SUM(_xlfn.CHOOSECOLS(_xlfn._xlws.FILTER(F_RT14[],(IF($M15="X",TRUE,F_RT14[Site]=$M15))*(F_RT14[Measure]=W$4)*(F_RT14[PrjId]=PptoSty[[#This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5" s="338" cm="1">
        <f t="array" ref="X15">IFERROR(IF(PptoSty[[#This Row],[Nature]]&lt;&gt;"Hrs",0,(1/PptoSty[[#This Row],[Division]])*IF(PptoSty[[#This Row],[Sign]]="+",1,-1)*(IF(PptoSty[[#This Row],[POvsCT]]="PO",SUM(_xlfn.CHOOSECOLS(_xlfn._xlws.FILTER(F_RT14[],(IF($M15="X",TRUE,F_RT14[Site]=$M15))*(F_RT14[Measure]=X$4)*(F_RT14[PrjId]=PptoSty[[#This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523.5625</v>
      </c>
      <c r="Y15" s="338" cm="1">
        <f t="array" ref="Y15">IFERROR(IF(PptoSty[[#This Row],[Nature]]&lt;&gt;"Hrs",0,(1/PptoSty[[#This Row],[Division]])*IF(PptoSty[[#This Row],[Sign]]="+",1,-1)*(IF(PptoSty[[#This Row],[POvsCT]]="PO",SUM(_xlfn.CHOOSECOLS(_xlfn._xlws.FILTER(F_RT14[],(IF($M15="X",TRUE,F_RT14[Site]=$M15))*(F_RT14[Measure]=Y$4)*(F_RT14[PrjId]=PptoSty[[#This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507.85562499999997</v>
      </c>
      <c r="Z15" s="338" cm="1">
        <f t="array" ref="Z15">IFERROR(IF(PptoSty[[#This Row],[Nature]]&lt;&gt;"Hrs",0,(1/PptoSty[[#This Row],[Division]])*IF(PptoSty[[#This Row],[Sign]]="+",1,-1)*(IF(PptoSty[[#This Row],[POvsCT]]="PO",SUM(_xlfn.CHOOSECOLS(_xlfn._xlws.FILTER(F_RT14[],(IF($M15="X",TRUE,F_RT14[Site]=$M15))*(F_RT14[Measure]=Z$4)*(F_RT14[PrjId]=PptoSty[[#This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5" s="206" cm="1">
        <f t="array" aca="1" ref="AA15"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23422.366494845362</v>
      </c>
      <c r="AB15" s="206" cm="1">
        <f t="array" aca="1" ref="AB15"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23604.266095437499</v>
      </c>
      <c r="AC15" s="206" cm="1">
        <f t="array" aca="1" ref="AC15"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F15" s="212" t="str">
        <v>INSTALACIÓN E.N.R.</v>
      </c>
      <c r="AG15"/>
      <c r="AH15"/>
      <c r="AI15" s="107"/>
      <c r="AK15" s="113"/>
      <c r="AL15" s="113"/>
      <c r="AO15"/>
      <c r="AP15"/>
      <c r="AZ15" s="175"/>
      <c r="BA15" s="175"/>
      <c r="BE15"/>
      <c r="BF15"/>
      <c r="DG15" s="175"/>
      <c r="DH15" s="175"/>
      <c r="DI15" s="175"/>
      <c r="DL15"/>
      <c r="DM15" s="366" t="str" cm="1">
        <f t="array" aca="1" ref="DM1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DN15:ED15</v>
      </c>
      <c r="DN15" s="177" t="s">
        <v>375</v>
      </c>
      <c r="DO15" s="177" t="str" cm="1">
        <f t="array" aca="1" ref="DO15:ED1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15" s="177" t="str">
        <f ca="1"/>
        <v>DEFINICIÓN</v>
      </c>
      <c r="DQ15" s="177" t="str">
        <f ca="1"/>
        <v>DISEÑO FLUIDOS</v>
      </c>
      <c r="DR15" s="177" t="str">
        <f ca="1"/>
        <v>DISEÑO MECÁNICO</v>
      </c>
      <c r="DS15" s="177" t="str">
        <f ca="1"/>
        <v>FABRICACIÓN ELÉCTRICA</v>
      </c>
      <c r="DT15" s="177" t="str">
        <f ca="1"/>
        <v>FABRICACIÓN MECÁNICA</v>
      </c>
      <c r="DU15" s="177" t="str">
        <f ca="1"/>
        <v>GESTIÓN PROYECTOS</v>
      </c>
      <c r="DV15" s="177" t="str">
        <f ca="1"/>
        <v>INSTALACIÓN ENR</v>
      </c>
      <c r="DW15" s="177" t="str">
        <f ca="1"/>
        <v>MATERIAL ELÉCTRICO +%</v>
      </c>
      <c r="DX15" s="177" t="str">
        <f ca="1"/>
        <v>MATERIAL FLUIDOS +%</v>
      </c>
      <c r="DY15" s="177" t="str">
        <f ca="1"/>
        <v>MATERIAL MECÁNICO +%</v>
      </c>
      <c r="DZ15" s="177" t="str">
        <f ca="1"/>
        <v>METROLOGÍA</v>
      </c>
      <c r="EA15" s="177" t="str">
        <f ca="1"/>
        <v>MONTAJE MECÁNICO</v>
      </c>
      <c r="EB15" s="177" t="str">
        <f ca="1"/>
        <v>ROBCAD</v>
      </c>
      <c r="EC15" s="177" t="str">
        <f ca="1"/>
        <v>ROBÓTICA</v>
      </c>
      <c r="ED15" s="177" t="str">
        <f ca="1"/>
        <v>TRANSP. &amp; DESPLAZ.</v>
      </c>
      <c r="EE15" s="177"/>
      <c r="EF15" s="177"/>
      <c r="EG15" s="177"/>
      <c r="EH15" s="177"/>
      <c r="EI15" s="177"/>
      <c r="EJ15" s="177"/>
      <c r="EK15" s="177"/>
      <c r="EL15" s="177"/>
      <c r="EM15" s="177"/>
      <c r="EN15" s="177"/>
      <c r="EO15" s="177"/>
      <c r="EP15" s="177"/>
      <c r="EQ15" s="177"/>
      <c r="ER15" s="177"/>
      <c r="ES15" s="177"/>
      <c r="ET15" s="177"/>
      <c r="EU15" s="177"/>
      <c r="EV15" s="177"/>
      <c r="EW15" s="177"/>
      <c r="EX15" s="177"/>
      <c r="EY15" s="177"/>
      <c r="EZ15" s="177"/>
      <c r="FA15" s="177"/>
      <c r="FB15" s="177"/>
      <c r="FC15" s="177"/>
      <c r="FD15"/>
      <c r="FE15"/>
      <c r="FF15"/>
      <c r="FG15"/>
      <c r="FH15"/>
      <c r="FI15"/>
      <c r="FJ15"/>
      <c r="FN15"/>
      <c r="FO15"/>
      <c r="FP15" s="173"/>
      <c r="FQ15" s="173" t="s">
        <v>1565</v>
      </c>
      <c r="FR15" s="173" t="s">
        <v>1634</v>
      </c>
      <c r="FS15" s="113"/>
      <c r="FT15" s="113"/>
      <c r="FU15" s="113"/>
      <c r="FV15" s="113"/>
      <c r="FW15" s="113"/>
      <c r="FX15" s="113"/>
      <c r="FY15" s="113"/>
      <c r="FZ15" s="113"/>
      <c r="GA15" s="113"/>
      <c r="GB15" s="113"/>
      <c r="GC15" s="113"/>
      <c r="GD15" s="113"/>
      <c r="GE15" s="113"/>
      <c r="GF15" s="113"/>
      <c r="GG15" s="113"/>
      <c r="GH15" s="113"/>
      <c r="GI15" s="113"/>
      <c r="GJ15" s="113"/>
      <c r="GK15" s="113"/>
      <c r="GL15" s="113"/>
      <c r="GM15" s="113"/>
      <c r="GN15" s="113"/>
      <c r="GO15" s="113"/>
      <c r="GP15" s="113"/>
      <c r="GQ15" s="113"/>
      <c r="GR15" s="113"/>
      <c r="GS15" s="113"/>
      <c r="GT15" s="113"/>
      <c r="GU15" s="113"/>
      <c r="GV15" s="113"/>
      <c r="GW15" s="113"/>
      <c r="GX15" s="113"/>
      <c r="GY15" s="113"/>
      <c r="GZ15" s="113"/>
      <c r="HA15" s="113"/>
      <c r="HB15" s="113"/>
      <c r="HC15" s="113"/>
      <c r="HD15" s="113"/>
      <c r="HE15" s="113"/>
      <c r="HF15" s="113"/>
      <c r="HG15" s="113"/>
      <c r="HH15" s="113"/>
      <c r="HI15" s="113"/>
      <c r="HJ15" s="113"/>
      <c r="HK15" s="113"/>
      <c r="HL15" s="113"/>
    </row>
    <row r="16" spans="1:220" ht="13" customHeight="1">
      <c r="C16" s="213">
        <v>45252</v>
      </c>
      <c r="D16" s="213" t="s">
        <v>2114</v>
      </c>
      <c r="E16" s="213" t="s">
        <v>1710</v>
      </c>
      <c r="F16" s="219" t="s">
        <v>375</v>
      </c>
      <c r="G16" s="201" t="s">
        <v>1415</v>
      </c>
      <c r="H16" s="202">
        <v>15</v>
      </c>
      <c r="I16" s="339" t="str" cm="1">
        <f t="array" aca="1" ref="I1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G008</v>
      </c>
      <c r="J16" s="203" t="str" cm="1">
        <f t="array" ref="J16">IF(OR(PptoSty[[#This Row],[Project]]="",PptoSty[[#This Row],[Project]]="X"),"X",_xlfn.UNIQUE(_xlfn._xlws.FILTER(CstGrpS[Nature],ISNUMBER(FIND(SUBSTITUTE(PptoSty[[#This Row],[PiColumn]]," +%",""),UPPER(SUBSTITUTE(CstGrpS[GrpPrv],"  "," ")))),"X")))</f>
        <v>Hrs</v>
      </c>
      <c r="K16" s="96" t="s">
        <v>1419</v>
      </c>
      <c r="L16" s="96" t="s">
        <v>372</v>
      </c>
      <c r="M16" s="96" t="s">
        <v>375</v>
      </c>
      <c r="N16" s="96" t="str" cm="1">
        <f t="array" ref="N16">IF(OR(PptoSty[[#This Row],[Project]]="",PptoSty[[#This Row],[Project]]="X"),"X",_xlfn._xlws.FILTER(TbAssign[RowId],(TbAssign[Project]=PptoSty[[#This Row],[Project]])*(TbAssign[Módulo]=PptoSty[[#This Row],[PptoVsRow]]),"X"))</f>
        <v>XE01</v>
      </c>
      <c r="O16" s="96" t="str" cm="1">
        <f t="array" ref="O16">IF(OR(PptoSty[[#This Row],[Project]]="",PptoSty[[#This Row],[Project]]="X"),"X",_xlfn.UNIQUE(_xlfn._xlws.FILTER(F_RT14[Amortz.],(F_RT14[Measure]="CurPpto")*(F_RT14[PrjId]=PptoSty[[#This Row],[Project]])*(F_RT14[Vrs]=PptoSty[[#This Row],[Vrs]])*(_xlfn.TEXTAFTER(F_RT14[ActGrp],":")=PptoSty[[#This Row],[PiRow]]),"X")))</f>
        <v>PEMX</v>
      </c>
      <c r="P16" s="96" t="s">
        <v>1467</v>
      </c>
      <c r="Q16" s="96" t="s">
        <v>372</v>
      </c>
      <c r="R16" s="204" t="s">
        <v>403</v>
      </c>
      <c r="S16" s="204">
        <v>1</v>
      </c>
      <c r="T16" s="205" t="str" cm="1">
        <f t="array" aca="1" ref="T1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6" s="206" cm="1">
        <f t="array" ref="U16">IFERROR((1/PptoSty[[#This Row],[Division]])*IF(PptoSty[[#This Row],[Sign]]="+",1,-1)*(IF(PptoSty[[#This Row],[POvsCT]]="PO",SUM(_xlfn.CHOOSECOLS(_xlfn._xlws.FILTER(F_RT14[],(IF($M16="X",TRUE,F_RT14[Site]=$M16))*(F_RT14[Measure]=U$4)*(F_RT14[PrjId]=PptoSty[[#This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183469.9886597938</v>
      </c>
      <c r="V16" s="206" cm="1">
        <f t="array" ref="V16">IFERROR((1/PptoSty[[#This Row],[Division]])*IF(PptoSty[[#This Row],[Sign]]="+",1,-1)*(IF(PptoSty[[#This Row],[POvsCT]]="PO",SUM(_xlfn.CHOOSECOLS(_xlfn._xlws.FILTER(F_RT14[],(IF($M16="X",TRUE,F_RT14[Site]=$M16))*(F_RT14[Measure]=V$4)*(F_RT14[PrjId]=PptoSty[[#This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67327.769740800009</v>
      </c>
      <c r="W16" s="206" cm="1">
        <f t="array" ref="W16">IFERROR((1/PptoSty[[#This Row],[Division]])*IF(PptoSty[[#This Row],[Sign]]="+",1,-1)*(IF(PptoSty[[#This Row],[POvsCT]]="PO",SUM(_xlfn.CHOOSECOLS(_xlfn._xlws.FILTER(F_RT14[],(IF($M16="X",TRUE,F_RT14[Site]=$M16))*(F_RT14[Measure]=W$4)*(F_RT14[PrjId]=PptoSty[[#This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118061.58715919999</v>
      </c>
      <c r="X16" s="338" cm="1">
        <f t="array" ref="X16">IFERROR(IF(PptoSty[[#This Row],[Nature]]&lt;&gt;"Hrs",0,(1/PptoSty[[#This Row],[Division]])*IF(PptoSty[[#This Row],[Sign]]="+",1,-1)*(IF(PptoSty[[#This Row],[POvsCT]]="PO",SUM(_xlfn.CHOOSECOLS(_xlfn._xlws.FILTER(F_RT14[],(IF($M16="X",TRUE,F_RT14[Site]=$M16))*(F_RT14[Measure]=X$4)*(F_RT14[PrjId]=PptoSty[[#This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3858.9278350515465</v>
      </c>
      <c r="Y16" s="338" cm="1">
        <f t="array" ref="Y16">IFERROR(IF(PptoSty[[#This Row],[Nature]]&lt;&gt;"Hrs",0,(1/PptoSty[[#This Row],[Division]])*IF(PptoSty[[#This Row],[Sign]]="+",1,-1)*(IF(PptoSty[[#This Row],[POvsCT]]="PO",SUM(_xlfn.CHOOSECOLS(_xlfn._xlws.FILTER(F_RT14[],(IF($M16="X",TRUE,F_RT14[Site]=$M16))*(F_RT14[Measure]=Y$4)*(F_RT14[PrjId]=PptoSty[[#This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1497.2640000000001</v>
      </c>
      <c r="Z16" s="338" cm="1">
        <f t="array" ref="Z16">IFERROR(IF(PptoSty[[#This Row],[Nature]]&lt;&gt;"Hrs",0,(1/PptoSty[[#This Row],[Division]])*IF(PptoSty[[#This Row],[Sign]]="+",1,-1)*(IF(PptoSty[[#This Row],[POvsCT]]="PO",SUM(_xlfn.CHOOSECOLS(_xlfn._xlws.FILTER(F_RT14[],(IF($M16="X",TRUE,F_RT14[Site]=$M16))*(F_RT14[Measure]=Z$4)*(F_RT14[PrjId]=PptoSty[[#This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2245.8959999999997</v>
      </c>
      <c r="AA16" s="206" cm="1">
        <f t="array" aca="1" ref="AA16"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183469.9886597938</v>
      </c>
      <c r="AB16" s="206" cm="1">
        <f t="array" aca="1" ref="AB16"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67327.769740800009</v>
      </c>
      <c r="AC16" s="206" cm="1">
        <f t="array" aca="1" ref="AC16"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118061.58715919999</v>
      </c>
      <c r="AF16" s="212" t="str">
        <v>MATERIAL ELÉCTRICO</v>
      </c>
      <c r="AG16"/>
      <c r="AH16"/>
      <c r="AI16" s="107"/>
      <c r="AK16" s="113"/>
      <c r="AL16" s="113"/>
      <c r="AO16"/>
      <c r="AP16"/>
      <c r="AZ16" s="175"/>
      <c r="BA16" s="175"/>
      <c r="BE16"/>
      <c r="BF16"/>
      <c r="DG16" s="175"/>
      <c r="DH16" s="175"/>
      <c r="DI16" s="175"/>
      <c r="DL16"/>
      <c r="DM16" s="366" t="str" cm="1">
        <f t="array" aca="1" ref="DM1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DN16:DR16</v>
      </c>
      <c r="DN16" s="177" t="s">
        <v>375</v>
      </c>
      <c r="DO16" s="177" t="str" cm="1">
        <f t="array" aca="1" ref="DO16:DR1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16" s="177" t="str">
        <f ca="1"/>
        <v>GESTIÓN PROYECTOS</v>
      </c>
      <c r="DQ16" s="177" t="str">
        <f ca="1"/>
        <v>MONTAJE MECÁNICO</v>
      </c>
      <c r="DR16" s="177" t="str">
        <f ca="1"/>
        <v>ROBÓTICA</v>
      </c>
      <c r="DS16" s="177"/>
      <c r="DT16" s="177"/>
      <c r="DU16" s="177"/>
      <c r="DV16" s="177"/>
      <c r="DW16" s="177"/>
      <c r="DX16" s="177"/>
      <c r="DY16" s="177"/>
      <c r="DZ16" s="177"/>
      <c r="EA16" s="177"/>
      <c r="EB16" s="177"/>
      <c r="EC16" s="177"/>
      <c r="ED16" s="177"/>
      <c r="EE16" s="177"/>
      <c r="EF16" s="177"/>
      <c r="EG16" s="177"/>
      <c r="EH16" s="177"/>
      <c r="EI16" s="177"/>
      <c r="EJ16" s="177"/>
      <c r="EK16" s="177"/>
      <c r="EL16" s="177"/>
      <c r="EM16" s="177"/>
      <c r="EN16" s="177"/>
      <c r="EO16" s="177"/>
      <c r="EP16" s="177"/>
      <c r="EQ16" s="177"/>
      <c r="ER16" s="177"/>
      <c r="ES16" s="177"/>
      <c r="ET16" s="177"/>
      <c r="EU16" s="177"/>
      <c r="EV16" s="177"/>
      <c r="EW16" s="177"/>
      <c r="EX16" s="177"/>
      <c r="EY16" s="177"/>
      <c r="EZ16" s="177"/>
      <c r="FA16" s="177"/>
      <c r="FB16" s="177"/>
      <c r="FC16" s="177"/>
      <c r="FD16"/>
      <c r="FE16"/>
      <c r="FF16"/>
      <c r="FG16"/>
      <c r="FH16"/>
      <c r="FI16"/>
      <c r="FJ16"/>
      <c r="FN16"/>
      <c r="FO16"/>
      <c r="FP16" s="107"/>
      <c r="FQ16" s="107"/>
      <c r="FR16"/>
      <c r="FS16" s="113"/>
      <c r="FT16" s="113"/>
      <c r="FU16" s="113"/>
      <c r="FV16" s="113"/>
      <c r="FW16" s="113"/>
      <c r="FX16" s="113"/>
      <c r="FY16" s="113"/>
      <c r="FZ16" s="113"/>
      <c r="GA16" s="113"/>
      <c r="GB16" s="113"/>
      <c r="GC16" s="113"/>
      <c r="GD16" s="113"/>
      <c r="GE16" s="113"/>
      <c r="GF16" s="113"/>
      <c r="GG16" s="113"/>
      <c r="GH16" s="113"/>
      <c r="GI16" s="113"/>
      <c r="GJ16" s="113"/>
      <c r="GK16" s="113"/>
      <c r="GL16" s="113"/>
      <c r="GM16" s="113"/>
      <c r="GN16" s="113"/>
      <c r="GO16" s="113"/>
      <c r="GP16" s="113"/>
      <c r="GQ16" s="113"/>
      <c r="GR16" s="113"/>
      <c r="GS16" s="113"/>
      <c r="GT16" s="113"/>
      <c r="GU16" s="113"/>
      <c r="GV16" s="113"/>
      <c r="GW16" s="113"/>
      <c r="GX16" s="113"/>
      <c r="GY16" s="113"/>
      <c r="GZ16" s="113"/>
      <c r="HA16" s="113"/>
      <c r="HB16" s="113"/>
      <c r="HC16" s="113"/>
      <c r="HD16" s="113"/>
      <c r="HE16" s="113"/>
      <c r="HF16" s="113"/>
      <c r="HG16" s="113"/>
      <c r="HH16" s="113"/>
      <c r="HI16" s="113"/>
      <c r="HJ16" s="113"/>
      <c r="HK16" s="113"/>
      <c r="HL16" s="113"/>
    </row>
    <row r="17" spans="3:220" ht="13" customHeight="1">
      <c r="C17" s="213">
        <v>45252</v>
      </c>
      <c r="D17" s="213" t="s">
        <v>2114</v>
      </c>
      <c r="E17" s="213" t="s">
        <v>1710</v>
      </c>
      <c r="F17" s="219" t="s">
        <v>375</v>
      </c>
      <c r="G17" s="201" t="s">
        <v>1415</v>
      </c>
      <c r="H17" s="202">
        <v>15</v>
      </c>
      <c r="I17" s="339" t="str" cm="1">
        <f t="array" aca="1" ref="I1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G012</v>
      </c>
      <c r="J17" s="203" t="str" cm="1">
        <f t="array" ref="J17">IF(OR(PptoSty[[#This Row],[Project]]="",PptoSty[[#This Row],[Project]]="X"),"X",_xlfn.UNIQUE(_xlfn._xlws.FILTER(CstGrpS[Nature],ISNUMBER(FIND(SUBSTITUTE(PptoSty[[#This Row],[PiColumn]]," +%",""),UPPER(SUBSTITUTE(CstGrpS[GrpPrv],"  "," ")))),"X")))</f>
        <v>Hrs</v>
      </c>
      <c r="K17" s="96" t="s">
        <v>1421</v>
      </c>
      <c r="L17" s="96" t="s">
        <v>372</v>
      </c>
      <c r="M17" s="96" t="s">
        <v>375</v>
      </c>
      <c r="N17" s="96" t="str" cm="1">
        <f t="array" ref="N17">IF(OR(PptoSty[[#This Row],[Project]]="",PptoSty[[#This Row],[Project]]="X"),"X",_xlfn._xlws.FILTER(TbAssign[RowId],(TbAssign[Project]=PptoSty[[#This Row],[Project]])*(TbAssign[Módulo]=PptoSty[[#This Row],[PptoVsRow]]),"X"))</f>
        <v>XB01</v>
      </c>
      <c r="O17" s="96" t="str" cm="1">
        <f t="array" ref="O17">IF(OR(PptoSty[[#This Row],[Project]]="",PptoSty[[#This Row],[Project]]="X"),"X",_xlfn.UNIQUE(_xlfn._xlws.FILTER(F_RT14[Amortz.],(F_RT14[Measure]="CurPpto")*(F_RT14[PrjId]=PptoSty[[#This Row],[Project]])*(F_RT14[Vrs]=PptoSty[[#This Row],[Vrs]])*(_xlfn.TEXTAFTER(F_RT14[ActGrp],":")=PptoSty[[#This Row],[PiRow]]),"X")))</f>
        <v>DISI</v>
      </c>
      <c r="P17" s="96" t="s">
        <v>430</v>
      </c>
      <c r="Q17" s="96" t="s">
        <v>372</v>
      </c>
      <c r="R17" s="204" t="s">
        <v>403</v>
      </c>
      <c r="S17" s="204">
        <v>1</v>
      </c>
      <c r="T17" s="205" t="str" cm="1">
        <f t="array" aca="1" ref="T1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7" s="206" cm="1">
        <f t="array" ref="U17">IFERROR((1/PptoSty[[#This Row],[Division]])*IF(PptoSty[[#This Row],[Sign]]="+",1,-1)*(IF(PptoSty[[#This Row],[POvsCT]]="PO",SUM(_xlfn.CHOOSECOLS(_xlfn._xlws.FILTER(F_RT14[],(IF($M17="X",TRUE,F_RT14[Site]=$M17))*(F_RT14[Measure]=U$4)*(F_RT14[PrjId]=PptoSty[[#This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35159.003298969074</v>
      </c>
      <c r="V17" s="206" cm="1">
        <f t="array" ref="V17">IFERROR((1/PptoSty[[#This Row],[Division]])*IF(PptoSty[[#This Row],[Sign]]="+",1,-1)*(IF(PptoSty[[#This Row],[POvsCT]]="PO",SUM(_xlfn.CHOOSECOLS(_xlfn._xlws.FILTER(F_RT14[],(IF($M17="X",TRUE,F_RT14[Site]=$M17))*(F_RT14[Measure]=V$4)*(F_RT14[PrjId]=PptoSty[[#This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6451.1294135999997</v>
      </c>
      <c r="W17" s="206" cm="1">
        <f t="array" ref="W17">IFERROR((1/PptoSty[[#This Row],[Division]])*IF(PptoSty[[#This Row],[Sign]]="+",1,-1)*(IF(PptoSty[[#This Row],[POvsCT]]="PO",SUM(_xlfn.CHOOSECOLS(_xlfn._xlws.FILTER(F_RT14[],(IF($M17="X",TRUE,F_RT14[Site]=$M17))*(F_RT14[Measure]=W$4)*(F_RT14[PrjId]=PptoSty[[#This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30166.079780399999</v>
      </c>
      <c r="X17" s="338" cm="1">
        <f t="array" ref="X17">IFERROR(IF(PptoSty[[#This Row],[Nature]]&lt;&gt;"Hrs",0,(1/PptoSty[[#This Row],[Division]])*IF(PptoSty[[#This Row],[Sign]]="+",1,-1)*(IF(PptoSty[[#This Row],[POvsCT]]="PO",SUM(_xlfn.CHOOSECOLS(_xlfn._xlws.FILTER(F_RT14[],(IF($M17="X",TRUE,F_RT14[Site]=$M17))*(F_RT14[Measure]=X$4)*(F_RT14[PrjId]=PptoSty[[#This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739.5</v>
      </c>
      <c r="Y17" s="338" cm="1">
        <f t="array" ref="Y17">IFERROR(IF(PptoSty[[#This Row],[Nature]]&lt;&gt;"Hrs",0,(1/PptoSty[[#This Row],[Division]])*IF(PptoSty[[#This Row],[Sign]]="+",1,-1)*(IF(PptoSty[[#This Row],[POvsCT]]="PO",SUM(_xlfn.CHOOSECOLS(_xlfn._xlws.FILTER(F_RT14[],(IF($M17="X",TRUE,F_RT14[Site]=$M17))*(F_RT14[Measure]=Y$4)*(F_RT14[PrjId]=PptoSty[[#This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143.46299999999999</v>
      </c>
      <c r="Z17" s="338" cm="1">
        <f t="array" ref="Z17">IFERROR(IF(PptoSty[[#This Row],[Nature]]&lt;&gt;"Hrs",0,(1/PptoSty[[#This Row],[Division]])*IF(PptoSty[[#This Row],[Sign]]="+",1,-1)*(IF(PptoSty[[#This Row],[POvsCT]]="PO",SUM(_xlfn.CHOOSECOLS(_xlfn._xlws.FILTER(F_RT14[],(IF($M17="X",TRUE,F_RT14[Site]=$M17))*(F_RT14[Measure]=Z$4)*(F_RT14[PrjId]=PptoSty[[#This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573.85199999999998</v>
      </c>
      <c r="AA17" s="206" cm="1">
        <f t="array" aca="1" ref="AA17"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35159.003298969074</v>
      </c>
      <c r="AB17" s="206" cm="1">
        <f t="array" aca="1" ref="AB17"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6451.1294135999997</v>
      </c>
      <c r="AC17" s="206" cm="1">
        <f t="array" aca="1" ref="AC17"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30166.079780399999</v>
      </c>
      <c r="AF17" s="212" t="str">
        <v>MATERIAL FLUIDOS</v>
      </c>
      <c r="AG17"/>
      <c r="AH17"/>
      <c r="AI17"/>
      <c r="AK17" s="113"/>
      <c r="AO17"/>
      <c r="AP17"/>
      <c r="AZ17" s="175"/>
      <c r="BA17" s="175"/>
      <c r="BE17"/>
      <c r="BF17"/>
      <c r="DG17" s="175"/>
      <c r="DH17" s="175"/>
      <c r="DI17" s="175"/>
      <c r="DL17"/>
      <c r="DM17" s="366" t="str" cm="1">
        <f t="array" aca="1" ref="DM1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DN17:DP17</v>
      </c>
      <c r="DN17" s="177" t="s">
        <v>375</v>
      </c>
      <c r="DO17" s="177" t="str" cm="1">
        <f t="array" aca="1" ref="DO17:DP1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17" s="177" t="str">
        <f ca="1"/>
        <v>ROBÓTICA</v>
      </c>
      <c r="DQ17" s="177"/>
      <c r="DR17" s="177"/>
      <c r="DS17" s="177"/>
      <c r="DT17" s="177"/>
      <c r="DU17" s="177"/>
      <c r="DV17" s="177"/>
      <c r="DW17" s="177"/>
      <c r="DX17" s="177"/>
      <c r="DY17" s="177"/>
      <c r="DZ17" s="177"/>
      <c r="EA17" s="177"/>
      <c r="EB17" s="177"/>
      <c r="EC17" s="177"/>
      <c r="ED17" s="177"/>
      <c r="EE17" s="177"/>
      <c r="EF17" s="177"/>
      <c r="EG17" s="177"/>
      <c r="EH17" s="177"/>
      <c r="EI17" s="177"/>
      <c r="EJ17" s="177"/>
      <c r="EK17" s="177"/>
      <c r="EL17" s="177"/>
      <c r="EM17" s="177"/>
      <c r="EN17" s="177"/>
      <c r="EO17" s="177"/>
      <c r="EP17" s="177"/>
      <c r="EQ17" s="177"/>
      <c r="ER17" s="177"/>
      <c r="ES17" s="177"/>
      <c r="ET17" s="177"/>
      <c r="EU17" s="177"/>
      <c r="EV17" s="177"/>
      <c r="EW17" s="177"/>
      <c r="EX17" s="177"/>
      <c r="EY17" s="177"/>
      <c r="EZ17" s="177"/>
      <c r="FA17" s="177"/>
      <c r="FB17" s="177"/>
      <c r="FC17" s="177"/>
      <c r="FD17"/>
      <c r="FE17"/>
      <c r="FF17"/>
      <c r="FG17"/>
      <c r="FH17"/>
      <c r="FI17"/>
      <c r="FJ17"/>
      <c r="FN17"/>
      <c r="FO17"/>
      <c r="FP17" s="21"/>
      <c r="FQ17" s="21"/>
      <c r="FR17" s="21"/>
      <c r="FS17" s="113"/>
      <c r="FT17" s="113"/>
      <c r="FU17" s="113"/>
      <c r="FV17" s="113"/>
      <c r="FW17" s="113"/>
      <c r="FX17" s="113"/>
      <c r="FY17" s="113"/>
      <c r="FZ17" s="113"/>
      <c r="GA17" s="113"/>
      <c r="GB17" s="113"/>
      <c r="GC17" s="113"/>
      <c r="GD17" s="113"/>
      <c r="GE17" s="113"/>
      <c r="GF17" s="113"/>
      <c r="GG17" s="113"/>
      <c r="GH17" s="113"/>
      <c r="GI17" s="113"/>
      <c r="GJ17" s="113"/>
      <c r="GK17" s="113"/>
      <c r="GL17" s="113"/>
      <c r="GM17" s="113"/>
      <c r="GN17" s="113"/>
      <c r="GO17" s="113"/>
      <c r="GP17" s="113"/>
      <c r="GQ17" s="113"/>
      <c r="GR17" s="113"/>
      <c r="GS17" s="113"/>
      <c r="GT17" s="113"/>
      <c r="GU17" s="113"/>
      <c r="GV17" s="113"/>
      <c r="GW17" s="113"/>
      <c r="GX17" s="113"/>
      <c r="GY17" s="113"/>
      <c r="GZ17" s="113"/>
      <c r="HA17" s="113"/>
      <c r="HB17" s="113"/>
      <c r="HC17" s="113"/>
      <c r="HD17" s="113"/>
      <c r="HE17" s="113"/>
      <c r="HF17" s="113"/>
      <c r="HG17" s="113"/>
      <c r="HH17" s="113"/>
      <c r="HI17" s="113"/>
      <c r="HJ17" s="113"/>
      <c r="HK17" s="113"/>
      <c r="HL17" s="113"/>
    </row>
    <row r="18" spans="3:220" ht="13" customHeight="1">
      <c r="C18" s="213">
        <v>45252</v>
      </c>
      <c r="D18" s="213" t="s">
        <v>2114</v>
      </c>
      <c r="E18" s="213" t="s">
        <v>1710</v>
      </c>
      <c r="F18" s="219" t="s">
        <v>375</v>
      </c>
      <c r="G18" s="201" t="s">
        <v>1415</v>
      </c>
      <c r="H18" s="202">
        <v>15</v>
      </c>
      <c r="I18" s="339" t="str" cm="1">
        <f t="array" aca="1" ref="I1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18" s="203" t="str" cm="1">
        <f t="array" ref="J18">IF(OR(PptoSty[[#This Row],[Project]]="",PptoSty[[#This Row],[Project]]="X"),"X",_xlfn.UNIQUE(_xlfn._xlws.FILTER(CstGrpS[Nature],ISNUMBER(FIND(SUBSTITUTE(PptoSty[[#This Row],[PiColumn]]," +%",""),UPPER(SUBSTITUTE(CstGrpS[GrpPrv],"  "," ")))),"X")))</f>
        <v>Hrs</v>
      </c>
      <c r="K18" s="96" t="s">
        <v>1629</v>
      </c>
      <c r="L18" s="96" t="s">
        <v>379</v>
      </c>
      <c r="M18" s="96" t="s">
        <v>28</v>
      </c>
      <c r="N18" s="96" t="str" cm="1">
        <f t="array" ref="N18">IF(OR(PptoSty[[#This Row],[Project]]="",PptoSty[[#This Row],[Project]]="X"),"X",_xlfn._xlws.FILTER(TbAssign[RowId],(TbAssign[Project]=PptoSty[[#This Row],[Project]])*(TbAssign[Módulo]=PptoSty[[#This Row],[PptoVsRow]]),"X"))</f>
        <v>XC01</v>
      </c>
      <c r="O18" s="96" t="str" cm="1">
        <f t="array" ref="O18">IF(OR(PptoSty[[#This Row],[Project]]="",PptoSty[[#This Row],[Project]]="X"),"X",_xlfn.UNIQUE(_xlfn._xlws.FILTER(F_RT14[Amortz.],(F_RT14[Measure]="CurPpto")*(F_RT14[PrjId]=PptoSty[[#This Row],[Project]])*(F_RT14[Vrs]=PptoSty[[#This Row],[Vrs]])*(_xlfn.TEXTAFTER(F_RT14[ActGrp],":")=PptoSty[[#This Row],[PiRow]]),"X")))</f>
        <v>TOOL</v>
      </c>
      <c r="P18" s="96" t="s">
        <v>1473</v>
      </c>
      <c r="Q18" s="96" t="s">
        <v>1667</v>
      </c>
      <c r="R18" s="204" t="s">
        <v>403</v>
      </c>
      <c r="S18" s="204">
        <v>1</v>
      </c>
      <c r="T18" s="205" cm="1">
        <f t="array" aca="1" ref="T1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18" s="206" cm="1">
        <f t="array" ref="U18">IFERROR((1/PptoSty[[#This Row],[Division]])*IF(PptoSty[[#This Row],[Sign]]="+",1,-1)*(IF(PptoSty[[#This Row],[POvsCT]]="PO",SUM(_xlfn.CHOOSECOLS(_xlfn._xlws.FILTER(F_RT14[],(IF($M18="X",TRUE,F_RT14[Site]=$M18))*(F_RT14[Measure]=U$4)*(F_RT14[PrjId]=PptoSty[[#This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636702.86964329903</v>
      </c>
      <c r="V18" s="206" cm="1">
        <f t="array" ref="V18">IFERROR((1/PptoSty[[#This Row],[Division]])*IF(PptoSty[[#This Row],[Sign]]="+",1,-1)*(IF(PptoSty[[#This Row],[POvsCT]]="PO",SUM(_xlfn.CHOOSECOLS(_xlfn._xlws.FILTER(F_RT14[],(IF($M18="X",TRUE,F_RT14[Site]=$M18))*(F_RT14[Measure]=V$4)*(F_RT14[PrjId]=PptoSty[[#This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44664.995824544472</v>
      </c>
      <c r="W18" s="206" cm="1">
        <f t="array" ref="W18">IFERROR((1/PptoSty[[#This Row],[Division]])*IF(PptoSty[[#This Row],[Sign]]="+",1,-1)*(IF(PptoSty[[#This Row],[POvsCT]]="PO",SUM(_xlfn.CHOOSECOLS(_xlfn._xlws.FILTER(F_RT14[],(IF($M18="X",TRUE,F_RT14[Site]=$M18))*(F_RT14[Measure]=W$4)*(F_RT14[PrjId]=PptoSty[[#This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628282.4842408367</v>
      </c>
      <c r="X18" s="338" cm="1">
        <f t="array" ref="X18">IFERROR(IF(PptoSty[[#This Row],[Nature]]&lt;&gt;"Hrs",0,(1/PptoSty[[#This Row],[Division]])*IF(PptoSty[[#This Row],[Sign]]="+",1,-1)*(IF(PptoSty[[#This Row],[POvsCT]]="PO",SUM(_xlfn.CHOOSECOLS(_xlfn._xlws.FILTER(F_RT14[],(IF($M18="X",TRUE,F_RT14[Site]=$M18))*(F_RT14[Measure]=X$4)*(F_RT14[PrjId]=PptoSty[[#This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10577.692400000002</v>
      </c>
      <c r="Y18" s="338" cm="1">
        <f t="array" ref="Y18">IFERROR(IF(PptoSty[[#This Row],[Nature]]&lt;&gt;"Hrs",0,(1/PptoSty[[#This Row],[Division]])*IF(PptoSty[[#This Row],[Sign]]="+",1,-1)*(IF(PptoSty[[#This Row],[POvsCT]]="PO",SUM(_xlfn.CHOOSECOLS(_xlfn._xlws.FILTER(F_RT14[],(IF($M18="X",TRUE,F_RT14[Site]=$M18))*(F_RT14[Measure]=Y$4)*(F_RT14[PrjId]=PptoSty[[#This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1026.0361628000001</v>
      </c>
      <c r="Z18" s="338" cm="1">
        <f t="array" ref="Z18">IFERROR(IF(PptoSty[[#This Row],[Nature]]&lt;&gt;"Hrs",0,(1/PptoSty[[#This Row],[Division]])*IF(PptoSty[[#This Row],[Sign]]="+",1,-1)*(IF(PptoSty[[#This Row],[POvsCT]]="PO",SUM(_xlfn.CHOOSECOLS(_xlfn._xlws.FILTER(F_RT14[],(IF($M18="X",TRUE,F_RT14[Site]=$M18))*(F_RT14[Measure]=Z$4)*(F_RT14[PrjId]=PptoSty[[#This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9234.3254651999996</v>
      </c>
      <c r="AA18" s="206" cm="1">
        <f t="array" aca="1" ref="AA18"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636702.86964329903</v>
      </c>
      <c r="AB18" s="206" cm="1">
        <f t="array" aca="1" ref="AB18"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44664.995824544472</v>
      </c>
      <c r="AC18" s="206" cm="1">
        <f t="array" aca="1" ref="AC18"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628282.4842408367</v>
      </c>
      <c r="AF18" s="212" t="str">
        <v>MATERIAL MECÁNICO (SOLO COMERCIO)</v>
      </c>
      <c r="AG18"/>
      <c r="AH18"/>
      <c r="AI18"/>
      <c r="AK18" s="113"/>
      <c r="AO18"/>
      <c r="AP18"/>
      <c r="AZ18" s="175"/>
      <c r="BA18" s="175"/>
      <c r="BE18"/>
      <c r="BF18"/>
      <c r="DG18" s="175"/>
      <c r="DH18" s="175"/>
      <c r="DI18" s="175"/>
      <c r="DL18"/>
      <c r="DM18" s="366" t="str" cm="1">
        <f t="array" aca="1" ref="DM1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DN18:DX18</v>
      </c>
      <c r="DN18" s="177" t="s">
        <v>375</v>
      </c>
      <c r="DO18" s="177" t="str" cm="1">
        <f t="array" aca="1" ref="DO18:DX1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18" s="177" t="str">
        <f ca="1"/>
        <v>DISEÑO MECÁNICO</v>
      </c>
      <c r="DQ18" s="177" t="str">
        <f ca="1"/>
        <v>FABRICACIÓN ELÉCTRICA</v>
      </c>
      <c r="DR18" s="177" t="str">
        <f ca="1"/>
        <v>FABRICACIÓN MECÁNICA</v>
      </c>
      <c r="DS18" s="177" t="str">
        <f ca="1"/>
        <v>INSTALACIÓN ENR</v>
      </c>
      <c r="DT18" s="177" t="str">
        <f ca="1"/>
        <v>MATERIAL ELÉCTRICO +%</v>
      </c>
      <c r="DU18" s="177" t="str">
        <f ca="1"/>
        <v>MATERIAL FLUIDOS +%</v>
      </c>
      <c r="DV18" s="177" t="str">
        <f ca="1"/>
        <v>MATERIAL MECÁNICO +%</v>
      </c>
      <c r="DW18" s="177" t="str">
        <f ca="1"/>
        <v>METROLOGÍA</v>
      </c>
      <c r="DX18" s="177" t="str">
        <f ca="1"/>
        <v>MONTAJE MECÁNICO</v>
      </c>
      <c r="DY18" s="177"/>
      <c r="DZ18" s="177"/>
      <c r="EA18" s="177"/>
      <c r="EB18" s="177"/>
      <c r="EC18" s="177"/>
      <c r="ED18" s="177"/>
    </row>
    <row r="19" spans="3:220" ht="13" customHeight="1">
      <c r="C19" s="213">
        <v>45252</v>
      </c>
      <c r="D19" s="213" t="s">
        <v>2114</v>
      </c>
      <c r="E19" s="213" t="s">
        <v>1710</v>
      </c>
      <c r="F19" s="219" t="s">
        <v>375</v>
      </c>
      <c r="G19" s="201" t="s">
        <v>1415</v>
      </c>
      <c r="H19" s="202">
        <v>15</v>
      </c>
      <c r="I19" s="339" t="str" cm="1">
        <f t="array" aca="1" ref="I1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19" s="203" t="str" cm="1">
        <f t="array" ref="J19">IF(OR(PptoSty[[#This Row],[Project]]="",PptoSty[[#This Row],[Project]]="X"),"X",_xlfn.UNIQUE(_xlfn._xlws.FILTER(CstGrpS[Nature],ISNUMBER(FIND(SUBSTITUTE(PptoSty[[#This Row],[PiColumn]]," +%",""),UPPER(SUBSTITUTE(CstGrpS[GrpPrv],"  "," ")))),"X")))</f>
        <v>Hrs</v>
      </c>
      <c r="K19" s="96" t="s">
        <v>1629</v>
      </c>
      <c r="L19" s="96" t="s">
        <v>380</v>
      </c>
      <c r="M19" s="96" t="s">
        <v>28</v>
      </c>
      <c r="N19" s="96" t="str" cm="1">
        <f t="array" ref="N19">IF(OR(PptoSty[[#This Row],[Project]]="",PptoSty[[#This Row],[Project]]="X"),"X",_xlfn._xlws.FILTER(TbAssign[RowId],(TbAssign[Project]=PptoSty[[#This Row],[Project]])*(TbAssign[Módulo]=PptoSty[[#This Row],[PptoVsRow]]),"X"))</f>
        <v>XC01</v>
      </c>
      <c r="O19" s="96" t="str" cm="1">
        <f t="array" ref="O19">IF(OR(PptoSty[[#This Row],[Project]]="",PptoSty[[#This Row],[Project]]="X"),"X",_xlfn.UNIQUE(_xlfn._xlws.FILTER(F_RT14[Amortz.],(F_RT14[Measure]="CurPpto")*(F_RT14[PrjId]=PptoSty[[#This Row],[Project]])*(F_RT14[Vrs]=PptoSty[[#This Row],[Vrs]])*(_xlfn.TEXTAFTER(F_RT14[ActGrp],":")=PptoSty[[#This Row],[PiRow]]),"X")))</f>
        <v>TOOL</v>
      </c>
      <c r="P19" s="96" t="s">
        <v>1473</v>
      </c>
      <c r="Q19" s="96" t="s">
        <v>1667</v>
      </c>
      <c r="R19" s="204" t="s">
        <v>403</v>
      </c>
      <c r="S19" s="204">
        <v>1</v>
      </c>
      <c r="T19" s="205" cm="1">
        <f t="array" aca="1" ref="T1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19" s="206" cm="1">
        <f t="array" ref="U19">IFERROR((1/PptoSty[[#This Row],[Division]])*IF(PptoSty[[#This Row],[Sign]]="+",1,-1)*(IF(PptoSty[[#This Row],[POvsCT]]="PO",SUM(_xlfn.CHOOSECOLS(_xlfn._xlws.FILTER(F_RT14[],(IF($M19="X",TRUE,F_RT14[Site]=$M19))*(F_RT14[Measure]=U$4)*(F_RT14[PrjId]=PptoSty[[#This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96565.07484536081</v>
      </c>
      <c r="V19" s="206" cm="1">
        <f t="array" ref="V19">IFERROR((1/PptoSty[[#This Row],[Division]])*IF(PptoSty[[#This Row],[Sign]]="+",1,-1)*(IF(PptoSty[[#This Row],[POvsCT]]="PO",SUM(_xlfn.CHOOSECOLS(_xlfn._xlws.FILTER(F_RT14[],(IF($M19="X",TRUE,F_RT14[Site]=$M19))*(F_RT14[Measure]=V$4)*(F_RT14[PrjId]=PptoSty[[#This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29658.525040912493</v>
      </c>
      <c r="W19" s="206" cm="1">
        <f t="array" ref="W19">IFERROR((1/PptoSty[[#This Row],[Division]])*IF(PptoSty[[#This Row],[Sign]]="+",1,-1)*(IF(PptoSty[[#This Row],[POvsCT]]="PO",SUM(_xlfn.CHOOSECOLS(_xlfn._xlws.FILTER(F_RT14[],(IF($M19="X",TRUE,F_RT14[Site]=$M19))*(F_RT14[Measure]=W$4)*(F_RT14[PrjId]=PptoSty[[#This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80731.463347372483</v>
      </c>
      <c r="X19" s="338" cm="1">
        <f t="array" ref="X19">IFERROR(IF(PptoSty[[#This Row],[Nature]]&lt;&gt;"Hrs",0,(1/PptoSty[[#This Row],[Division]])*IF(PptoSty[[#This Row],[Sign]]="+",1,-1)*(IF(PptoSty[[#This Row],[POvsCT]]="PO",SUM(_xlfn.CHOOSECOLS(_xlfn._xlws.FILTER(F_RT14[],(IF($M19="X",TRUE,F_RT14[Site]=$M19))*(F_RT14[Measure]=X$4)*(F_RT14[PrjId]=PptoSty[[#This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3189.0900000000006</v>
      </c>
      <c r="Y19" s="338" cm="1">
        <f t="array" ref="Y19">IFERROR(IF(PptoSty[[#This Row],[Nature]]&lt;&gt;"Hrs",0,(1/PptoSty[[#This Row],[Division]])*IF(PptoSty[[#This Row],[Sign]]="+",1,-1)*(IF(PptoSty[[#This Row],[POvsCT]]="PO",SUM(_xlfn.CHOOSECOLS(_xlfn._xlws.FILTER(F_RT14[],(IF($M19="X",TRUE,F_RT14[Site]=$M19))*(F_RT14[Measure]=Y$4)*(F_RT14[PrjId]=PptoSty[[#This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773.35432500000002</v>
      </c>
      <c r="Z19" s="338" cm="1">
        <f t="array" ref="Z19">IFERROR(IF(PptoSty[[#This Row],[Nature]]&lt;&gt;"Hrs",0,(1/PptoSty[[#This Row],[Division]])*IF(PptoSty[[#This Row],[Sign]]="+",1,-1)*(IF(PptoSty[[#This Row],[POvsCT]]="PO",SUM(_xlfn.CHOOSECOLS(_xlfn._xlws.FILTER(F_RT14[],(IF($M19="X",TRUE,F_RT14[Site]=$M19))*(F_RT14[Measure]=Z$4)*(F_RT14[PrjId]=PptoSty[[#This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2320.0629749999998</v>
      </c>
      <c r="AA19" s="206" cm="1">
        <f t="array" aca="1" ref="AA19"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733267.94448865985</v>
      </c>
      <c r="AB19" s="206" cm="1">
        <f t="array" aca="1" ref="AB19"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74323.520865456958</v>
      </c>
      <c r="AC19" s="206" cm="1">
        <f t="array" aca="1" ref="AC19"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709013.94758820918</v>
      </c>
      <c r="AF19" s="212" t="str">
        <v>METROLOGÍA</v>
      </c>
      <c r="AG19"/>
      <c r="AH19"/>
      <c r="AI19"/>
      <c r="AK19" s="113"/>
      <c r="AO19"/>
      <c r="AP19"/>
      <c r="AZ19" s="175"/>
      <c r="BA19" s="175"/>
      <c r="BE19"/>
      <c r="BF19"/>
      <c r="DG19" s="175"/>
      <c r="DH19" s="175"/>
      <c r="DI19" s="175"/>
      <c r="DL19" s="108"/>
      <c r="DM19" s="366" t="str" cm="1">
        <f t="array" aca="1" ref="DM19"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DN19:DX19</v>
      </c>
      <c r="DN19" s="177" t="s">
        <v>375</v>
      </c>
      <c r="DO19" s="177" t="str" cm="1">
        <f t="array" aca="1" ref="DO19:DX19"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19" s="177" t="str">
        <f ca="1"/>
        <v>DISEÑO MECÁNICO</v>
      </c>
      <c r="DQ19" s="177" t="str">
        <f ca="1"/>
        <v>FABRICACIÓN ELÉCTRICA</v>
      </c>
      <c r="DR19" s="177" t="str">
        <f ca="1"/>
        <v>FABRICACIÓN MECÁNICA</v>
      </c>
      <c r="DS19" s="177" t="str">
        <f ca="1"/>
        <v>INSTALACIÓN ENR</v>
      </c>
      <c r="DT19" s="177" t="str">
        <f ca="1"/>
        <v>MATERIAL ELÉCTRICO +%</v>
      </c>
      <c r="DU19" s="177" t="str">
        <f ca="1"/>
        <v>MATERIAL FLUIDOS +%</v>
      </c>
      <c r="DV19" s="177" t="str">
        <f ca="1"/>
        <v>MATERIAL MECÁNICO +%</v>
      </c>
      <c r="DW19" s="177" t="str">
        <f ca="1"/>
        <v>METROLOGÍA</v>
      </c>
      <c r="DX19" s="177" t="str">
        <f ca="1"/>
        <v>MONTAJE MECÁNICO</v>
      </c>
      <c r="DY19" s="177"/>
      <c r="DZ19" s="177"/>
      <c r="EA19" s="177"/>
      <c r="EB19" s="177"/>
      <c r="EC19" s="177"/>
      <c r="ED19" s="177"/>
    </row>
    <row r="20" spans="3:220" ht="13" customHeight="1">
      <c r="C20" s="213">
        <v>45252</v>
      </c>
      <c r="D20" s="213" t="s">
        <v>2114</v>
      </c>
      <c r="E20" s="213" t="s">
        <v>1710</v>
      </c>
      <c r="F20" s="219" t="s">
        <v>375</v>
      </c>
      <c r="G20" s="201" t="s">
        <v>1415</v>
      </c>
      <c r="H20" s="202">
        <v>15</v>
      </c>
      <c r="I20" s="339" t="str" cm="1">
        <f t="array" aca="1" ref="I2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20" s="203" t="str" cm="1">
        <f t="array" ref="J20">IF(OR(PptoSty[[#This Row],[Project]]="",PptoSty[[#This Row],[Project]]="X"),"X",_xlfn.UNIQUE(_xlfn._xlws.FILTER(CstGrpS[Nature],ISNUMBER(FIND(SUBSTITUTE(PptoSty[[#This Row],[PiColumn]]," +%",""),UPPER(SUBSTITUTE(CstGrpS[GrpPrv],"  "," ")))),"X")))</f>
        <v>Hrs</v>
      </c>
      <c r="K20" s="96" t="s">
        <v>1629</v>
      </c>
      <c r="L20" s="96" t="s">
        <v>373</v>
      </c>
      <c r="M20" s="96" t="s">
        <v>28</v>
      </c>
      <c r="N20" s="96" t="str" cm="1">
        <f t="array" ref="N20">IF(OR(PptoSty[[#This Row],[Project]]="",PptoSty[[#This Row],[Project]]="X"),"X",_xlfn._xlws.FILTER(TbAssign[RowId],(TbAssign[Project]=PptoSty[[#This Row],[Project]])*(TbAssign[Módulo]=PptoSty[[#This Row],[PptoVsRow]]),"X"))</f>
        <v>XC01</v>
      </c>
      <c r="O20" s="96" t="str" cm="1">
        <f t="array" ref="O20">IF(OR(PptoSty[[#This Row],[Project]]="",PptoSty[[#This Row],[Project]]="X"),"X",_xlfn.UNIQUE(_xlfn._xlws.FILTER(F_RT14[Amortz.],(F_RT14[Measure]="CurPpto")*(F_RT14[PrjId]=PptoSty[[#This Row],[Project]])*(F_RT14[Vrs]=PptoSty[[#This Row],[Vrs]])*(_xlfn.TEXTAFTER(F_RT14[ActGrp],":")=PptoSty[[#This Row],[PiRow]]),"X")))</f>
        <v>TOOL</v>
      </c>
      <c r="P20" s="96" t="s">
        <v>1473</v>
      </c>
      <c r="Q20" s="96" t="s">
        <v>1667</v>
      </c>
      <c r="R20" s="204" t="s">
        <v>403</v>
      </c>
      <c r="S20" s="204">
        <v>1</v>
      </c>
      <c r="T20" s="205" cm="1">
        <f t="array" aca="1" ref="T2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20" s="206" cm="1">
        <f t="array" ref="U20">IFERROR((1/PptoSty[[#This Row],[Division]])*IF(PptoSty[[#This Row],[Sign]]="+",1,-1)*(IF(PptoSty[[#This Row],[POvsCT]]="PO",SUM(_xlfn.CHOOSECOLS(_xlfn._xlws.FILTER(F_RT14[],(IF($M20="X",TRUE,F_RT14[Site]=$M20))*(F_RT14[Measure]=U$4)*(F_RT14[PrjId]=PptoSty[[#This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64211.137422680418</v>
      </c>
      <c r="V20" s="206" cm="1">
        <f t="array" ref="V20">IFERROR((1/PptoSty[[#This Row],[Division]])*IF(PptoSty[[#This Row],[Sign]]="+",1,-1)*(IF(PptoSty[[#This Row],[POvsCT]]="PO",SUM(_xlfn.CHOOSECOLS(_xlfn._xlws.FILTER(F_RT14[],(IF($M20="X",TRUE,F_RT14[Site]=$M20))*(F_RT14[Measure]=V$4)*(F_RT14[PrjId]=PptoSty[[#This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54041.277873515632</v>
      </c>
      <c r="W20" s="206" cm="1">
        <f t="array" ref="W20">IFERROR((1/PptoSty[[#This Row],[Division]])*IF(PptoSty[[#This Row],[Sign]]="+",1,-1)*(IF(PptoSty[[#This Row],[POvsCT]]="PO",SUM(_xlfn.CHOOSECOLS(_xlfn._xlws.FILTER(F_RT14[],(IF($M20="X",TRUE,F_RT14[Site]=$M20))*(F_RT14[Measure]=W$4)*(F_RT14[PrjId]=PptoSty[[#This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10758.590342499998</v>
      </c>
      <c r="X20" s="338" cm="1">
        <f t="array" ref="X20">IFERROR(IF(PptoSty[[#This Row],[Nature]]&lt;&gt;"Hrs",0,(1/PptoSty[[#This Row],[Division]])*IF(PptoSty[[#This Row],[Sign]]="+",1,-1)*(IF(PptoSty[[#This Row],[POvsCT]]="PO",SUM(_xlfn.CHOOSECOLS(_xlfn._xlws.FILTER(F_RT14[],(IF($M20="X",TRUE,F_RT14[Site]=$M20))*(F_RT14[Measure]=X$4)*(F_RT14[PrjId]=PptoSty[[#This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1383.5937500000007</v>
      </c>
      <c r="Y20" s="338" cm="1">
        <f t="array" ref="Y20">IFERROR(IF(PptoSty[[#This Row],[Nature]]&lt;&gt;"Hrs",0,(1/PptoSty[[#This Row],[Division]])*IF(PptoSty[[#This Row],[Sign]]="+",1,-1)*(IF(PptoSty[[#This Row],[POvsCT]]="PO",SUM(_xlfn.CHOOSECOLS(_xlfn._xlws.FILTER(F_RT14[],(IF($M20="X",TRUE,F_RT14[Site]=$M20))*(F_RT14[Measure]=Y$4)*(F_RT14[PrjId]=PptoSty[[#This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1207.8773437500001</v>
      </c>
      <c r="Z20" s="338" cm="1">
        <f t="array" ref="Z20">IFERROR(IF(PptoSty[[#This Row],[Nature]]&lt;&gt;"Hrs",0,(1/PptoSty[[#This Row],[Division]])*IF(PptoSty[[#This Row],[Sign]]="+",1,-1)*(IF(PptoSty[[#This Row],[POvsCT]]="PO",SUM(_xlfn.CHOOSECOLS(_xlfn._xlws.FILTER(F_RT14[],(IF($M20="X",TRUE,F_RT14[Site]=$M20))*(F_RT14[Measure]=Z$4)*(F_RT14[PrjId]=PptoSty[[#This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134.20859375000001</v>
      </c>
      <c r="AA20" s="206" cm="1">
        <f t="array" aca="1" ref="AA20"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797479.08191134024</v>
      </c>
      <c r="AB20" s="206" cm="1">
        <f t="array" aca="1" ref="AB20"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128364.79873897259</v>
      </c>
      <c r="AC20" s="206" cm="1">
        <f t="array" aca="1" ref="AC20"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719772.53793070919</v>
      </c>
      <c r="AF20" s="212" t="str">
        <v>MONTAJE MECÁNICO</v>
      </c>
      <c r="AG20"/>
      <c r="AH20"/>
      <c r="AI20" s="21"/>
      <c r="AJ20" s="21"/>
      <c r="AK20" s="175"/>
      <c r="AL20" s="176"/>
      <c r="AM20" s="179"/>
      <c r="AN20" s="176"/>
      <c r="AO20"/>
      <c r="AP20" s="21"/>
      <c r="AQ20" s="176"/>
      <c r="AR20" s="176"/>
      <c r="AS20" s="176"/>
      <c r="AT20" s="176"/>
      <c r="AU20" s="176"/>
      <c r="AV20" s="176"/>
      <c r="AW20" s="176"/>
      <c r="AX20" s="176"/>
      <c r="AY20" s="176"/>
      <c r="AZ20" s="176"/>
      <c r="BA20" s="176"/>
      <c r="BB20" s="176"/>
      <c r="BC20" s="176"/>
      <c r="BD20" s="176"/>
      <c r="BE20"/>
      <c r="BF20" s="21"/>
      <c r="BG20" s="176"/>
      <c r="BH20" s="176"/>
      <c r="BI20" s="176"/>
      <c r="BJ20" s="176"/>
      <c r="BK20" s="176"/>
      <c r="BL20" s="176"/>
      <c r="BM20" s="176"/>
      <c r="BN20" s="176"/>
      <c r="BO20" s="176"/>
      <c r="BP20" s="176"/>
      <c r="BQ20" s="176"/>
      <c r="BR20" s="176"/>
      <c r="BS20" s="176"/>
      <c r="BT20" s="176"/>
      <c r="BU20" s="176"/>
      <c r="BV20" s="176"/>
      <c r="BW20" s="176"/>
      <c r="BX20" s="176"/>
      <c r="BY20" s="176"/>
      <c r="BZ20" s="176"/>
      <c r="CA20" s="176"/>
      <c r="CB20" s="176"/>
      <c r="CC20" s="176"/>
      <c r="CD20" s="176"/>
      <c r="CE20" s="176"/>
      <c r="CF20" s="176"/>
      <c r="CG20" s="176"/>
      <c r="CH20" s="176"/>
      <c r="CI20" s="176"/>
      <c r="CJ20" s="176"/>
      <c r="CK20" s="176"/>
      <c r="CL20" s="176"/>
      <c r="CM20" s="176"/>
      <c r="CN20" s="176"/>
      <c r="CO20" s="176"/>
      <c r="CP20" s="176"/>
      <c r="CQ20" s="176"/>
      <c r="CR20" s="176"/>
      <c r="CS20" s="176"/>
      <c r="CT20" s="176"/>
      <c r="CU20" s="176"/>
      <c r="CV20" s="176"/>
      <c r="CW20" s="176"/>
      <c r="CX20" s="176"/>
      <c r="CY20" s="176"/>
      <c r="CZ20" s="176"/>
      <c r="DA20" s="176"/>
      <c r="DB20" s="176"/>
      <c r="DC20" s="176"/>
      <c r="DD20" s="176"/>
      <c r="DE20" s="176"/>
      <c r="DF20" s="176"/>
      <c r="DG20" s="176"/>
      <c r="DH20" s="176"/>
      <c r="DI20" s="176"/>
      <c r="DJ20" s="176"/>
      <c r="DK20" s="176"/>
      <c r="DL20"/>
      <c r="DM20" s="366" t="str" cm="1">
        <f t="array" aca="1" ref="DM20"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DN20:DX20</v>
      </c>
      <c r="DN20" s="177" t="s">
        <v>375</v>
      </c>
      <c r="DO20" s="177" t="str" cm="1">
        <f t="array" aca="1" ref="DO20:DX20"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20" s="177" t="str">
        <f ca="1"/>
        <v>DISEÑO MECÁNICO</v>
      </c>
      <c r="DQ20" s="177" t="str">
        <f ca="1"/>
        <v>FABRICACIÓN ELÉCTRICA</v>
      </c>
      <c r="DR20" s="177" t="str">
        <f ca="1"/>
        <v>FABRICACIÓN MECÁNICA</v>
      </c>
      <c r="DS20" s="177" t="str">
        <f ca="1"/>
        <v>INSTALACIÓN ENR</v>
      </c>
      <c r="DT20" s="177" t="str">
        <f ca="1"/>
        <v>MATERIAL ELÉCTRICO +%</v>
      </c>
      <c r="DU20" s="177" t="str">
        <f ca="1"/>
        <v>MATERIAL FLUIDOS +%</v>
      </c>
      <c r="DV20" s="177" t="str">
        <f ca="1"/>
        <v>MATERIAL MECÁNICO +%</v>
      </c>
      <c r="DW20" s="177" t="str">
        <f ca="1"/>
        <v>METROLOGÍA</v>
      </c>
      <c r="DX20" s="177" t="str">
        <f ca="1"/>
        <v>MONTAJE MECÁNICO</v>
      </c>
      <c r="DY20" s="177"/>
      <c r="DZ20" s="177"/>
      <c r="EA20" s="177"/>
      <c r="EB20" s="177"/>
      <c r="EC20" s="177"/>
      <c r="ED20" s="177"/>
    </row>
    <row r="21" spans="3:220" ht="13" customHeight="1">
      <c r="C21" s="213">
        <v>45252</v>
      </c>
      <c r="D21" s="213" t="s">
        <v>2114</v>
      </c>
      <c r="E21" s="213" t="s">
        <v>1710</v>
      </c>
      <c r="F21" s="219" t="s">
        <v>375</v>
      </c>
      <c r="G21" s="201" t="s">
        <v>1415</v>
      </c>
      <c r="H21" s="202">
        <v>15</v>
      </c>
      <c r="I21" s="339" t="str" cm="1">
        <f t="array" aca="1" ref="I2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X002</v>
      </c>
      <c r="J21" s="203" t="str" cm="1">
        <f t="array" ref="J21">IF(OR(PptoSty[[#This Row],[Project]]="",PptoSty[[#This Row],[Project]]="X"),"X",_xlfn.UNIQUE(_xlfn._xlws.FILTER(CstGrpS[Nature],ISNUMBER(FIND(SUBSTITUTE(PptoSty[[#This Row],[PiColumn]]," +%",""),UPPER(SUBSTITUTE(CstGrpS[GrpPrv],"  "," ")))),"X")))</f>
        <v>Hrs</v>
      </c>
      <c r="K21" s="96" t="s">
        <v>1628</v>
      </c>
      <c r="L21" s="96" t="s">
        <v>373</v>
      </c>
      <c r="M21" s="96" t="s">
        <v>28</v>
      </c>
      <c r="N21" s="96" t="str" cm="1">
        <f t="array" ref="N21">IF(OR(PptoSty[[#This Row],[Project]]="",PptoSty[[#This Row],[Project]]="X"),"X",_xlfn._xlws.FILTER(TbAssign[RowId],(TbAssign[Project]=PptoSty[[#This Row],[Project]])*(TbAssign[Módulo]=PptoSty[[#This Row],[PptoVsRow]]),"X"))</f>
        <v>XC01</v>
      </c>
      <c r="O21" s="96" t="str" cm="1">
        <f t="array" ref="O21">IF(OR(PptoSty[[#This Row],[Project]]="",PptoSty[[#This Row],[Project]]="X"),"X",_xlfn.UNIQUE(_xlfn._xlws.FILTER(F_RT14[Amortz.],(F_RT14[Measure]="CurPpto")*(F_RT14[PrjId]=PptoSty[[#This Row],[Project]])*(F_RT14[Vrs]=PptoSty[[#This Row],[Vrs]])*(_xlfn.TEXTAFTER(F_RT14[ActGrp],":")=PptoSty[[#This Row],[PiRow]]),"X")))</f>
        <v>CELL</v>
      </c>
      <c r="P21" s="96" t="s">
        <v>1473</v>
      </c>
      <c r="Q21" s="96" t="s">
        <v>1667</v>
      </c>
      <c r="R21" s="204" t="s">
        <v>403</v>
      </c>
      <c r="S21" s="204">
        <v>1</v>
      </c>
      <c r="T21" s="205" cm="1">
        <f t="array" aca="1" ref="T2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21" s="206" cm="1">
        <f t="array" ref="U21">IFERROR((1/PptoSty[[#This Row],[Division]])*IF(PptoSty[[#This Row],[Sign]]="+",1,-1)*(IF(PptoSty[[#This Row],[POvsCT]]="PO",SUM(_xlfn.CHOOSECOLS(_xlfn._xlws.FILTER(F_RT14[],(IF($M21="X",TRUE,F_RT14[Site]=$M21))*(F_RT14[Measure]=U$4)*(F_RT14[PrjId]=PptoSty[[#This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384.61422680412375</v>
      </c>
      <c r="V21" s="206" cm="1">
        <f t="array" ref="V21">IFERROR((1/PptoSty[[#This Row],[Division]])*IF(PptoSty[[#This Row],[Sign]]="+",1,-1)*(IF(PptoSty[[#This Row],[POvsCT]]="PO",SUM(_xlfn.CHOOSECOLS(_xlfn._xlws.FILTER(F_RT14[],(IF($M21="X",TRUE,F_RT14[Site]=$M21))*(F_RT14[Measure]=V$4)*(F_RT14[PrjId]=PptoSty[[#This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323.69840524124999</v>
      </c>
      <c r="W21" s="206" cm="1">
        <f t="array" ref="W21">IFERROR((1/PptoSty[[#This Row],[Division]])*IF(PptoSty[[#This Row],[Sign]]="+",1,-1)*(IF(PptoSty[[#This Row],[POvsCT]]="PO",SUM(_xlfn.CHOOSECOLS(_xlfn._xlws.FILTER(F_RT14[],(IF($M21="X",TRUE,F_RT14[Site]=$M21))*(F_RT14[Measure]=W$4)*(F_RT14[PrjId]=PptoSty[[#This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64.442194439999994</v>
      </c>
      <c r="X21" s="338" cm="1">
        <f t="array" ref="X21">IFERROR(IF(PptoSty[[#This Row],[Nature]]&lt;&gt;"Hrs",0,(1/PptoSty[[#This Row],[Division]])*IF(PptoSty[[#This Row],[Sign]]="+",1,-1)*(IF(PptoSty[[#This Row],[POvsCT]]="PO",SUM(_xlfn.CHOOSECOLS(_xlfn._xlws.FILTER(F_RT14[],(IF($M21="X",TRUE,F_RT14[Site]=$M21))*(F_RT14[Measure]=X$4)*(F_RT14[PrjId]=PptoSty[[#This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8.2875000000000014</v>
      </c>
      <c r="Y21" s="338" cm="1">
        <f t="array" ref="Y21">IFERROR(IF(PptoSty[[#This Row],[Nature]]&lt;&gt;"Hrs",0,(1/PptoSty[[#This Row],[Division]])*IF(PptoSty[[#This Row],[Sign]]="+",1,-1)*(IF(PptoSty[[#This Row],[POvsCT]]="PO",SUM(_xlfn.CHOOSECOLS(_xlfn._xlws.FILTER(F_RT14[],(IF($M21="X",TRUE,F_RT14[Site]=$M21))*(F_RT14[Measure]=Y$4)*(F_RT14[PrjId]=PptoSty[[#This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7.2349875000000008</v>
      </c>
      <c r="Z21" s="338" cm="1">
        <f t="array" ref="Z21">IFERROR(IF(PptoSty[[#This Row],[Nature]]&lt;&gt;"Hrs",0,(1/PptoSty[[#This Row],[Division]])*IF(PptoSty[[#This Row],[Sign]]="+",1,-1)*(IF(PptoSty[[#This Row],[POvsCT]]="PO",SUM(_xlfn.CHOOSECOLS(_xlfn._xlws.FILTER(F_RT14[],(IF($M21="X",TRUE,F_RT14[Site]=$M21))*(F_RT14[Measure]=Z$4)*(F_RT14[PrjId]=PptoSty[[#This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0.80388749999999987</v>
      </c>
      <c r="AA21" s="206" cm="1">
        <f t="array" aca="1" ref="AA21"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797863.69613814435</v>
      </c>
      <c r="AB21" s="206" cm="1">
        <f t="array" aca="1" ref="AB21"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128688.49714421383</v>
      </c>
      <c r="AC21" s="206" cm="1">
        <f t="array" aca="1" ref="AC21"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719836.98012514925</v>
      </c>
      <c r="AF21" s="212" t="str">
        <v>ROBCAD</v>
      </c>
      <c r="AG21"/>
      <c r="AH21"/>
      <c r="AI21" s="21"/>
      <c r="AJ21" s="21"/>
      <c r="AK21" s="175"/>
      <c r="AL21" s="176"/>
      <c r="AM21" s="179"/>
      <c r="AN21" s="176"/>
      <c r="AO21"/>
      <c r="AP21" s="21"/>
      <c r="AQ21" s="176"/>
      <c r="AR21" s="176"/>
      <c r="AS21" s="176"/>
      <c r="AT21" s="176"/>
      <c r="AU21" s="176"/>
      <c r="AV21" s="176"/>
      <c r="AW21" s="176"/>
      <c r="AX21" s="176"/>
      <c r="AY21" s="176"/>
      <c r="AZ21" s="176"/>
      <c r="BA21" s="176"/>
      <c r="BB21" s="176"/>
      <c r="BC21" s="176"/>
      <c r="BD21" s="176"/>
      <c r="BE21"/>
      <c r="BF21" s="21"/>
      <c r="BG21" s="176"/>
      <c r="BH21" s="176"/>
      <c r="BI21" s="176"/>
      <c r="BJ21" s="176"/>
      <c r="BK21" s="176"/>
      <c r="BL21" s="176"/>
      <c r="BM21" s="176"/>
      <c r="BN21" s="176"/>
      <c r="BO21" s="176"/>
      <c r="BP21" s="176"/>
      <c r="BQ21" s="176"/>
      <c r="BR21" s="176"/>
      <c r="BS21" s="176"/>
      <c r="BT21" s="176"/>
      <c r="BU21" s="176"/>
      <c r="BV21" s="176"/>
      <c r="BW21" s="176"/>
      <c r="BX21" s="176"/>
      <c r="BY21" s="176"/>
      <c r="BZ21" s="176"/>
      <c r="CA21" s="176"/>
      <c r="CB21" s="176"/>
      <c r="CC21" s="176"/>
      <c r="CD21" s="176"/>
      <c r="CE21" s="176"/>
      <c r="CF21" s="176"/>
      <c r="CG21" s="176"/>
      <c r="CH21" s="176"/>
      <c r="CI21" s="176"/>
      <c r="CJ21" s="176"/>
      <c r="CK21" s="176"/>
      <c r="CL21" s="176"/>
      <c r="CM21" s="176"/>
      <c r="CN21" s="176"/>
      <c r="CO21" s="176"/>
      <c r="CP21" s="176"/>
      <c r="CQ21" s="176"/>
      <c r="CR21" s="176"/>
      <c r="CS21" s="176"/>
      <c r="CT21" s="176"/>
      <c r="CU21" s="176"/>
      <c r="CV21" s="176"/>
      <c r="CW21" s="176"/>
      <c r="CX21" s="176"/>
      <c r="CY21" s="176"/>
      <c r="CZ21" s="176"/>
      <c r="DA21" s="176"/>
      <c r="DB21" s="176"/>
      <c r="DC21" s="176"/>
      <c r="DD21" s="176"/>
      <c r="DE21" s="176"/>
      <c r="DF21" s="176"/>
      <c r="DG21" s="176"/>
      <c r="DH21" s="176"/>
      <c r="DI21" s="176"/>
      <c r="DJ21" s="176"/>
      <c r="DK21" s="176"/>
      <c r="DL21"/>
      <c r="DM21" s="366" t="str" cm="1">
        <f t="array" aca="1" ref="DM21"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DN21:DX21</v>
      </c>
      <c r="DN21" s="177" t="s">
        <v>375</v>
      </c>
      <c r="DO21" s="177" t="str" cm="1">
        <f t="array" aca="1" ref="DO21:DX21"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21" s="177" t="str">
        <f ca="1"/>
        <v>DISEÑO MECÁNICO</v>
      </c>
      <c r="DQ21" s="177" t="str">
        <f ca="1"/>
        <v>FABRICACIÓN ELÉCTRICA</v>
      </c>
      <c r="DR21" s="177" t="str">
        <f ca="1"/>
        <v>FABRICACIÓN MECÁNICA</v>
      </c>
      <c r="DS21" s="177" t="str">
        <f ca="1"/>
        <v>INSTALACIÓN ENR</v>
      </c>
      <c r="DT21" s="177" t="str">
        <f ca="1"/>
        <v>MATERIAL ELÉCTRICO +%</v>
      </c>
      <c r="DU21" s="177" t="str">
        <f ca="1"/>
        <v>MATERIAL FLUIDOS +%</v>
      </c>
      <c r="DV21" s="177" t="str">
        <f ca="1"/>
        <v>MATERIAL MECÁNICO +%</v>
      </c>
      <c r="DW21" s="177" t="str">
        <f ca="1"/>
        <v>METROLOGÍA</v>
      </c>
      <c r="DX21" s="177" t="str">
        <f ca="1"/>
        <v>MONTAJE MECÁNICO</v>
      </c>
      <c r="DY21" s="177"/>
      <c r="DZ21" s="177"/>
      <c r="EA21" s="177"/>
      <c r="EB21" s="177"/>
      <c r="EC21" s="177"/>
      <c r="ED21" s="177"/>
    </row>
    <row r="22" spans="3:220" ht="13" customHeight="1">
      <c r="C22" s="213">
        <v>45252</v>
      </c>
      <c r="D22" s="213" t="s">
        <v>2114</v>
      </c>
      <c r="E22" s="213" t="s">
        <v>1710</v>
      </c>
      <c r="F22" s="219" t="s">
        <v>375</v>
      </c>
      <c r="G22" s="201" t="s">
        <v>1415</v>
      </c>
      <c r="H22" s="202">
        <v>15</v>
      </c>
      <c r="I22" s="339" t="str" cm="1">
        <f t="array" aca="1" ref="I2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22" s="203" t="str" cm="1">
        <f t="array" ref="J22">IF(OR(PptoSty[[#This Row],[Project]]="",PptoSty[[#This Row],[Project]]="X"),"X",_xlfn.UNIQUE(_xlfn._xlws.FILTER(CstGrpS[Nature],ISNUMBER(FIND(SUBSTITUTE(PptoSty[[#This Row],[PiColumn]]," +%",""),UPPER(SUBSTITUTE(CstGrpS[GrpPrv],"  "," ")))),"X")))</f>
        <v>Mat</v>
      </c>
      <c r="K22" s="96" t="s">
        <v>1629</v>
      </c>
      <c r="L22" s="96" t="s">
        <v>1639</v>
      </c>
      <c r="M22" s="96" t="s">
        <v>28</v>
      </c>
      <c r="N22" s="96" t="str" cm="1">
        <f t="array" ref="N22">IF(OR(PptoSty[[#This Row],[Project]]="",PptoSty[[#This Row],[Project]]="X"),"X",_xlfn._xlws.FILTER(TbAssign[RowId],(TbAssign[Project]=PptoSty[[#This Row],[Project]])*(TbAssign[Módulo]=PptoSty[[#This Row],[PptoVsRow]]),"X"))</f>
        <v>XC01</v>
      </c>
      <c r="O22" s="96" t="str" cm="1">
        <f t="array" ref="O22">IF(OR(PptoSty[[#This Row],[Project]]="",PptoSty[[#This Row],[Project]]="X"),"X",_xlfn.UNIQUE(_xlfn._xlws.FILTER(F_RT14[Amortz.],(F_RT14[Measure]="CurPpto")*(F_RT14[PrjId]=PptoSty[[#This Row],[Project]])*(F_RT14[Vrs]=PptoSty[[#This Row],[Vrs]])*(_xlfn.TEXTAFTER(F_RT14[ActGrp],":")=PptoSty[[#This Row],[PiRow]]),"X")))</f>
        <v>TOOL</v>
      </c>
      <c r="P22" s="96" t="s">
        <v>1473</v>
      </c>
      <c r="Q22" s="96" t="s">
        <v>1670</v>
      </c>
      <c r="R22" s="204" t="s">
        <v>403</v>
      </c>
      <c r="S22" s="204">
        <v>1</v>
      </c>
      <c r="T22" s="205" cm="1">
        <f t="array" aca="1" ref="T2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22" s="206" cm="1">
        <f t="array" ref="U22">IFERROR((1/PptoSty[[#This Row],[Division]])*IF(PptoSty[[#This Row],[Sign]]="+",1,-1)*(IF(PptoSty[[#This Row],[POvsCT]]="PO",SUM(_xlfn.CHOOSECOLS(_xlfn._xlws.FILTER(F_RT14[],(IF($M22="X",TRUE,F_RT14[Site]=$M22))*(F_RT14[Measure]=U$4)*(F_RT14[PrjId]=PptoSty[[#This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184051.54800000001</v>
      </c>
      <c r="V22" s="206" cm="1">
        <f t="array" ref="V22">IFERROR((1/PptoSty[[#This Row],[Division]])*IF(PptoSty[[#This Row],[Sign]]="+",1,-1)*(IF(PptoSty[[#This Row],[POvsCT]]="PO",SUM(_xlfn.CHOOSECOLS(_xlfn._xlws.FILTER(F_RT14[],(IF($M22="X",TRUE,F_RT14[Site]=$M22))*(F_RT14[Measure]=V$4)*(F_RT14[PrjId]=PptoSty[[#This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2" s="206" cm="1">
        <f t="array" ref="W22">IFERROR((1/PptoSty[[#This Row],[Division]])*IF(PptoSty[[#This Row],[Sign]]="+",1,-1)*(IF(PptoSty[[#This Row],[POvsCT]]="PO",SUM(_xlfn.CHOOSECOLS(_xlfn._xlws.FILTER(F_RT14[],(IF($M22="X",TRUE,F_RT14[Site]=$M22))*(F_RT14[Measure]=W$4)*(F_RT14[PrjId]=PptoSty[[#This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184051.54800000001</v>
      </c>
      <c r="X22" s="338" cm="1">
        <f t="array" ref="X22">IFERROR(IF(PptoSty[[#This Row],[Nature]]&lt;&gt;"Hrs",0,(1/PptoSty[[#This Row],[Division]])*IF(PptoSty[[#This Row],[Sign]]="+",1,-1)*(IF(PptoSty[[#This Row],[POvsCT]]="PO",SUM(_xlfn.CHOOSECOLS(_xlfn._xlws.FILTER(F_RT14[],(IF($M22="X",TRUE,F_RT14[Site]=$M22))*(F_RT14[Measure]=X$4)*(F_RT14[PrjId]=PptoSty[[#This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2" s="338" cm="1">
        <f t="array" ref="Y22">IFERROR(IF(PptoSty[[#This Row],[Nature]]&lt;&gt;"Hrs",0,(1/PptoSty[[#This Row],[Division]])*IF(PptoSty[[#This Row],[Sign]]="+",1,-1)*(IF(PptoSty[[#This Row],[POvsCT]]="PO",SUM(_xlfn.CHOOSECOLS(_xlfn._xlws.FILTER(F_RT14[],(IF($M22="X",TRUE,F_RT14[Site]=$M22))*(F_RT14[Measure]=Y$4)*(F_RT14[PrjId]=PptoSty[[#This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2" s="338" cm="1">
        <f t="array" ref="Z22">IFERROR(IF(PptoSty[[#This Row],[Nature]]&lt;&gt;"Hrs",0,(1/PptoSty[[#This Row],[Division]])*IF(PptoSty[[#This Row],[Sign]]="+",1,-1)*(IF(PptoSty[[#This Row],[POvsCT]]="PO",SUM(_xlfn.CHOOSECOLS(_xlfn._xlws.FILTER(F_RT14[],(IF($M22="X",TRUE,F_RT14[Site]=$M22))*(F_RT14[Measure]=Z$4)*(F_RT14[PrjId]=PptoSty[[#This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2" s="206" cm="1">
        <f t="array" aca="1" ref="AA22"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184051.54800000001</v>
      </c>
      <c r="AB22" s="206" cm="1">
        <f t="array" aca="1" ref="AB22"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2" s="206" cm="1">
        <f t="array" aca="1" ref="AC22"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184051.54800000001</v>
      </c>
      <c r="AF22" s="212" t="str">
        <v>ROBÓTICA</v>
      </c>
      <c r="AG22"/>
      <c r="AH22"/>
      <c r="AI22" s="21"/>
      <c r="AJ22" s="21"/>
      <c r="AK22" s="175"/>
      <c r="AL22" s="176"/>
      <c r="AM22" s="179"/>
      <c r="AN22" s="176"/>
      <c r="AO22"/>
      <c r="AP22" s="21"/>
      <c r="AQ22" s="176"/>
      <c r="AR22" s="176"/>
      <c r="AS22" s="176"/>
      <c r="AT22" s="176"/>
      <c r="AU22" s="176"/>
      <c r="AV22" s="176"/>
      <c r="AW22" s="176"/>
      <c r="AX22" s="176"/>
      <c r="AY22" s="176"/>
      <c r="AZ22" s="176"/>
      <c r="BA22" s="176"/>
      <c r="BB22" s="176"/>
      <c r="BC22" s="176"/>
      <c r="BD22" s="176"/>
      <c r="BE22"/>
      <c r="BF22" s="21"/>
      <c r="BG22" s="176"/>
      <c r="BH22" s="176"/>
      <c r="BI22" s="176"/>
      <c r="BJ22" s="176"/>
      <c r="BK22" s="176"/>
      <c r="BL22" s="176"/>
      <c r="BM22" s="176"/>
      <c r="BN22" s="176"/>
      <c r="BO22" s="176"/>
      <c r="BP22" s="176"/>
      <c r="BQ22" s="176"/>
      <c r="BR22" s="176"/>
      <c r="BS22" s="176"/>
      <c r="BT22" s="176"/>
      <c r="BU22" s="176"/>
      <c r="BV22" s="176"/>
      <c r="BW22" s="176"/>
      <c r="BX22" s="176"/>
      <c r="BY22" s="176"/>
      <c r="BZ22" s="176"/>
      <c r="CA22" s="176"/>
      <c r="CB22" s="176"/>
      <c r="CC22" s="176"/>
      <c r="CD22" s="176"/>
      <c r="CE22" s="176"/>
      <c r="CF22" s="176"/>
      <c r="CG22" s="176"/>
      <c r="CH22" s="176"/>
      <c r="CI22" s="176"/>
      <c r="CJ22" s="176"/>
      <c r="CK22" s="176"/>
      <c r="CL22" s="176"/>
      <c r="CM22" s="176"/>
      <c r="CN22" s="176"/>
      <c r="CO22" s="176"/>
      <c r="CP22" s="176"/>
      <c r="CQ22" s="176"/>
      <c r="CR22" s="176"/>
      <c r="CS22" s="176"/>
      <c r="CT22" s="176"/>
      <c r="CU22" s="176"/>
      <c r="CV22" s="176"/>
      <c r="CW22" s="176"/>
      <c r="CX22" s="176"/>
      <c r="CY22" s="176"/>
      <c r="CZ22" s="176"/>
      <c r="DA22" s="176"/>
      <c r="DB22" s="176"/>
      <c r="DC22" s="176"/>
      <c r="DD22" s="176"/>
      <c r="DE22" s="176"/>
      <c r="DF22" s="176"/>
      <c r="DG22" s="176"/>
      <c r="DH22" s="176"/>
      <c r="DI22" s="176"/>
      <c r="DJ22" s="176"/>
      <c r="DK22" s="176"/>
      <c r="DL22"/>
      <c r="DM22" s="366" t="str" cm="1">
        <f t="array" aca="1" ref="DM22"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DN22:DX22</v>
      </c>
      <c r="DN22" s="177" t="s">
        <v>375</v>
      </c>
      <c r="DO22" s="177" t="str" cm="1">
        <f t="array" aca="1" ref="DO22:DX22"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22" s="177" t="str">
        <f ca="1"/>
        <v>DISEÑO MECÁNICO</v>
      </c>
      <c r="DQ22" s="177" t="str">
        <f ca="1"/>
        <v>FABRICACIÓN ELÉCTRICA</v>
      </c>
      <c r="DR22" s="177" t="str">
        <f ca="1"/>
        <v>FABRICACIÓN MECÁNICA</v>
      </c>
      <c r="DS22" s="177" t="str">
        <f ca="1"/>
        <v>INSTALACIÓN ENR</v>
      </c>
      <c r="DT22" s="177" t="str">
        <f ca="1"/>
        <v>MATERIAL ELÉCTRICO +%</v>
      </c>
      <c r="DU22" s="177" t="str">
        <f ca="1"/>
        <v>MATERIAL FLUIDOS +%</v>
      </c>
      <c r="DV22" s="177" t="str">
        <f ca="1"/>
        <v>MATERIAL MECÁNICO +%</v>
      </c>
      <c r="DW22" s="177" t="str">
        <f ca="1"/>
        <v>METROLOGÍA</v>
      </c>
      <c r="DX22" s="177" t="str">
        <f ca="1"/>
        <v>MONTAJE MECÁNICO</v>
      </c>
      <c r="DY22" s="177"/>
      <c r="DZ22" s="177"/>
      <c r="EA22" s="177"/>
      <c r="EB22" s="177"/>
      <c r="EC22" s="177"/>
      <c r="ED22" s="177"/>
    </row>
    <row r="23" spans="3:220" ht="13" customHeight="1">
      <c r="C23" s="213">
        <v>45252</v>
      </c>
      <c r="D23" s="213" t="s">
        <v>2114</v>
      </c>
      <c r="E23" s="213" t="s">
        <v>1710</v>
      </c>
      <c r="F23" s="219" t="s">
        <v>375</v>
      </c>
      <c r="G23" s="201" t="s">
        <v>1415</v>
      </c>
      <c r="H23" s="202">
        <v>15</v>
      </c>
      <c r="I23" s="339" t="str" cm="1">
        <f t="array" aca="1" ref="I2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G004</v>
      </c>
      <c r="J23" s="203" t="str" cm="1">
        <f t="array" ref="J23">IF(OR(PptoSty[[#This Row],[Project]]="",PptoSty[[#This Row],[Project]]="X"),"X",_xlfn.UNIQUE(_xlfn._xlws.FILTER(CstGrpS[Nature],ISNUMBER(FIND(SUBSTITUTE(PptoSty[[#This Row],[PiColumn]]," +%",""),UPPER(SUBSTITUTE(CstGrpS[GrpPrv],"  "," ")))),"X")))</f>
        <v>Hrs</v>
      </c>
      <c r="K23" s="96" t="s">
        <v>1418</v>
      </c>
      <c r="L23" s="96" t="s">
        <v>373</v>
      </c>
      <c r="M23" s="96" t="s">
        <v>375</v>
      </c>
      <c r="N23" s="96" t="str" cm="1">
        <f t="array" ref="N23">IF(OR(PptoSty[[#This Row],[Project]]="",PptoSty[[#This Row],[Project]]="X"),"X",_xlfn._xlws.FILTER(TbAssign[RowId],(TbAssign[Project]=PptoSty[[#This Row],[Project]])*(TbAssign[Módulo]=PptoSty[[#This Row],[PptoVsRow]]),"X"))</f>
        <v>XA01</v>
      </c>
      <c r="O23" s="96" t="str" cm="1">
        <f t="array" ref="O23">IF(OR(PptoSty[[#This Row],[Project]]="",PptoSty[[#This Row],[Project]]="X"),"X",_xlfn.UNIQUE(_xlfn._xlws.FILTER(F_RT14[Amortz.],(F_RT14[Measure]="CurPpto")*(F_RT14[PrjId]=PptoSty[[#This Row],[Project]])*(F_RT14[Vrs]=PptoSty[[#This Row],[Vrs]])*(_xlfn.TEXTAFTER(F_RT14[ActGrp],":")=PptoSty[[#This Row],[PiRow]]),"X")))</f>
        <v>GSDF</v>
      </c>
      <c r="P23" s="96" t="s">
        <v>358</v>
      </c>
      <c r="Q23" s="96" t="s">
        <v>373</v>
      </c>
      <c r="R23" s="204" t="s">
        <v>403</v>
      </c>
      <c r="S23" s="204">
        <v>1</v>
      </c>
      <c r="T23" s="205" t="str" cm="1">
        <f t="array" aca="1" ref="T2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3" s="206" cm="1">
        <f t="array" ref="U23">IFERROR((1/PptoSty[[#This Row],[Division]])*IF(PptoSty[[#This Row],[Sign]]="+",1,-1)*(IF(PptoSty[[#This Row],[POvsCT]]="PO",SUM(_xlfn.CHOOSECOLS(_xlfn._xlws.FILTER(F_RT14[],(IF($M23="X",TRUE,F_RT14[Site]=$M23))*(F_RT14[Measure]=U$4)*(F_RT14[PrjId]=PptoSty[[#This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25170.379175257734</v>
      </c>
      <c r="V23" s="206" cm="1">
        <f t="array" ref="V23">IFERROR((1/PptoSty[[#This Row],[Division]])*IF(PptoSty[[#This Row],[Sign]]="+",1,-1)*(IF(PptoSty[[#This Row],[POvsCT]]="PO",SUM(_xlfn.CHOOSECOLS(_xlfn._xlws.FILTER(F_RT14[],(IF($M23="X",TRUE,F_RT14[Site]=$M23))*(F_RT14[Measure]=V$4)*(F_RT14[PrjId]=PptoSty[[#This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21183.855437825616</v>
      </c>
      <c r="W23" s="206" cm="1">
        <f t="array" ref="W23">IFERROR((1/PptoSty[[#This Row],[Division]])*IF(PptoSty[[#This Row],[Sign]]="+",1,-1)*(IF(PptoSty[[#This Row],[POvsCT]]="PO",SUM(_xlfn.CHOOSECOLS(_xlfn._xlws.FILTER(F_RT14[],(IF($M23="X",TRUE,F_RT14[Site]=$M23))*(F_RT14[Measure]=W$4)*(F_RT14[PrjId]=PptoSty[[#This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4217.3026156733313</v>
      </c>
      <c r="X23" s="338" cm="1">
        <f t="array" ref="X23">IFERROR(IF(PptoSty[[#This Row],[Nature]]&lt;&gt;"Hrs",0,(1/PptoSty[[#This Row],[Division]])*IF(PptoSty[[#This Row],[Sign]]="+",1,-1)*(IF(PptoSty[[#This Row],[POvsCT]]="PO",SUM(_xlfn.CHOOSECOLS(_xlfn._xlws.FILTER(F_RT14[],(IF($M23="X",TRUE,F_RT14[Site]=$M23))*(F_RT14[Measure]=X$4)*(F_RT14[PrjId]=PptoSty[[#This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542.36041666666654</v>
      </c>
      <c r="Y23" s="338" cm="1">
        <f t="array" ref="Y23">IFERROR(IF(PptoSty[[#This Row],[Nature]]&lt;&gt;"Hrs",0,(1/PptoSty[[#This Row],[Division]])*IF(PptoSty[[#This Row],[Sign]]="+",1,-1)*(IF(PptoSty[[#This Row],[POvsCT]]="PO",SUM(_xlfn.CHOOSECOLS(_xlfn._xlws.FILTER(F_RT14[],(IF($M23="X",TRUE,F_RT14[Site]=$M23))*(F_RT14[Measure]=Y$4)*(F_RT14[PrjId]=PptoSty[[#This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473.48064374999984</v>
      </c>
      <c r="Z23" s="338" cm="1">
        <f t="array" ref="Z23">IFERROR(IF(PptoSty[[#This Row],[Nature]]&lt;&gt;"Hrs",0,(1/PptoSty[[#This Row],[Division]])*IF(PptoSty[[#This Row],[Sign]]="+",1,-1)*(IF(PptoSty[[#This Row],[POvsCT]]="PO",SUM(_xlfn.CHOOSECOLS(_xlfn._xlws.FILTER(F_RT14[],(IF($M23="X",TRUE,F_RT14[Site]=$M23))*(F_RT14[Measure]=Z$4)*(F_RT14[PrjId]=PptoSty[[#This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52.60896041666664</v>
      </c>
      <c r="AA23" s="206" cm="1">
        <f t="array" aca="1" ref="AA23"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25170.379175257734</v>
      </c>
      <c r="AB23" s="206" cm="1">
        <f t="array" aca="1" ref="AB23"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21183.855437825616</v>
      </c>
      <c r="AC23" s="206" cm="1">
        <f t="array" aca="1" ref="AC23"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4217.3026156733313</v>
      </c>
      <c r="AF23" s="212" t="str">
        <v>SUBCONTRATACIÓN COMPLETA</v>
      </c>
      <c r="AG23"/>
      <c r="AH23"/>
      <c r="AI23" s="21"/>
      <c r="AJ23" s="21"/>
      <c r="AK23" s="175"/>
      <c r="AL23" s="176"/>
      <c r="AM23" s="179"/>
      <c r="AN23" s="176"/>
      <c r="AO23"/>
      <c r="AP23" s="21"/>
      <c r="AQ23" s="176"/>
      <c r="AR23" s="176"/>
      <c r="AS23" s="176"/>
      <c r="AT23" s="176"/>
      <c r="AU23" s="176"/>
      <c r="AV23" s="176"/>
      <c r="AW23" s="176"/>
      <c r="AX23" s="176"/>
      <c r="AY23" s="176"/>
      <c r="AZ23" s="176"/>
      <c r="BA23" s="176"/>
      <c r="BB23" s="176"/>
      <c r="BC23" s="176"/>
      <c r="BD23" s="176"/>
      <c r="BE23"/>
      <c r="BF23" s="21"/>
      <c r="BG23" s="176"/>
      <c r="BH23" s="176"/>
      <c r="BI23" s="176"/>
      <c r="BJ23" s="176"/>
      <c r="BK23" s="176"/>
      <c r="BL23" s="176"/>
      <c r="BM23" s="176"/>
      <c r="BN23" s="176"/>
      <c r="BO23" s="176"/>
      <c r="BP23" s="176"/>
      <c r="BQ23" s="176"/>
      <c r="BR23" s="176"/>
      <c r="BS23" s="176"/>
      <c r="BT23" s="176"/>
      <c r="BU23" s="176"/>
      <c r="BV23" s="176"/>
      <c r="BW23" s="176"/>
      <c r="BX23" s="176"/>
      <c r="BY23" s="176"/>
      <c r="BZ23" s="176"/>
      <c r="CA23" s="176"/>
      <c r="CB23" s="176"/>
      <c r="CC23" s="176"/>
      <c r="CD23" s="176"/>
      <c r="CE23" s="176"/>
      <c r="CF23" s="176"/>
      <c r="CG23" s="176"/>
      <c r="CH23" s="176"/>
      <c r="CI23" s="176"/>
      <c r="CJ23" s="176"/>
      <c r="CK23" s="176"/>
      <c r="CL23" s="176"/>
      <c r="CM23" s="176"/>
      <c r="CN23" s="176"/>
      <c r="CO23" s="176"/>
      <c r="CP23" s="176"/>
      <c r="CQ23" s="176"/>
      <c r="CR23" s="176"/>
      <c r="CS23" s="176"/>
      <c r="CT23" s="176"/>
      <c r="CU23" s="176"/>
      <c r="CV23" s="176"/>
      <c r="CW23" s="176"/>
      <c r="CX23" s="176"/>
      <c r="CY23" s="176"/>
      <c r="CZ23" s="176"/>
      <c r="DA23" s="176"/>
      <c r="DB23" s="176"/>
      <c r="DC23" s="176"/>
      <c r="DD23" s="176"/>
      <c r="DE23" s="176"/>
      <c r="DF23" s="176"/>
      <c r="DG23" s="176"/>
      <c r="DH23" s="176"/>
      <c r="DI23" s="176"/>
      <c r="DJ23" s="176"/>
      <c r="DK23" s="176"/>
      <c r="DL23"/>
      <c r="DM23" s="366" t="str" cm="1">
        <f t="array" aca="1" ref="DM23"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DN23:DR23</v>
      </c>
      <c r="DN23" s="177" t="s">
        <v>375</v>
      </c>
      <c r="DO23" s="177" t="str" cm="1">
        <f t="array" aca="1" ref="DO23:DR23"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23" s="177" t="str">
        <f ca="1"/>
        <v>DEFINICIÓN</v>
      </c>
      <c r="DQ23" s="177" t="str">
        <f ca="1"/>
        <v>FABRICACIÓN MECÁNICA</v>
      </c>
      <c r="DR23" s="177" t="str">
        <f ca="1"/>
        <v>METROLOGÍA</v>
      </c>
      <c r="DS23" s="177"/>
      <c r="DT23" s="177"/>
      <c r="DU23" s="177"/>
      <c r="DV23" s="177"/>
      <c r="DW23" s="177"/>
      <c r="DX23" s="177"/>
      <c r="DY23" s="177"/>
      <c r="DZ23" s="177"/>
      <c r="EA23" s="177"/>
      <c r="EB23" s="177"/>
      <c r="EC23" s="177"/>
      <c r="ED23" s="177"/>
    </row>
    <row r="24" spans="3:220" ht="13" customHeight="1">
      <c r="C24" s="213">
        <v>45252</v>
      </c>
      <c r="D24" s="213" t="s">
        <v>2114</v>
      </c>
      <c r="E24" s="213" t="s">
        <v>1710</v>
      </c>
      <c r="F24" s="219" t="s">
        <v>375</v>
      </c>
      <c r="G24" s="201" t="s">
        <v>1415</v>
      </c>
      <c r="H24" s="202">
        <v>15</v>
      </c>
      <c r="I24" s="339" t="str" cm="1">
        <f t="array" aca="1" ref="I2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24" s="203" t="str" cm="1">
        <f t="array" ref="J24">IF(OR(PptoSty[[#This Row],[Project]]="",PptoSty[[#This Row],[Project]]="X"),"X",_xlfn.UNIQUE(_xlfn._xlws.FILTER(CstGrpS[Nature],ISNUMBER(FIND(SUBSTITUTE(PptoSty[[#This Row],[PiColumn]]," +%",""),UPPER(SUBSTITUTE(CstGrpS[GrpPrv],"  "," ")))),"X")))</f>
        <v>Hrs</v>
      </c>
      <c r="K24" s="96" t="s">
        <v>1629</v>
      </c>
      <c r="L24" s="96" t="s">
        <v>381</v>
      </c>
      <c r="M24" s="96" t="s">
        <v>28</v>
      </c>
      <c r="N24" s="96" t="str" cm="1">
        <f t="array" ref="N24">IF(OR(PptoSty[[#This Row],[Project]]="",PptoSty[[#This Row],[Project]]="X"),"X",_xlfn._xlws.FILTER(TbAssign[RowId],(TbAssign[Project]=PptoSty[[#This Row],[Project]])*(TbAssign[Módulo]=PptoSty[[#This Row],[PptoVsRow]]),"X"))</f>
        <v>XD01</v>
      </c>
      <c r="O24" s="96" t="str" cm="1">
        <f t="array" ref="O24">IF(OR(PptoSty[[#This Row],[Project]]="",PptoSty[[#This Row],[Project]]="X"),"X",_xlfn.UNIQUE(_xlfn._xlws.FILTER(F_RT14[Amortz.],(F_RT14[Measure]="CurPpto")*(F_RT14[PrjId]=PptoSty[[#This Row],[Project]])*(F_RT14[Vrs]=PptoSty[[#This Row],[Vrs]])*(_xlfn.TEXTAFTER(F_RT14[ActGrp],":")=PptoSty[[#This Row],[PiRow]]),"X")))</f>
        <v>TOOL</v>
      </c>
      <c r="P24" s="96" t="s">
        <v>1475</v>
      </c>
      <c r="Q24" s="96" t="s">
        <v>389</v>
      </c>
      <c r="R24" s="204" t="s">
        <v>403</v>
      </c>
      <c r="S24" s="204">
        <v>2</v>
      </c>
      <c r="T24" s="205" cm="1">
        <f t="array" aca="1" ref="T2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24" s="206" cm="1">
        <f t="array" ref="U24">IFERROR((1/PptoSty[[#This Row],[Division]])*IF(PptoSty[[#This Row],[Sign]]="+",1,-1)*(IF(PptoSty[[#This Row],[POvsCT]]="PO",SUM(_xlfn.CHOOSECOLS(_xlfn._xlws.FILTER(F_RT14[],(IF($M24="X",TRUE,F_RT14[Site]=$M24))*(F_RT14[Measure]=U$4)*(F_RT14[PrjId]=PptoSty[[#This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20507.280927835051</v>
      </c>
      <c r="V24" s="206" cm="1">
        <f t="array" ref="V24">IFERROR((1/PptoSty[[#This Row],[Division]])*IF(PptoSty[[#This Row],[Sign]]="+",1,-1)*(IF(PptoSty[[#This Row],[POvsCT]]="PO",SUM(_xlfn.CHOOSECOLS(_xlfn._xlws.FILTER(F_RT14[],(IF($M24="X",TRUE,F_RT14[Site]=$M24))*(F_RT14[Measure]=V$4)*(F_RT14[PrjId]=PptoSty[[#This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2812.4187991830008</v>
      </c>
      <c r="W24" s="206" cm="1">
        <f t="array" ref="W24">IFERROR((1/PptoSty[[#This Row],[Division]])*IF(PptoSty[[#This Row],[Sign]]="+",1,-1)*(IF(PptoSty[[#This Row],[POvsCT]]="PO",SUM(_xlfn.CHOOSECOLS(_xlfn._xlws.FILTER(F_RT14[],(IF($M24="X",TRUE,F_RT14[Site]=$M24))*(F_RT14[Measure]=W$4)*(F_RT14[PrjId]=PptoSty[[#This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18004.812368823001</v>
      </c>
      <c r="X24" s="338" cm="1">
        <f t="array" ref="X24">IFERROR(IF(PptoSty[[#This Row],[Nature]]&lt;&gt;"Hrs",0,(1/PptoSty[[#This Row],[Division]])*IF(PptoSty[[#This Row],[Sign]]="+",1,-1)*(IF(PptoSty[[#This Row],[POvsCT]]="PO",SUM(_xlfn.CHOOSECOLS(_xlfn._xlws.FILTER(F_RT14[],(IF($M24="X",TRUE,F_RT14[Site]=$M24))*(F_RT14[Measure]=X$4)*(F_RT14[PrjId]=PptoSty[[#This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716.31000000000006</v>
      </c>
      <c r="Y24" s="338" cm="1">
        <f t="array" ref="Y24">IFERROR(IF(PptoSty[[#This Row],[Nature]]&lt;&gt;"Hrs",0,(1/PptoSty[[#This Row],[Division]])*IF(PptoSty[[#This Row],[Sign]]="+",1,-1)*(IF(PptoSty[[#This Row],[POvsCT]]="PO",SUM(_xlfn.CHOOSECOLS(_xlfn._xlws.FILTER(F_RT14[],(IF($M24="X",TRUE,F_RT14[Site]=$M24))*(F_RT14[Measure]=Y$4)*(F_RT14[PrjId]=PptoSty[[#This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69.482069999999993</v>
      </c>
      <c r="Z24" s="338" cm="1">
        <f t="array" ref="Z24">IFERROR(IF(PptoSty[[#This Row],[Nature]]&lt;&gt;"Hrs",0,(1/PptoSty[[#This Row],[Division]])*IF(PptoSty[[#This Row],[Sign]]="+",1,-1)*(IF(PptoSty[[#This Row],[POvsCT]]="PO",SUM(_xlfn.CHOOSECOLS(_xlfn._xlws.FILTER(F_RT14[],(IF($M24="X",TRUE,F_RT14[Site]=$M24))*(F_RT14[Measure]=Z$4)*(F_RT14[PrjId]=PptoSty[[#This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625.33863000000008</v>
      </c>
      <c r="AA24" s="206" cm="1">
        <f t="array" aca="1" ref="AA24"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20507.280927835051</v>
      </c>
      <c r="AB24" s="206" cm="1">
        <f t="array" aca="1" ref="AB24"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2812.4187991830008</v>
      </c>
      <c r="AC24" s="206" cm="1">
        <f t="array" aca="1" ref="AC24"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18004.812368823001</v>
      </c>
      <c r="AF24" s="212" t="str">
        <v>TRANSP. &amp; DESPLAZ.</v>
      </c>
      <c r="AG24"/>
      <c r="AH24"/>
      <c r="AI24" s="21"/>
      <c r="AJ24" s="21"/>
      <c r="AK24" s="175"/>
      <c r="AL24" s="176"/>
      <c r="AM24" s="179"/>
      <c r="AN24" s="176"/>
      <c r="AO24"/>
      <c r="AP24" s="21"/>
      <c r="AQ24" s="176"/>
      <c r="AR24" s="176"/>
      <c r="AS24" s="176"/>
      <c r="AT24" s="176"/>
      <c r="AU24" s="176"/>
      <c r="AV24" s="176"/>
      <c r="AW24" s="176"/>
      <c r="AX24" s="176"/>
      <c r="AY24" s="176"/>
      <c r="AZ24" s="176"/>
      <c r="BA24" s="176"/>
      <c r="BB24" s="176"/>
      <c r="BC24" s="176"/>
      <c r="BD24" s="176"/>
      <c r="BE24"/>
      <c r="BF24" s="21"/>
      <c r="BG24" s="176"/>
      <c r="BH24" s="176"/>
      <c r="BI24" s="176"/>
      <c r="BJ24" s="176"/>
      <c r="BK24" s="176"/>
      <c r="BL24" s="176"/>
      <c r="BM24" s="176"/>
      <c r="BN24" s="176"/>
      <c r="BO24" s="176"/>
      <c r="BP24" s="176"/>
      <c r="BQ24" s="176"/>
      <c r="BR24" s="176"/>
      <c r="BS24" s="176"/>
      <c r="BT24" s="176"/>
      <c r="BU24" s="176"/>
      <c r="BV24" s="176"/>
      <c r="BW24" s="176"/>
      <c r="BX24" s="176"/>
      <c r="BY24" s="176"/>
      <c r="BZ24" s="176"/>
      <c r="CA24" s="176"/>
      <c r="CB24" s="176"/>
      <c r="CC24" s="176"/>
      <c r="CD24" s="176"/>
      <c r="CE24" s="176"/>
      <c r="CF24" s="176"/>
      <c r="CG24" s="176"/>
      <c r="CH24" s="176"/>
      <c r="CI24" s="176"/>
      <c r="CJ24" s="176"/>
      <c r="CK24" s="176"/>
      <c r="CL24" s="176"/>
      <c r="CM24" s="176"/>
      <c r="CN24" s="176"/>
      <c r="CO24" s="176"/>
      <c r="CP24" s="176"/>
      <c r="CQ24" s="176"/>
      <c r="CR24" s="176"/>
      <c r="CS24" s="176"/>
      <c r="CT24" s="176"/>
      <c r="CU24" s="176"/>
      <c r="CV24" s="176"/>
      <c r="CW24" s="176"/>
      <c r="CX24" s="176"/>
      <c r="CY24" s="176"/>
      <c r="CZ24" s="176"/>
      <c r="DA24" s="176"/>
      <c r="DB24" s="176"/>
      <c r="DC24" s="176"/>
      <c r="DD24" s="176"/>
      <c r="DE24" s="176"/>
      <c r="DF24" s="176"/>
      <c r="DG24" s="176"/>
      <c r="DH24" s="176"/>
      <c r="DI24" s="176"/>
      <c r="DJ24" s="176"/>
      <c r="DK24" s="176"/>
      <c r="DL24"/>
      <c r="DM24" s="366" t="str" cm="1">
        <f t="array" aca="1" ref="DM24"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DN24:DX24</v>
      </c>
      <c r="DN24" s="177" t="s">
        <v>375</v>
      </c>
      <c r="DO24" s="177" t="str" cm="1">
        <f t="array" aca="1" ref="DO24:DX24"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24" s="177" t="str">
        <f ca="1"/>
        <v>DISEÑO MECÁNICO</v>
      </c>
      <c r="DQ24" s="177" t="str">
        <f ca="1"/>
        <v>FABRICACIÓN ELÉCTRICA</v>
      </c>
      <c r="DR24" s="177" t="str">
        <f ca="1"/>
        <v>FABRICACIÓN MECÁNICA</v>
      </c>
      <c r="DS24" s="177" t="str">
        <f ca="1"/>
        <v>INSTALACIÓN ENR</v>
      </c>
      <c r="DT24" s="177" t="str">
        <f ca="1"/>
        <v>MATERIAL ELÉCTRICO +%</v>
      </c>
      <c r="DU24" s="177" t="str">
        <f ca="1"/>
        <v>MATERIAL FLUIDOS +%</v>
      </c>
      <c r="DV24" s="177" t="str">
        <f ca="1"/>
        <v>MATERIAL MECÁNICO +%</v>
      </c>
      <c r="DW24" s="177" t="str">
        <f ca="1"/>
        <v>METROLOGÍA</v>
      </c>
      <c r="DX24" s="177" t="str">
        <f ca="1"/>
        <v>MONTAJE MECÁNICO</v>
      </c>
      <c r="DY24" s="177"/>
      <c r="DZ24" s="177"/>
      <c r="EA24" s="177"/>
      <c r="EB24" s="177"/>
      <c r="EC24" s="177"/>
      <c r="ED24" s="177"/>
    </row>
    <row r="25" spans="3:220" ht="13" customHeight="1">
      <c r="C25" s="213">
        <v>45252</v>
      </c>
      <c r="D25" s="213" t="s">
        <v>2114</v>
      </c>
      <c r="E25" s="213" t="s">
        <v>1710</v>
      </c>
      <c r="F25" s="219" t="s">
        <v>375</v>
      </c>
      <c r="G25" s="201" t="s">
        <v>1415</v>
      </c>
      <c r="H25" s="202">
        <v>15</v>
      </c>
      <c r="I25" s="339" t="str" cm="1">
        <f t="array" aca="1" ref="I2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25" s="203" t="str" cm="1">
        <f t="array" ref="J25">IF(OR(PptoSty[[#This Row],[Project]]="",PptoSty[[#This Row],[Project]]="X"),"X",_xlfn.UNIQUE(_xlfn._xlws.FILTER(CstGrpS[Nature],ISNUMBER(FIND(SUBSTITUTE(PptoSty[[#This Row],[PiColumn]]," +%",""),UPPER(SUBSTITUTE(CstGrpS[GrpPrv],"  "," ")))),"X")))</f>
        <v>Hrs</v>
      </c>
      <c r="K25" s="96" t="s">
        <v>1629</v>
      </c>
      <c r="L25" s="96" t="s">
        <v>381</v>
      </c>
      <c r="M25" s="96" t="s">
        <v>28</v>
      </c>
      <c r="N25" s="96" t="str" cm="1">
        <f t="array" ref="N25">IF(OR(PptoSty[[#This Row],[Project]]="",PptoSty[[#This Row],[Project]]="X"),"X",_xlfn._xlws.FILTER(TbAssign[RowId],(TbAssign[Project]=PptoSty[[#This Row],[Project]])*(TbAssign[Módulo]=PptoSty[[#This Row],[PptoVsRow]]),"X"))</f>
        <v>XD02</v>
      </c>
      <c r="O25" s="96" t="str" cm="1">
        <f t="array" ref="O25">IF(OR(PptoSty[[#This Row],[Project]]="",PptoSty[[#This Row],[Project]]="X"),"X",_xlfn.UNIQUE(_xlfn._xlws.FILTER(F_RT14[Amortz.],(F_RT14[Measure]="CurPpto")*(F_RT14[PrjId]=PptoSty[[#This Row],[Project]])*(F_RT14[Vrs]=PptoSty[[#This Row],[Vrs]])*(_xlfn.TEXTAFTER(F_RT14[ActGrp],":")=PptoSty[[#This Row],[PiRow]]),"X")))</f>
        <v>TOOL</v>
      </c>
      <c r="P25" s="96" t="s">
        <v>1410</v>
      </c>
      <c r="Q25" s="96" t="s">
        <v>389</v>
      </c>
      <c r="R25" s="204" t="s">
        <v>403</v>
      </c>
      <c r="S25" s="204">
        <v>2</v>
      </c>
      <c r="T25" s="205" cm="1">
        <f t="array" aca="1" ref="T2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25" s="206" cm="1">
        <f t="array" ref="U25">IFERROR((1/PptoSty[[#This Row],[Division]])*IF(PptoSty[[#This Row],[Sign]]="+",1,-1)*(IF(PptoSty[[#This Row],[POvsCT]]="PO",SUM(_xlfn.CHOOSECOLS(_xlfn._xlws.FILTER(F_RT14[],(IF($M25="X",TRUE,F_RT14[Site]=$M25))*(F_RT14[Measure]=U$4)*(F_RT14[PrjId]=PptoSty[[#This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20507.280927835051</v>
      </c>
      <c r="V25" s="206" cm="1">
        <f t="array" ref="V25">IFERROR((1/PptoSty[[#This Row],[Division]])*IF(PptoSty[[#This Row],[Sign]]="+",1,-1)*(IF(PptoSty[[#This Row],[POvsCT]]="PO",SUM(_xlfn.CHOOSECOLS(_xlfn._xlws.FILTER(F_RT14[],(IF($M25="X",TRUE,F_RT14[Site]=$M25))*(F_RT14[Measure]=V$4)*(F_RT14[PrjId]=PptoSty[[#This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2812.4187991830008</v>
      </c>
      <c r="W25" s="206" cm="1">
        <f t="array" ref="W25">IFERROR((1/PptoSty[[#This Row],[Division]])*IF(PptoSty[[#This Row],[Sign]]="+",1,-1)*(IF(PptoSty[[#This Row],[POvsCT]]="PO",SUM(_xlfn.CHOOSECOLS(_xlfn._xlws.FILTER(F_RT14[],(IF($M25="X",TRUE,F_RT14[Site]=$M25))*(F_RT14[Measure]=W$4)*(F_RT14[PrjId]=PptoSty[[#This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18004.812368823001</v>
      </c>
      <c r="X25" s="338" cm="1">
        <f t="array" ref="X25">IFERROR(IF(PptoSty[[#This Row],[Nature]]&lt;&gt;"Hrs",0,(1/PptoSty[[#This Row],[Division]])*IF(PptoSty[[#This Row],[Sign]]="+",1,-1)*(IF(PptoSty[[#This Row],[POvsCT]]="PO",SUM(_xlfn.CHOOSECOLS(_xlfn._xlws.FILTER(F_RT14[],(IF($M25="X",TRUE,F_RT14[Site]=$M25))*(F_RT14[Measure]=X$4)*(F_RT14[PrjId]=PptoSty[[#This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716.31000000000006</v>
      </c>
      <c r="Y25" s="338" cm="1">
        <f t="array" ref="Y25">IFERROR(IF(PptoSty[[#This Row],[Nature]]&lt;&gt;"Hrs",0,(1/PptoSty[[#This Row],[Division]])*IF(PptoSty[[#This Row],[Sign]]="+",1,-1)*(IF(PptoSty[[#This Row],[POvsCT]]="PO",SUM(_xlfn.CHOOSECOLS(_xlfn._xlws.FILTER(F_RT14[],(IF($M25="X",TRUE,F_RT14[Site]=$M25))*(F_RT14[Measure]=Y$4)*(F_RT14[PrjId]=PptoSty[[#This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69.482069999999993</v>
      </c>
      <c r="Z25" s="338" cm="1">
        <f t="array" ref="Z25">IFERROR(IF(PptoSty[[#This Row],[Nature]]&lt;&gt;"Hrs",0,(1/PptoSty[[#This Row],[Division]])*IF(PptoSty[[#This Row],[Sign]]="+",1,-1)*(IF(PptoSty[[#This Row],[POvsCT]]="PO",SUM(_xlfn.CHOOSECOLS(_xlfn._xlws.FILTER(F_RT14[],(IF($M25="X",TRUE,F_RT14[Site]=$M25))*(F_RT14[Measure]=Z$4)*(F_RT14[PrjId]=PptoSty[[#This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625.33863000000008</v>
      </c>
      <c r="AA25" s="206" cm="1">
        <f t="array" aca="1" ref="AA25"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20507.280927835051</v>
      </c>
      <c r="AB25" s="206" cm="1">
        <f t="array" aca="1" ref="AB25"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2812.4187991830008</v>
      </c>
      <c r="AC25" s="206" cm="1">
        <f t="array" aca="1" ref="AC25"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18004.812368823001</v>
      </c>
      <c r="AF25" s="212"/>
      <c r="AG25"/>
      <c r="AH25"/>
      <c r="AI25" s="21"/>
      <c r="AJ25" s="21"/>
      <c r="AK25" s="175"/>
      <c r="AL25" s="176"/>
      <c r="AM25" s="179"/>
      <c r="AN25" s="176"/>
      <c r="AO25"/>
      <c r="AP25" s="21"/>
      <c r="AQ25" s="176"/>
      <c r="AR25" s="176"/>
      <c r="AS25" s="176"/>
      <c r="AT25" s="176"/>
      <c r="AU25" s="176"/>
      <c r="AV25" s="176"/>
      <c r="AW25" s="176"/>
      <c r="AX25" s="176"/>
      <c r="AY25" s="176"/>
      <c r="AZ25" s="176"/>
      <c r="BA25" s="176"/>
      <c r="BB25" s="176"/>
      <c r="BC25" s="176"/>
      <c r="BD25" s="176"/>
      <c r="BE25"/>
      <c r="BF25" s="21"/>
      <c r="BG25" s="176"/>
      <c r="BH25" s="176"/>
      <c r="BI25" s="176"/>
      <c r="BJ25" s="176"/>
      <c r="BK25" s="176"/>
      <c r="BL25" s="176"/>
      <c r="BM25" s="176"/>
      <c r="BN25" s="176"/>
      <c r="BO25" s="176"/>
      <c r="BP25" s="176"/>
      <c r="BQ25" s="176"/>
      <c r="BR25" s="176"/>
      <c r="BS25" s="176"/>
      <c r="BT25" s="176"/>
      <c r="BU25" s="176"/>
      <c r="BV25" s="176"/>
      <c r="BW25" s="176"/>
      <c r="BX25" s="176"/>
      <c r="BY25" s="176"/>
      <c r="BZ25" s="176"/>
      <c r="CA25" s="176"/>
      <c r="CB25" s="176"/>
      <c r="CC25" s="176"/>
      <c r="CD25" s="176"/>
      <c r="CE25" s="176"/>
      <c r="CF25" s="176"/>
      <c r="CG25" s="176"/>
      <c r="CH25" s="176"/>
      <c r="CI25" s="176"/>
      <c r="CJ25" s="176"/>
      <c r="CK25" s="176"/>
      <c r="CL25" s="176"/>
      <c r="CM25" s="176"/>
      <c r="CN25" s="176"/>
      <c r="CO25" s="176"/>
      <c r="CP25" s="176"/>
      <c r="CQ25" s="176"/>
      <c r="CR25" s="176"/>
      <c r="CS25" s="176"/>
      <c r="CT25" s="176"/>
      <c r="CU25" s="176"/>
      <c r="CV25" s="176"/>
      <c r="CW25" s="176"/>
      <c r="CX25" s="176"/>
      <c r="CY25" s="176"/>
      <c r="CZ25" s="176"/>
      <c r="DA25" s="176"/>
      <c r="DB25" s="176"/>
      <c r="DC25" s="176"/>
      <c r="DD25" s="176"/>
      <c r="DE25" s="176"/>
      <c r="DF25" s="176"/>
      <c r="DG25" s="176"/>
      <c r="DH25" s="176"/>
      <c r="DI25" s="176"/>
      <c r="DJ25" s="176"/>
      <c r="DK25" s="176"/>
      <c r="DL25"/>
      <c r="DM25" s="366" t="str" cm="1">
        <f t="array" aca="1" ref="DM2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DN25:DX25</v>
      </c>
      <c r="DN25" s="177" t="s">
        <v>375</v>
      </c>
      <c r="DO25" s="177" t="str" cm="1">
        <f t="array" aca="1" ref="DO25:DX2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25" s="177" t="str">
        <f ca="1"/>
        <v>DISEÑO MECÁNICO</v>
      </c>
      <c r="DQ25" s="177" t="str">
        <f ca="1"/>
        <v>FABRICACIÓN ELÉCTRICA</v>
      </c>
      <c r="DR25" s="177" t="str">
        <f ca="1"/>
        <v>FABRICACIÓN MECÁNICA</v>
      </c>
      <c r="DS25" s="177" t="str">
        <f ca="1"/>
        <v>INSTALACIÓN ENR</v>
      </c>
      <c r="DT25" s="177" t="str">
        <f ca="1"/>
        <v>MATERIAL ELÉCTRICO +%</v>
      </c>
      <c r="DU25" s="177" t="str">
        <f ca="1"/>
        <v>MATERIAL FLUIDOS +%</v>
      </c>
      <c r="DV25" s="177" t="str">
        <f ca="1"/>
        <v>MATERIAL MECÁNICO +%</v>
      </c>
      <c r="DW25" s="177" t="str">
        <f ca="1"/>
        <v>METROLOGÍA</v>
      </c>
      <c r="DX25" s="177" t="str">
        <f ca="1"/>
        <v>MONTAJE MECÁNICO</v>
      </c>
      <c r="DY25" s="177"/>
      <c r="DZ25" s="177"/>
      <c r="EA25" s="177"/>
      <c r="EB25" s="177"/>
      <c r="EC25" s="177"/>
      <c r="ED25" s="177"/>
    </row>
    <row r="26" spans="3:220" ht="13" customHeight="1">
      <c r="C26" s="213">
        <v>45252</v>
      </c>
      <c r="D26" s="213" t="s">
        <v>2114</v>
      </c>
      <c r="E26" s="213" t="s">
        <v>1710</v>
      </c>
      <c r="F26" s="219" t="s">
        <v>375</v>
      </c>
      <c r="G26" s="201" t="s">
        <v>1415</v>
      </c>
      <c r="H26" s="202">
        <v>15</v>
      </c>
      <c r="I26" s="339" t="str" cm="1">
        <f t="array" aca="1" ref="I2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26" s="203" t="str" cm="1">
        <f t="array" ref="J26">IF(OR(PptoSty[[#This Row],[Project]]="",PptoSty[[#This Row],[Project]]="X"),"X",_xlfn.UNIQUE(_xlfn._xlws.FILTER(CstGrpS[Nature],ISNUMBER(FIND(SUBSTITUTE(PptoSty[[#This Row],[PiColumn]]," +%",""),UPPER(SUBSTITUTE(CstGrpS[GrpPrv],"  "," ")))),"X")))</f>
        <v>Hrs</v>
      </c>
      <c r="K26" s="96" t="s">
        <v>1629</v>
      </c>
      <c r="L26" s="96" t="s">
        <v>1645</v>
      </c>
      <c r="M26" s="96" t="s">
        <v>28</v>
      </c>
      <c r="N26" s="96" t="str" cm="1">
        <f t="array" ref="N26">IF(OR(PptoSty[[#This Row],[Project]]="",PptoSty[[#This Row],[Project]]="X"),"X",_xlfn._xlws.FILTER(TbAssign[RowId],(TbAssign[Project]=PptoSty[[#This Row],[Project]])*(TbAssign[Módulo]=PptoSty[[#This Row],[PptoVsRow]]),"X"))</f>
        <v>XD01</v>
      </c>
      <c r="O26" s="96" t="str" cm="1">
        <f t="array" ref="O26">IF(OR(PptoSty[[#This Row],[Project]]="",PptoSty[[#This Row],[Project]]="X"),"X",_xlfn.UNIQUE(_xlfn._xlws.FILTER(F_RT14[Amortz.],(F_RT14[Measure]="CurPpto")*(F_RT14[PrjId]=PptoSty[[#This Row],[Project]])*(F_RT14[Vrs]=PptoSty[[#This Row],[Vrs]])*(_xlfn.TEXTAFTER(F_RT14[ActGrp],":")=PptoSty[[#This Row],[PiRow]]),"X")))</f>
        <v>TOOL</v>
      </c>
      <c r="P26" s="96" t="s">
        <v>1475</v>
      </c>
      <c r="Q26" s="96" t="s">
        <v>389</v>
      </c>
      <c r="R26" s="204" t="s">
        <v>403</v>
      </c>
      <c r="S26" s="204">
        <v>1</v>
      </c>
      <c r="T26" s="205" cm="1">
        <f t="array" aca="1" ref="T2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26" s="206" cm="1">
        <f t="array" ref="U26">IFERROR((1/PptoSty[[#This Row],[Division]])*IF(PptoSty[[#This Row],[Sign]]="+",1,-1)*(IF(PptoSty[[#This Row],[POvsCT]]="PO",SUM(_xlfn.CHOOSECOLS(_xlfn._xlws.FILTER(F_RT14[],(IF($M26="X",TRUE,F_RT14[Site]=$M26))*(F_RT14[Measure]=U$4)*(F_RT14[PrjId]=PptoSty[[#This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74121.697319587649</v>
      </c>
      <c r="V26" s="206" cm="1">
        <f t="array" ref="V26">IFERROR((1/PptoSty[[#This Row],[Division]])*IF(PptoSty[[#This Row],[Sign]]="+",1,-1)*(IF(PptoSty[[#This Row],[POvsCT]]="PO",SUM(_xlfn.CHOOSECOLS(_xlfn._xlws.FILTER(F_RT14[],(IF($M26="X",TRUE,F_RT14[Site]=$M26))*(F_RT14[Measure]=V$4)*(F_RT14[PrjId]=PptoSty[[#This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8882.3764143900007</v>
      </c>
      <c r="W26" s="206" cm="1">
        <f t="array" ref="W26">IFERROR((1/PptoSty[[#This Row],[Division]])*IF(PptoSty[[#This Row],[Sign]]="+",1,-1)*(IF(PptoSty[[#This Row],[POvsCT]]="PO",SUM(_xlfn.CHOOSECOLS(_xlfn._xlws.FILTER(F_RT14[],(IF($M26="X",TRUE,F_RT14[Site]=$M26))*(F_RT14[Measure]=W$4)*(F_RT14[PrjId]=PptoSty[[#This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56864.049115590009</v>
      </c>
      <c r="X26" s="338" cm="1">
        <f t="array" ref="X26">IFERROR(IF(PptoSty[[#This Row],[Nature]]&lt;&gt;"Hrs",0,(1/PptoSty[[#This Row],[Division]])*IF(PptoSty[[#This Row],[Sign]]="+",1,-1)*(IF(PptoSty[[#This Row],[POvsCT]]="PO",SUM(_xlfn.CHOOSECOLS(_xlfn._xlws.FILTER(F_RT14[],(IF($M26="X",TRUE,F_RT14[Site]=$M26))*(F_RT14[Measure]=X$4)*(F_RT14[PrjId]=PptoSty[[#This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2262.2999999999997</v>
      </c>
      <c r="Y26" s="338" cm="1">
        <f t="array" ref="Y26">IFERROR(IF(PptoSty[[#This Row],[Nature]]&lt;&gt;"Hrs",0,(1/PptoSty[[#This Row],[Division]])*IF(PptoSty[[#This Row],[Sign]]="+",1,-1)*(IF(PptoSty[[#This Row],[POvsCT]]="PO",SUM(_xlfn.CHOOSECOLS(_xlfn._xlws.FILTER(F_RT14[],(IF($M26="X",TRUE,F_RT14[Site]=$M26))*(F_RT14[Measure]=Y$4)*(F_RT14[PrjId]=PptoSty[[#This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219.44310000000002</v>
      </c>
      <c r="Z26" s="338" cm="1">
        <f t="array" ref="Z26">IFERROR(IF(PptoSty[[#This Row],[Nature]]&lt;&gt;"Hrs",0,(1/PptoSty[[#This Row],[Division]])*IF(PptoSty[[#This Row],[Sign]]="+",1,-1)*(IF(PptoSty[[#This Row],[POvsCT]]="PO",SUM(_xlfn.CHOOSECOLS(_xlfn._xlws.FILTER(F_RT14[],(IF($M26="X",TRUE,F_RT14[Site]=$M26))*(F_RT14[Measure]=Z$4)*(F_RT14[PrjId]=PptoSty[[#This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1974.9878999999999</v>
      </c>
      <c r="AA26" s="206" cm="1">
        <f t="array" aca="1" ref="AA26"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94628.978247422696</v>
      </c>
      <c r="AB26" s="206" cm="1">
        <f t="array" aca="1" ref="AB26"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11694.795213573001</v>
      </c>
      <c r="AC26" s="206" cm="1">
        <f t="array" aca="1" ref="AC26"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74868.861484413006</v>
      </c>
      <c r="AF26" s="212"/>
      <c r="AG26"/>
      <c r="AH26"/>
      <c r="AI26" s="21"/>
      <c r="AJ26" s="21"/>
      <c r="AK26" s="175"/>
      <c r="AL26" s="176"/>
      <c r="AM26" s="179"/>
      <c r="AN26" s="176"/>
      <c r="AO26"/>
      <c r="AP26" s="21"/>
      <c r="AQ26" s="176"/>
      <c r="AR26" s="176"/>
      <c r="AS26" s="176"/>
      <c r="AT26" s="176"/>
      <c r="AU26" s="176"/>
      <c r="AV26" s="176"/>
      <c r="AW26" s="176"/>
      <c r="AX26" s="176"/>
      <c r="AY26" s="176"/>
      <c r="AZ26" s="176"/>
      <c r="BA26" s="176"/>
      <c r="BB26" s="176"/>
      <c r="BC26" s="176"/>
      <c r="BD26" s="176"/>
      <c r="BE26"/>
      <c r="BF26" s="21"/>
      <c r="BG26" s="176"/>
      <c r="BH26" s="176"/>
      <c r="BI26" s="176"/>
      <c r="BJ26" s="176"/>
      <c r="BK26" s="176"/>
      <c r="BL26" s="176"/>
      <c r="BM26" s="176"/>
      <c r="BN26" s="176"/>
      <c r="BO26" s="176"/>
      <c r="BP26" s="176"/>
      <c r="BQ26" s="176"/>
      <c r="BR26" s="176"/>
      <c r="BS26" s="176"/>
      <c r="BT26" s="176"/>
      <c r="BU26" s="176"/>
      <c r="BV26" s="176"/>
      <c r="BW26" s="176"/>
      <c r="BX26" s="176"/>
      <c r="BY26" s="176"/>
      <c r="BZ26" s="176"/>
      <c r="CA26" s="176"/>
      <c r="CB26" s="176"/>
      <c r="CC26" s="176"/>
      <c r="CD26" s="176"/>
      <c r="CE26" s="176"/>
      <c r="CF26" s="176"/>
      <c r="CG26" s="176"/>
      <c r="CH26" s="176"/>
      <c r="CI26" s="176"/>
      <c r="CJ26" s="176"/>
      <c r="CK26" s="176"/>
      <c r="CL26" s="176"/>
      <c r="CM26" s="176"/>
      <c r="CN26" s="176"/>
      <c r="CO26" s="176"/>
      <c r="CP26" s="176"/>
      <c r="CQ26" s="176"/>
      <c r="CR26" s="176"/>
      <c r="CS26" s="176"/>
      <c r="CT26" s="176"/>
      <c r="CU26" s="176"/>
      <c r="CV26" s="176"/>
      <c r="CW26" s="176"/>
      <c r="CX26" s="176"/>
      <c r="CY26" s="176"/>
      <c r="CZ26" s="176"/>
      <c r="DA26" s="176"/>
      <c r="DB26" s="176"/>
      <c r="DC26" s="176"/>
      <c r="DD26" s="176"/>
      <c r="DE26" s="176"/>
      <c r="DF26" s="176"/>
      <c r="DG26" s="176"/>
      <c r="DH26" s="176"/>
      <c r="DI26" s="176"/>
      <c r="DJ26" s="176"/>
      <c r="DK26" s="176"/>
      <c r="DL26"/>
      <c r="DM26" s="366" t="str" cm="1">
        <f t="array" aca="1" ref="DM2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DN26:DX26</v>
      </c>
      <c r="DN26" s="177" t="s">
        <v>375</v>
      </c>
      <c r="DO26" s="177" t="str" cm="1">
        <f t="array" aca="1" ref="DO26:DX2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26" s="177" t="str">
        <f ca="1"/>
        <v>DISEÑO MECÁNICO</v>
      </c>
      <c r="DQ26" s="177" t="str">
        <f ca="1"/>
        <v>FABRICACIÓN ELÉCTRICA</v>
      </c>
      <c r="DR26" s="177" t="str">
        <f ca="1"/>
        <v>FABRICACIÓN MECÁNICA</v>
      </c>
      <c r="DS26" s="177" t="str">
        <f ca="1"/>
        <v>INSTALACIÓN ENR</v>
      </c>
      <c r="DT26" s="177" t="str">
        <f ca="1"/>
        <v>MATERIAL ELÉCTRICO +%</v>
      </c>
      <c r="DU26" s="177" t="str">
        <f ca="1"/>
        <v>MATERIAL FLUIDOS +%</v>
      </c>
      <c r="DV26" s="177" t="str">
        <f ca="1"/>
        <v>MATERIAL MECÁNICO +%</v>
      </c>
      <c r="DW26" s="177" t="str">
        <f ca="1"/>
        <v>METROLOGÍA</v>
      </c>
      <c r="DX26" s="177" t="str">
        <f ca="1"/>
        <v>MONTAJE MECÁNICO</v>
      </c>
      <c r="DY26" s="177"/>
      <c r="DZ26" s="177"/>
      <c r="EA26" s="177"/>
      <c r="EB26" s="177"/>
      <c r="EC26" s="177"/>
      <c r="ED26" s="177"/>
    </row>
    <row r="27" spans="3:220" ht="13" customHeight="1">
      <c r="C27" s="213">
        <v>45252</v>
      </c>
      <c r="D27" s="213" t="s">
        <v>2114</v>
      </c>
      <c r="E27" s="213" t="s">
        <v>1710</v>
      </c>
      <c r="F27" s="219" t="s">
        <v>375</v>
      </c>
      <c r="G27" s="201" t="s">
        <v>1415</v>
      </c>
      <c r="H27" s="202">
        <v>15</v>
      </c>
      <c r="I27" s="339" t="str" cm="1">
        <f t="array" aca="1" ref="I2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X002</v>
      </c>
      <c r="J27" s="203" t="str" cm="1">
        <f t="array" ref="J27">IF(OR(PptoSty[[#This Row],[Project]]="",PptoSty[[#This Row],[Project]]="X"),"X",_xlfn.UNIQUE(_xlfn._xlws.FILTER(CstGrpS[Nature],ISNUMBER(FIND(SUBSTITUTE(PptoSty[[#This Row],[PiColumn]]," +%",""),UPPER(SUBSTITUTE(CstGrpS[GrpPrv],"  "," ")))),"X")))</f>
        <v>Hrs</v>
      </c>
      <c r="K27" s="96" t="s">
        <v>1628</v>
      </c>
      <c r="L27" s="96" t="s">
        <v>381</v>
      </c>
      <c r="M27" s="96" t="s">
        <v>28</v>
      </c>
      <c r="N27" s="96" t="str" cm="1">
        <f t="array" ref="N27">IF(OR(PptoSty[[#This Row],[Project]]="",PptoSty[[#This Row],[Project]]="X"),"X",_xlfn._xlws.FILTER(TbAssign[RowId],(TbAssign[Project]=PptoSty[[#This Row],[Project]])*(TbAssign[Módulo]=PptoSty[[#This Row],[PptoVsRow]]),"X"))</f>
        <v>XD02</v>
      </c>
      <c r="O27" s="96" t="str" cm="1">
        <f t="array" ref="O27">IF(OR(PptoSty[[#This Row],[Project]]="",PptoSty[[#This Row],[Project]]="X"),"X",_xlfn.UNIQUE(_xlfn._xlws.FILTER(F_RT14[Amortz.],(F_RT14[Measure]="CurPpto")*(F_RT14[PrjId]=PptoSty[[#This Row],[Project]])*(F_RT14[Vrs]=PptoSty[[#This Row],[Vrs]])*(_xlfn.TEXTAFTER(F_RT14[ActGrp],":")=PptoSty[[#This Row],[PiRow]]),"X")))</f>
        <v>CELL</v>
      </c>
      <c r="P27" s="96" t="s">
        <v>1410</v>
      </c>
      <c r="Q27" s="96" t="s">
        <v>389</v>
      </c>
      <c r="R27" s="204" t="s">
        <v>403</v>
      </c>
      <c r="S27" s="204">
        <v>1</v>
      </c>
      <c r="T27" s="205" cm="1">
        <f t="array" aca="1" ref="T2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27" s="206" cm="1">
        <f t="array" ref="U27">IFERROR((1/PptoSty[[#This Row],[Division]])*IF(PptoSty[[#This Row],[Sign]]="+",1,-1)*(IF(PptoSty[[#This Row],[POvsCT]]="PO",SUM(_xlfn.CHOOSECOLS(_xlfn._xlws.FILTER(F_RT14[],(IF($M27="X",TRUE,F_RT14[Site]=$M27))*(F_RT14[Measure]=U$4)*(F_RT14[PrjId]=PptoSty[[#This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42223.853402061854</v>
      </c>
      <c r="V27" s="206" cm="1">
        <f t="array" ref="V27">IFERROR((1/PptoSty[[#This Row],[Division]])*IF(PptoSty[[#This Row],[Sign]]="+",1,-1)*(IF(PptoSty[[#This Row],[POvsCT]]="PO",SUM(_xlfn.CHOOSECOLS(_xlfn._xlws.FILTER(F_RT14[],(IF($M27="X",TRUE,F_RT14[Site]=$M27))*(F_RT14[Measure]=V$4)*(F_RT14[PrjId]=PptoSty[[#This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5790.682791197999</v>
      </c>
      <c r="W27" s="206" cm="1">
        <f t="array" ref="W27">IFERROR((1/PptoSty[[#This Row],[Division]])*IF(PptoSty[[#This Row],[Sign]]="+",1,-1)*(IF(PptoSty[[#This Row],[POvsCT]]="PO",SUM(_xlfn.CHOOSECOLS(_xlfn._xlws.FILTER(F_RT14[],(IF($M27="X",TRUE,F_RT14[Site]=$M27))*(F_RT14[Measure]=W$4)*(F_RT14[PrjId]=PptoSty[[#This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37071.348397037997</v>
      </c>
      <c r="X27" s="338" cm="1">
        <f t="array" ref="X27">IFERROR(IF(PptoSty[[#This Row],[Nature]]&lt;&gt;"Hrs",0,(1/PptoSty[[#This Row],[Division]])*IF(PptoSty[[#This Row],[Sign]]="+",1,-1)*(IF(PptoSty[[#This Row],[POvsCT]]="PO",SUM(_xlfn.CHOOSECOLS(_xlfn._xlws.FILTER(F_RT14[],(IF($M27="X",TRUE,F_RT14[Site]=$M27))*(F_RT14[Measure]=X$4)*(F_RT14[PrjId]=PptoSty[[#This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1474.8599999999997</v>
      </c>
      <c r="Y27" s="338" cm="1">
        <f t="array" ref="Y27">IFERROR(IF(PptoSty[[#This Row],[Nature]]&lt;&gt;"Hrs",0,(1/PptoSty[[#This Row],[Division]])*IF(PptoSty[[#This Row],[Sign]]="+",1,-1)*(IF(PptoSty[[#This Row],[POvsCT]]="PO",SUM(_xlfn.CHOOSECOLS(_xlfn._xlws.FILTER(F_RT14[],(IF($M27="X",TRUE,F_RT14[Site]=$M27))*(F_RT14[Measure]=Y$4)*(F_RT14[PrjId]=PptoSty[[#This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143.06142</v>
      </c>
      <c r="Z27" s="338" cm="1">
        <f t="array" ref="Z27">IFERROR(IF(PptoSty[[#This Row],[Nature]]&lt;&gt;"Hrs",0,(1/PptoSty[[#This Row],[Division]])*IF(PptoSty[[#This Row],[Sign]]="+",1,-1)*(IF(PptoSty[[#This Row],[POvsCT]]="PO",SUM(_xlfn.CHOOSECOLS(_xlfn._xlws.FILTER(F_RT14[],(IF($M27="X",TRUE,F_RT14[Site]=$M27))*(F_RT14[Measure]=Z$4)*(F_RT14[PrjId]=PptoSty[[#This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1287.5527799999998</v>
      </c>
      <c r="AA27" s="206" cm="1">
        <f t="array" aca="1" ref="AA27"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62731.1343298969</v>
      </c>
      <c r="AB27" s="206" cm="1">
        <f t="array" aca="1" ref="AB27"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8603.1015903810003</v>
      </c>
      <c r="AC27" s="206" cm="1">
        <f t="array" aca="1" ref="AC27"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55076.160765861001</v>
      </c>
      <c r="AF27" s="212"/>
      <c r="AG27"/>
      <c r="AH27"/>
      <c r="AI27" s="21"/>
      <c r="AJ27" s="21"/>
      <c r="AK27" s="175"/>
      <c r="AL27" s="176"/>
      <c r="AM27" s="179"/>
      <c r="AN27" s="176"/>
      <c r="AO27"/>
      <c r="AP27" s="21"/>
      <c r="AQ27" s="176"/>
      <c r="AR27" s="176"/>
      <c r="AS27" s="176"/>
      <c r="AT27" s="176"/>
      <c r="AU27" s="176"/>
      <c r="AV27" s="176"/>
      <c r="AW27" s="176"/>
      <c r="AX27" s="176"/>
      <c r="AY27" s="176"/>
      <c r="AZ27" s="176"/>
      <c r="BA27" s="176"/>
      <c r="BB27" s="176"/>
      <c r="BC27" s="176"/>
      <c r="BD27" s="176"/>
      <c r="BE27"/>
      <c r="BF27" s="21"/>
      <c r="BG27" s="176"/>
      <c r="BH27" s="176"/>
      <c r="BI27" s="176"/>
      <c r="BJ27" s="176"/>
      <c r="BK27" s="176"/>
      <c r="BL27" s="176"/>
      <c r="BM27" s="176"/>
      <c r="BN27" s="176"/>
      <c r="BO27" s="176"/>
      <c r="BP27" s="176"/>
      <c r="BQ27" s="176"/>
      <c r="BR27" s="176"/>
      <c r="BS27" s="176"/>
      <c r="BT27" s="176"/>
      <c r="BU27" s="176"/>
      <c r="BV27" s="176"/>
      <c r="BW27" s="176"/>
      <c r="BX27" s="176"/>
      <c r="BY27" s="176"/>
      <c r="BZ27" s="176"/>
      <c r="CA27" s="176"/>
      <c r="CB27" s="176"/>
      <c r="CC27" s="176"/>
      <c r="CD27" s="176"/>
      <c r="CE27" s="176"/>
      <c r="CF27" s="176"/>
      <c r="CG27" s="176"/>
      <c r="CH27" s="176"/>
      <c r="CI27" s="176"/>
      <c r="CJ27" s="176"/>
      <c r="CK27" s="176"/>
      <c r="CL27" s="176"/>
      <c r="CM27" s="176"/>
      <c r="CN27" s="176"/>
      <c r="CO27" s="176"/>
      <c r="CP27" s="176"/>
      <c r="CQ27" s="176"/>
      <c r="CR27" s="176"/>
      <c r="CS27" s="176"/>
      <c r="CT27" s="176"/>
      <c r="CU27" s="176"/>
      <c r="CV27" s="176"/>
      <c r="CW27" s="176"/>
      <c r="CX27" s="176"/>
      <c r="CY27" s="176"/>
      <c r="CZ27" s="176"/>
      <c r="DA27" s="176"/>
      <c r="DB27" s="176"/>
      <c r="DC27" s="176"/>
      <c r="DD27" s="176"/>
      <c r="DE27" s="176"/>
      <c r="DF27" s="176"/>
      <c r="DG27" s="176"/>
      <c r="DH27" s="176"/>
      <c r="DI27" s="176"/>
      <c r="DJ27" s="176"/>
      <c r="DK27" s="176"/>
      <c r="DL27"/>
      <c r="DM27" s="366" t="str" cm="1">
        <f t="array" aca="1" ref="DM2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DN27:DX27</v>
      </c>
      <c r="DN27" s="177" t="s">
        <v>375</v>
      </c>
      <c r="DO27" s="177" t="str" cm="1">
        <f t="array" aca="1" ref="DO27:DX2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27" s="177" t="str">
        <f ca="1"/>
        <v>DISEÑO MECÁNICO</v>
      </c>
      <c r="DQ27" s="177" t="str">
        <f ca="1"/>
        <v>FABRICACIÓN ELÉCTRICA</v>
      </c>
      <c r="DR27" s="177" t="str">
        <f ca="1"/>
        <v>FABRICACIÓN MECÁNICA</v>
      </c>
      <c r="DS27" s="177" t="str">
        <f ca="1"/>
        <v>INSTALACIÓN ENR</v>
      </c>
      <c r="DT27" s="177" t="str">
        <f ca="1"/>
        <v>MATERIAL ELÉCTRICO +%</v>
      </c>
      <c r="DU27" s="177" t="str">
        <f ca="1"/>
        <v>MATERIAL FLUIDOS +%</v>
      </c>
      <c r="DV27" s="177" t="str">
        <f ca="1"/>
        <v>MATERIAL MECÁNICO +%</v>
      </c>
      <c r="DW27" s="177" t="str">
        <f ca="1"/>
        <v>METROLOGÍA</v>
      </c>
      <c r="DX27" s="177" t="str">
        <f ca="1"/>
        <v>MONTAJE MECÁNICO</v>
      </c>
      <c r="DY27" s="177"/>
      <c r="DZ27" s="177"/>
      <c r="EA27" s="177"/>
      <c r="EB27" s="177"/>
      <c r="EC27" s="177"/>
      <c r="ED27" s="177"/>
    </row>
    <row r="28" spans="3:220" ht="13" customHeight="1">
      <c r="C28" s="213">
        <v>45252</v>
      </c>
      <c r="D28" s="213" t="s">
        <v>2114</v>
      </c>
      <c r="E28" s="213" t="s">
        <v>1710</v>
      </c>
      <c r="F28" s="219" t="s">
        <v>375</v>
      </c>
      <c r="G28" s="201" t="s">
        <v>1415</v>
      </c>
      <c r="H28" s="202">
        <v>15</v>
      </c>
      <c r="I28" s="339" t="str" cm="1">
        <f t="array" aca="1" ref="I2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E001</v>
      </c>
      <c r="J28" s="203" t="str" cm="1">
        <f t="array" ref="J28">IF(OR(PptoSty[[#This Row],[Project]]="",PptoSty[[#This Row],[Project]]="X"),"X",_xlfn.UNIQUE(_xlfn._xlws.FILTER(CstGrpS[Nature],ISNUMBER(FIND(SUBSTITUTE(PptoSty[[#This Row],[PiColumn]]," +%",""),UPPER(SUBSTITUTE(CstGrpS[GrpPrv],"  "," ")))),"X")))</f>
        <v>Hrs</v>
      </c>
      <c r="K28" s="96" t="s">
        <v>362</v>
      </c>
      <c r="L28" s="96" t="s">
        <v>381</v>
      </c>
      <c r="M28" s="96" t="s">
        <v>375</v>
      </c>
      <c r="N28" s="96" t="str" cm="1">
        <f t="array" ref="N28">IF(OR(PptoSty[[#This Row],[Project]]="",PptoSty[[#This Row],[Project]]="X"),"X",_xlfn._xlws.FILTER(TbAssign[RowId],(TbAssign[Project]=PptoSty[[#This Row],[Project]])*(TbAssign[Módulo]=PptoSty[[#This Row],[PptoVsRow]]),"X"))</f>
        <v>XD02</v>
      </c>
      <c r="O28" s="96" t="str" cm="1">
        <f t="array" ref="O28">IF(OR(PptoSty[[#This Row],[Project]]="",PptoSty[[#This Row],[Project]]="X"),"X",_xlfn.UNIQUE(_xlfn._xlws.FILTER(F_RT14[Amortz.],(F_RT14[Measure]="CurPpto")*(F_RT14[PrjId]=PptoSty[[#This Row],[Project]])*(F_RT14[Vrs]=PptoSty[[#This Row],[Vrs]])*(_xlfn.TEXTAFTER(F_RT14[ActGrp],":")=PptoSty[[#This Row],[PiRow]]),"X")))</f>
        <v>CELL</v>
      </c>
      <c r="P28" s="96" t="s">
        <v>1410</v>
      </c>
      <c r="Q28" s="96" t="s">
        <v>389</v>
      </c>
      <c r="R28" s="204" t="s">
        <v>1671</v>
      </c>
      <c r="S28" s="204">
        <v>1</v>
      </c>
      <c r="T28" s="205" t="str" cm="1">
        <f t="array" aca="1" ref="T2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8" s="206" cm="1">
        <f t="array" ref="U28">IFERROR((1/PptoSty[[#This Row],[Division]])*IF(PptoSty[[#This Row],[Sign]]="+",1,-1)*(IF(PptoSty[[#This Row],[POvsCT]]="PO",SUM(_xlfn.CHOOSECOLS(_xlfn._xlws.FILTER(F_RT14[],(IF($M28="X",TRUE,F_RT14[Site]=$M28))*(F_RT14[Measure]=U$4)*(F_RT14[PrjId]=PptoSty[[#This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-41564.239896907216</v>
      </c>
      <c r="V28" s="206" cm="1">
        <f t="array" ref="V28">IFERROR((1/PptoSty[[#This Row],[Division]])*IF(PptoSty[[#This Row],[Sign]]="+",1,-1)*(IF(PptoSty[[#This Row],[POvsCT]]="PO",SUM(_xlfn.CHOOSECOLS(_xlfn._xlws.FILTER(F_RT14[],(IF($M28="X",TRUE,F_RT14[Site]=$M28))*(F_RT14[Measure]=V$4)*(F_RT14[PrjId]=PptoSty[[#This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-5700.2217769259996</v>
      </c>
      <c r="W28" s="206" cm="1">
        <f t="array" ref="W28">IFERROR((1/PptoSty[[#This Row],[Division]])*IF(PptoSty[[#This Row],[Sign]]="+",1,-1)*(IF(PptoSty[[#This Row],[POvsCT]]="PO",SUM(_xlfn.CHOOSECOLS(_xlfn._xlws.FILTER(F_RT14[],(IF($M28="X",TRUE,F_RT14[Site]=$M28))*(F_RT14[Measure]=W$4)*(F_RT14[PrjId]=PptoSty[[#This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-36492.226401005995</v>
      </c>
      <c r="X28" s="338" cm="1">
        <f t="array" ref="X28">IFERROR(IF(PptoSty[[#This Row],[Nature]]&lt;&gt;"Hrs",0,(1/PptoSty[[#This Row],[Division]])*IF(PptoSty[[#This Row],[Sign]]="+",1,-1)*(IF(PptoSty[[#This Row],[POvsCT]]="PO",SUM(_xlfn.CHOOSECOLS(_xlfn._xlws.FILTER(F_RT14[],(IF($M28="X",TRUE,F_RT14[Site]=$M28))*(F_RT14[Measure]=X$4)*(F_RT14[PrjId]=PptoSty[[#This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-1451.8199999999997</v>
      </c>
      <c r="Y28" s="338" cm="1">
        <f t="array" ref="Y28">IFERROR(IF(PptoSty[[#This Row],[Nature]]&lt;&gt;"Hrs",0,(1/PptoSty[[#This Row],[Division]])*IF(PptoSty[[#This Row],[Sign]]="+",1,-1)*(IF(PptoSty[[#This Row],[POvsCT]]="PO",SUM(_xlfn.CHOOSECOLS(_xlfn._xlws.FILTER(F_RT14[],(IF($M28="X",TRUE,F_RT14[Site]=$M28))*(F_RT14[Measure]=Y$4)*(F_RT14[PrjId]=PptoSty[[#This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-140.82653999999999</v>
      </c>
      <c r="Z28" s="338" cm="1">
        <f t="array" ref="Z28">IFERROR(IF(PptoSty[[#This Row],[Nature]]&lt;&gt;"Hrs",0,(1/PptoSty[[#This Row],[Division]])*IF(PptoSty[[#This Row],[Sign]]="+",1,-1)*(IF(PptoSty[[#This Row],[POvsCT]]="PO",SUM(_xlfn.CHOOSECOLS(_xlfn._xlws.FILTER(F_RT14[],(IF($M28="X",TRUE,F_RT14[Site]=$M28))*(F_RT14[Measure]=Z$4)*(F_RT14[PrjId]=PptoSty[[#This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-1267.4388599999997</v>
      </c>
      <c r="AA28" s="206" cm="1">
        <f t="array" aca="1" ref="AA28"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21166.894432989684</v>
      </c>
      <c r="AB28" s="206" cm="1">
        <f t="array" aca="1" ref="AB28"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2902.8798134550007</v>
      </c>
      <c r="AC28" s="206" cm="1">
        <f t="array" aca="1" ref="AC28"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18583.934364855006</v>
      </c>
      <c r="AG28"/>
      <c r="AH28"/>
      <c r="AI28" s="21"/>
      <c r="AJ28" s="21"/>
      <c r="AK28" s="175"/>
      <c r="AL28" s="176"/>
      <c r="AM28" s="179"/>
      <c r="AN28" s="176"/>
      <c r="AO28"/>
      <c r="AP28" s="21"/>
      <c r="AQ28" s="176"/>
      <c r="AR28" s="176"/>
      <c r="AS28" s="176"/>
      <c r="AT28" s="176"/>
      <c r="AU28" s="176"/>
      <c r="AV28" s="176"/>
      <c r="AW28" s="176"/>
      <c r="AX28" s="176"/>
      <c r="AY28" s="176"/>
      <c r="AZ28" s="176"/>
      <c r="BA28" s="176"/>
      <c r="BB28" s="176"/>
      <c r="BC28" s="176"/>
      <c r="BD28" s="176"/>
      <c r="BE28"/>
      <c r="BF28" s="21"/>
      <c r="BG28" s="176"/>
      <c r="BH28" s="176"/>
      <c r="BI28" s="176"/>
      <c r="BJ28" s="176"/>
      <c r="BK28" s="176"/>
      <c r="BL28" s="176"/>
      <c r="BM28" s="176"/>
      <c r="BN28" s="176"/>
      <c r="BO28" s="176"/>
      <c r="BP28" s="176"/>
      <c r="BQ28" s="176"/>
      <c r="BR28" s="176"/>
      <c r="BS28" s="176"/>
      <c r="BT28" s="176"/>
      <c r="BU28" s="176"/>
      <c r="BV28" s="176"/>
      <c r="BW28" s="176"/>
      <c r="BX28" s="176"/>
      <c r="BY28" s="176"/>
      <c r="BZ28" s="176"/>
      <c r="CA28" s="176"/>
      <c r="CB28" s="176"/>
      <c r="CC28" s="176"/>
      <c r="CD28" s="176"/>
      <c r="CE28" s="176"/>
      <c r="CF28" s="176"/>
      <c r="CG28" s="176"/>
      <c r="CH28" s="176"/>
      <c r="CI28" s="176"/>
      <c r="CJ28" s="176"/>
      <c r="CK28" s="176"/>
      <c r="CL28" s="176"/>
      <c r="CM28" s="176"/>
      <c r="CN28" s="176"/>
      <c r="CO28" s="176"/>
      <c r="CP28" s="176"/>
      <c r="CQ28" s="176"/>
      <c r="CR28" s="176"/>
      <c r="CS28" s="176"/>
      <c r="CT28" s="176"/>
      <c r="CU28" s="176"/>
      <c r="CV28" s="176"/>
      <c r="CW28" s="176"/>
      <c r="CX28" s="176"/>
      <c r="CY28" s="176"/>
      <c r="CZ28" s="176"/>
      <c r="DA28" s="176"/>
      <c r="DB28" s="176"/>
      <c r="DC28" s="176"/>
      <c r="DD28" s="176"/>
      <c r="DE28" s="176"/>
      <c r="DF28" s="176"/>
      <c r="DG28" s="176"/>
      <c r="DH28" s="176"/>
      <c r="DI28" s="176"/>
      <c r="DJ28" s="176"/>
      <c r="DK28" s="176"/>
      <c r="DL28"/>
      <c r="DM28" s="366" t="str" cm="1">
        <f t="array" aca="1" ref="DM2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DN28:DP28</v>
      </c>
      <c r="DN28" s="177" t="s">
        <v>375</v>
      </c>
      <c r="DO28" s="177" t="str" cm="1">
        <f t="array" aca="1" ref="DO28:DP2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FABRICACIÓN ELÉCTRICA</v>
      </c>
      <c r="DP28" s="177" t="str">
        <f ca="1"/>
        <v>MATERIAL ELÉCTRICO +%</v>
      </c>
      <c r="DQ28" s="177"/>
      <c r="DR28" s="177"/>
      <c r="DS28" s="177"/>
      <c r="DT28" s="177"/>
      <c r="DU28" s="177"/>
      <c r="DV28" s="177"/>
      <c r="DW28" s="177"/>
      <c r="DX28" s="177"/>
      <c r="DY28" s="177"/>
      <c r="DZ28" s="177"/>
      <c r="EA28" s="177"/>
      <c r="EB28" s="177"/>
      <c r="EC28" s="177"/>
      <c r="ED28" s="177"/>
    </row>
    <row r="29" spans="3:220" ht="13" customHeight="1">
      <c r="C29" s="213">
        <v>45252</v>
      </c>
      <c r="D29" s="213" t="s">
        <v>2114</v>
      </c>
      <c r="E29" s="213" t="s">
        <v>1710</v>
      </c>
      <c r="F29" s="219" t="s">
        <v>375</v>
      </c>
      <c r="G29" s="201" t="s">
        <v>1415</v>
      </c>
      <c r="H29" s="202">
        <v>15</v>
      </c>
      <c r="I29" s="339" t="str" cm="1">
        <f t="array" aca="1" ref="I2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E001</v>
      </c>
      <c r="J29" s="203" t="str" cm="1">
        <f t="array" ref="J29">IF(OR(PptoSty[[#This Row],[Project]]="",PptoSty[[#This Row],[Project]]="X"),"X",_xlfn.UNIQUE(_xlfn._xlws.FILTER(CstGrpS[Nature],ISNUMBER(FIND(SUBSTITUTE(PptoSty[[#This Row],[PiColumn]]," +%",""),UPPER(SUBSTITUTE(CstGrpS[GrpPrv],"  "," ")))),"X")))</f>
        <v>Mat</v>
      </c>
      <c r="K29" s="96" t="s">
        <v>362</v>
      </c>
      <c r="L29" s="96" t="s">
        <v>1646</v>
      </c>
      <c r="M29" s="96" t="s">
        <v>375</v>
      </c>
      <c r="N29" s="96" t="str" cm="1">
        <f t="array" ref="N29">IF(OR(PptoSty[[#This Row],[Project]]="",PptoSty[[#This Row],[Project]]="X"),"X",_xlfn._xlws.FILTER(TbAssign[RowId],(TbAssign[Project]=PptoSty[[#This Row],[Project]])*(TbAssign[Módulo]=PptoSty[[#This Row],[PptoVsRow]]),"X"))</f>
        <v>XD02</v>
      </c>
      <c r="O29" s="96" t="str" cm="1">
        <f t="array" ref="O29">IF(OR(PptoSty[[#This Row],[Project]]="",PptoSty[[#This Row],[Project]]="X"),"X",_xlfn.UNIQUE(_xlfn._xlws.FILTER(F_RT14[Amortz.],(F_RT14[Measure]="CurPpto")*(F_RT14[PrjId]=PptoSty[[#This Row],[Project]])*(F_RT14[Vrs]=PptoSty[[#This Row],[Vrs]])*(_xlfn.TEXTAFTER(F_RT14[ActGrp],":")=PptoSty[[#This Row],[PiRow]]),"X")))</f>
        <v>CELL</v>
      </c>
      <c r="P29" s="96" t="s">
        <v>1410</v>
      </c>
      <c r="Q29" s="96" t="s">
        <v>1275</v>
      </c>
      <c r="R29" s="204" t="s">
        <v>1671</v>
      </c>
      <c r="S29" s="204">
        <v>1</v>
      </c>
      <c r="T29" s="205" t="str" cm="1">
        <f t="array" aca="1" ref="T2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9" s="206" cm="1">
        <f t="array" ref="U29">IFERROR((1/PptoSty[[#This Row],[Division]])*IF(PptoSty[[#This Row],[Sign]]="+",1,-1)*(IF(PptoSty[[#This Row],[POvsCT]]="PO",SUM(_xlfn.CHOOSECOLS(_xlfn._xlws.FILTER(F_RT14[],(IF($M29="X",TRUE,F_RT14[Site]=$M29))*(F_RT14[Measure]=U$4)*(F_RT14[PrjId]=PptoSty[[#This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-241307.51</v>
      </c>
      <c r="V29" s="206" cm="1">
        <f t="array" ref="V29">IFERROR((1/PptoSty[[#This Row],[Division]])*IF(PptoSty[[#This Row],[Sign]]="+",1,-1)*(IF(PptoSty[[#This Row],[POvsCT]]="PO",SUM(_xlfn.CHOOSECOLS(_xlfn._xlws.FILTER(F_RT14[],(IF($M29="X",TRUE,F_RT14[Site]=$M29))*(F_RT14[Measure]=V$4)*(F_RT14[PrjId]=PptoSty[[#This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9" s="206" cm="1">
        <f t="array" ref="W29">IFERROR((1/PptoSty[[#This Row],[Division]])*IF(PptoSty[[#This Row],[Sign]]="+",1,-1)*(IF(PptoSty[[#This Row],[POvsCT]]="PO",SUM(_xlfn.CHOOSECOLS(_xlfn._xlws.FILTER(F_RT14[],(IF($M29="X",TRUE,F_RT14[Site]=$M29))*(F_RT14[Measure]=W$4)*(F_RT14[PrjId]=PptoSty[[#This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-241307.51</v>
      </c>
      <c r="X29" s="338" cm="1">
        <f t="array" ref="X29">IFERROR(IF(PptoSty[[#This Row],[Nature]]&lt;&gt;"Hrs",0,(1/PptoSty[[#This Row],[Division]])*IF(PptoSty[[#This Row],[Sign]]="+",1,-1)*(IF(PptoSty[[#This Row],[POvsCT]]="PO",SUM(_xlfn.CHOOSECOLS(_xlfn._xlws.FILTER(F_RT14[],(IF($M29="X",TRUE,F_RT14[Site]=$M29))*(F_RT14[Measure]=X$4)*(F_RT14[PrjId]=PptoSty[[#This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9" s="338" cm="1">
        <f t="array" ref="Y29">IFERROR(IF(PptoSty[[#This Row],[Nature]]&lt;&gt;"Hrs",0,(1/PptoSty[[#This Row],[Division]])*IF(PptoSty[[#This Row],[Sign]]="+",1,-1)*(IF(PptoSty[[#This Row],[POvsCT]]="PO",SUM(_xlfn.CHOOSECOLS(_xlfn._xlws.FILTER(F_RT14[],(IF($M29="X",TRUE,F_RT14[Site]=$M29))*(F_RT14[Measure]=Y$4)*(F_RT14[PrjId]=PptoSty[[#This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9" s="338" cm="1">
        <f t="array" ref="Z29">IFERROR(IF(PptoSty[[#This Row],[Nature]]&lt;&gt;"Hrs",0,(1/PptoSty[[#This Row],[Division]])*IF(PptoSty[[#This Row],[Sign]]="+",1,-1)*(IF(PptoSty[[#This Row],[POvsCT]]="PO",SUM(_xlfn.CHOOSECOLS(_xlfn._xlws.FILTER(F_RT14[],(IF($M29="X",TRUE,F_RT14[Site]=$M29))*(F_RT14[Measure]=Z$4)*(F_RT14[PrjId]=PptoSty[[#This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9" s="206" cm="1">
        <f t="array" aca="1" ref="AA29"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-241307.51</v>
      </c>
      <c r="AB29" s="206" cm="1">
        <f t="array" aca="1" ref="AB29"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9" s="206" cm="1">
        <f t="array" aca="1" ref="AC29"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-241307.51</v>
      </c>
      <c r="AG29"/>
      <c r="AH29"/>
      <c r="AI29" s="21"/>
      <c r="AJ29" s="21"/>
      <c r="AK29" s="175"/>
      <c r="AL29" s="176"/>
      <c r="AM29" s="179"/>
      <c r="AN29" s="176"/>
      <c r="AO29"/>
      <c r="AP29" s="21"/>
      <c r="AQ29" s="176"/>
      <c r="AR29" s="176"/>
      <c r="AS29" s="176"/>
      <c r="AT29" s="176"/>
      <c r="AU29" s="176"/>
      <c r="AV29" s="176"/>
      <c r="AW29" s="176"/>
      <c r="AX29" s="176"/>
      <c r="AY29" s="176"/>
      <c r="AZ29" s="176"/>
      <c r="BA29" s="176"/>
      <c r="BB29" s="176"/>
      <c r="BC29" s="176"/>
      <c r="BD29" s="176"/>
      <c r="BE29"/>
      <c r="BF29" s="21"/>
      <c r="BG29" s="176"/>
      <c r="BH29" s="176"/>
      <c r="BI29" s="176"/>
      <c r="BJ29" s="176"/>
      <c r="BK29" s="176"/>
      <c r="BL29" s="176"/>
      <c r="BM29" s="176"/>
      <c r="BN29" s="176"/>
      <c r="BO29" s="176"/>
      <c r="BP29" s="176"/>
      <c r="BQ29" s="176"/>
      <c r="BR29" s="176"/>
      <c r="BS29" s="176"/>
      <c r="BT29" s="176"/>
      <c r="BU29" s="176"/>
      <c r="BV29" s="176"/>
      <c r="BW29" s="176"/>
      <c r="BX29" s="176"/>
      <c r="BY29" s="176"/>
      <c r="BZ29" s="176"/>
      <c r="CA29" s="176"/>
      <c r="CB29" s="176"/>
      <c r="CC29" s="176"/>
      <c r="CD29" s="176"/>
      <c r="CE29" s="176"/>
      <c r="CF29" s="176"/>
      <c r="CG29" s="176"/>
      <c r="CH29" s="176"/>
      <c r="CI29" s="176"/>
      <c r="CJ29" s="176"/>
      <c r="CK29" s="176"/>
      <c r="CL29" s="176"/>
      <c r="CM29" s="176"/>
      <c r="CN29" s="176"/>
      <c r="CO29" s="176"/>
      <c r="CP29" s="176"/>
      <c r="CQ29" s="176"/>
      <c r="CR29" s="176"/>
      <c r="CS29" s="176"/>
      <c r="CT29" s="176"/>
      <c r="CU29" s="176"/>
      <c r="CV29" s="176"/>
      <c r="CW29" s="176"/>
      <c r="CX29" s="176"/>
      <c r="CY29" s="176"/>
      <c r="CZ29" s="176"/>
      <c r="DA29" s="176"/>
      <c r="DB29" s="176"/>
      <c r="DC29" s="176"/>
      <c r="DD29" s="176"/>
      <c r="DE29" s="176"/>
      <c r="DF29" s="176"/>
      <c r="DG29" s="176"/>
      <c r="DH29" s="176"/>
      <c r="DI29" s="176"/>
      <c r="DJ29" s="176"/>
      <c r="DK29" s="176"/>
      <c r="DL29"/>
      <c r="DM29" s="366" t="str" cm="1">
        <f t="array" aca="1" ref="DM29"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DN29:DP29</v>
      </c>
      <c r="DN29" s="177" t="s">
        <v>375</v>
      </c>
      <c r="DO29" s="177" t="str" cm="1">
        <f t="array" aca="1" ref="DO29:DP29"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FABRICACIÓN ELÉCTRICA</v>
      </c>
      <c r="DP29" s="177" t="str">
        <f ca="1"/>
        <v>MATERIAL ELÉCTRICO +%</v>
      </c>
      <c r="DQ29" s="177"/>
      <c r="DR29" s="177"/>
      <c r="DS29" s="177"/>
      <c r="DT29" s="177"/>
      <c r="DU29" s="177"/>
      <c r="DV29" s="177"/>
      <c r="DW29" s="177"/>
      <c r="DX29" s="177"/>
      <c r="DY29" s="177"/>
      <c r="DZ29" s="177"/>
      <c r="EA29" s="177"/>
      <c r="EB29" s="177"/>
      <c r="EC29" s="177"/>
      <c r="ED29" s="177"/>
    </row>
    <row r="30" spans="3:220" ht="13" customHeight="1">
      <c r="C30" s="213">
        <v>45252</v>
      </c>
      <c r="D30" s="213" t="s">
        <v>2114</v>
      </c>
      <c r="E30" s="213" t="s">
        <v>1710</v>
      </c>
      <c r="F30" s="219" t="s">
        <v>375</v>
      </c>
      <c r="G30" s="201" t="s">
        <v>1415</v>
      </c>
      <c r="H30" s="202">
        <v>15</v>
      </c>
      <c r="I30" s="339" t="str" cm="1">
        <f t="array" aca="1" ref="I3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X002</v>
      </c>
      <c r="J30" s="203" t="str" cm="1">
        <f t="array" ref="J30">IF(OR(PptoSty[[#This Row],[Project]]="",PptoSty[[#This Row],[Project]]="X"),"X",_xlfn.UNIQUE(_xlfn._xlws.FILTER(CstGrpS[Nature],ISNUMBER(FIND(SUBSTITUTE(PptoSty[[#This Row],[PiColumn]]," +%",""),UPPER(SUBSTITUTE(CstGrpS[GrpPrv],"  "," ")))),"X")))</f>
        <v>Hrs</v>
      </c>
      <c r="K30" s="96" t="s">
        <v>1628</v>
      </c>
      <c r="L30" s="96" t="s">
        <v>1645</v>
      </c>
      <c r="M30" s="96" t="s">
        <v>28</v>
      </c>
      <c r="N30" s="96" t="str" cm="1">
        <f t="array" ref="N30">IF(OR(PptoSty[[#This Row],[Project]]="",PptoSty[[#This Row],[Project]]="X"),"X",_xlfn._xlws.FILTER(TbAssign[RowId],(TbAssign[Project]=PptoSty[[#This Row],[Project]])*(TbAssign[Módulo]=PptoSty[[#This Row],[PptoVsRow]]),"X"))</f>
        <v>XD02</v>
      </c>
      <c r="O30" s="96" t="str" cm="1">
        <f t="array" ref="O30">IF(OR(PptoSty[[#This Row],[Project]]="",PptoSty[[#This Row],[Project]]="X"),"X",_xlfn.UNIQUE(_xlfn._xlws.FILTER(F_RT14[Amortz.],(F_RT14[Measure]="CurPpto")*(F_RT14[PrjId]=PptoSty[[#This Row],[Project]])*(F_RT14[Vrs]=PptoSty[[#This Row],[Vrs]])*(_xlfn.TEXTAFTER(F_RT14[ActGrp],":")=PptoSty[[#This Row],[PiRow]]),"X")))</f>
        <v>CELL</v>
      </c>
      <c r="P30" s="96" t="s">
        <v>1410</v>
      </c>
      <c r="Q30" s="96" t="s">
        <v>389</v>
      </c>
      <c r="R30" s="204" t="s">
        <v>403</v>
      </c>
      <c r="S30" s="204">
        <v>1</v>
      </c>
      <c r="T30" s="205" cm="1">
        <f t="array" aca="1" ref="T3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30" s="206" cm="1">
        <f t="array" ref="U30">IFERROR((1/PptoSty[[#This Row],[Division]])*IF(PptoSty[[#This Row],[Sign]]="+",1,-1)*(IF(PptoSty[[#This Row],[POvsCT]]="PO",SUM(_xlfn.CHOOSECOLS(_xlfn._xlws.FILTER(F_RT14[],(IF($M30="X",TRUE,F_RT14[Site]=$M30))*(F_RT14[Measure]=U$4)*(F_RT14[PrjId]=PptoSty[[#This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126919.68474226806</v>
      </c>
      <c r="V30" s="206" cm="1">
        <f t="array" ref="V30">IFERROR((1/PptoSty[[#This Row],[Division]])*IF(PptoSty[[#This Row],[Sign]]="+",1,-1)*(IF(PptoSty[[#This Row],[POvsCT]]="PO",SUM(_xlfn.CHOOSECOLS(_xlfn._xlws.FILTER(F_RT14[],(IF($M30="X",TRUE,F_RT14[Site]=$M30))*(F_RT14[Measure]=V$4)*(F_RT14[PrjId]=PptoSty[[#This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12792.459526074002</v>
      </c>
      <c r="W30" s="206" cm="1">
        <f t="array" ref="W30">IFERROR((1/PptoSty[[#This Row],[Division]])*IF(PptoSty[[#This Row],[Sign]]="+",1,-1)*(IF(PptoSty[[#This Row],[POvsCT]]="PO",SUM(_xlfn.CHOOSECOLS(_xlfn._xlws.FILTER(F_RT14[],(IF($M30="X",TRUE,F_RT14[Site]=$M30))*(F_RT14[Measure]=W$4)*(F_RT14[PrjId]=PptoSty[[#This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81895.994141994015</v>
      </c>
      <c r="X30" s="338" cm="1">
        <f t="array" ref="X30">IFERROR(IF(PptoSty[[#This Row],[Nature]]&lt;&gt;"Hrs",0,(1/PptoSty[[#This Row],[Division]])*IF(PptoSty[[#This Row],[Sign]]="+",1,-1)*(IF(PptoSty[[#This Row],[POvsCT]]="PO",SUM(_xlfn.CHOOSECOLS(_xlfn._xlws.FILTER(F_RT14[],(IF($M30="X",TRUE,F_RT14[Site]=$M30))*(F_RT14[Measure]=X$4)*(F_RT14[PrjId]=PptoSty[[#This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3258.18</v>
      </c>
      <c r="Y30" s="338" cm="1">
        <f t="array" ref="Y30">IFERROR(IF(PptoSty[[#This Row],[Nature]]&lt;&gt;"Hrs",0,(1/PptoSty[[#This Row],[Division]])*IF(PptoSty[[#This Row],[Sign]]="+",1,-1)*(IF(PptoSty[[#This Row],[POvsCT]]="PO",SUM(_xlfn.CHOOSECOLS(_xlfn._xlws.FILTER(F_RT14[],(IF($M30="X",TRUE,F_RT14[Site]=$M30))*(F_RT14[Measure]=Y$4)*(F_RT14[PrjId]=PptoSty[[#This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316.04345999999998</v>
      </c>
      <c r="Z30" s="338" cm="1">
        <f t="array" ref="Z30">IFERROR(IF(PptoSty[[#This Row],[Nature]]&lt;&gt;"Hrs",0,(1/PptoSty[[#This Row],[Division]])*IF(PptoSty[[#This Row],[Sign]]="+",1,-1)*(IF(PptoSty[[#This Row],[POvsCT]]="PO",SUM(_xlfn.CHOOSECOLS(_xlfn._xlws.FILTER(F_RT14[],(IF($M30="X",TRUE,F_RT14[Site]=$M30))*(F_RT14[Measure]=Z$4)*(F_RT14[PrjId]=PptoSty[[#This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2844.3911400000006</v>
      </c>
      <c r="AA30" s="206" cm="1">
        <f t="array" aca="1" ref="AA30"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148086.57917525774</v>
      </c>
      <c r="AB30" s="206" cm="1">
        <f t="array" aca="1" ref="AB30"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15695.339339529004</v>
      </c>
      <c r="AC30" s="206" cm="1">
        <f t="array" aca="1" ref="AC30"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100479.92850684901</v>
      </c>
      <c r="AG30"/>
      <c r="AH30"/>
      <c r="AI30" s="21"/>
      <c r="AJ30" s="21"/>
      <c r="AK30" s="175"/>
      <c r="AL30" s="176"/>
      <c r="AM30" s="179"/>
      <c r="AN30" s="176"/>
      <c r="AO30"/>
      <c r="AP30" s="21"/>
      <c r="AQ30" s="176"/>
      <c r="AR30" s="176"/>
      <c r="AS30" s="176"/>
      <c r="AT30" s="176"/>
      <c r="AU30" s="176"/>
      <c r="AV30" s="176"/>
      <c r="AW30" s="176"/>
      <c r="AX30" s="176"/>
      <c r="AY30" s="176"/>
      <c r="AZ30" s="176"/>
      <c r="BA30" s="176"/>
      <c r="BB30" s="176"/>
      <c r="BC30" s="176"/>
      <c r="BD30" s="176"/>
      <c r="BE30"/>
      <c r="BF30" s="21"/>
      <c r="BG30" s="176"/>
      <c r="BH30" s="176"/>
      <c r="BI30" s="176"/>
      <c r="BJ30" s="176"/>
      <c r="BK30" s="176"/>
      <c r="BL30" s="176"/>
      <c r="BM30" s="176"/>
      <c r="BN30" s="176"/>
      <c r="BO30" s="176"/>
      <c r="BP30" s="176"/>
      <c r="BQ30" s="176"/>
      <c r="BR30" s="176"/>
      <c r="BS30" s="176"/>
      <c r="BT30" s="176"/>
      <c r="BU30" s="176"/>
      <c r="BV30" s="176"/>
      <c r="BW30" s="176"/>
      <c r="BX30" s="176"/>
      <c r="BY30" s="176"/>
      <c r="BZ30" s="176"/>
      <c r="CA30" s="176"/>
      <c r="CB30" s="176"/>
      <c r="CC30" s="176"/>
      <c r="CD30" s="176"/>
      <c r="CE30" s="176"/>
      <c r="CF30" s="176"/>
      <c r="CG30" s="176"/>
      <c r="CH30" s="176"/>
      <c r="CI30" s="176"/>
      <c r="CJ30" s="176"/>
      <c r="CK30" s="176"/>
      <c r="CL30" s="176"/>
      <c r="CM30" s="176"/>
      <c r="CN30" s="176"/>
      <c r="CO30" s="176"/>
      <c r="CP30" s="176"/>
      <c r="CQ30" s="176"/>
      <c r="CR30" s="176"/>
      <c r="CS30" s="176"/>
      <c r="CT30" s="176"/>
      <c r="CU30" s="176"/>
      <c r="CV30" s="176"/>
      <c r="CW30" s="176"/>
      <c r="CX30" s="176"/>
      <c r="CY30" s="176"/>
      <c r="CZ30" s="176"/>
      <c r="DA30" s="176"/>
      <c r="DB30" s="176"/>
      <c r="DC30" s="176"/>
      <c r="DD30" s="176"/>
      <c r="DE30" s="176"/>
      <c r="DF30" s="176"/>
      <c r="DG30" s="176"/>
      <c r="DH30" s="176"/>
      <c r="DI30" s="176"/>
      <c r="DJ30" s="176"/>
      <c r="DK30" s="176"/>
      <c r="DL30"/>
      <c r="DM30" s="366" t="str" cm="1">
        <f t="array" aca="1" ref="DM30"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DN30:DX30</v>
      </c>
      <c r="DN30" s="177" t="s">
        <v>375</v>
      </c>
      <c r="DO30" s="177" t="str" cm="1">
        <f t="array" aca="1" ref="DO30:DX30"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30" s="177" t="str">
        <f ca="1"/>
        <v>DISEÑO MECÁNICO</v>
      </c>
      <c r="DQ30" s="177" t="str">
        <f ca="1"/>
        <v>FABRICACIÓN ELÉCTRICA</v>
      </c>
      <c r="DR30" s="177" t="str">
        <f ca="1"/>
        <v>FABRICACIÓN MECÁNICA</v>
      </c>
      <c r="DS30" s="177" t="str">
        <f ca="1"/>
        <v>INSTALACIÓN ENR</v>
      </c>
      <c r="DT30" s="177" t="str">
        <f ca="1"/>
        <v>MATERIAL ELÉCTRICO +%</v>
      </c>
      <c r="DU30" s="177" t="str">
        <f ca="1"/>
        <v>MATERIAL FLUIDOS +%</v>
      </c>
      <c r="DV30" s="177" t="str">
        <f ca="1"/>
        <v>MATERIAL MECÁNICO +%</v>
      </c>
      <c r="DW30" s="177" t="str">
        <f ca="1"/>
        <v>METROLOGÍA</v>
      </c>
      <c r="DX30" s="177" t="str">
        <f ca="1"/>
        <v>MONTAJE MECÁNICO</v>
      </c>
      <c r="DY30" s="177"/>
      <c r="DZ30" s="177"/>
      <c r="EA30" s="177"/>
      <c r="EB30" s="177"/>
      <c r="EC30" s="177"/>
      <c r="ED30" s="177"/>
    </row>
    <row r="31" spans="3:220" ht="13" customHeight="1">
      <c r="C31" s="213">
        <v>45252</v>
      </c>
      <c r="D31" s="213" t="s">
        <v>2114</v>
      </c>
      <c r="E31" s="213" t="s">
        <v>1710</v>
      </c>
      <c r="F31" s="219" t="s">
        <v>375</v>
      </c>
      <c r="G31" s="201" t="s">
        <v>1415</v>
      </c>
      <c r="H31" s="202">
        <v>15</v>
      </c>
      <c r="I31" s="339" t="str" cm="1">
        <f t="array" aca="1" ref="I3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31" s="203" t="str" cm="1">
        <f t="array" ref="J31">IF(OR(PptoSty[[#This Row],[Project]]="",PptoSty[[#This Row],[Project]]="X"),"X",_xlfn.UNIQUE(_xlfn._xlws.FILTER(CstGrpS[Nature],ISNUMBER(FIND(SUBSTITUTE(PptoSty[[#This Row],[PiColumn]]," +%",""),UPPER(SUBSTITUTE(CstGrpS[GrpPrv],"  "," ")))),"X")))</f>
        <v>Mat</v>
      </c>
      <c r="K31" s="96" t="s">
        <v>1629</v>
      </c>
      <c r="L31" s="96" t="s">
        <v>1646</v>
      </c>
      <c r="M31" s="96" t="s">
        <v>28</v>
      </c>
      <c r="N31" s="96" t="str" cm="1">
        <f t="array" ref="N31">IF(OR(PptoSty[[#This Row],[Project]]="",PptoSty[[#This Row],[Project]]="X"),"X",_xlfn._xlws.FILTER(TbAssign[RowId],(TbAssign[Project]=PptoSty[[#This Row],[Project]])*(TbAssign[Módulo]=PptoSty[[#This Row],[PptoVsRow]]),"X"))</f>
        <v>XD01</v>
      </c>
      <c r="O31" s="96" t="str" cm="1">
        <f t="array" ref="O31">IF(OR(PptoSty[[#This Row],[Project]]="",PptoSty[[#This Row],[Project]]="X"),"X",_xlfn.UNIQUE(_xlfn._xlws.FILTER(F_RT14[Amortz.],(F_RT14[Measure]="CurPpto")*(F_RT14[PrjId]=PptoSty[[#This Row],[Project]])*(F_RT14[Vrs]=PptoSty[[#This Row],[Vrs]])*(_xlfn.TEXTAFTER(F_RT14[ActGrp],":")=PptoSty[[#This Row],[PiRow]]),"X")))</f>
        <v>TOOL</v>
      </c>
      <c r="P31" s="96" t="s">
        <v>1475</v>
      </c>
      <c r="Q31" s="96" t="s">
        <v>1275</v>
      </c>
      <c r="R31" s="204" t="s">
        <v>403</v>
      </c>
      <c r="S31" s="204">
        <v>1</v>
      </c>
      <c r="T31" s="205" cm="1">
        <f t="array" aca="1" ref="T3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31" s="206" cm="1">
        <f t="array" ref="U31">IFERROR((1/PptoSty[[#This Row],[Division]])*IF(PptoSty[[#This Row],[Sign]]="+",1,-1)*(IF(PptoSty[[#This Row],[POvsCT]]="PO",SUM(_xlfn.CHOOSECOLS(_xlfn._xlws.FILTER(F_RT14[],(IF($M31="X",TRUE,F_RT14[Site]=$M31))*(F_RT14[Measure]=U$4)*(F_RT14[PrjId]=PptoSty[[#This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94256.020000000019</v>
      </c>
      <c r="V31" s="206" cm="1">
        <f t="array" ref="V31">IFERROR((1/PptoSty[[#This Row],[Division]])*IF(PptoSty[[#This Row],[Sign]]="+",1,-1)*(IF(PptoSty[[#This Row],[POvsCT]]="PO",SUM(_xlfn.CHOOSECOLS(_xlfn._xlws.FILTER(F_RT14[],(IF($M31="X",TRUE,F_RT14[Site]=$M31))*(F_RT14[Measure]=V$4)*(F_RT14[PrjId]=PptoSty[[#This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31" s="206" cm="1">
        <f t="array" ref="W31">IFERROR((1/PptoSty[[#This Row],[Division]])*IF(PptoSty[[#This Row],[Sign]]="+",1,-1)*(IF(PptoSty[[#This Row],[POvsCT]]="PO",SUM(_xlfn.CHOOSECOLS(_xlfn._xlws.FILTER(F_RT14[],(IF($M31="X",TRUE,F_RT14[Site]=$M31))*(F_RT14[Measure]=W$4)*(F_RT14[PrjId]=PptoSty[[#This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94256.020000000019</v>
      </c>
      <c r="X31" s="338" cm="1">
        <f t="array" ref="X31">IFERROR(IF(PptoSty[[#This Row],[Nature]]&lt;&gt;"Hrs",0,(1/PptoSty[[#This Row],[Division]])*IF(PptoSty[[#This Row],[Sign]]="+",1,-1)*(IF(PptoSty[[#This Row],[POvsCT]]="PO",SUM(_xlfn.CHOOSECOLS(_xlfn._xlws.FILTER(F_RT14[],(IF($M31="X",TRUE,F_RT14[Site]=$M31))*(F_RT14[Measure]=X$4)*(F_RT14[PrjId]=PptoSty[[#This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31" s="338" cm="1">
        <f t="array" ref="Y31">IFERROR(IF(PptoSty[[#This Row],[Nature]]&lt;&gt;"Hrs",0,(1/PptoSty[[#This Row],[Division]])*IF(PptoSty[[#This Row],[Sign]]="+",1,-1)*(IF(PptoSty[[#This Row],[POvsCT]]="PO",SUM(_xlfn.CHOOSECOLS(_xlfn._xlws.FILTER(F_RT14[],(IF($M31="X",TRUE,F_RT14[Site]=$M31))*(F_RT14[Measure]=Y$4)*(F_RT14[PrjId]=PptoSty[[#This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31" s="338" cm="1">
        <f t="array" ref="Z31">IFERROR(IF(PptoSty[[#This Row],[Nature]]&lt;&gt;"Hrs",0,(1/PptoSty[[#This Row],[Division]])*IF(PptoSty[[#This Row],[Sign]]="+",1,-1)*(IF(PptoSty[[#This Row],[POvsCT]]="PO",SUM(_xlfn.CHOOSECOLS(_xlfn._xlws.FILTER(F_RT14[],(IF($M31="X",TRUE,F_RT14[Site]=$M31))*(F_RT14[Measure]=Z$4)*(F_RT14[PrjId]=PptoSty[[#This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31" s="206" cm="1">
        <f t="array" aca="1" ref="AA31"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94256.020000000019</v>
      </c>
      <c r="AB31" s="206" cm="1">
        <f t="array" aca="1" ref="AB31"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31" s="206" cm="1">
        <f t="array" aca="1" ref="AC31"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94256.020000000019</v>
      </c>
      <c r="AG31"/>
      <c r="AH31"/>
      <c r="AI31" s="21"/>
      <c r="AJ31" s="21"/>
      <c r="AK31" s="175"/>
      <c r="AL31" s="176"/>
      <c r="AM31" s="179"/>
      <c r="AN31" s="176"/>
      <c r="AO31"/>
      <c r="AP31" s="21"/>
      <c r="AQ31" s="176"/>
      <c r="AR31" s="176"/>
      <c r="AS31" s="176"/>
      <c r="AT31" s="176"/>
      <c r="AU31" s="176"/>
      <c r="AV31" s="176"/>
      <c r="AW31" s="176"/>
      <c r="AX31" s="176"/>
      <c r="AY31" s="176"/>
      <c r="AZ31" s="176"/>
      <c r="BA31" s="176"/>
      <c r="BB31" s="176"/>
      <c r="BC31" s="176"/>
      <c r="BD31" s="176"/>
      <c r="BE31"/>
      <c r="BF31" s="21"/>
      <c r="BG31" s="176"/>
      <c r="BH31" s="176"/>
      <c r="BI31" s="176"/>
      <c r="BJ31" s="176"/>
      <c r="BK31" s="176"/>
      <c r="BL31" s="176"/>
      <c r="BM31" s="176"/>
      <c r="BN31" s="176"/>
      <c r="BO31" s="176"/>
      <c r="BP31" s="176"/>
      <c r="BQ31" s="176"/>
      <c r="BR31" s="176"/>
      <c r="BS31" s="176"/>
      <c r="BT31" s="176"/>
      <c r="BU31" s="176"/>
      <c r="BV31" s="176"/>
      <c r="BW31" s="176"/>
      <c r="BX31" s="176"/>
      <c r="BY31" s="176"/>
      <c r="BZ31" s="176"/>
      <c r="CA31" s="176"/>
      <c r="CB31" s="176"/>
      <c r="CC31" s="176"/>
      <c r="CD31" s="176"/>
      <c r="CE31" s="176"/>
      <c r="CF31" s="176"/>
      <c r="CG31" s="176"/>
      <c r="CH31" s="176"/>
      <c r="CI31" s="176"/>
      <c r="CJ31" s="176"/>
      <c r="CK31" s="176"/>
      <c r="CL31" s="176"/>
      <c r="CM31" s="176"/>
      <c r="CN31" s="176"/>
      <c r="CO31" s="176"/>
      <c r="CP31" s="176"/>
      <c r="CQ31" s="176"/>
      <c r="CR31" s="176"/>
      <c r="CS31" s="176"/>
      <c r="CT31" s="176"/>
      <c r="CU31" s="176"/>
      <c r="CV31" s="176"/>
      <c r="CW31" s="176"/>
      <c r="CX31" s="176"/>
      <c r="CY31" s="176"/>
      <c r="CZ31" s="176"/>
      <c r="DA31" s="176"/>
      <c r="DB31" s="176"/>
      <c r="DC31" s="176"/>
      <c r="DD31" s="176"/>
      <c r="DE31" s="176"/>
      <c r="DF31" s="176"/>
      <c r="DG31" s="176"/>
      <c r="DH31" s="176"/>
      <c r="DI31" s="176"/>
      <c r="DJ31" s="176"/>
      <c r="DK31" s="176"/>
      <c r="DL31"/>
      <c r="DM31" s="366" t="str" cm="1">
        <f t="array" aca="1" ref="DM31"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DN31:DX31</v>
      </c>
      <c r="DN31" s="177" t="s">
        <v>375</v>
      </c>
      <c r="DO31" s="177" t="str" cm="1">
        <f t="array" aca="1" ref="DO31:DX31"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31" s="177" t="str">
        <f ca="1"/>
        <v>DISEÑO MECÁNICO</v>
      </c>
      <c r="DQ31" s="177" t="str">
        <f ca="1"/>
        <v>FABRICACIÓN ELÉCTRICA</v>
      </c>
      <c r="DR31" s="177" t="str">
        <f ca="1"/>
        <v>FABRICACIÓN MECÁNICA</v>
      </c>
      <c r="DS31" s="177" t="str">
        <f ca="1"/>
        <v>INSTALACIÓN ENR</v>
      </c>
      <c r="DT31" s="177" t="str">
        <f ca="1"/>
        <v>MATERIAL ELÉCTRICO +%</v>
      </c>
      <c r="DU31" s="177" t="str">
        <f ca="1"/>
        <v>MATERIAL FLUIDOS +%</v>
      </c>
      <c r="DV31" s="177" t="str">
        <f ca="1"/>
        <v>MATERIAL MECÁNICO +%</v>
      </c>
      <c r="DW31" s="177" t="str">
        <f ca="1"/>
        <v>METROLOGÍA</v>
      </c>
      <c r="DX31" s="177" t="str">
        <f ca="1"/>
        <v>MONTAJE MECÁNICO</v>
      </c>
      <c r="DY31" s="177"/>
      <c r="DZ31" s="177"/>
      <c r="EA31" s="177"/>
      <c r="EB31" s="177"/>
      <c r="EC31" s="177"/>
      <c r="ED31" s="177"/>
    </row>
    <row r="32" spans="3:220" ht="13" customHeight="1">
      <c r="C32" s="213">
        <v>45252</v>
      </c>
      <c r="D32" s="213" t="s">
        <v>2114</v>
      </c>
      <c r="E32" s="213" t="s">
        <v>1710</v>
      </c>
      <c r="F32" s="219" t="s">
        <v>375</v>
      </c>
      <c r="G32" s="201" t="s">
        <v>1415</v>
      </c>
      <c r="H32" s="202">
        <v>15</v>
      </c>
      <c r="I32" s="339" t="str" cm="1">
        <f t="array" aca="1" ref="I3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32" s="203" t="str" cm="1">
        <f t="array" ref="J32">IF(OR(PptoSty[[#This Row],[Project]]="",PptoSty[[#This Row],[Project]]="X"),"X",_xlfn.UNIQUE(_xlfn._xlws.FILTER(CstGrpS[Nature],ISNUMBER(FIND(SUBSTITUTE(PptoSty[[#This Row],[PiColumn]]," +%",""),UPPER(SUBSTITUTE(CstGrpS[GrpPrv],"  "," ")))),"X")))</f>
        <v>Mat</v>
      </c>
      <c r="K32" s="96" t="s">
        <v>1629</v>
      </c>
      <c r="L32" s="96" t="s">
        <v>1647</v>
      </c>
      <c r="M32" s="96" t="s">
        <v>28</v>
      </c>
      <c r="N32" s="96" t="str" cm="1">
        <f t="array" ref="N32">IF(OR(PptoSty[[#This Row],[Project]]="",PptoSty[[#This Row],[Project]]="X"),"X",_xlfn._xlws.FILTER(TbAssign[RowId],(TbAssign[Project]=PptoSty[[#This Row],[Project]])*(TbAssign[Módulo]=PptoSty[[#This Row],[PptoVsRow]]),"X"))</f>
        <v>XD01</v>
      </c>
      <c r="O32" s="96" t="str" cm="1">
        <f t="array" ref="O32">IF(OR(PptoSty[[#This Row],[Project]]="",PptoSty[[#This Row],[Project]]="X"),"X",_xlfn.UNIQUE(_xlfn._xlws.FILTER(F_RT14[Amortz.],(F_RT14[Measure]="CurPpto")*(F_RT14[PrjId]=PptoSty[[#This Row],[Project]])*(F_RT14[Vrs]=PptoSty[[#This Row],[Vrs]])*(_xlfn.TEXTAFTER(F_RT14[ActGrp],":")=PptoSty[[#This Row],[PiRow]]),"X")))</f>
        <v>TOOL</v>
      </c>
      <c r="P32" s="96" t="s">
        <v>1475</v>
      </c>
      <c r="Q32" s="96" t="s">
        <v>385</v>
      </c>
      <c r="R32" s="204" t="s">
        <v>403</v>
      </c>
      <c r="S32" s="204">
        <v>1</v>
      </c>
      <c r="T32" s="205" cm="1">
        <f t="array" aca="1" ref="T3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32" s="206" cm="1">
        <f t="array" ref="U32">IFERROR((1/PptoSty[[#This Row],[Division]])*IF(PptoSty[[#This Row],[Sign]]="+",1,-1)*(IF(PptoSty[[#This Row],[POvsCT]]="PO",SUM(_xlfn.CHOOSECOLS(_xlfn._xlws.FILTER(F_RT14[],(IF($M32="X",TRUE,F_RT14[Site]=$M32))*(F_RT14[Measure]=U$4)*(F_RT14[PrjId]=PptoSty[[#This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95150.51999999999</v>
      </c>
      <c r="V32" s="206" cm="1">
        <f t="array" ref="V32">IFERROR((1/PptoSty[[#This Row],[Division]])*IF(PptoSty[[#This Row],[Sign]]="+",1,-1)*(IF(PptoSty[[#This Row],[POvsCT]]="PO",SUM(_xlfn.CHOOSECOLS(_xlfn._xlws.FILTER(F_RT14[],(IF($M32="X",TRUE,F_RT14[Site]=$M32))*(F_RT14[Measure]=V$4)*(F_RT14[PrjId]=PptoSty[[#This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32" s="206" cm="1">
        <f t="array" ref="W32">IFERROR((1/PptoSty[[#This Row],[Division]])*IF(PptoSty[[#This Row],[Sign]]="+",1,-1)*(IF(PptoSty[[#This Row],[POvsCT]]="PO",SUM(_xlfn.CHOOSECOLS(_xlfn._xlws.FILTER(F_RT14[],(IF($M32="X",TRUE,F_RT14[Site]=$M32))*(F_RT14[Measure]=W$4)*(F_RT14[PrjId]=PptoSty[[#This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95150.51999999999</v>
      </c>
      <c r="X32" s="338" cm="1">
        <f t="array" ref="X32">IFERROR(IF(PptoSty[[#This Row],[Nature]]&lt;&gt;"Hrs",0,(1/PptoSty[[#This Row],[Division]])*IF(PptoSty[[#This Row],[Sign]]="+",1,-1)*(IF(PptoSty[[#This Row],[POvsCT]]="PO",SUM(_xlfn.CHOOSECOLS(_xlfn._xlws.FILTER(F_RT14[],(IF($M32="X",TRUE,F_RT14[Site]=$M32))*(F_RT14[Measure]=X$4)*(F_RT14[PrjId]=PptoSty[[#This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32" s="338" cm="1">
        <f t="array" ref="Y32">IFERROR(IF(PptoSty[[#This Row],[Nature]]&lt;&gt;"Hrs",0,(1/PptoSty[[#This Row],[Division]])*IF(PptoSty[[#This Row],[Sign]]="+",1,-1)*(IF(PptoSty[[#This Row],[POvsCT]]="PO",SUM(_xlfn.CHOOSECOLS(_xlfn._xlws.FILTER(F_RT14[],(IF($M32="X",TRUE,F_RT14[Site]=$M32))*(F_RT14[Measure]=Y$4)*(F_RT14[PrjId]=PptoSty[[#This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32" s="338" cm="1">
        <f t="array" ref="Z32">IFERROR(IF(PptoSty[[#This Row],[Nature]]&lt;&gt;"Hrs",0,(1/PptoSty[[#This Row],[Division]])*IF(PptoSty[[#This Row],[Sign]]="+",1,-1)*(IF(PptoSty[[#This Row],[POvsCT]]="PO",SUM(_xlfn.CHOOSECOLS(_xlfn._xlws.FILTER(F_RT14[],(IF($M32="X",TRUE,F_RT14[Site]=$M32))*(F_RT14[Measure]=Z$4)*(F_RT14[PrjId]=PptoSty[[#This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32" s="206" cm="1">
        <f t="array" aca="1" ref="AA32"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95150.51999999999</v>
      </c>
      <c r="AB32" s="206" cm="1">
        <f t="array" aca="1" ref="AB32"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32" s="206" cm="1">
        <f t="array" aca="1" ref="AC32"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95150.51999999999</v>
      </c>
      <c r="AG32"/>
      <c r="AH32"/>
      <c r="AI32" s="21"/>
      <c r="AJ32" s="21"/>
      <c r="AK32" s="175"/>
      <c r="AL32" s="176"/>
      <c r="AM32" s="179"/>
      <c r="AN32" s="176"/>
      <c r="AO32"/>
      <c r="AP32" s="21"/>
      <c r="AQ32" s="176"/>
      <c r="AR32" s="176"/>
      <c r="AS32" s="176"/>
      <c r="AT32" s="176"/>
      <c r="AU32" s="176"/>
      <c r="AV32" s="176"/>
      <c r="AW32" s="176"/>
      <c r="AX32" s="176"/>
      <c r="AY32" s="176"/>
      <c r="AZ32" s="176"/>
      <c r="BA32" s="176"/>
      <c r="BB32" s="176"/>
      <c r="BC32" s="176"/>
      <c r="BD32" s="176"/>
      <c r="BE32"/>
      <c r="BF32" s="21"/>
      <c r="BG32" s="176"/>
      <c r="BH32" s="176"/>
      <c r="BI32" s="176"/>
      <c r="BJ32" s="176"/>
      <c r="BK32" s="176"/>
      <c r="BL32" s="176"/>
      <c r="BM32" s="176"/>
      <c r="BN32" s="176"/>
      <c r="BO32" s="176"/>
      <c r="BP32" s="176"/>
      <c r="BQ32" s="176"/>
      <c r="BR32" s="176"/>
      <c r="BS32" s="176"/>
      <c r="BT32" s="176"/>
      <c r="BU32" s="176"/>
      <c r="BV32" s="176"/>
      <c r="BW32" s="176"/>
      <c r="BX32" s="176"/>
      <c r="BY32" s="176"/>
      <c r="BZ32" s="176"/>
      <c r="CA32" s="176"/>
      <c r="CB32" s="176"/>
      <c r="CC32" s="176"/>
      <c r="CD32" s="176"/>
      <c r="CE32" s="176"/>
      <c r="CF32" s="176"/>
      <c r="CG32" s="176"/>
      <c r="CH32" s="176"/>
      <c r="CI32" s="176"/>
      <c r="CJ32" s="176"/>
      <c r="CK32" s="176"/>
      <c r="CL32" s="176"/>
      <c r="CM32" s="176"/>
      <c r="CN32" s="176"/>
      <c r="CO32" s="176"/>
      <c r="CP32" s="176"/>
      <c r="CQ32" s="176"/>
      <c r="CR32" s="176"/>
      <c r="CS32" s="176"/>
      <c r="CT32" s="176"/>
      <c r="CU32" s="176"/>
      <c r="CV32" s="176"/>
      <c r="CW32" s="176"/>
      <c r="CX32" s="176"/>
      <c r="CY32" s="176"/>
      <c r="CZ32" s="176"/>
      <c r="DA32" s="176"/>
      <c r="DB32" s="176"/>
      <c r="DC32" s="176"/>
      <c r="DD32" s="176"/>
      <c r="DE32" s="176"/>
      <c r="DF32" s="176"/>
      <c r="DG32" s="176"/>
      <c r="DH32" s="176"/>
      <c r="DI32" s="176"/>
      <c r="DJ32" s="176"/>
      <c r="DK32" s="176"/>
      <c r="DL32"/>
      <c r="DM32" s="366" t="str" cm="1">
        <f t="array" aca="1" ref="DM32"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DN32:DX32</v>
      </c>
      <c r="DN32" s="177" t="s">
        <v>375</v>
      </c>
      <c r="DO32" s="177" t="str" cm="1">
        <f t="array" aca="1" ref="DO32:DX32"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32" s="177" t="str">
        <f ca="1"/>
        <v>DISEÑO MECÁNICO</v>
      </c>
      <c r="DQ32" s="177" t="str">
        <f ca="1"/>
        <v>FABRICACIÓN ELÉCTRICA</v>
      </c>
      <c r="DR32" s="177" t="str">
        <f ca="1"/>
        <v>FABRICACIÓN MECÁNICA</v>
      </c>
      <c r="DS32" s="177" t="str">
        <f ca="1"/>
        <v>INSTALACIÓN ENR</v>
      </c>
      <c r="DT32" s="177" t="str">
        <f ca="1"/>
        <v>MATERIAL ELÉCTRICO +%</v>
      </c>
      <c r="DU32" s="177" t="str">
        <f ca="1"/>
        <v>MATERIAL FLUIDOS +%</v>
      </c>
      <c r="DV32" s="177" t="str">
        <f ca="1"/>
        <v>MATERIAL MECÁNICO +%</v>
      </c>
      <c r="DW32" s="177" t="str">
        <f ca="1"/>
        <v>METROLOGÍA</v>
      </c>
      <c r="DX32" s="177" t="str">
        <f ca="1"/>
        <v>MONTAJE MECÁNICO</v>
      </c>
      <c r="DY32" s="177"/>
      <c r="DZ32" s="177"/>
      <c r="EA32" s="177"/>
      <c r="EB32" s="177"/>
      <c r="EC32" s="177"/>
      <c r="ED32" s="177"/>
    </row>
    <row r="33" spans="3:134" ht="13" customHeight="1">
      <c r="C33" s="213">
        <v>45252</v>
      </c>
      <c r="D33" s="213" t="s">
        <v>2114</v>
      </c>
      <c r="E33" s="213" t="s">
        <v>1710</v>
      </c>
      <c r="F33" s="219" t="s">
        <v>375</v>
      </c>
      <c r="G33" s="201" t="s">
        <v>1415</v>
      </c>
      <c r="H33" s="202">
        <v>15</v>
      </c>
      <c r="I33" s="339" t="str" cm="1">
        <f t="array" aca="1" ref="I3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X002</v>
      </c>
      <c r="J33" s="203" t="str" cm="1">
        <f t="array" ref="J33">IF(OR(PptoSty[[#This Row],[Project]]="",PptoSty[[#This Row],[Project]]="X"),"X",_xlfn.UNIQUE(_xlfn._xlws.FILTER(CstGrpS[Nature],ISNUMBER(FIND(SUBSTITUTE(PptoSty[[#This Row],[PiColumn]]," +%",""),UPPER(SUBSTITUTE(CstGrpS[GrpPrv],"  "," ")))),"X")))</f>
        <v>Mat</v>
      </c>
      <c r="K33" s="96" t="s">
        <v>1628</v>
      </c>
      <c r="L33" s="96" t="s">
        <v>1646</v>
      </c>
      <c r="M33" s="96" t="s">
        <v>28</v>
      </c>
      <c r="N33" s="96" t="str" cm="1">
        <f t="array" ref="N33">IF(OR(PptoSty[[#This Row],[Project]]="",PptoSty[[#This Row],[Project]]="X"),"X",_xlfn._xlws.FILTER(TbAssign[RowId],(TbAssign[Project]=PptoSty[[#This Row],[Project]])*(TbAssign[Módulo]=PptoSty[[#This Row],[PptoVsRow]]),"X"))</f>
        <v>XD02</v>
      </c>
      <c r="O33" s="96" t="str" cm="1">
        <f t="array" ref="O33">IF(OR(PptoSty[[#This Row],[Project]]="",PptoSty[[#This Row],[Project]]="X"),"X",_xlfn.UNIQUE(_xlfn._xlws.FILTER(F_RT14[Amortz.],(F_RT14[Measure]="CurPpto")*(F_RT14[PrjId]=PptoSty[[#This Row],[Project]])*(F_RT14[Vrs]=PptoSty[[#This Row],[Vrs]])*(_xlfn.TEXTAFTER(F_RT14[ActGrp],":")=PptoSty[[#This Row],[PiRow]]),"X")))</f>
        <v>CELL</v>
      </c>
      <c r="P33" s="96" t="s">
        <v>1410</v>
      </c>
      <c r="Q33" s="96" t="s">
        <v>1275</v>
      </c>
      <c r="R33" s="204" t="s">
        <v>403</v>
      </c>
      <c r="S33" s="204">
        <v>1</v>
      </c>
      <c r="T33" s="205" cm="1">
        <f t="array" aca="1" ref="T3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33" s="206" cm="1">
        <f t="array" ref="U33">IFERROR((1/PptoSty[[#This Row],[Division]])*IF(PptoSty[[#This Row],[Sign]]="+",1,-1)*(IF(PptoSty[[#This Row],[POvsCT]]="PO",SUM(_xlfn.CHOOSECOLS(_xlfn._xlws.FILTER(F_RT14[],(IF($M33="X",TRUE,F_RT14[Site]=$M33))*(F_RT14[Measure]=U$4)*(F_RT14[PrjId]=PptoSty[[#This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480746.32</v>
      </c>
      <c r="V33" s="206" cm="1">
        <f t="array" ref="V33">IFERROR((1/PptoSty[[#This Row],[Division]])*IF(PptoSty[[#This Row],[Sign]]="+",1,-1)*(IF(PptoSty[[#This Row],[POvsCT]]="PO",SUM(_xlfn.CHOOSECOLS(_xlfn._xlws.FILTER(F_RT14[],(IF($M33="X",TRUE,F_RT14[Site]=$M33))*(F_RT14[Measure]=V$4)*(F_RT14[PrjId]=PptoSty[[#This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33" s="206" cm="1">
        <f t="array" ref="W33">IFERROR((1/PptoSty[[#This Row],[Division]])*IF(PptoSty[[#This Row],[Sign]]="+",1,-1)*(IF(PptoSty[[#This Row],[POvsCT]]="PO",SUM(_xlfn.CHOOSECOLS(_xlfn._xlws.FILTER(F_RT14[],(IF($M33="X",TRUE,F_RT14[Site]=$M33))*(F_RT14[Measure]=W$4)*(F_RT14[PrjId]=PptoSty[[#This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480746.32</v>
      </c>
      <c r="X33" s="338" cm="1">
        <f t="array" ref="X33">IFERROR(IF(PptoSty[[#This Row],[Nature]]&lt;&gt;"Hrs",0,(1/PptoSty[[#This Row],[Division]])*IF(PptoSty[[#This Row],[Sign]]="+",1,-1)*(IF(PptoSty[[#This Row],[POvsCT]]="PO",SUM(_xlfn.CHOOSECOLS(_xlfn._xlws.FILTER(F_RT14[],(IF($M33="X",TRUE,F_RT14[Site]=$M33))*(F_RT14[Measure]=X$4)*(F_RT14[PrjId]=PptoSty[[#This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33" s="338" cm="1">
        <f t="array" ref="Y33">IFERROR(IF(PptoSty[[#This Row],[Nature]]&lt;&gt;"Hrs",0,(1/PptoSty[[#This Row],[Division]])*IF(PptoSty[[#This Row],[Sign]]="+",1,-1)*(IF(PptoSty[[#This Row],[POvsCT]]="PO",SUM(_xlfn.CHOOSECOLS(_xlfn._xlws.FILTER(F_RT14[],(IF($M33="X",TRUE,F_RT14[Site]=$M33))*(F_RT14[Measure]=Y$4)*(F_RT14[PrjId]=PptoSty[[#This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33" s="338" cm="1">
        <f t="array" ref="Z33">IFERROR(IF(PptoSty[[#This Row],[Nature]]&lt;&gt;"Hrs",0,(1/PptoSty[[#This Row],[Division]])*IF(PptoSty[[#This Row],[Sign]]="+",1,-1)*(IF(PptoSty[[#This Row],[POvsCT]]="PO",SUM(_xlfn.CHOOSECOLS(_xlfn._xlws.FILTER(F_RT14[],(IF($M33="X",TRUE,F_RT14[Site]=$M33))*(F_RT14[Measure]=Z$4)*(F_RT14[PrjId]=PptoSty[[#This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33" s="206" cm="1">
        <f t="array" aca="1" ref="AA33"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239438.81</v>
      </c>
      <c r="AB33" s="206" cm="1">
        <f t="array" aca="1" ref="AB33"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33" s="206" cm="1">
        <f t="array" aca="1" ref="AC33"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239438.81</v>
      </c>
      <c r="AG33"/>
      <c r="AH33"/>
      <c r="AI33" s="21"/>
      <c r="AJ33" s="21"/>
      <c r="AK33" s="175"/>
      <c r="AL33" s="176"/>
      <c r="AM33" s="179"/>
      <c r="AN33" s="176"/>
      <c r="AO33"/>
      <c r="AP33" s="21"/>
      <c r="AQ33" s="176"/>
      <c r="AR33" s="176"/>
      <c r="AS33" s="176"/>
      <c r="AT33" s="176"/>
      <c r="AU33" s="176"/>
      <c r="AV33" s="176"/>
      <c r="AW33" s="176"/>
      <c r="AX33" s="176"/>
      <c r="AY33" s="176"/>
      <c r="AZ33" s="176"/>
      <c r="BA33" s="176"/>
      <c r="BB33" s="176"/>
      <c r="BC33" s="176"/>
      <c r="BD33" s="176"/>
      <c r="BE33"/>
      <c r="BF33" s="21"/>
      <c r="BG33" s="176"/>
      <c r="BH33" s="176"/>
      <c r="BI33" s="176"/>
      <c r="BJ33" s="176"/>
      <c r="BK33" s="176"/>
      <c r="BL33" s="176"/>
      <c r="BM33" s="176"/>
      <c r="BN33" s="176"/>
      <c r="BO33" s="176"/>
      <c r="BP33" s="176"/>
      <c r="BQ33" s="176"/>
      <c r="BR33" s="176"/>
      <c r="BS33" s="176"/>
      <c r="BT33" s="176"/>
      <c r="BU33" s="176"/>
      <c r="BV33" s="176"/>
      <c r="BW33" s="176"/>
      <c r="BX33" s="176"/>
      <c r="BY33" s="176"/>
      <c r="BZ33" s="176"/>
      <c r="CA33" s="176"/>
      <c r="CB33" s="176"/>
      <c r="CC33" s="176"/>
      <c r="CD33" s="176"/>
      <c r="CE33" s="176"/>
      <c r="CF33" s="176"/>
      <c r="CG33" s="176"/>
      <c r="CH33" s="176"/>
      <c r="CI33" s="176"/>
      <c r="CJ33" s="176"/>
      <c r="CK33" s="176"/>
      <c r="CL33" s="176"/>
      <c r="CM33" s="176"/>
      <c r="CN33" s="176"/>
      <c r="CO33" s="176"/>
      <c r="CP33" s="176"/>
      <c r="CQ33" s="176"/>
      <c r="CR33" s="176"/>
      <c r="CS33" s="176"/>
      <c r="CT33" s="176"/>
      <c r="CU33" s="176"/>
      <c r="CV33" s="176"/>
      <c r="CW33" s="176"/>
      <c r="CX33" s="176"/>
      <c r="CY33" s="176"/>
      <c r="CZ33" s="176"/>
      <c r="DA33" s="176"/>
      <c r="DB33" s="176"/>
      <c r="DC33" s="176"/>
      <c r="DD33" s="176"/>
      <c r="DE33" s="176"/>
      <c r="DF33" s="176"/>
      <c r="DG33" s="176"/>
      <c r="DH33" s="176"/>
      <c r="DI33" s="176"/>
      <c r="DJ33" s="176"/>
      <c r="DK33" s="176"/>
      <c r="DL33"/>
      <c r="DM33" s="366" t="str" cm="1">
        <f t="array" aca="1" ref="DM33"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DN33:DX33</v>
      </c>
      <c r="DN33" s="177" t="s">
        <v>375</v>
      </c>
      <c r="DO33" s="177" t="str" cm="1">
        <f t="array" aca="1" ref="DO33:DX33"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33" s="177" t="str">
        <f ca="1"/>
        <v>DISEÑO MECÁNICO</v>
      </c>
      <c r="DQ33" s="177" t="str">
        <f ca="1"/>
        <v>FABRICACIÓN ELÉCTRICA</v>
      </c>
      <c r="DR33" s="177" t="str">
        <f ca="1"/>
        <v>FABRICACIÓN MECÁNICA</v>
      </c>
      <c r="DS33" s="177" t="str">
        <f ca="1"/>
        <v>INSTALACIÓN ENR</v>
      </c>
      <c r="DT33" s="177" t="str">
        <f ca="1"/>
        <v>MATERIAL ELÉCTRICO +%</v>
      </c>
      <c r="DU33" s="177" t="str">
        <f ca="1"/>
        <v>MATERIAL FLUIDOS +%</v>
      </c>
      <c r="DV33" s="177" t="str">
        <f ca="1"/>
        <v>MATERIAL MECÁNICO +%</v>
      </c>
      <c r="DW33" s="177" t="str">
        <f ca="1"/>
        <v>METROLOGÍA</v>
      </c>
      <c r="DX33" s="177" t="str">
        <f ca="1"/>
        <v>MONTAJE MECÁNICO</v>
      </c>
      <c r="DY33" s="177"/>
      <c r="DZ33" s="177"/>
      <c r="EA33" s="177"/>
      <c r="EB33" s="177"/>
      <c r="EC33" s="177"/>
      <c r="ED33" s="177"/>
    </row>
    <row r="34" spans="3:134" ht="13" customHeight="1">
      <c r="C34" s="213">
        <v>45252</v>
      </c>
      <c r="D34" s="213" t="s">
        <v>2114</v>
      </c>
      <c r="E34" s="213" t="s">
        <v>1710</v>
      </c>
      <c r="F34" s="219" t="s">
        <v>375</v>
      </c>
      <c r="G34" s="201" t="s">
        <v>1415</v>
      </c>
      <c r="H34" s="202">
        <v>15</v>
      </c>
      <c r="I34" s="339" t="str" cm="1">
        <f t="array" aca="1" ref="I3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X002</v>
      </c>
      <c r="J34" s="203" t="str" cm="1">
        <f t="array" ref="J34">IF(OR(PptoSty[[#This Row],[Project]]="",PptoSty[[#This Row],[Project]]="X"),"X",_xlfn.UNIQUE(_xlfn._xlws.FILTER(CstGrpS[Nature],ISNUMBER(FIND(SUBSTITUTE(PptoSty[[#This Row],[PiColumn]]," +%",""),UPPER(SUBSTITUTE(CstGrpS[GrpPrv],"  "," ")))),"X")))</f>
        <v>Mat</v>
      </c>
      <c r="K34" s="96" t="s">
        <v>1628</v>
      </c>
      <c r="L34" s="96" t="s">
        <v>1647</v>
      </c>
      <c r="M34" s="96" t="s">
        <v>28</v>
      </c>
      <c r="N34" s="96" t="str" cm="1">
        <f t="array" ref="N34">IF(OR(PptoSty[[#This Row],[Project]]="",PptoSty[[#This Row],[Project]]="X"),"X",_xlfn._xlws.FILTER(TbAssign[RowId],(TbAssign[Project]=PptoSty[[#This Row],[Project]])*(TbAssign[Módulo]=PptoSty[[#This Row],[PptoVsRow]]),"X"))</f>
        <v>XD02</v>
      </c>
      <c r="O34" s="96" t="str" cm="1">
        <f t="array" ref="O34">IF(OR(PptoSty[[#This Row],[Project]]="",PptoSty[[#This Row],[Project]]="X"),"X",_xlfn.UNIQUE(_xlfn._xlws.FILTER(F_RT14[Amortz.],(F_RT14[Measure]="CurPpto")*(F_RT14[PrjId]=PptoSty[[#This Row],[Project]])*(F_RT14[Vrs]=PptoSty[[#This Row],[Vrs]])*(_xlfn.TEXTAFTER(F_RT14[ActGrp],":")=PptoSty[[#This Row],[PiRow]]),"X")))</f>
        <v>CELL</v>
      </c>
      <c r="P34" s="96" t="s">
        <v>1410</v>
      </c>
      <c r="Q34" s="96" t="s">
        <v>385</v>
      </c>
      <c r="R34" s="204" t="s">
        <v>403</v>
      </c>
      <c r="S34" s="204">
        <v>1</v>
      </c>
      <c r="T34" s="205" cm="1">
        <f t="array" aca="1" ref="T3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34" s="206" cm="1">
        <f t="array" ref="U34">IFERROR((1/PptoSty[[#This Row],[Division]])*IF(PptoSty[[#This Row],[Sign]]="+",1,-1)*(IF(PptoSty[[#This Row],[POvsCT]]="PO",SUM(_xlfn.CHOOSECOLS(_xlfn._xlws.FILTER(F_RT14[],(IF($M34="X",TRUE,F_RT14[Site]=$M34))*(F_RT14[Measure]=U$4)*(F_RT14[PrjId]=PptoSty[[#This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53099.63</v>
      </c>
      <c r="V34" s="206" cm="1">
        <f t="array" ref="V34">IFERROR((1/PptoSty[[#This Row],[Division]])*IF(PptoSty[[#This Row],[Sign]]="+",1,-1)*(IF(PptoSty[[#This Row],[POvsCT]]="PO",SUM(_xlfn.CHOOSECOLS(_xlfn._xlws.FILTER(F_RT14[],(IF($M34="X",TRUE,F_RT14[Site]=$M34))*(F_RT14[Measure]=V$4)*(F_RT14[PrjId]=PptoSty[[#This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34" s="206" cm="1">
        <f t="array" ref="W34">IFERROR((1/PptoSty[[#This Row],[Division]])*IF(PptoSty[[#This Row],[Sign]]="+",1,-1)*(IF(PptoSty[[#This Row],[POvsCT]]="PO",SUM(_xlfn.CHOOSECOLS(_xlfn._xlws.FILTER(F_RT14[],(IF($M34="X",TRUE,F_RT14[Site]=$M34))*(F_RT14[Measure]=W$4)*(F_RT14[PrjId]=PptoSty[[#This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53099.63</v>
      </c>
      <c r="X34" s="338" cm="1">
        <f t="array" ref="X34">IFERROR(IF(PptoSty[[#This Row],[Nature]]&lt;&gt;"Hrs",0,(1/PptoSty[[#This Row],[Division]])*IF(PptoSty[[#This Row],[Sign]]="+",1,-1)*(IF(PptoSty[[#This Row],[POvsCT]]="PO",SUM(_xlfn.CHOOSECOLS(_xlfn._xlws.FILTER(F_RT14[],(IF($M34="X",TRUE,F_RT14[Site]=$M34))*(F_RT14[Measure]=X$4)*(F_RT14[PrjId]=PptoSty[[#This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34" s="338" cm="1">
        <f t="array" ref="Y34">IFERROR(IF(PptoSty[[#This Row],[Nature]]&lt;&gt;"Hrs",0,(1/PptoSty[[#This Row],[Division]])*IF(PptoSty[[#This Row],[Sign]]="+",1,-1)*(IF(PptoSty[[#This Row],[POvsCT]]="PO",SUM(_xlfn.CHOOSECOLS(_xlfn._xlws.FILTER(F_RT14[],(IF($M34="X",TRUE,F_RT14[Site]=$M34))*(F_RT14[Measure]=Y$4)*(F_RT14[PrjId]=PptoSty[[#This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34" s="338" cm="1">
        <f t="array" ref="Z34">IFERROR(IF(PptoSty[[#This Row],[Nature]]&lt;&gt;"Hrs",0,(1/PptoSty[[#This Row],[Division]])*IF(PptoSty[[#This Row],[Sign]]="+",1,-1)*(IF(PptoSty[[#This Row],[POvsCT]]="PO",SUM(_xlfn.CHOOSECOLS(_xlfn._xlws.FILTER(F_RT14[],(IF($M34="X",TRUE,F_RT14[Site]=$M34))*(F_RT14[Measure]=Z$4)*(F_RT14[PrjId]=PptoSty[[#This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34" s="206" cm="1">
        <f t="array" aca="1" ref="AA34"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53099.63</v>
      </c>
      <c r="AB34" s="206" cm="1">
        <f t="array" aca="1" ref="AB34"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34" s="206" cm="1">
        <f t="array" aca="1" ref="AC34"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53099.63</v>
      </c>
      <c r="AG34"/>
      <c r="AH34"/>
      <c r="AI34" s="21"/>
      <c r="AJ34" s="21"/>
      <c r="AK34" s="175"/>
      <c r="AL34" s="176"/>
      <c r="AM34" s="179"/>
      <c r="AN34" s="176"/>
      <c r="AO34"/>
      <c r="AP34" s="21"/>
      <c r="AQ34" s="176"/>
      <c r="AR34" s="176"/>
      <c r="AS34" s="176"/>
      <c r="AT34" s="176"/>
      <c r="AU34" s="176"/>
      <c r="AV34" s="176"/>
      <c r="AW34" s="176"/>
      <c r="AX34" s="176"/>
      <c r="AY34" s="176"/>
      <c r="AZ34" s="176"/>
      <c r="BA34" s="176"/>
      <c r="BB34" s="176"/>
      <c r="BC34" s="176"/>
      <c r="BD34" s="176"/>
      <c r="BE34"/>
      <c r="BF34" s="21"/>
      <c r="BG34" s="176"/>
      <c r="BH34" s="176"/>
      <c r="BI34" s="176"/>
      <c r="BJ34" s="176"/>
      <c r="BK34" s="176"/>
      <c r="BL34" s="176"/>
      <c r="BM34" s="176"/>
      <c r="BN34" s="176"/>
      <c r="BO34" s="176"/>
      <c r="BP34" s="176"/>
      <c r="BQ34" s="176"/>
      <c r="BR34" s="176"/>
      <c r="BS34" s="176"/>
      <c r="BT34" s="176"/>
      <c r="BU34" s="176"/>
      <c r="BV34" s="176"/>
      <c r="BW34" s="176"/>
      <c r="BX34" s="176"/>
      <c r="BY34" s="176"/>
      <c r="BZ34" s="176"/>
      <c r="CA34" s="176"/>
      <c r="CB34" s="176"/>
      <c r="CC34" s="176"/>
      <c r="CD34" s="176"/>
      <c r="CE34" s="176"/>
      <c r="CF34" s="176"/>
      <c r="CG34" s="176"/>
      <c r="CH34" s="176"/>
      <c r="CI34" s="176"/>
      <c r="CJ34" s="176"/>
      <c r="CK34" s="176"/>
      <c r="CL34" s="176"/>
      <c r="CM34" s="176"/>
      <c r="CN34" s="176"/>
      <c r="CO34" s="176"/>
      <c r="CP34" s="176"/>
      <c r="CQ34" s="176"/>
      <c r="CR34" s="176"/>
      <c r="CS34" s="176"/>
      <c r="CT34" s="176"/>
      <c r="CU34" s="176"/>
      <c r="CV34" s="176"/>
      <c r="CW34" s="176"/>
      <c r="CX34" s="176"/>
      <c r="CY34" s="176"/>
      <c r="CZ34" s="176"/>
      <c r="DA34" s="176"/>
      <c r="DB34" s="176"/>
      <c r="DC34" s="176"/>
      <c r="DD34" s="176"/>
      <c r="DE34" s="176"/>
      <c r="DF34" s="176"/>
      <c r="DG34" s="176"/>
      <c r="DH34" s="176"/>
      <c r="DI34" s="176"/>
      <c r="DJ34" s="176"/>
      <c r="DK34" s="176"/>
      <c r="DL34"/>
      <c r="DM34" s="366" t="str" cm="1">
        <f t="array" aca="1" ref="DM34"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DN34:DX34</v>
      </c>
      <c r="DN34" s="177" t="s">
        <v>375</v>
      </c>
      <c r="DO34" s="177" t="str" cm="1">
        <f t="array" aca="1" ref="DO34:DX34"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34" s="177" t="str">
        <f ca="1"/>
        <v>DISEÑO MECÁNICO</v>
      </c>
      <c r="DQ34" s="177" t="str">
        <f ca="1"/>
        <v>FABRICACIÓN ELÉCTRICA</v>
      </c>
      <c r="DR34" s="177" t="str">
        <f ca="1"/>
        <v>FABRICACIÓN MECÁNICA</v>
      </c>
      <c r="DS34" s="177" t="str">
        <f ca="1"/>
        <v>INSTALACIÓN ENR</v>
      </c>
      <c r="DT34" s="177" t="str">
        <f ca="1"/>
        <v>MATERIAL ELÉCTRICO +%</v>
      </c>
      <c r="DU34" s="177" t="str">
        <f ca="1"/>
        <v>MATERIAL FLUIDOS +%</v>
      </c>
      <c r="DV34" s="177" t="str">
        <f ca="1"/>
        <v>MATERIAL MECÁNICO +%</v>
      </c>
      <c r="DW34" s="177" t="str">
        <f ca="1"/>
        <v>METROLOGÍA</v>
      </c>
      <c r="DX34" s="177" t="str">
        <f ca="1"/>
        <v>MONTAJE MECÁNICO</v>
      </c>
      <c r="DY34" s="177"/>
      <c r="DZ34" s="177"/>
      <c r="EA34" s="177"/>
      <c r="EB34" s="177"/>
      <c r="EC34" s="177"/>
      <c r="ED34" s="177"/>
    </row>
    <row r="35" spans="3:134" ht="13" customHeight="1">
      <c r="C35" s="213">
        <v>45252</v>
      </c>
      <c r="D35" s="213" t="s">
        <v>2114</v>
      </c>
      <c r="E35" s="213" t="s">
        <v>1710</v>
      </c>
      <c r="F35" s="219" t="s">
        <v>375</v>
      </c>
      <c r="G35" s="201" t="s">
        <v>1415</v>
      </c>
      <c r="H35" s="202">
        <v>15</v>
      </c>
      <c r="I35" s="339" t="str" cm="1">
        <f t="array" aca="1" ref="I3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G001</v>
      </c>
      <c r="J35" s="203" t="str" cm="1">
        <f t="array" ref="J35">IF(OR(PptoSty[[#This Row],[Project]]="",PptoSty[[#This Row],[Project]]="X"),"X",_xlfn.UNIQUE(_xlfn._xlws.FILTER(CstGrpS[Nature],ISNUMBER(FIND(SUBSTITUTE(PptoSty[[#This Row],[PiColumn]]," +%",""),UPPER(SUBSTITUTE(CstGrpS[GrpPrv],"  "," ")))),"X")))</f>
        <v>Gto</v>
      </c>
      <c r="K35" s="96" t="s">
        <v>404</v>
      </c>
      <c r="L35" s="96" t="s">
        <v>386</v>
      </c>
      <c r="M35" s="96" t="s">
        <v>28</v>
      </c>
      <c r="N35" s="96" t="str" cm="1">
        <f t="array" ref="N35">IF(OR(PptoSty[[#This Row],[Project]]="",PptoSty[[#This Row],[Project]]="X"),"X",_xlfn._xlws.FILTER(TbAssign[RowId],(TbAssign[Project]=PptoSty[[#This Row],[Project]])*(TbAssign[Módulo]=PptoSty[[#This Row],[PptoVsRow]]),"X"))</f>
        <v>XF01</v>
      </c>
      <c r="O35" s="96" t="str" cm="1">
        <f t="array" ref="O35">IF(OR(PptoSty[[#This Row],[Project]]="",PptoSty[[#This Row],[Project]]="X"),"X",_xlfn.UNIQUE(_xlfn._xlws.FILTER(F_RT14[Amortz.],(F_RT14[Measure]="CurPpto")*(F_RT14[PrjId]=PptoSty[[#This Row],[Project]])*(F_RT14[Vrs]=PptoSty[[#This Row],[Vrs]])*(_xlfn.TEXTAFTER(F_RT14[ActGrp],":")=PptoSty[[#This Row],[PiRow]]),"X")))</f>
        <v>TRSL</v>
      </c>
      <c r="P35" s="96" t="s">
        <v>300</v>
      </c>
      <c r="Q35" s="96" t="s">
        <v>386</v>
      </c>
      <c r="R35" s="204" t="s">
        <v>403</v>
      </c>
      <c r="S35" s="204">
        <v>1</v>
      </c>
      <c r="T35" s="205" t="str" cm="1">
        <f t="array" aca="1" ref="T3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35" s="206" cm="1">
        <f t="array" ref="U35">IFERROR((1/PptoSty[[#This Row],[Division]])*IF(PptoSty[[#This Row],[Sign]]="+",1,-1)*(IF(PptoSty[[#This Row],[POvsCT]]="PO",SUM(_xlfn.CHOOSECOLS(_xlfn._xlws.FILTER(F_RT14[],(IF($M35="X",TRUE,F_RT14[Site]=$M35))*(F_RT14[Measure]=U$4)*(F_RT14[PrjId]=PptoSty[[#This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117376.5405</v>
      </c>
      <c r="V35" s="206" cm="1">
        <f t="array" ref="V35">IFERROR((1/PptoSty[[#This Row],[Division]])*IF(PptoSty[[#This Row],[Sign]]="+",1,-1)*(IF(PptoSty[[#This Row],[POvsCT]]="PO",SUM(_xlfn.CHOOSECOLS(_xlfn._xlws.FILTER(F_RT14[],(IF($M35="X",TRUE,F_RT14[Site]=$M35))*(F_RT14[Measure]=V$4)*(F_RT14[PrjId]=PptoSty[[#This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35" s="206" cm="1">
        <f t="array" ref="W35">IFERROR((1/PptoSty[[#This Row],[Division]])*IF(PptoSty[[#This Row],[Sign]]="+",1,-1)*(IF(PptoSty[[#This Row],[POvsCT]]="PO",SUM(_xlfn.CHOOSECOLS(_xlfn._xlws.FILTER(F_RT14[],(IF($M35="X",TRUE,F_RT14[Site]=$M35))*(F_RT14[Measure]=W$4)*(F_RT14[PrjId]=PptoSty[[#This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117376.5405</v>
      </c>
      <c r="X35" s="338" cm="1">
        <f t="array" ref="X35">IFERROR(IF(PptoSty[[#This Row],[Nature]]&lt;&gt;"Hrs",0,(1/PptoSty[[#This Row],[Division]])*IF(PptoSty[[#This Row],[Sign]]="+",1,-1)*(IF(PptoSty[[#This Row],[POvsCT]]="PO",SUM(_xlfn.CHOOSECOLS(_xlfn._xlws.FILTER(F_RT14[],(IF($M35="X",TRUE,F_RT14[Site]=$M35))*(F_RT14[Measure]=X$4)*(F_RT14[PrjId]=PptoSty[[#This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35" s="338" cm="1">
        <f t="array" ref="Y35">IFERROR(IF(PptoSty[[#This Row],[Nature]]&lt;&gt;"Hrs",0,(1/PptoSty[[#This Row],[Division]])*IF(PptoSty[[#This Row],[Sign]]="+",1,-1)*(IF(PptoSty[[#This Row],[POvsCT]]="PO",SUM(_xlfn.CHOOSECOLS(_xlfn._xlws.FILTER(F_RT14[],(IF($M35="X",TRUE,F_RT14[Site]=$M35))*(F_RT14[Measure]=Y$4)*(F_RT14[PrjId]=PptoSty[[#This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35" s="338" cm="1">
        <f t="array" ref="Z35">IFERROR(IF(PptoSty[[#This Row],[Nature]]&lt;&gt;"Hrs",0,(1/PptoSty[[#This Row],[Division]])*IF(PptoSty[[#This Row],[Sign]]="+",1,-1)*(IF(PptoSty[[#This Row],[POvsCT]]="PO",SUM(_xlfn.CHOOSECOLS(_xlfn._xlws.FILTER(F_RT14[],(IF($M35="X",TRUE,F_RT14[Site]=$M35))*(F_RT14[Measure]=Z$4)*(F_RT14[PrjId]=PptoSty[[#This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35" s="206" cm="1">
        <f t="array" aca="1" ref="AA35"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117376.5405</v>
      </c>
      <c r="AB35" s="206" cm="1">
        <f t="array" aca="1" ref="AB35"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35" s="206" cm="1">
        <f t="array" aca="1" ref="AC35"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117376.5405</v>
      </c>
      <c r="AG35"/>
      <c r="AH35"/>
      <c r="AI35" s="21"/>
      <c r="AJ35" s="21"/>
      <c r="AK35" s="175"/>
      <c r="AL35" s="176"/>
      <c r="AM35" s="179"/>
      <c r="AN35" s="176"/>
      <c r="AO35"/>
      <c r="AP35" s="21"/>
      <c r="AQ35" s="176"/>
      <c r="AR35" s="176"/>
      <c r="AS35" s="176"/>
      <c r="AT35" s="176"/>
      <c r="AU35" s="176"/>
      <c r="AV35" s="176"/>
      <c r="AW35" s="176"/>
      <c r="AX35" s="176"/>
      <c r="AY35" s="176"/>
      <c r="AZ35" s="176"/>
      <c r="BA35" s="176"/>
      <c r="BB35" s="176"/>
      <c r="BC35" s="176"/>
      <c r="BD35" s="176"/>
      <c r="BE35"/>
      <c r="BF35" s="21"/>
      <c r="BG35" s="176"/>
      <c r="BH35" s="176"/>
      <c r="BI35" s="176"/>
      <c r="BJ35" s="176"/>
      <c r="BK35" s="176"/>
      <c r="BL35" s="176"/>
      <c r="BM35" s="176"/>
      <c r="BN35" s="176"/>
      <c r="BO35" s="176"/>
      <c r="BP35" s="176"/>
      <c r="BQ35" s="176"/>
      <c r="BR35" s="176"/>
      <c r="BS35" s="176"/>
      <c r="BT35" s="176"/>
      <c r="BU35" s="176"/>
      <c r="BV35" s="176"/>
      <c r="BW35" s="176"/>
      <c r="BX35" s="176"/>
      <c r="BY35" s="176"/>
      <c r="BZ35" s="176"/>
      <c r="CA35" s="176"/>
      <c r="CB35" s="176"/>
      <c r="CC35" s="176"/>
      <c r="CD35" s="176"/>
      <c r="CE35" s="176"/>
      <c r="CF35" s="176"/>
      <c r="CG35" s="176"/>
      <c r="CH35" s="176"/>
      <c r="CI35" s="176"/>
      <c r="CJ35" s="176"/>
      <c r="CK35" s="176"/>
      <c r="CL35" s="176"/>
      <c r="CM35" s="176"/>
      <c r="CN35" s="176"/>
      <c r="CO35" s="176"/>
      <c r="CP35" s="176"/>
      <c r="CQ35" s="176"/>
      <c r="CR35" s="176"/>
      <c r="CS35" s="176"/>
      <c r="CT35" s="176"/>
      <c r="CU35" s="176"/>
      <c r="CV35" s="176"/>
      <c r="CW35" s="176"/>
      <c r="CX35" s="176"/>
      <c r="CY35" s="176"/>
      <c r="CZ35" s="176"/>
      <c r="DA35" s="176"/>
      <c r="DB35" s="176"/>
      <c r="DC35" s="176"/>
      <c r="DD35" s="176"/>
      <c r="DE35" s="176"/>
      <c r="DF35" s="176"/>
      <c r="DG35" s="176"/>
      <c r="DH35" s="176"/>
      <c r="DI35" s="176"/>
      <c r="DJ35" s="176"/>
      <c r="DK35" s="176"/>
      <c r="DL35"/>
      <c r="DM35" s="366" t="str" cm="1">
        <f t="array" aca="1" ref="DM3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DN35:DO35</v>
      </c>
      <c r="DN35" s="177" t="s">
        <v>375</v>
      </c>
      <c r="DO35" s="177" t="str" cm="1">
        <f t="array" aca="1" ref="DO3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TRANSP. &amp; DESPLAZ.</v>
      </c>
      <c r="DP35" s="177"/>
      <c r="DQ35" s="177"/>
      <c r="DR35" s="177"/>
      <c r="DS35" s="177"/>
      <c r="DT35" s="177"/>
      <c r="DU35" s="177"/>
      <c r="DV35" s="177"/>
      <c r="DW35" s="177"/>
      <c r="DX35" s="177"/>
      <c r="DY35" s="177"/>
      <c r="DZ35" s="177"/>
      <c r="EA35" s="177"/>
      <c r="EB35" s="177"/>
      <c r="EC35" s="177"/>
      <c r="ED35" s="177"/>
    </row>
    <row r="36" spans="3:134" ht="13" customHeight="1">
      <c r="C36" s="213">
        <v>45252</v>
      </c>
      <c r="D36" s="213" t="s">
        <v>2114</v>
      </c>
      <c r="E36" s="213" t="s">
        <v>1710</v>
      </c>
      <c r="F36" s="219" t="s">
        <v>375</v>
      </c>
      <c r="G36" s="201" t="s">
        <v>1415</v>
      </c>
      <c r="H36" s="202">
        <v>15</v>
      </c>
      <c r="I36" s="339" t="str" cm="1">
        <f t="array" aca="1" ref="I3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G002</v>
      </c>
      <c r="J36" s="203" t="str" cm="1">
        <f t="array" ref="J36">IF(OR(PptoSty[[#This Row],[Project]]="",PptoSty[[#This Row],[Project]]="X"),"X",_xlfn.UNIQUE(_xlfn._xlws.FILTER(CstGrpS[Nature],ISNUMBER(FIND(SUBSTITUTE(PptoSty[[#This Row],[PiColumn]]," +%",""),UPPER(SUBSTITUTE(CstGrpS[GrpPrv],"  "," ")))),"X")))</f>
        <v>Gto</v>
      </c>
      <c r="K36" s="96" t="s">
        <v>405</v>
      </c>
      <c r="L36" s="96" t="s">
        <v>386</v>
      </c>
      <c r="M36" s="96" t="s">
        <v>375</v>
      </c>
      <c r="N36" s="96" t="str" cm="1">
        <f t="array" ref="N36">IF(OR(PptoSty[[#This Row],[Project]]="",PptoSty[[#This Row],[Project]]="X"),"X",_xlfn._xlws.FILTER(TbAssign[RowId],(TbAssign[Project]=PptoSty[[#This Row],[Project]])*(TbAssign[Módulo]=PptoSty[[#This Row],[PptoVsRow]]),"X"))</f>
        <v>XF01</v>
      </c>
      <c r="O36" s="96" t="str" cm="1">
        <f t="array" ref="O36">IF(OR(PptoSty[[#This Row],[Project]]="",PptoSty[[#This Row],[Project]]="X"),"X",_xlfn.UNIQUE(_xlfn._xlws.FILTER(F_RT14[Amortz.],(F_RT14[Measure]="CurPpto")*(F_RT14[PrjId]=PptoSty[[#This Row],[Project]])*(F_RT14[Vrs]=PptoSty[[#This Row],[Vrs]])*(_xlfn.TEXTAFTER(F_RT14[ActGrp],":")=PptoSty[[#This Row],[PiRow]]),"X")))</f>
        <v>TRSL</v>
      </c>
      <c r="P36" s="96" t="s">
        <v>301</v>
      </c>
      <c r="Q36" s="96" t="s">
        <v>386</v>
      </c>
      <c r="R36" s="204" t="s">
        <v>403</v>
      </c>
      <c r="S36" s="204">
        <v>1</v>
      </c>
      <c r="T36" s="205" t="str" cm="1">
        <f t="array" aca="1" ref="T3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36" s="206" cm="1">
        <f t="array" ref="U36">IFERROR((1/PptoSty[[#This Row],[Division]])*IF(PptoSty[[#This Row],[Sign]]="+",1,-1)*(IF(PptoSty[[#This Row],[POvsCT]]="PO",SUM(_xlfn.CHOOSECOLS(_xlfn._xlws.FILTER(F_RT14[],(IF($M36="X",TRUE,F_RT14[Site]=$M36))*(F_RT14[Measure]=U$4)*(F_RT14[PrjId]=PptoSty[[#This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233207.6263</v>
      </c>
      <c r="V36" s="206" cm="1">
        <f t="array" ref="V36">IFERROR((1/PptoSty[[#This Row],[Division]])*IF(PptoSty[[#This Row],[Sign]]="+",1,-1)*(IF(PptoSty[[#This Row],[POvsCT]]="PO",SUM(_xlfn.CHOOSECOLS(_xlfn._xlws.FILTER(F_RT14[],(IF($M36="X",TRUE,F_RT14[Site]=$M36))*(F_RT14[Measure]=V$4)*(F_RT14[PrjId]=PptoSty[[#This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36" s="206" cm="1">
        <f t="array" ref="W36">IFERROR((1/PptoSty[[#This Row],[Division]])*IF(PptoSty[[#This Row],[Sign]]="+",1,-1)*(IF(PptoSty[[#This Row],[POvsCT]]="PO",SUM(_xlfn.CHOOSECOLS(_xlfn._xlws.FILTER(F_RT14[],(IF($M36="X",TRUE,F_RT14[Site]=$M36))*(F_RT14[Measure]=W$4)*(F_RT14[PrjId]=PptoSty[[#This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233207.6263</v>
      </c>
      <c r="X36" s="338" cm="1">
        <f t="array" ref="X36">IFERROR(IF(PptoSty[[#This Row],[Nature]]&lt;&gt;"Hrs",0,(1/PptoSty[[#This Row],[Division]])*IF(PptoSty[[#This Row],[Sign]]="+",1,-1)*(IF(PptoSty[[#This Row],[POvsCT]]="PO",SUM(_xlfn.CHOOSECOLS(_xlfn._xlws.FILTER(F_RT14[],(IF($M36="X",TRUE,F_RT14[Site]=$M36))*(F_RT14[Measure]=X$4)*(F_RT14[PrjId]=PptoSty[[#This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36" s="338" cm="1">
        <f t="array" ref="Y36">IFERROR(IF(PptoSty[[#This Row],[Nature]]&lt;&gt;"Hrs",0,(1/PptoSty[[#This Row],[Division]])*IF(PptoSty[[#This Row],[Sign]]="+",1,-1)*(IF(PptoSty[[#This Row],[POvsCT]]="PO",SUM(_xlfn.CHOOSECOLS(_xlfn._xlws.FILTER(F_RT14[],(IF($M36="X",TRUE,F_RT14[Site]=$M36))*(F_RT14[Measure]=Y$4)*(F_RT14[PrjId]=PptoSty[[#This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36" s="338" cm="1">
        <f t="array" ref="Z36">IFERROR(IF(PptoSty[[#This Row],[Nature]]&lt;&gt;"Hrs",0,(1/PptoSty[[#This Row],[Division]])*IF(PptoSty[[#This Row],[Sign]]="+",1,-1)*(IF(PptoSty[[#This Row],[POvsCT]]="PO",SUM(_xlfn.CHOOSECOLS(_xlfn._xlws.FILTER(F_RT14[],(IF($M36="X",TRUE,F_RT14[Site]=$M36))*(F_RT14[Measure]=Z$4)*(F_RT14[PrjId]=PptoSty[[#This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36" s="206" cm="1">
        <f t="array" aca="1" ref="AA36"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233207.6263</v>
      </c>
      <c r="AB36" s="206" cm="1">
        <f t="array" aca="1" ref="AB36"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36" s="206" cm="1">
        <f t="array" aca="1" ref="AC36"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233207.6263</v>
      </c>
      <c r="AG36"/>
      <c r="AH36"/>
      <c r="AI36" s="21"/>
      <c r="AJ36" s="21"/>
      <c r="AK36" s="175"/>
      <c r="AL36" s="176"/>
      <c r="AM36" s="179"/>
      <c r="AN36" s="176"/>
      <c r="AO36"/>
      <c r="AP36" s="21"/>
      <c r="AQ36" s="176"/>
      <c r="AR36" s="176"/>
      <c r="AS36" s="176"/>
      <c r="AT36" s="176"/>
      <c r="AU36" s="176"/>
      <c r="AV36" s="176"/>
      <c r="AW36" s="176"/>
      <c r="AX36" s="176"/>
      <c r="AY36" s="176"/>
      <c r="AZ36" s="176"/>
      <c r="BA36" s="176"/>
      <c r="BB36" s="176"/>
      <c r="BC36" s="176"/>
      <c r="BD36" s="176"/>
      <c r="BE36"/>
      <c r="BF36" s="21"/>
      <c r="BG36" s="176"/>
      <c r="BH36" s="176"/>
      <c r="BI36" s="176"/>
      <c r="BJ36" s="176"/>
      <c r="BK36" s="176"/>
      <c r="BL36" s="176"/>
      <c r="BM36" s="176"/>
      <c r="BN36" s="176"/>
      <c r="BO36" s="176"/>
      <c r="BP36" s="176"/>
      <c r="BQ36" s="176"/>
      <c r="BR36" s="176"/>
      <c r="BS36" s="176"/>
      <c r="BT36" s="176"/>
      <c r="BU36" s="176"/>
      <c r="BV36" s="176"/>
      <c r="BW36" s="176"/>
      <c r="BX36" s="176"/>
      <c r="BY36" s="176"/>
      <c r="BZ36" s="176"/>
      <c r="CA36" s="176"/>
      <c r="CB36" s="176"/>
      <c r="CC36" s="176"/>
      <c r="CD36" s="176"/>
      <c r="CE36" s="176"/>
      <c r="CF36" s="176"/>
      <c r="CG36" s="176"/>
      <c r="CH36" s="176"/>
      <c r="CI36" s="176"/>
      <c r="CJ36" s="176"/>
      <c r="CK36" s="176"/>
      <c r="CL36" s="176"/>
      <c r="CM36" s="176"/>
      <c r="CN36" s="176"/>
      <c r="CO36" s="176"/>
      <c r="CP36" s="176"/>
      <c r="CQ36" s="176"/>
      <c r="CR36" s="176"/>
      <c r="CS36" s="176"/>
      <c r="CT36" s="176"/>
      <c r="CU36" s="176"/>
      <c r="CV36" s="176"/>
      <c r="CW36" s="176"/>
      <c r="CX36" s="176"/>
      <c r="CY36" s="176"/>
      <c r="CZ36" s="176"/>
      <c r="DA36" s="176"/>
      <c r="DB36" s="176"/>
      <c r="DC36" s="176"/>
      <c r="DD36" s="176"/>
      <c r="DE36" s="176"/>
      <c r="DF36" s="176"/>
      <c r="DG36" s="176"/>
      <c r="DH36" s="176"/>
      <c r="DI36" s="176"/>
      <c r="DJ36" s="176"/>
      <c r="DK36" s="176"/>
      <c r="DL36"/>
      <c r="DM36" s="366" t="str" cm="1">
        <f t="array" aca="1" ref="DM3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DN36:DO36</v>
      </c>
      <c r="DN36" s="177" t="s">
        <v>375</v>
      </c>
      <c r="DO36" s="177" t="str" cm="1">
        <f t="array" aca="1" ref="DO3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TRANSP. &amp; DESPLAZ.</v>
      </c>
      <c r="DP36" s="177"/>
      <c r="DQ36" s="177"/>
      <c r="DR36" s="177"/>
      <c r="DS36" s="177"/>
      <c r="DT36" s="177"/>
      <c r="DU36" s="177"/>
      <c r="DV36" s="177"/>
      <c r="DW36" s="177"/>
      <c r="DX36" s="177"/>
      <c r="DY36" s="177"/>
      <c r="DZ36" s="177"/>
      <c r="EA36" s="177"/>
      <c r="EB36" s="177"/>
      <c r="EC36" s="177"/>
      <c r="ED36" s="177"/>
    </row>
    <row r="37" spans="3:134" ht="13" customHeight="1">
      <c r="C37" s="213">
        <v>45252</v>
      </c>
      <c r="D37" s="213" t="s">
        <v>2114</v>
      </c>
      <c r="E37" s="213" t="s">
        <v>1710</v>
      </c>
      <c r="F37" s="219" t="s">
        <v>375</v>
      </c>
      <c r="G37" s="201" t="s">
        <v>1415</v>
      </c>
      <c r="H37" s="202">
        <v>15</v>
      </c>
      <c r="I37" s="339" t="str" cm="1">
        <f t="array" aca="1" ref="I3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X002</v>
      </c>
      <c r="J37" s="203" t="str" cm="1">
        <f t="array" ref="J37">IF(OR(PptoSty[[#This Row],[Project]]="",PptoSty[[#This Row],[Project]]="X"),"X",_xlfn.UNIQUE(_xlfn._xlws.FILTER(CstGrpS[Nature],ISNUMBER(FIND(SUBSTITUTE(PptoSty[[#This Row],[PiColumn]]," +%",""),UPPER(SUBSTITUTE(CstGrpS[GrpPrv],"  "," ")))),"X")))</f>
        <v>Hrs</v>
      </c>
      <c r="K37" s="96" t="s">
        <v>1628</v>
      </c>
      <c r="L37" s="96" t="s">
        <v>379</v>
      </c>
      <c r="M37" s="96" t="s">
        <v>28</v>
      </c>
      <c r="N37" s="96" t="str" cm="1">
        <f t="array" ref="N37">IF(OR(PptoSty[[#This Row],[Project]]="",PptoSty[[#This Row],[Project]]="X"),"X",_xlfn._xlws.FILTER(TbAssign[RowId],(TbAssign[Project]=PptoSty[[#This Row],[Project]])*(TbAssign[Módulo]=PptoSty[[#This Row],[PptoVsRow]]),"X"))</f>
        <v>XC02</v>
      </c>
      <c r="O37" s="96" t="str" cm="1">
        <f t="array" ref="O37">IF(OR(PptoSty[[#This Row],[Project]]="",PptoSty[[#This Row],[Project]]="X"),"X",_xlfn.UNIQUE(_xlfn._xlws.FILTER(F_RT14[Amortz.],(F_RT14[Measure]="CurPpto")*(F_RT14[PrjId]=PptoSty[[#This Row],[Project]])*(F_RT14[Vrs]=PptoSty[[#This Row],[Vrs]])*(_xlfn.TEXTAFTER(F_RT14[ActGrp],":")=PptoSty[[#This Row],[PiRow]]),"X")))</f>
        <v>CELL</v>
      </c>
      <c r="P37" s="96" t="s">
        <v>368</v>
      </c>
      <c r="Q37" s="96" t="s">
        <v>1667</v>
      </c>
      <c r="R37" s="204" t="s">
        <v>403</v>
      </c>
      <c r="S37" s="204">
        <v>1</v>
      </c>
      <c r="T37" s="205" cm="1">
        <f t="array" aca="1" ref="T3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37" s="206" cm="1">
        <f t="array" ref="U37">IFERROR((1/PptoSty[[#This Row],[Division]])*IF(PptoSty[[#This Row],[Sign]]="+",1,-1)*(IF(PptoSty[[#This Row],[POvsCT]]="PO",SUM(_xlfn.CHOOSECOLS(_xlfn._xlws.FILTER(F_RT14[],(IF($M37="X",TRUE,F_RT14[Site]=$M37))*(F_RT14[Measure]=U$4)*(F_RT14[PrjId]=PptoSty[[#This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269011.42880515463</v>
      </c>
      <c r="V37" s="206" cm="1">
        <f t="array" ref="V37">IFERROR((1/PptoSty[[#This Row],[Division]])*IF(PptoSty[[#This Row],[Sign]]="+",1,-1)*(IF(PptoSty[[#This Row],[POvsCT]]="PO",SUM(_xlfn.CHOOSECOLS(_xlfn._xlws.FILTER(F_RT14[],(IF($M37="X",TRUE,F_RT14[Site]=$M37))*(F_RT14[Measure]=V$4)*(F_RT14[PrjId]=PptoSty[[#This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12829.125956622078</v>
      </c>
      <c r="W37" s="206" cm="1">
        <f t="array" ref="W37">IFERROR((1/PptoSty[[#This Row],[Division]])*IF(PptoSty[[#This Row],[Sign]]="+",1,-1)*(IF(PptoSty[[#This Row],[POvsCT]]="PO",SUM(_xlfn.CHOOSECOLS(_xlfn._xlws.FILTER(F_RT14[],(IF($M37="X",TRUE,F_RT14[Site]=$M37))*(F_RT14[Measure]=W$4)*(F_RT14[PrjId]=PptoSty[[#This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266592.84160465276</v>
      </c>
      <c r="X37" s="338" cm="1">
        <f t="array" ref="X37">IFERROR(IF(PptoSty[[#This Row],[Nature]]&lt;&gt;"Hrs",0,(1/PptoSty[[#This Row],[Division]])*IF(PptoSty[[#This Row],[Sign]]="+",1,-1)*(IF(PptoSty[[#This Row],[POvsCT]]="PO",SUM(_xlfn.CHOOSECOLS(_xlfn._xlws.FILTER(F_RT14[],(IF($M37="X",TRUE,F_RT14[Site]=$M37))*(F_RT14[Measure]=X$4)*(F_RT14[PrjId]=PptoSty[[#This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3038.2303999999995</v>
      </c>
      <c r="Y37" s="338" cm="1">
        <f t="array" ref="Y37">IFERROR(IF(PptoSty[[#This Row],[Nature]]&lt;&gt;"Hrs",0,(1/PptoSty[[#This Row],[Division]])*IF(PptoSty[[#This Row],[Sign]]="+",1,-1)*(IF(PptoSty[[#This Row],[POvsCT]]="PO",SUM(_xlfn.CHOOSECOLS(_xlfn._xlws.FILTER(F_RT14[],(IF($M37="X",TRUE,F_RT14[Site]=$M37))*(F_RT14[Measure]=Y$4)*(F_RT14[PrjId]=PptoSty[[#This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294.70834879999995</v>
      </c>
      <c r="Z37" s="338" cm="1">
        <f t="array" ref="Z37">IFERROR(IF(PptoSty[[#This Row],[Nature]]&lt;&gt;"Hrs",0,(1/PptoSty[[#This Row],[Division]])*IF(PptoSty[[#This Row],[Sign]]="+",1,-1)*(IF(PptoSty[[#This Row],[POvsCT]]="PO",SUM(_xlfn.CHOOSECOLS(_xlfn._xlws.FILTER(F_RT14[],(IF($M37="X",TRUE,F_RT14[Site]=$M37))*(F_RT14[Measure]=Z$4)*(F_RT14[PrjId]=PptoSty[[#This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2652.3751391999995</v>
      </c>
      <c r="AA37" s="206" cm="1">
        <f t="array" aca="1" ref="AA37"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269011.42880515463</v>
      </c>
      <c r="AB37" s="206" cm="1">
        <f t="array" aca="1" ref="AB37"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12829.125956622078</v>
      </c>
      <c r="AC37" s="206" cm="1">
        <f t="array" aca="1" ref="AC37"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266592.84160465276</v>
      </c>
      <c r="AG37"/>
      <c r="AH37"/>
      <c r="AI37" s="21"/>
      <c r="AJ37" s="21"/>
      <c r="AK37" s="175"/>
      <c r="AL37" s="176"/>
      <c r="AM37" s="179"/>
      <c r="AN37" s="176"/>
      <c r="AO37"/>
      <c r="AP37" s="21"/>
      <c r="AQ37" s="176"/>
      <c r="AR37" s="176"/>
      <c r="AS37" s="176"/>
      <c r="AT37" s="176"/>
      <c r="AU37" s="176"/>
      <c r="AV37" s="176"/>
      <c r="AW37" s="176"/>
      <c r="AX37" s="176"/>
      <c r="AY37" s="176"/>
      <c r="AZ37" s="176"/>
      <c r="BA37" s="176"/>
      <c r="BB37" s="176"/>
      <c r="BC37" s="176"/>
      <c r="BD37" s="176"/>
      <c r="BE37"/>
      <c r="BF37" s="21"/>
      <c r="BG37" s="176"/>
      <c r="BH37" s="176"/>
      <c r="BI37" s="176"/>
      <c r="BJ37" s="176"/>
      <c r="BK37" s="176"/>
      <c r="BL37" s="176"/>
      <c r="BM37" s="176"/>
      <c r="BN37" s="176"/>
      <c r="BO37" s="176"/>
      <c r="BP37" s="176"/>
      <c r="BQ37" s="176"/>
      <c r="BR37" s="176"/>
      <c r="BS37" s="176"/>
      <c r="BT37" s="176"/>
      <c r="BU37" s="176"/>
      <c r="BV37" s="176"/>
      <c r="BW37" s="176"/>
      <c r="BX37" s="176"/>
      <c r="BY37" s="176"/>
      <c r="BZ37" s="176"/>
      <c r="CA37" s="176"/>
      <c r="CB37" s="176"/>
      <c r="CC37" s="176"/>
      <c r="CD37" s="176"/>
      <c r="CE37" s="176"/>
      <c r="CF37" s="176"/>
      <c r="CG37" s="176"/>
      <c r="CH37" s="176"/>
      <c r="CI37" s="176"/>
      <c r="CJ37" s="176"/>
      <c r="CK37" s="176"/>
      <c r="CL37" s="176"/>
      <c r="CM37" s="176"/>
      <c r="CN37" s="176"/>
      <c r="CO37" s="176"/>
      <c r="CP37" s="176"/>
      <c r="CQ37" s="176"/>
      <c r="CR37" s="176"/>
      <c r="CS37" s="176"/>
      <c r="CT37" s="176"/>
      <c r="CU37" s="176"/>
      <c r="CV37" s="176"/>
      <c r="CW37" s="176"/>
      <c r="CX37" s="176"/>
      <c r="CY37" s="176"/>
      <c r="CZ37" s="176"/>
      <c r="DA37" s="176"/>
      <c r="DB37" s="176"/>
      <c r="DC37" s="176"/>
      <c r="DD37" s="176"/>
      <c r="DE37" s="176"/>
      <c r="DF37" s="176"/>
      <c r="DG37" s="176"/>
      <c r="DH37" s="176"/>
      <c r="DI37" s="176"/>
      <c r="DJ37" s="176"/>
      <c r="DK37" s="176"/>
      <c r="DL37"/>
      <c r="DM37" s="366" t="str" cm="1">
        <f t="array" aca="1" ref="DM3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DN37:DX37</v>
      </c>
      <c r="DN37" s="177" t="s">
        <v>375</v>
      </c>
      <c r="DO37" s="177" t="str" cm="1">
        <f t="array" aca="1" ref="DO37:DX3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37" s="177" t="str">
        <f ca="1"/>
        <v>DISEÑO MECÁNICO</v>
      </c>
      <c r="DQ37" s="177" t="str">
        <f ca="1"/>
        <v>FABRICACIÓN ELÉCTRICA</v>
      </c>
      <c r="DR37" s="177" t="str">
        <f ca="1"/>
        <v>FABRICACIÓN MECÁNICA</v>
      </c>
      <c r="DS37" s="177" t="str">
        <f ca="1"/>
        <v>INSTALACIÓN ENR</v>
      </c>
      <c r="DT37" s="177" t="str">
        <f ca="1"/>
        <v>MATERIAL ELÉCTRICO +%</v>
      </c>
      <c r="DU37" s="177" t="str">
        <f ca="1"/>
        <v>MATERIAL FLUIDOS +%</v>
      </c>
      <c r="DV37" s="177" t="str">
        <f ca="1"/>
        <v>MATERIAL MECÁNICO +%</v>
      </c>
      <c r="DW37" s="177" t="str">
        <f ca="1"/>
        <v>METROLOGÍA</v>
      </c>
      <c r="DX37" s="177" t="str">
        <f ca="1"/>
        <v>MONTAJE MECÁNICO</v>
      </c>
      <c r="DY37" s="177"/>
      <c r="DZ37" s="177"/>
      <c r="EA37" s="177"/>
      <c r="EB37" s="177"/>
      <c r="EC37" s="177"/>
      <c r="ED37" s="177"/>
    </row>
    <row r="38" spans="3:134" ht="13" customHeight="1">
      <c r="C38" s="213">
        <v>45252</v>
      </c>
      <c r="D38" s="213" t="s">
        <v>2114</v>
      </c>
      <c r="E38" s="213" t="s">
        <v>1710</v>
      </c>
      <c r="F38" s="219" t="s">
        <v>375</v>
      </c>
      <c r="G38" s="201" t="s">
        <v>1415</v>
      </c>
      <c r="H38" s="202">
        <v>15</v>
      </c>
      <c r="I38" s="339" t="str" cm="1">
        <f t="array" aca="1" ref="I3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X002</v>
      </c>
      <c r="J38" s="203" t="str" cm="1">
        <f t="array" ref="J38">IF(OR(PptoSty[[#This Row],[Project]]="",PptoSty[[#This Row],[Project]]="X"),"X",_xlfn.UNIQUE(_xlfn._xlws.FILTER(CstGrpS[Nature],ISNUMBER(FIND(SUBSTITUTE(PptoSty[[#This Row],[PiColumn]]," +%",""),UPPER(SUBSTITUTE(CstGrpS[GrpPrv],"  "," ")))),"X")))</f>
        <v>Mat</v>
      </c>
      <c r="K38" s="96" t="s">
        <v>1628</v>
      </c>
      <c r="L38" s="96" t="s">
        <v>1639</v>
      </c>
      <c r="M38" s="96" t="s">
        <v>28</v>
      </c>
      <c r="N38" s="96" t="str" cm="1">
        <f t="array" ref="N38">IF(OR(PptoSty[[#This Row],[Project]]="",PptoSty[[#This Row],[Project]]="X"),"X",_xlfn._xlws.FILTER(TbAssign[RowId],(TbAssign[Project]=PptoSty[[#This Row],[Project]])*(TbAssign[Módulo]=PptoSty[[#This Row],[PptoVsRow]]),"X"))</f>
        <v>XC02</v>
      </c>
      <c r="O38" s="96" t="str" cm="1">
        <f t="array" ref="O38">IF(OR(PptoSty[[#This Row],[Project]]="",PptoSty[[#This Row],[Project]]="X"),"X",_xlfn.UNIQUE(_xlfn._xlws.FILTER(F_RT14[Amortz.],(F_RT14[Measure]="CurPpto")*(F_RT14[PrjId]=PptoSty[[#This Row],[Project]])*(F_RT14[Vrs]=PptoSty[[#This Row],[Vrs]])*(_xlfn.TEXTAFTER(F_RT14[ActGrp],":")=PptoSty[[#This Row],[PiRow]]),"X")))</f>
        <v>CELL</v>
      </c>
      <c r="P38" s="96" t="s">
        <v>368</v>
      </c>
      <c r="Q38" s="96" t="s">
        <v>1670</v>
      </c>
      <c r="R38" s="204" t="s">
        <v>403</v>
      </c>
      <c r="S38" s="204">
        <v>1</v>
      </c>
      <c r="T38" s="205" cm="1">
        <f t="array" aca="1" ref="T3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38" s="206" cm="1">
        <f t="array" ref="U38">IFERROR((1/PptoSty[[#This Row],[Division]])*IF(PptoSty[[#This Row],[Sign]]="+",1,-1)*(IF(PptoSty[[#This Row],[POvsCT]]="PO",SUM(_xlfn.CHOOSECOLS(_xlfn._xlws.FILTER(F_RT14[],(IF($M38="X",TRUE,F_RT14[Site]=$M38))*(F_RT14[Measure]=U$4)*(F_RT14[PrjId]=PptoSty[[#This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1380047.1214999999</v>
      </c>
      <c r="V38" s="206" cm="1">
        <f t="array" ref="V38">IFERROR((1/PptoSty[[#This Row],[Division]])*IF(PptoSty[[#This Row],[Sign]]="+",1,-1)*(IF(PptoSty[[#This Row],[POvsCT]]="PO",SUM(_xlfn.CHOOSECOLS(_xlfn._xlws.FILTER(F_RT14[],(IF($M38="X",TRUE,F_RT14[Site]=$M38))*(F_RT14[Measure]=V$4)*(F_RT14[PrjId]=PptoSty[[#This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38" s="206" cm="1">
        <f t="array" ref="W38">IFERROR((1/PptoSty[[#This Row],[Division]])*IF(PptoSty[[#This Row],[Sign]]="+",1,-1)*(IF(PptoSty[[#This Row],[POvsCT]]="PO",SUM(_xlfn.CHOOSECOLS(_xlfn._xlws.FILTER(F_RT14[],(IF($M38="X",TRUE,F_RT14[Site]=$M38))*(F_RT14[Measure]=W$4)*(F_RT14[PrjId]=PptoSty[[#This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1380047.1214999999</v>
      </c>
      <c r="X38" s="338" cm="1">
        <f t="array" ref="X38">IFERROR(IF(PptoSty[[#This Row],[Nature]]&lt;&gt;"Hrs",0,(1/PptoSty[[#This Row],[Division]])*IF(PptoSty[[#This Row],[Sign]]="+",1,-1)*(IF(PptoSty[[#This Row],[POvsCT]]="PO",SUM(_xlfn.CHOOSECOLS(_xlfn._xlws.FILTER(F_RT14[],(IF($M38="X",TRUE,F_RT14[Site]=$M38))*(F_RT14[Measure]=X$4)*(F_RT14[PrjId]=PptoSty[[#This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38" s="338" cm="1">
        <f t="array" ref="Y38">IFERROR(IF(PptoSty[[#This Row],[Nature]]&lt;&gt;"Hrs",0,(1/PptoSty[[#This Row],[Division]])*IF(PptoSty[[#This Row],[Sign]]="+",1,-1)*(IF(PptoSty[[#This Row],[POvsCT]]="PO",SUM(_xlfn.CHOOSECOLS(_xlfn._xlws.FILTER(F_RT14[],(IF($M38="X",TRUE,F_RT14[Site]=$M38))*(F_RT14[Measure]=Y$4)*(F_RT14[PrjId]=PptoSty[[#This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38" s="338" cm="1">
        <f t="array" ref="Z38">IFERROR(IF(PptoSty[[#This Row],[Nature]]&lt;&gt;"Hrs",0,(1/PptoSty[[#This Row],[Division]])*IF(PptoSty[[#This Row],[Sign]]="+",1,-1)*(IF(PptoSty[[#This Row],[POvsCT]]="PO",SUM(_xlfn.CHOOSECOLS(_xlfn._xlws.FILTER(F_RT14[],(IF($M38="X",TRUE,F_RT14[Site]=$M38))*(F_RT14[Measure]=Z$4)*(F_RT14[PrjId]=PptoSty[[#This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38" s="206" cm="1">
        <f t="array" aca="1" ref="AA38"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1380047.1214999999</v>
      </c>
      <c r="AB38" s="206" cm="1">
        <f t="array" aca="1" ref="AB38"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38" s="206" cm="1">
        <f t="array" aca="1" ref="AC38"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1380047.1214999999</v>
      </c>
      <c r="AG38"/>
      <c r="AH38"/>
      <c r="AI38" s="21"/>
      <c r="AJ38" s="21"/>
      <c r="AK38" s="175"/>
      <c r="AL38" s="176"/>
      <c r="AM38" s="179"/>
      <c r="AN38" s="176"/>
      <c r="AO38"/>
      <c r="AP38" s="21"/>
      <c r="AQ38" s="176"/>
      <c r="AR38" s="176"/>
      <c r="AS38" s="176"/>
      <c r="AT38" s="176"/>
      <c r="AU38" s="176"/>
      <c r="AV38" s="176"/>
      <c r="AW38" s="176"/>
      <c r="AX38" s="176"/>
      <c r="AY38" s="176"/>
      <c r="AZ38" s="176"/>
      <c r="BA38" s="176"/>
      <c r="BB38" s="176"/>
      <c r="BC38" s="176"/>
      <c r="BD38" s="176"/>
      <c r="BE38"/>
      <c r="BF38" s="21"/>
      <c r="BG38" s="176"/>
      <c r="BH38" s="176"/>
      <c r="BI38" s="176"/>
      <c r="BJ38" s="176"/>
      <c r="BK38" s="176"/>
      <c r="BL38" s="176"/>
      <c r="BM38" s="176"/>
      <c r="BN38" s="176"/>
      <c r="BO38" s="176"/>
      <c r="BP38" s="176"/>
      <c r="BQ38" s="176"/>
      <c r="BR38" s="176"/>
      <c r="BS38" s="176"/>
      <c r="BT38" s="176"/>
      <c r="BU38" s="176"/>
      <c r="BV38" s="176"/>
      <c r="BW38" s="176"/>
      <c r="BX38" s="176"/>
      <c r="BY38" s="176"/>
      <c r="BZ38" s="176"/>
      <c r="CA38" s="176"/>
      <c r="CB38" s="176"/>
      <c r="CC38" s="176"/>
      <c r="CD38" s="176"/>
      <c r="CE38" s="176"/>
      <c r="CF38" s="176"/>
      <c r="CG38" s="176"/>
      <c r="CH38" s="176"/>
      <c r="CI38" s="176"/>
      <c r="CJ38" s="176"/>
      <c r="CK38" s="176"/>
      <c r="CL38" s="176"/>
      <c r="CM38" s="176"/>
      <c r="CN38" s="176"/>
      <c r="CO38" s="176"/>
      <c r="CP38" s="176"/>
      <c r="CQ38" s="176"/>
      <c r="CR38" s="176"/>
      <c r="CS38" s="176"/>
      <c r="CT38" s="176"/>
      <c r="CU38" s="176"/>
      <c r="CV38" s="176"/>
      <c r="CW38" s="176"/>
      <c r="CX38" s="176"/>
      <c r="CY38" s="176"/>
      <c r="CZ38" s="176"/>
      <c r="DA38" s="176"/>
      <c r="DB38" s="176"/>
      <c r="DC38" s="176"/>
      <c r="DD38" s="176"/>
      <c r="DE38" s="176"/>
      <c r="DF38" s="176"/>
      <c r="DG38" s="176"/>
      <c r="DH38" s="176"/>
      <c r="DI38" s="176"/>
      <c r="DJ38" s="176"/>
      <c r="DK38" s="176"/>
      <c r="DL38"/>
      <c r="DM38" s="366" t="str" cm="1">
        <f t="array" aca="1" ref="DM3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DN38:DX38</v>
      </c>
      <c r="DN38" s="177" t="s">
        <v>375</v>
      </c>
      <c r="DO38" s="177" t="str" cm="1">
        <f t="array" aca="1" ref="DO38:DX3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38" s="177" t="str">
        <f ca="1"/>
        <v>DISEÑO MECÁNICO</v>
      </c>
      <c r="DQ38" s="177" t="str">
        <f ca="1"/>
        <v>FABRICACIÓN ELÉCTRICA</v>
      </c>
      <c r="DR38" s="177" t="str">
        <f ca="1"/>
        <v>FABRICACIÓN MECÁNICA</v>
      </c>
      <c r="DS38" s="177" t="str">
        <f ca="1"/>
        <v>INSTALACIÓN ENR</v>
      </c>
      <c r="DT38" s="177" t="str">
        <f ca="1"/>
        <v>MATERIAL ELÉCTRICO +%</v>
      </c>
      <c r="DU38" s="177" t="str">
        <f ca="1"/>
        <v>MATERIAL FLUIDOS +%</v>
      </c>
      <c r="DV38" s="177" t="str">
        <f ca="1"/>
        <v>MATERIAL MECÁNICO +%</v>
      </c>
      <c r="DW38" s="177" t="str">
        <f ca="1"/>
        <v>METROLOGÍA</v>
      </c>
      <c r="DX38" s="177" t="str">
        <f ca="1"/>
        <v>MONTAJE MECÁNICO</v>
      </c>
      <c r="DY38" s="177"/>
      <c r="DZ38" s="177"/>
      <c r="EA38" s="177"/>
      <c r="EB38" s="177"/>
      <c r="EC38" s="177"/>
      <c r="ED38" s="177"/>
    </row>
    <row r="39" spans="3:134" ht="13" customHeight="1">
      <c r="C39" s="213">
        <v>45252</v>
      </c>
      <c r="D39" s="213" t="s">
        <v>2114</v>
      </c>
      <c r="E39" s="213" t="s">
        <v>1710</v>
      </c>
      <c r="F39" s="219" t="s">
        <v>375</v>
      </c>
      <c r="G39" s="201" t="s">
        <v>1415</v>
      </c>
      <c r="H39" s="202">
        <v>15</v>
      </c>
      <c r="I39" s="339" t="str" cm="1">
        <f t="array" aca="1" ref="I3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X002</v>
      </c>
      <c r="J39" s="203" t="str" cm="1">
        <f t="array" ref="J39">IF(OR(PptoSty[[#This Row],[Project]]="",PptoSty[[#This Row],[Project]]="X"),"X",_xlfn.UNIQUE(_xlfn._xlws.FILTER(CstGrpS[Nature],ISNUMBER(FIND(SUBSTITUTE(PptoSty[[#This Row],[PiColumn]]," +%",""),UPPER(SUBSTITUTE(CstGrpS[GrpPrv],"  "," ")))),"X")))</f>
        <v>Hrs</v>
      </c>
      <c r="K39" s="96" t="s">
        <v>1628</v>
      </c>
      <c r="L39" s="96" t="s">
        <v>380</v>
      </c>
      <c r="M39" s="96" t="s">
        <v>28</v>
      </c>
      <c r="N39" s="96" t="str" cm="1">
        <f t="array" ref="N39">IF(OR(PptoSty[[#This Row],[Project]]="",PptoSty[[#This Row],[Project]]="X"),"X",_xlfn._xlws.FILTER(TbAssign[RowId],(TbAssign[Project]=PptoSty[[#This Row],[Project]])*(TbAssign[Módulo]=PptoSty[[#This Row],[PptoVsRow]]),"X"))</f>
        <v>XD02</v>
      </c>
      <c r="O39" s="96" t="str" cm="1">
        <f t="array" ref="O39">IF(OR(PptoSty[[#This Row],[Project]]="",PptoSty[[#This Row],[Project]]="X"),"X",_xlfn.UNIQUE(_xlfn._xlws.FILTER(F_RT14[Amortz.],(F_RT14[Measure]="CurPpto")*(F_RT14[PrjId]=PptoSty[[#This Row],[Project]])*(F_RT14[Vrs]=PptoSty[[#This Row],[Vrs]])*(_xlfn.TEXTAFTER(F_RT14[ActGrp],":")=PptoSty[[#This Row],[PiRow]]),"X")))</f>
        <v>CELL</v>
      </c>
      <c r="P39" s="96" t="s">
        <v>1410</v>
      </c>
      <c r="Q39" s="96" t="s">
        <v>380</v>
      </c>
      <c r="R39" s="204" t="s">
        <v>403</v>
      </c>
      <c r="S39" s="204">
        <v>1</v>
      </c>
      <c r="T39" s="205" cm="1">
        <f t="array" aca="1" ref="T3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39" s="206" cm="1">
        <f t="array" ref="U39">IFERROR((1/PptoSty[[#This Row],[Division]])*IF(PptoSty[[#This Row],[Sign]]="+",1,-1)*(IF(PptoSty[[#This Row],[POvsCT]]="PO",SUM(_xlfn.CHOOSECOLS(_xlfn._xlws.FILTER(F_RT14[],(IF($M39="X",TRUE,F_RT14[Site]=$M39))*(F_RT14[Measure]=U$4)*(F_RT14[PrjId]=PptoSty[[#This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155577.41865979382</v>
      </c>
      <c r="V39" s="206" cm="1">
        <f t="array" ref="V39">IFERROR((1/PptoSty[[#This Row],[Division]])*IF(PptoSty[[#This Row],[Sign]]="+",1,-1)*(IF(PptoSty[[#This Row],[POvsCT]]="PO",SUM(_xlfn.CHOOSECOLS(_xlfn._xlws.FILTER(F_RT14[],(IF($M39="X",TRUE,F_RT14[Site]=$M39))*(F_RT14[Measure]=V$4)*(F_RT14[PrjId]=PptoSty[[#This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47783.287732537494</v>
      </c>
      <c r="W39" s="206" cm="1">
        <f t="array" ref="W39">IFERROR((1/PptoSty[[#This Row],[Division]])*IF(PptoSty[[#This Row],[Sign]]="+",1,-1)*(IF(PptoSty[[#This Row],[POvsCT]]="PO",SUM(_xlfn.CHOOSECOLS(_xlfn._xlws.FILTER(F_RT14[],(IF($M39="X",TRUE,F_RT14[Site]=$M39))*(F_RT14[Measure]=W$4)*(F_RT14[PrjId]=PptoSty[[#This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106021.44743189999</v>
      </c>
      <c r="X39" s="338" cm="1">
        <f t="array" ref="X39">IFERROR(IF(PptoSty[[#This Row],[Nature]]&lt;&gt;"Hrs",0,(1/PptoSty[[#This Row],[Division]])*IF(PptoSty[[#This Row],[Sign]]="+",1,-1)*(IF(PptoSty[[#This Row],[POvsCT]]="PO",SUM(_xlfn.CHOOSECOLS(_xlfn._xlws.FILTER(F_RT14[],(IF($M39="X",TRUE,F_RT14[Site]=$M39))*(F_RT14[Measure]=X$4)*(F_RT14[PrjId]=PptoSty[[#This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5137.99</v>
      </c>
      <c r="Y39" s="338" cm="1">
        <f t="array" ref="Y39">IFERROR(IF(PptoSty[[#This Row],[Nature]]&lt;&gt;"Hrs",0,(1/PptoSty[[#This Row],[Division]])*IF(PptoSty[[#This Row],[Sign]]="+",1,-1)*(IF(PptoSty[[#This Row],[POvsCT]]="PO",SUM(_xlfn.CHOOSECOLS(_xlfn._xlws.FILTER(F_RT14[],(IF($M39="X",TRUE,F_RT14[Site]=$M39))*(F_RT14[Measure]=Y$4)*(F_RT14[PrjId]=PptoSty[[#This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1245.962575</v>
      </c>
      <c r="Z39" s="338" cm="1">
        <f t="array" ref="Z39">IFERROR(IF(PptoSty[[#This Row],[Nature]]&lt;&gt;"Hrs",0,(1/PptoSty[[#This Row],[Division]])*IF(PptoSty[[#This Row],[Sign]]="+",1,-1)*(IF(PptoSty[[#This Row],[POvsCT]]="PO",SUM(_xlfn.CHOOSECOLS(_xlfn._xlws.FILTER(F_RT14[],(IF($M39="X",TRUE,F_RT14[Site]=$M39))*(F_RT14[Measure]=Z$4)*(F_RT14[PrjId]=PptoSty[[#This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3737.8877249999996</v>
      </c>
      <c r="AA39" s="206" cm="1">
        <f t="array" aca="1" ref="AA39"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155577.41865979382</v>
      </c>
      <c r="AB39" s="206" cm="1">
        <f t="array" aca="1" ref="AB39"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47783.287732537494</v>
      </c>
      <c r="AC39" s="206" cm="1">
        <f t="array" aca="1" ref="AC39"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106021.44743189999</v>
      </c>
      <c r="AG39"/>
      <c r="AH39"/>
      <c r="AI39" s="21"/>
      <c r="AJ39" s="21"/>
      <c r="AK39" s="175"/>
      <c r="AL39" s="176"/>
      <c r="AM39" s="179"/>
      <c r="AN39" s="176"/>
      <c r="AO39"/>
      <c r="AP39" s="21"/>
      <c r="AQ39" s="176"/>
      <c r="AR39" s="176"/>
      <c r="AS39" s="176"/>
      <c r="AT39" s="176"/>
      <c r="AU39" s="176"/>
      <c r="AV39" s="176"/>
      <c r="AW39" s="176"/>
      <c r="AX39" s="176"/>
      <c r="AY39" s="176"/>
      <c r="AZ39" s="176"/>
      <c r="BA39" s="176"/>
      <c r="BB39" s="176"/>
      <c r="BC39" s="176"/>
      <c r="BD39" s="176"/>
      <c r="BE39"/>
      <c r="BF39" s="21"/>
      <c r="BG39" s="176"/>
      <c r="BH39" s="176"/>
      <c r="BI39" s="176"/>
      <c r="BJ39" s="176"/>
      <c r="BK39" s="176"/>
      <c r="BL39" s="176"/>
      <c r="BM39" s="176"/>
      <c r="BN39" s="176"/>
      <c r="BO39" s="176"/>
      <c r="BP39" s="176"/>
      <c r="BQ39" s="176"/>
      <c r="BR39" s="176"/>
      <c r="BS39" s="176"/>
      <c r="BT39" s="176"/>
      <c r="BU39" s="176"/>
      <c r="BV39" s="176"/>
      <c r="BW39" s="176"/>
      <c r="BX39" s="176"/>
      <c r="BY39" s="176"/>
      <c r="BZ39" s="176"/>
      <c r="CA39" s="176"/>
      <c r="CB39" s="176"/>
      <c r="CC39" s="176"/>
      <c r="CD39" s="176"/>
      <c r="CE39" s="176"/>
      <c r="CF39" s="176"/>
      <c r="CG39" s="176"/>
      <c r="CH39" s="176"/>
      <c r="CI39" s="176"/>
      <c r="CJ39" s="176"/>
      <c r="CK39" s="176"/>
      <c r="CL39" s="176"/>
      <c r="CM39" s="176"/>
      <c r="CN39" s="176"/>
      <c r="CO39" s="176"/>
      <c r="CP39" s="176"/>
      <c r="CQ39" s="176"/>
      <c r="CR39" s="176"/>
      <c r="CS39" s="176"/>
      <c r="CT39" s="176"/>
      <c r="CU39" s="176"/>
      <c r="CV39" s="176"/>
      <c r="CW39" s="176"/>
      <c r="CX39" s="176"/>
      <c r="CY39" s="176"/>
      <c r="CZ39" s="176"/>
      <c r="DA39" s="176"/>
      <c r="DB39" s="176"/>
      <c r="DC39" s="176"/>
      <c r="DD39" s="176"/>
      <c r="DE39" s="176"/>
      <c r="DF39" s="176"/>
      <c r="DG39" s="176"/>
      <c r="DH39" s="176"/>
      <c r="DI39" s="176"/>
      <c r="DJ39" s="176"/>
      <c r="DK39" s="176"/>
      <c r="DL39"/>
      <c r="DM39" s="366" t="str" cm="1">
        <f t="array" aca="1" ref="DM39"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DN39:DX39</v>
      </c>
      <c r="DN39" s="177" t="s">
        <v>375</v>
      </c>
      <c r="DO39" s="177" t="str" cm="1">
        <f t="array" aca="1" ref="DO39:DX39"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39" s="177" t="str">
        <f ca="1"/>
        <v>DISEÑO MECÁNICO</v>
      </c>
      <c r="DQ39" s="177" t="str">
        <f ca="1"/>
        <v>FABRICACIÓN ELÉCTRICA</v>
      </c>
      <c r="DR39" s="177" t="str">
        <f ca="1"/>
        <v>FABRICACIÓN MECÁNICA</v>
      </c>
      <c r="DS39" s="177" t="str">
        <f ca="1"/>
        <v>INSTALACIÓN ENR</v>
      </c>
      <c r="DT39" s="177" t="str">
        <f ca="1"/>
        <v>MATERIAL ELÉCTRICO +%</v>
      </c>
      <c r="DU39" s="177" t="str">
        <f ca="1"/>
        <v>MATERIAL FLUIDOS +%</v>
      </c>
      <c r="DV39" s="177" t="str">
        <f ca="1"/>
        <v>MATERIAL MECÁNICO +%</v>
      </c>
      <c r="DW39" s="177" t="str">
        <f ca="1"/>
        <v>METROLOGÍA</v>
      </c>
      <c r="DX39" s="177" t="str">
        <f ca="1"/>
        <v>MONTAJE MECÁNICO</v>
      </c>
      <c r="DY39" s="177"/>
      <c r="DZ39" s="177"/>
      <c r="EA39" s="177"/>
      <c r="EB39" s="177"/>
      <c r="EC39" s="177"/>
      <c r="ED39" s="177"/>
    </row>
    <row r="40" spans="3:134" ht="13" customHeight="1">
      <c r="C40" s="213">
        <v>45252</v>
      </c>
      <c r="D40" s="213" t="s">
        <v>2114</v>
      </c>
      <c r="E40" s="213" t="s">
        <v>1710</v>
      </c>
      <c r="F40" s="219" t="s">
        <v>375</v>
      </c>
      <c r="G40" s="201" t="s">
        <v>1415</v>
      </c>
      <c r="H40" s="202">
        <v>15</v>
      </c>
      <c r="I40" s="339" t="str" cm="1">
        <f t="array" aca="1" ref="I4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G005</v>
      </c>
      <c r="J40" s="203" t="str" cm="1">
        <f t="array" ref="J40">IF(OR(PptoSty[[#This Row],[Project]]="",PptoSty[[#This Row],[Project]]="X"),"X",_xlfn.UNIQUE(_xlfn._xlws.FILTER(CstGrpS[Nature],ISNUMBER(FIND(SUBSTITUTE(PptoSty[[#This Row],[PiColumn]]," +%",""),UPPER(SUBSTITUTE(CstGrpS[GrpPrv],"  "," ")))),"X")))</f>
        <v>Hrs</v>
      </c>
      <c r="K40" s="96" t="s">
        <v>1284</v>
      </c>
      <c r="L40" s="96" t="s">
        <v>1643</v>
      </c>
      <c r="M40" s="96" t="s">
        <v>375</v>
      </c>
      <c r="N40" s="96" t="str" cm="1">
        <f t="array" ref="N40">IF(OR(PptoSty[[#This Row],[Project]]="",PptoSty[[#This Row],[Project]]="X"),"X",_xlfn._xlws.FILTER(TbAssign[RowId],(TbAssign[Project]=PptoSty[[#This Row],[Project]])*(TbAssign[Módulo]=PptoSty[[#This Row],[PptoVsRow]]),"X"))</f>
        <v>XE01</v>
      </c>
      <c r="O40" s="96" t="str" cm="1">
        <f t="array" ref="O40">IF(OR(PptoSty[[#This Row],[Project]]="",PptoSty[[#This Row],[Project]]="X"),"X",_xlfn.UNIQUE(_xlfn._xlws.FILTER(F_RT14[Amortz.],(F_RT14[Measure]="CurPpto")*(F_RT14[PrjId]=PptoSty[[#This Row],[Project]])*(F_RT14[Vrs]=PptoSty[[#This Row],[Vrs]])*(_xlfn.TEXTAFTER(F_RT14[ActGrp],":")=PptoSty[[#This Row],[PiRow]]),"X")))</f>
        <v>PEMX</v>
      </c>
      <c r="P40" s="96" t="s">
        <v>1284</v>
      </c>
      <c r="Q40" s="96" t="s">
        <v>377</v>
      </c>
      <c r="R40" s="204" t="s">
        <v>403</v>
      </c>
      <c r="S40" s="204">
        <v>1</v>
      </c>
      <c r="T40" s="205" t="str" cm="1">
        <f t="array" aca="1" ref="T4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40" s="206" cm="1">
        <f t="array" ref="U40">IFERROR((1/PptoSty[[#This Row],[Division]])*IF(PptoSty[[#This Row],[Sign]]="+",1,-1)*(IF(PptoSty[[#This Row],[POvsCT]]="PO",SUM(_xlfn.CHOOSECOLS(_xlfn._xlws.FILTER(F_RT14[],(IF($M40="X",TRUE,F_RT14[Site]=$M40))*(F_RT14[Measure]=U$4)*(F_RT14[PrjId]=PptoSty[[#This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146662.91309278351</v>
      </c>
      <c r="V40" s="206" cm="1">
        <f t="array" ref="V40">IFERROR((1/PptoSty[[#This Row],[Division]])*IF(PptoSty[[#This Row],[Sign]]="+",1,-1)*(IF(PptoSty[[#This Row],[POvsCT]]="PO",SUM(_xlfn.CHOOSECOLS(_xlfn._xlws.FILTER(F_RT14[],(IF($M40="X",TRUE,F_RT14[Site]=$M40))*(F_RT14[Measure]=V$4)*(F_RT14[PrjId]=PptoSty[[#This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71007.22282499999</v>
      </c>
      <c r="W40" s="206" cm="1">
        <f t="array" ref="W40">IFERROR((1/PptoSty[[#This Row],[Division]])*IF(PptoSty[[#This Row],[Sign]]="+",1,-1)*(IF(PptoSty[[#This Row],[POvsCT]]="PO",SUM(_xlfn.CHOOSECOLS(_xlfn._xlws.FILTER(F_RT14[],(IF($M40="X",TRUE,F_RT14[Site]=$M40))*(F_RT14[Measure]=W$4)*(F_RT14[PrjId]=PptoSty[[#This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77442.716925000001</v>
      </c>
      <c r="X40" s="338" cm="1">
        <f t="array" ref="X40">IFERROR(IF(PptoSty[[#This Row],[Nature]]&lt;&gt;"Hrs",0,(1/PptoSty[[#This Row],[Division]])*IF(PptoSty[[#This Row],[Sign]]="+",1,-1)*(IF(PptoSty[[#This Row],[POvsCT]]="PO",SUM(_xlfn.CHOOSECOLS(_xlfn._xlws.FILTER(F_RT14[],(IF($M40="X",TRUE,F_RT14[Site]=$M40))*(F_RT14[Measure]=X$4)*(F_RT14[PrjId]=PptoSty[[#This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3150</v>
      </c>
      <c r="Y40" s="338" cm="1">
        <f t="array" ref="Y40">IFERROR(IF(PptoSty[[#This Row],[Nature]]&lt;&gt;"Hrs",0,(1/PptoSty[[#This Row],[Division]])*IF(PptoSty[[#This Row],[Sign]]="+",1,-1)*(IF(PptoSty[[#This Row],[POvsCT]]="PO",SUM(_xlfn.CHOOSECOLS(_xlfn._xlws.FILTER(F_RT14[],(IF($M40="X",TRUE,F_RT14[Site]=$M40))*(F_RT14[Measure]=Y$4)*(F_RT14[PrjId]=PptoSty[[#This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1527.75</v>
      </c>
      <c r="Z40" s="338" cm="1">
        <f t="array" ref="Z40">IFERROR(IF(PptoSty[[#This Row],[Nature]]&lt;&gt;"Hrs",0,(1/PptoSty[[#This Row],[Division]])*IF(PptoSty[[#This Row],[Sign]]="+",1,-1)*(IF(PptoSty[[#This Row],[POvsCT]]="PO",SUM(_xlfn.CHOOSECOLS(_xlfn._xlws.FILTER(F_RT14[],(IF($M40="X",TRUE,F_RT14[Site]=$M40))*(F_RT14[Measure]=Z$4)*(F_RT14[PrjId]=PptoSty[[#This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1527.75</v>
      </c>
      <c r="AA40" s="206" cm="1">
        <f t="array" aca="1" ref="AA40"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146662.91309278351</v>
      </c>
      <c r="AB40" s="206" cm="1">
        <f t="array" aca="1" ref="AB40"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71007.22282499999</v>
      </c>
      <c r="AC40" s="206" cm="1">
        <f t="array" aca="1" ref="AC40"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77442.716925000001</v>
      </c>
      <c r="AG40"/>
      <c r="AH40"/>
      <c r="AI40" s="21"/>
      <c r="AJ40" s="21"/>
      <c r="AK40" s="175"/>
      <c r="AL40" s="176"/>
      <c r="AM40" s="179"/>
      <c r="AN40" s="176"/>
      <c r="AO40"/>
      <c r="AP40" s="21"/>
      <c r="AQ40" s="176"/>
      <c r="AR40" s="176"/>
      <c r="AS40" s="176"/>
      <c r="AT40" s="176"/>
      <c r="AU40" s="176"/>
      <c r="AV40" s="176"/>
      <c r="AW40" s="176"/>
      <c r="AX40" s="176"/>
      <c r="AY40" s="176"/>
      <c r="AZ40" s="176"/>
      <c r="BA40" s="176"/>
      <c r="BB40" s="176"/>
      <c r="BC40" s="176"/>
      <c r="BD40" s="176"/>
      <c r="BE40"/>
      <c r="BF40" s="21"/>
      <c r="BG40" s="176"/>
      <c r="BH40" s="176"/>
      <c r="BI40" s="176"/>
      <c r="BJ40" s="176"/>
      <c r="BK40" s="176"/>
      <c r="BL40" s="176"/>
      <c r="BM40" s="176"/>
      <c r="BN40" s="176"/>
      <c r="BO40" s="176"/>
      <c r="BP40" s="176"/>
      <c r="BQ40" s="176"/>
      <c r="BR40" s="176"/>
      <c r="BS40" s="176"/>
      <c r="BT40" s="176"/>
      <c r="BU40" s="176"/>
      <c r="BV40" s="176"/>
      <c r="BW40" s="176"/>
      <c r="BX40" s="176"/>
      <c r="BY40" s="176"/>
      <c r="BZ40" s="176"/>
      <c r="CA40" s="176"/>
      <c r="CB40" s="176"/>
      <c r="CC40" s="176"/>
      <c r="CD40" s="176"/>
      <c r="CE40" s="176"/>
      <c r="CF40" s="176"/>
      <c r="CG40" s="176"/>
      <c r="CH40" s="176"/>
      <c r="CI40" s="176"/>
      <c r="CJ40" s="176"/>
      <c r="CK40" s="176"/>
      <c r="CL40" s="176"/>
      <c r="CM40" s="176"/>
      <c r="CN40" s="176"/>
      <c r="CO40" s="176"/>
      <c r="CP40" s="176"/>
      <c r="CQ40" s="176"/>
      <c r="CR40" s="176"/>
      <c r="CS40" s="176"/>
      <c r="CT40" s="176"/>
      <c r="CU40" s="176"/>
      <c r="CV40" s="176"/>
      <c r="CW40" s="176"/>
      <c r="CX40" s="176"/>
      <c r="CY40" s="176"/>
      <c r="CZ40" s="176"/>
      <c r="DA40" s="176"/>
      <c r="DB40" s="176"/>
      <c r="DC40" s="176"/>
      <c r="DD40" s="176"/>
      <c r="DE40" s="176"/>
      <c r="DF40" s="176"/>
      <c r="DG40" s="176"/>
      <c r="DH40" s="176"/>
      <c r="DI40" s="176"/>
      <c r="DJ40" s="176"/>
      <c r="DK40" s="176"/>
      <c r="DL40"/>
      <c r="DM40" s="366" t="str" cm="1">
        <f t="array" aca="1" ref="DM40"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DN40:DT40</v>
      </c>
      <c r="DN40" s="177" t="s">
        <v>375</v>
      </c>
      <c r="DO40" s="177" t="str" cm="1">
        <f t="array" aca="1" ref="DO40:DT40"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40" s="177" t="str">
        <f ca="1"/>
        <v>FABRICACIÓN MECÁNICA</v>
      </c>
      <c r="DQ40" s="177" t="str">
        <f ca="1"/>
        <v>GESTIÓN PROYECTOS</v>
      </c>
      <c r="DR40" s="177" t="str">
        <f ca="1"/>
        <v>METROLOGÍA</v>
      </c>
      <c r="DS40" s="177" t="str">
        <f ca="1"/>
        <v>MONTAJE MECÁNICO</v>
      </c>
      <c r="DT40" s="177" t="str">
        <f ca="1"/>
        <v>ROBÓTICA</v>
      </c>
      <c r="DU40" s="177"/>
      <c r="DV40" s="177"/>
      <c r="DW40" s="177"/>
      <c r="DX40" s="177"/>
      <c r="DY40" s="177"/>
      <c r="DZ40" s="177"/>
      <c r="EA40" s="177"/>
      <c r="EB40" s="177"/>
      <c r="EC40" s="177"/>
      <c r="ED40" s="177"/>
    </row>
    <row r="41" spans="3:134" ht="13" customHeight="1">
      <c r="C41" s="213">
        <v>45252</v>
      </c>
      <c r="D41" s="213" t="s">
        <v>2114</v>
      </c>
      <c r="E41" s="213" t="s">
        <v>1710</v>
      </c>
      <c r="F41" s="219" t="s">
        <v>375</v>
      </c>
      <c r="G41" s="201" t="s">
        <v>1415</v>
      </c>
      <c r="H41" s="202">
        <v>15</v>
      </c>
      <c r="I41" s="339" t="str" cm="1">
        <f t="array" aca="1" ref="I4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G005</v>
      </c>
      <c r="J41" s="203" t="str" cm="1">
        <f t="array" ref="J41">IF(OR(PptoSty[[#This Row],[Project]]="",PptoSty[[#This Row],[Project]]="X"),"X",_xlfn.UNIQUE(_xlfn._xlws.FILTER(CstGrpS[Nature],ISNUMBER(FIND(SUBSTITUTE(PptoSty[[#This Row],[PiColumn]]," +%",""),UPPER(SUBSTITUTE(CstGrpS[GrpPrv],"  "," ")))),"X")))</f>
        <v>Hrs</v>
      </c>
      <c r="K41" s="96" t="s">
        <v>1284</v>
      </c>
      <c r="L41" s="96" t="s">
        <v>372</v>
      </c>
      <c r="M41" s="96" t="s">
        <v>375</v>
      </c>
      <c r="N41" s="96" t="str" cm="1">
        <f t="array" ref="N41">IF(OR(PptoSty[[#This Row],[Project]]="",PptoSty[[#This Row],[Project]]="X"),"X",_xlfn._xlws.FILTER(TbAssign[RowId],(TbAssign[Project]=PptoSty[[#This Row],[Project]])*(TbAssign[Módulo]=PptoSty[[#This Row],[PptoVsRow]]),"X"))</f>
        <v>XE01</v>
      </c>
      <c r="O41" s="96" t="str" cm="1">
        <f t="array" ref="O41">IF(OR(PptoSty[[#This Row],[Project]]="",PptoSty[[#This Row],[Project]]="X"),"X",_xlfn.UNIQUE(_xlfn._xlws.FILTER(F_RT14[Amortz.],(F_RT14[Measure]="CurPpto")*(F_RT14[PrjId]=PptoSty[[#This Row],[Project]])*(F_RT14[Vrs]=PptoSty[[#This Row],[Vrs]])*(_xlfn.TEXTAFTER(F_RT14[ActGrp],":")=PptoSty[[#This Row],[PiRow]]),"X")))</f>
        <v>PEMX</v>
      </c>
      <c r="P41" s="96" t="s">
        <v>1284</v>
      </c>
      <c r="Q41" s="96" t="s">
        <v>372</v>
      </c>
      <c r="R41" s="204" t="s">
        <v>403</v>
      </c>
      <c r="S41" s="204">
        <v>1</v>
      </c>
      <c r="T41" s="205" t="str" cm="1">
        <f t="array" aca="1" ref="T4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41" s="206" cm="1">
        <f t="array" ref="U41">IFERROR((1/PptoSty[[#This Row],[Division]])*IF(PptoSty[[#This Row],[Sign]]="+",1,-1)*(IF(PptoSty[[#This Row],[POvsCT]]="PO",SUM(_xlfn.CHOOSECOLS(_xlfn._xlws.FILTER(F_RT14[],(IF($M41="X",TRUE,F_RT14[Site]=$M41))*(F_RT14[Measure]=U$4)*(F_RT14[PrjId]=PptoSty[[#This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163370.82340206185</v>
      </c>
      <c r="V41" s="206" cm="1">
        <f t="array" ref="V41">IFERROR((1/PptoSty[[#This Row],[Division]])*IF(PptoSty[[#This Row],[Sign]]="+",1,-1)*(IF(PptoSty[[#This Row],[POvsCT]]="PO",SUM(_xlfn.CHOOSECOLS(_xlfn._xlws.FILTER(F_RT14[],(IF($M41="X",TRUE,F_RT14[Site]=$M41))*(F_RT14[Measure]=V$4)*(F_RT14[PrjId]=PptoSty[[#This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31956.476933906248</v>
      </c>
      <c r="W41" s="206" cm="1">
        <f t="array" ref="W41">IFERROR((1/PptoSty[[#This Row],[Division]])*IF(PptoSty[[#This Row],[Sign]]="+",1,-1)*(IF(PptoSty[[#This Row],[POvsCT]]="PO",SUM(_xlfn.CHOOSECOLS(_xlfn._xlws.FILTER(F_RT14[],(IF($M41="X",TRUE,F_RT14[Site]=$M41))*(F_RT14[Measure]=W$4)*(F_RT14[PrjId]=PptoSty[[#This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70904.956526249996</v>
      </c>
      <c r="X41" s="338" cm="1">
        <f t="array" ref="X41">IFERROR(IF(PptoSty[[#This Row],[Nature]]&lt;&gt;"Hrs",0,(1/PptoSty[[#This Row],[Division]])*IF(PptoSty[[#This Row],[Sign]]="+",1,-1)*(IF(PptoSty[[#This Row],[POvsCT]]="PO",SUM(_xlfn.CHOOSECOLS(_xlfn._xlws.FILTER(F_RT14[],(IF($M41="X",TRUE,F_RT14[Site]=$M41))*(F_RT14[Measure]=X$4)*(F_RT14[PrjId]=PptoSty[[#This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3436.1817010309278</v>
      </c>
      <c r="Y41" s="338" cm="1">
        <f t="array" ref="Y41">IFERROR(IF(PptoSty[[#This Row],[Nature]]&lt;&gt;"Hrs",0,(1/PptoSty[[#This Row],[Division]])*IF(PptoSty[[#This Row],[Sign]]="+",1,-1)*(IF(PptoSty[[#This Row],[POvsCT]]="PO",SUM(_xlfn.CHOOSECOLS(_xlfn._xlws.FILTER(F_RT14[],(IF($M41="X",TRUE,F_RT14[Site]=$M41))*(F_RT14[Measure]=Y$4)*(F_RT14[PrjId]=PptoSty[[#This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833.27406250000001</v>
      </c>
      <c r="Z41" s="338" cm="1">
        <f t="array" ref="Z41">IFERROR(IF(PptoSty[[#This Row],[Nature]]&lt;&gt;"Hrs",0,(1/PptoSty[[#This Row],[Division]])*IF(PptoSty[[#This Row],[Sign]]="+",1,-1)*(IF(PptoSty[[#This Row],[POvsCT]]="PO",SUM(_xlfn.CHOOSECOLS(_xlfn._xlws.FILTER(F_RT14[],(IF($M41="X",TRUE,F_RT14[Site]=$M41))*(F_RT14[Measure]=Z$4)*(F_RT14[PrjId]=PptoSty[[#This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2499.8221874999999</v>
      </c>
      <c r="AA41" s="206" cm="1">
        <f t="array" aca="1" ref="AA41"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163370.82340206185</v>
      </c>
      <c r="AB41" s="206" cm="1">
        <f t="array" aca="1" ref="AB41"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31956.476933906248</v>
      </c>
      <c r="AC41" s="206" cm="1">
        <f t="array" aca="1" ref="AC41"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70904.956526249996</v>
      </c>
      <c r="AG41"/>
      <c r="AH41"/>
      <c r="AI41" s="21"/>
      <c r="AJ41" s="21"/>
      <c r="AK41" s="175"/>
      <c r="AL41" s="176"/>
      <c r="AM41" s="179"/>
      <c r="AN41" s="176"/>
      <c r="AO41"/>
      <c r="AP41" s="21"/>
      <c r="AQ41" s="176"/>
      <c r="AR41" s="176"/>
      <c r="AS41" s="176"/>
      <c r="AT41" s="176"/>
      <c r="AU41" s="176"/>
      <c r="AV41" s="176"/>
      <c r="AW41" s="176"/>
      <c r="AX41" s="176"/>
      <c r="AY41" s="176"/>
      <c r="AZ41" s="176"/>
      <c r="BA41" s="176"/>
      <c r="BB41" s="176"/>
      <c r="BC41" s="176"/>
      <c r="BD41" s="176"/>
      <c r="BE41"/>
      <c r="BF41" s="21"/>
      <c r="BG41" s="176"/>
      <c r="BH41" s="176"/>
      <c r="BI41" s="176"/>
      <c r="BJ41" s="176"/>
      <c r="BK41" s="176"/>
      <c r="BL41" s="176"/>
      <c r="BM41" s="176"/>
      <c r="BN41" s="176"/>
      <c r="BO41" s="176"/>
      <c r="BP41" s="176"/>
      <c r="BQ41" s="176"/>
      <c r="BR41" s="176"/>
      <c r="BS41" s="176"/>
      <c r="BT41" s="176"/>
      <c r="BU41" s="176"/>
      <c r="BV41" s="176"/>
      <c r="BW41" s="176"/>
      <c r="BX41" s="176"/>
      <c r="BY41" s="176"/>
      <c r="BZ41" s="176"/>
      <c r="CA41" s="176"/>
      <c r="CB41" s="176"/>
      <c r="CC41" s="176"/>
      <c r="CD41" s="176"/>
      <c r="CE41" s="176"/>
      <c r="CF41" s="176"/>
      <c r="CG41" s="176"/>
      <c r="CH41" s="176"/>
      <c r="CI41" s="176"/>
      <c r="CJ41" s="176"/>
      <c r="CK41" s="176"/>
      <c r="CL41" s="176"/>
      <c r="CM41" s="176"/>
      <c r="CN41" s="176"/>
      <c r="CO41" s="176"/>
      <c r="CP41" s="176"/>
      <c r="CQ41" s="176"/>
      <c r="CR41" s="176"/>
      <c r="CS41" s="176"/>
      <c r="CT41" s="176"/>
      <c r="CU41" s="176"/>
      <c r="CV41" s="176"/>
      <c r="CW41" s="176"/>
      <c r="CX41" s="176"/>
      <c r="CY41" s="176"/>
      <c r="CZ41" s="176"/>
      <c r="DA41" s="176"/>
      <c r="DB41" s="176"/>
      <c r="DC41" s="176"/>
      <c r="DD41" s="176"/>
      <c r="DE41" s="176"/>
      <c r="DF41" s="176"/>
      <c r="DG41" s="176"/>
      <c r="DH41" s="176"/>
      <c r="DI41" s="176"/>
      <c r="DJ41" s="176"/>
      <c r="DK41" s="176"/>
      <c r="DL41"/>
      <c r="DM41" s="366" t="str" cm="1">
        <f t="array" aca="1" ref="DM41"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DN41:DT41</v>
      </c>
      <c r="DN41" s="177" t="s">
        <v>375</v>
      </c>
      <c r="DO41" s="177" t="str" cm="1">
        <f t="array" aca="1" ref="DO41:DT41"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41" s="177" t="str">
        <f ca="1"/>
        <v>FABRICACIÓN MECÁNICA</v>
      </c>
      <c r="DQ41" s="177" t="str">
        <f ca="1"/>
        <v>GESTIÓN PROYECTOS</v>
      </c>
      <c r="DR41" s="177" t="str">
        <f ca="1"/>
        <v>METROLOGÍA</v>
      </c>
      <c r="DS41" s="177" t="str">
        <f ca="1"/>
        <v>MONTAJE MECÁNICO</v>
      </c>
      <c r="DT41" s="177" t="str">
        <f ca="1"/>
        <v>ROBÓTICA</v>
      </c>
      <c r="DU41" s="177"/>
      <c r="DV41" s="177"/>
      <c r="DW41" s="177"/>
      <c r="DX41" s="177"/>
      <c r="DY41" s="177"/>
      <c r="DZ41" s="177"/>
      <c r="EA41" s="177"/>
      <c r="EB41" s="177"/>
      <c r="EC41" s="177"/>
      <c r="ED41" s="177"/>
    </row>
    <row r="42" spans="3:134" ht="13" customHeight="1">
      <c r="C42" s="213">
        <v>45252</v>
      </c>
      <c r="D42" s="213" t="s">
        <v>2114</v>
      </c>
      <c r="E42" s="213" t="s">
        <v>1710</v>
      </c>
      <c r="F42" s="219" t="s">
        <v>375</v>
      </c>
      <c r="G42" s="201" t="s">
        <v>1415</v>
      </c>
      <c r="H42" s="202">
        <v>15</v>
      </c>
      <c r="I42" s="339" t="str" cm="1">
        <f t="array" aca="1" ref="I4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G008</v>
      </c>
      <c r="J42" s="203" t="str" cm="1">
        <f t="array" ref="J42">IF(OR(PptoSty[[#This Row],[Project]]="",PptoSty[[#This Row],[Project]]="X"),"X",_xlfn.UNIQUE(_xlfn._xlws.FILTER(CstGrpS[Nature],ISNUMBER(FIND(SUBSTITUTE(PptoSty[[#This Row],[PiColumn]]," +%",""),UPPER(SUBSTITUTE(CstGrpS[GrpPrv],"  "," ")))),"X")))</f>
        <v>Hrs</v>
      </c>
      <c r="K42" s="96" t="s">
        <v>1419</v>
      </c>
      <c r="L42" s="96" t="s">
        <v>1643</v>
      </c>
      <c r="M42" s="96" t="s">
        <v>375</v>
      </c>
      <c r="N42" s="96" t="str" cm="1">
        <f t="array" ref="N42">IF(OR(PptoSty[[#This Row],[Project]]="",PptoSty[[#This Row],[Project]]="X"),"X",_xlfn._xlws.FILTER(TbAssign[RowId],(TbAssign[Project]=PptoSty[[#This Row],[Project]])*(TbAssign[Módulo]=PptoSty[[#This Row],[PptoVsRow]]),"X"))</f>
        <v>XE01</v>
      </c>
      <c r="O42" s="96" t="str" cm="1">
        <f t="array" ref="O42">IF(OR(PptoSty[[#This Row],[Project]]="",PptoSty[[#This Row],[Project]]="X"),"X",_xlfn.UNIQUE(_xlfn._xlws.FILTER(F_RT14[Amortz.],(F_RT14[Measure]="CurPpto")*(F_RT14[PrjId]=PptoSty[[#This Row],[Project]])*(F_RT14[Vrs]=PptoSty[[#This Row],[Vrs]])*(_xlfn.TEXTAFTER(F_RT14[ActGrp],":")=PptoSty[[#This Row],[PiRow]]),"X")))</f>
        <v>PEMX</v>
      </c>
      <c r="P42" s="96" t="s">
        <v>1467</v>
      </c>
      <c r="Q42" s="96" t="s">
        <v>377</v>
      </c>
      <c r="R42" s="204" t="s">
        <v>403</v>
      </c>
      <c r="S42" s="204">
        <v>1</v>
      </c>
      <c r="T42" s="205" t="str" cm="1">
        <f t="array" aca="1" ref="T4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42" s="206" cm="1">
        <f t="array" ref="U42">IFERROR((1/PptoSty[[#This Row],[Division]])*IF(PptoSty[[#This Row],[Sign]]="+",1,-1)*(IF(PptoSty[[#This Row],[POvsCT]]="PO",SUM(_xlfn.CHOOSECOLS(_xlfn._xlws.FILTER(F_RT14[],(IF($M42="X",TRUE,F_RT14[Site]=$M42))*(F_RT14[Measure]=U$4)*(F_RT14[PrjId]=PptoSty[[#This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67045.903092783512</v>
      </c>
      <c r="V42" s="206" cm="1">
        <f t="array" ref="V42">IFERROR((1/PptoSty[[#This Row],[Division]])*IF(PptoSty[[#This Row],[Sign]]="+",1,-1)*(IF(PptoSty[[#This Row],[POvsCT]]="PO",SUM(_xlfn.CHOOSECOLS(_xlfn._xlws.FILTER(F_RT14[],(IF($M42="X",TRUE,F_RT14[Site]=$M42))*(F_RT14[Measure]=V$4)*(F_RT14[PrjId]=PptoSty[[#This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32460.444719999996</v>
      </c>
      <c r="W42" s="206" cm="1">
        <f t="array" ref="W42">IFERROR((1/PptoSty[[#This Row],[Division]])*IF(PptoSty[[#This Row],[Sign]]="+",1,-1)*(IF(PptoSty[[#This Row],[POvsCT]]="PO",SUM(_xlfn.CHOOSECOLS(_xlfn._xlws.FILTER(F_RT14[],(IF($M42="X",TRUE,F_RT14[Site]=$M42))*(F_RT14[Measure]=W$4)*(F_RT14[PrjId]=PptoSty[[#This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35402.384879999998</v>
      </c>
      <c r="X42" s="338" cm="1">
        <f t="array" ref="X42">IFERROR(IF(PptoSty[[#This Row],[Nature]]&lt;&gt;"Hrs",0,(1/PptoSty[[#This Row],[Division]])*IF(PptoSty[[#This Row],[Sign]]="+",1,-1)*(IF(PptoSty[[#This Row],[POvsCT]]="PO",SUM(_xlfn.CHOOSECOLS(_xlfn._xlws.FILTER(F_RT14[],(IF($M42="X",TRUE,F_RT14[Site]=$M42))*(F_RT14[Measure]=X$4)*(F_RT14[PrjId]=PptoSty[[#This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1440</v>
      </c>
      <c r="Y42" s="338" cm="1">
        <f t="array" ref="Y42">IFERROR(IF(PptoSty[[#This Row],[Nature]]&lt;&gt;"Hrs",0,(1/PptoSty[[#This Row],[Division]])*IF(PptoSty[[#This Row],[Sign]]="+",1,-1)*(IF(PptoSty[[#This Row],[POvsCT]]="PO",SUM(_xlfn.CHOOSECOLS(_xlfn._xlws.FILTER(F_RT14[],(IF($M42="X",TRUE,F_RT14[Site]=$M42))*(F_RT14[Measure]=Y$4)*(F_RT14[PrjId]=PptoSty[[#This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698.4</v>
      </c>
      <c r="Z42" s="338" cm="1">
        <f t="array" ref="Z42">IFERROR(IF(PptoSty[[#This Row],[Nature]]&lt;&gt;"Hrs",0,(1/PptoSty[[#This Row],[Division]])*IF(PptoSty[[#This Row],[Sign]]="+",1,-1)*(IF(PptoSty[[#This Row],[POvsCT]]="PO",SUM(_xlfn.CHOOSECOLS(_xlfn._xlws.FILTER(F_RT14[],(IF($M42="X",TRUE,F_RT14[Site]=$M42))*(F_RT14[Measure]=Z$4)*(F_RT14[PrjId]=PptoSty[[#This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698.4</v>
      </c>
      <c r="AA42" s="206" cm="1">
        <f t="array" aca="1" ref="AA42"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67045.903092783512</v>
      </c>
      <c r="AB42" s="206" cm="1">
        <f t="array" aca="1" ref="AB42"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32460.444719999996</v>
      </c>
      <c r="AC42" s="206" cm="1">
        <f t="array" aca="1" ref="AC42"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35402.384879999998</v>
      </c>
      <c r="AG42"/>
      <c r="AH42"/>
      <c r="AI42" s="21"/>
      <c r="AJ42" s="21"/>
      <c r="AK42" s="175"/>
      <c r="AL42" s="176"/>
      <c r="AM42" s="179"/>
      <c r="AN42" s="176"/>
      <c r="AO42"/>
      <c r="AP42" s="21"/>
      <c r="AQ42" s="176"/>
      <c r="AR42" s="176"/>
      <c r="AS42" s="176"/>
      <c r="AT42" s="176"/>
      <c r="AU42" s="176"/>
      <c r="AV42" s="176"/>
      <c r="AW42" s="176"/>
      <c r="AX42" s="176"/>
      <c r="AY42" s="176"/>
      <c r="AZ42" s="176"/>
      <c r="BA42" s="176"/>
      <c r="BB42" s="176"/>
      <c r="BC42" s="176"/>
      <c r="BD42" s="176"/>
      <c r="BE42"/>
      <c r="BF42" s="21"/>
      <c r="BG42" s="176"/>
      <c r="BH42" s="176"/>
      <c r="BI42" s="176"/>
      <c r="BJ42" s="176"/>
      <c r="BK42" s="176"/>
      <c r="BL42" s="176"/>
      <c r="BM42" s="176"/>
      <c r="BN42" s="176"/>
      <c r="BO42" s="176"/>
      <c r="BP42" s="176"/>
      <c r="BQ42" s="176"/>
      <c r="BR42" s="176"/>
      <c r="BS42" s="176"/>
      <c r="BT42" s="176"/>
      <c r="BU42" s="176"/>
      <c r="BV42" s="176"/>
      <c r="BW42" s="176"/>
      <c r="BX42" s="176"/>
      <c r="BY42" s="176"/>
      <c r="BZ42" s="176"/>
      <c r="CA42" s="176"/>
      <c r="CB42" s="176"/>
      <c r="CC42" s="176"/>
      <c r="CD42" s="176"/>
      <c r="CE42" s="176"/>
      <c r="CF42" s="176"/>
      <c r="CG42" s="176"/>
      <c r="CH42" s="176"/>
      <c r="CI42" s="176"/>
      <c r="CJ42" s="176"/>
      <c r="CK42" s="176"/>
      <c r="CL42" s="176"/>
      <c r="CM42" s="176"/>
      <c r="CN42" s="176"/>
      <c r="CO42" s="176"/>
      <c r="CP42" s="176"/>
      <c r="CQ42" s="176"/>
      <c r="CR42" s="176"/>
      <c r="CS42" s="176"/>
      <c r="CT42" s="176"/>
      <c r="CU42" s="176"/>
      <c r="CV42" s="176"/>
      <c r="CW42" s="176"/>
      <c r="CX42" s="176"/>
      <c r="CY42" s="176"/>
      <c r="CZ42" s="176"/>
      <c r="DA42" s="176"/>
      <c r="DB42" s="176"/>
      <c r="DC42" s="176"/>
      <c r="DD42" s="176"/>
      <c r="DE42" s="176"/>
      <c r="DF42" s="176"/>
      <c r="DG42" s="176"/>
      <c r="DH42" s="176"/>
      <c r="DI42" s="176"/>
      <c r="DJ42" s="176"/>
      <c r="DK42" s="176"/>
      <c r="DL42"/>
      <c r="DM42" s="366" t="str" cm="1">
        <f t="array" aca="1" ref="DM42"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DN42:DR42</v>
      </c>
      <c r="DN42" s="177" t="s">
        <v>375</v>
      </c>
      <c r="DO42" s="177" t="str" cm="1">
        <f t="array" aca="1" ref="DO42:DR42"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42" s="177" t="str">
        <f ca="1"/>
        <v>GESTIÓN PROYECTOS</v>
      </c>
      <c r="DQ42" s="177" t="str">
        <f ca="1"/>
        <v>MONTAJE MECÁNICO</v>
      </c>
      <c r="DR42" s="177" t="str">
        <f ca="1"/>
        <v>ROBÓTICA</v>
      </c>
      <c r="DS42" s="177"/>
      <c r="DT42" s="177"/>
      <c r="DU42" s="177"/>
      <c r="DV42" s="177"/>
      <c r="DW42" s="177"/>
      <c r="DX42" s="177"/>
      <c r="DY42" s="177"/>
      <c r="DZ42" s="177"/>
      <c r="EA42" s="177"/>
      <c r="EB42" s="177"/>
      <c r="EC42" s="177"/>
      <c r="ED42" s="177"/>
    </row>
    <row r="43" spans="3:134" ht="13" customHeight="1">
      <c r="C43" s="213">
        <v>45252</v>
      </c>
      <c r="D43" s="213" t="s">
        <v>2114</v>
      </c>
      <c r="E43" s="213" t="s">
        <v>1710</v>
      </c>
      <c r="F43" s="219" t="s">
        <v>375</v>
      </c>
      <c r="G43" s="201" t="s">
        <v>1415</v>
      </c>
      <c r="H43" s="202">
        <v>15</v>
      </c>
      <c r="I43" s="339" t="str" cm="1">
        <f t="array" aca="1" ref="I4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G008</v>
      </c>
      <c r="J43" s="203" t="str" cm="1">
        <f t="array" ref="J43">IF(OR(PptoSty[[#This Row],[Project]]="",PptoSty[[#This Row],[Project]]="X"),"X",_xlfn.UNIQUE(_xlfn._xlws.FILTER(CstGrpS[Nature],ISNUMBER(FIND(SUBSTITUTE(PptoSty[[#This Row],[PiColumn]]," +%",""),UPPER(SUBSTITUTE(CstGrpS[GrpPrv],"  "," ")))),"X")))</f>
        <v>Hrs</v>
      </c>
      <c r="K43" s="96" t="s">
        <v>1419</v>
      </c>
      <c r="L43" s="96" t="s">
        <v>380</v>
      </c>
      <c r="M43" s="96" t="s">
        <v>375</v>
      </c>
      <c r="N43" s="96" t="str" cm="1">
        <f t="array" ref="N43">IF(OR(PptoSty[[#This Row],[Project]]="",PptoSty[[#This Row],[Project]]="X"),"X",_xlfn._xlws.FILTER(TbAssign[RowId],(TbAssign[Project]=PptoSty[[#This Row],[Project]])*(TbAssign[Módulo]=PptoSty[[#This Row],[PptoVsRow]]),"X"))</f>
        <v>XE01</v>
      </c>
      <c r="O43" s="96" t="str" cm="1">
        <f t="array" ref="O43">IF(OR(PptoSty[[#This Row],[Project]]="",PptoSty[[#This Row],[Project]]="X"),"X",_xlfn.UNIQUE(_xlfn._xlws.FILTER(F_RT14[Amortz.],(F_RT14[Measure]="CurPpto")*(F_RT14[PrjId]=PptoSty[[#This Row],[Project]])*(F_RT14[Vrs]=PptoSty[[#This Row],[Vrs]])*(_xlfn.TEXTAFTER(F_RT14[ActGrp],":")=PptoSty[[#This Row],[PiRow]]),"X")))</f>
        <v>PEMX</v>
      </c>
      <c r="P43" s="96" t="s">
        <v>1467</v>
      </c>
      <c r="Q43" s="96" t="s">
        <v>380</v>
      </c>
      <c r="R43" s="204" t="s">
        <v>403</v>
      </c>
      <c r="S43" s="204">
        <v>1</v>
      </c>
      <c r="T43" s="205" t="str" cm="1">
        <f t="array" aca="1" ref="T4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43" s="206" cm="1">
        <f t="array" ref="U43">IFERROR((1/PptoSty[[#This Row],[Division]])*IF(PptoSty[[#This Row],[Sign]]="+",1,-1)*(IF(PptoSty[[#This Row],[POvsCT]]="PO",SUM(_xlfn.CHOOSECOLS(_xlfn._xlws.FILTER(F_RT14[],(IF($M43="X",TRUE,F_RT14[Site]=$M43))*(F_RT14[Measure]=U$4)*(F_RT14[PrjId]=PptoSty[[#This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54140.320309278351</v>
      </c>
      <c r="V43" s="206" cm="1">
        <f t="array" ref="V43">IFERROR((1/PptoSty[[#This Row],[Division]])*IF(PptoSty[[#This Row],[Sign]]="+",1,-1)*(IF(PptoSty[[#This Row],[POvsCT]]="PO",SUM(_xlfn.CHOOSECOLS(_xlfn._xlws.FILTER(F_RT14[],(IF($M43="X",TRUE,F_RT14[Site]=$M43))*(F_RT14[Measure]=V$4)*(F_RT14[PrjId]=PptoSty[[#This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16628.393294999998</v>
      </c>
      <c r="W43" s="206" cm="1">
        <f t="array" ref="W43">IFERROR((1/PptoSty[[#This Row],[Division]])*IF(PptoSty[[#This Row],[Sign]]="+",1,-1)*(IF(PptoSty[[#This Row],[POvsCT]]="PO",SUM(_xlfn.CHOOSECOLS(_xlfn._xlws.FILTER(F_RT14[],(IF($M43="X",TRUE,F_RT14[Site]=$M43))*(F_RT14[Measure]=W$4)*(F_RT14[PrjId]=PptoSty[[#This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36895.040280000001</v>
      </c>
      <c r="X43" s="338" cm="1">
        <f t="array" ref="X43">IFERROR(IF(PptoSty[[#This Row],[Nature]]&lt;&gt;"Hrs",0,(1/PptoSty[[#This Row],[Division]])*IF(PptoSty[[#This Row],[Sign]]="+",1,-1)*(IF(PptoSty[[#This Row],[POvsCT]]="PO",SUM(_xlfn.CHOOSECOLS(_xlfn._xlws.FILTER(F_RT14[],(IF($M43="X",TRUE,F_RT14[Site]=$M43))*(F_RT14[Measure]=X$4)*(F_RT14[PrjId]=PptoSty[[#This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1788.0000000000002</v>
      </c>
      <c r="Y43" s="338" cm="1">
        <f t="array" ref="Y43">IFERROR(IF(PptoSty[[#This Row],[Nature]]&lt;&gt;"Hrs",0,(1/PptoSty[[#This Row],[Division]])*IF(PptoSty[[#This Row],[Sign]]="+",1,-1)*(IF(PptoSty[[#This Row],[POvsCT]]="PO",SUM(_xlfn.CHOOSECOLS(_xlfn._xlws.FILTER(F_RT14[],(IF($M43="X",TRUE,F_RT14[Site]=$M43))*(F_RT14[Measure]=Y$4)*(F_RT14[PrjId]=PptoSty[[#This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433.59000000000003</v>
      </c>
      <c r="Z43" s="338" cm="1">
        <f t="array" ref="Z43">IFERROR(IF(PptoSty[[#This Row],[Nature]]&lt;&gt;"Hrs",0,(1/PptoSty[[#This Row],[Division]])*IF(PptoSty[[#This Row],[Sign]]="+",1,-1)*(IF(PptoSty[[#This Row],[POvsCT]]="PO",SUM(_xlfn.CHOOSECOLS(_xlfn._xlws.FILTER(F_RT14[],(IF($M43="X",TRUE,F_RT14[Site]=$M43))*(F_RT14[Measure]=Z$4)*(F_RT14[PrjId]=PptoSty[[#This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1300.77</v>
      </c>
      <c r="AA43" s="206" cm="1">
        <f t="array" aca="1" ref="AA43"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54140.320309278351</v>
      </c>
      <c r="AB43" s="206" cm="1">
        <f t="array" aca="1" ref="AB43"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16628.393294999998</v>
      </c>
      <c r="AC43" s="206" cm="1">
        <f t="array" aca="1" ref="AC43"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36895.040280000001</v>
      </c>
      <c r="AG43"/>
      <c r="AH43"/>
      <c r="AI43" s="21"/>
      <c r="AJ43" s="21"/>
      <c r="AK43" s="175"/>
      <c r="AL43" s="176"/>
      <c r="AM43" s="179"/>
      <c r="AN43" s="176"/>
      <c r="AO43"/>
      <c r="AP43" s="21"/>
      <c r="AQ43" s="176"/>
      <c r="AR43" s="176"/>
      <c r="AS43" s="176"/>
      <c r="AT43" s="176"/>
      <c r="AU43" s="176"/>
      <c r="AV43" s="176"/>
      <c r="AW43" s="176"/>
      <c r="AX43" s="176"/>
      <c r="AY43" s="176"/>
      <c r="AZ43" s="176"/>
      <c r="BA43" s="176"/>
      <c r="BB43" s="176"/>
      <c r="BC43" s="176"/>
      <c r="BD43" s="176"/>
      <c r="BE43"/>
      <c r="BF43" s="21"/>
      <c r="BG43" s="176"/>
      <c r="BH43" s="176"/>
      <c r="BI43" s="176"/>
      <c r="BJ43" s="176"/>
      <c r="BK43" s="176"/>
      <c r="BL43" s="176"/>
      <c r="BM43" s="176"/>
      <c r="BN43" s="176"/>
      <c r="BO43" s="176"/>
      <c r="BP43" s="176"/>
      <c r="BQ43" s="176"/>
      <c r="BR43" s="176"/>
      <c r="BS43" s="176"/>
      <c r="BT43" s="176"/>
      <c r="BU43" s="176"/>
      <c r="BV43" s="176"/>
      <c r="BW43" s="176"/>
      <c r="BX43" s="176"/>
      <c r="BY43" s="176"/>
      <c r="BZ43" s="176"/>
      <c r="CA43" s="176"/>
      <c r="CB43" s="176"/>
      <c r="CC43" s="176"/>
      <c r="CD43" s="176"/>
      <c r="CE43" s="176"/>
      <c r="CF43" s="176"/>
      <c r="CG43" s="176"/>
      <c r="CH43" s="176"/>
      <c r="CI43" s="176"/>
      <c r="CJ43" s="176"/>
      <c r="CK43" s="176"/>
      <c r="CL43" s="176"/>
      <c r="CM43" s="176"/>
      <c r="CN43" s="176"/>
      <c r="CO43" s="176"/>
      <c r="CP43" s="176"/>
      <c r="CQ43" s="176"/>
      <c r="CR43" s="176"/>
      <c r="CS43" s="176"/>
      <c r="CT43" s="176"/>
      <c r="CU43" s="176"/>
      <c r="CV43" s="176"/>
      <c r="CW43" s="176"/>
      <c r="CX43" s="176"/>
      <c r="CY43" s="176"/>
      <c r="CZ43" s="176"/>
      <c r="DA43" s="176"/>
      <c r="DB43" s="176"/>
      <c r="DC43" s="176"/>
      <c r="DD43" s="176"/>
      <c r="DE43" s="176"/>
      <c r="DF43" s="176"/>
      <c r="DG43" s="176"/>
      <c r="DH43" s="176"/>
      <c r="DI43" s="176"/>
      <c r="DJ43" s="176"/>
      <c r="DK43" s="176"/>
      <c r="DL43"/>
      <c r="DM43" s="366" t="str" cm="1">
        <f t="array" aca="1" ref="DM43"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DN43:DR43</v>
      </c>
      <c r="DN43" s="177" t="s">
        <v>375</v>
      </c>
      <c r="DO43" s="177" t="str" cm="1">
        <f t="array" aca="1" ref="DO43:DR43"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43" s="177" t="str">
        <f ca="1"/>
        <v>GESTIÓN PROYECTOS</v>
      </c>
      <c r="DQ43" s="177" t="str">
        <f ca="1"/>
        <v>MONTAJE MECÁNICO</v>
      </c>
      <c r="DR43" s="177" t="str">
        <f ca="1"/>
        <v>ROBÓTICA</v>
      </c>
      <c r="DS43" s="177"/>
      <c r="DT43" s="177"/>
      <c r="DU43" s="177"/>
      <c r="DV43" s="177"/>
      <c r="DW43" s="177"/>
      <c r="DX43" s="177"/>
      <c r="DY43" s="177"/>
      <c r="DZ43" s="177"/>
      <c r="EA43" s="177"/>
      <c r="EB43" s="177"/>
      <c r="EC43" s="177"/>
      <c r="ED43" s="177"/>
    </row>
    <row r="44" spans="3:134" ht="13" customHeight="1">
      <c r="C44" s="213">
        <v>45252</v>
      </c>
      <c r="D44" s="213" t="s">
        <v>2114</v>
      </c>
      <c r="E44" s="213" t="s">
        <v>1710</v>
      </c>
      <c r="F44" s="219" t="s">
        <v>375</v>
      </c>
      <c r="G44" s="201" t="s">
        <v>1415</v>
      </c>
      <c r="H44" s="202">
        <v>15</v>
      </c>
      <c r="I44" s="339" t="str" cm="1">
        <f t="array" aca="1" ref="I4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G009</v>
      </c>
      <c r="J44" s="203" t="str" cm="1">
        <f t="array" ref="J44">IF(OR(PptoSty[[#This Row],[Project]]="",PptoSty[[#This Row],[Project]]="X"),"X",_xlfn.UNIQUE(_xlfn._xlws.FILTER(CstGrpS[Nature],ISNUMBER(FIND(SUBSTITUTE(PptoSty[[#This Row],[PiColumn]]," +%",""),UPPER(SUBSTITUTE(CstGrpS[GrpPrv],"  "," ")))),"X")))</f>
        <v>Hrs</v>
      </c>
      <c r="K44" s="96" t="s">
        <v>1458</v>
      </c>
      <c r="L44" s="96" t="s">
        <v>1643</v>
      </c>
      <c r="M44" s="96" t="s">
        <v>375</v>
      </c>
      <c r="N44" s="96" t="str" cm="1">
        <f t="array" ref="N44">IF(OR(PptoSty[[#This Row],[Project]]="",PptoSty[[#This Row],[Project]]="X"),"X",_xlfn._xlws.FILTER(TbAssign[RowId],(TbAssign[Project]=PptoSty[[#This Row],[Project]])*(TbAssign[Módulo]=PptoSty[[#This Row],[PptoVsRow]]),"X"))</f>
        <v>XE01</v>
      </c>
      <c r="O44" s="96" t="str" cm="1">
        <f t="array" ref="O44">IF(OR(PptoSty[[#This Row],[Project]]="",PptoSty[[#This Row],[Project]]="X"),"X",_xlfn.UNIQUE(_xlfn._xlws.FILTER(F_RT14[Amortz.],(F_RT14[Measure]="CurPpto")*(F_RT14[PrjId]=PptoSty[[#This Row],[Project]])*(F_RT14[Vrs]=PptoSty[[#This Row],[Vrs]])*(_xlfn.TEXTAFTER(F_RT14[ActGrp],":")=PptoSty[[#This Row],[PiRow]]),"X")))</f>
        <v>PEMX</v>
      </c>
      <c r="P44" s="96" t="s">
        <v>1467</v>
      </c>
      <c r="Q44" s="96" t="s">
        <v>377</v>
      </c>
      <c r="R44" s="204" t="s">
        <v>403</v>
      </c>
      <c r="S44" s="204">
        <v>1</v>
      </c>
      <c r="T44" s="205" t="str" cm="1">
        <f t="array" aca="1" ref="T4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44" s="206" cm="1">
        <f t="array" ref="U44">IFERROR((1/PptoSty[[#This Row],[Division]])*IF(PptoSty[[#This Row],[Sign]]="+",1,-1)*(IF(PptoSty[[#This Row],[POvsCT]]="PO",SUM(_xlfn.CHOOSECOLS(_xlfn._xlws.FILTER(F_RT14[],(IF($M44="X",TRUE,F_RT14[Site]=$M44))*(F_RT14[Measure]=U$4)*(F_RT14[PrjId]=PptoSty[[#This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13967.896494845361</v>
      </c>
      <c r="V44" s="206" cm="1">
        <f t="array" ref="V44">IFERROR((1/PptoSty[[#This Row],[Division]])*IF(PptoSty[[#This Row],[Sign]]="+",1,-1)*(IF(PptoSty[[#This Row],[POvsCT]]="PO",SUM(_xlfn.CHOOSECOLS(_xlfn._xlws.FILTER(F_RT14[],(IF($M44="X",TRUE,F_RT14[Site]=$M44))*(F_RT14[Measure]=V$4)*(F_RT14[PrjId]=PptoSty[[#This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6762.5926499999996</v>
      </c>
      <c r="W44" s="206" cm="1">
        <f t="array" ref="W44">IFERROR((1/PptoSty[[#This Row],[Division]])*IF(PptoSty[[#This Row],[Sign]]="+",1,-1)*(IF(PptoSty[[#This Row],[POvsCT]]="PO",SUM(_xlfn.CHOOSECOLS(_xlfn._xlws.FILTER(F_RT14[],(IF($M44="X",TRUE,F_RT14[Site]=$M44))*(F_RT14[Measure]=W$4)*(F_RT14[PrjId]=PptoSty[[#This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7375.4968499999995</v>
      </c>
      <c r="X44" s="338" cm="1">
        <f t="array" ref="X44">IFERROR(IF(PptoSty[[#This Row],[Nature]]&lt;&gt;"Hrs",0,(1/PptoSty[[#This Row],[Division]])*IF(PptoSty[[#This Row],[Sign]]="+",1,-1)*(IF(PptoSty[[#This Row],[POvsCT]]="PO",SUM(_xlfn.CHOOSECOLS(_xlfn._xlws.FILTER(F_RT14[],(IF($M44="X",TRUE,F_RT14[Site]=$M44))*(F_RT14[Measure]=X$4)*(F_RT14[PrjId]=PptoSty[[#This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300</v>
      </c>
      <c r="Y44" s="338" cm="1">
        <f t="array" ref="Y44">IFERROR(IF(PptoSty[[#This Row],[Nature]]&lt;&gt;"Hrs",0,(1/PptoSty[[#This Row],[Division]])*IF(PptoSty[[#This Row],[Sign]]="+",1,-1)*(IF(PptoSty[[#This Row],[POvsCT]]="PO",SUM(_xlfn.CHOOSECOLS(_xlfn._xlws.FILTER(F_RT14[],(IF($M44="X",TRUE,F_RT14[Site]=$M44))*(F_RT14[Measure]=Y$4)*(F_RT14[PrjId]=PptoSty[[#This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145.5</v>
      </c>
      <c r="Z44" s="338" cm="1">
        <f t="array" ref="Z44">IFERROR(IF(PptoSty[[#This Row],[Nature]]&lt;&gt;"Hrs",0,(1/PptoSty[[#This Row],[Division]])*IF(PptoSty[[#This Row],[Sign]]="+",1,-1)*(IF(PptoSty[[#This Row],[POvsCT]]="PO",SUM(_xlfn.CHOOSECOLS(_xlfn._xlws.FILTER(F_RT14[],(IF($M44="X",TRUE,F_RT14[Site]=$M44))*(F_RT14[Measure]=Z$4)*(F_RT14[PrjId]=PptoSty[[#This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145.5</v>
      </c>
      <c r="AA44" s="206" cm="1">
        <f t="array" aca="1" ref="AA44"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81013.799587628877</v>
      </c>
      <c r="AB44" s="206" cm="1">
        <f t="array" aca="1" ref="AB44"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39223.037369999998</v>
      </c>
      <c r="AC44" s="206" cm="1">
        <f t="array" aca="1" ref="AC44"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42777.881729999994</v>
      </c>
      <c r="AG44"/>
      <c r="AH44"/>
      <c r="AI44" s="21"/>
      <c r="AJ44" s="21"/>
      <c r="AK44" s="175"/>
      <c r="AL44" s="176"/>
      <c r="AM44" s="179"/>
      <c r="AN44" s="176"/>
      <c r="AO44"/>
      <c r="AP44" s="21"/>
      <c r="AQ44" s="176"/>
      <c r="AR44" s="176"/>
      <c r="AS44" s="176"/>
      <c r="AT44" s="176"/>
      <c r="AU44" s="176"/>
      <c r="AV44" s="176"/>
      <c r="AW44" s="176"/>
      <c r="AX44" s="176"/>
      <c r="AY44" s="176"/>
      <c r="AZ44" s="176"/>
      <c r="BA44" s="176"/>
      <c r="BB44" s="176"/>
      <c r="BC44" s="176"/>
      <c r="BD44" s="176"/>
      <c r="BE44"/>
      <c r="BF44" s="21"/>
      <c r="BG44" s="176"/>
      <c r="BH44" s="176"/>
      <c r="BI44" s="176"/>
      <c r="BJ44" s="176"/>
      <c r="BK44" s="176"/>
      <c r="BL44" s="176"/>
      <c r="BM44" s="176"/>
      <c r="BN44" s="176"/>
      <c r="BO44" s="176"/>
      <c r="BP44" s="176"/>
      <c r="BQ44" s="176"/>
      <c r="BR44" s="176"/>
      <c r="BS44" s="176"/>
      <c r="BT44" s="176"/>
      <c r="BU44" s="176"/>
      <c r="BV44" s="176"/>
      <c r="BW44" s="176"/>
      <c r="BX44" s="176"/>
      <c r="BY44" s="176"/>
      <c r="BZ44" s="176"/>
      <c r="CA44" s="176"/>
      <c r="CB44" s="176"/>
      <c r="CC44" s="176"/>
      <c r="CD44" s="176"/>
      <c r="CE44" s="176"/>
      <c r="CF44" s="176"/>
      <c r="CG44" s="176"/>
      <c r="CH44" s="176"/>
      <c r="CI44" s="176"/>
      <c r="CJ44" s="176"/>
      <c r="CK44" s="176"/>
      <c r="CL44" s="176"/>
      <c r="CM44" s="176"/>
      <c r="CN44" s="176"/>
      <c r="CO44" s="176"/>
      <c r="CP44" s="176"/>
      <c r="CQ44" s="176"/>
      <c r="CR44" s="176"/>
      <c r="CS44" s="176"/>
      <c r="CT44" s="176"/>
      <c r="CU44" s="176"/>
      <c r="CV44" s="176"/>
      <c r="CW44" s="176"/>
      <c r="CX44" s="176"/>
      <c r="CY44" s="176"/>
      <c r="CZ44" s="176"/>
      <c r="DA44" s="176"/>
      <c r="DB44" s="176"/>
      <c r="DC44" s="176"/>
      <c r="DD44" s="176"/>
      <c r="DE44" s="176"/>
      <c r="DF44" s="176"/>
      <c r="DG44" s="176"/>
      <c r="DH44" s="176"/>
      <c r="DI44" s="176"/>
      <c r="DJ44" s="176"/>
      <c r="DK44" s="176"/>
      <c r="DL44"/>
      <c r="DM44" s="366" t="str" cm="1">
        <f t="array" aca="1" ref="DM44"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DN44:DP44</v>
      </c>
      <c r="DN44" s="177" t="s">
        <v>375</v>
      </c>
      <c r="DO44" s="177" t="str" cm="1">
        <f t="array" aca="1" ref="DO44:DP44"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44" s="177" t="str">
        <f ca="1"/>
        <v>MONTAJE MECÁNICO</v>
      </c>
      <c r="DQ44" s="177"/>
      <c r="DR44" s="177"/>
      <c r="DS44" s="177"/>
      <c r="DT44" s="177"/>
      <c r="DU44" s="177"/>
      <c r="DV44" s="177"/>
      <c r="DW44" s="177"/>
      <c r="DX44" s="177"/>
      <c r="DY44" s="177"/>
      <c r="DZ44" s="177"/>
      <c r="EA44" s="177"/>
      <c r="EB44" s="177"/>
      <c r="EC44" s="177"/>
      <c r="ED44" s="177"/>
    </row>
    <row r="45" spans="3:134" ht="13" customHeight="1">
      <c r="C45" s="213">
        <v>45252</v>
      </c>
      <c r="D45" s="213" t="s">
        <v>2114</v>
      </c>
      <c r="E45" s="213" t="s">
        <v>1710</v>
      </c>
      <c r="F45" s="219" t="s">
        <v>375</v>
      </c>
      <c r="G45" s="201" t="s">
        <v>1415</v>
      </c>
      <c r="H45" s="202">
        <v>15</v>
      </c>
      <c r="I45" s="339" t="str" cm="1">
        <f t="array" aca="1" ref="I4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G004</v>
      </c>
      <c r="J45" s="203" t="str" cm="1">
        <f t="array" ref="J45">IF(OR(PptoSty[[#This Row],[Project]]="",PptoSty[[#This Row],[Project]]="X"),"X",_xlfn.UNIQUE(_xlfn._xlws.FILTER(CstGrpS[Nature],ISNUMBER(FIND(SUBSTITUTE(PptoSty[[#This Row],[PiColumn]]," +%",""),UPPER(SUBSTITUTE(CstGrpS[GrpPrv],"  "," ")))),"X")))</f>
        <v>Hrs</v>
      </c>
      <c r="K45" s="96" t="s">
        <v>1418</v>
      </c>
      <c r="L45" s="96" t="s">
        <v>379</v>
      </c>
      <c r="M45" s="96" t="s">
        <v>375</v>
      </c>
      <c r="N45" s="96" t="str" cm="1">
        <f t="array" ref="N45">IF(OR(PptoSty[[#This Row],[Project]]="",PptoSty[[#This Row],[Project]]="X"),"X",_xlfn._xlws.FILTER(TbAssign[RowId],(TbAssign[Project]=PptoSty[[#This Row],[Project]])*(TbAssign[Módulo]=PptoSty[[#This Row],[PptoVsRow]]),"X"))</f>
        <v>XA01</v>
      </c>
      <c r="O45" s="96" t="str" cm="1">
        <f t="array" ref="O45">IF(OR(PptoSty[[#This Row],[Project]]="",PptoSty[[#This Row],[Project]]="X"),"X",_xlfn.UNIQUE(_xlfn._xlws.FILTER(F_RT14[Amortz.],(F_RT14[Measure]="CurPpto")*(F_RT14[PrjId]=PptoSty[[#This Row],[Project]])*(F_RT14[Vrs]=PptoSty[[#This Row],[Vrs]])*(_xlfn.TEXTAFTER(F_RT14[ActGrp],":")=PptoSty[[#This Row],[PiRow]]),"X")))</f>
        <v>GSDF</v>
      </c>
      <c r="P45" s="96" t="s">
        <v>358</v>
      </c>
      <c r="Q45" s="96" t="s">
        <v>380</v>
      </c>
      <c r="R45" s="204" t="s">
        <v>403</v>
      </c>
      <c r="S45" s="204">
        <v>1</v>
      </c>
      <c r="T45" s="205" t="str" cm="1">
        <f t="array" aca="1" ref="T4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45" s="206" cm="1">
        <f t="array" ref="U45">IFERROR((1/PptoSty[[#This Row],[Division]])*IF(PptoSty[[#This Row],[Sign]]="+",1,-1)*(IF(PptoSty[[#This Row],[POvsCT]]="PO",SUM(_xlfn.CHOOSECOLS(_xlfn._xlws.FILTER(F_RT14[],(IF($M45="X",TRUE,F_RT14[Site]=$M45))*(F_RT14[Measure]=U$4)*(F_RT14[PrjId]=PptoSty[[#This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12431.558762886598</v>
      </c>
      <c r="V45" s="206" cm="1">
        <f t="array" ref="V45">IFERROR((1/PptoSty[[#This Row],[Division]])*IF(PptoSty[[#This Row],[Sign]]="+",1,-1)*(IF(PptoSty[[#This Row],[POvsCT]]="PO",SUM(_xlfn.CHOOSECOLS(_xlfn._xlws.FILTER(F_RT14[],(IF($M45="X",TRUE,F_RT14[Site]=$M45))*(F_RT14[Measure]=V$4)*(F_RT14[PrjId]=PptoSty[[#This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1207.5204506033313</v>
      </c>
      <c r="W45" s="206" cm="1">
        <f t="array" ref="W45">IFERROR((1/PptoSty[[#This Row],[Division]])*IF(PptoSty[[#This Row],[Sign]]="+",1,-1)*(IF(PptoSty[[#This Row],[POvsCT]]="PO",SUM(_xlfn.CHOOSECOLS(_xlfn._xlws.FILTER(F_RT14[],(IF($M45="X",TRUE,F_RT14[Site]=$M45))*(F_RT14[Measure]=W$4)*(F_RT14[PrjId]=PptoSty[[#This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12203.913188709794</v>
      </c>
      <c r="X45" s="338" cm="1">
        <f t="array" ref="X45">IFERROR(IF(PptoSty[[#This Row],[Nature]]&lt;&gt;"Hrs",0,(1/PptoSty[[#This Row],[Division]])*IF(PptoSty[[#This Row],[Sign]]="+",1,-1)*(IF(PptoSty[[#This Row],[POvsCT]]="PO",SUM(_xlfn.CHOOSECOLS(_xlfn._xlws.FILTER(F_RT14[],(IF($M45="X",TRUE,F_RT14[Site]=$M45))*(F_RT14[Measure]=X$4)*(F_RT14[PrjId]=PptoSty[[#This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285.96845600000006</v>
      </c>
      <c r="Y45" s="338" cm="1">
        <f t="array" ref="Y45">IFERROR(IF(PptoSty[[#This Row],[Nature]]&lt;&gt;"Hrs",0,(1/PptoSty[[#This Row],[Division]])*IF(PptoSty[[#This Row],[Sign]]="+",1,-1)*(IF(PptoSty[[#This Row],[POvsCT]]="PO",SUM(_xlfn.CHOOSECOLS(_xlfn._xlws.FILTER(F_RT14[],(IF($M45="X",TRUE,F_RT14[Site]=$M45))*(F_RT14[Measure]=Y$4)*(F_RT14[PrjId]=PptoSty[[#This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27.738940232000004</v>
      </c>
      <c r="Z45" s="338" cm="1">
        <f t="array" ref="Z45">IFERROR(IF(PptoSty[[#This Row],[Nature]]&lt;&gt;"Hrs",0,(1/PptoSty[[#This Row],[Division]])*IF(PptoSty[[#This Row],[Sign]]="+",1,-1)*(IF(PptoSty[[#This Row],[POvsCT]]="PO",SUM(_xlfn.CHOOSECOLS(_xlfn._xlws.FILTER(F_RT14[],(IF($M45="X",TRUE,F_RT14[Site]=$M45))*(F_RT14[Measure]=Z$4)*(F_RT14[PrjId]=PptoSty[[#This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249.65046208800004</v>
      </c>
      <c r="AA45" s="206" cm="1">
        <f t="array" aca="1" ref="AA45"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12431.558762886598</v>
      </c>
      <c r="AB45" s="206" cm="1">
        <f t="array" aca="1" ref="AB45"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1207.5204506033313</v>
      </c>
      <c r="AC45" s="206" cm="1">
        <f t="array" aca="1" ref="AC45"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12203.913188709794</v>
      </c>
      <c r="AG45"/>
      <c r="AH45"/>
      <c r="AI45" s="21"/>
      <c r="AJ45" s="21"/>
      <c r="AK45" s="175"/>
      <c r="AL45" s="176"/>
      <c r="AM45" s="179"/>
      <c r="AN45" s="176"/>
      <c r="AO45"/>
      <c r="AP45" s="21"/>
      <c r="AQ45" s="176"/>
      <c r="AR45" s="176"/>
      <c r="AS45" s="176"/>
      <c r="AT45" s="176"/>
      <c r="AU45" s="176"/>
      <c r="AV45" s="176"/>
      <c r="AW45" s="176"/>
      <c r="AX45" s="176"/>
      <c r="AY45" s="176"/>
      <c r="AZ45" s="176"/>
      <c r="BA45" s="176"/>
      <c r="BB45" s="176"/>
      <c r="BC45" s="176"/>
      <c r="BD45" s="176"/>
      <c r="BE45"/>
      <c r="BF45" s="21"/>
      <c r="BG45" s="176"/>
      <c r="BH45" s="176"/>
      <c r="BI45" s="176"/>
      <c r="BJ45" s="176"/>
      <c r="BK45" s="176"/>
      <c r="BL45" s="176"/>
      <c r="BM45" s="176"/>
      <c r="BN45" s="176"/>
      <c r="BO45" s="176"/>
      <c r="BP45" s="176"/>
      <c r="BQ45" s="176"/>
      <c r="BR45" s="176"/>
      <c r="BS45" s="176"/>
      <c r="BT45" s="176"/>
      <c r="BU45" s="176"/>
      <c r="BV45" s="176"/>
      <c r="BW45" s="176"/>
      <c r="BX45" s="176"/>
      <c r="BY45" s="176"/>
      <c r="BZ45" s="176"/>
      <c r="CA45" s="176"/>
      <c r="CB45" s="176"/>
      <c r="CC45" s="176"/>
      <c r="CD45" s="176"/>
      <c r="CE45" s="176"/>
      <c r="CF45" s="176"/>
      <c r="CG45" s="176"/>
      <c r="CH45" s="176"/>
      <c r="CI45" s="176"/>
      <c r="CJ45" s="176"/>
      <c r="CK45" s="176"/>
      <c r="CL45" s="176"/>
      <c r="CM45" s="176"/>
      <c r="CN45" s="176"/>
      <c r="CO45" s="176"/>
      <c r="CP45" s="176"/>
      <c r="CQ45" s="176"/>
      <c r="CR45" s="176"/>
      <c r="CS45" s="176"/>
      <c r="CT45" s="176"/>
      <c r="CU45" s="176"/>
      <c r="CV45" s="176"/>
      <c r="CW45" s="176"/>
      <c r="CX45" s="176"/>
      <c r="CY45" s="176"/>
      <c r="CZ45" s="176"/>
      <c r="DA45" s="176"/>
      <c r="DB45" s="176"/>
      <c r="DC45" s="176"/>
      <c r="DD45" s="176"/>
      <c r="DE45" s="176"/>
      <c r="DF45" s="176"/>
      <c r="DG45" s="176"/>
      <c r="DH45" s="176"/>
      <c r="DI45" s="176"/>
      <c r="DJ45" s="176"/>
      <c r="DK45" s="176"/>
      <c r="DL45"/>
      <c r="DM45" s="366" t="str" cm="1">
        <f t="array" aca="1" ref="DM4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DN45:DR45</v>
      </c>
      <c r="DN45" s="177" t="s">
        <v>375</v>
      </c>
      <c r="DO45" s="177" t="str" cm="1">
        <f t="array" aca="1" ref="DO45:DR4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45" s="177" t="str">
        <f ca="1"/>
        <v>DEFINICIÓN</v>
      </c>
      <c r="DQ45" s="177" t="str">
        <f ca="1"/>
        <v>FABRICACIÓN MECÁNICA</v>
      </c>
      <c r="DR45" s="177" t="str">
        <f ca="1"/>
        <v>METROLOGÍA</v>
      </c>
      <c r="DS45" s="177"/>
      <c r="DT45" s="177"/>
      <c r="DU45" s="177"/>
      <c r="DV45" s="177"/>
      <c r="DW45" s="177"/>
      <c r="DX45" s="177"/>
      <c r="DY45" s="177"/>
      <c r="DZ45" s="177"/>
      <c r="EA45" s="177"/>
      <c r="EB45" s="177"/>
      <c r="EC45" s="177"/>
      <c r="ED45" s="177"/>
    </row>
    <row r="46" spans="3:134" ht="13" customHeight="1">
      <c r="C46" s="213">
        <v>45252</v>
      </c>
      <c r="D46" s="213" t="s">
        <v>2114</v>
      </c>
      <c r="E46" s="213" t="s">
        <v>1710</v>
      </c>
      <c r="F46" s="219" t="s">
        <v>375</v>
      </c>
      <c r="G46" s="201" t="s">
        <v>1415</v>
      </c>
      <c r="H46" s="202">
        <v>15</v>
      </c>
      <c r="I46" s="339" t="str" cm="1">
        <f t="array" aca="1" ref="I4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G005</v>
      </c>
      <c r="J46" s="203" t="str" cm="1">
        <f t="array" ref="J46">IF(OR(PptoSty[[#This Row],[Project]]="",PptoSty[[#This Row],[Project]]="X"),"X",_xlfn.UNIQUE(_xlfn._xlws.FILTER(CstGrpS[Nature],ISNUMBER(FIND(SUBSTITUTE(PptoSty[[#This Row],[PiColumn]]," +%",""),UPPER(SUBSTITUTE(CstGrpS[GrpPrv],"  "," ")))),"X")))</f>
        <v>Hrs</v>
      </c>
      <c r="K46" s="96" t="s">
        <v>1284</v>
      </c>
      <c r="L46" s="96" t="s">
        <v>379</v>
      </c>
      <c r="M46" s="96" t="s">
        <v>375</v>
      </c>
      <c r="N46" s="96" t="str" cm="1">
        <f t="array" ref="N46">IF(OR(PptoSty[[#This Row],[Project]]="",PptoSty[[#This Row],[Project]]="X"),"X",_xlfn._xlws.FILTER(TbAssign[RowId],(TbAssign[Project]=PptoSty[[#This Row],[Project]])*(TbAssign[Módulo]=PptoSty[[#This Row],[PptoVsRow]]),"X"))</f>
        <v>XE01</v>
      </c>
      <c r="O46" s="96" t="str" cm="1">
        <f t="array" ref="O46">IF(OR(PptoSty[[#This Row],[Project]]="",PptoSty[[#This Row],[Project]]="X"),"X",_xlfn.UNIQUE(_xlfn._xlws.FILTER(F_RT14[Amortz.],(F_RT14[Measure]="CurPpto")*(F_RT14[PrjId]=PptoSty[[#This Row],[Project]])*(F_RT14[Vrs]=PptoSty[[#This Row],[Vrs]])*(_xlfn.TEXTAFTER(F_RT14[ActGrp],":")=PptoSty[[#This Row],[PiRow]]),"X")))</f>
        <v>PEMX</v>
      </c>
      <c r="P46" s="96" t="s">
        <v>1284</v>
      </c>
      <c r="Q46" s="96" t="s">
        <v>380</v>
      </c>
      <c r="R46" s="204" t="s">
        <v>403</v>
      </c>
      <c r="S46" s="204">
        <v>1</v>
      </c>
      <c r="T46" s="205" t="str" cm="1">
        <f t="array" aca="1" ref="T4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46" s="206" cm="1">
        <f t="array" ref="U46">IFERROR((1/PptoSty[[#This Row],[Division]])*IF(PptoSty[[#This Row],[Sign]]="+",1,-1)*(IF(PptoSty[[#This Row],[POvsCT]]="PO",SUM(_xlfn.CHOOSECOLS(_xlfn._xlws.FILTER(F_RT14[],(IF($M46="X",TRUE,F_RT14[Site]=$M46))*(F_RT14[Measure]=U$4)*(F_RT14[PrjId]=PptoSty[[#This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29669.492061855672</v>
      </c>
      <c r="V46" s="206" cm="1">
        <f t="array" ref="V46">IFERROR((1/PptoSty[[#This Row],[Division]])*IF(PptoSty[[#This Row],[Sign]]="+",1,-1)*(IF(PptoSty[[#This Row],[POvsCT]]="PO",SUM(_xlfn.CHOOSECOLS(_xlfn._xlws.FILTER(F_RT14[],(IF($M46="X",TRUE,F_RT14[Site]=$M46))*(F_RT14[Measure]=V$4)*(F_RT14[PrjId]=PptoSty[[#This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2881.9007489999999</v>
      </c>
      <c r="W46" s="206" cm="1">
        <f t="array" ref="W46">IFERROR((1/PptoSty[[#This Row],[Division]])*IF(PptoSty[[#This Row],[Sign]]="+",1,-1)*(IF(PptoSty[[#This Row],[POvsCT]]="PO",SUM(_xlfn.CHOOSECOLS(_xlfn._xlws.FILTER(F_RT14[],(IF($M46="X",TRUE,F_RT14[Site]=$M46))*(F_RT14[Measure]=W$4)*(F_RT14[PrjId]=PptoSty[[#This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29126.187089999999</v>
      </c>
      <c r="X46" s="338" cm="1">
        <f t="array" ref="X46">IFERROR(IF(PptoSty[[#This Row],[Nature]]&lt;&gt;"Hrs",0,(1/PptoSty[[#This Row],[Division]])*IF(PptoSty[[#This Row],[Sign]]="+",1,-1)*(IF(PptoSty[[#This Row],[POvsCT]]="PO",SUM(_xlfn.CHOOSECOLS(_xlfn._xlws.FILTER(F_RT14[],(IF($M46="X",TRUE,F_RT14[Site]=$M46))*(F_RT14[Measure]=X$4)*(F_RT14[PrjId]=PptoSty[[#This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682.5</v>
      </c>
      <c r="Y46" s="338" cm="1">
        <f t="array" ref="Y46">IFERROR(IF(PptoSty[[#This Row],[Nature]]&lt;&gt;"Hrs",0,(1/PptoSty[[#This Row],[Division]])*IF(PptoSty[[#This Row],[Sign]]="+",1,-1)*(IF(PptoSty[[#This Row],[POvsCT]]="PO",SUM(_xlfn.CHOOSECOLS(_xlfn._xlws.FILTER(F_RT14[],(IF($M46="X",TRUE,F_RT14[Site]=$M46))*(F_RT14[Measure]=Y$4)*(F_RT14[PrjId]=PptoSty[[#This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66.202500000000001</v>
      </c>
      <c r="Z46" s="338" cm="1">
        <f t="array" ref="Z46">IFERROR(IF(PptoSty[[#This Row],[Nature]]&lt;&gt;"Hrs",0,(1/PptoSty[[#This Row],[Division]])*IF(PptoSty[[#This Row],[Sign]]="+",1,-1)*(IF(PptoSty[[#This Row],[POvsCT]]="PO",SUM(_xlfn.CHOOSECOLS(_xlfn._xlws.FILTER(F_RT14[],(IF($M46="X",TRUE,F_RT14[Site]=$M46))*(F_RT14[Measure]=Z$4)*(F_RT14[PrjId]=PptoSty[[#This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595.82249999999999</v>
      </c>
      <c r="AA46" s="206" cm="1">
        <f t="array" aca="1" ref="AA46"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29669.492061855672</v>
      </c>
      <c r="AB46" s="206" cm="1">
        <f t="array" aca="1" ref="AB46"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2881.9007489999999</v>
      </c>
      <c r="AC46" s="206" cm="1">
        <f t="array" aca="1" ref="AC46"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29126.187089999999</v>
      </c>
      <c r="AG46"/>
      <c r="AH46"/>
      <c r="AI46" s="21"/>
      <c r="AJ46" s="21"/>
      <c r="AK46" s="175"/>
      <c r="AL46" s="176"/>
      <c r="AM46" s="179"/>
      <c r="AN46" s="176"/>
      <c r="AO46"/>
      <c r="AP46" s="21"/>
      <c r="AQ46" s="176"/>
      <c r="AR46" s="176"/>
      <c r="AS46" s="176"/>
      <c r="AT46" s="176"/>
      <c r="AU46" s="176"/>
      <c r="AV46" s="176"/>
      <c r="AW46" s="176"/>
      <c r="AX46" s="176"/>
      <c r="AY46" s="176"/>
      <c r="AZ46" s="176"/>
      <c r="BA46" s="176"/>
      <c r="BB46" s="176"/>
      <c r="BC46" s="176"/>
      <c r="BD46" s="176"/>
      <c r="BE46"/>
      <c r="BF46" s="21"/>
      <c r="BG46" s="176"/>
      <c r="BH46" s="176"/>
      <c r="BI46" s="176"/>
      <c r="BJ46" s="176"/>
      <c r="BK46" s="176"/>
      <c r="BL46" s="176"/>
      <c r="BM46" s="176"/>
      <c r="BN46" s="176"/>
      <c r="BO46" s="176"/>
      <c r="BP46" s="176"/>
      <c r="BQ46" s="176"/>
      <c r="BR46" s="176"/>
      <c r="BS46" s="176"/>
      <c r="BT46" s="176"/>
      <c r="BU46" s="176"/>
      <c r="BV46" s="176"/>
      <c r="BW46" s="176"/>
      <c r="BX46" s="176"/>
      <c r="BY46" s="176"/>
      <c r="BZ46" s="176"/>
      <c r="CA46" s="176"/>
      <c r="CB46" s="176"/>
      <c r="CC46" s="176"/>
      <c r="CD46" s="176"/>
      <c r="CE46" s="176"/>
      <c r="CF46" s="176"/>
      <c r="CG46" s="176"/>
      <c r="CH46" s="176"/>
      <c r="CI46" s="176"/>
      <c r="CJ46" s="176"/>
      <c r="CK46" s="176"/>
      <c r="CL46" s="176"/>
      <c r="CM46" s="176"/>
      <c r="CN46" s="176"/>
      <c r="CO46" s="176"/>
      <c r="CP46" s="176"/>
      <c r="CQ46" s="176"/>
      <c r="CR46" s="176"/>
      <c r="CS46" s="176"/>
      <c r="CT46" s="176"/>
      <c r="CU46" s="176"/>
      <c r="CV46" s="176"/>
      <c r="CW46" s="176"/>
      <c r="CX46" s="176"/>
      <c r="CY46" s="176"/>
      <c r="CZ46" s="176"/>
      <c r="DA46" s="176"/>
      <c r="DB46" s="176"/>
      <c r="DC46" s="176"/>
      <c r="DD46" s="176"/>
      <c r="DE46" s="176"/>
      <c r="DF46" s="176"/>
      <c r="DG46" s="176"/>
      <c r="DH46" s="176"/>
      <c r="DI46" s="176"/>
      <c r="DJ46" s="176"/>
      <c r="DK46" s="176"/>
      <c r="DL46"/>
      <c r="DM46" s="366" t="str" cm="1">
        <f t="array" aca="1" ref="DM4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DN46:DT46</v>
      </c>
      <c r="DN46" s="177" t="s">
        <v>375</v>
      </c>
      <c r="DO46" s="177" t="str" cm="1">
        <f t="array" aca="1" ref="DO46:DT4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46" s="177" t="str">
        <f ca="1"/>
        <v>FABRICACIÓN MECÁNICA</v>
      </c>
      <c r="DQ46" s="177" t="str">
        <f ca="1"/>
        <v>GESTIÓN PROYECTOS</v>
      </c>
      <c r="DR46" s="177" t="str">
        <f ca="1"/>
        <v>METROLOGÍA</v>
      </c>
      <c r="DS46" s="177" t="str">
        <f ca="1"/>
        <v>MONTAJE MECÁNICO</v>
      </c>
      <c r="DT46" s="177" t="str">
        <f ca="1"/>
        <v>ROBÓTICA</v>
      </c>
      <c r="DU46" s="177"/>
      <c r="DV46" s="177"/>
      <c r="DW46" s="177"/>
      <c r="DX46" s="177"/>
      <c r="DY46" s="177"/>
      <c r="DZ46" s="177"/>
      <c r="EA46" s="177"/>
      <c r="EB46" s="177"/>
      <c r="EC46" s="177"/>
      <c r="ED46" s="177"/>
    </row>
    <row r="47" spans="3:134" ht="13" customHeight="1">
      <c r="C47" s="356">
        <v>45596</v>
      </c>
      <c r="D47" s="213" t="s">
        <v>2114</v>
      </c>
      <c r="E47" s="356" t="s">
        <v>1710</v>
      </c>
      <c r="F47" s="219" t="s">
        <v>375</v>
      </c>
      <c r="G47" s="201" t="s">
        <v>1415</v>
      </c>
      <c r="H47" s="202">
        <v>15</v>
      </c>
      <c r="I47" s="339" t="str" cm="1">
        <f t="array" aca="1" ref="I4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G005</v>
      </c>
      <c r="J47" s="203" t="str" cm="1">
        <f t="array" ref="J47">IF(OR(PptoSty[[#This Row],[Project]]="",PptoSty[[#This Row],[Project]]="X"),"X",_xlfn.UNIQUE(_xlfn._xlws.FILTER(CstGrpS[Nature],ISNUMBER(FIND(SUBSTITUTE(PptoSty[[#This Row],[PiColumn]]," +%",""),UPPER(SUBSTITUTE(CstGrpS[GrpPrv],"  "," ")))),"X")))</f>
        <v>Hrs</v>
      </c>
      <c r="K47" s="96" t="s">
        <v>1284</v>
      </c>
      <c r="L47" s="96" t="s">
        <v>380</v>
      </c>
      <c r="M47" s="96" t="s">
        <v>375</v>
      </c>
      <c r="N47" s="96" t="str" cm="1">
        <f t="array" ref="N47">IF(OR(PptoSty[[#This Row],[Project]]="",PptoSty[[#This Row],[Project]]="X"),"X",_xlfn._xlws.FILTER(TbAssign[RowId],(TbAssign[Project]=PptoSty[[#This Row],[Project]])*(TbAssign[Módulo]=PptoSty[[#This Row],[PptoVsRow]]),"X"))</f>
        <v>XE01</v>
      </c>
      <c r="O47" s="96" t="str" cm="1">
        <f t="array" ref="O47">IF(OR(PptoSty[[#This Row],[Project]]="",PptoSty[[#This Row],[Project]]="X"),"X",_xlfn.UNIQUE(_xlfn._xlws.FILTER(F_RT14[Amortz.],(F_RT14[Measure]="CurPpto")*(F_RT14[PrjId]=PptoSty[[#This Row],[Project]])*(F_RT14[Vrs]=PptoSty[[#This Row],[Vrs]])*(_xlfn.TEXTAFTER(F_RT14[ActGrp],":")=PptoSty[[#This Row],[PiRow]]),"X")))</f>
        <v>PEMX</v>
      </c>
      <c r="P47" s="96" t="s">
        <v>1284</v>
      </c>
      <c r="Q47" s="96" t="s">
        <v>380</v>
      </c>
      <c r="R47" s="204" t="s">
        <v>403</v>
      </c>
      <c r="S47" s="204">
        <v>2</v>
      </c>
      <c r="T47" s="205" t="str" cm="1">
        <f t="array" aca="1" ref="T4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47" s="206" cm="1">
        <f t="array" ref="U47">IFERROR((1/PptoSty[[#This Row],[Division]])*IF(PptoSty[[#This Row],[Sign]]="+",1,-1)*(IF(PptoSty[[#This Row],[POvsCT]]="PO",SUM(_xlfn.CHOOSECOLS(_xlfn._xlws.FILTER(F_RT14[],(IF($M47="X",TRUE,F_RT14[Site]=$M47))*(F_RT14[Measure]=U$4)*(F_RT14[PrjId]=PptoSty[[#This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44658.194329896905</v>
      </c>
      <c r="V47" s="206" cm="1">
        <f t="array" ref="V47">IFERROR((1/PptoSty[[#This Row],[Division]])*IF(PptoSty[[#This Row],[Sign]]="+",1,-1)*(IF(PptoSty[[#This Row],[POvsCT]]="PO",SUM(_xlfn.CHOOSECOLS(_xlfn._xlws.FILTER(F_RT14[],(IF($M47="X",TRUE,F_RT14[Site]=$M47))*(F_RT14[Measure]=V$4)*(F_RT14[PrjId]=PptoSty[[#This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25732.11146896</v>
      </c>
      <c r="W47" s="206" cm="1">
        <f t="array" ref="W47">IFERROR((1/PptoSty[[#This Row],[Division]])*IF(PptoSty[[#This Row],[Sign]]="+",1,-1)*(IF(PptoSty[[#This Row],[POvsCT]]="PO",SUM(_xlfn.CHOOSECOLS(_xlfn._xlws.FILTER(F_RT14[],(IF($M47="X",TRUE,F_RT14[Site]=$M47))*(F_RT14[Measure]=W$4)*(F_RT14[PrjId]=PptoSty[[#This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45122.152904789997</v>
      </c>
      <c r="X47" s="338" cm="1">
        <f t="array" ref="X47">IFERROR(IF(PptoSty[[#This Row],[Nature]]&lt;&gt;"Hrs",0,(1/PptoSty[[#This Row],[Division]])*IF(PptoSty[[#This Row],[Sign]]="+",1,-1)*(IF(PptoSty[[#This Row],[POvsCT]]="PO",SUM(_xlfn.CHOOSECOLS(_xlfn._xlws.FILTER(F_RT14[],(IF($M47="X",TRUE,F_RT14[Site]=$M47))*(F_RT14[Measure]=X$4)*(F_RT14[PrjId]=PptoSty[[#This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1474.85</v>
      </c>
      <c r="Y47" s="338" cm="1">
        <f t="array" ref="Y47">IFERROR(IF(PptoSty[[#This Row],[Nature]]&lt;&gt;"Hrs",0,(1/PptoSty[[#This Row],[Division]])*IF(PptoSty[[#This Row],[Sign]]="+",1,-1)*(IF(PptoSty[[#This Row],[POvsCT]]="PO",SUM(_xlfn.CHOOSECOLS(_xlfn._xlws.FILTER(F_RT14[],(IF($M47="X",TRUE,F_RT14[Site]=$M47))*(F_RT14[Measure]=Y$4)*(F_RT14[PrjId]=PptoSty[[#This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572.24180000000001</v>
      </c>
      <c r="Z47" s="338" cm="1">
        <f t="array" ref="Z47">IFERROR(IF(PptoSty[[#This Row],[Nature]]&lt;&gt;"Hrs",0,(1/PptoSty[[#This Row],[Division]])*IF(PptoSty[[#This Row],[Sign]]="+",1,-1)*(IF(PptoSty[[#This Row],[POvsCT]]="PO",SUM(_xlfn.CHOOSECOLS(_xlfn._xlws.FILTER(F_RT14[],(IF($M47="X",TRUE,F_RT14[Site]=$M47))*(F_RT14[Measure]=Z$4)*(F_RT14[PrjId]=PptoSty[[#This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858.3626999999999</v>
      </c>
      <c r="AA47" s="206" cm="1">
        <f t="array" aca="1" ref="AA47"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74327.686391752577</v>
      </c>
      <c r="AB47" s="206" cm="1">
        <f t="array" aca="1" ref="AB47"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28614.01221796</v>
      </c>
      <c r="AC47" s="206" cm="1">
        <f t="array" aca="1" ref="AC47"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74248.339994790003</v>
      </c>
      <c r="AG47"/>
      <c r="AH47"/>
      <c r="AI47" s="21"/>
      <c r="AJ47" s="21"/>
      <c r="AK47" s="175"/>
      <c r="AL47" s="176"/>
      <c r="AM47" s="179"/>
      <c r="AN47" s="176"/>
      <c r="AO47"/>
      <c r="AP47" s="21"/>
      <c r="AQ47" s="176"/>
      <c r="AR47" s="176"/>
      <c r="AS47" s="176"/>
      <c r="AT47" s="176"/>
      <c r="AU47" s="176"/>
      <c r="AV47" s="176"/>
      <c r="AW47" s="176"/>
      <c r="AX47" s="176"/>
      <c r="AY47" s="176"/>
      <c r="AZ47" s="176"/>
      <c r="BA47" s="176"/>
      <c r="BB47" s="176"/>
      <c r="BC47" s="176"/>
      <c r="BD47" s="176"/>
      <c r="BE47"/>
      <c r="BF47" s="21"/>
      <c r="BG47" s="176"/>
      <c r="BH47" s="176"/>
      <c r="BI47" s="176"/>
      <c r="BJ47" s="176"/>
      <c r="BK47" s="176"/>
      <c r="BL47" s="176"/>
      <c r="BM47" s="176"/>
      <c r="BN47" s="176"/>
      <c r="BO47" s="176"/>
      <c r="BP47" s="176"/>
      <c r="BQ47" s="176"/>
      <c r="BR47" s="176"/>
      <c r="BS47" s="176"/>
      <c r="BT47" s="176"/>
      <c r="BU47" s="176"/>
      <c r="BV47" s="176"/>
      <c r="BW47" s="176"/>
      <c r="BX47" s="176"/>
      <c r="BY47" s="176"/>
      <c r="BZ47" s="176"/>
      <c r="CA47" s="176"/>
      <c r="CB47" s="176"/>
      <c r="CC47" s="176"/>
      <c r="CD47" s="176"/>
      <c r="CE47" s="176"/>
      <c r="CF47" s="176"/>
      <c r="CG47" s="176"/>
      <c r="CH47" s="176"/>
      <c r="CI47" s="176"/>
      <c r="CJ47" s="176"/>
      <c r="CK47" s="176"/>
      <c r="CL47" s="176"/>
      <c r="CM47" s="176"/>
      <c r="CN47" s="176"/>
      <c r="CO47" s="176"/>
      <c r="CP47" s="176"/>
      <c r="CQ47" s="176"/>
      <c r="CR47" s="176"/>
      <c r="CS47" s="176"/>
      <c r="CT47" s="176"/>
      <c r="CU47" s="176"/>
      <c r="CV47" s="176"/>
      <c r="CW47" s="176"/>
      <c r="CX47" s="176"/>
      <c r="CY47" s="176"/>
      <c r="CZ47" s="176"/>
      <c r="DA47" s="176"/>
      <c r="DB47" s="176"/>
      <c r="DC47" s="176"/>
      <c r="DD47" s="176"/>
      <c r="DE47" s="176"/>
      <c r="DF47" s="176"/>
      <c r="DG47" s="176"/>
      <c r="DH47" s="176"/>
      <c r="DI47" s="176"/>
      <c r="DJ47" s="176"/>
      <c r="DK47" s="176"/>
      <c r="DL47"/>
      <c r="DM47" s="366" t="str" cm="1">
        <f t="array" aca="1" ref="DM4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DN47:DT47</v>
      </c>
      <c r="DN47" s="177" t="s">
        <v>375</v>
      </c>
      <c r="DO47" s="177" t="str" cm="1">
        <f t="array" aca="1" ref="DO47:DT4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47" s="177" t="str">
        <f ca="1"/>
        <v>FABRICACIÓN MECÁNICA</v>
      </c>
      <c r="DQ47" s="177" t="str">
        <f ca="1"/>
        <v>GESTIÓN PROYECTOS</v>
      </c>
      <c r="DR47" s="177" t="str">
        <f ca="1"/>
        <v>METROLOGÍA</v>
      </c>
      <c r="DS47" s="177" t="str">
        <f ca="1"/>
        <v>MONTAJE MECÁNICO</v>
      </c>
      <c r="DT47" s="177" t="str">
        <f ca="1"/>
        <v>ROBÓTICA</v>
      </c>
      <c r="DU47" s="177"/>
      <c r="DV47" s="177"/>
      <c r="DW47" s="177"/>
      <c r="DX47" s="177"/>
      <c r="DY47" s="177"/>
      <c r="DZ47" s="177"/>
      <c r="EA47" s="177"/>
      <c r="EB47" s="177"/>
      <c r="EC47" s="177"/>
      <c r="ED47" s="177"/>
    </row>
    <row r="48" spans="3:134" ht="13" customHeight="1">
      <c r="C48" s="356">
        <v>45596</v>
      </c>
      <c r="D48" s="213" t="s">
        <v>2114</v>
      </c>
      <c r="E48" s="356" t="s">
        <v>1710</v>
      </c>
      <c r="F48" s="219" t="s">
        <v>375</v>
      </c>
      <c r="G48" s="201" t="s">
        <v>1415</v>
      </c>
      <c r="H48" s="202">
        <v>15</v>
      </c>
      <c r="I48" s="339" t="str" cm="1">
        <f t="array" aca="1" ref="I4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G005</v>
      </c>
      <c r="J48" s="203" t="str" cm="1">
        <f t="array" ref="J48">IF(OR(PptoSty[[#This Row],[Project]]="",PptoSty[[#This Row],[Project]]="X"),"X",_xlfn.UNIQUE(_xlfn._xlws.FILTER(CstGrpS[Nature],ISNUMBER(FIND(SUBSTITUTE(PptoSty[[#This Row],[PiColumn]]," +%",""),UPPER(SUBSTITUTE(CstGrpS[GrpPrv],"  "," ")))),"X")))</f>
        <v>Hrs</v>
      </c>
      <c r="K48" s="96" t="s">
        <v>1284</v>
      </c>
      <c r="L48" s="96" t="s">
        <v>380</v>
      </c>
      <c r="M48" s="96" t="s">
        <v>375</v>
      </c>
      <c r="N48" s="96" t="str" cm="1">
        <f t="array" ref="N48">IF(OR(PptoSty[[#This Row],[Project]]="",PptoSty[[#This Row],[Project]]="X"),"X",_xlfn._xlws.FILTER(TbAssign[RowId],(TbAssign[Project]=PptoSty[[#This Row],[Project]])*(TbAssign[Módulo]=PptoSty[[#This Row],[PptoVsRow]]),"X"))</f>
        <v>XE01</v>
      </c>
      <c r="O48" s="96" t="str" cm="1">
        <f t="array" ref="O48">IF(OR(PptoSty[[#This Row],[Project]]="",PptoSty[[#This Row],[Project]]="X"),"X",_xlfn.UNIQUE(_xlfn._xlws.FILTER(F_RT14[Amortz.],(F_RT14[Measure]="CurPpto")*(F_RT14[PrjId]=PptoSty[[#This Row],[Project]])*(F_RT14[Vrs]=PptoSty[[#This Row],[Vrs]])*(_xlfn.TEXTAFTER(F_RT14[ActGrp],":")=PptoSty[[#This Row],[PiRow]]),"X")))</f>
        <v>PEMX</v>
      </c>
      <c r="P48" s="96" t="s">
        <v>1284</v>
      </c>
      <c r="Q48" s="96" t="s">
        <v>380</v>
      </c>
      <c r="R48" s="204" t="s">
        <v>403</v>
      </c>
      <c r="S48" s="204">
        <v>4</v>
      </c>
      <c r="T48" s="205" t="str" cm="1">
        <f t="array" aca="1" ref="T4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48" s="206" cm="1">
        <f t="array" ref="U48">IFERROR((1/PptoSty[[#This Row],[Division]])*IF(PptoSty[[#This Row],[Sign]]="+",1,-1)*(IF(PptoSty[[#This Row],[POvsCT]]="PO",SUM(_xlfn.CHOOSECOLS(_xlfn._xlws.FILTER(F_RT14[],(IF($M48="X",TRUE,F_RT14[Site]=$M48))*(F_RT14[Measure]=U$4)*(F_RT14[PrjId]=PptoSty[[#This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22329.097164948453</v>
      </c>
      <c r="V48" s="206" cm="1">
        <f t="array" ref="V48">IFERROR((1/PptoSty[[#This Row],[Division]])*IF(PptoSty[[#This Row],[Sign]]="+",1,-1)*(IF(PptoSty[[#This Row],[POvsCT]]="PO",SUM(_xlfn.CHOOSECOLS(_xlfn._xlws.FILTER(F_RT14[],(IF($M48="X",TRUE,F_RT14[Site]=$M48))*(F_RT14[Measure]=V$4)*(F_RT14[PrjId]=PptoSty[[#This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12866.05573448</v>
      </c>
      <c r="W48" s="206" cm="1">
        <f t="array" ref="W48">IFERROR((1/PptoSty[[#This Row],[Division]])*IF(PptoSty[[#This Row],[Sign]]="+",1,-1)*(IF(PptoSty[[#This Row],[POvsCT]]="PO",SUM(_xlfn.CHOOSECOLS(_xlfn._xlws.FILTER(F_RT14[],(IF($M48="X",TRUE,F_RT14[Site]=$M48))*(F_RT14[Measure]=W$4)*(F_RT14[PrjId]=PptoSty[[#This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22561.076452394998</v>
      </c>
      <c r="X48" s="338" cm="1">
        <f t="array" ref="X48">IFERROR(IF(PptoSty[[#This Row],[Nature]]&lt;&gt;"Hrs",0,(1/PptoSty[[#This Row],[Division]])*IF(PptoSty[[#This Row],[Sign]]="+",1,-1)*(IF(PptoSty[[#This Row],[POvsCT]]="PO",SUM(_xlfn.CHOOSECOLS(_xlfn._xlws.FILTER(F_RT14[],(IF($M48="X",TRUE,F_RT14[Site]=$M48))*(F_RT14[Measure]=X$4)*(F_RT14[PrjId]=PptoSty[[#This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737.42499999999995</v>
      </c>
      <c r="Y48" s="338" cm="1">
        <f t="array" ref="Y48">IFERROR(IF(PptoSty[[#This Row],[Nature]]&lt;&gt;"Hrs",0,(1/PptoSty[[#This Row],[Division]])*IF(PptoSty[[#This Row],[Sign]]="+",1,-1)*(IF(PptoSty[[#This Row],[POvsCT]]="PO",SUM(_xlfn.CHOOSECOLS(_xlfn._xlws.FILTER(F_RT14[],(IF($M48="X",TRUE,F_RT14[Site]=$M48))*(F_RT14[Measure]=Y$4)*(F_RT14[PrjId]=PptoSty[[#This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286.12090000000001</v>
      </c>
      <c r="Z48" s="338" cm="1">
        <f t="array" ref="Z48">IFERROR(IF(PptoSty[[#This Row],[Nature]]&lt;&gt;"Hrs",0,(1/PptoSty[[#This Row],[Division]])*IF(PptoSty[[#This Row],[Sign]]="+",1,-1)*(IF(PptoSty[[#This Row],[POvsCT]]="PO",SUM(_xlfn.CHOOSECOLS(_xlfn._xlws.FILTER(F_RT14[],(IF($M48="X",TRUE,F_RT14[Site]=$M48))*(F_RT14[Measure]=Z$4)*(F_RT14[PrjId]=PptoSty[[#This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429.18134999999995</v>
      </c>
      <c r="AA48" s="206" cm="1">
        <f t="array" aca="1" ref="AA48"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96656.783556701033</v>
      </c>
      <c r="AB48" s="206" cm="1">
        <f t="array" aca="1" ref="AB48"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41480.067952440004</v>
      </c>
      <c r="AC48" s="206" cm="1">
        <f t="array" aca="1" ref="AC48"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96809.416447185009</v>
      </c>
      <c r="AG48"/>
      <c r="AH48"/>
      <c r="AI48" s="21"/>
      <c r="AJ48" s="21"/>
      <c r="AK48" s="175"/>
      <c r="AL48" s="176"/>
      <c r="AM48" s="179"/>
      <c r="AN48" s="176"/>
      <c r="AO48"/>
      <c r="AP48" s="21"/>
      <c r="AQ48" s="176"/>
      <c r="AR48" s="176"/>
      <c r="AS48" s="176"/>
      <c r="AT48" s="176"/>
      <c r="AU48" s="176"/>
      <c r="AV48" s="176"/>
      <c r="AW48" s="176"/>
      <c r="AX48" s="176"/>
      <c r="AY48" s="176"/>
      <c r="AZ48" s="176"/>
      <c r="BA48" s="176"/>
      <c r="BB48" s="176"/>
      <c r="BC48" s="176"/>
      <c r="BD48" s="176"/>
      <c r="BE48"/>
      <c r="BF48" s="21"/>
      <c r="BG48" s="176"/>
      <c r="BH48" s="176"/>
      <c r="BI48" s="176"/>
      <c r="BJ48" s="176"/>
      <c r="BK48" s="176"/>
      <c r="BL48" s="176"/>
      <c r="BM48" s="176"/>
      <c r="BN48" s="176"/>
      <c r="BO48" s="176"/>
      <c r="BP48" s="176"/>
      <c r="BQ48" s="176"/>
      <c r="BR48" s="176"/>
      <c r="BS48" s="176"/>
      <c r="BT48" s="176"/>
      <c r="BU48" s="176"/>
      <c r="BV48" s="176"/>
      <c r="BW48" s="176"/>
      <c r="BX48" s="176"/>
      <c r="BY48" s="176"/>
      <c r="BZ48" s="176"/>
      <c r="CA48" s="176"/>
      <c r="CB48" s="176"/>
      <c r="CC48" s="176"/>
      <c r="CD48" s="176"/>
      <c r="CE48" s="176"/>
      <c r="CF48" s="176"/>
      <c r="CG48" s="176"/>
      <c r="CH48" s="176"/>
      <c r="CI48" s="176"/>
      <c r="CJ48" s="176"/>
      <c r="CK48" s="176"/>
      <c r="CL48" s="176"/>
      <c r="CM48" s="176"/>
      <c r="CN48" s="176"/>
      <c r="CO48" s="176"/>
      <c r="CP48" s="176"/>
      <c r="CQ48" s="176"/>
      <c r="CR48" s="176"/>
      <c r="CS48" s="176"/>
      <c r="CT48" s="176"/>
      <c r="CU48" s="176"/>
      <c r="CV48" s="176"/>
      <c r="CW48" s="176"/>
      <c r="CX48" s="176"/>
      <c r="CY48" s="176"/>
      <c r="CZ48" s="176"/>
      <c r="DA48" s="176"/>
      <c r="DB48" s="176"/>
      <c r="DC48" s="176"/>
      <c r="DD48" s="176"/>
      <c r="DE48" s="176"/>
      <c r="DF48" s="176"/>
      <c r="DG48" s="176"/>
      <c r="DH48" s="176"/>
      <c r="DI48" s="176"/>
      <c r="DJ48" s="176"/>
      <c r="DK48" s="176"/>
      <c r="DL48"/>
      <c r="DM48" s="366" t="str" cm="1">
        <f t="array" aca="1" ref="DM4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DN48:DT48</v>
      </c>
      <c r="DN48" s="177" t="s">
        <v>375</v>
      </c>
      <c r="DO48" s="177" t="str" cm="1">
        <f t="array" aca="1" ref="DO48:DT4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48" s="177" t="str">
        <f ca="1"/>
        <v>FABRICACIÓN MECÁNICA</v>
      </c>
      <c r="DQ48" s="177" t="str">
        <f ca="1"/>
        <v>GESTIÓN PROYECTOS</v>
      </c>
      <c r="DR48" s="177" t="str">
        <f ca="1"/>
        <v>METROLOGÍA</v>
      </c>
      <c r="DS48" s="177" t="str">
        <f ca="1"/>
        <v>MONTAJE MECÁNICO</v>
      </c>
      <c r="DT48" s="177" t="str">
        <f ca="1"/>
        <v>ROBÓTICA</v>
      </c>
      <c r="DU48" s="177"/>
      <c r="DV48" s="177"/>
      <c r="DW48" s="177"/>
      <c r="DX48" s="177"/>
      <c r="DY48" s="177"/>
      <c r="DZ48" s="177"/>
      <c r="EA48" s="177"/>
      <c r="EB48" s="177"/>
      <c r="EC48" s="177"/>
      <c r="ED48" s="177"/>
    </row>
    <row r="49" spans="3:134" ht="13" customHeight="1">
      <c r="C49" s="356">
        <v>45596</v>
      </c>
      <c r="D49" s="213" t="s">
        <v>2114</v>
      </c>
      <c r="E49" s="356" t="s">
        <v>1710</v>
      </c>
      <c r="F49" s="219" t="s">
        <v>375</v>
      </c>
      <c r="G49" s="201" t="s">
        <v>1415</v>
      </c>
      <c r="H49" s="202">
        <v>15</v>
      </c>
      <c r="I49" s="339" t="str" cm="1">
        <f t="array" aca="1" ref="I4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G005</v>
      </c>
      <c r="J49" s="203" t="str" cm="1">
        <f t="array" ref="J49">IF(OR(PptoSty[[#This Row],[Project]]="",PptoSty[[#This Row],[Project]]="X"),"X",_xlfn.UNIQUE(_xlfn._xlws.FILTER(CstGrpS[Nature],ISNUMBER(FIND(SUBSTITUTE(PptoSty[[#This Row],[PiColumn]]," +%",""),UPPER(SUBSTITUTE(CstGrpS[GrpPrv],"  "," ")))),"X")))</f>
        <v>Hrs</v>
      </c>
      <c r="K49" s="96" t="s">
        <v>1284</v>
      </c>
      <c r="L49" s="96" t="s">
        <v>380</v>
      </c>
      <c r="M49" s="96" t="s">
        <v>375</v>
      </c>
      <c r="N49" s="96" t="str" cm="1">
        <f t="array" ref="N49">IF(OR(PptoSty[[#This Row],[Project]]="",PptoSty[[#This Row],[Project]]="X"),"X",_xlfn._xlws.FILTER(TbAssign[RowId],(TbAssign[Project]=PptoSty[[#This Row],[Project]])*(TbAssign[Módulo]=PptoSty[[#This Row],[PptoVsRow]]),"X"))</f>
        <v>XE01</v>
      </c>
      <c r="O49" s="96" t="str" cm="1">
        <f t="array" ref="O49">IF(OR(PptoSty[[#This Row],[Project]]="",PptoSty[[#This Row],[Project]]="X"),"X",_xlfn.UNIQUE(_xlfn._xlws.FILTER(F_RT14[Amortz.],(F_RT14[Measure]="CurPpto")*(F_RT14[PrjId]=PptoSty[[#This Row],[Project]])*(F_RT14[Vrs]=PptoSty[[#This Row],[Vrs]])*(_xlfn.TEXTAFTER(F_RT14[ActGrp],":")=PptoSty[[#This Row],[PiRow]]),"X")))</f>
        <v>PEMX</v>
      </c>
      <c r="P49" s="96" t="s">
        <v>298</v>
      </c>
      <c r="Q49" s="96" t="s">
        <v>380</v>
      </c>
      <c r="R49" s="204" t="s">
        <v>403</v>
      </c>
      <c r="S49" s="204">
        <v>4</v>
      </c>
      <c r="T49" s="205" t="str" cm="1">
        <f t="array" aca="1" ref="T4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49" s="206" cm="1">
        <f t="array" ref="U49">IFERROR((1/PptoSty[[#This Row],[Division]])*IF(PptoSty[[#This Row],[Sign]]="+",1,-1)*(IF(PptoSty[[#This Row],[POvsCT]]="PO",SUM(_xlfn.CHOOSECOLS(_xlfn._xlws.FILTER(F_RT14[],(IF($M49="X",TRUE,F_RT14[Site]=$M49))*(F_RT14[Measure]=U$4)*(F_RT14[PrjId]=PptoSty[[#This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22329.097164948453</v>
      </c>
      <c r="V49" s="206" cm="1">
        <f t="array" ref="V49">IFERROR((1/PptoSty[[#This Row],[Division]])*IF(PptoSty[[#This Row],[Sign]]="+",1,-1)*(IF(PptoSty[[#This Row],[POvsCT]]="PO",SUM(_xlfn.CHOOSECOLS(_xlfn._xlws.FILTER(F_RT14[],(IF($M49="X",TRUE,F_RT14[Site]=$M49))*(F_RT14[Measure]=V$4)*(F_RT14[PrjId]=PptoSty[[#This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12866.05573448</v>
      </c>
      <c r="W49" s="206" cm="1">
        <f t="array" ref="W49">IFERROR((1/PptoSty[[#This Row],[Division]])*IF(PptoSty[[#This Row],[Sign]]="+",1,-1)*(IF(PptoSty[[#This Row],[POvsCT]]="PO",SUM(_xlfn.CHOOSECOLS(_xlfn._xlws.FILTER(F_RT14[],(IF($M49="X",TRUE,F_RT14[Site]=$M49))*(F_RT14[Measure]=W$4)*(F_RT14[PrjId]=PptoSty[[#This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22561.076452394998</v>
      </c>
      <c r="X49" s="338" cm="1">
        <f t="array" ref="X49">IFERROR(IF(PptoSty[[#This Row],[Nature]]&lt;&gt;"Hrs",0,(1/PptoSty[[#This Row],[Division]])*IF(PptoSty[[#This Row],[Sign]]="+",1,-1)*(IF(PptoSty[[#This Row],[POvsCT]]="PO",SUM(_xlfn.CHOOSECOLS(_xlfn._xlws.FILTER(F_RT14[],(IF($M49="X",TRUE,F_RT14[Site]=$M49))*(F_RT14[Measure]=X$4)*(F_RT14[PrjId]=PptoSty[[#This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737.42499999999995</v>
      </c>
      <c r="Y49" s="338" cm="1">
        <f t="array" ref="Y49">IFERROR(IF(PptoSty[[#This Row],[Nature]]&lt;&gt;"Hrs",0,(1/PptoSty[[#This Row],[Division]])*IF(PptoSty[[#This Row],[Sign]]="+",1,-1)*(IF(PptoSty[[#This Row],[POvsCT]]="PO",SUM(_xlfn.CHOOSECOLS(_xlfn._xlws.FILTER(F_RT14[],(IF($M49="X",TRUE,F_RT14[Site]=$M49))*(F_RT14[Measure]=Y$4)*(F_RT14[PrjId]=PptoSty[[#This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286.12090000000001</v>
      </c>
      <c r="Z49" s="338" cm="1">
        <f t="array" ref="Z49">IFERROR(IF(PptoSty[[#This Row],[Nature]]&lt;&gt;"Hrs",0,(1/PptoSty[[#This Row],[Division]])*IF(PptoSty[[#This Row],[Sign]]="+",1,-1)*(IF(PptoSty[[#This Row],[POvsCT]]="PO",SUM(_xlfn.CHOOSECOLS(_xlfn._xlws.FILTER(F_RT14[],(IF($M49="X",TRUE,F_RT14[Site]=$M49))*(F_RT14[Measure]=Z$4)*(F_RT14[PrjId]=PptoSty[[#This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429.18134999999995</v>
      </c>
      <c r="AA49" s="206" cm="1">
        <f t="array" aca="1" ref="AA49"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22329.097164948453</v>
      </c>
      <c r="AB49" s="206" cm="1">
        <f t="array" aca="1" ref="AB49"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12866.05573448</v>
      </c>
      <c r="AC49" s="206" cm="1">
        <f t="array" aca="1" ref="AC49"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22561.076452394998</v>
      </c>
      <c r="AG49"/>
      <c r="AH49"/>
      <c r="AI49" s="21"/>
      <c r="AJ49" s="21"/>
      <c r="AK49" s="175"/>
      <c r="AL49" s="176"/>
      <c r="AM49" s="179"/>
      <c r="AN49" s="176"/>
      <c r="AO49"/>
      <c r="AP49" s="21"/>
      <c r="AQ49" s="176"/>
      <c r="AR49" s="176"/>
      <c r="AS49" s="176"/>
      <c r="AT49" s="176"/>
      <c r="AU49" s="176"/>
      <c r="AV49" s="176"/>
      <c r="AW49" s="176"/>
      <c r="AX49" s="176"/>
      <c r="AY49" s="176"/>
      <c r="AZ49" s="176"/>
      <c r="BA49" s="176"/>
      <c r="BB49" s="176"/>
      <c r="BC49" s="176"/>
      <c r="BD49" s="176"/>
      <c r="BE49"/>
      <c r="BF49" s="21"/>
      <c r="BG49" s="176"/>
      <c r="BH49" s="176"/>
      <c r="BI49" s="176"/>
      <c r="BJ49" s="176"/>
      <c r="BK49" s="176"/>
      <c r="BL49" s="176"/>
      <c r="BM49" s="176"/>
      <c r="BN49" s="176"/>
      <c r="BO49" s="176"/>
      <c r="BP49" s="176"/>
      <c r="BQ49" s="176"/>
      <c r="BR49" s="176"/>
      <c r="BS49" s="176"/>
      <c r="BT49" s="176"/>
      <c r="BU49" s="176"/>
      <c r="BV49" s="176"/>
      <c r="BW49" s="176"/>
      <c r="BX49" s="176"/>
      <c r="BY49" s="176"/>
      <c r="BZ49" s="176"/>
      <c r="CA49" s="176"/>
      <c r="CB49" s="176"/>
      <c r="CC49" s="176"/>
      <c r="CD49" s="176"/>
      <c r="CE49" s="176"/>
      <c r="CF49" s="176"/>
      <c r="CG49" s="176"/>
      <c r="CH49" s="176"/>
      <c r="CI49" s="176"/>
      <c r="CJ49" s="176"/>
      <c r="CK49" s="176"/>
      <c r="CL49" s="176"/>
      <c r="CM49" s="176"/>
      <c r="CN49" s="176"/>
      <c r="CO49" s="176"/>
      <c r="CP49" s="176"/>
      <c r="CQ49" s="176"/>
      <c r="CR49" s="176"/>
      <c r="CS49" s="176"/>
      <c r="CT49" s="176"/>
      <c r="CU49" s="176"/>
      <c r="CV49" s="176"/>
      <c r="CW49" s="176"/>
      <c r="CX49" s="176"/>
      <c r="CY49" s="176"/>
      <c r="CZ49" s="176"/>
      <c r="DA49" s="176"/>
      <c r="DB49" s="176"/>
      <c r="DC49" s="176"/>
      <c r="DD49" s="176"/>
      <c r="DE49" s="176"/>
      <c r="DF49" s="176"/>
      <c r="DG49" s="176"/>
      <c r="DH49" s="176"/>
      <c r="DI49" s="176"/>
      <c r="DJ49" s="176"/>
      <c r="DK49" s="176"/>
      <c r="DL49"/>
      <c r="DM49" s="366" t="str" cm="1">
        <f t="array" aca="1" ref="DM49"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DN49:DT49</v>
      </c>
      <c r="DN49" s="177" t="s">
        <v>375</v>
      </c>
      <c r="DO49" s="177" t="str" cm="1">
        <f t="array" aca="1" ref="DO49:DT49"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49" s="177" t="str">
        <f ca="1"/>
        <v>FABRICACIÓN MECÁNICA</v>
      </c>
      <c r="DQ49" s="177" t="str">
        <f ca="1"/>
        <v>GESTIÓN PROYECTOS</v>
      </c>
      <c r="DR49" s="177" t="str">
        <f ca="1"/>
        <v>METROLOGÍA</v>
      </c>
      <c r="DS49" s="177" t="str">
        <f ca="1"/>
        <v>MONTAJE MECÁNICO</v>
      </c>
      <c r="DT49" s="177" t="str">
        <f ca="1"/>
        <v>ROBÓTICA</v>
      </c>
      <c r="DU49" s="177"/>
      <c r="DV49" s="177"/>
      <c r="DW49" s="177"/>
      <c r="DX49" s="177"/>
      <c r="DY49" s="177"/>
      <c r="DZ49" s="177"/>
      <c r="EA49" s="177"/>
      <c r="EB49" s="177"/>
      <c r="EC49" s="177"/>
      <c r="ED49" s="177"/>
    </row>
    <row r="50" spans="3:134" ht="13" customHeight="1">
      <c r="C50" s="213">
        <v>45252</v>
      </c>
      <c r="D50" s="213" t="s">
        <v>2114</v>
      </c>
      <c r="E50" s="213" t="s">
        <v>1710</v>
      </c>
      <c r="F50" s="219" t="s">
        <v>375</v>
      </c>
      <c r="G50" s="201" t="s">
        <v>1415</v>
      </c>
      <c r="H50" s="202">
        <v>15</v>
      </c>
      <c r="I50" s="339" t="str" cm="1">
        <f t="array" aca="1" ref="I5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G006</v>
      </c>
      <c r="J50" s="203" t="str" cm="1">
        <f t="array" ref="J50">IF(OR(PptoSty[[#This Row],[Project]]="",PptoSty[[#This Row],[Project]]="X"),"X",_xlfn.UNIQUE(_xlfn._xlws.FILTER(CstGrpS[Nature],ISNUMBER(FIND(SUBSTITUTE(PptoSty[[#This Row],[PiColumn]]," +%",""),UPPER(SUBSTITUTE(CstGrpS[GrpPrv],"  "," ")))),"X")))</f>
        <v>Hrs</v>
      </c>
      <c r="K50" s="96" t="s">
        <v>417</v>
      </c>
      <c r="L50" s="96" t="s">
        <v>380</v>
      </c>
      <c r="M50" s="96" t="s">
        <v>375</v>
      </c>
      <c r="N50" s="96" t="str" cm="1">
        <f t="array" ref="N50">IF(OR(PptoSty[[#This Row],[Project]]="",PptoSty[[#This Row],[Project]]="X"),"X",_xlfn._xlws.FILTER(TbAssign[RowId],(TbAssign[Project]=PptoSty[[#This Row],[Project]])*(TbAssign[Módulo]=PptoSty[[#This Row],[PptoVsRow]]),"X"))</f>
        <v>XD01</v>
      </c>
      <c r="O50" s="96" t="str" cm="1">
        <f t="array" ref="O50">IF(OR(PptoSty[[#This Row],[Project]]="",PptoSty[[#This Row],[Project]]="X"),"X",_xlfn.UNIQUE(_xlfn._xlws.FILTER(F_RT14[Amortz.],(F_RT14[Measure]="CurPpto")*(F_RT14[PrjId]=PptoSty[[#This Row],[Project]])*(F_RT14[Vrs]=PptoSty[[#This Row],[Vrs]])*(_xlfn.TEXTAFTER(F_RT14[ActGrp],":")=PptoSty[[#This Row],[PiRow]]),"X")))</f>
        <v>TRSL</v>
      </c>
      <c r="P50" s="96" t="s">
        <v>417</v>
      </c>
      <c r="Q50" s="96" t="s">
        <v>380</v>
      </c>
      <c r="R50" s="204" t="s">
        <v>403</v>
      </c>
      <c r="S50" s="204">
        <v>1</v>
      </c>
      <c r="T50" s="205" t="str" cm="1">
        <f t="array" aca="1" ref="T5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50" s="206" cm="1">
        <f t="array" ref="U50">IFERROR((1/PptoSty[[#This Row],[Division]])*IF(PptoSty[[#This Row],[Sign]]="+",1,-1)*(IF(PptoSty[[#This Row],[POvsCT]]="PO",SUM(_xlfn.CHOOSECOLS(_xlfn._xlws.FILTER(F_RT14[],(IF($M50="X",TRUE,F_RT14[Site]=$M50))*(F_RT14[Measure]=U$4)*(F_RT14[PrjId]=PptoSty[[#This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27736.316185567011</v>
      </c>
      <c r="V50" s="206" cm="1">
        <f t="array" ref="V50">IFERROR((1/PptoSty[[#This Row],[Division]])*IF(PptoSty[[#This Row],[Sign]]="+",1,-1)*(IF(PptoSty[[#This Row],[POvsCT]]="PO",SUM(_xlfn.CHOOSECOLS(_xlfn._xlws.FILTER(F_RT14[],(IF($M50="X",TRUE,F_RT14[Site]=$M50))*(F_RT14[Measure]=V$4)*(F_RT14[PrjId]=PptoSty[[#This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8483.055848</v>
      </c>
      <c r="W50" s="206" cm="1">
        <f t="array" ref="W50">IFERROR((1/PptoSty[[#This Row],[Division]])*IF(PptoSty[[#This Row],[Sign]]="+",1,-1)*(IF(PptoSty[[#This Row],[POvsCT]]="PO",SUM(_xlfn.CHOOSECOLS(_xlfn._xlws.FILTER(F_RT14[],(IF($M50="X",TRUE,F_RT14[Site]=$M50))*(F_RT14[Measure]=W$4)*(F_RT14[PrjId]=PptoSty[[#This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19244.010419999999</v>
      </c>
      <c r="X50" s="338" cm="1">
        <f t="array" ref="X50">IFERROR(IF(PptoSty[[#This Row],[Nature]]&lt;&gt;"Hrs",0,(1/PptoSty[[#This Row],[Division]])*IF(PptoSty[[#This Row],[Sign]]="+",1,-1)*(IF(PptoSty[[#This Row],[POvsCT]]="PO",SUM(_xlfn.CHOOSECOLS(_xlfn._xlws.FILTER(F_RT14[],(IF($M50="X",TRUE,F_RT14[Site]=$M50))*(F_RT14[Measure]=X$4)*(F_RT14[PrjId]=PptoSty[[#This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916</v>
      </c>
      <c r="Y50" s="338" cm="1">
        <f t="array" ref="Y50">IFERROR(IF(PptoSty[[#This Row],[Nature]]&lt;&gt;"Hrs",0,(1/PptoSty[[#This Row],[Division]])*IF(PptoSty[[#This Row],[Sign]]="+",1,-1)*(IF(PptoSty[[#This Row],[POvsCT]]="PO",SUM(_xlfn.CHOOSECOLS(_xlfn._xlws.FILTER(F_RT14[],(IF($M50="X",TRUE,F_RT14[Site]=$M50))*(F_RT14[Measure]=Y$4)*(F_RT14[PrjId]=PptoSty[[#This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222.13</v>
      </c>
      <c r="Z50" s="338" cm="1">
        <f t="array" ref="Z50">IFERROR(IF(PptoSty[[#This Row],[Nature]]&lt;&gt;"Hrs",0,(1/PptoSty[[#This Row],[Division]])*IF(PptoSty[[#This Row],[Sign]]="+",1,-1)*(IF(PptoSty[[#This Row],[POvsCT]]="PO",SUM(_xlfn.CHOOSECOLS(_xlfn._xlws.FILTER(F_RT14[],(IF($M50="X",TRUE,F_RT14[Site]=$M50))*(F_RT14[Measure]=Z$4)*(F_RT14[PrjId]=PptoSty[[#This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666.39</v>
      </c>
      <c r="AA50" s="206" cm="1">
        <f t="array" aca="1" ref="AA50"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27736.316185567011</v>
      </c>
      <c r="AB50" s="206" cm="1">
        <f t="array" aca="1" ref="AB50"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8483.055848</v>
      </c>
      <c r="AC50" s="206" cm="1">
        <f t="array" aca="1" ref="AC50"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19244.010419999999</v>
      </c>
      <c r="AG50"/>
      <c r="AH50"/>
      <c r="AI50" s="21"/>
      <c r="AJ50" s="21"/>
      <c r="AK50" s="175"/>
      <c r="AL50" s="176"/>
      <c r="AM50" s="179"/>
      <c r="AN50" s="176"/>
      <c r="AO50"/>
      <c r="AP50" s="21"/>
      <c r="AQ50" s="176"/>
      <c r="AR50" s="176"/>
      <c r="AS50" s="176"/>
      <c r="AT50" s="176"/>
      <c r="AU50" s="176"/>
      <c r="AV50" s="176"/>
      <c r="AW50" s="176"/>
      <c r="AX50" s="176"/>
      <c r="AY50" s="176"/>
      <c r="AZ50" s="176"/>
      <c r="BA50" s="176"/>
      <c r="BB50" s="176"/>
      <c r="BC50" s="176"/>
      <c r="BD50" s="176"/>
      <c r="BE50"/>
      <c r="BF50" s="21"/>
      <c r="BG50" s="176"/>
      <c r="BH50" s="176"/>
      <c r="BI50" s="176"/>
      <c r="BJ50" s="176"/>
      <c r="BK50" s="176"/>
      <c r="BL50" s="176"/>
      <c r="BM50" s="176"/>
      <c r="BN50" s="176"/>
      <c r="BO50" s="176"/>
      <c r="BP50" s="176"/>
      <c r="BQ50" s="176"/>
      <c r="BR50" s="176"/>
      <c r="BS50" s="176"/>
      <c r="BT50" s="176"/>
      <c r="BU50" s="176"/>
      <c r="BV50" s="176"/>
      <c r="BW50" s="176"/>
      <c r="BX50" s="176"/>
      <c r="BY50" s="176"/>
      <c r="BZ50" s="176"/>
      <c r="CA50" s="176"/>
      <c r="CB50" s="176"/>
      <c r="CC50" s="176"/>
      <c r="CD50" s="176"/>
      <c r="CE50" s="176"/>
      <c r="CF50" s="176"/>
      <c r="CG50" s="176"/>
      <c r="CH50" s="176"/>
      <c r="CI50" s="176"/>
      <c r="CJ50" s="176"/>
      <c r="CK50" s="176"/>
      <c r="CL50" s="176"/>
      <c r="CM50" s="176"/>
      <c r="CN50" s="176"/>
      <c r="CO50" s="176"/>
      <c r="CP50" s="176"/>
      <c r="CQ50" s="176"/>
      <c r="CR50" s="176"/>
      <c r="CS50" s="176"/>
      <c r="CT50" s="176"/>
      <c r="CU50" s="176"/>
      <c r="CV50" s="176"/>
      <c r="CW50" s="176"/>
      <c r="CX50" s="176"/>
      <c r="CY50" s="176"/>
      <c r="CZ50" s="176"/>
      <c r="DA50" s="176"/>
      <c r="DB50" s="176"/>
      <c r="DC50" s="176"/>
      <c r="DD50" s="176"/>
      <c r="DE50" s="176"/>
      <c r="DF50" s="176"/>
      <c r="DG50" s="176"/>
      <c r="DH50" s="176"/>
      <c r="DI50" s="176"/>
      <c r="DJ50" s="176"/>
      <c r="DK50" s="176"/>
      <c r="DL50"/>
      <c r="DM50" s="366" t="str" cm="1">
        <f t="array" aca="1" ref="DM50"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DN50:DP50</v>
      </c>
      <c r="DN50" s="177" t="s">
        <v>375</v>
      </c>
      <c r="DO50" s="177" t="str" cm="1">
        <f t="array" aca="1" ref="DO50:DP50"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INSTALACIÓN ENR</v>
      </c>
      <c r="DP50" s="177" t="str">
        <f ca="1"/>
        <v>MONTAJE MECÁNICO</v>
      </c>
      <c r="DQ50" s="177"/>
      <c r="DR50" s="177"/>
      <c r="DS50" s="177"/>
      <c r="DT50" s="177"/>
      <c r="DU50" s="177"/>
      <c r="DV50" s="177"/>
      <c r="DW50" s="177"/>
      <c r="DX50" s="177"/>
      <c r="DY50" s="177"/>
      <c r="DZ50" s="177"/>
      <c r="EA50" s="177"/>
      <c r="EB50" s="177"/>
      <c r="EC50" s="177"/>
      <c r="ED50" s="177"/>
    </row>
    <row r="51" spans="3:134" ht="13" customHeight="1">
      <c r="C51" s="213">
        <v>45252</v>
      </c>
      <c r="D51" s="213" t="s">
        <v>2114</v>
      </c>
      <c r="E51" s="213" t="s">
        <v>1710</v>
      </c>
      <c r="F51" s="219" t="s">
        <v>375</v>
      </c>
      <c r="G51" s="201" t="s">
        <v>1415</v>
      </c>
      <c r="H51" s="202">
        <v>15</v>
      </c>
      <c r="I51" s="339" t="str" cm="1">
        <f t="array" aca="1" ref="I5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G006</v>
      </c>
      <c r="J51" s="203" t="str" cm="1">
        <f t="array" ref="J51">IF(OR(PptoSty[[#This Row],[Project]]="",PptoSty[[#This Row],[Project]]="X"),"X",_xlfn.UNIQUE(_xlfn._xlws.FILTER(CstGrpS[Nature],ISNUMBER(FIND(SUBSTITUTE(PptoSty[[#This Row],[PiColumn]]," +%",""),UPPER(SUBSTITUTE(CstGrpS[GrpPrv],"  "," ")))),"X")))</f>
        <v>Hrs</v>
      </c>
      <c r="K51" s="96" t="s">
        <v>417</v>
      </c>
      <c r="L51" s="96" t="s">
        <v>1645</v>
      </c>
      <c r="M51" s="96" t="s">
        <v>375</v>
      </c>
      <c r="N51" s="96" t="str" cm="1">
        <f t="array" ref="N51">IF(OR(PptoSty[[#This Row],[Project]]="",PptoSty[[#This Row],[Project]]="X"),"X",_xlfn._xlws.FILTER(TbAssign[RowId],(TbAssign[Project]=PptoSty[[#This Row],[Project]])*(TbAssign[Módulo]=PptoSty[[#This Row],[PptoVsRow]]),"X"))</f>
        <v>XD01</v>
      </c>
      <c r="O51" s="96" t="str" cm="1">
        <f t="array" ref="O51">IF(OR(PptoSty[[#This Row],[Project]]="",PptoSty[[#This Row],[Project]]="X"),"X",_xlfn.UNIQUE(_xlfn._xlws.FILTER(F_RT14[Amortz.],(F_RT14[Measure]="CurPpto")*(F_RT14[PrjId]=PptoSty[[#This Row],[Project]])*(F_RT14[Vrs]=PptoSty[[#This Row],[Vrs]])*(_xlfn.TEXTAFTER(F_RT14[ActGrp],":")=PptoSty[[#This Row],[PiRow]]),"X")))</f>
        <v>TRSL</v>
      </c>
      <c r="P51" s="96" t="s">
        <v>417</v>
      </c>
      <c r="Q51" s="96" t="s">
        <v>389</v>
      </c>
      <c r="R51" s="204" t="s">
        <v>403</v>
      </c>
      <c r="S51" s="204">
        <v>1</v>
      </c>
      <c r="T51" s="205" t="str" cm="1">
        <f t="array" aca="1" ref="T5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51" s="206" cm="1">
        <f t="array" ref="U51">IFERROR((1/PptoSty[[#This Row],[Division]])*IF(PptoSty[[#This Row],[Sign]]="+",1,-1)*(IF(PptoSty[[#This Row],[POvsCT]]="PO",SUM(_xlfn.CHOOSECOLS(_xlfn._xlws.FILTER(F_RT14[],(IF($M51="X",TRUE,F_RT14[Site]=$M51))*(F_RT14[Measure]=U$4)*(F_RT14[PrjId]=PptoSty[[#This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37117.572371134025</v>
      </c>
      <c r="V51" s="206" cm="1">
        <f t="array" ref="V51">IFERROR((1/PptoSty[[#This Row],[Division]])*IF(PptoSty[[#This Row],[Sign]]="+",1,-1)*(IF(PptoSty[[#This Row],[POvsCT]]="PO",SUM(_xlfn.CHOOSECOLS(_xlfn._xlws.FILTER(F_RT14[],(IF($M51="X",TRUE,F_RT14[Site]=$M51))*(F_RT14[Measure]=V$4)*(F_RT14[PrjId]=PptoSty[[#This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3753.4157760000007</v>
      </c>
      <c r="W51" s="206" cm="1">
        <f t="array" ref="W51">IFERROR((1/PptoSty[[#This Row],[Division]])*IF(PptoSty[[#This Row],[Sign]]="+",1,-1)*(IF(PptoSty[[#This Row],[POvsCT]]="PO",SUM(_xlfn.CHOOSECOLS(_xlfn._xlws.FILTER(F_RT14[],(IF($M51="X",TRUE,F_RT14[Site]=$M51))*(F_RT14[Measure]=W$4)*(F_RT14[PrjId]=PptoSty[[#This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24565.884768</v>
      </c>
      <c r="X51" s="338" cm="1">
        <f t="array" ref="X51">IFERROR(IF(PptoSty[[#This Row],[Nature]]&lt;&gt;"Hrs",0,(1/PptoSty[[#This Row],[Division]])*IF(PptoSty[[#This Row],[Sign]]="+",1,-1)*(IF(PptoSty[[#This Row],[POvsCT]]="PO",SUM(_xlfn.CHOOSECOLS(_xlfn._xlws.FILTER(F_RT14[],(IF($M51="X",TRUE,F_RT14[Site]=$M51))*(F_RT14[Measure]=X$4)*(F_RT14[PrjId]=PptoSty[[#This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960.00000000000011</v>
      </c>
      <c r="Y51" s="338" cm="1">
        <f t="array" ref="Y51">IFERROR(IF(PptoSty[[#This Row],[Nature]]&lt;&gt;"Hrs",0,(1/PptoSty[[#This Row],[Division]])*IF(PptoSty[[#This Row],[Sign]]="+",1,-1)*(IF(PptoSty[[#This Row],[POvsCT]]="PO",SUM(_xlfn.CHOOSECOLS(_xlfn._xlws.FILTER(F_RT14[],(IF($M51="X",TRUE,F_RT14[Site]=$M51))*(F_RT14[Measure]=Y$4)*(F_RT14[PrjId]=PptoSty[[#This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93.12</v>
      </c>
      <c r="Z51" s="338" cm="1">
        <f t="array" ref="Z51">IFERROR(IF(PptoSty[[#This Row],[Nature]]&lt;&gt;"Hrs",0,(1/PptoSty[[#This Row],[Division]])*IF(PptoSty[[#This Row],[Sign]]="+",1,-1)*(IF(PptoSty[[#This Row],[POvsCT]]="PO",SUM(_xlfn.CHOOSECOLS(_xlfn._xlws.FILTER(F_RT14[],(IF($M51="X",TRUE,F_RT14[Site]=$M51))*(F_RT14[Measure]=Z$4)*(F_RT14[PrjId]=PptoSty[[#This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838.08</v>
      </c>
      <c r="AA51" s="206" cm="1">
        <f t="array" aca="1" ref="AA51"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37117.572371134025</v>
      </c>
      <c r="AB51" s="206" cm="1">
        <f t="array" aca="1" ref="AB51"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3753.4157760000007</v>
      </c>
      <c r="AC51" s="206" cm="1">
        <f t="array" aca="1" ref="AC51"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24565.884768</v>
      </c>
      <c r="AG51"/>
      <c r="AH51"/>
      <c r="AI51" s="21"/>
      <c r="AJ51" s="21"/>
      <c r="AK51" s="175"/>
      <c r="AL51" s="176"/>
      <c r="AM51" s="179"/>
      <c r="AN51" s="176"/>
      <c r="AO51"/>
      <c r="AP51" s="21"/>
      <c r="AQ51" s="176"/>
      <c r="AR51" s="176"/>
      <c r="AS51" s="176"/>
      <c r="AT51" s="176"/>
      <c r="AU51" s="176"/>
      <c r="AV51" s="176"/>
      <c r="AW51" s="176"/>
      <c r="AX51" s="176"/>
      <c r="AY51" s="176"/>
      <c r="AZ51" s="176"/>
      <c r="BA51" s="176"/>
      <c r="BB51" s="176"/>
      <c r="BC51" s="176"/>
      <c r="BD51" s="176"/>
      <c r="BE51"/>
      <c r="BF51" s="21"/>
      <c r="BG51" s="176"/>
      <c r="BH51" s="176"/>
      <c r="BI51" s="176"/>
      <c r="BJ51" s="176"/>
      <c r="BK51" s="176"/>
      <c r="BL51" s="176"/>
      <c r="BM51" s="176"/>
      <c r="BN51" s="176"/>
      <c r="BO51" s="176"/>
      <c r="BP51" s="176"/>
      <c r="BQ51" s="176"/>
      <c r="BR51" s="176"/>
      <c r="BS51" s="176"/>
      <c r="BT51" s="176"/>
      <c r="BU51" s="176"/>
      <c r="BV51" s="176"/>
      <c r="BW51" s="176"/>
      <c r="BX51" s="176"/>
      <c r="BY51" s="176"/>
      <c r="BZ51" s="176"/>
      <c r="CA51" s="176"/>
      <c r="CB51" s="176"/>
      <c r="CC51" s="176"/>
      <c r="CD51" s="176"/>
      <c r="CE51" s="176"/>
      <c r="CF51" s="176"/>
      <c r="CG51" s="176"/>
      <c r="CH51" s="176"/>
      <c r="CI51" s="176"/>
      <c r="CJ51" s="176"/>
      <c r="CK51" s="176"/>
      <c r="CL51" s="176"/>
      <c r="CM51" s="176"/>
      <c r="CN51" s="176"/>
      <c r="CO51" s="176"/>
      <c r="CP51" s="176"/>
      <c r="CQ51" s="176"/>
      <c r="CR51" s="176"/>
      <c r="CS51" s="176"/>
      <c r="CT51" s="176"/>
      <c r="CU51" s="176"/>
      <c r="CV51" s="176"/>
      <c r="CW51" s="176"/>
      <c r="CX51" s="176"/>
      <c r="CY51" s="176"/>
      <c r="CZ51" s="176"/>
      <c r="DA51" s="176"/>
      <c r="DB51" s="176"/>
      <c r="DC51" s="176"/>
      <c r="DD51" s="176"/>
      <c r="DE51" s="176"/>
      <c r="DF51" s="176"/>
      <c r="DG51" s="176"/>
      <c r="DH51" s="176"/>
      <c r="DI51" s="176"/>
      <c r="DJ51" s="176"/>
      <c r="DK51" s="176"/>
      <c r="DL51"/>
      <c r="DM51" s="366" t="str" cm="1">
        <f t="array" aca="1" ref="DM51"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DN51:DP51</v>
      </c>
      <c r="DN51" s="177" t="s">
        <v>375</v>
      </c>
      <c r="DO51" s="177" t="str" cm="1">
        <f t="array" aca="1" ref="DO51:DP51"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INSTALACIÓN ENR</v>
      </c>
      <c r="DP51" s="177" t="str">
        <f ca="1"/>
        <v>MONTAJE MECÁNICO</v>
      </c>
      <c r="DQ51" s="177"/>
      <c r="DR51" s="177"/>
      <c r="DS51" s="177"/>
      <c r="DT51" s="177"/>
      <c r="DU51" s="177"/>
      <c r="DV51" s="177"/>
      <c r="DW51" s="177"/>
      <c r="DX51" s="177"/>
      <c r="DY51" s="177"/>
      <c r="DZ51" s="177"/>
      <c r="EA51" s="177"/>
      <c r="EB51" s="177"/>
      <c r="EC51" s="177"/>
      <c r="ED51" s="177"/>
    </row>
    <row r="52" spans="3:134" ht="13" customHeight="1">
      <c r="C52" s="213">
        <v>45252</v>
      </c>
      <c r="D52" s="213" t="s">
        <v>2114</v>
      </c>
      <c r="E52" s="213" t="s">
        <v>1710</v>
      </c>
      <c r="F52" s="219" t="s">
        <v>375</v>
      </c>
      <c r="G52" s="201" t="s">
        <v>1415</v>
      </c>
      <c r="H52" s="202">
        <v>15</v>
      </c>
      <c r="I52" s="339" t="str" cm="1">
        <f t="array" aca="1" ref="I5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G007</v>
      </c>
      <c r="J52" s="203" t="str" cm="1">
        <f t="array" ref="J52">IF(OR(PptoSty[[#This Row],[Project]]="",PptoSty[[#This Row],[Project]]="X"),"X",_xlfn.UNIQUE(_xlfn._xlws.FILTER(CstGrpS[Nature],ISNUMBER(FIND(SUBSTITUTE(PptoSty[[#This Row],[PiColumn]]," +%",""),UPPER(SUBSTITUTE(CstGrpS[GrpPrv],"  "," ")))),"X")))</f>
        <v>Hrs</v>
      </c>
      <c r="K52" s="96" t="s">
        <v>418</v>
      </c>
      <c r="L52" s="96" t="s">
        <v>380</v>
      </c>
      <c r="M52" s="96" t="s">
        <v>375</v>
      </c>
      <c r="N52" s="96" t="str" cm="1">
        <f t="array" ref="N52">IF(OR(PptoSty[[#This Row],[Project]]="",PptoSty[[#This Row],[Project]]="X"),"X",_xlfn._xlws.FILTER(TbAssign[RowId],(TbAssign[Project]=PptoSty[[#This Row],[Project]])*(TbAssign[Módulo]=PptoSty[[#This Row],[PptoVsRow]]),"X"))</f>
        <v>XD01</v>
      </c>
      <c r="O52" s="96" t="str" cm="1">
        <f t="array" ref="O52">IF(OR(PptoSty[[#This Row],[Project]]="",PptoSty[[#This Row],[Project]]="X"),"X",_xlfn.UNIQUE(_xlfn._xlws.FILTER(F_RT14[Amortz.],(F_RT14[Measure]="CurPpto")*(F_RT14[PrjId]=PptoSty[[#This Row],[Project]])*(F_RT14[Vrs]=PptoSty[[#This Row],[Vrs]])*(_xlfn.TEXTAFTER(F_RT14[ActGrp],":")=PptoSty[[#This Row],[PiRow]]),"X")))</f>
        <v>TRSL</v>
      </c>
      <c r="P52" s="96" t="s">
        <v>417</v>
      </c>
      <c r="Q52" s="96" t="s">
        <v>380</v>
      </c>
      <c r="R52" s="204" t="s">
        <v>403</v>
      </c>
      <c r="S52" s="204">
        <v>1</v>
      </c>
      <c r="T52" s="205" t="str" cm="1">
        <f t="array" aca="1" ref="T5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52" s="206" cm="1">
        <f t="array" ref="U52">IFERROR((1/PptoSty[[#This Row],[Division]])*IF(PptoSty[[#This Row],[Sign]]="+",1,-1)*(IF(PptoSty[[#This Row],[POvsCT]]="PO",SUM(_xlfn.CHOOSECOLS(_xlfn._xlws.FILTER(F_RT14[],(IF($M52="X",TRUE,F_RT14[Site]=$M52))*(F_RT14[Measure]=U$4)*(F_RT14[PrjId]=PptoSty[[#This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41619.614226804129</v>
      </c>
      <c r="V52" s="206" cm="1">
        <f t="array" ref="V52">IFERROR((1/PptoSty[[#This Row],[Division]])*IF(PptoSty[[#This Row],[Sign]]="+",1,-1)*(IF(PptoSty[[#This Row],[POvsCT]]="PO",SUM(_xlfn.CHOOSECOLS(_xlfn._xlws.FILTER(F_RT14[],(IF($M52="X",TRUE,F_RT14[Site]=$M52))*(F_RT14[Measure]=V$4)*(F_RT14[PrjId]=PptoSty[[#This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12729.214260999999</v>
      </c>
      <c r="W52" s="206" cm="1">
        <f t="array" ref="W52">IFERROR((1/PptoSty[[#This Row],[Division]])*IF(PptoSty[[#This Row],[Sign]]="+",1,-1)*(IF(PptoSty[[#This Row],[POvsCT]]="PO",SUM(_xlfn.CHOOSECOLS(_xlfn._xlws.FILTER(F_RT14[],(IF($M52="X",TRUE,F_RT14[Site]=$M52))*(F_RT14[Measure]=W$4)*(F_RT14[PrjId]=PptoSty[[#This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28876.520002499998</v>
      </c>
      <c r="X52" s="338" cm="1">
        <f t="array" ref="X52">IFERROR(IF(PptoSty[[#This Row],[Nature]]&lt;&gt;"Hrs",0,(1/PptoSty[[#This Row],[Division]])*IF(PptoSty[[#This Row],[Sign]]="+",1,-1)*(IF(PptoSty[[#This Row],[POvsCT]]="PO",SUM(_xlfn.CHOOSECOLS(_xlfn._xlws.FILTER(F_RT14[],(IF($M52="X",TRUE,F_RT14[Site]=$M52))*(F_RT14[Measure]=X$4)*(F_RT14[PrjId]=PptoSty[[#This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1374.5</v>
      </c>
      <c r="Y52" s="338" cm="1">
        <f t="array" ref="Y52">IFERROR(IF(PptoSty[[#This Row],[Nature]]&lt;&gt;"Hrs",0,(1/PptoSty[[#This Row],[Division]])*IF(PptoSty[[#This Row],[Sign]]="+",1,-1)*(IF(PptoSty[[#This Row],[POvsCT]]="PO",SUM(_xlfn.CHOOSECOLS(_xlfn._xlws.FILTER(F_RT14[],(IF($M52="X",TRUE,F_RT14[Site]=$M52))*(F_RT14[Measure]=Y$4)*(F_RT14[PrjId]=PptoSty[[#This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333.31624999999997</v>
      </c>
      <c r="Z52" s="338" cm="1">
        <f t="array" ref="Z52">IFERROR(IF(PptoSty[[#This Row],[Nature]]&lt;&gt;"Hrs",0,(1/PptoSty[[#This Row],[Division]])*IF(PptoSty[[#This Row],[Sign]]="+",1,-1)*(IF(PptoSty[[#This Row],[POvsCT]]="PO",SUM(_xlfn.CHOOSECOLS(_xlfn._xlws.FILTER(F_RT14[],(IF($M52="X",TRUE,F_RT14[Site]=$M52))*(F_RT14[Measure]=Z$4)*(F_RT14[PrjId]=PptoSty[[#This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999.9487499999999</v>
      </c>
      <c r="AA52" s="206" cm="1">
        <f t="array" aca="1" ref="AA52"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69355.930412371148</v>
      </c>
      <c r="AB52" s="206" cm="1">
        <f t="array" aca="1" ref="AB52"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21212.270108999997</v>
      </c>
      <c r="AC52" s="206" cm="1">
        <f t="array" aca="1" ref="AC52"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48120.5304225</v>
      </c>
      <c r="AG52"/>
      <c r="AH52"/>
      <c r="AI52" s="21"/>
      <c r="AJ52" s="21"/>
      <c r="AK52" s="175"/>
      <c r="AL52" s="176"/>
      <c r="AM52" s="179"/>
      <c r="AN52" s="176"/>
      <c r="AO52"/>
      <c r="AP52" s="21"/>
      <c r="AQ52" s="176"/>
      <c r="AR52" s="176"/>
      <c r="AS52" s="176"/>
      <c r="AT52" s="176"/>
      <c r="AU52" s="176"/>
      <c r="AV52" s="176"/>
      <c r="AW52" s="176"/>
      <c r="AX52" s="176"/>
      <c r="AY52" s="176"/>
      <c r="AZ52" s="176"/>
      <c r="BA52" s="176"/>
      <c r="BB52" s="176"/>
      <c r="BC52" s="176"/>
      <c r="BD52" s="176"/>
      <c r="BE52"/>
      <c r="BF52" s="21"/>
      <c r="BG52" s="176"/>
      <c r="BH52" s="176"/>
      <c r="BI52" s="176"/>
      <c r="BJ52" s="176"/>
      <c r="BK52" s="176"/>
      <c r="BL52" s="176"/>
      <c r="BM52" s="176"/>
      <c r="BN52" s="176"/>
      <c r="BO52" s="176"/>
      <c r="BP52" s="176"/>
      <c r="BQ52" s="176"/>
      <c r="BR52" s="176"/>
      <c r="BS52" s="176"/>
      <c r="BT52" s="176"/>
      <c r="BU52" s="176"/>
      <c r="BV52" s="176"/>
      <c r="BW52" s="176"/>
      <c r="BX52" s="176"/>
      <c r="BY52" s="176"/>
      <c r="BZ52" s="176"/>
      <c r="CA52" s="176"/>
      <c r="CB52" s="176"/>
      <c r="CC52" s="176"/>
      <c r="CD52" s="176"/>
      <c r="CE52" s="176"/>
      <c r="CF52" s="176"/>
      <c r="CG52" s="176"/>
      <c r="CH52" s="176"/>
      <c r="CI52" s="176"/>
      <c r="CJ52" s="176"/>
      <c r="CK52" s="176"/>
      <c r="CL52" s="176"/>
      <c r="CM52" s="176"/>
      <c r="CN52" s="176"/>
      <c r="CO52" s="176"/>
      <c r="CP52" s="176"/>
      <c r="CQ52" s="176"/>
      <c r="CR52" s="176"/>
      <c r="CS52" s="176"/>
      <c r="CT52" s="176"/>
      <c r="CU52" s="176"/>
      <c r="CV52" s="176"/>
      <c r="CW52" s="176"/>
      <c r="CX52" s="176"/>
      <c r="CY52" s="176"/>
      <c r="CZ52" s="176"/>
      <c r="DA52" s="176"/>
      <c r="DB52" s="176"/>
      <c r="DC52" s="176"/>
      <c r="DD52" s="176"/>
      <c r="DE52" s="176"/>
      <c r="DF52" s="176"/>
      <c r="DG52" s="176"/>
      <c r="DH52" s="176"/>
      <c r="DI52" s="176"/>
      <c r="DJ52" s="176"/>
      <c r="DK52" s="176"/>
      <c r="DL52"/>
      <c r="DM52" s="366" t="str" cm="1">
        <f t="array" aca="1" ref="DM52"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DN52:DP52</v>
      </c>
      <c r="DN52" s="177" t="s">
        <v>375</v>
      </c>
      <c r="DO52" s="177" t="str" cm="1">
        <f t="array" aca="1" ref="DO52:DP52"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INSTALACIÓN ENR</v>
      </c>
      <c r="DP52" s="177" t="str">
        <f ca="1"/>
        <v>MONTAJE MECÁNICO</v>
      </c>
      <c r="DQ52" s="177"/>
      <c r="DR52" s="177"/>
      <c r="DS52" s="177"/>
      <c r="DT52" s="177"/>
      <c r="DU52" s="177"/>
      <c r="DV52" s="177"/>
      <c r="DW52" s="177"/>
      <c r="DX52" s="177"/>
      <c r="DY52" s="177"/>
      <c r="DZ52" s="177"/>
      <c r="EA52" s="177"/>
      <c r="EB52" s="177"/>
      <c r="EC52" s="177"/>
      <c r="ED52" s="177"/>
    </row>
    <row r="53" spans="3:134" ht="13" customHeight="1">
      <c r="C53" s="213">
        <v>45252</v>
      </c>
      <c r="D53" s="213" t="s">
        <v>2114</v>
      </c>
      <c r="E53" s="213" t="s">
        <v>1710</v>
      </c>
      <c r="F53" s="219" t="s">
        <v>375</v>
      </c>
      <c r="G53" s="201" t="s">
        <v>1415</v>
      </c>
      <c r="H53" s="202">
        <v>15</v>
      </c>
      <c r="I53" s="339" t="str" cm="1">
        <f t="array" aca="1" ref="I5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G007</v>
      </c>
      <c r="J53" s="203" t="str" cm="1">
        <f t="array" ref="J53">IF(OR(PptoSty[[#This Row],[Project]]="",PptoSty[[#This Row],[Project]]="X"),"X",_xlfn.UNIQUE(_xlfn._xlws.FILTER(CstGrpS[Nature],ISNUMBER(FIND(SUBSTITUTE(PptoSty[[#This Row],[PiColumn]]," +%",""),UPPER(SUBSTITUTE(CstGrpS[GrpPrv],"  "," ")))),"X")))</f>
        <v>Hrs</v>
      </c>
      <c r="K53" s="96" t="s">
        <v>418</v>
      </c>
      <c r="L53" s="96" t="s">
        <v>1645</v>
      </c>
      <c r="M53" s="96" t="s">
        <v>375</v>
      </c>
      <c r="N53" s="96" t="str" cm="1">
        <f t="array" ref="N53">IF(OR(PptoSty[[#This Row],[Project]]="",PptoSty[[#This Row],[Project]]="X"),"X",_xlfn._xlws.FILTER(TbAssign[RowId],(TbAssign[Project]=PptoSty[[#This Row],[Project]])*(TbAssign[Módulo]=PptoSty[[#This Row],[PptoVsRow]]),"X"))</f>
        <v>XD01</v>
      </c>
      <c r="O53" s="96" t="str" cm="1">
        <f t="array" ref="O53">IF(OR(PptoSty[[#This Row],[Project]]="",PptoSty[[#This Row],[Project]]="X"),"X",_xlfn.UNIQUE(_xlfn._xlws.FILTER(F_RT14[Amortz.],(F_RT14[Measure]="CurPpto")*(F_RT14[PrjId]=PptoSty[[#This Row],[Project]])*(F_RT14[Vrs]=PptoSty[[#This Row],[Vrs]])*(_xlfn.TEXTAFTER(F_RT14[ActGrp],":")=PptoSty[[#This Row],[PiRow]]),"X")))</f>
        <v>TRSL</v>
      </c>
      <c r="P53" s="96" t="s">
        <v>417</v>
      </c>
      <c r="Q53" s="96" t="s">
        <v>389</v>
      </c>
      <c r="R53" s="204" t="s">
        <v>403</v>
      </c>
      <c r="S53" s="204">
        <v>1</v>
      </c>
      <c r="T53" s="205" t="str" cm="1">
        <f t="array" aca="1" ref="T5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53" s="206" cm="1">
        <f t="array" ref="U53">IFERROR((1/PptoSty[[#This Row],[Division]])*IF(PptoSty[[#This Row],[Sign]]="+",1,-1)*(IF(PptoSty[[#This Row],[POvsCT]]="PO",SUM(_xlfn.CHOOSECOLS(_xlfn._xlws.FILTER(F_RT14[],(IF($M53="X",TRUE,F_RT14[Site]=$M53))*(F_RT14[Measure]=U$4)*(F_RT14[PrjId]=PptoSty[[#This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50263.379175257731</v>
      </c>
      <c r="V53" s="206" cm="1">
        <f t="array" ref="V53">IFERROR((1/PptoSty[[#This Row],[Division]])*IF(PptoSty[[#This Row],[Sign]]="+",1,-1)*(IF(PptoSty[[#This Row],[POvsCT]]="PO",SUM(_xlfn.CHOOSECOLS(_xlfn._xlws.FILTER(F_RT14[],(IF($M53="X",TRUE,F_RT14[Site]=$M53))*(F_RT14[Measure]=V$4)*(F_RT14[PrjId]=PptoSty[[#This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5082.7505299999993</v>
      </c>
      <c r="W53" s="206" cm="1">
        <f t="array" ref="W53">IFERROR((1/PptoSty[[#This Row],[Division]])*IF(PptoSty[[#This Row],[Sign]]="+",1,-1)*(IF(PptoSty[[#This Row],[POvsCT]]="PO",SUM(_xlfn.CHOOSECOLS(_xlfn._xlws.FILTER(F_RT14[],(IF($M53="X",TRUE,F_RT14[Site]=$M53))*(F_RT14[Measure]=W$4)*(F_RT14[PrjId]=PptoSty[[#This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33266.30229</v>
      </c>
      <c r="X53" s="338" cm="1">
        <f t="array" ref="X53">IFERROR(IF(PptoSty[[#This Row],[Nature]]&lt;&gt;"Hrs",0,(1/PptoSty[[#This Row],[Division]])*IF(PptoSty[[#This Row],[Sign]]="+",1,-1)*(IF(PptoSty[[#This Row],[POvsCT]]="PO",SUM(_xlfn.CHOOSECOLS(_xlfn._xlws.FILTER(F_RT14[],(IF($M53="X",TRUE,F_RT14[Site]=$M53))*(F_RT14[Measure]=X$4)*(F_RT14[PrjId]=PptoSty[[#This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1300</v>
      </c>
      <c r="Y53" s="338" cm="1">
        <f t="array" ref="Y53">IFERROR(IF(PptoSty[[#This Row],[Nature]]&lt;&gt;"Hrs",0,(1/PptoSty[[#This Row],[Division]])*IF(PptoSty[[#This Row],[Sign]]="+",1,-1)*(IF(PptoSty[[#This Row],[POvsCT]]="PO",SUM(_xlfn.CHOOSECOLS(_xlfn._xlws.FILTER(F_RT14[],(IF($M53="X",TRUE,F_RT14[Site]=$M53))*(F_RT14[Measure]=Y$4)*(F_RT14[PrjId]=PptoSty[[#This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126.1</v>
      </c>
      <c r="Z53" s="338" cm="1">
        <f t="array" ref="Z53">IFERROR(IF(PptoSty[[#This Row],[Nature]]&lt;&gt;"Hrs",0,(1/PptoSty[[#This Row],[Division]])*IF(PptoSty[[#This Row],[Sign]]="+",1,-1)*(IF(PptoSty[[#This Row],[POvsCT]]="PO",SUM(_xlfn.CHOOSECOLS(_xlfn._xlws.FILTER(F_RT14[],(IF($M53="X",TRUE,F_RT14[Site]=$M53))*(F_RT14[Measure]=Z$4)*(F_RT14[PrjId]=PptoSty[[#This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1134.8999999999999</v>
      </c>
      <c r="AA53" s="206" cm="1">
        <f t="array" aca="1" ref="AA53"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87380.951546391763</v>
      </c>
      <c r="AB53" s="206" cm="1">
        <f t="array" aca="1" ref="AB53"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8836.1663059999992</v>
      </c>
      <c r="AC53" s="206" cm="1">
        <f t="array" aca="1" ref="AC53"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57832.187057999996</v>
      </c>
      <c r="AG53"/>
      <c r="AH53"/>
      <c r="AI53" s="21"/>
      <c r="AJ53" s="21"/>
      <c r="AK53" s="175"/>
      <c r="AL53" s="176"/>
      <c r="AM53" s="179"/>
      <c r="AN53" s="176"/>
      <c r="AO53"/>
      <c r="AP53" s="21"/>
      <c r="AQ53" s="176"/>
      <c r="AR53" s="176"/>
      <c r="AS53" s="176"/>
      <c r="AT53" s="176"/>
      <c r="AU53" s="176"/>
      <c r="AV53" s="176"/>
      <c r="AW53" s="176"/>
      <c r="AX53" s="176"/>
      <c r="AY53" s="176"/>
      <c r="AZ53" s="176"/>
      <c r="BA53" s="176"/>
      <c r="BB53" s="176"/>
      <c r="BC53" s="176"/>
      <c r="BD53" s="176"/>
      <c r="BE53"/>
      <c r="BF53" s="21"/>
      <c r="BG53" s="176"/>
      <c r="BH53" s="176"/>
      <c r="BI53" s="176"/>
      <c r="BJ53" s="176"/>
      <c r="BK53" s="176"/>
      <c r="BL53" s="176"/>
      <c r="BM53" s="176"/>
      <c r="BN53" s="176"/>
      <c r="BO53" s="176"/>
      <c r="BP53" s="176"/>
      <c r="BQ53" s="176"/>
      <c r="BR53" s="176"/>
      <c r="BS53" s="176"/>
      <c r="BT53" s="176"/>
      <c r="BU53" s="176"/>
      <c r="BV53" s="176"/>
      <c r="BW53" s="176"/>
      <c r="BX53" s="176"/>
      <c r="BY53" s="176"/>
      <c r="BZ53" s="176"/>
      <c r="CA53" s="176"/>
      <c r="CB53" s="176"/>
      <c r="CC53" s="176"/>
      <c r="CD53" s="176"/>
      <c r="CE53" s="176"/>
      <c r="CF53" s="176"/>
      <c r="CG53" s="176"/>
      <c r="CH53" s="176"/>
      <c r="CI53" s="176"/>
      <c r="CJ53" s="176"/>
      <c r="CK53" s="176"/>
      <c r="CL53" s="176"/>
      <c r="CM53" s="176"/>
      <c r="CN53" s="176"/>
      <c r="CO53" s="176"/>
      <c r="CP53" s="176"/>
      <c r="CQ53" s="176"/>
      <c r="CR53" s="176"/>
      <c r="CS53" s="176"/>
      <c r="CT53" s="176"/>
      <c r="CU53" s="176"/>
      <c r="CV53" s="176"/>
      <c r="CW53" s="176"/>
      <c r="CX53" s="176"/>
      <c r="CY53" s="176"/>
      <c r="CZ53" s="176"/>
      <c r="DA53" s="176"/>
      <c r="DB53" s="176"/>
      <c r="DC53" s="176"/>
      <c r="DD53" s="176"/>
      <c r="DE53" s="176"/>
      <c r="DF53" s="176"/>
      <c r="DG53" s="176"/>
      <c r="DH53" s="176"/>
      <c r="DI53" s="176"/>
      <c r="DJ53" s="176"/>
      <c r="DK53" s="176"/>
      <c r="DL53"/>
      <c r="DM53" s="366" t="str" cm="1">
        <f t="array" aca="1" ref="DM53"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DN53:DP53</v>
      </c>
      <c r="DN53" s="177" t="s">
        <v>375</v>
      </c>
      <c r="DO53" s="177" t="str" cm="1">
        <f t="array" aca="1" ref="DO53:DP53"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INSTALACIÓN ENR</v>
      </c>
      <c r="DP53" s="177" t="str">
        <f ca="1"/>
        <v>MONTAJE MECÁNICO</v>
      </c>
      <c r="DQ53" s="177"/>
      <c r="DR53" s="177"/>
      <c r="DS53" s="177"/>
      <c r="DT53" s="177"/>
      <c r="DU53" s="177"/>
      <c r="DV53" s="177"/>
      <c r="DW53" s="177"/>
      <c r="DX53" s="177"/>
      <c r="DY53" s="177"/>
      <c r="DZ53" s="177"/>
      <c r="EA53" s="177"/>
      <c r="EB53" s="177"/>
      <c r="EC53" s="177"/>
      <c r="ED53" s="177"/>
    </row>
    <row r="54" spans="3:134" ht="13" customHeight="1">
      <c r="C54" s="213">
        <v>45252</v>
      </c>
      <c r="D54" s="213" t="s">
        <v>2114</v>
      </c>
      <c r="E54" s="213" t="s">
        <v>1710</v>
      </c>
      <c r="F54" s="219" t="s">
        <v>375</v>
      </c>
      <c r="G54" s="201" t="s">
        <v>1415</v>
      </c>
      <c r="H54" s="202">
        <v>15</v>
      </c>
      <c r="I54" s="339" t="str" cm="1">
        <f t="array" aca="1" ref="I5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G005</v>
      </c>
      <c r="J54" s="203" t="str" cm="1">
        <f t="array" ref="J54">IF(OR(PptoSty[[#This Row],[Project]]="",PptoSty[[#This Row],[Project]]="X"),"X",_xlfn.UNIQUE(_xlfn._xlws.FILTER(CstGrpS[Nature],ISNUMBER(FIND(SUBSTITUTE(PptoSty[[#This Row],[PiColumn]]," +%",""),UPPER(SUBSTITUTE(CstGrpS[GrpPrv],"  "," ")))),"X")))</f>
        <v>Hrs</v>
      </c>
      <c r="K54" s="96" t="s">
        <v>1284</v>
      </c>
      <c r="L54" s="96" t="s">
        <v>373</v>
      </c>
      <c r="M54" s="96" t="s">
        <v>375</v>
      </c>
      <c r="N54" s="96" t="str" cm="1">
        <f t="array" ref="N54">IF(OR(PptoSty[[#This Row],[Project]]="",PptoSty[[#This Row],[Project]]="X"),"X",_xlfn._xlws.FILTER(TbAssign[RowId],(TbAssign[Project]=PptoSty[[#This Row],[Project]])*(TbAssign[Módulo]=PptoSty[[#This Row],[PptoVsRow]]),"X"))</f>
        <v>XE01</v>
      </c>
      <c r="O54" s="96" t="str" cm="1">
        <f t="array" ref="O54">IF(OR(PptoSty[[#This Row],[Project]]="",PptoSty[[#This Row],[Project]]="X"),"X",_xlfn.UNIQUE(_xlfn._xlws.FILTER(F_RT14[Amortz.],(F_RT14[Measure]="CurPpto")*(F_RT14[PrjId]=PptoSty[[#This Row],[Project]])*(F_RT14[Vrs]=PptoSty[[#This Row],[Vrs]])*(_xlfn.TEXTAFTER(F_RT14[ActGrp],":")=PptoSty[[#This Row],[PiRow]]),"X")))</f>
        <v>PEMX</v>
      </c>
      <c r="P54" s="96" t="s">
        <v>1284</v>
      </c>
      <c r="Q54" s="96" t="s">
        <v>373</v>
      </c>
      <c r="R54" s="204" t="s">
        <v>403</v>
      </c>
      <c r="S54" s="204">
        <v>1</v>
      </c>
      <c r="T54" s="205" t="str" cm="1">
        <f t="array" aca="1" ref="T5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54" s="206" cm="1">
        <f t="array" ref="U54">IFERROR((1/PptoSty[[#This Row],[Division]])*IF(PptoSty[[#This Row],[Sign]]="+",1,-1)*(IF(PptoSty[[#This Row],[POvsCT]]="PO",SUM(_xlfn.CHOOSECOLS(_xlfn._xlws.FILTER(F_RT14[],(IF($M54="X",TRUE,F_RT14[Site]=$M54))*(F_RT14[Measure]=U$4)*(F_RT14[PrjId]=PptoSty[[#This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10915.385773195876</v>
      </c>
      <c r="V54" s="206" cm="1">
        <f t="array" ref="V54">IFERROR((1/PptoSty[[#This Row],[Division]])*IF(PptoSty[[#This Row],[Sign]]="+",1,-1)*(IF(PptoSty[[#This Row],[POvsCT]]="PO",SUM(_xlfn.CHOOSECOLS(_xlfn._xlws.FILTER(F_RT14[],(IF($M54="X",TRUE,F_RT14[Site]=$M54))*(F_RT14[Measure]=V$4)*(F_RT14[PrjId]=PptoSty[[#This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9186.5900347199986</v>
      </c>
      <c r="W54" s="206" cm="1">
        <f t="array" ref="W54">IFERROR((1/PptoSty[[#This Row],[Division]])*IF(PptoSty[[#This Row],[Sign]]="+",1,-1)*(IF(PptoSty[[#This Row],[POvsCT]]="PO",SUM(_xlfn.CHOOSECOLS(_xlfn._xlws.FILTER(F_RT14[],(IF($M54="X",TRUE,F_RT14[Site]=$M54))*(F_RT14[Measure]=W$4)*(F_RT14[PrjId]=PptoSty[[#This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1828.8753100799997</v>
      </c>
      <c r="X54" s="338" cm="1">
        <f t="array" ref="X54">IFERROR(IF(PptoSty[[#This Row],[Nature]]&lt;&gt;"Hrs",0,(1/PptoSty[[#This Row],[Division]])*IF(PptoSty[[#This Row],[Sign]]="+",1,-1)*(IF(PptoSty[[#This Row],[POvsCT]]="PO",SUM(_xlfn.CHOOSECOLS(_xlfn._xlws.FILTER(F_RT14[],(IF($M54="X",TRUE,F_RT14[Site]=$M54))*(F_RT14[Measure]=X$4)*(F_RT14[PrjId]=PptoSty[[#This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235.20000000000002</v>
      </c>
      <c r="Y54" s="338" cm="1">
        <f t="array" ref="Y54">IFERROR(IF(PptoSty[[#This Row],[Nature]]&lt;&gt;"Hrs",0,(1/PptoSty[[#This Row],[Division]])*IF(PptoSty[[#This Row],[Sign]]="+",1,-1)*(IF(PptoSty[[#This Row],[POvsCT]]="PO",SUM(_xlfn.CHOOSECOLS(_xlfn._xlws.FILTER(F_RT14[],(IF($M54="X",TRUE,F_RT14[Site]=$M54))*(F_RT14[Measure]=Y$4)*(F_RT14[PrjId]=PptoSty[[#This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205.3296</v>
      </c>
      <c r="Z54" s="338" cm="1">
        <f t="array" ref="Z54">IFERROR(IF(PptoSty[[#This Row],[Nature]]&lt;&gt;"Hrs",0,(1/PptoSty[[#This Row],[Division]])*IF(PptoSty[[#This Row],[Sign]]="+",1,-1)*(IF(PptoSty[[#This Row],[POvsCT]]="PO",SUM(_xlfn.CHOOSECOLS(_xlfn._xlws.FILTER(F_RT14[],(IF($M54="X",TRUE,F_RT14[Site]=$M54))*(F_RT14[Measure]=Z$4)*(F_RT14[PrjId]=PptoSty[[#This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22.814399999999996</v>
      </c>
      <c r="AA54" s="206" cm="1">
        <f t="array" aca="1" ref="AA54"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10915.385773195876</v>
      </c>
      <c r="AB54" s="206" cm="1">
        <f t="array" aca="1" ref="AB54"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9186.5900347199986</v>
      </c>
      <c r="AC54" s="206" cm="1">
        <f t="array" aca="1" ref="AC54"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1828.8753100799997</v>
      </c>
      <c r="AG54"/>
      <c r="AH54"/>
      <c r="AI54" s="21"/>
      <c r="AJ54" s="21"/>
      <c r="AK54" s="175"/>
      <c r="AL54" s="176"/>
      <c r="AM54" s="179"/>
      <c r="AN54" s="176"/>
      <c r="AO54"/>
      <c r="AP54" s="21"/>
      <c r="AQ54" s="176"/>
      <c r="AR54" s="176"/>
      <c r="AS54" s="176"/>
      <c r="AT54" s="176"/>
      <c r="AU54" s="176"/>
      <c r="AV54" s="176"/>
      <c r="AW54" s="176"/>
      <c r="AX54" s="176"/>
      <c r="AY54" s="176"/>
      <c r="AZ54" s="176"/>
      <c r="BA54" s="176"/>
      <c r="BB54" s="176"/>
      <c r="BC54" s="176"/>
      <c r="BD54" s="176"/>
      <c r="BE54"/>
      <c r="BF54" s="21"/>
      <c r="BG54" s="176"/>
      <c r="BH54" s="176"/>
      <c r="BI54" s="176"/>
      <c r="BJ54" s="176"/>
      <c r="BK54" s="176"/>
      <c r="BL54" s="176"/>
      <c r="BM54" s="176"/>
      <c r="BN54" s="176"/>
      <c r="BO54" s="176"/>
      <c r="BP54" s="176"/>
      <c r="BQ54" s="176"/>
      <c r="BR54" s="176"/>
      <c r="BS54" s="176"/>
      <c r="BT54" s="176"/>
      <c r="BU54" s="176"/>
      <c r="BV54" s="176"/>
      <c r="BW54" s="176"/>
      <c r="BX54" s="176"/>
      <c r="BY54" s="176"/>
      <c r="BZ54" s="176"/>
      <c r="CA54" s="176"/>
      <c r="CB54" s="176"/>
      <c r="CC54" s="176"/>
      <c r="CD54" s="176"/>
      <c r="CE54" s="176"/>
      <c r="CF54" s="176"/>
      <c r="CG54" s="176"/>
      <c r="CH54" s="176"/>
      <c r="CI54" s="176"/>
      <c r="CJ54" s="176"/>
      <c r="CK54" s="176"/>
      <c r="CL54" s="176"/>
      <c r="CM54" s="176"/>
      <c r="CN54" s="176"/>
      <c r="CO54" s="176"/>
      <c r="CP54" s="176"/>
      <c r="CQ54" s="176"/>
      <c r="CR54" s="176"/>
      <c r="CS54" s="176"/>
      <c r="CT54" s="176"/>
      <c r="CU54" s="176"/>
      <c r="CV54" s="176"/>
      <c r="CW54" s="176"/>
      <c r="CX54" s="176"/>
      <c r="CY54" s="176"/>
      <c r="CZ54" s="176"/>
      <c r="DA54" s="176"/>
      <c r="DB54" s="176"/>
      <c r="DC54" s="176"/>
      <c r="DD54" s="176"/>
      <c r="DE54" s="176"/>
      <c r="DF54" s="176"/>
      <c r="DG54" s="176"/>
      <c r="DH54" s="176"/>
      <c r="DI54" s="176"/>
      <c r="DJ54" s="176"/>
      <c r="DK54" s="176"/>
      <c r="DL54"/>
      <c r="DM54" s="366" t="str" cm="1">
        <f t="array" aca="1" ref="DM54"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DN54:DT54</v>
      </c>
      <c r="DN54" s="177" t="s">
        <v>375</v>
      </c>
      <c r="DO54" s="177" t="str" cm="1">
        <f t="array" aca="1" ref="DO54:DT54"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54" s="177" t="str">
        <f ca="1"/>
        <v>FABRICACIÓN MECÁNICA</v>
      </c>
      <c r="DQ54" s="177" t="str">
        <f ca="1"/>
        <v>GESTIÓN PROYECTOS</v>
      </c>
      <c r="DR54" s="177" t="str">
        <f ca="1"/>
        <v>METROLOGÍA</v>
      </c>
      <c r="DS54" s="177" t="str">
        <f ca="1"/>
        <v>MONTAJE MECÁNICO</v>
      </c>
      <c r="DT54" s="177" t="str">
        <f ca="1"/>
        <v>ROBÓTICA</v>
      </c>
      <c r="DU54" s="177"/>
      <c r="DV54" s="177"/>
      <c r="DW54" s="177"/>
      <c r="DX54" s="177"/>
      <c r="DY54" s="177"/>
      <c r="DZ54" s="177"/>
      <c r="EA54" s="177"/>
      <c r="EB54" s="177"/>
      <c r="EC54" s="177"/>
      <c r="ED54" s="177"/>
    </row>
    <row r="55" spans="3:134" ht="13" customHeight="1">
      <c r="C55" s="213">
        <v>45252</v>
      </c>
      <c r="D55" s="213" t="s">
        <v>2114</v>
      </c>
      <c r="E55" s="213" t="s">
        <v>1710</v>
      </c>
      <c r="F55" s="219" t="s">
        <v>375</v>
      </c>
      <c r="G55" s="201" t="s">
        <v>1415</v>
      </c>
      <c r="H55" s="202">
        <v>15</v>
      </c>
      <c r="I55" s="339" t="str" cm="1">
        <f t="array" aca="1" ref="I5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E001</v>
      </c>
      <c r="J55" s="203" t="str" cm="1">
        <f t="array" ref="J55">IF(OR(PptoSty[[#This Row],[Project]]="",PptoSty[[#This Row],[Project]]="X"),"X",_xlfn.UNIQUE(_xlfn._xlws.FILTER(CstGrpS[Nature],ISNUMBER(FIND(SUBSTITUTE(PptoSty[[#This Row],[PiColumn]]," +%",""),UPPER(SUBSTITUTE(CstGrpS[GrpPrv],"  "," ")))),"X")))</f>
        <v>Hrs</v>
      </c>
      <c r="K55" s="96" t="s">
        <v>362</v>
      </c>
      <c r="L55" s="96" t="s">
        <v>381</v>
      </c>
      <c r="M55" s="96" t="s">
        <v>375</v>
      </c>
      <c r="N55" s="96" t="str" cm="1">
        <f t="array" ref="N55">IF(OR(PptoSty[[#This Row],[Project]]="",PptoSty[[#This Row],[Project]]="X"),"X",_xlfn._xlws.FILTER(TbAssign[RowId],(TbAssign[Project]=PptoSty[[#This Row],[Project]])*(TbAssign[Módulo]=PptoSty[[#This Row],[PptoVsRow]]),"X"))</f>
        <v>XC01</v>
      </c>
      <c r="O55" s="96" t="str" cm="1">
        <f t="array" ref="O55">IF(OR(PptoSty[[#This Row],[Project]]="",PptoSty[[#This Row],[Project]]="X"),"X",_xlfn.UNIQUE(_xlfn._xlws.FILTER(F_RT14[Amortz.],(F_RT14[Measure]="CurPpto")*(F_RT14[PrjId]=PptoSty[[#This Row],[Project]])*(F_RT14[Vrs]=PptoSty[[#This Row],[Vrs]])*(_xlfn.TEXTAFTER(F_RT14[ActGrp],":")=PptoSty[[#This Row],[PiRow]]),"X")))</f>
        <v>CELL</v>
      </c>
      <c r="P55" s="96" t="s">
        <v>362</v>
      </c>
      <c r="Q55" s="96" t="s">
        <v>381</v>
      </c>
      <c r="R55" s="204" t="s">
        <v>403</v>
      </c>
      <c r="S55" s="204">
        <v>1</v>
      </c>
      <c r="T55" s="205" t="str" cm="1">
        <f t="array" aca="1" ref="T5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55" s="206" cm="1">
        <f t="array" ref="U55">IFERROR((1/PptoSty[[#This Row],[Division]])*IF(PptoSty[[#This Row],[Sign]]="+",1,-1)*(IF(PptoSty[[#This Row],[POvsCT]]="PO",SUM(_xlfn.CHOOSECOLS(_xlfn._xlws.FILTER(F_RT14[],(IF($M55="X",TRUE,F_RT14[Site]=$M55))*(F_RT14[Measure]=U$4)*(F_RT14[PrjId]=PptoSty[[#This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41564.239896907216</v>
      </c>
      <c r="V55" s="206" cm="1">
        <f t="array" ref="V55">IFERROR((1/PptoSty[[#This Row],[Division]])*IF(PptoSty[[#This Row],[Sign]]="+",1,-1)*(IF(PptoSty[[#This Row],[POvsCT]]="PO",SUM(_xlfn.CHOOSECOLS(_xlfn._xlws.FILTER(F_RT14[],(IF($M55="X",TRUE,F_RT14[Site]=$M55))*(F_RT14[Measure]=V$4)*(F_RT14[PrjId]=PptoSty[[#This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5700.2217769259996</v>
      </c>
      <c r="W55" s="206" cm="1">
        <f t="array" ref="W55">IFERROR((1/PptoSty[[#This Row],[Division]])*IF(PptoSty[[#This Row],[Sign]]="+",1,-1)*(IF(PptoSty[[#This Row],[POvsCT]]="PO",SUM(_xlfn.CHOOSECOLS(_xlfn._xlws.FILTER(F_RT14[],(IF($M55="X",TRUE,F_RT14[Site]=$M55))*(F_RT14[Measure]=W$4)*(F_RT14[PrjId]=PptoSty[[#This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36492.226401005995</v>
      </c>
      <c r="X55" s="338" cm="1">
        <f t="array" ref="X55">IFERROR(IF(PptoSty[[#This Row],[Nature]]&lt;&gt;"Hrs",0,(1/PptoSty[[#This Row],[Division]])*IF(PptoSty[[#This Row],[Sign]]="+",1,-1)*(IF(PptoSty[[#This Row],[POvsCT]]="PO",SUM(_xlfn.CHOOSECOLS(_xlfn._xlws.FILTER(F_RT14[],(IF($M55="X",TRUE,F_RT14[Site]=$M55))*(F_RT14[Measure]=X$4)*(F_RT14[PrjId]=PptoSty[[#This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1451.8199999999997</v>
      </c>
      <c r="Y55" s="338" cm="1">
        <f t="array" ref="Y55">IFERROR(IF(PptoSty[[#This Row],[Nature]]&lt;&gt;"Hrs",0,(1/PptoSty[[#This Row],[Division]])*IF(PptoSty[[#This Row],[Sign]]="+",1,-1)*(IF(PptoSty[[#This Row],[POvsCT]]="PO",SUM(_xlfn.CHOOSECOLS(_xlfn._xlws.FILTER(F_RT14[],(IF($M55="X",TRUE,F_RT14[Site]=$M55))*(F_RT14[Measure]=Y$4)*(F_RT14[PrjId]=PptoSty[[#This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140.82653999999999</v>
      </c>
      <c r="Z55" s="338" cm="1">
        <f t="array" ref="Z55">IFERROR(IF(PptoSty[[#This Row],[Nature]]&lt;&gt;"Hrs",0,(1/PptoSty[[#This Row],[Division]])*IF(PptoSty[[#This Row],[Sign]]="+",1,-1)*(IF(PptoSty[[#This Row],[POvsCT]]="PO",SUM(_xlfn.CHOOSECOLS(_xlfn._xlws.FILTER(F_RT14[],(IF($M55="X",TRUE,F_RT14[Site]=$M55))*(F_RT14[Measure]=Z$4)*(F_RT14[PrjId]=PptoSty[[#This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1267.4388599999997</v>
      </c>
      <c r="AA55" s="206" cm="1">
        <f t="array" aca="1" ref="AA55"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41564.239896907216</v>
      </c>
      <c r="AB55" s="206" cm="1">
        <f t="array" aca="1" ref="AB55"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5700.2217769259996</v>
      </c>
      <c r="AC55" s="206" cm="1">
        <f t="array" aca="1" ref="AC55"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36492.226401005995</v>
      </c>
      <c r="AG55"/>
      <c r="AH55"/>
      <c r="AI55" s="21"/>
      <c r="AJ55" s="21"/>
      <c r="AK55" s="175"/>
      <c r="AL55" s="176"/>
      <c r="AM55" s="179"/>
      <c r="AN55" s="176"/>
      <c r="AO55"/>
      <c r="AP55" s="21"/>
      <c r="AQ55" s="176"/>
      <c r="AR55" s="176"/>
      <c r="AS55" s="176"/>
      <c r="AT55" s="176"/>
      <c r="AU55" s="176"/>
      <c r="AV55" s="176"/>
      <c r="AW55" s="176"/>
      <c r="AX55" s="176"/>
      <c r="AY55" s="176"/>
      <c r="AZ55" s="176"/>
      <c r="BA55" s="176"/>
      <c r="BB55" s="176"/>
      <c r="BC55" s="176"/>
      <c r="BD55" s="176"/>
      <c r="BE55"/>
      <c r="BF55" s="21"/>
      <c r="BG55" s="176"/>
      <c r="BH55" s="176"/>
      <c r="BI55" s="176"/>
      <c r="BJ55" s="176"/>
      <c r="BK55" s="176"/>
      <c r="BL55" s="176"/>
      <c r="BM55" s="176"/>
      <c r="BN55" s="176"/>
      <c r="BO55" s="176"/>
      <c r="BP55" s="176"/>
      <c r="BQ55" s="176"/>
      <c r="BR55" s="176"/>
      <c r="BS55" s="176"/>
      <c r="BT55" s="176"/>
      <c r="BU55" s="176"/>
      <c r="BV55" s="176"/>
      <c r="BW55" s="176"/>
      <c r="BX55" s="176"/>
      <c r="BY55" s="176"/>
      <c r="BZ55" s="176"/>
      <c r="CA55" s="176"/>
      <c r="CB55" s="176"/>
      <c r="CC55" s="176"/>
      <c r="CD55" s="176"/>
      <c r="CE55" s="176"/>
      <c r="CF55" s="176"/>
      <c r="CG55" s="176"/>
      <c r="CH55" s="176"/>
      <c r="CI55" s="176"/>
      <c r="CJ55" s="176"/>
      <c r="CK55" s="176"/>
      <c r="CL55" s="176"/>
      <c r="CM55" s="176"/>
      <c r="CN55" s="176"/>
      <c r="CO55" s="176"/>
      <c r="CP55" s="176"/>
      <c r="CQ55" s="176"/>
      <c r="CR55" s="176"/>
      <c r="CS55" s="176"/>
      <c r="CT55" s="176"/>
      <c r="CU55" s="176"/>
      <c r="CV55" s="176"/>
      <c r="CW55" s="176"/>
      <c r="CX55" s="176"/>
      <c r="CY55" s="176"/>
      <c r="CZ55" s="176"/>
      <c r="DA55" s="176"/>
      <c r="DB55" s="176"/>
      <c r="DC55" s="176"/>
      <c r="DD55" s="176"/>
      <c r="DE55" s="176"/>
      <c r="DF55" s="176"/>
      <c r="DG55" s="176"/>
      <c r="DH55" s="176"/>
      <c r="DI55" s="176"/>
      <c r="DJ55" s="176"/>
      <c r="DK55" s="176"/>
      <c r="DL55"/>
      <c r="DM55" s="366" t="str" cm="1">
        <f t="array" aca="1" ref="DM5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DN55:DP55</v>
      </c>
      <c r="DN55" s="177" t="s">
        <v>375</v>
      </c>
      <c r="DO55" s="177" t="str" cm="1">
        <f t="array" aca="1" ref="DO55:DP5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FABRICACIÓN ELÉCTRICA</v>
      </c>
      <c r="DP55" s="177" t="str">
        <f ca="1"/>
        <v>MATERIAL ELÉCTRICO +%</v>
      </c>
      <c r="DQ55" s="177"/>
      <c r="DR55" s="177"/>
      <c r="DS55" s="177"/>
      <c r="DT55" s="177"/>
      <c r="DU55" s="177"/>
      <c r="DV55" s="177"/>
      <c r="DW55" s="177"/>
      <c r="DX55" s="177"/>
      <c r="DY55" s="177"/>
      <c r="DZ55" s="177"/>
      <c r="EA55" s="177"/>
      <c r="EB55" s="177"/>
      <c r="EC55" s="177"/>
      <c r="ED55" s="177"/>
    </row>
    <row r="56" spans="3:134" ht="13" customHeight="1">
      <c r="C56" s="213">
        <v>45252</v>
      </c>
      <c r="D56" s="213" t="s">
        <v>2114</v>
      </c>
      <c r="E56" s="213" t="s">
        <v>1710</v>
      </c>
      <c r="F56" s="219" t="s">
        <v>375</v>
      </c>
      <c r="G56" s="201" t="s">
        <v>1415</v>
      </c>
      <c r="H56" s="202">
        <v>15</v>
      </c>
      <c r="I56" s="339" t="str" cm="1">
        <f t="array" aca="1" ref="I5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E001</v>
      </c>
      <c r="J56" s="203" t="str" cm="1">
        <f t="array" ref="J56">IF(OR(PptoSty[[#This Row],[Project]]="",PptoSty[[#This Row],[Project]]="X"),"X",_xlfn.UNIQUE(_xlfn._xlws.FILTER(CstGrpS[Nature],ISNUMBER(FIND(SUBSTITUTE(PptoSty[[#This Row],[PiColumn]]," +%",""),UPPER(SUBSTITUTE(CstGrpS[GrpPrv],"  "," ")))),"X")))</f>
        <v>Mat</v>
      </c>
      <c r="K56" s="96" t="s">
        <v>362</v>
      </c>
      <c r="L56" s="96" t="s">
        <v>1646</v>
      </c>
      <c r="M56" s="96" t="s">
        <v>375</v>
      </c>
      <c r="N56" s="96" t="str" cm="1">
        <f t="array" ref="N56">IF(OR(PptoSty[[#This Row],[Project]]="",PptoSty[[#This Row],[Project]]="X"),"X",_xlfn._xlws.FILTER(TbAssign[RowId],(TbAssign[Project]=PptoSty[[#This Row],[Project]])*(TbAssign[Módulo]=PptoSty[[#This Row],[PptoVsRow]]),"X"))</f>
        <v>XC01</v>
      </c>
      <c r="O56" s="96" t="str" cm="1">
        <f t="array" ref="O56">IF(OR(PptoSty[[#This Row],[Project]]="",PptoSty[[#This Row],[Project]]="X"),"X",_xlfn.UNIQUE(_xlfn._xlws.FILTER(F_RT14[Amortz.],(F_RT14[Measure]="CurPpto")*(F_RT14[PrjId]=PptoSty[[#This Row],[Project]])*(F_RT14[Vrs]=PptoSty[[#This Row],[Vrs]])*(_xlfn.TEXTAFTER(F_RT14[ActGrp],":")=PptoSty[[#This Row],[PiRow]]),"X")))</f>
        <v>CELL</v>
      </c>
      <c r="P56" s="96" t="s">
        <v>362</v>
      </c>
      <c r="Q56" s="96" t="s">
        <v>1275</v>
      </c>
      <c r="R56" s="204" t="s">
        <v>403</v>
      </c>
      <c r="S56" s="204">
        <v>1</v>
      </c>
      <c r="T56" s="205" t="str" cm="1">
        <f t="array" aca="1" ref="T5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56" s="206" cm="1">
        <f t="array" ref="U56">IFERROR((1/PptoSty[[#This Row],[Division]])*IF(PptoSty[[#This Row],[Sign]]="+",1,-1)*(IF(PptoSty[[#This Row],[POvsCT]]="PO",SUM(_xlfn.CHOOSECOLS(_xlfn._xlws.FILTER(F_RT14[],(IF($M56="X",TRUE,F_RT14[Site]=$M56))*(F_RT14[Measure]=U$4)*(F_RT14[PrjId]=PptoSty[[#This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241307.51</v>
      </c>
      <c r="V56" s="206" cm="1">
        <f t="array" ref="V56">IFERROR((1/PptoSty[[#This Row],[Division]])*IF(PptoSty[[#This Row],[Sign]]="+",1,-1)*(IF(PptoSty[[#This Row],[POvsCT]]="PO",SUM(_xlfn.CHOOSECOLS(_xlfn._xlws.FILTER(F_RT14[],(IF($M56="X",TRUE,F_RT14[Site]=$M56))*(F_RT14[Measure]=V$4)*(F_RT14[PrjId]=PptoSty[[#This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56" s="206" cm="1">
        <f t="array" ref="W56">IFERROR((1/PptoSty[[#This Row],[Division]])*IF(PptoSty[[#This Row],[Sign]]="+",1,-1)*(IF(PptoSty[[#This Row],[POvsCT]]="PO",SUM(_xlfn.CHOOSECOLS(_xlfn._xlws.FILTER(F_RT14[],(IF($M56="X",TRUE,F_RT14[Site]=$M56))*(F_RT14[Measure]=W$4)*(F_RT14[PrjId]=PptoSty[[#This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241307.51</v>
      </c>
      <c r="X56" s="338" cm="1">
        <f t="array" ref="X56">IFERROR(IF(PptoSty[[#This Row],[Nature]]&lt;&gt;"Hrs",0,(1/PptoSty[[#This Row],[Division]])*IF(PptoSty[[#This Row],[Sign]]="+",1,-1)*(IF(PptoSty[[#This Row],[POvsCT]]="PO",SUM(_xlfn.CHOOSECOLS(_xlfn._xlws.FILTER(F_RT14[],(IF($M56="X",TRUE,F_RT14[Site]=$M56))*(F_RT14[Measure]=X$4)*(F_RT14[PrjId]=PptoSty[[#This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56" s="338" cm="1">
        <f t="array" ref="Y56">IFERROR(IF(PptoSty[[#This Row],[Nature]]&lt;&gt;"Hrs",0,(1/PptoSty[[#This Row],[Division]])*IF(PptoSty[[#This Row],[Sign]]="+",1,-1)*(IF(PptoSty[[#This Row],[POvsCT]]="PO",SUM(_xlfn.CHOOSECOLS(_xlfn._xlws.FILTER(F_RT14[],(IF($M56="X",TRUE,F_RT14[Site]=$M56))*(F_RT14[Measure]=Y$4)*(F_RT14[PrjId]=PptoSty[[#This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56" s="338" cm="1">
        <f t="array" ref="Z56">IFERROR(IF(PptoSty[[#This Row],[Nature]]&lt;&gt;"Hrs",0,(1/PptoSty[[#This Row],[Division]])*IF(PptoSty[[#This Row],[Sign]]="+",1,-1)*(IF(PptoSty[[#This Row],[POvsCT]]="PO",SUM(_xlfn.CHOOSECOLS(_xlfn._xlws.FILTER(F_RT14[],(IF($M56="X",TRUE,F_RT14[Site]=$M56))*(F_RT14[Measure]=Z$4)*(F_RT14[PrjId]=PptoSty[[#This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56" s="206" cm="1">
        <f t="array" aca="1" ref="AA56"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241307.51</v>
      </c>
      <c r="AB56" s="206" cm="1">
        <f t="array" aca="1" ref="AB56"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56" s="206" cm="1">
        <f t="array" aca="1" ref="AC56"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241307.51</v>
      </c>
      <c r="AG56"/>
      <c r="AH56"/>
      <c r="AI56" s="21"/>
      <c r="AJ56" s="21"/>
      <c r="AK56" s="175"/>
      <c r="AL56" s="176"/>
      <c r="AM56" s="179"/>
      <c r="AN56" s="176"/>
      <c r="AO56"/>
      <c r="AP56" s="21"/>
      <c r="AQ56" s="176"/>
      <c r="AR56" s="176"/>
      <c r="AS56" s="176"/>
      <c r="AT56" s="176"/>
      <c r="AU56" s="176"/>
      <c r="AV56" s="176"/>
      <c r="AW56" s="176"/>
      <c r="AX56" s="176"/>
      <c r="AY56" s="176"/>
      <c r="AZ56" s="176"/>
      <c r="BA56" s="176"/>
      <c r="BB56" s="176"/>
      <c r="BC56" s="176"/>
      <c r="BD56" s="176"/>
      <c r="BE56"/>
      <c r="BF56" s="21"/>
      <c r="BG56" s="176"/>
      <c r="BH56" s="176"/>
      <c r="BI56" s="176"/>
      <c r="BJ56" s="176"/>
      <c r="BK56" s="176"/>
      <c r="BL56" s="176"/>
      <c r="BM56" s="176"/>
      <c r="BN56" s="176"/>
      <c r="BO56" s="176"/>
      <c r="BP56" s="176"/>
      <c r="BQ56" s="176"/>
      <c r="BR56" s="176"/>
      <c r="BS56" s="176"/>
      <c r="BT56" s="176"/>
      <c r="BU56" s="176"/>
      <c r="BV56" s="176"/>
      <c r="BW56" s="176"/>
      <c r="BX56" s="176"/>
      <c r="BY56" s="176"/>
      <c r="BZ56" s="176"/>
      <c r="CA56" s="176"/>
      <c r="CB56" s="176"/>
      <c r="CC56" s="176"/>
      <c r="CD56" s="176"/>
      <c r="CE56" s="176"/>
      <c r="CF56" s="176"/>
      <c r="CG56" s="176"/>
      <c r="CH56" s="176"/>
      <c r="CI56" s="176"/>
      <c r="CJ56" s="176"/>
      <c r="CK56" s="176"/>
      <c r="CL56" s="176"/>
      <c r="CM56" s="176"/>
      <c r="CN56" s="176"/>
      <c r="CO56" s="176"/>
      <c r="CP56" s="176"/>
      <c r="CQ56" s="176"/>
      <c r="CR56" s="176"/>
      <c r="CS56" s="176"/>
      <c r="CT56" s="176"/>
      <c r="CU56" s="176"/>
      <c r="CV56" s="176"/>
      <c r="CW56" s="176"/>
      <c r="CX56" s="176"/>
      <c r="CY56" s="176"/>
      <c r="CZ56" s="176"/>
      <c r="DA56" s="176"/>
      <c r="DB56" s="176"/>
      <c r="DC56" s="176"/>
      <c r="DD56" s="176"/>
      <c r="DE56" s="176"/>
      <c r="DF56" s="176"/>
      <c r="DG56" s="176"/>
      <c r="DH56" s="176"/>
      <c r="DI56" s="176"/>
      <c r="DJ56" s="176"/>
      <c r="DK56" s="176"/>
      <c r="DL56"/>
      <c r="DM56" s="366" t="str" cm="1">
        <f t="array" aca="1" ref="DM5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DN56:DP56</v>
      </c>
      <c r="DN56" s="177" t="s">
        <v>375</v>
      </c>
      <c r="DO56" s="177" t="str" cm="1">
        <f t="array" aca="1" ref="DO56:DP5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FABRICACIÓN ELÉCTRICA</v>
      </c>
      <c r="DP56" s="177" t="str">
        <f ca="1"/>
        <v>MATERIAL ELÉCTRICO +%</v>
      </c>
      <c r="DQ56" s="177"/>
      <c r="DR56" s="177"/>
      <c r="DS56" s="177"/>
      <c r="DT56" s="177"/>
      <c r="DU56" s="177"/>
      <c r="DV56" s="177"/>
      <c r="DW56" s="177"/>
      <c r="DX56" s="177"/>
      <c r="DY56" s="177"/>
      <c r="DZ56" s="177"/>
      <c r="EA56" s="177"/>
      <c r="EB56" s="177"/>
      <c r="EC56" s="177"/>
      <c r="ED56" s="177"/>
    </row>
    <row r="57" spans="3:134" ht="13" customHeight="1">
      <c r="C57" s="213">
        <v>45252</v>
      </c>
      <c r="D57" s="213" t="s">
        <v>2114</v>
      </c>
      <c r="E57" s="213" t="s">
        <v>1710</v>
      </c>
      <c r="F57" s="219" t="s">
        <v>375</v>
      </c>
      <c r="G57" s="201" t="s">
        <v>1415</v>
      </c>
      <c r="H57" s="202">
        <v>15</v>
      </c>
      <c r="I57" s="339" t="str" cm="1">
        <f t="array" aca="1" ref="I5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P025</v>
      </c>
      <c r="J57" s="203" t="str" cm="1">
        <f t="array" ref="J57">IF(OR(PptoSty[[#This Row],[Project]]="",PptoSty[[#This Row],[Project]]="X"),"X",_xlfn.UNIQUE(_xlfn._xlws.FILTER(CstGrpS[Nature],ISNUMBER(FIND(SUBSTITUTE(PptoSty[[#This Row],[PiColumn]]," +%",""),UPPER(SUBSTITUTE(CstGrpS[GrpPrv],"  "," ")))),"X")))</f>
        <v>Mat</v>
      </c>
      <c r="K57" s="96" t="s">
        <v>1625</v>
      </c>
      <c r="L57" s="96" t="s">
        <v>1639</v>
      </c>
      <c r="M57" s="96" t="s">
        <v>375</v>
      </c>
      <c r="N57" s="96" t="str" cm="1">
        <f t="array" ref="N57">IF(OR(PptoSty[[#This Row],[Project]]="",PptoSty[[#This Row],[Project]]="X"),"X",_xlfn._xlws.FILTER(TbAssign[RowId],(TbAssign[Project]=PptoSty[[#This Row],[Project]])*(TbAssign[Módulo]=PptoSty[[#This Row],[PptoVsRow]]),"X"))</f>
        <v>XA01</v>
      </c>
      <c r="O57" s="96" t="str" cm="1">
        <f t="array" ref="O57">IF(OR(PptoSty[[#This Row],[Project]]="",PptoSty[[#This Row],[Project]]="X"),"X",_xlfn.UNIQUE(_xlfn._xlws.FILTER(F_RT14[Amortz.],(F_RT14[Measure]="CurPpto")*(F_RT14[PrjId]=PptoSty[[#This Row],[Project]])*(F_RT14[Vrs]=PptoSty[[#This Row],[Vrs]])*(_xlfn.TEXTAFTER(F_RT14[ActGrp],":")=PptoSty[[#This Row],[PiRow]]),"X")))</f>
        <v>CELL</v>
      </c>
      <c r="P57" s="96" t="s">
        <v>291</v>
      </c>
      <c r="Q57" s="96" t="s">
        <v>1670</v>
      </c>
      <c r="R57" s="204" t="s">
        <v>403</v>
      </c>
      <c r="S57" s="204">
        <v>1</v>
      </c>
      <c r="T57" s="205" t="str" cm="1">
        <f t="array" aca="1" ref="T5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57" s="206" cm="1">
        <f t="array" ref="U57">IFERROR((1/PptoSty[[#This Row],[Division]])*IF(PptoSty[[#This Row],[Sign]]="+",1,-1)*(IF(PptoSty[[#This Row],[POvsCT]]="PO",SUM(_xlfn.CHOOSECOLS(_xlfn._xlws.FILTER(F_RT14[],(IF($M57="X",TRUE,F_RT14[Site]=$M57))*(F_RT14[Measure]=U$4)*(F_RT14[PrjId]=PptoSty[[#This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10539.711600000001</v>
      </c>
      <c r="V57" s="206" cm="1">
        <f t="array" ref="V57">IFERROR((1/PptoSty[[#This Row],[Division]])*IF(PptoSty[[#This Row],[Sign]]="+",1,-1)*(IF(PptoSty[[#This Row],[POvsCT]]="PO",SUM(_xlfn.CHOOSECOLS(_xlfn._xlws.FILTER(F_RT14[],(IF($M57="X",TRUE,F_RT14[Site]=$M57))*(F_RT14[Measure]=V$4)*(F_RT14[PrjId]=PptoSty[[#This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57" s="206" cm="1">
        <f t="array" ref="W57">IFERROR((1/PptoSty[[#This Row],[Division]])*IF(PptoSty[[#This Row],[Sign]]="+",1,-1)*(IF(PptoSty[[#This Row],[POvsCT]]="PO",SUM(_xlfn.CHOOSECOLS(_xlfn._xlws.FILTER(F_RT14[],(IF($M57="X",TRUE,F_RT14[Site]=$M57))*(F_RT14[Measure]=W$4)*(F_RT14[PrjId]=PptoSty[[#This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10539.711600000001</v>
      </c>
      <c r="X57" s="338" cm="1">
        <f t="array" ref="X57">IFERROR(IF(PptoSty[[#This Row],[Nature]]&lt;&gt;"Hrs",0,(1/PptoSty[[#This Row],[Division]])*IF(PptoSty[[#This Row],[Sign]]="+",1,-1)*(IF(PptoSty[[#This Row],[POvsCT]]="PO",SUM(_xlfn.CHOOSECOLS(_xlfn._xlws.FILTER(F_RT14[],(IF($M57="X",TRUE,F_RT14[Site]=$M57))*(F_RT14[Measure]=X$4)*(F_RT14[PrjId]=PptoSty[[#This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57" s="338" cm="1">
        <f t="array" ref="Y57">IFERROR(IF(PptoSty[[#This Row],[Nature]]&lt;&gt;"Hrs",0,(1/PptoSty[[#This Row],[Division]])*IF(PptoSty[[#This Row],[Sign]]="+",1,-1)*(IF(PptoSty[[#This Row],[POvsCT]]="PO",SUM(_xlfn.CHOOSECOLS(_xlfn._xlws.FILTER(F_RT14[],(IF($M57="X",TRUE,F_RT14[Site]=$M57))*(F_RT14[Measure]=Y$4)*(F_RT14[PrjId]=PptoSty[[#This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57" s="338" cm="1">
        <f t="array" ref="Z57">IFERROR(IF(PptoSty[[#This Row],[Nature]]&lt;&gt;"Hrs",0,(1/PptoSty[[#This Row],[Division]])*IF(PptoSty[[#This Row],[Sign]]="+",1,-1)*(IF(PptoSty[[#This Row],[POvsCT]]="PO",SUM(_xlfn.CHOOSECOLS(_xlfn._xlws.FILTER(F_RT14[],(IF($M57="X",TRUE,F_RT14[Site]=$M57))*(F_RT14[Measure]=Z$4)*(F_RT14[PrjId]=PptoSty[[#This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57" s="206" cm="1">
        <f t="array" aca="1" ref="AA57"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10539.711600000001</v>
      </c>
      <c r="AB57" s="206" cm="1">
        <f t="array" aca="1" ref="AB57"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57" s="206" cm="1">
        <f t="array" aca="1" ref="AC57"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10539.711600000001</v>
      </c>
      <c r="AG57"/>
      <c r="AH57"/>
      <c r="AI57" s="21"/>
      <c r="AJ57" s="21"/>
      <c r="AK57" s="175"/>
      <c r="AL57" s="176"/>
      <c r="AM57" s="179"/>
      <c r="AN57" s="176"/>
      <c r="AO57"/>
      <c r="AP57" s="21"/>
      <c r="AQ57" s="176"/>
      <c r="AR57" s="176"/>
      <c r="AS57" s="176"/>
      <c r="AT57" s="176"/>
      <c r="AU57" s="176"/>
      <c r="AV57" s="176"/>
      <c r="AW57" s="176"/>
      <c r="AX57" s="176"/>
      <c r="AY57" s="176"/>
      <c r="AZ57" s="176"/>
      <c r="BA57" s="176"/>
      <c r="BB57" s="176"/>
      <c r="BC57" s="176"/>
      <c r="BD57" s="176"/>
      <c r="BE57"/>
      <c r="BF57" s="21"/>
      <c r="BG57" s="176"/>
      <c r="BH57" s="176"/>
      <c r="BI57" s="176"/>
      <c r="BJ57" s="176"/>
      <c r="BK57" s="176"/>
      <c r="BL57" s="176"/>
      <c r="BM57" s="176"/>
      <c r="BN57" s="176"/>
      <c r="BO57" s="176"/>
      <c r="BP57" s="176"/>
      <c r="BQ57" s="176"/>
      <c r="BR57" s="176"/>
      <c r="BS57" s="176"/>
      <c r="BT57" s="176"/>
      <c r="BU57" s="176"/>
      <c r="BV57" s="176"/>
      <c r="BW57" s="176"/>
      <c r="BX57" s="176"/>
      <c r="BY57" s="176"/>
      <c r="BZ57" s="176"/>
      <c r="CA57" s="176"/>
      <c r="CB57" s="176"/>
      <c r="CC57" s="176"/>
      <c r="CD57" s="176"/>
      <c r="CE57" s="176"/>
      <c r="CF57" s="176"/>
      <c r="CG57" s="176"/>
      <c r="CH57" s="176"/>
      <c r="CI57" s="176"/>
      <c r="CJ57" s="176"/>
      <c r="CK57" s="176"/>
      <c r="CL57" s="176"/>
      <c r="CM57" s="176"/>
      <c r="CN57" s="176"/>
      <c r="CO57" s="176"/>
      <c r="CP57" s="176"/>
      <c r="CQ57" s="176"/>
      <c r="CR57" s="176"/>
      <c r="CS57" s="176"/>
      <c r="CT57" s="176"/>
      <c r="CU57" s="176"/>
      <c r="CV57" s="176"/>
      <c r="CW57" s="176"/>
      <c r="CX57" s="176"/>
      <c r="CY57" s="176"/>
      <c r="CZ57" s="176"/>
      <c r="DA57" s="176"/>
      <c r="DB57" s="176"/>
      <c r="DC57" s="176"/>
      <c r="DD57" s="176"/>
      <c r="DE57" s="176"/>
      <c r="DF57" s="176"/>
      <c r="DG57" s="176"/>
      <c r="DH57" s="176"/>
      <c r="DI57" s="176"/>
      <c r="DJ57" s="176"/>
      <c r="DK57" s="176"/>
      <c r="DL57"/>
      <c r="DM57" s="366" t="str" cm="1">
        <f t="array" aca="1" ref="DM5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DN57:DR57</v>
      </c>
      <c r="DN57" s="177" t="s">
        <v>375</v>
      </c>
      <c r="DO57" s="177" t="str" cm="1">
        <f t="array" aca="1" ref="DO57:DR5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MECÁNICO</v>
      </c>
      <c r="DP57" s="177" t="str">
        <f ca="1"/>
        <v>FABRICACIÓN MECÁNICA</v>
      </c>
      <c r="DQ57" s="177" t="str">
        <f ca="1"/>
        <v>MATERIAL MECÁNICO +%</v>
      </c>
      <c r="DR57" s="177" t="str">
        <f ca="1"/>
        <v>MONTAJE MECÁNICO</v>
      </c>
      <c r="DS57" s="177"/>
      <c r="DT57" s="177"/>
      <c r="DU57" s="177"/>
      <c r="DV57" s="177"/>
      <c r="DW57" s="177"/>
      <c r="DX57" s="177"/>
      <c r="DY57" s="177"/>
      <c r="DZ57" s="177"/>
      <c r="EA57" s="177"/>
      <c r="EB57" s="177"/>
      <c r="EC57" s="177"/>
      <c r="ED57" s="177"/>
    </row>
    <row r="58" spans="3:134" ht="13" customHeight="1">
      <c r="C58" s="213">
        <v>45252</v>
      </c>
      <c r="D58" s="213" t="s">
        <v>2114</v>
      </c>
      <c r="E58" s="213" t="s">
        <v>1710</v>
      </c>
      <c r="F58" s="219" t="s">
        <v>375</v>
      </c>
      <c r="G58" s="201" t="s">
        <v>1415</v>
      </c>
      <c r="H58" s="202">
        <v>15</v>
      </c>
      <c r="I58" s="339" t="str" cm="1">
        <f t="array" aca="1" ref="I5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A002</v>
      </c>
      <c r="J58" s="203" t="str" cm="1">
        <f t="array" ref="J58">IF(OR(PptoSty[[#This Row],[Project]]="",PptoSty[[#This Row],[Project]]="X"),"X",_xlfn.UNIQUE(_xlfn._xlws.FILTER(CstGrpS[Nature],ISNUMBER(FIND(SUBSTITUTE(PptoSty[[#This Row],[PiColumn]]," +%",""),UPPER(SUBSTITUTE(CstGrpS[GrpPrv],"  "," ")))),"X")))</f>
        <v>Mat</v>
      </c>
      <c r="K58" s="96" t="s">
        <v>1567</v>
      </c>
      <c r="L58" s="96" t="s">
        <v>1639</v>
      </c>
      <c r="M58" s="96" t="s">
        <v>375</v>
      </c>
      <c r="N58" s="96" t="str" cm="1">
        <f t="array" ref="N58">IF(OR(PptoSty[[#This Row],[Project]]="",PptoSty[[#This Row],[Project]]="X"),"X",_xlfn._xlws.FILTER(TbAssign[RowId],(TbAssign[Project]=PptoSty[[#This Row],[Project]])*(TbAssign[Módulo]=PptoSty[[#This Row],[PptoVsRow]]),"X"))</f>
        <v>XA01</v>
      </c>
      <c r="O58" s="96" t="str" cm="1">
        <f t="array" ref="O58">IF(OR(PptoSty[[#This Row],[Project]]="",PptoSty[[#This Row],[Project]]="X"),"X",_xlfn.UNIQUE(_xlfn._xlws.FILTER(F_RT14[Amortz.],(F_RT14[Measure]="CurPpto")*(F_RT14[PrjId]=PptoSty[[#This Row],[Project]])*(F_RT14[Vrs]=PptoSty[[#This Row],[Vrs]])*(_xlfn.TEXTAFTER(F_RT14[ActGrp],":")=PptoSty[[#This Row],[PiRow]]),"X")))</f>
        <v>CELL</v>
      </c>
      <c r="P58" s="96" t="s">
        <v>291</v>
      </c>
      <c r="Q58" s="96" t="s">
        <v>1670</v>
      </c>
      <c r="R58" s="204" t="s">
        <v>403</v>
      </c>
      <c r="S58" s="204">
        <v>1</v>
      </c>
      <c r="T58" s="205" t="str" cm="1">
        <f t="array" aca="1" ref="T5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58" s="206" cm="1">
        <f t="array" ref="U58">IFERROR((1/PptoSty[[#This Row],[Division]])*IF(PptoSty[[#This Row],[Sign]]="+",1,-1)*(IF(PptoSty[[#This Row],[POvsCT]]="PO",SUM(_xlfn.CHOOSECOLS(_xlfn._xlws.FILTER(F_RT14[],(IF($M58="X",TRUE,F_RT14[Site]=$M58))*(F_RT14[Measure]=U$4)*(F_RT14[PrjId]=PptoSty[[#This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407527.43400000001</v>
      </c>
      <c r="V58" s="206" cm="1">
        <f t="array" ref="V58">IFERROR((1/PptoSty[[#This Row],[Division]])*IF(PptoSty[[#This Row],[Sign]]="+",1,-1)*(IF(PptoSty[[#This Row],[POvsCT]]="PO",SUM(_xlfn.CHOOSECOLS(_xlfn._xlws.FILTER(F_RT14[],(IF($M58="X",TRUE,F_RT14[Site]=$M58))*(F_RT14[Measure]=V$4)*(F_RT14[PrjId]=PptoSty[[#This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58" s="206" cm="1">
        <f t="array" ref="W58">IFERROR((1/PptoSty[[#This Row],[Division]])*IF(PptoSty[[#This Row],[Sign]]="+",1,-1)*(IF(PptoSty[[#This Row],[POvsCT]]="PO",SUM(_xlfn.CHOOSECOLS(_xlfn._xlws.FILTER(F_RT14[],(IF($M58="X",TRUE,F_RT14[Site]=$M58))*(F_RT14[Measure]=W$4)*(F_RT14[PrjId]=PptoSty[[#This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407527.43400000001</v>
      </c>
      <c r="X58" s="338" cm="1">
        <f t="array" ref="X58">IFERROR(IF(PptoSty[[#This Row],[Nature]]&lt;&gt;"Hrs",0,(1/PptoSty[[#This Row],[Division]])*IF(PptoSty[[#This Row],[Sign]]="+",1,-1)*(IF(PptoSty[[#This Row],[POvsCT]]="PO",SUM(_xlfn.CHOOSECOLS(_xlfn._xlws.FILTER(F_RT14[],(IF($M58="X",TRUE,F_RT14[Site]=$M58))*(F_RT14[Measure]=X$4)*(F_RT14[PrjId]=PptoSty[[#This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58" s="338" cm="1">
        <f t="array" ref="Y58">IFERROR(IF(PptoSty[[#This Row],[Nature]]&lt;&gt;"Hrs",0,(1/PptoSty[[#This Row],[Division]])*IF(PptoSty[[#This Row],[Sign]]="+",1,-1)*(IF(PptoSty[[#This Row],[POvsCT]]="PO",SUM(_xlfn.CHOOSECOLS(_xlfn._xlws.FILTER(F_RT14[],(IF($M58="X",TRUE,F_RT14[Site]=$M58))*(F_RT14[Measure]=Y$4)*(F_RT14[PrjId]=PptoSty[[#This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58" s="338" cm="1">
        <f t="array" ref="Z58">IFERROR(IF(PptoSty[[#This Row],[Nature]]&lt;&gt;"Hrs",0,(1/PptoSty[[#This Row],[Division]])*IF(PptoSty[[#This Row],[Sign]]="+",1,-1)*(IF(PptoSty[[#This Row],[POvsCT]]="PO",SUM(_xlfn.CHOOSECOLS(_xlfn._xlws.FILTER(F_RT14[],(IF($M58="X",TRUE,F_RT14[Site]=$M58))*(F_RT14[Measure]=Z$4)*(F_RT14[PrjId]=PptoSty[[#This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58" s="206" cm="1">
        <f t="array" aca="1" ref="AA58"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418067.14559999999</v>
      </c>
      <c r="AB58" s="206" cm="1">
        <f t="array" aca="1" ref="AB58"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58" s="206" cm="1">
        <f t="array" aca="1" ref="AC58"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418067.14559999999</v>
      </c>
      <c r="AG58"/>
      <c r="AH58"/>
      <c r="AI58" s="21"/>
      <c r="AJ58" s="21"/>
      <c r="AK58" s="175"/>
      <c r="AL58" s="176"/>
      <c r="AM58" s="179"/>
      <c r="AN58" s="176"/>
      <c r="AO58"/>
      <c r="AP58" s="21"/>
      <c r="AQ58" s="176"/>
      <c r="AR58" s="176"/>
      <c r="AS58" s="176"/>
      <c r="AT58" s="176"/>
      <c r="AU58" s="176"/>
      <c r="AV58" s="176"/>
      <c r="AW58" s="176"/>
      <c r="AX58" s="176"/>
      <c r="AY58" s="176"/>
      <c r="AZ58" s="176"/>
      <c r="BA58" s="176"/>
      <c r="BB58" s="176"/>
      <c r="BC58" s="176"/>
      <c r="BD58" s="176"/>
      <c r="BE58"/>
      <c r="BF58" s="21"/>
      <c r="BG58" s="176"/>
      <c r="BH58" s="176"/>
      <c r="BI58" s="176"/>
      <c r="BJ58" s="176"/>
      <c r="BK58" s="176"/>
      <c r="BL58" s="176"/>
      <c r="BM58" s="176"/>
      <c r="BN58" s="176"/>
      <c r="BO58" s="176"/>
      <c r="BP58" s="176"/>
      <c r="BQ58" s="176"/>
      <c r="BR58" s="176"/>
      <c r="BS58" s="176"/>
      <c r="BT58" s="176"/>
      <c r="BU58" s="176"/>
      <c r="BV58" s="176"/>
      <c r="BW58" s="176"/>
      <c r="BX58" s="176"/>
      <c r="BY58" s="176"/>
      <c r="BZ58" s="176"/>
      <c r="CA58" s="176"/>
      <c r="CB58" s="176"/>
      <c r="CC58" s="176"/>
      <c r="CD58" s="176"/>
      <c r="CE58" s="176"/>
      <c r="CF58" s="176"/>
      <c r="CG58" s="176"/>
      <c r="CH58" s="176"/>
      <c r="CI58" s="176"/>
      <c r="CJ58" s="176"/>
      <c r="CK58" s="176"/>
      <c r="CL58" s="176"/>
      <c r="CM58" s="176"/>
      <c r="CN58" s="176"/>
      <c r="CO58" s="176"/>
      <c r="CP58" s="176"/>
      <c r="CQ58" s="176"/>
      <c r="CR58" s="176"/>
      <c r="CS58" s="176"/>
      <c r="CT58" s="176"/>
      <c r="CU58" s="176"/>
      <c r="CV58" s="176"/>
      <c r="CW58" s="176"/>
      <c r="CX58" s="176"/>
      <c r="CY58" s="176"/>
      <c r="CZ58" s="176"/>
      <c r="DA58" s="176"/>
      <c r="DB58" s="176"/>
      <c r="DC58" s="176"/>
      <c r="DD58" s="176"/>
      <c r="DE58" s="176"/>
      <c r="DF58" s="176"/>
      <c r="DG58" s="176"/>
      <c r="DH58" s="176"/>
      <c r="DI58" s="176"/>
      <c r="DJ58" s="176"/>
      <c r="DK58" s="176"/>
      <c r="DL58"/>
      <c r="DM58" s="366" t="str" cm="1">
        <f t="array" aca="1" ref="DM5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DN58:DO58</v>
      </c>
      <c r="DN58" s="177" t="s">
        <v>375</v>
      </c>
      <c r="DO58" s="177" t="str" cm="1">
        <f t="array" aca="1" ref="DO5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MATERIAL MECÁNICO +%</v>
      </c>
      <c r="DP58" s="177"/>
      <c r="DQ58" s="177"/>
      <c r="DR58" s="177"/>
      <c r="DS58" s="177"/>
      <c r="DT58" s="177"/>
      <c r="DU58" s="177"/>
      <c r="DV58" s="177"/>
      <c r="DW58" s="177"/>
      <c r="DX58" s="177"/>
      <c r="DY58" s="177"/>
      <c r="DZ58" s="177"/>
      <c r="EA58" s="177"/>
      <c r="EB58" s="177"/>
      <c r="EC58" s="177"/>
      <c r="ED58" s="177"/>
    </row>
    <row r="59" spans="3:134" ht="13" customHeight="1">
      <c r="C59" s="213">
        <v>45252</v>
      </c>
      <c r="D59" s="213" t="s">
        <v>2114</v>
      </c>
      <c r="E59" s="213" t="s">
        <v>1710</v>
      </c>
      <c r="F59" s="219" t="s">
        <v>375</v>
      </c>
      <c r="G59" s="201" t="s">
        <v>1415</v>
      </c>
      <c r="H59" s="202">
        <v>15</v>
      </c>
      <c r="I59" s="339" t="str" cm="1">
        <f t="array" aca="1" ref="I5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A003</v>
      </c>
      <c r="J59" s="203" t="str" cm="1">
        <f t="array" ref="J59">IF(OR(PptoSty[[#This Row],[Project]]="",PptoSty[[#This Row],[Project]]="X"),"X",_xlfn.UNIQUE(_xlfn._xlws.FILTER(CstGrpS[Nature],ISNUMBER(FIND(SUBSTITUTE(PptoSty[[#This Row],[PiColumn]]," +%",""),UPPER(SUBSTITUTE(CstGrpS[GrpPrv],"  "," ")))),"X")))</f>
        <v>Mat</v>
      </c>
      <c r="K59" s="96" t="s">
        <v>1568</v>
      </c>
      <c r="L59" s="96" t="s">
        <v>1639</v>
      </c>
      <c r="M59" s="96" t="s">
        <v>375</v>
      </c>
      <c r="N59" s="96" t="str" cm="1">
        <f t="array" ref="N59">IF(OR(PptoSty[[#This Row],[Project]]="",PptoSty[[#This Row],[Project]]="X"),"X",_xlfn._xlws.FILTER(TbAssign[RowId],(TbAssign[Project]=PptoSty[[#This Row],[Project]])*(TbAssign[Módulo]=PptoSty[[#This Row],[PptoVsRow]]),"X"))</f>
        <v>XA01</v>
      </c>
      <c r="O59" s="96" t="str" cm="1">
        <f t="array" ref="O59">IF(OR(PptoSty[[#This Row],[Project]]="",PptoSty[[#This Row],[Project]]="X"),"X",_xlfn.UNIQUE(_xlfn._xlws.FILTER(F_RT14[Amortz.],(F_RT14[Measure]="CurPpto")*(F_RT14[PrjId]=PptoSty[[#This Row],[Project]])*(F_RT14[Vrs]=PptoSty[[#This Row],[Vrs]])*(_xlfn.TEXTAFTER(F_RT14[ActGrp],":")=PptoSty[[#This Row],[PiRow]]),"X")))</f>
        <v>CELL</v>
      </c>
      <c r="P59" s="96" t="s">
        <v>291</v>
      </c>
      <c r="Q59" s="96" t="s">
        <v>1670</v>
      </c>
      <c r="R59" s="204" t="s">
        <v>403</v>
      </c>
      <c r="S59" s="204">
        <v>1</v>
      </c>
      <c r="T59" s="205" t="str" cm="1">
        <f t="array" aca="1" ref="T5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59" s="206" cm="1">
        <f t="array" ref="U59">IFERROR((1/PptoSty[[#This Row],[Division]])*IF(PptoSty[[#This Row],[Sign]]="+",1,-1)*(IF(PptoSty[[#This Row],[POvsCT]]="PO",SUM(_xlfn.CHOOSECOLS(_xlfn._xlws.FILTER(F_RT14[],(IF($M59="X",TRUE,F_RT14[Site]=$M59))*(F_RT14[Measure]=U$4)*(F_RT14[PrjId]=PptoSty[[#This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183172</v>
      </c>
      <c r="V59" s="206" cm="1">
        <f t="array" ref="V59">IFERROR((1/PptoSty[[#This Row],[Division]])*IF(PptoSty[[#This Row],[Sign]]="+",1,-1)*(IF(PptoSty[[#This Row],[POvsCT]]="PO",SUM(_xlfn.CHOOSECOLS(_xlfn._xlws.FILTER(F_RT14[],(IF($M59="X",TRUE,F_RT14[Site]=$M59))*(F_RT14[Measure]=V$4)*(F_RT14[PrjId]=PptoSty[[#This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59" s="206" cm="1">
        <f t="array" ref="W59">IFERROR((1/PptoSty[[#This Row],[Division]])*IF(PptoSty[[#This Row],[Sign]]="+",1,-1)*(IF(PptoSty[[#This Row],[POvsCT]]="PO",SUM(_xlfn.CHOOSECOLS(_xlfn._xlws.FILTER(F_RT14[],(IF($M59="X",TRUE,F_RT14[Site]=$M59))*(F_RT14[Measure]=W$4)*(F_RT14[PrjId]=PptoSty[[#This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183172</v>
      </c>
      <c r="X59" s="338" cm="1">
        <f t="array" ref="X59">IFERROR(IF(PptoSty[[#This Row],[Nature]]&lt;&gt;"Hrs",0,(1/PptoSty[[#This Row],[Division]])*IF(PptoSty[[#This Row],[Sign]]="+",1,-1)*(IF(PptoSty[[#This Row],[POvsCT]]="PO",SUM(_xlfn.CHOOSECOLS(_xlfn._xlws.FILTER(F_RT14[],(IF($M59="X",TRUE,F_RT14[Site]=$M59))*(F_RT14[Measure]=X$4)*(F_RT14[PrjId]=PptoSty[[#This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59" s="338" cm="1">
        <f t="array" ref="Y59">IFERROR(IF(PptoSty[[#This Row],[Nature]]&lt;&gt;"Hrs",0,(1/PptoSty[[#This Row],[Division]])*IF(PptoSty[[#This Row],[Sign]]="+",1,-1)*(IF(PptoSty[[#This Row],[POvsCT]]="PO",SUM(_xlfn.CHOOSECOLS(_xlfn._xlws.FILTER(F_RT14[],(IF($M59="X",TRUE,F_RT14[Site]=$M59))*(F_RT14[Measure]=Y$4)*(F_RT14[PrjId]=PptoSty[[#This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59" s="338" cm="1">
        <f t="array" ref="Z59">IFERROR(IF(PptoSty[[#This Row],[Nature]]&lt;&gt;"Hrs",0,(1/PptoSty[[#This Row],[Division]])*IF(PptoSty[[#This Row],[Sign]]="+",1,-1)*(IF(PptoSty[[#This Row],[POvsCT]]="PO",SUM(_xlfn.CHOOSECOLS(_xlfn._xlws.FILTER(F_RT14[],(IF($M59="X",TRUE,F_RT14[Site]=$M59))*(F_RT14[Measure]=Z$4)*(F_RT14[PrjId]=PptoSty[[#This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59" s="206" cm="1">
        <f t="array" aca="1" ref="AA59"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601239.14559999993</v>
      </c>
      <c r="AB59" s="206" cm="1">
        <f t="array" aca="1" ref="AB59"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59" s="206" cm="1">
        <f t="array" aca="1" ref="AC59"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601239.14559999993</v>
      </c>
      <c r="AG59"/>
      <c r="AH59"/>
      <c r="AI59"/>
      <c r="AK59" s="113"/>
      <c r="AO59"/>
      <c r="AP59"/>
      <c r="AZ59" s="175"/>
      <c r="BA59" s="175"/>
      <c r="BE59"/>
      <c r="BF59"/>
      <c r="DG59" s="175"/>
      <c r="DH59" s="175"/>
      <c r="DI59" s="175"/>
      <c r="DL59" s="108"/>
      <c r="DM59" s="366" t="str" cm="1">
        <f t="array" aca="1" ref="DM59"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DN59:DO59</v>
      </c>
      <c r="DN59" s="177" t="s">
        <v>375</v>
      </c>
      <c r="DO59" s="177" t="str" cm="1">
        <f t="array" aca="1" ref="DO59"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MATERIAL MECÁNICO +%</v>
      </c>
      <c r="DP59" s="177"/>
      <c r="DQ59" s="177"/>
      <c r="DR59" s="177"/>
      <c r="DS59" s="177"/>
      <c r="DT59" s="177"/>
      <c r="DU59" s="177"/>
      <c r="DV59" s="177"/>
      <c r="DW59" s="177"/>
      <c r="DX59" s="177"/>
      <c r="DY59" s="177"/>
      <c r="DZ59" s="177"/>
      <c r="EA59" s="177"/>
      <c r="EB59" s="177"/>
      <c r="EC59" s="177"/>
      <c r="ED59" s="177"/>
    </row>
    <row r="60" spans="3:134" ht="13" customHeight="1">
      <c r="C60" s="213">
        <v>45252</v>
      </c>
      <c r="D60" s="213" t="s">
        <v>2114</v>
      </c>
      <c r="E60" s="213" t="s">
        <v>1710</v>
      </c>
      <c r="F60" s="219" t="s">
        <v>375</v>
      </c>
      <c r="G60" s="201" t="s">
        <v>1415</v>
      </c>
      <c r="H60" s="202">
        <v>15</v>
      </c>
      <c r="I60" s="339" t="str" cm="1">
        <f t="array" aca="1" ref="I6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A001</v>
      </c>
      <c r="J60" s="203" t="str" cm="1">
        <f t="array" ref="J60">IF(OR(PptoSty[[#This Row],[Project]]="",PptoSty[[#This Row],[Project]]="X"),"X",_xlfn.UNIQUE(_xlfn._xlws.FILTER(CstGrpS[Nature],ISNUMBER(FIND(SUBSTITUTE(PptoSty[[#This Row],[PiColumn]]," +%",""),UPPER(SUBSTITUTE(CstGrpS[GrpPrv],"  "," ")))),"X")))</f>
        <v>Mat</v>
      </c>
      <c r="K60" s="96" t="s">
        <v>1566</v>
      </c>
      <c r="L60" s="96" t="s">
        <v>1639</v>
      </c>
      <c r="M60" s="96" t="s">
        <v>375</v>
      </c>
      <c r="N60" s="96" t="str" cm="1">
        <f t="array" ref="N60">IF(OR(PptoSty[[#This Row],[Project]]="",PptoSty[[#This Row],[Project]]="X"),"X",_xlfn._xlws.FILTER(TbAssign[RowId],(TbAssign[Project]=PptoSty[[#This Row],[Project]])*(TbAssign[Módulo]=PptoSty[[#This Row],[PptoVsRow]]),"X"))</f>
        <v>XA02</v>
      </c>
      <c r="O60" s="96" t="str" cm="1">
        <f t="array" ref="O60">IF(OR(PptoSty[[#This Row],[Project]]="",PptoSty[[#This Row],[Project]]="X"),"X",_xlfn.UNIQUE(_xlfn._xlws.FILTER(F_RT14[Amortz.],(F_RT14[Measure]="CurPpto")*(F_RT14[PrjId]=PptoSty[[#This Row],[Project]])*(F_RT14[Vrs]=PptoSty[[#This Row],[Vrs]])*(_xlfn.TEXTAFTER(F_RT14[ActGrp],":")=PptoSty[[#This Row],[PiRow]]),"X")))</f>
        <v>CELL</v>
      </c>
      <c r="P60" s="96" t="s">
        <v>1478</v>
      </c>
      <c r="Q60" s="96" t="s">
        <v>1670</v>
      </c>
      <c r="R60" s="204" t="s">
        <v>403</v>
      </c>
      <c r="S60" s="204">
        <v>1</v>
      </c>
      <c r="T60" s="205" t="str" cm="1">
        <f t="array" aca="1" ref="T6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60" s="206" cm="1">
        <f t="array" ref="U60">IFERROR((1/PptoSty[[#This Row],[Division]])*IF(PptoSty[[#This Row],[Sign]]="+",1,-1)*(IF(PptoSty[[#This Row],[POvsCT]]="PO",SUM(_xlfn.CHOOSECOLS(_xlfn._xlws.FILTER(F_RT14[],(IF($M60="X",TRUE,F_RT14[Site]=$M60))*(F_RT14[Measure]=U$4)*(F_RT14[PrjId]=PptoSty[[#This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482632</v>
      </c>
      <c r="V60" s="206" cm="1">
        <f t="array" ref="V60">IFERROR((1/PptoSty[[#This Row],[Division]])*IF(PptoSty[[#This Row],[Sign]]="+",1,-1)*(IF(PptoSty[[#This Row],[POvsCT]]="PO",SUM(_xlfn.CHOOSECOLS(_xlfn._xlws.FILTER(F_RT14[],(IF($M60="X",TRUE,F_RT14[Site]=$M60))*(F_RT14[Measure]=V$4)*(F_RT14[PrjId]=PptoSty[[#This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60" s="206" cm="1">
        <f t="array" ref="W60">IFERROR((1/PptoSty[[#This Row],[Division]])*IF(PptoSty[[#This Row],[Sign]]="+",1,-1)*(IF(PptoSty[[#This Row],[POvsCT]]="PO",SUM(_xlfn.CHOOSECOLS(_xlfn._xlws.FILTER(F_RT14[],(IF($M60="X",TRUE,F_RT14[Site]=$M60))*(F_RT14[Measure]=W$4)*(F_RT14[PrjId]=PptoSty[[#This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482632</v>
      </c>
      <c r="X60" s="338" cm="1">
        <f t="array" ref="X60">IFERROR(IF(PptoSty[[#This Row],[Nature]]&lt;&gt;"Hrs",0,(1/PptoSty[[#This Row],[Division]])*IF(PptoSty[[#This Row],[Sign]]="+",1,-1)*(IF(PptoSty[[#This Row],[POvsCT]]="PO",SUM(_xlfn.CHOOSECOLS(_xlfn._xlws.FILTER(F_RT14[],(IF($M60="X",TRUE,F_RT14[Site]=$M60))*(F_RT14[Measure]=X$4)*(F_RT14[PrjId]=PptoSty[[#This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60" s="338" cm="1">
        <f t="array" ref="Y60">IFERROR(IF(PptoSty[[#This Row],[Nature]]&lt;&gt;"Hrs",0,(1/PptoSty[[#This Row],[Division]])*IF(PptoSty[[#This Row],[Sign]]="+",1,-1)*(IF(PptoSty[[#This Row],[POvsCT]]="PO",SUM(_xlfn.CHOOSECOLS(_xlfn._xlws.FILTER(F_RT14[],(IF($M60="X",TRUE,F_RT14[Site]=$M60))*(F_RT14[Measure]=Y$4)*(F_RT14[PrjId]=PptoSty[[#This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60" s="338" cm="1">
        <f t="array" ref="Z60">IFERROR(IF(PptoSty[[#This Row],[Nature]]&lt;&gt;"Hrs",0,(1/PptoSty[[#This Row],[Division]])*IF(PptoSty[[#This Row],[Sign]]="+",1,-1)*(IF(PptoSty[[#This Row],[POvsCT]]="PO",SUM(_xlfn.CHOOSECOLS(_xlfn._xlws.FILTER(F_RT14[],(IF($M60="X",TRUE,F_RT14[Site]=$M60))*(F_RT14[Measure]=Z$4)*(F_RT14[PrjId]=PptoSty[[#This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60" s="206" cm="1">
        <f t="array" aca="1" ref="AA60"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482632</v>
      </c>
      <c r="AB60" s="206" cm="1">
        <f t="array" aca="1" ref="AB60"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60" s="206" cm="1">
        <f t="array" aca="1" ref="AC60"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482632</v>
      </c>
      <c r="AG60"/>
      <c r="AH60"/>
      <c r="AI60"/>
      <c r="AK60" s="113"/>
      <c r="AO60"/>
      <c r="AP60"/>
      <c r="AZ60" s="175"/>
      <c r="BA60" s="175"/>
      <c r="BE60"/>
      <c r="BF60"/>
      <c r="DG60" s="175"/>
      <c r="DH60" s="175"/>
      <c r="DI60" s="175"/>
      <c r="DL60" s="108"/>
      <c r="DM60" s="366" t="str" cm="1">
        <f t="array" aca="1" ref="DM60"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DN60:DO60</v>
      </c>
      <c r="DN60" s="177" t="s">
        <v>375</v>
      </c>
      <c r="DO60" s="177" t="str" cm="1">
        <f t="array" aca="1" ref="DO60"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MATERIAL MECÁNICO +%</v>
      </c>
      <c r="DP60" s="177"/>
      <c r="DQ60" s="177"/>
      <c r="DR60" s="177"/>
      <c r="DS60" s="177"/>
      <c r="DT60" s="177"/>
      <c r="DU60" s="177"/>
      <c r="DV60" s="177"/>
      <c r="DW60" s="177"/>
      <c r="DX60" s="177"/>
      <c r="DY60" s="177"/>
      <c r="DZ60" s="177"/>
      <c r="EA60" s="177"/>
      <c r="EB60" s="177"/>
      <c r="EC60" s="177"/>
      <c r="ED60" s="177"/>
    </row>
    <row r="61" spans="3:134" ht="13" customHeight="1">
      <c r="C61" s="213">
        <v>45252</v>
      </c>
      <c r="D61" s="213" t="s">
        <v>2114</v>
      </c>
      <c r="E61" s="213" t="s">
        <v>1710</v>
      </c>
      <c r="F61" s="219" t="s">
        <v>375</v>
      </c>
      <c r="G61" s="201" t="s">
        <v>1415</v>
      </c>
      <c r="H61" s="202">
        <v>15</v>
      </c>
      <c r="I61" s="339" t="str" cm="1">
        <f t="array" aca="1" ref="I6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P025</v>
      </c>
      <c r="J61" s="203" t="str" cm="1">
        <f t="array" ref="J61">IF(OR(PptoSty[[#This Row],[Project]]="",PptoSty[[#This Row],[Project]]="X"),"X",_xlfn.UNIQUE(_xlfn._xlws.FILTER(CstGrpS[Nature],ISNUMBER(FIND(SUBSTITUTE(PptoSty[[#This Row],[PiColumn]]," +%",""),UPPER(SUBSTITUTE(CstGrpS[GrpPrv],"  "," ")))),"X")))</f>
        <v>Mat</v>
      </c>
      <c r="K61" s="96" t="s">
        <v>1625</v>
      </c>
      <c r="L61" s="96" t="s">
        <v>1639</v>
      </c>
      <c r="M61" s="96" t="s">
        <v>375</v>
      </c>
      <c r="N61" s="96" t="str" cm="1">
        <f t="array" ref="N61">IF(OR(PptoSty[[#This Row],[Project]]="",PptoSty[[#This Row],[Project]]="X"),"X",_xlfn._xlws.FILTER(TbAssign[RowId],(TbAssign[Project]=PptoSty[[#This Row],[Project]])*(TbAssign[Módulo]=PptoSty[[#This Row],[PptoVsRow]]),"X"))</f>
        <v>XC02</v>
      </c>
      <c r="O61" s="96" t="str" cm="1">
        <f t="array" ref="O61">IF(OR(PptoSty[[#This Row],[Project]]="",PptoSty[[#This Row],[Project]]="X"),"X",_xlfn.UNIQUE(_xlfn._xlws.FILTER(F_RT14[Amortz.],(F_RT14[Measure]="CurPpto")*(F_RT14[PrjId]=PptoSty[[#This Row],[Project]])*(F_RT14[Vrs]=PptoSty[[#This Row],[Vrs]])*(_xlfn.TEXTAFTER(F_RT14[ActGrp],":")=PptoSty[[#This Row],[PiRow]]),"X")))</f>
        <v>CELL</v>
      </c>
      <c r="P61" s="96" t="s">
        <v>368</v>
      </c>
      <c r="Q61" s="96" t="s">
        <v>1670</v>
      </c>
      <c r="R61" s="204" t="s">
        <v>1671</v>
      </c>
      <c r="S61" s="204">
        <v>1</v>
      </c>
      <c r="T61" s="205" t="str" cm="1">
        <f t="array" aca="1" ref="T6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61" s="206" cm="1">
        <f t="array" ref="U61">IFERROR((1/PptoSty[[#This Row],[Division]])*IF(PptoSty[[#This Row],[Sign]]="+",1,-1)*(IF(PptoSty[[#This Row],[POvsCT]]="PO",SUM(_xlfn.CHOOSECOLS(_xlfn._xlws.FILTER(F_RT14[],(IF($M61="X",TRUE,F_RT14[Site]=$M61))*(F_RT14[Measure]=U$4)*(F_RT14[PrjId]=PptoSty[[#This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-10539.711600000001</v>
      </c>
      <c r="V61" s="206" cm="1">
        <f t="array" ref="V61">IFERROR((1/PptoSty[[#This Row],[Division]])*IF(PptoSty[[#This Row],[Sign]]="+",1,-1)*(IF(PptoSty[[#This Row],[POvsCT]]="PO",SUM(_xlfn.CHOOSECOLS(_xlfn._xlws.FILTER(F_RT14[],(IF($M61="X",TRUE,F_RT14[Site]=$M61))*(F_RT14[Measure]=V$4)*(F_RT14[PrjId]=PptoSty[[#This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61" s="206" cm="1">
        <f t="array" ref="W61">IFERROR((1/PptoSty[[#This Row],[Division]])*IF(PptoSty[[#This Row],[Sign]]="+",1,-1)*(IF(PptoSty[[#This Row],[POvsCT]]="PO",SUM(_xlfn.CHOOSECOLS(_xlfn._xlws.FILTER(F_RT14[],(IF($M61="X",TRUE,F_RT14[Site]=$M61))*(F_RT14[Measure]=W$4)*(F_RT14[PrjId]=PptoSty[[#This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-10539.711600000001</v>
      </c>
      <c r="X61" s="338" cm="1">
        <f t="array" ref="X61">IFERROR(IF(PptoSty[[#This Row],[Nature]]&lt;&gt;"Hrs",0,(1/PptoSty[[#This Row],[Division]])*IF(PptoSty[[#This Row],[Sign]]="+",1,-1)*(IF(PptoSty[[#This Row],[POvsCT]]="PO",SUM(_xlfn.CHOOSECOLS(_xlfn._xlws.FILTER(F_RT14[],(IF($M61="X",TRUE,F_RT14[Site]=$M61))*(F_RT14[Measure]=X$4)*(F_RT14[PrjId]=PptoSty[[#This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61" s="338" cm="1">
        <f t="array" ref="Y61">IFERROR(IF(PptoSty[[#This Row],[Nature]]&lt;&gt;"Hrs",0,(1/PptoSty[[#This Row],[Division]])*IF(PptoSty[[#This Row],[Sign]]="+",1,-1)*(IF(PptoSty[[#This Row],[POvsCT]]="PO",SUM(_xlfn.CHOOSECOLS(_xlfn._xlws.FILTER(F_RT14[],(IF($M61="X",TRUE,F_RT14[Site]=$M61))*(F_RT14[Measure]=Y$4)*(F_RT14[PrjId]=PptoSty[[#This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61" s="338" cm="1">
        <f t="array" ref="Z61">IFERROR(IF(PptoSty[[#This Row],[Nature]]&lt;&gt;"Hrs",0,(1/PptoSty[[#This Row],[Division]])*IF(PptoSty[[#This Row],[Sign]]="+",1,-1)*(IF(PptoSty[[#This Row],[POvsCT]]="PO",SUM(_xlfn.CHOOSECOLS(_xlfn._xlws.FILTER(F_RT14[],(IF($M61="X",TRUE,F_RT14[Site]=$M61))*(F_RT14[Measure]=Z$4)*(F_RT14[PrjId]=PptoSty[[#This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61" s="206" cm="1">
        <f t="array" aca="1" ref="AA61"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1369507.4098999999</v>
      </c>
      <c r="AB61" s="206" cm="1">
        <f t="array" aca="1" ref="AB61"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61" s="206" cm="1">
        <f t="array" aca="1" ref="AC61"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1369507.4098999999</v>
      </c>
      <c r="AG61"/>
      <c r="AH61"/>
      <c r="AI61"/>
      <c r="AK61" s="113"/>
      <c r="AO61"/>
      <c r="AP61"/>
      <c r="AZ61" s="175"/>
      <c r="BA61" s="175"/>
      <c r="BE61"/>
      <c r="BF61"/>
      <c r="DG61" s="175"/>
      <c r="DH61" s="175"/>
      <c r="DI61" s="175"/>
      <c r="DL61" s="108"/>
      <c r="DM61" s="366" t="str" cm="1">
        <f t="array" aca="1" ref="DM61"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DN61:DR61</v>
      </c>
      <c r="DN61" s="177" t="s">
        <v>375</v>
      </c>
      <c r="DO61" s="177" t="str" cm="1">
        <f t="array" aca="1" ref="DO61:DR61"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MECÁNICO</v>
      </c>
      <c r="DP61" s="177" t="str">
        <f ca="1"/>
        <v>FABRICACIÓN MECÁNICA</v>
      </c>
      <c r="DQ61" s="177" t="str">
        <f ca="1"/>
        <v>MATERIAL MECÁNICO +%</v>
      </c>
      <c r="DR61" s="177" t="str">
        <f ca="1"/>
        <v>MONTAJE MECÁNICO</v>
      </c>
      <c r="DS61" s="177"/>
      <c r="DT61" s="177"/>
      <c r="DU61" s="177"/>
      <c r="DV61" s="177"/>
      <c r="DW61" s="177"/>
      <c r="DX61" s="177"/>
      <c r="DY61" s="177"/>
      <c r="DZ61" s="177"/>
      <c r="EA61" s="177"/>
      <c r="EB61" s="177"/>
      <c r="EC61" s="177"/>
      <c r="ED61" s="177"/>
    </row>
    <row r="62" spans="3:134" ht="13" customHeight="1">
      <c r="C62" s="213">
        <v>45252</v>
      </c>
      <c r="D62" s="213" t="s">
        <v>2114</v>
      </c>
      <c r="E62" s="213" t="s">
        <v>1710</v>
      </c>
      <c r="F62" s="219" t="s">
        <v>375</v>
      </c>
      <c r="G62" s="201" t="s">
        <v>1415</v>
      </c>
      <c r="H62" s="202">
        <v>15</v>
      </c>
      <c r="I62" s="339" t="str" cm="1">
        <f t="array" aca="1" ref="I6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A002</v>
      </c>
      <c r="J62" s="203" t="str" cm="1">
        <f t="array" ref="J62">IF(OR(PptoSty[[#This Row],[Project]]="",PptoSty[[#This Row],[Project]]="X"),"X",_xlfn.UNIQUE(_xlfn._xlws.FILTER(CstGrpS[Nature],ISNUMBER(FIND(SUBSTITUTE(PptoSty[[#This Row],[PiColumn]]," +%",""),UPPER(SUBSTITUTE(CstGrpS[GrpPrv],"  "," ")))),"X")))</f>
        <v>Mat</v>
      </c>
      <c r="K62" s="96" t="s">
        <v>1567</v>
      </c>
      <c r="L62" s="96" t="s">
        <v>1639</v>
      </c>
      <c r="M62" s="96" t="s">
        <v>375</v>
      </c>
      <c r="N62" s="96" t="str" cm="1">
        <f t="array" ref="N62">IF(OR(PptoSty[[#This Row],[Project]]="",PptoSty[[#This Row],[Project]]="X"),"X",_xlfn._xlws.FILTER(TbAssign[RowId],(TbAssign[Project]=PptoSty[[#This Row],[Project]])*(TbAssign[Módulo]=PptoSty[[#This Row],[PptoVsRow]]),"X"))</f>
        <v>XC02</v>
      </c>
      <c r="O62" s="96" t="str" cm="1">
        <f t="array" ref="O62">IF(OR(PptoSty[[#This Row],[Project]]="",PptoSty[[#This Row],[Project]]="X"),"X",_xlfn.UNIQUE(_xlfn._xlws.FILTER(F_RT14[Amortz.],(F_RT14[Measure]="CurPpto")*(F_RT14[PrjId]=PptoSty[[#This Row],[Project]])*(F_RT14[Vrs]=PptoSty[[#This Row],[Vrs]])*(_xlfn.TEXTAFTER(F_RT14[ActGrp],":")=PptoSty[[#This Row],[PiRow]]),"X")))</f>
        <v>CELL</v>
      </c>
      <c r="P62" s="96" t="s">
        <v>368</v>
      </c>
      <c r="Q62" s="96" t="s">
        <v>1670</v>
      </c>
      <c r="R62" s="204" t="s">
        <v>1671</v>
      </c>
      <c r="S62" s="204">
        <v>1</v>
      </c>
      <c r="T62" s="205" t="str" cm="1">
        <f t="array" aca="1" ref="T6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62" s="206" cm="1">
        <f t="array" ref="U62">IFERROR((1/PptoSty[[#This Row],[Division]])*IF(PptoSty[[#This Row],[Sign]]="+",1,-1)*(IF(PptoSty[[#This Row],[POvsCT]]="PO",SUM(_xlfn.CHOOSECOLS(_xlfn._xlws.FILTER(F_RT14[],(IF($M62="X",TRUE,F_RT14[Site]=$M62))*(F_RT14[Measure]=U$4)*(F_RT14[PrjId]=PptoSty[[#This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-407527.43400000001</v>
      </c>
      <c r="V62" s="206" cm="1">
        <f t="array" ref="V62">IFERROR((1/PptoSty[[#This Row],[Division]])*IF(PptoSty[[#This Row],[Sign]]="+",1,-1)*(IF(PptoSty[[#This Row],[POvsCT]]="PO",SUM(_xlfn.CHOOSECOLS(_xlfn._xlws.FILTER(F_RT14[],(IF($M62="X",TRUE,F_RT14[Site]=$M62))*(F_RT14[Measure]=V$4)*(F_RT14[PrjId]=PptoSty[[#This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62" s="206" cm="1">
        <f t="array" ref="W62">IFERROR((1/PptoSty[[#This Row],[Division]])*IF(PptoSty[[#This Row],[Sign]]="+",1,-1)*(IF(PptoSty[[#This Row],[POvsCT]]="PO",SUM(_xlfn.CHOOSECOLS(_xlfn._xlws.FILTER(F_RT14[],(IF($M62="X",TRUE,F_RT14[Site]=$M62))*(F_RT14[Measure]=W$4)*(F_RT14[PrjId]=PptoSty[[#This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-407527.43400000001</v>
      </c>
      <c r="X62" s="338" cm="1">
        <f t="array" ref="X62">IFERROR(IF(PptoSty[[#This Row],[Nature]]&lt;&gt;"Hrs",0,(1/PptoSty[[#This Row],[Division]])*IF(PptoSty[[#This Row],[Sign]]="+",1,-1)*(IF(PptoSty[[#This Row],[POvsCT]]="PO",SUM(_xlfn.CHOOSECOLS(_xlfn._xlws.FILTER(F_RT14[],(IF($M62="X",TRUE,F_RT14[Site]=$M62))*(F_RT14[Measure]=X$4)*(F_RT14[PrjId]=PptoSty[[#This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62" s="338" cm="1">
        <f t="array" ref="Y62">IFERROR(IF(PptoSty[[#This Row],[Nature]]&lt;&gt;"Hrs",0,(1/PptoSty[[#This Row],[Division]])*IF(PptoSty[[#This Row],[Sign]]="+",1,-1)*(IF(PptoSty[[#This Row],[POvsCT]]="PO",SUM(_xlfn.CHOOSECOLS(_xlfn._xlws.FILTER(F_RT14[],(IF($M62="X",TRUE,F_RT14[Site]=$M62))*(F_RT14[Measure]=Y$4)*(F_RT14[PrjId]=PptoSty[[#This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62" s="338" cm="1">
        <f t="array" ref="Z62">IFERROR(IF(PptoSty[[#This Row],[Nature]]&lt;&gt;"Hrs",0,(1/PptoSty[[#This Row],[Division]])*IF(PptoSty[[#This Row],[Sign]]="+",1,-1)*(IF(PptoSty[[#This Row],[POvsCT]]="PO",SUM(_xlfn.CHOOSECOLS(_xlfn._xlws.FILTER(F_RT14[],(IF($M62="X",TRUE,F_RT14[Site]=$M62))*(F_RT14[Measure]=Z$4)*(F_RT14[PrjId]=PptoSty[[#This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62" s="206" cm="1">
        <f t="array" aca="1" ref="AA62"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961979.97589999984</v>
      </c>
      <c r="AB62" s="206" cm="1">
        <f t="array" aca="1" ref="AB62"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62" s="206" cm="1">
        <f t="array" aca="1" ref="AC62"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961979.97589999984</v>
      </c>
      <c r="AG62"/>
      <c r="AH62"/>
      <c r="AI62"/>
      <c r="AK62" s="113"/>
      <c r="AO62"/>
      <c r="AP62"/>
      <c r="AZ62" s="175"/>
      <c r="BA62" s="175"/>
      <c r="BE62"/>
      <c r="BF62"/>
      <c r="DG62" s="175"/>
      <c r="DH62" s="175"/>
      <c r="DI62" s="175"/>
      <c r="DL62" s="108"/>
      <c r="DM62" s="366" t="str" cm="1">
        <f t="array" aca="1" ref="DM62"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DN62:DO62</v>
      </c>
      <c r="DN62" s="177" t="s">
        <v>375</v>
      </c>
      <c r="DO62" s="177" t="str" cm="1">
        <f t="array" aca="1" ref="DO62"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MATERIAL MECÁNICO +%</v>
      </c>
      <c r="DP62" s="177"/>
      <c r="DQ62" s="177"/>
      <c r="DR62" s="177"/>
      <c r="DS62" s="177"/>
      <c r="DT62" s="177"/>
      <c r="DU62" s="177"/>
      <c r="DV62" s="177"/>
      <c r="DW62" s="177"/>
      <c r="DX62" s="177"/>
      <c r="DY62" s="177"/>
      <c r="DZ62" s="177"/>
      <c r="EA62" s="177"/>
      <c r="EB62" s="177"/>
      <c r="EC62" s="177"/>
      <c r="ED62" s="177"/>
    </row>
    <row r="63" spans="3:134" ht="13" customHeight="1">
      <c r="C63" s="213">
        <v>45252</v>
      </c>
      <c r="D63" s="213" t="s">
        <v>2114</v>
      </c>
      <c r="E63" s="213" t="s">
        <v>1710</v>
      </c>
      <c r="F63" s="219" t="s">
        <v>375</v>
      </c>
      <c r="G63" s="201" t="s">
        <v>1415</v>
      </c>
      <c r="H63" s="202">
        <v>15</v>
      </c>
      <c r="I63" s="339" t="str" cm="1">
        <f t="array" aca="1" ref="I6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A003</v>
      </c>
      <c r="J63" s="203" t="str" cm="1">
        <f t="array" ref="J63">IF(OR(PptoSty[[#This Row],[Project]]="",PptoSty[[#This Row],[Project]]="X"),"X",_xlfn.UNIQUE(_xlfn._xlws.FILTER(CstGrpS[Nature],ISNUMBER(FIND(SUBSTITUTE(PptoSty[[#This Row],[PiColumn]]," +%",""),UPPER(SUBSTITUTE(CstGrpS[GrpPrv],"  "," ")))),"X")))</f>
        <v>Mat</v>
      </c>
      <c r="K63" s="96" t="s">
        <v>1568</v>
      </c>
      <c r="L63" s="96" t="s">
        <v>1639</v>
      </c>
      <c r="M63" s="96" t="s">
        <v>375</v>
      </c>
      <c r="N63" s="96" t="str" cm="1">
        <f t="array" ref="N63">IF(OR(PptoSty[[#This Row],[Project]]="",PptoSty[[#This Row],[Project]]="X"),"X",_xlfn._xlws.FILTER(TbAssign[RowId],(TbAssign[Project]=PptoSty[[#This Row],[Project]])*(TbAssign[Módulo]=PptoSty[[#This Row],[PptoVsRow]]),"X"))</f>
        <v>XC02</v>
      </c>
      <c r="O63" s="96" t="str" cm="1">
        <f t="array" ref="O63">IF(OR(PptoSty[[#This Row],[Project]]="",PptoSty[[#This Row],[Project]]="X"),"X",_xlfn.UNIQUE(_xlfn._xlws.FILTER(F_RT14[Amortz.],(F_RT14[Measure]="CurPpto")*(F_RT14[PrjId]=PptoSty[[#This Row],[Project]])*(F_RT14[Vrs]=PptoSty[[#This Row],[Vrs]])*(_xlfn.TEXTAFTER(F_RT14[ActGrp],":")=PptoSty[[#This Row],[PiRow]]),"X")))</f>
        <v>CELL</v>
      </c>
      <c r="P63" s="96" t="s">
        <v>368</v>
      </c>
      <c r="Q63" s="96" t="s">
        <v>1670</v>
      </c>
      <c r="R63" s="204" t="s">
        <v>1671</v>
      </c>
      <c r="S63" s="204">
        <v>1</v>
      </c>
      <c r="T63" s="205" t="str" cm="1">
        <f t="array" aca="1" ref="T6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63" s="206" cm="1">
        <f t="array" ref="U63">IFERROR((1/PptoSty[[#This Row],[Division]])*IF(PptoSty[[#This Row],[Sign]]="+",1,-1)*(IF(PptoSty[[#This Row],[POvsCT]]="PO",SUM(_xlfn.CHOOSECOLS(_xlfn._xlws.FILTER(F_RT14[],(IF($M63="X",TRUE,F_RT14[Site]=$M63))*(F_RT14[Measure]=U$4)*(F_RT14[PrjId]=PptoSty[[#This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-183172</v>
      </c>
      <c r="V63" s="206" cm="1">
        <f t="array" ref="V63">IFERROR((1/PptoSty[[#This Row],[Division]])*IF(PptoSty[[#This Row],[Sign]]="+",1,-1)*(IF(PptoSty[[#This Row],[POvsCT]]="PO",SUM(_xlfn.CHOOSECOLS(_xlfn._xlws.FILTER(F_RT14[],(IF($M63="X",TRUE,F_RT14[Site]=$M63))*(F_RT14[Measure]=V$4)*(F_RT14[PrjId]=PptoSty[[#This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63" s="206" cm="1">
        <f t="array" ref="W63">IFERROR((1/PptoSty[[#This Row],[Division]])*IF(PptoSty[[#This Row],[Sign]]="+",1,-1)*(IF(PptoSty[[#This Row],[POvsCT]]="PO",SUM(_xlfn.CHOOSECOLS(_xlfn._xlws.FILTER(F_RT14[],(IF($M63="X",TRUE,F_RT14[Site]=$M63))*(F_RT14[Measure]=W$4)*(F_RT14[PrjId]=PptoSty[[#This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-183172</v>
      </c>
      <c r="X63" s="338" cm="1">
        <f t="array" ref="X63">IFERROR(IF(PptoSty[[#This Row],[Nature]]&lt;&gt;"Hrs",0,(1/PptoSty[[#This Row],[Division]])*IF(PptoSty[[#This Row],[Sign]]="+",1,-1)*(IF(PptoSty[[#This Row],[POvsCT]]="PO",SUM(_xlfn.CHOOSECOLS(_xlfn._xlws.FILTER(F_RT14[],(IF($M63="X",TRUE,F_RT14[Site]=$M63))*(F_RT14[Measure]=X$4)*(F_RT14[PrjId]=PptoSty[[#This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63" s="338" cm="1">
        <f t="array" ref="Y63">IFERROR(IF(PptoSty[[#This Row],[Nature]]&lt;&gt;"Hrs",0,(1/PptoSty[[#This Row],[Division]])*IF(PptoSty[[#This Row],[Sign]]="+",1,-1)*(IF(PptoSty[[#This Row],[POvsCT]]="PO",SUM(_xlfn.CHOOSECOLS(_xlfn._xlws.FILTER(F_RT14[],(IF($M63="X",TRUE,F_RT14[Site]=$M63))*(F_RT14[Measure]=Y$4)*(F_RT14[PrjId]=PptoSty[[#This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63" s="338" cm="1">
        <f t="array" ref="Z63">IFERROR(IF(PptoSty[[#This Row],[Nature]]&lt;&gt;"Hrs",0,(1/PptoSty[[#This Row],[Division]])*IF(PptoSty[[#This Row],[Sign]]="+",1,-1)*(IF(PptoSty[[#This Row],[POvsCT]]="PO",SUM(_xlfn.CHOOSECOLS(_xlfn._xlws.FILTER(F_RT14[],(IF($M63="X",TRUE,F_RT14[Site]=$M63))*(F_RT14[Measure]=Z$4)*(F_RT14[PrjId]=PptoSty[[#This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63" s="206" cm="1">
        <f t="array" aca="1" ref="AA63"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778807.97589999984</v>
      </c>
      <c r="AB63" s="206" cm="1">
        <f t="array" aca="1" ref="AB63"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63" s="206" cm="1">
        <f t="array" aca="1" ref="AC63"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778807.97589999984</v>
      </c>
      <c r="AG63"/>
      <c r="AH63"/>
      <c r="AI63"/>
      <c r="AK63" s="113"/>
      <c r="AO63"/>
      <c r="AP63"/>
      <c r="AZ63" s="175"/>
      <c r="BA63" s="175"/>
      <c r="BE63"/>
      <c r="BF63"/>
      <c r="DG63" s="175"/>
      <c r="DH63" s="175"/>
      <c r="DI63" s="175"/>
      <c r="DL63" s="108"/>
      <c r="DM63" s="366" t="str" cm="1">
        <f t="array" aca="1" ref="DM63"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DN63:DO63</v>
      </c>
      <c r="DN63" s="177" t="s">
        <v>375</v>
      </c>
      <c r="DO63" s="177" t="str" cm="1">
        <f t="array" aca="1" ref="DO63"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MATERIAL MECÁNICO +%</v>
      </c>
      <c r="DP63" s="177"/>
      <c r="DQ63" s="177"/>
      <c r="DR63" s="177"/>
      <c r="DS63" s="177"/>
      <c r="DT63" s="177"/>
      <c r="DU63" s="177"/>
      <c r="DV63" s="177"/>
      <c r="DW63" s="177"/>
      <c r="DX63" s="177"/>
      <c r="DY63" s="177"/>
      <c r="DZ63" s="177"/>
      <c r="EA63" s="177"/>
      <c r="EB63" s="177"/>
      <c r="EC63" s="177"/>
      <c r="ED63" s="177"/>
    </row>
    <row r="64" spans="3:134" ht="13" customHeight="1">
      <c r="C64" s="213">
        <v>45252</v>
      </c>
      <c r="D64" s="213" t="s">
        <v>2114</v>
      </c>
      <c r="E64" s="213" t="s">
        <v>1710</v>
      </c>
      <c r="F64" s="219" t="s">
        <v>375</v>
      </c>
      <c r="G64" s="201" t="s">
        <v>1415</v>
      </c>
      <c r="H64" s="202">
        <v>15</v>
      </c>
      <c r="I64" s="339" t="str" cm="1">
        <f t="array" aca="1" ref="I6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A001</v>
      </c>
      <c r="J64" s="203" t="str" cm="1">
        <f t="array" ref="J64">IF(OR(PptoSty[[#This Row],[Project]]="",PptoSty[[#This Row],[Project]]="X"),"X",_xlfn.UNIQUE(_xlfn._xlws.FILTER(CstGrpS[Nature],ISNUMBER(FIND(SUBSTITUTE(PptoSty[[#This Row],[PiColumn]]," +%",""),UPPER(SUBSTITUTE(CstGrpS[GrpPrv],"  "," ")))),"X")))</f>
        <v>Mat</v>
      </c>
      <c r="K64" s="96" t="s">
        <v>1566</v>
      </c>
      <c r="L64" s="96" t="s">
        <v>1639</v>
      </c>
      <c r="M64" s="96" t="s">
        <v>375</v>
      </c>
      <c r="N64" s="96" t="str" cm="1">
        <f t="array" ref="N64">IF(OR(PptoSty[[#This Row],[Project]]="",PptoSty[[#This Row],[Project]]="X"),"X",_xlfn._xlws.FILTER(TbAssign[RowId],(TbAssign[Project]=PptoSty[[#This Row],[Project]])*(TbAssign[Módulo]=PptoSty[[#This Row],[PptoVsRow]]),"X"))</f>
        <v>XC02</v>
      </c>
      <c r="O64" s="96" t="str" cm="1">
        <f t="array" ref="O64">IF(OR(PptoSty[[#This Row],[Project]]="",PptoSty[[#This Row],[Project]]="X"),"X",_xlfn.UNIQUE(_xlfn._xlws.FILTER(F_RT14[Amortz.],(F_RT14[Measure]="CurPpto")*(F_RT14[PrjId]=PptoSty[[#This Row],[Project]])*(F_RT14[Vrs]=PptoSty[[#This Row],[Vrs]])*(_xlfn.TEXTAFTER(F_RT14[ActGrp],":")=PptoSty[[#This Row],[PiRow]]),"X")))</f>
        <v>CELL</v>
      </c>
      <c r="P64" s="96" t="s">
        <v>368</v>
      </c>
      <c r="Q64" s="96" t="s">
        <v>1670</v>
      </c>
      <c r="R64" s="204" t="s">
        <v>1671</v>
      </c>
      <c r="S64" s="204">
        <v>1</v>
      </c>
      <c r="T64" s="205" t="str" cm="1">
        <f t="array" aca="1" ref="T6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64" s="206" cm="1">
        <f t="array" ref="U64">IFERROR((1/PptoSty[[#This Row],[Division]])*IF(PptoSty[[#This Row],[Sign]]="+",1,-1)*(IF(PptoSty[[#This Row],[POvsCT]]="PO",SUM(_xlfn.CHOOSECOLS(_xlfn._xlws.FILTER(F_RT14[],(IF($M64="X",TRUE,F_RT14[Site]=$M64))*(F_RT14[Measure]=U$4)*(F_RT14[PrjId]=PptoSty[[#This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-482632</v>
      </c>
      <c r="V64" s="206" cm="1">
        <f t="array" ref="V64">IFERROR((1/PptoSty[[#This Row],[Division]])*IF(PptoSty[[#This Row],[Sign]]="+",1,-1)*(IF(PptoSty[[#This Row],[POvsCT]]="PO",SUM(_xlfn.CHOOSECOLS(_xlfn._xlws.FILTER(F_RT14[],(IF($M64="X",TRUE,F_RT14[Site]=$M64))*(F_RT14[Measure]=V$4)*(F_RT14[PrjId]=PptoSty[[#This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64" s="206" cm="1">
        <f t="array" ref="W64">IFERROR((1/PptoSty[[#This Row],[Division]])*IF(PptoSty[[#This Row],[Sign]]="+",1,-1)*(IF(PptoSty[[#This Row],[POvsCT]]="PO",SUM(_xlfn.CHOOSECOLS(_xlfn._xlws.FILTER(F_RT14[],(IF($M64="X",TRUE,F_RT14[Site]=$M64))*(F_RT14[Measure]=W$4)*(F_RT14[PrjId]=PptoSty[[#This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-482632</v>
      </c>
      <c r="X64" s="338" cm="1">
        <f t="array" ref="X64">IFERROR(IF(PptoSty[[#This Row],[Nature]]&lt;&gt;"Hrs",0,(1/PptoSty[[#This Row],[Division]])*IF(PptoSty[[#This Row],[Sign]]="+",1,-1)*(IF(PptoSty[[#This Row],[POvsCT]]="PO",SUM(_xlfn.CHOOSECOLS(_xlfn._xlws.FILTER(F_RT14[],(IF($M64="X",TRUE,F_RT14[Site]=$M64))*(F_RT14[Measure]=X$4)*(F_RT14[PrjId]=PptoSty[[#This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64" s="338" cm="1">
        <f t="array" ref="Y64">IFERROR(IF(PptoSty[[#This Row],[Nature]]&lt;&gt;"Hrs",0,(1/PptoSty[[#This Row],[Division]])*IF(PptoSty[[#This Row],[Sign]]="+",1,-1)*(IF(PptoSty[[#This Row],[POvsCT]]="PO",SUM(_xlfn.CHOOSECOLS(_xlfn._xlws.FILTER(F_RT14[],(IF($M64="X",TRUE,F_RT14[Site]=$M64))*(F_RT14[Measure]=Y$4)*(F_RT14[PrjId]=PptoSty[[#This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64" s="338" cm="1">
        <f t="array" ref="Z64">IFERROR(IF(PptoSty[[#This Row],[Nature]]&lt;&gt;"Hrs",0,(1/PptoSty[[#This Row],[Division]])*IF(PptoSty[[#This Row],[Sign]]="+",1,-1)*(IF(PptoSty[[#This Row],[POvsCT]]="PO",SUM(_xlfn.CHOOSECOLS(_xlfn._xlws.FILTER(F_RT14[],(IF($M64="X",TRUE,F_RT14[Site]=$M64))*(F_RT14[Measure]=Z$4)*(F_RT14[PrjId]=PptoSty[[#This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64" s="206" cm="1">
        <f t="array" aca="1" ref="AA64"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296175.97589999984</v>
      </c>
      <c r="AB64" s="206" cm="1">
        <f t="array" aca="1" ref="AB64"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64" s="206" cm="1">
        <f t="array" aca="1" ref="AC64"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296175.97589999984</v>
      </c>
      <c r="AG64"/>
      <c r="AH64"/>
      <c r="AI64"/>
      <c r="AK64" s="113"/>
      <c r="AO64"/>
      <c r="AP64"/>
      <c r="AZ64" s="175"/>
      <c r="BA64" s="175"/>
      <c r="BE64"/>
      <c r="BF64"/>
      <c r="DG64" s="175"/>
      <c r="DH64" s="175"/>
      <c r="DI64" s="175"/>
      <c r="DL64" s="108"/>
      <c r="DM64" s="366" t="str" cm="1">
        <f t="array" aca="1" ref="DM64"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DN64:DO64</v>
      </c>
      <c r="DN64" s="177" t="s">
        <v>375</v>
      </c>
      <c r="DO64" s="177" t="str" cm="1">
        <f t="array" aca="1" ref="DO64"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MATERIAL MECÁNICO +%</v>
      </c>
      <c r="DP64" s="177"/>
      <c r="DQ64" s="177"/>
      <c r="DR64" s="177"/>
      <c r="DS64" s="177"/>
      <c r="DT64" s="177"/>
      <c r="DU64" s="177"/>
      <c r="DV64" s="177"/>
      <c r="DW64" s="177"/>
      <c r="DX64" s="177"/>
      <c r="DY64" s="177"/>
      <c r="DZ64" s="177"/>
      <c r="EA64" s="177"/>
      <c r="EB64" s="177"/>
      <c r="EC64" s="177"/>
      <c r="ED64" s="177"/>
    </row>
    <row r="65" spans="3:134" ht="13" customHeight="1">
      <c r="C65" s="200">
        <v>45231</v>
      </c>
      <c r="D65" s="213" t="s">
        <v>2114</v>
      </c>
      <c r="E65" s="213" t="s">
        <v>1710</v>
      </c>
      <c r="F65" s="219" t="s">
        <v>375</v>
      </c>
      <c r="G65" s="201" t="s">
        <v>1416</v>
      </c>
      <c r="H65" s="202">
        <v>0</v>
      </c>
      <c r="I65" s="339" t="str" cm="1">
        <f t="array" aca="1" ref="I6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G003</v>
      </c>
      <c r="J65" s="203" t="str" cm="1">
        <f t="array" ref="J65">IF(OR(PptoSty[[#This Row],[Project]]="",PptoSty[[#This Row],[Project]]="X"),"X",_xlfn.UNIQUE(_xlfn._xlws.FILTER(CstGrpS[Nature],ISNUMBER(FIND(SUBSTITUTE(PptoSty[[#This Row],[PiColumn]]," +%",""),UPPER(SUBSTITUTE(CstGrpS[GrpPrv],"  "," ")))),"X")))</f>
        <v>Hrs</v>
      </c>
      <c r="K65" s="96" t="s">
        <v>1417</v>
      </c>
      <c r="L65" s="96" t="s">
        <v>1641</v>
      </c>
      <c r="M65" s="96" t="s">
        <v>375</v>
      </c>
      <c r="N65" s="96" t="str" cm="1">
        <f t="array" ref="N65">IF(OR(PptoSty[[#This Row],[Project]]="",PptoSty[[#This Row],[Project]]="X"),"X",_xlfn._xlws.FILTER(TbAssign[RowId],(TbAssign[Project]=PptoSty[[#This Row],[Project]])*(TbAssign[Módulo]=PptoSty[[#This Row],[PptoVsRow]]),"X"))</f>
        <v>XA02</v>
      </c>
      <c r="O65" s="96" t="str" cm="1">
        <f t="array" ref="O65">IF(OR(PptoSty[[#This Row],[Project]]="",PptoSty[[#This Row],[Project]]="X"),"X",_xlfn.UNIQUE(_xlfn._xlws.FILTER(F_RT14[Amortz.],(F_RT14[Measure]="CurPpto")*(F_RT14[PrjId]=PptoSty[[#This Row],[Project]])*(F_RT14[Vrs]=PptoSty[[#This Row],[Vrs]])*(_xlfn.TEXTAFTER(F_RT14[ActGrp],":")=PptoSty[[#This Row],[PiRow]]),"X")))</f>
        <v>GSDF</v>
      </c>
      <c r="P65" s="96" t="s">
        <v>358</v>
      </c>
      <c r="Q65" s="96" t="s">
        <v>387</v>
      </c>
      <c r="R65" s="204" t="s">
        <v>403</v>
      </c>
      <c r="S65" s="204">
        <v>1</v>
      </c>
      <c r="T65" s="205" t="str" cm="1">
        <f t="array" aca="1" ref="T6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65" s="206" cm="1">
        <f t="array" ref="U65">IFERROR((1/PptoSty[[#This Row],[Division]])*IF(PptoSty[[#This Row],[Sign]]="+",1,-1)*(IF(PptoSty[[#This Row],[POvsCT]]="PO",SUM(_xlfn.CHOOSECOLS(_xlfn._xlws.FILTER(F_RT14[],(IF($M65="X",TRUE,F_RT14[Site]=$M65))*(F_RT14[Measure]=U$4)*(F_RT14[PrjId]=PptoSty[[#This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27991.32</v>
      </c>
      <c r="V65" s="206" cm="1">
        <f t="array" ref="V65">IFERROR((1/PptoSty[[#This Row],[Division]])*IF(PptoSty[[#This Row],[Sign]]="+",1,-1)*(IF(PptoSty[[#This Row],[POvsCT]]="PO",SUM(_xlfn.CHOOSECOLS(_xlfn._xlws.FILTER(F_RT14[],(IF($M65="X",TRUE,F_RT14[Site]=$M65))*(F_RT14[Measure]=V$4)*(F_RT14[PrjId]=PptoSty[[#This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27151.580400000003</v>
      </c>
      <c r="W65" s="206" cm="1">
        <f t="array" ref="W65">IFERROR((1/PptoSty[[#This Row],[Division]])*IF(PptoSty[[#This Row],[Sign]]="+",1,-1)*(IF(PptoSty[[#This Row],[POvsCT]]="PO",SUM(_xlfn.CHOOSECOLS(_xlfn._xlws.FILTER(F_RT14[],(IF($M65="X",TRUE,F_RT14[Site]=$M65))*(F_RT14[Measure]=W$4)*(F_RT14[PrjId]=PptoSty[[#This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65" s="338" cm="1">
        <f t="array" ref="X65">IFERROR(IF(PptoSty[[#This Row],[Nature]]&lt;&gt;"Hrs",0,(1/PptoSty[[#This Row],[Division]])*IF(PptoSty[[#This Row],[Sign]]="+",1,-1)*(IF(PptoSty[[#This Row],[POvsCT]]="PO",SUM(_xlfn.CHOOSECOLS(_xlfn._xlws.FILTER(F_RT14[],(IF($M65="X",TRUE,F_RT14[Site]=$M65))*(F_RT14[Measure]=X$4)*(F_RT14[PrjId]=PptoSty[[#This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564.00000000000011</v>
      </c>
      <c r="Y65" s="338" cm="1">
        <f t="array" ref="Y65">IFERROR(IF(PptoSty[[#This Row],[Nature]]&lt;&gt;"Hrs",0,(1/PptoSty[[#This Row],[Division]])*IF(PptoSty[[#This Row],[Sign]]="+",1,-1)*(IF(PptoSty[[#This Row],[POvsCT]]="PO",SUM(_xlfn.CHOOSECOLS(_xlfn._xlws.FILTER(F_RT14[],(IF($M65="X",TRUE,F_RT14[Site]=$M65))*(F_RT14[Measure]=Y$4)*(F_RT14[PrjId]=PptoSty[[#This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547.08000000000004</v>
      </c>
      <c r="Z65" s="338" cm="1">
        <f t="array" ref="Z65">IFERROR(IF(PptoSty[[#This Row],[Nature]]&lt;&gt;"Hrs",0,(1/PptoSty[[#This Row],[Division]])*IF(PptoSty[[#This Row],[Sign]]="+",1,-1)*(IF(PptoSty[[#This Row],[POvsCT]]="PO",SUM(_xlfn.CHOOSECOLS(_xlfn._xlws.FILTER(F_RT14[],(IF($M65="X",TRUE,F_RT14[Site]=$M65))*(F_RT14[Measure]=Z$4)*(F_RT14[PrjId]=PptoSty[[#This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65" s="412"/>
      <c r="AB65" s="412"/>
      <c r="AC65" s="412"/>
      <c r="AG65"/>
      <c r="AH65"/>
      <c r="AI65"/>
      <c r="AK65" s="113"/>
      <c r="AO65"/>
      <c r="AP65"/>
      <c r="AZ65" s="175"/>
      <c r="BA65" s="175"/>
      <c r="BE65"/>
      <c r="BF65"/>
      <c r="DG65" s="175"/>
      <c r="DH65" s="175"/>
      <c r="DI65" s="175"/>
      <c r="DL65" s="108"/>
      <c r="DM65" s="366" t="str" cm="1">
        <f t="array" aca="1" ref="DM6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DN65:DO65</v>
      </c>
      <c r="DN65" s="177" t="s">
        <v>375</v>
      </c>
      <c r="DO65" s="177" t="str" cm="1">
        <f t="array" aca="1" ref="DO6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GESTIÓN PROYECTOS</v>
      </c>
      <c r="DP65" s="177"/>
      <c r="DQ65" s="177"/>
      <c r="DR65" s="177"/>
      <c r="DS65" s="177"/>
      <c r="DT65" s="177"/>
      <c r="DU65" s="177"/>
      <c r="DV65" s="177"/>
      <c r="DW65" s="177"/>
      <c r="DX65" s="177"/>
      <c r="DY65" s="177"/>
      <c r="DZ65" s="177"/>
      <c r="EA65" s="177"/>
      <c r="EB65" s="177"/>
      <c r="EC65" s="177"/>
      <c r="ED65" s="177"/>
    </row>
    <row r="66" spans="3:134" ht="13" customHeight="1">
      <c r="C66" s="200">
        <v>45231</v>
      </c>
      <c r="D66" s="213" t="s">
        <v>2114</v>
      </c>
      <c r="E66" s="213" t="s">
        <v>1710</v>
      </c>
      <c r="F66" s="219" t="s">
        <v>375</v>
      </c>
      <c r="G66" s="201" t="s">
        <v>1416</v>
      </c>
      <c r="H66" s="202">
        <v>0</v>
      </c>
      <c r="I66" s="339" t="str" cm="1">
        <f t="array" aca="1" ref="I6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G005</v>
      </c>
      <c r="J66" s="203" t="str" cm="1">
        <f t="array" ref="J66">IF(OR(PptoSty[[#This Row],[Project]]="",PptoSty[[#This Row],[Project]]="X"),"X",_xlfn.UNIQUE(_xlfn._xlws.FILTER(CstGrpS[Nature],ISNUMBER(FIND(SUBSTITUTE(PptoSty[[#This Row],[PiColumn]]," +%",""),UPPER(SUBSTITUTE(CstGrpS[GrpPrv],"  "," ")))),"X")))</f>
        <v>Hrs</v>
      </c>
      <c r="K66" s="96" t="s">
        <v>1284</v>
      </c>
      <c r="L66" s="96" t="s">
        <v>1641</v>
      </c>
      <c r="M66" s="96" t="s">
        <v>375</v>
      </c>
      <c r="N66" s="96" t="str" cm="1">
        <f t="array" ref="N66">IF(OR(PptoSty[[#This Row],[Project]]="",PptoSty[[#This Row],[Project]]="X"),"X",_xlfn._xlws.FILTER(TbAssign[RowId],(TbAssign[Project]=PptoSty[[#This Row],[Project]])*(TbAssign[Módulo]=PptoSty[[#This Row],[PptoVsRow]]),"X"))</f>
        <v>XA02</v>
      </c>
      <c r="O66" s="96" t="str" cm="1">
        <f t="array" ref="O66">IF(OR(PptoSty[[#This Row],[Project]]="",PptoSty[[#This Row],[Project]]="X"),"X",_xlfn.UNIQUE(_xlfn._xlws.FILTER(F_RT14[Amortz.],(F_RT14[Measure]="CurPpto")*(F_RT14[PrjId]=PptoSty[[#This Row],[Project]])*(F_RT14[Vrs]=PptoSty[[#This Row],[Vrs]])*(_xlfn.TEXTAFTER(F_RT14[ActGrp],":")=PptoSty[[#This Row],[PiRow]]),"X")))</f>
        <v>PEMX</v>
      </c>
      <c r="P66" s="96" t="s">
        <v>358</v>
      </c>
      <c r="Q66" s="96" t="s">
        <v>387</v>
      </c>
      <c r="R66" s="204" t="s">
        <v>403</v>
      </c>
      <c r="S66" s="204">
        <v>1</v>
      </c>
      <c r="T66" s="205" t="str" cm="1">
        <f t="array" aca="1" ref="T6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66" s="206" cm="1">
        <f t="array" ref="U66">IFERROR((1/PptoSty[[#This Row],[Division]])*IF(PptoSty[[#This Row],[Sign]]="+",1,-1)*(IF(PptoSty[[#This Row],[POvsCT]]="PO",SUM(_xlfn.CHOOSECOLS(_xlfn._xlws.FILTER(F_RT14[],(IF($M66="X",TRUE,F_RT14[Site]=$M66))*(F_RT14[Measure]=U$4)*(F_RT14[PrjId]=PptoSty[[#This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2431.87</v>
      </c>
      <c r="V66" s="206" cm="1">
        <f t="array" ref="V66">IFERROR((1/PptoSty[[#This Row],[Division]])*IF(PptoSty[[#This Row],[Sign]]="+",1,-1)*(IF(PptoSty[[#This Row],[POvsCT]]="PO",SUM(_xlfn.CHOOSECOLS(_xlfn._xlws.FILTER(F_RT14[],(IF($M66="X",TRUE,F_RT14[Site]=$M66))*(F_RT14[Measure]=V$4)*(F_RT14[PrjId]=PptoSty[[#This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2358.9139</v>
      </c>
      <c r="W66" s="206" cm="1">
        <f t="array" ref="W66">IFERROR((1/PptoSty[[#This Row],[Division]])*IF(PptoSty[[#This Row],[Sign]]="+",1,-1)*(IF(PptoSty[[#This Row],[POvsCT]]="PO",SUM(_xlfn.CHOOSECOLS(_xlfn._xlws.FILTER(F_RT14[],(IF($M66="X",TRUE,F_RT14[Site]=$M66))*(F_RT14[Measure]=W$4)*(F_RT14[PrjId]=PptoSty[[#This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66" s="338" cm="1">
        <f t="array" ref="X66">IFERROR(IF(PptoSty[[#This Row],[Nature]]&lt;&gt;"Hrs",0,(1/PptoSty[[#This Row],[Division]])*IF(PptoSty[[#This Row],[Sign]]="+",1,-1)*(IF(PptoSty[[#This Row],[POvsCT]]="PO",SUM(_xlfn.CHOOSECOLS(_xlfn._xlws.FILTER(F_RT14[],(IF($M66="X",TRUE,F_RT14[Site]=$M66))*(F_RT14[Measure]=X$4)*(F_RT14[PrjId]=PptoSty[[#This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48.999999999999993</v>
      </c>
      <c r="Y66" s="338" cm="1">
        <f t="array" ref="Y66">IFERROR(IF(PptoSty[[#This Row],[Nature]]&lt;&gt;"Hrs",0,(1/PptoSty[[#This Row],[Division]])*IF(PptoSty[[#This Row],[Sign]]="+",1,-1)*(IF(PptoSty[[#This Row],[POvsCT]]="PO",SUM(_xlfn.CHOOSECOLS(_xlfn._xlws.FILTER(F_RT14[],(IF($M66="X",TRUE,F_RT14[Site]=$M66))*(F_RT14[Measure]=Y$4)*(F_RT14[PrjId]=PptoSty[[#This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47.529999999999994</v>
      </c>
      <c r="Z66" s="338" cm="1">
        <f t="array" ref="Z66">IFERROR(IF(PptoSty[[#This Row],[Nature]]&lt;&gt;"Hrs",0,(1/PptoSty[[#This Row],[Division]])*IF(PptoSty[[#This Row],[Sign]]="+",1,-1)*(IF(PptoSty[[#This Row],[POvsCT]]="PO",SUM(_xlfn.CHOOSECOLS(_xlfn._xlws.FILTER(F_RT14[],(IF($M66="X",TRUE,F_RT14[Site]=$M66))*(F_RT14[Measure]=Z$4)*(F_RT14[PrjId]=PptoSty[[#This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66" s="412"/>
      <c r="AB66" s="412"/>
      <c r="AC66" s="412"/>
      <c r="AG66"/>
      <c r="AH66"/>
      <c r="AI66"/>
      <c r="AK66" s="113"/>
      <c r="AO66"/>
      <c r="AP66"/>
      <c r="AZ66" s="175"/>
      <c r="BA66" s="175"/>
      <c r="BE66"/>
      <c r="BF66"/>
      <c r="DG66" s="175"/>
      <c r="DH66" s="175"/>
      <c r="DI66" s="175"/>
      <c r="DL66" s="108"/>
      <c r="DM66" s="366" t="str" cm="1">
        <f t="array" aca="1" ref="DM6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DN66:DQ66</v>
      </c>
      <c r="DN66" s="177" t="s">
        <v>375</v>
      </c>
      <c r="DO66" s="177" t="str" cm="1">
        <f t="array" aca="1" ref="DO66:DQ6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FABRICACIÓN MECÁNICA</v>
      </c>
      <c r="DP66" s="177" t="str">
        <f ca="1"/>
        <v>GESTIÓN PROYECTOS</v>
      </c>
      <c r="DQ66" s="177" t="str">
        <f ca="1"/>
        <v>MONTAJE MECÁNICO</v>
      </c>
      <c r="DR66" s="177"/>
      <c r="DS66" s="177"/>
      <c r="DT66" s="177"/>
      <c r="DU66" s="177"/>
      <c r="DV66" s="177"/>
      <c r="DW66" s="177"/>
      <c r="DX66" s="177"/>
      <c r="DY66" s="177"/>
      <c r="DZ66" s="177"/>
      <c r="EA66" s="177"/>
      <c r="EB66" s="177"/>
      <c r="EC66" s="177"/>
      <c r="ED66" s="177"/>
    </row>
    <row r="67" spans="3:134" ht="13" customHeight="1">
      <c r="C67" s="200">
        <v>45231</v>
      </c>
      <c r="D67" s="213" t="s">
        <v>2114</v>
      </c>
      <c r="E67" s="213" t="s">
        <v>1710</v>
      </c>
      <c r="F67" s="219" t="s">
        <v>375</v>
      </c>
      <c r="G67" s="201" t="s">
        <v>1416</v>
      </c>
      <c r="H67" s="202">
        <v>0</v>
      </c>
      <c r="I67" s="339" t="str" cm="1">
        <f t="array" aca="1" ref="I6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G004</v>
      </c>
      <c r="J67" s="203" t="str" cm="1">
        <f t="array" ref="J67">IF(OR(PptoSty[[#This Row],[Project]]="",PptoSty[[#This Row],[Project]]="X"),"X",_xlfn.UNIQUE(_xlfn._xlws.FILTER(CstGrpS[Nature],ISNUMBER(FIND(SUBSTITUTE(PptoSty[[#This Row],[PiColumn]]," +%",""),UPPER(SUBSTITUTE(CstGrpS[GrpPrv],"  "," ")))),"X")))</f>
        <v>Hrs</v>
      </c>
      <c r="K67" s="96" t="s">
        <v>1418</v>
      </c>
      <c r="L67" s="96" t="s">
        <v>1642</v>
      </c>
      <c r="M67" s="96" t="s">
        <v>375</v>
      </c>
      <c r="N67" s="96" t="str" cm="1">
        <f t="array" ref="N67">IF(OR(PptoSty[[#This Row],[Project]]="",PptoSty[[#This Row],[Project]]="X"),"X",_xlfn._xlws.FILTER(TbAssign[RowId],(TbAssign[Project]=PptoSty[[#This Row],[Project]])*(TbAssign[Módulo]=PptoSty[[#This Row],[PptoVsRow]]),"X"))</f>
        <v>XA02</v>
      </c>
      <c r="O67" s="96" t="str" cm="1">
        <f t="array" ref="O67">IF(OR(PptoSty[[#This Row],[Project]]="",PptoSty[[#This Row],[Project]]="X"),"X",_xlfn.UNIQUE(_xlfn._xlws.FILTER(F_RT14[Amortz.],(F_RT14[Measure]="CurPpto")*(F_RT14[PrjId]=PptoSty[[#This Row],[Project]])*(F_RT14[Vrs]=PptoSty[[#This Row],[Vrs]])*(_xlfn.TEXTAFTER(F_RT14[ActGrp],":")=PptoSty[[#This Row],[PiRow]]),"X")))</f>
        <v>GSDF</v>
      </c>
      <c r="P67" s="96" t="s">
        <v>358</v>
      </c>
      <c r="Q67" s="96" t="s">
        <v>376</v>
      </c>
      <c r="R67" s="204" t="s">
        <v>403</v>
      </c>
      <c r="S67" s="204">
        <v>1</v>
      </c>
      <c r="T67" s="205" t="str" cm="1">
        <f t="array" aca="1" ref="T6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67" s="206" cm="1">
        <f t="array" ref="U67">IFERROR((1/PptoSty[[#This Row],[Division]])*IF(PptoSty[[#This Row],[Sign]]="+",1,-1)*(IF(PptoSty[[#This Row],[POvsCT]]="PO",SUM(_xlfn.CHOOSECOLS(_xlfn._xlws.FILTER(F_RT14[],(IF($M67="X",TRUE,F_RT14[Site]=$M67))*(F_RT14[Measure]=U$4)*(F_RT14[PrjId]=PptoSty[[#This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42582.55</v>
      </c>
      <c r="V67" s="206" cm="1">
        <f t="array" ref="V67">IFERROR((1/PptoSty[[#This Row],[Division]])*IF(PptoSty[[#This Row],[Sign]]="+",1,-1)*(IF(PptoSty[[#This Row],[POvsCT]]="PO",SUM(_xlfn.CHOOSECOLS(_xlfn._xlws.FILTER(F_RT14[],(IF($M67="X",TRUE,F_RT14[Site]=$M67))*(F_RT14[Measure]=V$4)*(F_RT14[PrjId]=PptoSty[[#This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41305.073499999991</v>
      </c>
      <c r="W67" s="206" cm="1">
        <f t="array" ref="W67">IFERROR((1/PptoSty[[#This Row],[Division]])*IF(PptoSty[[#This Row],[Sign]]="+",1,-1)*(IF(PptoSty[[#This Row],[POvsCT]]="PO",SUM(_xlfn.CHOOSECOLS(_xlfn._xlws.FILTER(F_RT14[],(IF($M67="X",TRUE,F_RT14[Site]=$M67))*(F_RT14[Measure]=W$4)*(F_RT14[PrjId]=PptoSty[[#This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67" s="338" cm="1">
        <f t="array" ref="X67">IFERROR(IF(PptoSty[[#This Row],[Nature]]&lt;&gt;"Hrs",0,(1/PptoSty[[#This Row],[Division]])*IF(PptoSty[[#This Row],[Sign]]="+",1,-1)*(IF(PptoSty[[#This Row],[POvsCT]]="PO",SUM(_xlfn.CHOOSECOLS(_xlfn._xlws.FILTER(F_RT14[],(IF($M67="X",TRUE,F_RT14[Site]=$M67))*(F_RT14[Measure]=X$4)*(F_RT14[PrjId]=PptoSty[[#This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1145</v>
      </c>
      <c r="Y67" s="338" cm="1">
        <f t="array" ref="Y67">IFERROR(IF(PptoSty[[#This Row],[Nature]]&lt;&gt;"Hrs",0,(1/PptoSty[[#This Row],[Division]])*IF(PptoSty[[#This Row],[Sign]]="+",1,-1)*(IF(PptoSty[[#This Row],[POvsCT]]="PO",SUM(_xlfn.CHOOSECOLS(_xlfn._xlws.FILTER(F_RT14[],(IF($M67="X",TRUE,F_RT14[Site]=$M67))*(F_RT14[Measure]=Y$4)*(F_RT14[PrjId]=PptoSty[[#This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1110.6499999999999</v>
      </c>
      <c r="Z67" s="338" cm="1">
        <f t="array" ref="Z67">IFERROR(IF(PptoSty[[#This Row],[Nature]]&lt;&gt;"Hrs",0,(1/PptoSty[[#This Row],[Division]])*IF(PptoSty[[#This Row],[Sign]]="+",1,-1)*(IF(PptoSty[[#This Row],[POvsCT]]="PO",SUM(_xlfn.CHOOSECOLS(_xlfn._xlws.FILTER(F_RT14[],(IF($M67="X",TRUE,F_RT14[Site]=$M67))*(F_RT14[Measure]=Z$4)*(F_RT14[PrjId]=PptoSty[[#This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67" s="412"/>
      <c r="AB67" s="412"/>
      <c r="AC67" s="412"/>
      <c r="AG67"/>
      <c r="AH67"/>
      <c r="AI67"/>
      <c r="AK67" s="113"/>
      <c r="AO67"/>
      <c r="AP67"/>
      <c r="AZ67" s="175"/>
      <c r="BA67" s="175"/>
      <c r="BE67"/>
      <c r="BF67"/>
      <c r="DG67" s="175"/>
      <c r="DH67" s="175"/>
      <c r="DI67" s="175"/>
      <c r="DL67" s="108"/>
      <c r="DM67" s="366" t="str" cm="1">
        <f t="array" aca="1" ref="DM6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DN67:DR67</v>
      </c>
      <c r="DN67" s="177" t="s">
        <v>375</v>
      </c>
      <c r="DO67" s="177" t="str" cm="1">
        <f t="array" aca="1" ref="DO67:DR6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67" s="177" t="str">
        <f ca="1"/>
        <v>DEFINICIÓN</v>
      </c>
      <c r="DQ67" s="177" t="str">
        <f ca="1"/>
        <v>FABRICACIÓN MECÁNICA</v>
      </c>
      <c r="DR67" s="177" t="str">
        <f ca="1"/>
        <v>METROLOGÍA</v>
      </c>
      <c r="DS67" s="177"/>
      <c r="DT67" s="177"/>
      <c r="DU67" s="177"/>
      <c r="DV67" s="177"/>
      <c r="DW67" s="177"/>
      <c r="DX67" s="177"/>
      <c r="DY67" s="177"/>
      <c r="DZ67" s="177"/>
      <c r="EA67" s="177"/>
      <c r="EB67" s="177"/>
      <c r="EC67" s="177"/>
      <c r="ED67" s="177"/>
    </row>
    <row r="68" spans="3:134" ht="13" customHeight="1">
      <c r="C68" s="200">
        <v>45231</v>
      </c>
      <c r="D68" s="213" t="s">
        <v>2114</v>
      </c>
      <c r="E68" s="213" t="s">
        <v>1710</v>
      </c>
      <c r="F68" s="219" t="s">
        <v>375</v>
      </c>
      <c r="G68" s="201" t="s">
        <v>1416</v>
      </c>
      <c r="H68" s="202">
        <v>0</v>
      </c>
      <c r="I68" s="339" t="str" cm="1">
        <f t="array" aca="1" ref="I6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G004</v>
      </c>
      <c r="J68" s="203" t="str" cm="1">
        <f t="array" ref="J68">IF(OR(PptoSty[[#This Row],[Project]]="",PptoSty[[#This Row],[Project]]="X"),"X",_xlfn.UNIQUE(_xlfn._xlws.FILTER(CstGrpS[Nature],ISNUMBER(FIND(SUBSTITUTE(PptoSty[[#This Row],[PiColumn]]," +%",""),UPPER(SUBSTITUTE(CstGrpS[GrpPrv],"  "," ")))),"X")))</f>
        <v>Hrs</v>
      </c>
      <c r="K68" s="96" t="s">
        <v>1418</v>
      </c>
      <c r="L68" s="96" t="s">
        <v>379</v>
      </c>
      <c r="M68" s="96" t="s">
        <v>375</v>
      </c>
      <c r="N68" s="96" t="str" cm="1">
        <f t="array" ref="N68">IF(OR(PptoSty[[#This Row],[Project]]="",PptoSty[[#This Row],[Project]]="X"),"X",_xlfn._xlws.FILTER(TbAssign[RowId],(TbAssign[Project]=PptoSty[[#This Row],[Project]])*(TbAssign[Módulo]=PptoSty[[#This Row],[PptoVsRow]]),"X"))</f>
        <v>XA02</v>
      </c>
      <c r="O68" s="96" t="str" cm="1">
        <f t="array" ref="O68">IF(OR(PptoSty[[#This Row],[Project]]="",PptoSty[[#This Row],[Project]]="X"),"X",_xlfn.UNIQUE(_xlfn._xlws.FILTER(F_RT14[Amortz.],(F_RT14[Measure]="CurPpto")*(F_RT14[PrjId]=PptoSty[[#This Row],[Project]])*(F_RT14[Vrs]=PptoSty[[#This Row],[Vrs]])*(_xlfn.TEXTAFTER(F_RT14[ActGrp],":")=PptoSty[[#This Row],[PiRow]]),"X")))</f>
        <v>GSDF</v>
      </c>
      <c r="P68" s="96" t="s">
        <v>358</v>
      </c>
      <c r="Q68" s="96" t="s">
        <v>1667</v>
      </c>
      <c r="R68" s="204" t="s">
        <v>403</v>
      </c>
      <c r="S68" s="204">
        <v>1</v>
      </c>
      <c r="T68" s="205" t="str" cm="1">
        <f t="array" aca="1" ref="T6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68" s="206" cm="1">
        <f t="array" ref="U68">IFERROR((1/PptoSty[[#This Row],[Division]])*IF(PptoSty[[#This Row],[Sign]]="+",1,-1)*(IF(PptoSty[[#This Row],[POvsCT]]="PO",SUM(_xlfn.CHOOSECOLS(_xlfn._xlws.FILTER(F_RT14[],(IF($M68="X",TRUE,F_RT14[Site]=$M68))*(F_RT14[Measure]=U$4)*(F_RT14[PrjId]=PptoSty[[#This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3705.0970103092786</v>
      </c>
      <c r="V68" s="206" cm="1">
        <f t="array" ref="V68">IFERROR((1/PptoSty[[#This Row],[Division]])*IF(PptoSty[[#This Row],[Sign]]="+",1,-1)*(IF(PptoSty[[#This Row],[POvsCT]]="PO",SUM(_xlfn.CHOOSECOLS(_xlfn._xlws.FILTER(F_RT14[],(IF($M68="X",TRUE,F_RT14[Site]=$M68))*(F_RT14[Measure]=V$4)*(F_RT14[PrjId]=PptoSty[[#This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370.64329356176</v>
      </c>
      <c r="W68" s="206" cm="1">
        <f t="array" ref="W68">IFERROR((1/PptoSty[[#This Row],[Division]])*IF(PptoSty[[#This Row],[Sign]]="+",1,-1)*(IF(PptoSty[[#This Row],[POvsCT]]="PO",SUM(_xlfn.CHOOSECOLS(_xlfn._xlws.FILTER(F_RT14[],(IF($M68="X",TRUE,F_RT14[Site]=$M68))*(F_RT14[Measure]=W$4)*(F_RT14[PrjId]=PptoSty[[#This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3223.3008269505603</v>
      </c>
      <c r="X68" s="338" cm="1">
        <f t="array" ref="X68">IFERROR(IF(PptoSty[[#This Row],[Nature]]&lt;&gt;"Hrs",0,(1/PptoSty[[#This Row],[Division]])*IF(PptoSty[[#This Row],[Sign]]="+",1,-1)*(IF(PptoSty[[#This Row],[POvsCT]]="PO",SUM(_xlfn.CHOOSECOLS(_xlfn._xlws.FILTER(F_RT14[],(IF($M68="X",TRUE,F_RT14[Site]=$M68))*(F_RT14[Measure]=X$4)*(F_RT14[PrjId]=PptoSty[[#This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94.744976000000023</v>
      </c>
      <c r="Y68" s="338" cm="1">
        <f t="array" ref="Y68">IFERROR(IF(PptoSty[[#This Row],[Nature]]&lt;&gt;"Hrs",0,(1/PptoSty[[#This Row],[Division]])*IF(PptoSty[[#This Row],[Sign]]="+",1,-1)*(IF(PptoSty[[#This Row],[POvsCT]]="PO",SUM(_xlfn.CHOOSECOLS(_xlfn._xlws.FILTER(F_RT14[],(IF($M68="X",TRUE,F_RT14[Site]=$M68))*(F_RT14[Measure]=Y$4)*(F_RT14[PrjId]=PptoSty[[#This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9.1902626720000011</v>
      </c>
      <c r="Z68" s="338" cm="1">
        <f t="array" ref="Z68">IFERROR(IF(PptoSty[[#This Row],[Nature]]&lt;&gt;"Hrs",0,(1/PptoSty[[#This Row],[Division]])*IF(PptoSty[[#This Row],[Sign]]="+",1,-1)*(IF(PptoSty[[#This Row],[POvsCT]]="PO",SUM(_xlfn.CHOOSECOLS(_xlfn._xlws.FILTER(F_RT14[],(IF($M68="X",TRUE,F_RT14[Site]=$M68))*(F_RT14[Measure]=Z$4)*(F_RT14[PrjId]=PptoSty[[#This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82.712364048000012</v>
      </c>
      <c r="AA68" s="412"/>
      <c r="AB68" s="412"/>
      <c r="AC68" s="412"/>
      <c r="AG68"/>
      <c r="AH68"/>
      <c r="AI68"/>
      <c r="AK68" s="113"/>
      <c r="AO68"/>
      <c r="AP68"/>
      <c r="AZ68" s="175"/>
      <c r="BA68" s="175"/>
      <c r="BE68"/>
      <c r="BF68"/>
      <c r="DG68" s="175"/>
      <c r="DH68" s="175"/>
      <c r="DI68" s="175"/>
      <c r="DL68" s="108"/>
      <c r="DM68" s="366" t="str" cm="1">
        <f t="array" aca="1" ref="DM6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DN68:DR68</v>
      </c>
      <c r="DN68" s="177" t="s">
        <v>375</v>
      </c>
      <c r="DO68" s="177" t="str" cm="1">
        <f t="array" aca="1" ref="DO68:DR6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68" s="177" t="str">
        <f ca="1"/>
        <v>DEFINICIÓN</v>
      </c>
      <c r="DQ68" s="177" t="str">
        <f ca="1"/>
        <v>FABRICACIÓN MECÁNICA</v>
      </c>
      <c r="DR68" s="177" t="str">
        <f ca="1"/>
        <v>METROLOGÍA</v>
      </c>
      <c r="DS68" s="177"/>
      <c r="DT68" s="177"/>
      <c r="DU68" s="177"/>
      <c r="DV68" s="177"/>
      <c r="DW68" s="177"/>
      <c r="DX68" s="177"/>
      <c r="DY68" s="177"/>
      <c r="DZ68" s="177"/>
      <c r="EA68" s="177"/>
      <c r="EB68" s="177"/>
      <c r="EC68" s="177"/>
      <c r="ED68" s="177"/>
    </row>
    <row r="69" spans="3:134" ht="13" customHeight="1">
      <c r="C69" s="200">
        <v>45231</v>
      </c>
      <c r="D69" s="213" t="s">
        <v>2114</v>
      </c>
      <c r="E69" s="213" t="s">
        <v>1710</v>
      </c>
      <c r="F69" s="219" t="s">
        <v>375</v>
      </c>
      <c r="G69" s="201" t="s">
        <v>1416</v>
      </c>
      <c r="H69" s="202">
        <v>0</v>
      </c>
      <c r="I69" s="339" t="str" cm="1">
        <f t="array" aca="1" ref="I6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69" s="203" t="str" cm="1">
        <f t="array" ref="J69">IF(OR(PptoSty[[#This Row],[Project]]="",PptoSty[[#This Row],[Project]]="X"),"X",_xlfn.UNIQUE(_xlfn._xlws.FILTER(CstGrpS[Nature],ISNUMBER(FIND(SUBSTITUTE(PptoSty[[#This Row],[PiColumn]]," +%",""),UPPER(SUBSTITUTE(CstGrpS[GrpPrv],"  "," ")))),"X")))</f>
        <v>Hrs</v>
      </c>
      <c r="K69" s="96" t="s">
        <v>1629</v>
      </c>
      <c r="L69" s="96" t="s">
        <v>1274</v>
      </c>
      <c r="M69" s="96" t="s">
        <v>28</v>
      </c>
      <c r="N69" s="96" t="str" cm="1">
        <f t="array" ref="N69">IF(OR(PptoSty[[#This Row],[Project]]="",PptoSty[[#This Row],[Project]]="X"),"X",_xlfn._xlws.FILTER(TbAssign[RowId],(TbAssign[Project]=PptoSty[[#This Row],[Project]])*(TbAssign[Módulo]=PptoSty[[#This Row],[PptoVsRow]]),"X"))</f>
        <v>XB04</v>
      </c>
      <c r="O69" s="96" t="str" cm="1">
        <f t="array" ref="O69">IF(OR(PptoSty[[#This Row],[Project]]="",PptoSty[[#This Row],[Project]]="X"),"X",_xlfn.UNIQUE(_xlfn._xlws.FILTER(F_RT14[Amortz.],(F_RT14[Measure]="CurPpto")*(F_RT14[PrjId]=PptoSty[[#This Row],[Project]])*(F_RT14[Vrs]=PptoSty[[#This Row],[Vrs]])*(_xlfn.TEXTAFTER(F_RT14[ActGrp],":")=PptoSty[[#This Row],[PiRow]]),"X")))</f>
        <v>TOOL</v>
      </c>
      <c r="P69" s="96" t="s">
        <v>1468</v>
      </c>
      <c r="Q69" s="96" t="s">
        <v>1274</v>
      </c>
      <c r="R69" s="204" t="s">
        <v>403</v>
      </c>
      <c r="S69" s="204">
        <v>1</v>
      </c>
      <c r="T69" s="205" cm="1">
        <f t="array" aca="1" ref="T6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69" s="206" cm="1">
        <f t="array" ref="U69">IFERROR((1/PptoSty[[#This Row],[Division]])*IF(PptoSty[[#This Row],[Sign]]="+",1,-1)*(IF(PptoSty[[#This Row],[POvsCT]]="PO",SUM(_xlfn.CHOOSECOLS(_xlfn._xlws.FILTER(F_RT14[],(IF($M69="X",TRUE,F_RT14[Site]=$M69))*(F_RT14[Measure]=U$4)*(F_RT14[PrjId]=PptoSty[[#This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134065.09020618556</v>
      </c>
      <c r="V69" s="206" cm="1">
        <f t="array" ref="V69">IFERROR((1/PptoSty[[#This Row],[Division]])*IF(PptoSty[[#This Row],[Sign]]="+",1,-1)*(IF(PptoSty[[#This Row],[POvsCT]]="PO",SUM(_xlfn.CHOOSECOLS(_xlfn._xlws.FILTER(F_RT14[],(IF($M69="X",TRUE,F_RT14[Site]=$M69))*(F_RT14[Measure]=V$4)*(F_RT14[PrjId]=PptoSty[[#This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111457.805765625</v>
      </c>
      <c r="W69" s="206" cm="1">
        <f t="array" ref="W69">IFERROR((1/PptoSty[[#This Row],[Division]])*IF(PptoSty[[#This Row],[Sign]]="+",1,-1)*(IF(PptoSty[[#This Row],[POvsCT]]="PO",SUM(_xlfn.CHOOSECOLS(_xlfn._xlws.FILTER(F_RT14[],(IF($M69="X",TRUE,F_RT14[Site]=$M69))*(F_RT14[Measure]=W$4)*(F_RT14[PrjId]=PptoSty[[#This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18585.331734375002</v>
      </c>
      <c r="X69" s="338" cm="1">
        <f t="array" ref="X69">IFERROR(IF(PptoSty[[#This Row],[Nature]]&lt;&gt;"Hrs",0,(1/PptoSty[[#This Row],[Division]])*IF(PptoSty[[#This Row],[Sign]]="+",1,-1)*(IF(PptoSty[[#This Row],[POvsCT]]="PO",SUM(_xlfn.CHOOSECOLS(_xlfn._xlws.FILTER(F_RT14[],(IF($M69="X",TRUE,F_RT14[Site]=$M69))*(F_RT14[Measure]=X$4)*(F_RT14[PrjId]=PptoSty[[#This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3724.0302835051548</v>
      </c>
      <c r="Y69" s="338" cm="1">
        <f t="array" ref="Y69">IFERROR(IF(PptoSty[[#This Row],[Nature]]&lt;&gt;"Hrs",0,(1/PptoSty[[#This Row],[Division]])*IF(PptoSty[[#This Row],[Sign]]="+",1,-1)*(IF(PptoSty[[#This Row],[POvsCT]]="PO",SUM(_xlfn.CHOOSECOLS(_xlfn._xlws.FILTER(F_RT14[],(IF($M69="X",TRUE,F_RT14[Site]=$M69))*(F_RT14[Measure]=Y$4)*(F_RT14[PrjId]=PptoSty[[#This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2709.2320312500005</v>
      </c>
      <c r="Z69" s="338" cm="1">
        <f t="array" ref="Z69">IFERROR(IF(PptoSty[[#This Row],[Nature]]&lt;&gt;"Hrs",0,(1/PptoSty[[#This Row],[Division]])*IF(PptoSty[[#This Row],[Sign]]="+",1,-1)*(IF(PptoSty[[#This Row],[POvsCT]]="PO",SUM(_xlfn.CHOOSECOLS(_xlfn._xlws.FILTER(F_RT14[],(IF($M69="X",TRUE,F_RT14[Site]=$M69))*(F_RT14[Measure]=Z$4)*(F_RT14[PrjId]=PptoSty[[#This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903.07734374999995</v>
      </c>
      <c r="AA69" s="412"/>
      <c r="AB69" s="412"/>
      <c r="AC69" s="412"/>
      <c r="AG69"/>
      <c r="AH69"/>
      <c r="AI69"/>
      <c r="AK69" s="113"/>
      <c r="AO69"/>
      <c r="AP69"/>
      <c r="AZ69" s="175"/>
      <c r="BA69" s="175"/>
      <c r="BE69"/>
      <c r="BF69"/>
      <c r="DG69" s="175"/>
      <c r="DH69" s="175"/>
      <c r="DI69" s="175"/>
      <c r="DL69" s="108"/>
      <c r="DM69" s="366" t="str" cm="1">
        <f t="array" aca="1" ref="DM69"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DN69:DX69</v>
      </c>
      <c r="DN69" s="177" t="s">
        <v>375</v>
      </c>
      <c r="DO69" s="177" t="str" cm="1">
        <f t="array" aca="1" ref="DO69:DX69"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69" s="177" t="str">
        <f ca="1"/>
        <v>DISEÑO MECÁNICO</v>
      </c>
      <c r="DQ69" s="177" t="str">
        <f ca="1"/>
        <v>FABRICACIÓN ELÉCTRICA</v>
      </c>
      <c r="DR69" s="177" t="str">
        <f ca="1"/>
        <v>FABRICACIÓN MECÁNICA</v>
      </c>
      <c r="DS69" s="177" t="str">
        <f ca="1"/>
        <v>INSTALACIÓN ENR</v>
      </c>
      <c r="DT69" s="177" t="str">
        <f ca="1"/>
        <v>MATERIAL ELÉCTRICO +%</v>
      </c>
      <c r="DU69" s="177" t="str">
        <f ca="1"/>
        <v>MATERIAL FLUIDOS +%</v>
      </c>
      <c r="DV69" s="177" t="str">
        <f ca="1"/>
        <v>MATERIAL MECÁNICO +%</v>
      </c>
      <c r="DW69" s="177" t="str">
        <f ca="1"/>
        <v>METROLOGÍA</v>
      </c>
      <c r="DX69" s="177" t="str">
        <f ca="1"/>
        <v>MONTAJE MECÁNICO</v>
      </c>
      <c r="DY69" s="177"/>
      <c r="DZ69" s="177"/>
      <c r="EA69" s="177"/>
      <c r="EB69" s="177"/>
      <c r="EC69" s="177"/>
      <c r="ED69" s="177"/>
    </row>
    <row r="70" spans="3:134" ht="13" customHeight="1">
      <c r="C70" s="200">
        <v>45231</v>
      </c>
      <c r="D70" s="213" t="s">
        <v>2114</v>
      </c>
      <c r="E70" s="213" t="s">
        <v>1710</v>
      </c>
      <c r="F70" s="219" t="s">
        <v>375</v>
      </c>
      <c r="G70" s="201" t="s">
        <v>1416</v>
      </c>
      <c r="H70" s="202">
        <v>0</v>
      </c>
      <c r="I70" s="339" t="str" cm="1">
        <f t="array" aca="1" ref="I7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X002</v>
      </c>
      <c r="J70" s="203" t="str" cm="1">
        <f t="array" ref="J70">IF(OR(PptoSty[[#This Row],[Project]]="",PptoSty[[#This Row],[Project]]="X"),"X",_xlfn.UNIQUE(_xlfn._xlws.FILTER(CstGrpS[Nature],ISNUMBER(FIND(SUBSTITUTE(PptoSty[[#This Row],[PiColumn]]," +%",""),UPPER(SUBSTITUTE(CstGrpS[GrpPrv],"  "," ")))),"X")))</f>
        <v>Hrs</v>
      </c>
      <c r="K70" s="96" t="s">
        <v>1628</v>
      </c>
      <c r="L70" s="96" t="s">
        <v>1274</v>
      </c>
      <c r="M70" s="96" t="s">
        <v>28</v>
      </c>
      <c r="N70" s="96" t="str" cm="1">
        <f t="array" ref="N70">IF(OR(PptoSty[[#This Row],[Project]]="",PptoSty[[#This Row],[Project]]="X"),"X",_xlfn._xlws.FILTER(TbAssign[RowId],(TbAssign[Project]=PptoSty[[#This Row],[Project]])*(TbAssign[Módulo]=PptoSty[[#This Row],[PptoVsRow]]),"X"))</f>
        <v>XB04</v>
      </c>
      <c r="O70" s="96" t="str" cm="1">
        <f t="array" ref="O70">IF(OR(PptoSty[[#This Row],[Project]]="",PptoSty[[#This Row],[Project]]="X"),"X",_xlfn.UNIQUE(_xlfn._xlws.FILTER(F_RT14[Amortz.],(F_RT14[Measure]="CurPpto")*(F_RT14[PrjId]=PptoSty[[#This Row],[Project]])*(F_RT14[Vrs]=PptoSty[[#This Row],[Vrs]])*(_xlfn.TEXTAFTER(F_RT14[ActGrp],":")=PptoSty[[#This Row],[PiRow]]),"X")))</f>
        <v>CELL</v>
      </c>
      <c r="P70" s="96" t="s">
        <v>1468</v>
      </c>
      <c r="Q70" s="96" t="s">
        <v>1274</v>
      </c>
      <c r="R70" s="204" t="s">
        <v>403</v>
      </c>
      <c r="S70" s="204">
        <v>1</v>
      </c>
      <c r="T70" s="205" cm="1">
        <f t="array" aca="1" ref="T7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70" s="206" cm="1">
        <f t="array" ref="U70">IFERROR((1/PptoSty[[#This Row],[Division]])*IF(PptoSty[[#This Row],[Sign]]="+",1,-1)*(IF(PptoSty[[#This Row],[POvsCT]]="PO",SUM(_xlfn.CHOOSECOLS(_xlfn._xlws.FILTER(F_RT14[],(IF($M70="X",TRUE,F_RT14[Site]=$M70))*(F_RT14[Measure]=U$4)*(F_RT14[PrjId]=PptoSty[[#This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180</v>
      </c>
      <c r="V70" s="206" cm="1">
        <f t="array" ref="V70">IFERROR((1/PptoSty[[#This Row],[Division]])*IF(PptoSty[[#This Row],[Sign]]="+",1,-1)*(IF(PptoSty[[#This Row],[POvsCT]]="PO",SUM(_xlfn.CHOOSECOLS(_xlfn._xlws.FILTER(F_RT14[],(IF($M70="X",TRUE,F_RT14[Site]=$M70))*(F_RT14[Measure]=V$4)*(F_RT14[PrjId]=PptoSty[[#This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149.64675</v>
      </c>
      <c r="W70" s="206" cm="1">
        <f t="array" ref="W70">IFERROR((1/PptoSty[[#This Row],[Division]])*IF(PptoSty[[#This Row],[Sign]]="+",1,-1)*(IF(PptoSty[[#This Row],[POvsCT]]="PO",SUM(_xlfn.CHOOSECOLS(_xlfn._xlws.FILTER(F_RT14[],(IF($M70="X",TRUE,F_RT14[Site]=$M70))*(F_RT14[Measure]=W$4)*(F_RT14[PrjId]=PptoSty[[#This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24.953249999999997</v>
      </c>
      <c r="X70" s="338" cm="1">
        <f t="array" ref="X70">IFERROR(IF(PptoSty[[#This Row],[Nature]]&lt;&gt;"Hrs",0,(1/PptoSty[[#This Row],[Division]])*IF(PptoSty[[#This Row],[Sign]]="+",1,-1)*(IF(PptoSty[[#This Row],[POvsCT]]="PO",SUM(_xlfn.CHOOSECOLS(_xlfn._xlws.FILTER(F_RT14[],(IF($M70="X",TRUE,F_RT14[Site]=$M70))*(F_RT14[Measure]=X$4)*(F_RT14[PrjId]=PptoSty[[#This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5</v>
      </c>
      <c r="Y70" s="338" cm="1">
        <f t="array" ref="Y70">IFERROR(IF(PptoSty[[#This Row],[Nature]]&lt;&gt;"Hrs",0,(1/PptoSty[[#This Row],[Division]])*IF(PptoSty[[#This Row],[Sign]]="+",1,-1)*(IF(PptoSty[[#This Row],[POvsCT]]="PO",SUM(_xlfn.CHOOSECOLS(_xlfn._xlws.FILTER(F_RT14[],(IF($M70="X",TRUE,F_RT14[Site]=$M70))*(F_RT14[Measure]=Y$4)*(F_RT14[PrjId]=PptoSty[[#This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3.6374999999999997</v>
      </c>
      <c r="Z70" s="338" cm="1">
        <f t="array" ref="Z70">IFERROR(IF(PptoSty[[#This Row],[Nature]]&lt;&gt;"Hrs",0,(1/PptoSty[[#This Row],[Division]])*IF(PptoSty[[#This Row],[Sign]]="+",1,-1)*(IF(PptoSty[[#This Row],[POvsCT]]="PO",SUM(_xlfn.CHOOSECOLS(_xlfn._xlws.FILTER(F_RT14[],(IF($M70="X",TRUE,F_RT14[Site]=$M70))*(F_RT14[Measure]=Z$4)*(F_RT14[PrjId]=PptoSty[[#This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1.2124999999999999</v>
      </c>
      <c r="AA70" s="412"/>
      <c r="AB70" s="412"/>
      <c r="AC70" s="412"/>
      <c r="AG70"/>
      <c r="AH70"/>
      <c r="AI70"/>
      <c r="AK70" s="113"/>
      <c r="AO70"/>
      <c r="AP70"/>
      <c r="AZ70" s="175"/>
      <c r="BA70" s="175"/>
      <c r="BE70"/>
      <c r="BF70"/>
      <c r="DG70" s="175"/>
      <c r="DH70" s="175"/>
      <c r="DI70" s="175"/>
      <c r="DL70" s="108"/>
      <c r="DM70" s="366" t="str" cm="1">
        <f t="array" aca="1" ref="DM70"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DN70:DV70</v>
      </c>
      <c r="DN70" s="177" t="s">
        <v>375</v>
      </c>
      <c r="DO70" s="177" t="str" cm="1">
        <f t="array" aca="1" ref="DO70:DV70"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70" s="177" t="str">
        <f ca="1"/>
        <v>DISEÑO MECÁNICO</v>
      </c>
      <c r="DQ70" s="177" t="str">
        <f ca="1"/>
        <v>FABRICACIÓN ELÉCTRICA</v>
      </c>
      <c r="DR70" s="177" t="str">
        <f ca="1"/>
        <v>FABRICACIÓN MECÁNICA</v>
      </c>
      <c r="DS70" s="177" t="str">
        <f ca="1"/>
        <v>INSTALACIÓN ENR</v>
      </c>
      <c r="DT70" s="177" t="str">
        <f ca="1"/>
        <v>MATERIAL ELÉCTRICO +%</v>
      </c>
      <c r="DU70" s="177" t="str">
        <f ca="1"/>
        <v>MATERIAL FLUIDOS +%</v>
      </c>
      <c r="DV70" s="177" t="str">
        <f ca="1"/>
        <v>MONTAJE MECÁNICO</v>
      </c>
      <c r="DW70" s="177"/>
      <c r="DX70" s="177"/>
      <c r="DY70" s="177"/>
      <c r="DZ70" s="177"/>
      <c r="EA70" s="177"/>
      <c r="EB70" s="177"/>
      <c r="EC70" s="177"/>
      <c r="ED70" s="177"/>
    </row>
    <row r="71" spans="3:134" ht="13" customHeight="1">
      <c r="C71" s="200">
        <v>45231</v>
      </c>
      <c r="D71" s="213" t="s">
        <v>2114</v>
      </c>
      <c r="E71" s="213" t="s">
        <v>1710</v>
      </c>
      <c r="F71" s="219" t="s">
        <v>375</v>
      </c>
      <c r="G71" s="201" t="s">
        <v>1416</v>
      </c>
      <c r="H71" s="202">
        <v>0</v>
      </c>
      <c r="I71" s="339" t="str" cm="1">
        <f t="array" aca="1" ref="I7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X006</v>
      </c>
      <c r="J71" s="203" t="str" cm="1">
        <f t="array" ref="J71">IF(OR(PptoSty[[#This Row],[Project]]="",PptoSty[[#This Row],[Project]]="X"),"X",_xlfn.UNIQUE(_xlfn._xlws.FILTER(CstGrpS[Nature],ISNUMBER(FIND(SUBSTITUTE(PptoSty[[#This Row],[PiColumn]]," +%",""),UPPER(SUBSTITUTE(CstGrpS[GrpPrv],"  "," ")))),"X")))</f>
        <v>Hrs</v>
      </c>
      <c r="K71" s="96" t="s">
        <v>1674</v>
      </c>
      <c r="L71" s="96" t="s">
        <v>360</v>
      </c>
      <c r="M71" s="96" t="s">
        <v>28</v>
      </c>
      <c r="N71" s="96" t="str" cm="1">
        <f t="array" ref="N71">IF(OR(PptoSty[[#This Row],[Project]]="",PptoSty[[#This Row],[Project]]="X"),"X",_xlfn._xlws.FILTER(TbAssign[RowId],(TbAssign[Project]=PptoSty[[#This Row],[Project]])*(TbAssign[Módulo]=PptoSty[[#This Row],[PptoVsRow]]),"X"))</f>
        <v>XB06</v>
      </c>
      <c r="O71" s="96" t="str" cm="1">
        <f t="array" ref="O71">IF(OR(PptoSty[[#This Row],[Project]]="",PptoSty[[#This Row],[Project]]="X"),"X",_xlfn.UNIQUE(_xlfn._xlws.FILTER(F_RT14[Amortz.],(F_RT14[Measure]="CurPpto")*(F_RT14[PrjId]=PptoSty[[#This Row],[Project]])*(F_RT14[Vrs]=PptoSty[[#This Row],[Vrs]])*(_xlfn.TEXTAFTER(F_RT14[ActGrp],":")=PptoSty[[#This Row],[PiRow]]),"X")))</f>
        <v>DISI</v>
      </c>
      <c r="P71" s="96" t="s">
        <v>360</v>
      </c>
      <c r="Q71" s="96" t="s">
        <v>360</v>
      </c>
      <c r="R71" s="204" t="s">
        <v>403</v>
      </c>
      <c r="S71" s="204">
        <v>1</v>
      </c>
      <c r="T71" s="205" cm="1">
        <f t="array" aca="1" ref="T7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71" s="206" cm="1">
        <f t="array" ref="U71">IFERROR((1/PptoSty[[#This Row],[Division]])*IF(PptoSty[[#This Row],[Sign]]="+",1,-1)*(IF(PptoSty[[#This Row],[POvsCT]]="PO",SUM(_xlfn.CHOOSECOLS(_xlfn._xlws.FILTER(F_RT14[],(IF($M71="X",TRUE,F_RT14[Site]=$M71))*(F_RT14[Measure]=U$4)*(F_RT14[PrjId]=PptoSty[[#This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37609.370000000003</v>
      </c>
      <c r="V71" s="206" cm="1">
        <f t="array" ref="V71">IFERROR((1/PptoSty[[#This Row],[Division]])*IF(PptoSty[[#This Row],[Sign]]="+",1,-1)*(IF(PptoSty[[#This Row],[POvsCT]]="PO",SUM(_xlfn.CHOOSECOLS(_xlfn._xlws.FILTER(F_RT14[],(IF($M71="X",TRUE,F_RT14[Site]=$M71))*(F_RT14[Measure]=V$4)*(F_RT14[PrjId]=PptoSty[[#This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17679.115725</v>
      </c>
      <c r="W71" s="206" cm="1">
        <f t="array" ref="W71">IFERROR((1/PptoSty[[#This Row],[Division]])*IF(PptoSty[[#This Row],[Sign]]="+",1,-1)*(IF(PptoSty[[#This Row],[POvsCT]]="PO",SUM(_xlfn.CHOOSECOLS(_xlfn._xlws.FILTER(F_RT14[],(IF($M71="X",TRUE,F_RT14[Site]=$M71))*(F_RT14[Measure]=W$4)*(F_RT14[PrjId]=PptoSty[[#This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18801.973174999999</v>
      </c>
      <c r="X71" s="338" cm="1">
        <f t="array" ref="X71">IFERROR(IF(PptoSty[[#This Row],[Nature]]&lt;&gt;"Hrs",0,(1/PptoSty[[#This Row],[Division]])*IF(PptoSty[[#This Row],[Sign]]="+",1,-1)*(IF(PptoSty[[#This Row],[POvsCT]]="PO",SUM(_xlfn.CHOOSECOLS(_xlfn._xlws.FILTER(F_RT14[],(IF($M71="X",TRUE,F_RT14[Site]=$M71))*(F_RT14[Measure]=X$4)*(F_RT14[PrjId]=PptoSty[[#This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809.5</v>
      </c>
      <c r="Y71" s="338" cm="1">
        <f t="array" ref="Y71">IFERROR(IF(PptoSty[[#This Row],[Nature]]&lt;&gt;"Hrs",0,(1/PptoSty[[#This Row],[Division]])*IF(PptoSty[[#This Row],[Sign]]="+",1,-1)*(IF(PptoSty[[#This Row],[POvsCT]]="PO",SUM(_xlfn.CHOOSECOLS(_xlfn._xlws.FILTER(F_RT14[],(IF($M71="X",TRUE,F_RT14[Site]=$M71))*(F_RT14[Measure]=Y$4)*(F_RT14[PrjId]=PptoSty[[#This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392.60750000000002</v>
      </c>
      <c r="Z71" s="338" cm="1">
        <f t="array" ref="Z71">IFERROR(IF(PptoSty[[#This Row],[Nature]]&lt;&gt;"Hrs",0,(1/PptoSty[[#This Row],[Division]])*IF(PptoSty[[#This Row],[Sign]]="+",1,-1)*(IF(PptoSty[[#This Row],[POvsCT]]="PO",SUM(_xlfn.CHOOSECOLS(_xlfn._xlws.FILTER(F_RT14[],(IF($M71="X",TRUE,F_RT14[Site]=$M71))*(F_RT14[Measure]=Z$4)*(F_RT14[PrjId]=PptoSty[[#This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392.60750000000002</v>
      </c>
      <c r="AA71" s="412"/>
      <c r="AB71" s="412"/>
      <c r="AC71" s="412"/>
      <c r="AG71"/>
      <c r="AH71"/>
      <c r="AI71"/>
      <c r="AK71" s="113"/>
      <c r="AO71"/>
      <c r="AP71"/>
      <c r="AZ71" s="175"/>
      <c r="BA71" s="175"/>
      <c r="BE71"/>
      <c r="BF71"/>
      <c r="DG71" s="175"/>
      <c r="DH71" s="175"/>
      <c r="DI71" s="175"/>
      <c r="DL71" s="108"/>
      <c r="DM71" s="366" t="str" cm="1">
        <f t="array" aca="1" ref="DM71"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DN71:DQ71</v>
      </c>
      <c r="DN71" s="177" t="s">
        <v>375</v>
      </c>
      <c r="DO71" s="177" t="str" cm="1">
        <f t="array" aca="1" ref="DO71:DQ71"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71" s="177" t="str">
        <f ca="1"/>
        <v>ROBCAD</v>
      </c>
      <c r="DQ71" s="177" t="str">
        <f ca="1"/>
        <v>ROBÓTICA</v>
      </c>
      <c r="DR71" s="177"/>
      <c r="DS71" s="177"/>
      <c r="DT71" s="177"/>
      <c r="DU71" s="177"/>
      <c r="DV71" s="177"/>
      <c r="DW71" s="177"/>
      <c r="DX71" s="177"/>
      <c r="DY71" s="177"/>
      <c r="DZ71" s="177"/>
      <c r="EA71" s="177"/>
      <c r="EB71" s="177"/>
      <c r="EC71" s="177"/>
      <c r="ED71" s="177"/>
    </row>
    <row r="72" spans="3:134" ht="13" customHeight="1">
      <c r="C72" s="200">
        <v>45231</v>
      </c>
      <c r="D72" s="213" t="s">
        <v>2114</v>
      </c>
      <c r="E72" s="213" t="s">
        <v>1710</v>
      </c>
      <c r="F72" s="219" t="s">
        <v>375</v>
      </c>
      <c r="G72" s="201" t="s">
        <v>1416</v>
      </c>
      <c r="H72" s="202">
        <v>0</v>
      </c>
      <c r="I72" s="339" t="str" cm="1">
        <f t="array" aca="1" ref="I7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G004</v>
      </c>
      <c r="J72" s="203" t="str" cm="1">
        <f t="array" ref="J72">IF(OR(PptoSty[[#This Row],[Project]]="",PptoSty[[#This Row],[Project]]="X"),"X",_xlfn.UNIQUE(_xlfn._xlws.FILTER(CstGrpS[Nature],ISNUMBER(FIND(SUBSTITUTE(PptoSty[[#This Row],[PiColumn]]," +%",""),UPPER(SUBSTITUTE(CstGrpS[GrpPrv],"  "," ")))),"X")))</f>
        <v>Hrs</v>
      </c>
      <c r="K72" s="96" t="s">
        <v>1418</v>
      </c>
      <c r="L72" s="96" t="s">
        <v>1643</v>
      </c>
      <c r="M72" s="96" t="s">
        <v>375</v>
      </c>
      <c r="N72" s="96" t="str" cm="1">
        <f t="array" ref="N72">IF(OR(PptoSty[[#This Row],[Project]]="",PptoSty[[#This Row],[Project]]="X"),"X",_xlfn._xlws.FILTER(TbAssign[RowId],(TbAssign[Project]=PptoSty[[#This Row],[Project]])*(TbAssign[Módulo]=PptoSty[[#This Row],[PptoVsRow]]),"X"))</f>
        <v>XA02</v>
      </c>
      <c r="O72" s="96" t="str" cm="1">
        <f t="array" ref="O72">IF(OR(PptoSty[[#This Row],[Project]]="",PptoSty[[#This Row],[Project]]="X"),"X",_xlfn.UNIQUE(_xlfn._xlws.FILTER(F_RT14[Amortz.],(F_RT14[Measure]="CurPpto")*(F_RT14[PrjId]=PptoSty[[#This Row],[Project]])*(F_RT14[Vrs]=PptoSty[[#This Row],[Vrs]])*(_xlfn.TEXTAFTER(F_RT14[ActGrp],":")=PptoSty[[#This Row],[PiRow]]),"X")))</f>
        <v>GSDF</v>
      </c>
      <c r="P72" s="96" t="s">
        <v>358</v>
      </c>
      <c r="Q72" s="96" t="s">
        <v>377</v>
      </c>
      <c r="R72" s="204" t="s">
        <v>403</v>
      </c>
      <c r="S72" s="204">
        <v>1</v>
      </c>
      <c r="T72" s="205" t="str" cm="1">
        <f t="array" aca="1" ref="T7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72" s="206" cm="1">
        <f t="array" ref="U72">IFERROR((1/PptoSty[[#This Row],[Division]])*IF(PptoSty[[#This Row],[Sign]]="+",1,-1)*(IF(PptoSty[[#This Row],[POvsCT]]="PO",SUM(_xlfn.CHOOSECOLS(_xlfn._xlws.FILTER(F_RT14[],(IF($M72="X",TRUE,F_RT14[Site]=$M72))*(F_RT14[Measure]=U$4)*(F_RT14[PrjId]=PptoSty[[#This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2703.971958762887</v>
      </c>
      <c r="V72" s="206" cm="1">
        <f t="array" ref="V72">IFERROR((1/PptoSty[[#This Row],[Division]])*IF(PptoSty[[#This Row],[Sign]]="+",1,-1)*(IF(PptoSty[[#This Row],[POvsCT]]="PO",SUM(_xlfn.CHOOSECOLS(_xlfn._xlws.FILTER(F_RT14[],(IF($M72="X",TRUE,F_RT14[Site]=$M72))*(F_RT14[Measure]=V$4)*(F_RT14[PrjId]=PptoSty[[#This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1265.57646</v>
      </c>
      <c r="W72" s="206" cm="1">
        <f t="array" ref="W72">IFERROR((1/PptoSty[[#This Row],[Division]])*IF(PptoSty[[#This Row],[Sign]]="+",1,-1)*(IF(PptoSty[[#This Row],[POvsCT]]="PO",SUM(_xlfn.CHOOSECOLS(_xlfn._xlws.FILTER(F_RT14[],(IF($M72="X",TRUE,F_RT14[Site]=$M72))*(F_RT14[Measure]=W$4)*(F_RT14[PrjId]=PptoSty[[#This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1357.27638</v>
      </c>
      <c r="X72" s="338" cm="1">
        <f t="array" ref="X72">IFERROR(IF(PptoSty[[#This Row],[Nature]]&lt;&gt;"Hrs",0,(1/PptoSty[[#This Row],[Division]])*IF(PptoSty[[#This Row],[Sign]]="+",1,-1)*(IF(PptoSty[[#This Row],[POvsCT]]="PO",SUM(_xlfn.CHOOSECOLS(_xlfn._xlws.FILTER(F_RT14[],(IF($M72="X",TRUE,F_RT14[Site]=$M72))*(F_RT14[Measure]=X$4)*(F_RT14[PrjId]=PptoSty[[#This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60.6</v>
      </c>
      <c r="Y72" s="338" cm="1">
        <f t="array" ref="Y72">IFERROR(IF(PptoSty[[#This Row],[Nature]]&lt;&gt;"Hrs",0,(1/PptoSty[[#This Row],[Division]])*IF(PptoSty[[#This Row],[Sign]]="+",1,-1)*(IF(PptoSty[[#This Row],[POvsCT]]="PO",SUM(_xlfn.CHOOSECOLS(_xlfn._xlws.FILTER(F_RT14[],(IF($M72="X",TRUE,F_RT14[Site]=$M72))*(F_RT14[Measure]=Y$4)*(F_RT14[PrjId]=PptoSty[[#This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29.390999999999998</v>
      </c>
      <c r="Z72" s="338" cm="1">
        <f t="array" ref="Z72">IFERROR(IF(PptoSty[[#This Row],[Nature]]&lt;&gt;"Hrs",0,(1/PptoSty[[#This Row],[Division]])*IF(PptoSty[[#This Row],[Sign]]="+",1,-1)*(IF(PptoSty[[#This Row],[POvsCT]]="PO",SUM(_xlfn.CHOOSECOLS(_xlfn._xlws.FILTER(F_RT14[],(IF($M72="X",TRUE,F_RT14[Site]=$M72))*(F_RT14[Measure]=Z$4)*(F_RT14[PrjId]=PptoSty[[#This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29.390999999999998</v>
      </c>
      <c r="AA72" s="412"/>
      <c r="AB72" s="412"/>
      <c r="AC72" s="412"/>
      <c r="AG72"/>
      <c r="AH72"/>
      <c r="AI72"/>
      <c r="AK72" s="113"/>
      <c r="AO72"/>
      <c r="AP72"/>
      <c r="AZ72" s="175"/>
      <c r="BA72" s="175"/>
      <c r="BE72"/>
      <c r="BF72"/>
      <c r="DG72" s="175"/>
      <c r="DH72" s="175"/>
      <c r="DI72" s="175"/>
      <c r="DL72" s="108"/>
      <c r="DM72" s="366" t="str" cm="1">
        <f t="array" aca="1" ref="DM72"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DN72:DR72</v>
      </c>
      <c r="DN72" s="177" t="s">
        <v>375</v>
      </c>
      <c r="DO72" s="177" t="str" cm="1">
        <f t="array" aca="1" ref="DO72:DR72"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72" s="177" t="str">
        <f ca="1"/>
        <v>DEFINICIÓN</v>
      </c>
      <c r="DQ72" s="177" t="str">
        <f ca="1"/>
        <v>FABRICACIÓN MECÁNICA</v>
      </c>
      <c r="DR72" s="177" t="str">
        <f ca="1"/>
        <v>METROLOGÍA</v>
      </c>
      <c r="DS72" s="177"/>
      <c r="DT72" s="177"/>
      <c r="DU72" s="177"/>
      <c r="DV72" s="177"/>
      <c r="DW72" s="177"/>
      <c r="DX72" s="177"/>
      <c r="DY72" s="177"/>
      <c r="DZ72" s="177"/>
      <c r="EA72" s="177"/>
      <c r="EB72" s="177"/>
      <c r="EC72" s="177"/>
      <c r="ED72" s="177"/>
    </row>
    <row r="73" spans="3:134" ht="13" customHeight="1">
      <c r="C73" s="200">
        <v>45231</v>
      </c>
      <c r="D73" s="213" t="s">
        <v>2114</v>
      </c>
      <c r="E73" s="213" t="s">
        <v>1710</v>
      </c>
      <c r="F73" s="219" t="s">
        <v>375</v>
      </c>
      <c r="G73" s="201" t="s">
        <v>1416</v>
      </c>
      <c r="H73" s="202">
        <v>0</v>
      </c>
      <c r="I73" s="339" t="str" cm="1">
        <f t="array" aca="1" ref="I7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G011</v>
      </c>
      <c r="J73" s="203" t="str" cm="1">
        <f t="array" ref="J73">IF(OR(PptoSty[[#This Row],[Project]]="",PptoSty[[#This Row],[Project]]="X"),"X",_xlfn.UNIQUE(_xlfn._xlws.FILTER(CstGrpS[Nature],ISNUMBER(FIND(SUBSTITUTE(PptoSty[[#This Row],[PiColumn]]," +%",""),UPPER(SUBSTITUTE(CstGrpS[GrpPrv],"  "," ")))),"X")))</f>
        <v>Hrs</v>
      </c>
      <c r="K73" s="96" t="s">
        <v>1420</v>
      </c>
      <c r="L73" s="96" t="s">
        <v>1643</v>
      </c>
      <c r="M73" s="96" t="s">
        <v>375</v>
      </c>
      <c r="N73" s="96" t="str" cm="1">
        <f t="array" ref="N73">IF(OR(PptoSty[[#This Row],[Project]]="",PptoSty[[#This Row],[Project]]="X"),"X",_xlfn._xlws.FILTER(TbAssign[RowId],(TbAssign[Project]=PptoSty[[#This Row],[Project]])*(TbAssign[Módulo]=PptoSty[[#This Row],[PptoVsRow]]),"X"))</f>
        <v>XB05</v>
      </c>
      <c r="O73" s="96" t="str" cm="1">
        <f t="array" ref="O73">IF(OR(PptoSty[[#This Row],[Project]]="",PptoSty[[#This Row],[Project]]="X"),"X",_xlfn.UNIQUE(_xlfn._xlws.FILTER(F_RT14[Amortz.],(F_RT14[Measure]="CurPpto")*(F_RT14[PrjId]=PptoSty[[#This Row],[Project]])*(F_RT14[Vrs]=PptoSty[[#This Row],[Vrs]])*(_xlfn.TEXTAFTER(F_RT14[ActGrp],":")=PptoSty[[#This Row],[PiRow]]),"X")))</f>
        <v>DISI</v>
      </c>
      <c r="P73" s="96" t="s">
        <v>428</v>
      </c>
      <c r="Q73" s="96" t="s">
        <v>377</v>
      </c>
      <c r="R73" s="204" t="s">
        <v>403</v>
      </c>
      <c r="S73" s="204">
        <v>1</v>
      </c>
      <c r="T73" s="205" t="str" cm="1">
        <f t="array" aca="1" ref="T7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73" s="206" cm="1">
        <f t="array" ref="U73">IFERROR((1/PptoSty[[#This Row],[Division]])*IF(PptoSty[[#This Row],[Sign]]="+",1,-1)*(IF(PptoSty[[#This Row],[POvsCT]]="PO",SUM(_xlfn.CHOOSECOLS(_xlfn._xlws.FILTER(F_RT14[],(IF($M73="X",TRUE,F_RT14[Site]=$M73))*(F_RT14[Measure]=U$4)*(F_RT14[PrjId]=PptoSty[[#This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6291.42</v>
      </c>
      <c r="V73" s="206" cm="1">
        <f t="array" ref="V73">IFERROR((1/PptoSty[[#This Row],[Division]])*IF(PptoSty[[#This Row],[Sign]]="+",1,-1)*(IF(PptoSty[[#This Row],[POvsCT]]="PO",SUM(_xlfn.CHOOSECOLS(_xlfn._xlws.FILTER(F_RT14[],(IF($M73="X",TRUE,F_RT14[Site]=$M73))*(F_RT14[Measure]=V$4)*(F_RT14[PrjId]=PptoSty[[#This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2944.6581000000006</v>
      </c>
      <c r="W73" s="206" cm="1">
        <f t="array" ref="W73">IFERROR((1/PptoSty[[#This Row],[Division]])*IF(PptoSty[[#This Row],[Sign]]="+",1,-1)*(IF(PptoSty[[#This Row],[POvsCT]]="PO",SUM(_xlfn.CHOOSECOLS(_xlfn._xlws.FILTER(F_RT14[],(IF($M73="X",TRUE,F_RT14[Site]=$M73))*(F_RT14[Measure]=W$4)*(F_RT14[PrjId]=PptoSty[[#This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3158.0193000000004</v>
      </c>
      <c r="X73" s="338" cm="1">
        <f t="array" ref="X73">IFERROR(IF(PptoSty[[#This Row],[Nature]]&lt;&gt;"Hrs",0,(1/PptoSty[[#This Row],[Division]])*IF(PptoSty[[#This Row],[Sign]]="+",1,-1)*(IF(PptoSty[[#This Row],[POvsCT]]="PO",SUM(_xlfn.CHOOSECOLS(_xlfn._xlws.FILTER(F_RT14[],(IF($M73="X",TRUE,F_RT14[Site]=$M73))*(F_RT14[Measure]=X$4)*(F_RT14[PrjId]=PptoSty[[#This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141.00000000000003</v>
      </c>
      <c r="Y73" s="338" cm="1">
        <f t="array" ref="Y73">IFERROR(IF(PptoSty[[#This Row],[Nature]]&lt;&gt;"Hrs",0,(1/PptoSty[[#This Row],[Division]])*IF(PptoSty[[#This Row],[Sign]]="+",1,-1)*(IF(PptoSty[[#This Row],[POvsCT]]="PO",SUM(_xlfn.CHOOSECOLS(_xlfn._xlws.FILTER(F_RT14[],(IF($M73="X",TRUE,F_RT14[Site]=$M73))*(F_RT14[Measure]=Y$4)*(F_RT14[PrjId]=PptoSty[[#This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68.385000000000005</v>
      </c>
      <c r="Z73" s="338" cm="1">
        <f t="array" ref="Z73">IFERROR(IF(PptoSty[[#This Row],[Nature]]&lt;&gt;"Hrs",0,(1/PptoSty[[#This Row],[Division]])*IF(PptoSty[[#This Row],[Sign]]="+",1,-1)*(IF(PptoSty[[#This Row],[POvsCT]]="PO",SUM(_xlfn.CHOOSECOLS(_xlfn._xlws.FILTER(F_RT14[],(IF($M73="X",TRUE,F_RT14[Site]=$M73))*(F_RT14[Measure]=Z$4)*(F_RT14[PrjId]=PptoSty[[#This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68.385000000000005</v>
      </c>
      <c r="AA73" s="412"/>
      <c r="AB73" s="412"/>
      <c r="AC73" s="412"/>
      <c r="AG73"/>
      <c r="AH73"/>
      <c r="AI73"/>
      <c r="AK73" s="113"/>
      <c r="AO73"/>
      <c r="AP73"/>
      <c r="AZ73" s="175"/>
      <c r="BA73" s="175"/>
      <c r="BE73"/>
      <c r="BF73"/>
      <c r="DG73" s="175"/>
      <c r="DH73" s="175"/>
      <c r="DI73" s="175"/>
      <c r="DL73" s="108"/>
      <c r="DM73" s="366" t="str" cm="1">
        <f t="array" aca="1" ref="DM73"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DN73:DO73</v>
      </c>
      <c r="DN73" s="177" t="s">
        <v>375</v>
      </c>
      <c r="DO73" s="177" t="str" cm="1">
        <f t="array" aca="1" ref="DO73"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73" s="177"/>
      <c r="DQ73" s="177"/>
      <c r="DR73" s="177"/>
      <c r="DS73" s="177"/>
      <c r="DT73" s="177"/>
      <c r="DU73" s="177"/>
      <c r="DV73" s="177"/>
      <c r="DW73" s="177"/>
      <c r="DX73" s="177"/>
      <c r="DY73" s="177"/>
      <c r="DZ73" s="177"/>
      <c r="EA73" s="177"/>
      <c r="EB73" s="177"/>
      <c r="EC73" s="177"/>
      <c r="ED73" s="177"/>
    </row>
    <row r="74" spans="3:134" ht="13" customHeight="1">
      <c r="C74" s="200">
        <v>45231</v>
      </c>
      <c r="D74" s="213" t="s">
        <v>2114</v>
      </c>
      <c r="E74" s="213" t="s">
        <v>1710</v>
      </c>
      <c r="F74" s="219" t="s">
        <v>375</v>
      </c>
      <c r="G74" s="201" t="s">
        <v>1416</v>
      </c>
      <c r="H74" s="202">
        <v>0</v>
      </c>
      <c r="I74" s="339" t="str" cm="1">
        <f t="array" aca="1" ref="I7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G012</v>
      </c>
      <c r="J74" s="203" t="str" cm="1">
        <f t="array" ref="J74">IF(OR(PptoSty[[#This Row],[Project]]="",PptoSty[[#This Row],[Project]]="X"),"X",_xlfn.UNIQUE(_xlfn._xlws.FILTER(CstGrpS[Nature],ISNUMBER(FIND(SUBSTITUTE(PptoSty[[#This Row],[PiColumn]]," +%",""),UPPER(SUBSTITUTE(CstGrpS[GrpPrv],"  "," ")))),"X")))</f>
        <v>Hrs</v>
      </c>
      <c r="K74" s="96" t="s">
        <v>1421</v>
      </c>
      <c r="L74" s="96" t="s">
        <v>1643</v>
      </c>
      <c r="M74" s="96" t="s">
        <v>375</v>
      </c>
      <c r="N74" s="96" t="str" cm="1">
        <f t="array" ref="N74">IF(OR(PptoSty[[#This Row],[Project]]="",PptoSty[[#This Row],[Project]]="X"),"X",_xlfn._xlws.FILTER(TbAssign[RowId],(TbAssign[Project]=PptoSty[[#This Row],[Project]])*(TbAssign[Módulo]=PptoSty[[#This Row],[PptoVsRow]]),"X"))</f>
        <v>XB03</v>
      </c>
      <c r="O74" s="96" t="str" cm="1">
        <f t="array" ref="O74">IF(OR(PptoSty[[#This Row],[Project]]="",PptoSty[[#This Row],[Project]]="X"),"X",_xlfn.UNIQUE(_xlfn._xlws.FILTER(F_RT14[Amortz.],(F_RT14[Measure]="CurPpto")*(F_RT14[PrjId]=PptoSty[[#This Row],[Project]])*(F_RT14[Vrs]=PptoSty[[#This Row],[Vrs]])*(_xlfn.TEXTAFTER(F_RT14[ActGrp],":")=PptoSty[[#This Row],[PiRow]]),"X")))</f>
        <v>DISI</v>
      </c>
      <c r="P74" s="96" t="s">
        <v>430</v>
      </c>
      <c r="Q74" s="96" t="s">
        <v>377</v>
      </c>
      <c r="R74" s="204" t="s">
        <v>403</v>
      </c>
      <c r="S74" s="204">
        <v>1</v>
      </c>
      <c r="T74" s="205" t="str" cm="1">
        <f t="array" aca="1" ref="T7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74" s="206" cm="1">
        <f t="array" ref="U74">IFERROR((1/PptoSty[[#This Row],[Division]])*IF(PptoSty[[#This Row],[Sign]]="+",1,-1)*(IF(PptoSty[[#This Row],[POvsCT]]="PO",SUM(_xlfn.CHOOSECOLS(_xlfn._xlws.FILTER(F_RT14[],(IF($M74="X",TRUE,F_RT14[Site]=$M74))*(F_RT14[Measure]=U$4)*(F_RT14[PrjId]=PptoSty[[#This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1784.8000000000002</v>
      </c>
      <c r="V74" s="206" cm="1">
        <f t="array" ref="V74">IFERROR((1/PptoSty[[#This Row],[Division]])*IF(PptoSty[[#This Row],[Sign]]="+",1,-1)*(IF(PptoSty[[#This Row],[POvsCT]]="PO",SUM(_xlfn.CHOOSECOLS(_xlfn._xlws.FILTER(F_RT14[],(IF($M74="X",TRUE,F_RT14[Site]=$M74))*(F_RT14[Measure]=V$4)*(F_RT14[PrjId]=PptoSty[[#This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835.36400000000003</v>
      </c>
      <c r="W74" s="206" cm="1">
        <f t="array" ref="W74">IFERROR((1/PptoSty[[#This Row],[Division]])*IF(PptoSty[[#This Row],[Sign]]="+",1,-1)*(IF(PptoSty[[#This Row],[POvsCT]]="PO",SUM(_xlfn.CHOOSECOLS(_xlfn._xlws.FILTER(F_RT14[],(IF($M74="X",TRUE,F_RT14[Site]=$M74))*(F_RT14[Measure]=W$4)*(F_RT14[PrjId]=PptoSty[[#This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895.89199999999994</v>
      </c>
      <c r="X74" s="338" cm="1">
        <f t="array" ref="X74">IFERROR(IF(PptoSty[[#This Row],[Nature]]&lt;&gt;"Hrs",0,(1/PptoSty[[#This Row],[Division]])*IF(PptoSty[[#This Row],[Sign]]="+",1,-1)*(IF(PptoSty[[#This Row],[POvsCT]]="PO",SUM(_xlfn.CHOOSECOLS(_xlfn._xlws.FILTER(F_RT14[],(IF($M74="X",TRUE,F_RT14[Site]=$M74))*(F_RT14[Measure]=X$4)*(F_RT14[PrjId]=PptoSty[[#This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40</v>
      </c>
      <c r="Y74" s="338" cm="1">
        <f t="array" ref="Y74">IFERROR(IF(PptoSty[[#This Row],[Nature]]&lt;&gt;"Hrs",0,(1/PptoSty[[#This Row],[Division]])*IF(PptoSty[[#This Row],[Sign]]="+",1,-1)*(IF(PptoSty[[#This Row],[POvsCT]]="PO",SUM(_xlfn.CHOOSECOLS(_xlfn._xlws.FILTER(F_RT14[],(IF($M74="X",TRUE,F_RT14[Site]=$M74))*(F_RT14[Measure]=Y$4)*(F_RT14[PrjId]=PptoSty[[#This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19.399999999999999</v>
      </c>
      <c r="Z74" s="338" cm="1">
        <f t="array" ref="Z74">IFERROR(IF(PptoSty[[#This Row],[Nature]]&lt;&gt;"Hrs",0,(1/PptoSty[[#This Row],[Division]])*IF(PptoSty[[#This Row],[Sign]]="+",1,-1)*(IF(PptoSty[[#This Row],[POvsCT]]="PO",SUM(_xlfn.CHOOSECOLS(_xlfn._xlws.FILTER(F_RT14[],(IF($M74="X",TRUE,F_RT14[Site]=$M74))*(F_RT14[Measure]=Z$4)*(F_RT14[PrjId]=PptoSty[[#This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19.399999999999999</v>
      </c>
      <c r="AA74" s="412"/>
      <c r="AB74" s="412"/>
      <c r="AC74" s="412"/>
      <c r="AG74"/>
      <c r="AH74"/>
      <c r="AI74"/>
      <c r="AK74" s="113"/>
      <c r="AO74"/>
      <c r="AP74"/>
      <c r="AZ74" s="175"/>
      <c r="BA74" s="175"/>
      <c r="BE74"/>
      <c r="BF74"/>
      <c r="DG74" s="175"/>
      <c r="DH74" s="175"/>
      <c r="DI74" s="175"/>
      <c r="DL74" s="108"/>
      <c r="DM74" s="366" t="str" cm="1">
        <f t="array" aca="1" ref="DM74"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DN74:DP74</v>
      </c>
      <c r="DN74" s="177" t="s">
        <v>375</v>
      </c>
      <c r="DO74" s="177" t="str" cm="1">
        <f t="array" aca="1" ref="DO74:DP74"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74" s="177" t="str">
        <f ca="1"/>
        <v>ROBÓTICA</v>
      </c>
      <c r="DQ74" s="177"/>
      <c r="DR74" s="177"/>
      <c r="DS74" s="177"/>
      <c r="DT74" s="177"/>
      <c r="DU74" s="177"/>
      <c r="DV74" s="177"/>
      <c r="DW74" s="177"/>
      <c r="DX74" s="177"/>
      <c r="DY74" s="177"/>
      <c r="DZ74" s="177"/>
      <c r="EA74" s="177"/>
      <c r="EB74" s="177"/>
      <c r="EC74" s="177"/>
      <c r="ED74" s="177"/>
    </row>
    <row r="75" spans="3:134" ht="13" customHeight="1">
      <c r="C75" s="200">
        <v>45231</v>
      </c>
      <c r="D75" s="213" t="s">
        <v>2114</v>
      </c>
      <c r="E75" s="213" t="s">
        <v>1710</v>
      </c>
      <c r="F75" s="219" t="s">
        <v>375</v>
      </c>
      <c r="G75" s="201" t="s">
        <v>1416</v>
      </c>
      <c r="H75" s="202">
        <v>0</v>
      </c>
      <c r="I75" s="339" t="str" cm="1">
        <f t="array" aca="1" ref="I7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X100</v>
      </c>
      <c r="J75" s="203" t="str" cm="1">
        <f t="array" ref="J75">IF(OR(PptoSty[[#This Row],[Project]]="",PptoSty[[#This Row],[Project]]="X"),"X",_xlfn.UNIQUE(_xlfn._xlws.FILTER(CstGrpS[Nature],ISNUMBER(FIND(SUBSTITUTE(PptoSty[[#This Row],[PiColumn]]," +%",""),UPPER(SUBSTITUTE(CstGrpS[GrpPrv],"  "," ")))),"X")))</f>
        <v>Hrs</v>
      </c>
      <c r="K75" s="96" t="s">
        <v>1677</v>
      </c>
      <c r="L75" s="96" t="s">
        <v>1644</v>
      </c>
      <c r="M75" s="96" t="s">
        <v>28</v>
      </c>
      <c r="N75" s="96" t="str" cm="1">
        <f t="array" ref="N75">IF(OR(PptoSty[[#This Row],[Project]]="",PptoSty[[#This Row],[Project]]="X"),"X",_xlfn._xlws.FILTER(TbAssign[RowId],(TbAssign[Project]=PptoSty[[#This Row],[Project]])*(TbAssign[Módulo]=PptoSty[[#This Row],[PptoVsRow]]),"X"))</f>
        <v>XB05</v>
      </c>
      <c r="O75" s="96" t="str" cm="1">
        <f t="array" ref="O75">IF(OR(PptoSty[[#This Row],[Project]]="",PptoSty[[#This Row],[Project]]="X"),"X",_xlfn.UNIQUE(_xlfn._xlws.FILTER(F_RT14[Amortz.],(F_RT14[Measure]="CurPpto")*(F_RT14[PrjId]=PptoSty[[#This Row],[Project]])*(F_RT14[Vrs]=PptoSty[[#This Row],[Vrs]])*(_xlfn.TEXTAFTER(F_RT14[ActGrp],":")=PptoSty[[#This Row],[PiRow]]),"X")))</f>
        <v>TOTS</v>
      </c>
      <c r="P75" s="96" t="s">
        <v>428</v>
      </c>
      <c r="Q75" s="96" t="s">
        <v>378</v>
      </c>
      <c r="R75" s="204" t="s">
        <v>403</v>
      </c>
      <c r="S75" s="204">
        <v>1</v>
      </c>
      <c r="T75" s="205" cm="1">
        <f t="array" aca="1" ref="T7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75" s="206" cm="1">
        <f t="array" ref="U75">IFERROR((1/PptoSty[[#This Row],[Division]])*IF(PptoSty[[#This Row],[Sign]]="+",1,-1)*(IF(PptoSty[[#This Row],[POvsCT]]="PO",SUM(_xlfn.CHOOSECOLS(_xlfn._xlws.FILTER(F_RT14[],(IF($M75="X",TRUE,F_RT14[Site]=$M75))*(F_RT14[Measure]=U$4)*(F_RT14[PrjId]=PptoSty[[#This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6097.0268041237114</v>
      </c>
      <c r="V75" s="206" cm="1">
        <f t="array" ref="V75">IFERROR((1/PptoSty[[#This Row],[Division]])*IF(PptoSty[[#This Row],[Sign]]="+",1,-1)*(IF(PptoSty[[#This Row],[POvsCT]]="PO",SUM(_xlfn.CHOOSECOLS(_xlfn._xlws.FILTER(F_RT14[],(IF($M75="X",TRUE,F_RT14[Site]=$M75))*(F_RT14[Measure]=V$4)*(F_RT14[PrjId]=PptoSty[[#This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5914.1160687500014</v>
      </c>
      <c r="W75" s="206" cm="1">
        <f t="array" ref="W75">IFERROR((1/PptoSty[[#This Row],[Division]])*IF(PptoSty[[#This Row],[Sign]]="+",1,-1)*(IF(PptoSty[[#This Row],[POvsCT]]="PO",SUM(_xlfn.CHOOSECOLS(_xlfn._xlws.FILTER(F_RT14[],(IF($M75="X",TRUE,F_RT14[Site]=$M75))*(F_RT14[Measure]=W$4)*(F_RT14[PrjId]=PptoSty[[#This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75" s="338" cm="1">
        <f t="array" ref="X75">IFERROR(IF(PptoSty[[#This Row],[Nature]]&lt;&gt;"Hrs",0,(1/PptoSty[[#This Row],[Division]])*IF(PptoSty[[#This Row],[Sign]]="+",1,-1)*(IF(PptoSty[[#This Row],[POvsCT]]="PO",SUM(_xlfn.CHOOSECOLS(_xlfn._xlws.FILTER(F_RT14[],(IF($M75="X",TRUE,F_RT14[Site]=$M75))*(F_RT14[Measure]=X$4)*(F_RT14[PrjId]=PptoSty[[#This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141.59375</v>
      </c>
      <c r="Y75" s="338" cm="1">
        <f t="array" ref="Y75">IFERROR(IF(PptoSty[[#This Row],[Nature]]&lt;&gt;"Hrs",0,(1/PptoSty[[#This Row],[Division]])*IF(PptoSty[[#This Row],[Sign]]="+",1,-1)*(IF(PptoSty[[#This Row],[POvsCT]]="PO",SUM(_xlfn.CHOOSECOLS(_xlfn._xlws.FILTER(F_RT14[],(IF($M75="X",TRUE,F_RT14[Site]=$M75))*(F_RT14[Measure]=Y$4)*(F_RT14[PrjId]=PptoSty[[#This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137.34593749999999</v>
      </c>
      <c r="Z75" s="338" cm="1">
        <f t="array" ref="Z75">IFERROR(IF(PptoSty[[#This Row],[Nature]]&lt;&gt;"Hrs",0,(1/PptoSty[[#This Row],[Division]])*IF(PptoSty[[#This Row],[Sign]]="+",1,-1)*(IF(PptoSty[[#This Row],[POvsCT]]="PO",SUM(_xlfn.CHOOSECOLS(_xlfn._xlws.FILTER(F_RT14[],(IF($M75="X",TRUE,F_RT14[Site]=$M75))*(F_RT14[Measure]=Z$4)*(F_RT14[PrjId]=PptoSty[[#This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75" s="412"/>
      <c r="AB75" s="412"/>
      <c r="AC75" s="412"/>
      <c r="AG75"/>
      <c r="AH75"/>
      <c r="AI75"/>
      <c r="AK75" s="113"/>
      <c r="AO75"/>
      <c r="AP75"/>
      <c r="AZ75" s="175"/>
      <c r="BA75" s="175"/>
      <c r="BE75"/>
      <c r="BF75"/>
      <c r="DG75" s="175"/>
      <c r="DH75" s="175"/>
      <c r="DI75" s="175"/>
      <c r="DL75" s="108"/>
      <c r="DM75" s="366" t="str" cm="1">
        <f t="array" aca="1" ref="DM7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DN75:ED75</v>
      </c>
      <c r="DN75" s="177" t="s">
        <v>375</v>
      </c>
      <c r="DO75" s="177" t="str" cm="1">
        <f t="array" aca="1" ref="DO75:ED7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75" s="177" t="str">
        <f ca="1"/>
        <v>DEFINICIÓN</v>
      </c>
      <c r="DQ75" s="177" t="str">
        <f ca="1"/>
        <v>DISEÑO FLUIDOS</v>
      </c>
      <c r="DR75" s="177" t="str">
        <f ca="1"/>
        <v>DISEÑO MECÁNICO</v>
      </c>
      <c r="DS75" s="177" t="str">
        <f ca="1"/>
        <v>FABRICACIÓN ELÉCTRICA</v>
      </c>
      <c r="DT75" s="177" t="str">
        <f ca="1"/>
        <v>FABRICACIÓN MECÁNICA</v>
      </c>
      <c r="DU75" s="177" t="str">
        <f ca="1"/>
        <v>GESTIÓN PROYECTOS</v>
      </c>
      <c r="DV75" s="177" t="str">
        <f ca="1"/>
        <v>INSTALACIÓN ENR</v>
      </c>
      <c r="DW75" s="177" t="str">
        <f ca="1"/>
        <v>MATERIAL ELÉCTRICO +%</v>
      </c>
      <c r="DX75" s="177" t="str">
        <f ca="1"/>
        <v>MATERIAL FLUIDOS +%</v>
      </c>
      <c r="DY75" s="177" t="str">
        <f ca="1"/>
        <v>MATERIAL MECÁNICO +%</v>
      </c>
      <c r="DZ75" s="177" t="str">
        <f ca="1"/>
        <v>METROLOGÍA</v>
      </c>
      <c r="EA75" s="177" t="str">
        <f ca="1"/>
        <v>MONTAJE MECÁNICO</v>
      </c>
      <c r="EB75" s="177" t="str">
        <f ca="1"/>
        <v>ROBCAD</v>
      </c>
      <c r="EC75" s="177" t="str">
        <f ca="1"/>
        <v>ROBÓTICA</v>
      </c>
      <c r="ED75" s="177" t="str">
        <f ca="1"/>
        <v>TRANSP. &amp; DESPLAZ.</v>
      </c>
    </row>
    <row r="76" spans="3:134" ht="13" customHeight="1">
      <c r="C76" s="200">
        <v>45231</v>
      </c>
      <c r="D76" s="213" t="s">
        <v>2114</v>
      </c>
      <c r="E76" s="213" t="s">
        <v>1710</v>
      </c>
      <c r="F76" s="219" t="s">
        <v>375</v>
      </c>
      <c r="G76" s="201" t="s">
        <v>1416</v>
      </c>
      <c r="H76" s="202">
        <v>0</v>
      </c>
      <c r="I76" s="339" t="str" cm="1">
        <f t="array" aca="1" ref="I7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G009</v>
      </c>
      <c r="J76" s="203" t="str" cm="1">
        <f t="array" ref="J76">IF(OR(PptoSty[[#This Row],[Project]]="",PptoSty[[#This Row],[Project]]="X"),"X",_xlfn.UNIQUE(_xlfn._xlws.FILTER(CstGrpS[Nature],ISNUMBER(FIND(SUBSTITUTE(PptoSty[[#This Row],[PiColumn]]," +%",""),UPPER(SUBSTITUTE(CstGrpS[GrpPrv],"  "," ")))),"X")))</f>
        <v>Hrs</v>
      </c>
      <c r="K76" s="96" t="s">
        <v>1458</v>
      </c>
      <c r="L76" s="96" t="s">
        <v>372</v>
      </c>
      <c r="M76" s="96" t="s">
        <v>375</v>
      </c>
      <c r="N76" s="96" t="str" cm="1">
        <f t="array" ref="N76">IF(OR(PptoSty[[#This Row],[Project]]="",PptoSty[[#This Row],[Project]]="X"),"X",_xlfn._xlws.FILTER(TbAssign[RowId],(TbAssign[Project]=PptoSty[[#This Row],[Project]])*(TbAssign[Módulo]=PptoSty[[#This Row],[PptoVsRow]]),"X"))</f>
        <v>XE03</v>
      </c>
      <c r="O76" s="96" t="str" cm="1">
        <f t="array" ref="O76">IF(OR(PptoSty[[#This Row],[Project]]="",PptoSty[[#This Row],[Project]]="X"),"X",_xlfn.UNIQUE(_xlfn._xlws.FILTER(F_RT14[Amortz.],(F_RT14[Measure]="CurPpto")*(F_RT14[PrjId]=PptoSty[[#This Row],[Project]])*(F_RT14[Vrs]=PptoSty[[#This Row],[Vrs]])*(_xlfn.TEXTAFTER(F_RT14[ActGrp],":")=PptoSty[[#This Row],[PiRow]]),"X")))</f>
        <v>PEMX</v>
      </c>
      <c r="P76" s="96" t="s">
        <v>1467</v>
      </c>
      <c r="Q76" s="96" t="s">
        <v>372</v>
      </c>
      <c r="R76" s="204" t="s">
        <v>403</v>
      </c>
      <c r="S76" s="204">
        <v>1</v>
      </c>
      <c r="T76" s="205" t="str" cm="1">
        <f t="array" aca="1" ref="T7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76" s="206" cm="1">
        <f t="array" ref="U76">IFERROR((1/PptoSty[[#This Row],[Division]])*IF(PptoSty[[#This Row],[Sign]]="+",1,-1)*(IF(PptoSty[[#This Row],[POvsCT]]="PO",SUM(_xlfn.CHOOSECOLS(_xlfn._xlws.FILTER(F_RT14[],(IF($M76="X",TRUE,F_RT14[Site]=$M76))*(F_RT14[Measure]=U$4)*(F_RT14[PrjId]=PptoSty[[#This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4642.6168041237115</v>
      </c>
      <c r="V76" s="206" cm="1">
        <f t="array" ref="V76">IFERROR((1/PptoSty[[#This Row],[Division]])*IF(PptoSty[[#This Row],[Sign]]="+",1,-1)*(IF(PptoSty[[#This Row],[POvsCT]]="PO",SUM(_xlfn.CHOOSECOLS(_xlfn._xlws.FILTER(F_RT14[],(IF($M76="X",TRUE,F_RT14[Site]=$M76))*(F_RT14[Measure]=V$4)*(F_RT14[PrjId]=PptoSty[[#This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1616.4080000000001</v>
      </c>
      <c r="W76" s="206" cm="1">
        <f t="array" ref="W76">IFERROR((1/PptoSty[[#This Row],[Division]])*IF(PptoSty[[#This Row],[Sign]]="+",1,-1)*(IF(PptoSty[[#This Row],[POvsCT]]="PO",SUM(_xlfn.CHOOSECOLS(_xlfn._xlws.FILTER(F_RT14[],(IF($M76="X",TRUE,F_RT14[Site]=$M76))*(F_RT14[Measure]=W$4)*(F_RT14[PrjId]=PptoSty[[#This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2787.1979999999999</v>
      </c>
      <c r="X76" s="338" cm="1">
        <f t="array" ref="X76">IFERROR(IF(PptoSty[[#This Row],[Nature]]&lt;&gt;"Hrs",0,(1/PptoSty[[#This Row],[Division]])*IF(PptoSty[[#This Row],[Sign]]="+",1,-1)*(IF(PptoSty[[#This Row],[POvsCT]]="PO",SUM(_xlfn.CHOOSECOLS(_xlfn._xlws.FILTER(F_RT14[],(IF($M76="X",TRUE,F_RT14[Site]=$M76))*(F_RT14[Measure]=X$4)*(F_RT14[PrjId]=PptoSty[[#This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100</v>
      </c>
      <c r="Y76" s="338" cm="1">
        <f t="array" ref="Y76">IFERROR(IF(PptoSty[[#This Row],[Nature]]&lt;&gt;"Hrs",0,(1/PptoSty[[#This Row],[Division]])*IF(PptoSty[[#This Row],[Sign]]="+",1,-1)*(IF(PptoSty[[#This Row],[POvsCT]]="PO",SUM(_xlfn.CHOOSECOLS(_xlfn._xlws.FILTER(F_RT14[],(IF($M76="X",TRUE,F_RT14[Site]=$M76))*(F_RT14[Measure]=Y$4)*(F_RT14[PrjId]=PptoSty[[#This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38.800000000000004</v>
      </c>
      <c r="Z76" s="338" cm="1">
        <f t="array" ref="Z76">IFERROR(IF(PptoSty[[#This Row],[Nature]]&lt;&gt;"Hrs",0,(1/PptoSty[[#This Row],[Division]])*IF(PptoSty[[#This Row],[Sign]]="+",1,-1)*(IF(PptoSty[[#This Row],[POvsCT]]="PO",SUM(_xlfn.CHOOSECOLS(_xlfn._xlws.FILTER(F_RT14[],(IF($M76="X",TRUE,F_RT14[Site]=$M76))*(F_RT14[Measure]=Z$4)*(F_RT14[PrjId]=PptoSty[[#This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58.199999999999996</v>
      </c>
      <c r="AA76" s="412"/>
      <c r="AB76" s="412"/>
      <c r="AC76" s="412"/>
      <c r="AG76"/>
      <c r="AH76"/>
      <c r="AI76"/>
      <c r="AK76" s="113"/>
      <c r="AO76"/>
      <c r="AP76"/>
      <c r="AZ76" s="175"/>
      <c r="BA76" s="175"/>
      <c r="BE76"/>
      <c r="BF76"/>
      <c r="DG76" s="175"/>
      <c r="DH76" s="175"/>
      <c r="DI76" s="175"/>
      <c r="DL76" s="108"/>
      <c r="DM76" s="366" t="str" cm="1">
        <f t="array" aca="1" ref="DM7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DN76:DO76</v>
      </c>
      <c r="DN76" s="177" t="s">
        <v>375</v>
      </c>
      <c r="DO76" s="177" t="str" cm="1">
        <f t="array" aca="1" ref="DO7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ROBÓTICA</v>
      </c>
      <c r="DP76" s="177"/>
      <c r="DQ76" s="177"/>
      <c r="DR76" s="177"/>
      <c r="DS76" s="177"/>
      <c r="DT76" s="177"/>
      <c r="DU76" s="177"/>
      <c r="DV76" s="177"/>
      <c r="DW76" s="177"/>
      <c r="DX76" s="177"/>
      <c r="DY76" s="177"/>
      <c r="DZ76" s="177"/>
      <c r="EA76" s="177"/>
      <c r="EB76" s="177"/>
      <c r="EC76" s="177"/>
      <c r="ED76" s="177"/>
    </row>
    <row r="77" spans="3:134" ht="13" customHeight="1">
      <c r="C77" s="200">
        <v>45231</v>
      </c>
      <c r="D77" s="213" t="s">
        <v>2114</v>
      </c>
      <c r="E77" s="213" t="s">
        <v>1710</v>
      </c>
      <c r="F77" s="219" t="s">
        <v>375</v>
      </c>
      <c r="G77" s="201" t="s">
        <v>1416</v>
      </c>
      <c r="H77" s="202">
        <v>0</v>
      </c>
      <c r="I77" s="339" t="str" cm="1">
        <f t="array" aca="1" ref="I7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G012</v>
      </c>
      <c r="J77" s="203" t="str" cm="1">
        <f t="array" ref="J77">IF(OR(PptoSty[[#This Row],[Project]]="",PptoSty[[#This Row],[Project]]="X"),"X",_xlfn.UNIQUE(_xlfn._xlws.FILTER(CstGrpS[Nature],ISNUMBER(FIND(SUBSTITUTE(PptoSty[[#This Row],[PiColumn]]," +%",""),UPPER(SUBSTITUTE(CstGrpS[GrpPrv],"  "," ")))),"X")))</f>
        <v>Hrs</v>
      </c>
      <c r="K77" s="96" t="s">
        <v>1421</v>
      </c>
      <c r="L77" s="96" t="s">
        <v>372</v>
      </c>
      <c r="M77" s="96" t="s">
        <v>375</v>
      </c>
      <c r="N77" s="96" t="str" cm="1">
        <f t="array" ref="N77">IF(OR(PptoSty[[#This Row],[Project]]="",PptoSty[[#This Row],[Project]]="X"),"X",_xlfn._xlws.FILTER(TbAssign[RowId],(TbAssign[Project]=PptoSty[[#This Row],[Project]])*(TbAssign[Módulo]=PptoSty[[#This Row],[PptoVsRow]]),"X"))</f>
        <v>XB03</v>
      </c>
      <c r="O77" s="96" t="str" cm="1">
        <f t="array" ref="O77">IF(OR(PptoSty[[#This Row],[Project]]="",PptoSty[[#This Row],[Project]]="X"),"X",_xlfn.UNIQUE(_xlfn._xlws.FILTER(F_RT14[Amortz.],(F_RT14[Measure]="CurPpto")*(F_RT14[PrjId]=PptoSty[[#This Row],[Project]])*(F_RT14[Vrs]=PptoSty[[#This Row],[Vrs]])*(_xlfn.TEXTAFTER(F_RT14[ActGrp],":")=PptoSty[[#This Row],[PiRow]]),"X")))</f>
        <v>DISI</v>
      </c>
      <c r="P77" s="96" t="s">
        <v>430</v>
      </c>
      <c r="Q77" s="96" t="s">
        <v>372</v>
      </c>
      <c r="R77" s="204" t="s">
        <v>403</v>
      </c>
      <c r="S77" s="204">
        <v>1</v>
      </c>
      <c r="T77" s="205" t="str" cm="1">
        <f t="array" aca="1" ref="T7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77" s="206" cm="1">
        <f t="array" ref="U77">IFERROR((1/PptoSty[[#This Row],[Division]])*IF(PptoSty[[#This Row],[Sign]]="+",1,-1)*(IF(PptoSty[[#This Row],[POvsCT]]="PO",SUM(_xlfn.CHOOSECOLS(_xlfn._xlws.FILTER(F_RT14[],(IF($M77="X",TRUE,F_RT14[Site]=$M77))*(F_RT14[Measure]=U$4)*(F_RT14[PrjId]=PptoSty[[#This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21913.151237113405</v>
      </c>
      <c r="V77" s="206" cm="1">
        <f t="array" ref="V77">IFERROR((1/PptoSty[[#This Row],[Division]])*IF(PptoSty[[#This Row],[Sign]]="+",1,-1)*(IF(PptoSty[[#This Row],[POvsCT]]="PO",SUM(_xlfn.CHOOSECOLS(_xlfn._xlws.FILTER(F_RT14[],(IF($M77="X",TRUE,F_RT14[Site]=$M77))*(F_RT14[Measure]=V$4)*(F_RT14[PrjId]=PptoSty[[#This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3814.7228799999998</v>
      </c>
      <c r="W77" s="206" cm="1">
        <f t="array" ref="W77">IFERROR((1/PptoSty[[#This Row],[Division]])*IF(PptoSty[[#This Row],[Sign]]="+",1,-1)*(IF(PptoSty[[#This Row],[POvsCT]]="PO",SUM(_xlfn.CHOOSECOLS(_xlfn._xlws.FILTER(F_RT14[],(IF($M77="X",TRUE,F_RT14[Site]=$M77))*(F_RT14[Measure]=W$4)*(F_RT14[PrjId]=PptoSty[[#This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17540.766080000001</v>
      </c>
      <c r="X77" s="338" cm="1">
        <f t="array" ref="X77">IFERROR(IF(PptoSty[[#This Row],[Nature]]&lt;&gt;"Hrs",0,(1/PptoSty[[#This Row],[Division]])*IF(PptoSty[[#This Row],[Sign]]="+",1,-1)*(IF(PptoSty[[#This Row],[POvsCT]]="PO",SUM(_xlfn.CHOOSECOLS(_xlfn._xlws.FILTER(F_RT14[],(IF($M77="X",TRUE,F_RT14[Site]=$M77))*(F_RT14[Measure]=X$4)*(F_RT14[PrjId]=PptoSty[[#This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472</v>
      </c>
      <c r="Y77" s="338" cm="1">
        <f t="array" ref="Y77">IFERROR(IF(PptoSty[[#This Row],[Nature]]&lt;&gt;"Hrs",0,(1/PptoSty[[#This Row],[Division]])*IF(PptoSty[[#This Row],[Sign]]="+",1,-1)*(IF(PptoSty[[#This Row],[POvsCT]]="PO",SUM(_xlfn.CHOOSECOLS(_xlfn._xlws.FILTER(F_RT14[],(IF($M77="X",TRUE,F_RT14[Site]=$M77))*(F_RT14[Measure]=Y$4)*(F_RT14[PrjId]=PptoSty[[#This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91.567999999999998</v>
      </c>
      <c r="Z77" s="338" cm="1">
        <f t="array" ref="Z77">IFERROR(IF(PptoSty[[#This Row],[Nature]]&lt;&gt;"Hrs",0,(1/PptoSty[[#This Row],[Division]])*IF(PptoSty[[#This Row],[Sign]]="+",1,-1)*(IF(PptoSty[[#This Row],[POvsCT]]="PO",SUM(_xlfn.CHOOSECOLS(_xlfn._xlws.FILTER(F_RT14[],(IF($M77="X",TRUE,F_RT14[Site]=$M77))*(F_RT14[Measure]=Z$4)*(F_RT14[PrjId]=PptoSty[[#This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366.27199999999999</v>
      </c>
      <c r="AA77" s="412"/>
      <c r="AB77" s="412"/>
      <c r="AC77" s="412"/>
      <c r="AG77"/>
      <c r="AH77"/>
      <c r="AI77"/>
      <c r="AK77" s="113"/>
      <c r="AO77"/>
      <c r="AP77"/>
      <c r="AZ77" s="175"/>
      <c r="BA77" s="175"/>
      <c r="BE77"/>
      <c r="BF77"/>
      <c r="DG77" s="175"/>
      <c r="DH77" s="175"/>
      <c r="DI77" s="175"/>
      <c r="DL77" s="108"/>
      <c r="DM77" s="366" t="str" cm="1">
        <f t="array" aca="1" ref="DM7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DN77:DP77</v>
      </c>
      <c r="DN77" s="177" t="s">
        <v>375</v>
      </c>
      <c r="DO77" s="177" t="str" cm="1">
        <f t="array" aca="1" ref="DO77:DP7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77" s="177" t="str">
        <f ca="1"/>
        <v>ROBÓTICA</v>
      </c>
      <c r="DQ77" s="177"/>
      <c r="DR77" s="177"/>
      <c r="DS77" s="177"/>
      <c r="DT77" s="177"/>
      <c r="DU77" s="177"/>
      <c r="DV77" s="177"/>
      <c r="DW77" s="177"/>
      <c r="DX77" s="177"/>
      <c r="DY77" s="177"/>
      <c r="DZ77" s="177"/>
      <c r="EA77" s="177"/>
      <c r="EB77" s="177"/>
      <c r="EC77" s="177"/>
      <c r="ED77" s="177"/>
    </row>
    <row r="78" spans="3:134" ht="13" customHeight="1">
      <c r="C78" s="200">
        <v>45231</v>
      </c>
      <c r="D78" s="213" t="s">
        <v>2114</v>
      </c>
      <c r="E78" s="213" t="s">
        <v>1710</v>
      </c>
      <c r="F78" s="219" t="s">
        <v>375</v>
      </c>
      <c r="G78" s="201" t="s">
        <v>1416</v>
      </c>
      <c r="H78" s="202">
        <v>0</v>
      </c>
      <c r="I78" s="339" t="str" cm="1">
        <f t="array" aca="1" ref="I7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78" s="203" t="str" cm="1">
        <f t="array" ref="J78">IF(OR(PptoSty[[#This Row],[Project]]="",PptoSty[[#This Row],[Project]]="X"),"X",_xlfn.UNIQUE(_xlfn._xlws.FILTER(CstGrpS[Nature],ISNUMBER(FIND(SUBSTITUTE(PptoSty[[#This Row],[PiColumn]]," +%",""),UPPER(SUBSTITUTE(CstGrpS[GrpPrv],"  "," ")))),"X")))</f>
        <v>Hrs</v>
      </c>
      <c r="K78" s="96" t="s">
        <v>1629</v>
      </c>
      <c r="L78" s="96" t="s">
        <v>379</v>
      </c>
      <c r="M78" s="96" t="s">
        <v>28</v>
      </c>
      <c r="N78" s="96" t="str" cm="1">
        <f t="array" ref="N78">IF(OR(PptoSty[[#This Row],[Project]]="",PptoSty[[#This Row],[Project]]="X"),"X",_xlfn._xlws.FILTER(TbAssign[RowId],(TbAssign[Project]=PptoSty[[#This Row],[Project]])*(TbAssign[Módulo]=PptoSty[[#This Row],[PptoVsRow]]),"X"))</f>
        <v>XC02</v>
      </c>
      <c r="O78" s="96" t="str" cm="1">
        <f t="array" ref="O78">IF(OR(PptoSty[[#This Row],[Project]]="",PptoSty[[#This Row],[Project]]="X"),"X",_xlfn.UNIQUE(_xlfn._xlws.FILTER(F_RT14[Amortz.],(F_RT14[Measure]="CurPpto")*(F_RT14[PrjId]=PptoSty[[#This Row],[Project]])*(F_RT14[Vrs]=PptoSty[[#This Row],[Vrs]])*(_xlfn.TEXTAFTER(F_RT14[ActGrp],":")=PptoSty[[#This Row],[PiRow]]),"X")))</f>
        <v>TOOL</v>
      </c>
      <c r="P78" s="96" t="s">
        <v>1473</v>
      </c>
      <c r="Q78" s="96" t="s">
        <v>1667</v>
      </c>
      <c r="R78" s="204" t="s">
        <v>403</v>
      </c>
      <c r="S78" s="204">
        <v>1</v>
      </c>
      <c r="T78" s="205" cm="1">
        <f t="array" aca="1" ref="T7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78" s="206" cm="1">
        <f t="array" ref="U78">IFERROR((1/PptoSty[[#This Row],[Division]])*IF(PptoSty[[#This Row],[Sign]]="+",1,-1)*(IF(PptoSty[[#This Row],[POvsCT]]="PO",SUM(_xlfn.CHOOSECOLS(_xlfn._xlws.FILTER(F_RT14[],(IF($M78="X",TRUE,F_RT14[Site]=$M78))*(F_RT14[Measure]=U$4)*(F_RT14[PrjId]=PptoSty[[#This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238958.12120515466</v>
      </c>
      <c r="V78" s="206" cm="1">
        <f t="array" ref="V78">IFERROR((1/PptoSty[[#This Row],[Division]])*IF(PptoSty[[#This Row],[Sign]]="+",1,-1)*(IF(PptoSty[[#This Row],[POvsCT]]="PO",SUM(_xlfn.CHOOSECOLS(_xlfn._xlws.FILTER(F_RT14[],(IF($M78="X",TRUE,F_RT14[Site]=$M78))*(F_RT14[Measure]=V$4)*(F_RT14[PrjId]=PptoSty[[#This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17033.864848088</v>
      </c>
      <c r="W78" s="206" cm="1">
        <f t="array" ref="W78">IFERROR((1/PptoSty[[#This Row],[Division]])*IF(PptoSty[[#This Row],[Sign]]="+",1,-1)*(IF(PptoSty[[#This Row],[POvsCT]]="PO",SUM(_xlfn.CHOOSECOLS(_xlfn._xlws.FILTER(F_RT14[],(IF($M78="X",TRUE,F_RT14[Site]=$M78))*(F_RT14[Measure]=W$4)*(F_RT14[PrjId]=PptoSty[[#This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216815.93881752802</v>
      </c>
      <c r="X78" s="338" cm="1">
        <f t="array" ref="X78">IFERROR(IF(PptoSty[[#This Row],[Nature]]&lt;&gt;"Hrs",0,(1/PptoSty[[#This Row],[Division]])*IF(PptoSty[[#This Row],[Sign]]="+",1,-1)*(IF(PptoSty[[#This Row],[POvsCT]]="PO",SUM(_xlfn.CHOOSECOLS(_xlfn._xlws.FILTER(F_RT14[],(IF($M78="X",TRUE,F_RT14[Site]=$M78))*(F_RT14[Measure]=X$4)*(F_RT14[PrjId]=PptoSty[[#This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4354.2487999999985</v>
      </c>
      <c r="Y78" s="338" cm="1">
        <f t="array" ref="Y78">IFERROR(IF(PptoSty[[#This Row],[Nature]]&lt;&gt;"Hrs",0,(1/PptoSty[[#This Row],[Division]])*IF(PptoSty[[#This Row],[Sign]]="+",1,-1)*(IF(PptoSty[[#This Row],[POvsCT]]="PO",SUM(_xlfn.CHOOSECOLS(_xlfn._xlws.FILTER(F_RT14[],(IF($M78="X",TRUE,F_RT14[Site]=$M78))*(F_RT14[Measure]=Y$4)*(F_RT14[PrjId]=PptoSty[[#This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422.36213359999988</v>
      </c>
      <c r="Z78" s="338" cm="1">
        <f t="array" ref="Z78">IFERROR(IF(PptoSty[[#This Row],[Nature]]&lt;&gt;"Hrs",0,(1/PptoSty[[#This Row],[Division]])*IF(PptoSty[[#This Row],[Sign]]="+",1,-1)*(IF(PptoSty[[#This Row],[POvsCT]]="PO",SUM(_xlfn.CHOOSECOLS(_xlfn._xlws.FILTER(F_RT14[],(IF($M78="X",TRUE,F_RT14[Site]=$M78))*(F_RT14[Measure]=Z$4)*(F_RT14[PrjId]=PptoSty[[#This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3801.2592023999996</v>
      </c>
      <c r="AA78" s="412"/>
      <c r="AB78" s="412"/>
      <c r="AC78" s="412"/>
      <c r="AG78"/>
      <c r="AH78"/>
      <c r="AI78"/>
      <c r="AK78" s="113"/>
      <c r="AO78"/>
      <c r="AP78"/>
      <c r="AZ78" s="175"/>
      <c r="BA78" s="175"/>
      <c r="BE78"/>
      <c r="BF78"/>
      <c r="DG78" s="175"/>
      <c r="DH78" s="175"/>
      <c r="DI78" s="175"/>
      <c r="DL78" s="108"/>
      <c r="DM78" s="366" t="str" cm="1">
        <f t="array" aca="1" ref="DM7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DN78:DX78</v>
      </c>
      <c r="DN78" s="177" t="s">
        <v>375</v>
      </c>
      <c r="DO78" s="177" t="str" cm="1">
        <f t="array" aca="1" ref="DO78:DX7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78" s="177" t="str">
        <f ca="1"/>
        <v>DISEÑO MECÁNICO</v>
      </c>
      <c r="DQ78" s="177" t="str">
        <f ca="1"/>
        <v>FABRICACIÓN ELÉCTRICA</v>
      </c>
      <c r="DR78" s="177" t="str">
        <f ca="1"/>
        <v>FABRICACIÓN MECÁNICA</v>
      </c>
      <c r="DS78" s="177" t="str">
        <f ca="1"/>
        <v>INSTALACIÓN ENR</v>
      </c>
      <c r="DT78" s="177" t="str">
        <f ca="1"/>
        <v>MATERIAL ELÉCTRICO +%</v>
      </c>
      <c r="DU78" s="177" t="str">
        <f ca="1"/>
        <v>MATERIAL FLUIDOS +%</v>
      </c>
      <c r="DV78" s="177" t="str">
        <f ca="1"/>
        <v>MATERIAL MECÁNICO +%</v>
      </c>
      <c r="DW78" s="177" t="str">
        <f ca="1"/>
        <v>METROLOGÍA</v>
      </c>
      <c r="DX78" s="177" t="str">
        <f ca="1"/>
        <v>MONTAJE MECÁNICO</v>
      </c>
      <c r="DY78" s="177"/>
      <c r="DZ78" s="177"/>
      <c r="EA78" s="177"/>
      <c r="EB78" s="177"/>
      <c r="EC78" s="177"/>
      <c r="ED78" s="177"/>
    </row>
    <row r="79" spans="3:134" ht="13" customHeight="1">
      <c r="C79" s="200">
        <v>45231</v>
      </c>
      <c r="D79" s="213" t="s">
        <v>2114</v>
      </c>
      <c r="E79" s="213" t="s">
        <v>1710</v>
      </c>
      <c r="F79" s="219" t="s">
        <v>375</v>
      </c>
      <c r="G79" s="201" t="s">
        <v>1416</v>
      </c>
      <c r="H79" s="202">
        <v>0</v>
      </c>
      <c r="I79" s="339" t="str" cm="1">
        <f t="array" aca="1" ref="I7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79" s="203" t="str" cm="1">
        <f t="array" ref="J79">IF(OR(PptoSty[[#This Row],[Project]]="",PptoSty[[#This Row],[Project]]="X"),"X",_xlfn.UNIQUE(_xlfn._xlws.FILTER(CstGrpS[Nature],ISNUMBER(FIND(SUBSTITUTE(PptoSty[[#This Row],[PiColumn]]," +%",""),UPPER(SUBSTITUTE(CstGrpS[GrpPrv],"  "," ")))),"X")))</f>
        <v>Hrs</v>
      </c>
      <c r="K79" s="96" t="s">
        <v>1629</v>
      </c>
      <c r="L79" s="96" t="s">
        <v>380</v>
      </c>
      <c r="M79" s="96" t="s">
        <v>28</v>
      </c>
      <c r="N79" s="96" t="str" cm="1">
        <f t="array" ref="N79">IF(OR(PptoSty[[#This Row],[Project]]="",PptoSty[[#This Row],[Project]]="X"),"X",_xlfn._xlws.FILTER(TbAssign[RowId],(TbAssign[Project]=PptoSty[[#This Row],[Project]])*(TbAssign[Módulo]=PptoSty[[#This Row],[PptoVsRow]]),"X"))</f>
        <v>XC02</v>
      </c>
      <c r="O79" s="96" t="str" cm="1">
        <f t="array" ref="O79">IF(OR(PptoSty[[#This Row],[Project]]="",PptoSty[[#This Row],[Project]]="X"),"X",_xlfn.UNIQUE(_xlfn._xlws.FILTER(F_RT14[Amortz.],(F_RT14[Measure]="CurPpto")*(F_RT14[PrjId]=PptoSty[[#This Row],[Project]])*(F_RT14[Vrs]=PptoSty[[#This Row],[Vrs]])*(_xlfn.TEXTAFTER(F_RT14[ActGrp],":")=PptoSty[[#This Row],[PiRow]]),"X")))</f>
        <v>TOOL</v>
      </c>
      <c r="P79" s="96" t="s">
        <v>1473</v>
      </c>
      <c r="Q79" s="96" t="s">
        <v>1667</v>
      </c>
      <c r="R79" s="204" t="s">
        <v>403</v>
      </c>
      <c r="S79" s="204">
        <v>1</v>
      </c>
      <c r="T79" s="205" cm="1">
        <f t="array" aca="1" ref="T7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79" s="206" cm="1">
        <f t="array" ref="U79">IFERROR((1/PptoSty[[#This Row],[Division]])*IF(PptoSty[[#This Row],[Sign]]="+",1,-1)*(IF(PptoSty[[#This Row],[POvsCT]]="PO",SUM(_xlfn.CHOOSECOLS(_xlfn._xlws.FILTER(F_RT14[],(IF($M79="X",TRUE,F_RT14[Site]=$M79))*(F_RT14[Measure]=U$4)*(F_RT14[PrjId]=PptoSty[[#This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39701.639587628866</v>
      </c>
      <c r="V79" s="206" cm="1">
        <f t="array" ref="V79">IFERROR((1/PptoSty[[#This Row],[Division]])*IF(PptoSty[[#This Row],[Sign]]="+",1,-1)*(IF(PptoSty[[#This Row],[POvsCT]]="PO",SUM(_xlfn.CHOOSECOLS(_xlfn._xlws.FILTER(F_RT14[],(IF($M79="X",TRUE,F_RT14[Site]=$M79))*(F_RT14[Measure]=V$4)*(F_RT14[PrjId]=PptoSty[[#This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11643.868505500001</v>
      </c>
      <c r="W79" s="206" cm="1">
        <f t="array" ref="W79">IFERROR((1/PptoSty[[#This Row],[Division]])*IF(PptoSty[[#This Row],[Sign]]="+",1,-1)*(IF(PptoSty[[#This Row],[POvsCT]]="PO",SUM(_xlfn.CHOOSECOLS(_xlfn._xlws.FILTER(F_RT14[],(IF($M79="X",TRUE,F_RT14[Site]=$M79))*(F_RT14[Measure]=W$4)*(F_RT14[PrjId]=PptoSty[[#This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27272.804306999995</v>
      </c>
      <c r="X79" s="338" cm="1">
        <f t="array" ref="X79">IFERROR(IF(PptoSty[[#This Row],[Nature]]&lt;&gt;"Hrs",0,(1/PptoSty[[#This Row],[Division]])*IF(PptoSty[[#This Row],[Sign]]="+",1,-1)*(IF(PptoSty[[#This Row],[POvsCT]]="PO",SUM(_xlfn.CHOOSECOLS(_xlfn._xlws.FILTER(F_RT14[],(IF($M79="X",TRUE,F_RT14[Site]=$M79))*(F_RT14[Measure]=X$4)*(F_RT14[PrjId]=PptoSty[[#This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1351.42</v>
      </c>
      <c r="Y79" s="338" cm="1">
        <f t="array" ref="Y79">IFERROR(IF(PptoSty[[#This Row],[Nature]]&lt;&gt;"Hrs",0,(1/PptoSty[[#This Row],[Division]])*IF(PptoSty[[#This Row],[Sign]]="+",1,-1)*(IF(PptoSty[[#This Row],[POvsCT]]="PO",SUM(_xlfn.CHOOSECOLS(_xlfn._xlws.FILTER(F_RT14[],(IF($M79="X",TRUE,F_RT14[Site]=$M79))*(F_RT14[Measure]=Y$4)*(F_RT14[PrjId]=PptoSty[[#This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327.71935000000008</v>
      </c>
      <c r="Z79" s="338" cm="1">
        <f t="array" ref="Z79">IFERROR(IF(PptoSty[[#This Row],[Nature]]&lt;&gt;"Hrs",0,(1/PptoSty[[#This Row],[Division]])*IF(PptoSty[[#This Row],[Sign]]="+",1,-1)*(IF(PptoSty[[#This Row],[POvsCT]]="PO",SUM(_xlfn.CHOOSECOLS(_xlfn._xlws.FILTER(F_RT14[],(IF($M79="X",TRUE,F_RT14[Site]=$M79))*(F_RT14[Measure]=Z$4)*(F_RT14[PrjId]=PptoSty[[#This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983.15804999999978</v>
      </c>
      <c r="AA79" s="412"/>
      <c r="AB79" s="412"/>
      <c r="AC79" s="412"/>
      <c r="AG79"/>
      <c r="AH79"/>
      <c r="AI79"/>
      <c r="AK79" s="113"/>
      <c r="AO79"/>
      <c r="AP79"/>
      <c r="AZ79" s="175"/>
      <c r="BA79" s="175"/>
      <c r="BE79"/>
      <c r="BF79"/>
      <c r="DG79" s="175"/>
      <c r="DH79" s="175"/>
      <c r="DI79" s="175"/>
      <c r="DL79" s="108"/>
      <c r="DM79" s="366" t="str" cm="1">
        <f t="array" aca="1" ref="DM79"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DN79:DX79</v>
      </c>
      <c r="DN79" s="177" t="s">
        <v>375</v>
      </c>
      <c r="DO79" s="177" t="str" cm="1">
        <f t="array" aca="1" ref="DO79:DX79"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79" s="177" t="str">
        <f ca="1"/>
        <v>DISEÑO MECÁNICO</v>
      </c>
      <c r="DQ79" s="177" t="str">
        <f ca="1"/>
        <v>FABRICACIÓN ELÉCTRICA</v>
      </c>
      <c r="DR79" s="177" t="str">
        <f ca="1"/>
        <v>FABRICACIÓN MECÁNICA</v>
      </c>
      <c r="DS79" s="177" t="str">
        <f ca="1"/>
        <v>INSTALACIÓN ENR</v>
      </c>
      <c r="DT79" s="177" t="str">
        <f ca="1"/>
        <v>MATERIAL ELÉCTRICO +%</v>
      </c>
      <c r="DU79" s="177" t="str">
        <f ca="1"/>
        <v>MATERIAL FLUIDOS +%</v>
      </c>
      <c r="DV79" s="177" t="str">
        <f ca="1"/>
        <v>MATERIAL MECÁNICO +%</v>
      </c>
      <c r="DW79" s="177" t="str">
        <f ca="1"/>
        <v>METROLOGÍA</v>
      </c>
      <c r="DX79" s="177" t="str">
        <f ca="1"/>
        <v>MONTAJE MECÁNICO</v>
      </c>
      <c r="DY79" s="177"/>
      <c r="DZ79" s="177"/>
      <c r="EA79" s="177"/>
      <c r="EB79" s="177"/>
      <c r="EC79" s="177"/>
      <c r="ED79" s="177"/>
    </row>
    <row r="80" spans="3:134" ht="13" customHeight="1">
      <c r="C80" s="200">
        <v>45231</v>
      </c>
      <c r="D80" s="213" t="s">
        <v>2114</v>
      </c>
      <c r="E80" s="213" t="s">
        <v>1710</v>
      </c>
      <c r="F80" s="219" t="s">
        <v>375</v>
      </c>
      <c r="G80" s="201" t="s">
        <v>1416</v>
      </c>
      <c r="H80" s="202">
        <v>0</v>
      </c>
      <c r="I80" s="339" t="str" cm="1">
        <f t="array" aca="1" ref="I8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80" s="203" t="str" cm="1">
        <f t="array" ref="J80">IF(OR(PptoSty[[#This Row],[Project]]="",PptoSty[[#This Row],[Project]]="X"),"X",_xlfn.UNIQUE(_xlfn._xlws.FILTER(CstGrpS[Nature],ISNUMBER(FIND(SUBSTITUTE(PptoSty[[#This Row],[PiColumn]]," +%",""),UPPER(SUBSTITUTE(CstGrpS[GrpPrv],"  "," ")))),"X")))</f>
        <v>Hrs</v>
      </c>
      <c r="K80" s="96" t="s">
        <v>1629</v>
      </c>
      <c r="L80" s="96" t="s">
        <v>373</v>
      </c>
      <c r="M80" s="96" t="s">
        <v>28</v>
      </c>
      <c r="N80" s="96" t="str" cm="1">
        <f t="array" ref="N80">IF(OR(PptoSty[[#This Row],[Project]]="",PptoSty[[#This Row],[Project]]="X"),"X",_xlfn._xlws.FILTER(TbAssign[RowId],(TbAssign[Project]=PptoSty[[#This Row],[Project]])*(TbAssign[Módulo]=PptoSty[[#This Row],[PptoVsRow]]),"X"))</f>
        <v>XC02</v>
      </c>
      <c r="O80" s="96" t="str" cm="1">
        <f t="array" ref="O80">IF(OR(PptoSty[[#This Row],[Project]]="",PptoSty[[#This Row],[Project]]="X"),"X",_xlfn.UNIQUE(_xlfn._xlws.FILTER(F_RT14[Amortz.],(F_RT14[Measure]="CurPpto")*(F_RT14[PrjId]=PptoSty[[#This Row],[Project]])*(F_RT14[Vrs]=PptoSty[[#This Row],[Vrs]])*(_xlfn.TEXTAFTER(F_RT14[ActGrp],":")=PptoSty[[#This Row],[PiRow]]),"X")))</f>
        <v>TOOL</v>
      </c>
      <c r="P80" s="96" t="s">
        <v>1473</v>
      </c>
      <c r="Q80" s="96" t="s">
        <v>1667</v>
      </c>
      <c r="R80" s="204" t="s">
        <v>403</v>
      </c>
      <c r="S80" s="204">
        <v>1</v>
      </c>
      <c r="T80" s="205" cm="1">
        <f t="array" aca="1" ref="T8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80" s="206" cm="1">
        <f t="array" ref="U80">IFERROR((1/PptoSty[[#This Row],[Division]])*IF(PptoSty[[#This Row],[Sign]]="+",1,-1)*(IF(PptoSty[[#This Row],[POvsCT]]="PO",SUM(_xlfn.CHOOSECOLS(_xlfn._xlws.FILTER(F_RT14[],(IF($M80="X",TRUE,F_RT14[Site]=$M80))*(F_RT14[Measure]=U$4)*(F_RT14[PrjId]=PptoSty[[#This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17643.268041237116</v>
      </c>
      <c r="V80" s="206" cm="1">
        <f t="array" ref="V80">IFERROR((1/PptoSty[[#This Row],[Division]])*IF(PptoSty[[#This Row],[Sign]]="+",1,-1)*(IF(PptoSty[[#This Row],[POvsCT]]="PO",SUM(_xlfn.CHOOSECOLS(_xlfn._xlws.FILTER(F_RT14[],(IF($M80="X",TRUE,F_RT14[Site]=$M80))*(F_RT14[Measure]=V$4)*(F_RT14[PrjId]=PptoSty[[#This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14131.643850000004</v>
      </c>
      <c r="W80" s="206" cm="1">
        <f t="array" ref="W80">IFERROR((1/PptoSty[[#This Row],[Division]])*IF(PptoSty[[#This Row],[Sign]]="+",1,-1)*(IF(PptoSty[[#This Row],[POvsCT]]="PO",SUM(_xlfn.CHOOSECOLS(_xlfn._xlws.FILTER(F_RT14[],(IF($M80="X",TRUE,F_RT14[Site]=$M80))*(F_RT14[Measure]=W$4)*(F_RT14[PrjId]=PptoSty[[#This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2982.3261099999991</v>
      </c>
      <c r="X80" s="338" cm="1">
        <f t="array" ref="X80">IFERROR(IF(PptoSty[[#This Row],[Nature]]&lt;&gt;"Hrs",0,(1/PptoSty[[#This Row],[Division]])*IF(PptoSty[[#This Row],[Sign]]="+",1,-1)*(IF(PptoSty[[#This Row],[POvsCT]]="PO",SUM(_xlfn.CHOOSECOLS(_xlfn._xlws.FILTER(F_RT14[],(IF($M80="X",TRUE,F_RT14[Site]=$M80))*(F_RT14[Measure]=X$4)*(F_RT14[PrjId]=PptoSty[[#This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420.99999999999994</v>
      </c>
      <c r="Y80" s="338" cm="1">
        <f t="array" ref="Y80">IFERROR(IF(PptoSty[[#This Row],[Nature]]&lt;&gt;"Hrs",0,(1/PptoSty[[#This Row],[Division]])*IF(PptoSty[[#This Row],[Sign]]="+",1,-1)*(IF(PptoSty[[#This Row],[POvsCT]]="PO",SUM(_xlfn.CHOOSECOLS(_xlfn._xlws.FILTER(F_RT14[],(IF($M80="X",TRUE,F_RT14[Site]=$M80))*(F_RT14[Measure]=Y$4)*(F_RT14[PrjId]=PptoSty[[#This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367.5329999999999</v>
      </c>
      <c r="Z80" s="338" cm="1">
        <f t="array" ref="Z80">IFERROR(IF(PptoSty[[#This Row],[Nature]]&lt;&gt;"Hrs",0,(1/PptoSty[[#This Row],[Division]])*IF(PptoSty[[#This Row],[Sign]]="+",1,-1)*(IF(PptoSty[[#This Row],[POvsCT]]="PO",SUM(_xlfn.CHOOSECOLS(_xlfn._xlws.FILTER(F_RT14[],(IF($M80="X",TRUE,F_RT14[Site]=$M80))*(F_RT14[Measure]=Z$4)*(F_RT14[PrjId]=PptoSty[[#This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40.836999999999982</v>
      </c>
      <c r="AA80" s="412"/>
      <c r="AB80" s="412"/>
      <c r="AC80" s="412"/>
      <c r="AG80"/>
      <c r="AH80"/>
      <c r="AI80"/>
      <c r="AK80" s="113"/>
      <c r="AO80"/>
      <c r="AP80"/>
      <c r="AZ80" s="175"/>
      <c r="BA80" s="175"/>
      <c r="BE80"/>
      <c r="BF80"/>
      <c r="DG80" s="175"/>
      <c r="DH80" s="175"/>
      <c r="DI80" s="175"/>
      <c r="DL80" s="108"/>
      <c r="DM80" s="366" t="str" cm="1">
        <f t="array" aca="1" ref="DM80"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DN80:DX80</v>
      </c>
      <c r="DN80" s="177" t="s">
        <v>375</v>
      </c>
      <c r="DO80" s="177" t="str" cm="1">
        <f t="array" aca="1" ref="DO80:DX80"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80" s="177" t="str">
        <f ca="1"/>
        <v>DISEÑO MECÁNICO</v>
      </c>
      <c r="DQ80" s="177" t="str">
        <f ca="1"/>
        <v>FABRICACIÓN ELÉCTRICA</v>
      </c>
      <c r="DR80" s="177" t="str">
        <f ca="1"/>
        <v>FABRICACIÓN MECÁNICA</v>
      </c>
      <c r="DS80" s="177" t="str">
        <f ca="1"/>
        <v>INSTALACIÓN ENR</v>
      </c>
      <c r="DT80" s="177" t="str">
        <f ca="1"/>
        <v>MATERIAL ELÉCTRICO +%</v>
      </c>
      <c r="DU80" s="177" t="str">
        <f ca="1"/>
        <v>MATERIAL FLUIDOS +%</v>
      </c>
      <c r="DV80" s="177" t="str">
        <f ca="1"/>
        <v>MATERIAL MECÁNICO +%</v>
      </c>
      <c r="DW80" s="177" t="str">
        <f ca="1"/>
        <v>METROLOGÍA</v>
      </c>
      <c r="DX80" s="177" t="str">
        <f ca="1"/>
        <v>MONTAJE MECÁNICO</v>
      </c>
      <c r="DY80" s="177"/>
      <c r="DZ80" s="177"/>
      <c r="EA80" s="177"/>
      <c r="EB80" s="177"/>
      <c r="EC80" s="177"/>
      <c r="ED80" s="177"/>
    </row>
    <row r="81" spans="3:134" ht="13" customHeight="1">
      <c r="C81" s="200">
        <v>45231</v>
      </c>
      <c r="D81" s="213" t="s">
        <v>2114</v>
      </c>
      <c r="E81" s="213" t="s">
        <v>1710</v>
      </c>
      <c r="F81" s="219" t="s">
        <v>375</v>
      </c>
      <c r="G81" s="201" t="s">
        <v>1416</v>
      </c>
      <c r="H81" s="202">
        <v>0</v>
      </c>
      <c r="I81" s="339" t="str" cm="1">
        <f t="array" aca="1" ref="I8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81" s="203" t="str" cm="1">
        <f t="array" ref="J81">IF(OR(PptoSty[[#This Row],[Project]]="",PptoSty[[#This Row],[Project]]="X"),"X",_xlfn.UNIQUE(_xlfn._xlws.FILTER(CstGrpS[Nature],ISNUMBER(FIND(SUBSTITUTE(PptoSty[[#This Row],[PiColumn]]," +%",""),UPPER(SUBSTITUTE(CstGrpS[GrpPrv],"  "," ")))),"X")))</f>
        <v>Mat</v>
      </c>
      <c r="K81" s="96" t="s">
        <v>1629</v>
      </c>
      <c r="L81" s="96" t="s">
        <v>1639</v>
      </c>
      <c r="M81" s="96" t="s">
        <v>28</v>
      </c>
      <c r="N81" s="96" t="str" cm="1">
        <f t="array" ref="N81">IF(OR(PptoSty[[#This Row],[Project]]="",PptoSty[[#This Row],[Project]]="X"),"X",_xlfn._xlws.FILTER(TbAssign[RowId],(TbAssign[Project]=PptoSty[[#This Row],[Project]])*(TbAssign[Módulo]=PptoSty[[#This Row],[PptoVsRow]]),"X"))</f>
        <v>XC02</v>
      </c>
      <c r="O81" s="96" t="str" cm="1">
        <f t="array" ref="O81">IF(OR(PptoSty[[#This Row],[Project]]="",PptoSty[[#This Row],[Project]]="X"),"X",_xlfn.UNIQUE(_xlfn._xlws.FILTER(F_RT14[Amortz.],(F_RT14[Measure]="CurPpto")*(F_RT14[PrjId]=PptoSty[[#This Row],[Project]])*(F_RT14[Vrs]=PptoSty[[#This Row],[Vrs]])*(_xlfn.TEXTAFTER(F_RT14[ActGrp],":")=PptoSty[[#This Row],[PiRow]]),"X")))</f>
        <v>TOOL</v>
      </c>
      <c r="P81" s="96" t="s">
        <v>1473</v>
      </c>
      <c r="Q81" s="96" t="s">
        <v>1670</v>
      </c>
      <c r="R81" s="204" t="s">
        <v>403</v>
      </c>
      <c r="S81" s="204">
        <v>1</v>
      </c>
      <c r="T81" s="205" cm="1">
        <f t="array" aca="1" ref="T8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81" s="206" cm="1">
        <f t="array" ref="U81">IFERROR((1/PptoSty[[#This Row],[Division]])*IF(PptoSty[[#This Row],[Sign]]="+",1,-1)*(IF(PptoSty[[#This Row],[POvsCT]]="PO",SUM(_xlfn.CHOOSECOLS(_xlfn._xlws.FILTER(F_RT14[],(IF($M81="X",TRUE,F_RT14[Site]=$M81))*(F_RT14[Measure]=U$4)*(F_RT14[PrjId]=PptoSty[[#This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134649.53689999998</v>
      </c>
      <c r="V81" s="206" cm="1">
        <f t="array" ref="V81">IFERROR((1/PptoSty[[#This Row],[Division]])*IF(PptoSty[[#This Row],[Sign]]="+",1,-1)*(IF(PptoSty[[#This Row],[POvsCT]]="PO",SUM(_xlfn.CHOOSECOLS(_xlfn._xlws.FILTER(F_RT14[],(IF($M81="X",TRUE,F_RT14[Site]=$M81))*(F_RT14[Measure]=V$4)*(F_RT14[PrjId]=PptoSty[[#This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81" s="206" cm="1">
        <f t="array" ref="W81">IFERROR((1/PptoSty[[#This Row],[Division]])*IF(PptoSty[[#This Row],[Sign]]="+",1,-1)*(IF(PptoSty[[#This Row],[POvsCT]]="PO",SUM(_xlfn.CHOOSECOLS(_xlfn._xlws.FILTER(F_RT14[],(IF($M81="X",TRUE,F_RT14[Site]=$M81))*(F_RT14[Measure]=W$4)*(F_RT14[PrjId]=PptoSty[[#This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134649.53689999998</v>
      </c>
      <c r="X81" s="338" cm="1">
        <f t="array" ref="X81">IFERROR(IF(PptoSty[[#This Row],[Nature]]&lt;&gt;"Hrs",0,(1/PptoSty[[#This Row],[Division]])*IF(PptoSty[[#This Row],[Sign]]="+",1,-1)*(IF(PptoSty[[#This Row],[POvsCT]]="PO",SUM(_xlfn.CHOOSECOLS(_xlfn._xlws.FILTER(F_RT14[],(IF($M81="X",TRUE,F_RT14[Site]=$M81))*(F_RT14[Measure]=X$4)*(F_RT14[PrjId]=PptoSty[[#This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81" s="338" cm="1">
        <f t="array" ref="Y81">IFERROR(IF(PptoSty[[#This Row],[Nature]]&lt;&gt;"Hrs",0,(1/PptoSty[[#This Row],[Division]])*IF(PptoSty[[#This Row],[Sign]]="+",1,-1)*(IF(PptoSty[[#This Row],[POvsCT]]="PO",SUM(_xlfn.CHOOSECOLS(_xlfn._xlws.FILTER(F_RT14[],(IF($M81="X",TRUE,F_RT14[Site]=$M81))*(F_RT14[Measure]=Y$4)*(F_RT14[PrjId]=PptoSty[[#This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81" s="338" cm="1">
        <f t="array" ref="Z81">IFERROR(IF(PptoSty[[#This Row],[Nature]]&lt;&gt;"Hrs",0,(1/PptoSty[[#This Row],[Division]])*IF(PptoSty[[#This Row],[Sign]]="+",1,-1)*(IF(PptoSty[[#This Row],[POvsCT]]="PO",SUM(_xlfn.CHOOSECOLS(_xlfn._xlws.FILTER(F_RT14[],(IF($M81="X",TRUE,F_RT14[Site]=$M81))*(F_RT14[Measure]=Z$4)*(F_RT14[PrjId]=PptoSty[[#This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81" s="412"/>
      <c r="AB81" s="412"/>
      <c r="AC81" s="412"/>
      <c r="AG81"/>
      <c r="AH81"/>
      <c r="AI81"/>
      <c r="AK81" s="113"/>
      <c r="AO81"/>
      <c r="AP81"/>
      <c r="AZ81" s="175"/>
      <c r="BA81" s="175"/>
      <c r="BE81"/>
      <c r="BF81"/>
      <c r="DG81" s="175"/>
      <c r="DH81" s="175"/>
      <c r="DI81" s="175"/>
      <c r="DL81" s="108"/>
      <c r="DM81" s="366" t="str" cm="1">
        <f t="array" aca="1" ref="DM81"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DN81:DX81</v>
      </c>
      <c r="DN81" s="177" t="s">
        <v>375</v>
      </c>
      <c r="DO81" s="177" t="str" cm="1">
        <f t="array" aca="1" ref="DO81:DX81"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81" s="177" t="str">
        <f ca="1"/>
        <v>DISEÑO MECÁNICO</v>
      </c>
      <c r="DQ81" s="177" t="str">
        <f ca="1"/>
        <v>FABRICACIÓN ELÉCTRICA</v>
      </c>
      <c r="DR81" s="177" t="str">
        <f ca="1"/>
        <v>FABRICACIÓN MECÁNICA</v>
      </c>
      <c r="DS81" s="177" t="str">
        <f ca="1"/>
        <v>INSTALACIÓN ENR</v>
      </c>
      <c r="DT81" s="177" t="str">
        <f ca="1"/>
        <v>MATERIAL ELÉCTRICO +%</v>
      </c>
      <c r="DU81" s="177" t="str">
        <f ca="1"/>
        <v>MATERIAL FLUIDOS +%</v>
      </c>
      <c r="DV81" s="177" t="str">
        <f ca="1"/>
        <v>MATERIAL MECÁNICO +%</v>
      </c>
      <c r="DW81" s="177" t="str">
        <f ca="1"/>
        <v>METROLOGÍA</v>
      </c>
      <c r="DX81" s="177" t="str">
        <f ca="1"/>
        <v>MONTAJE MECÁNICO</v>
      </c>
      <c r="DY81" s="177"/>
      <c r="DZ81" s="177"/>
      <c r="EA81" s="177"/>
      <c r="EB81" s="177"/>
      <c r="EC81" s="177"/>
      <c r="ED81" s="177"/>
    </row>
    <row r="82" spans="3:134" ht="13" customHeight="1">
      <c r="C82" s="200">
        <v>45231</v>
      </c>
      <c r="D82" s="213" t="s">
        <v>2114</v>
      </c>
      <c r="E82" s="213" t="s">
        <v>1710</v>
      </c>
      <c r="F82" s="219" t="s">
        <v>375</v>
      </c>
      <c r="G82" s="201" t="s">
        <v>1416</v>
      </c>
      <c r="H82" s="202">
        <v>0</v>
      </c>
      <c r="I82" s="339" t="str" cm="1">
        <f t="array" aca="1" ref="I8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G004</v>
      </c>
      <c r="J82" s="203" t="str" cm="1">
        <f t="array" ref="J82">IF(OR(PptoSty[[#This Row],[Project]]="",PptoSty[[#This Row],[Project]]="X"),"X",_xlfn.UNIQUE(_xlfn._xlws.FILTER(CstGrpS[Nature],ISNUMBER(FIND(SUBSTITUTE(PptoSty[[#This Row],[PiColumn]]," +%",""),UPPER(SUBSTITUTE(CstGrpS[GrpPrv],"  "," ")))),"X")))</f>
        <v>Hrs</v>
      </c>
      <c r="K82" s="96" t="s">
        <v>1418</v>
      </c>
      <c r="L82" s="96" t="s">
        <v>373</v>
      </c>
      <c r="M82" s="96" t="s">
        <v>375</v>
      </c>
      <c r="N82" s="96" t="str" cm="1">
        <f t="array" ref="N82">IF(OR(PptoSty[[#This Row],[Project]]="",PptoSty[[#This Row],[Project]]="X"),"X",_xlfn._xlws.FILTER(TbAssign[RowId],(TbAssign[Project]=PptoSty[[#This Row],[Project]])*(TbAssign[Módulo]=PptoSty[[#This Row],[PptoVsRow]]),"X"))</f>
        <v>XA02</v>
      </c>
      <c r="O82" s="96" t="str" cm="1">
        <f t="array" ref="O82">IF(OR(PptoSty[[#This Row],[Project]]="",PptoSty[[#This Row],[Project]]="X"),"X",_xlfn.UNIQUE(_xlfn._xlws.FILTER(F_RT14[Amortz.],(F_RT14[Measure]="CurPpto")*(F_RT14[PrjId]=PptoSty[[#This Row],[Project]])*(F_RT14[Vrs]=PptoSty[[#This Row],[Vrs]])*(_xlfn.TEXTAFTER(F_RT14[ActGrp],":")=PptoSty[[#This Row],[PiRow]]),"X")))</f>
        <v>GSDF</v>
      </c>
      <c r="P82" s="96" t="s">
        <v>358</v>
      </c>
      <c r="Q82" s="96" t="s">
        <v>373</v>
      </c>
      <c r="R82" s="204" t="s">
        <v>403</v>
      </c>
      <c r="S82" s="204">
        <v>1</v>
      </c>
      <c r="T82" s="205" t="str" cm="1">
        <f t="array" aca="1" ref="T8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82" s="206" cm="1">
        <f t="array" ref="U82">IFERROR((1/PptoSty[[#This Row],[Division]])*IF(PptoSty[[#This Row],[Sign]]="+",1,-1)*(IF(PptoSty[[#This Row],[POvsCT]]="PO",SUM(_xlfn.CHOOSECOLS(_xlfn._xlws.FILTER(F_RT14[],(IF($M82="X",TRUE,F_RT14[Site]=$M82))*(F_RT14[Measure]=U$4)*(F_RT14[PrjId]=PptoSty[[#This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5881.0893814432984</v>
      </c>
      <c r="V82" s="206" cm="1">
        <f t="array" ref="V82">IFERROR((1/PptoSty[[#This Row],[Division]])*IF(PptoSty[[#This Row],[Sign]]="+",1,-1)*(IF(PptoSty[[#This Row],[POvsCT]]="PO",SUM(_xlfn.CHOOSECOLS(_xlfn._xlws.FILTER(F_RT14[],(IF($M82="X",TRUE,F_RT14[Site]=$M82))*(F_RT14[Measure]=V$4)*(F_RT14[PrjId]=PptoSty[[#This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4710.5479499999992</v>
      </c>
      <c r="W82" s="206" cm="1">
        <f t="array" ref="W82">IFERROR((1/PptoSty[[#This Row],[Division]])*IF(PptoSty[[#This Row],[Sign]]="+",1,-1)*(IF(PptoSty[[#This Row],[POvsCT]]="PO",SUM(_xlfn.CHOOSECOLS(_xlfn._xlws.FILTER(F_RT14[],(IF($M82="X",TRUE,F_RT14[Site]=$M82))*(F_RT14[Measure]=W$4)*(F_RT14[PrjId]=PptoSty[[#This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994.10870333333287</v>
      </c>
      <c r="X82" s="338" cm="1">
        <f t="array" ref="X82">IFERROR(IF(PptoSty[[#This Row],[Nature]]&lt;&gt;"Hrs",0,(1/PptoSty[[#This Row],[Division]])*IF(PptoSty[[#This Row],[Sign]]="+",1,-1)*(IF(PptoSty[[#This Row],[POvsCT]]="PO",SUM(_xlfn.CHOOSECOLS(_xlfn._xlws.FILTER(F_RT14[],(IF($M82="X",TRUE,F_RT14[Site]=$M82))*(F_RT14[Measure]=X$4)*(F_RT14[PrjId]=PptoSty[[#This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140.33333333333331</v>
      </c>
      <c r="Y82" s="338" cm="1">
        <f t="array" ref="Y82">IFERROR(IF(PptoSty[[#This Row],[Nature]]&lt;&gt;"Hrs",0,(1/PptoSty[[#This Row],[Division]])*IF(PptoSty[[#This Row],[Sign]]="+",1,-1)*(IF(PptoSty[[#This Row],[POvsCT]]="PO",SUM(_xlfn.CHOOSECOLS(_xlfn._xlws.FILTER(F_RT14[],(IF($M82="X",TRUE,F_RT14[Site]=$M82))*(F_RT14[Measure]=Y$4)*(F_RT14[PrjId]=PptoSty[[#This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122.51099999999998</v>
      </c>
      <c r="Z82" s="338" cm="1">
        <f t="array" ref="Z82">IFERROR(IF(PptoSty[[#This Row],[Nature]]&lt;&gt;"Hrs",0,(1/PptoSty[[#This Row],[Division]])*IF(PptoSty[[#This Row],[Sign]]="+",1,-1)*(IF(PptoSty[[#This Row],[POvsCT]]="PO",SUM(_xlfn.CHOOSECOLS(_xlfn._xlws.FILTER(F_RT14[],(IF($M82="X",TRUE,F_RT14[Site]=$M82))*(F_RT14[Measure]=Z$4)*(F_RT14[PrjId]=PptoSty[[#This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13.612333333333327</v>
      </c>
      <c r="AA82" s="412"/>
      <c r="AB82" s="412"/>
      <c r="AC82" s="412"/>
      <c r="AG82"/>
      <c r="AH82"/>
      <c r="AI82"/>
      <c r="AK82" s="113"/>
      <c r="AO82"/>
      <c r="AP82"/>
      <c r="AZ82" s="175"/>
      <c r="BA82" s="175"/>
      <c r="BE82"/>
      <c r="BF82"/>
      <c r="DG82" s="175"/>
      <c r="DH82" s="175"/>
      <c r="DI82" s="175"/>
      <c r="DL82" s="108"/>
      <c r="DM82" s="366" t="str" cm="1">
        <f t="array" aca="1" ref="DM82"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DN82:DR82</v>
      </c>
      <c r="DN82" s="177" t="s">
        <v>375</v>
      </c>
      <c r="DO82" s="177" t="str" cm="1">
        <f t="array" aca="1" ref="DO82:DR82"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82" s="177" t="str">
        <f ca="1"/>
        <v>DEFINICIÓN</v>
      </c>
      <c r="DQ82" s="177" t="str">
        <f ca="1"/>
        <v>FABRICACIÓN MECÁNICA</v>
      </c>
      <c r="DR82" s="177" t="str">
        <f ca="1"/>
        <v>METROLOGÍA</v>
      </c>
      <c r="DS82" s="177"/>
      <c r="DT82" s="177"/>
      <c r="DU82" s="177"/>
      <c r="DV82" s="177"/>
      <c r="DW82" s="177"/>
      <c r="DX82" s="177"/>
      <c r="DY82" s="177"/>
      <c r="DZ82" s="177"/>
      <c r="EA82" s="177"/>
      <c r="EB82" s="177"/>
      <c r="EC82" s="177"/>
      <c r="ED82" s="177"/>
    </row>
    <row r="83" spans="3:134" ht="13" customHeight="1">
      <c r="C83" s="200">
        <v>45231</v>
      </c>
      <c r="D83" s="213" t="s">
        <v>2114</v>
      </c>
      <c r="E83" s="213" t="s">
        <v>1710</v>
      </c>
      <c r="F83" s="219" t="s">
        <v>375</v>
      </c>
      <c r="G83" s="201" t="s">
        <v>1416</v>
      </c>
      <c r="H83" s="202">
        <v>0</v>
      </c>
      <c r="I83" s="339" t="str" cm="1">
        <f t="array" aca="1" ref="I8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83" s="203" t="str" cm="1">
        <f t="array" ref="J83">IF(OR(PptoSty[[#This Row],[Project]]="",PptoSty[[#This Row],[Project]]="X"),"X",_xlfn.UNIQUE(_xlfn._xlws.FILTER(CstGrpS[Nature],ISNUMBER(FIND(SUBSTITUTE(PptoSty[[#This Row],[PiColumn]]," +%",""),UPPER(SUBSTITUTE(CstGrpS[GrpPrv],"  "," ")))),"X")))</f>
        <v>Hrs</v>
      </c>
      <c r="K83" s="96" t="s">
        <v>1629</v>
      </c>
      <c r="L83" s="96" t="s">
        <v>381</v>
      </c>
      <c r="M83" s="96" t="s">
        <v>28</v>
      </c>
      <c r="N83" s="96" t="str" cm="1">
        <f t="array" ref="N83">IF(OR(PptoSty[[#This Row],[Project]]="",PptoSty[[#This Row],[Project]]="X"),"X",_xlfn._xlws.FILTER(TbAssign[RowId],(TbAssign[Project]=PptoSty[[#This Row],[Project]])*(TbAssign[Módulo]=PptoSty[[#This Row],[PptoVsRow]]),"X"))</f>
        <v>XD02</v>
      </c>
      <c r="O83" s="96" t="str" cm="1">
        <f t="array" ref="O83">IF(OR(PptoSty[[#This Row],[Project]]="",PptoSty[[#This Row],[Project]]="X"),"X",_xlfn.UNIQUE(_xlfn._xlws.FILTER(F_RT14[Amortz.],(F_RT14[Measure]="CurPpto")*(F_RT14[PrjId]=PptoSty[[#This Row],[Project]])*(F_RT14[Vrs]=PptoSty[[#This Row],[Vrs]])*(_xlfn.TEXTAFTER(F_RT14[ActGrp],":")=PptoSty[[#This Row],[PiRow]]),"X")))</f>
        <v>TOOL</v>
      </c>
      <c r="P83" s="96" t="s">
        <v>1475</v>
      </c>
      <c r="Q83" s="96" t="s">
        <v>389</v>
      </c>
      <c r="R83" s="204" t="s">
        <v>403</v>
      </c>
      <c r="S83" s="204">
        <v>1</v>
      </c>
      <c r="T83" s="205" cm="1">
        <f t="array" aca="1" ref="T8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83" s="206" cm="1">
        <f t="array" ref="U83">IFERROR((1/PptoSty[[#This Row],[Division]])*IF(PptoSty[[#This Row],[Sign]]="+",1,-1)*(IF(PptoSty[[#This Row],[POvsCT]]="PO",SUM(_xlfn.CHOOSECOLS(_xlfn._xlws.FILTER(F_RT14[],(IF($M83="X",TRUE,F_RT14[Site]=$M83))*(F_RT14[Measure]=U$4)*(F_RT14[PrjId]=PptoSty[[#This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28746.735670103095</v>
      </c>
      <c r="V83" s="206" cm="1">
        <f t="array" ref="V83">IFERROR((1/PptoSty[[#This Row],[Division]])*IF(PptoSty[[#This Row],[Sign]]="+",1,-1)*(IF(PptoSty[[#This Row],[POvsCT]]="PO",SUM(_xlfn.CHOOSECOLS(_xlfn._xlws.FILTER(F_RT14[],(IF($M83="X",TRUE,F_RT14[Site]=$M83))*(F_RT14[Measure]=V$4)*(F_RT14[PrjId]=PptoSty[[#This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3822.2849999999999</v>
      </c>
      <c r="W83" s="206" cm="1">
        <f t="array" ref="W83">IFERROR((1/PptoSty[[#This Row],[Division]])*IF(PptoSty[[#This Row],[Sign]]="+",1,-1)*(IF(PptoSty[[#This Row],[POvsCT]]="PO",SUM(_xlfn.CHOOSECOLS(_xlfn._xlws.FILTER(F_RT14[],(IF($M83="X",TRUE,F_RT14[Site]=$M83))*(F_RT14[Measure]=W$4)*(F_RT14[PrjId]=PptoSty[[#This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24062.048532000008</v>
      </c>
      <c r="X83" s="338" cm="1">
        <f t="array" ref="X83">IFERROR(IF(PptoSty[[#This Row],[Nature]]&lt;&gt;"Hrs",0,(1/PptoSty[[#This Row],[Division]])*IF(PptoSty[[#This Row],[Sign]]="+",1,-1)*(IF(PptoSty[[#This Row],[POvsCT]]="PO",SUM(_xlfn.CHOOSECOLS(_xlfn._xlws.FILTER(F_RT14[],(IF($M83="X",TRUE,F_RT14[Site]=$M83))*(F_RT14[Measure]=X$4)*(F_RT14[PrjId]=PptoSty[[#This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1050.8</v>
      </c>
      <c r="Y83" s="338" cm="1">
        <f t="array" ref="Y83">IFERROR(IF(PptoSty[[#This Row],[Nature]]&lt;&gt;"Hrs",0,(1/PptoSty[[#This Row],[Division]])*IF(PptoSty[[#This Row],[Sign]]="+",1,-1)*(IF(PptoSty[[#This Row],[POvsCT]]="PO",SUM(_xlfn.CHOOSECOLS(_xlfn._xlws.FILTER(F_RT14[],(IF($M83="X",TRUE,F_RT14[Site]=$M83))*(F_RT14[Measure]=Y$4)*(F_RT14[PrjId]=PptoSty[[#This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101.92759999999998</v>
      </c>
      <c r="Z83" s="338" cm="1">
        <f t="array" ref="Z83">IFERROR(IF(PptoSty[[#This Row],[Nature]]&lt;&gt;"Hrs",0,(1/PptoSty[[#This Row],[Division]])*IF(PptoSty[[#This Row],[Sign]]="+",1,-1)*(IF(PptoSty[[#This Row],[POvsCT]]="PO",SUM(_xlfn.CHOOSECOLS(_xlfn._xlws.FILTER(F_RT14[],(IF($M83="X",TRUE,F_RT14[Site]=$M83))*(F_RT14[Measure]=Z$4)*(F_RT14[PrjId]=PptoSty[[#This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917.34840000000008</v>
      </c>
      <c r="AA83" s="412"/>
      <c r="AB83" s="412"/>
      <c r="AC83" s="412"/>
      <c r="AG83"/>
      <c r="AH83"/>
      <c r="AI83"/>
      <c r="AK83" s="113"/>
      <c r="AO83"/>
      <c r="AP83"/>
      <c r="AZ83" s="175"/>
      <c r="BA83" s="175"/>
      <c r="BE83"/>
      <c r="BF83"/>
      <c r="DG83" s="175"/>
      <c r="DH83" s="175"/>
      <c r="DI83" s="175"/>
      <c r="DL83" s="108"/>
      <c r="DM83" s="366" t="str" cm="1">
        <f t="array" aca="1" ref="DM83"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DN83:DX83</v>
      </c>
      <c r="DN83" s="177" t="s">
        <v>375</v>
      </c>
      <c r="DO83" s="177" t="str" cm="1">
        <f t="array" aca="1" ref="DO83:DX83"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83" s="177" t="str">
        <f ca="1"/>
        <v>DISEÑO MECÁNICO</v>
      </c>
      <c r="DQ83" s="177" t="str">
        <f ca="1"/>
        <v>FABRICACIÓN ELÉCTRICA</v>
      </c>
      <c r="DR83" s="177" t="str">
        <f ca="1"/>
        <v>FABRICACIÓN MECÁNICA</v>
      </c>
      <c r="DS83" s="177" t="str">
        <f ca="1"/>
        <v>INSTALACIÓN ENR</v>
      </c>
      <c r="DT83" s="177" t="str">
        <f ca="1"/>
        <v>MATERIAL ELÉCTRICO +%</v>
      </c>
      <c r="DU83" s="177" t="str">
        <f ca="1"/>
        <v>MATERIAL FLUIDOS +%</v>
      </c>
      <c r="DV83" s="177" t="str">
        <f ca="1"/>
        <v>MATERIAL MECÁNICO +%</v>
      </c>
      <c r="DW83" s="177" t="str">
        <f ca="1"/>
        <v>METROLOGÍA</v>
      </c>
      <c r="DX83" s="177" t="str">
        <f ca="1"/>
        <v>MONTAJE MECÁNICO</v>
      </c>
      <c r="DY83" s="177"/>
      <c r="DZ83" s="177"/>
      <c r="EA83" s="177"/>
      <c r="EB83" s="177"/>
      <c r="EC83" s="177"/>
      <c r="ED83" s="177"/>
    </row>
    <row r="84" spans="3:134" ht="13" customHeight="1">
      <c r="C84" s="200">
        <v>45231</v>
      </c>
      <c r="D84" s="213" t="s">
        <v>2114</v>
      </c>
      <c r="E84" s="213" t="s">
        <v>1710</v>
      </c>
      <c r="F84" s="219" t="s">
        <v>375</v>
      </c>
      <c r="G84" s="201" t="s">
        <v>1416</v>
      </c>
      <c r="H84" s="202">
        <v>0</v>
      </c>
      <c r="I84" s="339" t="str" cm="1">
        <f t="array" aca="1" ref="I8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84" s="203" t="str" cm="1">
        <f t="array" ref="J84">IF(OR(PptoSty[[#This Row],[Project]]="",PptoSty[[#This Row],[Project]]="X"),"X",_xlfn.UNIQUE(_xlfn._xlws.FILTER(CstGrpS[Nature],ISNUMBER(FIND(SUBSTITUTE(PptoSty[[#This Row],[PiColumn]]," +%",""),UPPER(SUBSTITUTE(CstGrpS[GrpPrv],"  "," ")))),"X")))</f>
        <v>Hrs</v>
      </c>
      <c r="K84" s="96" t="s">
        <v>1629</v>
      </c>
      <c r="L84" s="96" t="s">
        <v>1645</v>
      </c>
      <c r="M84" s="96" t="s">
        <v>28</v>
      </c>
      <c r="N84" s="96" t="str" cm="1">
        <f t="array" ref="N84">IF(OR(PptoSty[[#This Row],[Project]]="",PptoSty[[#This Row],[Project]]="X"),"X",_xlfn._xlws.FILTER(TbAssign[RowId],(TbAssign[Project]=PptoSty[[#This Row],[Project]])*(TbAssign[Módulo]=PptoSty[[#This Row],[PptoVsRow]]),"X"))</f>
        <v>XD02</v>
      </c>
      <c r="O84" s="96" t="str" cm="1">
        <f t="array" ref="O84">IF(OR(PptoSty[[#This Row],[Project]]="",PptoSty[[#This Row],[Project]]="X"),"X",_xlfn.UNIQUE(_xlfn._xlws.FILTER(F_RT14[Amortz.],(F_RT14[Measure]="CurPpto")*(F_RT14[PrjId]=PptoSty[[#This Row],[Project]])*(F_RT14[Vrs]=PptoSty[[#This Row],[Vrs]])*(_xlfn.TEXTAFTER(F_RT14[ActGrp],":")=PptoSty[[#This Row],[PiRow]]),"X")))</f>
        <v>TOOL</v>
      </c>
      <c r="P84" s="96" t="s">
        <v>1475</v>
      </c>
      <c r="Q84" s="96" t="s">
        <v>389</v>
      </c>
      <c r="R84" s="204" t="s">
        <v>403</v>
      </c>
      <c r="S84" s="204">
        <v>1</v>
      </c>
      <c r="T84" s="205" cm="1">
        <f t="array" aca="1" ref="T8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84" s="206" cm="1">
        <f t="array" ref="U84">IFERROR((1/PptoSty[[#This Row],[Division]])*IF(PptoSty[[#This Row],[Sign]]="+",1,-1)*(IF(PptoSty[[#This Row],[POvsCT]]="PO",SUM(_xlfn.CHOOSECOLS(_xlfn._xlws.FILTER(F_RT14[],(IF($M84="X",TRUE,F_RT14[Site]=$M84))*(F_RT14[Measure]=U$4)*(F_RT14[PrjId]=PptoSty[[#This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16549.617113402062</v>
      </c>
      <c r="V84" s="206" cm="1">
        <f t="array" ref="V84">IFERROR((1/PptoSty[[#This Row],[Division]])*IF(PptoSty[[#This Row],[Sign]]="+",1,-1)*(IF(PptoSty[[#This Row],[POvsCT]]="PO",SUM(_xlfn.CHOOSECOLS(_xlfn._xlws.FILTER(F_RT14[],(IF($M84="X",TRUE,F_RT14[Site]=$M84))*(F_RT14[Measure]=V$4)*(F_RT14[PrjId]=PptoSty[[#This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2200.5056250000002</v>
      </c>
      <c r="W84" s="206" cm="1">
        <f t="array" ref="W84">IFERROR((1/PptoSty[[#This Row],[Division]])*IF(PptoSty[[#This Row],[Sign]]="+",1,-1)*(IF(PptoSty[[#This Row],[POvsCT]]="PO",SUM(_xlfn.CHOOSECOLS(_xlfn._xlws.FILTER(F_RT14[],(IF($M84="X",TRUE,F_RT14[Site]=$M84))*(F_RT14[Measure]=W$4)*(F_RT14[PrjId]=PptoSty[[#This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13852.623010500003</v>
      </c>
      <c r="X84" s="338" cm="1">
        <f t="array" ref="X84">IFERROR(IF(PptoSty[[#This Row],[Nature]]&lt;&gt;"Hrs",0,(1/PptoSty[[#This Row],[Division]])*IF(PptoSty[[#This Row],[Sign]]="+",1,-1)*(IF(PptoSty[[#This Row],[POvsCT]]="PO",SUM(_xlfn.CHOOSECOLS(_xlfn._xlws.FILTER(F_RT14[],(IF($M84="X",TRUE,F_RT14[Site]=$M84))*(F_RT14[Measure]=X$4)*(F_RT14[PrjId]=PptoSty[[#This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604.94999999999993</v>
      </c>
      <c r="Y84" s="338" cm="1">
        <f t="array" ref="Y84">IFERROR(IF(PptoSty[[#This Row],[Nature]]&lt;&gt;"Hrs",0,(1/PptoSty[[#This Row],[Division]])*IF(PptoSty[[#This Row],[Sign]]="+",1,-1)*(IF(PptoSty[[#This Row],[POvsCT]]="PO",SUM(_xlfn.CHOOSECOLS(_xlfn._xlws.FILTER(F_RT14[],(IF($M84="X",TRUE,F_RT14[Site]=$M84))*(F_RT14[Measure]=Y$4)*(F_RT14[PrjId]=PptoSty[[#This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58.68014999999999</v>
      </c>
      <c r="Z84" s="338" cm="1">
        <f t="array" ref="Z84">IFERROR(IF(PptoSty[[#This Row],[Nature]]&lt;&gt;"Hrs",0,(1/PptoSty[[#This Row],[Division]])*IF(PptoSty[[#This Row],[Sign]]="+",1,-1)*(IF(PptoSty[[#This Row],[POvsCT]]="PO",SUM(_xlfn.CHOOSECOLS(_xlfn._xlws.FILTER(F_RT14[],(IF($M84="X",TRUE,F_RT14[Site]=$M84))*(F_RT14[Measure]=Z$4)*(F_RT14[PrjId]=PptoSty[[#This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528.12135000000012</v>
      </c>
      <c r="AA84" s="412"/>
      <c r="AB84" s="412"/>
      <c r="AC84" s="412"/>
      <c r="AG84"/>
      <c r="AH84"/>
      <c r="AI84"/>
      <c r="AK84" s="113"/>
      <c r="AO84"/>
      <c r="AP84"/>
      <c r="AZ84" s="175"/>
      <c r="BA84" s="175"/>
      <c r="BE84"/>
      <c r="BF84"/>
      <c r="DG84" s="175"/>
      <c r="DH84" s="175"/>
      <c r="DI84" s="175"/>
      <c r="DL84" s="108"/>
      <c r="DM84" s="366" t="str" cm="1">
        <f t="array" aca="1" ref="DM84"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DN84:DX84</v>
      </c>
      <c r="DN84" s="177" t="s">
        <v>375</v>
      </c>
      <c r="DO84" s="177" t="str" cm="1">
        <f t="array" aca="1" ref="DO84:DX84"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84" s="177" t="str">
        <f ca="1"/>
        <v>DISEÑO MECÁNICO</v>
      </c>
      <c r="DQ84" s="177" t="str">
        <f ca="1"/>
        <v>FABRICACIÓN ELÉCTRICA</v>
      </c>
      <c r="DR84" s="177" t="str">
        <f ca="1"/>
        <v>FABRICACIÓN MECÁNICA</v>
      </c>
      <c r="DS84" s="177" t="str">
        <f ca="1"/>
        <v>INSTALACIÓN ENR</v>
      </c>
      <c r="DT84" s="177" t="str">
        <f ca="1"/>
        <v>MATERIAL ELÉCTRICO +%</v>
      </c>
      <c r="DU84" s="177" t="str">
        <f ca="1"/>
        <v>MATERIAL FLUIDOS +%</v>
      </c>
      <c r="DV84" s="177" t="str">
        <f ca="1"/>
        <v>MATERIAL MECÁNICO +%</v>
      </c>
      <c r="DW84" s="177" t="str">
        <f ca="1"/>
        <v>METROLOGÍA</v>
      </c>
      <c r="DX84" s="177" t="str">
        <f ca="1"/>
        <v>MONTAJE MECÁNICO</v>
      </c>
      <c r="DY84" s="177"/>
      <c r="DZ84" s="177"/>
      <c r="EA84" s="177"/>
      <c r="EB84" s="177"/>
      <c r="EC84" s="177"/>
      <c r="ED84" s="177"/>
    </row>
    <row r="85" spans="3:134" ht="13" customHeight="1">
      <c r="C85" s="200">
        <v>45231</v>
      </c>
      <c r="D85" s="213" t="s">
        <v>2114</v>
      </c>
      <c r="E85" s="213" t="s">
        <v>1710</v>
      </c>
      <c r="F85" s="219" t="s">
        <v>375</v>
      </c>
      <c r="G85" s="201" t="s">
        <v>1416</v>
      </c>
      <c r="H85" s="202">
        <v>0</v>
      </c>
      <c r="I85" s="339" t="str" cm="1">
        <f t="array" aca="1" ref="I8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85" s="203" t="str" cm="1">
        <f t="array" ref="J85">IF(OR(PptoSty[[#This Row],[Project]]="",PptoSty[[#This Row],[Project]]="X"),"X",_xlfn.UNIQUE(_xlfn._xlws.FILTER(CstGrpS[Nature],ISNUMBER(FIND(SUBSTITUTE(PptoSty[[#This Row],[PiColumn]]," +%",""),UPPER(SUBSTITUTE(CstGrpS[GrpPrv],"  "," ")))),"X")))</f>
        <v>Mat</v>
      </c>
      <c r="K85" s="96" t="s">
        <v>1629</v>
      </c>
      <c r="L85" s="96" t="s">
        <v>1646</v>
      </c>
      <c r="M85" s="96" t="s">
        <v>28</v>
      </c>
      <c r="N85" s="96" t="str" cm="1">
        <f t="array" ref="N85">IF(OR(PptoSty[[#This Row],[Project]]="",PptoSty[[#This Row],[Project]]="X"),"X",_xlfn._xlws.FILTER(TbAssign[RowId],(TbAssign[Project]=PptoSty[[#This Row],[Project]])*(TbAssign[Módulo]=PptoSty[[#This Row],[PptoVsRow]]),"X"))</f>
        <v>XD02</v>
      </c>
      <c r="O85" s="96" t="str" cm="1">
        <f t="array" ref="O85">IF(OR(PptoSty[[#This Row],[Project]]="",PptoSty[[#This Row],[Project]]="X"),"X",_xlfn.UNIQUE(_xlfn._xlws.FILTER(F_RT14[Amortz.],(F_RT14[Measure]="CurPpto")*(F_RT14[PrjId]=PptoSty[[#This Row],[Project]])*(F_RT14[Vrs]=PptoSty[[#This Row],[Vrs]])*(_xlfn.TEXTAFTER(F_RT14[ActGrp],":")=PptoSty[[#This Row],[PiRow]]),"X")))</f>
        <v>TOOL</v>
      </c>
      <c r="P85" s="96" t="s">
        <v>1475</v>
      </c>
      <c r="Q85" s="96" t="s">
        <v>1275</v>
      </c>
      <c r="R85" s="204" t="s">
        <v>403</v>
      </c>
      <c r="S85" s="204">
        <v>1</v>
      </c>
      <c r="T85" s="205" cm="1">
        <f t="array" aca="1" ref="T8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85" s="206" cm="1">
        <f t="array" ref="U85">IFERROR((1/PptoSty[[#This Row],[Division]])*IF(PptoSty[[#This Row],[Sign]]="+",1,-1)*(IF(PptoSty[[#This Row],[POvsCT]]="PO",SUM(_xlfn.CHOOSECOLS(_xlfn._xlws.FILTER(F_RT14[],(IF($M85="X",TRUE,F_RT14[Site]=$M85))*(F_RT14[Measure]=U$4)*(F_RT14[PrjId]=PptoSty[[#This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65029.729399999997</v>
      </c>
      <c r="V85" s="206" cm="1">
        <f t="array" ref="V85">IFERROR((1/PptoSty[[#This Row],[Division]])*IF(PptoSty[[#This Row],[Sign]]="+",1,-1)*(IF(PptoSty[[#This Row],[POvsCT]]="PO",SUM(_xlfn.CHOOSECOLS(_xlfn._xlws.FILTER(F_RT14[],(IF($M85="X",TRUE,F_RT14[Site]=$M85))*(F_RT14[Measure]=V$4)*(F_RT14[PrjId]=PptoSty[[#This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85" s="206" cm="1">
        <f t="array" ref="W85">IFERROR((1/PptoSty[[#This Row],[Division]])*IF(PptoSty[[#This Row],[Sign]]="+",1,-1)*(IF(PptoSty[[#This Row],[POvsCT]]="PO",SUM(_xlfn.CHOOSECOLS(_xlfn._xlws.FILTER(F_RT14[],(IF($M85="X",TRUE,F_RT14[Site]=$M85))*(F_RT14[Measure]=W$4)*(F_RT14[PrjId]=PptoSty[[#This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65029.729399999997</v>
      </c>
      <c r="X85" s="338" cm="1">
        <f t="array" ref="X85">IFERROR(IF(PptoSty[[#This Row],[Nature]]&lt;&gt;"Hrs",0,(1/PptoSty[[#This Row],[Division]])*IF(PptoSty[[#This Row],[Sign]]="+",1,-1)*(IF(PptoSty[[#This Row],[POvsCT]]="PO",SUM(_xlfn.CHOOSECOLS(_xlfn._xlws.FILTER(F_RT14[],(IF($M85="X",TRUE,F_RT14[Site]=$M85))*(F_RT14[Measure]=X$4)*(F_RT14[PrjId]=PptoSty[[#This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85" s="338" cm="1">
        <f t="array" ref="Y85">IFERROR(IF(PptoSty[[#This Row],[Nature]]&lt;&gt;"Hrs",0,(1/PptoSty[[#This Row],[Division]])*IF(PptoSty[[#This Row],[Sign]]="+",1,-1)*(IF(PptoSty[[#This Row],[POvsCT]]="PO",SUM(_xlfn.CHOOSECOLS(_xlfn._xlws.FILTER(F_RT14[],(IF($M85="X",TRUE,F_RT14[Site]=$M85))*(F_RT14[Measure]=Y$4)*(F_RT14[PrjId]=PptoSty[[#This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85" s="338" cm="1">
        <f t="array" ref="Z85">IFERROR(IF(PptoSty[[#This Row],[Nature]]&lt;&gt;"Hrs",0,(1/PptoSty[[#This Row],[Division]])*IF(PptoSty[[#This Row],[Sign]]="+",1,-1)*(IF(PptoSty[[#This Row],[POvsCT]]="PO",SUM(_xlfn.CHOOSECOLS(_xlfn._xlws.FILTER(F_RT14[],(IF($M85="X",TRUE,F_RT14[Site]=$M85))*(F_RT14[Measure]=Z$4)*(F_RT14[PrjId]=PptoSty[[#This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85" s="412"/>
      <c r="AB85" s="412"/>
      <c r="AC85" s="412"/>
      <c r="AG85"/>
      <c r="AH85"/>
      <c r="AI85"/>
      <c r="AK85" s="113"/>
      <c r="AO85"/>
      <c r="AP85"/>
      <c r="AZ85" s="175"/>
      <c r="BA85" s="175"/>
      <c r="BE85"/>
      <c r="BF85"/>
      <c r="DG85" s="175"/>
      <c r="DH85" s="175"/>
      <c r="DI85" s="175"/>
      <c r="DL85" s="108"/>
      <c r="DM85" s="366" t="str" cm="1">
        <f t="array" aca="1" ref="DM8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DN85:DX85</v>
      </c>
      <c r="DN85" s="177" t="s">
        <v>375</v>
      </c>
      <c r="DO85" s="177" t="str" cm="1">
        <f t="array" aca="1" ref="DO85:DX8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85" s="177" t="str">
        <f ca="1"/>
        <v>DISEÑO MECÁNICO</v>
      </c>
      <c r="DQ85" s="177" t="str">
        <f ca="1"/>
        <v>FABRICACIÓN ELÉCTRICA</v>
      </c>
      <c r="DR85" s="177" t="str">
        <f ca="1"/>
        <v>FABRICACIÓN MECÁNICA</v>
      </c>
      <c r="DS85" s="177" t="str">
        <f ca="1"/>
        <v>INSTALACIÓN ENR</v>
      </c>
      <c r="DT85" s="177" t="str">
        <f ca="1"/>
        <v>MATERIAL ELÉCTRICO +%</v>
      </c>
      <c r="DU85" s="177" t="str">
        <f ca="1"/>
        <v>MATERIAL FLUIDOS +%</v>
      </c>
      <c r="DV85" s="177" t="str">
        <f ca="1"/>
        <v>MATERIAL MECÁNICO +%</v>
      </c>
      <c r="DW85" s="177" t="str">
        <f ca="1"/>
        <v>METROLOGÍA</v>
      </c>
      <c r="DX85" s="177" t="str">
        <f ca="1"/>
        <v>MONTAJE MECÁNICO</v>
      </c>
      <c r="DY85" s="177"/>
      <c r="DZ85" s="177"/>
      <c r="EA85" s="177"/>
      <c r="EB85" s="177"/>
      <c r="EC85" s="177"/>
      <c r="ED85" s="177"/>
    </row>
    <row r="86" spans="3:134" ht="13" customHeight="1">
      <c r="C86" s="200">
        <v>45231</v>
      </c>
      <c r="D86" s="213" t="s">
        <v>2114</v>
      </c>
      <c r="E86" s="213" t="s">
        <v>1710</v>
      </c>
      <c r="F86" s="219" t="s">
        <v>375</v>
      </c>
      <c r="G86" s="201" t="s">
        <v>1416</v>
      </c>
      <c r="H86" s="202">
        <v>0</v>
      </c>
      <c r="I86" s="339" t="str" cm="1">
        <f t="array" aca="1" ref="I8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86" s="203" t="str" cm="1">
        <f t="array" ref="J86">IF(OR(PptoSty[[#This Row],[Project]]="",PptoSty[[#This Row],[Project]]="X"),"X",_xlfn.UNIQUE(_xlfn._xlws.FILTER(CstGrpS[Nature],ISNUMBER(FIND(SUBSTITUTE(PptoSty[[#This Row],[PiColumn]]," +%",""),UPPER(SUBSTITUTE(CstGrpS[GrpPrv],"  "," ")))),"X")))</f>
        <v>Mat</v>
      </c>
      <c r="K86" s="96" t="s">
        <v>1629</v>
      </c>
      <c r="L86" s="96" t="s">
        <v>1647</v>
      </c>
      <c r="M86" s="96" t="s">
        <v>28</v>
      </c>
      <c r="N86" s="96" t="str" cm="1">
        <f t="array" ref="N86">IF(OR(PptoSty[[#This Row],[Project]]="",PptoSty[[#This Row],[Project]]="X"),"X",_xlfn._xlws.FILTER(TbAssign[RowId],(TbAssign[Project]=PptoSty[[#This Row],[Project]])*(TbAssign[Módulo]=PptoSty[[#This Row],[PptoVsRow]]),"X"))</f>
        <v>XD02</v>
      </c>
      <c r="O86" s="96" t="str" cm="1">
        <f t="array" ref="O86">IF(OR(PptoSty[[#This Row],[Project]]="",PptoSty[[#This Row],[Project]]="X"),"X",_xlfn.UNIQUE(_xlfn._xlws.FILTER(F_RT14[Amortz.],(F_RT14[Measure]="CurPpto")*(F_RT14[PrjId]=PptoSty[[#This Row],[Project]])*(F_RT14[Vrs]=PptoSty[[#This Row],[Vrs]])*(_xlfn.TEXTAFTER(F_RT14[ActGrp],":")=PptoSty[[#This Row],[PiRow]]),"X")))</f>
        <v>TOOL</v>
      </c>
      <c r="P86" s="96" t="s">
        <v>1475</v>
      </c>
      <c r="Q86" s="96" t="s">
        <v>385</v>
      </c>
      <c r="R86" s="204" t="s">
        <v>403</v>
      </c>
      <c r="S86" s="204">
        <v>1</v>
      </c>
      <c r="T86" s="205" cm="1">
        <f t="array" aca="1" ref="T8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86" s="206" cm="1">
        <f t="array" ref="U86">IFERROR((1/PptoSty[[#This Row],[Division]])*IF(PptoSty[[#This Row],[Sign]]="+",1,-1)*(IF(PptoSty[[#This Row],[POvsCT]]="PO",SUM(_xlfn.CHOOSECOLS(_xlfn._xlws.FILTER(F_RT14[],(IF($M86="X",TRUE,F_RT14[Site]=$M86))*(F_RT14[Measure]=U$4)*(F_RT14[PrjId]=PptoSty[[#This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56726.310600000019</v>
      </c>
      <c r="V86" s="206" cm="1">
        <f t="array" ref="V86">IFERROR((1/PptoSty[[#This Row],[Division]])*IF(PptoSty[[#This Row],[Sign]]="+",1,-1)*(IF(PptoSty[[#This Row],[POvsCT]]="PO",SUM(_xlfn.CHOOSECOLS(_xlfn._xlws.FILTER(F_RT14[],(IF($M86="X",TRUE,F_RT14[Site]=$M86))*(F_RT14[Measure]=V$4)*(F_RT14[PrjId]=PptoSty[[#This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86" s="206" cm="1">
        <f t="array" ref="W86">IFERROR((1/PptoSty[[#This Row],[Division]])*IF(PptoSty[[#This Row],[Sign]]="+",1,-1)*(IF(PptoSty[[#This Row],[POvsCT]]="PO",SUM(_xlfn.CHOOSECOLS(_xlfn._xlws.FILTER(F_RT14[],(IF($M86="X",TRUE,F_RT14[Site]=$M86))*(F_RT14[Measure]=W$4)*(F_RT14[PrjId]=PptoSty[[#This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56726.310600000019</v>
      </c>
      <c r="X86" s="338" cm="1">
        <f t="array" ref="X86">IFERROR(IF(PptoSty[[#This Row],[Nature]]&lt;&gt;"Hrs",0,(1/PptoSty[[#This Row],[Division]])*IF(PptoSty[[#This Row],[Sign]]="+",1,-1)*(IF(PptoSty[[#This Row],[POvsCT]]="PO",SUM(_xlfn.CHOOSECOLS(_xlfn._xlws.FILTER(F_RT14[],(IF($M86="X",TRUE,F_RT14[Site]=$M86))*(F_RT14[Measure]=X$4)*(F_RT14[PrjId]=PptoSty[[#This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86" s="338" cm="1">
        <f t="array" ref="Y86">IFERROR(IF(PptoSty[[#This Row],[Nature]]&lt;&gt;"Hrs",0,(1/PptoSty[[#This Row],[Division]])*IF(PptoSty[[#This Row],[Sign]]="+",1,-1)*(IF(PptoSty[[#This Row],[POvsCT]]="PO",SUM(_xlfn.CHOOSECOLS(_xlfn._xlws.FILTER(F_RT14[],(IF($M86="X",TRUE,F_RT14[Site]=$M86))*(F_RT14[Measure]=Y$4)*(F_RT14[PrjId]=PptoSty[[#This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86" s="338" cm="1">
        <f t="array" ref="Z86">IFERROR(IF(PptoSty[[#This Row],[Nature]]&lt;&gt;"Hrs",0,(1/PptoSty[[#This Row],[Division]])*IF(PptoSty[[#This Row],[Sign]]="+",1,-1)*(IF(PptoSty[[#This Row],[POvsCT]]="PO",SUM(_xlfn.CHOOSECOLS(_xlfn._xlws.FILTER(F_RT14[],(IF($M86="X",TRUE,F_RT14[Site]=$M86))*(F_RT14[Measure]=Z$4)*(F_RT14[PrjId]=PptoSty[[#This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86" s="412"/>
      <c r="AB86" s="412"/>
      <c r="AC86" s="412"/>
      <c r="AG86"/>
      <c r="AH86"/>
      <c r="AI86"/>
      <c r="AK86" s="113"/>
      <c r="AO86"/>
      <c r="AP86"/>
      <c r="AZ86" s="175"/>
      <c r="BA86" s="175"/>
      <c r="BE86"/>
      <c r="BF86"/>
      <c r="DG86" s="175"/>
      <c r="DH86" s="175"/>
      <c r="DI86" s="175"/>
      <c r="DL86" s="108"/>
      <c r="DM86" s="366" t="str" cm="1">
        <f t="array" aca="1" ref="DM8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DN86:DX86</v>
      </c>
      <c r="DN86" s="177" t="s">
        <v>375</v>
      </c>
      <c r="DO86" s="177" t="str" cm="1">
        <f t="array" aca="1" ref="DO86:DX8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86" s="177" t="str">
        <f ca="1"/>
        <v>DISEÑO MECÁNICO</v>
      </c>
      <c r="DQ86" s="177" t="str">
        <f ca="1"/>
        <v>FABRICACIÓN ELÉCTRICA</v>
      </c>
      <c r="DR86" s="177" t="str">
        <f ca="1"/>
        <v>FABRICACIÓN MECÁNICA</v>
      </c>
      <c r="DS86" s="177" t="str">
        <f ca="1"/>
        <v>INSTALACIÓN ENR</v>
      </c>
      <c r="DT86" s="177" t="str">
        <f ca="1"/>
        <v>MATERIAL ELÉCTRICO +%</v>
      </c>
      <c r="DU86" s="177" t="str">
        <f ca="1"/>
        <v>MATERIAL FLUIDOS +%</v>
      </c>
      <c r="DV86" s="177" t="str">
        <f ca="1"/>
        <v>MATERIAL MECÁNICO +%</v>
      </c>
      <c r="DW86" s="177" t="str">
        <f ca="1"/>
        <v>METROLOGÍA</v>
      </c>
      <c r="DX86" s="177" t="str">
        <f ca="1"/>
        <v>MONTAJE MECÁNICO</v>
      </c>
      <c r="DY86" s="177"/>
      <c r="DZ86" s="177"/>
      <c r="EA86" s="177"/>
      <c r="EB86" s="177"/>
      <c r="EC86" s="177"/>
      <c r="ED86" s="177"/>
    </row>
    <row r="87" spans="3:134" ht="13" customHeight="1">
      <c r="C87" s="200">
        <v>45231</v>
      </c>
      <c r="D87" s="213" t="s">
        <v>2114</v>
      </c>
      <c r="E87" s="213" t="s">
        <v>1710</v>
      </c>
      <c r="F87" s="219" t="s">
        <v>375</v>
      </c>
      <c r="G87" s="201" t="s">
        <v>1416</v>
      </c>
      <c r="H87" s="202">
        <v>0</v>
      </c>
      <c r="I87" s="339" t="str" cm="1">
        <f t="array" aca="1" ref="I8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G001</v>
      </c>
      <c r="J87" s="203" t="str" cm="1">
        <f t="array" ref="J87">IF(OR(PptoSty[[#This Row],[Project]]="",PptoSty[[#This Row],[Project]]="X"),"X",_xlfn.UNIQUE(_xlfn._xlws.FILTER(CstGrpS[Nature],ISNUMBER(FIND(SUBSTITUTE(PptoSty[[#This Row],[PiColumn]]," +%",""),UPPER(SUBSTITUTE(CstGrpS[GrpPrv],"  "," ")))),"X")))</f>
        <v>Gto</v>
      </c>
      <c r="K87" s="96" t="s">
        <v>404</v>
      </c>
      <c r="L87" s="96" t="s">
        <v>386</v>
      </c>
      <c r="M87" s="96" t="s">
        <v>375</v>
      </c>
      <c r="N87" s="96" t="str" cm="1">
        <f t="array" ref="N87">IF(OR(PptoSty[[#This Row],[Project]]="",PptoSty[[#This Row],[Project]]="X"),"X",_xlfn._xlws.FILTER(TbAssign[RowId],(TbAssign[Project]=PptoSty[[#This Row],[Project]])*(TbAssign[Módulo]=PptoSty[[#This Row],[PptoVsRow]]),"X"))</f>
        <v>XF02</v>
      </c>
      <c r="O87" s="96" t="str" cm="1">
        <f t="array" ref="O87">IF(OR(PptoSty[[#This Row],[Project]]="",PptoSty[[#This Row],[Project]]="X"),"X",_xlfn.UNIQUE(_xlfn._xlws.FILTER(F_RT14[Amortz.],(F_RT14[Measure]="CurPpto")*(F_RT14[PrjId]=PptoSty[[#This Row],[Project]])*(F_RT14[Vrs]=PptoSty[[#This Row],[Vrs]])*(_xlfn.TEXTAFTER(F_RT14[ActGrp],":")=PptoSty[[#This Row],[PiRow]]),"X")))</f>
        <v>TRSL</v>
      </c>
      <c r="P87" s="96" t="s">
        <v>300</v>
      </c>
      <c r="Q87" s="96" t="s">
        <v>386</v>
      </c>
      <c r="R87" s="204" t="s">
        <v>403</v>
      </c>
      <c r="S87" s="204">
        <v>1</v>
      </c>
      <c r="T87" s="205" t="str" cm="1">
        <f t="array" aca="1" ref="T8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87" s="206" cm="1">
        <f t="array" ref="U87">IFERROR((1/PptoSty[[#This Row],[Division]])*IF(PptoSty[[#This Row],[Sign]]="+",1,-1)*(IF(PptoSty[[#This Row],[POvsCT]]="PO",SUM(_xlfn.CHOOSECOLS(_xlfn._xlws.FILTER(F_RT14[],(IF($M87="X",TRUE,F_RT14[Site]=$M87))*(F_RT14[Measure]=U$4)*(F_RT14[PrjId]=PptoSty[[#This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11033.339900000001</v>
      </c>
      <c r="V87" s="206" cm="1">
        <f t="array" ref="V87">IFERROR((1/PptoSty[[#This Row],[Division]])*IF(PptoSty[[#This Row],[Sign]]="+",1,-1)*(IF(PptoSty[[#This Row],[POvsCT]]="PO",SUM(_xlfn.CHOOSECOLS(_xlfn._xlws.FILTER(F_RT14[],(IF($M87="X",TRUE,F_RT14[Site]=$M87))*(F_RT14[Measure]=V$4)*(F_RT14[PrjId]=PptoSty[[#This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87" s="206" cm="1">
        <f t="array" ref="W87">IFERROR((1/PptoSty[[#This Row],[Division]])*IF(PptoSty[[#This Row],[Sign]]="+",1,-1)*(IF(PptoSty[[#This Row],[POvsCT]]="PO",SUM(_xlfn.CHOOSECOLS(_xlfn._xlws.FILTER(F_RT14[],(IF($M87="X",TRUE,F_RT14[Site]=$M87))*(F_RT14[Measure]=W$4)*(F_RT14[PrjId]=PptoSty[[#This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11033.339900000001</v>
      </c>
      <c r="X87" s="338" cm="1">
        <f t="array" ref="X87">IFERROR(IF(PptoSty[[#This Row],[Nature]]&lt;&gt;"Hrs",0,(1/PptoSty[[#This Row],[Division]])*IF(PptoSty[[#This Row],[Sign]]="+",1,-1)*(IF(PptoSty[[#This Row],[POvsCT]]="PO",SUM(_xlfn.CHOOSECOLS(_xlfn._xlws.FILTER(F_RT14[],(IF($M87="X",TRUE,F_RT14[Site]=$M87))*(F_RT14[Measure]=X$4)*(F_RT14[PrjId]=PptoSty[[#This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87" s="338" cm="1">
        <f t="array" ref="Y87">IFERROR(IF(PptoSty[[#This Row],[Nature]]&lt;&gt;"Hrs",0,(1/PptoSty[[#This Row],[Division]])*IF(PptoSty[[#This Row],[Sign]]="+",1,-1)*(IF(PptoSty[[#This Row],[POvsCT]]="PO",SUM(_xlfn.CHOOSECOLS(_xlfn._xlws.FILTER(F_RT14[],(IF($M87="X",TRUE,F_RT14[Site]=$M87))*(F_RT14[Measure]=Y$4)*(F_RT14[PrjId]=PptoSty[[#This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87" s="338" cm="1">
        <f t="array" ref="Z87">IFERROR(IF(PptoSty[[#This Row],[Nature]]&lt;&gt;"Hrs",0,(1/PptoSty[[#This Row],[Division]])*IF(PptoSty[[#This Row],[Sign]]="+",1,-1)*(IF(PptoSty[[#This Row],[POvsCT]]="PO",SUM(_xlfn.CHOOSECOLS(_xlfn._xlws.FILTER(F_RT14[],(IF($M87="X",TRUE,F_RT14[Site]=$M87))*(F_RT14[Measure]=Z$4)*(F_RT14[PrjId]=PptoSty[[#This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87" s="412"/>
      <c r="AB87" s="412"/>
      <c r="AC87" s="412"/>
      <c r="AG87"/>
      <c r="AH87"/>
      <c r="AI87"/>
      <c r="AK87" s="113"/>
      <c r="AO87"/>
      <c r="AP87"/>
      <c r="AZ87" s="175"/>
      <c r="BA87" s="175"/>
      <c r="BE87"/>
      <c r="BF87"/>
      <c r="DG87" s="175"/>
      <c r="DH87" s="175"/>
      <c r="DI87" s="175"/>
      <c r="DL87" s="108"/>
      <c r="DM87" s="366" t="str" cm="1">
        <f t="array" aca="1" ref="DM8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DN87:DO87</v>
      </c>
      <c r="DN87" s="177" t="s">
        <v>375</v>
      </c>
      <c r="DO87" s="177" t="str" cm="1">
        <f t="array" aca="1" ref="DO8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TRANSP. &amp; DESPLAZ.</v>
      </c>
      <c r="DP87" s="177"/>
      <c r="DQ87" s="177"/>
      <c r="DR87" s="177"/>
      <c r="DS87" s="177"/>
      <c r="DT87" s="177"/>
      <c r="DU87" s="177"/>
      <c r="DV87" s="177"/>
      <c r="DW87" s="177"/>
      <c r="DX87" s="177"/>
      <c r="DY87" s="177"/>
      <c r="DZ87" s="177"/>
      <c r="EA87" s="177"/>
      <c r="EB87" s="177"/>
      <c r="EC87" s="177"/>
      <c r="ED87" s="177"/>
    </row>
    <row r="88" spans="3:134" ht="13" customHeight="1">
      <c r="C88" s="200">
        <v>45231</v>
      </c>
      <c r="D88" s="213" t="s">
        <v>2114</v>
      </c>
      <c r="E88" s="213" t="s">
        <v>1710</v>
      </c>
      <c r="F88" s="219" t="s">
        <v>375</v>
      </c>
      <c r="G88" s="201" t="s">
        <v>1416</v>
      </c>
      <c r="H88" s="202">
        <v>0</v>
      </c>
      <c r="I88" s="339" t="str" cm="1">
        <f t="array" aca="1" ref="I8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G002</v>
      </c>
      <c r="J88" s="203" t="str" cm="1">
        <f t="array" ref="J88">IF(OR(PptoSty[[#This Row],[Project]]="",PptoSty[[#This Row],[Project]]="X"),"X",_xlfn.UNIQUE(_xlfn._xlws.FILTER(CstGrpS[Nature],ISNUMBER(FIND(SUBSTITUTE(PptoSty[[#This Row],[PiColumn]]," +%",""),UPPER(SUBSTITUTE(CstGrpS[GrpPrv],"  "," ")))),"X")))</f>
        <v>Gto</v>
      </c>
      <c r="K88" s="96" t="s">
        <v>405</v>
      </c>
      <c r="L88" s="96" t="s">
        <v>386</v>
      </c>
      <c r="M88" s="96" t="s">
        <v>375</v>
      </c>
      <c r="N88" s="96" t="str" cm="1">
        <f t="array" ref="N88">IF(OR(PptoSty[[#This Row],[Project]]="",PptoSty[[#This Row],[Project]]="X"),"X",_xlfn._xlws.FILTER(TbAssign[RowId],(TbAssign[Project]=PptoSty[[#This Row],[Project]])*(TbAssign[Módulo]=PptoSty[[#This Row],[PptoVsRow]]),"X"))</f>
        <v>XF02</v>
      </c>
      <c r="O88" s="96" t="str" cm="1">
        <f t="array" ref="O88">IF(OR(PptoSty[[#This Row],[Project]]="",PptoSty[[#This Row],[Project]]="X"),"X",_xlfn.UNIQUE(_xlfn._xlws.FILTER(F_RT14[Amortz.],(F_RT14[Measure]="CurPpto")*(F_RT14[PrjId]=PptoSty[[#This Row],[Project]])*(F_RT14[Vrs]=PptoSty[[#This Row],[Vrs]])*(_xlfn.TEXTAFTER(F_RT14[ActGrp],":")=PptoSty[[#This Row],[PiRow]]),"X")))</f>
        <v>TRSL</v>
      </c>
      <c r="P88" s="96" t="s">
        <v>301</v>
      </c>
      <c r="Q88" s="96" t="s">
        <v>386</v>
      </c>
      <c r="R88" s="204" t="s">
        <v>403</v>
      </c>
      <c r="S88" s="204">
        <v>1</v>
      </c>
      <c r="T88" s="205" t="str" cm="1">
        <f t="array" aca="1" ref="T8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88" s="206" cm="1">
        <f t="array" ref="U88">IFERROR((1/PptoSty[[#This Row],[Division]])*IF(PptoSty[[#This Row],[Sign]]="+",1,-1)*(IF(PptoSty[[#This Row],[POvsCT]]="PO",SUM(_xlfn.CHOOSECOLS(_xlfn._xlws.FILTER(F_RT14[],(IF($M88="X",TRUE,F_RT14[Site]=$M88))*(F_RT14[Measure]=U$4)*(F_RT14[PrjId]=PptoSty[[#This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7019.4058999999997</v>
      </c>
      <c r="V88" s="206" cm="1">
        <f t="array" ref="V88">IFERROR((1/PptoSty[[#This Row],[Division]])*IF(PptoSty[[#This Row],[Sign]]="+",1,-1)*(IF(PptoSty[[#This Row],[POvsCT]]="PO",SUM(_xlfn.CHOOSECOLS(_xlfn._xlws.FILTER(F_RT14[],(IF($M88="X",TRUE,F_RT14[Site]=$M88))*(F_RT14[Measure]=V$4)*(F_RT14[PrjId]=PptoSty[[#This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88" s="206" cm="1">
        <f t="array" ref="W88">IFERROR((1/PptoSty[[#This Row],[Division]])*IF(PptoSty[[#This Row],[Sign]]="+",1,-1)*(IF(PptoSty[[#This Row],[POvsCT]]="PO",SUM(_xlfn.CHOOSECOLS(_xlfn._xlws.FILTER(F_RT14[],(IF($M88="X",TRUE,F_RT14[Site]=$M88))*(F_RT14[Measure]=W$4)*(F_RT14[PrjId]=PptoSty[[#This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7019.4058999999997</v>
      </c>
      <c r="X88" s="338" cm="1">
        <f t="array" ref="X88">IFERROR(IF(PptoSty[[#This Row],[Nature]]&lt;&gt;"Hrs",0,(1/PptoSty[[#This Row],[Division]])*IF(PptoSty[[#This Row],[Sign]]="+",1,-1)*(IF(PptoSty[[#This Row],[POvsCT]]="PO",SUM(_xlfn.CHOOSECOLS(_xlfn._xlws.FILTER(F_RT14[],(IF($M88="X",TRUE,F_RT14[Site]=$M88))*(F_RT14[Measure]=X$4)*(F_RT14[PrjId]=PptoSty[[#This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88" s="338" cm="1">
        <f t="array" ref="Y88">IFERROR(IF(PptoSty[[#This Row],[Nature]]&lt;&gt;"Hrs",0,(1/PptoSty[[#This Row],[Division]])*IF(PptoSty[[#This Row],[Sign]]="+",1,-1)*(IF(PptoSty[[#This Row],[POvsCT]]="PO",SUM(_xlfn.CHOOSECOLS(_xlfn._xlws.FILTER(F_RT14[],(IF($M88="X",TRUE,F_RT14[Site]=$M88))*(F_RT14[Measure]=Y$4)*(F_RT14[PrjId]=PptoSty[[#This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88" s="338" cm="1">
        <f t="array" ref="Z88">IFERROR(IF(PptoSty[[#This Row],[Nature]]&lt;&gt;"Hrs",0,(1/PptoSty[[#This Row],[Division]])*IF(PptoSty[[#This Row],[Sign]]="+",1,-1)*(IF(PptoSty[[#This Row],[POvsCT]]="PO",SUM(_xlfn.CHOOSECOLS(_xlfn._xlws.FILTER(F_RT14[],(IF($M88="X",TRUE,F_RT14[Site]=$M88))*(F_RT14[Measure]=Z$4)*(F_RT14[PrjId]=PptoSty[[#This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88" s="412"/>
      <c r="AB88" s="412"/>
      <c r="AC88" s="412"/>
      <c r="AG88"/>
      <c r="AH88"/>
      <c r="AI88"/>
      <c r="AK88" s="113"/>
      <c r="AO88"/>
      <c r="AP88"/>
      <c r="AZ88" s="175"/>
      <c r="BA88" s="175"/>
      <c r="BE88"/>
      <c r="BF88"/>
      <c r="DG88" s="175"/>
      <c r="DH88" s="175"/>
      <c r="DI88" s="175"/>
      <c r="DL88" s="108"/>
      <c r="DM88" s="366" t="str" cm="1">
        <f t="array" aca="1" ref="DM8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DN88:DO88</v>
      </c>
      <c r="DN88" s="177" t="s">
        <v>375</v>
      </c>
      <c r="DO88" s="177" t="str" cm="1">
        <f t="array" aca="1" ref="DO8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TRANSP. &amp; DESPLAZ.</v>
      </c>
      <c r="DP88" s="177"/>
      <c r="DQ88" s="177"/>
      <c r="DR88" s="177"/>
      <c r="DS88" s="177"/>
      <c r="DT88" s="177"/>
      <c r="DU88" s="177"/>
      <c r="DV88" s="177"/>
      <c r="DW88" s="177"/>
      <c r="DX88" s="177"/>
      <c r="DY88" s="177"/>
      <c r="DZ88" s="177"/>
      <c r="EA88" s="177"/>
      <c r="EB88" s="177"/>
      <c r="EC88" s="177"/>
      <c r="ED88" s="177"/>
    </row>
    <row r="89" spans="3:134" ht="13" customHeight="1">
      <c r="C89" s="200">
        <v>45231</v>
      </c>
      <c r="D89" s="213" t="s">
        <v>2114</v>
      </c>
      <c r="E89" s="213" t="s">
        <v>1710</v>
      </c>
      <c r="F89" s="219" t="s">
        <v>375</v>
      </c>
      <c r="G89" s="201" t="s">
        <v>1416</v>
      </c>
      <c r="H89" s="202">
        <v>0</v>
      </c>
      <c r="I89" s="339" t="str" cm="1">
        <f t="array" aca="1" ref="I8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X002</v>
      </c>
      <c r="J89" s="203" t="str" cm="1">
        <f t="array" ref="J89">IF(OR(PptoSty[[#This Row],[Project]]="",PptoSty[[#This Row],[Project]]="X"),"X",_xlfn.UNIQUE(_xlfn._xlws.FILTER(CstGrpS[Nature],ISNUMBER(FIND(SUBSTITUTE(PptoSty[[#This Row],[PiColumn]]," +%",""),UPPER(SUBSTITUTE(CstGrpS[GrpPrv],"  "," ")))),"X")))</f>
        <v>Hrs</v>
      </c>
      <c r="K89" s="96" t="s">
        <v>1628</v>
      </c>
      <c r="L89" s="96" t="s">
        <v>379</v>
      </c>
      <c r="M89" s="96" t="s">
        <v>28</v>
      </c>
      <c r="N89" s="96" t="str" cm="1">
        <f t="array" ref="N89">IF(OR(PptoSty[[#This Row],[Project]]="",PptoSty[[#This Row],[Project]]="X"),"X",_xlfn._xlws.FILTER(TbAssign[RowId],(TbAssign[Project]=PptoSty[[#This Row],[Project]])*(TbAssign[Módulo]=PptoSty[[#This Row],[PptoVsRow]]),"X"))</f>
        <v>XC02</v>
      </c>
      <c r="O89" s="96" t="str" cm="1">
        <f t="array" ref="O89">IF(OR(PptoSty[[#This Row],[Project]]="",PptoSty[[#This Row],[Project]]="X"),"X",_xlfn.UNIQUE(_xlfn._xlws.FILTER(F_RT14[Amortz.],(F_RT14[Measure]="CurPpto")*(F_RT14[PrjId]=PptoSty[[#This Row],[Project]])*(F_RT14[Vrs]=PptoSty[[#This Row],[Vrs]])*(_xlfn.TEXTAFTER(F_RT14[ActGrp],":")=PptoSty[[#This Row],[PiRow]]),"X")))</f>
        <v>CELL</v>
      </c>
      <c r="P89" s="96" t="s">
        <v>1473</v>
      </c>
      <c r="Q89" s="96" t="s">
        <v>1667</v>
      </c>
      <c r="R89" s="204" t="s">
        <v>403</v>
      </c>
      <c r="S89" s="204">
        <v>1</v>
      </c>
      <c r="T89" s="205" cm="1">
        <f t="array" aca="1" ref="T8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89" s="206" cm="1">
        <f t="array" ref="U89">IFERROR((1/PptoSty[[#This Row],[Division]])*IF(PptoSty[[#This Row],[Sign]]="+",1,-1)*(IF(PptoSty[[#This Row],[POvsCT]]="PO",SUM(_xlfn.CHOOSECOLS(_xlfn._xlws.FILTER(F_RT14[],(IF($M89="X",TRUE,F_RT14[Site]=$M89))*(F_RT14[Measure]=U$4)*(F_RT14[PrjId]=PptoSty[[#This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839.89597938144334</v>
      </c>
      <c r="V89" s="206" cm="1">
        <f t="array" ref="V89">IFERROR((1/PptoSty[[#This Row],[Division]])*IF(PptoSty[[#This Row],[Sign]]="+",1,-1)*(IF(PptoSty[[#This Row],[POvsCT]]="PO",SUM(_xlfn.CHOOSECOLS(_xlfn._xlws.FILTER(F_RT14[],(IF($M89="X",TRUE,F_RT14[Site]=$M89))*(F_RT14[Measure]=V$4)*(F_RT14[PrjId]=PptoSty[[#This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62.59216</v>
      </c>
      <c r="W89" s="206" cm="1">
        <f t="array" ref="W89">IFERROR((1/PptoSty[[#This Row],[Division]])*IF(PptoSty[[#This Row],[Sign]]="+",1,-1)*(IF(PptoSty[[#This Row],[POvsCT]]="PO",SUM(_xlfn.CHOOSECOLS(_xlfn._xlws.FILTER(F_RT14[],(IF($M89="X",TRUE,F_RT14[Site]=$M89))*(F_RT14[Measure]=W$4)*(F_RT14[PrjId]=PptoSty[[#This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758.53296</v>
      </c>
      <c r="X89" s="338" cm="1">
        <f t="array" ref="X89">IFERROR(IF(PptoSty[[#This Row],[Nature]]&lt;&gt;"Hrs",0,(1/PptoSty[[#This Row],[Division]])*IF(PptoSty[[#This Row],[Sign]]="+",1,-1)*(IF(PptoSty[[#This Row],[POvsCT]]="PO",SUM(_xlfn.CHOOSECOLS(_xlfn._xlws.FILTER(F_RT14[],(IF($M89="X",TRUE,F_RT14[Site]=$M89))*(F_RT14[Measure]=X$4)*(F_RT14[PrjId]=PptoSty[[#This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16</v>
      </c>
      <c r="Y89" s="338" cm="1">
        <f t="array" ref="Y89">IFERROR(IF(PptoSty[[#This Row],[Nature]]&lt;&gt;"Hrs",0,(1/PptoSty[[#This Row],[Division]])*IF(PptoSty[[#This Row],[Sign]]="+",1,-1)*(IF(PptoSty[[#This Row],[POvsCT]]="PO",SUM(_xlfn.CHOOSECOLS(_xlfn._xlws.FILTER(F_RT14[],(IF($M89="X",TRUE,F_RT14[Site]=$M89))*(F_RT14[Measure]=Y$4)*(F_RT14[PrjId]=PptoSty[[#This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1.552</v>
      </c>
      <c r="Z89" s="338" cm="1">
        <f t="array" ref="Z89">IFERROR(IF(PptoSty[[#This Row],[Nature]]&lt;&gt;"Hrs",0,(1/PptoSty[[#This Row],[Division]])*IF(PptoSty[[#This Row],[Sign]]="+",1,-1)*(IF(PptoSty[[#This Row],[POvsCT]]="PO",SUM(_xlfn.CHOOSECOLS(_xlfn._xlws.FILTER(F_RT14[],(IF($M89="X",TRUE,F_RT14[Site]=$M89))*(F_RT14[Measure]=Z$4)*(F_RT14[PrjId]=PptoSty[[#This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13.968</v>
      </c>
      <c r="AA89" s="412"/>
      <c r="AB89" s="412"/>
      <c r="AC89" s="412"/>
      <c r="AG89"/>
      <c r="AH89"/>
      <c r="AI89"/>
      <c r="AK89" s="113"/>
      <c r="AO89"/>
      <c r="AP89"/>
      <c r="AZ89" s="175"/>
      <c r="BA89" s="175"/>
      <c r="BE89"/>
      <c r="BF89"/>
      <c r="DG89" s="175"/>
      <c r="DH89" s="175"/>
      <c r="DI89" s="175"/>
      <c r="DL89" s="108"/>
      <c r="DM89" s="366" t="str" cm="1">
        <f t="array" aca="1" ref="DM89"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DN89:DV89</v>
      </c>
      <c r="DN89" s="177" t="s">
        <v>375</v>
      </c>
      <c r="DO89" s="177" t="str" cm="1">
        <f t="array" aca="1" ref="DO89:DV89"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89" s="177" t="str">
        <f ca="1"/>
        <v>DISEÑO MECÁNICO</v>
      </c>
      <c r="DQ89" s="177" t="str">
        <f ca="1"/>
        <v>FABRICACIÓN ELÉCTRICA</v>
      </c>
      <c r="DR89" s="177" t="str">
        <f ca="1"/>
        <v>FABRICACIÓN MECÁNICA</v>
      </c>
      <c r="DS89" s="177" t="str">
        <f ca="1"/>
        <v>INSTALACIÓN ENR</v>
      </c>
      <c r="DT89" s="177" t="str">
        <f ca="1"/>
        <v>MATERIAL ELÉCTRICO +%</v>
      </c>
      <c r="DU89" s="177" t="str">
        <f ca="1"/>
        <v>MATERIAL FLUIDOS +%</v>
      </c>
      <c r="DV89" s="177" t="str">
        <f ca="1"/>
        <v>MONTAJE MECÁNICO</v>
      </c>
      <c r="DW89" s="177"/>
      <c r="DX89" s="177"/>
      <c r="DY89" s="177"/>
      <c r="DZ89" s="177"/>
      <c r="EA89" s="177"/>
      <c r="EB89" s="177"/>
      <c r="EC89" s="177"/>
      <c r="ED89" s="177"/>
    </row>
    <row r="90" spans="3:134" ht="13" customHeight="1">
      <c r="C90" s="200">
        <v>45231</v>
      </c>
      <c r="D90" s="213" t="s">
        <v>2114</v>
      </c>
      <c r="E90" s="213" t="s">
        <v>1710</v>
      </c>
      <c r="F90" s="219" t="s">
        <v>375</v>
      </c>
      <c r="G90" s="201" t="s">
        <v>1416</v>
      </c>
      <c r="H90" s="202">
        <v>0</v>
      </c>
      <c r="I90" s="339" t="str" cm="1">
        <f t="array" aca="1" ref="I9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X002</v>
      </c>
      <c r="J90" s="203" t="str" cm="1">
        <f t="array" ref="J90">IF(OR(PptoSty[[#This Row],[Project]]="",PptoSty[[#This Row],[Project]]="X"),"X",_xlfn.UNIQUE(_xlfn._xlws.FILTER(CstGrpS[Nature],ISNUMBER(FIND(SUBSTITUTE(PptoSty[[#This Row],[PiColumn]]," +%",""),UPPER(SUBSTITUTE(CstGrpS[GrpPrv],"  "," ")))),"X")))</f>
        <v>Hrs</v>
      </c>
      <c r="K90" s="96" t="s">
        <v>1628</v>
      </c>
      <c r="L90" s="96" t="s">
        <v>380</v>
      </c>
      <c r="M90" s="96" t="s">
        <v>28</v>
      </c>
      <c r="N90" s="96" t="str" cm="1">
        <f t="array" ref="N90">IF(OR(PptoSty[[#This Row],[Project]]="",PptoSty[[#This Row],[Project]]="X"),"X",_xlfn._xlws.FILTER(TbAssign[RowId],(TbAssign[Project]=PptoSty[[#This Row],[Project]])*(TbAssign[Módulo]=PptoSty[[#This Row],[PptoVsRow]]),"X"))</f>
        <v>XC02</v>
      </c>
      <c r="O90" s="96" t="str" cm="1">
        <f t="array" ref="O90">IF(OR(PptoSty[[#This Row],[Project]]="",PptoSty[[#This Row],[Project]]="X"),"X",_xlfn.UNIQUE(_xlfn._xlws.FILTER(F_RT14[Amortz.],(F_RT14[Measure]="CurPpto")*(F_RT14[PrjId]=PptoSty[[#This Row],[Project]])*(F_RT14[Vrs]=PptoSty[[#This Row],[Vrs]])*(_xlfn.TEXTAFTER(F_RT14[ActGrp],":")=PptoSty[[#This Row],[PiRow]]),"X")))</f>
        <v>CELL</v>
      </c>
      <c r="P90" s="96" t="s">
        <v>1473</v>
      </c>
      <c r="Q90" s="96" t="s">
        <v>1667</v>
      </c>
      <c r="R90" s="204" t="s">
        <v>403</v>
      </c>
      <c r="S90" s="204">
        <v>1</v>
      </c>
      <c r="T90" s="205" cm="1">
        <f t="array" aca="1" ref="T9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90" s="206" cm="1">
        <f t="array" ref="U90">IFERROR((1/PptoSty[[#This Row],[Division]])*IF(PptoSty[[#This Row],[Sign]]="+",1,-1)*(IF(PptoSty[[#This Row],[POvsCT]]="PO",SUM(_xlfn.CHOOSECOLS(_xlfn._xlws.FILTER(F_RT14[],(IF($M90="X",TRUE,F_RT14[Site]=$M90))*(F_RT14[Measure]=U$4)*(F_RT14[PrjId]=PptoSty[[#This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117.51092783505156</v>
      </c>
      <c r="V90" s="206" cm="1">
        <f t="array" ref="V90">IFERROR((1/PptoSty[[#This Row],[Division]])*IF(PptoSty[[#This Row],[Sign]]="+",1,-1)*(IF(PptoSty[[#This Row],[POvsCT]]="PO",SUM(_xlfn.CHOOSECOLS(_xlfn._xlws.FILTER(F_RT14[],(IF($M90="X",TRUE,F_RT14[Site]=$M90))*(F_RT14[Measure]=V$4)*(F_RT14[PrjId]=PptoSty[[#This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34.464100000000002</v>
      </c>
      <c r="W90" s="206" cm="1">
        <f t="array" ref="W90">IFERROR((1/PptoSty[[#This Row],[Division]])*IF(PptoSty[[#This Row],[Sign]]="+",1,-1)*(IF(PptoSty[[#This Row],[POvsCT]]="PO",SUM(_xlfn.CHOOSECOLS(_xlfn._xlws.FILTER(F_RT14[],(IF($M90="X",TRUE,F_RT14[Site]=$M90))*(F_RT14[Measure]=W$4)*(F_RT14[PrjId]=PptoSty[[#This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75.194400000000002</v>
      </c>
      <c r="X90" s="338" cm="1">
        <f t="array" ref="X90">IFERROR(IF(PptoSty[[#This Row],[Nature]]&lt;&gt;"Hrs",0,(1/PptoSty[[#This Row],[Division]])*IF(PptoSty[[#This Row],[Sign]]="+",1,-1)*(IF(PptoSty[[#This Row],[POvsCT]]="PO",SUM(_xlfn.CHOOSECOLS(_xlfn._xlws.FILTER(F_RT14[],(IF($M90="X",TRUE,F_RT14[Site]=$M90))*(F_RT14[Measure]=X$4)*(F_RT14[PrjId]=PptoSty[[#This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4</v>
      </c>
      <c r="Y90" s="338" cm="1">
        <f t="array" ref="Y90">IFERROR(IF(PptoSty[[#This Row],[Nature]]&lt;&gt;"Hrs",0,(1/PptoSty[[#This Row],[Division]])*IF(PptoSty[[#This Row],[Sign]]="+",1,-1)*(IF(PptoSty[[#This Row],[POvsCT]]="PO",SUM(_xlfn.CHOOSECOLS(_xlfn._xlws.FILTER(F_RT14[],(IF($M90="X",TRUE,F_RT14[Site]=$M90))*(F_RT14[Measure]=Y$4)*(F_RT14[PrjId]=PptoSty[[#This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0.97</v>
      </c>
      <c r="Z90" s="338" cm="1">
        <f t="array" ref="Z90">IFERROR(IF(PptoSty[[#This Row],[Nature]]&lt;&gt;"Hrs",0,(1/PptoSty[[#This Row],[Division]])*IF(PptoSty[[#This Row],[Sign]]="+",1,-1)*(IF(PptoSty[[#This Row],[POvsCT]]="PO",SUM(_xlfn.CHOOSECOLS(_xlfn._xlws.FILTER(F_RT14[],(IF($M90="X",TRUE,F_RT14[Site]=$M90))*(F_RT14[Measure]=Z$4)*(F_RT14[PrjId]=PptoSty[[#This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2.91</v>
      </c>
      <c r="AA90" s="412"/>
      <c r="AB90" s="412"/>
      <c r="AC90" s="412"/>
      <c r="AG90"/>
      <c r="AH90"/>
      <c r="AI90"/>
      <c r="AK90" s="113"/>
      <c r="AO90"/>
      <c r="AP90"/>
      <c r="AZ90" s="175"/>
      <c r="BA90" s="175"/>
      <c r="BE90"/>
      <c r="BF90"/>
      <c r="DG90" s="175"/>
      <c r="DH90" s="175"/>
      <c r="DI90" s="175"/>
      <c r="DL90" s="108"/>
      <c r="DM90" s="366" t="str" cm="1">
        <f t="array" aca="1" ref="DM90"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DN90:DV90</v>
      </c>
      <c r="DN90" s="177" t="s">
        <v>375</v>
      </c>
      <c r="DO90" s="177" t="str" cm="1">
        <f t="array" aca="1" ref="DO90:DV90"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90" s="177" t="str">
        <f ca="1"/>
        <v>DISEÑO MECÁNICO</v>
      </c>
      <c r="DQ90" s="177" t="str">
        <f ca="1"/>
        <v>FABRICACIÓN ELÉCTRICA</v>
      </c>
      <c r="DR90" s="177" t="str">
        <f ca="1"/>
        <v>FABRICACIÓN MECÁNICA</v>
      </c>
      <c r="DS90" s="177" t="str">
        <f ca="1"/>
        <v>INSTALACIÓN ENR</v>
      </c>
      <c r="DT90" s="177" t="str">
        <f ca="1"/>
        <v>MATERIAL ELÉCTRICO +%</v>
      </c>
      <c r="DU90" s="177" t="str">
        <f ca="1"/>
        <v>MATERIAL FLUIDOS +%</v>
      </c>
      <c r="DV90" s="177" t="str">
        <f ca="1"/>
        <v>MONTAJE MECÁNICO</v>
      </c>
      <c r="DW90" s="177"/>
      <c r="DX90" s="177"/>
      <c r="DY90" s="177"/>
      <c r="DZ90" s="177"/>
      <c r="EA90" s="177"/>
      <c r="EB90" s="177"/>
      <c r="EC90" s="177"/>
      <c r="ED90" s="177"/>
    </row>
    <row r="91" spans="3:134" ht="13" customHeight="1">
      <c r="C91" s="200">
        <v>45231</v>
      </c>
      <c r="D91" s="213" t="s">
        <v>2114</v>
      </c>
      <c r="E91" s="213" t="s">
        <v>1710</v>
      </c>
      <c r="F91" s="219" t="s">
        <v>375</v>
      </c>
      <c r="G91" s="201" t="s">
        <v>1416</v>
      </c>
      <c r="H91" s="202">
        <v>0</v>
      </c>
      <c r="I91" s="339" t="str" cm="1">
        <f t="array" aca="1" ref="I9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X002</v>
      </c>
      <c r="J91" s="203" t="str" cm="1">
        <f t="array" ref="J91">IF(OR(PptoSty[[#This Row],[Project]]="",PptoSty[[#This Row],[Project]]="X"),"X",_xlfn.UNIQUE(_xlfn._xlws.FILTER(CstGrpS[Nature],ISNUMBER(FIND(SUBSTITUTE(PptoSty[[#This Row],[PiColumn]]," +%",""),UPPER(SUBSTITUTE(CstGrpS[GrpPrv],"  "," ")))),"X")))</f>
        <v>Hrs</v>
      </c>
      <c r="K91" s="96" t="s">
        <v>1628</v>
      </c>
      <c r="L91" s="96" t="s">
        <v>381</v>
      </c>
      <c r="M91" s="96" t="s">
        <v>28</v>
      </c>
      <c r="N91" s="96" t="str" cm="1">
        <f t="array" ref="N91">IF(OR(PptoSty[[#This Row],[Project]]="",PptoSty[[#This Row],[Project]]="X"),"X",_xlfn._xlws.FILTER(TbAssign[RowId],(TbAssign[Project]=PptoSty[[#This Row],[Project]])*(TbAssign[Módulo]=PptoSty[[#This Row],[PptoVsRow]]),"X"))</f>
        <v>XD02</v>
      </c>
      <c r="O91" s="96" t="str" cm="1">
        <f t="array" ref="O91">IF(OR(PptoSty[[#This Row],[Project]]="",PptoSty[[#This Row],[Project]]="X"),"X",_xlfn.UNIQUE(_xlfn._xlws.FILTER(F_RT14[Amortz.],(F_RT14[Measure]="CurPpto")*(F_RT14[PrjId]=PptoSty[[#This Row],[Project]])*(F_RT14[Vrs]=PptoSty[[#This Row],[Vrs]])*(_xlfn.TEXTAFTER(F_RT14[ActGrp],":")=PptoSty[[#This Row],[PiRow]]),"X")))</f>
        <v>CELL</v>
      </c>
      <c r="P91" s="96" t="s">
        <v>1475</v>
      </c>
      <c r="Q91" s="96" t="s">
        <v>389</v>
      </c>
      <c r="R91" s="204" t="s">
        <v>403</v>
      </c>
      <c r="S91" s="204">
        <v>1</v>
      </c>
      <c r="T91" s="205" cm="1">
        <f t="array" aca="1" ref="T9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91" s="206" cm="1">
        <f t="array" ref="U91">IFERROR((1/PptoSty[[#This Row],[Division]])*IF(PptoSty[[#This Row],[Sign]]="+",1,-1)*(IF(PptoSty[[#This Row],[POvsCT]]="PO",SUM(_xlfn.CHOOSECOLS(_xlfn._xlws.FILTER(F_RT14[],(IF($M91="X",TRUE,F_RT14[Site]=$M91))*(F_RT14[Measure]=U$4)*(F_RT14[PrjId]=PptoSty[[#This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897.30969072164953</v>
      </c>
      <c r="V91" s="206" cm="1">
        <f t="array" ref="V91">IFERROR((1/PptoSty[[#This Row],[Division]])*IF(PptoSty[[#This Row],[Sign]]="+",1,-1)*(IF(PptoSty[[#This Row],[POvsCT]]="PO",SUM(_xlfn.CHOOSECOLS(_xlfn._xlws.FILTER(F_RT14[],(IF($M91="X",TRUE,F_RT14[Site]=$M91))*(F_RT14[Measure]=V$4)*(F_RT14[PrjId]=PptoSty[[#This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119.30999999999999</v>
      </c>
      <c r="W91" s="206" cm="1">
        <f t="array" ref="W91">IFERROR((1/PptoSty[[#This Row],[Division]])*IF(PptoSty[[#This Row],[Sign]]="+",1,-1)*(IF(PptoSty[[#This Row],[POvsCT]]="PO",SUM(_xlfn.CHOOSECOLS(_xlfn._xlws.FILTER(F_RT14[],(IF($M91="X",TRUE,F_RT14[Site]=$M91))*(F_RT14[Measure]=W$4)*(F_RT14[PrjId]=PptoSty[[#This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751.08031200000005</v>
      </c>
      <c r="X91" s="338" cm="1">
        <f t="array" ref="X91">IFERROR(IF(PptoSty[[#This Row],[Nature]]&lt;&gt;"Hrs",0,(1/PptoSty[[#This Row],[Division]])*IF(PptoSty[[#This Row],[Sign]]="+",1,-1)*(IF(PptoSty[[#This Row],[POvsCT]]="PO",SUM(_xlfn.CHOOSECOLS(_xlfn._xlws.FILTER(F_RT14[],(IF($M91="X",TRUE,F_RT14[Site]=$M91))*(F_RT14[Measure]=X$4)*(F_RT14[PrjId]=PptoSty[[#This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32.799999999999997</v>
      </c>
      <c r="Y91" s="338" cm="1">
        <f t="array" ref="Y91">IFERROR(IF(PptoSty[[#This Row],[Nature]]&lt;&gt;"Hrs",0,(1/PptoSty[[#This Row],[Division]])*IF(PptoSty[[#This Row],[Sign]]="+",1,-1)*(IF(PptoSty[[#This Row],[POvsCT]]="PO",SUM(_xlfn.CHOOSECOLS(_xlfn._xlws.FILTER(F_RT14[],(IF($M91="X",TRUE,F_RT14[Site]=$M91))*(F_RT14[Measure]=Y$4)*(F_RT14[PrjId]=PptoSty[[#This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3.1816</v>
      </c>
      <c r="Z91" s="338" cm="1">
        <f t="array" ref="Z91">IFERROR(IF(PptoSty[[#This Row],[Nature]]&lt;&gt;"Hrs",0,(1/PptoSty[[#This Row],[Division]])*IF(PptoSty[[#This Row],[Sign]]="+",1,-1)*(IF(PptoSty[[#This Row],[POvsCT]]="PO",SUM(_xlfn.CHOOSECOLS(_xlfn._xlws.FILTER(F_RT14[],(IF($M91="X",TRUE,F_RT14[Site]=$M91))*(F_RT14[Measure]=Z$4)*(F_RT14[PrjId]=PptoSty[[#This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28.634399999999999</v>
      </c>
      <c r="AA91" s="412"/>
      <c r="AB91" s="412"/>
      <c r="AC91" s="412"/>
      <c r="AG91"/>
      <c r="AH91"/>
      <c r="AI91"/>
      <c r="AK91" s="113"/>
      <c r="AO91"/>
      <c r="AP91"/>
      <c r="AZ91" s="175"/>
      <c r="BA91" s="175"/>
      <c r="BE91"/>
      <c r="BF91"/>
      <c r="DG91" s="175"/>
      <c r="DH91" s="175"/>
      <c r="DI91" s="175"/>
      <c r="DL91" s="108"/>
      <c r="DM91" s="366" t="str" cm="1">
        <f t="array" aca="1" ref="DM91"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DN91:DV91</v>
      </c>
      <c r="DN91" s="177" t="s">
        <v>375</v>
      </c>
      <c r="DO91" s="177" t="str" cm="1">
        <f t="array" aca="1" ref="DO91:DV91"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91" s="177" t="str">
        <f ca="1"/>
        <v>DISEÑO MECÁNICO</v>
      </c>
      <c r="DQ91" s="177" t="str">
        <f ca="1"/>
        <v>FABRICACIÓN ELÉCTRICA</v>
      </c>
      <c r="DR91" s="177" t="str">
        <f ca="1"/>
        <v>FABRICACIÓN MECÁNICA</v>
      </c>
      <c r="DS91" s="177" t="str">
        <f ca="1"/>
        <v>INSTALACIÓN ENR</v>
      </c>
      <c r="DT91" s="177" t="str">
        <f ca="1"/>
        <v>MATERIAL ELÉCTRICO +%</v>
      </c>
      <c r="DU91" s="177" t="str">
        <f ca="1"/>
        <v>MATERIAL FLUIDOS +%</v>
      </c>
      <c r="DV91" s="177" t="str">
        <f ca="1"/>
        <v>MONTAJE MECÁNICO</v>
      </c>
      <c r="DW91" s="177"/>
      <c r="DX91" s="177"/>
      <c r="DY91" s="177"/>
      <c r="DZ91" s="177"/>
      <c r="EA91" s="177"/>
      <c r="EB91" s="177"/>
      <c r="EC91" s="177"/>
      <c r="ED91" s="177"/>
    </row>
    <row r="92" spans="3:134" ht="13" customHeight="1">
      <c r="C92" s="200">
        <v>45231</v>
      </c>
      <c r="D92" s="213" t="s">
        <v>2114</v>
      </c>
      <c r="E92" s="213" t="s">
        <v>1710</v>
      </c>
      <c r="F92" s="219" t="s">
        <v>375</v>
      </c>
      <c r="G92" s="201" t="s">
        <v>1416</v>
      </c>
      <c r="H92" s="202">
        <v>0</v>
      </c>
      <c r="I92" s="339" t="str" cm="1">
        <f t="array" aca="1" ref="I9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X002</v>
      </c>
      <c r="J92" s="203" t="str" cm="1">
        <f t="array" ref="J92">IF(OR(PptoSty[[#This Row],[Project]]="",PptoSty[[#This Row],[Project]]="X"),"X",_xlfn.UNIQUE(_xlfn._xlws.FILTER(CstGrpS[Nature],ISNUMBER(FIND(SUBSTITUTE(PptoSty[[#This Row],[PiColumn]]," +%",""),UPPER(SUBSTITUTE(CstGrpS[GrpPrv],"  "," ")))),"X")))</f>
        <v>Hrs</v>
      </c>
      <c r="K92" s="96" t="s">
        <v>1628</v>
      </c>
      <c r="L92" s="96" t="s">
        <v>1645</v>
      </c>
      <c r="M92" s="96" t="s">
        <v>28</v>
      </c>
      <c r="N92" s="96" t="str" cm="1">
        <f t="array" ref="N92">IF(OR(PptoSty[[#This Row],[Project]]="",PptoSty[[#This Row],[Project]]="X"),"X",_xlfn._xlws.FILTER(TbAssign[RowId],(TbAssign[Project]=PptoSty[[#This Row],[Project]])*(TbAssign[Módulo]=PptoSty[[#This Row],[PptoVsRow]]),"X"))</f>
        <v>XD02</v>
      </c>
      <c r="O92" s="96" t="str" cm="1">
        <f t="array" ref="O92">IF(OR(PptoSty[[#This Row],[Project]]="",PptoSty[[#This Row],[Project]]="X"),"X",_xlfn.UNIQUE(_xlfn._xlws.FILTER(F_RT14[Amortz.],(F_RT14[Measure]="CurPpto")*(F_RT14[PrjId]=PptoSty[[#This Row],[Project]])*(F_RT14[Vrs]=PptoSty[[#This Row],[Vrs]])*(_xlfn.TEXTAFTER(F_RT14[ActGrp],":")=PptoSty[[#This Row],[PiRow]]),"X")))</f>
        <v>CELL</v>
      </c>
      <c r="P92" s="96" t="s">
        <v>1475</v>
      </c>
      <c r="Q92" s="96" t="s">
        <v>389</v>
      </c>
      <c r="R92" s="204" t="s">
        <v>403</v>
      </c>
      <c r="S92" s="204">
        <v>1</v>
      </c>
      <c r="T92" s="205" cm="1">
        <f t="array" aca="1" ref="T9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92" s="206" cm="1">
        <f t="array" ref="U92">IFERROR((1/PptoSty[[#This Row],[Division]])*IF(PptoSty[[#This Row],[Sign]]="+",1,-1)*(IF(PptoSty[[#This Row],[POvsCT]]="PO",SUM(_xlfn.CHOOSECOLS(_xlfn._xlws.FILTER(F_RT14[],(IF($M92="X",TRUE,F_RT14[Site]=$M92))*(F_RT14[Measure]=U$4)*(F_RT14[PrjId]=PptoSty[[#This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593.64690721649481</v>
      </c>
      <c r="V92" s="206" cm="1">
        <f t="array" ref="V92">IFERROR((1/PptoSty[[#This Row],[Division]])*IF(PptoSty[[#This Row],[Sign]]="+",1,-1)*(IF(PptoSty[[#This Row],[POvsCT]]="PO",SUM(_xlfn.CHOOSECOLS(_xlfn._xlws.FILTER(F_RT14[],(IF($M92="X",TRUE,F_RT14[Site]=$M92))*(F_RT14[Measure]=V$4)*(F_RT14[PrjId]=PptoSty[[#This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78.933750000000003</v>
      </c>
      <c r="W92" s="206" cm="1">
        <f t="array" ref="W92">IFERROR((1/PptoSty[[#This Row],[Division]])*IF(PptoSty[[#This Row],[Sign]]="+",1,-1)*(IF(PptoSty[[#This Row],[POvsCT]]="PO",SUM(_xlfn.CHOOSECOLS(_xlfn._xlws.FILTER(F_RT14[],(IF($M92="X",TRUE,F_RT14[Site]=$M92))*(F_RT14[Measure]=W$4)*(F_RT14[PrjId]=PptoSty[[#This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496.90374299999996</v>
      </c>
      <c r="X92" s="338" cm="1">
        <f t="array" ref="X92">IFERROR(IF(PptoSty[[#This Row],[Nature]]&lt;&gt;"Hrs",0,(1/PptoSty[[#This Row],[Division]])*IF(PptoSty[[#This Row],[Sign]]="+",1,-1)*(IF(PptoSty[[#This Row],[POvsCT]]="PO",SUM(_xlfn.CHOOSECOLS(_xlfn._xlws.FILTER(F_RT14[],(IF($M92="X",TRUE,F_RT14[Site]=$M92))*(F_RT14[Measure]=X$4)*(F_RT14[PrjId]=PptoSty[[#This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21.7</v>
      </c>
      <c r="Y92" s="338" cm="1">
        <f t="array" ref="Y92">IFERROR(IF(PptoSty[[#This Row],[Nature]]&lt;&gt;"Hrs",0,(1/PptoSty[[#This Row],[Division]])*IF(PptoSty[[#This Row],[Sign]]="+",1,-1)*(IF(PptoSty[[#This Row],[POvsCT]]="PO",SUM(_xlfn.CHOOSECOLS(_xlfn._xlws.FILTER(F_RT14[],(IF($M92="X",TRUE,F_RT14[Site]=$M92))*(F_RT14[Measure]=Y$4)*(F_RT14[PrjId]=PptoSty[[#This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2.1049000000000002</v>
      </c>
      <c r="Z92" s="338" cm="1">
        <f t="array" ref="Z92">IFERROR(IF(PptoSty[[#This Row],[Nature]]&lt;&gt;"Hrs",0,(1/PptoSty[[#This Row],[Division]])*IF(PptoSty[[#This Row],[Sign]]="+",1,-1)*(IF(PptoSty[[#This Row],[POvsCT]]="PO",SUM(_xlfn.CHOOSECOLS(_xlfn._xlws.FILTER(F_RT14[],(IF($M92="X",TRUE,F_RT14[Site]=$M92))*(F_RT14[Measure]=Z$4)*(F_RT14[PrjId]=PptoSty[[#This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18.944099999999999</v>
      </c>
      <c r="AA92" s="412"/>
      <c r="AB92" s="412"/>
      <c r="AC92" s="412"/>
      <c r="AG92"/>
      <c r="AH92"/>
      <c r="AI92"/>
      <c r="AK92" s="113"/>
      <c r="AO92"/>
      <c r="AP92"/>
      <c r="AZ92" s="175"/>
      <c r="BA92" s="175"/>
      <c r="BE92"/>
      <c r="BF92"/>
      <c r="DG92" s="175"/>
      <c r="DH92" s="175"/>
      <c r="DI92" s="175"/>
      <c r="DL92" s="108"/>
      <c r="DM92" s="366" t="str" cm="1">
        <f t="array" aca="1" ref="DM92"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DN92:DV92</v>
      </c>
      <c r="DN92" s="177" t="s">
        <v>375</v>
      </c>
      <c r="DO92" s="177" t="str" cm="1">
        <f t="array" aca="1" ref="DO92:DV92"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92" s="177" t="str">
        <f ca="1"/>
        <v>DISEÑO MECÁNICO</v>
      </c>
      <c r="DQ92" s="177" t="str">
        <f ca="1"/>
        <v>FABRICACIÓN ELÉCTRICA</v>
      </c>
      <c r="DR92" s="177" t="str">
        <f ca="1"/>
        <v>FABRICACIÓN MECÁNICA</v>
      </c>
      <c r="DS92" s="177" t="str">
        <f ca="1"/>
        <v>INSTALACIÓN ENR</v>
      </c>
      <c r="DT92" s="177" t="str">
        <f ca="1"/>
        <v>MATERIAL ELÉCTRICO +%</v>
      </c>
      <c r="DU92" s="177" t="str">
        <f ca="1"/>
        <v>MATERIAL FLUIDOS +%</v>
      </c>
      <c r="DV92" s="177" t="str">
        <f ca="1"/>
        <v>MONTAJE MECÁNICO</v>
      </c>
      <c r="DW92" s="177"/>
      <c r="DX92" s="177"/>
      <c r="DY92" s="177"/>
      <c r="DZ92" s="177"/>
      <c r="EA92" s="177"/>
      <c r="EB92" s="177"/>
      <c r="EC92" s="177"/>
      <c r="ED92" s="177"/>
    </row>
    <row r="93" spans="3:134" ht="13" customHeight="1">
      <c r="C93" s="200">
        <v>45231</v>
      </c>
      <c r="D93" s="213" t="s">
        <v>2114</v>
      </c>
      <c r="E93" s="213" t="s">
        <v>1710</v>
      </c>
      <c r="F93" s="219" t="s">
        <v>375</v>
      </c>
      <c r="G93" s="201" t="s">
        <v>1416</v>
      </c>
      <c r="H93" s="202">
        <v>0</v>
      </c>
      <c r="I93" s="339" t="str" cm="1">
        <f t="array" aca="1" ref="I9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X002</v>
      </c>
      <c r="J93" s="203" t="str" cm="1">
        <f t="array" ref="J93">IF(OR(PptoSty[[#This Row],[Project]]="",PptoSty[[#This Row],[Project]]="X"),"X",_xlfn.UNIQUE(_xlfn._xlws.FILTER(CstGrpS[Nature],ISNUMBER(FIND(SUBSTITUTE(PptoSty[[#This Row],[PiColumn]]," +%",""),UPPER(SUBSTITUTE(CstGrpS[GrpPrv],"  "," ")))),"X")))</f>
        <v>Mat</v>
      </c>
      <c r="K93" s="96" t="s">
        <v>1628</v>
      </c>
      <c r="L93" s="96" t="s">
        <v>1646</v>
      </c>
      <c r="M93" s="96" t="s">
        <v>28</v>
      </c>
      <c r="N93" s="96" t="str" cm="1">
        <f t="array" ref="N93">IF(OR(PptoSty[[#This Row],[Project]]="",PptoSty[[#This Row],[Project]]="X"),"X",_xlfn._xlws.FILTER(TbAssign[RowId],(TbAssign[Project]=PptoSty[[#This Row],[Project]])*(TbAssign[Módulo]=PptoSty[[#This Row],[PptoVsRow]]),"X"))</f>
        <v>XD02</v>
      </c>
      <c r="O93" s="96" t="str" cm="1">
        <f t="array" ref="O93">IF(OR(PptoSty[[#This Row],[Project]]="",PptoSty[[#This Row],[Project]]="X"),"X",_xlfn.UNIQUE(_xlfn._xlws.FILTER(F_RT14[Amortz.],(F_RT14[Measure]="CurPpto")*(F_RT14[PrjId]=PptoSty[[#This Row],[Project]])*(F_RT14[Vrs]=PptoSty[[#This Row],[Vrs]])*(_xlfn.TEXTAFTER(F_RT14[ActGrp],":")=PptoSty[[#This Row],[PiRow]]),"X")))</f>
        <v>CELL</v>
      </c>
      <c r="P93" s="96" t="s">
        <v>1475</v>
      </c>
      <c r="Q93" s="96" t="s">
        <v>1275</v>
      </c>
      <c r="R93" s="204" t="s">
        <v>403</v>
      </c>
      <c r="S93" s="204">
        <v>1</v>
      </c>
      <c r="T93" s="205" cm="1">
        <f t="array" aca="1" ref="T9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93" s="206" cm="1">
        <f t="array" ref="U93">IFERROR((1/PptoSty[[#This Row],[Division]])*IF(PptoSty[[#This Row],[Sign]]="+",1,-1)*(IF(PptoSty[[#This Row],[POvsCT]]="PO",SUM(_xlfn.CHOOSECOLS(_xlfn._xlws.FILTER(F_RT14[],(IF($M93="X",TRUE,F_RT14[Site]=$M93))*(F_RT14[Measure]=U$4)*(F_RT14[PrjId]=PptoSty[[#This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2823.0540000000001</v>
      </c>
      <c r="V93" s="206" cm="1">
        <f t="array" ref="V93">IFERROR((1/PptoSty[[#This Row],[Division]])*IF(PptoSty[[#This Row],[Sign]]="+",1,-1)*(IF(PptoSty[[#This Row],[POvsCT]]="PO",SUM(_xlfn.CHOOSECOLS(_xlfn._xlws.FILTER(F_RT14[],(IF($M93="X",TRUE,F_RT14[Site]=$M93))*(F_RT14[Measure]=V$4)*(F_RT14[PrjId]=PptoSty[[#This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93" s="206" cm="1">
        <f t="array" ref="W93">IFERROR((1/PptoSty[[#This Row],[Division]])*IF(PptoSty[[#This Row],[Sign]]="+",1,-1)*(IF(PptoSty[[#This Row],[POvsCT]]="PO",SUM(_xlfn.CHOOSECOLS(_xlfn._xlws.FILTER(F_RT14[],(IF($M93="X",TRUE,F_RT14[Site]=$M93))*(F_RT14[Measure]=W$4)*(F_RT14[PrjId]=PptoSty[[#This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2823.0540000000001</v>
      </c>
      <c r="X93" s="338" cm="1">
        <f t="array" ref="X93">IFERROR(IF(PptoSty[[#This Row],[Nature]]&lt;&gt;"Hrs",0,(1/PptoSty[[#This Row],[Division]])*IF(PptoSty[[#This Row],[Sign]]="+",1,-1)*(IF(PptoSty[[#This Row],[POvsCT]]="PO",SUM(_xlfn.CHOOSECOLS(_xlfn._xlws.FILTER(F_RT14[],(IF($M93="X",TRUE,F_RT14[Site]=$M93))*(F_RT14[Measure]=X$4)*(F_RT14[PrjId]=PptoSty[[#This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93" s="338" cm="1">
        <f t="array" ref="Y93">IFERROR(IF(PptoSty[[#This Row],[Nature]]&lt;&gt;"Hrs",0,(1/PptoSty[[#This Row],[Division]])*IF(PptoSty[[#This Row],[Sign]]="+",1,-1)*(IF(PptoSty[[#This Row],[POvsCT]]="PO",SUM(_xlfn.CHOOSECOLS(_xlfn._xlws.FILTER(F_RT14[],(IF($M93="X",TRUE,F_RT14[Site]=$M93))*(F_RT14[Measure]=Y$4)*(F_RT14[PrjId]=PptoSty[[#This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93" s="338" cm="1">
        <f t="array" ref="Z93">IFERROR(IF(PptoSty[[#This Row],[Nature]]&lt;&gt;"Hrs",0,(1/PptoSty[[#This Row],[Division]])*IF(PptoSty[[#This Row],[Sign]]="+",1,-1)*(IF(PptoSty[[#This Row],[POvsCT]]="PO",SUM(_xlfn.CHOOSECOLS(_xlfn._xlws.FILTER(F_RT14[],(IF($M93="X",TRUE,F_RT14[Site]=$M93))*(F_RT14[Measure]=Z$4)*(F_RT14[PrjId]=PptoSty[[#This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93" s="412"/>
      <c r="AB93" s="412"/>
      <c r="AC93" s="412"/>
      <c r="AG93"/>
      <c r="AH93"/>
      <c r="AI93"/>
      <c r="AK93" s="113"/>
      <c r="AO93"/>
      <c r="AP93"/>
      <c r="AZ93" s="175"/>
      <c r="BA93" s="175"/>
      <c r="BE93"/>
      <c r="BF93"/>
      <c r="DG93" s="175"/>
      <c r="DH93" s="175"/>
      <c r="DI93" s="175"/>
      <c r="DL93" s="108"/>
      <c r="DM93" s="366" t="str" cm="1">
        <f t="array" aca="1" ref="DM93"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DN93:DV93</v>
      </c>
      <c r="DN93" s="177" t="s">
        <v>375</v>
      </c>
      <c r="DO93" s="177" t="str" cm="1">
        <f t="array" aca="1" ref="DO93:DV93"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93" s="177" t="str">
        <f ca="1"/>
        <v>DISEÑO MECÁNICO</v>
      </c>
      <c r="DQ93" s="177" t="str">
        <f ca="1"/>
        <v>FABRICACIÓN ELÉCTRICA</v>
      </c>
      <c r="DR93" s="177" t="str">
        <f ca="1"/>
        <v>FABRICACIÓN MECÁNICA</v>
      </c>
      <c r="DS93" s="177" t="str">
        <f ca="1"/>
        <v>INSTALACIÓN ENR</v>
      </c>
      <c r="DT93" s="177" t="str">
        <f ca="1"/>
        <v>MATERIAL ELÉCTRICO +%</v>
      </c>
      <c r="DU93" s="177" t="str">
        <f ca="1"/>
        <v>MATERIAL FLUIDOS +%</v>
      </c>
      <c r="DV93" s="177" t="str">
        <f ca="1"/>
        <v>MONTAJE MECÁNICO</v>
      </c>
      <c r="DW93" s="177"/>
      <c r="DX93" s="177"/>
      <c r="DY93" s="177"/>
      <c r="DZ93" s="177"/>
      <c r="EA93" s="177"/>
      <c r="EB93" s="177"/>
      <c r="EC93" s="177"/>
      <c r="ED93" s="177"/>
    </row>
    <row r="94" spans="3:134" ht="13" customHeight="1">
      <c r="C94" s="200">
        <v>45231</v>
      </c>
      <c r="D94" s="213" t="s">
        <v>2114</v>
      </c>
      <c r="E94" s="213" t="s">
        <v>1710</v>
      </c>
      <c r="F94" s="219" t="s">
        <v>375</v>
      </c>
      <c r="G94" s="201" t="s">
        <v>1416</v>
      </c>
      <c r="H94" s="202">
        <v>0</v>
      </c>
      <c r="I94" s="339" t="str" cm="1">
        <f t="array" aca="1" ref="I9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X002</v>
      </c>
      <c r="J94" s="203" t="str" cm="1">
        <f t="array" ref="J94">IF(OR(PptoSty[[#This Row],[Project]]="",PptoSty[[#This Row],[Project]]="X"),"X",_xlfn.UNIQUE(_xlfn._xlws.FILTER(CstGrpS[Nature],ISNUMBER(FIND(SUBSTITUTE(PptoSty[[#This Row],[PiColumn]]," +%",""),UPPER(SUBSTITUTE(CstGrpS[GrpPrv],"  "," ")))),"X")))</f>
        <v>Mat</v>
      </c>
      <c r="K94" s="96" t="s">
        <v>1628</v>
      </c>
      <c r="L94" s="96" t="s">
        <v>1647</v>
      </c>
      <c r="M94" s="96" t="s">
        <v>28</v>
      </c>
      <c r="N94" s="96" t="str" cm="1">
        <f t="array" ref="N94">IF(OR(PptoSty[[#This Row],[Project]]="",PptoSty[[#This Row],[Project]]="X"),"X",_xlfn._xlws.FILTER(TbAssign[RowId],(TbAssign[Project]=PptoSty[[#This Row],[Project]])*(TbAssign[Módulo]=PptoSty[[#This Row],[PptoVsRow]]),"X"))</f>
        <v>XD02</v>
      </c>
      <c r="O94" s="96" t="str" cm="1">
        <f t="array" ref="O94">IF(OR(PptoSty[[#This Row],[Project]]="",PptoSty[[#This Row],[Project]]="X"),"X",_xlfn.UNIQUE(_xlfn._xlws.FILTER(F_RT14[Amortz.],(F_RT14[Measure]="CurPpto")*(F_RT14[PrjId]=PptoSty[[#This Row],[Project]])*(F_RT14[Vrs]=PptoSty[[#This Row],[Vrs]])*(_xlfn.TEXTAFTER(F_RT14[ActGrp],":")=PptoSty[[#This Row],[PiRow]]),"X")))</f>
        <v>CELL</v>
      </c>
      <c r="P94" s="96" t="s">
        <v>1475</v>
      </c>
      <c r="Q94" s="96" t="s">
        <v>385</v>
      </c>
      <c r="R94" s="204" t="s">
        <v>403</v>
      </c>
      <c r="S94" s="204">
        <v>1</v>
      </c>
      <c r="T94" s="205" cm="1">
        <f t="array" aca="1" ref="T9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94" s="206" cm="1">
        <f t="array" ref="U94">IFERROR((1/PptoSty[[#This Row],[Division]])*IF(PptoSty[[#This Row],[Sign]]="+",1,-1)*(IF(PptoSty[[#This Row],[POvsCT]]="PO",SUM(_xlfn.CHOOSECOLS(_xlfn._xlws.FILTER(F_RT14[],(IF($M94="X",TRUE,F_RT14[Site]=$M94))*(F_RT14[Measure]=U$4)*(F_RT14[PrjId]=PptoSty[[#This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2245.326</v>
      </c>
      <c r="V94" s="206" cm="1">
        <f t="array" ref="V94">IFERROR((1/PptoSty[[#This Row],[Division]])*IF(PptoSty[[#This Row],[Sign]]="+",1,-1)*(IF(PptoSty[[#This Row],[POvsCT]]="PO",SUM(_xlfn.CHOOSECOLS(_xlfn._xlws.FILTER(F_RT14[],(IF($M94="X",TRUE,F_RT14[Site]=$M94))*(F_RT14[Measure]=V$4)*(F_RT14[PrjId]=PptoSty[[#This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94" s="206" cm="1">
        <f t="array" ref="W94">IFERROR((1/PptoSty[[#This Row],[Division]])*IF(PptoSty[[#This Row],[Sign]]="+",1,-1)*(IF(PptoSty[[#This Row],[POvsCT]]="PO",SUM(_xlfn.CHOOSECOLS(_xlfn._xlws.FILTER(F_RT14[],(IF($M94="X",TRUE,F_RT14[Site]=$M94))*(F_RT14[Measure]=W$4)*(F_RT14[PrjId]=PptoSty[[#This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2245.326</v>
      </c>
      <c r="X94" s="338" cm="1">
        <f t="array" ref="X94">IFERROR(IF(PptoSty[[#This Row],[Nature]]&lt;&gt;"Hrs",0,(1/PptoSty[[#This Row],[Division]])*IF(PptoSty[[#This Row],[Sign]]="+",1,-1)*(IF(PptoSty[[#This Row],[POvsCT]]="PO",SUM(_xlfn.CHOOSECOLS(_xlfn._xlws.FILTER(F_RT14[],(IF($M94="X",TRUE,F_RT14[Site]=$M94))*(F_RT14[Measure]=X$4)*(F_RT14[PrjId]=PptoSty[[#This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94" s="338" cm="1">
        <f t="array" ref="Y94">IFERROR(IF(PptoSty[[#This Row],[Nature]]&lt;&gt;"Hrs",0,(1/PptoSty[[#This Row],[Division]])*IF(PptoSty[[#This Row],[Sign]]="+",1,-1)*(IF(PptoSty[[#This Row],[POvsCT]]="PO",SUM(_xlfn.CHOOSECOLS(_xlfn._xlws.FILTER(F_RT14[],(IF($M94="X",TRUE,F_RT14[Site]=$M94))*(F_RT14[Measure]=Y$4)*(F_RT14[PrjId]=PptoSty[[#This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94" s="338" cm="1">
        <f t="array" ref="Z94">IFERROR(IF(PptoSty[[#This Row],[Nature]]&lt;&gt;"Hrs",0,(1/PptoSty[[#This Row],[Division]])*IF(PptoSty[[#This Row],[Sign]]="+",1,-1)*(IF(PptoSty[[#This Row],[POvsCT]]="PO",SUM(_xlfn.CHOOSECOLS(_xlfn._xlws.FILTER(F_RT14[],(IF($M94="X",TRUE,F_RT14[Site]=$M94))*(F_RT14[Measure]=Z$4)*(F_RT14[PrjId]=PptoSty[[#This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94" s="412"/>
      <c r="AB94" s="412"/>
      <c r="AC94" s="412"/>
      <c r="AG94"/>
      <c r="AH94"/>
      <c r="AI94"/>
      <c r="AK94" s="113"/>
      <c r="AO94"/>
      <c r="AP94"/>
      <c r="AZ94" s="175"/>
      <c r="BA94" s="175"/>
      <c r="BE94"/>
      <c r="BF94"/>
      <c r="DG94" s="175"/>
      <c r="DH94" s="175"/>
      <c r="DI94" s="175"/>
      <c r="DL94" s="108"/>
      <c r="DM94" s="366" t="str" cm="1">
        <f t="array" aca="1" ref="DM94"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DN94:DV94</v>
      </c>
      <c r="DN94" s="177" t="s">
        <v>375</v>
      </c>
      <c r="DO94" s="177" t="str" cm="1">
        <f t="array" aca="1" ref="DO94:DV94"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94" s="177" t="str">
        <f ca="1"/>
        <v>DISEÑO MECÁNICO</v>
      </c>
      <c r="DQ94" s="177" t="str">
        <f ca="1"/>
        <v>FABRICACIÓN ELÉCTRICA</v>
      </c>
      <c r="DR94" s="177" t="str">
        <f ca="1"/>
        <v>FABRICACIÓN MECÁNICA</v>
      </c>
      <c r="DS94" s="177" t="str">
        <f ca="1"/>
        <v>INSTALACIÓN ENR</v>
      </c>
      <c r="DT94" s="177" t="str">
        <f ca="1"/>
        <v>MATERIAL ELÉCTRICO +%</v>
      </c>
      <c r="DU94" s="177" t="str">
        <f ca="1"/>
        <v>MATERIAL FLUIDOS +%</v>
      </c>
      <c r="DV94" s="177" t="str">
        <f ca="1"/>
        <v>MONTAJE MECÁNICO</v>
      </c>
      <c r="DW94" s="177"/>
      <c r="DX94" s="177"/>
      <c r="DY94" s="177"/>
      <c r="DZ94" s="177"/>
      <c r="EA94" s="177"/>
      <c r="EB94" s="177"/>
      <c r="EC94" s="177"/>
      <c r="ED94" s="177"/>
    </row>
    <row r="95" spans="3:134" ht="13" customHeight="1">
      <c r="C95" s="200">
        <v>45231</v>
      </c>
      <c r="D95" s="213" t="s">
        <v>2114</v>
      </c>
      <c r="E95" s="213" t="s">
        <v>1710</v>
      </c>
      <c r="F95" s="219" t="s">
        <v>375</v>
      </c>
      <c r="G95" s="201" t="s">
        <v>1416</v>
      </c>
      <c r="H95" s="202">
        <v>0</v>
      </c>
      <c r="I95" s="339" t="str" cm="1">
        <f t="array" aca="1" ref="I9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G005</v>
      </c>
      <c r="J95" s="203" t="str" cm="1">
        <f t="array" ref="J95">IF(OR(PptoSty[[#This Row],[Project]]="",PptoSty[[#This Row],[Project]]="X"),"X",_xlfn.UNIQUE(_xlfn._xlws.FILTER(CstGrpS[Nature],ISNUMBER(FIND(SUBSTITUTE(PptoSty[[#This Row],[PiColumn]]," +%",""),UPPER(SUBSTITUTE(CstGrpS[GrpPrv],"  "," ")))),"X")))</f>
        <v>Hrs</v>
      </c>
      <c r="K95" s="96" t="s">
        <v>1284</v>
      </c>
      <c r="L95" s="96" t="s">
        <v>379</v>
      </c>
      <c r="M95" s="96" t="s">
        <v>375</v>
      </c>
      <c r="N95" s="96" t="str" cm="1">
        <f t="array" ref="N95">IF(OR(PptoSty[[#This Row],[Project]]="",PptoSty[[#This Row],[Project]]="X"),"X",_xlfn._xlws.FILTER(TbAssign[RowId],(TbAssign[Project]=PptoSty[[#This Row],[Project]])*(TbAssign[Módulo]=PptoSty[[#This Row],[PptoVsRow]]),"X"))</f>
        <v>XE02</v>
      </c>
      <c r="O95" s="96" t="str" cm="1">
        <f t="array" ref="O95">IF(OR(PptoSty[[#This Row],[Project]]="",PptoSty[[#This Row],[Project]]="X"),"X",_xlfn.UNIQUE(_xlfn._xlws.FILTER(F_RT14[Amortz.],(F_RT14[Measure]="CurPpto")*(F_RT14[PrjId]=PptoSty[[#This Row],[Project]])*(F_RT14[Vrs]=PptoSty[[#This Row],[Vrs]])*(_xlfn.TEXTAFTER(F_RT14[ActGrp],":")=PptoSty[[#This Row],[PiRow]]),"X")))</f>
        <v>PEMX</v>
      </c>
      <c r="P95" s="96" t="s">
        <v>298</v>
      </c>
      <c r="Q95" s="96" t="s">
        <v>380</v>
      </c>
      <c r="R95" s="204" t="s">
        <v>403</v>
      </c>
      <c r="S95" s="204">
        <v>1</v>
      </c>
      <c r="T95" s="205" t="str" cm="1">
        <f t="array" aca="1" ref="T9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95" s="206" cm="1">
        <f t="array" ref="U95">IFERROR((1/PptoSty[[#This Row],[Division]])*IF(PptoSty[[#This Row],[Sign]]="+",1,-1)*(IF(PptoSty[[#This Row],[POvsCT]]="PO",SUM(_xlfn.CHOOSECOLS(_xlfn._xlws.FILTER(F_RT14[],(IF($M95="X",TRUE,F_RT14[Site]=$M95))*(F_RT14[Measure]=U$4)*(F_RT14[PrjId]=PptoSty[[#This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14351.901958762886</v>
      </c>
      <c r="V95" s="206" cm="1">
        <f t="array" ref="V95">IFERROR((1/PptoSty[[#This Row],[Division]])*IF(PptoSty[[#This Row],[Sign]]="+",1,-1)*(IF(PptoSty[[#This Row],[POvsCT]]="PO",SUM(_xlfn.CHOOSECOLS(_xlfn._xlws.FILTER(F_RT14[],(IF($M95="X",TRUE,F_RT14[Site]=$M95))*(F_RT14[Measure]=V$4)*(F_RT14[PrjId]=PptoSty[[#This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1435.7076700000005</v>
      </c>
      <c r="W95" s="206" cm="1">
        <f t="array" ref="W95">IFERROR((1/PptoSty[[#This Row],[Division]])*IF(PptoSty[[#This Row],[Sign]]="+",1,-1)*(IF(PptoSty[[#This Row],[POvsCT]]="PO",SUM(_xlfn.CHOOSECOLS(_xlfn._xlws.FILTER(F_RT14[],(IF($M95="X",TRUE,F_RT14[Site]=$M95))*(F_RT14[Measure]=W$4)*(F_RT14[PrjId]=PptoSty[[#This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12485.637270000003</v>
      </c>
      <c r="X95" s="338" cm="1">
        <f t="array" ref="X95">IFERROR(IF(PptoSty[[#This Row],[Nature]]&lt;&gt;"Hrs",0,(1/PptoSty[[#This Row],[Division]])*IF(PptoSty[[#This Row],[Sign]]="+",1,-1)*(IF(PptoSty[[#This Row],[POvsCT]]="PO",SUM(_xlfn.CHOOSECOLS(_xlfn._xlws.FILTER(F_RT14[],(IF($M95="X",TRUE,F_RT14[Site]=$M95))*(F_RT14[Measure]=X$4)*(F_RT14[PrjId]=PptoSty[[#This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367.00000000000006</v>
      </c>
      <c r="Y95" s="338" cm="1">
        <f t="array" ref="Y95">IFERROR(IF(PptoSty[[#This Row],[Nature]]&lt;&gt;"Hrs",0,(1/PptoSty[[#This Row],[Division]])*IF(PptoSty[[#This Row],[Sign]]="+",1,-1)*(IF(PptoSty[[#This Row],[POvsCT]]="PO",SUM(_xlfn.CHOOSECOLS(_xlfn._xlws.FILTER(F_RT14[],(IF($M95="X",TRUE,F_RT14[Site]=$M95))*(F_RT14[Measure]=Y$4)*(F_RT14[PrjId]=PptoSty[[#This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35.599000000000011</v>
      </c>
      <c r="Z95" s="338" cm="1">
        <f t="array" ref="Z95">IFERROR(IF(PptoSty[[#This Row],[Nature]]&lt;&gt;"Hrs",0,(1/PptoSty[[#This Row],[Division]])*IF(PptoSty[[#This Row],[Sign]]="+",1,-1)*(IF(PptoSty[[#This Row],[POvsCT]]="PO",SUM(_xlfn.CHOOSECOLS(_xlfn._xlws.FILTER(F_RT14[],(IF($M95="X",TRUE,F_RT14[Site]=$M95))*(F_RT14[Measure]=Z$4)*(F_RT14[PrjId]=PptoSty[[#This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320.39100000000008</v>
      </c>
      <c r="AA95" s="412"/>
      <c r="AB95" s="412"/>
      <c r="AC95" s="412"/>
      <c r="AG95"/>
      <c r="AH95"/>
      <c r="AI95"/>
      <c r="AK95" s="113"/>
      <c r="AO95"/>
      <c r="AP95"/>
      <c r="AZ95" s="175"/>
      <c r="BA95" s="175"/>
      <c r="BE95"/>
      <c r="BF95"/>
      <c r="DG95" s="175"/>
      <c r="DH95" s="175"/>
      <c r="DI95" s="175"/>
      <c r="DL95" s="108"/>
      <c r="DM95" s="366" t="str" cm="1">
        <f t="array" aca="1" ref="DM9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DN95:DQ95</v>
      </c>
      <c r="DN95" s="177" t="s">
        <v>375</v>
      </c>
      <c r="DO95" s="177" t="str" cm="1">
        <f t="array" aca="1" ref="DO95:DQ9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FABRICACIÓN MECÁNICA</v>
      </c>
      <c r="DP95" s="177" t="str">
        <f ca="1"/>
        <v>GESTIÓN PROYECTOS</v>
      </c>
      <c r="DQ95" s="177" t="str">
        <f ca="1"/>
        <v>MONTAJE MECÁNICO</v>
      </c>
      <c r="DR95" s="177"/>
      <c r="DS95" s="177"/>
      <c r="DT95" s="177"/>
      <c r="DU95" s="177"/>
      <c r="DV95" s="177"/>
      <c r="DW95" s="177"/>
      <c r="DX95" s="177"/>
      <c r="DY95" s="177"/>
      <c r="DZ95" s="177"/>
      <c r="EA95" s="177"/>
      <c r="EB95" s="177"/>
      <c r="EC95" s="177"/>
      <c r="ED95" s="177"/>
    </row>
    <row r="96" spans="3:134" ht="13" customHeight="1">
      <c r="C96" s="200">
        <v>45231</v>
      </c>
      <c r="D96" s="213" t="s">
        <v>2114</v>
      </c>
      <c r="E96" s="213" t="s">
        <v>1710</v>
      </c>
      <c r="F96" s="219" t="s">
        <v>375</v>
      </c>
      <c r="G96" s="201" t="s">
        <v>1416</v>
      </c>
      <c r="H96" s="202">
        <v>0</v>
      </c>
      <c r="I96" s="339" t="str" cm="1">
        <f t="array" aca="1" ref="I9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G005</v>
      </c>
      <c r="J96" s="203" t="str" cm="1">
        <f t="array" ref="J96">IF(OR(PptoSty[[#This Row],[Project]]="",PptoSty[[#This Row],[Project]]="X"),"X",_xlfn.UNIQUE(_xlfn._xlws.FILTER(CstGrpS[Nature],ISNUMBER(FIND(SUBSTITUTE(PptoSty[[#This Row],[PiColumn]]," +%",""),UPPER(SUBSTITUTE(CstGrpS[GrpPrv],"  "," ")))),"X")))</f>
        <v>Hrs</v>
      </c>
      <c r="K96" s="96" t="s">
        <v>1284</v>
      </c>
      <c r="L96" s="96" t="s">
        <v>380</v>
      </c>
      <c r="M96" s="96" t="s">
        <v>375</v>
      </c>
      <c r="N96" s="96" t="str" cm="1">
        <f t="array" ref="N96">IF(OR(PptoSty[[#This Row],[Project]]="",PptoSty[[#This Row],[Project]]="X"),"X",_xlfn._xlws.FILTER(TbAssign[RowId],(TbAssign[Project]=PptoSty[[#This Row],[Project]])*(TbAssign[Módulo]=PptoSty[[#This Row],[PptoVsRow]]),"X"))</f>
        <v>XE02</v>
      </c>
      <c r="O96" s="96" t="str" cm="1">
        <f t="array" ref="O96">IF(OR(PptoSty[[#This Row],[Project]]="",PptoSty[[#This Row],[Project]]="X"),"X",_xlfn.UNIQUE(_xlfn._xlws.FILTER(F_RT14[Amortz.],(F_RT14[Measure]="CurPpto")*(F_RT14[PrjId]=PptoSty[[#This Row],[Project]])*(F_RT14[Vrs]=PptoSty[[#This Row],[Vrs]])*(_xlfn.TEXTAFTER(F_RT14[ActGrp],":")=PptoSty[[#This Row],[PiRow]]),"X")))</f>
        <v>PEMX</v>
      </c>
      <c r="P96" s="96" t="s">
        <v>298</v>
      </c>
      <c r="Q96" s="96" t="s">
        <v>380</v>
      </c>
      <c r="R96" s="204" t="s">
        <v>403</v>
      </c>
      <c r="S96" s="204">
        <v>1</v>
      </c>
      <c r="T96" s="205" t="str" cm="1">
        <f t="array" aca="1" ref="T9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96" s="206" cm="1">
        <f t="array" ref="U96">IFERROR((1/PptoSty[[#This Row],[Division]])*IF(PptoSty[[#This Row],[Sign]]="+",1,-1)*(IF(PptoSty[[#This Row],[POvsCT]]="PO",SUM(_xlfn.CHOOSECOLS(_xlfn._xlws.FILTER(F_RT14[],(IF($M96="X",TRUE,F_RT14[Site]=$M96))*(F_RT14[Measure]=U$4)*(F_RT14[PrjId]=PptoSty[[#This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11060.711958762888</v>
      </c>
      <c r="V96" s="206" cm="1">
        <f t="array" ref="V96">IFERROR((1/PptoSty[[#This Row],[Division]])*IF(PptoSty[[#This Row],[Sign]]="+",1,-1)*(IF(PptoSty[[#This Row],[POvsCT]]="PO",SUM(_xlfn.CHOOSECOLS(_xlfn._xlws.FILTER(F_RT14[],(IF($M96="X",TRUE,F_RT14[Site]=$M96))*(F_RT14[Measure]=V$4)*(F_RT14[PrjId]=PptoSty[[#This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6085.7761200000004</v>
      </c>
      <c r="W96" s="206" cm="1">
        <f t="array" ref="W96">IFERROR((1/PptoSty[[#This Row],[Division]])*IF(PptoSty[[#This Row],[Sign]]="+",1,-1)*(IF(PptoSty[[#This Row],[POvsCT]]="PO",SUM(_xlfn.CHOOSECOLS(_xlfn._xlws.FILTER(F_RT14[],(IF($M96="X",TRUE,F_RT14[Site]=$M96))*(F_RT14[Measure]=W$4)*(F_RT14[PrjId]=PptoSty[[#This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10493.80047</v>
      </c>
      <c r="X96" s="338" cm="1">
        <f t="array" ref="X96">IFERROR(IF(PptoSty[[#This Row],[Nature]]&lt;&gt;"Hrs",0,(1/PptoSty[[#This Row],[Division]])*IF(PptoSty[[#This Row],[Sign]]="+",1,-1)*(IF(PptoSty[[#This Row],[POvsCT]]="PO",SUM(_xlfn.CHOOSECOLS(_xlfn._xlws.FILTER(F_RT14[],(IF($M96="X",TRUE,F_RT14[Site]=$M96))*(F_RT14[Measure]=X$4)*(F_RT14[PrjId]=PptoSty[[#This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376.50000000000006</v>
      </c>
      <c r="Y96" s="338" cm="1">
        <f t="array" ref="Y96">IFERROR(IF(PptoSty[[#This Row],[Nature]]&lt;&gt;"Hrs",0,(1/PptoSty[[#This Row],[Division]])*IF(PptoSty[[#This Row],[Sign]]="+",1,-1)*(IF(PptoSty[[#This Row],[POvsCT]]="PO",SUM(_xlfn.CHOOSECOLS(_xlfn._xlws.FILTER(F_RT14[],(IF($M96="X",TRUE,F_RT14[Site]=$M96))*(F_RT14[Measure]=Y$4)*(F_RT14[PrjId]=PptoSty[[#This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146.08200000000002</v>
      </c>
      <c r="Z96" s="338" cm="1">
        <f t="array" ref="Z96">IFERROR(IF(PptoSty[[#This Row],[Nature]]&lt;&gt;"Hrs",0,(1/PptoSty[[#This Row],[Division]])*IF(PptoSty[[#This Row],[Sign]]="+",1,-1)*(IF(PptoSty[[#This Row],[POvsCT]]="PO",SUM(_xlfn.CHOOSECOLS(_xlfn._xlws.FILTER(F_RT14[],(IF($M96="X",TRUE,F_RT14[Site]=$M96))*(F_RT14[Measure]=Z$4)*(F_RT14[PrjId]=PptoSty[[#This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219.12300000000002</v>
      </c>
      <c r="AA96" s="412"/>
      <c r="AB96" s="412"/>
      <c r="AC96" s="412"/>
      <c r="AG96"/>
      <c r="AH96"/>
      <c r="AI96"/>
      <c r="AK96" s="113"/>
      <c r="AO96"/>
      <c r="AP96"/>
      <c r="AZ96" s="175"/>
      <c r="BA96" s="175"/>
      <c r="BE96"/>
      <c r="BF96"/>
      <c r="DG96" s="175"/>
      <c r="DH96" s="175"/>
      <c r="DI96" s="175"/>
      <c r="DL96" s="108"/>
      <c r="DM96" s="366" t="str" cm="1">
        <f t="array" aca="1" ref="DM9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DN96:DQ96</v>
      </c>
      <c r="DN96" s="177" t="s">
        <v>375</v>
      </c>
      <c r="DO96" s="177" t="str" cm="1">
        <f t="array" aca="1" ref="DO96:DQ9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FABRICACIÓN MECÁNICA</v>
      </c>
      <c r="DP96" s="177" t="str">
        <f ca="1"/>
        <v>GESTIÓN PROYECTOS</v>
      </c>
      <c r="DQ96" s="177" t="str">
        <f ca="1"/>
        <v>MONTAJE MECÁNICO</v>
      </c>
      <c r="DR96" s="177"/>
      <c r="DS96" s="177"/>
      <c r="DT96" s="177"/>
      <c r="DU96" s="177"/>
      <c r="DV96" s="177"/>
      <c r="DW96" s="177"/>
      <c r="DX96" s="177"/>
      <c r="DY96" s="177"/>
      <c r="DZ96" s="177"/>
      <c r="EA96" s="177"/>
      <c r="EB96" s="177"/>
      <c r="EC96" s="177"/>
      <c r="ED96" s="177"/>
    </row>
    <row r="97" spans="3:134" ht="13" customHeight="1">
      <c r="C97" s="200">
        <v>45231</v>
      </c>
      <c r="D97" s="213" t="s">
        <v>2114</v>
      </c>
      <c r="E97" s="213" t="s">
        <v>1711</v>
      </c>
      <c r="F97" s="219">
        <v>1</v>
      </c>
      <c r="G97" s="201" t="s">
        <v>1416</v>
      </c>
      <c r="H97" s="202" t="s">
        <v>375</v>
      </c>
      <c r="I97" s="339" t="str" cm="1">
        <f t="array" aca="1" ref="I9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97" s="203" t="str" cm="1">
        <f t="array" ref="J97">IF(OR(PptoSty[[#This Row],[Project]]="",PptoSty[[#This Row],[Project]]="X"),"X",_xlfn.UNIQUE(_xlfn._xlws.FILTER(CstGrpS[Nature],ISNUMBER(FIND(SUBSTITUTE(PptoSty[[#This Row],[PiColumn]]," +%",""),UPPER(SUBSTITUTE(CstGrpS[GrpPrv],"  "," ")))),"X")))</f>
        <v>Mat</v>
      </c>
      <c r="K97" s="96" t="s">
        <v>375</v>
      </c>
      <c r="L97" s="96" t="s">
        <v>1639</v>
      </c>
      <c r="M97" s="96" t="s">
        <v>375</v>
      </c>
      <c r="N97" s="96" t="str" cm="1">
        <f t="array" ref="N97">IF(OR(PptoSty[[#This Row],[Project]]="",PptoSty[[#This Row],[Project]]="X"),"X",_xlfn._xlws.FILTER(TbAssign[RowId],(TbAssign[Project]=PptoSty[[#This Row],[Project]])*(TbAssign[Módulo]=PptoSty[[#This Row],[PptoVsRow]]),"X"))</f>
        <v>XC02</v>
      </c>
      <c r="O97" s="96" t="str" cm="1">
        <f t="array" ref="O97">IF(OR(PptoSty[[#This Row],[Project]]="",PptoSty[[#This Row],[Project]]="X"),"X",_xlfn.UNIQUE(_xlfn._xlws.FILTER(F_RT14[Amortz.],(F_RT14[Measure]="CurPpto")*(F_RT14[PrjId]=PptoSty[[#This Row],[Project]])*(F_RT14[Vrs]=PptoSty[[#This Row],[Vrs]])*(_xlfn.TEXTAFTER(F_RT14[ActGrp],":")=PptoSty[[#This Row],[PiRow]]),"X")))</f>
        <v>X</v>
      </c>
      <c r="P97" s="96" t="s">
        <v>1473</v>
      </c>
      <c r="Q97" s="96" t="s">
        <v>1670</v>
      </c>
      <c r="R97" s="204" t="s">
        <v>403</v>
      </c>
      <c r="S97" s="204">
        <v>1</v>
      </c>
      <c r="T97" s="205" t="str" cm="1">
        <f t="array" aca="1" ref="T9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97" s="206" t="str" cm="1">
        <f t="array" aca="1" ref="U97" ca="1">IFERROR((1/PptoSty[[#This Row],[Division]])*IF(PptoSty[[#This Row],[Sign]]="+",1,-1)*(IF(PptoSty[[#This Row],[POvsCT]]="PO",SUM(_xlfn.CHOOSECOLS(_xlfn._xlws.FILTER(F_RT14[],(IF($M97="X",TRUE,F_RT14[Site]=$M97))*(F_RT14[Measure]=U$4)*(F_RT14[PrjId]=PptoSty[[#This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97" s="206" cm="1">
        <f t="array" aca="1" ref="V97" ca="1">IFERROR((1/PptoSty[[#This Row],[Division]])*IF(PptoSty[[#This Row],[Sign]]="+",1,-1)*(IF(PptoSty[[#This Row],[POvsCT]]="PO",SUM(_xlfn.CHOOSECOLS(_xlfn._xlws.FILTER(F_RT14[],(IF($M97="X",TRUE,F_RT14[Site]=$M97))*(F_RT14[Measure]=V$4)*(F_RT14[PrjId]=PptoSty[[#This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97" s="206" cm="1">
        <f t="array" aca="1" ref="W97" ca="1">IFERROR((1/PptoSty[[#This Row],[Division]])*IF(PptoSty[[#This Row],[Sign]]="+",1,-1)*(IF(PptoSty[[#This Row],[POvsCT]]="PO",SUM(_xlfn.CHOOSECOLS(_xlfn._xlws.FILTER(F_RT14[],(IF($M97="X",TRUE,F_RT14[Site]=$M97))*(F_RT14[Measure]=W$4)*(F_RT14[PrjId]=PptoSty[[#This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97" s="338" cm="1">
        <f t="array" ref="X97">IFERROR(IF(PptoSty[[#This Row],[Nature]]&lt;&gt;"Hrs",0,(1/PptoSty[[#This Row],[Division]])*IF(PptoSty[[#This Row],[Sign]]="+",1,-1)*(IF(PptoSty[[#This Row],[POvsCT]]="PO",SUM(_xlfn.CHOOSECOLS(_xlfn._xlws.FILTER(F_RT14[],(IF($M97="X",TRUE,F_RT14[Site]=$M97))*(F_RT14[Measure]=X$4)*(F_RT14[PrjId]=PptoSty[[#This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97" s="338" cm="1">
        <f t="array" ref="Y97">IFERROR(IF(PptoSty[[#This Row],[Nature]]&lt;&gt;"Hrs",0,(1/PptoSty[[#This Row],[Division]])*IF(PptoSty[[#This Row],[Sign]]="+",1,-1)*(IF(PptoSty[[#This Row],[POvsCT]]="PO",SUM(_xlfn.CHOOSECOLS(_xlfn._xlws.FILTER(F_RT14[],(IF($M97="X",TRUE,F_RT14[Site]=$M97))*(F_RT14[Measure]=Y$4)*(F_RT14[PrjId]=PptoSty[[#This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97" s="338" cm="1">
        <f t="array" ref="Z97">IFERROR(IF(PptoSty[[#This Row],[Nature]]&lt;&gt;"Hrs",0,(1/PptoSty[[#This Row],[Division]])*IF(PptoSty[[#This Row],[Sign]]="+",1,-1)*(IF(PptoSty[[#This Row],[POvsCT]]="PO",SUM(_xlfn.CHOOSECOLS(_xlfn._xlws.FILTER(F_RT14[],(IF($M97="X",TRUE,F_RT14[Site]=$M97))*(F_RT14[Measure]=Z$4)*(F_RT14[PrjId]=PptoSty[[#This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97" s="412"/>
      <c r="AB97" s="412"/>
      <c r="AC97" s="412"/>
      <c r="AG97"/>
      <c r="AH97"/>
      <c r="AI97"/>
      <c r="AK97" s="113"/>
      <c r="AO97"/>
      <c r="AP97"/>
      <c r="AZ97" s="175"/>
      <c r="BA97" s="175"/>
      <c r="BE97"/>
      <c r="BF97"/>
      <c r="DG97" s="175"/>
      <c r="DH97" s="175"/>
      <c r="DI97" s="175"/>
      <c r="DL97" s="108"/>
      <c r="DM97" s="366" t="str" cm="1">
        <f t="array" aca="1" ref="DM9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DN97:DO97</v>
      </c>
      <c r="DN97" s="177" t="s">
        <v>375</v>
      </c>
      <c r="DO97" s="177" t="str" cm="1">
        <f t="array" aca="1" ref="DO9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97" s="177"/>
      <c r="DQ97" s="177"/>
      <c r="DR97" s="177"/>
      <c r="DS97" s="177"/>
      <c r="DT97" s="177"/>
      <c r="DU97" s="177"/>
      <c r="DV97" s="177"/>
      <c r="DW97" s="177"/>
      <c r="DX97" s="177"/>
      <c r="DY97" s="177"/>
      <c r="DZ97" s="177"/>
      <c r="EA97" s="177"/>
      <c r="EB97" s="177"/>
      <c r="EC97" s="177"/>
      <c r="ED97" s="177"/>
    </row>
    <row r="98" spans="3:134" ht="13" customHeight="1">
      <c r="C98" s="200">
        <v>45231</v>
      </c>
      <c r="D98" s="213" t="s">
        <v>2114</v>
      </c>
      <c r="E98" s="213" t="s">
        <v>1711</v>
      </c>
      <c r="F98" s="219">
        <v>3</v>
      </c>
      <c r="G98" s="201" t="s">
        <v>1416</v>
      </c>
      <c r="H98" s="202" t="s">
        <v>375</v>
      </c>
      <c r="I98" s="339" t="str" cm="1">
        <f t="array" aca="1" ref="I9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98" s="203" t="str" cm="1">
        <f t="array" ref="J98">IF(OR(PptoSty[[#This Row],[Project]]="",PptoSty[[#This Row],[Project]]="X"),"X",_xlfn.UNIQUE(_xlfn._xlws.FILTER(CstGrpS[Nature],ISNUMBER(FIND(SUBSTITUTE(PptoSty[[#This Row],[PiColumn]]," +%",""),UPPER(SUBSTITUTE(CstGrpS[GrpPrv],"  "," ")))),"X")))</f>
        <v>Hrs</v>
      </c>
      <c r="K98" s="96" t="s">
        <v>375</v>
      </c>
      <c r="L98" s="96" t="s">
        <v>1274</v>
      </c>
      <c r="M98" s="96" t="s">
        <v>375</v>
      </c>
      <c r="N98" s="96" t="str" cm="1">
        <f t="array" ref="N98">IF(OR(PptoSty[[#This Row],[Project]]="",PptoSty[[#This Row],[Project]]="X"),"X",_xlfn._xlws.FILTER(TbAssign[RowId],(TbAssign[Project]=PptoSty[[#This Row],[Project]])*(TbAssign[Módulo]=PptoSty[[#This Row],[PptoVsRow]]),"X"))</f>
        <v>XB04</v>
      </c>
      <c r="O98" s="96" t="str" cm="1">
        <f t="array" ref="O98">IF(OR(PptoSty[[#This Row],[Project]]="",PptoSty[[#This Row],[Project]]="X"),"X",_xlfn.UNIQUE(_xlfn._xlws.FILTER(F_RT14[Amortz.],(F_RT14[Measure]="CurPpto")*(F_RT14[PrjId]=PptoSty[[#This Row],[Project]])*(F_RT14[Vrs]=PptoSty[[#This Row],[Vrs]])*(_xlfn.TEXTAFTER(F_RT14[ActGrp],":")=PptoSty[[#This Row],[PiRow]]),"X")))</f>
        <v>X</v>
      </c>
      <c r="P98" s="96" t="s">
        <v>1468</v>
      </c>
      <c r="Q98" s="96" t="s">
        <v>1274</v>
      </c>
      <c r="R98" s="204" t="s">
        <v>403</v>
      </c>
      <c r="S98" s="204">
        <v>1</v>
      </c>
      <c r="T98" s="205" t="str" cm="1">
        <f t="array" aca="1" ref="T9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98" s="206" t="str" cm="1">
        <f t="array" aca="1" ref="U98" ca="1">IFERROR((1/PptoSty[[#This Row],[Division]])*IF(PptoSty[[#This Row],[Sign]]="+",1,-1)*(IF(PptoSty[[#This Row],[POvsCT]]="PO",SUM(_xlfn.CHOOSECOLS(_xlfn._xlws.FILTER(F_RT14[],(IF($M98="X",TRUE,F_RT14[Site]=$M98))*(F_RT14[Measure]=U$4)*(F_RT14[PrjId]=PptoSty[[#This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98" s="206" cm="1">
        <f t="array" aca="1" ref="V98" ca="1">IFERROR((1/PptoSty[[#This Row],[Division]])*IF(PptoSty[[#This Row],[Sign]]="+",1,-1)*(IF(PptoSty[[#This Row],[POvsCT]]="PO",SUM(_xlfn.CHOOSECOLS(_xlfn._xlws.FILTER(F_RT14[],(IF($M98="X",TRUE,F_RT14[Site]=$M98))*(F_RT14[Measure]=V$4)*(F_RT14[PrjId]=PptoSty[[#This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98" s="206" cm="1">
        <f t="array" aca="1" ref="W98" ca="1">IFERROR((1/PptoSty[[#This Row],[Division]])*IF(PptoSty[[#This Row],[Sign]]="+",1,-1)*(IF(PptoSty[[#This Row],[POvsCT]]="PO",SUM(_xlfn.CHOOSECOLS(_xlfn._xlws.FILTER(F_RT14[],(IF($M98="X",TRUE,F_RT14[Site]=$M98))*(F_RT14[Measure]=W$4)*(F_RT14[PrjId]=PptoSty[[#This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98" s="338" t="str" cm="1">
        <f t="array" aca="1" ref="X98" ca="1">IFERROR(IF(PptoSty[[#This Row],[Nature]]&lt;&gt;"Hrs",0,(1/PptoSty[[#This Row],[Division]])*IF(PptoSty[[#This Row],[Sign]]="+",1,-1)*(IF(PptoSty[[#This Row],[POvsCT]]="PO",SUM(_xlfn.CHOOSECOLS(_xlfn._xlws.FILTER(F_RT14[],(IF($M98="X",TRUE,F_RT14[Site]=$M98))*(F_RT14[Measure]=X$4)*(F_RT14[PrjId]=PptoSty[[#This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98" s="338" cm="1">
        <f t="array" aca="1" ref="Y98" ca="1">IFERROR(IF(PptoSty[[#This Row],[Nature]]&lt;&gt;"Hrs",0,(1/PptoSty[[#This Row],[Division]])*IF(PptoSty[[#This Row],[Sign]]="+",1,-1)*(IF(PptoSty[[#This Row],[POvsCT]]="PO",SUM(_xlfn.CHOOSECOLS(_xlfn._xlws.FILTER(F_RT14[],(IF($M98="X",TRUE,F_RT14[Site]=$M98))*(F_RT14[Measure]=Y$4)*(F_RT14[PrjId]=PptoSty[[#This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98" s="338" cm="1">
        <f t="array" aca="1" ref="Z98" ca="1">IFERROR(IF(PptoSty[[#This Row],[Nature]]&lt;&gt;"Hrs",0,(1/PptoSty[[#This Row],[Division]])*IF(PptoSty[[#This Row],[Sign]]="+",1,-1)*(IF(PptoSty[[#This Row],[POvsCT]]="PO",SUM(_xlfn.CHOOSECOLS(_xlfn._xlws.FILTER(F_RT14[],(IF($M98="X",TRUE,F_RT14[Site]=$M98))*(F_RT14[Measure]=Z$4)*(F_RT14[PrjId]=PptoSty[[#This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98" s="412"/>
      <c r="AB98" s="412"/>
      <c r="AC98" s="412"/>
      <c r="AG98"/>
      <c r="AH98"/>
      <c r="AI98"/>
      <c r="AK98" s="113"/>
      <c r="AO98"/>
      <c r="AP98"/>
      <c r="AZ98" s="175"/>
      <c r="BA98" s="175"/>
      <c r="BE98"/>
      <c r="BF98"/>
      <c r="DG98" s="175"/>
      <c r="DH98" s="175"/>
      <c r="DI98" s="175"/>
      <c r="DL98" s="108"/>
      <c r="DM98" s="366" t="str" cm="1">
        <f t="array" aca="1" ref="DM9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DN98:DO98</v>
      </c>
      <c r="DN98" s="177" t="s">
        <v>375</v>
      </c>
      <c r="DO98" s="177" t="str" cm="1">
        <f t="array" aca="1" ref="DO9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98" s="177"/>
      <c r="DQ98" s="177"/>
      <c r="DR98" s="177"/>
      <c r="DS98" s="177"/>
      <c r="DT98" s="177"/>
      <c r="DU98" s="177"/>
      <c r="DV98" s="177"/>
      <c r="DW98" s="177"/>
      <c r="DX98" s="177"/>
      <c r="DY98" s="177"/>
      <c r="DZ98" s="177"/>
      <c r="EA98" s="177"/>
      <c r="EB98" s="177"/>
      <c r="EC98" s="177"/>
      <c r="ED98" s="177"/>
    </row>
    <row r="99" spans="3:134" ht="13" customHeight="1">
      <c r="C99" s="200">
        <v>45231</v>
      </c>
      <c r="D99" s="213" t="s">
        <v>2114</v>
      </c>
      <c r="E99" s="213" t="s">
        <v>1711</v>
      </c>
      <c r="F99" s="219">
        <v>3</v>
      </c>
      <c r="G99" s="201" t="s">
        <v>1416</v>
      </c>
      <c r="H99" s="202" t="s">
        <v>375</v>
      </c>
      <c r="I99" s="339" t="str" cm="1">
        <f t="array" aca="1" ref="I9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99" s="203" t="str" cm="1">
        <f t="array" ref="J99">IF(OR(PptoSty[[#This Row],[Project]]="",PptoSty[[#This Row],[Project]]="X"),"X",_xlfn.UNIQUE(_xlfn._xlws.FILTER(CstGrpS[Nature],ISNUMBER(FIND(SUBSTITUTE(PptoSty[[#This Row],[PiColumn]]," +%",""),UPPER(SUBSTITUTE(CstGrpS[GrpPrv],"  "," ")))),"X")))</f>
        <v>Hrs</v>
      </c>
      <c r="K99" s="96" t="s">
        <v>375</v>
      </c>
      <c r="L99" s="96" t="s">
        <v>360</v>
      </c>
      <c r="M99" s="96" t="s">
        <v>375</v>
      </c>
      <c r="N99" s="96" t="str" cm="1">
        <f t="array" ref="N99">IF(OR(PptoSty[[#This Row],[Project]]="",PptoSty[[#This Row],[Project]]="X"),"X",_xlfn._xlws.FILTER(TbAssign[RowId],(TbAssign[Project]=PptoSty[[#This Row],[Project]])*(TbAssign[Módulo]=PptoSty[[#This Row],[PptoVsRow]]),"X"))</f>
        <v>XB04</v>
      </c>
      <c r="O99" s="96" t="str" cm="1">
        <f t="array" ref="O99">IF(OR(PptoSty[[#This Row],[Project]]="",PptoSty[[#This Row],[Project]]="X"),"X",_xlfn.UNIQUE(_xlfn._xlws.FILTER(F_RT14[Amortz.],(F_RT14[Measure]="CurPpto")*(F_RT14[PrjId]=PptoSty[[#This Row],[Project]])*(F_RT14[Vrs]=PptoSty[[#This Row],[Vrs]])*(_xlfn.TEXTAFTER(F_RT14[ActGrp],":")=PptoSty[[#This Row],[PiRow]]),"X")))</f>
        <v>X</v>
      </c>
      <c r="P99" s="96" t="s">
        <v>1468</v>
      </c>
      <c r="Q99" s="96" t="s">
        <v>360</v>
      </c>
      <c r="R99" s="204" t="s">
        <v>403</v>
      </c>
      <c r="S99" s="204">
        <v>1</v>
      </c>
      <c r="T99" s="205" t="str" cm="1">
        <f t="array" aca="1" ref="T9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99" s="206" t="str" cm="1">
        <f t="array" aca="1" ref="U99" ca="1">IFERROR((1/PptoSty[[#This Row],[Division]])*IF(PptoSty[[#This Row],[Sign]]="+",1,-1)*(IF(PptoSty[[#This Row],[POvsCT]]="PO",SUM(_xlfn.CHOOSECOLS(_xlfn._xlws.FILTER(F_RT14[],(IF($M99="X",TRUE,F_RT14[Site]=$M99))*(F_RT14[Measure]=U$4)*(F_RT14[PrjId]=PptoSty[[#This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99" s="206" cm="1">
        <f t="array" aca="1" ref="V99" ca="1">IFERROR((1/PptoSty[[#This Row],[Division]])*IF(PptoSty[[#This Row],[Sign]]="+",1,-1)*(IF(PptoSty[[#This Row],[POvsCT]]="PO",SUM(_xlfn.CHOOSECOLS(_xlfn._xlws.FILTER(F_RT14[],(IF($M99="X",TRUE,F_RT14[Site]=$M99))*(F_RT14[Measure]=V$4)*(F_RT14[PrjId]=PptoSty[[#This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99" s="206" cm="1">
        <f t="array" aca="1" ref="W99" ca="1">IFERROR((1/PptoSty[[#This Row],[Division]])*IF(PptoSty[[#This Row],[Sign]]="+",1,-1)*(IF(PptoSty[[#This Row],[POvsCT]]="PO",SUM(_xlfn.CHOOSECOLS(_xlfn._xlws.FILTER(F_RT14[],(IF($M99="X",TRUE,F_RT14[Site]=$M99))*(F_RT14[Measure]=W$4)*(F_RT14[PrjId]=PptoSty[[#This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99" s="338" t="str" cm="1">
        <f t="array" aca="1" ref="X99" ca="1">IFERROR(IF(PptoSty[[#This Row],[Nature]]&lt;&gt;"Hrs",0,(1/PptoSty[[#This Row],[Division]])*IF(PptoSty[[#This Row],[Sign]]="+",1,-1)*(IF(PptoSty[[#This Row],[POvsCT]]="PO",SUM(_xlfn.CHOOSECOLS(_xlfn._xlws.FILTER(F_RT14[],(IF($M99="X",TRUE,F_RT14[Site]=$M99))*(F_RT14[Measure]=X$4)*(F_RT14[PrjId]=PptoSty[[#This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99" s="338" cm="1">
        <f t="array" aca="1" ref="Y99" ca="1">IFERROR(IF(PptoSty[[#This Row],[Nature]]&lt;&gt;"Hrs",0,(1/PptoSty[[#This Row],[Division]])*IF(PptoSty[[#This Row],[Sign]]="+",1,-1)*(IF(PptoSty[[#This Row],[POvsCT]]="PO",SUM(_xlfn.CHOOSECOLS(_xlfn._xlws.FILTER(F_RT14[],(IF($M99="X",TRUE,F_RT14[Site]=$M99))*(F_RT14[Measure]=Y$4)*(F_RT14[PrjId]=PptoSty[[#This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99" s="338" cm="1">
        <f t="array" aca="1" ref="Z99" ca="1">IFERROR(IF(PptoSty[[#This Row],[Nature]]&lt;&gt;"Hrs",0,(1/PptoSty[[#This Row],[Division]])*IF(PptoSty[[#This Row],[Sign]]="+",1,-1)*(IF(PptoSty[[#This Row],[POvsCT]]="PO",SUM(_xlfn.CHOOSECOLS(_xlfn._xlws.FILTER(F_RT14[],(IF($M99="X",TRUE,F_RT14[Site]=$M99))*(F_RT14[Measure]=Z$4)*(F_RT14[PrjId]=PptoSty[[#This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99" s="412"/>
      <c r="AB99" s="412"/>
      <c r="AC99" s="412"/>
      <c r="AG99"/>
      <c r="AH99"/>
      <c r="AI99"/>
      <c r="AK99" s="113"/>
      <c r="AO99"/>
      <c r="AP99"/>
      <c r="AZ99" s="175"/>
      <c r="BA99" s="175"/>
      <c r="BE99"/>
      <c r="BF99"/>
      <c r="DG99" s="175"/>
      <c r="DH99" s="175"/>
      <c r="DI99" s="175"/>
      <c r="DL99" s="108"/>
      <c r="DM99" s="366" t="str" cm="1">
        <f t="array" aca="1" ref="DM99"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DN99:DO99</v>
      </c>
      <c r="DN99" s="177" t="s">
        <v>375</v>
      </c>
      <c r="DO99" s="177" t="str" cm="1">
        <f t="array" aca="1" ref="DO99"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99" s="177"/>
      <c r="DQ99" s="177"/>
      <c r="DR99" s="177"/>
      <c r="DS99" s="177"/>
      <c r="DT99" s="177"/>
      <c r="DU99" s="177"/>
      <c r="DV99" s="177"/>
      <c r="DW99" s="177"/>
      <c r="DX99" s="177"/>
      <c r="DY99" s="177"/>
      <c r="DZ99" s="177"/>
      <c r="EA99" s="177"/>
      <c r="EB99" s="177"/>
      <c r="EC99" s="177"/>
      <c r="ED99" s="177"/>
    </row>
    <row r="100" spans="3:134" ht="13" customHeight="1">
      <c r="C100" s="200">
        <v>45231</v>
      </c>
      <c r="D100" s="213" t="s">
        <v>2114</v>
      </c>
      <c r="E100" s="213" t="s">
        <v>1711</v>
      </c>
      <c r="F100" s="219">
        <v>3</v>
      </c>
      <c r="G100" s="201" t="s">
        <v>1416</v>
      </c>
      <c r="H100" s="202" t="s">
        <v>375</v>
      </c>
      <c r="I100" s="339" t="str" cm="1">
        <f t="array" aca="1" ref="I10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00" s="203" t="str" cm="1">
        <f t="array" ref="J100">IF(OR(PptoSty[[#This Row],[Project]]="",PptoSty[[#This Row],[Project]]="X"),"X",_xlfn.UNIQUE(_xlfn._xlws.FILTER(CstGrpS[Nature],ISNUMBER(FIND(SUBSTITUTE(PptoSty[[#This Row],[PiColumn]]," +%",""),UPPER(SUBSTITUTE(CstGrpS[GrpPrv],"  "," ")))),"X")))</f>
        <v>Hrs</v>
      </c>
      <c r="K100" s="96" t="s">
        <v>375</v>
      </c>
      <c r="L100" s="96" t="s">
        <v>379</v>
      </c>
      <c r="M100" s="96" t="s">
        <v>375</v>
      </c>
      <c r="N100" s="96" t="str" cm="1">
        <f t="array" ref="N100">IF(OR(PptoSty[[#This Row],[Project]]="",PptoSty[[#This Row],[Project]]="X"),"X",_xlfn._xlws.FILTER(TbAssign[RowId],(TbAssign[Project]=PptoSty[[#This Row],[Project]])*(TbAssign[Módulo]=PptoSty[[#This Row],[PptoVsRow]]),"X"))</f>
        <v>XC03</v>
      </c>
      <c r="O100" s="96" t="str" cm="1">
        <f t="array" ref="O100">IF(OR(PptoSty[[#This Row],[Project]]="",PptoSty[[#This Row],[Project]]="X"),"X",_xlfn.UNIQUE(_xlfn._xlws.FILTER(F_RT14[Amortz.],(F_RT14[Measure]="CurPpto")*(F_RT14[PrjId]=PptoSty[[#This Row],[Project]])*(F_RT14[Vrs]=PptoSty[[#This Row],[Vrs]])*(_xlfn.TEXTAFTER(F_RT14[ActGrp],":")=PptoSty[[#This Row],[PiRow]]),"X")))</f>
        <v>X</v>
      </c>
      <c r="P100" s="96" t="s">
        <v>368</v>
      </c>
      <c r="Q100" s="96" t="s">
        <v>1667</v>
      </c>
      <c r="R100" s="204" t="s">
        <v>403</v>
      </c>
      <c r="S100" s="204">
        <v>1</v>
      </c>
      <c r="T100" s="205" t="str" cm="1">
        <f t="array" aca="1" ref="T10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00" s="206" t="str" cm="1">
        <f t="array" aca="1" ref="U100" ca="1">IFERROR((1/PptoSty[[#This Row],[Division]])*IF(PptoSty[[#This Row],[Sign]]="+",1,-1)*(IF(PptoSty[[#This Row],[POvsCT]]="PO",SUM(_xlfn.CHOOSECOLS(_xlfn._xlws.FILTER(F_RT14[],(IF($M100="X",TRUE,F_RT14[Site]=$M100))*(F_RT14[Measure]=U$4)*(F_RT14[PrjId]=PptoSty[[#This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00" s="206" cm="1">
        <f t="array" aca="1" ref="V100" ca="1">IFERROR((1/PptoSty[[#This Row],[Division]])*IF(PptoSty[[#This Row],[Sign]]="+",1,-1)*(IF(PptoSty[[#This Row],[POvsCT]]="PO",SUM(_xlfn.CHOOSECOLS(_xlfn._xlws.FILTER(F_RT14[],(IF($M100="X",TRUE,F_RT14[Site]=$M100))*(F_RT14[Measure]=V$4)*(F_RT14[PrjId]=PptoSty[[#This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00" s="206" cm="1">
        <f t="array" aca="1" ref="W100" ca="1">IFERROR((1/PptoSty[[#This Row],[Division]])*IF(PptoSty[[#This Row],[Sign]]="+",1,-1)*(IF(PptoSty[[#This Row],[POvsCT]]="PO",SUM(_xlfn.CHOOSECOLS(_xlfn._xlws.FILTER(F_RT14[],(IF($M100="X",TRUE,F_RT14[Site]=$M100))*(F_RT14[Measure]=W$4)*(F_RT14[PrjId]=PptoSty[[#This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00" s="338" t="str" cm="1">
        <f t="array" aca="1" ref="X100" ca="1">IFERROR(IF(PptoSty[[#This Row],[Nature]]&lt;&gt;"Hrs",0,(1/PptoSty[[#This Row],[Division]])*IF(PptoSty[[#This Row],[Sign]]="+",1,-1)*(IF(PptoSty[[#This Row],[POvsCT]]="PO",SUM(_xlfn.CHOOSECOLS(_xlfn._xlws.FILTER(F_RT14[],(IF($M100="X",TRUE,F_RT14[Site]=$M100))*(F_RT14[Measure]=X$4)*(F_RT14[PrjId]=PptoSty[[#This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100" s="338" cm="1">
        <f t="array" aca="1" ref="Y100" ca="1">IFERROR(IF(PptoSty[[#This Row],[Nature]]&lt;&gt;"Hrs",0,(1/PptoSty[[#This Row],[Division]])*IF(PptoSty[[#This Row],[Sign]]="+",1,-1)*(IF(PptoSty[[#This Row],[POvsCT]]="PO",SUM(_xlfn.CHOOSECOLS(_xlfn._xlws.FILTER(F_RT14[],(IF($M100="X",TRUE,F_RT14[Site]=$M100))*(F_RT14[Measure]=Y$4)*(F_RT14[PrjId]=PptoSty[[#This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00" s="338" cm="1">
        <f t="array" aca="1" ref="Z100" ca="1">IFERROR(IF(PptoSty[[#This Row],[Nature]]&lt;&gt;"Hrs",0,(1/PptoSty[[#This Row],[Division]])*IF(PptoSty[[#This Row],[Sign]]="+",1,-1)*(IF(PptoSty[[#This Row],[POvsCT]]="PO",SUM(_xlfn.CHOOSECOLS(_xlfn._xlws.FILTER(F_RT14[],(IF($M100="X",TRUE,F_RT14[Site]=$M100))*(F_RT14[Measure]=Z$4)*(F_RT14[PrjId]=PptoSty[[#This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00" s="412"/>
      <c r="AB100" s="412"/>
      <c r="AC100" s="412"/>
      <c r="AG100"/>
      <c r="AH100"/>
      <c r="AI100"/>
      <c r="AK100" s="113"/>
      <c r="AO100"/>
      <c r="AP100"/>
      <c r="AZ100" s="175"/>
      <c r="BA100" s="175"/>
      <c r="BE100"/>
      <c r="BF100"/>
      <c r="DG100" s="175"/>
      <c r="DH100" s="175"/>
      <c r="DI100" s="175"/>
      <c r="DL100" s="108"/>
      <c r="DM100" s="366" t="str" cm="1">
        <f t="array" aca="1" ref="DM100"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DN100:DO100</v>
      </c>
      <c r="DN100" s="177" t="s">
        <v>375</v>
      </c>
      <c r="DO100" s="177" t="str" cm="1">
        <f t="array" aca="1" ref="DO100"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00" s="177"/>
      <c r="DQ100" s="177"/>
      <c r="DR100" s="177"/>
      <c r="DS100" s="177"/>
      <c r="DT100" s="177"/>
      <c r="DU100" s="177"/>
      <c r="DV100" s="177"/>
      <c r="DW100" s="177"/>
      <c r="DX100" s="177"/>
      <c r="DY100" s="177"/>
      <c r="DZ100" s="177"/>
      <c r="EA100" s="177"/>
      <c r="EB100" s="177"/>
      <c r="EC100" s="177"/>
      <c r="ED100" s="177"/>
    </row>
    <row r="101" spans="3:134" ht="13" customHeight="1">
      <c r="C101" s="200">
        <v>45231</v>
      </c>
      <c r="D101" s="213" t="s">
        <v>2114</v>
      </c>
      <c r="E101" s="213" t="s">
        <v>1711</v>
      </c>
      <c r="F101" s="219">
        <v>3</v>
      </c>
      <c r="G101" s="201" t="s">
        <v>1416</v>
      </c>
      <c r="H101" s="202" t="s">
        <v>375</v>
      </c>
      <c r="I101" s="339" t="str" cm="1">
        <f t="array" aca="1" ref="I10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01" s="203" t="str" cm="1">
        <f t="array" ref="J101">IF(OR(PptoSty[[#This Row],[Project]]="",PptoSty[[#This Row],[Project]]="X"),"X",_xlfn.UNIQUE(_xlfn._xlws.FILTER(CstGrpS[Nature],ISNUMBER(FIND(SUBSTITUTE(PptoSty[[#This Row],[PiColumn]]," +%",""),UPPER(SUBSTITUTE(CstGrpS[GrpPrv],"  "," ")))),"X")))</f>
        <v>Hrs</v>
      </c>
      <c r="K101" s="96" t="s">
        <v>375</v>
      </c>
      <c r="L101" s="96" t="s">
        <v>380</v>
      </c>
      <c r="M101" s="96" t="s">
        <v>375</v>
      </c>
      <c r="N101" s="96" t="str" cm="1">
        <f t="array" ref="N101">IF(OR(PptoSty[[#This Row],[Project]]="",PptoSty[[#This Row],[Project]]="X"),"X",_xlfn._xlws.FILTER(TbAssign[RowId],(TbAssign[Project]=PptoSty[[#This Row],[Project]])*(TbAssign[Módulo]=PptoSty[[#This Row],[PptoVsRow]]),"X"))</f>
        <v>XC03</v>
      </c>
      <c r="O101" s="96" t="str" cm="1">
        <f t="array" ref="O101">IF(OR(PptoSty[[#This Row],[Project]]="",PptoSty[[#This Row],[Project]]="X"),"X",_xlfn.UNIQUE(_xlfn._xlws.FILTER(F_RT14[Amortz.],(F_RT14[Measure]="CurPpto")*(F_RT14[PrjId]=PptoSty[[#This Row],[Project]])*(F_RT14[Vrs]=PptoSty[[#This Row],[Vrs]])*(_xlfn.TEXTAFTER(F_RT14[ActGrp],":")=PptoSty[[#This Row],[PiRow]]),"X")))</f>
        <v>X</v>
      </c>
      <c r="P101" s="96" t="s">
        <v>368</v>
      </c>
      <c r="Q101" s="96" t="s">
        <v>1667</v>
      </c>
      <c r="R101" s="204" t="s">
        <v>403</v>
      </c>
      <c r="S101" s="204">
        <v>1</v>
      </c>
      <c r="T101" s="205" t="str" cm="1">
        <f t="array" aca="1" ref="T10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01" s="206" t="str" cm="1">
        <f t="array" aca="1" ref="U101" ca="1">IFERROR((1/PptoSty[[#This Row],[Division]])*IF(PptoSty[[#This Row],[Sign]]="+",1,-1)*(IF(PptoSty[[#This Row],[POvsCT]]="PO",SUM(_xlfn.CHOOSECOLS(_xlfn._xlws.FILTER(F_RT14[],(IF($M101="X",TRUE,F_RT14[Site]=$M101))*(F_RT14[Measure]=U$4)*(F_RT14[PrjId]=PptoSty[[#This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01" s="206" cm="1">
        <f t="array" aca="1" ref="V101" ca="1">IFERROR((1/PptoSty[[#This Row],[Division]])*IF(PptoSty[[#This Row],[Sign]]="+",1,-1)*(IF(PptoSty[[#This Row],[POvsCT]]="PO",SUM(_xlfn.CHOOSECOLS(_xlfn._xlws.FILTER(F_RT14[],(IF($M101="X",TRUE,F_RT14[Site]=$M101))*(F_RT14[Measure]=V$4)*(F_RT14[PrjId]=PptoSty[[#This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01" s="206" cm="1">
        <f t="array" aca="1" ref="W101" ca="1">IFERROR((1/PptoSty[[#This Row],[Division]])*IF(PptoSty[[#This Row],[Sign]]="+",1,-1)*(IF(PptoSty[[#This Row],[POvsCT]]="PO",SUM(_xlfn.CHOOSECOLS(_xlfn._xlws.FILTER(F_RT14[],(IF($M101="X",TRUE,F_RT14[Site]=$M101))*(F_RT14[Measure]=W$4)*(F_RT14[PrjId]=PptoSty[[#This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01" s="338" t="str" cm="1">
        <f t="array" aca="1" ref="X101" ca="1">IFERROR(IF(PptoSty[[#This Row],[Nature]]&lt;&gt;"Hrs",0,(1/PptoSty[[#This Row],[Division]])*IF(PptoSty[[#This Row],[Sign]]="+",1,-1)*(IF(PptoSty[[#This Row],[POvsCT]]="PO",SUM(_xlfn.CHOOSECOLS(_xlfn._xlws.FILTER(F_RT14[],(IF($M101="X",TRUE,F_RT14[Site]=$M101))*(F_RT14[Measure]=X$4)*(F_RT14[PrjId]=PptoSty[[#This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101" s="338" cm="1">
        <f t="array" aca="1" ref="Y101" ca="1">IFERROR(IF(PptoSty[[#This Row],[Nature]]&lt;&gt;"Hrs",0,(1/PptoSty[[#This Row],[Division]])*IF(PptoSty[[#This Row],[Sign]]="+",1,-1)*(IF(PptoSty[[#This Row],[POvsCT]]="PO",SUM(_xlfn.CHOOSECOLS(_xlfn._xlws.FILTER(F_RT14[],(IF($M101="X",TRUE,F_RT14[Site]=$M101))*(F_RT14[Measure]=Y$4)*(F_RT14[PrjId]=PptoSty[[#This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01" s="338" cm="1">
        <f t="array" aca="1" ref="Z101" ca="1">IFERROR(IF(PptoSty[[#This Row],[Nature]]&lt;&gt;"Hrs",0,(1/PptoSty[[#This Row],[Division]])*IF(PptoSty[[#This Row],[Sign]]="+",1,-1)*(IF(PptoSty[[#This Row],[POvsCT]]="PO",SUM(_xlfn.CHOOSECOLS(_xlfn._xlws.FILTER(F_RT14[],(IF($M101="X",TRUE,F_RT14[Site]=$M101))*(F_RT14[Measure]=Z$4)*(F_RT14[PrjId]=PptoSty[[#This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01" s="412"/>
      <c r="AB101" s="412"/>
      <c r="AC101" s="412"/>
      <c r="AG101"/>
      <c r="AH101"/>
      <c r="AI101"/>
      <c r="AK101" s="113"/>
      <c r="AO101"/>
      <c r="AP101"/>
      <c r="AZ101" s="175"/>
      <c r="BA101" s="175"/>
      <c r="BE101"/>
      <c r="BF101"/>
      <c r="DG101" s="175"/>
      <c r="DH101" s="175"/>
      <c r="DI101" s="175"/>
      <c r="DL101" s="108"/>
      <c r="DM101" s="366" t="str" cm="1">
        <f t="array" aca="1" ref="DM101"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DN101:DO101</v>
      </c>
      <c r="DN101" s="177" t="s">
        <v>375</v>
      </c>
      <c r="DO101" s="177" t="str" cm="1">
        <f t="array" aca="1" ref="DO101"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01" s="177"/>
      <c r="DQ101" s="177"/>
      <c r="DR101" s="177"/>
      <c r="DS101" s="177"/>
      <c r="DT101" s="177"/>
      <c r="DU101" s="177"/>
      <c r="DV101" s="177"/>
      <c r="DW101" s="177"/>
      <c r="DX101" s="177"/>
      <c r="DY101" s="177"/>
      <c r="DZ101" s="177"/>
      <c r="EA101" s="177"/>
      <c r="EB101" s="177"/>
      <c r="EC101" s="177"/>
      <c r="ED101" s="177"/>
    </row>
    <row r="102" spans="3:134" ht="13" customHeight="1">
      <c r="C102" s="200">
        <v>45231</v>
      </c>
      <c r="D102" s="213" t="s">
        <v>2114</v>
      </c>
      <c r="E102" s="213" t="s">
        <v>1711</v>
      </c>
      <c r="F102" s="219">
        <v>3</v>
      </c>
      <c r="G102" s="201" t="s">
        <v>1416</v>
      </c>
      <c r="H102" s="202" t="s">
        <v>375</v>
      </c>
      <c r="I102" s="339" t="str" cm="1">
        <f t="array" aca="1" ref="I10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02" s="203" t="str" cm="1">
        <f t="array" ref="J102">IF(OR(PptoSty[[#This Row],[Project]]="",PptoSty[[#This Row],[Project]]="X"),"X",_xlfn.UNIQUE(_xlfn._xlws.FILTER(CstGrpS[Nature],ISNUMBER(FIND(SUBSTITUTE(PptoSty[[#This Row],[PiColumn]]," +%",""),UPPER(SUBSTITUTE(CstGrpS[GrpPrv],"  "," ")))),"X")))</f>
        <v>Gto</v>
      </c>
      <c r="K102" s="96" t="s">
        <v>375</v>
      </c>
      <c r="L102" s="96" t="s">
        <v>386</v>
      </c>
      <c r="M102" s="96" t="s">
        <v>375</v>
      </c>
      <c r="N102" s="96" t="str" cm="1">
        <f t="array" ref="N102">IF(OR(PptoSty[[#This Row],[Project]]="",PptoSty[[#This Row],[Project]]="X"),"X",_xlfn._xlws.FILTER(TbAssign[RowId],(TbAssign[Project]=PptoSty[[#This Row],[Project]])*(TbAssign[Módulo]=PptoSty[[#This Row],[PptoVsRow]]),"X"))</f>
        <v>XF02</v>
      </c>
      <c r="O102" s="96" t="str" cm="1">
        <f t="array" ref="O102">IF(OR(PptoSty[[#This Row],[Project]]="",PptoSty[[#This Row],[Project]]="X"),"X",_xlfn.UNIQUE(_xlfn._xlws.FILTER(F_RT14[Amortz.],(F_RT14[Measure]="CurPpto")*(F_RT14[PrjId]=PptoSty[[#This Row],[Project]])*(F_RT14[Vrs]=PptoSty[[#This Row],[Vrs]])*(_xlfn.TEXTAFTER(F_RT14[ActGrp],":")=PptoSty[[#This Row],[PiRow]]),"X")))</f>
        <v>X</v>
      </c>
      <c r="P102" s="96" t="s">
        <v>300</v>
      </c>
      <c r="Q102" s="96" t="s">
        <v>386</v>
      </c>
      <c r="R102" s="204" t="s">
        <v>403</v>
      </c>
      <c r="S102" s="204">
        <v>1</v>
      </c>
      <c r="T102" s="205" t="str" cm="1">
        <f t="array" aca="1" ref="T10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02" s="206" t="str" cm="1">
        <f t="array" aca="1" ref="U102" ca="1">IFERROR((1/PptoSty[[#This Row],[Division]])*IF(PptoSty[[#This Row],[Sign]]="+",1,-1)*(IF(PptoSty[[#This Row],[POvsCT]]="PO",SUM(_xlfn.CHOOSECOLS(_xlfn._xlws.FILTER(F_RT14[],(IF($M102="X",TRUE,F_RT14[Site]=$M102))*(F_RT14[Measure]=U$4)*(F_RT14[PrjId]=PptoSty[[#This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02" s="206" cm="1">
        <f t="array" aca="1" ref="V102" ca="1">IFERROR((1/PptoSty[[#This Row],[Division]])*IF(PptoSty[[#This Row],[Sign]]="+",1,-1)*(IF(PptoSty[[#This Row],[POvsCT]]="PO",SUM(_xlfn.CHOOSECOLS(_xlfn._xlws.FILTER(F_RT14[],(IF($M102="X",TRUE,F_RT14[Site]=$M102))*(F_RT14[Measure]=V$4)*(F_RT14[PrjId]=PptoSty[[#This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02" s="206" cm="1">
        <f t="array" aca="1" ref="W102" ca="1">IFERROR((1/PptoSty[[#This Row],[Division]])*IF(PptoSty[[#This Row],[Sign]]="+",1,-1)*(IF(PptoSty[[#This Row],[POvsCT]]="PO",SUM(_xlfn.CHOOSECOLS(_xlfn._xlws.FILTER(F_RT14[],(IF($M102="X",TRUE,F_RT14[Site]=$M102))*(F_RT14[Measure]=W$4)*(F_RT14[PrjId]=PptoSty[[#This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02" s="338" cm="1">
        <f t="array" ref="X102">IFERROR(IF(PptoSty[[#This Row],[Nature]]&lt;&gt;"Hrs",0,(1/PptoSty[[#This Row],[Division]])*IF(PptoSty[[#This Row],[Sign]]="+",1,-1)*(IF(PptoSty[[#This Row],[POvsCT]]="PO",SUM(_xlfn.CHOOSECOLS(_xlfn._xlws.FILTER(F_RT14[],(IF($M102="X",TRUE,F_RT14[Site]=$M102))*(F_RT14[Measure]=X$4)*(F_RT14[PrjId]=PptoSty[[#This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02" s="338" cm="1">
        <f t="array" ref="Y102">IFERROR(IF(PptoSty[[#This Row],[Nature]]&lt;&gt;"Hrs",0,(1/PptoSty[[#This Row],[Division]])*IF(PptoSty[[#This Row],[Sign]]="+",1,-1)*(IF(PptoSty[[#This Row],[POvsCT]]="PO",SUM(_xlfn.CHOOSECOLS(_xlfn._xlws.FILTER(F_RT14[],(IF($M102="X",TRUE,F_RT14[Site]=$M102))*(F_RT14[Measure]=Y$4)*(F_RT14[PrjId]=PptoSty[[#This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02" s="338" cm="1">
        <f t="array" ref="Z102">IFERROR(IF(PptoSty[[#This Row],[Nature]]&lt;&gt;"Hrs",0,(1/PptoSty[[#This Row],[Division]])*IF(PptoSty[[#This Row],[Sign]]="+",1,-1)*(IF(PptoSty[[#This Row],[POvsCT]]="PO",SUM(_xlfn.CHOOSECOLS(_xlfn._xlws.FILTER(F_RT14[],(IF($M102="X",TRUE,F_RT14[Site]=$M102))*(F_RT14[Measure]=Z$4)*(F_RT14[PrjId]=PptoSty[[#This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02" s="412"/>
      <c r="AB102" s="412"/>
      <c r="AC102" s="412"/>
      <c r="AG102"/>
      <c r="AH102"/>
      <c r="AI102"/>
      <c r="AK102" s="113"/>
      <c r="AO102"/>
      <c r="AP102"/>
      <c r="AZ102" s="175"/>
      <c r="BA102" s="175"/>
      <c r="BE102"/>
      <c r="BF102"/>
      <c r="DG102" s="175"/>
      <c r="DH102" s="175"/>
      <c r="DI102" s="175"/>
      <c r="DL102" s="108"/>
      <c r="DM102" s="366" t="str" cm="1">
        <f t="array" aca="1" ref="DM102"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DN102:DO102</v>
      </c>
      <c r="DN102" s="177" t="s">
        <v>375</v>
      </c>
      <c r="DO102" s="177" t="str" cm="1">
        <f t="array" aca="1" ref="DO102"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02" s="177"/>
      <c r="DQ102" s="177"/>
      <c r="DR102" s="177"/>
      <c r="DS102" s="177"/>
      <c r="DT102" s="177"/>
      <c r="DU102" s="177"/>
      <c r="DV102" s="177"/>
      <c r="DW102" s="177"/>
      <c r="DX102" s="177"/>
      <c r="DY102" s="177"/>
      <c r="DZ102" s="177"/>
      <c r="EA102" s="177"/>
      <c r="EB102" s="177"/>
      <c r="EC102" s="177"/>
      <c r="ED102" s="177"/>
    </row>
    <row r="103" spans="3:134" ht="13" customHeight="1">
      <c r="C103" s="200">
        <v>45231</v>
      </c>
      <c r="D103" s="213" t="s">
        <v>2114</v>
      </c>
      <c r="E103" s="213" t="s">
        <v>1711</v>
      </c>
      <c r="F103" s="219">
        <v>4</v>
      </c>
      <c r="G103" s="201" t="s">
        <v>1416</v>
      </c>
      <c r="H103" s="202" t="s">
        <v>375</v>
      </c>
      <c r="I103" s="339" t="str" cm="1">
        <f t="array" aca="1" ref="I10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03" s="203" t="str" cm="1">
        <f t="array" ref="J103">IF(OR(PptoSty[[#This Row],[Project]]="",PptoSty[[#This Row],[Project]]="X"),"X",_xlfn.UNIQUE(_xlfn._xlws.FILTER(CstGrpS[Nature],ISNUMBER(FIND(SUBSTITUTE(PptoSty[[#This Row],[PiColumn]]," +%",""),UPPER(SUBSTITUTE(CstGrpS[GrpPrv],"  "," ")))),"X")))</f>
        <v>Mat</v>
      </c>
      <c r="K103" s="96" t="s">
        <v>375</v>
      </c>
      <c r="L103" s="96" t="s">
        <v>1639</v>
      </c>
      <c r="M103" s="96" t="s">
        <v>375</v>
      </c>
      <c r="N103" s="96" t="str" cm="1">
        <f t="array" ref="N103">IF(OR(PptoSty[[#This Row],[Project]]="",PptoSty[[#This Row],[Project]]="X"),"X",_xlfn._xlws.FILTER(TbAssign[RowId],(TbAssign[Project]=PptoSty[[#This Row],[Project]])*(TbAssign[Módulo]=PptoSty[[#This Row],[PptoVsRow]]),"X"))</f>
        <v>XC03</v>
      </c>
      <c r="O103" s="96" t="str" cm="1">
        <f t="array" ref="O103">IF(OR(PptoSty[[#This Row],[Project]]="",PptoSty[[#This Row],[Project]]="X"),"X",_xlfn.UNIQUE(_xlfn._xlws.FILTER(F_RT14[Amortz.],(F_RT14[Measure]="CurPpto")*(F_RT14[PrjId]=PptoSty[[#This Row],[Project]])*(F_RT14[Vrs]=PptoSty[[#This Row],[Vrs]])*(_xlfn.TEXTAFTER(F_RT14[ActGrp],":")=PptoSty[[#This Row],[PiRow]]),"X")))</f>
        <v>X</v>
      </c>
      <c r="P103" s="96" t="s">
        <v>368</v>
      </c>
      <c r="Q103" s="96" t="s">
        <v>1667</v>
      </c>
      <c r="R103" s="204" t="s">
        <v>403</v>
      </c>
      <c r="S103" s="204">
        <v>1</v>
      </c>
      <c r="T103" s="205" t="str" cm="1">
        <f t="array" aca="1" ref="T10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03" s="206" t="str" cm="1">
        <f t="array" aca="1" ref="U103" ca="1">IFERROR((1/PptoSty[[#This Row],[Division]])*IF(PptoSty[[#This Row],[Sign]]="+",1,-1)*(IF(PptoSty[[#This Row],[POvsCT]]="PO",SUM(_xlfn.CHOOSECOLS(_xlfn._xlws.FILTER(F_RT14[],(IF($M103="X",TRUE,F_RT14[Site]=$M103))*(F_RT14[Measure]=U$4)*(F_RT14[PrjId]=PptoSty[[#This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03" s="206" cm="1">
        <f t="array" aca="1" ref="V103" ca="1">IFERROR((1/PptoSty[[#This Row],[Division]])*IF(PptoSty[[#This Row],[Sign]]="+",1,-1)*(IF(PptoSty[[#This Row],[POvsCT]]="PO",SUM(_xlfn.CHOOSECOLS(_xlfn._xlws.FILTER(F_RT14[],(IF($M103="X",TRUE,F_RT14[Site]=$M103))*(F_RT14[Measure]=V$4)*(F_RT14[PrjId]=PptoSty[[#This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03" s="206" cm="1">
        <f t="array" aca="1" ref="W103" ca="1">IFERROR((1/PptoSty[[#This Row],[Division]])*IF(PptoSty[[#This Row],[Sign]]="+",1,-1)*(IF(PptoSty[[#This Row],[POvsCT]]="PO",SUM(_xlfn.CHOOSECOLS(_xlfn._xlws.FILTER(F_RT14[],(IF($M103="X",TRUE,F_RT14[Site]=$M103))*(F_RT14[Measure]=W$4)*(F_RT14[PrjId]=PptoSty[[#This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03" s="338" cm="1">
        <f t="array" ref="X103">IFERROR(IF(PptoSty[[#This Row],[Nature]]&lt;&gt;"Hrs",0,(1/PptoSty[[#This Row],[Division]])*IF(PptoSty[[#This Row],[Sign]]="+",1,-1)*(IF(PptoSty[[#This Row],[POvsCT]]="PO",SUM(_xlfn.CHOOSECOLS(_xlfn._xlws.FILTER(F_RT14[],(IF($M103="X",TRUE,F_RT14[Site]=$M103))*(F_RT14[Measure]=X$4)*(F_RT14[PrjId]=PptoSty[[#This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03" s="338" cm="1">
        <f t="array" ref="Y103">IFERROR(IF(PptoSty[[#This Row],[Nature]]&lt;&gt;"Hrs",0,(1/PptoSty[[#This Row],[Division]])*IF(PptoSty[[#This Row],[Sign]]="+",1,-1)*(IF(PptoSty[[#This Row],[POvsCT]]="PO",SUM(_xlfn.CHOOSECOLS(_xlfn._xlws.FILTER(F_RT14[],(IF($M103="X",TRUE,F_RT14[Site]=$M103))*(F_RT14[Measure]=Y$4)*(F_RT14[PrjId]=PptoSty[[#This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03" s="338" cm="1">
        <f t="array" ref="Z103">IFERROR(IF(PptoSty[[#This Row],[Nature]]&lt;&gt;"Hrs",0,(1/PptoSty[[#This Row],[Division]])*IF(PptoSty[[#This Row],[Sign]]="+",1,-1)*(IF(PptoSty[[#This Row],[POvsCT]]="PO",SUM(_xlfn.CHOOSECOLS(_xlfn._xlws.FILTER(F_RT14[],(IF($M103="X",TRUE,F_RT14[Site]=$M103))*(F_RT14[Measure]=Z$4)*(F_RT14[PrjId]=PptoSty[[#This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03" s="412"/>
      <c r="AB103" s="412"/>
      <c r="AC103" s="412"/>
      <c r="AG103"/>
      <c r="AH103"/>
      <c r="AI103"/>
      <c r="AK103" s="113"/>
      <c r="AO103"/>
      <c r="AP103"/>
      <c r="AZ103" s="175"/>
      <c r="BA103" s="175"/>
      <c r="BE103"/>
      <c r="BF103"/>
      <c r="DG103" s="175"/>
      <c r="DH103" s="175"/>
      <c r="DI103" s="175"/>
      <c r="DL103" s="108"/>
      <c r="DM103" s="366" t="str" cm="1">
        <f t="array" aca="1" ref="DM103"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DN103:DO103</v>
      </c>
      <c r="DN103" s="177" t="s">
        <v>375</v>
      </c>
      <c r="DO103" s="177" t="str" cm="1">
        <f t="array" aca="1" ref="DO103"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03" s="177"/>
      <c r="DQ103" s="177"/>
      <c r="DR103" s="177"/>
      <c r="DS103" s="177"/>
      <c r="DT103" s="177"/>
      <c r="DU103" s="177"/>
      <c r="DV103" s="177"/>
      <c r="DW103" s="177"/>
      <c r="DX103" s="177"/>
      <c r="DY103" s="177"/>
      <c r="DZ103" s="177"/>
      <c r="EA103" s="177"/>
      <c r="EB103" s="177"/>
      <c r="EC103" s="177"/>
      <c r="ED103" s="177"/>
    </row>
    <row r="104" spans="3:134" ht="13" customHeight="1">
      <c r="C104" s="200">
        <v>45231</v>
      </c>
      <c r="D104" s="213" t="s">
        <v>2114</v>
      </c>
      <c r="E104" s="213" t="s">
        <v>1711</v>
      </c>
      <c r="F104" s="219">
        <v>4</v>
      </c>
      <c r="G104" s="201" t="s">
        <v>1416</v>
      </c>
      <c r="H104" s="202" t="s">
        <v>375</v>
      </c>
      <c r="I104" s="339" t="str" cm="1">
        <f t="array" aca="1" ref="I10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04" s="203" t="str" cm="1">
        <f t="array" ref="J104">IF(OR(PptoSty[[#This Row],[Project]]="",PptoSty[[#This Row],[Project]]="X"),"X",_xlfn.UNIQUE(_xlfn._xlws.FILTER(CstGrpS[Nature],ISNUMBER(FIND(SUBSTITUTE(PptoSty[[#This Row],[PiColumn]]," +%",""),UPPER(SUBSTITUTE(CstGrpS[GrpPrv],"  "," ")))),"X")))</f>
        <v>Gto</v>
      </c>
      <c r="K104" s="96" t="s">
        <v>375</v>
      </c>
      <c r="L104" s="96" t="s">
        <v>386</v>
      </c>
      <c r="M104" s="96" t="s">
        <v>375</v>
      </c>
      <c r="N104" s="96" t="str" cm="1">
        <f t="array" ref="N104">IF(OR(PptoSty[[#This Row],[Project]]="",PptoSty[[#This Row],[Project]]="X"),"X",_xlfn._xlws.FILTER(TbAssign[RowId],(TbAssign[Project]=PptoSty[[#This Row],[Project]])*(TbAssign[Módulo]=PptoSty[[#This Row],[PptoVsRow]]),"X"))</f>
        <v>XF02</v>
      </c>
      <c r="O104" s="96" t="str" cm="1">
        <f t="array" ref="O104">IF(OR(PptoSty[[#This Row],[Project]]="",PptoSty[[#This Row],[Project]]="X"),"X",_xlfn.UNIQUE(_xlfn._xlws.FILTER(F_RT14[Amortz.],(F_RT14[Measure]="CurPpto")*(F_RT14[PrjId]=PptoSty[[#This Row],[Project]])*(F_RT14[Vrs]=PptoSty[[#This Row],[Vrs]])*(_xlfn.TEXTAFTER(F_RT14[ActGrp],":")=PptoSty[[#This Row],[PiRow]]),"X")))</f>
        <v>X</v>
      </c>
      <c r="P104" s="96" t="s">
        <v>300</v>
      </c>
      <c r="Q104" s="96" t="s">
        <v>386</v>
      </c>
      <c r="R104" s="204" t="s">
        <v>403</v>
      </c>
      <c r="S104" s="204">
        <v>1</v>
      </c>
      <c r="T104" s="205" t="str" cm="1">
        <f t="array" aca="1" ref="T10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04" s="206" t="str" cm="1">
        <f t="array" aca="1" ref="U104" ca="1">IFERROR((1/PptoSty[[#This Row],[Division]])*IF(PptoSty[[#This Row],[Sign]]="+",1,-1)*(IF(PptoSty[[#This Row],[POvsCT]]="PO",SUM(_xlfn.CHOOSECOLS(_xlfn._xlws.FILTER(F_RT14[],(IF($M104="X",TRUE,F_RT14[Site]=$M104))*(F_RT14[Measure]=U$4)*(F_RT14[PrjId]=PptoSty[[#This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04" s="206" cm="1">
        <f t="array" aca="1" ref="V104" ca="1">IFERROR((1/PptoSty[[#This Row],[Division]])*IF(PptoSty[[#This Row],[Sign]]="+",1,-1)*(IF(PptoSty[[#This Row],[POvsCT]]="PO",SUM(_xlfn.CHOOSECOLS(_xlfn._xlws.FILTER(F_RT14[],(IF($M104="X",TRUE,F_RT14[Site]=$M104))*(F_RT14[Measure]=V$4)*(F_RT14[PrjId]=PptoSty[[#This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04" s="206" cm="1">
        <f t="array" aca="1" ref="W104" ca="1">IFERROR((1/PptoSty[[#This Row],[Division]])*IF(PptoSty[[#This Row],[Sign]]="+",1,-1)*(IF(PptoSty[[#This Row],[POvsCT]]="PO",SUM(_xlfn.CHOOSECOLS(_xlfn._xlws.FILTER(F_RT14[],(IF($M104="X",TRUE,F_RT14[Site]=$M104))*(F_RT14[Measure]=W$4)*(F_RT14[PrjId]=PptoSty[[#This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04" s="338" cm="1">
        <f t="array" ref="X104">IFERROR(IF(PptoSty[[#This Row],[Nature]]&lt;&gt;"Hrs",0,(1/PptoSty[[#This Row],[Division]])*IF(PptoSty[[#This Row],[Sign]]="+",1,-1)*(IF(PptoSty[[#This Row],[POvsCT]]="PO",SUM(_xlfn.CHOOSECOLS(_xlfn._xlws.FILTER(F_RT14[],(IF($M104="X",TRUE,F_RT14[Site]=$M104))*(F_RT14[Measure]=X$4)*(F_RT14[PrjId]=PptoSty[[#This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04" s="338" cm="1">
        <f t="array" ref="Y104">IFERROR(IF(PptoSty[[#This Row],[Nature]]&lt;&gt;"Hrs",0,(1/PptoSty[[#This Row],[Division]])*IF(PptoSty[[#This Row],[Sign]]="+",1,-1)*(IF(PptoSty[[#This Row],[POvsCT]]="PO",SUM(_xlfn.CHOOSECOLS(_xlfn._xlws.FILTER(F_RT14[],(IF($M104="X",TRUE,F_RT14[Site]=$M104))*(F_RT14[Measure]=Y$4)*(F_RT14[PrjId]=PptoSty[[#This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04" s="338" cm="1">
        <f t="array" ref="Z104">IFERROR(IF(PptoSty[[#This Row],[Nature]]&lt;&gt;"Hrs",0,(1/PptoSty[[#This Row],[Division]])*IF(PptoSty[[#This Row],[Sign]]="+",1,-1)*(IF(PptoSty[[#This Row],[POvsCT]]="PO",SUM(_xlfn.CHOOSECOLS(_xlfn._xlws.FILTER(F_RT14[],(IF($M104="X",TRUE,F_RT14[Site]=$M104))*(F_RT14[Measure]=Z$4)*(F_RT14[PrjId]=PptoSty[[#This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04" s="412"/>
      <c r="AB104" s="412"/>
      <c r="AC104" s="412"/>
      <c r="AG104"/>
      <c r="AH104"/>
      <c r="AI104"/>
      <c r="AK104" s="113"/>
      <c r="AO104"/>
      <c r="AP104"/>
      <c r="AZ104" s="175"/>
      <c r="BA104" s="175"/>
      <c r="BE104"/>
      <c r="BF104"/>
      <c r="DG104" s="175"/>
      <c r="DH104" s="175"/>
      <c r="DI104" s="175"/>
      <c r="DL104" s="108"/>
      <c r="DM104" s="366" t="str" cm="1">
        <f t="array" aca="1" ref="DM104"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DN104:DO104</v>
      </c>
      <c r="DN104" s="177" t="s">
        <v>375</v>
      </c>
      <c r="DO104" s="177" t="str" cm="1">
        <f t="array" aca="1" ref="DO104"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04" s="177"/>
      <c r="DQ104" s="177"/>
      <c r="DR104" s="177"/>
      <c r="DS104" s="177"/>
      <c r="DT104" s="177"/>
      <c r="DU104" s="177"/>
      <c r="DV104" s="177"/>
      <c r="DW104" s="177"/>
      <c r="DX104" s="177"/>
      <c r="DY104" s="177"/>
      <c r="DZ104" s="177"/>
      <c r="EA104" s="177"/>
      <c r="EB104" s="177"/>
      <c r="EC104" s="177"/>
      <c r="ED104" s="177"/>
    </row>
    <row r="105" spans="3:134" ht="13" customHeight="1">
      <c r="C105" s="200">
        <v>45231</v>
      </c>
      <c r="D105" s="213" t="s">
        <v>2114</v>
      </c>
      <c r="E105" s="213" t="s">
        <v>1711</v>
      </c>
      <c r="F105" s="219">
        <v>5</v>
      </c>
      <c r="G105" s="201" t="s">
        <v>1416</v>
      </c>
      <c r="H105" s="202" t="s">
        <v>375</v>
      </c>
      <c r="I105" s="339" t="str" cm="1">
        <f t="array" aca="1" ref="I10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05" s="203" t="str" cm="1">
        <f t="array" ref="J105">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Mat</v>
      </c>
      <c r="K105" s="96" t="s">
        <v>375</v>
      </c>
      <c r="L105" s="96" t="s">
        <v>374</v>
      </c>
      <c r="M105" s="96" t="s">
        <v>375</v>
      </c>
      <c r="N105" s="96" t="str" cm="1">
        <f t="array" ref="N105">IF(OR(PptoSty[[#This Row],[Project]]="",PptoSty[[#This Row],[Project]]="X"),"X",_xlfn._xlws.FILTER(TbAssign[RowId],(TbAssign[Project]=PptoSty[[#This Row],[Project]])*(TbAssign[Módulo]=PptoSty[[#This Row],[PptoVsRow]]),"X"))</f>
        <v>XC02</v>
      </c>
      <c r="O105" s="96" t="str" cm="1">
        <f t="array" ref="O105">IF(OR(PptoSty[[#This Row],[Project]]="",PptoSty[[#This Row],[Project]]="X"),"X",_xlfn.UNIQUE(_xlfn._xlws.FILTER(F_RT14[Amortz.],(F_RT14[Measure]="CurPpto")*(F_RT14[PrjId]=PptoSty[[#This Row],[Project]])*(F_RT14[Vrs]=PptoSty[[#This Row],[Vrs]])*(_xlfn.TEXTAFTER(F_RT14[ActGrp],":")=PptoSty[[#This Row],[PiRow]]),"X")))</f>
        <v>X</v>
      </c>
      <c r="P105" s="96" t="s">
        <v>1473</v>
      </c>
      <c r="Q105" s="96" t="s">
        <v>1670</v>
      </c>
      <c r="R105" s="204" t="s">
        <v>403</v>
      </c>
      <c r="S105" s="204">
        <v>1</v>
      </c>
      <c r="T105" s="205" t="str" cm="1">
        <f t="array" aca="1" ref="T10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05" s="206" t="str" cm="1">
        <f t="array" aca="1" ref="U105" ca="1">IFERROR((1/PptoSty[[#This Row],[Division]])*IF(PptoSty[[#This Row],[Sign]]="+",1,-1)*(IF(PptoSty[[#This Row],[POvsCT]]="PO",SUM(_xlfn.CHOOSECOLS(_xlfn._xlws.FILTER(F_RT14[],(IF($M105="X",TRUE,F_RT14[Site]=$M105))*(F_RT14[Measure]=U$4)*(F_RT14[PrjId]=PptoSty[[#This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05" s="206" cm="1">
        <f t="array" aca="1" ref="V105" ca="1">IFERROR((1/PptoSty[[#This Row],[Division]])*IF(PptoSty[[#This Row],[Sign]]="+",1,-1)*(IF(PptoSty[[#This Row],[POvsCT]]="PO",SUM(_xlfn.CHOOSECOLS(_xlfn._xlws.FILTER(F_RT14[],(IF($M105="X",TRUE,F_RT14[Site]=$M105))*(F_RT14[Measure]=V$4)*(F_RT14[PrjId]=PptoSty[[#This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05" s="206" cm="1">
        <f t="array" aca="1" ref="W105" ca="1">IFERROR((1/PptoSty[[#This Row],[Division]])*IF(PptoSty[[#This Row],[Sign]]="+",1,-1)*(IF(PptoSty[[#This Row],[POvsCT]]="PO",SUM(_xlfn.CHOOSECOLS(_xlfn._xlws.FILTER(F_RT14[],(IF($M105="X",TRUE,F_RT14[Site]=$M105))*(F_RT14[Measure]=W$4)*(F_RT14[PrjId]=PptoSty[[#This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05" s="338" cm="1">
        <f t="array" ref="X105">IFERROR(IF(PptoSty[[#This Row],[Nature]]&lt;&gt;"Hrs",0,(1/PptoSty[[#This Row],[Division]])*IF(PptoSty[[#This Row],[Sign]]="+",1,-1)*(IF(PptoSty[[#This Row],[POvsCT]]="PO",SUM(_xlfn.CHOOSECOLS(_xlfn._xlws.FILTER(F_RT14[],(IF($M105="X",TRUE,F_RT14[Site]=$M105))*(F_RT14[Measure]=X$4)*(F_RT14[PrjId]=PptoSty[[#This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05" s="338" cm="1">
        <f t="array" ref="Y105">IFERROR(IF(PptoSty[[#This Row],[Nature]]&lt;&gt;"Hrs",0,(1/PptoSty[[#This Row],[Division]])*IF(PptoSty[[#This Row],[Sign]]="+",1,-1)*(IF(PptoSty[[#This Row],[POvsCT]]="PO",SUM(_xlfn.CHOOSECOLS(_xlfn._xlws.FILTER(F_RT14[],(IF($M105="X",TRUE,F_RT14[Site]=$M105))*(F_RT14[Measure]=Y$4)*(F_RT14[PrjId]=PptoSty[[#This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05" s="338" cm="1">
        <f t="array" ref="Z105">IFERROR(IF(PptoSty[[#This Row],[Nature]]&lt;&gt;"Hrs",0,(1/PptoSty[[#This Row],[Division]])*IF(PptoSty[[#This Row],[Sign]]="+",1,-1)*(IF(PptoSty[[#This Row],[POvsCT]]="PO",SUM(_xlfn.CHOOSECOLS(_xlfn._xlws.FILTER(F_RT14[],(IF($M105="X",TRUE,F_RT14[Site]=$M105))*(F_RT14[Measure]=Z$4)*(F_RT14[PrjId]=PptoSty[[#This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05" s="412"/>
      <c r="AB105" s="412"/>
      <c r="AC105" s="412"/>
      <c r="AG105"/>
      <c r="AH105"/>
      <c r="AI105"/>
      <c r="AK105" s="113"/>
      <c r="AO105"/>
      <c r="AP105"/>
      <c r="AZ105" s="175"/>
      <c r="BA105" s="175"/>
      <c r="BE105"/>
      <c r="BF105"/>
      <c r="DG105" s="175"/>
      <c r="DH105" s="175"/>
      <c r="DI105" s="175"/>
      <c r="DL105" s="108"/>
      <c r="DM105" s="366" t="str" cm="1">
        <f t="array" aca="1" ref="DM10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DN105:DO105</v>
      </c>
      <c r="DN105" s="177" t="s">
        <v>375</v>
      </c>
      <c r="DO105" s="177" t="str" cm="1">
        <f t="array" aca="1" ref="DO10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05" s="177"/>
      <c r="DQ105" s="177"/>
      <c r="DR105" s="177"/>
      <c r="DS105" s="177"/>
      <c r="DT105" s="177"/>
      <c r="DU105" s="177"/>
      <c r="DV105" s="177"/>
      <c r="DW105" s="177"/>
      <c r="DX105" s="177"/>
      <c r="DY105" s="177"/>
      <c r="DZ105" s="177"/>
      <c r="EA105" s="177"/>
      <c r="EB105" s="177"/>
      <c r="EC105" s="177"/>
      <c r="ED105" s="177"/>
    </row>
    <row r="106" spans="3:134" ht="13" customHeight="1">
      <c r="C106" s="200">
        <v>45231</v>
      </c>
      <c r="D106" s="213" t="s">
        <v>2114</v>
      </c>
      <c r="E106" s="213" t="s">
        <v>1711</v>
      </c>
      <c r="F106" s="219">
        <v>5</v>
      </c>
      <c r="G106" s="201" t="s">
        <v>1416</v>
      </c>
      <c r="H106" s="202" t="s">
        <v>375</v>
      </c>
      <c r="I106" s="339" t="str" cm="1">
        <f t="array" aca="1" ref="I10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06" s="203" t="str" cm="1">
        <f t="array" ref="J106">IF(OR(PptoSty[[#This Row],[Project]]="",PptoSty[[#This Row],[Project]]="X"),"X",_xlfn.UNIQUE(_xlfn._xlws.FILTER(CstGrpS[Nature],ISNUMBER(FIND(IF(PptoSty[[#This Row],[PiColumn]]="ADICIONALES","MATERIAL MECÁNICO",IF(PptoSty[[#This Row],[PiColumn]]="DISEÑO ELÉCTRICO","AUTOMATISMOS",SUBSTITUTE(PptoSty[[#This Row],[PiColumn]]," +%",""))),UPPER(SUBSTITUTE(CstGrpS[GrpPrv],"  "," ")))),"X")))</f>
        <v>Hrs</v>
      </c>
      <c r="K106" s="96" t="s">
        <v>375</v>
      </c>
      <c r="L106" s="96" t="s">
        <v>1643</v>
      </c>
      <c r="M106" s="96" t="s">
        <v>375</v>
      </c>
      <c r="N106" s="96" t="str" cm="1">
        <f t="array" ref="N106">IF(OR(PptoSty[[#This Row],[Project]]="",PptoSty[[#This Row],[Project]]="X"),"X",_xlfn._xlws.FILTER(TbAssign[RowId],(TbAssign[Project]=PptoSty[[#This Row],[Project]])*(TbAssign[Módulo]=PptoSty[[#This Row],[PptoVsRow]]),"X"))</f>
        <v>XB05</v>
      </c>
      <c r="O106" s="96" t="str" cm="1">
        <f t="array" ref="O106">IF(OR(PptoSty[[#This Row],[Project]]="",PptoSty[[#This Row],[Project]]="X"),"X",_xlfn.UNIQUE(_xlfn._xlws.FILTER(F_RT14[Amortz.],(F_RT14[Measure]="CurPpto")*(F_RT14[PrjId]=PptoSty[[#This Row],[Project]])*(F_RT14[Vrs]=PptoSty[[#This Row],[Vrs]])*(_xlfn.TEXTAFTER(F_RT14[ActGrp],":")=PptoSty[[#This Row],[PiRow]]),"X")))</f>
        <v>X</v>
      </c>
      <c r="P106" s="96" t="s">
        <v>428</v>
      </c>
      <c r="Q106" s="96" t="s">
        <v>377</v>
      </c>
      <c r="R106" s="204" t="s">
        <v>403</v>
      </c>
      <c r="S106" s="204">
        <v>1</v>
      </c>
      <c r="T106" s="205" t="str" cm="1">
        <f t="array" aca="1" ref="T10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06" s="206" t="str" cm="1">
        <f t="array" aca="1" ref="U106" ca="1">IFERROR((1/PptoSty[[#This Row],[Division]])*IF(PptoSty[[#This Row],[Sign]]="+",1,-1)*(IF(PptoSty[[#This Row],[POvsCT]]="PO",SUM(_xlfn.CHOOSECOLS(_xlfn._xlws.FILTER(F_RT14[],(IF($M106="X",TRUE,F_RT14[Site]=$M106))*(F_RT14[Measure]=U$4)*(F_RT14[PrjId]=PptoSty[[#This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06" s="206" cm="1">
        <f t="array" aca="1" ref="V106" ca="1">IFERROR((1/PptoSty[[#This Row],[Division]])*IF(PptoSty[[#This Row],[Sign]]="+",1,-1)*(IF(PptoSty[[#This Row],[POvsCT]]="PO",SUM(_xlfn.CHOOSECOLS(_xlfn._xlws.FILTER(F_RT14[],(IF($M106="X",TRUE,F_RT14[Site]=$M106))*(F_RT14[Measure]=V$4)*(F_RT14[PrjId]=PptoSty[[#This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06" s="206" cm="1">
        <f t="array" aca="1" ref="W106" ca="1">IFERROR((1/PptoSty[[#This Row],[Division]])*IF(PptoSty[[#This Row],[Sign]]="+",1,-1)*(IF(PptoSty[[#This Row],[POvsCT]]="PO",SUM(_xlfn.CHOOSECOLS(_xlfn._xlws.FILTER(F_RT14[],(IF($M106="X",TRUE,F_RT14[Site]=$M106))*(F_RT14[Measure]=W$4)*(F_RT14[PrjId]=PptoSty[[#This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06" s="338" t="str" cm="1">
        <f t="array" aca="1" ref="X106" ca="1">IFERROR(IF(PptoSty[[#This Row],[Nature]]&lt;&gt;"Hrs",0,(1/PptoSty[[#This Row],[Division]])*IF(PptoSty[[#This Row],[Sign]]="+",1,-1)*(IF(PptoSty[[#This Row],[POvsCT]]="PO",SUM(_xlfn.CHOOSECOLS(_xlfn._xlws.FILTER(F_RT14[],(IF($M106="X",TRUE,F_RT14[Site]=$M106))*(F_RT14[Measure]=X$4)*(F_RT14[PrjId]=PptoSty[[#This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106" s="338" cm="1">
        <f t="array" aca="1" ref="Y106" ca="1">IFERROR(IF(PptoSty[[#This Row],[Nature]]&lt;&gt;"Hrs",0,(1/PptoSty[[#This Row],[Division]])*IF(PptoSty[[#This Row],[Sign]]="+",1,-1)*(IF(PptoSty[[#This Row],[POvsCT]]="PO",SUM(_xlfn.CHOOSECOLS(_xlfn._xlws.FILTER(F_RT14[],(IF($M106="X",TRUE,F_RT14[Site]=$M106))*(F_RT14[Measure]=Y$4)*(F_RT14[PrjId]=PptoSty[[#This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06" s="338" cm="1">
        <f t="array" aca="1" ref="Z106" ca="1">IFERROR(IF(PptoSty[[#This Row],[Nature]]&lt;&gt;"Hrs",0,(1/PptoSty[[#This Row],[Division]])*IF(PptoSty[[#This Row],[Sign]]="+",1,-1)*(IF(PptoSty[[#This Row],[POvsCT]]="PO",SUM(_xlfn.CHOOSECOLS(_xlfn._xlws.FILTER(F_RT14[],(IF($M106="X",TRUE,F_RT14[Site]=$M106))*(F_RT14[Measure]=Z$4)*(F_RT14[PrjId]=PptoSty[[#This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06" s="412"/>
      <c r="AB106" s="412"/>
      <c r="AC106" s="412"/>
      <c r="AG106"/>
      <c r="AH106"/>
      <c r="AI106"/>
      <c r="AK106" s="113"/>
      <c r="AO106"/>
      <c r="AP106"/>
      <c r="AZ106" s="175"/>
      <c r="BA106" s="175"/>
      <c r="BE106"/>
      <c r="BF106"/>
      <c r="DG106" s="175"/>
      <c r="DH106" s="175"/>
      <c r="DI106" s="175"/>
      <c r="DL106" s="108"/>
      <c r="DM106" s="366" t="str" cm="1">
        <f t="array" aca="1" ref="DM10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DN106:DO106</v>
      </c>
      <c r="DN106" s="177" t="s">
        <v>375</v>
      </c>
      <c r="DO106" s="177" t="str" cm="1">
        <f t="array" aca="1" ref="DO10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06" s="177"/>
      <c r="DQ106" s="177"/>
      <c r="DR106" s="177"/>
      <c r="DS106" s="177"/>
      <c r="DT106" s="177"/>
      <c r="DU106" s="177"/>
      <c r="DV106" s="177"/>
      <c r="DW106" s="177"/>
      <c r="DX106" s="177"/>
      <c r="DY106" s="177"/>
      <c r="DZ106" s="177"/>
      <c r="EA106" s="177"/>
      <c r="EB106" s="177"/>
      <c r="EC106" s="177"/>
      <c r="ED106" s="177"/>
    </row>
    <row r="107" spans="3:134" ht="13" customHeight="1">
      <c r="C107" s="200">
        <v>45231</v>
      </c>
      <c r="D107" s="213" t="s">
        <v>2114</v>
      </c>
      <c r="E107" s="213" t="s">
        <v>1711</v>
      </c>
      <c r="F107" s="219">
        <v>5</v>
      </c>
      <c r="G107" s="201" t="s">
        <v>1416</v>
      </c>
      <c r="H107" s="202" t="s">
        <v>375</v>
      </c>
      <c r="I107" s="339" t="str" cm="1">
        <f t="array" aca="1" ref="I10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07" s="203" t="str" cm="1">
        <f t="array" ref="J107">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Hrs</v>
      </c>
      <c r="K107" s="96" t="s">
        <v>375</v>
      </c>
      <c r="L107" s="96" t="s">
        <v>1274</v>
      </c>
      <c r="M107" s="96" t="s">
        <v>375</v>
      </c>
      <c r="N107" s="96" t="str" cm="1">
        <f t="array" ref="N107">IF(OR(PptoSty[[#This Row],[Project]]="",PptoSty[[#This Row],[Project]]="X"),"X",_xlfn._xlws.FILTER(TbAssign[RowId],(TbAssign[Project]=PptoSty[[#This Row],[Project]])*(TbAssign[Módulo]=PptoSty[[#This Row],[PptoVsRow]]),"X"))</f>
        <v>XB04</v>
      </c>
      <c r="O107" s="96" t="str" cm="1">
        <f t="array" ref="O107">IF(OR(PptoSty[[#This Row],[Project]]="",PptoSty[[#This Row],[Project]]="X"),"X",_xlfn.UNIQUE(_xlfn._xlws.FILTER(F_RT14[Amortz.],(F_RT14[Measure]="CurPpto")*(F_RT14[PrjId]=PptoSty[[#This Row],[Project]])*(F_RT14[Vrs]=PptoSty[[#This Row],[Vrs]])*(_xlfn.TEXTAFTER(F_RT14[ActGrp],":")=PptoSty[[#This Row],[PiRow]]),"X")))</f>
        <v>X</v>
      </c>
      <c r="P107" s="96" t="s">
        <v>1468</v>
      </c>
      <c r="Q107" s="96" t="s">
        <v>1274</v>
      </c>
      <c r="R107" s="204" t="s">
        <v>403</v>
      </c>
      <c r="S107" s="204">
        <v>1</v>
      </c>
      <c r="T107" s="205" t="str" cm="1">
        <f t="array" aca="1" ref="T10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07" s="206" t="str" cm="1">
        <f t="array" aca="1" ref="U107" ca="1">IFERROR((1/PptoSty[[#This Row],[Division]])*IF(PptoSty[[#This Row],[Sign]]="+",1,-1)*(IF(PptoSty[[#This Row],[POvsCT]]="PO",SUM(_xlfn.CHOOSECOLS(_xlfn._xlws.FILTER(F_RT14[],(IF($M107="X",TRUE,F_RT14[Site]=$M107))*(F_RT14[Measure]=U$4)*(F_RT14[PrjId]=PptoSty[[#This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07" s="206" cm="1">
        <f t="array" aca="1" ref="V107" ca="1">IFERROR((1/PptoSty[[#This Row],[Division]])*IF(PptoSty[[#This Row],[Sign]]="+",1,-1)*(IF(PptoSty[[#This Row],[POvsCT]]="PO",SUM(_xlfn.CHOOSECOLS(_xlfn._xlws.FILTER(F_RT14[],(IF($M107="X",TRUE,F_RT14[Site]=$M107))*(F_RT14[Measure]=V$4)*(F_RT14[PrjId]=PptoSty[[#This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07" s="206" cm="1">
        <f t="array" aca="1" ref="W107" ca="1">IFERROR((1/PptoSty[[#This Row],[Division]])*IF(PptoSty[[#This Row],[Sign]]="+",1,-1)*(IF(PptoSty[[#This Row],[POvsCT]]="PO",SUM(_xlfn.CHOOSECOLS(_xlfn._xlws.FILTER(F_RT14[],(IF($M107="X",TRUE,F_RT14[Site]=$M107))*(F_RT14[Measure]=W$4)*(F_RT14[PrjId]=PptoSty[[#This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07" s="338" t="str" cm="1">
        <f t="array" aca="1" ref="X107" ca="1">IFERROR(IF(PptoSty[[#This Row],[Nature]]&lt;&gt;"Hrs",0,(1/PptoSty[[#This Row],[Division]])*IF(PptoSty[[#This Row],[Sign]]="+",1,-1)*(IF(PptoSty[[#This Row],[POvsCT]]="PO",SUM(_xlfn.CHOOSECOLS(_xlfn._xlws.FILTER(F_RT14[],(IF($M107="X",TRUE,F_RT14[Site]=$M107))*(F_RT14[Measure]=X$4)*(F_RT14[PrjId]=PptoSty[[#This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107" s="338" cm="1">
        <f t="array" aca="1" ref="Y107" ca="1">IFERROR(IF(PptoSty[[#This Row],[Nature]]&lt;&gt;"Hrs",0,(1/PptoSty[[#This Row],[Division]])*IF(PptoSty[[#This Row],[Sign]]="+",1,-1)*(IF(PptoSty[[#This Row],[POvsCT]]="PO",SUM(_xlfn.CHOOSECOLS(_xlfn._xlws.FILTER(F_RT14[],(IF($M107="X",TRUE,F_RT14[Site]=$M107))*(F_RT14[Measure]=Y$4)*(F_RT14[PrjId]=PptoSty[[#This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07" s="338" cm="1">
        <f t="array" aca="1" ref="Z107" ca="1">IFERROR(IF(PptoSty[[#This Row],[Nature]]&lt;&gt;"Hrs",0,(1/PptoSty[[#This Row],[Division]])*IF(PptoSty[[#This Row],[Sign]]="+",1,-1)*(IF(PptoSty[[#This Row],[POvsCT]]="PO",SUM(_xlfn.CHOOSECOLS(_xlfn._xlws.FILTER(F_RT14[],(IF($M107="X",TRUE,F_RT14[Site]=$M107))*(F_RT14[Measure]=Z$4)*(F_RT14[PrjId]=PptoSty[[#This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07" s="412"/>
      <c r="AB107" s="412"/>
      <c r="AC107" s="412"/>
      <c r="AG107"/>
      <c r="AH107"/>
      <c r="AI107"/>
      <c r="AK107" s="113"/>
      <c r="AO107"/>
      <c r="AP107"/>
      <c r="AZ107" s="175"/>
      <c r="BA107" s="175"/>
      <c r="BE107"/>
      <c r="BF107"/>
      <c r="DG107" s="175"/>
      <c r="DH107" s="175"/>
      <c r="DI107" s="175"/>
      <c r="DL107" s="108"/>
      <c r="DM107" s="366" t="str" cm="1">
        <f t="array" aca="1" ref="DM10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DN107:DO107</v>
      </c>
      <c r="DN107" s="177" t="s">
        <v>375</v>
      </c>
      <c r="DO107" s="177" t="str" cm="1">
        <f t="array" aca="1" ref="DO10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07" s="177"/>
      <c r="DQ107" s="177"/>
      <c r="DR107" s="177"/>
      <c r="DS107" s="177"/>
      <c r="DT107" s="177"/>
      <c r="DU107" s="177"/>
      <c r="DV107" s="177"/>
      <c r="DW107" s="177"/>
      <c r="DX107" s="177"/>
      <c r="DY107" s="177"/>
      <c r="DZ107" s="177"/>
      <c r="EA107" s="177"/>
      <c r="EB107" s="177"/>
      <c r="EC107" s="177"/>
      <c r="ED107" s="177"/>
    </row>
    <row r="108" spans="3:134" ht="13" customHeight="1">
      <c r="C108" s="200">
        <v>45231</v>
      </c>
      <c r="D108" s="213" t="s">
        <v>2114</v>
      </c>
      <c r="E108" s="213" t="s">
        <v>1711</v>
      </c>
      <c r="F108" s="219">
        <v>5</v>
      </c>
      <c r="G108" s="201" t="s">
        <v>1416</v>
      </c>
      <c r="H108" s="202" t="s">
        <v>375</v>
      </c>
      <c r="I108" s="339" t="str" cm="1">
        <f t="array" aca="1" ref="I10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08" s="203" t="str" cm="1">
        <f t="array" ref="J108">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Mat</v>
      </c>
      <c r="K108" s="96" t="s">
        <v>375</v>
      </c>
      <c r="L108" s="96" t="s">
        <v>1639</v>
      </c>
      <c r="M108" s="96" t="s">
        <v>375</v>
      </c>
      <c r="N108" s="96" t="str" cm="1">
        <f t="array" ref="N108">IF(OR(PptoSty[[#This Row],[Project]]="",PptoSty[[#This Row],[Project]]="X"),"X",_xlfn._xlws.FILTER(TbAssign[RowId],(TbAssign[Project]=PptoSty[[#This Row],[Project]])*(TbAssign[Módulo]=PptoSty[[#This Row],[PptoVsRow]]),"X"))</f>
        <v>XB04</v>
      </c>
      <c r="O108" s="96" t="str" cm="1">
        <f t="array" ref="O108">IF(OR(PptoSty[[#This Row],[Project]]="",PptoSty[[#This Row],[Project]]="X"),"X",_xlfn.UNIQUE(_xlfn._xlws.FILTER(F_RT14[Amortz.],(F_RT14[Measure]="CurPpto")*(F_RT14[PrjId]=PptoSty[[#This Row],[Project]])*(F_RT14[Vrs]=PptoSty[[#This Row],[Vrs]])*(_xlfn.TEXTAFTER(F_RT14[ActGrp],":")=PptoSty[[#This Row],[PiRow]]),"X")))</f>
        <v>X</v>
      </c>
      <c r="P108" s="96" t="s">
        <v>1468</v>
      </c>
      <c r="Q108" s="96" t="s">
        <v>376</v>
      </c>
      <c r="R108" s="204" t="s">
        <v>403</v>
      </c>
      <c r="S108" s="204">
        <v>1</v>
      </c>
      <c r="T108" s="205" t="str" cm="1">
        <f t="array" aca="1" ref="T10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08" s="206" t="str" cm="1">
        <f t="array" aca="1" ref="U108" ca="1">IFERROR((1/PptoSty[[#This Row],[Division]])*IF(PptoSty[[#This Row],[Sign]]="+",1,-1)*(IF(PptoSty[[#This Row],[POvsCT]]="PO",SUM(_xlfn.CHOOSECOLS(_xlfn._xlws.FILTER(F_RT14[],(IF($M108="X",TRUE,F_RT14[Site]=$M108))*(F_RT14[Measure]=U$4)*(F_RT14[PrjId]=PptoSty[[#This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08" s="206" cm="1">
        <f t="array" aca="1" ref="V108" ca="1">IFERROR((1/PptoSty[[#This Row],[Division]])*IF(PptoSty[[#This Row],[Sign]]="+",1,-1)*(IF(PptoSty[[#This Row],[POvsCT]]="PO",SUM(_xlfn.CHOOSECOLS(_xlfn._xlws.FILTER(F_RT14[],(IF($M108="X",TRUE,F_RT14[Site]=$M108))*(F_RT14[Measure]=V$4)*(F_RT14[PrjId]=PptoSty[[#This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08" s="206" cm="1">
        <f t="array" aca="1" ref="W108" ca="1">IFERROR((1/PptoSty[[#This Row],[Division]])*IF(PptoSty[[#This Row],[Sign]]="+",1,-1)*(IF(PptoSty[[#This Row],[POvsCT]]="PO",SUM(_xlfn.CHOOSECOLS(_xlfn._xlws.FILTER(F_RT14[],(IF($M108="X",TRUE,F_RT14[Site]=$M108))*(F_RT14[Measure]=W$4)*(F_RT14[PrjId]=PptoSty[[#This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08" s="338" cm="1">
        <f t="array" ref="X108">IFERROR(IF(PptoSty[[#This Row],[Nature]]&lt;&gt;"Hrs",0,(1/PptoSty[[#This Row],[Division]])*IF(PptoSty[[#This Row],[Sign]]="+",1,-1)*(IF(PptoSty[[#This Row],[POvsCT]]="PO",SUM(_xlfn.CHOOSECOLS(_xlfn._xlws.FILTER(F_RT14[],(IF($M108="X",TRUE,F_RT14[Site]=$M108))*(F_RT14[Measure]=X$4)*(F_RT14[PrjId]=PptoSty[[#This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08" s="338" cm="1">
        <f t="array" ref="Y108">IFERROR(IF(PptoSty[[#This Row],[Nature]]&lt;&gt;"Hrs",0,(1/PptoSty[[#This Row],[Division]])*IF(PptoSty[[#This Row],[Sign]]="+",1,-1)*(IF(PptoSty[[#This Row],[POvsCT]]="PO",SUM(_xlfn.CHOOSECOLS(_xlfn._xlws.FILTER(F_RT14[],(IF($M108="X",TRUE,F_RT14[Site]=$M108))*(F_RT14[Measure]=Y$4)*(F_RT14[PrjId]=PptoSty[[#This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08" s="338" cm="1">
        <f t="array" ref="Z108">IFERROR(IF(PptoSty[[#This Row],[Nature]]&lt;&gt;"Hrs",0,(1/PptoSty[[#This Row],[Division]])*IF(PptoSty[[#This Row],[Sign]]="+",1,-1)*(IF(PptoSty[[#This Row],[POvsCT]]="PO",SUM(_xlfn.CHOOSECOLS(_xlfn._xlws.FILTER(F_RT14[],(IF($M108="X",TRUE,F_RT14[Site]=$M108))*(F_RT14[Measure]=Z$4)*(F_RT14[PrjId]=PptoSty[[#This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08" s="412"/>
      <c r="AB108" s="412"/>
      <c r="AC108" s="412"/>
      <c r="AG108"/>
      <c r="AH108"/>
      <c r="AI108"/>
      <c r="AK108" s="113"/>
      <c r="AO108"/>
      <c r="AP108"/>
      <c r="AZ108" s="175"/>
      <c r="BA108" s="175"/>
      <c r="BE108"/>
      <c r="BF108"/>
      <c r="DG108" s="175"/>
      <c r="DH108" s="175"/>
      <c r="DI108" s="175"/>
      <c r="DL108" s="108"/>
      <c r="DM108" s="366" t="str" cm="1">
        <f t="array" aca="1" ref="DM10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DN108:DO108</v>
      </c>
      <c r="DN108" s="177" t="s">
        <v>375</v>
      </c>
      <c r="DO108" s="177" t="str" cm="1">
        <f t="array" aca="1" ref="DO10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08" s="177"/>
      <c r="DQ108" s="177"/>
      <c r="DR108" s="177"/>
      <c r="DS108" s="177"/>
      <c r="DT108" s="177"/>
      <c r="DU108" s="177"/>
      <c r="DV108" s="177"/>
      <c r="DW108" s="177"/>
      <c r="DX108" s="177"/>
      <c r="DY108" s="177"/>
      <c r="DZ108" s="177"/>
      <c r="EA108" s="177"/>
      <c r="EB108" s="177"/>
      <c r="EC108" s="177"/>
      <c r="ED108" s="177"/>
    </row>
    <row r="109" spans="3:134" ht="13" customHeight="1">
      <c r="C109" s="200">
        <v>45231</v>
      </c>
      <c r="D109" s="213" t="s">
        <v>2114</v>
      </c>
      <c r="E109" s="213" t="s">
        <v>1711</v>
      </c>
      <c r="F109" s="219">
        <v>5</v>
      </c>
      <c r="G109" s="201" t="s">
        <v>1416</v>
      </c>
      <c r="H109" s="202" t="s">
        <v>375</v>
      </c>
      <c r="I109" s="339" t="str" cm="1">
        <f t="array" aca="1" ref="I10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09" s="203" t="str" cm="1">
        <f t="array" ref="J109">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Hrs</v>
      </c>
      <c r="K109" s="96" t="s">
        <v>375</v>
      </c>
      <c r="L109" s="96" t="s">
        <v>373</v>
      </c>
      <c r="M109" s="96" t="s">
        <v>375</v>
      </c>
      <c r="N109" s="96" t="str" cm="1">
        <f t="array" ref="N109">IF(OR(PptoSty[[#This Row],[Project]]="",PptoSty[[#This Row],[Project]]="X"),"X",_xlfn._xlws.FILTER(TbAssign[RowId],(TbAssign[Project]=PptoSty[[#This Row],[Project]])*(TbAssign[Módulo]=PptoSty[[#This Row],[PptoVsRow]]),"X"))</f>
        <v>XC02</v>
      </c>
      <c r="O109" s="96" t="str" cm="1">
        <f t="array" ref="O109">IF(OR(PptoSty[[#This Row],[Project]]="",PptoSty[[#This Row],[Project]]="X"),"X",_xlfn.UNIQUE(_xlfn._xlws.FILTER(F_RT14[Amortz.],(F_RT14[Measure]="CurPpto")*(F_RT14[PrjId]=PptoSty[[#This Row],[Project]])*(F_RT14[Vrs]=PptoSty[[#This Row],[Vrs]])*(_xlfn.TEXTAFTER(F_RT14[ActGrp],":")=PptoSty[[#This Row],[PiRow]]),"X")))</f>
        <v>X</v>
      </c>
      <c r="P109" s="96" t="s">
        <v>1473</v>
      </c>
      <c r="Q109" s="96" t="s">
        <v>1670</v>
      </c>
      <c r="R109" s="204" t="s">
        <v>403</v>
      </c>
      <c r="S109" s="204">
        <v>1</v>
      </c>
      <c r="T109" s="205" t="str" cm="1">
        <f t="array" aca="1" ref="T10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09" s="206" t="str" cm="1">
        <f t="array" aca="1" ref="U109" ca="1">IFERROR((1/PptoSty[[#This Row],[Division]])*IF(PptoSty[[#This Row],[Sign]]="+",1,-1)*(IF(PptoSty[[#This Row],[POvsCT]]="PO",SUM(_xlfn.CHOOSECOLS(_xlfn._xlws.FILTER(F_RT14[],(IF($M109="X",TRUE,F_RT14[Site]=$M109))*(F_RT14[Measure]=U$4)*(F_RT14[PrjId]=PptoSty[[#This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09" s="206" cm="1">
        <f t="array" aca="1" ref="V109" ca="1">IFERROR((1/PptoSty[[#This Row],[Division]])*IF(PptoSty[[#This Row],[Sign]]="+",1,-1)*(IF(PptoSty[[#This Row],[POvsCT]]="PO",SUM(_xlfn.CHOOSECOLS(_xlfn._xlws.FILTER(F_RT14[],(IF($M109="X",TRUE,F_RT14[Site]=$M109))*(F_RT14[Measure]=V$4)*(F_RT14[PrjId]=PptoSty[[#This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09" s="206" cm="1">
        <f t="array" aca="1" ref="W109" ca="1">IFERROR((1/PptoSty[[#This Row],[Division]])*IF(PptoSty[[#This Row],[Sign]]="+",1,-1)*(IF(PptoSty[[#This Row],[POvsCT]]="PO",SUM(_xlfn.CHOOSECOLS(_xlfn._xlws.FILTER(F_RT14[],(IF($M109="X",TRUE,F_RT14[Site]=$M109))*(F_RT14[Measure]=W$4)*(F_RT14[PrjId]=PptoSty[[#This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09" s="338" cm="1">
        <f t="array" aca="1" ref="X109" ca="1">IFERROR(IF(PptoSty[[#This Row],[Nature]]&lt;&gt;"Hrs",0,(1/PptoSty[[#This Row],[Division]])*IF(PptoSty[[#This Row],[Sign]]="+",1,-1)*(IF(PptoSty[[#This Row],[POvsCT]]="PO",SUM(_xlfn.CHOOSECOLS(_xlfn._xlws.FILTER(F_RT14[],(IF($M109="X",TRUE,F_RT14[Site]=$M109))*(F_RT14[Measure]=X$4)*(F_RT14[PrjId]=PptoSty[[#This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09" s="338" cm="1">
        <f t="array" aca="1" ref="Y109" ca="1">IFERROR(IF(PptoSty[[#This Row],[Nature]]&lt;&gt;"Hrs",0,(1/PptoSty[[#This Row],[Division]])*IF(PptoSty[[#This Row],[Sign]]="+",1,-1)*(IF(PptoSty[[#This Row],[POvsCT]]="PO",SUM(_xlfn.CHOOSECOLS(_xlfn._xlws.FILTER(F_RT14[],(IF($M109="X",TRUE,F_RT14[Site]=$M109))*(F_RT14[Measure]=Y$4)*(F_RT14[PrjId]=PptoSty[[#This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09" s="338" cm="1">
        <f t="array" aca="1" ref="Z109" ca="1">IFERROR(IF(PptoSty[[#This Row],[Nature]]&lt;&gt;"Hrs",0,(1/PptoSty[[#This Row],[Division]])*IF(PptoSty[[#This Row],[Sign]]="+",1,-1)*(IF(PptoSty[[#This Row],[POvsCT]]="PO",SUM(_xlfn.CHOOSECOLS(_xlfn._xlws.FILTER(F_RT14[],(IF($M109="X",TRUE,F_RT14[Site]=$M109))*(F_RT14[Measure]=Z$4)*(F_RT14[PrjId]=PptoSty[[#This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09" s="412"/>
      <c r="AB109" s="412"/>
      <c r="AC109" s="412"/>
      <c r="AG109"/>
      <c r="AH109"/>
      <c r="AI109"/>
      <c r="AK109" s="113"/>
      <c r="AO109"/>
      <c r="AP109"/>
      <c r="AZ109" s="175"/>
      <c r="BA109" s="175"/>
      <c r="BE109"/>
      <c r="BF109"/>
      <c r="DG109" s="175"/>
      <c r="DH109" s="175"/>
      <c r="DI109" s="175"/>
      <c r="DL109" s="108"/>
      <c r="DM109" s="366" t="str" cm="1">
        <f t="array" aca="1" ref="DM109"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DN109:DO109</v>
      </c>
      <c r="DN109" s="177" t="s">
        <v>375</v>
      </c>
      <c r="DO109" s="177" t="str" cm="1">
        <f t="array" aca="1" ref="DO109"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09" s="177"/>
      <c r="DQ109" s="177"/>
      <c r="DR109" s="177"/>
      <c r="DS109" s="177"/>
      <c r="DT109" s="177"/>
      <c r="DU109" s="177"/>
      <c r="DV109" s="177"/>
      <c r="DW109" s="177"/>
      <c r="DX109" s="177"/>
      <c r="DY109" s="177"/>
      <c r="DZ109" s="177"/>
      <c r="EA109" s="177"/>
      <c r="EB109" s="177"/>
      <c r="EC109" s="177"/>
      <c r="ED109" s="177"/>
    </row>
    <row r="110" spans="3:134" ht="13" customHeight="1">
      <c r="C110" s="200">
        <v>45231</v>
      </c>
      <c r="D110" s="213" t="s">
        <v>2114</v>
      </c>
      <c r="E110" s="213" t="s">
        <v>1711</v>
      </c>
      <c r="F110" s="219">
        <v>5</v>
      </c>
      <c r="G110" s="201" t="s">
        <v>1416</v>
      </c>
      <c r="H110" s="202" t="s">
        <v>375</v>
      </c>
      <c r="I110" s="339" t="str" cm="1">
        <f t="array" aca="1" ref="I11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10" s="203" t="str" cm="1">
        <f t="array" ref="J110">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Hrs</v>
      </c>
      <c r="K110" s="96" t="s">
        <v>375</v>
      </c>
      <c r="L110" s="96" t="s">
        <v>380</v>
      </c>
      <c r="M110" s="96" t="s">
        <v>375</v>
      </c>
      <c r="N110" s="96" t="str" cm="1">
        <f t="array" ref="N110">IF(OR(PptoSty[[#This Row],[Project]]="",PptoSty[[#This Row],[Project]]="X"),"X",_xlfn._xlws.FILTER(TbAssign[RowId],(TbAssign[Project]=PptoSty[[#This Row],[Project]])*(TbAssign[Módulo]=PptoSty[[#This Row],[PptoVsRow]]),"X"))</f>
        <v>XC02</v>
      </c>
      <c r="O110" s="96" t="str" cm="1">
        <f t="array" ref="O110">IF(OR(PptoSty[[#This Row],[Project]]="",PptoSty[[#This Row],[Project]]="X"),"X",_xlfn.UNIQUE(_xlfn._xlws.FILTER(F_RT14[Amortz.],(F_RT14[Measure]="CurPpto")*(F_RT14[PrjId]=PptoSty[[#This Row],[Project]])*(F_RT14[Vrs]=PptoSty[[#This Row],[Vrs]])*(_xlfn.TEXTAFTER(F_RT14[ActGrp],":")=PptoSty[[#This Row],[PiRow]]),"X")))</f>
        <v>X</v>
      </c>
      <c r="P110" s="96" t="s">
        <v>1473</v>
      </c>
      <c r="Q110" s="96" t="s">
        <v>1670</v>
      </c>
      <c r="R110" s="204" t="s">
        <v>403</v>
      </c>
      <c r="S110" s="204">
        <v>1</v>
      </c>
      <c r="T110" s="205" t="str" cm="1">
        <f t="array" aca="1" ref="T11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10" s="206" t="str" cm="1">
        <f t="array" aca="1" ref="U110" ca="1">IFERROR((1/PptoSty[[#This Row],[Division]])*IF(PptoSty[[#This Row],[Sign]]="+",1,-1)*(IF(PptoSty[[#This Row],[POvsCT]]="PO",SUM(_xlfn.CHOOSECOLS(_xlfn._xlws.FILTER(F_RT14[],(IF($M110="X",TRUE,F_RT14[Site]=$M110))*(F_RT14[Measure]=U$4)*(F_RT14[PrjId]=PptoSty[[#This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10" s="206" cm="1">
        <f t="array" aca="1" ref="V110" ca="1">IFERROR((1/PptoSty[[#This Row],[Division]])*IF(PptoSty[[#This Row],[Sign]]="+",1,-1)*(IF(PptoSty[[#This Row],[POvsCT]]="PO",SUM(_xlfn.CHOOSECOLS(_xlfn._xlws.FILTER(F_RT14[],(IF($M110="X",TRUE,F_RT14[Site]=$M110))*(F_RT14[Measure]=V$4)*(F_RT14[PrjId]=PptoSty[[#This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10" s="206" cm="1">
        <f t="array" aca="1" ref="W110" ca="1">IFERROR((1/PptoSty[[#This Row],[Division]])*IF(PptoSty[[#This Row],[Sign]]="+",1,-1)*(IF(PptoSty[[#This Row],[POvsCT]]="PO",SUM(_xlfn.CHOOSECOLS(_xlfn._xlws.FILTER(F_RT14[],(IF($M110="X",TRUE,F_RT14[Site]=$M110))*(F_RT14[Measure]=W$4)*(F_RT14[PrjId]=PptoSty[[#This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10" s="338" cm="1">
        <f t="array" aca="1" ref="X110" ca="1">IFERROR(IF(PptoSty[[#This Row],[Nature]]&lt;&gt;"Hrs",0,(1/PptoSty[[#This Row],[Division]])*IF(PptoSty[[#This Row],[Sign]]="+",1,-1)*(IF(PptoSty[[#This Row],[POvsCT]]="PO",SUM(_xlfn.CHOOSECOLS(_xlfn._xlws.FILTER(F_RT14[],(IF($M110="X",TRUE,F_RT14[Site]=$M110))*(F_RT14[Measure]=X$4)*(F_RT14[PrjId]=PptoSty[[#This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10" s="338" cm="1">
        <f t="array" aca="1" ref="Y110" ca="1">IFERROR(IF(PptoSty[[#This Row],[Nature]]&lt;&gt;"Hrs",0,(1/PptoSty[[#This Row],[Division]])*IF(PptoSty[[#This Row],[Sign]]="+",1,-1)*(IF(PptoSty[[#This Row],[POvsCT]]="PO",SUM(_xlfn.CHOOSECOLS(_xlfn._xlws.FILTER(F_RT14[],(IF($M110="X",TRUE,F_RT14[Site]=$M110))*(F_RT14[Measure]=Y$4)*(F_RT14[PrjId]=PptoSty[[#This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10" s="338" cm="1">
        <f t="array" aca="1" ref="Z110" ca="1">IFERROR(IF(PptoSty[[#This Row],[Nature]]&lt;&gt;"Hrs",0,(1/PptoSty[[#This Row],[Division]])*IF(PptoSty[[#This Row],[Sign]]="+",1,-1)*(IF(PptoSty[[#This Row],[POvsCT]]="PO",SUM(_xlfn.CHOOSECOLS(_xlfn._xlws.FILTER(F_RT14[],(IF($M110="X",TRUE,F_RT14[Site]=$M110))*(F_RT14[Measure]=Z$4)*(F_RT14[PrjId]=PptoSty[[#This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10" s="412"/>
      <c r="AB110" s="412"/>
      <c r="AC110" s="412"/>
      <c r="AG110"/>
      <c r="AH110"/>
      <c r="AI110"/>
      <c r="AK110" s="113"/>
      <c r="AO110"/>
      <c r="AP110"/>
      <c r="AZ110" s="175"/>
      <c r="BA110" s="175"/>
      <c r="BE110"/>
      <c r="BF110"/>
      <c r="DG110" s="175"/>
      <c r="DH110" s="175"/>
      <c r="DI110" s="175"/>
      <c r="DL110" s="108"/>
      <c r="DM110" s="366" t="str" cm="1">
        <f t="array" aca="1" ref="DM110"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DN110:DO110</v>
      </c>
      <c r="DN110" s="177" t="s">
        <v>375</v>
      </c>
      <c r="DO110" s="177" t="str" cm="1">
        <f t="array" aca="1" ref="DO110"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10" s="177"/>
      <c r="DQ110" s="177"/>
      <c r="DR110" s="177"/>
      <c r="DS110" s="177"/>
      <c r="DT110" s="177"/>
      <c r="DU110" s="177"/>
      <c r="DV110" s="177"/>
      <c r="DW110" s="177"/>
      <c r="DX110" s="177"/>
      <c r="DY110" s="177"/>
      <c r="DZ110" s="177"/>
      <c r="EA110" s="177"/>
      <c r="EB110" s="177"/>
      <c r="EC110" s="177"/>
      <c r="ED110" s="177"/>
    </row>
    <row r="111" spans="3:134" ht="13" customHeight="1">
      <c r="C111" s="200">
        <v>45231</v>
      </c>
      <c r="D111" s="213" t="s">
        <v>2114</v>
      </c>
      <c r="E111" s="213" t="s">
        <v>1711</v>
      </c>
      <c r="F111" s="219">
        <v>5</v>
      </c>
      <c r="G111" s="201" t="s">
        <v>1416</v>
      </c>
      <c r="H111" s="202" t="s">
        <v>375</v>
      </c>
      <c r="I111" s="339" t="str" cm="1">
        <f t="array" aca="1" ref="I11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11" s="203" t="str" cm="1">
        <f t="array" ref="J111">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Gto</v>
      </c>
      <c r="K111" s="96" t="s">
        <v>375</v>
      </c>
      <c r="L111" s="96" t="s">
        <v>386</v>
      </c>
      <c r="M111" s="96" t="s">
        <v>375</v>
      </c>
      <c r="N111" s="96" t="str" cm="1">
        <f t="array" ref="N111">IF(OR(PptoSty[[#This Row],[Project]]="",PptoSty[[#This Row],[Project]]="X"),"X",_xlfn._xlws.FILTER(TbAssign[RowId],(TbAssign[Project]=PptoSty[[#This Row],[Project]])*(TbAssign[Módulo]=PptoSty[[#This Row],[PptoVsRow]]),"X"))</f>
        <v>XF02</v>
      </c>
      <c r="O111" s="96" t="str" cm="1">
        <f t="array" ref="O111">IF(OR(PptoSty[[#This Row],[Project]]="",PptoSty[[#This Row],[Project]]="X"),"X",_xlfn.UNIQUE(_xlfn._xlws.FILTER(F_RT14[Amortz.],(F_RT14[Measure]="CurPpto")*(F_RT14[PrjId]=PptoSty[[#This Row],[Project]])*(F_RT14[Vrs]=PptoSty[[#This Row],[Vrs]])*(_xlfn.TEXTAFTER(F_RT14[ActGrp],":")=PptoSty[[#This Row],[PiRow]]),"X")))</f>
        <v>X</v>
      </c>
      <c r="P111" s="96" t="s">
        <v>300</v>
      </c>
      <c r="Q111" s="96" t="s">
        <v>386</v>
      </c>
      <c r="R111" s="204" t="s">
        <v>403</v>
      </c>
      <c r="S111" s="204">
        <v>1</v>
      </c>
      <c r="T111" s="205" t="str" cm="1">
        <f t="array" aca="1" ref="T11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11" s="206" t="str" cm="1">
        <f t="array" aca="1" ref="U111" ca="1">IFERROR((1/PptoSty[[#This Row],[Division]])*IF(PptoSty[[#This Row],[Sign]]="+",1,-1)*(IF(PptoSty[[#This Row],[POvsCT]]="PO",SUM(_xlfn.CHOOSECOLS(_xlfn._xlws.FILTER(F_RT14[],(IF($M111="X",TRUE,F_RT14[Site]=$M111))*(F_RT14[Measure]=U$4)*(F_RT14[PrjId]=PptoSty[[#This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11" s="206" cm="1">
        <f t="array" aca="1" ref="V111" ca="1">IFERROR((1/PptoSty[[#This Row],[Division]])*IF(PptoSty[[#This Row],[Sign]]="+",1,-1)*(IF(PptoSty[[#This Row],[POvsCT]]="PO",SUM(_xlfn.CHOOSECOLS(_xlfn._xlws.FILTER(F_RT14[],(IF($M111="X",TRUE,F_RT14[Site]=$M111))*(F_RT14[Measure]=V$4)*(F_RT14[PrjId]=PptoSty[[#This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11" s="206" cm="1">
        <f t="array" aca="1" ref="W111" ca="1">IFERROR((1/PptoSty[[#This Row],[Division]])*IF(PptoSty[[#This Row],[Sign]]="+",1,-1)*(IF(PptoSty[[#This Row],[POvsCT]]="PO",SUM(_xlfn.CHOOSECOLS(_xlfn._xlws.FILTER(F_RT14[],(IF($M111="X",TRUE,F_RT14[Site]=$M111))*(F_RT14[Measure]=W$4)*(F_RT14[PrjId]=PptoSty[[#This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11" s="338" cm="1">
        <f t="array" ref="X111">IFERROR(IF(PptoSty[[#This Row],[Nature]]&lt;&gt;"Hrs",0,(1/PptoSty[[#This Row],[Division]])*IF(PptoSty[[#This Row],[Sign]]="+",1,-1)*(IF(PptoSty[[#This Row],[POvsCT]]="PO",SUM(_xlfn.CHOOSECOLS(_xlfn._xlws.FILTER(F_RT14[],(IF($M111="X",TRUE,F_RT14[Site]=$M111))*(F_RT14[Measure]=X$4)*(F_RT14[PrjId]=PptoSty[[#This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11" s="338" cm="1">
        <f t="array" ref="Y111">IFERROR(IF(PptoSty[[#This Row],[Nature]]&lt;&gt;"Hrs",0,(1/PptoSty[[#This Row],[Division]])*IF(PptoSty[[#This Row],[Sign]]="+",1,-1)*(IF(PptoSty[[#This Row],[POvsCT]]="PO",SUM(_xlfn.CHOOSECOLS(_xlfn._xlws.FILTER(F_RT14[],(IF($M111="X",TRUE,F_RT14[Site]=$M111))*(F_RT14[Measure]=Y$4)*(F_RT14[PrjId]=PptoSty[[#This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11" s="338" cm="1">
        <f t="array" ref="Z111">IFERROR(IF(PptoSty[[#This Row],[Nature]]&lt;&gt;"Hrs",0,(1/PptoSty[[#This Row],[Division]])*IF(PptoSty[[#This Row],[Sign]]="+",1,-1)*(IF(PptoSty[[#This Row],[POvsCT]]="PO",SUM(_xlfn.CHOOSECOLS(_xlfn._xlws.FILTER(F_RT14[],(IF($M111="X",TRUE,F_RT14[Site]=$M111))*(F_RT14[Measure]=Z$4)*(F_RT14[PrjId]=PptoSty[[#This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11" s="412"/>
      <c r="AB111" s="412"/>
      <c r="AC111" s="412"/>
      <c r="AG111"/>
      <c r="AH111"/>
      <c r="AI111"/>
      <c r="AK111" s="113"/>
      <c r="AO111"/>
      <c r="AP111"/>
      <c r="AZ111" s="175"/>
      <c r="BA111" s="175"/>
      <c r="BE111"/>
      <c r="BF111"/>
      <c r="DG111" s="175"/>
      <c r="DH111" s="175"/>
      <c r="DI111" s="175"/>
      <c r="DL111" s="108"/>
      <c r="DM111" s="366" t="str" cm="1">
        <f t="array" aca="1" ref="DM111"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DN111:DO111</v>
      </c>
      <c r="DN111" s="177" t="s">
        <v>375</v>
      </c>
      <c r="DO111" s="177" t="str" cm="1">
        <f t="array" aca="1" ref="DO111"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11" s="177"/>
      <c r="DQ111" s="177"/>
      <c r="DR111" s="177"/>
      <c r="DS111" s="177"/>
      <c r="DT111" s="177"/>
      <c r="DU111" s="177"/>
      <c r="DV111" s="177"/>
      <c r="DW111" s="177"/>
      <c r="DX111" s="177"/>
      <c r="DY111" s="177"/>
      <c r="DZ111" s="177"/>
      <c r="EA111" s="177"/>
      <c r="EB111" s="177"/>
      <c r="EC111" s="177"/>
      <c r="ED111" s="177"/>
    </row>
    <row r="112" spans="3:134" ht="13" customHeight="1">
      <c r="C112" s="200">
        <v>45231</v>
      </c>
      <c r="D112" s="213" t="s">
        <v>2114</v>
      </c>
      <c r="E112" s="213" t="s">
        <v>1711</v>
      </c>
      <c r="F112" s="219">
        <v>7</v>
      </c>
      <c r="G112" s="201" t="s">
        <v>1416</v>
      </c>
      <c r="H112" s="202" t="s">
        <v>375</v>
      </c>
      <c r="I112" s="339" t="str" cm="1">
        <f t="array" aca="1" ref="I11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12" s="203" t="str" cm="1">
        <f t="array" ref="J112">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Gto</v>
      </c>
      <c r="K112" s="96" t="s">
        <v>375</v>
      </c>
      <c r="L112" s="96" t="s">
        <v>386</v>
      </c>
      <c r="M112" s="96" t="s">
        <v>375</v>
      </c>
      <c r="N112" s="96" t="str" cm="1">
        <f t="array" ref="N112">IF(OR(PptoSty[[#This Row],[Project]]="",PptoSty[[#This Row],[Project]]="X"),"X",_xlfn._xlws.FILTER(TbAssign[RowId],(TbAssign[Project]=PptoSty[[#This Row],[Project]])*(TbAssign[Módulo]=PptoSty[[#This Row],[PptoVsRow]]),"X"))</f>
        <v>XA04</v>
      </c>
      <c r="O112" s="96" t="str" cm="1">
        <f t="array" ref="O112">IF(OR(PptoSty[[#This Row],[Project]]="",PptoSty[[#This Row],[Project]]="X"),"X",_xlfn.UNIQUE(_xlfn._xlws.FILTER(F_RT14[Amortz.],(F_RT14[Measure]="CurPpto")*(F_RT14[PrjId]=PptoSty[[#This Row],[Project]])*(F_RT14[Vrs]=PptoSty[[#This Row],[Vrs]])*(_xlfn.TEXTAFTER(F_RT14[ActGrp],":")=PptoSty[[#This Row],[PiRow]]),"X")))</f>
        <v>X</v>
      </c>
      <c r="P112" s="96" t="s">
        <v>1243</v>
      </c>
      <c r="Q112" s="96" t="s">
        <v>386</v>
      </c>
      <c r="R112" s="204" t="s">
        <v>403</v>
      </c>
      <c r="S112" s="204">
        <v>1</v>
      </c>
      <c r="T112" s="205" t="str" cm="1">
        <f t="array" aca="1" ref="T11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12" s="206" t="str" cm="1">
        <f t="array" aca="1" ref="U112" ca="1">IFERROR((1/PptoSty[[#This Row],[Division]])*IF(PptoSty[[#This Row],[Sign]]="+",1,-1)*(IF(PptoSty[[#This Row],[POvsCT]]="PO",SUM(_xlfn.CHOOSECOLS(_xlfn._xlws.FILTER(F_RT14[],(IF($M112="X",TRUE,F_RT14[Site]=$M112))*(F_RT14[Measure]=U$4)*(F_RT14[PrjId]=PptoSty[[#This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12" s="206" cm="1">
        <f t="array" aca="1" ref="V112" ca="1">IFERROR((1/PptoSty[[#This Row],[Division]])*IF(PptoSty[[#This Row],[Sign]]="+",1,-1)*(IF(PptoSty[[#This Row],[POvsCT]]="PO",SUM(_xlfn.CHOOSECOLS(_xlfn._xlws.FILTER(F_RT14[],(IF($M112="X",TRUE,F_RT14[Site]=$M112))*(F_RT14[Measure]=V$4)*(F_RT14[PrjId]=PptoSty[[#This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12" s="206" cm="1">
        <f t="array" aca="1" ref="W112" ca="1">IFERROR((1/PptoSty[[#This Row],[Division]])*IF(PptoSty[[#This Row],[Sign]]="+",1,-1)*(IF(PptoSty[[#This Row],[POvsCT]]="PO",SUM(_xlfn.CHOOSECOLS(_xlfn._xlws.FILTER(F_RT14[],(IF($M112="X",TRUE,F_RT14[Site]=$M112))*(F_RT14[Measure]=W$4)*(F_RT14[PrjId]=PptoSty[[#This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12" s="338" cm="1">
        <f t="array" ref="X112">IFERROR(IF(PptoSty[[#This Row],[Nature]]&lt;&gt;"Hrs",0,(1/PptoSty[[#This Row],[Division]])*IF(PptoSty[[#This Row],[Sign]]="+",1,-1)*(IF(PptoSty[[#This Row],[POvsCT]]="PO",SUM(_xlfn.CHOOSECOLS(_xlfn._xlws.FILTER(F_RT14[],(IF($M112="X",TRUE,F_RT14[Site]=$M112))*(F_RT14[Measure]=X$4)*(F_RT14[PrjId]=PptoSty[[#This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12" s="338" cm="1">
        <f t="array" ref="Y112">IFERROR(IF(PptoSty[[#This Row],[Nature]]&lt;&gt;"Hrs",0,(1/PptoSty[[#This Row],[Division]])*IF(PptoSty[[#This Row],[Sign]]="+",1,-1)*(IF(PptoSty[[#This Row],[POvsCT]]="PO",SUM(_xlfn.CHOOSECOLS(_xlfn._xlws.FILTER(F_RT14[],(IF($M112="X",TRUE,F_RT14[Site]=$M112))*(F_RT14[Measure]=Y$4)*(F_RT14[PrjId]=PptoSty[[#This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12" s="338" cm="1">
        <f t="array" ref="Z112">IFERROR(IF(PptoSty[[#This Row],[Nature]]&lt;&gt;"Hrs",0,(1/PptoSty[[#This Row],[Division]])*IF(PptoSty[[#This Row],[Sign]]="+",1,-1)*(IF(PptoSty[[#This Row],[POvsCT]]="PO",SUM(_xlfn.CHOOSECOLS(_xlfn._xlws.FILTER(F_RT14[],(IF($M112="X",TRUE,F_RT14[Site]=$M112))*(F_RT14[Measure]=Z$4)*(F_RT14[PrjId]=PptoSty[[#This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12" s="412"/>
      <c r="AB112" s="412"/>
      <c r="AC112" s="412"/>
      <c r="AG112"/>
      <c r="AH112"/>
      <c r="AI112"/>
      <c r="AK112" s="113"/>
      <c r="AO112"/>
      <c r="AP112"/>
      <c r="AZ112" s="175"/>
      <c r="BA112" s="175"/>
      <c r="BE112"/>
      <c r="BF112"/>
      <c r="DG112" s="175"/>
      <c r="DH112" s="175"/>
      <c r="DI112" s="175"/>
      <c r="DL112" s="108"/>
      <c r="DM112" s="366" t="str" cm="1">
        <f t="array" aca="1" ref="DM112"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DN112:DO112</v>
      </c>
      <c r="DN112" s="177" t="s">
        <v>375</v>
      </c>
      <c r="DO112" s="177" t="str" cm="1">
        <f t="array" aca="1" ref="DO112"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12" s="177"/>
      <c r="DQ112" s="177"/>
      <c r="DR112" s="177"/>
      <c r="DS112" s="177"/>
      <c r="DT112" s="177"/>
      <c r="DU112" s="177"/>
      <c r="DV112" s="177"/>
      <c r="DW112" s="177"/>
      <c r="DX112" s="177"/>
      <c r="DY112" s="177"/>
      <c r="DZ112" s="177"/>
      <c r="EA112" s="177"/>
      <c r="EB112" s="177"/>
      <c r="EC112" s="177"/>
      <c r="ED112" s="177"/>
    </row>
    <row r="113" spans="3:134" ht="13" customHeight="1">
      <c r="C113" s="200">
        <v>45231</v>
      </c>
      <c r="D113" s="213" t="s">
        <v>2114</v>
      </c>
      <c r="E113" s="213" t="s">
        <v>1711</v>
      </c>
      <c r="F113" s="219">
        <v>9</v>
      </c>
      <c r="G113" s="201" t="s">
        <v>1416</v>
      </c>
      <c r="H113" s="202" t="s">
        <v>375</v>
      </c>
      <c r="I113" s="339" t="str" cm="1">
        <f t="array" aca="1" ref="I11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13" s="203" t="str" cm="1">
        <f t="array" ref="J113">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Mat</v>
      </c>
      <c r="K113" s="96" t="s">
        <v>375</v>
      </c>
      <c r="L113" s="96" t="s">
        <v>1639</v>
      </c>
      <c r="M113" s="96" t="s">
        <v>375</v>
      </c>
      <c r="N113" s="96" t="str" cm="1">
        <f t="array" ref="N113">IF(OR(PptoSty[[#This Row],[Project]]="",PptoSty[[#This Row],[Project]]="X"),"X",_xlfn._xlws.FILTER(TbAssign[RowId],(TbAssign[Project]=PptoSty[[#This Row],[Project]])*(TbAssign[Módulo]=PptoSty[[#This Row],[PptoVsRow]]),"X"))</f>
        <v>XC03</v>
      </c>
      <c r="O113" s="96" t="str" cm="1">
        <f t="array" ref="O113">IF(OR(PptoSty[[#This Row],[Project]]="",PptoSty[[#This Row],[Project]]="X"),"X",_xlfn.UNIQUE(_xlfn._xlws.FILTER(F_RT14[Amortz.],(F_RT14[Measure]="CurPpto")*(F_RT14[PrjId]=PptoSty[[#This Row],[Project]])*(F_RT14[Vrs]=PptoSty[[#This Row],[Vrs]])*(_xlfn.TEXTAFTER(F_RT14[ActGrp],":")=PptoSty[[#This Row],[PiRow]]),"X")))</f>
        <v>X</v>
      </c>
      <c r="P113" s="96" t="s">
        <v>368</v>
      </c>
      <c r="Q113" s="96" t="s">
        <v>1667</v>
      </c>
      <c r="R113" s="204" t="s">
        <v>403</v>
      </c>
      <c r="S113" s="204">
        <v>1</v>
      </c>
      <c r="T113" s="205" t="str" cm="1">
        <f t="array" aca="1" ref="T11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13" s="206" t="str" cm="1">
        <f t="array" aca="1" ref="U113" ca="1">IFERROR((1/PptoSty[[#This Row],[Division]])*IF(PptoSty[[#This Row],[Sign]]="+",1,-1)*(IF(PptoSty[[#This Row],[POvsCT]]="PO",SUM(_xlfn.CHOOSECOLS(_xlfn._xlws.FILTER(F_RT14[],(IF($M113="X",TRUE,F_RT14[Site]=$M113))*(F_RT14[Measure]=U$4)*(F_RT14[PrjId]=PptoSty[[#This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13" s="206" cm="1">
        <f t="array" aca="1" ref="V113" ca="1">IFERROR((1/PptoSty[[#This Row],[Division]])*IF(PptoSty[[#This Row],[Sign]]="+",1,-1)*(IF(PptoSty[[#This Row],[POvsCT]]="PO",SUM(_xlfn.CHOOSECOLS(_xlfn._xlws.FILTER(F_RT14[],(IF($M113="X",TRUE,F_RT14[Site]=$M113))*(F_RT14[Measure]=V$4)*(F_RT14[PrjId]=PptoSty[[#This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13" s="206" cm="1">
        <f t="array" aca="1" ref="W113" ca="1">IFERROR((1/PptoSty[[#This Row],[Division]])*IF(PptoSty[[#This Row],[Sign]]="+",1,-1)*(IF(PptoSty[[#This Row],[POvsCT]]="PO",SUM(_xlfn.CHOOSECOLS(_xlfn._xlws.FILTER(F_RT14[],(IF($M113="X",TRUE,F_RT14[Site]=$M113))*(F_RT14[Measure]=W$4)*(F_RT14[PrjId]=PptoSty[[#This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13" s="338" cm="1">
        <f t="array" ref="X113">IFERROR(IF(PptoSty[[#This Row],[Nature]]&lt;&gt;"Hrs",0,(1/PptoSty[[#This Row],[Division]])*IF(PptoSty[[#This Row],[Sign]]="+",1,-1)*(IF(PptoSty[[#This Row],[POvsCT]]="PO",SUM(_xlfn.CHOOSECOLS(_xlfn._xlws.FILTER(F_RT14[],(IF($M113="X",TRUE,F_RT14[Site]=$M113))*(F_RT14[Measure]=X$4)*(F_RT14[PrjId]=PptoSty[[#This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13" s="338" cm="1">
        <f t="array" ref="Y113">IFERROR(IF(PptoSty[[#This Row],[Nature]]&lt;&gt;"Hrs",0,(1/PptoSty[[#This Row],[Division]])*IF(PptoSty[[#This Row],[Sign]]="+",1,-1)*(IF(PptoSty[[#This Row],[POvsCT]]="PO",SUM(_xlfn.CHOOSECOLS(_xlfn._xlws.FILTER(F_RT14[],(IF($M113="X",TRUE,F_RT14[Site]=$M113))*(F_RT14[Measure]=Y$4)*(F_RT14[PrjId]=PptoSty[[#This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13" s="338" cm="1">
        <f t="array" ref="Z113">IFERROR(IF(PptoSty[[#This Row],[Nature]]&lt;&gt;"Hrs",0,(1/PptoSty[[#This Row],[Division]])*IF(PptoSty[[#This Row],[Sign]]="+",1,-1)*(IF(PptoSty[[#This Row],[POvsCT]]="PO",SUM(_xlfn.CHOOSECOLS(_xlfn._xlws.FILTER(F_RT14[],(IF($M113="X",TRUE,F_RT14[Site]=$M113))*(F_RT14[Measure]=Z$4)*(F_RT14[PrjId]=PptoSty[[#This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13" s="412"/>
      <c r="AB113" s="412"/>
      <c r="AC113" s="412"/>
      <c r="AG113"/>
      <c r="AH113"/>
      <c r="AI113"/>
      <c r="AK113" s="113"/>
      <c r="AO113"/>
      <c r="AP113"/>
      <c r="AZ113" s="175"/>
      <c r="BA113" s="175"/>
      <c r="BE113"/>
      <c r="BF113"/>
      <c r="DG113" s="175"/>
      <c r="DH113" s="175"/>
      <c r="DI113" s="175"/>
      <c r="DL113" s="108"/>
      <c r="DM113" s="366" t="str" cm="1">
        <f t="array" aca="1" ref="DM113"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DN113:DO113</v>
      </c>
      <c r="DN113" s="177" t="s">
        <v>375</v>
      </c>
      <c r="DO113" s="177" t="str" cm="1">
        <f t="array" aca="1" ref="DO113"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13" s="177"/>
      <c r="DQ113" s="177"/>
      <c r="DR113" s="177"/>
      <c r="DS113" s="177"/>
      <c r="DT113" s="177"/>
      <c r="DU113" s="177"/>
      <c r="DV113" s="177"/>
      <c r="DW113" s="177"/>
      <c r="DX113" s="177"/>
      <c r="DY113" s="177"/>
      <c r="DZ113" s="177"/>
      <c r="EA113" s="177"/>
      <c r="EB113" s="177"/>
      <c r="EC113" s="177"/>
      <c r="ED113" s="177"/>
    </row>
    <row r="114" spans="3:134" ht="13" customHeight="1">
      <c r="C114" s="200">
        <v>45231</v>
      </c>
      <c r="D114" s="213" t="s">
        <v>2114</v>
      </c>
      <c r="E114" s="213" t="s">
        <v>1711</v>
      </c>
      <c r="F114" s="219">
        <v>9</v>
      </c>
      <c r="G114" s="201" t="s">
        <v>1416</v>
      </c>
      <c r="H114" s="202" t="s">
        <v>375</v>
      </c>
      <c r="I114" s="339" t="str" cm="1">
        <f t="array" aca="1" ref="I11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14" s="203" t="str" cm="1">
        <f t="array" ref="J114">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Gto</v>
      </c>
      <c r="K114" s="96" t="s">
        <v>375</v>
      </c>
      <c r="L114" s="96" t="s">
        <v>386</v>
      </c>
      <c r="M114" s="96" t="s">
        <v>375</v>
      </c>
      <c r="N114" s="96" t="str" cm="1">
        <f t="array" ref="N114">IF(OR(PptoSty[[#This Row],[Project]]="",PptoSty[[#This Row],[Project]]="X"),"X",_xlfn._xlws.FILTER(TbAssign[RowId],(TbAssign[Project]=PptoSty[[#This Row],[Project]])*(TbAssign[Módulo]=PptoSty[[#This Row],[PptoVsRow]]),"X"))</f>
        <v>XF02</v>
      </c>
      <c r="O114" s="96" t="str" cm="1">
        <f t="array" ref="O114">IF(OR(PptoSty[[#This Row],[Project]]="",PptoSty[[#This Row],[Project]]="X"),"X",_xlfn.UNIQUE(_xlfn._xlws.FILTER(F_RT14[Amortz.],(F_RT14[Measure]="CurPpto")*(F_RT14[PrjId]=PptoSty[[#This Row],[Project]])*(F_RT14[Vrs]=PptoSty[[#This Row],[Vrs]])*(_xlfn.TEXTAFTER(F_RT14[ActGrp],":")=PptoSty[[#This Row],[PiRow]]),"X")))</f>
        <v>X</v>
      </c>
      <c r="P114" s="96" t="s">
        <v>300</v>
      </c>
      <c r="Q114" s="96" t="s">
        <v>386</v>
      </c>
      <c r="R114" s="204" t="s">
        <v>403</v>
      </c>
      <c r="S114" s="204">
        <v>1</v>
      </c>
      <c r="T114" s="205" t="str" cm="1">
        <f t="array" aca="1" ref="T11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14" s="206" t="str" cm="1">
        <f t="array" aca="1" ref="U114" ca="1">IFERROR((1/PptoSty[[#This Row],[Division]])*IF(PptoSty[[#This Row],[Sign]]="+",1,-1)*(IF(PptoSty[[#This Row],[POvsCT]]="PO",SUM(_xlfn.CHOOSECOLS(_xlfn._xlws.FILTER(F_RT14[],(IF($M114="X",TRUE,F_RT14[Site]=$M114))*(F_RT14[Measure]=U$4)*(F_RT14[PrjId]=PptoSty[[#This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14" s="206" cm="1">
        <f t="array" aca="1" ref="V114" ca="1">IFERROR((1/PptoSty[[#This Row],[Division]])*IF(PptoSty[[#This Row],[Sign]]="+",1,-1)*(IF(PptoSty[[#This Row],[POvsCT]]="PO",SUM(_xlfn.CHOOSECOLS(_xlfn._xlws.FILTER(F_RT14[],(IF($M114="X",TRUE,F_RT14[Site]=$M114))*(F_RT14[Measure]=V$4)*(F_RT14[PrjId]=PptoSty[[#This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14" s="206" cm="1">
        <f t="array" aca="1" ref="W114" ca="1">IFERROR((1/PptoSty[[#This Row],[Division]])*IF(PptoSty[[#This Row],[Sign]]="+",1,-1)*(IF(PptoSty[[#This Row],[POvsCT]]="PO",SUM(_xlfn.CHOOSECOLS(_xlfn._xlws.FILTER(F_RT14[],(IF($M114="X",TRUE,F_RT14[Site]=$M114))*(F_RT14[Measure]=W$4)*(F_RT14[PrjId]=PptoSty[[#This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14" s="338" cm="1">
        <f t="array" ref="X114">IFERROR(IF(PptoSty[[#This Row],[Nature]]&lt;&gt;"Hrs",0,(1/PptoSty[[#This Row],[Division]])*IF(PptoSty[[#This Row],[Sign]]="+",1,-1)*(IF(PptoSty[[#This Row],[POvsCT]]="PO",SUM(_xlfn.CHOOSECOLS(_xlfn._xlws.FILTER(F_RT14[],(IF($M114="X",TRUE,F_RT14[Site]=$M114))*(F_RT14[Measure]=X$4)*(F_RT14[PrjId]=PptoSty[[#This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14" s="338" cm="1">
        <f t="array" ref="Y114">IFERROR(IF(PptoSty[[#This Row],[Nature]]&lt;&gt;"Hrs",0,(1/PptoSty[[#This Row],[Division]])*IF(PptoSty[[#This Row],[Sign]]="+",1,-1)*(IF(PptoSty[[#This Row],[POvsCT]]="PO",SUM(_xlfn.CHOOSECOLS(_xlfn._xlws.FILTER(F_RT14[],(IF($M114="X",TRUE,F_RT14[Site]=$M114))*(F_RT14[Measure]=Y$4)*(F_RT14[PrjId]=PptoSty[[#This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14" s="338" cm="1">
        <f t="array" ref="Z114">IFERROR(IF(PptoSty[[#This Row],[Nature]]&lt;&gt;"Hrs",0,(1/PptoSty[[#This Row],[Division]])*IF(PptoSty[[#This Row],[Sign]]="+",1,-1)*(IF(PptoSty[[#This Row],[POvsCT]]="PO",SUM(_xlfn.CHOOSECOLS(_xlfn._xlws.FILTER(F_RT14[],(IF($M114="X",TRUE,F_RT14[Site]=$M114))*(F_RT14[Measure]=Z$4)*(F_RT14[PrjId]=PptoSty[[#This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14" s="412"/>
      <c r="AB114" s="412"/>
      <c r="AC114" s="412"/>
      <c r="AG114"/>
      <c r="AH114"/>
      <c r="AI114"/>
      <c r="AK114" s="113"/>
      <c r="AO114"/>
      <c r="AP114"/>
      <c r="AZ114" s="175"/>
      <c r="BA114" s="175"/>
      <c r="BE114"/>
      <c r="BF114"/>
      <c r="DG114" s="175"/>
      <c r="DH114" s="175"/>
      <c r="DI114" s="175"/>
      <c r="DL114" s="108"/>
      <c r="DM114" s="366" t="str" cm="1">
        <f t="array" aca="1" ref="DM114"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DN114:DO114</v>
      </c>
      <c r="DN114" s="177" t="s">
        <v>375</v>
      </c>
      <c r="DO114" s="177" t="str" cm="1">
        <f t="array" aca="1" ref="DO114"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14" s="177"/>
      <c r="DQ114" s="177"/>
      <c r="DR114" s="177"/>
      <c r="DS114" s="177"/>
      <c r="DT114" s="177"/>
      <c r="DU114" s="177"/>
      <c r="DV114" s="177"/>
      <c r="DW114" s="177"/>
      <c r="DX114" s="177"/>
      <c r="DY114" s="177"/>
      <c r="DZ114" s="177"/>
      <c r="EA114" s="177"/>
      <c r="EB114" s="177"/>
      <c r="EC114" s="177"/>
      <c r="ED114" s="177"/>
    </row>
    <row r="115" spans="3:134" ht="13" customHeight="1">
      <c r="C115" s="200">
        <v>45231</v>
      </c>
      <c r="D115" s="213" t="s">
        <v>2114</v>
      </c>
      <c r="E115" s="213" t="s">
        <v>1711</v>
      </c>
      <c r="F115" s="219">
        <v>10</v>
      </c>
      <c r="G115" s="201" t="s">
        <v>1416</v>
      </c>
      <c r="H115" s="202" t="s">
        <v>375</v>
      </c>
      <c r="I115" s="339" t="str" cm="1">
        <f t="array" aca="1" ref="I11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15" s="203" t="str" cm="1">
        <f t="array" ref="J115">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Hrs</v>
      </c>
      <c r="K115" s="96" t="s">
        <v>375</v>
      </c>
      <c r="L115" s="96" t="s">
        <v>1643</v>
      </c>
      <c r="M115" s="96" t="s">
        <v>375</v>
      </c>
      <c r="N115" s="96" t="str" cm="1">
        <f t="array" ref="N115">IF(OR(PptoSty[[#This Row],[Project]]="",PptoSty[[#This Row],[Project]]="X"),"X",_xlfn._xlws.FILTER(TbAssign[RowId],(TbAssign[Project]=PptoSty[[#This Row],[Project]])*(TbAssign[Módulo]=PptoSty[[#This Row],[PptoVsRow]]),"X"))</f>
        <v>XB05</v>
      </c>
      <c r="O115" s="96" t="str" cm="1">
        <f t="array" ref="O115">IF(OR(PptoSty[[#This Row],[Project]]="",PptoSty[[#This Row],[Project]]="X"),"X",_xlfn.UNIQUE(_xlfn._xlws.FILTER(F_RT14[Amortz.],(F_RT14[Measure]="CurPpto")*(F_RT14[PrjId]=PptoSty[[#This Row],[Project]])*(F_RT14[Vrs]=PptoSty[[#This Row],[Vrs]])*(_xlfn.TEXTAFTER(F_RT14[ActGrp],":")=PptoSty[[#This Row],[PiRow]]),"X")))</f>
        <v>X</v>
      </c>
      <c r="P115" s="96" t="s">
        <v>428</v>
      </c>
      <c r="Q115" s="96" t="s">
        <v>377</v>
      </c>
      <c r="R115" s="204" t="s">
        <v>403</v>
      </c>
      <c r="S115" s="204">
        <v>1</v>
      </c>
      <c r="T115" s="205" t="str" cm="1">
        <f t="array" aca="1" ref="T11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15" s="206" t="str" cm="1">
        <f t="array" aca="1" ref="U115" ca="1">IFERROR((1/PptoSty[[#This Row],[Division]])*IF(PptoSty[[#This Row],[Sign]]="+",1,-1)*(IF(PptoSty[[#This Row],[POvsCT]]="PO",SUM(_xlfn.CHOOSECOLS(_xlfn._xlws.FILTER(F_RT14[],(IF($M115="X",TRUE,F_RT14[Site]=$M115))*(F_RT14[Measure]=U$4)*(F_RT14[PrjId]=PptoSty[[#This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15" s="206" cm="1">
        <f t="array" aca="1" ref="V115" ca="1">IFERROR((1/PptoSty[[#This Row],[Division]])*IF(PptoSty[[#This Row],[Sign]]="+",1,-1)*(IF(PptoSty[[#This Row],[POvsCT]]="PO",SUM(_xlfn.CHOOSECOLS(_xlfn._xlws.FILTER(F_RT14[],(IF($M115="X",TRUE,F_RT14[Site]=$M115))*(F_RT14[Measure]=V$4)*(F_RT14[PrjId]=PptoSty[[#This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15" s="206" cm="1">
        <f t="array" aca="1" ref="W115" ca="1">IFERROR((1/PptoSty[[#This Row],[Division]])*IF(PptoSty[[#This Row],[Sign]]="+",1,-1)*(IF(PptoSty[[#This Row],[POvsCT]]="PO",SUM(_xlfn.CHOOSECOLS(_xlfn._xlws.FILTER(F_RT14[],(IF($M115="X",TRUE,F_RT14[Site]=$M115))*(F_RT14[Measure]=W$4)*(F_RT14[PrjId]=PptoSty[[#This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15" s="338" t="str" cm="1">
        <f t="array" aca="1" ref="X115" ca="1">IFERROR(IF(PptoSty[[#This Row],[Nature]]&lt;&gt;"Hrs",0,(1/PptoSty[[#This Row],[Division]])*IF(PptoSty[[#This Row],[Sign]]="+",1,-1)*(IF(PptoSty[[#This Row],[POvsCT]]="PO",SUM(_xlfn.CHOOSECOLS(_xlfn._xlws.FILTER(F_RT14[],(IF($M115="X",TRUE,F_RT14[Site]=$M115))*(F_RT14[Measure]=X$4)*(F_RT14[PrjId]=PptoSty[[#This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115" s="338" cm="1">
        <f t="array" aca="1" ref="Y115" ca="1">IFERROR(IF(PptoSty[[#This Row],[Nature]]&lt;&gt;"Hrs",0,(1/PptoSty[[#This Row],[Division]])*IF(PptoSty[[#This Row],[Sign]]="+",1,-1)*(IF(PptoSty[[#This Row],[POvsCT]]="PO",SUM(_xlfn.CHOOSECOLS(_xlfn._xlws.FILTER(F_RT14[],(IF($M115="X",TRUE,F_RT14[Site]=$M115))*(F_RT14[Measure]=Y$4)*(F_RT14[PrjId]=PptoSty[[#This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15" s="338" cm="1">
        <f t="array" aca="1" ref="Z115" ca="1">IFERROR(IF(PptoSty[[#This Row],[Nature]]&lt;&gt;"Hrs",0,(1/PptoSty[[#This Row],[Division]])*IF(PptoSty[[#This Row],[Sign]]="+",1,-1)*(IF(PptoSty[[#This Row],[POvsCT]]="PO",SUM(_xlfn.CHOOSECOLS(_xlfn._xlws.FILTER(F_RT14[],(IF($M115="X",TRUE,F_RT14[Site]=$M115))*(F_RT14[Measure]=Z$4)*(F_RT14[PrjId]=PptoSty[[#This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15" s="412"/>
      <c r="AB115" s="412"/>
      <c r="AC115" s="412"/>
      <c r="AG115"/>
      <c r="AH115"/>
      <c r="AI115"/>
      <c r="AK115" s="113"/>
      <c r="AO115"/>
      <c r="AP115"/>
      <c r="AZ115" s="175"/>
      <c r="BA115" s="175"/>
      <c r="BE115"/>
      <c r="BF115"/>
      <c r="DG115" s="175"/>
      <c r="DH115" s="175"/>
      <c r="DI115" s="175"/>
      <c r="DL115" s="108"/>
      <c r="DM115" s="366" t="str" cm="1">
        <f t="array" aca="1" ref="DM11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DN115:DO115</v>
      </c>
      <c r="DN115" s="177" t="s">
        <v>375</v>
      </c>
      <c r="DO115" s="177" t="str" cm="1">
        <f t="array" aca="1" ref="DO11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15" s="177"/>
      <c r="DQ115" s="177"/>
      <c r="DR115" s="177"/>
      <c r="DS115" s="177"/>
      <c r="DT115" s="177"/>
      <c r="DU115" s="177"/>
      <c r="DV115" s="177"/>
      <c r="DW115" s="177"/>
      <c r="DX115" s="177"/>
      <c r="DY115" s="177"/>
      <c r="DZ115" s="177"/>
      <c r="EA115" s="177"/>
      <c r="EB115" s="177"/>
      <c r="EC115" s="177"/>
      <c r="ED115" s="177"/>
    </row>
    <row r="116" spans="3:134" ht="13" customHeight="1">
      <c r="C116" s="200">
        <v>45231</v>
      </c>
      <c r="D116" s="213" t="s">
        <v>2114</v>
      </c>
      <c r="E116" s="213" t="s">
        <v>1711</v>
      </c>
      <c r="F116" s="219">
        <v>10</v>
      </c>
      <c r="G116" s="201" t="s">
        <v>1416</v>
      </c>
      <c r="H116" s="202" t="s">
        <v>375</v>
      </c>
      <c r="I116" s="339" t="str" cm="1">
        <f t="array" aca="1" ref="I11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16" s="203" t="str" cm="1">
        <f t="array" ref="J116">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Hrs</v>
      </c>
      <c r="K116" s="96" t="s">
        <v>375</v>
      </c>
      <c r="L116" s="96" t="s">
        <v>360</v>
      </c>
      <c r="M116" s="96" t="s">
        <v>375</v>
      </c>
      <c r="N116" s="96" t="str" cm="1">
        <f t="array" ref="N116">IF(OR(PptoSty[[#This Row],[Project]]="",PptoSty[[#This Row],[Project]]="X"),"X",_xlfn._xlws.FILTER(TbAssign[RowId],(TbAssign[Project]=PptoSty[[#This Row],[Project]])*(TbAssign[Módulo]=PptoSty[[#This Row],[PptoVsRow]]),"X"))</f>
        <v>XB06</v>
      </c>
      <c r="O116" s="96" t="str" cm="1">
        <f t="array" ref="O116">IF(OR(PptoSty[[#This Row],[Project]]="",PptoSty[[#This Row],[Project]]="X"),"X",_xlfn.UNIQUE(_xlfn._xlws.FILTER(F_RT14[Amortz.],(F_RT14[Measure]="CurPpto")*(F_RT14[PrjId]=PptoSty[[#This Row],[Project]])*(F_RT14[Vrs]=PptoSty[[#This Row],[Vrs]])*(_xlfn.TEXTAFTER(F_RT14[ActGrp],":")=PptoSty[[#This Row],[PiRow]]),"X")))</f>
        <v>X</v>
      </c>
      <c r="P116" s="96" t="s">
        <v>360</v>
      </c>
      <c r="Q116" s="96" t="s">
        <v>360</v>
      </c>
      <c r="R116" s="204" t="s">
        <v>403</v>
      </c>
      <c r="S116" s="204">
        <v>1</v>
      </c>
      <c r="T116" s="205" t="str" cm="1">
        <f t="array" aca="1" ref="T11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16" s="206" t="str" cm="1">
        <f t="array" aca="1" ref="U116" ca="1">IFERROR((1/PptoSty[[#This Row],[Division]])*IF(PptoSty[[#This Row],[Sign]]="+",1,-1)*(IF(PptoSty[[#This Row],[POvsCT]]="PO",SUM(_xlfn.CHOOSECOLS(_xlfn._xlws.FILTER(F_RT14[],(IF($M116="X",TRUE,F_RT14[Site]=$M116))*(F_RT14[Measure]=U$4)*(F_RT14[PrjId]=PptoSty[[#This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16" s="206" cm="1">
        <f t="array" aca="1" ref="V116" ca="1">IFERROR((1/PptoSty[[#This Row],[Division]])*IF(PptoSty[[#This Row],[Sign]]="+",1,-1)*(IF(PptoSty[[#This Row],[POvsCT]]="PO",SUM(_xlfn.CHOOSECOLS(_xlfn._xlws.FILTER(F_RT14[],(IF($M116="X",TRUE,F_RT14[Site]=$M116))*(F_RT14[Measure]=V$4)*(F_RT14[PrjId]=PptoSty[[#This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16" s="206" cm="1">
        <f t="array" aca="1" ref="W116" ca="1">IFERROR((1/PptoSty[[#This Row],[Division]])*IF(PptoSty[[#This Row],[Sign]]="+",1,-1)*(IF(PptoSty[[#This Row],[POvsCT]]="PO",SUM(_xlfn.CHOOSECOLS(_xlfn._xlws.FILTER(F_RT14[],(IF($M116="X",TRUE,F_RT14[Site]=$M116))*(F_RT14[Measure]=W$4)*(F_RT14[PrjId]=PptoSty[[#This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16" s="338" t="str" cm="1">
        <f t="array" aca="1" ref="X116" ca="1">IFERROR(IF(PptoSty[[#This Row],[Nature]]&lt;&gt;"Hrs",0,(1/PptoSty[[#This Row],[Division]])*IF(PptoSty[[#This Row],[Sign]]="+",1,-1)*(IF(PptoSty[[#This Row],[POvsCT]]="PO",SUM(_xlfn.CHOOSECOLS(_xlfn._xlws.FILTER(F_RT14[],(IF($M116="X",TRUE,F_RT14[Site]=$M116))*(F_RT14[Measure]=X$4)*(F_RT14[PrjId]=PptoSty[[#This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116" s="338" cm="1">
        <f t="array" aca="1" ref="Y116" ca="1">IFERROR(IF(PptoSty[[#This Row],[Nature]]&lt;&gt;"Hrs",0,(1/PptoSty[[#This Row],[Division]])*IF(PptoSty[[#This Row],[Sign]]="+",1,-1)*(IF(PptoSty[[#This Row],[POvsCT]]="PO",SUM(_xlfn.CHOOSECOLS(_xlfn._xlws.FILTER(F_RT14[],(IF($M116="X",TRUE,F_RT14[Site]=$M116))*(F_RT14[Measure]=Y$4)*(F_RT14[PrjId]=PptoSty[[#This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16" s="338" cm="1">
        <f t="array" aca="1" ref="Z116" ca="1">IFERROR(IF(PptoSty[[#This Row],[Nature]]&lt;&gt;"Hrs",0,(1/PptoSty[[#This Row],[Division]])*IF(PptoSty[[#This Row],[Sign]]="+",1,-1)*(IF(PptoSty[[#This Row],[POvsCT]]="PO",SUM(_xlfn.CHOOSECOLS(_xlfn._xlws.FILTER(F_RT14[],(IF($M116="X",TRUE,F_RT14[Site]=$M116))*(F_RT14[Measure]=Z$4)*(F_RT14[PrjId]=PptoSty[[#This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16" s="412"/>
      <c r="AB116" s="412"/>
      <c r="AC116" s="412"/>
      <c r="AG116"/>
      <c r="AH116"/>
      <c r="AI116"/>
      <c r="AK116" s="113"/>
      <c r="AO116"/>
      <c r="AP116"/>
      <c r="AZ116" s="175"/>
      <c r="BA116" s="175"/>
      <c r="BE116"/>
      <c r="BF116"/>
      <c r="DG116" s="175"/>
      <c r="DH116" s="175"/>
      <c r="DI116" s="175"/>
      <c r="DL116" s="108"/>
      <c r="DM116" s="366" t="str" cm="1">
        <f t="array" aca="1" ref="DM11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DN116:DO116</v>
      </c>
      <c r="DN116" s="177" t="s">
        <v>375</v>
      </c>
      <c r="DO116" s="177" t="str" cm="1">
        <f t="array" aca="1" ref="DO11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16" s="177"/>
      <c r="DQ116" s="177"/>
      <c r="DR116" s="177"/>
      <c r="DS116" s="177"/>
      <c r="DT116" s="177"/>
      <c r="DU116" s="177"/>
      <c r="DV116" s="177"/>
      <c r="DW116" s="177"/>
      <c r="DX116" s="177"/>
      <c r="DY116" s="177"/>
      <c r="DZ116" s="177"/>
      <c r="EA116" s="177"/>
      <c r="EB116" s="177"/>
      <c r="EC116" s="177"/>
      <c r="ED116" s="177"/>
    </row>
    <row r="117" spans="3:134" ht="13" customHeight="1">
      <c r="C117" s="200">
        <v>45231</v>
      </c>
      <c r="D117" s="213" t="s">
        <v>2114</v>
      </c>
      <c r="E117" s="213" t="s">
        <v>1711</v>
      </c>
      <c r="F117" s="219">
        <v>10</v>
      </c>
      <c r="G117" s="201" t="s">
        <v>1416</v>
      </c>
      <c r="H117" s="202" t="s">
        <v>375</v>
      </c>
      <c r="I117" s="339" t="str" cm="1">
        <f t="array" aca="1" ref="I11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17" s="203" t="str" cm="1">
        <f t="array" ref="J117">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Hrs</v>
      </c>
      <c r="K117" s="96" t="s">
        <v>375</v>
      </c>
      <c r="L117" s="96" t="s">
        <v>1274</v>
      </c>
      <c r="M117" s="96" t="s">
        <v>375</v>
      </c>
      <c r="N117" s="96" t="str" cm="1">
        <f t="array" ref="N117">IF(OR(PptoSty[[#This Row],[Project]]="",PptoSty[[#This Row],[Project]]="X"),"X",_xlfn._xlws.FILTER(TbAssign[RowId],(TbAssign[Project]=PptoSty[[#This Row],[Project]])*(TbAssign[Módulo]=PptoSty[[#This Row],[PptoVsRow]]),"X"))</f>
        <v>XB04</v>
      </c>
      <c r="O117" s="96" t="str" cm="1">
        <f t="array" ref="O117">IF(OR(PptoSty[[#This Row],[Project]]="",PptoSty[[#This Row],[Project]]="X"),"X",_xlfn.UNIQUE(_xlfn._xlws.FILTER(F_RT14[Amortz.],(F_RT14[Measure]="CurPpto")*(F_RT14[PrjId]=PptoSty[[#This Row],[Project]])*(F_RT14[Vrs]=PptoSty[[#This Row],[Vrs]])*(_xlfn.TEXTAFTER(F_RT14[ActGrp],":")=PptoSty[[#This Row],[PiRow]]),"X")))</f>
        <v>X</v>
      </c>
      <c r="P117" s="96" t="s">
        <v>1468</v>
      </c>
      <c r="Q117" s="96" t="s">
        <v>1274</v>
      </c>
      <c r="R117" s="204" t="s">
        <v>403</v>
      </c>
      <c r="S117" s="204">
        <v>1</v>
      </c>
      <c r="T117" s="205" t="str" cm="1">
        <f t="array" aca="1" ref="T11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17" s="206" t="str" cm="1">
        <f t="array" aca="1" ref="U117" ca="1">IFERROR((1/PptoSty[[#This Row],[Division]])*IF(PptoSty[[#This Row],[Sign]]="+",1,-1)*(IF(PptoSty[[#This Row],[POvsCT]]="PO",SUM(_xlfn.CHOOSECOLS(_xlfn._xlws.FILTER(F_RT14[],(IF($M117="X",TRUE,F_RT14[Site]=$M117))*(F_RT14[Measure]=U$4)*(F_RT14[PrjId]=PptoSty[[#This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17" s="206" cm="1">
        <f t="array" aca="1" ref="V117" ca="1">IFERROR((1/PptoSty[[#This Row],[Division]])*IF(PptoSty[[#This Row],[Sign]]="+",1,-1)*(IF(PptoSty[[#This Row],[POvsCT]]="PO",SUM(_xlfn.CHOOSECOLS(_xlfn._xlws.FILTER(F_RT14[],(IF($M117="X",TRUE,F_RT14[Site]=$M117))*(F_RT14[Measure]=V$4)*(F_RT14[PrjId]=PptoSty[[#This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17" s="206" cm="1">
        <f t="array" aca="1" ref="W117" ca="1">IFERROR((1/PptoSty[[#This Row],[Division]])*IF(PptoSty[[#This Row],[Sign]]="+",1,-1)*(IF(PptoSty[[#This Row],[POvsCT]]="PO",SUM(_xlfn.CHOOSECOLS(_xlfn._xlws.FILTER(F_RT14[],(IF($M117="X",TRUE,F_RT14[Site]=$M117))*(F_RT14[Measure]=W$4)*(F_RT14[PrjId]=PptoSty[[#This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17" s="338" t="str" cm="1">
        <f t="array" aca="1" ref="X117" ca="1">IFERROR(IF(PptoSty[[#This Row],[Nature]]&lt;&gt;"Hrs",0,(1/PptoSty[[#This Row],[Division]])*IF(PptoSty[[#This Row],[Sign]]="+",1,-1)*(IF(PptoSty[[#This Row],[POvsCT]]="PO",SUM(_xlfn.CHOOSECOLS(_xlfn._xlws.FILTER(F_RT14[],(IF($M117="X",TRUE,F_RT14[Site]=$M117))*(F_RT14[Measure]=X$4)*(F_RT14[PrjId]=PptoSty[[#This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117" s="338" cm="1">
        <f t="array" aca="1" ref="Y117" ca="1">IFERROR(IF(PptoSty[[#This Row],[Nature]]&lt;&gt;"Hrs",0,(1/PptoSty[[#This Row],[Division]])*IF(PptoSty[[#This Row],[Sign]]="+",1,-1)*(IF(PptoSty[[#This Row],[POvsCT]]="PO",SUM(_xlfn.CHOOSECOLS(_xlfn._xlws.FILTER(F_RT14[],(IF($M117="X",TRUE,F_RT14[Site]=$M117))*(F_RT14[Measure]=Y$4)*(F_RT14[PrjId]=PptoSty[[#This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17" s="338" cm="1">
        <f t="array" aca="1" ref="Z117" ca="1">IFERROR(IF(PptoSty[[#This Row],[Nature]]&lt;&gt;"Hrs",0,(1/PptoSty[[#This Row],[Division]])*IF(PptoSty[[#This Row],[Sign]]="+",1,-1)*(IF(PptoSty[[#This Row],[POvsCT]]="PO",SUM(_xlfn.CHOOSECOLS(_xlfn._xlws.FILTER(F_RT14[],(IF($M117="X",TRUE,F_RT14[Site]=$M117))*(F_RT14[Measure]=Z$4)*(F_RT14[PrjId]=PptoSty[[#This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17" s="412"/>
      <c r="AB117" s="412"/>
      <c r="AC117" s="412"/>
      <c r="AG117"/>
      <c r="AH117"/>
      <c r="AI117"/>
      <c r="AK117" s="113"/>
      <c r="AO117"/>
      <c r="AP117"/>
      <c r="AZ117" s="175"/>
      <c r="BA117" s="175"/>
      <c r="BE117"/>
      <c r="BF117"/>
      <c r="DG117" s="175"/>
      <c r="DH117" s="175"/>
      <c r="DI117" s="175"/>
      <c r="DL117" s="108"/>
      <c r="DM117" s="366" t="str" cm="1">
        <f t="array" aca="1" ref="DM11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DN117:DO117</v>
      </c>
      <c r="DN117" s="177" t="s">
        <v>375</v>
      </c>
      <c r="DO117" s="177" t="str" cm="1">
        <f t="array" aca="1" ref="DO11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17" s="177"/>
      <c r="DQ117" s="177"/>
      <c r="DR117" s="177"/>
      <c r="DS117" s="177"/>
      <c r="DT117" s="177"/>
      <c r="DU117" s="177"/>
      <c r="DV117" s="177"/>
      <c r="DW117" s="177"/>
      <c r="DX117" s="177"/>
      <c r="DY117" s="177"/>
      <c r="DZ117" s="177"/>
      <c r="EA117" s="177"/>
      <c r="EB117" s="177"/>
      <c r="EC117" s="177"/>
      <c r="ED117" s="177"/>
    </row>
    <row r="118" spans="3:134" ht="13" customHeight="1">
      <c r="C118" s="200">
        <v>45231</v>
      </c>
      <c r="D118" s="213" t="s">
        <v>2114</v>
      </c>
      <c r="E118" s="213" t="s">
        <v>1711</v>
      </c>
      <c r="F118" s="219">
        <v>10</v>
      </c>
      <c r="G118" s="201" t="s">
        <v>1416</v>
      </c>
      <c r="H118" s="202" t="s">
        <v>375</v>
      </c>
      <c r="I118" s="339" t="str" cm="1">
        <f t="array" aca="1" ref="I11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18" s="203" t="str" cm="1">
        <f t="array" ref="J118">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Hrs</v>
      </c>
      <c r="K118" s="96" t="s">
        <v>375</v>
      </c>
      <c r="L118" s="96" t="s">
        <v>379</v>
      </c>
      <c r="M118" s="96" t="s">
        <v>375</v>
      </c>
      <c r="N118" s="96" t="str" cm="1">
        <f t="array" ref="N118">IF(OR(PptoSty[[#This Row],[Project]]="",PptoSty[[#This Row],[Project]]="X"),"X",_xlfn._xlws.FILTER(TbAssign[RowId],(TbAssign[Project]=PptoSty[[#This Row],[Project]])*(TbAssign[Módulo]=PptoSty[[#This Row],[PptoVsRow]]),"X"))</f>
        <v>XC02</v>
      </c>
      <c r="O118" s="96" t="str" cm="1">
        <f t="array" ref="O118">IF(OR(PptoSty[[#This Row],[Project]]="",PptoSty[[#This Row],[Project]]="X"),"X",_xlfn.UNIQUE(_xlfn._xlws.FILTER(F_RT14[Amortz.],(F_RT14[Measure]="CurPpto")*(F_RT14[PrjId]=PptoSty[[#This Row],[Project]])*(F_RT14[Vrs]=PptoSty[[#This Row],[Vrs]])*(_xlfn.TEXTAFTER(F_RT14[ActGrp],":")=PptoSty[[#This Row],[PiRow]]),"X")))</f>
        <v>X</v>
      </c>
      <c r="P118" s="96" t="s">
        <v>1473</v>
      </c>
      <c r="Q118" s="96" t="s">
        <v>1667</v>
      </c>
      <c r="R118" s="204" t="s">
        <v>403</v>
      </c>
      <c r="S118" s="204">
        <v>1</v>
      </c>
      <c r="T118" s="205" t="str" cm="1">
        <f t="array" aca="1" ref="T11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18" s="206" t="str" cm="1">
        <f t="array" aca="1" ref="U118" ca="1">IFERROR((1/PptoSty[[#This Row],[Division]])*IF(PptoSty[[#This Row],[Sign]]="+",1,-1)*(IF(PptoSty[[#This Row],[POvsCT]]="PO",SUM(_xlfn.CHOOSECOLS(_xlfn._xlws.FILTER(F_RT14[],(IF($M118="X",TRUE,F_RT14[Site]=$M118))*(F_RT14[Measure]=U$4)*(F_RT14[PrjId]=PptoSty[[#This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18" s="206" cm="1">
        <f t="array" aca="1" ref="V118" ca="1">IFERROR((1/PptoSty[[#This Row],[Division]])*IF(PptoSty[[#This Row],[Sign]]="+",1,-1)*(IF(PptoSty[[#This Row],[POvsCT]]="PO",SUM(_xlfn.CHOOSECOLS(_xlfn._xlws.FILTER(F_RT14[],(IF($M118="X",TRUE,F_RT14[Site]=$M118))*(F_RT14[Measure]=V$4)*(F_RT14[PrjId]=PptoSty[[#This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18" s="206" cm="1">
        <f t="array" aca="1" ref="W118" ca="1">IFERROR((1/PptoSty[[#This Row],[Division]])*IF(PptoSty[[#This Row],[Sign]]="+",1,-1)*(IF(PptoSty[[#This Row],[POvsCT]]="PO",SUM(_xlfn.CHOOSECOLS(_xlfn._xlws.FILTER(F_RT14[],(IF($M118="X",TRUE,F_RT14[Site]=$M118))*(F_RT14[Measure]=W$4)*(F_RT14[PrjId]=PptoSty[[#This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18" s="338" t="str" cm="1">
        <f t="array" aca="1" ref="X118" ca="1">IFERROR(IF(PptoSty[[#This Row],[Nature]]&lt;&gt;"Hrs",0,(1/PptoSty[[#This Row],[Division]])*IF(PptoSty[[#This Row],[Sign]]="+",1,-1)*(IF(PptoSty[[#This Row],[POvsCT]]="PO",SUM(_xlfn.CHOOSECOLS(_xlfn._xlws.FILTER(F_RT14[],(IF($M118="X",TRUE,F_RT14[Site]=$M118))*(F_RT14[Measure]=X$4)*(F_RT14[PrjId]=PptoSty[[#This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118" s="338" cm="1">
        <f t="array" aca="1" ref="Y118" ca="1">IFERROR(IF(PptoSty[[#This Row],[Nature]]&lt;&gt;"Hrs",0,(1/PptoSty[[#This Row],[Division]])*IF(PptoSty[[#This Row],[Sign]]="+",1,-1)*(IF(PptoSty[[#This Row],[POvsCT]]="PO",SUM(_xlfn.CHOOSECOLS(_xlfn._xlws.FILTER(F_RT14[],(IF($M118="X",TRUE,F_RT14[Site]=$M118))*(F_RT14[Measure]=Y$4)*(F_RT14[PrjId]=PptoSty[[#This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18" s="338" cm="1">
        <f t="array" aca="1" ref="Z118" ca="1">IFERROR(IF(PptoSty[[#This Row],[Nature]]&lt;&gt;"Hrs",0,(1/PptoSty[[#This Row],[Division]])*IF(PptoSty[[#This Row],[Sign]]="+",1,-1)*(IF(PptoSty[[#This Row],[POvsCT]]="PO",SUM(_xlfn.CHOOSECOLS(_xlfn._xlws.FILTER(F_RT14[],(IF($M118="X",TRUE,F_RT14[Site]=$M118))*(F_RT14[Measure]=Z$4)*(F_RT14[PrjId]=PptoSty[[#This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18" s="412"/>
      <c r="AB118" s="412"/>
      <c r="AC118" s="412"/>
      <c r="AG118"/>
      <c r="AH118"/>
      <c r="AI118"/>
      <c r="AK118" s="113"/>
      <c r="AO118"/>
      <c r="AP118"/>
      <c r="AZ118" s="175"/>
      <c r="BA118" s="175"/>
      <c r="BE118"/>
      <c r="BF118"/>
      <c r="DG118" s="175"/>
      <c r="DH118" s="175"/>
      <c r="DI118" s="175"/>
      <c r="DL118" s="108"/>
      <c r="DM118" s="366" t="str" cm="1">
        <f t="array" aca="1" ref="DM11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DN118:DO118</v>
      </c>
      <c r="DN118" s="177" t="s">
        <v>375</v>
      </c>
      <c r="DO118" s="177" t="str" cm="1">
        <f t="array" aca="1" ref="DO11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18" s="177"/>
      <c r="DQ118" s="177"/>
      <c r="DR118" s="177"/>
      <c r="DS118" s="177"/>
      <c r="DT118" s="177"/>
      <c r="DU118" s="177"/>
      <c r="DV118" s="177"/>
      <c r="DW118" s="177"/>
      <c r="DX118" s="177"/>
      <c r="DY118" s="177"/>
      <c r="DZ118" s="177"/>
      <c r="EA118" s="177"/>
      <c r="EB118" s="177"/>
      <c r="EC118" s="177"/>
      <c r="ED118" s="177"/>
    </row>
    <row r="119" spans="3:134" ht="13" customHeight="1">
      <c r="C119" s="200">
        <v>45231</v>
      </c>
      <c r="D119" s="213" t="s">
        <v>2114</v>
      </c>
      <c r="E119" s="213" t="s">
        <v>1711</v>
      </c>
      <c r="F119" s="219">
        <v>10</v>
      </c>
      <c r="G119" s="201" t="s">
        <v>1416</v>
      </c>
      <c r="H119" s="202" t="s">
        <v>375</v>
      </c>
      <c r="I119" s="339" t="str" cm="1">
        <f t="array" aca="1" ref="I11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19" s="203" t="str" cm="1">
        <f t="array" ref="J119">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Mat</v>
      </c>
      <c r="K119" s="96" t="s">
        <v>375</v>
      </c>
      <c r="L119" s="96" t="s">
        <v>1639</v>
      </c>
      <c r="M119" s="96" t="s">
        <v>375</v>
      </c>
      <c r="N119" s="96" t="str" cm="1">
        <f t="array" ref="N119">IF(OR(PptoSty[[#This Row],[Project]]="",PptoSty[[#This Row],[Project]]="X"),"X",_xlfn._xlws.FILTER(TbAssign[RowId],(TbAssign[Project]=PptoSty[[#This Row],[Project]])*(TbAssign[Módulo]=PptoSty[[#This Row],[PptoVsRow]]),"X"))</f>
        <v>XC02</v>
      </c>
      <c r="O119" s="96" t="str" cm="1">
        <f t="array" ref="O119">IF(OR(PptoSty[[#This Row],[Project]]="",PptoSty[[#This Row],[Project]]="X"),"X",_xlfn.UNIQUE(_xlfn._xlws.FILTER(F_RT14[Amortz.],(F_RT14[Measure]="CurPpto")*(F_RT14[PrjId]=PptoSty[[#This Row],[Project]])*(F_RT14[Vrs]=PptoSty[[#This Row],[Vrs]])*(_xlfn.TEXTAFTER(F_RT14[ActGrp],":")=PptoSty[[#This Row],[PiRow]]),"X")))</f>
        <v>X</v>
      </c>
      <c r="P119" s="96" t="s">
        <v>1473</v>
      </c>
      <c r="Q119" s="96" t="s">
        <v>1667</v>
      </c>
      <c r="R119" s="204" t="s">
        <v>403</v>
      </c>
      <c r="S119" s="204">
        <v>1</v>
      </c>
      <c r="T119" s="205" t="str" cm="1">
        <f t="array" aca="1" ref="T11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19" s="206" t="str" cm="1">
        <f t="array" aca="1" ref="U119" ca="1">IFERROR((1/PptoSty[[#This Row],[Division]])*IF(PptoSty[[#This Row],[Sign]]="+",1,-1)*(IF(PptoSty[[#This Row],[POvsCT]]="PO",SUM(_xlfn.CHOOSECOLS(_xlfn._xlws.FILTER(F_RT14[],(IF($M119="X",TRUE,F_RT14[Site]=$M119))*(F_RT14[Measure]=U$4)*(F_RT14[PrjId]=PptoSty[[#This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19" s="206" cm="1">
        <f t="array" aca="1" ref="V119" ca="1">IFERROR((1/PptoSty[[#This Row],[Division]])*IF(PptoSty[[#This Row],[Sign]]="+",1,-1)*(IF(PptoSty[[#This Row],[POvsCT]]="PO",SUM(_xlfn.CHOOSECOLS(_xlfn._xlws.FILTER(F_RT14[],(IF($M119="X",TRUE,F_RT14[Site]=$M119))*(F_RT14[Measure]=V$4)*(F_RT14[PrjId]=PptoSty[[#This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19" s="206" cm="1">
        <f t="array" aca="1" ref="W119" ca="1">IFERROR((1/PptoSty[[#This Row],[Division]])*IF(PptoSty[[#This Row],[Sign]]="+",1,-1)*(IF(PptoSty[[#This Row],[POvsCT]]="PO",SUM(_xlfn.CHOOSECOLS(_xlfn._xlws.FILTER(F_RT14[],(IF($M119="X",TRUE,F_RT14[Site]=$M119))*(F_RT14[Measure]=W$4)*(F_RT14[PrjId]=PptoSty[[#This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19" s="338" cm="1">
        <f t="array" ref="X119">IFERROR(IF(PptoSty[[#This Row],[Nature]]&lt;&gt;"Hrs",0,(1/PptoSty[[#This Row],[Division]])*IF(PptoSty[[#This Row],[Sign]]="+",1,-1)*(IF(PptoSty[[#This Row],[POvsCT]]="PO",SUM(_xlfn.CHOOSECOLS(_xlfn._xlws.FILTER(F_RT14[],(IF($M119="X",TRUE,F_RT14[Site]=$M119))*(F_RT14[Measure]=X$4)*(F_RT14[PrjId]=PptoSty[[#This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19" s="338" cm="1">
        <f t="array" ref="Y119">IFERROR(IF(PptoSty[[#This Row],[Nature]]&lt;&gt;"Hrs",0,(1/PptoSty[[#This Row],[Division]])*IF(PptoSty[[#This Row],[Sign]]="+",1,-1)*(IF(PptoSty[[#This Row],[POvsCT]]="PO",SUM(_xlfn.CHOOSECOLS(_xlfn._xlws.FILTER(F_RT14[],(IF($M119="X",TRUE,F_RT14[Site]=$M119))*(F_RT14[Measure]=Y$4)*(F_RT14[PrjId]=PptoSty[[#This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19" s="338" cm="1">
        <f t="array" ref="Z119">IFERROR(IF(PptoSty[[#This Row],[Nature]]&lt;&gt;"Hrs",0,(1/PptoSty[[#This Row],[Division]])*IF(PptoSty[[#This Row],[Sign]]="+",1,-1)*(IF(PptoSty[[#This Row],[POvsCT]]="PO",SUM(_xlfn.CHOOSECOLS(_xlfn._xlws.FILTER(F_RT14[],(IF($M119="X",TRUE,F_RT14[Site]=$M119))*(F_RT14[Measure]=Z$4)*(F_RT14[PrjId]=PptoSty[[#This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19" s="412"/>
      <c r="AB119" s="412"/>
      <c r="AC119" s="412"/>
      <c r="AG119"/>
      <c r="AH119"/>
      <c r="AI119"/>
      <c r="AK119" s="113"/>
      <c r="AO119"/>
      <c r="AP119"/>
      <c r="AZ119" s="175"/>
      <c r="BA119" s="175"/>
      <c r="BE119"/>
      <c r="BF119"/>
      <c r="DG119" s="175"/>
      <c r="DH119" s="175"/>
      <c r="DI119" s="175"/>
      <c r="DL119" s="108"/>
      <c r="DM119" s="366" t="str" cm="1">
        <f t="array" aca="1" ref="DM119"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DN119:DO119</v>
      </c>
      <c r="DN119" s="177" t="s">
        <v>375</v>
      </c>
      <c r="DO119" s="177" t="str" cm="1">
        <f t="array" aca="1" ref="DO119"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19" s="177"/>
      <c r="DQ119" s="177"/>
      <c r="DR119" s="177"/>
      <c r="DS119" s="177"/>
      <c r="DT119" s="177"/>
      <c r="DU119" s="177"/>
      <c r="DV119" s="177"/>
      <c r="DW119" s="177"/>
      <c r="DX119" s="177"/>
      <c r="DY119" s="177"/>
      <c r="DZ119" s="177"/>
      <c r="EA119" s="177"/>
      <c r="EB119" s="177"/>
      <c r="EC119" s="177"/>
      <c r="ED119" s="177"/>
    </row>
    <row r="120" spans="3:134" ht="13" customHeight="1">
      <c r="C120" s="200">
        <v>45231</v>
      </c>
      <c r="D120" s="213" t="s">
        <v>2114</v>
      </c>
      <c r="E120" s="213" t="s">
        <v>1711</v>
      </c>
      <c r="F120" s="219">
        <v>10</v>
      </c>
      <c r="G120" s="201" t="s">
        <v>1416</v>
      </c>
      <c r="H120" s="202" t="s">
        <v>375</v>
      </c>
      <c r="I120" s="339" t="str" cm="1">
        <f t="array" aca="1" ref="I12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20" s="203" t="str" cm="1">
        <f t="array" ref="J120">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Hrs</v>
      </c>
      <c r="K120" s="96" t="s">
        <v>375</v>
      </c>
      <c r="L120" s="96" t="s">
        <v>380</v>
      </c>
      <c r="M120" s="96" t="s">
        <v>375</v>
      </c>
      <c r="N120" s="96" t="str" cm="1">
        <f t="array" ref="N120">IF(OR(PptoSty[[#This Row],[Project]]="",PptoSty[[#This Row],[Project]]="X"),"X",_xlfn._xlws.FILTER(TbAssign[RowId],(TbAssign[Project]=PptoSty[[#This Row],[Project]])*(TbAssign[Módulo]=PptoSty[[#This Row],[PptoVsRow]]),"X"))</f>
        <v>XC02</v>
      </c>
      <c r="O120" s="96" t="str" cm="1">
        <f t="array" ref="O120">IF(OR(PptoSty[[#This Row],[Project]]="",PptoSty[[#This Row],[Project]]="X"),"X",_xlfn.UNIQUE(_xlfn._xlws.FILTER(F_RT14[Amortz.],(F_RT14[Measure]="CurPpto")*(F_RT14[PrjId]=PptoSty[[#This Row],[Project]])*(F_RT14[Vrs]=PptoSty[[#This Row],[Vrs]])*(_xlfn.TEXTAFTER(F_RT14[ActGrp],":")=PptoSty[[#This Row],[PiRow]]),"X")))</f>
        <v>X</v>
      </c>
      <c r="P120" s="96" t="s">
        <v>1473</v>
      </c>
      <c r="Q120" s="96" t="s">
        <v>1667</v>
      </c>
      <c r="R120" s="204" t="s">
        <v>403</v>
      </c>
      <c r="S120" s="204">
        <v>1</v>
      </c>
      <c r="T120" s="205" t="str" cm="1">
        <f t="array" aca="1" ref="T12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20" s="206" t="str" cm="1">
        <f t="array" aca="1" ref="U120" ca="1">IFERROR((1/PptoSty[[#This Row],[Division]])*IF(PptoSty[[#This Row],[Sign]]="+",1,-1)*(IF(PptoSty[[#This Row],[POvsCT]]="PO",SUM(_xlfn.CHOOSECOLS(_xlfn._xlws.FILTER(F_RT14[],(IF($M120="X",TRUE,F_RT14[Site]=$M120))*(F_RT14[Measure]=U$4)*(F_RT14[PrjId]=PptoSty[[#This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20" s="206" cm="1">
        <f t="array" aca="1" ref="V120" ca="1">IFERROR((1/PptoSty[[#This Row],[Division]])*IF(PptoSty[[#This Row],[Sign]]="+",1,-1)*(IF(PptoSty[[#This Row],[POvsCT]]="PO",SUM(_xlfn.CHOOSECOLS(_xlfn._xlws.FILTER(F_RT14[],(IF($M120="X",TRUE,F_RT14[Site]=$M120))*(F_RT14[Measure]=V$4)*(F_RT14[PrjId]=PptoSty[[#This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20" s="206" cm="1">
        <f t="array" aca="1" ref="W120" ca="1">IFERROR((1/PptoSty[[#This Row],[Division]])*IF(PptoSty[[#This Row],[Sign]]="+",1,-1)*(IF(PptoSty[[#This Row],[POvsCT]]="PO",SUM(_xlfn.CHOOSECOLS(_xlfn._xlws.FILTER(F_RT14[],(IF($M120="X",TRUE,F_RT14[Site]=$M120))*(F_RT14[Measure]=W$4)*(F_RT14[PrjId]=PptoSty[[#This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20" s="338" t="str" cm="1">
        <f t="array" aca="1" ref="X120" ca="1">IFERROR(IF(PptoSty[[#This Row],[Nature]]&lt;&gt;"Hrs",0,(1/PptoSty[[#This Row],[Division]])*IF(PptoSty[[#This Row],[Sign]]="+",1,-1)*(IF(PptoSty[[#This Row],[POvsCT]]="PO",SUM(_xlfn.CHOOSECOLS(_xlfn._xlws.FILTER(F_RT14[],(IF($M120="X",TRUE,F_RT14[Site]=$M120))*(F_RT14[Measure]=X$4)*(F_RT14[PrjId]=PptoSty[[#This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120" s="338" cm="1">
        <f t="array" aca="1" ref="Y120" ca="1">IFERROR(IF(PptoSty[[#This Row],[Nature]]&lt;&gt;"Hrs",0,(1/PptoSty[[#This Row],[Division]])*IF(PptoSty[[#This Row],[Sign]]="+",1,-1)*(IF(PptoSty[[#This Row],[POvsCT]]="PO",SUM(_xlfn.CHOOSECOLS(_xlfn._xlws.FILTER(F_RT14[],(IF($M120="X",TRUE,F_RT14[Site]=$M120))*(F_RT14[Measure]=Y$4)*(F_RT14[PrjId]=PptoSty[[#This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20" s="338" cm="1">
        <f t="array" aca="1" ref="Z120" ca="1">IFERROR(IF(PptoSty[[#This Row],[Nature]]&lt;&gt;"Hrs",0,(1/PptoSty[[#This Row],[Division]])*IF(PptoSty[[#This Row],[Sign]]="+",1,-1)*(IF(PptoSty[[#This Row],[POvsCT]]="PO",SUM(_xlfn.CHOOSECOLS(_xlfn._xlws.FILTER(F_RT14[],(IF($M120="X",TRUE,F_RT14[Site]=$M120))*(F_RT14[Measure]=Z$4)*(F_RT14[PrjId]=PptoSty[[#This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20" s="412"/>
      <c r="AB120" s="412"/>
      <c r="AC120" s="412"/>
      <c r="AG120"/>
      <c r="AH120"/>
      <c r="AI120"/>
      <c r="AK120" s="113"/>
      <c r="AO120"/>
      <c r="AP120"/>
      <c r="AZ120" s="175"/>
      <c r="BA120" s="175"/>
      <c r="BE120"/>
      <c r="BF120"/>
      <c r="DG120" s="175"/>
      <c r="DH120" s="175"/>
      <c r="DI120" s="175"/>
      <c r="DL120" s="108"/>
      <c r="DM120" s="366" t="str" cm="1">
        <f t="array" aca="1" ref="DM120"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DN120:DO120</v>
      </c>
      <c r="DN120" s="177" t="s">
        <v>375</v>
      </c>
      <c r="DO120" s="177" t="str" cm="1">
        <f t="array" aca="1" ref="DO120"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20" s="177"/>
      <c r="DQ120" s="177"/>
      <c r="DR120" s="177"/>
      <c r="DS120" s="177"/>
      <c r="DT120" s="177"/>
      <c r="DU120" s="177"/>
      <c r="DV120" s="177"/>
      <c r="DW120" s="177"/>
      <c r="DX120" s="177"/>
      <c r="DY120" s="177"/>
      <c r="DZ120" s="177"/>
      <c r="EA120" s="177"/>
      <c r="EB120" s="177"/>
      <c r="EC120" s="177"/>
      <c r="ED120" s="177"/>
    </row>
    <row r="121" spans="3:134" ht="13" customHeight="1">
      <c r="C121" s="200">
        <v>45231</v>
      </c>
      <c r="D121" s="213" t="s">
        <v>2114</v>
      </c>
      <c r="E121" s="213" t="s">
        <v>1711</v>
      </c>
      <c r="F121" s="219">
        <v>10</v>
      </c>
      <c r="G121" s="201" t="s">
        <v>1416</v>
      </c>
      <c r="H121" s="202" t="s">
        <v>375</v>
      </c>
      <c r="I121" s="339" t="str" cm="1">
        <f t="array" aca="1" ref="I12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21" s="203" t="str" cm="1">
        <f t="array" ref="J121">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Hrs</v>
      </c>
      <c r="K121" s="96" t="s">
        <v>375</v>
      </c>
      <c r="L121" s="96" t="s">
        <v>373</v>
      </c>
      <c r="M121" s="96" t="s">
        <v>375</v>
      </c>
      <c r="N121" s="96" t="str" cm="1">
        <f t="array" ref="N121">IF(OR(PptoSty[[#This Row],[Project]]="",PptoSty[[#This Row],[Project]]="X"),"X",_xlfn._xlws.FILTER(TbAssign[RowId],(TbAssign[Project]=PptoSty[[#This Row],[Project]])*(TbAssign[Módulo]=PptoSty[[#This Row],[PptoVsRow]]),"X"))</f>
        <v>XC02</v>
      </c>
      <c r="O121" s="96" t="str" cm="1">
        <f t="array" ref="O121">IF(OR(PptoSty[[#This Row],[Project]]="",PptoSty[[#This Row],[Project]]="X"),"X",_xlfn.UNIQUE(_xlfn._xlws.FILTER(F_RT14[Amortz.],(F_RT14[Measure]="CurPpto")*(F_RT14[PrjId]=PptoSty[[#This Row],[Project]])*(F_RT14[Vrs]=PptoSty[[#This Row],[Vrs]])*(_xlfn.TEXTAFTER(F_RT14[ActGrp],":")=PptoSty[[#This Row],[PiRow]]),"X")))</f>
        <v>X</v>
      </c>
      <c r="P121" s="96" t="s">
        <v>1473</v>
      </c>
      <c r="Q121" s="96" t="s">
        <v>1667</v>
      </c>
      <c r="R121" s="204" t="s">
        <v>403</v>
      </c>
      <c r="S121" s="204">
        <v>1</v>
      </c>
      <c r="T121" s="205" t="str" cm="1">
        <f t="array" aca="1" ref="T12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21" s="206" t="str" cm="1">
        <f t="array" aca="1" ref="U121" ca="1">IFERROR((1/PptoSty[[#This Row],[Division]])*IF(PptoSty[[#This Row],[Sign]]="+",1,-1)*(IF(PptoSty[[#This Row],[POvsCT]]="PO",SUM(_xlfn.CHOOSECOLS(_xlfn._xlws.FILTER(F_RT14[],(IF($M121="X",TRUE,F_RT14[Site]=$M121))*(F_RT14[Measure]=U$4)*(F_RT14[PrjId]=PptoSty[[#This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21" s="206" cm="1">
        <f t="array" aca="1" ref="V121" ca="1">IFERROR((1/PptoSty[[#This Row],[Division]])*IF(PptoSty[[#This Row],[Sign]]="+",1,-1)*(IF(PptoSty[[#This Row],[POvsCT]]="PO",SUM(_xlfn.CHOOSECOLS(_xlfn._xlws.FILTER(F_RT14[],(IF($M121="X",TRUE,F_RT14[Site]=$M121))*(F_RT14[Measure]=V$4)*(F_RT14[PrjId]=PptoSty[[#This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21" s="206" cm="1">
        <f t="array" aca="1" ref="W121" ca="1">IFERROR((1/PptoSty[[#This Row],[Division]])*IF(PptoSty[[#This Row],[Sign]]="+",1,-1)*(IF(PptoSty[[#This Row],[POvsCT]]="PO",SUM(_xlfn.CHOOSECOLS(_xlfn._xlws.FILTER(F_RT14[],(IF($M121="X",TRUE,F_RT14[Site]=$M121))*(F_RT14[Measure]=W$4)*(F_RT14[PrjId]=PptoSty[[#This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21" s="338" t="str" cm="1">
        <f t="array" aca="1" ref="X121" ca="1">IFERROR(IF(PptoSty[[#This Row],[Nature]]&lt;&gt;"Hrs",0,(1/PptoSty[[#This Row],[Division]])*IF(PptoSty[[#This Row],[Sign]]="+",1,-1)*(IF(PptoSty[[#This Row],[POvsCT]]="PO",SUM(_xlfn.CHOOSECOLS(_xlfn._xlws.FILTER(F_RT14[],(IF($M121="X",TRUE,F_RT14[Site]=$M121))*(F_RT14[Measure]=X$4)*(F_RT14[PrjId]=PptoSty[[#This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121" s="338" cm="1">
        <f t="array" aca="1" ref="Y121" ca="1">IFERROR(IF(PptoSty[[#This Row],[Nature]]&lt;&gt;"Hrs",0,(1/PptoSty[[#This Row],[Division]])*IF(PptoSty[[#This Row],[Sign]]="+",1,-1)*(IF(PptoSty[[#This Row],[POvsCT]]="PO",SUM(_xlfn.CHOOSECOLS(_xlfn._xlws.FILTER(F_RT14[],(IF($M121="X",TRUE,F_RT14[Site]=$M121))*(F_RT14[Measure]=Y$4)*(F_RT14[PrjId]=PptoSty[[#This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21" s="338" cm="1">
        <f t="array" aca="1" ref="Z121" ca="1">IFERROR(IF(PptoSty[[#This Row],[Nature]]&lt;&gt;"Hrs",0,(1/PptoSty[[#This Row],[Division]])*IF(PptoSty[[#This Row],[Sign]]="+",1,-1)*(IF(PptoSty[[#This Row],[POvsCT]]="PO",SUM(_xlfn.CHOOSECOLS(_xlfn._xlws.FILTER(F_RT14[],(IF($M121="X",TRUE,F_RT14[Site]=$M121))*(F_RT14[Measure]=Z$4)*(F_RT14[PrjId]=PptoSty[[#This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21" s="412"/>
      <c r="AB121" s="412"/>
      <c r="AC121" s="412"/>
      <c r="AG121"/>
      <c r="AH121"/>
      <c r="AI121"/>
      <c r="AK121" s="113"/>
      <c r="AO121"/>
      <c r="AP121"/>
      <c r="AZ121" s="175"/>
      <c r="BA121" s="175"/>
      <c r="BE121"/>
      <c r="BF121"/>
      <c r="DG121" s="175"/>
      <c r="DH121" s="175"/>
      <c r="DI121" s="175"/>
      <c r="DL121" s="108"/>
      <c r="DM121" s="366" t="str" cm="1">
        <f t="array" aca="1" ref="DM121"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DN121:DO121</v>
      </c>
      <c r="DN121" s="177" t="s">
        <v>375</v>
      </c>
      <c r="DO121" s="177" t="str" cm="1">
        <f t="array" aca="1" ref="DO121"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21" s="177"/>
      <c r="DQ121" s="177"/>
      <c r="DR121" s="177"/>
      <c r="DS121" s="177"/>
      <c r="DT121" s="177"/>
      <c r="DU121" s="177"/>
      <c r="DV121" s="177"/>
      <c r="DW121" s="177"/>
      <c r="DX121" s="177"/>
      <c r="DY121" s="177"/>
      <c r="DZ121" s="177"/>
      <c r="EA121" s="177"/>
      <c r="EB121" s="177"/>
      <c r="EC121" s="177"/>
      <c r="ED121" s="177"/>
    </row>
    <row r="122" spans="3:134" ht="13" customHeight="1">
      <c r="C122" s="200">
        <v>45231</v>
      </c>
      <c r="D122" s="213" t="s">
        <v>2114</v>
      </c>
      <c r="E122" s="213" t="s">
        <v>1711</v>
      </c>
      <c r="F122" s="219">
        <v>12</v>
      </c>
      <c r="G122" s="201" t="s">
        <v>1416</v>
      </c>
      <c r="H122" s="202" t="s">
        <v>375</v>
      </c>
      <c r="I122" s="339" t="str" cm="1">
        <f t="array" aca="1" ref="I12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22" s="203" t="str" cm="1">
        <f t="array" ref="J122">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Hrs</v>
      </c>
      <c r="K122" s="96" t="s">
        <v>375</v>
      </c>
      <c r="L122" s="96" t="s">
        <v>1645</v>
      </c>
      <c r="M122" s="96" t="s">
        <v>375</v>
      </c>
      <c r="N122" s="96" t="str" cm="1">
        <f t="array" ref="N122">IF(OR(PptoSty[[#This Row],[Project]]="",PptoSty[[#This Row],[Project]]="X"),"X",_xlfn._xlws.FILTER(TbAssign[RowId],(TbAssign[Project]=PptoSty[[#This Row],[Project]])*(TbAssign[Módulo]=PptoSty[[#This Row],[PptoVsRow]]),"X"))</f>
        <v>XC02</v>
      </c>
      <c r="O122" s="96" t="str" cm="1">
        <f t="array" ref="O122">IF(OR(PptoSty[[#This Row],[Project]]="",PptoSty[[#This Row],[Project]]="X"),"X",_xlfn.UNIQUE(_xlfn._xlws.FILTER(F_RT14[Amortz.],(F_RT14[Measure]="CurPpto")*(F_RT14[PrjId]=PptoSty[[#This Row],[Project]])*(F_RT14[Vrs]=PptoSty[[#This Row],[Vrs]])*(_xlfn.TEXTAFTER(F_RT14[ActGrp],":")=PptoSty[[#This Row],[PiRow]]),"X")))</f>
        <v>X</v>
      </c>
      <c r="P122" s="96" t="s">
        <v>1473</v>
      </c>
      <c r="Q122" s="96" t="s">
        <v>1670</v>
      </c>
      <c r="R122" s="204" t="s">
        <v>403</v>
      </c>
      <c r="S122" s="204">
        <v>1</v>
      </c>
      <c r="T122" s="205" t="str" cm="1">
        <f t="array" aca="1" ref="T12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22" s="206" t="str" cm="1">
        <f t="array" aca="1" ref="U122" ca="1">IFERROR((1/PptoSty[[#This Row],[Division]])*IF(PptoSty[[#This Row],[Sign]]="+",1,-1)*(IF(PptoSty[[#This Row],[POvsCT]]="PO",SUM(_xlfn.CHOOSECOLS(_xlfn._xlws.FILTER(F_RT14[],(IF($M122="X",TRUE,F_RT14[Site]=$M122))*(F_RT14[Measure]=U$4)*(F_RT14[PrjId]=PptoSty[[#This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22" s="206" cm="1">
        <f t="array" aca="1" ref="V122" ca="1">IFERROR((1/PptoSty[[#This Row],[Division]])*IF(PptoSty[[#This Row],[Sign]]="+",1,-1)*(IF(PptoSty[[#This Row],[POvsCT]]="PO",SUM(_xlfn.CHOOSECOLS(_xlfn._xlws.FILTER(F_RT14[],(IF($M122="X",TRUE,F_RT14[Site]=$M122))*(F_RT14[Measure]=V$4)*(F_RT14[PrjId]=PptoSty[[#This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22" s="206" cm="1">
        <f t="array" aca="1" ref="W122" ca="1">IFERROR((1/PptoSty[[#This Row],[Division]])*IF(PptoSty[[#This Row],[Sign]]="+",1,-1)*(IF(PptoSty[[#This Row],[POvsCT]]="PO",SUM(_xlfn.CHOOSECOLS(_xlfn._xlws.FILTER(F_RT14[],(IF($M122="X",TRUE,F_RT14[Site]=$M122))*(F_RT14[Measure]=W$4)*(F_RT14[PrjId]=PptoSty[[#This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22" s="338" cm="1">
        <f t="array" aca="1" ref="X122" ca="1">IFERROR(IF(PptoSty[[#This Row],[Nature]]&lt;&gt;"Hrs",0,(1/PptoSty[[#This Row],[Division]])*IF(PptoSty[[#This Row],[Sign]]="+",1,-1)*(IF(PptoSty[[#This Row],[POvsCT]]="PO",SUM(_xlfn.CHOOSECOLS(_xlfn._xlws.FILTER(F_RT14[],(IF($M122="X",TRUE,F_RT14[Site]=$M122))*(F_RT14[Measure]=X$4)*(F_RT14[PrjId]=PptoSty[[#This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22" s="338" cm="1">
        <f t="array" aca="1" ref="Y122" ca="1">IFERROR(IF(PptoSty[[#This Row],[Nature]]&lt;&gt;"Hrs",0,(1/PptoSty[[#This Row],[Division]])*IF(PptoSty[[#This Row],[Sign]]="+",1,-1)*(IF(PptoSty[[#This Row],[POvsCT]]="PO",SUM(_xlfn.CHOOSECOLS(_xlfn._xlws.FILTER(F_RT14[],(IF($M122="X",TRUE,F_RT14[Site]=$M122))*(F_RT14[Measure]=Y$4)*(F_RT14[PrjId]=PptoSty[[#This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22" s="338" cm="1">
        <f t="array" aca="1" ref="Z122" ca="1">IFERROR(IF(PptoSty[[#This Row],[Nature]]&lt;&gt;"Hrs",0,(1/PptoSty[[#This Row],[Division]])*IF(PptoSty[[#This Row],[Sign]]="+",1,-1)*(IF(PptoSty[[#This Row],[POvsCT]]="PO",SUM(_xlfn.CHOOSECOLS(_xlfn._xlws.FILTER(F_RT14[],(IF($M122="X",TRUE,F_RT14[Site]=$M122))*(F_RT14[Measure]=Z$4)*(F_RT14[PrjId]=PptoSty[[#This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22" s="412"/>
      <c r="AB122" s="412"/>
      <c r="AC122" s="412"/>
      <c r="AG122"/>
      <c r="AH122"/>
      <c r="AI122"/>
      <c r="AK122" s="113"/>
      <c r="AO122"/>
      <c r="AP122"/>
      <c r="AZ122" s="175"/>
      <c r="BA122" s="175"/>
      <c r="BE122"/>
      <c r="BF122"/>
      <c r="DG122" s="175"/>
      <c r="DH122" s="175"/>
      <c r="DI122" s="175"/>
      <c r="DL122" s="108"/>
      <c r="DM122" s="366" t="str" cm="1">
        <f t="array" aca="1" ref="DM122"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DN122:DO122</v>
      </c>
      <c r="DN122" s="177" t="s">
        <v>375</v>
      </c>
      <c r="DO122" s="177" t="str" cm="1">
        <f t="array" aca="1" ref="DO122"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22" s="177"/>
      <c r="DQ122" s="177"/>
      <c r="DR122" s="177"/>
      <c r="DS122" s="177"/>
      <c r="DT122" s="177"/>
      <c r="DU122" s="177"/>
      <c r="DV122" s="177"/>
      <c r="DW122" s="177"/>
      <c r="DX122" s="177"/>
      <c r="DY122" s="177"/>
      <c r="DZ122" s="177"/>
      <c r="EA122" s="177"/>
      <c r="EB122" s="177"/>
      <c r="EC122" s="177"/>
      <c r="ED122" s="177"/>
    </row>
    <row r="123" spans="3:134" ht="13" customHeight="1">
      <c r="C123" s="200">
        <v>45231</v>
      </c>
      <c r="D123" s="213" t="s">
        <v>2114</v>
      </c>
      <c r="E123" s="213" t="s">
        <v>1711</v>
      </c>
      <c r="F123" s="219">
        <v>12</v>
      </c>
      <c r="G123" s="201" t="s">
        <v>1416</v>
      </c>
      <c r="H123" s="202" t="s">
        <v>375</v>
      </c>
      <c r="I123" s="339" t="str" cm="1">
        <f t="array" aca="1" ref="I12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23" s="203" t="str" cm="1">
        <f t="array" ref="J123">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Hrs</v>
      </c>
      <c r="K123" s="96" t="s">
        <v>375</v>
      </c>
      <c r="L123" s="96" t="s">
        <v>1274</v>
      </c>
      <c r="M123" s="96" t="s">
        <v>375</v>
      </c>
      <c r="N123" s="96" t="str" cm="1">
        <f t="array" ref="N123">IF(OR(PptoSty[[#This Row],[Project]]="",PptoSty[[#This Row],[Project]]="X"),"X",_xlfn._xlws.FILTER(TbAssign[RowId],(TbAssign[Project]=PptoSty[[#This Row],[Project]])*(TbAssign[Módulo]=PptoSty[[#This Row],[PptoVsRow]]),"X"))</f>
        <v>XB04</v>
      </c>
      <c r="O123" s="96" t="str" cm="1">
        <f t="array" ref="O123">IF(OR(PptoSty[[#This Row],[Project]]="",PptoSty[[#This Row],[Project]]="X"),"X",_xlfn.UNIQUE(_xlfn._xlws.FILTER(F_RT14[Amortz.],(F_RT14[Measure]="CurPpto")*(F_RT14[PrjId]=PptoSty[[#This Row],[Project]])*(F_RT14[Vrs]=PptoSty[[#This Row],[Vrs]])*(_xlfn.TEXTAFTER(F_RT14[ActGrp],":")=PptoSty[[#This Row],[PiRow]]),"X")))</f>
        <v>X</v>
      </c>
      <c r="P123" s="96" t="s">
        <v>1468</v>
      </c>
      <c r="Q123" s="96" t="s">
        <v>1274</v>
      </c>
      <c r="R123" s="204" t="s">
        <v>403</v>
      </c>
      <c r="S123" s="204">
        <v>1</v>
      </c>
      <c r="T123" s="205" t="str" cm="1">
        <f t="array" aca="1" ref="T12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23" s="206" t="str" cm="1">
        <f t="array" aca="1" ref="U123" ca="1">IFERROR((1/PptoSty[[#This Row],[Division]])*IF(PptoSty[[#This Row],[Sign]]="+",1,-1)*(IF(PptoSty[[#This Row],[POvsCT]]="PO",SUM(_xlfn.CHOOSECOLS(_xlfn._xlws.FILTER(F_RT14[],(IF($M123="X",TRUE,F_RT14[Site]=$M123))*(F_RT14[Measure]=U$4)*(F_RT14[PrjId]=PptoSty[[#This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23" s="206" cm="1">
        <f t="array" aca="1" ref="V123" ca="1">IFERROR((1/PptoSty[[#This Row],[Division]])*IF(PptoSty[[#This Row],[Sign]]="+",1,-1)*(IF(PptoSty[[#This Row],[POvsCT]]="PO",SUM(_xlfn.CHOOSECOLS(_xlfn._xlws.FILTER(F_RT14[],(IF($M123="X",TRUE,F_RT14[Site]=$M123))*(F_RT14[Measure]=V$4)*(F_RT14[PrjId]=PptoSty[[#This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23" s="206" cm="1">
        <f t="array" aca="1" ref="W123" ca="1">IFERROR((1/PptoSty[[#This Row],[Division]])*IF(PptoSty[[#This Row],[Sign]]="+",1,-1)*(IF(PptoSty[[#This Row],[POvsCT]]="PO",SUM(_xlfn.CHOOSECOLS(_xlfn._xlws.FILTER(F_RT14[],(IF($M123="X",TRUE,F_RT14[Site]=$M123))*(F_RT14[Measure]=W$4)*(F_RT14[PrjId]=PptoSty[[#This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23" s="338" t="str" cm="1">
        <f t="array" aca="1" ref="X123" ca="1">IFERROR(IF(PptoSty[[#This Row],[Nature]]&lt;&gt;"Hrs",0,(1/PptoSty[[#This Row],[Division]])*IF(PptoSty[[#This Row],[Sign]]="+",1,-1)*(IF(PptoSty[[#This Row],[POvsCT]]="PO",SUM(_xlfn.CHOOSECOLS(_xlfn._xlws.FILTER(F_RT14[],(IF($M123="X",TRUE,F_RT14[Site]=$M123))*(F_RT14[Measure]=X$4)*(F_RT14[PrjId]=PptoSty[[#This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123" s="338" cm="1">
        <f t="array" aca="1" ref="Y123" ca="1">IFERROR(IF(PptoSty[[#This Row],[Nature]]&lt;&gt;"Hrs",0,(1/PptoSty[[#This Row],[Division]])*IF(PptoSty[[#This Row],[Sign]]="+",1,-1)*(IF(PptoSty[[#This Row],[POvsCT]]="PO",SUM(_xlfn.CHOOSECOLS(_xlfn._xlws.FILTER(F_RT14[],(IF($M123="X",TRUE,F_RT14[Site]=$M123))*(F_RT14[Measure]=Y$4)*(F_RT14[PrjId]=PptoSty[[#This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23" s="338" cm="1">
        <f t="array" aca="1" ref="Z123" ca="1">IFERROR(IF(PptoSty[[#This Row],[Nature]]&lt;&gt;"Hrs",0,(1/PptoSty[[#This Row],[Division]])*IF(PptoSty[[#This Row],[Sign]]="+",1,-1)*(IF(PptoSty[[#This Row],[POvsCT]]="PO",SUM(_xlfn.CHOOSECOLS(_xlfn._xlws.FILTER(F_RT14[],(IF($M123="X",TRUE,F_RT14[Site]=$M123))*(F_RT14[Measure]=Z$4)*(F_RT14[PrjId]=PptoSty[[#This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23" s="412"/>
      <c r="AB123" s="412"/>
      <c r="AC123" s="412"/>
      <c r="AG123"/>
      <c r="AH123"/>
      <c r="AI123"/>
      <c r="AK123" s="113"/>
      <c r="AO123"/>
      <c r="AP123"/>
      <c r="AZ123" s="175"/>
      <c r="BA123" s="175"/>
      <c r="BE123"/>
      <c r="BF123"/>
      <c r="DG123" s="175"/>
      <c r="DH123" s="175"/>
      <c r="DI123" s="175"/>
      <c r="DL123" s="108"/>
      <c r="DM123" s="366" t="str" cm="1">
        <f t="array" aca="1" ref="DM123"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DN123:DO123</v>
      </c>
      <c r="DN123" s="177" t="s">
        <v>375</v>
      </c>
      <c r="DO123" s="177" t="str" cm="1">
        <f t="array" aca="1" ref="DO123"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23" s="177"/>
      <c r="DQ123" s="177"/>
      <c r="DR123" s="177"/>
      <c r="DS123" s="177"/>
      <c r="DT123" s="177"/>
      <c r="DU123" s="177"/>
      <c r="DV123" s="177"/>
      <c r="DW123" s="177"/>
      <c r="DX123" s="177"/>
      <c r="DY123" s="177"/>
      <c r="DZ123" s="177"/>
      <c r="EA123" s="177"/>
      <c r="EB123" s="177"/>
      <c r="EC123" s="177"/>
      <c r="ED123" s="177"/>
    </row>
    <row r="124" spans="3:134" ht="13" customHeight="1">
      <c r="C124" s="200">
        <v>45231</v>
      </c>
      <c r="D124" s="213" t="s">
        <v>2114</v>
      </c>
      <c r="E124" s="213" t="s">
        <v>1711</v>
      </c>
      <c r="F124" s="219">
        <v>12</v>
      </c>
      <c r="G124" s="201" t="s">
        <v>1416</v>
      </c>
      <c r="H124" s="202" t="s">
        <v>375</v>
      </c>
      <c r="I124" s="339" t="str" cm="1">
        <f t="array" aca="1" ref="I12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24" s="203" t="str" cm="1">
        <f t="array" ref="J124">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Hrs</v>
      </c>
      <c r="K124" s="96" t="s">
        <v>375</v>
      </c>
      <c r="L124" s="96" t="s">
        <v>360</v>
      </c>
      <c r="M124" s="96" t="s">
        <v>375</v>
      </c>
      <c r="N124" s="96" t="str" cm="1">
        <f t="array" ref="N124">IF(OR(PptoSty[[#This Row],[Project]]="",PptoSty[[#This Row],[Project]]="X"),"X",_xlfn._xlws.FILTER(TbAssign[RowId],(TbAssign[Project]=PptoSty[[#This Row],[Project]])*(TbAssign[Módulo]=PptoSty[[#This Row],[PptoVsRow]]),"X"))</f>
        <v>XB06</v>
      </c>
      <c r="O124" s="96" t="str" cm="1">
        <f t="array" ref="O124">IF(OR(PptoSty[[#This Row],[Project]]="",PptoSty[[#This Row],[Project]]="X"),"X",_xlfn.UNIQUE(_xlfn._xlws.FILTER(F_RT14[Amortz.],(F_RT14[Measure]="CurPpto")*(F_RT14[PrjId]=PptoSty[[#This Row],[Project]])*(F_RT14[Vrs]=PptoSty[[#This Row],[Vrs]])*(_xlfn.TEXTAFTER(F_RT14[ActGrp],":")=PptoSty[[#This Row],[PiRow]]),"X")))</f>
        <v>X</v>
      </c>
      <c r="P124" s="96" t="s">
        <v>360</v>
      </c>
      <c r="Q124" s="96" t="s">
        <v>360</v>
      </c>
      <c r="R124" s="204" t="s">
        <v>403</v>
      </c>
      <c r="S124" s="204">
        <v>1</v>
      </c>
      <c r="T124" s="205" t="str" cm="1">
        <f t="array" aca="1" ref="T12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24" s="206" t="str" cm="1">
        <f t="array" aca="1" ref="U124" ca="1">IFERROR((1/PptoSty[[#This Row],[Division]])*IF(PptoSty[[#This Row],[Sign]]="+",1,-1)*(IF(PptoSty[[#This Row],[POvsCT]]="PO",SUM(_xlfn.CHOOSECOLS(_xlfn._xlws.FILTER(F_RT14[],(IF($M124="X",TRUE,F_RT14[Site]=$M124))*(F_RT14[Measure]=U$4)*(F_RT14[PrjId]=PptoSty[[#This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24" s="206" cm="1">
        <f t="array" aca="1" ref="V124" ca="1">IFERROR((1/PptoSty[[#This Row],[Division]])*IF(PptoSty[[#This Row],[Sign]]="+",1,-1)*(IF(PptoSty[[#This Row],[POvsCT]]="PO",SUM(_xlfn.CHOOSECOLS(_xlfn._xlws.FILTER(F_RT14[],(IF($M124="X",TRUE,F_RT14[Site]=$M124))*(F_RT14[Measure]=V$4)*(F_RT14[PrjId]=PptoSty[[#This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24" s="206" cm="1">
        <f t="array" aca="1" ref="W124" ca="1">IFERROR((1/PptoSty[[#This Row],[Division]])*IF(PptoSty[[#This Row],[Sign]]="+",1,-1)*(IF(PptoSty[[#This Row],[POvsCT]]="PO",SUM(_xlfn.CHOOSECOLS(_xlfn._xlws.FILTER(F_RT14[],(IF($M124="X",TRUE,F_RT14[Site]=$M124))*(F_RT14[Measure]=W$4)*(F_RT14[PrjId]=PptoSty[[#This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24" s="338" t="str" cm="1">
        <f t="array" aca="1" ref="X124" ca="1">IFERROR(IF(PptoSty[[#This Row],[Nature]]&lt;&gt;"Hrs",0,(1/PptoSty[[#This Row],[Division]])*IF(PptoSty[[#This Row],[Sign]]="+",1,-1)*(IF(PptoSty[[#This Row],[POvsCT]]="PO",SUM(_xlfn.CHOOSECOLS(_xlfn._xlws.FILTER(F_RT14[],(IF($M124="X",TRUE,F_RT14[Site]=$M124))*(F_RT14[Measure]=X$4)*(F_RT14[PrjId]=PptoSty[[#This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124" s="338" cm="1">
        <f t="array" aca="1" ref="Y124" ca="1">IFERROR(IF(PptoSty[[#This Row],[Nature]]&lt;&gt;"Hrs",0,(1/PptoSty[[#This Row],[Division]])*IF(PptoSty[[#This Row],[Sign]]="+",1,-1)*(IF(PptoSty[[#This Row],[POvsCT]]="PO",SUM(_xlfn.CHOOSECOLS(_xlfn._xlws.FILTER(F_RT14[],(IF($M124="X",TRUE,F_RT14[Site]=$M124))*(F_RT14[Measure]=Y$4)*(F_RT14[PrjId]=PptoSty[[#This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24" s="338" cm="1">
        <f t="array" aca="1" ref="Z124" ca="1">IFERROR(IF(PptoSty[[#This Row],[Nature]]&lt;&gt;"Hrs",0,(1/PptoSty[[#This Row],[Division]])*IF(PptoSty[[#This Row],[Sign]]="+",1,-1)*(IF(PptoSty[[#This Row],[POvsCT]]="PO",SUM(_xlfn.CHOOSECOLS(_xlfn._xlws.FILTER(F_RT14[],(IF($M124="X",TRUE,F_RT14[Site]=$M124))*(F_RT14[Measure]=Z$4)*(F_RT14[PrjId]=PptoSty[[#This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24" s="412"/>
      <c r="AB124" s="412"/>
      <c r="AC124" s="412"/>
      <c r="AG124"/>
      <c r="AH124"/>
      <c r="AI124"/>
      <c r="AK124" s="113"/>
      <c r="AO124"/>
      <c r="AP124"/>
      <c r="AZ124" s="175"/>
      <c r="BA124" s="175"/>
      <c r="BE124"/>
      <c r="BF124"/>
      <c r="DG124" s="175"/>
      <c r="DH124" s="175"/>
      <c r="DI124" s="175"/>
      <c r="DL124" s="108"/>
      <c r="DM124" s="366" t="str" cm="1">
        <f t="array" aca="1" ref="DM124"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DN124:DO124</v>
      </c>
      <c r="DN124" s="177" t="s">
        <v>375</v>
      </c>
      <c r="DO124" s="177" t="str" cm="1">
        <f t="array" aca="1" ref="DO124"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24" s="177"/>
      <c r="DQ124" s="177"/>
      <c r="DR124" s="177"/>
      <c r="DS124" s="177"/>
      <c r="DT124" s="177"/>
      <c r="DU124" s="177"/>
      <c r="DV124" s="177"/>
      <c r="DW124" s="177"/>
      <c r="DX124" s="177"/>
      <c r="DY124" s="177"/>
      <c r="DZ124" s="177"/>
      <c r="EA124" s="177"/>
      <c r="EB124" s="177"/>
      <c r="EC124" s="177"/>
      <c r="ED124" s="177"/>
    </row>
    <row r="125" spans="3:134" ht="13" customHeight="1">
      <c r="C125" s="200">
        <v>45231</v>
      </c>
      <c r="D125" s="213" t="s">
        <v>2114</v>
      </c>
      <c r="E125" s="213" t="s">
        <v>1711</v>
      </c>
      <c r="F125" s="219">
        <v>12</v>
      </c>
      <c r="G125" s="201" t="s">
        <v>1416</v>
      </c>
      <c r="H125" s="202" t="s">
        <v>375</v>
      </c>
      <c r="I125" s="339" t="str" cm="1">
        <f t="array" aca="1" ref="I12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25" s="203" t="str" cm="1">
        <f t="array" ref="J125">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Hrs</v>
      </c>
      <c r="K125" s="96" t="s">
        <v>375</v>
      </c>
      <c r="L125" s="96" t="s">
        <v>1643</v>
      </c>
      <c r="M125" s="96" t="s">
        <v>375</v>
      </c>
      <c r="N125" s="96" t="str" cm="1">
        <f t="array" ref="N125">IF(OR(PptoSty[[#This Row],[Project]]="",PptoSty[[#This Row],[Project]]="X"),"X",_xlfn._xlws.FILTER(TbAssign[RowId],(TbAssign[Project]=PptoSty[[#This Row],[Project]])*(TbAssign[Módulo]=PptoSty[[#This Row],[PptoVsRow]]),"X"))</f>
        <v>XB05</v>
      </c>
      <c r="O125" s="96" t="str" cm="1">
        <f t="array" ref="O125">IF(OR(PptoSty[[#This Row],[Project]]="",PptoSty[[#This Row],[Project]]="X"),"X",_xlfn.UNIQUE(_xlfn._xlws.FILTER(F_RT14[Amortz.],(F_RT14[Measure]="CurPpto")*(F_RT14[PrjId]=PptoSty[[#This Row],[Project]])*(F_RT14[Vrs]=PptoSty[[#This Row],[Vrs]])*(_xlfn.TEXTAFTER(F_RT14[ActGrp],":")=PptoSty[[#This Row],[PiRow]]),"X")))</f>
        <v>X</v>
      </c>
      <c r="P125" s="96" t="s">
        <v>428</v>
      </c>
      <c r="Q125" s="96" t="s">
        <v>377</v>
      </c>
      <c r="R125" s="204" t="s">
        <v>403</v>
      </c>
      <c r="S125" s="204">
        <v>1</v>
      </c>
      <c r="T125" s="205" t="str" cm="1">
        <f t="array" aca="1" ref="T12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25" s="206" t="str" cm="1">
        <f t="array" aca="1" ref="U125" ca="1">IFERROR((1/PptoSty[[#This Row],[Division]])*IF(PptoSty[[#This Row],[Sign]]="+",1,-1)*(IF(PptoSty[[#This Row],[POvsCT]]="PO",SUM(_xlfn.CHOOSECOLS(_xlfn._xlws.FILTER(F_RT14[],(IF($M125="X",TRUE,F_RT14[Site]=$M125))*(F_RT14[Measure]=U$4)*(F_RT14[PrjId]=PptoSty[[#This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25" s="206" cm="1">
        <f t="array" aca="1" ref="V125" ca="1">IFERROR((1/PptoSty[[#This Row],[Division]])*IF(PptoSty[[#This Row],[Sign]]="+",1,-1)*(IF(PptoSty[[#This Row],[POvsCT]]="PO",SUM(_xlfn.CHOOSECOLS(_xlfn._xlws.FILTER(F_RT14[],(IF($M125="X",TRUE,F_RT14[Site]=$M125))*(F_RT14[Measure]=V$4)*(F_RT14[PrjId]=PptoSty[[#This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25" s="206" cm="1">
        <f t="array" aca="1" ref="W125" ca="1">IFERROR((1/PptoSty[[#This Row],[Division]])*IF(PptoSty[[#This Row],[Sign]]="+",1,-1)*(IF(PptoSty[[#This Row],[POvsCT]]="PO",SUM(_xlfn.CHOOSECOLS(_xlfn._xlws.FILTER(F_RT14[],(IF($M125="X",TRUE,F_RT14[Site]=$M125))*(F_RT14[Measure]=W$4)*(F_RT14[PrjId]=PptoSty[[#This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25" s="338" t="str" cm="1">
        <f t="array" aca="1" ref="X125" ca="1">IFERROR(IF(PptoSty[[#This Row],[Nature]]&lt;&gt;"Hrs",0,(1/PptoSty[[#This Row],[Division]])*IF(PptoSty[[#This Row],[Sign]]="+",1,-1)*(IF(PptoSty[[#This Row],[POvsCT]]="PO",SUM(_xlfn.CHOOSECOLS(_xlfn._xlws.FILTER(F_RT14[],(IF($M125="X",TRUE,F_RT14[Site]=$M125))*(F_RT14[Measure]=X$4)*(F_RT14[PrjId]=PptoSty[[#This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125" s="338" cm="1">
        <f t="array" aca="1" ref="Y125" ca="1">IFERROR(IF(PptoSty[[#This Row],[Nature]]&lt;&gt;"Hrs",0,(1/PptoSty[[#This Row],[Division]])*IF(PptoSty[[#This Row],[Sign]]="+",1,-1)*(IF(PptoSty[[#This Row],[POvsCT]]="PO",SUM(_xlfn.CHOOSECOLS(_xlfn._xlws.FILTER(F_RT14[],(IF($M125="X",TRUE,F_RT14[Site]=$M125))*(F_RT14[Measure]=Y$4)*(F_RT14[PrjId]=PptoSty[[#This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25" s="338" cm="1">
        <f t="array" aca="1" ref="Z125" ca="1">IFERROR(IF(PptoSty[[#This Row],[Nature]]&lt;&gt;"Hrs",0,(1/PptoSty[[#This Row],[Division]])*IF(PptoSty[[#This Row],[Sign]]="+",1,-1)*(IF(PptoSty[[#This Row],[POvsCT]]="PO",SUM(_xlfn.CHOOSECOLS(_xlfn._xlws.FILTER(F_RT14[],(IF($M125="X",TRUE,F_RT14[Site]=$M125))*(F_RT14[Measure]=Z$4)*(F_RT14[PrjId]=PptoSty[[#This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25" s="412"/>
      <c r="AB125" s="412"/>
      <c r="AC125" s="412"/>
      <c r="AG125"/>
      <c r="AH125"/>
      <c r="AI125"/>
      <c r="AK125" s="113"/>
      <c r="AO125"/>
      <c r="AP125"/>
      <c r="AZ125" s="175"/>
      <c r="BA125" s="175"/>
      <c r="BE125"/>
      <c r="BF125"/>
      <c r="DG125" s="175"/>
      <c r="DH125" s="175"/>
      <c r="DI125" s="175"/>
      <c r="DL125" s="108"/>
      <c r="DM125" s="366" t="str" cm="1">
        <f t="array" aca="1" ref="DM12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DN125:DO125</v>
      </c>
      <c r="DN125" s="177" t="s">
        <v>375</v>
      </c>
      <c r="DO125" s="177" t="str" cm="1">
        <f t="array" aca="1" ref="DO12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25" s="177"/>
      <c r="DQ125" s="177"/>
      <c r="DR125" s="177"/>
      <c r="DS125" s="177"/>
      <c r="DT125" s="177"/>
      <c r="DU125" s="177"/>
      <c r="DV125" s="177"/>
      <c r="DW125" s="177"/>
      <c r="DX125" s="177"/>
      <c r="DY125" s="177"/>
      <c r="DZ125" s="177"/>
      <c r="EA125" s="177"/>
      <c r="EB125" s="177"/>
      <c r="EC125" s="177"/>
      <c r="ED125" s="177"/>
    </row>
    <row r="126" spans="3:134" ht="13" customHeight="1">
      <c r="C126" s="200">
        <v>45231</v>
      </c>
      <c r="D126" s="213" t="s">
        <v>2114</v>
      </c>
      <c r="E126" s="213" t="s">
        <v>1711</v>
      </c>
      <c r="F126" s="219">
        <v>12</v>
      </c>
      <c r="G126" s="201" t="s">
        <v>1416</v>
      </c>
      <c r="H126" s="202" t="s">
        <v>375</v>
      </c>
      <c r="I126" s="339" t="str" cm="1">
        <f t="array" aca="1" ref="I12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26" s="203" t="str" cm="1">
        <f t="array" ref="J126">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Hrs</v>
      </c>
      <c r="K126" s="96" t="s">
        <v>375</v>
      </c>
      <c r="L126" s="96" t="s">
        <v>379</v>
      </c>
      <c r="M126" s="96" t="s">
        <v>375</v>
      </c>
      <c r="N126" s="96" t="str" cm="1">
        <f t="array" ref="N126">IF(OR(PptoSty[[#This Row],[Project]]="",PptoSty[[#This Row],[Project]]="X"),"X",_xlfn._xlws.FILTER(TbAssign[RowId],(TbAssign[Project]=PptoSty[[#This Row],[Project]])*(TbAssign[Módulo]=PptoSty[[#This Row],[PptoVsRow]]),"X"))</f>
        <v>XC02</v>
      </c>
      <c r="O126" s="96" t="str" cm="1">
        <f t="array" ref="O126">IF(OR(PptoSty[[#This Row],[Project]]="",PptoSty[[#This Row],[Project]]="X"),"X",_xlfn.UNIQUE(_xlfn._xlws.FILTER(F_RT14[Amortz.],(F_RT14[Measure]="CurPpto")*(F_RT14[PrjId]=PptoSty[[#This Row],[Project]])*(F_RT14[Vrs]=PptoSty[[#This Row],[Vrs]])*(_xlfn.TEXTAFTER(F_RT14[ActGrp],":")=PptoSty[[#This Row],[PiRow]]),"X")))</f>
        <v>X</v>
      </c>
      <c r="P126" s="96" t="s">
        <v>1473</v>
      </c>
      <c r="Q126" s="96" t="s">
        <v>1667</v>
      </c>
      <c r="R126" s="204" t="s">
        <v>403</v>
      </c>
      <c r="S126" s="204">
        <v>1</v>
      </c>
      <c r="T126" s="205" t="str" cm="1">
        <f t="array" aca="1" ref="T12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26" s="206" t="str" cm="1">
        <f t="array" aca="1" ref="U126" ca="1">IFERROR((1/PptoSty[[#This Row],[Division]])*IF(PptoSty[[#This Row],[Sign]]="+",1,-1)*(IF(PptoSty[[#This Row],[POvsCT]]="PO",SUM(_xlfn.CHOOSECOLS(_xlfn._xlws.FILTER(F_RT14[],(IF($M126="X",TRUE,F_RT14[Site]=$M126))*(F_RT14[Measure]=U$4)*(F_RT14[PrjId]=PptoSty[[#This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26" s="206" cm="1">
        <f t="array" aca="1" ref="V126" ca="1">IFERROR((1/PptoSty[[#This Row],[Division]])*IF(PptoSty[[#This Row],[Sign]]="+",1,-1)*(IF(PptoSty[[#This Row],[POvsCT]]="PO",SUM(_xlfn.CHOOSECOLS(_xlfn._xlws.FILTER(F_RT14[],(IF($M126="X",TRUE,F_RT14[Site]=$M126))*(F_RT14[Measure]=V$4)*(F_RT14[PrjId]=PptoSty[[#This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26" s="206" cm="1">
        <f t="array" aca="1" ref="W126" ca="1">IFERROR((1/PptoSty[[#This Row],[Division]])*IF(PptoSty[[#This Row],[Sign]]="+",1,-1)*(IF(PptoSty[[#This Row],[POvsCT]]="PO",SUM(_xlfn.CHOOSECOLS(_xlfn._xlws.FILTER(F_RT14[],(IF($M126="X",TRUE,F_RT14[Site]=$M126))*(F_RT14[Measure]=W$4)*(F_RT14[PrjId]=PptoSty[[#This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26" s="338" t="str" cm="1">
        <f t="array" aca="1" ref="X126" ca="1">IFERROR(IF(PptoSty[[#This Row],[Nature]]&lt;&gt;"Hrs",0,(1/PptoSty[[#This Row],[Division]])*IF(PptoSty[[#This Row],[Sign]]="+",1,-1)*(IF(PptoSty[[#This Row],[POvsCT]]="PO",SUM(_xlfn.CHOOSECOLS(_xlfn._xlws.FILTER(F_RT14[],(IF($M126="X",TRUE,F_RT14[Site]=$M126))*(F_RT14[Measure]=X$4)*(F_RT14[PrjId]=PptoSty[[#This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126" s="338" cm="1">
        <f t="array" aca="1" ref="Y126" ca="1">IFERROR(IF(PptoSty[[#This Row],[Nature]]&lt;&gt;"Hrs",0,(1/PptoSty[[#This Row],[Division]])*IF(PptoSty[[#This Row],[Sign]]="+",1,-1)*(IF(PptoSty[[#This Row],[POvsCT]]="PO",SUM(_xlfn.CHOOSECOLS(_xlfn._xlws.FILTER(F_RT14[],(IF($M126="X",TRUE,F_RT14[Site]=$M126))*(F_RT14[Measure]=Y$4)*(F_RT14[PrjId]=PptoSty[[#This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26" s="338" cm="1">
        <f t="array" aca="1" ref="Z126" ca="1">IFERROR(IF(PptoSty[[#This Row],[Nature]]&lt;&gt;"Hrs",0,(1/PptoSty[[#This Row],[Division]])*IF(PptoSty[[#This Row],[Sign]]="+",1,-1)*(IF(PptoSty[[#This Row],[POvsCT]]="PO",SUM(_xlfn.CHOOSECOLS(_xlfn._xlws.FILTER(F_RT14[],(IF($M126="X",TRUE,F_RT14[Site]=$M126))*(F_RT14[Measure]=Z$4)*(F_RT14[PrjId]=PptoSty[[#This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26" s="412"/>
      <c r="AB126" s="412"/>
      <c r="AC126" s="412"/>
      <c r="AG126"/>
      <c r="AH126"/>
      <c r="AI126"/>
      <c r="AK126" s="113"/>
      <c r="AO126"/>
      <c r="AP126"/>
      <c r="AZ126" s="175"/>
      <c r="BA126" s="175"/>
      <c r="BE126"/>
      <c r="BF126"/>
      <c r="DG126" s="175"/>
      <c r="DH126" s="175"/>
      <c r="DI126" s="175"/>
      <c r="DL126" s="108"/>
      <c r="DM126" s="366" t="str" cm="1">
        <f t="array" aca="1" ref="DM12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DN126:DO126</v>
      </c>
      <c r="DN126" s="177" t="s">
        <v>375</v>
      </c>
      <c r="DO126" s="177" t="str" cm="1">
        <f t="array" aca="1" ref="DO12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26" s="177"/>
      <c r="DQ126" s="177"/>
      <c r="DR126" s="177"/>
      <c r="DS126" s="177"/>
      <c r="DT126" s="177"/>
      <c r="DU126" s="177"/>
      <c r="DV126" s="177"/>
      <c r="DW126" s="177"/>
      <c r="DX126" s="177"/>
      <c r="DY126" s="177"/>
      <c r="DZ126" s="177"/>
      <c r="EA126" s="177"/>
      <c r="EB126" s="177"/>
      <c r="EC126" s="177"/>
      <c r="ED126" s="177"/>
    </row>
    <row r="127" spans="3:134" ht="13" customHeight="1">
      <c r="C127" s="200">
        <v>45231</v>
      </c>
      <c r="D127" s="213" t="s">
        <v>2114</v>
      </c>
      <c r="E127" s="213" t="s">
        <v>1711</v>
      </c>
      <c r="F127" s="219">
        <v>12</v>
      </c>
      <c r="G127" s="201" t="s">
        <v>1416</v>
      </c>
      <c r="H127" s="202" t="s">
        <v>375</v>
      </c>
      <c r="I127" s="339" t="str" cm="1">
        <f t="array" aca="1" ref="I12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27" s="203" t="str" cm="1">
        <f t="array" ref="J127">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Mat</v>
      </c>
      <c r="K127" s="96" t="s">
        <v>375</v>
      </c>
      <c r="L127" s="96" t="s">
        <v>1639</v>
      </c>
      <c r="M127" s="96" t="s">
        <v>375</v>
      </c>
      <c r="N127" s="96" t="str" cm="1">
        <f t="array" ref="N127">IF(OR(PptoSty[[#This Row],[Project]]="",PptoSty[[#This Row],[Project]]="X"),"X",_xlfn._xlws.FILTER(TbAssign[RowId],(TbAssign[Project]=PptoSty[[#This Row],[Project]])*(TbAssign[Módulo]=PptoSty[[#This Row],[PptoVsRow]]),"X"))</f>
        <v>XC02</v>
      </c>
      <c r="O127" s="96" t="str" cm="1">
        <f t="array" ref="O127">IF(OR(PptoSty[[#This Row],[Project]]="",PptoSty[[#This Row],[Project]]="X"),"X",_xlfn.UNIQUE(_xlfn._xlws.FILTER(F_RT14[Amortz.],(F_RT14[Measure]="CurPpto")*(F_RT14[PrjId]=PptoSty[[#This Row],[Project]])*(F_RT14[Vrs]=PptoSty[[#This Row],[Vrs]])*(_xlfn.TEXTAFTER(F_RT14[ActGrp],":")=PptoSty[[#This Row],[PiRow]]),"X")))</f>
        <v>X</v>
      </c>
      <c r="P127" s="96" t="s">
        <v>1473</v>
      </c>
      <c r="Q127" s="96" t="s">
        <v>1667</v>
      </c>
      <c r="R127" s="204" t="s">
        <v>403</v>
      </c>
      <c r="S127" s="204">
        <v>1</v>
      </c>
      <c r="T127" s="205" t="str" cm="1">
        <f t="array" aca="1" ref="T12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27" s="206" t="str" cm="1">
        <f t="array" aca="1" ref="U127" ca="1">IFERROR((1/PptoSty[[#This Row],[Division]])*IF(PptoSty[[#This Row],[Sign]]="+",1,-1)*(IF(PptoSty[[#This Row],[POvsCT]]="PO",SUM(_xlfn.CHOOSECOLS(_xlfn._xlws.FILTER(F_RT14[],(IF($M127="X",TRUE,F_RT14[Site]=$M127))*(F_RT14[Measure]=U$4)*(F_RT14[PrjId]=PptoSty[[#This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27" s="206" cm="1">
        <f t="array" aca="1" ref="V127" ca="1">IFERROR((1/PptoSty[[#This Row],[Division]])*IF(PptoSty[[#This Row],[Sign]]="+",1,-1)*(IF(PptoSty[[#This Row],[POvsCT]]="PO",SUM(_xlfn.CHOOSECOLS(_xlfn._xlws.FILTER(F_RT14[],(IF($M127="X",TRUE,F_RT14[Site]=$M127))*(F_RT14[Measure]=V$4)*(F_RT14[PrjId]=PptoSty[[#This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27" s="206" cm="1">
        <f t="array" aca="1" ref="W127" ca="1">IFERROR((1/PptoSty[[#This Row],[Division]])*IF(PptoSty[[#This Row],[Sign]]="+",1,-1)*(IF(PptoSty[[#This Row],[POvsCT]]="PO",SUM(_xlfn.CHOOSECOLS(_xlfn._xlws.FILTER(F_RT14[],(IF($M127="X",TRUE,F_RT14[Site]=$M127))*(F_RT14[Measure]=W$4)*(F_RT14[PrjId]=PptoSty[[#This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27" s="338" cm="1">
        <f t="array" ref="X127">IFERROR(IF(PptoSty[[#This Row],[Nature]]&lt;&gt;"Hrs",0,(1/PptoSty[[#This Row],[Division]])*IF(PptoSty[[#This Row],[Sign]]="+",1,-1)*(IF(PptoSty[[#This Row],[POvsCT]]="PO",SUM(_xlfn.CHOOSECOLS(_xlfn._xlws.FILTER(F_RT14[],(IF($M127="X",TRUE,F_RT14[Site]=$M127))*(F_RT14[Measure]=X$4)*(F_RT14[PrjId]=PptoSty[[#This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27" s="338" cm="1">
        <f t="array" ref="Y127">IFERROR(IF(PptoSty[[#This Row],[Nature]]&lt;&gt;"Hrs",0,(1/PptoSty[[#This Row],[Division]])*IF(PptoSty[[#This Row],[Sign]]="+",1,-1)*(IF(PptoSty[[#This Row],[POvsCT]]="PO",SUM(_xlfn.CHOOSECOLS(_xlfn._xlws.FILTER(F_RT14[],(IF($M127="X",TRUE,F_RT14[Site]=$M127))*(F_RT14[Measure]=Y$4)*(F_RT14[PrjId]=PptoSty[[#This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27" s="338" cm="1">
        <f t="array" ref="Z127">IFERROR(IF(PptoSty[[#This Row],[Nature]]&lt;&gt;"Hrs",0,(1/PptoSty[[#This Row],[Division]])*IF(PptoSty[[#This Row],[Sign]]="+",1,-1)*(IF(PptoSty[[#This Row],[POvsCT]]="PO",SUM(_xlfn.CHOOSECOLS(_xlfn._xlws.FILTER(F_RT14[],(IF($M127="X",TRUE,F_RT14[Site]=$M127))*(F_RT14[Measure]=Z$4)*(F_RT14[PrjId]=PptoSty[[#This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27" s="412"/>
      <c r="AB127" s="412"/>
      <c r="AC127" s="412"/>
      <c r="AG127"/>
      <c r="AH127"/>
      <c r="AI127"/>
      <c r="AK127" s="113"/>
      <c r="AO127"/>
      <c r="AP127"/>
      <c r="AZ127" s="175"/>
      <c r="BA127" s="175"/>
      <c r="BE127"/>
      <c r="BF127"/>
      <c r="DG127" s="175"/>
      <c r="DH127" s="175"/>
      <c r="DI127" s="175"/>
      <c r="DL127" s="108"/>
      <c r="DM127" s="366" t="str" cm="1">
        <f t="array" aca="1" ref="DM12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DN127:DO127</v>
      </c>
      <c r="DN127" s="177" t="s">
        <v>375</v>
      </c>
      <c r="DO127" s="177" t="str" cm="1">
        <f t="array" aca="1" ref="DO12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27" s="177"/>
      <c r="DQ127" s="177"/>
      <c r="DR127" s="177"/>
      <c r="DS127" s="177"/>
      <c r="DT127" s="177"/>
      <c r="DU127" s="177"/>
      <c r="DV127" s="177"/>
      <c r="DW127" s="177"/>
      <c r="DX127" s="177"/>
      <c r="DY127" s="177"/>
      <c r="DZ127" s="177"/>
      <c r="EA127" s="177"/>
      <c r="EB127" s="177"/>
      <c r="EC127" s="177"/>
      <c r="ED127" s="177"/>
    </row>
    <row r="128" spans="3:134" ht="13" customHeight="1">
      <c r="C128" s="200">
        <v>45231</v>
      </c>
      <c r="D128" s="213" t="s">
        <v>2114</v>
      </c>
      <c r="E128" s="213" t="s">
        <v>1711</v>
      </c>
      <c r="F128" s="219">
        <v>12</v>
      </c>
      <c r="G128" s="201" t="s">
        <v>1416</v>
      </c>
      <c r="H128" s="202" t="s">
        <v>375</v>
      </c>
      <c r="I128" s="339" t="str" cm="1">
        <f t="array" aca="1" ref="I12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28" s="203" t="str" cm="1">
        <f t="array" ref="J128">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Hrs</v>
      </c>
      <c r="K128" s="96" t="s">
        <v>375</v>
      </c>
      <c r="L128" s="96" t="s">
        <v>380</v>
      </c>
      <c r="M128" s="96" t="s">
        <v>375</v>
      </c>
      <c r="N128" s="96" t="str" cm="1">
        <f t="array" ref="N128">IF(OR(PptoSty[[#This Row],[Project]]="",PptoSty[[#This Row],[Project]]="X"),"X",_xlfn._xlws.FILTER(TbAssign[RowId],(TbAssign[Project]=PptoSty[[#This Row],[Project]])*(TbAssign[Módulo]=PptoSty[[#This Row],[PptoVsRow]]),"X"))</f>
        <v>XC02</v>
      </c>
      <c r="O128" s="96" t="str" cm="1">
        <f t="array" ref="O128">IF(OR(PptoSty[[#This Row],[Project]]="",PptoSty[[#This Row],[Project]]="X"),"X",_xlfn.UNIQUE(_xlfn._xlws.FILTER(F_RT14[Amortz.],(F_RT14[Measure]="CurPpto")*(F_RT14[PrjId]=PptoSty[[#This Row],[Project]])*(F_RT14[Vrs]=PptoSty[[#This Row],[Vrs]])*(_xlfn.TEXTAFTER(F_RT14[ActGrp],":")=PptoSty[[#This Row],[PiRow]]),"X")))</f>
        <v>X</v>
      </c>
      <c r="P128" s="96" t="s">
        <v>1473</v>
      </c>
      <c r="Q128" s="96" t="s">
        <v>1667</v>
      </c>
      <c r="R128" s="204" t="s">
        <v>403</v>
      </c>
      <c r="S128" s="204">
        <v>1</v>
      </c>
      <c r="T128" s="205" t="str" cm="1">
        <f t="array" aca="1" ref="T12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28" s="206" t="str" cm="1">
        <f t="array" aca="1" ref="U128" ca="1">IFERROR((1/PptoSty[[#This Row],[Division]])*IF(PptoSty[[#This Row],[Sign]]="+",1,-1)*(IF(PptoSty[[#This Row],[POvsCT]]="PO",SUM(_xlfn.CHOOSECOLS(_xlfn._xlws.FILTER(F_RT14[],(IF($M128="X",TRUE,F_RT14[Site]=$M128))*(F_RT14[Measure]=U$4)*(F_RT14[PrjId]=PptoSty[[#This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28" s="206" cm="1">
        <f t="array" aca="1" ref="V128" ca="1">IFERROR((1/PptoSty[[#This Row],[Division]])*IF(PptoSty[[#This Row],[Sign]]="+",1,-1)*(IF(PptoSty[[#This Row],[POvsCT]]="PO",SUM(_xlfn.CHOOSECOLS(_xlfn._xlws.FILTER(F_RT14[],(IF($M128="X",TRUE,F_RT14[Site]=$M128))*(F_RT14[Measure]=V$4)*(F_RT14[PrjId]=PptoSty[[#This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28" s="206" cm="1">
        <f t="array" aca="1" ref="W128" ca="1">IFERROR((1/PptoSty[[#This Row],[Division]])*IF(PptoSty[[#This Row],[Sign]]="+",1,-1)*(IF(PptoSty[[#This Row],[POvsCT]]="PO",SUM(_xlfn.CHOOSECOLS(_xlfn._xlws.FILTER(F_RT14[],(IF($M128="X",TRUE,F_RT14[Site]=$M128))*(F_RT14[Measure]=W$4)*(F_RT14[PrjId]=PptoSty[[#This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28" s="338" t="str" cm="1">
        <f t="array" aca="1" ref="X128" ca="1">IFERROR(IF(PptoSty[[#This Row],[Nature]]&lt;&gt;"Hrs",0,(1/PptoSty[[#This Row],[Division]])*IF(PptoSty[[#This Row],[Sign]]="+",1,-1)*(IF(PptoSty[[#This Row],[POvsCT]]="PO",SUM(_xlfn.CHOOSECOLS(_xlfn._xlws.FILTER(F_RT14[],(IF($M128="X",TRUE,F_RT14[Site]=$M128))*(F_RT14[Measure]=X$4)*(F_RT14[PrjId]=PptoSty[[#This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128" s="338" cm="1">
        <f t="array" aca="1" ref="Y128" ca="1">IFERROR(IF(PptoSty[[#This Row],[Nature]]&lt;&gt;"Hrs",0,(1/PptoSty[[#This Row],[Division]])*IF(PptoSty[[#This Row],[Sign]]="+",1,-1)*(IF(PptoSty[[#This Row],[POvsCT]]="PO",SUM(_xlfn.CHOOSECOLS(_xlfn._xlws.FILTER(F_RT14[],(IF($M128="X",TRUE,F_RT14[Site]=$M128))*(F_RT14[Measure]=Y$4)*(F_RT14[PrjId]=PptoSty[[#This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28" s="338" cm="1">
        <f t="array" aca="1" ref="Z128" ca="1">IFERROR(IF(PptoSty[[#This Row],[Nature]]&lt;&gt;"Hrs",0,(1/PptoSty[[#This Row],[Division]])*IF(PptoSty[[#This Row],[Sign]]="+",1,-1)*(IF(PptoSty[[#This Row],[POvsCT]]="PO",SUM(_xlfn.CHOOSECOLS(_xlfn._xlws.FILTER(F_RT14[],(IF($M128="X",TRUE,F_RT14[Site]=$M128))*(F_RT14[Measure]=Z$4)*(F_RT14[PrjId]=PptoSty[[#This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28" s="412"/>
      <c r="AB128" s="412"/>
      <c r="AC128" s="412"/>
      <c r="AG128"/>
      <c r="AH128"/>
      <c r="AI128"/>
      <c r="AK128" s="113"/>
      <c r="AO128"/>
      <c r="AP128"/>
      <c r="AZ128" s="175"/>
      <c r="BA128" s="175"/>
      <c r="BE128"/>
      <c r="BF128"/>
      <c r="DG128" s="175"/>
      <c r="DH128" s="175"/>
      <c r="DI128" s="175"/>
      <c r="DL128" s="108"/>
      <c r="DM128" s="366" t="str" cm="1">
        <f t="array" aca="1" ref="DM12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DN128:DO128</v>
      </c>
      <c r="DN128" s="177" t="s">
        <v>375</v>
      </c>
      <c r="DO128" s="177" t="str" cm="1">
        <f t="array" aca="1" ref="DO12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28" s="177"/>
      <c r="DQ128" s="177"/>
      <c r="DR128" s="177"/>
      <c r="DS128" s="177"/>
      <c r="DT128" s="177"/>
      <c r="DU128" s="177"/>
      <c r="DV128" s="177"/>
      <c r="DW128" s="177"/>
      <c r="DX128" s="177"/>
      <c r="DY128" s="177"/>
      <c r="DZ128" s="177"/>
      <c r="EA128" s="177"/>
      <c r="EB128" s="177"/>
      <c r="EC128" s="177"/>
      <c r="ED128" s="177"/>
    </row>
    <row r="129" spans="3:134" ht="13" customHeight="1">
      <c r="C129" s="200">
        <v>45231</v>
      </c>
      <c r="D129" s="213" t="s">
        <v>2114</v>
      </c>
      <c r="E129" s="213" t="s">
        <v>1711</v>
      </c>
      <c r="F129" s="219">
        <v>12</v>
      </c>
      <c r="G129" s="201" t="s">
        <v>1416</v>
      </c>
      <c r="H129" s="202" t="s">
        <v>375</v>
      </c>
      <c r="I129" s="339" t="str" cm="1">
        <f t="array" aca="1" ref="I12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29" s="203" t="str" cm="1">
        <f t="array" ref="J129">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Hrs</v>
      </c>
      <c r="K129" s="96" t="s">
        <v>375</v>
      </c>
      <c r="L129" s="96" t="s">
        <v>373</v>
      </c>
      <c r="M129" s="96" t="s">
        <v>375</v>
      </c>
      <c r="N129" s="96" t="str" cm="1">
        <f t="array" ref="N129">IF(OR(PptoSty[[#This Row],[Project]]="",PptoSty[[#This Row],[Project]]="X"),"X",_xlfn._xlws.FILTER(TbAssign[RowId],(TbAssign[Project]=PptoSty[[#This Row],[Project]])*(TbAssign[Módulo]=PptoSty[[#This Row],[PptoVsRow]]),"X"))</f>
        <v>XC02</v>
      </c>
      <c r="O129" s="96" t="str" cm="1">
        <f t="array" ref="O129">IF(OR(PptoSty[[#This Row],[Project]]="",PptoSty[[#This Row],[Project]]="X"),"X",_xlfn.UNIQUE(_xlfn._xlws.FILTER(F_RT14[Amortz.],(F_RT14[Measure]="CurPpto")*(F_RT14[PrjId]=PptoSty[[#This Row],[Project]])*(F_RT14[Vrs]=PptoSty[[#This Row],[Vrs]])*(_xlfn.TEXTAFTER(F_RT14[ActGrp],":")=PptoSty[[#This Row],[PiRow]]),"X")))</f>
        <v>X</v>
      </c>
      <c r="P129" s="96" t="s">
        <v>1473</v>
      </c>
      <c r="Q129" s="96" t="s">
        <v>1667</v>
      </c>
      <c r="R129" s="204" t="s">
        <v>403</v>
      </c>
      <c r="S129" s="204">
        <v>1</v>
      </c>
      <c r="T129" s="205" t="str" cm="1">
        <f t="array" aca="1" ref="T12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29" s="206" t="str" cm="1">
        <f t="array" aca="1" ref="U129" ca="1">IFERROR((1/PptoSty[[#This Row],[Division]])*IF(PptoSty[[#This Row],[Sign]]="+",1,-1)*(IF(PptoSty[[#This Row],[POvsCT]]="PO",SUM(_xlfn.CHOOSECOLS(_xlfn._xlws.FILTER(F_RT14[],(IF($M129="X",TRUE,F_RT14[Site]=$M129))*(F_RT14[Measure]=U$4)*(F_RT14[PrjId]=PptoSty[[#This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29" s="206" cm="1">
        <f t="array" aca="1" ref="V129" ca="1">IFERROR((1/PptoSty[[#This Row],[Division]])*IF(PptoSty[[#This Row],[Sign]]="+",1,-1)*(IF(PptoSty[[#This Row],[POvsCT]]="PO",SUM(_xlfn.CHOOSECOLS(_xlfn._xlws.FILTER(F_RT14[],(IF($M129="X",TRUE,F_RT14[Site]=$M129))*(F_RT14[Measure]=V$4)*(F_RT14[PrjId]=PptoSty[[#This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29" s="206" cm="1">
        <f t="array" aca="1" ref="W129" ca="1">IFERROR((1/PptoSty[[#This Row],[Division]])*IF(PptoSty[[#This Row],[Sign]]="+",1,-1)*(IF(PptoSty[[#This Row],[POvsCT]]="PO",SUM(_xlfn.CHOOSECOLS(_xlfn._xlws.FILTER(F_RT14[],(IF($M129="X",TRUE,F_RT14[Site]=$M129))*(F_RT14[Measure]=W$4)*(F_RT14[PrjId]=PptoSty[[#This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29" s="338" t="str" cm="1">
        <f t="array" aca="1" ref="X129" ca="1">IFERROR(IF(PptoSty[[#This Row],[Nature]]&lt;&gt;"Hrs",0,(1/PptoSty[[#This Row],[Division]])*IF(PptoSty[[#This Row],[Sign]]="+",1,-1)*(IF(PptoSty[[#This Row],[POvsCT]]="PO",SUM(_xlfn.CHOOSECOLS(_xlfn._xlws.FILTER(F_RT14[],(IF($M129="X",TRUE,F_RT14[Site]=$M129))*(F_RT14[Measure]=X$4)*(F_RT14[PrjId]=PptoSty[[#This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129" s="338" cm="1">
        <f t="array" aca="1" ref="Y129" ca="1">IFERROR(IF(PptoSty[[#This Row],[Nature]]&lt;&gt;"Hrs",0,(1/PptoSty[[#This Row],[Division]])*IF(PptoSty[[#This Row],[Sign]]="+",1,-1)*(IF(PptoSty[[#This Row],[POvsCT]]="PO",SUM(_xlfn.CHOOSECOLS(_xlfn._xlws.FILTER(F_RT14[],(IF($M129="X",TRUE,F_RT14[Site]=$M129))*(F_RT14[Measure]=Y$4)*(F_RT14[PrjId]=PptoSty[[#This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29" s="338" cm="1">
        <f t="array" aca="1" ref="Z129" ca="1">IFERROR(IF(PptoSty[[#This Row],[Nature]]&lt;&gt;"Hrs",0,(1/PptoSty[[#This Row],[Division]])*IF(PptoSty[[#This Row],[Sign]]="+",1,-1)*(IF(PptoSty[[#This Row],[POvsCT]]="PO",SUM(_xlfn.CHOOSECOLS(_xlfn._xlws.FILTER(F_RT14[],(IF($M129="X",TRUE,F_RT14[Site]=$M129))*(F_RT14[Measure]=Z$4)*(F_RT14[PrjId]=PptoSty[[#This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29" s="412"/>
      <c r="AB129" s="412"/>
      <c r="AC129" s="412"/>
      <c r="AG129"/>
      <c r="AH129"/>
      <c r="AI129"/>
      <c r="AK129" s="113"/>
      <c r="AO129"/>
      <c r="AP129"/>
      <c r="AZ129" s="175"/>
      <c r="BA129" s="175"/>
      <c r="BE129"/>
      <c r="BF129"/>
      <c r="DG129" s="175"/>
      <c r="DH129" s="175"/>
      <c r="DI129" s="175"/>
      <c r="DL129" s="108"/>
      <c r="DM129" s="366" t="str" cm="1">
        <f t="array" aca="1" ref="DM129"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DN129:DO129</v>
      </c>
      <c r="DN129" s="177" t="s">
        <v>375</v>
      </c>
      <c r="DO129" s="177" t="str" cm="1">
        <f t="array" aca="1" ref="DO129"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29" s="177"/>
      <c r="DQ129" s="177"/>
      <c r="DR129" s="177"/>
      <c r="DS129" s="177"/>
      <c r="DT129" s="177"/>
      <c r="DU129" s="177"/>
      <c r="DV129" s="177"/>
      <c r="DW129" s="177"/>
      <c r="DX129" s="177"/>
      <c r="DY129" s="177"/>
      <c r="DZ129" s="177"/>
      <c r="EA129" s="177"/>
      <c r="EB129" s="177"/>
      <c r="EC129" s="177"/>
      <c r="ED129" s="177"/>
    </row>
    <row r="130" spans="3:134" ht="13" customHeight="1">
      <c r="C130" s="200">
        <v>45231</v>
      </c>
      <c r="D130" s="213" t="s">
        <v>2114</v>
      </c>
      <c r="E130" s="213" t="s">
        <v>1711</v>
      </c>
      <c r="F130" s="219">
        <v>12</v>
      </c>
      <c r="G130" s="201" t="s">
        <v>1416</v>
      </c>
      <c r="H130" s="202" t="s">
        <v>375</v>
      </c>
      <c r="I130" s="339" t="str" cm="1">
        <f t="array" aca="1" ref="I13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30" s="203" t="str" cm="1">
        <f t="array" ref="J130">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Gto</v>
      </c>
      <c r="K130" s="96" t="s">
        <v>375</v>
      </c>
      <c r="L130" s="96" t="s">
        <v>386</v>
      </c>
      <c r="M130" s="96" t="s">
        <v>375</v>
      </c>
      <c r="N130" s="96" t="str" cm="1">
        <f t="array" ref="N130">IF(OR(PptoSty[[#This Row],[Project]]="",PptoSty[[#This Row],[Project]]="X"),"X",_xlfn._xlws.FILTER(TbAssign[RowId],(TbAssign[Project]=PptoSty[[#This Row],[Project]])*(TbAssign[Módulo]=PptoSty[[#This Row],[PptoVsRow]]),"X"))</f>
        <v>XF02</v>
      </c>
      <c r="O130" s="96" t="str" cm="1">
        <f t="array" ref="O130">IF(OR(PptoSty[[#This Row],[Project]]="",PptoSty[[#This Row],[Project]]="X"),"X",_xlfn.UNIQUE(_xlfn._xlws.FILTER(F_RT14[Amortz.],(F_RT14[Measure]="CurPpto")*(F_RT14[PrjId]=PptoSty[[#This Row],[Project]])*(F_RT14[Vrs]=PptoSty[[#This Row],[Vrs]])*(_xlfn.TEXTAFTER(F_RT14[ActGrp],":")=PptoSty[[#This Row],[PiRow]]),"X")))</f>
        <v>X</v>
      </c>
      <c r="P130" s="96" t="s">
        <v>300</v>
      </c>
      <c r="Q130" s="96" t="s">
        <v>386</v>
      </c>
      <c r="R130" s="204" t="s">
        <v>403</v>
      </c>
      <c r="S130" s="204">
        <v>1</v>
      </c>
      <c r="T130" s="205" t="str" cm="1">
        <f t="array" aca="1" ref="T13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30" s="206" t="str" cm="1">
        <f t="array" aca="1" ref="U130" ca="1">IFERROR((1/PptoSty[[#This Row],[Division]])*IF(PptoSty[[#This Row],[Sign]]="+",1,-1)*(IF(PptoSty[[#This Row],[POvsCT]]="PO",SUM(_xlfn.CHOOSECOLS(_xlfn._xlws.FILTER(F_RT14[],(IF($M130="X",TRUE,F_RT14[Site]=$M130))*(F_RT14[Measure]=U$4)*(F_RT14[PrjId]=PptoSty[[#This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30" s="206" cm="1">
        <f t="array" aca="1" ref="V130" ca="1">IFERROR((1/PptoSty[[#This Row],[Division]])*IF(PptoSty[[#This Row],[Sign]]="+",1,-1)*(IF(PptoSty[[#This Row],[POvsCT]]="PO",SUM(_xlfn.CHOOSECOLS(_xlfn._xlws.FILTER(F_RT14[],(IF($M130="X",TRUE,F_RT14[Site]=$M130))*(F_RT14[Measure]=V$4)*(F_RT14[PrjId]=PptoSty[[#This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30" s="206" cm="1">
        <f t="array" aca="1" ref="W130" ca="1">IFERROR((1/PptoSty[[#This Row],[Division]])*IF(PptoSty[[#This Row],[Sign]]="+",1,-1)*(IF(PptoSty[[#This Row],[POvsCT]]="PO",SUM(_xlfn.CHOOSECOLS(_xlfn._xlws.FILTER(F_RT14[],(IF($M130="X",TRUE,F_RT14[Site]=$M130))*(F_RT14[Measure]=W$4)*(F_RT14[PrjId]=PptoSty[[#This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30" s="338" cm="1">
        <f t="array" ref="X130">IFERROR(IF(PptoSty[[#This Row],[Nature]]&lt;&gt;"Hrs",0,(1/PptoSty[[#This Row],[Division]])*IF(PptoSty[[#This Row],[Sign]]="+",1,-1)*(IF(PptoSty[[#This Row],[POvsCT]]="PO",SUM(_xlfn.CHOOSECOLS(_xlfn._xlws.FILTER(F_RT14[],(IF($M130="X",TRUE,F_RT14[Site]=$M130))*(F_RT14[Measure]=X$4)*(F_RT14[PrjId]=PptoSty[[#This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30" s="338" cm="1">
        <f t="array" ref="Y130">IFERROR(IF(PptoSty[[#This Row],[Nature]]&lt;&gt;"Hrs",0,(1/PptoSty[[#This Row],[Division]])*IF(PptoSty[[#This Row],[Sign]]="+",1,-1)*(IF(PptoSty[[#This Row],[POvsCT]]="PO",SUM(_xlfn.CHOOSECOLS(_xlfn._xlws.FILTER(F_RT14[],(IF($M130="X",TRUE,F_RT14[Site]=$M130))*(F_RT14[Measure]=Y$4)*(F_RT14[PrjId]=PptoSty[[#This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30" s="338" cm="1">
        <f t="array" ref="Z130">IFERROR(IF(PptoSty[[#This Row],[Nature]]&lt;&gt;"Hrs",0,(1/PptoSty[[#This Row],[Division]])*IF(PptoSty[[#This Row],[Sign]]="+",1,-1)*(IF(PptoSty[[#This Row],[POvsCT]]="PO",SUM(_xlfn.CHOOSECOLS(_xlfn._xlws.FILTER(F_RT14[],(IF($M130="X",TRUE,F_RT14[Site]=$M130))*(F_RT14[Measure]=Z$4)*(F_RT14[PrjId]=PptoSty[[#This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30" s="412"/>
      <c r="AB130" s="412"/>
      <c r="AC130" s="412"/>
      <c r="AG130"/>
      <c r="AH130"/>
      <c r="AI130"/>
      <c r="AK130" s="113"/>
      <c r="AO130"/>
      <c r="AP130"/>
      <c r="AZ130" s="175"/>
      <c r="BA130" s="175"/>
      <c r="BE130"/>
      <c r="BF130"/>
      <c r="DG130" s="175"/>
      <c r="DH130" s="175"/>
      <c r="DI130" s="175"/>
      <c r="DL130" s="108"/>
      <c r="DM130" s="366" t="str" cm="1">
        <f t="array" aca="1" ref="DM130"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DN130:DO130</v>
      </c>
      <c r="DN130" s="177" t="s">
        <v>375</v>
      </c>
      <c r="DO130" s="177" t="str" cm="1">
        <f t="array" aca="1" ref="DO130"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30" s="177"/>
      <c r="DQ130" s="177"/>
      <c r="DR130" s="177"/>
      <c r="DS130" s="177"/>
      <c r="DT130" s="177"/>
      <c r="DU130" s="177"/>
      <c r="DV130" s="177"/>
      <c r="DW130" s="177"/>
      <c r="DX130" s="177"/>
      <c r="DY130" s="177"/>
      <c r="DZ130" s="177"/>
      <c r="EA130" s="177"/>
      <c r="EB130" s="177"/>
      <c r="EC130" s="177"/>
      <c r="ED130" s="177"/>
    </row>
    <row r="131" spans="3:134" ht="13" customHeight="1">
      <c r="C131" s="200">
        <v>45231</v>
      </c>
      <c r="D131" s="213" t="s">
        <v>2114</v>
      </c>
      <c r="E131" s="213" t="s">
        <v>1711</v>
      </c>
      <c r="F131" s="219">
        <v>13</v>
      </c>
      <c r="G131" s="201" t="s">
        <v>1416</v>
      </c>
      <c r="H131" s="202" t="s">
        <v>375</v>
      </c>
      <c r="I131" s="339" t="str" cm="1">
        <f t="array" aca="1" ref="I13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31" s="203" t="str" cm="1">
        <f t="array" ref="J131">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Hrs</v>
      </c>
      <c r="K131" s="96" t="s">
        <v>375</v>
      </c>
      <c r="L131" s="96" t="s">
        <v>1643</v>
      </c>
      <c r="M131" s="96" t="s">
        <v>375</v>
      </c>
      <c r="N131" s="96" t="str" cm="1">
        <f t="array" ref="N131">IF(OR(PptoSty[[#This Row],[Project]]="",PptoSty[[#This Row],[Project]]="X"),"X",_xlfn._xlws.FILTER(TbAssign[RowId],(TbAssign[Project]=PptoSty[[#This Row],[Project]])*(TbAssign[Módulo]=PptoSty[[#This Row],[PptoVsRow]]),"X"))</f>
        <v>XB05</v>
      </c>
      <c r="O131" s="96" t="str" cm="1">
        <f t="array" ref="O131">IF(OR(PptoSty[[#This Row],[Project]]="",PptoSty[[#This Row],[Project]]="X"),"X",_xlfn.UNIQUE(_xlfn._xlws.FILTER(F_RT14[Amortz.],(F_RT14[Measure]="CurPpto")*(F_RT14[PrjId]=PptoSty[[#This Row],[Project]])*(F_RT14[Vrs]=PptoSty[[#This Row],[Vrs]])*(_xlfn.TEXTAFTER(F_RT14[ActGrp],":")=PptoSty[[#This Row],[PiRow]]),"X")))</f>
        <v>X</v>
      </c>
      <c r="P131" s="96" t="s">
        <v>428</v>
      </c>
      <c r="Q131" s="96" t="s">
        <v>377</v>
      </c>
      <c r="R131" s="204" t="s">
        <v>403</v>
      </c>
      <c r="S131" s="204">
        <v>1</v>
      </c>
      <c r="T131" s="205" t="str" cm="1">
        <f t="array" aca="1" ref="T13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31" s="206" t="str" cm="1">
        <f t="array" aca="1" ref="U131" ca="1">IFERROR((1/PptoSty[[#This Row],[Division]])*IF(PptoSty[[#This Row],[Sign]]="+",1,-1)*(IF(PptoSty[[#This Row],[POvsCT]]="PO",SUM(_xlfn.CHOOSECOLS(_xlfn._xlws.FILTER(F_RT14[],(IF($M131="X",TRUE,F_RT14[Site]=$M131))*(F_RT14[Measure]=U$4)*(F_RT14[PrjId]=PptoSty[[#This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31" s="206" cm="1">
        <f t="array" aca="1" ref="V131" ca="1">IFERROR((1/PptoSty[[#This Row],[Division]])*IF(PptoSty[[#This Row],[Sign]]="+",1,-1)*(IF(PptoSty[[#This Row],[POvsCT]]="PO",SUM(_xlfn.CHOOSECOLS(_xlfn._xlws.FILTER(F_RT14[],(IF($M131="X",TRUE,F_RT14[Site]=$M131))*(F_RT14[Measure]=V$4)*(F_RT14[PrjId]=PptoSty[[#This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31" s="206" cm="1">
        <f t="array" aca="1" ref="W131" ca="1">IFERROR((1/PptoSty[[#This Row],[Division]])*IF(PptoSty[[#This Row],[Sign]]="+",1,-1)*(IF(PptoSty[[#This Row],[POvsCT]]="PO",SUM(_xlfn.CHOOSECOLS(_xlfn._xlws.FILTER(F_RT14[],(IF($M131="X",TRUE,F_RT14[Site]=$M131))*(F_RT14[Measure]=W$4)*(F_RT14[PrjId]=PptoSty[[#This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31" s="338" t="str" cm="1">
        <f t="array" aca="1" ref="X131" ca="1">IFERROR(IF(PptoSty[[#This Row],[Nature]]&lt;&gt;"Hrs",0,(1/PptoSty[[#This Row],[Division]])*IF(PptoSty[[#This Row],[Sign]]="+",1,-1)*(IF(PptoSty[[#This Row],[POvsCT]]="PO",SUM(_xlfn.CHOOSECOLS(_xlfn._xlws.FILTER(F_RT14[],(IF($M131="X",TRUE,F_RT14[Site]=$M131))*(F_RT14[Measure]=X$4)*(F_RT14[PrjId]=PptoSty[[#This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131" s="338" cm="1">
        <f t="array" aca="1" ref="Y131" ca="1">IFERROR(IF(PptoSty[[#This Row],[Nature]]&lt;&gt;"Hrs",0,(1/PptoSty[[#This Row],[Division]])*IF(PptoSty[[#This Row],[Sign]]="+",1,-1)*(IF(PptoSty[[#This Row],[POvsCT]]="PO",SUM(_xlfn.CHOOSECOLS(_xlfn._xlws.FILTER(F_RT14[],(IF($M131="X",TRUE,F_RT14[Site]=$M131))*(F_RT14[Measure]=Y$4)*(F_RT14[PrjId]=PptoSty[[#This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31" s="338" cm="1">
        <f t="array" aca="1" ref="Z131" ca="1">IFERROR(IF(PptoSty[[#This Row],[Nature]]&lt;&gt;"Hrs",0,(1/PptoSty[[#This Row],[Division]])*IF(PptoSty[[#This Row],[Sign]]="+",1,-1)*(IF(PptoSty[[#This Row],[POvsCT]]="PO",SUM(_xlfn.CHOOSECOLS(_xlfn._xlws.FILTER(F_RT14[],(IF($M131="X",TRUE,F_RT14[Site]=$M131))*(F_RT14[Measure]=Z$4)*(F_RT14[PrjId]=PptoSty[[#This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31" s="412"/>
      <c r="AB131" s="412"/>
      <c r="AC131" s="412"/>
      <c r="AG131"/>
      <c r="AH131"/>
      <c r="AI131"/>
      <c r="AK131" s="113"/>
      <c r="AO131"/>
      <c r="AP131"/>
      <c r="AZ131" s="175"/>
      <c r="BA131" s="175"/>
      <c r="BE131"/>
      <c r="BF131"/>
      <c r="DG131" s="175"/>
      <c r="DH131" s="175"/>
      <c r="DI131" s="175"/>
      <c r="DL131" s="108"/>
      <c r="DM131" s="366" t="str" cm="1">
        <f t="array" aca="1" ref="DM131"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DN131:DO131</v>
      </c>
      <c r="DN131" s="177" t="s">
        <v>375</v>
      </c>
      <c r="DO131" s="177" t="str" cm="1">
        <f t="array" aca="1" ref="DO131"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31" s="177"/>
      <c r="DQ131" s="177"/>
      <c r="DR131" s="177"/>
      <c r="DS131" s="177"/>
      <c r="DT131" s="177"/>
      <c r="DU131" s="177"/>
      <c r="DV131" s="177"/>
      <c r="DW131" s="177"/>
      <c r="DX131" s="177"/>
      <c r="DY131" s="177"/>
      <c r="DZ131" s="177"/>
      <c r="EA131" s="177"/>
      <c r="EB131" s="177"/>
      <c r="EC131" s="177"/>
      <c r="ED131" s="177"/>
    </row>
    <row r="132" spans="3:134" ht="13" customHeight="1">
      <c r="C132" s="200">
        <v>45231</v>
      </c>
      <c r="D132" s="213" t="s">
        <v>2114</v>
      </c>
      <c r="E132" s="213" t="s">
        <v>1711</v>
      </c>
      <c r="F132" s="219">
        <v>13</v>
      </c>
      <c r="G132" s="201" t="s">
        <v>1416</v>
      </c>
      <c r="H132" s="202" t="s">
        <v>375</v>
      </c>
      <c r="I132" s="339" t="str" cm="1">
        <f t="array" aca="1" ref="I13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32" s="203" t="str" cm="1">
        <f t="array" ref="J132">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Hrs</v>
      </c>
      <c r="K132" s="96" t="s">
        <v>375</v>
      </c>
      <c r="L132" s="96" t="s">
        <v>1274</v>
      </c>
      <c r="M132" s="96" t="s">
        <v>375</v>
      </c>
      <c r="N132" s="96" t="str" cm="1">
        <f t="array" ref="N132">IF(OR(PptoSty[[#This Row],[Project]]="",PptoSty[[#This Row],[Project]]="X"),"X",_xlfn._xlws.FILTER(TbAssign[RowId],(TbAssign[Project]=PptoSty[[#This Row],[Project]])*(TbAssign[Módulo]=PptoSty[[#This Row],[PptoVsRow]]),"X"))</f>
        <v>XB04</v>
      </c>
      <c r="O132" s="96" t="str" cm="1">
        <f t="array" ref="O132">IF(OR(PptoSty[[#This Row],[Project]]="",PptoSty[[#This Row],[Project]]="X"),"X",_xlfn.UNIQUE(_xlfn._xlws.FILTER(F_RT14[Amortz.],(F_RT14[Measure]="CurPpto")*(F_RT14[PrjId]=PptoSty[[#This Row],[Project]])*(F_RT14[Vrs]=PptoSty[[#This Row],[Vrs]])*(_xlfn.TEXTAFTER(F_RT14[ActGrp],":")=PptoSty[[#This Row],[PiRow]]),"X")))</f>
        <v>X</v>
      </c>
      <c r="P132" s="96" t="s">
        <v>1468</v>
      </c>
      <c r="Q132" s="96" t="s">
        <v>1274</v>
      </c>
      <c r="R132" s="204" t="s">
        <v>403</v>
      </c>
      <c r="S132" s="204">
        <v>1</v>
      </c>
      <c r="T132" s="205" t="str" cm="1">
        <f t="array" aca="1" ref="T13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32" s="206" t="str" cm="1">
        <f t="array" aca="1" ref="U132" ca="1">IFERROR((1/PptoSty[[#This Row],[Division]])*IF(PptoSty[[#This Row],[Sign]]="+",1,-1)*(IF(PptoSty[[#This Row],[POvsCT]]="PO",SUM(_xlfn.CHOOSECOLS(_xlfn._xlws.FILTER(F_RT14[],(IF($M132="X",TRUE,F_RT14[Site]=$M132))*(F_RT14[Measure]=U$4)*(F_RT14[PrjId]=PptoSty[[#This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32" s="206" cm="1">
        <f t="array" aca="1" ref="V132" ca="1">IFERROR((1/PptoSty[[#This Row],[Division]])*IF(PptoSty[[#This Row],[Sign]]="+",1,-1)*(IF(PptoSty[[#This Row],[POvsCT]]="PO",SUM(_xlfn.CHOOSECOLS(_xlfn._xlws.FILTER(F_RT14[],(IF($M132="X",TRUE,F_RT14[Site]=$M132))*(F_RT14[Measure]=V$4)*(F_RT14[PrjId]=PptoSty[[#This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32" s="206" cm="1">
        <f t="array" aca="1" ref="W132" ca="1">IFERROR((1/PptoSty[[#This Row],[Division]])*IF(PptoSty[[#This Row],[Sign]]="+",1,-1)*(IF(PptoSty[[#This Row],[POvsCT]]="PO",SUM(_xlfn.CHOOSECOLS(_xlfn._xlws.FILTER(F_RT14[],(IF($M132="X",TRUE,F_RT14[Site]=$M132))*(F_RT14[Measure]=W$4)*(F_RT14[PrjId]=PptoSty[[#This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32" s="338" t="str" cm="1">
        <f t="array" aca="1" ref="X132" ca="1">IFERROR(IF(PptoSty[[#This Row],[Nature]]&lt;&gt;"Hrs",0,(1/PptoSty[[#This Row],[Division]])*IF(PptoSty[[#This Row],[Sign]]="+",1,-1)*(IF(PptoSty[[#This Row],[POvsCT]]="PO",SUM(_xlfn.CHOOSECOLS(_xlfn._xlws.FILTER(F_RT14[],(IF($M132="X",TRUE,F_RT14[Site]=$M132))*(F_RT14[Measure]=X$4)*(F_RT14[PrjId]=PptoSty[[#This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132" s="338" cm="1">
        <f t="array" aca="1" ref="Y132" ca="1">IFERROR(IF(PptoSty[[#This Row],[Nature]]&lt;&gt;"Hrs",0,(1/PptoSty[[#This Row],[Division]])*IF(PptoSty[[#This Row],[Sign]]="+",1,-1)*(IF(PptoSty[[#This Row],[POvsCT]]="PO",SUM(_xlfn.CHOOSECOLS(_xlfn._xlws.FILTER(F_RT14[],(IF($M132="X",TRUE,F_RT14[Site]=$M132))*(F_RT14[Measure]=Y$4)*(F_RT14[PrjId]=PptoSty[[#This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32" s="338" cm="1">
        <f t="array" aca="1" ref="Z132" ca="1">IFERROR(IF(PptoSty[[#This Row],[Nature]]&lt;&gt;"Hrs",0,(1/PptoSty[[#This Row],[Division]])*IF(PptoSty[[#This Row],[Sign]]="+",1,-1)*(IF(PptoSty[[#This Row],[POvsCT]]="PO",SUM(_xlfn.CHOOSECOLS(_xlfn._xlws.FILTER(F_RT14[],(IF($M132="X",TRUE,F_RT14[Site]=$M132))*(F_RT14[Measure]=Z$4)*(F_RT14[PrjId]=PptoSty[[#This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32" s="412"/>
      <c r="AB132" s="412"/>
      <c r="AC132" s="412"/>
      <c r="AG132"/>
      <c r="AH132"/>
      <c r="AI132"/>
      <c r="AK132" s="113"/>
      <c r="AO132"/>
      <c r="AP132"/>
      <c r="AZ132" s="175"/>
      <c r="BA132" s="175"/>
      <c r="BE132"/>
      <c r="BF132"/>
      <c r="DG132" s="175"/>
      <c r="DH132" s="175"/>
      <c r="DI132" s="175"/>
      <c r="DL132" s="108"/>
      <c r="DM132" s="366" t="str" cm="1">
        <f t="array" aca="1" ref="DM132"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DN132:DO132</v>
      </c>
      <c r="DN132" s="177" t="s">
        <v>375</v>
      </c>
      <c r="DO132" s="177" t="str" cm="1">
        <f t="array" aca="1" ref="DO132"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32" s="177"/>
      <c r="DQ132" s="177"/>
      <c r="DR132" s="177"/>
      <c r="DS132" s="177"/>
      <c r="DT132" s="177"/>
      <c r="DU132" s="177"/>
      <c r="DV132" s="177"/>
      <c r="DW132" s="177"/>
      <c r="DX132" s="177"/>
      <c r="DY132" s="177"/>
      <c r="DZ132" s="177"/>
      <c r="EA132" s="177"/>
      <c r="EB132" s="177"/>
      <c r="EC132" s="177"/>
      <c r="ED132" s="177"/>
    </row>
    <row r="133" spans="3:134" ht="13" customHeight="1">
      <c r="C133" s="200">
        <v>45231</v>
      </c>
      <c r="D133" s="213" t="s">
        <v>2114</v>
      </c>
      <c r="E133" s="213" t="s">
        <v>1711</v>
      </c>
      <c r="F133" s="219">
        <v>13</v>
      </c>
      <c r="G133" s="201" t="s">
        <v>1416</v>
      </c>
      <c r="H133" s="202" t="s">
        <v>375</v>
      </c>
      <c r="I133" s="339" t="str" cm="1">
        <f t="array" aca="1" ref="I13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33" s="203" t="str" cm="1">
        <f t="array" ref="J133">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Hrs</v>
      </c>
      <c r="K133" s="96" t="s">
        <v>375</v>
      </c>
      <c r="L133" s="96" t="s">
        <v>360</v>
      </c>
      <c r="M133" s="96" t="s">
        <v>375</v>
      </c>
      <c r="N133" s="96" t="str" cm="1">
        <f t="array" ref="N133">IF(OR(PptoSty[[#This Row],[Project]]="",PptoSty[[#This Row],[Project]]="X"),"X",_xlfn._xlws.FILTER(TbAssign[RowId],(TbAssign[Project]=PptoSty[[#This Row],[Project]])*(TbAssign[Módulo]=PptoSty[[#This Row],[PptoVsRow]]),"X"))</f>
        <v>XB06</v>
      </c>
      <c r="O133" s="96" t="str" cm="1">
        <f t="array" ref="O133">IF(OR(PptoSty[[#This Row],[Project]]="",PptoSty[[#This Row],[Project]]="X"),"X",_xlfn.UNIQUE(_xlfn._xlws.FILTER(F_RT14[Amortz.],(F_RT14[Measure]="CurPpto")*(F_RT14[PrjId]=PptoSty[[#This Row],[Project]])*(F_RT14[Vrs]=PptoSty[[#This Row],[Vrs]])*(_xlfn.TEXTAFTER(F_RT14[ActGrp],":")=PptoSty[[#This Row],[PiRow]]),"X")))</f>
        <v>X</v>
      </c>
      <c r="P133" s="96" t="s">
        <v>360</v>
      </c>
      <c r="Q133" s="96" t="s">
        <v>360</v>
      </c>
      <c r="R133" s="204" t="s">
        <v>403</v>
      </c>
      <c r="S133" s="204">
        <v>1</v>
      </c>
      <c r="T133" s="205" t="str" cm="1">
        <f t="array" aca="1" ref="T13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33" s="206" t="str" cm="1">
        <f t="array" aca="1" ref="U133" ca="1">IFERROR((1/PptoSty[[#This Row],[Division]])*IF(PptoSty[[#This Row],[Sign]]="+",1,-1)*(IF(PptoSty[[#This Row],[POvsCT]]="PO",SUM(_xlfn.CHOOSECOLS(_xlfn._xlws.FILTER(F_RT14[],(IF($M133="X",TRUE,F_RT14[Site]=$M133))*(F_RT14[Measure]=U$4)*(F_RT14[PrjId]=PptoSty[[#This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33" s="206" cm="1">
        <f t="array" aca="1" ref="V133" ca="1">IFERROR((1/PptoSty[[#This Row],[Division]])*IF(PptoSty[[#This Row],[Sign]]="+",1,-1)*(IF(PptoSty[[#This Row],[POvsCT]]="PO",SUM(_xlfn.CHOOSECOLS(_xlfn._xlws.FILTER(F_RT14[],(IF($M133="X",TRUE,F_RT14[Site]=$M133))*(F_RT14[Measure]=V$4)*(F_RT14[PrjId]=PptoSty[[#This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33" s="206" cm="1">
        <f t="array" aca="1" ref="W133" ca="1">IFERROR((1/PptoSty[[#This Row],[Division]])*IF(PptoSty[[#This Row],[Sign]]="+",1,-1)*(IF(PptoSty[[#This Row],[POvsCT]]="PO",SUM(_xlfn.CHOOSECOLS(_xlfn._xlws.FILTER(F_RT14[],(IF($M133="X",TRUE,F_RT14[Site]=$M133))*(F_RT14[Measure]=W$4)*(F_RT14[PrjId]=PptoSty[[#This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33" s="338" t="str" cm="1">
        <f t="array" aca="1" ref="X133" ca="1">IFERROR(IF(PptoSty[[#This Row],[Nature]]&lt;&gt;"Hrs",0,(1/PptoSty[[#This Row],[Division]])*IF(PptoSty[[#This Row],[Sign]]="+",1,-1)*(IF(PptoSty[[#This Row],[POvsCT]]="PO",SUM(_xlfn.CHOOSECOLS(_xlfn._xlws.FILTER(F_RT14[],(IF($M133="X",TRUE,F_RT14[Site]=$M133))*(F_RT14[Measure]=X$4)*(F_RT14[PrjId]=PptoSty[[#This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133" s="338" cm="1">
        <f t="array" aca="1" ref="Y133" ca="1">IFERROR(IF(PptoSty[[#This Row],[Nature]]&lt;&gt;"Hrs",0,(1/PptoSty[[#This Row],[Division]])*IF(PptoSty[[#This Row],[Sign]]="+",1,-1)*(IF(PptoSty[[#This Row],[POvsCT]]="PO",SUM(_xlfn.CHOOSECOLS(_xlfn._xlws.FILTER(F_RT14[],(IF($M133="X",TRUE,F_RT14[Site]=$M133))*(F_RT14[Measure]=Y$4)*(F_RT14[PrjId]=PptoSty[[#This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33" s="338" cm="1">
        <f t="array" aca="1" ref="Z133" ca="1">IFERROR(IF(PptoSty[[#This Row],[Nature]]&lt;&gt;"Hrs",0,(1/PptoSty[[#This Row],[Division]])*IF(PptoSty[[#This Row],[Sign]]="+",1,-1)*(IF(PptoSty[[#This Row],[POvsCT]]="PO",SUM(_xlfn.CHOOSECOLS(_xlfn._xlws.FILTER(F_RT14[],(IF($M133="X",TRUE,F_RT14[Site]=$M133))*(F_RT14[Measure]=Z$4)*(F_RT14[PrjId]=PptoSty[[#This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33" s="412"/>
      <c r="AB133" s="412"/>
      <c r="AC133" s="412"/>
      <c r="AG133"/>
      <c r="AH133"/>
      <c r="AI133"/>
      <c r="AK133" s="113"/>
      <c r="AO133"/>
      <c r="AP133"/>
      <c r="AZ133" s="175"/>
      <c r="BA133" s="175"/>
      <c r="BE133"/>
      <c r="BF133"/>
      <c r="DG133" s="175"/>
      <c r="DH133" s="175"/>
      <c r="DI133" s="175"/>
      <c r="DL133" s="108"/>
      <c r="DM133" s="366" t="str" cm="1">
        <f t="array" aca="1" ref="DM133"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DN133:DO133</v>
      </c>
      <c r="DN133" s="177" t="s">
        <v>375</v>
      </c>
      <c r="DO133" s="177" t="str" cm="1">
        <f t="array" aca="1" ref="DO133"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33" s="177"/>
      <c r="DQ133" s="177"/>
      <c r="DR133" s="177"/>
      <c r="DS133" s="177"/>
      <c r="DT133" s="177"/>
      <c r="DU133" s="177"/>
      <c r="DV133" s="177"/>
      <c r="DW133" s="177"/>
      <c r="DX133" s="177"/>
      <c r="DY133" s="177"/>
      <c r="DZ133" s="177"/>
      <c r="EA133" s="177"/>
      <c r="EB133" s="177"/>
      <c r="EC133" s="177"/>
      <c r="ED133" s="177"/>
    </row>
    <row r="134" spans="3:134" ht="13" customHeight="1">
      <c r="C134" s="200">
        <v>45231</v>
      </c>
      <c r="D134" s="213" t="s">
        <v>2114</v>
      </c>
      <c r="E134" s="213" t="s">
        <v>1711</v>
      </c>
      <c r="F134" s="219">
        <v>13</v>
      </c>
      <c r="G134" s="201" t="s">
        <v>1416</v>
      </c>
      <c r="H134" s="202" t="s">
        <v>375</v>
      </c>
      <c r="I134" s="339" t="str" cm="1">
        <f t="array" aca="1" ref="I13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34" s="203" t="str" cm="1">
        <f t="array" ref="J134">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Hrs</v>
      </c>
      <c r="K134" s="96" t="s">
        <v>375</v>
      </c>
      <c r="L134" s="96" t="s">
        <v>379</v>
      </c>
      <c r="M134" s="96" t="s">
        <v>375</v>
      </c>
      <c r="N134" s="96" t="str" cm="1">
        <f t="array" ref="N134">IF(OR(PptoSty[[#This Row],[Project]]="",PptoSty[[#This Row],[Project]]="X"),"X",_xlfn._xlws.FILTER(TbAssign[RowId],(TbAssign[Project]=PptoSty[[#This Row],[Project]])*(TbAssign[Módulo]=PptoSty[[#This Row],[PptoVsRow]]),"X"))</f>
        <v>XC02</v>
      </c>
      <c r="O134" s="96" t="str" cm="1">
        <f t="array" ref="O134">IF(OR(PptoSty[[#This Row],[Project]]="",PptoSty[[#This Row],[Project]]="X"),"X",_xlfn.UNIQUE(_xlfn._xlws.FILTER(F_RT14[Amortz.],(F_RT14[Measure]="CurPpto")*(F_RT14[PrjId]=PptoSty[[#This Row],[Project]])*(F_RT14[Vrs]=PptoSty[[#This Row],[Vrs]])*(_xlfn.TEXTAFTER(F_RT14[ActGrp],":")=PptoSty[[#This Row],[PiRow]]),"X")))</f>
        <v>X</v>
      </c>
      <c r="P134" s="96" t="s">
        <v>1473</v>
      </c>
      <c r="Q134" s="96" t="s">
        <v>1667</v>
      </c>
      <c r="R134" s="204" t="s">
        <v>403</v>
      </c>
      <c r="S134" s="204">
        <v>1</v>
      </c>
      <c r="T134" s="205" t="str" cm="1">
        <f t="array" aca="1" ref="T13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34" s="206" t="str" cm="1">
        <f t="array" aca="1" ref="U134" ca="1">IFERROR((1/PptoSty[[#This Row],[Division]])*IF(PptoSty[[#This Row],[Sign]]="+",1,-1)*(IF(PptoSty[[#This Row],[POvsCT]]="PO",SUM(_xlfn.CHOOSECOLS(_xlfn._xlws.FILTER(F_RT14[],(IF($M134="X",TRUE,F_RT14[Site]=$M134))*(F_RT14[Measure]=U$4)*(F_RT14[PrjId]=PptoSty[[#This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34" s="206" cm="1">
        <f t="array" aca="1" ref="V134" ca="1">IFERROR((1/PptoSty[[#This Row],[Division]])*IF(PptoSty[[#This Row],[Sign]]="+",1,-1)*(IF(PptoSty[[#This Row],[POvsCT]]="PO",SUM(_xlfn.CHOOSECOLS(_xlfn._xlws.FILTER(F_RT14[],(IF($M134="X",TRUE,F_RT14[Site]=$M134))*(F_RT14[Measure]=V$4)*(F_RT14[PrjId]=PptoSty[[#This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34" s="206" cm="1">
        <f t="array" aca="1" ref="W134" ca="1">IFERROR((1/PptoSty[[#This Row],[Division]])*IF(PptoSty[[#This Row],[Sign]]="+",1,-1)*(IF(PptoSty[[#This Row],[POvsCT]]="PO",SUM(_xlfn.CHOOSECOLS(_xlfn._xlws.FILTER(F_RT14[],(IF($M134="X",TRUE,F_RT14[Site]=$M134))*(F_RT14[Measure]=W$4)*(F_RT14[PrjId]=PptoSty[[#This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34" s="338" t="str" cm="1">
        <f t="array" aca="1" ref="X134" ca="1">IFERROR(IF(PptoSty[[#This Row],[Nature]]&lt;&gt;"Hrs",0,(1/PptoSty[[#This Row],[Division]])*IF(PptoSty[[#This Row],[Sign]]="+",1,-1)*(IF(PptoSty[[#This Row],[POvsCT]]="PO",SUM(_xlfn.CHOOSECOLS(_xlfn._xlws.FILTER(F_RT14[],(IF($M134="X",TRUE,F_RT14[Site]=$M134))*(F_RT14[Measure]=X$4)*(F_RT14[PrjId]=PptoSty[[#This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134" s="338" cm="1">
        <f t="array" aca="1" ref="Y134" ca="1">IFERROR(IF(PptoSty[[#This Row],[Nature]]&lt;&gt;"Hrs",0,(1/PptoSty[[#This Row],[Division]])*IF(PptoSty[[#This Row],[Sign]]="+",1,-1)*(IF(PptoSty[[#This Row],[POvsCT]]="PO",SUM(_xlfn.CHOOSECOLS(_xlfn._xlws.FILTER(F_RT14[],(IF($M134="X",TRUE,F_RT14[Site]=$M134))*(F_RT14[Measure]=Y$4)*(F_RT14[PrjId]=PptoSty[[#This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34" s="338" cm="1">
        <f t="array" aca="1" ref="Z134" ca="1">IFERROR(IF(PptoSty[[#This Row],[Nature]]&lt;&gt;"Hrs",0,(1/PptoSty[[#This Row],[Division]])*IF(PptoSty[[#This Row],[Sign]]="+",1,-1)*(IF(PptoSty[[#This Row],[POvsCT]]="PO",SUM(_xlfn.CHOOSECOLS(_xlfn._xlws.FILTER(F_RT14[],(IF($M134="X",TRUE,F_RT14[Site]=$M134))*(F_RT14[Measure]=Z$4)*(F_RT14[PrjId]=PptoSty[[#This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34" s="412"/>
      <c r="AB134" s="412"/>
      <c r="AC134" s="412"/>
      <c r="AG134"/>
      <c r="AH134"/>
      <c r="AI134"/>
      <c r="AK134" s="113"/>
      <c r="AO134"/>
      <c r="AP134"/>
      <c r="AZ134" s="175"/>
      <c r="BA134" s="175"/>
      <c r="BE134"/>
      <c r="BF134"/>
      <c r="DG134" s="175"/>
      <c r="DH134" s="175"/>
      <c r="DI134" s="175"/>
      <c r="DL134" s="108"/>
      <c r="DM134" s="366" t="str" cm="1">
        <f t="array" aca="1" ref="DM134"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DN134:DO134</v>
      </c>
      <c r="DN134" s="177" t="s">
        <v>375</v>
      </c>
      <c r="DO134" s="177" t="str" cm="1">
        <f t="array" aca="1" ref="DO134"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34" s="177"/>
      <c r="DQ134" s="177"/>
      <c r="DR134" s="177"/>
      <c r="DS134" s="177"/>
      <c r="DT134" s="177"/>
      <c r="DU134" s="177"/>
      <c r="DV134" s="177"/>
      <c r="DW134" s="177"/>
      <c r="DX134" s="177"/>
      <c r="DY134" s="177"/>
      <c r="DZ134" s="177"/>
      <c r="EA134" s="177"/>
      <c r="EB134" s="177"/>
      <c r="EC134" s="177"/>
      <c r="ED134" s="177"/>
    </row>
    <row r="135" spans="3:134" ht="13" customHeight="1">
      <c r="C135" s="200">
        <v>45231</v>
      </c>
      <c r="D135" s="213" t="s">
        <v>2114</v>
      </c>
      <c r="E135" s="213" t="s">
        <v>1711</v>
      </c>
      <c r="F135" s="219">
        <v>13</v>
      </c>
      <c r="G135" s="201" t="s">
        <v>1416</v>
      </c>
      <c r="H135" s="202" t="s">
        <v>375</v>
      </c>
      <c r="I135" s="339" t="str" cm="1">
        <f t="array" aca="1" ref="I13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35" s="203" t="str" cm="1">
        <f t="array" ref="J135">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Mat</v>
      </c>
      <c r="K135" s="96" t="s">
        <v>375</v>
      </c>
      <c r="L135" s="96" t="s">
        <v>1639</v>
      </c>
      <c r="M135" s="96" t="s">
        <v>375</v>
      </c>
      <c r="N135" s="96" t="str" cm="1">
        <f t="array" ref="N135">IF(OR(PptoSty[[#This Row],[Project]]="",PptoSty[[#This Row],[Project]]="X"),"X",_xlfn._xlws.FILTER(TbAssign[RowId],(TbAssign[Project]=PptoSty[[#This Row],[Project]])*(TbAssign[Módulo]=PptoSty[[#This Row],[PptoVsRow]]),"X"))</f>
        <v>XC02</v>
      </c>
      <c r="O135" s="96" t="str" cm="1">
        <f t="array" ref="O135">IF(OR(PptoSty[[#This Row],[Project]]="",PptoSty[[#This Row],[Project]]="X"),"X",_xlfn.UNIQUE(_xlfn._xlws.FILTER(F_RT14[Amortz.],(F_RT14[Measure]="CurPpto")*(F_RT14[PrjId]=PptoSty[[#This Row],[Project]])*(F_RT14[Vrs]=PptoSty[[#This Row],[Vrs]])*(_xlfn.TEXTAFTER(F_RT14[ActGrp],":")=PptoSty[[#This Row],[PiRow]]),"X")))</f>
        <v>X</v>
      </c>
      <c r="P135" s="96" t="s">
        <v>1473</v>
      </c>
      <c r="Q135" s="96" t="s">
        <v>1667</v>
      </c>
      <c r="R135" s="204" t="s">
        <v>403</v>
      </c>
      <c r="S135" s="204">
        <v>1</v>
      </c>
      <c r="T135" s="205" t="str" cm="1">
        <f t="array" aca="1" ref="T13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35" s="206" t="str" cm="1">
        <f t="array" aca="1" ref="U135" ca="1">IFERROR((1/PptoSty[[#This Row],[Division]])*IF(PptoSty[[#This Row],[Sign]]="+",1,-1)*(IF(PptoSty[[#This Row],[POvsCT]]="PO",SUM(_xlfn.CHOOSECOLS(_xlfn._xlws.FILTER(F_RT14[],(IF($M135="X",TRUE,F_RT14[Site]=$M135))*(F_RT14[Measure]=U$4)*(F_RT14[PrjId]=PptoSty[[#This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35" s="206" cm="1">
        <f t="array" aca="1" ref="V135" ca="1">IFERROR((1/PptoSty[[#This Row],[Division]])*IF(PptoSty[[#This Row],[Sign]]="+",1,-1)*(IF(PptoSty[[#This Row],[POvsCT]]="PO",SUM(_xlfn.CHOOSECOLS(_xlfn._xlws.FILTER(F_RT14[],(IF($M135="X",TRUE,F_RT14[Site]=$M135))*(F_RT14[Measure]=V$4)*(F_RT14[PrjId]=PptoSty[[#This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35" s="206" cm="1">
        <f t="array" aca="1" ref="W135" ca="1">IFERROR((1/PptoSty[[#This Row],[Division]])*IF(PptoSty[[#This Row],[Sign]]="+",1,-1)*(IF(PptoSty[[#This Row],[POvsCT]]="PO",SUM(_xlfn.CHOOSECOLS(_xlfn._xlws.FILTER(F_RT14[],(IF($M135="X",TRUE,F_RT14[Site]=$M135))*(F_RT14[Measure]=W$4)*(F_RT14[PrjId]=PptoSty[[#This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35" s="338" cm="1">
        <f t="array" ref="X135">IFERROR(IF(PptoSty[[#This Row],[Nature]]&lt;&gt;"Hrs",0,(1/PptoSty[[#This Row],[Division]])*IF(PptoSty[[#This Row],[Sign]]="+",1,-1)*(IF(PptoSty[[#This Row],[POvsCT]]="PO",SUM(_xlfn.CHOOSECOLS(_xlfn._xlws.FILTER(F_RT14[],(IF($M135="X",TRUE,F_RT14[Site]=$M135))*(F_RT14[Measure]=X$4)*(F_RT14[PrjId]=PptoSty[[#This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35" s="338" cm="1">
        <f t="array" ref="Y135">IFERROR(IF(PptoSty[[#This Row],[Nature]]&lt;&gt;"Hrs",0,(1/PptoSty[[#This Row],[Division]])*IF(PptoSty[[#This Row],[Sign]]="+",1,-1)*(IF(PptoSty[[#This Row],[POvsCT]]="PO",SUM(_xlfn.CHOOSECOLS(_xlfn._xlws.FILTER(F_RT14[],(IF($M135="X",TRUE,F_RT14[Site]=$M135))*(F_RT14[Measure]=Y$4)*(F_RT14[PrjId]=PptoSty[[#This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35" s="338" cm="1">
        <f t="array" ref="Z135">IFERROR(IF(PptoSty[[#This Row],[Nature]]&lt;&gt;"Hrs",0,(1/PptoSty[[#This Row],[Division]])*IF(PptoSty[[#This Row],[Sign]]="+",1,-1)*(IF(PptoSty[[#This Row],[POvsCT]]="PO",SUM(_xlfn.CHOOSECOLS(_xlfn._xlws.FILTER(F_RT14[],(IF($M135="X",TRUE,F_RT14[Site]=$M135))*(F_RT14[Measure]=Z$4)*(F_RT14[PrjId]=PptoSty[[#This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35" s="412"/>
      <c r="AB135" s="412"/>
      <c r="AC135" s="412"/>
      <c r="AG135"/>
      <c r="AH135"/>
      <c r="AI135"/>
      <c r="AK135" s="113"/>
      <c r="AO135"/>
      <c r="AP135"/>
      <c r="AZ135" s="175"/>
      <c r="BA135" s="175"/>
      <c r="BE135"/>
      <c r="BF135"/>
      <c r="DG135" s="175"/>
      <c r="DH135" s="175"/>
      <c r="DI135" s="175"/>
      <c r="DL135" s="108"/>
      <c r="DM135" s="366" t="str" cm="1">
        <f t="array" aca="1" ref="DM13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DN135:DO135</v>
      </c>
      <c r="DN135" s="177" t="s">
        <v>375</v>
      </c>
      <c r="DO135" s="177" t="str" cm="1">
        <f t="array" aca="1" ref="DO13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35" s="177"/>
      <c r="DQ135" s="177"/>
      <c r="DR135" s="177"/>
      <c r="DS135" s="177"/>
      <c r="DT135" s="177"/>
      <c r="DU135" s="177"/>
      <c r="DV135" s="177"/>
      <c r="DW135" s="177"/>
      <c r="DX135" s="177"/>
      <c r="DY135" s="177"/>
      <c r="DZ135" s="177"/>
      <c r="EA135" s="177"/>
      <c r="EB135" s="177"/>
      <c r="EC135" s="177"/>
      <c r="ED135" s="177"/>
    </row>
    <row r="136" spans="3:134" ht="13" customHeight="1">
      <c r="C136" s="200">
        <v>45231</v>
      </c>
      <c r="D136" s="213" t="s">
        <v>2114</v>
      </c>
      <c r="E136" s="213" t="s">
        <v>1711</v>
      </c>
      <c r="F136" s="219">
        <v>13</v>
      </c>
      <c r="G136" s="201" t="s">
        <v>1416</v>
      </c>
      <c r="H136" s="202" t="s">
        <v>375</v>
      </c>
      <c r="I136" s="339" t="str" cm="1">
        <f t="array" aca="1" ref="I13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36" s="203" t="str" cm="1">
        <f t="array" ref="J136">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Hrs</v>
      </c>
      <c r="K136" s="96" t="s">
        <v>375</v>
      </c>
      <c r="L136" s="96" t="s">
        <v>380</v>
      </c>
      <c r="M136" s="96" t="s">
        <v>375</v>
      </c>
      <c r="N136" s="96" t="str" cm="1">
        <f t="array" ref="N136">IF(OR(PptoSty[[#This Row],[Project]]="",PptoSty[[#This Row],[Project]]="X"),"X",_xlfn._xlws.FILTER(TbAssign[RowId],(TbAssign[Project]=PptoSty[[#This Row],[Project]])*(TbAssign[Módulo]=PptoSty[[#This Row],[PptoVsRow]]),"X"))</f>
        <v>XC02</v>
      </c>
      <c r="O136" s="96" t="str" cm="1">
        <f t="array" ref="O136">IF(OR(PptoSty[[#This Row],[Project]]="",PptoSty[[#This Row],[Project]]="X"),"X",_xlfn.UNIQUE(_xlfn._xlws.FILTER(F_RT14[Amortz.],(F_RT14[Measure]="CurPpto")*(F_RT14[PrjId]=PptoSty[[#This Row],[Project]])*(F_RT14[Vrs]=PptoSty[[#This Row],[Vrs]])*(_xlfn.TEXTAFTER(F_RT14[ActGrp],":")=PptoSty[[#This Row],[PiRow]]),"X")))</f>
        <v>X</v>
      </c>
      <c r="P136" s="96" t="s">
        <v>1473</v>
      </c>
      <c r="Q136" s="96" t="s">
        <v>1667</v>
      </c>
      <c r="R136" s="204" t="s">
        <v>403</v>
      </c>
      <c r="S136" s="204">
        <v>1</v>
      </c>
      <c r="T136" s="205" t="str" cm="1">
        <f t="array" aca="1" ref="T13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36" s="206" t="str" cm="1">
        <f t="array" aca="1" ref="U136" ca="1">IFERROR((1/PptoSty[[#This Row],[Division]])*IF(PptoSty[[#This Row],[Sign]]="+",1,-1)*(IF(PptoSty[[#This Row],[POvsCT]]="PO",SUM(_xlfn.CHOOSECOLS(_xlfn._xlws.FILTER(F_RT14[],(IF($M136="X",TRUE,F_RT14[Site]=$M136))*(F_RT14[Measure]=U$4)*(F_RT14[PrjId]=PptoSty[[#This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36" s="206" cm="1">
        <f t="array" aca="1" ref="V136" ca="1">IFERROR((1/PptoSty[[#This Row],[Division]])*IF(PptoSty[[#This Row],[Sign]]="+",1,-1)*(IF(PptoSty[[#This Row],[POvsCT]]="PO",SUM(_xlfn.CHOOSECOLS(_xlfn._xlws.FILTER(F_RT14[],(IF($M136="X",TRUE,F_RT14[Site]=$M136))*(F_RT14[Measure]=V$4)*(F_RT14[PrjId]=PptoSty[[#This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36" s="206" cm="1">
        <f t="array" aca="1" ref="W136" ca="1">IFERROR((1/PptoSty[[#This Row],[Division]])*IF(PptoSty[[#This Row],[Sign]]="+",1,-1)*(IF(PptoSty[[#This Row],[POvsCT]]="PO",SUM(_xlfn.CHOOSECOLS(_xlfn._xlws.FILTER(F_RT14[],(IF($M136="X",TRUE,F_RT14[Site]=$M136))*(F_RT14[Measure]=W$4)*(F_RT14[PrjId]=PptoSty[[#This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36" s="338" t="str" cm="1">
        <f t="array" aca="1" ref="X136" ca="1">IFERROR(IF(PptoSty[[#This Row],[Nature]]&lt;&gt;"Hrs",0,(1/PptoSty[[#This Row],[Division]])*IF(PptoSty[[#This Row],[Sign]]="+",1,-1)*(IF(PptoSty[[#This Row],[POvsCT]]="PO",SUM(_xlfn.CHOOSECOLS(_xlfn._xlws.FILTER(F_RT14[],(IF($M136="X",TRUE,F_RT14[Site]=$M136))*(F_RT14[Measure]=X$4)*(F_RT14[PrjId]=PptoSty[[#This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136" s="338" cm="1">
        <f t="array" aca="1" ref="Y136" ca="1">IFERROR(IF(PptoSty[[#This Row],[Nature]]&lt;&gt;"Hrs",0,(1/PptoSty[[#This Row],[Division]])*IF(PptoSty[[#This Row],[Sign]]="+",1,-1)*(IF(PptoSty[[#This Row],[POvsCT]]="PO",SUM(_xlfn.CHOOSECOLS(_xlfn._xlws.FILTER(F_RT14[],(IF($M136="X",TRUE,F_RT14[Site]=$M136))*(F_RT14[Measure]=Y$4)*(F_RT14[PrjId]=PptoSty[[#This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36" s="338" cm="1">
        <f t="array" aca="1" ref="Z136" ca="1">IFERROR(IF(PptoSty[[#This Row],[Nature]]&lt;&gt;"Hrs",0,(1/PptoSty[[#This Row],[Division]])*IF(PptoSty[[#This Row],[Sign]]="+",1,-1)*(IF(PptoSty[[#This Row],[POvsCT]]="PO",SUM(_xlfn.CHOOSECOLS(_xlfn._xlws.FILTER(F_RT14[],(IF($M136="X",TRUE,F_RT14[Site]=$M136))*(F_RT14[Measure]=Z$4)*(F_RT14[PrjId]=PptoSty[[#This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36" s="412"/>
      <c r="AB136" s="412"/>
      <c r="AC136" s="412"/>
      <c r="AG136"/>
      <c r="AH136"/>
      <c r="AI136"/>
      <c r="AK136" s="113"/>
      <c r="AO136"/>
      <c r="AP136"/>
      <c r="AZ136" s="175"/>
      <c r="BA136" s="175"/>
      <c r="BE136"/>
      <c r="BF136"/>
      <c r="DG136" s="175"/>
      <c r="DH136" s="175"/>
      <c r="DI136" s="175"/>
      <c r="DL136" s="108"/>
      <c r="DM136" s="366" t="str" cm="1">
        <f t="array" aca="1" ref="DM13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DN136:DO136</v>
      </c>
      <c r="DN136" s="177" t="s">
        <v>375</v>
      </c>
      <c r="DO136" s="177" t="str" cm="1">
        <f t="array" aca="1" ref="DO13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36" s="177"/>
      <c r="DQ136" s="177"/>
      <c r="DR136" s="177"/>
      <c r="DS136" s="177"/>
      <c r="DT136" s="177"/>
      <c r="DU136" s="177"/>
      <c r="DV136" s="177"/>
      <c r="DW136" s="177"/>
      <c r="DX136" s="177"/>
      <c r="DY136" s="177"/>
      <c r="DZ136" s="177"/>
      <c r="EA136" s="177"/>
      <c r="EB136" s="177"/>
      <c r="EC136" s="177"/>
      <c r="ED136" s="177"/>
    </row>
    <row r="137" spans="3:134" ht="13" customHeight="1">
      <c r="C137" s="200">
        <v>45231</v>
      </c>
      <c r="D137" s="213" t="s">
        <v>2114</v>
      </c>
      <c r="E137" s="213" t="s">
        <v>1711</v>
      </c>
      <c r="F137" s="219">
        <v>13</v>
      </c>
      <c r="G137" s="201" t="s">
        <v>1416</v>
      </c>
      <c r="H137" s="202" t="s">
        <v>375</v>
      </c>
      <c r="I137" s="339" t="str" cm="1">
        <f t="array" aca="1" ref="I13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37" s="203" t="str" cm="1">
        <f t="array" ref="J137">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Hrs</v>
      </c>
      <c r="K137" s="96" t="s">
        <v>375</v>
      </c>
      <c r="L137" s="96" t="s">
        <v>373</v>
      </c>
      <c r="M137" s="96" t="s">
        <v>375</v>
      </c>
      <c r="N137" s="96" t="str" cm="1">
        <f t="array" ref="N137">IF(OR(PptoSty[[#This Row],[Project]]="",PptoSty[[#This Row],[Project]]="X"),"X",_xlfn._xlws.FILTER(TbAssign[RowId],(TbAssign[Project]=PptoSty[[#This Row],[Project]])*(TbAssign[Módulo]=PptoSty[[#This Row],[PptoVsRow]]),"X"))</f>
        <v>XC02</v>
      </c>
      <c r="O137" s="96" t="str" cm="1">
        <f t="array" ref="O137">IF(OR(PptoSty[[#This Row],[Project]]="",PptoSty[[#This Row],[Project]]="X"),"X",_xlfn.UNIQUE(_xlfn._xlws.FILTER(F_RT14[Amortz.],(F_RT14[Measure]="CurPpto")*(F_RT14[PrjId]=PptoSty[[#This Row],[Project]])*(F_RT14[Vrs]=PptoSty[[#This Row],[Vrs]])*(_xlfn.TEXTAFTER(F_RT14[ActGrp],":")=PptoSty[[#This Row],[PiRow]]),"X")))</f>
        <v>X</v>
      </c>
      <c r="P137" s="96" t="s">
        <v>1473</v>
      </c>
      <c r="Q137" s="96" t="s">
        <v>1667</v>
      </c>
      <c r="R137" s="204" t="s">
        <v>403</v>
      </c>
      <c r="S137" s="204">
        <v>1</v>
      </c>
      <c r="T137" s="205" t="str" cm="1">
        <f t="array" aca="1" ref="T13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37" s="206" t="str" cm="1">
        <f t="array" aca="1" ref="U137" ca="1">IFERROR((1/PptoSty[[#This Row],[Division]])*IF(PptoSty[[#This Row],[Sign]]="+",1,-1)*(IF(PptoSty[[#This Row],[POvsCT]]="PO",SUM(_xlfn.CHOOSECOLS(_xlfn._xlws.FILTER(F_RT14[],(IF($M137="X",TRUE,F_RT14[Site]=$M137))*(F_RT14[Measure]=U$4)*(F_RT14[PrjId]=PptoSty[[#This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37" s="206" cm="1">
        <f t="array" aca="1" ref="V137" ca="1">IFERROR((1/PptoSty[[#This Row],[Division]])*IF(PptoSty[[#This Row],[Sign]]="+",1,-1)*(IF(PptoSty[[#This Row],[POvsCT]]="PO",SUM(_xlfn.CHOOSECOLS(_xlfn._xlws.FILTER(F_RT14[],(IF($M137="X",TRUE,F_RT14[Site]=$M137))*(F_RT14[Measure]=V$4)*(F_RT14[PrjId]=PptoSty[[#This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37" s="206" cm="1">
        <f t="array" aca="1" ref="W137" ca="1">IFERROR((1/PptoSty[[#This Row],[Division]])*IF(PptoSty[[#This Row],[Sign]]="+",1,-1)*(IF(PptoSty[[#This Row],[POvsCT]]="PO",SUM(_xlfn.CHOOSECOLS(_xlfn._xlws.FILTER(F_RT14[],(IF($M137="X",TRUE,F_RT14[Site]=$M137))*(F_RT14[Measure]=W$4)*(F_RT14[PrjId]=PptoSty[[#This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37" s="338" t="str" cm="1">
        <f t="array" aca="1" ref="X137" ca="1">IFERROR(IF(PptoSty[[#This Row],[Nature]]&lt;&gt;"Hrs",0,(1/PptoSty[[#This Row],[Division]])*IF(PptoSty[[#This Row],[Sign]]="+",1,-1)*(IF(PptoSty[[#This Row],[POvsCT]]="PO",SUM(_xlfn.CHOOSECOLS(_xlfn._xlws.FILTER(F_RT14[],(IF($M137="X",TRUE,F_RT14[Site]=$M137))*(F_RT14[Measure]=X$4)*(F_RT14[PrjId]=PptoSty[[#This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137" s="338" cm="1">
        <f t="array" aca="1" ref="Y137" ca="1">IFERROR(IF(PptoSty[[#This Row],[Nature]]&lt;&gt;"Hrs",0,(1/PptoSty[[#This Row],[Division]])*IF(PptoSty[[#This Row],[Sign]]="+",1,-1)*(IF(PptoSty[[#This Row],[POvsCT]]="PO",SUM(_xlfn.CHOOSECOLS(_xlfn._xlws.FILTER(F_RT14[],(IF($M137="X",TRUE,F_RT14[Site]=$M137))*(F_RT14[Measure]=Y$4)*(F_RT14[PrjId]=PptoSty[[#This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37" s="338" cm="1">
        <f t="array" aca="1" ref="Z137" ca="1">IFERROR(IF(PptoSty[[#This Row],[Nature]]&lt;&gt;"Hrs",0,(1/PptoSty[[#This Row],[Division]])*IF(PptoSty[[#This Row],[Sign]]="+",1,-1)*(IF(PptoSty[[#This Row],[POvsCT]]="PO",SUM(_xlfn.CHOOSECOLS(_xlfn._xlws.FILTER(F_RT14[],(IF($M137="X",TRUE,F_RT14[Site]=$M137))*(F_RT14[Measure]=Z$4)*(F_RT14[PrjId]=PptoSty[[#This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37" s="412"/>
      <c r="AB137" s="412"/>
      <c r="AC137" s="412"/>
      <c r="AG137"/>
      <c r="AH137"/>
      <c r="AI137"/>
      <c r="AK137" s="113"/>
      <c r="AO137"/>
      <c r="AP137"/>
      <c r="AZ137" s="175"/>
      <c r="BA137" s="175"/>
      <c r="BE137"/>
      <c r="BF137"/>
      <c r="DG137" s="175"/>
      <c r="DH137" s="175"/>
      <c r="DI137" s="175"/>
      <c r="DL137" s="108"/>
      <c r="DM137" s="366" t="str" cm="1">
        <f t="array" aca="1" ref="DM13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DN137:DO137</v>
      </c>
      <c r="DN137" s="177" t="s">
        <v>375</v>
      </c>
      <c r="DO137" s="177" t="str" cm="1">
        <f t="array" aca="1" ref="DO13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37" s="177"/>
      <c r="DQ137" s="177"/>
      <c r="DR137" s="177"/>
      <c r="DS137" s="177"/>
      <c r="DT137" s="177"/>
      <c r="DU137" s="177"/>
      <c r="DV137" s="177"/>
      <c r="DW137" s="177"/>
      <c r="DX137" s="177"/>
      <c r="DY137" s="177"/>
      <c r="DZ137" s="177"/>
      <c r="EA137" s="177"/>
      <c r="EB137" s="177"/>
      <c r="EC137" s="177"/>
      <c r="ED137" s="177"/>
    </row>
    <row r="138" spans="3:134" ht="13" customHeight="1">
      <c r="C138" s="200">
        <v>45231</v>
      </c>
      <c r="D138" s="213" t="s">
        <v>2114</v>
      </c>
      <c r="E138" s="213" t="s">
        <v>1711</v>
      </c>
      <c r="F138" s="219">
        <v>13</v>
      </c>
      <c r="G138" s="201" t="s">
        <v>1416</v>
      </c>
      <c r="H138" s="202" t="s">
        <v>375</v>
      </c>
      <c r="I138" s="339" t="str" cm="1">
        <f t="array" aca="1" ref="I13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38" s="203" t="str" cm="1">
        <f t="array" ref="J138">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Gto</v>
      </c>
      <c r="K138" s="96" t="s">
        <v>375</v>
      </c>
      <c r="L138" s="96" t="s">
        <v>386</v>
      </c>
      <c r="M138" s="96" t="s">
        <v>375</v>
      </c>
      <c r="N138" s="96" t="str" cm="1">
        <f t="array" ref="N138">IF(OR(PptoSty[[#This Row],[Project]]="",PptoSty[[#This Row],[Project]]="X"),"X",_xlfn._xlws.FILTER(TbAssign[RowId],(TbAssign[Project]=PptoSty[[#This Row],[Project]])*(TbAssign[Módulo]=PptoSty[[#This Row],[PptoVsRow]]),"X"))</f>
        <v>XF02</v>
      </c>
      <c r="O138" s="96" t="str" cm="1">
        <f t="array" ref="O138">IF(OR(PptoSty[[#This Row],[Project]]="",PptoSty[[#This Row],[Project]]="X"),"X",_xlfn.UNIQUE(_xlfn._xlws.FILTER(F_RT14[Amortz.],(F_RT14[Measure]="CurPpto")*(F_RT14[PrjId]=PptoSty[[#This Row],[Project]])*(F_RT14[Vrs]=PptoSty[[#This Row],[Vrs]])*(_xlfn.TEXTAFTER(F_RT14[ActGrp],":")=PptoSty[[#This Row],[PiRow]]),"X")))</f>
        <v>X</v>
      </c>
      <c r="P138" s="96" t="s">
        <v>300</v>
      </c>
      <c r="Q138" s="96" t="s">
        <v>386</v>
      </c>
      <c r="R138" s="204" t="s">
        <v>403</v>
      </c>
      <c r="S138" s="204">
        <v>1</v>
      </c>
      <c r="T138" s="205" t="str" cm="1">
        <f t="array" aca="1" ref="T13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38" s="206" t="str" cm="1">
        <f t="array" aca="1" ref="U138" ca="1">IFERROR((1/PptoSty[[#This Row],[Division]])*IF(PptoSty[[#This Row],[Sign]]="+",1,-1)*(IF(PptoSty[[#This Row],[POvsCT]]="PO",SUM(_xlfn.CHOOSECOLS(_xlfn._xlws.FILTER(F_RT14[],(IF($M138="X",TRUE,F_RT14[Site]=$M138))*(F_RT14[Measure]=U$4)*(F_RT14[PrjId]=PptoSty[[#This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38" s="206" cm="1">
        <f t="array" aca="1" ref="V138" ca="1">IFERROR((1/PptoSty[[#This Row],[Division]])*IF(PptoSty[[#This Row],[Sign]]="+",1,-1)*(IF(PptoSty[[#This Row],[POvsCT]]="PO",SUM(_xlfn.CHOOSECOLS(_xlfn._xlws.FILTER(F_RT14[],(IF($M138="X",TRUE,F_RT14[Site]=$M138))*(F_RT14[Measure]=V$4)*(F_RT14[PrjId]=PptoSty[[#This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38" s="206" cm="1">
        <f t="array" aca="1" ref="W138" ca="1">IFERROR((1/PptoSty[[#This Row],[Division]])*IF(PptoSty[[#This Row],[Sign]]="+",1,-1)*(IF(PptoSty[[#This Row],[POvsCT]]="PO",SUM(_xlfn.CHOOSECOLS(_xlfn._xlws.FILTER(F_RT14[],(IF($M138="X",TRUE,F_RT14[Site]=$M138))*(F_RT14[Measure]=W$4)*(F_RT14[PrjId]=PptoSty[[#This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38" s="338" cm="1">
        <f t="array" ref="X138">IFERROR(IF(PptoSty[[#This Row],[Nature]]&lt;&gt;"Hrs",0,(1/PptoSty[[#This Row],[Division]])*IF(PptoSty[[#This Row],[Sign]]="+",1,-1)*(IF(PptoSty[[#This Row],[POvsCT]]="PO",SUM(_xlfn.CHOOSECOLS(_xlfn._xlws.FILTER(F_RT14[],(IF($M138="X",TRUE,F_RT14[Site]=$M138))*(F_RT14[Measure]=X$4)*(F_RT14[PrjId]=PptoSty[[#This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38" s="338" cm="1">
        <f t="array" ref="Y138">IFERROR(IF(PptoSty[[#This Row],[Nature]]&lt;&gt;"Hrs",0,(1/PptoSty[[#This Row],[Division]])*IF(PptoSty[[#This Row],[Sign]]="+",1,-1)*(IF(PptoSty[[#This Row],[POvsCT]]="PO",SUM(_xlfn.CHOOSECOLS(_xlfn._xlws.FILTER(F_RT14[],(IF($M138="X",TRUE,F_RT14[Site]=$M138))*(F_RT14[Measure]=Y$4)*(F_RT14[PrjId]=PptoSty[[#This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38" s="338" cm="1">
        <f t="array" ref="Z138">IFERROR(IF(PptoSty[[#This Row],[Nature]]&lt;&gt;"Hrs",0,(1/PptoSty[[#This Row],[Division]])*IF(PptoSty[[#This Row],[Sign]]="+",1,-1)*(IF(PptoSty[[#This Row],[POvsCT]]="PO",SUM(_xlfn.CHOOSECOLS(_xlfn._xlws.FILTER(F_RT14[],(IF($M138="X",TRUE,F_RT14[Site]=$M138))*(F_RT14[Measure]=Z$4)*(F_RT14[PrjId]=PptoSty[[#This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38" s="412"/>
      <c r="AB138" s="412"/>
      <c r="AC138" s="412"/>
      <c r="AG138"/>
      <c r="AH138"/>
      <c r="AI138"/>
      <c r="AK138" s="113"/>
      <c r="AO138"/>
      <c r="AP138"/>
      <c r="AZ138" s="175"/>
      <c r="BA138" s="175"/>
      <c r="BE138"/>
      <c r="BF138"/>
      <c r="DG138" s="175"/>
      <c r="DH138" s="175"/>
      <c r="DI138" s="175"/>
      <c r="DL138" s="108"/>
      <c r="DM138" s="366" t="str" cm="1">
        <f t="array" aca="1" ref="DM13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DN138:DO138</v>
      </c>
      <c r="DN138" s="177" t="s">
        <v>375</v>
      </c>
      <c r="DO138" s="177" t="str" cm="1">
        <f t="array" aca="1" ref="DO13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38" s="177"/>
      <c r="DQ138" s="177"/>
      <c r="DR138" s="177"/>
      <c r="DS138" s="177"/>
      <c r="DT138" s="177"/>
      <c r="DU138" s="177"/>
      <c r="DV138" s="177"/>
      <c r="DW138" s="177"/>
      <c r="DX138" s="177"/>
      <c r="DY138" s="177"/>
      <c r="DZ138" s="177"/>
      <c r="EA138" s="177"/>
      <c r="EB138" s="177"/>
      <c r="EC138" s="177"/>
      <c r="ED138" s="177"/>
    </row>
    <row r="139" spans="3:134" ht="13" customHeight="1">
      <c r="C139" s="200">
        <v>45594</v>
      </c>
      <c r="D139" s="213" t="s">
        <v>2114</v>
      </c>
      <c r="E139" s="200" t="s">
        <v>1711</v>
      </c>
      <c r="F139" s="220">
        <v>12</v>
      </c>
      <c r="G139" s="201" t="s">
        <v>1416</v>
      </c>
      <c r="H139" s="202" t="s">
        <v>375</v>
      </c>
      <c r="I139" s="339" t="str" cm="1">
        <f t="array" aca="1" ref="I13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39" s="203" t="str" cm="1">
        <f t="array" ref="J139">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Mat</v>
      </c>
      <c r="K139" s="96" t="s">
        <v>375</v>
      </c>
      <c r="L139" s="96" t="s">
        <v>374</v>
      </c>
      <c r="M139" s="96" t="s">
        <v>375</v>
      </c>
      <c r="N139" s="96" t="str" cm="1">
        <f t="array" ref="N139">IF(OR(PptoSty[[#This Row],[Project]]="",PptoSty[[#This Row],[Project]]="X"),"X",_xlfn._xlws.FILTER(TbAssign[RowId],(TbAssign[Project]=PptoSty[[#This Row],[Project]])*(TbAssign[Módulo]=PptoSty[[#This Row],[PptoVsRow]]),"X"))</f>
        <v>XC02</v>
      </c>
      <c r="O139" s="96" t="str" cm="1">
        <f t="array" ref="O139">IF(OR(PptoSty[[#This Row],[Project]]="",PptoSty[[#This Row],[Project]]="X"),"X",_xlfn.UNIQUE(_xlfn._xlws.FILTER(F_RT14[Amortz.],(F_RT14[Measure]="CurPpto")*(F_RT14[PrjId]=PptoSty[[#This Row],[Project]])*(F_RT14[Vrs]=PptoSty[[#This Row],[Vrs]])*(_xlfn.TEXTAFTER(F_RT14[ActGrp],":")=PptoSty[[#This Row],[PiRow]]),"X")))</f>
        <v>X</v>
      </c>
      <c r="P139" s="96" t="s">
        <v>1473</v>
      </c>
      <c r="Q139" s="96" t="s">
        <v>1667</v>
      </c>
      <c r="R139" s="204" t="s">
        <v>403</v>
      </c>
      <c r="S139" s="204">
        <v>1</v>
      </c>
      <c r="T139" s="205" t="str" cm="1">
        <f t="array" aca="1" ref="T13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39" s="206" t="str" cm="1">
        <f t="array" aca="1" ref="U139" ca="1">IFERROR((1/PptoSty[[#This Row],[Division]])*IF(PptoSty[[#This Row],[Sign]]="+",1,-1)*(IF(PptoSty[[#This Row],[POvsCT]]="PO",SUM(_xlfn.CHOOSECOLS(_xlfn._xlws.FILTER(F_RT14[],(IF($M139="X",TRUE,F_RT14[Site]=$M139))*(F_RT14[Measure]=U$4)*(F_RT14[PrjId]=PptoSty[[#This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39" s="206" cm="1">
        <f t="array" aca="1" ref="V139" ca="1">IFERROR((1/PptoSty[[#This Row],[Division]])*IF(PptoSty[[#This Row],[Sign]]="+",1,-1)*(IF(PptoSty[[#This Row],[POvsCT]]="PO",SUM(_xlfn.CHOOSECOLS(_xlfn._xlws.FILTER(F_RT14[],(IF($M139="X",TRUE,F_RT14[Site]=$M139))*(F_RT14[Measure]=V$4)*(F_RT14[PrjId]=PptoSty[[#This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39" s="206" cm="1">
        <f t="array" aca="1" ref="W139" ca="1">IFERROR((1/PptoSty[[#This Row],[Division]])*IF(PptoSty[[#This Row],[Sign]]="+",1,-1)*(IF(PptoSty[[#This Row],[POvsCT]]="PO",SUM(_xlfn.CHOOSECOLS(_xlfn._xlws.FILTER(F_RT14[],(IF($M139="X",TRUE,F_RT14[Site]=$M139))*(F_RT14[Measure]=W$4)*(F_RT14[PrjId]=PptoSty[[#This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39" s="338" cm="1">
        <f t="array" ref="X139">IFERROR(IF(PptoSty[[#This Row],[Nature]]&lt;&gt;"Hrs",0,(1/PptoSty[[#This Row],[Division]])*IF(PptoSty[[#This Row],[Sign]]="+",1,-1)*(IF(PptoSty[[#This Row],[POvsCT]]="PO",SUM(_xlfn.CHOOSECOLS(_xlfn._xlws.FILTER(F_RT14[],(IF($M139="X",TRUE,F_RT14[Site]=$M139))*(F_RT14[Measure]=X$4)*(F_RT14[PrjId]=PptoSty[[#This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39" s="338" cm="1">
        <f t="array" ref="Y139">IFERROR(IF(PptoSty[[#This Row],[Nature]]&lt;&gt;"Hrs",0,(1/PptoSty[[#This Row],[Division]])*IF(PptoSty[[#This Row],[Sign]]="+",1,-1)*(IF(PptoSty[[#This Row],[POvsCT]]="PO",SUM(_xlfn.CHOOSECOLS(_xlfn._xlws.FILTER(F_RT14[],(IF($M139="X",TRUE,F_RT14[Site]=$M139))*(F_RT14[Measure]=Y$4)*(F_RT14[PrjId]=PptoSty[[#This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39" s="338" cm="1">
        <f t="array" ref="Z139">IFERROR(IF(PptoSty[[#This Row],[Nature]]&lt;&gt;"Hrs",0,(1/PptoSty[[#This Row],[Division]])*IF(PptoSty[[#This Row],[Sign]]="+",1,-1)*(IF(PptoSty[[#This Row],[POvsCT]]="PO",SUM(_xlfn.CHOOSECOLS(_xlfn._xlws.FILTER(F_RT14[],(IF($M139="X",TRUE,F_RT14[Site]=$M139))*(F_RT14[Measure]=Z$4)*(F_RT14[PrjId]=PptoSty[[#This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39" s="412"/>
      <c r="AB139" s="412"/>
      <c r="AC139" s="412"/>
      <c r="AG139"/>
      <c r="AH139"/>
      <c r="AI139"/>
      <c r="AK139" s="113"/>
      <c r="AO139"/>
      <c r="AP139"/>
      <c r="AZ139" s="175"/>
      <c r="BA139" s="175"/>
      <c r="BE139"/>
      <c r="BF139"/>
      <c r="DG139" s="175"/>
      <c r="DH139" s="175"/>
      <c r="DI139" s="175"/>
      <c r="DL139" s="108"/>
      <c r="DM139" s="366" t="str" cm="1">
        <f t="array" aca="1" ref="DM139"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DN139:DO139</v>
      </c>
      <c r="DN139" s="177" t="s">
        <v>375</v>
      </c>
      <c r="DO139" s="177" t="str" cm="1">
        <f t="array" aca="1" ref="DO139"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39" s="177"/>
      <c r="DQ139" s="177"/>
      <c r="DR139" s="177"/>
      <c r="DS139" s="177"/>
      <c r="DT139" s="177"/>
      <c r="DU139" s="177"/>
      <c r="DV139" s="177"/>
      <c r="DW139" s="177"/>
      <c r="DX139" s="177"/>
      <c r="DY139" s="177"/>
      <c r="DZ139" s="177"/>
      <c r="EA139" s="177"/>
      <c r="EB139" s="177"/>
      <c r="EC139" s="177"/>
      <c r="ED139" s="177"/>
    </row>
    <row r="140" spans="3:134" ht="13" customHeight="1">
      <c r="C140" s="200">
        <v>45594</v>
      </c>
      <c r="D140" s="213" t="s">
        <v>2114</v>
      </c>
      <c r="E140" s="200" t="s">
        <v>1711</v>
      </c>
      <c r="F140" s="220">
        <v>5</v>
      </c>
      <c r="G140" s="201" t="s">
        <v>1416</v>
      </c>
      <c r="H140" s="202" t="s">
        <v>375</v>
      </c>
      <c r="I140" s="339" t="str" cm="1">
        <f t="array" aca="1" ref="I14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40" s="203" t="str" cm="1">
        <f t="array" ref="J140">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Hrs</v>
      </c>
      <c r="K140" s="96" t="s">
        <v>375</v>
      </c>
      <c r="L140" s="96" t="s">
        <v>1645</v>
      </c>
      <c r="M140" s="96" t="s">
        <v>375</v>
      </c>
      <c r="N140" s="96" t="str" cm="1">
        <f t="array" ref="N140">IF(OR(PptoSty[[#This Row],[Project]]="",PptoSty[[#This Row],[Project]]="X"),"X",_xlfn._xlws.FILTER(TbAssign[RowId],(TbAssign[Project]=PptoSty[[#This Row],[Project]])*(TbAssign[Módulo]=PptoSty[[#This Row],[PptoVsRow]]),"X"))</f>
        <v>XD02</v>
      </c>
      <c r="O140" s="96" t="str" cm="1">
        <f t="array" ref="O140">IF(OR(PptoSty[[#This Row],[Project]]="",PptoSty[[#This Row],[Project]]="X"),"X",_xlfn.UNIQUE(_xlfn._xlws.FILTER(F_RT14[Amortz.],(F_RT14[Measure]="CurPpto")*(F_RT14[PrjId]=PptoSty[[#This Row],[Project]])*(F_RT14[Vrs]=PptoSty[[#This Row],[Vrs]])*(_xlfn.TEXTAFTER(F_RT14[ActGrp],":")=PptoSty[[#This Row],[PiRow]]),"X")))</f>
        <v>X</v>
      </c>
      <c r="P140" s="96" t="s">
        <v>1475</v>
      </c>
      <c r="Q140" s="96" t="s">
        <v>389</v>
      </c>
      <c r="R140" s="204" t="s">
        <v>403</v>
      </c>
      <c r="S140" s="204">
        <v>1</v>
      </c>
      <c r="T140" s="205" t="str" cm="1">
        <f t="array" aca="1" ref="T14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40" s="206" t="str" cm="1">
        <f t="array" aca="1" ref="U140" ca="1">IFERROR((1/PptoSty[[#This Row],[Division]])*IF(PptoSty[[#This Row],[Sign]]="+",1,-1)*(IF(PptoSty[[#This Row],[POvsCT]]="PO",SUM(_xlfn.CHOOSECOLS(_xlfn._xlws.FILTER(F_RT14[],(IF($M140="X",TRUE,F_RT14[Site]=$M140))*(F_RT14[Measure]=U$4)*(F_RT14[PrjId]=PptoSty[[#This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40" s="206" cm="1">
        <f t="array" aca="1" ref="V140" ca="1">IFERROR((1/PptoSty[[#This Row],[Division]])*IF(PptoSty[[#This Row],[Sign]]="+",1,-1)*(IF(PptoSty[[#This Row],[POvsCT]]="PO",SUM(_xlfn.CHOOSECOLS(_xlfn._xlws.FILTER(F_RT14[],(IF($M140="X",TRUE,F_RT14[Site]=$M140))*(F_RT14[Measure]=V$4)*(F_RT14[PrjId]=PptoSty[[#This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40" s="206" cm="1">
        <f t="array" aca="1" ref="W140" ca="1">IFERROR((1/PptoSty[[#This Row],[Division]])*IF(PptoSty[[#This Row],[Sign]]="+",1,-1)*(IF(PptoSty[[#This Row],[POvsCT]]="PO",SUM(_xlfn.CHOOSECOLS(_xlfn._xlws.FILTER(F_RT14[],(IF($M140="X",TRUE,F_RT14[Site]=$M140))*(F_RT14[Measure]=W$4)*(F_RT14[PrjId]=PptoSty[[#This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40" s="338" t="str" cm="1">
        <f t="array" aca="1" ref="X140" ca="1">IFERROR(IF(PptoSty[[#This Row],[Nature]]&lt;&gt;"Hrs",0,(1/PptoSty[[#This Row],[Division]])*IF(PptoSty[[#This Row],[Sign]]="+",1,-1)*(IF(PptoSty[[#This Row],[POvsCT]]="PO",SUM(_xlfn.CHOOSECOLS(_xlfn._xlws.FILTER(F_RT14[],(IF($M140="X",TRUE,F_RT14[Site]=$M140))*(F_RT14[Measure]=X$4)*(F_RT14[PrjId]=PptoSty[[#This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X</v>
      </c>
      <c r="Y140" s="338" cm="1">
        <f t="array" aca="1" ref="Y140" ca="1">IFERROR(IF(PptoSty[[#This Row],[Nature]]&lt;&gt;"Hrs",0,(1/PptoSty[[#This Row],[Division]])*IF(PptoSty[[#This Row],[Sign]]="+",1,-1)*(IF(PptoSty[[#This Row],[POvsCT]]="PO",SUM(_xlfn.CHOOSECOLS(_xlfn._xlws.FILTER(F_RT14[],(IF($M140="X",TRUE,F_RT14[Site]=$M140))*(F_RT14[Measure]=Y$4)*(F_RT14[PrjId]=PptoSty[[#This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40" s="338" cm="1">
        <f t="array" aca="1" ref="Z140" ca="1">IFERROR(IF(PptoSty[[#This Row],[Nature]]&lt;&gt;"Hrs",0,(1/PptoSty[[#This Row],[Division]])*IF(PptoSty[[#This Row],[Sign]]="+",1,-1)*(IF(PptoSty[[#This Row],[POvsCT]]="PO",SUM(_xlfn.CHOOSECOLS(_xlfn._xlws.FILTER(F_RT14[],(IF($M140="X",TRUE,F_RT14[Site]=$M140))*(F_RT14[Measure]=Z$4)*(F_RT14[PrjId]=PptoSty[[#This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40" s="412"/>
      <c r="AB140" s="412"/>
      <c r="AC140" s="412"/>
      <c r="AG140"/>
      <c r="AH140"/>
      <c r="AI140"/>
      <c r="AK140" s="113"/>
      <c r="AO140"/>
      <c r="AP140"/>
      <c r="AZ140" s="175"/>
      <c r="BA140" s="175"/>
      <c r="BE140"/>
      <c r="BF140"/>
      <c r="DG140" s="175"/>
      <c r="DH140" s="175"/>
      <c r="DI140" s="175"/>
      <c r="DL140" s="108"/>
      <c r="DM140" s="366" t="str" cm="1">
        <f t="array" aca="1" ref="DM140"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DN140:DO140</v>
      </c>
      <c r="DN140" s="177" t="s">
        <v>375</v>
      </c>
      <c r="DO140" s="177" t="str" cm="1">
        <f t="array" aca="1" ref="DO140"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40" s="177"/>
      <c r="DQ140" s="177"/>
      <c r="DR140" s="177"/>
      <c r="DS140" s="177"/>
      <c r="DT140" s="177"/>
      <c r="DU140" s="177"/>
      <c r="DV140" s="177"/>
      <c r="DW140" s="177"/>
      <c r="DX140" s="177"/>
      <c r="DY140" s="177"/>
      <c r="DZ140" s="177"/>
      <c r="EA140" s="177"/>
      <c r="EB140" s="177"/>
      <c r="EC140" s="177"/>
      <c r="ED140" s="177"/>
    </row>
    <row r="141" spans="3:134" ht="13" customHeight="1">
      <c r="C141" s="200">
        <v>45594</v>
      </c>
      <c r="D141" s="213" t="s">
        <v>2114</v>
      </c>
      <c r="E141" s="200" t="s">
        <v>1711</v>
      </c>
      <c r="F141" s="220">
        <v>3</v>
      </c>
      <c r="G141" s="201" t="s">
        <v>1416</v>
      </c>
      <c r="H141" s="202" t="s">
        <v>375</v>
      </c>
      <c r="I141" s="339" t="str" cm="1">
        <f t="array" aca="1" ref="I14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41" s="203" t="str" cm="1">
        <f t="array" ref="J141">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Mat</v>
      </c>
      <c r="K141" s="96" t="s">
        <v>375</v>
      </c>
      <c r="L141" s="96" t="s">
        <v>1639</v>
      </c>
      <c r="M141" s="96" t="s">
        <v>375</v>
      </c>
      <c r="N141" s="96" t="str" cm="1">
        <f t="array" ref="N141">IF(OR(PptoSty[[#This Row],[Project]]="",PptoSty[[#This Row],[Project]]="X"),"X",_xlfn._xlws.FILTER(TbAssign[RowId],(TbAssign[Project]=PptoSty[[#This Row],[Project]])*(TbAssign[Módulo]=PptoSty[[#This Row],[PptoVsRow]]),"X"))</f>
        <v>XC02</v>
      </c>
      <c r="O141" s="96" t="str" cm="1">
        <f t="array" ref="O141">IF(OR(PptoSty[[#This Row],[Project]]="",PptoSty[[#This Row],[Project]]="X"),"X",_xlfn.UNIQUE(_xlfn._xlws.FILTER(F_RT14[Amortz.],(F_RT14[Measure]="CurPpto")*(F_RT14[PrjId]=PptoSty[[#This Row],[Project]])*(F_RT14[Vrs]=PptoSty[[#This Row],[Vrs]])*(_xlfn.TEXTAFTER(F_RT14[ActGrp],":")=PptoSty[[#This Row],[PiRow]]),"X")))</f>
        <v>X</v>
      </c>
      <c r="P141" s="96" t="s">
        <v>1473</v>
      </c>
      <c r="Q141" s="96" t="s">
        <v>1667</v>
      </c>
      <c r="R141" s="204" t="s">
        <v>403</v>
      </c>
      <c r="S141" s="204">
        <v>1</v>
      </c>
      <c r="T141" s="205" t="str" cm="1">
        <f t="array" aca="1" ref="T14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41" s="206" t="str" cm="1">
        <f t="array" aca="1" ref="U141" ca="1">IFERROR((1/PptoSty[[#This Row],[Division]])*IF(PptoSty[[#This Row],[Sign]]="+",1,-1)*(IF(PptoSty[[#This Row],[POvsCT]]="PO",SUM(_xlfn.CHOOSECOLS(_xlfn._xlws.FILTER(F_RT14[],(IF($M141="X",TRUE,F_RT14[Site]=$M141))*(F_RT14[Measure]=U$4)*(F_RT14[PrjId]=PptoSty[[#This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41" s="206" cm="1">
        <f t="array" aca="1" ref="V141" ca="1">IFERROR((1/PptoSty[[#This Row],[Division]])*IF(PptoSty[[#This Row],[Sign]]="+",1,-1)*(IF(PptoSty[[#This Row],[POvsCT]]="PO",SUM(_xlfn.CHOOSECOLS(_xlfn._xlws.FILTER(F_RT14[],(IF($M141="X",TRUE,F_RT14[Site]=$M141))*(F_RT14[Measure]=V$4)*(F_RT14[PrjId]=PptoSty[[#This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41" s="206" cm="1">
        <f t="array" aca="1" ref="W141" ca="1">IFERROR((1/PptoSty[[#This Row],[Division]])*IF(PptoSty[[#This Row],[Sign]]="+",1,-1)*(IF(PptoSty[[#This Row],[POvsCT]]="PO",SUM(_xlfn.CHOOSECOLS(_xlfn._xlws.FILTER(F_RT14[],(IF($M141="X",TRUE,F_RT14[Site]=$M141))*(F_RT14[Measure]=W$4)*(F_RT14[PrjId]=PptoSty[[#This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41" s="338" cm="1">
        <f t="array" ref="X141">IFERROR(IF(PptoSty[[#This Row],[Nature]]&lt;&gt;"Hrs",0,(1/PptoSty[[#This Row],[Division]])*IF(PptoSty[[#This Row],[Sign]]="+",1,-1)*(IF(PptoSty[[#This Row],[POvsCT]]="PO",SUM(_xlfn.CHOOSECOLS(_xlfn._xlws.FILTER(F_RT14[],(IF($M141="X",TRUE,F_RT14[Site]=$M141))*(F_RT14[Measure]=X$4)*(F_RT14[PrjId]=PptoSty[[#This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41" s="338" cm="1">
        <f t="array" ref="Y141">IFERROR(IF(PptoSty[[#This Row],[Nature]]&lt;&gt;"Hrs",0,(1/PptoSty[[#This Row],[Division]])*IF(PptoSty[[#This Row],[Sign]]="+",1,-1)*(IF(PptoSty[[#This Row],[POvsCT]]="PO",SUM(_xlfn.CHOOSECOLS(_xlfn._xlws.FILTER(F_RT14[],(IF($M141="X",TRUE,F_RT14[Site]=$M141))*(F_RT14[Measure]=Y$4)*(F_RT14[PrjId]=PptoSty[[#This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41" s="338" cm="1">
        <f t="array" ref="Z141">IFERROR(IF(PptoSty[[#This Row],[Nature]]&lt;&gt;"Hrs",0,(1/PptoSty[[#This Row],[Division]])*IF(PptoSty[[#This Row],[Sign]]="+",1,-1)*(IF(PptoSty[[#This Row],[POvsCT]]="PO",SUM(_xlfn.CHOOSECOLS(_xlfn._xlws.FILTER(F_RT14[],(IF($M141="X",TRUE,F_RT14[Site]=$M141))*(F_RT14[Measure]=Z$4)*(F_RT14[PrjId]=PptoSty[[#This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41" s="412"/>
      <c r="AB141" s="412"/>
      <c r="AC141" s="412"/>
      <c r="AG141"/>
      <c r="AH141"/>
      <c r="AI141"/>
      <c r="AK141" s="113"/>
      <c r="AO141"/>
      <c r="AP141"/>
      <c r="AZ141" s="175"/>
      <c r="BA141" s="175"/>
      <c r="BE141"/>
      <c r="BF141"/>
      <c r="DG141" s="175"/>
      <c r="DH141" s="175"/>
      <c r="DI141" s="175"/>
      <c r="DL141" s="108"/>
      <c r="DM141" s="366" t="str" cm="1">
        <f t="array" aca="1" ref="DM141"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DN141:DO141</v>
      </c>
      <c r="DN141" s="177" t="s">
        <v>375</v>
      </c>
      <c r="DO141" s="177" t="str" cm="1">
        <f t="array" aca="1" ref="DO141"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41" s="177"/>
      <c r="DQ141" s="177"/>
      <c r="DR141" s="177"/>
      <c r="DS141" s="177"/>
      <c r="DT141" s="177"/>
      <c r="DU141" s="177"/>
      <c r="DV141" s="177"/>
      <c r="DW141" s="177"/>
      <c r="DX141" s="177"/>
      <c r="DY141" s="177"/>
      <c r="DZ141" s="177"/>
      <c r="EA141" s="177"/>
      <c r="EB141" s="177"/>
      <c r="EC141" s="177"/>
      <c r="ED141" s="177"/>
    </row>
    <row r="142" spans="3:134" ht="13" customHeight="1">
      <c r="C142" s="200">
        <v>45594</v>
      </c>
      <c r="D142" s="213" t="s">
        <v>2114</v>
      </c>
      <c r="E142" s="200" t="s">
        <v>1711</v>
      </c>
      <c r="F142" s="220">
        <v>10</v>
      </c>
      <c r="G142" s="201" t="s">
        <v>1416</v>
      </c>
      <c r="H142" s="202" t="s">
        <v>375</v>
      </c>
      <c r="I142" s="339" t="str" cm="1">
        <f t="array" aca="1" ref="I14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42" s="203" t="str" cm="1">
        <f t="array" ref="J142">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Gto</v>
      </c>
      <c r="K142" s="96" t="s">
        <v>375</v>
      </c>
      <c r="L142" s="96" t="s">
        <v>386</v>
      </c>
      <c r="M142" s="96" t="s">
        <v>375</v>
      </c>
      <c r="N142" s="96" t="str" cm="1">
        <f t="array" ref="N142">IF(OR(PptoSty[[#This Row],[Project]]="",PptoSty[[#This Row],[Project]]="X"),"X",_xlfn._xlws.FILTER(TbAssign[RowId],(TbAssign[Project]=PptoSty[[#This Row],[Project]])*(TbAssign[Módulo]=PptoSty[[#This Row],[PptoVsRow]]),"X"))</f>
        <v>XF02</v>
      </c>
      <c r="O142" s="96" t="str" cm="1">
        <f t="array" ref="O142">IF(OR(PptoSty[[#This Row],[Project]]="",PptoSty[[#This Row],[Project]]="X"),"X",_xlfn.UNIQUE(_xlfn._xlws.FILTER(F_RT14[Amortz.],(F_RT14[Measure]="CurPpto")*(F_RT14[PrjId]=PptoSty[[#This Row],[Project]])*(F_RT14[Vrs]=PptoSty[[#This Row],[Vrs]])*(_xlfn.TEXTAFTER(F_RT14[ActGrp],":")=PptoSty[[#This Row],[PiRow]]),"X")))</f>
        <v>X</v>
      </c>
      <c r="P142" s="96" t="s">
        <v>300</v>
      </c>
      <c r="Q142" s="96" t="s">
        <v>386</v>
      </c>
      <c r="R142" s="204" t="s">
        <v>403</v>
      </c>
      <c r="S142" s="204">
        <v>1</v>
      </c>
      <c r="T142" s="205" t="str" cm="1">
        <f t="array" aca="1" ref="T14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42" s="206" t="str" cm="1">
        <f t="array" aca="1" ref="U142" ca="1">IFERROR((1/PptoSty[[#This Row],[Division]])*IF(PptoSty[[#This Row],[Sign]]="+",1,-1)*(IF(PptoSty[[#This Row],[POvsCT]]="PO",SUM(_xlfn.CHOOSECOLS(_xlfn._xlws.FILTER(F_RT14[],(IF($M142="X",TRUE,F_RT14[Site]=$M142))*(F_RT14[Measure]=U$4)*(F_RT14[PrjId]=PptoSty[[#This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42" s="206" cm="1">
        <f t="array" aca="1" ref="V142" ca="1">IFERROR((1/PptoSty[[#This Row],[Division]])*IF(PptoSty[[#This Row],[Sign]]="+",1,-1)*(IF(PptoSty[[#This Row],[POvsCT]]="PO",SUM(_xlfn.CHOOSECOLS(_xlfn._xlws.FILTER(F_RT14[],(IF($M142="X",TRUE,F_RT14[Site]=$M142))*(F_RT14[Measure]=V$4)*(F_RT14[PrjId]=PptoSty[[#This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42" s="206" cm="1">
        <f t="array" aca="1" ref="W142" ca="1">IFERROR((1/PptoSty[[#This Row],[Division]])*IF(PptoSty[[#This Row],[Sign]]="+",1,-1)*(IF(PptoSty[[#This Row],[POvsCT]]="PO",SUM(_xlfn.CHOOSECOLS(_xlfn._xlws.FILTER(F_RT14[],(IF($M142="X",TRUE,F_RT14[Site]=$M142))*(F_RT14[Measure]=W$4)*(F_RT14[PrjId]=PptoSty[[#This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42" s="338" cm="1">
        <f t="array" ref="X142">IFERROR(IF(PptoSty[[#This Row],[Nature]]&lt;&gt;"Hrs",0,(1/PptoSty[[#This Row],[Division]])*IF(PptoSty[[#This Row],[Sign]]="+",1,-1)*(IF(PptoSty[[#This Row],[POvsCT]]="PO",SUM(_xlfn.CHOOSECOLS(_xlfn._xlws.FILTER(F_RT14[],(IF($M142="X",TRUE,F_RT14[Site]=$M142))*(F_RT14[Measure]=X$4)*(F_RT14[PrjId]=PptoSty[[#This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42" s="338" cm="1">
        <f t="array" ref="Y142">IFERROR(IF(PptoSty[[#This Row],[Nature]]&lt;&gt;"Hrs",0,(1/PptoSty[[#This Row],[Division]])*IF(PptoSty[[#This Row],[Sign]]="+",1,-1)*(IF(PptoSty[[#This Row],[POvsCT]]="PO",SUM(_xlfn.CHOOSECOLS(_xlfn._xlws.FILTER(F_RT14[],(IF($M142="X",TRUE,F_RT14[Site]=$M142))*(F_RT14[Measure]=Y$4)*(F_RT14[PrjId]=PptoSty[[#This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42" s="338" cm="1">
        <f t="array" ref="Z142">IFERROR(IF(PptoSty[[#This Row],[Nature]]&lt;&gt;"Hrs",0,(1/PptoSty[[#This Row],[Division]])*IF(PptoSty[[#This Row],[Sign]]="+",1,-1)*(IF(PptoSty[[#This Row],[POvsCT]]="PO",SUM(_xlfn.CHOOSECOLS(_xlfn._xlws.FILTER(F_RT14[],(IF($M142="X",TRUE,F_RT14[Site]=$M142))*(F_RT14[Measure]=Z$4)*(F_RT14[PrjId]=PptoSty[[#This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42" s="412"/>
      <c r="AB142" s="412"/>
      <c r="AC142" s="412"/>
      <c r="AG142"/>
      <c r="AH142"/>
      <c r="AI142"/>
      <c r="AK142" s="113"/>
      <c r="AO142"/>
      <c r="AP142"/>
      <c r="AZ142" s="175"/>
      <c r="BA142" s="175"/>
      <c r="BE142"/>
      <c r="BF142"/>
      <c r="DG142" s="175"/>
      <c r="DH142" s="175"/>
      <c r="DI142" s="175"/>
      <c r="DL142" s="108"/>
      <c r="DM142" s="366" t="str" cm="1">
        <f t="array" aca="1" ref="DM142"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DN142:DO142</v>
      </c>
      <c r="DN142" s="177" t="s">
        <v>375</v>
      </c>
      <c r="DO142" s="177" t="str" cm="1">
        <f t="array" aca="1" ref="DO142"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42" s="177"/>
      <c r="DQ142" s="177"/>
      <c r="DR142" s="177"/>
      <c r="DS142" s="177"/>
      <c r="DT142" s="177"/>
      <c r="DU142" s="177"/>
      <c r="DV142" s="177"/>
      <c r="DW142" s="177"/>
      <c r="DX142" s="177"/>
      <c r="DY142" s="177"/>
      <c r="DZ142" s="177"/>
      <c r="EA142" s="177"/>
      <c r="EB142" s="177"/>
      <c r="EC142" s="177"/>
      <c r="ED142" s="177"/>
    </row>
    <row r="143" spans="3:134" ht="13" customHeight="1">
      <c r="C143" s="356">
        <v>45595</v>
      </c>
      <c r="D143" s="213" t="s">
        <v>2114</v>
      </c>
      <c r="E143" s="356" t="s">
        <v>1710</v>
      </c>
      <c r="F143" s="219" t="s">
        <v>375</v>
      </c>
      <c r="G143" s="201" t="s">
        <v>1415</v>
      </c>
      <c r="H143" s="202">
        <v>16</v>
      </c>
      <c r="I143" s="339" t="str" cm="1">
        <f t="array" aca="1" ref="I14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G003</v>
      </c>
      <c r="J143" s="203" t="str" cm="1">
        <f t="array" ref="J143">IF(OR(PptoSty[[#This Row],[Project]]="",PptoSty[[#This Row],[Project]]="X"),"X",_xlfn.UNIQUE(_xlfn._xlws.FILTER(CstGrpS[Nature],ISNUMBER(FIND(SUBSTITUTE(PptoSty[[#This Row],[PiColumn]]," +%",""),UPPER(SUBSTITUTE(CstGrpS[GrpPrv],"  "," ")))),"X")))</f>
        <v>Hrs</v>
      </c>
      <c r="K143" s="96" t="s">
        <v>1417</v>
      </c>
      <c r="L143" s="96" t="s">
        <v>1641</v>
      </c>
      <c r="M143" s="96" t="s">
        <v>375</v>
      </c>
      <c r="N143" s="96" t="str" cm="1">
        <f t="array" ref="N143">IF(OR(PptoSty[[#This Row],[Project]]="",PptoSty[[#This Row],[Project]]="X"),"X",_xlfn._xlws.FILTER(TbAssign[RowId],(TbAssign[Project]=PptoSty[[#This Row],[Project]])*(TbAssign[Módulo]=PptoSty[[#This Row],[PptoVsRow]]),"X"))</f>
        <v>XA01</v>
      </c>
      <c r="O143" s="96" t="str" cm="1">
        <f t="array" ref="O143">IF(OR(PptoSty[[#This Row],[Project]]="",PptoSty[[#This Row],[Project]]="X"),"X",_xlfn.UNIQUE(_xlfn._xlws.FILTER(F_RT14[Amortz.],(F_RT14[Measure]="CurPpto")*(F_RT14[PrjId]=PptoSty[[#This Row],[Project]])*(F_RT14[Vrs]=PptoSty[[#This Row],[Vrs]])*(_xlfn.TEXTAFTER(F_RT14[ActGrp],":")=PptoSty[[#This Row],[PiRow]]),"X")))</f>
        <v>GSDF</v>
      </c>
      <c r="P143" s="96" t="s">
        <v>358</v>
      </c>
      <c r="Q143" s="96" t="s">
        <v>387</v>
      </c>
      <c r="R143" s="204" t="s">
        <v>403</v>
      </c>
      <c r="S143" s="204">
        <v>1</v>
      </c>
      <c r="T143" s="205" t="str" cm="1">
        <f t="array" aca="1" ref="T14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43" s="206" cm="1">
        <f t="array" ref="U143">IFERROR((1/PptoSty[[#This Row],[Division]])*IF(PptoSty[[#This Row],[Sign]]="+",1,-1)*(IF(PptoSty[[#This Row],[POvsCT]]="PO",SUM(_xlfn.CHOOSECOLS(_xlfn._xlws.FILTER(F_RT14[],(IF($M143="X",TRUE,F_RT14[Site]=$M143))*(F_RT14[Measure]=U$4)*(F_RT14[PrjId]=PptoSty[[#This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11472.617113402062</v>
      </c>
      <c r="V143" s="206" cm="1">
        <f t="array" ref="V143">IFERROR((1/PptoSty[[#This Row],[Division]])*IF(PptoSty[[#This Row],[Sign]]="+",1,-1)*(IF(PptoSty[[#This Row],[POvsCT]]="PO",SUM(_xlfn.CHOOSECOLS(_xlfn._xlws.FILTER(F_RT14[],(IF($M143="X",TRUE,F_RT14[Site]=$M143))*(F_RT14[Measure]=V$4)*(F_RT14[PrjId]=PptoSty[[#This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11561.7236675</v>
      </c>
      <c r="W143" s="206" cm="1">
        <f t="array" ref="W143">IFERROR((1/PptoSty[[#This Row],[Division]])*IF(PptoSty[[#This Row],[Sign]]="+",1,-1)*(IF(PptoSty[[#This Row],[POvsCT]]="PO",SUM(_xlfn.CHOOSECOLS(_xlfn._xlws.FILTER(F_RT14[],(IF($M143="X",TRUE,F_RT14[Site]=$M143))*(F_RT14[Measure]=W$4)*(F_RT14[PrjId]=PptoSty[[#This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43" s="338" cm="1">
        <f t="array" ref="X143">IFERROR(IF(PptoSty[[#This Row],[Nature]]&lt;&gt;"Hrs",0,(1/PptoSty[[#This Row],[Division]])*IF(PptoSty[[#This Row],[Sign]]="+",1,-1)*(IF(PptoSty[[#This Row],[POvsCT]]="PO",SUM(_xlfn.CHOOSECOLS(_xlfn._xlws.FILTER(F_RT14[],(IF($M143="X",TRUE,F_RT14[Site]=$M143))*(F_RT14[Measure]=X$4)*(F_RT14[PrjId]=PptoSty[[#This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222.50000000000003</v>
      </c>
      <c r="Y143" s="338" cm="1">
        <f t="array" ref="Y143">IFERROR(IF(PptoSty[[#This Row],[Nature]]&lt;&gt;"Hrs",0,(1/PptoSty[[#This Row],[Division]])*IF(PptoSty[[#This Row],[Sign]]="+",1,-1)*(IF(PptoSty[[#This Row],[POvsCT]]="PO",SUM(_xlfn.CHOOSECOLS(_xlfn._xlws.FILTER(F_RT14[],(IF($M143="X",TRUE,F_RT14[Site]=$M143))*(F_RT14[Measure]=Y$4)*(F_RT14[PrjId]=PptoSty[[#This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215.82500000000002</v>
      </c>
      <c r="Z143" s="338" cm="1">
        <f t="array" ref="Z143">IFERROR(IF(PptoSty[[#This Row],[Nature]]&lt;&gt;"Hrs",0,(1/PptoSty[[#This Row],[Division]])*IF(PptoSty[[#This Row],[Sign]]="+",1,-1)*(IF(PptoSty[[#This Row],[POvsCT]]="PO",SUM(_xlfn.CHOOSECOLS(_xlfn._xlws.FILTER(F_RT14[],(IF($M143="X",TRUE,F_RT14[Site]=$M143))*(F_RT14[Measure]=Z$4)*(F_RT14[PrjId]=PptoSty[[#This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43" s="206" cm="1">
        <f t="array" aca="1" ref="AA143"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68139.611443298971</v>
      </c>
      <c r="AB143" s="206" cm="1">
        <f t="array" aca="1" ref="AB143"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68668.844164500013</v>
      </c>
      <c r="AC143" s="206" cm="1">
        <f t="array" aca="1" ref="AC143"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143"/>
      <c r="AH143"/>
      <c r="AI143"/>
      <c r="AK143" s="113"/>
      <c r="AO143"/>
      <c r="AP143"/>
      <c r="AZ143" s="175"/>
      <c r="BA143" s="175"/>
      <c r="BE143"/>
      <c r="BF143"/>
      <c r="DG143" s="175"/>
      <c r="DH143" s="175"/>
      <c r="DI143" s="175"/>
      <c r="DL143" s="108"/>
      <c r="DM143" s="366" t="str" cm="1">
        <f t="array" aca="1" ref="DM143"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DN143:DO143</v>
      </c>
      <c r="DN143" s="177" t="s">
        <v>375</v>
      </c>
      <c r="DO143" s="177" t="str" cm="1">
        <f t="array" aca="1" ref="DO143"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GESTIÓN PROYECTOS</v>
      </c>
      <c r="DP143" s="177"/>
      <c r="DQ143" s="177"/>
      <c r="DR143" s="177"/>
      <c r="DS143" s="177"/>
      <c r="DT143" s="177"/>
      <c r="DU143" s="177"/>
      <c r="DV143" s="177"/>
      <c r="DW143" s="177"/>
      <c r="DX143" s="177"/>
      <c r="DY143" s="177"/>
      <c r="DZ143" s="177"/>
      <c r="EA143" s="177"/>
      <c r="EB143" s="177"/>
      <c r="EC143" s="177"/>
      <c r="ED143" s="177"/>
    </row>
    <row r="144" spans="3:134" ht="13" customHeight="1">
      <c r="C144" s="356">
        <v>45596</v>
      </c>
      <c r="D144" s="213" t="s">
        <v>2114</v>
      </c>
      <c r="E144" s="356" t="s">
        <v>1710</v>
      </c>
      <c r="F144" s="219" t="s">
        <v>375</v>
      </c>
      <c r="G144" s="201" t="s">
        <v>1415</v>
      </c>
      <c r="H144" s="202">
        <v>16</v>
      </c>
      <c r="I144" s="339" t="str" cm="1">
        <f t="array" aca="1" ref="I14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G004</v>
      </c>
      <c r="J144" s="203" t="str" cm="1">
        <f t="array" ref="J144">IF(OR(PptoSty[[#This Row],[Project]]="",PptoSty[[#This Row],[Project]]="X"),"X",_xlfn.UNIQUE(_xlfn._xlws.FILTER(CstGrpS[Nature],ISNUMBER(FIND(SUBSTITUTE(PptoSty[[#This Row],[PiColumn]]," +%",""),UPPER(SUBSTITUTE(CstGrpS[GrpPrv],"  "," ")))),"X")))</f>
        <v>Hrs</v>
      </c>
      <c r="K144" s="96" t="s">
        <v>1418</v>
      </c>
      <c r="L144" s="96" t="s">
        <v>1642</v>
      </c>
      <c r="M144" s="96" t="s">
        <v>375</v>
      </c>
      <c r="N144" s="96" t="str" cm="1">
        <f t="array" ref="N144">IF(OR(PptoSty[[#This Row],[Project]]="",PptoSty[[#This Row],[Project]]="X"),"X",_xlfn._xlws.FILTER(TbAssign[RowId],(TbAssign[Project]=PptoSty[[#This Row],[Project]])*(TbAssign[Módulo]=PptoSty[[#This Row],[PptoVsRow]]),"X"))</f>
        <v>XE01</v>
      </c>
      <c r="O144" s="96" t="str" cm="1">
        <f t="array" ref="O144">IF(OR(PptoSty[[#This Row],[Project]]="",PptoSty[[#This Row],[Project]]="X"),"X",_xlfn.UNIQUE(_xlfn._xlws.FILTER(F_RT14[Amortz.],(F_RT14[Measure]="CurPpto")*(F_RT14[PrjId]=PptoSty[[#This Row],[Project]])*(F_RT14[Vrs]=PptoSty[[#This Row],[Vrs]])*(_xlfn.TEXTAFTER(F_RT14[ActGrp],":")=PptoSty[[#This Row],[PiRow]]),"X")))</f>
        <v>GSDF</v>
      </c>
      <c r="P144" s="96" t="s">
        <v>1284</v>
      </c>
      <c r="Q144" s="96" t="s">
        <v>387</v>
      </c>
      <c r="R144" s="204" t="s">
        <v>403</v>
      </c>
      <c r="S144" s="204">
        <v>1</v>
      </c>
      <c r="T144" s="205" t="str" cm="1">
        <f t="array" aca="1" ref="T14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44" s="206" cm="1">
        <f t="array" ref="U144">IFERROR((1/PptoSty[[#This Row],[Division]])*IF(PptoSty[[#This Row],[Sign]]="+",1,-1)*(IF(PptoSty[[#This Row],[POvsCT]]="PO",SUM(_xlfn.CHOOSECOLS(_xlfn._xlws.FILTER(F_RT14[],(IF($M144="X",TRUE,F_RT14[Site]=$M144))*(F_RT14[Measure]=U$4)*(F_RT14[PrjId]=PptoSty[[#This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21946.371340206188</v>
      </c>
      <c r="V144" s="206" cm="1">
        <f t="array" ref="V144">IFERROR((1/PptoSty[[#This Row],[Division]])*IF(PptoSty[[#This Row],[Sign]]="+",1,-1)*(IF(PptoSty[[#This Row],[POvsCT]]="PO",SUM(_xlfn.CHOOSECOLS(_xlfn._xlws.FILTER(F_RT14[],(IF($M144="X",TRUE,F_RT14[Site]=$M144))*(F_RT14[Measure]=V$4)*(F_RT14[PrjId]=PptoSty[[#This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22116.856704000002</v>
      </c>
      <c r="W144" s="206" cm="1">
        <f t="array" ref="W144">IFERROR((1/PptoSty[[#This Row],[Division]])*IF(PptoSty[[#This Row],[Sign]]="+",1,-1)*(IF(PptoSty[[#This Row],[POvsCT]]="PO",SUM(_xlfn.CHOOSECOLS(_xlfn._xlws.FILTER(F_RT14[],(IF($M144="X",TRUE,F_RT14[Site]=$M144))*(F_RT14[Measure]=W$4)*(F_RT14[PrjId]=PptoSty[[#This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44" s="338" cm="1">
        <f t="array" ref="X144">IFERROR(IF(PptoSty[[#This Row],[Nature]]&lt;&gt;"Hrs",0,(1/PptoSty[[#This Row],[Division]])*IF(PptoSty[[#This Row],[Sign]]="+",1,-1)*(IF(PptoSty[[#This Row],[POvsCT]]="PO",SUM(_xlfn.CHOOSECOLS(_xlfn._xlws.FILTER(F_RT14[],(IF($M144="X",TRUE,F_RT14[Site]=$M144))*(F_RT14[Measure]=X$4)*(F_RT14[PrjId]=PptoSty[[#This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568</v>
      </c>
      <c r="Y144" s="338" cm="1">
        <f t="array" ref="Y144">IFERROR(IF(PptoSty[[#This Row],[Nature]]&lt;&gt;"Hrs",0,(1/PptoSty[[#This Row],[Division]])*IF(PptoSty[[#This Row],[Sign]]="+",1,-1)*(IF(PptoSty[[#This Row],[POvsCT]]="PO",SUM(_xlfn.CHOOSECOLS(_xlfn._xlws.FILTER(F_RT14[],(IF($M144="X",TRUE,F_RT14[Site]=$M144))*(F_RT14[Measure]=Y$4)*(F_RT14[PrjId]=PptoSty[[#This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550.96</v>
      </c>
      <c r="Z144" s="338" cm="1">
        <f t="array" ref="Z144">IFERROR(IF(PptoSty[[#This Row],[Nature]]&lt;&gt;"Hrs",0,(1/PptoSty[[#This Row],[Division]])*IF(PptoSty[[#This Row],[Sign]]="+",1,-1)*(IF(PptoSty[[#This Row],[POvsCT]]="PO",SUM(_xlfn.CHOOSECOLS(_xlfn._xlws.FILTER(F_RT14[],(IF($M144="X",TRUE,F_RT14[Site]=$M144))*(F_RT14[Measure]=Z$4)*(F_RT14[PrjId]=PptoSty[[#This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44" s="206" cm="1">
        <f t="array" aca="1" ref="AA144"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58150.857319587638</v>
      </c>
      <c r="AB144" s="206" cm="1">
        <f t="array" aca="1" ref="AB144"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58602.538830449994</v>
      </c>
      <c r="AC144" s="206" cm="1">
        <f t="array" aca="1" ref="AC144"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144"/>
      <c r="AH144"/>
      <c r="AI144"/>
      <c r="AK144" s="113"/>
      <c r="AO144"/>
      <c r="AP144"/>
      <c r="AZ144" s="175"/>
      <c r="BA144" s="175"/>
      <c r="BE144"/>
      <c r="BF144"/>
      <c r="DG144" s="175"/>
      <c r="DH144" s="175"/>
      <c r="DI144" s="175"/>
      <c r="DL144" s="108"/>
      <c r="DM144" s="366" t="str" cm="1">
        <f t="array" aca="1" ref="DM144"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DN144:DR144</v>
      </c>
      <c r="DN144" s="177" t="s">
        <v>375</v>
      </c>
      <c r="DO144" s="177" t="str" cm="1">
        <f t="array" aca="1" ref="DO144:DR144"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144" s="177" t="str">
        <f ca="1"/>
        <v>DEFINICIÓN</v>
      </c>
      <c r="DQ144" s="177" t="str">
        <f ca="1"/>
        <v>FABRICACIÓN MECÁNICA</v>
      </c>
      <c r="DR144" s="177" t="str">
        <f ca="1"/>
        <v>METROLOGÍA</v>
      </c>
      <c r="DS144" s="177"/>
      <c r="DT144" s="177"/>
      <c r="DU144" s="177"/>
      <c r="DV144" s="177"/>
      <c r="DW144" s="177"/>
      <c r="DX144" s="177"/>
      <c r="DY144" s="177"/>
      <c r="DZ144" s="177"/>
      <c r="EA144" s="177"/>
      <c r="EB144" s="177"/>
      <c r="EC144" s="177"/>
      <c r="ED144" s="177"/>
    </row>
    <row r="145" spans="3:134" ht="13" customHeight="1">
      <c r="C145" s="356">
        <v>45595</v>
      </c>
      <c r="D145" s="213" t="s">
        <v>2114</v>
      </c>
      <c r="E145" s="356" t="s">
        <v>1710</v>
      </c>
      <c r="F145" s="219" t="s">
        <v>375</v>
      </c>
      <c r="G145" s="201" t="s">
        <v>1415</v>
      </c>
      <c r="H145" s="202">
        <v>16</v>
      </c>
      <c r="I145" s="339" t="str" cm="1">
        <f t="array" aca="1" ref="I14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G004</v>
      </c>
      <c r="J145" s="203" t="str" cm="1">
        <f t="array" ref="J145">IF(OR(PptoSty[[#This Row],[Project]]="",PptoSty[[#This Row],[Project]]="X"),"X",_xlfn.UNIQUE(_xlfn._xlws.FILTER(CstGrpS[Nature],ISNUMBER(FIND(SUBSTITUTE(PptoSty[[#This Row],[PiColumn]]," +%",""),UPPER(SUBSTITUTE(CstGrpS[GrpPrv],"  "," ")))),"X")))</f>
        <v>Hrs</v>
      </c>
      <c r="K145" s="96" t="s">
        <v>1418</v>
      </c>
      <c r="L145" s="96" t="s">
        <v>1643</v>
      </c>
      <c r="M145" s="96" t="s">
        <v>375</v>
      </c>
      <c r="N145" s="96" t="str" cm="1">
        <f t="array" ref="N145">IF(OR(PptoSty[[#This Row],[Project]]="",PptoSty[[#This Row],[Project]]="X"),"X",_xlfn._xlws.FILTER(TbAssign[RowId],(TbAssign[Project]=PptoSty[[#This Row],[Project]])*(TbAssign[Módulo]=PptoSty[[#This Row],[PptoVsRow]]),"X"))</f>
        <v>XA01</v>
      </c>
      <c r="O145" s="96" t="str" cm="1">
        <f t="array" ref="O145">IF(OR(PptoSty[[#This Row],[Project]]="",PptoSty[[#This Row],[Project]]="X"),"X",_xlfn.UNIQUE(_xlfn._xlws.FILTER(F_RT14[Amortz.],(F_RT14[Measure]="CurPpto")*(F_RT14[PrjId]=PptoSty[[#This Row],[Project]])*(F_RT14[Vrs]=PptoSty[[#This Row],[Vrs]])*(_xlfn.TEXTAFTER(F_RT14[ActGrp],":")=PptoSty[[#This Row],[PiRow]]),"X")))</f>
        <v>GSDF</v>
      </c>
      <c r="P145" s="96" t="s">
        <v>358</v>
      </c>
      <c r="Q145" s="96" t="s">
        <v>377</v>
      </c>
      <c r="R145" s="204" t="s">
        <v>403</v>
      </c>
      <c r="S145" s="204">
        <v>1</v>
      </c>
      <c r="T145" s="205" t="str" cm="1">
        <f t="array" aca="1" ref="T14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45" s="206" cm="1">
        <f t="array" ref="U145">IFERROR((1/PptoSty[[#This Row],[Division]])*IF(PptoSty[[#This Row],[Sign]]="+",1,-1)*(IF(PptoSty[[#This Row],[POvsCT]]="PO",SUM(_xlfn.CHOOSECOLS(_xlfn._xlws.FILTER(F_RT14[],(IF($M145="X",TRUE,F_RT14[Site]=$M145))*(F_RT14[Measure]=U$4)*(F_RT14[PrjId]=PptoSty[[#This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2019.2922680412373</v>
      </c>
      <c r="V145" s="206" cm="1">
        <f t="array" ref="V145">IFERROR((1/PptoSty[[#This Row],[Division]])*IF(PptoSty[[#This Row],[Sign]]="+",1,-1)*(IF(PptoSty[[#This Row],[POvsCT]]="PO",SUM(_xlfn.CHOOSECOLS(_xlfn._xlws.FILTER(F_RT14[],(IF($M145="X",TRUE,F_RT14[Site]=$M145))*(F_RT14[Measure]=V$4)*(F_RT14[PrjId]=PptoSty[[#This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977.64547743500009</v>
      </c>
      <c r="W145" s="206" cm="1">
        <f t="array" ref="W145">IFERROR((1/PptoSty[[#This Row],[Division]])*IF(PptoSty[[#This Row],[Sign]]="+",1,-1)*(IF(PptoSty[[#This Row],[POvsCT]]="PO",SUM(_xlfn.CHOOSECOLS(_xlfn._xlws.FILTER(F_RT14[],(IF($M145="X",TRUE,F_RT14[Site]=$M145))*(F_RT14[Measure]=W$4)*(F_RT14[PrjId]=PptoSty[[#This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1066.2509946150001</v>
      </c>
      <c r="X145" s="338" cm="1">
        <f t="array" ref="X145">IFERROR(IF(PptoSty[[#This Row],[Nature]]&lt;&gt;"Hrs",0,(1/PptoSty[[#This Row],[Division]])*IF(PptoSty[[#This Row],[Sign]]="+",1,-1)*(IF(PptoSty[[#This Row],[POvsCT]]="PO",SUM(_xlfn.CHOOSECOLS(_xlfn._xlws.FILTER(F_RT14[],(IF($M145="X",TRUE,F_RT14[Site]=$M145))*(F_RT14[Measure]=X$4)*(F_RT14[PrjId]=PptoSty[[#This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43.370000000000005</v>
      </c>
      <c r="Y145" s="338" cm="1">
        <f t="array" ref="Y145">IFERROR(IF(PptoSty[[#This Row],[Nature]]&lt;&gt;"Hrs",0,(1/PptoSty[[#This Row],[Division]])*IF(PptoSty[[#This Row],[Sign]]="+",1,-1)*(IF(PptoSty[[#This Row],[POvsCT]]="PO",SUM(_xlfn.CHOOSECOLS(_xlfn._xlws.FILTER(F_RT14[],(IF($M145="X",TRUE,F_RT14[Site]=$M145))*(F_RT14[Measure]=Y$4)*(F_RT14[PrjId]=PptoSty[[#This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21.034450000000003</v>
      </c>
      <c r="Z145" s="338" cm="1">
        <f t="array" ref="Z145">IFERROR(IF(PptoSty[[#This Row],[Nature]]&lt;&gt;"Hrs",0,(1/PptoSty[[#This Row],[Division]])*IF(PptoSty[[#This Row],[Sign]]="+",1,-1)*(IF(PptoSty[[#This Row],[POvsCT]]="PO",SUM(_xlfn.CHOOSECOLS(_xlfn._xlws.FILTER(F_RT14[],(IF($M145="X",TRUE,F_RT14[Site]=$M145))*(F_RT14[Measure]=Z$4)*(F_RT14[PrjId]=PptoSty[[#This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21.034450000000003</v>
      </c>
      <c r="AA145" s="206" cm="1">
        <f t="array" aca="1" ref="AA145"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60380.161030927833</v>
      </c>
      <c r="AB145" s="206" cm="1">
        <f t="array" aca="1" ref="AB145"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29233.208708807811</v>
      </c>
      <c r="AC145" s="206" cm="1">
        <f t="array" aca="1" ref="AC145"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31882.659492614061</v>
      </c>
      <c r="AG145"/>
      <c r="AH145"/>
      <c r="AI145"/>
      <c r="AK145" s="113"/>
      <c r="AO145"/>
      <c r="AP145"/>
      <c r="AZ145" s="175"/>
      <c r="BA145" s="175"/>
      <c r="BE145"/>
      <c r="BF145"/>
      <c r="DG145" s="175"/>
      <c r="DH145" s="175"/>
      <c r="DI145" s="175"/>
      <c r="DL145" s="108"/>
      <c r="DM145" s="366" t="str" cm="1">
        <f t="array" aca="1" ref="DM14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DN145:DR145</v>
      </c>
      <c r="DN145" s="177" t="s">
        <v>375</v>
      </c>
      <c r="DO145" s="177" t="str" cm="1">
        <f t="array" aca="1" ref="DO145:DR14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145" s="177" t="str">
        <f ca="1"/>
        <v>DEFINICIÓN</v>
      </c>
      <c r="DQ145" s="177" t="str">
        <f ca="1"/>
        <v>FABRICACIÓN MECÁNICA</v>
      </c>
      <c r="DR145" s="177" t="str">
        <f ca="1"/>
        <v>METROLOGÍA</v>
      </c>
      <c r="DS145" s="177"/>
      <c r="DT145" s="177"/>
      <c r="DU145" s="177"/>
      <c r="DV145" s="177"/>
      <c r="DW145" s="177"/>
      <c r="DX145" s="177"/>
      <c r="DY145" s="177"/>
      <c r="DZ145" s="177"/>
      <c r="EA145" s="177"/>
      <c r="EB145" s="177"/>
      <c r="EC145" s="177"/>
      <c r="ED145" s="177"/>
    </row>
    <row r="146" spans="3:134" ht="13" customHeight="1">
      <c r="C146" s="356">
        <v>45595</v>
      </c>
      <c r="D146" s="213" t="s">
        <v>2114</v>
      </c>
      <c r="E146" s="356" t="s">
        <v>1710</v>
      </c>
      <c r="F146" s="219" t="s">
        <v>375</v>
      </c>
      <c r="G146" s="201" t="s">
        <v>1415</v>
      </c>
      <c r="H146" s="202">
        <v>16</v>
      </c>
      <c r="I146" s="339" t="str" cm="1">
        <f t="array" aca="1" ref="I14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G004</v>
      </c>
      <c r="J146" s="203" t="str" cm="1">
        <f t="array" ref="J146">IF(OR(PptoSty[[#This Row],[Project]]="",PptoSty[[#This Row],[Project]]="X"),"X",_xlfn.UNIQUE(_xlfn._xlws.FILTER(CstGrpS[Nature],ISNUMBER(FIND(SUBSTITUTE(PptoSty[[#This Row],[PiColumn]]," +%",""),UPPER(SUBSTITUTE(CstGrpS[GrpPrv],"  "," ")))),"X")))</f>
        <v>Hrs</v>
      </c>
      <c r="K146" s="96" t="s">
        <v>1418</v>
      </c>
      <c r="L146" s="96" t="s">
        <v>379</v>
      </c>
      <c r="M146" s="96" t="s">
        <v>375</v>
      </c>
      <c r="N146" s="96" t="str" cm="1">
        <f t="array" ref="N146">IF(OR(PptoSty[[#This Row],[Project]]="",PptoSty[[#This Row],[Project]]="X"),"X",_xlfn._xlws.FILTER(TbAssign[RowId],(TbAssign[Project]=PptoSty[[#This Row],[Project]])*(TbAssign[Módulo]=PptoSty[[#This Row],[PptoVsRow]]),"X"))</f>
        <v>XA01</v>
      </c>
      <c r="O146" s="96" t="str" cm="1">
        <f t="array" ref="O146">IF(OR(PptoSty[[#This Row],[Project]]="",PptoSty[[#This Row],[Project]]="X"),"X",_xlfn.UNIQUE(_xlfn._xlws.FILTER(F_RT14[Amortz.],(F_RT14[Measure]="CurPpto")*(F_RT14[PrjId]=PptoSty[[#This Row],[Project]])*(F_RT14[Vrs]=PptoSty[[#This Row],[Vrs]])*(_xlfn.TEXTAFTER(F_RT14[ActGrp],":")=PptoSty[[#This Row],[PiRow]]),"X")))</f>
        <v>GSDF</v>
      </c>
      <c r="P146" s="96" t="s">
        <v>358</v>
      </c>
      <c r="Q146" s="96" t="s">
        <v>1667</v>
      </c>
      <c r="R146" s="204" t="s">
        <v>403</v>
      </c>
      <c r="S146" s="204">
        <v>1</v>
      </c>
      <c r="T146" s="205" t="str" cm="1">
        <f t="array" aca="1" ref="T14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46" s="206" cm="1">
        <f t="array" ref="U146">IFERROR((1/PptoSty[[#This Row],[Division]])*IF(PptoSty[[#This Row],[Sign]]="+",1,-1)*(IF(PptoSty[[#This Row],[POvsCT]]="PO",SUM(_xlfn.CHOOSECOLS(_xlfn._xlws.FILTER(F_RT14[],(IF($M146="X",TRUE,F_RT14[Site]=$M146))*(F_RT14[Measure]=U$4)*(F_RT14[PrjId]=PptoSty[[#This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1270.6367010309277</v>
      </c>
      <c r="V146" s="206" cm="1">
        <f t="array" ref="V146">IFERROR((1/PptoSty[[#This Row],[Division]])*IF(PptoSty[[#This Row],[Sign]]="+",1,-1)*(IF(PptoSty[[#This Row],[POvsCT]]="PO",SUM(_xlfn.CHOOSECOLS(_xlfn._xlws.FILTER(F_RT14[],(IF($M146="X",TRUE,F_RT14[Site]=$M146))*(F_RT14[Measure]=V$4)*(F_RT14[PrjId]=PptoSty[[#This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123.42135738628699</v>
      </c>
      <c r="W146" s="206" cm="1">
        <f t="array" ref="W146">IFERROR((1/PptoSty[[#This Row],[Division]])*IF(PptoSty[[#This Row],[Sign]]="+",1,-1)*(IF(PptoSty[[#This Row],[POvsCT]]="PO",SUM(_xlfn.CHOOSECOLS(_xlfn._xlws.FILTER(F_RT14[],(IF($M146="X",TRUE,F_RT14[Site]=$M146))*(F_RT14[Measure]=W$4)*(F_RT14[PrjId]=PptoSty[[#This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1247.3689620928537</v>
      </c>
      <c r="X146" s="338" cm="1">
        <f t="array" ref="X146">IFERROR(IF(PptoSty[[#This Row],[Nature]]&lt;&gt;"Hrs",0,(1/PptoSty[[#This Row],[Division]])*IF(PptoSty[[#This Row],[Sign]]="+",1,-1)*(IF(PptoSty[[#This Row],[POvsCT]]="PO",SUM(_xlfn.CHOOSECOLS(_xlfn._xlws.FILTER(F_RT14[],(IF($M146="X",TRUE,F_RT14[Site]=$M146))*(F_RT14[Measure]=X$4)*(F_RT14[PrjId]=PptoSty[[#This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29.228999800000004</v>
      </c>
      <c r="Y146" s="338" cm="1">
        <f t="array" ref="Y146">IFERROR(IF(PptoSty[[#This Row],[Nature]]&lt;&gt;"Hrs",0,(1/PptoSty[[#This Row],[Division]])*IF(PptoSty[[#This Row],[Sign]]="+",1,-1)*(IF(PptoSty[[#This Row],[POvsCT]]="PO",SUM(_xlfn.CHOOSECOLS(_xlfn._xlws.FILTER(F_RT14[],(IF($M146="X",TRUE,F_RT14[Site]=$M146))*(F_RT14[Measure]=Y$4)*(F_RT14[PrjId]=PptoSty[[#This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2.8352129806000006</v>
      </c>
      <c r="Z146" s="338" cm="1">
        <f t="array" ref="Z146">IFERROR(IF(PptoSty[[#This Row],[Nature]]&lt;&gt;"Hrs",0,(1/PptoSty[[#This Row],[Division]])*IF(PptoSty[[#This Row],[Sign]]="+",1,-1)*(IF(PptoSty[[#This Row],[POvsCT]]="PO",SUM(_xlfn.CHOOSECOLS(_xlfn._xlws.FILTER(F_RT14[],(IF($M146="X",TRUE,F_RT14[Site]=$M146))*(F_RT14[Measure]=Z$4)*(F_RT14[PrjId]=PptoSty[[#This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25.516916825400003</v>
      </c>
      <c r="AA146" s="206" cm="1">
        <f t="array" aca="1" ref="AA146"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1270.6367010309277</v>
      </c>
      <c r="AB146" s="206" cm="1">
        <f t="array" aca="1" ref="AB146"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123.42135738628699</v>
      </c>
      <c r="AC146" s="206" cm="1">
        <f t="array" aca="1" ref="AC146"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1247.3689620928537</v>
      </c>
      <c r="AG146"/>
      <c r="AH146"/>
      <c r="AI146"/>
      <c r="AK146" s="113"/>
      <c r="AO146"/>
      <c r="AP146"/>
      <c r="AZ146" s="175"/>
      <c r="BA146" s="175"/>
      <c r="BE146"/>
      <c r="BF146"/>
      <c r="DG146" s="175"/>
      <c r="DH146" s="175"/>
      <c r="DI146" s="175"/>
      <c r="DL146" s="108"/>
      <c r="DM146" s="366" t="str" cm="1">
        <f t="array" aca="1" ref="DM14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DN146:DR146</v>
      </c>
      <c r="DN146" s="177" t="s">
        <v>375</v>
      </c>
      <c r="DO146" s="177" t="str" cm="1">
        <f t="array" aca="1" ref="DO146:DR14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146" s="177" t="str">
        <f ca="1"/>
        <v>DEFINICIÓN</v>
      </c>
      <c r="DQ146" s="177" t="str">
        <f ca="1"/>
        <v>FABRICACIÓN MECÁNICA</v>
      </c>
      <c r="DR146" s="177" t="str">
        <f ca="1"/>
        <v>METROLOGÍA</v>
      </c>
      <c r="DS146" s="177"/>
      <c r="DT146" s="177"/>
      <c r="DU146" s="177"/>
      <c r="DV146" s="177"/>
      <c r="DW146" s="177"/>
      <c r="DX146" s="177"/>
      <c r="DY146" s="177"/>
      <c r="DZ146" s="177"/>
      <c r="EA146" s="177"/>
      <c r="EB146" s="177"/>
      <c r="EC146" s="177"/>
      <c r="ED146" s="177"/>
    </row>
    <row r="147" spans="3:134" ht="13" customHeight="1">
      <c r="C147" s="356">
        <v>45595</v>
      </c>
      <c r="D147" s="213" t="s">
        <v>2114</v>
      </c>
      <c r="E147" s="356" t="s">
        <v>1710</v>
      </c>
      <c r="F147" s="219" t="s">
        <v>375</v>
      </c>
      <c r="G147" s="201" t="s">
        <v>1415</v>
      </c>
      <c r="H147" s="202">
        <v>16</v>
      </c>
      <c r="I147" s="339" t="str" cm="1">
        <f t="array" aca="1" ref="I14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G004</v>
      </c>
      <c r="J147" s="203" t="str" cm="1">
        <f t="array" ref="J147">IF(OR(PptoSty[[#This Row],[Project]]="",PptoSty[[#This Row],[Project]]="X"),"X",_xlfn.UNIQUE(_xlfn._xlws.FILTER(CstGrpS[Nature],ISNUMBER(FIND(SUBSTITUTE(PptoSty[[#This Row],[PiColumn]]," +%",""),UPPER(SUBSTITUTE(CstGrpS[GrpPrv],"  "," ")))),"X")))</f>
        <v>Hrs</v>
      </c>
      <c r="K147" s="96" t="s">
        <v>1418</v>
      </c>
      <c r="L147" s="96" t="s">
        <v>373</v>
      </c>
      <c r="M147" s="96" t="s">
        <v>375</v>
      </c>
      <c r="N147" s="96" t="str" cm="1">
        <f t="array" ref="N147">IF(OR(PptoSty[[#This Row],[Project]]="",PptoSty[[#This Row],[Project]]="X"),"X",_xlfn._xlws.FILTER(TbAssign[RowId],(TbAssign[Project]=PptoSty[[#This Row],[Project]])*(TbAssign[Módulo]=PptoSty[[#This Row],[PptoVsRow]]),"X"))</f>
        <v>XA01</v>
      </c>
      <c r="O147" s="96" t="str" cm="1">
        <f t="array" ref="O147">IF(OR(PptoSty[[#This Row],[Project]]="",PptoSty[[#This Row],[Project]]="X"),"X",_xlfn.UNIQUE(_xlfn._xlws.FILTER(F_RT14[Amortz.],(F_RT14[Measure]="CurPpto")*(F_RT14[PrjId]=PptoSty[[#This Row],[Project]])*(F_RT14[Vrs]=PptoSty[[#This Row],[Vrs]])*(_xlfn.TEXTAFTER(F_RT14[ActGrp],":")=PptoSty[[#This Row],[PiRow]]),"X")))</f>
        <v>GSDF</v>
      </c>
      <c r="P147" s="96" t="s">
        <v>358</v>
      </c>
      <c r="Q147" s="96" t="s">
        <v>373</v>
      </c>
      <c r="R147" s="204" t="s">
        <v>403</v>
      </c>
      <c r="S147" s="204">
        <v>1</v>
      </c>
      <c r="T147" s="205" t="str" cm="1">
        <f t="array" aca="1" ref="T14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47" s="206" cm="1">
        <f t="array" ref="U147">IFERROR((1/PptoSty[[#This Row],[Division]])*IF(PptoSty[[#This Row],[Sign]]="+",1,-1)*(IF(PptoSty[[#This Row],[POvsCT]]="PO",SUM(_xlfn.CHOOSECOLS(_xlfn._xlws.FILTER(F_RT14[],(IF($M147="X",TRUE,F_RT14[Site]=$M147))*(F_RT14[Measure]=U$4)*(F_RT14[PrjId]=PptoSty[[#This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1168.9254639175258</v>
      </c>
      <c r="V147" s="206" cm="1">
        <f t="array" ref="V147">IFERROR((1/PptoSty[[#This Row],[Division]])*IF(PptoSty[[#This Row],[Sign]]="+",1,-1)*(IF(PptoSty[[#This Row],[POvsCT]]="PO",SUM(_xlfn.CHOOSECOLS(_xlfn._xlws.FILTER(F_RT14[],(IF($M147="X",TRUE,F_RT14[Site]=$M147))*(F_RT14[Measure]=V$4)*(F_RT14[PrjId]=PptoSty[[#This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983.78927083124984</v>
      </c>
      <c r="W147" s="206" cm="1">
        <f t="array" ref="W147">IFERROR((1/PptoSty[[#This Row],[Division]])*IF(PptoSty[[#This Row],[Sign]]="+",1,-1)*(IF(PptoSty[[#This Row],[POvsCT]]="PO",SUM(_xlfn.CHOOSECOLS(_xlfn._xlws.FILTER(F_RT14[],(IF($M147="X",TRUE,F_RT14[Site]=$M147))*(F_RT14[Measure]=W$4)*(F_RT14[PrjId]=PptoSty[[#This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195.85372819999995</v>
      </c>
      <c r="X147" s="338" cm="1">
        <f t="array" ref="X147">IFERROR(IF(PptoSty[[#This Row],[Nature]]&lt;&gt;"Hrs",0,(1/PptoSty[[#This Row],[Division]])*IF(PptoSty[[#This Row],[Sign]]="+",1,-1)*(IF(PptoSty[[#This Row],[POvsCT]]="PO",SUM(_xlfn.CHOOSECOLS(_xlfn._xlws.FILTER(F_RT14[],(IF($M147="X",TRUE,F_RT14[Site]=$M147))*(F_RT14[Measure]=X$4)*(F_RT14[PrjId]=PptoSty[[#This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25.1875</v>
      </c>
      <c r="Y147" s="338" cm="1">
        <f t="array" ref="Y147">IFERROR(IF(PptoSty[[#This Row],[Nature]]&lt;&gt;"Hrs",0,(1/PptoSty[[#This Row],[Division]])*IF(PptoSty[[#This Row],[Sign]]="+",1,-1)*(IF(PptoSty[[#This Row],[POvsCT]]="PO",SUM(_xlfn.CHOOSECOLS(_xlfn._xlws.FILTER(F_RT14[],(IF($M147="X",TRUE,F_RT14[Site]=$M147))*(F_RT14[Measure]=Y$4)*(F_RT14[PrjId]=PptoSty[[#This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21.988687499999997</v>
      </c>
      <c r="Z147" s="338" cm="1">
        <f t="array" ref="Z147">IFERROR(IF(PptoSty[[#This Row],[Nature]]&lt;&gt;"Hrs",0,(1/PptoSty[[#This Row],[Division]])*IF(PptoSty[[#This Row],[Sign]]="+",1,-1)*(IF(PptoSty[[#This Row],[POvsCT]]="PO",SUM(_xlfn.CHOOSECOLS(_xlfn._xlws.FILTER(F_RT14[],(IF($M147="X",TRUE,F_RT14[Site]=$M147))*(F_RT14[Measure]=Z$4)*(F_RT14[PrjId]=PptoSty[[#This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2.4431874999999992</v>
      </c>
      <c r="AA147" s="206" cm="1">
        <f t="array" aca="1" ref="AA147"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26339.304639175261</v>
      </c>
      <c r="AB147" s="206" cm="1">
        <f t="array" aca="1" ref="AB147"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22167.644708656866</v>
      </c>
      <c r="AC147" s="206" cm="1">
        <f t="array" aca="1" ref="AC147"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4413.156343873331</v>
      </c>
      <c r="AG147"/>
      <c r="AH147"/>
      <c r="AI147"/>
      <c r="AK147" s="113"/>
      <c r="AO147"/>
      <c r="AP147"/>
      <c r="AZ147" s="175"/>
      <c r="BA147" s="175"/>
      <c r="BE147"/>
      <c r="BF147"/>
      <c r="DG147" s="175"/>
      <c r="DH147" s="175"/>
      <c r="DI147" s="175"/>
      <c r="DL147" s="108"/>
      <c r="DM147" s="366" t="str" cm="1">
        <f t="array" aca="1" ref="DM14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DN147:DR147</v>
      </c>
      <c r="DN147" s="177" t="s">
        <v>375</v>
      </c>
      <c r="DO147" s="177" t="str" cm="1">
        <f t="array" aca="1" ref="DO147:DR14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147" s="177" t="str">
        <f ca="1"/>
        <v>DEFINICIÓN</v>
      </c>
      <c r="DQ147" s="177" t="str">
        <f ca="1"/>
        <v>FABRICACIÓN MECÁNICA</v>
      </c>
      <c r="DR147" s="177" t="str">
        <f ca="1"/>
        <v>METROLOGÍA</v>
      </c>
      <c r="DS147" s="177"/>
      <c r="DT147" s="177"/>
      <c r="DU147" s="177"/>
      <c r="DV147" s="177"/>
      <c r="DW147" s="177"/>
      <c r="DX147" s="177"/>
      <c r="DY147" s="177"/>
      <c r="DZ147" s="177"/>
      <c r="EA147" s="177"/>
      <c r="EB147" s="177"/>
      <c r="EC147" s="177"/>
      <c r="ED147" s="177"/>
    </row>
    <row r="148" spans="3:134" ht="13" customHeight="1">
      <c r="C148" s="356">
        <v>45595</v>
      </c>
      <c r="D148" s="213" t="s">
        <v>2114</v>
      </c>
      <c r="E148" s="356" t="s">
        <v>1710</v>
      </c>
      <c r="F148" s="219" t="s">
        <v>375</v>
      </c>
      <c r="G148" s="201" t="s">
        <v>1415</v>
      </c>
      <c r="H148" s="202">
        <v>16</v>
      </c>
      <c r="I148" s="339" t="str" cm="1">
        <f t="array" aca="1" ref="I14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G005</v>
      </c>
      <c r="J148" s="203" t="str" cm="1">
        <f t="array" ref="J148">IF(OR(PptoSty[[#This Row],[Project]]="",PptoSty[[#This Row],[Project]]="X"),"X",_xlfn.UNIQUE(_xlfn._xlws.FILTER(CstGrpS[Nature],ISNUMBER(FIND(SUBSTITUTE(PptoSty[[#This Row],[PiColumn]]," +%",""),UPPER(SUBSTITUTE(CstGrpS[GrpPrv],"  "," ")))),"X")))</f>
        <v>Hrs</v>
      </c>
      <c r="K148" s="96" t="s">
        <v>1284</v>
      </c>
      <c r="L148" s="96" t="s">
        <v>1641</v>
      </c>
      <c r="M148" s="96" t="s">
        <v>375</v>
      </c>
      <c r="N148" s="96" t="str" cm="1">
        <f t="array" ref="N148">IF(OR(PptoSty[[#This Row],[Project]]="",PptoSty[[#This Row],[Project]]="X"),"X",_xlfn._xlws.FILTER(TbAssign[RowId],(TbAssign[Project]=PptoSty[[#This Row],[Project]])*(TbAssign[Módulo]=PptoSty[[#This Row],[PptoVsRow]]),"X"))</f>
        <v>XE01</v>
      </c>
      <c r="O148" s="96" t="str" cm="1">
        <f t="array" ref="O148">IF(OR(PptoSty[[#This Row],[Project]]="",PptoSty[[#This Row],[Project]]="X"),"X",_xlfn.UNIQUE(_xlfn._xlws.FILTER(F_RT14[Amortz.],(F_RT14[Measure]="CurPpto")*(F_RT14[PrjId]=PptoSty[[#This Row],[Project]])*(F_RT14[Vrs]=PptoSty[[#This Row],[Vrs]])*(_xlfn.TEXTAFTER(F_RT14[ActGrp],":")=PptoSty[[#This Row],[PiRow]]),"X")))</f>
        <v>PEMX</v>
      </c>
      <c r="P148" s="96" t="s">
        <v>1284</v>
      </c>
      <c r="Q148" s="96" t="s">
        <v>387</v>
      </c>
      <c r="R148" s="204" t="s">
        <v>403</v>
      </c>
      <c r="S148" s="204">
        <v>1</v>
      </c>
      <c r="T148" s="205" t="str" cm="1">
        <f t="array" aca="1" ref="T14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48" s="206" cm="1">
        <f t="array" ref="U148">IFERROR((1/PptoSty[[#This Row],[Division]])*IF(PptoSty[[#This Row],[Sign]]="+",1,-1)*(IF(PptoSty[[#This Row],[POvsCT]]="PO",SUM(_xlfn.CHOOSECOLS(_xlfn._xlws.FILTER(F_RT14[],(IF($M148="X",TRUE,F_RT14[Site]=$M148))*(F_RT14[Measure]=U$4)*(F_RT14[PrjId]=PptoSty[[#This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309.37391752577321</v>
      </c>
      <c r="V148" s="206" cm="1">
        <f t="array" ref="V148">IFERROR((1/PptoSty[[#This Row],[Division]])*IF(PptoSty[[#This Row],[Sign]]="+",1,-1)*(IF(PptoSty[[#This Row],[POvsCT]]="PO",SUM(_xlfn.CHOOSECOLS(_xlfn._xlws.FILTER(F_RT14[],(IF($M148="X",TRUE,F_RT14[Site]=$M148))*(F_RT14[Measure]=V$4)*(F_RT14[PrjId]=PptoSty[[#This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311.77681799999999</v>
      </c>
      <c r="W148" s="206" cm="1">
        <f t="array" ref="W148">IFERROR((1/PptoSty[[#This Row],[Division]])*IF(PptoSty[[#This Row],[Sign]]="+",1,-1)*(IF(PptoSty[[#This Row],[POvsCT]]="PO",SUM(_xlfn.CHOOSECOLS(_xlfn._xlws.FILTER(F_RT14[],(IF($M148="X",TRUE,F_RT14[Site]=$M148))*(F_RT14[Measure]=W$4)*(F_RT14[PrjId]=PptoSty[[#This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48" s="338" cm="1">
        <f t="array" ref="X148">IFERROR(IF(PptoSty[[#This Row],[Nature]]&lt;&gt;"Hrs",0,(1/PptoSty[[#This Row],[Division]])*IF(PptoSty[[#This Row],[Sign]]="+",1,-1)*(IF(PptoSty[[#This Row],[POvsCT]]="PO",SUM(_xlfn.CHOOSECOLS(_xlfn._xlws.FILTER(F_RT14[],(IF($M148="X",TRUE,F_RT14[Site]=$M148))*(F_RT14[Measure]=X$4)*(F_RT14[PrjId]=PptoSty[[#This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6.0000000000000009</v>
      </c>
      <c r="Y148" s="338" cm="1">
        <f t="array" ref="Y148">IFERROR(IF(PptoSty[[#This Row],[Nature]]&lt;&gt;"Hrs",0,(1/PptoSty[[#This Row],[Division]])*IF(PptoSty[[#This Row],[Sign]]="+",1,-1)*(IF(PptoSty[[#This Row],[POvsCT]]="PO",SUM(_xlfn.CHOOSECOLS(_xlfn._xlws.FILTER(F_RT14[],(IF($M148="X",TRUE,F_RT14[Site]=$M148))*(F_RT14[Measure]=Y$4)*(F_RT14[PrjId]=PptoSty[[#This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5.82</v>
      </c>
      <c r="Z148" s="338" cm="1">
        <f t="array" ref="Z148">IFERROR(IF(PptoSty[[#This Row],[Nature]]&lt;&gt;"Hrs",0,(1/PptoSty[[#This Row],[Division]])*IF(PptoSty[[#This Row],[Sign]]="+",1,-1)*(IF(PptoSty[[#This Row],[POvsCT]]="PO",SUM(_xlfn.CHOOSECOLS(_xlfn._xlws.FILTER(F_RT14[],(IF($M148="X",TRUE,F_RT14[Site]=$M148))*(F_RT14[Measure]=Z$4)*(F_RT14[PrjId]=PptoSty[[#This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48" s="206" cm="1">
        <f t="array" aca="1" ref="AA148"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58460.23123711341</v>
      </c>
      <c r="AB148" s="206" cm="1">
        <f t="array" aca="1" ref="AB148"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58914.315648449992</v>
      </c>
      <c r="AC148" s="206" cm="1">
        <f t="array" aca="1" ref="AC148"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148"/>
      <c r="AH148"/>
      <c r="AI148"/>
      <c r="AK148" s="113"/>
      <c r="AO148"/>
      <c r="AP148"/>
      <c r="AZ148" s="175"/>
      <c r="BA148" s="175"/>
      <c r="BE148"/>
      <c r="BF148"/>
      <c r="DG148" s="175"/>
      <c r="DH148" s="175"/>
      <c r="DI148" s="175"/>
      <c r="DL148" s="108"/>
      <c r="DM148" s="366" t="str" cm="1">
        <f t="array" aca="1" ref="DM14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DN148:DQ148</v>
      </c>
      <c r="DN148" s="177" t="s">
        <v>375</v>
      </c>
      <c r="DO148" s="177" t="str" cm="1">
        <f t="array" aca="1" ref="DO148:DQ14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FABRICACIÓN MECÁNICA</v>
      </c>
      <c r="DP148" s="177" t="str">
        <f ca="1"/>
        <v>GESTIÓN PROYECTOS</v>
      </c>
      <c r="DQ148" s="177" t="str">
        <f ca="1"/>
        <v>MONTAJE MECÁNICO</v>
      </c>
      <c r="DR148" s="177"/>
      <c r="DS148" s="177"/>
      <c r="DT148" s="177"/>
      <c r="DU148" s="177"/>
      <c r="DV148" s="177"/>
      <c r="DW148" s="177"/>
      <c r="DX148" s="177"/>
      <c r="DY148" s="177"/>
      <c r="DZ148" s="177"/>
      <c r="EA148" s="177"/>
      <c r="EB148" s="177"/>
      <c r="EC148" s="177"/>
      <c r="ED148" s="177"/>
    </row>
    <row r="149" spans="3:134" ht="13" customHeight="1">
      <c r="C149" s="356">
        <v>45595</v>
      </c>
      <c r="D149" s="213" t="s">
        <v>2114</v>
      </c>
      <c r="E149" s="356" t="s">
        <v>1710</v>
      </c>
      <c r="F149" s="219" t="s">
        <v>375</v>
      </c>
      <c r="G149" s="201" t="s">
        <v>1415</v>
      </c>
      <c r="H149" s="202">
        <v>16</v>
      </c>
      <c r="I149" s="339" t="str" cm="1">
        <f t="array" aca="1" ref="I14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G005</v>
      </c>
      <c r="J149" s="203" t="str" cm="1">
        <f t="array" ref="J149">IF(OR(PptoSty[[#This Row],[Project]]="",PptoSty[[#This Row],[Project]]="X"),"X",_xlfn.UNIQUE(_xlfn._xlws.FILTER(CstGrpS[Nature],ISNUMBER(FIND(SUBSTITUTE(PptoSty[[#This Row],[PiColumn]]," +%",""),UPPER(SUBSTITUTE(CstGrpS[GrpPrv],"  "," ")))),"X")))</f>
        <v>Hrs</v>
      </c>
      <c r="K149" s="96" t="s">
        <v>1284</v>
      </c>
      <c r="L149" s="96" t="s">
        <v>379</v>
      </c>
      <c r="M149" s="96" t="s">
        <v>375</v>
      </c>
      <c r="N149" s="96" t="str" cm="1">
        <f t="array" ref="N149">IF(OR(PptoSty[[#This Row],[Project]]="",PptoSty[[#This Row],[Project]]="X"),"X",_xlfn._xlws.FILTER(TbAssign[RowId],(TbAssign[Project]=PptoSty[[#This Row],[Project]])*(TbAssign[Módulo]=PptoSty[[#This Row],[PptoVsRow]]),"X"))</f>
        <v>XE01</v>
      </c>
      <c r="O149" s="96" t="str" cm="1">
        <f t="array" ref="O149">IF(OR(PptoSty[[#This Row],[Project]]="",PptoSty[[#This Row],[Project]]="X"),"X",_xlfn.UNIQUE(_xlfn._xlws.FILTER(F_RT14[Amortz.],(F_RT14[Measure]="CurPpto")*(F_RT14[PrjId]=PptoSty[[#This Row],[Project]])*(F_RT14[Vrs]=PptoSty[[#This Row],[Vrs]])*(_xlfn.TEXTAFTER(F_RT14[ActGrp],":")=PptoSty[[#This Row],[PiRow]]),"X")))</f>
        <v>PEMX</v>
      </c>
      <c r="P149" s="96" t="s">
        <v>298</v>
      </c>
      <c r="Q149" s="96" t="s">
        <v>1667</v>
      </c>
      <c r="R149" s="204" t="s">
        <v>403</v>
      </c>
      <c r="S149" s="204">
        <v>1</v>
      </c>
      <c r="T149" s="205" t="str" cm="1">
        <f t="array" aca="1" ref="T14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49" s="206" cm="1">
        <f t="array" ref="U149">IFERROR((1/PptoSty[[#This Row],[Division]])*IF(PptoSty[[#This Row],[Sign]]="+",1,-1)*(IF(PptoSty[[#This Row],[POvsCT]]="PO",SUM(_xlfn.CHOOSECOLS(_xlfn._xlws.FILTER(F_RT14[],(IF($M149="X",TRUE,F_RT14[Site]=$M149))*(F_RT14[Measure]=U$4)*(F_RT14[PrjId]=PptoSty[[#This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1912.7584536082475</v>
      </c>
      <c r="V149" s="206" cm="1">
        <f t="array" ref="V149">IFERROR((1/PptoSty[[#This Row],[Division]])*IF(PptoSty[[#This Row],[Sign]]="+",1,-1)*(IF(PptoSty[[#This Row],[POvsCT]]="PO",SUM(_xlfn.CHOOSECOLS(_xlfn._xlws.FILTER(F_RT14[],(IF($M149="X",TRUE,F_RT14[Site]=$M149))*(F_RT14[Measure]=V$4)*(F_RT14[PrjId]=PptoSty[[#This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185.79286879999998</v>
      </c>
      <c r="W149" s="206" cm="1">
        <f t="array" ref="W149">IFERROR((1/PptoSty[[#This Row],[Division]])*IF(PptoSty[[#This Row],[Sign]]="+",1,-1)*(IF(PptoSty[[#This Row],[POvsCT]]="PO",SUM(_xlfn.CHOOSECOLS(_xlfn._xlws.FILTER(F_RT14[],(IF($M149="X",TRUE,F_RT14[Site]=$M149))*(F_RT14[Measure]=W$4)*(F_RT14[PrjId]=PptoSty[[#This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1877.7322079999999</v>
      </c>
      <c r="X149" s="338" cm="1">
        <f t="array" ref="X149">IFERROR(IF(PptoSty[[#This Row],[Nature]]&lt;&gt;"Hrs",0,(1/PptoSty[[#This Row],[Division]])*IF(PptoSty[[#This Row],[Sign]]="+",1,-1)*(IF(PptoSty[[#This Row],[POvsCT]]="PO",SUM(_xlfn.CHOOSECOLS(_xlfn._xlws.FILTER(F_RT14[],(IF($M149="X",TRUE,F_RT14[Site]=$M149))*(F_RT14[Measure]=X$4)*(F_RT14[PrjId]=PptoSty[[#This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44</v>
      </c>
      <c r="Y149" s="338" cm="1">
        <f t="array" ref="Y149">IFERROR(IF(PptoSty[[#This Row],[Nature]]&lt;&gt;"Hrs",0,(1/PptoSty[[#This Row],[Division]])*IF(PptoSty[[#This Row],[Sign]]="+",1,-1)*(IF(PptoSty[[#This Row],[POvsCT]]="PO",SUM(_xlfn.CHOOSECOLS(_xlfn._xlws.FILTER(F_RT14[],(IF($M149="X",TRUE,F_RT14[Site]=$M149))*(F_RT14[Measure]=Y$4)*(F_RT14[PrjId]=PptoSty[[#This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4.2679999999999998</v>
      </c>
      <c r="Z149" s="338" cm="1">
        <f t="array" ref="Z149">IFERROR(IF(PptoSty[[#This Row],[Nature]]&lt;&gt;"Hrs",0,(1/PptoSty[[#This Row],[Division]])*IF(PptoSty[[#This Row],[Sign]]="+",1,-1)*(IF(PptoSty[[#This Row],[POvsCT]]="PO",SUM(_xlfn.CHOOSECOLS(_xlfn._xlws.FILTER(F_RT14[],(IF($M149="X",TRUE,F_RT14[Site]=$M149))*(F_RT14[Measure]=Z$4)*(F_RT14[PrjId]=PptoSty[[#This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38.411999999999999</v>
      </c>
      <c r="AA149" s="206" cm="1">
        <f t="array" aca="1" ref="AA149"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1912.7584536082475</v>
      </c>
      <c r="AB149" s="206" cm="1">
        <f t="array" aca="1" ref="AB149"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185.79286879999998</v>
      </c>
      <c r="AC149" s="206" cm="1">
        <f t="array" aca="1" ref="AC149"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1877.7322079999999</v>
      </c>
      <c r="AG149"/>
      <c r="AH149"/>
      <c r="AI149"/>
      <c r="AK149" s="113"/>
      <c r="AO149"/>
      <c r="AP149"/>
      <c r="AZ149" s="175"/>
      <c r="BA149" s="175"/>
      <c r="BE149"/>
      <c r="BF149"/>
      <c r="DG149" s="175"/>
      <c r="DH149" s="175"/>
      <c r="DI149" s="175"/>
      <c r="DL149" s="108"/>
      <c r="DM149" s="366" t="str" cm="1">
        <f t="array" aca="1" ref="DM149"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DN149:DQ149</v>
      </c>
      <c r="DN149" s="177" t="s">
        <v>375</v>
      </c>
      <c r="DO149" s="177" t="str" cm="1">
        <f t="array" aca="1" ref="DO149:DQ149"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FABRICACIÓN MECÁNICA</v>
      </c>
      <c r="DP149" s="177" t="str">
        <f ca="1"/>
        <v>GESTIÓN PROYECTOS</v>
      </c>
      <c r="DQ149" s="177" t="str">
        <f ca="1"/>
        <v>MONTAJE MECÁNICO</v>
      </c>
      <c r="DR149" s="177"/>
      <c r="DS149" s="177"/>
      <c r="DT149" s="177"/>
      <c r="DU149" s="177"/>
      <c r="DV149" s="177"/>
      <c r="DW149" s="177"/>
      <c r="DX149" s="177"/>
      <c r="DY149" s="177"/>
      <c r="DZ149" s="177"/>
      <c r="EA149" s="177"/>
      <c r="EB149" s="177"/>
      <c r="EC149" s="177"/>
      <c r="ED149" s="177"/>
    </row>
    <row r="150" spans="3:134" ht="13" customHeight="1">
      <c r="C150" s="356">
        <v>45595</v>
      </c>
      <c r="D150" s="213" t="s">
        <v>2114</v>
      </c>
      <c r="E150" s="356" t="s">
        <v>1710</v>
      </c>
      <c r="F150" s="219" t="s">
        <v>375</v>
      </c>
      <c r="G150" s="201" t="s">
        <v>1415</v>
      </c>
      <c r="H150" s="202">
        <v>16</v>
      </c>
      <c r="I150" s="339" t="str" cm="1">
        <f t="array" aca="1" ref="I15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G005</v>
      </c>
      <c r="J150" s="203" t="str" cm="1">
        <f t="array" ref="J150">IF(OR(PptoSty[[#This Row],[Project]]="",PptoSty[[#This Row],[Project]]="X"),"X",_xlfn.UNIQUE(_xlfn._xlws.FILTER(CstGrpS[Nature],ISNUMBER(FIND(SUBSTITUTE(PptoSty[[#This Row],[PiColumn]]," +%",""),UPPER(SUBSTITUTE(CstGrpS[GrpPrv],"  "," ")))),"X")))</f>
        <v>Hrs</v>
      </c>
      <c r="K150" s="96" t="s">
        <v>1284</v>
      </c>
      <c r="L150" s="96" t="s">
        <v>380</v>
      </c>
      <c r="M150" s="96" t="s">
        <v>375</v>
      </c>
      <c r="N150" s="96" t="str" cm="1">
        <f t="array" ref="N150">IF(OR(PptoSty[[#This Row],[Project]]="",PptoSty[[#This Row],[Project]]="X"),"X",_xlfn._xlws.FILTER(TbAssign[RowId],(TbAssign[Project]=PptoSty[[#This Row],[Project]])*(TbAssign[Módulo]=PptoSty[[#This Row],[PptoVsRow]]),"X"))</f>
        <v>XE01</v>
      </c>
      <c r="O150" s="96" t="str" cm="1">
        <f t="array" ref="O150">IF(OR(PptoSty[[#This Row],[Project]]="",PptoSty[[#This Row],[Project]]="X"),"X",_xlfn.UNIQUE(_xlfn._xlws.FILTER(F_RT14[Amortz.],(F_RT14[Measure]="CurPpto")*(F_RT14[PrjId]=PptoSty[[#This Row],[Project]])*(F_RT14[Vrs]=PptoSty[[#This Row],[Vrs]])*(_xlfn.TEXTAFTER(F_RT14[ActGrp],":")=PptoSty[[#This Row],[PiRow]]),"X")))</f>
        <v>PEMX</v>
      </c>
      <c r="P150" s="96" t="s">
        <v>298</v>
      </c>
      <c r="Q150" s="96" t="s">
        <v>380</v>
      </c>
      <c r="R150" s="204" t="s">
        <v>403</v>
      </c>
      <c r="S150" s="204">
        <v>1</v>
      </c>
      <c r="T150" s="205" t="str" cm="1">
        <f t="array" aca="1" ref="T15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50" s="206" cm="1">
        <f t="array" ref="U150">IFERROR((1/PptoSty[[#This Row],[Division]])*IF(PptoSty[[#This Row],[Sign]]="+",1,-1)*(IF(PptoSty[[#This Row],[POvsCT]]="PO",SUM(_xlfn.CHOOSECOLS(_xlfn._xlws.FILTER(F_RT14[],(IF($M150="X",TRUE,F_RT14[Site]=$M150))*(F_RT14[Measure]=U$4)*(F_RT14[PrjId]=PptoSty[[#This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1391.0238144329899</v>
      </c>
      <c r="V150" s="206" cm="1">
        <f t="array" ref="V150">IFERROR((1/PptoSty[[#This Row],[Division]])*IF(PptoSty[[#This Row],[Sign]]="+",1,-1)*(IF(PptoSty[[#This Row],[POvsCT]]="PO",SUM(_xlfn.CHOOSECOLS(_xlfn._xlws.FILTER(F_RT14[],(IF($M150="X",TRUE,F_RT14[Site]=$M150))*(F_RT14[Measure]=V$4)*(F_RT14[PrjId]=PptoSty[[#This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785.12731199999996</v>
      </c>
      <c r="W150" s="206" cm="1">
        <f t="array" ref="W150">IFERROR((1/PptoSty[[#This Row],[Division]])*IF(PptoSty[[#This Row],[Sign]]="+",1,-1)*(IF(PptoSty[[#This Row],[POvsCT]]="PO",SUM(_xlfn.CHOOSECOLS(_xlfn._xlws.FILTER(F_RT14[],(IF($M150="X",TRUE,F_RT14[Site]=$M150))*(F_RT14[Measure]=W$4)*(F_RT14[PrjId]=PptoSty[[#This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1376.748063</v>
      </c>
      <c r="X150" s="338" cm="1">
        <f t="array" ref="X150">IFERROR(IF(PptoSty[[#This Row],[Nature]]&lt;&gt;"Hrs",0,(1/PptoSty[[#This Row],[Division]])*IF(PptoSty[[#This Row],[Sign]]="+",1,-1)*(IF(PptoSty[[#This Row],[POvsCT]]="PO",SUM(_xlfn.CHOOSECOLS(_xlfn._xlws.FILTER(F_RT14[],(IF($M150="X",TRUE,F_RT14[Site]=$M150))*(F_RT14[Measure]=X$4)*(F_RT14[PrjId]=PptoSty[[#This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45</v>
      </c>
      <c r="Y150" s="338" cm="1">
        <f t="array" ref="Y150">IFERROR(IF(PptoSty[[#This Row],[Nature]]&lt;&gt;"Hrs",0,(1/PptoSty[[#This Row],[Division]])*IF(PptoSty[[#This Row],[Sign]]="+",1,-1)*(IF(PptoSty[[#This Row],[POvsCT]]="PO",SUM(_xlfn.CHOOSECOLS(_xlfn._xlws.FILTER(F_RT14[],(IF($M150="X",TRUE,F_RT14[Site]=$M150))*(F_RT14[Measure]=Y$4)*(F_RT14[PrjId]=PptoSty[[#This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17.46</v>
      </c>
      <c r="Z150" s="338" cm="1">
        <f t="array" ref="Z150">IFERROR(IF(PptoSty[[#This Row],[Nature]]&lt;&gt;"Hrs",0,(1/PptoSty[[#This Row],[Division]])*IF(PptoSty[[#This Row],[Sign]]="+",1,-1)*(IF(PptoSty[[#This Row],[POvsCT]]="PO",SUM(_xlfn.CHOOSECOLS(_xlfn._xlws.FILTER(F_RT14[],(IF($M150="X",TRUE,F_RT14[Site]=$M150))*(F_RT14[Measure]=Z$4)*(F_RT14[PrjId]=PptoSty[[#This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26.189999999999998</v>
      </c>
      <c r="AA150" s="206" cm="1">
        <f t="array" aca="1" ref="AA150"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23720.120979381441</v>
      </c>
      <c r="AB150" s="206" cm="1">
        <f t="array" aca="1" ref="AB150"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13651.18304648</v>
      </c>
      <c r="AC150" s="206" cm="1">
        <f t="array" aca="1" ref="AC150"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23937.824515394997</v>
      </c>
      <c r="AG150"/>
      <c r="AH150"/>
      <c r="AI150"/>
      <c r="AK150" s="113"/>
      <c r="AO150"/>
      <c r="AP150"/>
      <c r="AZ150" s="175"/>
      <c r="BA150" s="175"/>
      <c r="BE150"/>
      <c r="BF150"/>
      <c r="DG150" s="175"/>
      <c r="DH150" s="175"/>
      <c r="DI150" s="175"/>
      <c r="DL150" s="108"/>
      <c r="DM150" s="366" t="str" cm="1">
        <f t="array" aca="1" ref="DM150"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DN150:DQ150</v>
      </c>
      <c r="DN150" s="177" t="s">
        <v>375</v>
      </c>
      <c r="DO150" s="177" t="str" cm="1">
        <f t="array" aca="1" ref="DO150:DQ150"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FABRICACIÓN MECÁNICA</v>
      </c>
      <c r="DP150" s="177" t="str">
        <f ca="1"/>
        <v>GESTIÓN PROYECTOS</v>
      </c>
      <c r="DQ150" s="177" t="str">
        <f ca="1"/>
        <v>MONTAJE MECÁNICO</v>
      </c>
      <c r="DR150" s="177"/>
      <c r="DS150" s="177"/>
      <c r="DT150" s="177"/>
      <c r="DU150" s="177"/>
      <c r="DV150" s="177"/>
      <c r="DW150" s="177"/>
      <c r="DX150" s="177"/>
      <c r="DY150" s="177"/>
      <c r="DZ150" s="177"/>
      <c r="EA150" s="177"/>
      <c r="EB150" s="177"/>
      <c r="EC150" s="177"/>
      <c r="ED150" s="177"/>
    </row>
    <row r="151" spans="3:134" ht="13" customHeight="1">
      <c r="C151" s="356">
        <v>45595</v>
      </c>
      <c r="D151" s="213" t="s">
        <v>2114</v>
      </c>
      <c r="E151" s="356" t="s">
        <v>1710</v>
      </c>
      <c r="F151" s="219" t="s">
        <v>375</v>
      </c>
      <c r="G151" s="201" t="s">
        <v>1415</v>
      </c>
      <c r="H151" s="202">
        <v>16</v>
      </c>
      <c r="I151" s="339" t="str" cm="1">
        <f t="array" aca="1" ref="I15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G010</v>
      </c>
      <c r="J151" s="203" t="str" cm="1">
        <f t="array" ref="J151">IF(OR(PptoSty[[#This Row],[Project]]="",PptoSty[[#This Row],[Project]]="X"),"X",_xlfn.UNIQUE(_xlfn._xlws.FILTER(CstGrpS[Nature],ISNUMBER(FIND(SUBSTITUTE(PptoSty[[#This Row],[PiColumn]]," +%",""),UPPER(SUBSTITUTE(CstGrpS[GrpPrv],"  "," ")))),"X")))</f>
        <v>Hrs</v>
      </c>
      <c r="K151" s="96" t="s">
        <v>360</v>
      </c>
      <c r="L151" s="96" t="s">
        <v>360</v>
      </c>
      <c r="M151" s="96" t="s">
        <v>375</v>
      </c>
      <c r="N151" s="96" t="str" cm="1">
        <f t="array" ref="N151">IF(OR(PptoSty[[#This Row],[Project]]="",PptoSty[[#This Row],[Project]]="X"),"X",_xlfn._xlws.FILTER(TbAssign[RowId],(TbAssign[Project]=PptoSty[[#This Row],[Project]])*(TbAssign[Módulo]=PptoSty[[#This Row],[PptoVsRow]]),"X"))</f>
        <v>XB02</v>
      </c>
      <c r="O151" s="96" t="str" cm="1">
        <f t="array" ref="O151">IF(OR(PptoSty[[#This Row],[Project]]="",PptoSty[[#This Row],[Project]]="X"),"X",_xlfn.UNIQUE(_xlfn._xlws.FILTER(F_RT14[Amortz.],(F_RT14[Measure]="CurPpto")*(F_RT14[PrjId]=PptoSty[[#This Row],[Project]])*(F_RT14[Vrs]=PptoSty[[#This Row],[Vrs]])*(_xlfn.TEXTAFTER(F_RT14[ActGrp],":")=PptoSty[[#This Row],[PiRow]]),"X")))</f>
        <v>DISI</v>
      </c>
      <c r="P151" s="96" t="s">
        <v>360</v>
      </c>
      <c r="Q151" s="96" t="s">
        <v>360</v>
      </c>
      <c r="R151" s="204" t="s">
        <v>403</v>
      </c>
      <c r="S151" s="204">
        <v>1</v>
      </c>
      <c r="T151" s="205" t="str" cm="1">
        <f t="array" aca="1" ref="T15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51" s="206" cm="1">
        <f t="array" ref="U151">IFERROR((1/PptoSty[[#This Row],[Division]])*IF(PptoSty[[#This Row],[Sign]]="+",1,-1)*(IF(PptoSty[[#This Row],[POvsCT]]="PO",SUM(_xlfn.CHOOSECOLS(_xlfn._xlws.FILTER(F_RT14[],(IF($M151="X",TRUE,F_RT14[Site]=$M151))*(F_RT14[Measure]=U$4)*(F_RT14[PrjId]=PptoSty[[#This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28401.500515463918</v>
      </c>
      <c r="V151" s="206" cm="1">
        <f t="array" ref="V151">IFERROR((1/PptoSty[[#This Row],[Division]])*IF(PptoSty[[#This Row],[Sign]]="+",1,-1)*(IF(PptoSty[[#This Row],[POvsCT]]="PO",SUM(_xlfn.CHOOSECOLS(_xlfn._xlws.FILTER(F_RT14[],(IF($M151="X",TRUE,F_RT14[Site]=$M151))*(F_RT14[Measure]=V$4)*(F_RT14[PrjId]=PptoSty[[#This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13810.504017072917</v>
      </c>
      <c r="W151" s="206" cm="1">
        <f t="array" ref="W151">IFERROR((1/PptoSty[[#This Row],[Division]])*IF(PptoSty[[#This Row],[Sign]]="+",1,-1)*(IF(PptoSty[[#This Row],[POvsCT]]="PO",SUM(_xlfn.CHOOSECOLS(_xlfn._xlws.FILTER(F_RT14[],(IF($M151="X",TRUE,F_RT14[Site]=$M151))*(F_RT14[Measure]=W$4)*(F_RT14[PrjId]=PptoSty[[#This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14936.547947385418</v>
      </c>
      <c r="X151" s="338" cm="1">
        <f t="array" ref="X151">IFERROR(IF(PptoSty[[#This Row],[Nature]]&lt;&gt;"Hrs",0,(1/PptoSty[[#This Row],[Division]])*IF(PptoSty[[#This Row],[Sign]]="+",1,-1)*(IF(PptoSty[[#This Row],[POvsCT]]="PO",SUM(_xlfn.CHOOSECOLS(_xlfn._xlws.FILTER(F_RT14[],(IF($M151="X",TRUE,F_RT14[Site]=$M151))*(F_RT14[Measure]=X$4)*(F_RT14[PrjId]=PptoSty[[#This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585.85416666666674</v>
      </c>
      <c r="Y151" s="338" cm="1">
        <f t="array" ref="Y151">IFERROR(IF(PptoSty[[#This Row],[Nature]]&lt;&gt;"Hrs",0,(1/PptoSty[[#This Row],[Division]])*IF(PptoSty[[#This Row],[Sign]]="+",1,-1)*(IF(PptoSty[[#This Row],[POvsCT]]="PO",SUM(_xlfn.CHOOSECOLS(_xlfn._xlws.FILTER(F_RT14[],(IF($M151="X",TRUE,F_RT14[Site]=$M151))*(F_RT14[Measure]=Y$4)*(F_RT14[PrjId]=PptoSty[[#This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284.13927083333334</v>
      </c>
      <c r="Z151" s="338" cm="1">
        <f t="array" ref="Z151">IFERROR(IF(PptoSty[[#This Row],[Nature]]&lt;&gt;"Hrs",0,(1/PptoSty[[#This Row],[Division]])*IF(PptoSty[[#This Row],[Sign]]="+",1,-1)*(IF(PptoSty[[#This Row],[POvsCT]]="PO",SUM(_xlfn.CHOOSECOLS(_xlfn._xlws.FILTER(F_RT14[],(IF($M151="X",TRUE,F_RT14[Site]=$M151))*(F_RT14[Measure]=Z$4)*(F_RT14[PrjId]=PptoSty[[#This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284.13927083333334</v>
      </c>
      <c r="AA151" s="206" cm="1">
        <f t="array" aca="1" ref="AA151"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123154.74804123712</v>
      </c>
      <c r="AB151" s="206" cm="1">
        <f t="array" aca="1" ref="AB151"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59885.185998207919</v>
      </c>
      <c r="AC151" s="206" cm="1">
        <f t="array" aca="1" ref="AC151"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64767.944087670418</v>
      </c>
      <c r="AG151"/>
      <c r="AH151"/>
      <c r="AI151"/>
      <c r="AK151" s="113"/>
      <c r="AO151"/>
      <c r="AP151"/>
      <c r="AZ151" s="175"/>
      <c r="BA151" s="175"/>
      <c r="BE151"/>
      <c r="BF151"/>
      <c r="DG151" s="175"/>
      <c r="DH151" s="175"/>
      <c r="DI151" s="175"/>
      <c r="DL151" s="108"/>
      <c r="DM151" s="366" t="str" cm="1">
        <f t="array" aca="1" ref="DM151"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DN151:DO151</v>
      </c>
      <c r="DN151" s="177" t="s">
        <v>375</v>
      </c>
      <c r="DO151" s="177" t="str" cm="1">
        <f t="array" aca="1" ref="DO151"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ROBCAD</v>
      </c>
      <c r="DP151" s="177"/>
      <c r="DQ151" s="177"/>
      <c r="DR151" s="177"/>
      <c r="DS151" s="177"/>
      <c r="DT151" s="177"/>
      <c r="DU151" s="177"/>
      <c r="DV151" s="177"/>
      <c r="DW151" s="177"/>
      <c r="DX151" s="177"/>
      <c r="DY151" s="177"/>
      <c r="DZ151" s="177"/>
      <c r="EA151" s="177"/>
      <c r="EB151" s="177"/>
      <c r="EC151" s="177"/>
      <c r="ED151" s="177"/>
    </row>
    <row r="152" spans="3:134" ht="13" customHeight="1">
      <c r="C152" s="356">
        <v>45595</v>
      </c>
      <c r="D152" s="213" t="s">
        <v>2114</v>
      </c>
      <c r="E152" s="356" t="s">
        <v>1710</v>
      </c>
      <c r="F152" s="219" t="s">
        <v>375</v>
      </c>
      <c r="G152" s="201" t="s">
        <v>1415</v>
      </c>
      <c r="H152" s="202">
        <v>16</v>
      </c>
      <c r="I152" s="339" t="str" cm="1">
        <f t="array" aca="1" ref="I15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G011</v>
      </c>
      <c r="J152" s="203" t="str" cm="1">
        <f t="array" ref="J152">IF(OR(PptoSty[[#This Row],[Project]]="",PptoSty[[#This Row],[Project]]="X"),"X",_xlfn.UNIQUE(_xlfn._xlws.FILTER(CstGrpS[Nature],ISNUMBER(FIND(SUBSTITUTE(PptoSty[[#This Row],[PiColumn]]," +%",""),UPPER(SUBSTITUTE(CstGrpS[GrpPrv],"  "," ")))),"X")))</f>
        <v>Hrs</v>
      </c>
      <c r="K152" s="96" t="s">
        <v>1420</v>
      </c>
      <c r="L152" s="96" t="s">
        <v>1643</v>
      </c>
      <c r="M152" s="96" t="s">
        <v>375</v>
      </c>
      <c r="N152" s="96" t="str" cm="1">
        <f t="array" ref="N152">IF(OR(PptoSty[[#This Row],[Project]]="",PptoSty[[#This Row],[Project]]="X"),"X",_xlfn._xlws.FILTER(TbAssign[RowId],(TbAssign[Project]=PptoSty[[#This Row],[Project]])*(TbAssign[Módulo]=PptoSty[[#This Row],[PptoVsRow]]),"X"))</f>
        <v>XB01</v>
      </c>
      <c r="O152" s="96" t="str" cm="1">
        <f t="array" ref="O152">IF(OR(PptoSty[[#This Row],[Project]]="",PptoSty[[#This Row],[Project]]="X"),"X",_xlfn.UNIQUE(_xlfn._xlws.FILTER(F_RT14[Amortz.],(F_RT14[Measure]="CurPpto")*(F_RT14[PrjId]=PptoSty[[#This Row],[Project]])*(F_RT14[Vrs]=PptoSty[[#This Row],[Vrs]])*(_xlfn.TEXTAFTER(F_RT14[ActGrp],":")=PptoSty[[#This Row],[PiRow]]),"X")))</f>
        <v>DISI</v>
      </c>
      <c r="P152" s="96" t="s">
        <v>428</v>
      </c>
      <c r="Q152" s="96" t="s">
        <v>377</v>
      </c>
      <c r="R152" s="204" t="s">
        <v>403</v>
      </c>
      <c r="S152" s="204">
        <v>1</v>
      </c>
      <c r="T152" s="205" t="str" cm="1">
        <f t="array" aca="1" ref="T15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52" s="206" cm="1">
        <f t="array" ref="U152">IFERROR((1/PptoSty[[#This Row],[Division]])*IF(PptoSty[[#This Row],[Sign]]="+",1,-1)*(IF(PptoSty[[#This Row],[POvsCT]]="PO",SUM(_xlfn.CHOOSECOLS(_xlfn._xlws.FILTER(F_RT14[],(IF($M152="X",TRUE,F_RT14[Site]=$M152))*(F_RT14[Measure]=U$4)*(F_RT14[PrjId]=PptoSty[[#This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297.98175257731958</v>
      </c>
      <c r="V152" s="206" cm="1">
        <f t="array" ref="V152">IFERROR((1/PptoSty[[#This Row],[Division]])*IF(PptoSty[[#This Row],[Sign]]="+",1,-1)*(IF(PptoSty[[#This Row],[POvsCT]]="PO",SUM(_xlfn.CHOOSECOLS(_xlfn._xlws.FILTER(F_RT14[],(IF($M152="X",TRUE,F_RT14[Site]=$M152))*(F_RT14[Measure]=V$4)*(F_RT14[PrjId]=PptoSty[[#This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144.26864319999999</v>
      </c>
      <c r="W152" s="206" cm="1">
        <f t="array" ref="W152">IFERROR((1/PptoSty[[#This Row],[Division]])*IF(PptoSty[[#This Row],[Sign]]="+",1,-1)*(IF(PptoSty[[#This Row],[POvsCT]]="PO",SUM(_xlfn.CHOOSECOLS(_xlfn._xlws.FILTER(F_RT14[],(IF($M152="X",TRUE,F_RT14[Site]=$M152))*(F_RT14[Measure]=W$4)*(F_RT14[PrjId]=PptoSty[[#This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157.3439328</v>
      </c>
      <c r="X152" s="338" cm="1">
        <f t="array" ref="X152">IFERROR(IF(PptoSty[[#This Row],[Nature]]&lt;&gt;"Hrs",0,(1/PptoSty[[#This Row],[Division]])*IF(PptoSty[[#This Row],[Sign]]="+",1,-1)*(IF(PptoSty[[#This Row],[POvsCT]]="PO",SUM(_xlfn.CHOOSECOLS(_xlfn._xlws.FILTER(F_RT14[],(IF($M152="X",TRUE,F_RT14[Site]=$M152))*(F_RT14[Measure]=X$4)*(F_RT14[PrjId]=PptoSty[[#This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6.4</v>
      </c>
      <c r="Y152" s="338" cm="1">
        <f t="array" ref="Y152">IFERROR(IF(PptoSty[[#This Row],[Nature]]&lt;&gt;"Hrs",0,(1/PptoSty[[#This Row],[Division]])*IF(PptoSty[[#This Row],[Sign]]="+",1,-1)*(IF(PptoSty[[#This Row],[POvsCT]]="PO",SUM(_xlfn.CHOOSECOLS(_xlfn._xlws.FILTER(F_RT14[],(IF($M152="X",TRUE,F_RT14[Site]=$M152))*(F_RT14[Measure]=Y$4)*(F_RT14[PrjId]=PptoSty[[#This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3.1040000000000001</v>
      </c>
      <c r="Z152" s="338" cm="1">
        <f t="array" ref="Z152">IFERROR(IF(PptoSty[[#This Row],[Nature]]&lt;&gt;"Hrs",0,(1/PptoSty[[#This Row],[Division]])*IF(PptoSty[[#This Row],[Sign]]="+",1,-1)*(IF(PptoSty[[#This Row],[POvsCT]]="PO",SUM(_xlfn.CHOOSECOLS(_xlfn._xlws.FILTER(F_RT14[],(IF($M152="X",TRUE,F_RT14[Site]=$M152))*(F_RT14[Measure]=Z$4)*(F_RT14[PrjId]=PptoSty[[#This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3.1040000000000001</v>
      </c>
      <c r="AA152" s="206" cm="1">
        <f t="array" aca="1" ref="AA152"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28410.701443298967</v>
      </c>
      <c r="AB152" s="206" cm="1">
        <f t="array" aca="1" ref="AB152"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13755.1134501</v>
      </c>
      <c r="AC152" s="206" cm="1">
        <f t="array" aca="1" ref="AC152"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15001.760592900002</v>
      </c>
      <c r="AG152"/>
      <c r="AH152"/>
      <c r="AI152"/>
      <c r="AK152" s="113"/>
      <c r="AO152"/>
      <c r="AP152"/>
      <c r="AZ152" s="175"/>
      <c r="BA152" s="175"/>
      <c r="BE152"/>
      <c r="BF152"/>
      <c r="DG152" s="175"/>
      <c r="DH152" s="175"/>
      <c r="DI152" s="175"/>
      <c r="DL152" s="108"/>
      <c r="DM152" s="366" t="str" cm="1">
        <f t="array" aca="1" ref="DM152"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DN152:DO152</v>
      </c>
      <c r="DN152" s="177" t="s">
        <v>375</v>
      </c>
      <c r="DO152" s="177" t="str" cm="1">
        <f t="array" aca="1" ref="DO152"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152" s="177"/>
      <c r="DQ152" s="177"/>
      <c r="DR152" s="177"/>
      <c r="DS152" s="177"/>
      <c r="DT152" s="177"/>
      <c r="DU152" s="177"/>
      <c r="DV152" s="177"/>
      <c r="DW152" s="177"/>
      <c r="DX152" s="177"/>
      <c r="DY152" s="177"/>
      <c r="DZ152" s="177"/>
      <c r="EA152" s="177"/>
      <c r="EB152" s="177"/>
      <c r="EC152" s="177"/>
      <c r="ED152" s="177"/>
    </row>
    <row r="153" spans="3:134" ht="13" customHeight="1">
      <c r="C153" s="356">
        <v>45595</v>
      </c>
      <c r="D153" s="213" t="s">
        <v>2114</v>
      </c>
      <c r="E153" s="356" t="s">
        <v>1710</v>
      </c>
      <c r="F153" s="219" t="s">
        <v>375</v>
      </c>
      <c r="G153" s="201" t="s">
        <v>1415</v>
      </c>
      <c r="H153" s="202">
        <v>16</v>
      </c>
      <c r="I153" s="339" t="str" cm="1">
        <f t="array" aca="1" ref="I15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G012</v>
      </c>
      <c r="J153" s="203" t="str" cm="1">
        <f t="array" ref="J153">IF(OR(PptoSty[[#This Row],[Project]]="",PptoSty[[#This Row],[Project]]="X"),"X",_xlfn.UNIQUE(_xlfn._xlws.FILTER(CstGrpS[Nature],ISNUMBER(FIND(SUBSTITUTE(PptoSty[[#This Row],[PiColumn]]," +%",""),UPPER(SUBSTITUTE(CstGrpS[GrpPrv],"  "," ")))),"X")))</f>
        <v>Hrs</v>
      </c>
      <c r="K153" s="96" t="s">
        <v>1421</v>
      </c>
      <c r="L153" s="96" t="s">
        <v>1643</v>
      </c>
      <c r="M153" s="96" t="s">
        <v>375</v>
      </c>
      <c r="N153" s="96" t="str" cm="1">
        <f t="array" ref="N153">IF(OR(PptoSty[[#This Row],[Project]]="",PptoSty[[#This Row],[Project]]="X"),"X",_xlfn._xlws.FILTER(TbAssign[RowId],(TbAssign[Project]=PptoSty[[#This Row],[Project]])*(TbAssign[Módulo]=PptoSty[[#This Row],[PptoVsRow]]),"X"))</f>
        <v>XB01</v>
      </c>
      <c r="O153" s="96" t="str" cm="1">
        <f t="array" ref="O153">IF(OR(PptoSty[[#This Row],[Project]]="",PptoSty[[#This Row],[Project]]="X"),"X",_xlfn.UNIQUE(_xlfn._xlws.FILTER(F_RT14[Amortz.],(F_RT14[Measure]="CurPpto")*(F_RT14[PrjId]=PptoSty[[#This Row],[Project]])*(F_RT14[Vrs]=PptoSty[[#This Row],[Vrs]])*(_xlfn.TEXTAFTER(F_RT14[ActGrp],":")=PptoSty[[#This Row],[PiRow]]),"X")))</f>
        <v>DISI</v>
      </c>
      <c r="P153" s="96" t="s">
        <v>430</v>
      </c>
      <c r="Q153" s="96" t="s">
        <v>377</v>
      </c>
      <c r="R153" s="204" t="s">
        <v>403</v>
      </c>
      <c r="S153" s="204">
        <v>1</v>
      </c>
      <c r="T153" s="205" t="str" cm="1">
        <f t="array" aca="1" ref="T15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53" s="206" cm="1">
        <f t="array" ref="U153">IFERROR((1/PptoSty[[#This Row],[Division]])*IF(PptoSty[[#This Row],[Sign]]="+",1,-1)*(IF(PptoSty[[#This Row],[POvsCT]]="PO",SUM(_xlfn.CHOOSECOLS(_xlfn._xlws.FILTER(F_RT14[],(IF($M153="X",TRUE,F_RT14[Site]=$M153))*(F_RT14[Measure]=U$4)*(F_RT14[PrjId]=PptoSty[[#This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2542.1571134020619</v>
      </c>
      <c r="V153" s="206" cm="1">
        <f t="array" ref="V153">IFERROR((1/PptoSty[[#This Row],[Division]])*IF(PptoSty[[#This Row],[Sign]]="+",1,-1)*(IF(PptoSty[[#This Row],[POvsCT]]="PO",SUM(_xlfn.CHOOSECOLS(_xlfn._xlws.FILTER(F_RT14[],(IF($M153="X",TRUE,F_RT14[Site]=$M153))*(F_RT14[Measure]=V$4)*(F_RT14[PrjId]=PptoSty[[#This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1230.7918623</v>
      </c>
      <c r="W153" s="206" cm="1">
        <f t="array" ref="W153">IFERROR((1/PptoSty[[#This Row],[Division]])*IF(PptoSty[[#This Row],[Sign]]="+",1,-1)*(IF(PptoSty[[#This Row],[POvsCT]]="PO",SUM(_xlfn.CHOOSECOLS(_xlfn._xlws.FILTER(F_RT14[],(IF($M153="X",TRUE,F_RT14[Site]=$M153))*(F_RT14[Measure]=W$4)*(F_RT14[PrjId]=PptoSty[[#This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1342.3404267000001</v>
      </c>
      <c r="X153" s="338" cm="1">
        <f t="array" ref="X153">IFERROR(IF(PptoSty[[#This Row],[Nature]]&lt;&gt;"Hrs",0,(1/PptoSty[[#This Row],[Division]])*IF(PptoSty[[#This Row],[Sign]]="+",1,-1)*(IF(PptoSty[[#This Row],[POvsCT]]="PO",SUM(_xlfn.CHOOSECOLS(_xlfn._xlws.FILTER(F_RT14[],(IF($M153="X",TRUE,F_RT14[Site]=$M153))*(F_RT14[Measure]=X$4)*(F_RT14[PrjId]=PptoSty[[#This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54.6</v>
      </c>
      <c r="Y153" s="338" cm="1">
        <f t="array" ref="Y153">IFERROR(IF(PptoSty[[#This Row],[Nature]]&lt;&gt;"Hrs",0,(1/PptoSty[[#This Row],[Division]])*IF(PptoSty[[#This Row],[Sign]]="+",1,-1)*(IF(PptoSty[[#This Row],[POvsCT]]="PO",SUM(_xlfn.CHOOSECOLS(_xlfn._xlws.FILTER(F_RT14[],(IF($M153="X",TRUE,F_RT14[Site]=$M153))*(F_RT14[Measure]=Y$4)*(F_RT14[PrjId]=PptoSty[[#This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26.481000000000002</v>
      </c>
      <c r="Z153" s="338" cm="1">
        <f t="array" ref="Z153">IFERROR(IF(PptoSty[[#This Row],[Nature]]&lt;&gt;"Hrs",0,(1/PptoSty[[#This Row],[Division]])*IF(PptoSty[[#This Row],[Sign]]="+",1,-1)*(IF(PptoSty[[#This Row],[POvsCT]]="PO",SUM(_xlfn.CHOOSECOLS(_xlfn._xlws.FILTER(F_RT14[],(IF($M153="X",TRUE,F_RT14[Site]=$M153))*(F_RT14[Measure]=Z$4)*(F_RT14[PrjId]=PptoSty[[#This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26.481000000000002</v>
      </c>
      <c r="AA153" s="206" cm="1">
        <f t="array" aca="1" ref="AA153"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69635.551030927847</v>
      </c>
      <c r="AB153" s="206" cm="1">
        <f t="array" aca="1" ref="AB153"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33714.229397309988</v>
      </c>
      <c r="AC153" s="206" cm="1">
        <f t="array" aca="1" ref="AC153"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36769.80199598999</v>
      </c>
      <c r="AG153"/>
      <c r="AH153"/>
      <c r="AI153"/>
      <c r="AK153" s="113"/>
      <c r="AO153"/>
      <c r="AP153"/>
      <c r="AZ153" s="175"/>
      <c r="BA153" s="175"/>
      <c r="BE153"/>
      <c r="BF153"/>
      <c r="DG153" s="175"/>
      <c r="DH153" s="175"/>
      <c r="DI153" s="175"/>
      <c r="DL153" s="108"/>
      <c r="DM153" s="366" t="str" cm="1">
        <f t="array" aca="1" ref="DM153"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DN153:DP153</v>
      </c>
      <c r="DN153" s="177" t="s">
        <v>375</v>
      </c>
      <c r="DO153" s="177" t="str" cm="1">
        <f t="array" aca="1" ref="DO153:DP153"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153" s="177" t="str">
        <f ca="1"/>
        <v>ROBÓTICA</v>
      </c>
      <c r="DQ153" s="177"/>
      <c r="DR153" s="177"/>
      <c r="DS153" s="177"/>
      <c r="DT153" s="177"/>
      <c r="DU153" s="177"/>
      <c r="DV153" s="177"/>
      <c r="DW153" s="177"/>
      <c r="DX153" s="177"/>
      <c r="DY153" s="177"/>
      <c r="DZ153" s="177"/>
      <c r="EA153" s="177"/>
      <c r="EB153" s="177"/>
      <c r="EC153" s="177"/>
      <c r="ED153" s="177"/>
    </row>
    <row r="154" spans="3:134" ht="13" customHeight="1">
      <c r="C154" s="356">
        <v>45595</v>
      </c>
      <c r="D154" s="213" t="s">
        <v>2114</v>
      </c>
      <c r="E154" s="356" t="s">
        <v>1710</v>
      </c>
      <c r="F154" s="219" t="s">
        <v>375</v>
      </c>
      <c r="G154" s="201" t="s">
        <v>1415</v>
      </c>
      <c r="H154" s="202">
        <v>16</v>
      </c>
      <c r="I154" s="339" t="str" cm="1">
        <f t="array" aca="1" ref="I15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G012</v>
      </c>
      <c r="J154" s="203" t="str" cm="1">
        <f t="array" ref="J154">IF(OR(PptoSty[[#This Row],[Project]]="",PptoSty[[#This Row],[Project]]="X"),"X",_xlfn.UNIQUE(_xlfn._xlws.FILTER(CstGrpS[Nature],ISNUMBER(FIND(SUBSTITUTE(PptoSty[[#This Row],[PiColumn]]," +%",""),UPPER(SUBSTITUTE(CstGrpS[GrpPrv],"  "," ")))),"X")))</f>
        <v>Hrs</v>
      </c>
      <c r="K154" s="96" t="s">
        <v>1421</v>
      </c>
      <c r="L154" s="96" t="s">
        <v>372</v>
      </c>
      <c r="M154" s="96" t="s">
        <v>375</v>
      </c>
      <c r="N154" s="96" t="str" cm="1">
        <f t="array" ref="N154">IF(OR(PptoSty[[#This Row],[Project]]="",PptoSty[[#This Row],[Project]]="X"),"X",_xlfn._xlws.FILTER(TbAssign[RowId],(TbAssign[Project]=PptoSty[[#This Row],[Project]])*(TbAssign[Módulo]=PptoSty[[#This Row],[PptoVsRow]]),"X"))</f>
        <v>XB01</v>
      </c>
      <c r="O154" s="96" t="str" cm="1">
        <f t="array" ref="O154">IF(OR(PptoSty[[#This Row],[Project]]="",PptoSty[[#This Row],[Project]]="X"),"X",_xlfn.UNIQUE(_xlfn._xlws.FILTER(F_RT14[Amortz.],(F_RT14[Measure]="CurPpto")*(F_RT14[PrjId]=PptoSty[[#This Row],[Project]])*(F_RT14[Vrs]=PptoSty[[#This Row],[Vrs]])*(_xlfn.TEXTAFTER(F_RT14[ActGrp],":")=PptoSty[[#This Row],[PiRow]]),"X")))</f>
        <v>DISI</v>
      </c>
      <c r="P154" s="96" t="s">
        <v>430</v>
      </c>
      <c r="Q154" s="96" t="s">
        <v>372</v>
      </c>
      <c r="R154" s="204" t="s">
        <v>403</v>
      </c>
      <c r="S154" s="204">
        <v>1</v>
      </c>
      <c r="T154" s="205" t="str" cm="1">
        <f t="array" aca="1" ref="T15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54" s="206" cm="1">
        <f t="array" ref="U154">IFERROR((1/PptoSty[[#This Row],[Division]])*IF(PptoSty[[#This Row],[Sign]]="+",1,-1)*(IF(PptoSty[[#This Row],[POvsCT]]="PO",SUM(_xlfn.CHOOSECOLS(_xlfn._xlws.FILTER(F_RT14[],(IF($M154="X",TRUE,F_RT14[Site]=$M154))*(F_RT14[Measure]=U$4)*(F_RT14[PrjId]=PptoSty[[#This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14377.944845360826</v>
      </c>
      <c r="V154" s="206" cm="1">
        <f t="array" ref="V154">IFERROR((1/PptoSty[[#This Row],[Division]])*IF(PptoSty[[#This Row],[Sign]]="+",1,-1)*(IF(PptoSty[[#This Row],[POvsCT]]="PO",SUM(_xlfn.CHOOSECOLS(_xlfn._xlws.FILTER(F_RT14[],(IF($M154="X",TRUE,F_RT14[Site]=$M154))*(F_RT14[Measure]=V$4)*(F_RT14[PrjId]=PptoSty[[#This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2570.461989687778</v>
      </c>
      <c r="W154" s="206" cm="1">
        <f t="array" ref="W154">IFERROR((1/PptoSty[[#This Row],[Division]])*IF(PptoSty[[#This Row],[Sign]]="+",1,-1)*(IF(PptoSty[[#This Row],[POvsCT]]="PO",SUM(_xlfn.CHOOSECOLS(_xlfn._xlws.FILTER(F_RT14[],(IF($M154="X",TRUE,F_RT14[Site]=$M154))*(F_RT14[Measure]=W$4)*(F_RT14[PrjId]=PptoSty[[#This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12019.718793726113</v>
      </c>
      <c r="X154" s="338" cm="1">
        <f t="array" ref="X154">IFERROR(IF(PptoSty[[#This Row],[Nature]]&lt;&gt;"Hrs",0,(1/PptoSty[[#This Row],[Division]])*IF(PptoSty[[#This Row],[Sign]]="+",1,-1)*(IF(PptoSty[[#This Row],[POvsCT]]="PO",SUM(_xlfn.CHOOSECOLS(_xlfn._xlws.FILTER(F_RT14[],(IF($M154="X",TRUE,F_RT14[Site]=$M154))*(F_RT14[Measure]=X$4)*(F_RT14[PrjId]=PptoSty[[#This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294.65486111111113</v>
      </c>
      <c r="Y154" s="338" cm="1">
        <f t="array" ref="Y154">IFERROR(IF(PptoSty[[#This Row],[Nature]]&lt;&gt;"Hrs",0,(1/PptoSty[[#This Row],[Division]])*IF(PptoSty[[#This Row],[Sign]]="+",1,-1)*(IF(PptoSty[[#This Row],[POvsCT]]="PO",SUM(_xlfn.CHOOSECOLS(_xlfn._xlws.FILTER(F_RT14[],(IF($M154="X",TRUE,F_RT14[Site]=$M154))*(F_RT14[Measure]=Y$4)*(F_RT14[PrjId]=PptoSty[[#This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57.163043055555562</v>
      </c>
      <c r="Z154" s="338" cm="1">
        <f t="array" ref="Z154">IFERROR(IF(PptoSty[[#This Row],[Nature]]&lt;&gt;"Hrs",0,(1/PptoSty[[#This Row],[Division]])*IF(PptoSty[[#This Row],[Sign]]="+",1,-1)*(IF(PptoSty[[#This Row],[POvsCT]]="PO",SUM(_xlfn.CHOOSECOLS(_xlfn._xlws.FILTER(F_RT14[],(IF($M154="X",TRUE,F_RT14[Site]=$M154))*(F_RT14[Measure]=Z$4)*(F_RT14[PrjId]=PptoSty[[#This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228.65217222222225</v>
      </c>
      <c r="AA154" s="206" cm="1">
        <f t="array" aca="1" ref="AA154"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49536.948144329901</v>
      </c>
      <c r="AB154" s="206" cm="1">
        <f t="array" aca="1" ref="AB154"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9021.5914032877772</v>
      </c>
      <c r="AC154" s="206" cm="1">
        <f t="array" aca="1" ref="AC154"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42185.798574126115</v>
      </c>
      <c r="AG154"/>
      <c r="AH154"/>
      <c r="AI154"/>
      <c r="AK154" s="113"/>
      <c r="AO154"/>
      <c r="AP154"/>
      <c r="AZ154" s="175"/>
      <c r="BA154" s="175"/>
      <c r="BE154"/>
      <c r="BF154"/>
      <c r="DG154" s="175"/>
      <c r="DH154" s="175"/>
      <c r="DI154" s="175"/>
      <c r="DL154" s="108"/>
      <c r="DM154" s="366" t="str" cm="1">
        <f t="array" aca="1" ref="DM154"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DN154:DP154</v>
      </c>
      <c r="DN154" s="177" t="s">
        <v>375</v>
      </c>
      <c r="DO154" s="177" t="str" cm="1">
        <f t="array" aca="1" ref="DO154:DP154"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154" s="177" t="str">
        <f ca="1"/>
        <v>ROBÓTICA</v>
      </c>
      <c r="DQ154" s="177"/>
      <c r="DR154" s="177"/>
      <c r="DS154" s="177"/>
      <c r="DT154" s="177"/>
      <c r="DU154" s="177"/>
      <c r="DV154" s="177"/>
      <c r="DW154" s="177"/>
      <c r="DX154" s="177"/>
      <c r="DY154" s="177"/>
      <c r="DZ154" s="177"/>
      <c r="EA154" s="177"/>
      <c r="EB154" s="177"/>
      <c r="EC154" s="177"/>
      <c r="ED154" s="177"/>
    </row>
    <row r="155" spans="3:134" ht="13" customHeight="1">
      <c r="C155" s="356">
        <v>45595</v>
      </c>
      <c r="D155" s="213" t="s">
        <v>2114</v>
      </c>
      <c r="E155" s="356" t="s">
        <v>1710</v>
      </c>
      <c r="F155" s="219" t="s">
        <v>375</v>
      </c>
      <c r="G155" s="201" t="s">
        <v>1415</v>
      </c>
      <c r="H155" s="202">
        <v>16</v>
      </c>
      <c r="I155" s="339" t="str" cm="1">
        <f t="array" aca="1" ref="I15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E001</v>
      </c>
      <c r="J155" s="203" t="str" cm="1">
        <f t="array" ref="J155">IF(OR(PptoSty[[#This Row],[Project]]="",PptoSty[[#This Row],[Project]]="X"),"X",_xlfn.UNIQUE(_xlfn._xlws.FILTER(CstGrpS[Nature],ISNUMBER(FIND(SUBSTITUTE(PptoSty[[#This Row],[PiColumn]]," +%",""),UPPER(SUBSTITUTE(CstGrpS[GrpPrv],"  "," ")))),"X")))</f>
        <v>Hrs</v>
      </c>
      <c r="K155" s="96" t="s">
        <v>362</v>
      </c>
      <c r="L155" s="96" t="s">
        <v>381</v>
      </c>
      <c r="M155" s="96" t="s">
        <v>375</v>
      </c>
      <c r="N155" s="96" t="str" cm="1">
        <f t="array" ref="N155">IF(OR(PptoSty[[#This Row],[Project]]="",PptoSty[[#This Row],[Project]]="X"),"X",_xlfn._xlws.FILTER(TbAssign[RowId],(TbAssign[Project]=PptoSty[[#This Row],[Project]])*(TbAssign[Módulo]=PptoSty[[#This Row],[PptoVsRow]]),"X"))</f>
        <v>XC01</v>
      </c>
      <c r="O155" s="96" t="str" cm="1">
        <f t="array" ref="O155">IF(OR(PptoSty[[#This Row],[Project]]="",PptoSty[[#This Row],[Project]]="X"),"X",_xlfn.UNIQUE(_xlfn._xlws.FILTER(F_RT14[Amortz.],(F_RT14[Measure]="CurPpto")*(F_RT14[PrjId]=PptoSty[[#This Row],[Project]])*(F_RT14[Vrs]=PptoSty[[#This Row],[Vrs]])*(_xlfn.TEXTAFTER(F_RT14[ActGrp],":")=PptoSty[[#This Row],[PiRow]]),"X")))</f>
        <v>CELL</v>
      </c>
      <c r="P155" s="96" t="s">
        <v>362</v>
      </c>
      <c r="Q155" s="96" t="s">
        <v>381</v>
      </c>
      <c r="R155" s="204" t="s">
        <v>403</v>
      </c>
      <c r="S155" s="204">
        <v>1</v>
      </c>
      <c r="T155" s="205" t="str" cm="1">
        <f t="array" aca="1" ref="T15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55" s="206" cm="1">
        <f t="array" ref="U155">IFERROR((1/PptoSty[[#This Row],[Division]])*IF(PptoSty[[#This Row],[Sign]]="+",1,-1)*(IF(PptoSty[[#This Row],[POvsCT]]="PO",SUM(_xlfn.CHOOSECOLS(_xlfn._xlws.FILTER(F_RT14[],(IF($M155="X",TRUE,F_RT14[Site]=$M155))*(F_RT14[Measure]=U$4)*(F_RT14[PrjId]=PptoSty[[#This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2438.050618556701</v>
      </c>
      <c r="V155" s="206" cm="1">
        <f t="array" ref="V155">IFERROR((1/PptoSty[[#This Row],[Division]])*IF(PptoSty[[#This Row],[Sign]]="+",1,-1)*(IF(PptoSty[[#This Row],[POvsCT]]="PO",SUM(_xlfn.CHOOSECOLS(_xlfn._xlws.FILTER(F_RT14[],(IF($M155="X",TRUE,F_RT14[Site]=$M155))*(F_RT14[Measure]=V$4)*(F_RT14[PrjId]=PptoSty[[#This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334.36024198799998</v>
      </c>
      <c r="W155" s="206" cm="1">
        <f t="array" ref="W155">IFERROR((1/PptoSty[[#This Row],[Division]])*IF(PptoSty[[#This Row],[Sign]]="+",1,-1)*(IF(PptoSty[[#This Row],[POvsCT]]="PO",SUM(_xlfn.CHOOSECOLS(_xlfn._xlws.FILTER(F_RT14[],(IF($M155="X",TRUE,F_RT14[Site]=$M155))*(F_RT14[Measure]=W$4)*(F_RT14[PrjId]=PptoSty[[#This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2140.539461028</v>
      </c>
      <c r="X155" s="338" cm="1">
        <f t="array" ref="X155">IFERROR(IF(PptoSty[[#This Row],[Nature]]&lt;&gt;"Hrs",0,(1/PptoSty[[#This Row],[Division]])*IF(PptoSty[[#This Row],[Sign]]="+",1,-1)*(IF(PptoSty[[#This Row],[POvsCT]]="PO",SUM(_xlfn.CHOOSECOLS(_xlfn._xlws.FILTER(F_RT14[],(IF($M155="X",TRUE,F_RT14[Site]=$M155))*(F_RT14[Measure]=X$4)*(F_RT14[PrjId]=PptoSty[[#This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85.16</v>
      </c>
      <c r="Y155" s="338" cm="1">
        <f t="array" ref="Y155">IFERROR(IF(PptoSty[[#This Row],[Nature]]&lt;&gt;"Hrs",0,(1/PptoSty[[#This Row],[Division]])*IF(PptoSty[[#This Row],[Sign]]="+",1,-1)*(IF(PptoSty[[#This Row],[POvsCT]]="PO",SUM(_xlfn.CHOOSECOLS(_xlfn._xlws.FILTER(F_RT14[],(IF($M155="X",TRUE,F_RT14[Site]=$M155))*(F_RT14[Measure]=Y$4)*(F_RT14[PrjId]=PptoSty[[#This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8.2605199999999996</v>
      </c>
      <c r="Z155" s="338" cm="1">
        <f t="array" ref="Z155">IFERROR(IF(PptoSty[[#This Row],[Nature]]&lt;&gt;"Hrs",0,(1/PptoSty[[#This Row],[Division]])*IF(PptoSty[[#This Row],[Sign]]="+",1,-1)*(IF(PptoSty[[#This Row],[POvsCT]]="PO",SUM(_xlfn.CHOOSECOLS(_xlfn._xlws.FILTER(F_RT14[],(IF($M155="X",TRUE,F_RT14[Site]=$M155))*(F_RT14[Measure]=Z$4)*(F_RT14[PrjId]=PptoSty[[#This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74.344679999999997</v>
      </c>
      <c r="AA155" s="206" cm="1">
        <f t="array" aca="1" ref="AA155"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44002.290515463916</v>
      </c>
      <c r="AB155" s="206" cm="1">
        <f t="array" aca="1" ref="AB155"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6034.5820189139995</v>
      </c>
      <c r="AC155" s="206" cm="1">
        <f t="array" aca="1" ref="AC155"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38632.765862033993</v>
      </c>
      <c r="AG155"/>
      <c r="AH155"/>
      <c r="AI155"/>
      <c r="AK155" s="113"/>
      <c r="AO155"/>
      <c r="AP155"/>
      <c r="AZ155" s="175"/>
      <c r="BA155" s="175"/>
      <c r="BE155"/>
      <c r="BF155"/>
      <c r="DG155" s="175"/>
      <c r="DH155" s="175"/>
      <c r="DI155" s="175"/>
      <c r="DL155" s="108"/>
      <c r="DM155" s="366" t="str" cm="1">
        <f t="array" aca="1" ref="DM15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DN155:DP155</v>
      </c>
      <c r="DN155" s="177" t="s">
        <v>375</v>
      </c>
      <c r="DO155" s="177" t="str" cm="1">
        <f t="array" aca="1" ref="DO155:DP15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FABRICACIÓN ELÉCTRICA</v>
      </c>
      <c r="DP155" s="177" t="str">
        <f ca="1"/>
        <v>MATERIAL ELÉCTRICO +%</v>
      </c>
      <c r="DQ155" s="177"/>
      <c r="DR155" s="177"/>
      <c r="DS155" s="177"/>
      <c r="DT155" s="177"/>
      <c r="DU155" s="177"/>
      <c r="DV155" s="177"/>
      <c r="DW155" s="177"/>
      <c r="DX155" s="177"/>
      <c r="DY155" s="177"/>
      <c r="DZ155" s="177"/>
      <c r="EA155" s="177"/>
      <c r="EB155" s="177"/>
      <c r="EC155" s="177"/>
      <c r="ED155" s="177"/>
    </row>
    <row r="156" spans="3:134" ht="13" customHeight="1">
      <c r="C156" s="356">
        <v>45595</v>
      </c>
      <c r="D156" s="213" t="s">
        <v>2114</v>
      </c>
      <c r="E156" s="356" t="s">
        <v>1710</v>
      </c>
      <c r="F156" s="219" t="s">
        <v>375</v>
      </c>
      <c r="G156" s="201" t="s">
        <v>1415</v>
      </c>
      <c r="H156" s="202">
        <v>16</v>
      </c>
      <c r="I156" s="339" t="str" cm="1">
        <f t="array" aca="1" ref="I15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E001</v>
      </c>
      <c r="J156" s="203" t="str" cm="1">
        <f t="array" ref="J156">IF(OR(PptoSty[[#This Row],[Project]]="",PptoSty[[#This Row],[Project]]="X"),"X",_xlfn.UNIQUE(_xlfn._xlws.FILTER(CstGrpS[Nature],ISNUMBER(FIND(SUBSTITUTE(PptoSty[[#This Row],[PiColumn]]," +%",""),UPPER(SUBSTITUTE(CstGrpS[GrpPrv],"  "," ")))),"X")))</f>
        <v>Mat</v>
      </c>
      <c r="K156" s="96" t="s">
        <v>362</v>
      </c>
      <c r="L156" s="96" t="s">
        <v>1646</v>
      </c>
      <c r="M156" s="96" t="s">
        <v>375</v>
      </c>
      <c r="N156" s="96" t="str" cm="1">
        <f t="array" ref="N156">IF(OR(PptoSty[[#This Row],[Project]]="",PptoSty[[#This Row],[Project]]="X"),"X",_xlfn._xlws.FILTER(TbAssign[RowId],(TbAssign[Project]=PptoSty[[#This Row],[Project]])*(TbAssign[Módulo]=PptoSty[[#This Row],[PptoVsRow]]),"X"))</f>
        <v>XC01</v>
      </c>
      <c r="O156" s="96" t="str" cm="1">
        <f t="array" ref="O156">IF(OR(PptoSty[[#This Row],[Project]]="",PptoSty[[#This Row],[Project]]="X"),"X",_xlfn.UNIQUE(_xlfn._xlws.FILTER(F_RT14[Amortz.],(F_RT14[Measure]="CurPpto")*(F_RT14[PrjId]=PptoSty[[#This Row],[Project]])*(F_RT14[Vrs]=PptoSty[[#This Row],[Vrs]])*(_xlfn.TEXTAFTER(F_RT14[ActGrp],":")=PptoSty[[#This Row],[PiRow]]),"X")))</f>
        <v>CELL</v>
      </c>
      <c r="P156" s="96" t="s">
        <v>362</v>
      </c>
      <c r="Q156" s="96" t="s">
        <v>1275</v>
      </c>
      <c r="R156" s="204" t="s">
        <v>403</v>
      </c>
      <c r="S156" s="204">
        <v>1</v>
      </c>
      <c r="T156" s="205" t="str" cm="1">
        <f t="array" aca="1" ref="T15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56" s="206" cm="1">
        <f t="array" ref="U156">IFERROR((1/PptoSty[[#This Row],[Division]])*IF(PptoSty[[#This Row],[Sign]]="+",1,-1)*(IF(PptoSty[[#This Row],[POvsCT]]="PO",SUM(_xlfn.CHOOSECOLS(_xlfn._xlws.FILTER(F_RT14[],(IF($M156="X",TRUE,F_RT14[Site]=$M156))*(F_RT14[Measure]=U$4)*(F_RT14[PrjId]=PptoSty[[#This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698.88</v>
      </c>
      <c r="V156" s="206" cm="1">
        <f t="array" ref="V156">IFERROR((1/PptoSty[[#This Row],[Division]])*IF(PptoSty[[#This Row],[Sign]]="+",1,-1)*(IF(PptoSty[[#This Row],[POvsCT]]="PO",SUM(_xlfn.CHOOSECOLS(_xlfn._xlws.FILTER(F_RT14[],(IF($M156="X",TRUE,F_RT14[Site]=$M156))*(F_RT14[Measure]=V$4)*(F_RT14[PrjId]=PptoSty[[#This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56" s="206" cm="1">
        <f t="array" ref="W156">IFERROR((1/PptoSty[[#This Row],[Division]])*IF(PptoSty[[#This Row],[Sign]]="+",1,-1)*(IF(PptoSty[[#This Row],[POvsCT]]="PO",SUM(_xlfn.CHOOSECOLS(_xlfn._xlws.FILTER(F_RT14[],(IF($M156="X",TRUE,F_RT14[Site]=$M156))*(F_RT14[Measure]=W$4)*(F_RT14[PrjId]=PptoSty[[#This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698.88</v>
      </c>
      <c r="X156" s="338" cm="1">
        <f t="array" ref="X156">IFERROR(IF(PptoSty[[#This Row],[Nature]]&lt;&gt;"Hrs",0,(1/PptoSty[[#This Row],[Division]])*IF(PptoSty[[#This Row],[Sign]]="+",1,-1)*(IF(PptoSty[[#This Row],[POvsCT]]="PO",SUM(_xlfn.CHOOSECOLS(_xlfn._xlws.FILTER(F_RT14[],(IF($M156="X",TRUE,F_RT14[Site]=$M156))*(F_RT14[Measure]=X$4)*(F_RT14[PrjId]=PptoSty[[#This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56" s="338" cm="1">
        <f t="array" ref="Y156">IFERROR(IF(PptoSty[[#This Row],[Nature]]&lt;&gt;"Hrs",0,(1/PptoSty[[#This Row],[Division]])*IF(PptoSty[[#This Row],[Sign]]="+",1,-1)*(IF(PptoSty[[#This Row],[POvsCT]]="PO",SUM(_xlfn.CHOOSECOLS(_xlfn._xlws.FILTER(F_RT14[],(IF($M156="X",TRUE,F_RT14[Site]=$M156))*(F_RT14[Measure]=Y$4)*(F_RT14[PrjId]=PptoSty[[#This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56" s="338" cm="1">
        <f t="array" ref="Z156">IFERROR(IF(PptoSty[[#This Row],[Nature]]&lt;&gt;"Hrs",0,(1/PptoSty[[#This Row],[Division]])*IF(PptoSty[[#This Row],[Sign]]="+",1,-1)*(IF(PptoSty[[#This Row],[POvsCT]]="PO",SUM(_xlfn.CHOOSECOLS(_xlfn._xlws.FILTER(F_RT14[],(IF($M156="X",TRUE,F_RT14[Site]=$M156))*(F_RT14[Measure]=Z$4)*(F_RT14[PrjId]=PptoSty[[#This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56" s="206" cm="1">
        <f t="array" aca="1" ref="AA156"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242006.39</v>
      </c>
      <c r="AB156" s="206" cm="1">
        <f t="array" aca="1" ref="AB156"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56" s="206" cm="1">
        <f t="array" aca="1" ref="AC156"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242006.39</v>
      </c>
      <c r="AG156"/>
      <c r="AH156"/>
      <c r="AI156"/>
      <c r="AK156" s="113"/>
      <c r="AO156"/>
      <c r="AP156"/>
      <c r="AZ156" s="175"/>
      <c r="BA156" s="175"/>
      <c r="BE156"/>
      <c r="BF156"/>
      <c r="DG156" s="175"/>
      <c r="DH156" s="175"/>
      <c r="DI156" s="175"/>
      <c r="DL156" s="108"/>
      <c r="DM156" s="366" t="str" cm="1">
        <f t="array" aca="1" ref="DM15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DN156:DP156</v>
      </c>
      <c r="DN156" s="177" t="s">
        <v>375</v>
      </c>
      <c r="DO156" s="177" t="str" cm="1">
        <f t="array" aca="1" ref="DO156:DP15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FABRICACIÓN ELÉCTRICA</v>
      </c>
      <c r="DP156" s="177" t="str">
        <f ca="1"/>
        <v>MATERIAL ELÉCTRICO +%</v>
      </c>
      <c r="DQ156" s="177"/>
      <c r="DR156" s="177"/>
      <c r="DS156" s="177"/>
      <c r="DT156" s="177"/>
      <c r="DU156" s="177"/>
      <c r="DV156" s="177"/>
      <c r="DW156" s="177"/>
      <c r="DX156" s="177"/>
      <c r="DY156" s="177"/>
      <c r="DZ156" s="177"/>
      <c r="EA156" s="177"/>
      <c r="EB156" s="177"/>
      <c r="EC156" s="177"/>
      <c r="ED156" s="177"/>
    </row>
    <row r="157" spans="3:134" ht="13" customHeight="1">
      <c r="C157" s="356">
        <v>45595</v>
      </c>
      <c r="D157" s="213" t="s">
        <v>2114</v>
      </c>
      <c r="E157" s="356" t="s">
        <v>1710</v>
      </c>
      <c r="F157" s="219" t="s">
        <v>375</v>
      </c>
      <c r="G157" s="201" t="s">
        <v>1415</v>
      </c>
      <c r="H157" s="202">
        <v>16</v>
      </c>
      <c r="I157" s="339" t="str" cm="1">
        <f t="array" aca="1" ref="I15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X002</v>
      </c>
      <c r="J157" s="203" t="str" cm="1">
        <f t="array" ref="J157">IF(OR(PptoSty[[#This Row],[Project]]="",PptoSty[[#This Row],[Project]]="X"),"X",_xlfn.UNIQUE(_xlfn._xlws.FILTER(CstGrpS[Nature],ISNUMBER(FIND(SUBSTITUTE(PptoSty[[#This Row],[PiColumn]]," +%",""),UPPER(SUBSTITUTE(CstGrpS[GrpPrv],"  "," ")))),"X")))</f>
        <v>Hrs</v>
      </c>
      <c r="K157" s="96" t="s">
        <v>1628</v>
      </c>
      <c r="L157" s="96" t="s">
        <v>1274</v>
      </c>
      <c r="M157" s="96" t="s">
        <v>28</v>
      </c>
      <c r="N157" s="96" t="str" cm="1">
        <f t="array" ref="N157">IF(OR(PptoSty[[#This Row],[Project]]="",PptoSty[[#This Row],[Project]]="X"),"X",_xlfn._xlws.FILTER(TbAssign[RowId],(TbAssign[Project]=PptoSty[[#This Row],[Project]])*(TbAssign[Módulo]=PptoSty[[#This Row],[PptoVsRow]]),"X"))</f>
        <v>XB03</v>
      </c>
      <c r="O157" s="96" t="str" cm="1">
        <f t="array" ref="O157">IF(OR(PptoSty[[#This Row],[Project]]="",PptoSty[[#This Row],[Project]]="X"),"X",_xlfn.UNIQUE(_xlfn._xlws.FILTER(F_RT14[Amortz.],(F_RT14[Measure]="CurPpto")*(F_RT14[PrjId]=PptoSty[[#This Row],[Project]])*(F_RT14[Vrs]=PptoSty[[#This Row],[Vrs]])*(_xlfn.TEXTAFTER(F_RT14[ActGrp],":")=PptoSty[[#This Row],[PiRow]]),"X")))</f>
        <v>CELL</v>
      </c>
      <c r="P157" s="96" t="s">
        <v>1286</v>
      </c>
      <c r="Q157" s="96" t="s">
        <v>1274</v>
      </c>
      <c r="R157" s="204" t="s">
        <v>403</v>
      </c>
      <c r="S157" s="204">
        <v>1</v>
      </c>
      <c r="T157" s="205" cm="1">
        <f t="array" aca="1" ref="T15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157" s="206" cm="1">
        <f t="array" ref="U157">IFERROR((1/PptoSty[[#This Row],[Division]])*IF(PptoSty[[#This Row],[Sign]]="+",1,-1)*(IF(PptoSty[[#This Row],[POvsCT]]="PO",SUM(_xlfn.CHOOSECOLS(_xlfn._xlws.FILTER(F_RT14[],(IF($M157="X",TRUE,F_RT14[Site]=$M157))*(F_RT14[Measure]=U$4)*(F_RT14[PrjId]=PptoSty[[#This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27058.080618556705</v>
      </c>
      <c r="V157" s="206" cm="1">
        <f t="array" ref="V157">IFERROR((1/PptoSty[[#This Row],[Division]])*IF(PptoSty[[#This Row],[Sign]]="+",1,-1)*(IF(PptoSty[[#This Row],[POvsCT]]="PO",SUM(_xlfn.CHOOSECOLS(_xlfn._xlws.FILTER(F_RT14[],(IF($M157="X",TRUE,F_RT14[Site]=$M157))*(F_RT14[Measure]=V$4)*(F_RT14[PrjId]=PptoSty[[#This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23342.996547543753</v>
      </c>
      <c r="W157" s="206" cm="1">
        <f t="array" ref="W157">IFERROR((1/PptoSty[[#This Row],[Division]])*IF(PptoSty[[#This Row],[Sign]]="+",1,-1)*(IF(PptoSty[[#This Row],[POvsCT]]="PO",SUM(_xlfn.CHOOSECOLS(_xlfn._xlws.FILTER(F_RT14[],(IF($M157="X",TRUE,F_RT14[Site]=$M157))*(F_RT14[Measure]=W$4)*(F_RT14[PrjId]=PptoSty[[#This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3958.3550880124994</v>
      </c>
      <c r="X157" s="338" cm="1">
        <f t="array" ref="X157">IFERROR(IF(PptoSty[[#This Row],[Nature]]&lt;&gt;"Hrs",0,(1/PptoSty[[#This Row],[Division]])*IF(PptoSty[[#This Row],[Sign]]="+",1,-1)*(IF(PptoSty[[#This Row],[POvsCT]]="PO",SUM(_xlfn.CHOOSECOLS(_xlfn._xlws.FILTER(F_RT14[],(IF($M157="X",TRUE,F_RT14[Site]=$M157))*(F_RT14[Measure]=X$4)*(F_RT14[PrjId]=PptoSty[[#This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722.57500000000005</v>
      </c>
      <c r="Y157" s="338" cm="1">
        <f t="array" ref="Y157">IFERROR(IF(PptoSty[[#This Row],[Nature]]&lt;&gt;"Hrs",0,(1/PptoSty[[#This Row],[Division]])*IF(PptoSty[[#This Row],[Sign]]="+",1,-1)*(IF(PptoSty[[#This Row],[POvsCT]]="PO",SUM(_xlfn.CHOOSECOLS(_xlfn._xlws.FILTER(F_RT14[],(IF($M157="X",TRUE,F_RT14[Site]=$M157))*(F_RT14[Measure]=Y$4)*(F_RT14[PrjId]=PptoSty[[#This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525.67331249999995</v>
      </c>
      <c r="Z157" s="338" cm="1">
        <f t="array" ref="Z157">IFERROR(IF(PptoSty[[#This Row],[Nature]]&lt;&gt;"Hrs",0,(1/PptoSty[[#This Row],[Division]])*IF(PptoSty[[#This Row],[Sign]]="+",1,-1)*(IF(PptoSty[[#This Row],[POvsCT]]="PO",SUM(_xlfn.CHOOSECOLS(_xlfn._xlws.FILTER(F_RT14[],(IF($M157="X",TRUE,F_RT14[Site]=$M157))*(F_RT14[Measure]=Z$4)*(F_RT14[PrjId]=PptoSty[[#This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175.22443750000002</v>
      </c>
      <c r="AA157" s="206" cm="1">
        <f t="array" aca="1" ref="AA157"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79208.287938144349</v>
      </c>
      <c r="AB157" s="206" cm="1">
        <f t="array" aca="1" ref="AB157"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68332.961799506258</v>
      </c>
      <c r="AC157" s="206" cm="1">
        <f t="array" aca="1" ref="AC157"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11587.4637802875</v>
      </c>
      <c r="AG157"/>
      <c r="AH157"/>
      <c r="AI157"/>
      <c r="AK157" s="113"/>
      <c r="AO157"/>
      <c r="AP157"/>
      <c r="AZ157" s="175"/>
      <c r="BA157" s="175"/>
      <c r="BE157"/>
      <c r="BF157"/>
      <c r="DG157" s="175"/>
      <c r="DH157" s="175"/>
      <c r="DI157" s="175"/>
      <c r="DL157" s="108"/>
      <c r="DM157" s="366" t="str" cm="1">
        <f t="array" aca="1" ref="DM15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DN157:DW157</v>
      </c>
      <c r="DN157" s="177" t="s">
        <v>375</v>
      </c>
      <c r="DO157" s="177" t="str" cm="1">
        <f t="array" aca="1" ref="DO157:DW15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157" s="177" t="str">
        <f ca="1"/>
        <v>DISEÑO MECÁNICO</v>
      </c>
      <c r="DQ157" s="177" t="str">
        <f ca="1"/>
        <v>FABRICACIÓN ELÉCTRICA</v>
      </c>
      <c r="DR157" s="177" t="str">
        <f ca="1"/>
        <v>FABRICACIÓN MECÁNICA</v>
      </c>
      <c r="DS157" s="177" t="str">
        <f ca="1"/>
        <v>INSTALACIÓN ENR</v>
      </c>
      <c r="DT157" s="177" t="str">
        <f ca="1"/>
        <v>MATERIAL ELÉCTRICO +%</v>
      </c>
      <c r="DU157" s="177" t="str">
        <f ca="1"/>
        <v>MATERIAL FLUIDOS +%</v>
      </c>
      <c r="DV157" s="177" t="str">
        <f ca="1"/>
        <v>MATERIAL MECÁNICO +%</v>
      </c>
      <c r="DW157" s="177" t="str">
        <f ca="1"/>
        <v>MONTAJE MECÁNICO</v>
      </c>
      <c r="DX157" s="177"/>
      <c r="DY157" s="177"/>
      <c r="DZ157" s="177"/>
      <c r="EA157" s="177"/>
      <c r="EB157" s="177"/>
      <c r="EC157" s="177"/>
      <c r="ED157" s="177"/>
    </row>
    <row r="158" spans="3:134" ht="13" customHeight="1">
      <c r="C158" s="356">
        <v>45595</v>
      </c>
      <c r="D158" s="213" t="s">
        <v>2114</v>
      </c>
      <c r="E158" s="356" t="s">
        <v>1710</v>
      </c>
      <c r="F158" s="219" t="s">
        <v>375</v>
      </c>
      <c r="G158" s="201" t="s">
        <v>1415</v>
      </c>
      <c r="H158" s="202">
        <v>16</v>
      </c>
      <c r="I158" s="339" t="str" cm="1">
        <f t="array" aca="1" ref="I15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158" s="203" t="str" cm="1">
        <f t="array" ref="J158">IF(OR(PptoSty[[#This Row],[Project]]="",PptoSty[[#This Row],[Project]]="X"),"X",_xlfn.UNIQUE(_xlfn._xlws.FILTER(CstGrpS[Nature],ISNUMBER(FIND(SUBSTITUTE(PptoSty[[#This Row],[PiColumn]]," +%",""),UPPER(SUBSTITUTE(CstGrpS[GrpPrv],"  "," ")))),"X")))</f>
        <v>Hrs</v>
      </c>
      <c r="K158" s="96" t="s">
        <v>1629</v>
      </c>
      <c r="L158" s="96" t="s">
        <v>1274</v>
      </c>
      <c r="M158" s="96" t="s">
        <v>28</v>
      </c>
      <c r="N158" s="96" t="str" cm="1">
        <f t="array" ref="N158">IF(OR(PptoSty[[#This Row],[Project]]="",PptoSty[[#This Row],[Project]]="X"),"X",_xlfn._xlws.FILTER(TbAssign[RowId],(TbAssign[Project]=PptoSty[[#This Row],[Project]])*(TbAssign[Módulo]=PptoSty[[#This Row],[PptoVsRow]]),"X"))</f>
        <v>XB02</v>
      </c>
      <c r="O158" s="96" t="str" cm="1">
        <f t="array" ref="O158">IF(OR(PptoSty[[#This Row],[Project]]="",PptoSty[[#This Row],[Project]]="X"),"X",_xlfn.UNIQUE(_xlfn._xlws.FILTER(F_RT14[Amortz.],(F_RT14[Measure]="CurPpto")*(F_RT14[PrjId]=PptoSty[[#This Row],[Project]])*(F_RT14[Vrs]=PptoSty[[#This Row],[Vrs]])*(_xlfn.TEXTAFTER(F_RT14[ActGrp],":")=PptoSty[[#This Row],[PiRow]]),"X")))</f>
        <v>TOOL</v>
      </c>
      <c r="P158" s="96" t="s">
        <v>1468</v>
      </c>
      <c r="Q158" s="96" t="s">
        <v>1274</v>
      </c>
      <c r="R158" s="204" t="s">
        <v>403</v>
      </c>
      <c r="S158" s="204">
        <v>1</v>
      </c>
      <c r="T158" s="205" cm="1">
        <f t="array" aca="1" ref="T15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158" s="206" cm="1">
        <f t="array" ref="U158">IFERROR((1/PptoSty[[#This Row],[Division]])*IF(PptoSty[[#This Row],[Sign]]="+",1,-1)*(IF(PptoSty[[#This Row],[POvsCT]]="PO",SUM(_xlfn.CHOOSECOLS(_xlfn._xlws.FILTER(F_RT14[],(IF($M158="X",TRUE,F_RT14[Site]=$M158))*(F_RT14[Measure]=U$4)*(F_RT14[PrjId]=PptoSty[[#This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59941.002268041244</v>
      </c>
      <c r="V158" s="206" cm="1">
        <f t="array" ref="V158">IFERROR((1/PptoSty[[#This Row],[Division]])*IF(PptoSty[[#This Row],[Sign]]="+",1,-1)*(IF(PptoSty[[#This Row],[POvsCT]]="PO",SUM(_xlfn.CHOOSECOLS(_xlfn._xlws.FILTER(F_RT14[],(IF($M158="X",TRUE,F_RT14[Site]=$M158))*(F_RT14[Measure]=V$4)*(F_RT14[PrjId]=PptoSty[[#This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51711.081304575004</v>
      </c>
      <c r="W158" s="206" cm="1">
        <f t="array" ref="W158">IFERROR((1/PptoSty[[#This Row],[Division]])*IF(PptoSty[[#This Row],[Sign]]="+",1,-1)*(IF(PptoSty[[#This Row],[POvsCT]]="PO",SUM(_xlfn.CHOOSECOLS(_xlfn._xlws.FILTER(F_RT14[],(IF($M158="X",TRUE,F_RT14[Site]=$M158))*(F_RT14[Measure]=W$4)*(F_RT14[PrjId]=PptoSty[[#This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8768.8322864500005</v>
      </c>
      <c r="X158" s="338" cm="1">
        <f t="array" ref="X158">IFERROR(IF(PptoSty[[#This Row],[Nature]]&lt;&gt;"Hrs",0,(1/PptoSty[[#This Row],[Division]])*IF(PptoSty[[#This Row],[Sign]]="+",1,-1)*(IF(PptoSty[[#This Row],[POvsCT]]="PO",SUM(_xlfn.CHOOSECOLS(_xlfn._xlws.FILTER(F_RT14[],(IF($M158="X",TRUE,F_RT14[Site]=$M158))*(F_RT14[Measure]=X$4)*(F_RT14[PrjId]=PptoSty[[#This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1600.7</v>
      </c>
      <c r="Y158" s="338" cm="1">
        <f t="array" ref="Y158">IFERROR(IF(PptoSty[[#This Row],[Nature]]&lt;&gt;"Hrs",0,(1/PptoSty[[#This Row],[Division]])*IF(PptoSty[[#This Row],[Sign]]="+",1,-1)*(IF(PptoSty[[#This Row],[POvsCT]]="PO",SUM(_xlfn.CHOOSECOLS(_xlfn._xlws.FILTER(F_RT14[],(IF($M158="X",TRUE,F_RT14[Site]=$M158))*(F_RT14[Measure]=Y$4)*(F_RT14[PrjId]=PptoSty[[#This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1164.5092499999998</v>
      </c>
      <c r="Z158" s="338" cm="1">
        <f t="array" ref="Z158">IFERROR(IF(PptoSty[[#This Row],[Nature]]&lt;&gt;"Hrs",0,(1/PptoSty[[#This Row],[Division]])*IF(PptoSty[[#This Row],[Sign]]="+",1,-1)*(IF(PptoSty[[#This Row],[POvsCT]]="PO",SUM(_xlfn.CHOOSECOLS(_xlfn._xlws.FILTER(F_RT14[],(IF($M158="X",TRUE,F_RT14[Site]=$M158))*(F_RT14[Measure]=Z$4)*(F_RT14[PrjId]=PptoSty[[#This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388.16974999999996</v>
      </c>
      <c r="AA158" s="206" cm="1">
        <f t="array" aca="1" ref="AA158"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449724.15618556703</v>
      </c>
      <c r="AB158" s="206" cm="1">
        <f t="array" aca="1" ref="AB158"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387976.86833482503</v>
      </c>
      <c r="AC158" s="206" cm="1">
        <f t="array" aca="1" ref="AC158"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65790.619797949999</v>
      </c>
      <c r="AG158"/>
      <c r="AH158"/>
      <c r="AI158"/>
      <c r="AK158" s="113"/>
      <c r="AO158"/>
      <c r="AP158"/>
      <c r="AZ158" s="175"/>
      <c r="BA158" s="175"/>
      <c r="BE158"/>
      <c r="BF158"/>
      <c r="DG158" s="175"/>
      <c r="DH158" s="175"/>
      <c r="DI158" s="175"/>
      <c r="DL158" s="108"/>
      <c r="DM158" s="366" t="str" cm="1">
        <f t="array" aca="1" ref="DM15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DN158:DV158</v>
      </c>
      <c r="DN158" s="177" t="s">
        <v>375</v>
      </c>
      <c r="DO158" s="177" t="str" cm="1">
        <f t="array" aca="1" ref="DO158:DV15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158" s="177" t="str">
        <f ca="1"/>
        <v>DISEÑO MECÁNICO</v>
      </c>
      <c r="DQ158" s="177" t="str">
        <f ca="1"/>
        <v>FABRICACIÓN MECÁNICA</v>
      </c>
      <c r="DR158" s="177" t="str">
        <f ca="1"/>
        <v>MATERIAL ELÉCTRICO +%</v>
      </c>
      <c r="DS158" s="177" t="str">
        <f ca="1"/>
        <v>MATERIAL FLUIDOS +%</v>
      </c>
      <c r="DT158" s="177" t="str">
        <f ca="1"/>
        <v>MATERIAL MECÁNICO +%</v>
      </c>
      <c r="DU158" s="177" t="str">
        <f ca="1"/>
        <v>METROLOGÍA</v>
      </c>
      <c r="DV158" s="177" t="str">
        <f ca="1"/>
        <v>MONTAJE MECÁNICO</v>
      </c>
      <c r="DW158" s="177"/>
      <c r="DX158" s="177"/>
      <c r="DY158" s="177"/>
      <c r="DZ158" s="177"/>
      <c r="EA158" s="177"/>
      <c r="EB158" s="177"/>
      <c r="EC158" s="177"/>
      <c r="ED158" s="177"/>
    </row>
    <row r="159" spans="3:134" ht="13" customHeight="1">
      <c r="C159" s="356">
        <v>45595</v>
      </c>
      <c r="D159" s="213" t="s">
        <v>2114</v>
      </c>
      <c r="E159" s="356" t="s">
        <v>1710</v>
      </c>
      <c r="F159" s="219" t="s">
        <v>375</v>
      </c>
      <c r="G159" s="201" t="s">
        <v>1415</v>
      </c>
      <c r="H159" s="202">
        <v>16</v>
      </c>
      <c r="I159" s="339" t="str" cm="1">
        <f t="array" aca="1" ref="I15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X100</v>
      </c>
      <c r="J159" s="203" t="str" cm="1">
        <f t="array" ref="J159">IF(OR(PptoSty[[#This Row],[Project]]="",PptoSty[[#This Row],[Project]]="X"),"X",_xlfn.UNIQUE(_xlfn._xlws.FILTER(CstGrpS[Nature],ISNUMBER(FIND(SUBSTITUTE(PptoSty[[#This Row],[PiColumn]]," +%",""),UPPER(SUBSTITUTE(CstGrpS[GrpPrv],"  "," ")))),"X")))</f>
        <v>Hrs</v>
      </c>
      <c r="K159" s="96" t="s">
        <v>1677</v>
      </c>
      <c r="L159" s="96" t="s">
        <v>1644</v>
      </c>
      <c r="M159" s="96" t="s">
        <v>28</v>
      </c>
      <c r="N159" s="96" t="str" cm="1">
        <f t="array" ref="N159">IF(OR(PptoSty[[#This Row],[Project]]="",PptoSty[[#This Row],[Project]]="X"),"X",_xlfn._xlws.FILTER(TbAssign[RowId],(TbAssign[Project]=PptoSty[[#This Row],[Project]])*(TbAssign[Módulo]=PptoSty[[#This Row],[PptoVsRow]]),"X"))</f>
        <v>XB01</v>
      </c>
      <c r="O159" s="96" t="str" cm="1">
        <f t="array" ref="O159">IF(OR(PptoSty[[#This Row],[Project]]="",PptoSty[[#This Row],[Project]]="X"),"X",_xlfn.UNIQUE(_xlfn._xlws.FILTER(F_RT14[Amortz.],(F_RT14[Measure]="CurPpto")*(F_RT14[PrjId]=PptoSty[[#This Row],[Project]])*(F_RT14[Vrs]=PptoSty[[#This Row],[Vrs]])*(_xlfn.TEXTAFTER(F_RT14[ActGrp],":")=PptoSty[[#This Row],[PiRow]]),"X")))</f>
        <v>TOTS</v>
      </c>
      <c r="P159" s="96" t="s">
        <v>428</v>
      </c>
      <c r="Q159" s="96" t="s">
        <v>378</v>
      </c>
      <c r="R159" s="204" t="s">
        <v>403</v>
      </c>
      <c r="S159" s="204">
        <v>1</v>
      </c>
      <c r="T159" s="205" cm="1">
        <f t="array" aca="1" ref="T15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159" s="206" cm="1">
        <f t="array" ref="U159">IFERROR((1/PptoSty[[#This Row],[Division]])*IF(PptoSty[[#This Row],[Sign]]="+",1,-1)*(IF(PptoSty[[#This Row],[POvsCT]]="PO",SUM(_xlfn.CHOOSECOLS(_xlfn._xlws.FILTER(F_RT14[],(IF($M159="X",TRUE,F_RT14[Site]=$M159))*(F_RT14[Measure]=U$4)*(F_RT14[PrjId]=PptoSty[[#This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2829.5851546391755</v>
      </c>
      <c r="V159" s="206" cm="1">
        <f t="array" ref="V159">IFERROR((1/PptoSty[[#This Row],[Division]])*IF(PptoSty[[#This Row],[Sign]]="+",1,-1)*(IF(PptoSty[[#This Row],[POvsCT]]="PO",SUM(_xlfn.CHOOSECOLS(_xlfn._xlws.FILTER(F_RT14[],(IF($M159="X",TRUE,F_RT14[Site]=$M159))*(F_RT14[Measure]=V$4)*(F_RT14[PrjId]=PptoSty[[#This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2851.55990075</v>
      </c>
      <c r="W159" s="206" cm="1">
        <f t="array" ref="W159">IFERROR((1/PptoSty[[#This Row],[Division]])*IF(PptoSty[[#This Row],[Sign]]="+",1,-1)*(IF(PptoSty[[#This Row],[POvsCT]]="PO",SUM(_xlfn.CHOOSECOLS(_xlfn._xlws.FILTER(F_RT14[],(IF($M159="X",TRUE,F_RT14[Site]=$M159))*(F_RT14[Measure]=W$4)*(F_RT14[PrjId]=PptoSty[[#This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59" s="338" cm="1">
        <f t="array" ref="X159">IFERROR(IF(PptoSty[[#This Row],[Nature]]&lt;&gt;"Hrs",0,(1/PptoSty[[#This Row],[Division]])*IF(PptoSty[[#This Row],[Sign]]="+",1,-1)*(IF(PptoSty[[#This Row],[POvsCT]]="PO",SUM(_xlfn.CHOOSECOLS(_xlfn._xlws.FILTER(F_RT14[],(IF($M159="X",TRUE,F_RT14[Site]=$M159))*(F_RT14[Measure]=X$4)*(F_RT14[PrjId]=PptoSty[[#This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63.25</v>
      </c>
      <c r="Y159" s="338" cm="1">
        <f t="array" ref="Y159">IFERROR(IF(PptoSty[[#This Row],[Nature]]&lt;&gt;"Hrs",0,(1/PptoSty[[#This Row],[Division]])*IF(PptoSty[[#This Row],[Sign]]="+",1,-1)*(IF(PptoSty[[#This Row],[POvsCT]]="PO",SUM(_xlfn.CHOOSECOLS(_xlfn._xlws.FILTER(F_RT14[],(IF($M159="X",TRUE,F_RT14[Site]=$M159))*(F_RT14[Measure]=Y$4)*(F_RT14[PrjId]=PptoSty[[#This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61.352499999999999</v>
      </c>
      <c r="Z159" s="338" cm="1">
        <f t="array" ref="Z159">IFERROR(IF(PptoSty[[#This Row],[Nature]]&lt;&gt;"Hrs",0,(1/PptoSty[[#This Row],[Division]])*IF(PptoSty[[#This Row],[Sign]]="+",1,-1)*(IF(PptoSty[[#This Row],[POvsCT]]="PO",SUM(_xlfn.CHOOSECOLS(_xlfn._xlws.FILTER(F_RT14[],(IF($M159="X",TRUE,F_RT14[Site]=$M159))*(F_RT14[Measure]=Z$4)*(F_RT14[PrjId]=PptoSty[[#This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59" s="206" cm="1">
        <f t="array" aca="1" ref="AA159"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26251.951649484537</v>
      </c>
      <c r="AB159" s="206" cm="1">
        <f t="array" aca="1" ref="AB159"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26455.825996187497</v>
      </c>
      <c r="AC159" s="206" cm="1">
        <f t="array" aca="1" ref="AC159"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159"/>
      <c r="AH159"/>
      <c r="AI159"/>
      <c r="AK159" s="113"/>
      <c r="AO159"/>
      <c r="AP159"/>
      <c r="AZ159" s="175"/>
      <c r="BA159" s="175"/>
      <c r="BE159"/>
      <c r="BF159"/>
      <c r="DG159" s="175"/>
      <c r="DH159" s="175"/>
      <c r="DI159" s="175"/>
      <c r="DL159" s="108"/>
      <c r="DM159" s="366" t="str" cm="1">
        <f t="array" aca="1" ref="DM159"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DN159:EC159</v>
      </c>
      <c r="DN159" s="177" t="s">
        <v>375</v>
      </c>
      <c r="DO159" s="177" t="str" cm="1">
        <f t="array" aca="1" ref="DO159:EC159"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AUTOMATISMOS</v>
      </c>
      <c r="DP159" s="177" t="str">
        <f ca="1"/>
        <v>DEFINICIÓN</v>
      </c>
      <c r="DQ159" s="177" t="str">
        <f ca="1"/>
        <v>DISEÑO FLUIDOS</v>
      </c>
      <c r="DR159" s="177" t="str">
        <f ca="1"/>
        <v>DISEÑO MECÁNICO</v>
      </c>
      <c r="DS159" s="177" t="str">
        <f ca="1"/>
        <v>FABRICACIÓN ELÉCTRICA</v>
      </c>
      <c r="DT159" s="177" t="str">
        <f ca="1"/>
        <v>FABRICACIÓN MECÁNICA</v>
      </c>
      <c r="DU159" s="177" t="str">
        <f ca="1"/>
        <v>GESTIÓN PROYECTOS</v>
      </c>
      <c r="DV159" s="177" t="str">
        <f ca="1"/>
        <v>INSTALACIÓN ENR</v>
      </c>
      <c r="DW159" s="177" t="str">
        <f ca="1"/>
        <v>MATERIAL ELÉCTRICO +%</v>
      </c>
      <c r="DX159" s="177" t="str">
        <f ca="1"/>
        <v>MATERIAL FLUIDOS +%</v>
      </c>
      <c r="DY159" s="177" t="str">
        <f ca="1"/>
        <v>MATERIAL MECÁNICO +%</v>
      </c>
      <c r="DZ159" s="177" t="str">
        <f ca="1"/>
        <v>METROLOGÍA</v>
      </c>
      <c r="EA159" s="177" t="str">
        <f ca="1"/>
        <v>MONTAJE MECÁNICO</v>
      </c>
      <c r="EB159" s="177" t="str">
        <f ca="1"/>
        <v>ROBCAD</v>
      </c>
      <c r="EC159" s="177" t="str">
        <f ca="1"/>
        <v>ROBÓTICA</v>
      </c>
      <c r="ED159" s="177"/>
    </row>
    <row r="160" spans="3:134" ht="13" customHeight="1">
      <c r="C160" s="356">
        <v>45595</v>
      </c>
      <c r="D160" s="213" t="s">
        <v>2114</v>
      </c>
      <c r="E160" s="356" t="s">
        <v>1710</v>
      </c>
      <c r="F160" s="219" t="s">
        <v>375</v>
      </c>
      <c r="G160" s="201" t="s">
        <v>1415</v>
      </c>
      <c r="H160" s="202">
        <v>16</v>
      </c>
      <c r="I160" s="339" t="str" cm="1">
        <f t="array" aca="1" ref="I16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X002</v>
      </c>
      <c r="J160" s="203" t="str" cm="1">
        <f t="array" ref="J160">IF(OR(PptoSty[[#This Row],[Project]]="",PptoSty[[#This Row],[Project]]="X"),"X",_xlfn.UNIQUE(_xlfn._xlws.FILTER(CstGrpS[Nature],ISNUMBER(FIND(SUBSTITUTE(PptoSty[[#This Row],[PiColumn]]," +%",""),UPPER(SUBSTITUTE(CstGrpS[GrpPrv],"  "," ")))),"X")))</f>
        <v>Hrs</v>
      </c>
      <c r="K160" s="96" t="s">
        <v>1628</v>
      </c>
      <c r="L160" s="96" t="s">
        <v>379</v>
      </c>
      <c r="M160" s="96" t="s">
        <v>28</v>
      </c>
      <c r="N160" s="96" t="str" cm="1">
        <f t="array" ref="N160">IF(OR(PptoSty[[#This Row],[Project]]="",PptoSty[[#This Row],[Project]]="X"),"X",_xlfn._xlws.FILTER(TbAssign[RowId],(TbAssign[Project]=PptoSty[[#This Row],[Project]])*(TbAssign[Módulo]=PptoSty[[#This Row],[PptoVsRow]]),"X"))</f>
        <v>XC02</v>
      </c>
      <c r="O160" s="96" t="str" cm="1">
        <f t="array" ref="O160">IF(OR(PptoSty[[#This Row],[Project]]="",PptoSty[[#This Row],[Project]]="X"),"X",_xlfn.UNIQUE(_xlfn._xlws.FILTER(F_RT14[Amortz.],(F_RT14[Measure]="CurPpto")*(F_RT14[PrjId]=PptoSty[[#This Row],[Project]])*(F_RT14[Vrs]=PptoSty[[#This Row],[Vrs]])*(_xlfn.TEXTAFTER(F_RT14[ActGrp],":")=PptoSty[[#This Row],[PiRow]]),"X")))</f>
        <v>CELL</v>
      </c>
      <c r="P160" s="96" t="s">
        <v>368</v>
      </c>
      <c r="Q160" s="96" t="s">
        <v>1667</v>
      </c>
      <c r="R160" s="204" t="s">
        <v>403</v>
      </c>
      <c r="S160" s="204">
        <v>1</v>
      </c>
      <c r="T160" s="205" cm="1">
        <f t="array" aca="1" ref="T16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160" s="206" cm="1">
        <f t="array" ref="U160">IFERROR((1/PptoSty[[#This Row],[Division]])*IF(PptoSty[[#This Row],[Sign]]="+",1,-1)*(IF(PptoSty[[#This Row],[POvsCT]]="PO",SUM(_xlfn.CHOOSECOLS(_xlfn._xlws.FILTER(F_RT14[],(IF($M160="X",TRUE,F_RT14[Site]=$M160))*(F_RT14[Measure]=U$4)*(F_RT14[PrjId]=PptoSty[[#This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14174.334856701033</v>
      </c>
      <c r="V160" s="206" cm="1">
        <f t="array" ref="V160">IFERROR((1/PptoSty[[#This Row],[Division]])*IF(PptoSty[[#This Row],[Sign]]="+",1,-1)*(IF(PptoSty[[#This Row],[POvsCT]]="PO",SUM(_xlfn.CHOOSECOLS(_xlfn._xlws.FILTER(F_RT14[],(IF($M160="X",TRUE,F_RT14[Site]=$M160))*(F_RT14[Measure]=V$4)*(F_RT14[PrjId]=PptoSty[[#This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634.12795147520001</v>
      </c>
      <c r="W160" s="206" cm="1">
        <f t="array" ref="W160">IFERROR((1/PptoSty[[#This Row],[Division]])*IF(PptoSty[[#This Row],[Sign]]="+",1,-1)*(IF(PptoSty[[#This Row],[POvsCT]]="PO",SUM(_xlfn.CHOOSECOLS(_xlfn._xlws.FILTER(F_RT14[],(IF($M160="X",TRUE,F_RT14[Site]=$M160))*(F_RT14[Measure]=W$4)*(F_RT14[PrjId]=PptoSty[[#This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14054.787028832001</v>
      </c>
      <c r="X160" s="338" cm="1">
        <f t="array" ref="X160">IFERROR(IF(PptoSty[[#This Row],[Nature]]&lt;&gt;"Hrs",0,(1/PptoSty[[#This Row],[Division]])*IF(PptoSty[[#This Row],[Sign]]="+",1,-1)*(IF(PptoSty[[#This Row],[POvsCT]]="PO",SUM(_xlfn.CHOOSECOLS(_xlfn._xlws.FILTER(F_RT14[],(IF($M160="X",TRUE,F_RT14[Site]=$M160))*(F_RT14[Measure]=X$4)*(F_RT14[PrjId]=PptoSty[[#This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150.17599999999999</v>
      </c>
      <c r="Y160" s="338" cm="1">
        <f t="array" ref="Y160">IFERROR(IF(PptoSty[[#This Row],[Nature]]&lt;&gt;"Hrs",0,(1/PptoSty[[#This Row],[Division]])*IF(PptoSty[[#This Row],[Sign]]="+",1,-1)*(IF(PptoSty[[#This Row],[POvsCT]]="PO",SUM(_xlfn.CHOOSECOLS(_xlfn._xlws.FILTER(F_RT14[],(IF($M160="X",TRUE,F_RT14[Site]=$M160))*(F_RT14[Measure]=Y$4)*(F_RT14[PrjId]=PptoSty[[#This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14.567072</v>
      </c>
      <c r="Z160" s="338" cm="1">
        <f t="array" ref="Z160">IFERROR(IF(PptoSty[[#This Row],[Nature]]&lt;&gt;"Hrs",0,(1/PptoSty[[#This Row],[Division]])*IF(PptoSty[[#This Row],[Sign]]="+",1,-1)*(IF(PptoSty[[#This Row],[POvsCT]]="PO",SUM(_xlfn.CHOOSECOLS(_xlfn._xlws.FILTER(F_RT14[],(IF($M160="X",TRUE,F_RT14[Site]=$M160))*(F_RT14[Measure]=Z$4)*(F_RT14[PrjId]=PptoSty[[#This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131.10364800000002</v>
      </c>
      <c r="AA160" s="206" cm="1">
        <f t="array" aca="1" ref="AA160"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283185.76366185566</v>
      </c>
      <c r="AB160" s="206" cm="1">
        <f t="array" aca="1" ref="AB160"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13463.253908097278</v>
      </c>
      <c r="AC160" s="206" cm="1">
        <f t="array" aca="1" ref="AC160"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280647.62863348477</v>
      </c>
      <c r="AG160"/>
      <c r="AH160"/>
      <c r="AI160"/>
      <c r="AK160" s="113"/>
      <c r="AO160"/>
      <c r="AP160"/>
      <c r="AZ160" s="175"/>
      <c r="BA160" s="175"/>
      <c r="BE160"/>
      <c r="BF160"/>
      <c r="DG160" s="175"/>
      <c r="DH160" s="175"/>
      <c r="DI160" s="175"/>
      <c r="DL160" s="108"/>
      <c r="DM160" s="366" t="str" cm="1">
        <f t="array" aca="1" ref="DM160"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DN160:DW160</v>
      </c>
      <c r="DN160" s="177" t="s">
        <v>375</v>
      </c>
      <c r="DO160" s="177" t="str" cm="1">
        <f t="array" aca="1" ref="DO160:DW160"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160" s="177" t="str">
        <f ca="1"/>
        <v>DISEÑO MECÁNICO</v>
      </c>
      <c r="DQ160" s="177" t="str">
        <f ca="1"/>
        <v>FABRICACIÓN ELÉCTRICA</v>
      </c>
      <c r="DR160" s="177" t="str">
        <f ca="1"/>
        <v>FABRICACIÓN MECÁNICA</v>
      </c>
      <c r="DS160" s="177" t="str">
        <f ca="1"/>
        <v>INSTALACIÓN ENR</v>
      </c>
      <c r="DT160" s="177" t="str">
        <f ca="1"/>
        <v>MATERIAL ELÉCTRICO +%</v>
      </c>
      <c r="DU160" s="177" t="str">
        <f ca="1"/>
        <v>MATERIAL FLUIDOS +%</v>
      </c>
      <c r="DV160" s="177" t="str">
        <f ca="1"/>
        <v>MATERIAL MECÁNICO +%</v>
      </c>
      <c r="DW160" s="177" t="str">
        <f ca="1"/>
        <v>MONTAJE MECÁNICO</v>
      </c>
      <c r="DX160" s="177"/>
      <c r="DY160" s="177"/>
      <c r="DZ160" s="177"/>
      <c r="EA160" s="177"/>
      <c r="EB160" s="177"/>
      <c r="EC160" s="177"/>
      <c r="ED160" s="177"/>
    </row>
    <row r="161" spans="3:134" ht="13" customHeight="1">
      <c r="C161" s="356">
        <v>45595</v>
      </c>
      <c r="D161" s="213" t="s">
        <v>2114</v>
      </c>
      <c r="E161" s="356" t="s">
        <v>1710</v>
      </c>
      <c r="F161" s="219" t="s">
        <v>375</v>
      </c>
      <c r="G161" s="201" t="s">
        <v>1415</v>
      </c>
      <c r="H161" s="202">
        <v>16</v>
      </c>
      <c r="I161" s="339" t="str" cm="1">
        <f t="array" aca="1" ref="I16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161" s="203" t="str" cm="1">
        <f t="array" ref="J161">IF(OR(PptoSty[[#This Row],[Project]]="",PptoSty[[#This Row],[Project]]="X"),"X",_xlfn.UNIQUE(_xlfn._xlws.FILTER(CstGrpS[Nature],ISNUMBER(FIND(SUBSTITUTE(PptoSty[[#This Row],[PiColumn]]," +%",""),UPPER(SUBSTITUTE(CstGrpS[GrpPrv],"  "," ")))),"X")))</f>
        <v>Hrs</v>
      </c>
      <c r="K161" s="96" t="s">
        <v>1629</v>
      </c>
      <c r="L161" s="96" t="s">
        <v>379</v>
      </c>
      <c r="M161" s="96" t="s">
        <v>28</v>
      </c>
      <c r="N161" s="96" t="str" cm="1">
        <f t="array" ref="N161">IF(OR(PptoSty[[#This Row],[Project]]="",PptoSty[[#This Row],[Project]]="X"),"X",_xlfn._xlws.FILTER(TbAssign[RowId],(TbAssign[Project]=PptoSty[[#This Row],[Project]])*(TbAssign[Módulo]=PptoSty[[#This Row],[PptoVsRow]]),"X"))</f>
        <v>XC02</v>
      </c>
      <c r="O161" s="96" t="str" cm="1">
        <f t="array" ref="O161">IF(OR(PptoSty[[#This Row],[Project]]="",PptoSty[[#This Row],[Project]]="X"),"X",_xlfn.UNIQUE(_xlfn._xlws.FILTER(F_RT14[Amortz.],(F_RT14[Measure]="CurPpto")*(F_RT14[PrjId]=PptoSty[[#This Row],[Project]])*(F_RT14[Vrs]=PptoSty[[#This Row],[Vrs]])*(_xlfn.TEXTAFTER(F_RT14[ActGrp],":")=PptoSty[[#This Row],[PiRow]]),"X")))</f>
        <v>TOOL</v>
      </c>
      <c r="P161" s="96" t="s">
        <v>368</v>
      </c>
      <c r="Q161" s="96" t="s">
        <v>1667</v>
      </c>
      <c r="R161" s="204" t="s">
        <v>403</v>
      </c>
      <c r="S161" s="204">
        <v>1</v>
      </c>
      <c r="T161" s="205" cm="1">
        <f t="array" aca="1" ref="T16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161" s="206" cm="1">
        <f t="array" ref="U161">IFERROR((1/PptoSty[[#This Row],[Division]])*IF(PptoSty[[#This Row],[Sign]]="+",1,-1)*(IF(PptoSty[[#This Row],[POvsCT]]="PO",SUM(_xlfn.CHOOSECOLS(_xlfn._xlws.FILTER(F_RT14[],(IF($M161="X",TRUE,F_RT14[Site]=$M161))*(F_RT14[Measure]=U$4)*(F_RT14[PrjId]=PptoSty[[#This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86695.493206185565</v>
      </c>
      <c r="V161" s="206" cm="1">
        <f t="array" ref="V161">IFERROR((1/PptoSty[[#This Row],[Division]])*IF(PptoSty[[#This Row],[Sign]]="+",1,-1)*(IF(PptoSty[[#This Row],[POvsCT]]="PO",SUM(_xlfn.CHOOSECOLS(_xlfn._xlws.FILTER(F_RT14[],(IF($M161="X",TRUE,F_RT14[Site]=$M161))*(F_RT14[Measure]=V$4)*(F_RT14[PrjId]=PptoSty[[#This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5351.1470490391484</v>
      </c>
      <c r="W161" s="206" cm="1">
        <f t="array" ref="W161">IFERROR((1/PptoSty[[#This Row],[Division]])*IF(PptoSty[[#This Row],[Sign]]="+",1,-1)*(IF(PptoSty[[#This Row],[POvsCT]]="PO",SUM(_xlfn.CHOOSECOLS(_xlfn._xlws.FILTER(F_RT14[],(IF($M161="X",TRUE,F_RT14[Site]=$M161))*(F_RT14[Measure]=W$4)*(F_RT14[PrjId]=PptoSty[[#This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85686.678167810693</v>
      </c>
      <c r="X161" s="338" cm="1">
        <f t="array" ref="X161">IFERROR(IF(PptoSty[[#This Row],[Nature]]&lt;&gt;"Hrs",0,(1/PptoSty[[#This Row],[Division]])*IF(PptoSty[[#This Row],[Sign]]="+",1,-1)*(IF(PptoSty[[#This Row],[POvsCT]]="PO",SUM(_xlfn.CHOOSECOLS(_xlfn._xlws.FILTER(F_RT14[],(IF($M161="X",TRUE,F_RT14[Site]=$M161))*(F_RT14[Measure]=X$4)*(F_RT14[PrjId]=PptoSty[[#This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1267.2739900000001</v>
      </c>
      <c r="Y161" s="338" cm="1">
        <f t="array" ref="Y161">IFERROR(IF(PptoSty[[#This Row],[Nature]]&lt;&gt;"Hrs",0,(1/PptoSty[[#This Row],[Division]])*IF(PptoSty[[#This Row],[Sign]]="+",1,-1)*(IF(PptoSty[[#This Row],[POvsCT]]="PO",SUM(_xlfn.CHOOSECOLS(_xlfn._xlws.FILTER(F_RT14[],(IF($M161="X",TRUE,F_RT14[Site]=$M161))*(F_RT14[Measure]=Y$4)*(F_RT14[PrjId]=PptoSty[[#This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122.92557703000003</v>
      </c>
      <c r="Z161" s="338" cm="1">
        <f t="array" ref="Z161">IFERROR(IF(PptoSty[[#This Row],[Nature]]&lt;&gt;"Hrs",0,(1/PptoSty[[#This Row],[Division]])*IF(PptoSty[[#This Row],[Sign]]="+",1,-1)*(IF(PptoSty[[#This Row],[POvsCT]]="PO",SUM(_xlfn.CHOOSECOLS(_xlfn._xlws.FILTER(F_RT14[],(IF($M161="X",TRUE,F_RT14[Site]=$M161))*(F_RT14[Measure]=Z$4)*(F_RT14[PrjId]=PptoSty[[#This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1106.3301932700001</v>
      </c>
      <c r="AA161" s="206" cm="1">
        <f t="array" aca="1" ref="AA161"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369881.25686804124</v>
      </c>
      <c r="AB161" s="206" cm="1">
        <f t="array" aca="1" ref="AB161"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18814.400957136426</v>
      </c>
      <c r="AC161" s="206" cm="1">
        <f t="array" aca="1" ref="AC161"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366334.30680129549</v>
      </c>
      <c r="AG161"/>
      <c r="AH161"/>
      <c r="AI161"/>
      <c r="AK161" s="113"/>
      <c r="AO161"/>
      <c r="AP161"/>
      <c r="AZ161" s="175"/>
      <c r="BA161" s="175"/>
      <c r="BE161"/>
      <c r="BF161"/>
      <c r="DG161" s="175"/>
      <c r="DH161" s="175"/>
      <c r="DI161" s="175"/>
      <c r="DL161" s="108"/>
      <c r="DM161" s="366" t="str" cm="1">
        <f t="array" aca="1" ref="DM161"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DN161:DV161</v>
      </c>
      <c r="DN161" s="177" t="s">
        <v>375</v>
      </c>
      <c r="DO161" s="177" t="str" cm="1">
        <f t="array" aca="1" ref="DO161:DV161"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161" s="177" t="str">
        <f ca="1"/>
        <v>DISEÑO MECÁNICO</v>
      </c>
      <c r="DQ161" s="177" t="str">
        <f ca="1"/>
        <v>FABRICACIÓN MECÁNICA</v>
      </c>
      <c r="DR161" s="177" t="str">
        <f ca="1"/>
        <v>MATERIAL ELÉCTRICO +%</v>
      </c>
      <c r="DS161" s="177" t="str">
        <f ca="1"/>
        <v>MATERIAL FLUIDOS +%</v>
      </c>
      <c r="DT161" s="177" t="str">
        <f ca="1"/>
        <v>MATERIAL MECÁNICO +%</v>
      </c>
      <c r="DU161" s="177" t="str">
        <f ca="1"/>
        <v>METROLOGÍA</v>
      </c>
      <c r="DV161" s="177" t="str">
        <f ca="1"/>
        <v>MONTAJE MECÁNICO</v>
      </c>
      <c r="DW161" s="177"/>
      <c r="DX161" s="177"/>
      <c r="DY161" s="177"/>
      <c r="DZ161" s="177"/>
      <c r="EA161" s="177"/>
      <c r="EB161" s="177"/>
      <c r="EC161" s="177"/>
      <c r="ED161" s="177"/>
    </row>
    <row r="162" spans="3:134" ht="13" customHeight="1">
      <c r="C162" s="356">
        <v>45595</v>
      </c>
      <c r="D162" s="213" t="s">
        <v>2114</v>
      </c>
      <c r="E162" s="356" t="s">
        <v>1710</v>
      </c>
      <c r="F162" s="219" t="s">
        <v>375</v>
      </c>
      <c r="G162" s="201" t="s">
        <v>1415</v>
      </c>
      <c r="H162" s="202">
        <v>16</v>
      </c>
      <c r="I162" s="339" t="str" cm="1">
        <f t="array" aca="1" ref="I16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X002</v>
      </c>
      <c r="J162" s="203" t="str" cm="1">
        <f t="array" ref="J162">IF(OR(PptoSty[[#This Row],[Project]]="",PptoSty[[#This Row],[Project]]="X"),"X",_xlfn.UNIQUE(_xlfn._xlws.FILTER(CstGrpS[Nature],ISNUMBER(FIND(SUBSTITUTE(PptoSty[[#This Row],[PiColumn]]," +%",""),UPPER(SUBSTITUTE(CstGrpS[GrpPrv],"  "," ")))),"X")))</f>
        <v>Hrs</v>
      </c>
      <c r="K162" s="96" t="s">
        <v>1628</v>
      </c>
      <c r="L162" s="96" t="s">
        <v>380</v>
      </c>
      <c r="M162" s="96" t="s">
        <v>28</v>
      </c>
      <c r="N162" s="96" t="str" cm="1">
        <f t="array" ref="N162">IF(OR(PptoSty[[#This Row],[Project]]="",PptoSty[[#This Row],[Project]]="X"),"X",_xlfn._xlws.FILTER(TbAssign[RowId],(TbAssign[Project]=PptoSty[[#This Row],[Project]])*(TbAssign[Módulo]=PptoSty[[#This Row],[PptoVsRow]]),"X"))</f>
        <v>XC02</v>
      </c>
      <c r="O162" s="96" t="str" cm="1">
        <f t="array" ref="O162">IF(OR(PptoSty[[#This Row],[Project]]="",PptoSty[[#This Row],[Project]]="X"),"X",_xlfn.UNIQUE(_xlfn._xlws.FILTER(F_RT14[Amortz.],(F_RT14[Measure]="CurPpto")*(F_RT14[PrjId]=PptoSty[[#This Row],[Project]])*(F_RT14[Vrs]=PptoSty[[#This Row],[Vrs]])*(_xlfn.TEXTAFTER(F_RT14[ActGrp],":")=PptoSty[[#This Row],[PiRow]]),"X")))</f>
        <v>CELL</v>
      </c>
      <c r="P162" s="96" t="s">
        <v>368</v>
      </c>
      <c r="Q162" s="96" t="s">
        <v>1667</v>
      </c>
      <c r="R162" s="204" t="s">
        <v>403</v>
      </c>
      <c r="S162" s="204">
        <v>1</v>
      </c>
      <c r="T162" s="205" cm="1">
        <f t="array" aca="1" ref="T16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162" s="206" cm="1">
        <f t="array" ref="U162">IFERROR((1/PptoSty[[#This Row],[Division]])*IF(PptoSty[[#This Row],[Sign]]="+",1,-1)*(IF(PptoSty[[#This Row],[POvsCT]]="PO",SUM(_xlfn.CHOOSECOLS(_xlfn._xlws.FILTER(F_RT14[],(IF($M162="X",TRUE,F_RT14[Site]=$M162))*(F_RT14[Measure]=U$4)*(F_RT14[PrjId]=PptoSty[[#This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6800.4991752577316</v>
      </c>
      <c r="V162" s="206" cm="1">
        <f t="array" ref="V162">IFERROR((1/PptoSty[[#This Row],[Division]])*IF(PptoSty[[#This Row],[Sign]]="+",1,-1)*(IF(PptoSty[[#This Row],[POvsCT]]="PO",SUM(_xlfn.CHOOSECOLS(_xlfn._xlws.FILTER(F_RT14[],(IF($M162="X",TRUE,F_RT14[Site]=$M162))*(F_RT14[Measure]=V$4)*(F_RT14[PrjId]=PptoSty[[#This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2045.9805750075</v>
      </c>
      <c r="W162" s="206" cm="1">
        <f t="array" ref="W162">IFERROR((1/PptoSty[[#This Row],[Division]])*IF(PptoSty[[#This Row],[Sign]]="+",1,-1)*(IF(PptoSty[[#This Row],[POvsCT]]="PO",SUM(_xlfn.CHOOSECOLS(_xlfn._xlws.FILTER(F_RT14[],(IF($M162="X",TRUE,F_RT14[Site]=$M162))*(F_RT14[Measure]=W$4)*(F_RT14[PrjId]=PptoSty[[#This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4539.6169303799998</v>
      </c>
      <c r="X162" s="338" cm="1">
        <f t="array" ref="X162">IFERROR(IF(PptoSty[[#This Row],[Nature]]&lt;&gt;"Hrs",0,(1/PptoSty[[#This Row],[Division]])*IF(PptoSty[[#This Row],[Sign]]="+",1,-1)*(IF(PptoSty[[#This Row],[POvsCT]]="PO",SUM(_xlfn.CHOOSECOLS(_xlfn._xlws.FILTER(F_RT14[],(IF($M162="X",TRUE,F_RT14[Site]=$M162))*(F_RT14[Measure]=X$4)*(F_RT14[PrjId]=PptoSty[[#This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219.99800000000002</v>
      </c>
      <c r="Y162" s="338" cm="1">
        <f t="array" ref="Y162">IFERROR(IF(PptoSty[[#This Row],[Nature]]&lt;&gt;"Hrs",0,(1/PptoSty[[#This Row],[Division]])*IF(PptoSty[[#This Row],[Sign]]="+",1,-1)*(IF(PptoSty[[#This Row],[POvsCT]]="PO",SUM(_xlfn.CHOOSECOLS(_xlfn._xlws.FILTER(F_RT14[],(IF($M162="X",TRUE,F_RT14[Site]=$M162))*(F_RT14[Measure]=Y$4)*(F_RT14[PrjId]=PptoSty[[#This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53.349514999999997</v>
      </c>
      <c r="Z162" s="338" cm="1">
        <f t="array" ref="Z162">IFERROR(IF(PptoSty[[#This Row],[Nature]]&lt;&gt;"Hrs",0,(1/PptoSty[[#This Row],[Division]])*IF(PptoSty[[#This Row],[Sign]]="+",1,-1)*(IF(PptoSty[[#This Row],[POvsCT]]="PO",SUM(_xlfn.CHOOSECOLS(_xlfn._xlws.FILTER(F_RT14[],(IF($M162="X",TRUE,F_RT14[Site]=$M162))*(F_RT14[Measure]=Z$4)*(F_RT14[PrjId]=PptoSty[[#This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160.04854500000002</v>
      </c>
      <c r="AA162" s="206" cm="1">
        <f t="array" aca="1" ref="AA162"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376681.75604329898</v>
      </c>
      <c r="AB162" s="206" cm="1">
        <f t="array" aca="1" ref="AB162"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20860.381532143925</v>
      </c>
      <c r="AC162" s="206" cm="1">
        <f t="array" aca="1" ref="AC162"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370873.92373167549</v>
      </c>
      <c r="AG162"/>
      <c r="AH162"/>
      <c r="AI162"/>
      <c r="AK162" s="113"/>
      <c r="AO162"/>
      <c r="AP162"/>
      <c r="AZ162" s="175"/>
      <c r="BA162" s="175"/>
      <c r="BE162"/>
      <c r="BF162"/>
      <c r="DG162" s="175"/>
      <c r="DH162" s="175"/>
      <c r="DI162" s="175"/>
      <c r="DL162" s="108"/>
      <c r="DM162" s="366" t="str" cm="1">
        <f t="array" aca="1" ref="DM162"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DN162:DW162</v>
      </c>
      <c r="DN162" s="177" t="s">
        <v>375</v>
      </c>
      <c r="DO162" s="177" t="str" cm="1">
        <f t="array" aca="1" ref="DO162:DW162"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162" s="177" t="str">
        <f ca="1"/>
        <v>DISEÑO MECÁNICO</v>
      </c>
      <c r="DQ162" s="177" t="str">
        <f ca="1"/>
        <v>FABRICACIÓN ELÉCTRICA</v>
      </c>
      <c r="DR162" s="177" t="str">
        <f ca="1"/>
        <v>FABRICACIÓN MECÁNICA</v>
      </c>
      <c r="DS162" s="177" t="str">
        <f ca="1"/>
        <v>INSTALACIÓN ENR</v>
      </c>
      <c r="DT162" s="177" t="str">
        <f ca="1"/>
        <v>MATERIAL ELÉCTRICO +%</v>
      </c>
      <c r="DU162" s="177" t="str">
        <f ca="1"/>
        <v>MATERIAL FLUIDOS +%</v>
      </c>
      <c r="DV162" s="177" t="str">
        <f ca="1"/>
        <v>MATERIAL MECÁNICO +%</v>
      </c>
      <c r="DW162" s="177" t="str">
        <f ca="1"/>
        <v>MONTAJE MECÁNICO</v>
      </c>
      <c r="DX162" s="177"/>
      <c r="DY162" s="177"/>
      <c r="DZ162" s="177"/>
      <c r="EA162" s="177"/>
      <c r="EB162" s="177"/>
      <c r="EC162" s="177"/>
      <c r="ED162" s="177"/>
    </row>
    <row r="163" spans="3:134" ht="13" customHeight="1">
      <c r="C163" s="356">
        <v>45595</v>
      </c>
      <c r="D163" s="213" t="s">
        <v>2114</v>
      </c>
      <c r="E163" s="356" t="s">
        <v>1710</v>
      </c>
      <c r="F163" s="219" t="s">
        <v>375</v>
      </c>
      <c r="G163" s="201" t="s">
        <v>1415</v>
      </c>
      <c r="H163" s="202">
        <v>16</v>
      </c>
      <c r="I163" s="339" t="str" cm="1">
        <f t="array" aca="1" ref="I16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163" s="203" t="str" cm="1">
        <f t="array" ref="J163">IF(OR(PptoSty[[#This Row],[Project]]="",PptoSty[[#This Row],[Project]]="X"),"X",_xlfn.UNIQUE(_xlfn._xlws.FILTER(CstGrpS[Nature],ISNUMBER(FIND(SUBSTITUTE(PptoSty[[#This Row],[PiColumn]]," +%",""),UPPER(SUBSTITUTE(CstGrpS[GrpPrv],"  "," ")))),"X")))</f>
        <v>Hrs</v>
      </c>
      <c r="K163" s="96" t="s">
        <v>1629</v>
      </c>
      <c r="L163" s="96" t="s">
        <v>380</v>
      </c>
      <c r="M163" s="96" t="s">
        <v>28</v>
      </c>
      <c r="N163" s="96" t="str" cm="1">
        <f t="array" ref="N163">IF(OR(PptoSty[[#This Row],[Project]]="",PptoSty[[#This Row],[Project]]="X"),"X",_xlfn._xlws.FILTER(TbAssign[RowId],(TbAssign[Project]=PptoSty[[#This Row],[Project]])*(TbAssign[Módulo]=PptoSty[[#This Row],[PptoVsRow]]),"X"))</f>
        <v>XC01</v>
      </c>
      <c r="O163" s="96" t="str" cm="1">
        <f t="array" ref="O163">IF(OR(PptoSty[[#This Row],[Project]]="",PptoSty[[#This Row],[Project]]="X"),"X",_xlfn.UNIQUE(_xlfn._xlws.FILTER(F_RT14[Amortz.],(F_RT14[Measure]="CurPpto")*(F_RT14[PrjId]=PptoSty[[#This Row],[Project]])*(F_RT14[Vrs]=PptoSty[[#This Row],[Vrs]])*(_xlfn.TEXTAFTER(F_RT14[ActGrp],":")=PptoSty[[#This Row],[PiRow]]),"X")))</f>
        <v>TOOL</v>
      </c>
      <c r="P163" s="96" t="s">
        <v>1473</v>
      </c>
      <c r="Q163" s="96" t="s">
        <v>1667</v>
      </c>
      <c r="R163" s="204" t="s">
        <v>403</v>
      </c>
      <c r="S163" s="204">
        <v>1</v>
      </c>
      <c r="T163" s="205" cm="1">
        <f t="array" aca="1" ref="T16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163" s="206" cm="1">
        <f t="array" ref="U163">IFERROR((1/PptoSty[[#This Row],[Division]])*IF(PptoSty[[#This Row],[Sign]]="+",1,-1)*(IF(PptoSty[[#This Row],[POvsCT]]="PO",SUM(_xlfn.CHOOSECOLS(_xlfn._xlws.FILTER(F_RT14[],(IF($M163="X",TRUE,F_RT14[Site]=$M163))*(F_RT14[Measure]=U$4)*(F_RT14[PrjId]=PptoSty[[#This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5777.3857731958769</v>
      </c>
      <c r="V163" s="206" cm="1">
        <f t="array" ref="V163">IFERROR((1/PptoSty[[#This Row],[Division]])*IF(PptoSty[[#This Row],[Sign]]="+",1,-1)*(IF(PptoSty[[#This Row],[POvsCT]]="PO",SUM(_xlfn.CHOOSECOLS(_xlfn._xlws.FILTER(F_RT14[],(IF($M163="X",TRUE,F_RT14[Site]=$M163))*(F_RT14[Measure]=V$4)*(F_RT14[PrjId]=PptoSty[[#This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1738.1692991250002</v>
      </c>
      <c r="W163" s="206" cm="1">
        <f t="array" ref="W163">IFERROR((1/PptoSty[[#This Row],[Division]])*IF(PptoSty[[#This Row],[Sign]]="+",1,-1)*(IF(PptoSty[[#This Row],[POvsCT]]="PO",SUM(_xlfn.CHOOSECOLS(_xlfn._xlws.FILTER(F_RT14[],(IF($M163="X",TRUE,F_RT14[Site]=$M163))*(F_RT14[Measure]=W$4)*(F_RT14[PrjId]=PptoSty[[#This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4731.3529877250003</v>
      </c>
      <c r="X163" s="338" cm="1">
        <f t="array" ref="X163">IFERROR(IF(PptoSty[[#This Row],[Nature]]&lt;&gt;"Hrs",0,(1/PptoSty[[#This Row],[Division]])*IF(PptoSty[[#This Row],[Sign]]="+",1,-1)*(IF(PptoSty[[#This Row],[POvsCT]]="PO",SUM(_xlfn.CHOOSECOLS(_xlfn._xlws.FILTER(F_RT14[],(IF($M163="X",TRUE,F_RT14[Site]=$M163))*(F_RT14[Measure]=X$4)*(F_RT14[PrjId]=PptoSty[[#This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186.9</v>
      </c>
      <c r="Y163" s="338" cm="1">
        <f t="array" ref="Y163">IFERROR(IF(PptoSty[[#This Row],[Nature]]&lt;&gt;"Hrs",0,(1/PptoSty[[#This Row],[Division]])*IF(PptoSty[[#This Row],[Sign]]="+",1,-1)*(IF(PptoSty[[#This Row],[POvsCT]]="PO",SUM(_xlfn.CHOOSECOLS(_xlfn._xlws.FILTER(F_RT14[],(IF($M163="X",TRUE,F_RT14[Site]=$M163))*(F_RT14[Measure]=Y$4)*(F_RT14[PrjId]=PptoSty[[#This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45.323250000000002</v>
      </c>
      <c r="Z163" s="338" cm="1">
        <f t="array" ref="Z163">IFERROR(IF(PptoSty[[#This Row],[Nature]]&lt;&gt;"Hrs",0,(1/PptoSty[[#This Row],[Division]])*IF(PptoSty[[#This Row],[Sign]]="+",1,-1)*(IF(PptoSty[[#This Row],[POvsCT]]="PO",SUM(_xlfn.CHOOSECOLS(_xlfn._xlws.FILTER(F_RT14[],(IF($M163="X",TRUE,F_RT14[Site]=$M163))*(F_RT14[Measure]=Z$4)*(F_RT14[PrjId]=PptoSty[[#This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135.96975</v>
      </c>
      <c r="AA163" s="206" cm="1">
        <f t="array" aca="1" ref="AA163"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803641.08191134024</v>
      </c>
      <c r="AB163" s="206" cm="1">
        <f t="array" aca="1" ref="AB163"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130426.66644333884</v>
      </c>
      <c r="AC163" s="206" cm="1">
        <f t="array" aca="1" ref="AC163"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724568.3331128743</v>
      </c>
      <c r="AG163"/>
      <c r="AH163"/>
      <c r="AI163"/>
      <c r="AK163" s="113"/>
      <c r="AO163"/>
      <c r="AP163"/>
      <c r="AZ163" s="175"/>
      <c r="BA163" s="175"/>
      <c r="BE163"/>
      <c r="BF163"/>
      <c r="DG163" s="175"/>
      <c r="DH163" s="175"/>
      <c r="DI163" s="175"/>
      <c r="DL163" s="108"/>
      <c r="DM163" s="366" t="str" cm="1">
        <f t="array" aca="1" ref="DM163"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DN163:DV163</v>
      </c>
      <c r="DN163" s="177" t="s">
        <v>375</v>
      </c>
      <c r="DO163" s="177" t="str" cm="1">
        <f t="array" aca="1" ref="DO163:DV163"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163" s="177" t="str">
        <f ca="1"/>
        <v>DISEÑO MECÁNICO</v>
      </c>
      <c r="DQ163" s="177" t="str">
        <f ca="1"/>
        <v>FABRICACIÓN MECÁNICA</v>
      </c>
      <c r="DR163" s="177" t="str">
        <f ca="1"/>
        <v>MATERIAL ELÉCTRICO +%</v>
      </c>
      <c r="DS163" s="177" t="str">
        <f ca="1"/>
        <v>MATERIAL FLUIDOS +%</v>
      </c>
      <c r="DT163" s="177" t="str">
        <f ca="1"/>
        <v>MATERIAL MECÁNICO +%</v>
      </c>
      <c r="DU163" s="177" t="str">
        <f ca="1"/>
        <v>METROLOGÍA</v>
      </c>
      <c r="DV163" s="177" t="str">
        <f ca="1"/>
        <v>MONTAJE MECÁNICO</v>
      </c>
      <c r="DW163" s="177"/>
      <c r="DX163" s="177"/>
      <c r="DY163" s="177"/>
      <c r="DZ163" s="177"/>
      <c r="EA163" s="177"/>
      <c r="EB163" s="177"/>
      <c r="EC163" s="177"/>
      <c r="ED163" s="177"/>
    </row>
    <row r="164" spans="3:134" ht="13" customHeight="1">
      <c r="C164" s="356">
        <v>45595</v>
      </c>
      <c r="D164" s="213" t="s">
        <v>2114</v>
      </c>
      <c r="E164" s="356" t="s">
        <v>1710</v>
      </c>
      <c r="F164" s="219" t="s">
        <v>375</v>
      </c>
      <c r="G164" s="201" t="s">
        <v>1415</v>
      </c>
      <c r="H164" s="202">
        <v>16</v>
      </c>
      <c r="I164" s="339" t="str" cm="1">
        <f t="array" aca="1" ref="I16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164" s="203" t="str" cm="1">
        <f t="array" ref="J164">IF(OR(PptoSty[[#This Row],[Project]]="",PptoSty[[#This Row],[Project]]="X"),"X",_xlfn.UNIQUE(_xlfn._xlws.FILTER(CstGrpS[Nature],ISNUMBER(FIND(SUBSTITUTE(PptoSty[[#This Row],[PiColumn]]," +%",""),UPPER(SUBSTITUTE(CstGrpS[GrpPrv],"  "," ")))),"X")))</f>
        <v>Hrs</v>
      </c>
      <c r="K164" s="96" t="s">
        <v>1629</v>
      </c>
      <c r="L164" s="96" t="s">
        <v>373</v>
      </c>
      <c r="M164" s="96" t="s">
        <v>28</v>
      </c>
      <c r="N164" s="96" t="str" cm="1">
        <f t="array" ref="N164">IF(OR(PptoSty[[#This Row],[Project]]="",PptoSty[[#This Row],[Project]]="X"),"X",_xlfn._xlws.FILTER(TbAssign[RowId],(TbAssign[Project]=PptoSty[[#This Row],[Project]])*(TbAssign[Módulo]=PptoSty[[#This Row],[PptoVsRow]]),"X"))</f>
        <v>XC01</v>
      </c>
      <c r="O164" s="96" t="str" cm="1">
        <f t="array" ref="O164">IF(OR(PptoSty[[#This Row],[Project]]="",PptoSty[[#This Row],[Project]]="X"),"X",_xlfn.UNIQUE(_xlfn._xlws.FILTER(F_RT14[Amortz.],(F_RT14[Measure]="CurPpto")*(F_RT14[PrjId]=PptoSty[[#This Row],[Project]])*(F_RT14[Vrs]=PptoSty[[#This Row],[Vrs]])*(_xlfn.TEXTAFTER(F_RT14[ActGrp],":")=PptoSty[[#This Row],[PiRow]]),"X")))</f>
        <v>TOOL</v>
      </c>
      <c r="P164" s="96" t="s">
        <v>1473</v>
      </c>
      <c r="Q164" s="96" t="s">
        <v>1667</v>
      </c>
      <c r="R164" s="204" t="s">
        <v>403</v>
      </c>
      <c r="S164" s="204">
        <v>1</v>
      </c>
      <c r="T164" s="205" cm="1">
        <f t="array" aca="1" ref="T16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164" s="206" cm="1">
        <f t="array" ref="U164">IFERROR((1/PptoSty[[#This Row],[Division]])*IF(PptoSty[[#This Row],[Sign]]="+",1,-1)*(IF(PptoSty[[#This Row],[POvsCT]]="PO",SUM(_xlfn.CHOOSECOLS(_xlfn._xlws.FILTER(F_RT14[],(IF($M164="X",TRUE,F_RT14[Site]=$M164))*(F_RT14[Measure]=U$4)*(F_RT14[PrjId]=PptoSty[[#This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3506.7765979381443</v>
      </c>
      <c r="V164" s="206" cm="1">
        <f t="array" ref="V164">IFERROR((1/PptoSty[[#This Row],[Division]])*IF(PptoSty[[#This Row],[Sign]]="+",1,-1)*(IF(PptoSty[[#This Row],[POvsCT]]="PO",SUM(_xlfn.CHOOSECOLS(_xlfn._xlws.FILTER(F_RT14[],(IF($M164="X",TRUE,F_RT14[Site]=$M164))*(F_RT14[Measure]=V$4)*(F_RT14[PrjId]=PptoSty[[#This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2951.3678124937501</v>
      </c>
      <c r="W164" s="206" cm="1">
        <f t="array" ref="W164">IFERROR((1/PptoSty[[#This Row],[Division]])*IF(PptoSty[[#This Row],[Sign]]="+",1,-1)*(IF(PptoSty[[#This Row],[POvsCT]]="PO",SUM(_xlfn.CHOOSECOLS(_xlfn._xlws.FILTER(F_RT14[],(IF($M164="X",TRUE,F_RT14[Site]=$M164))*(F_RT14[Measure]=W$4)*(F_RT14[PrjId]=PptoSty[[#This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587.56118459999993</v>
      </c>
      <c r="X164" s="338" cm="1">
        <f t="array" ref="X164">IFERROR(IF(PptoSty[[#This Row],[Nature]]&lt;&gt;"Hrs",0,(1/PptoSty[[#This Row],[Division]])*IF(PptoSty[[#This Row],[Sign]]="+",1,-1)*(IF(PptoSty[[#This Row],[POvsCT]]="PO",SUM(_xlfn.CHOOSECOLS(_xlfn._xlws.FILTER(F_RT14[],(IF($M164="X",TRUE,F_RT14[Site]=$M164))*(F_RT14[Measure]=X$4)*(F_RT14[PrjId]=PptoSty[[#This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75.562500000000014</v>
      </c>
      <c r="Y164" s="338" cm="1">
        <f t="array" ref="Y164">IFERROR(IF(PptoSty[[#This Row],[Nature]]&lt;&gt;"Hrs",0,(1/PptoSty[[#This Row],[Division]])*IF(PptoSty[[#This Row],[Sign]]="+",1,-1)*(IF(PptoSty[[#This Row],[POvsCT]]="PO",SUM(_xlfn.CHOOSECOLS(_xlfn._xlws.FILTER(F_RT14[],(IF($M164="X",TRUE,F_RT14[Site]=$M164))*(F_RT14[Measure]=Y$4)*(F_RT14[PrjId]=PptoSty[[#This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65.966062500000007</v>
      </c>
      <c r="Z164" s="338" cm="1">
        <f t="array" ref="Z164">IFERROR(IF(PptoSty[[#This Row],[Nature]]&lt;&gt;"Hrs",0,(1/PptoSty[[#This Row],[Division]])*IF(PptoSty[[#This Row],[Sign]]="+",1,-1)*(IF(PptoSty[[#This Row],[POvsCT]]="PO",SUM(_xlfn.CHOOSECOLS(_xlfn._xlws.FILTER(F_RT14[],(IF($M164="X",TRUE,F_RT14[Site]=$M164))*(F_RT14[Measure]=Z$4)*(F_RT14[PrjId]=PptoSty[[#This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7.3295624999999989</v>
      </c>
      <c r="AA164" s="206" cm="1">
        <f t="array" aca="1" ref="AA164"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807147.85850927839</v>
      </c>
      <c r="AB164" s="206" cm="1">
        <f t="array" aca="1" ref="AB164"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133378.03425583258</v>
      </c>
      <c r="AC164" s="206" cm="1">
        <f t="array" aca="1" ref="AC164"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725155.8942974743</v>
      </c>
      <c r="AG164"/>
      <c r="AH164"/>
      <c r="AI164"/>
      <c r="AK164" s="113"/>
      <c r="AO164"/>
      <c r="AP164"/>
      <c r="AZ164" s="175"/>
      <c r="BA164" s="175"/>
      <c r="BE164"/>
      <c r="BF164"/>
      <c r="DG164" s="175"/>
      <c r="DH164" s="175"/>
      <c r="DI164" s="175"/>
      <c r="DL164" s="108"/>
      <c r="DM164" s="366" t="str" cm="1">
        <f t="array" aca="1" ref="DM164"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DN164:DV164</v>
      </c>
      <c r="DN164" s="177" t="s">
        <v>375</v>
      </c>
      <c r="DO164" s="177" t="str" cm="1">
        <f t="array" aca="1" ref="DO164:DV164"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164" s="177" t="str">
        <f ca="1"/>
        <v>DISEÑO MECÁNICO</v>
      </c>
      <c r="DQ164" s="177" t="str">
        <f ca="1"/>
        <v>FABRICACIÓN MECÁNICA</v>
      </c>
      <c r="DR164" s="177" t="str">
        <f ca="1"/>
        <v>MATERIAL ELÉCTRICO +%</v>
      </c>
      <c r="DS164" s="177" t="str">
        <f ca="1"/>
        <v>MATERIAL FLUIDOS +%</v>
      </c>
      <c r="DT164" s="177" t="str">
        <f ca="1"/>
        <v>MATERIAL MECÁNICO +%</v>
      </c>
      <c r="DU164" s="177" t="str">
        <f ca="1"/>
        <v>METROLOGÍA</v>
      </c>
      <c r="DV164" s="177" t="str">
        <f ca="1"/>
        <v>MONTAJE MECÁNICO</v>
      </c>
      <c r="DW164" s="177"/>
      <c r="DX164" s="177"/>
      <c r="DY164" s="177"/>
      <c r="DZ164" s="177"/>
      <c r="EA164" s="177"/>
      <c r="EB164" s="177"/>
      <c r="EC164" s="177"/>
      <c r="ED164" s="177"/>
    </row>
    <row r="165" spans="3:134" ht="13" customHeight="1">
      <c r="C165" s="356">
        <v>45595</v>
      </c>
      <c r="D165" s="213" t="s">
        <v>2114</v>
      </c>
      <c r="E165" s="356" t="s">
        <v>1710</v>
      </c>
      <c r="F165" s="219" t="s">
        <v>375</v>
      </c>
      <c r="G165" s="201" t="s">
        <v>1415</v>
      </c>
      <c r="H165" s="202">
        <v>16</v>
      </c>
      <c r="I165" s="339" t="str" cm="1">
        <f t="array" aca="1" ref="I16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E002</v>
      </c>
      <c r="J165" s="203" t="str" cm="1">
        <f t="array" ref="J165">IF(OR(PptoSty[[#This Row],[Project]]="",PptoSty[[#This Row],[Project]]="X"),"X",_xlfn.UNIQUE(_xlfn._xlws.FILTER(CstGrpS[Nature],ISNUMBER(FIND(SUBSTITUTE(PptoSty[[#This Row],[PiColumn]]," +%",""),UPPER(SUBSTITUTE(CstGrpS[GrpPrv],"  "," ")))),"X")))</f>
        <v>Hrs</v>
      </c>
      <c r="K165" s="96" t="s">
        <v>1459</v>
      </c>
      <c r="L165" s="96" t="s">
        <v>380</v>
      </c>
      <c r="M165" s="96" t="s">
        <v>28</v>
      </c>
      <c r="N165" s="96" t="str" cm="1">
        <f t="array" ref="N165">IF(OR(PptoSty[[#This Row],[Project]]="",PptoSty[[#This Row],[Project]]="X"),"X",_xlfn._xlws.FILTER(TbAssign[RowId],(TbAssign[Project]=PptoSty[[#This Row],[Project]])*(TbAssign[Módulo]=PptoSty[[#This Row],[PptoVsRow]]),"X"))</f>
        <v>XC02</v>
      </c>
      <c r="O165" s="96" t="str" cm="1">
        <f t="array" ref="O165">IF(OR(PptoSty[[#This Row],[Project]]="",PptoSty[[#This Row],[Project]]="X"),"X",_xlfn.UNIQUE(_xlfn._xlws.FILTER(F_RT14[Amortz.],(F_RT14[Measure]="CurPpto")*(F_RT14[PrjId]=PptoSty[[#This Row],[Project]])*(F_RT14[Vrs]=PptoSty[[#This Row],[Vrs]])*(_xlfn.TEXTAFTER(F_RT14[ActGrp],":")=PptoSty[[#This Row],[PiRow]]),"X")))</f>
        <v>CELL</v>
      </c>
      <c r="P165" s="96" t="s">
        <v>368</v>
      </c>
      <c r="Q165" s="96" t="s">
        <v>1667</v>
      </c>
      <c r="R165" s="204" t="s">
        <v>1671</v>
      </c>
      <c r="S165" s="204">
        <v>1</v>
      </c>
      <c r="T165" s="205" t="str" cm="1">
        <f t="array" aca="1" ref="T16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65" s="206" cm="1">
        <f t="array" ref="U165">IFERROR((1/PptoSty[[#This Row],[Division]])*IF(PptoSty[[#This Row],[Sign]]="+",1,-1)*(IF(PptoSty[[#This Row],[POvsCT]]="PO",SUM(_xlfn.CHOOSECOLS(_xlfn._xlws.FILTER(F_RT14[],(IF($M165="X",TRUE,F_RT14[Site]=$M165))*(F_RT14[Measure]=U$4)*(F_RT14[PrjId]=PptoSty[[#This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0</v>
      </c>
      <c r="V165" s="206" cm="1">
        <f t="array" ref="V165">IFERROR((1/PptoSty[[#This Row],[Division]])*IF(PptoSty[[#This Row],[Sign]]="+",1,-1)*(IF(PptoSty[[#This Row],[POvsCT]]="PO",SUM(_xlfn.CHOOSECOLS(_xlfn._xlws.FILTER(F_RT14[],(IF($M165="X",TRUE,F_RT14[Site]=$M165))*(F_RT14[Measure]=V$4)*(F_RT14[PrjId]=PptoSty[[#This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65" s="206" cm="1">
        <f t="array" ref="W165">IFERROR((1/PptoSty[[#This Row],[Division]])*IF(PptoSty[[#This Row],[Sign]]="+",1,-1)*(IF(PptoSty[[#This Row],[POvsCT]]="PO",SUM(_xlfn.CHOOSECOLS(_xlfn._xlws.FILTER(F_RT14[],(IF($M165="X",TRUE,F_RT14[Site]=$M165))*(F_RT14[Measure]=W$4)*(F_RT14[PrjId]=PptoSty[[#This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65" s="338" cm="1">
        <f t="array" ref="X165">IFERROR(IF(PptoSty[[#This Row],[Nature]]&lt;&gt;"Hrs",0,(1/PptoSty[[#This Row],[Division]])*IF(PptoSty[[#This Row],[Sign]]="+",1,-1)*(IF(PptoSty[[#This Row],[POvsCT]]="PO",SUM(_xlfn.CHOOSECOLS(_xlfn._xlws.FILTER(F_RT14[],(IF($M165="X",TRUE,F_RT14[Site]=$M165))*(F_RT14[Measure]=X$4)*(F_RT14[PrjId]=PptoSty[[#This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65" s="338" cm="1">
        <f t="array" ref="Y165">IFERROR(IF(PptoSty[[#This Row],[Nature]]&lt;&gt;"Hrs",0,(1/PptoSty[[#This Row],[Division]])*IF(PptoSty[[#This Row],[Sign]]="+",1,-1)*(IF(PptoSty[[#This Row],[POvsCT]]="PO",SUM(_xlfn.CHOOSECOLS(_xlfn._xlws.FILTER(F_RT14[],(IF($M165="X",TRUE,F_RT14[Site]=$M165))*(F_RT14[Measure]=Y$4)*(F_RT14[PrjId]=PptoSty[[#This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65" s="338" cm="1">
        <f t="array" ref="Z165">IFERROR(IF(PptoSty[[#This Row],[Nature]]&lt;&gt;"Hrs",0,(1/PptoSty[[#This Row],[Division]])*IF(PptoSty[[#This Row],[Sign]]="+",1,-1)*(IF(PptoSty[[#This Row],[POvsCT]]="PO",SUM(_xlfn.CHOOSECOLS(_xlfn._xlws.FILTER(F_RT14[],(IF($M165="X",TRUE,F_RT14[Site]=$M165))*(F_RT14[Measure]=Z$4)*(F_RT14[PrjId]=PptoSty[[#This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65" s="206" cm="1">
        <f t="array" aca="1" ref="AA165"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376681.75604329898</v>
      </c>
      <c r="AB165" s="206" cm="1">
        <f t="array" aca="1" ref="AB165"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20860.381532143925</v>
      </c>
      <c r="AC165" s="206" cm="1">
        <f t="array" aca="1" ref="AC165"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370873.92373167549</v>
      </c>
      <c r="AG165"/>
      <c r="AH165"/>
      <c r="AI165"/>
      <c r="AK165" s="113"/>
      <c r="AO165"/>
      <c r="AP165"/>
      <c r="AZ165" s="175"/>
      <c r="BA165" s="175"/>
      <c r="BE165"/>
      <c r="BF165"/>
      <c r="DG165" s="175"/>
      <c r="DH165" s="175"/>
      <c r="DI165" s="175"/>
      <c r="DL165" s="108"/>
      <c r="DM165" s="366" t="str" cm="1">
        <f t="array" aca="1" ref="DM16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DN165:DS165</v>
      </c>
      <c r="DN165" s="177" t="s">
        <v>375</v>
      </c>
      <c r="DO165" s="177" t="str" cm="1">
        <f t="array" aca="1" ref="DO165:DS16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MECÁNICO</v>
      </c>
      <c r="DP165" s="177" t="str">
        <f ca="1"/>
        <v>FABRICACIÓN ELÉCTRICA</v>
      </c>
      <c r="DQ165" s="177" t="str">
        <f ca="1"/>
        <v>INSTALACIÓN ENR</v>
      </c>
      <c r="DR165" s="177" t="str">
        <f ca="1"/>
        <v>MATERIAL ELÉCTRICO +%</v>
      </c>
      <c r="DS165" s="177" t="str">
        <f ca="1"/>
        <v>MATERIAL MECÁNICO +%</v>
      </c>
      <c r="DT165" s="177"/>
      <c r="DU165" s="177"/>
      <c r="DV165" s="177"/>
      <c r="DW165" s="177"/>
      <c r="DX165" s="177"/>
      <c r="DY165" s="177"/>
      <c r="DZ165" s="177"/>
      <c r="EA165" s="177"/>
      <c r="EB165" s="177"/>
      <c r="EC165" s="177"/>
      <c r="ED165" s="177"/>
    </row>
    <row r="166" spans="3:134" ht="13" customHeight="1">
      <c r="C166" s="356">
        <v>45595</v>
      </c>
      <c r="D166" s="213" t="s">
        <v>2114</v>
      </c>
      <c r="E166" s="356" t="s">
        <v>1710</v>
      </c>
      <c r="F166" s="219" t="s">
        <v>375</v>
      </c>
      <c r="G166" s="201" t="s">
        <v>1415</v>
      </c>
      <c r="H166" s="202">
        <v>16</v>
      </c>
      <c r="I166" s="339" t="str" cm="1">
        <f t="array" aca="1" ref="I16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E004</v>
      </c>
      <c r="J166" s="203" t="str" cm="1">
        <f t="array" ref="J166">IF(OR(PptoSty[[#This Row],[Project]]="",PptoSty[[#This Row],[Project]]="X"),"X",_xlfn.UNIQUE(_xlfn._xlws.FILTER(CstGrpS[Nature],ISNUMBER(FIND(SUBSTITUTE(PptoSty[[#This Row],[PiColumn]]," +%",""),UPPER(SUBSTITUTE(CstGrpS[GrpPrv],"  "," ")))),"X")))</f>
        <v>Hrs</v>
      </c>
      <c r="K166" s="96" t="s">
        <v>1461</v>
      </c>
      <c r="L166" s="96" t="s">
        <v>380</v>
      </c>
      <c r="M166" s="96" t="s">
        <v>28</v>
      </c>
      <c r="N166" s="96" t="str" cm="1">
        <f t="array" ref="N166">IF(OR(PptoSty[[#This Row],[Project]]="",PptoSty[[#This Row],[Project]]="X"),"X",_xlfn._xlws.FILTER(TbAssign[RowId],(TbAssign[Project]=PptoSty[[#This Row],[Project]])*(TbAssign[Módulo]=PptoSty[[#This Row],[PptoVsRow]]),"X"))</f>
        <v>XC02</v>
      </c>
      <c r="O166" s="96" t="str" cm="1">
        <f t="array" ref="O166">IF(OR(PptoSty[[#This Row],[Project]]="",PptoSty[[#This Row],[Project]]="X"),"X",_xlfn.UNIQUE(_xlfn._xlws.FILTER(F_RT14[Amortz.],(F_RT14[Measure]="CurPpto")*(F_RT14[PrjId]=PptoSty[[#This Row],[Project]])*(F_RT14[Vrs]=PptoSty[[#This Row],[Vrs]])*(_xlfn.TEXTAFTER(F_RT14[ActGrp],":")=PptoSty[[#This Row],[PiRow]]),"X")))</f>
        <v>CELL</v>
      </c>
      <c r="P166" s="96" t="s">
        <v>368</v>
      </c>
      <c r="Q166" s="96" t="s">
        <v>1667</v>
      </c>
      <c r="R166" s="204" t="s">
        <v>1671</v>
      </c>
      <c r="S166" s="204">
        <v>1</v>
      </c>
      <c r="T166" s="205" t="str" cm="1">
        <f t="array" aca="1" ref="T16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66" s="206" cm="1">
        <f t="array" ref="U166">IFERROR((1/PptoSty[[#This Row],[Division]])*IF(PptoSty[[#This Row],[Sign]]="+",1,-1)*(IF(PptoSty[[#This Row],[POvsCT]]="PO",SUM(_xlfn.CHOOSECOLS(_xlfn._xlws.FILTER(F_RT14[],(IF($M166="X",TRUE,F_RT14[Site]=$M166))*(F_RT14[Measure]=U$4)*(F_RT14[PrjId]=PptoSty[[#This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-625.89886597938141</v>
      </c>
      <c r="V166" s="206" cm="1">
        <f t="array" ref="V166">IFERROR((1/PptoSty[[#This Row],[Division]])*IF(PptoSty[[#This Row],[Sign]]="+",1,-1)*(IF(PptoSty[[#This Row],[POvsCT]]="PO",SUM(_xlfn.CHOOSECOLS(_xlfn._xlws.FILTER(F_RT14[],(IF($M166="X",TRUE,F_RT14[Site]=$M166))*(F_RT14[Measure]=V$4)*(F_RT14[PrjId]=PptoSty[[#This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-188.30632406999996</v>
      </c>
      <c r="W166" s="206" cm="1">
        <f t="array" ref="W166">IFERROR((1/PptoSty[[#This Row],[Division]])*IF(PptoSty[[#This Row],[Sign]]="+",1,-1)*(IF(PptoSty[[#This Row],[POvsCT]]="PO",SUM(_xlfn.CHOOSECOLS(_xlfn._xlws.FILTER(F_RT14[],(IF($M166="X",TRUE,F_RT14[Site]=$M166))*(F_RT14[Measure]=W$4)*(F_RT14[PrjId]=PptoSty[[#This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-417.81363288</v>
      </c>
      <c r="X166" s="338" cm="1">
        <f t="array" ref="X166">IFERROR(IF(PptoSty[[#This Row],[Nature]]&lt;&gt;"Hrs",0,(1/PptoSty[[#This Row],[Division]])*IF(PptoSty[[#This Row],[Sign]]="+",1,-1)*(IF(PptoSty[[#This Row],[POvsCT]]="PO",SUM(_xlfn.CHOOSECOLS(_xlfn._xlws.FILTER(F_RT14[],(IF($M166="X",TRUE,F_RT14[Site]=$M166))*(F_RT14[Measure]=X$4)*(F_RT14[PrjId]=PptoSty[[#This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-20.247999999999998</v>
      </c>
      <c r="Y166" s="338" cm="1">
        <f t="array" ref="Y166">IFERROR(IF(PptoSty[[#This Row],[Nature]]&lt;&gt;"Hrs",0,(1/PptoSty[[#This Row],[Division]])*IF(PptoSty[[#This Row],[Sign]]="+",1,-1)*(IF(PptoSty[[#This Row],[POvsCT]]="PO",SUM(_xlfn.CHOOSECOLS(_xlfn._xlws.FILTER(F_RT14[],(IF($M166="X",TRUE,F_RT14[Site]=$M166))*(F_RT14[Measure]=Y$4)*(F_RT14[PrjId]=PptoSty[[#This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-4.9101399999999993</v>
      </c>
      <c r="Z166" s="338" cm="1">
        <f t="array" ref="Z166">IFERROR(IF(PptoSty[[#This Row],[Nature]]&lt;&gt;"Hrs",0,(1/PptoSty[[#This Row],[Division]])*IF(PptoSty[[#This Row],[Sign]]="+",1,-1)*(IF(PptoSty[[#This Row],[POvsCT]]="PO",SUM(_xlfn.CHOOSECOLS(_xlfn._xlws.FILTER(F_RT14[],(IF($M166="X",TRUE,F_RT14[Site]=$M166))*(F_RT14[Measure]=Z$4)*(F_RT14[PrjId]=PptoSty[[#This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-14.730419999999999</v>
      </c>
      <c r="AA166" s="206" cm="1">
        <f t="array" aca="1" ref="AA166"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376055.85717731959</v>
      </c>
      <c r="AB166" s="206" cm="1">
        <f t="array" aca="1" ref="AB166"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20672.075208073926</v>
      </c>
      <c r="AC166" s="206" cm="1">
        <f t="array" aca="1" ref="AC166"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370456.1100987955</v>
      </c>
      <c r="AG166"/>
      <c r="AH166"/>
      <c r="AI166"/>
      <c r="AK166" s="113"/>
      <c r="AO166"/>
      <c r="AP166"/>
      <c r="AZ166" s="175"/>
      <c r="BA166" s="175"/>
      <c r="BE166"/>
      <c r="BF166"/>
      <c r="DG166" s="175"/>
      <c r="DH166" s="175"/>
      <c r="DI166" s="175"/>
      <c r="DL166" s="108"/>
      <c r="DM166" s="366" t="str" cm="1">
        <f t="array" aca="1" ref="DM16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DN166:DU166</v>
      </c>
      <c r="DN166" s="177" t="s">
        <v>375</v>
      </c>
      <c r="DO166" s="177" t="str" cm="1">
        <f t="array" aca="1" ref="DO166:DU16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166" s="177" t="str">
        <f ca="1"/>
        <v>DISEÑO MECÁNICO</v>
      </c>
      <c r="DQ166" s="177" t="str">
        <f ca="1"/>
        <v>FABRICACIÓN MECÁNICA</v>
      </c>
      <c r="DR166" s="177" t="str">
        <f ca="1"/>
        <v>MATERIAL ELÉCTRICO +%</v>
      </c>
      <c r="DS166" s="177" t="str">
        <f ca="1"/>
        <v>MATERIAL FLUIDOS +%</v>
      </c>
      <c r="DT166" s="177" t="str">
        <f ca="1"/>
        <v>MATERIAL MECÁNICO +%</v>
      </c>
      <c r="DU166" s="177" t="str">
        <f ca="1"/>
        <v>MONTAJE MECÁNICO</v>
      </c>
      <c r="DV166" s="177"/>
      <c r="DW166" s="177"/>
      <c r="DX166" s="177"/>
      <c r="DY166" s="177"/>
      <c r="DZ166" s="177"/>
      <c r="EA166" s="177"/>
      <c r="EB166" s="177"/>
      <c r="EC166" s="177"/>
      <c r="ED166" s="177"/>
    </row>
    <row r="167" spans="3:134" ht="13" customHeight="1">
      <c r="C167" s="356">
        <v>45595</v>
      </c>
      <c r="D167" s="213" t="s">
        <v>2114</v>
      </c>
      <c r="E167" s="356" t="s">
        <v>1710</v>
      </c>
      <c r="F167" s="219" t="s">
        <v>375</v>
      </c>
      <c r="G167" s="201" t="s">
        <v>1415</v>
      </c>
      <c r="H167" s="202">
        <v>16</v>
      </c>
      <c r="I167" s="339" t="str" cm="1">
        <f t="array" aca="1" ref="I16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E003</v>
      </c>
      <c r="J167" s="203" t="str" cm="1">
        <f t="array" ref="J167">IF(OR(PptoSty[[#This Row],[Project]]="",PptoSty[[#This Row],[Project]]="X"),"X",_xlfn.UNIQUE(_xlfn._xlws.FILTER(CstGrpS[Nature],ISNUMBER(FIND(SUBSTITUTE(PptoSty[[#This Row],[PiColumn]]," +%",""),UPPER(SUBSTITUTE(CstGrpS[GrpPrv],"  "," ")))),"X")))</f>
        <v>Hrs</v>
      </c>
      <c r="K167" s="96" t="s">
        <v>1460</v>
      </c>
      <c r="L167" s="96" t="s">
        <v>380</v>
      </c>
      <c r="M167" s="96" t="s">
        <v>28</v>
      </c>
      <c r="N167" s="96" t="str" cm="1">
        <f t="array" ref="N167">IF(OR(PptoSty[[#This Row],[Project]]="",PptoSty[[#This Row],[Project]]="X"),"X",_xlfn._xlws.FILTER(TbAssign[RowId],(TbAssign[Project]=PptoSty[[#This Row],[Project]])*(TbAssign[Módulo]=PptoSty[[#This Row],[PptoVsRow]]),"X"))</f>
        <v>XC02</v>
      </c>
      <c r="O167" s="96" t="str" cm="1">
        <f t="array" ref="O167">IF(OR(PptoSty[[#This Row],[Project]]="",PptoSty[[#This Row],[Project]]="X"),"X",_xlfn.UNIQUE(_xlfn._xlws.FILTER(F_RT14[Amortz.],(F_RT14[Measure]="CurPpto")*(F_RT14[PrjId]=PptoSty[[#This Row],[Project]])*(F_RT14[Vrs]=PptoSty[[#This Row],[Vrs]])*(_xlfn.TEXTAFTER(F_RT14[ActGrp],":")=PptoSty[[#This Row],[PiRow]]),"X")))</f>
        <v>CELL</v>
      </c>
      <c r="P167" s="96" t="s">
        <v>368</v>
      </c>
      <c r="Q167" s="96" t="s">
        <v>1667</v>
      </c>
      <c r="R167" s="204" t="s">
        <v>1671</v>
      </c>
      <c r="S167" s="204">
        <v>1</v>
      </c>
      <c r="T167" s="205" t="str" cm="1">
        <f t="array" aca="1" ref="T16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67" s="206" cm="1">
        <f t="array" ref="U167">IFERROR((1/PptoSty[[#This Row],[Division]])*IF(PptoSty[[#This Row],[Sign]]="+",1,-1)*(IF(PptoSty[[#This Row],[POvsCT]]="PO",SUM(_xlfn.CHOOSECOLS(_xlfn._xlws.FILTER(F_RT14[],(IF($M167="X",TRUE,F_RT14[Site]=$M167))*(F_RT14[Measure]=U$4)*(F_RT14[PrjId]=PptoSty[[#This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-5525.45587628866</v>
      </c>
      <c r="V167" s="206" cm="1">
        <f t="array" ref="V167">IFERROR((1/PptoSty[[#This Row],[Division]])*IF(PptoSty[[#This Row],[Sign]]="+",1,-1)*(IF(PptoSty[[#This Row],[POvsCT]]="PO",SUM(_xlfn.CHOOSECOLS(_xlfn._xlws.FILTER(F_RT14[],(IF($M167="X",TRUE,F_RT14[Site]=$M167))*(F_RT14[Measure]=V$4)*(F_RT14[PrjId]=PptoSty[[#This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-1662.3743296875</v>
      </c>
      <c r="W167" s="206" cm="1">
        <f t="array" ref="W167">IFERROR((1/PptoSty[[#This Row],[Division]])*IF(PptoSty[[#This Row],[Sign]]="+",1,-1)*(IF(PptoSty[[#This Row],[POvsCT]]="PO",SUM(_xlfn.CHOOSECOLS(_xlfn._xlws.FILTER(F_RT14[],(IF($M167="X",TRUE,F_RT14[Site]=$M167))*(F_RT14[Measure]=W$4)*(F_RT14[PrjId]=PptoSty[[#This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-3688.4722875000002</v>
      </c>
      <c r="X167" s="338" cm="1">
        <f t="array" ref="X167">IFERROR(IF(PptoSty[[#This Row],[Nature]]&lt;&gt;"Hrs",0,(1/PptoSty[[#This Row],[Division]])*IF(PptoSty[[#This Row],[Sign]]="+",1,-1)*(IF(PptoSty[[#This Row],[POvsCT]]="PO",SUM(_xlfn.CHOOSECOLS(_xlfn._xlws.FILTER(F_RT14[],(IF($M167="X",TRUE,F_RT14[Site]=$M167))*(F_RT14[Measure]=X$4)*(F_RT14[PrjId]=PptoSty[[#This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-178.75000000000003</v>
      </c>
      <c r="Y167" s="338" cm="1">
        <f t="array" ref="Y167">IFERROR(IF(PptoSty[[#This Row],[Nature]]&lt;&gt;"Hrs",0,(1/PptoSty[[#This Row],[Division]])*IF(PptoSty[[#This Row],[Sign]]="+",1,-1)*(IF(PptoSty[[#This Row],[POvsCT]]="PO",SUM(_xlfn.CHOOSECOLS(_xlfn._xlws.FILTER(F_RT14[],(IF($M167="X",TRUE,F_RT14[Site]=$M167))*(F_RT14[Measure]=Y$4)*(F_RT14[PrjId]=PptoSty[[#This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-43.346875000000004</v>
      </c>
      <c r="Z167" s="338" cm="1">
        <f t="array" ref="Z167">IFERROR(IF(PptoSty[[#This Row],[Nature]]&lt;&gt;"Hrs",0,(1/PptoSty[[#This Row],[Division]])*IF(PptoSty[[#This Row],[Sign]]="+",1,-1)*(IF(PptoSty[[#This Row],[POvsCT]]="PO",SUM(_xlfn.CHOOSECOLS(_xlfn._xlws.FILTER(F_RT14[],(IF($M167="X",TRUE,F_RT14[Site]=$M167))*(F_RT14[Measure]=Z$4)*(F_RT14[PrjId]=PptoSty[[#This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-130.04062500000001</v>
      </c>
      <c r="AA167" s="206" cm="1">
        <f t="array" aca="1" ref="AA167"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370530.40130103094</v>
      </c>
      <c r="AB167" s="206" cm="1">
        <f t="array" aca="1" ref="AB167"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19009.700878386426</v>
      </c>
      <c r="AC167" s="206" cm="1">
        <f t="array" aca="1" ref="AC167"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366767.63781129551</v>
      </c>
      <c r="AG167"/>
      <c r="AH167"/>
      <c r="AI167"/>
      <c r="AK167" s="113"/>
      <c r="AO167"/>
      <c r="AP167"/>
      <c r="AZ167" s="175"/>
      <c r="BA167" s="175"/>
      <c r="BE167"/>
      <c r="BF167"/>
      <c r="DG167" s="175"/>
      <c r="DH167" s="175"/>
      <c r="DI167" s="175"/>
      <c r="DL167" s="108"/>
      <c r="DM167" s="366" t="str" cm="1">
        <f t="array" aca="1" ref="DM16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DN167:DP167</v>
      </c>
      <c r="DN167" s="177" t="s">
        <v>375</v>
      </c>
      <c r="DO167" s="177" t="str" cm="1">
        <f t="array" aca="1" ref="DO167:DP16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MATERIAL ELÉCTRICO +%</v>
      </c>
      <c r="DP167" s="177" t="str">
        <f ca="1"/>
        <v>MONTAJE MECÁNICO</v>
      </c>
      <c r="DQ167" s="177"/>
      <c r="DR167" s="177"/>
      <c r="DS167" s="177"/>
      <c r="DT167" s="177"/>
      <c r="DU167" s="177"/>
      <c r="DV167" s="177"/>
      <c r="DW167" s="177"/>
      <c r="DX167" s="177"/>
      <c r="DY167" s="177"/>
      <c r="DZ167" s="177"/>
      <c r="EA167" s="177"/>
      <c r="EB167" s="177"/>
      <c r="EC167" s="177"/>
      <c r="ED167" s="177"/>
    </row>
    <row r="168" spans="3:134" ht="13" customHeight="1">
      <c r="C168" s="356">
        <v>45595</v>
      </c>
      <c r="D168" s="213" t="s">
        <v>2114</v>
      </c>
      <c r="E168" s="356" t="s">
        <v>1710</v>
      </c>
      <c r="F168" s="219" t="s">
        <v>375</v>
      </c>
      <c r="G168" s="201" t="s">
        <v>1415</v>
      </c>
      <c r="H168" s="202">
        <v>16</v>
      </c>
      <c r="I168" s="339" t="str" cm="1">
        <f t="array" aca="1" ref="I16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E002</v>
      </c>
      <c r="J168" s="203" t="str" cm="1">
        <f t="array" ref="J168">IF(OR(PptoSty[[#This Row],[Project]]="",PptoSty[[#This Row],[Project]]="X"),"X",_xlfn.UNIQUE(_xlfn._xlws.FILTER(CstGrpS[Nature],ISNUMBER(FIND(SUBSTITUTE(PptoSty[[#This Row],[PiColumn]]," +%",""),UPPER(SUBSTITUTE(CstGrpS[GrpPrv],"  "," ")))),"X")))</f>
        <v>Hrs</v>
      </c>
      <c r="K168" s="96" t="s">
        <v>1459</v>
      </c>
      <c r="L168" s="96" t="s">
        <v>380</v>
      </c>
      <c r="M168" s="96" t="s">
        <v>28</v>
      </c>
      <c r="N168" s="96" t="str" cm="1">
        <f t="array" ref="N168">IF(OR(PptoSty[[#This Row],[Project]]="",PptoSty[[#This Row],[Project]]="X"),"X",_xlfn._xlws.FILTER(TbAssign[RowId],(TbAssign[Project]=PptoSty[[#This Row],[Project]])*(TbAssign[Módulo]=PptoSty[[#This Row],[PptoVsRow]]),"X"))</f>
        <v>XD02</v>
      </c>
      <c r="O168" s="96" t="str" cm="1">
        <f t="array" ref="O168">IF(OR(PptoSty[[#This Row],[Project]]="",PptoSty[[#This Row],[Project]]="X"),"X",_xlfn.UNIQUE(_xlfn._xlws.FILTER(F_RT14[Amortz.],(F_RT14[Measure]="CurPpto")*(F_RT14[PrjId]=PptoSty[[#This Row],[Project]])*(F_RT14[Vrs]=PptoSty[[#This Row],[Vrs]])*(_xlfn.TEXTAFTER(F_RT14[ActGrp],":")=PptoSty[[#This Row],[PiRow]]),"X")))</f>
        <v>CELL</v>
      </c>
      <c r="P168" s="96" t="s">
        <v>1410</v>
      </c>
      <c r="Q168" s="96" t="s">
        <v>380</v>
      </c>
      <c r="R168" s="204" t="s">
        <v>403</v>
      </c>
      <c r="S168" s="204">
        <v>1</v>
      </c>
      <c r="T168" s="205" t="str" cm="1">
        <f t="array" aca="1" ref="T16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68" s="206" cm="1">
        <f t="array" ref="U168">IFERROR((1/PptoSty[[#This Row],[Division]])*IF(PptoSty[[#This Row],[Sign]]="+",1,-1)*(IF(PptoSty[[#This Row],[POvsCT]]="PO",SUM(_xlfn.CHOOSECOLS(_xlfn._xlws.FILTER(F_RT14[],(IF($M168="X",TRUE,F_RT14[Site]=$M168))*(F_RT14[Measure]=U$4)*(F_RT14[PrjId]=PptoSty[[#This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0</v>
      </c>
      <c r="V168" s="206" cm="1">
        <f t="array" ref="V168">IFERROR((1/PptoSty[[#This Row],[Division]])*IF(PptoSty[[#This Row],[Sign]]="+",1,-1)*(IF(PptoSty[[#This Row],[POvsCT]]="PO",SUM(_xlfn.CHOOSECOLS(_xlfn._xlws.FILTER(F_RT14[],(IF($M168="X",TRUE,F_RT14[Site]=$M168))*(F_RT14[Measure]=V$4)*(F_RT14[PrjId]=PptoSty[[#This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68" s="206" cm="1">
        <f t="array" ref="W168">IFERROR((1/PptoSty[[#This Row],[Division]])*IF(PptoSty[[#This Row],[Sign]]="+",1,-1)*(IF(PptoSty[[#This Row],[POvsCT]]="PO",SUM(_xlfn.CHOOSECOLS(_xlfn._xlws.FILTER(F_RT14[],(IF($M168="X",TRUE,F_RT14[Site]=$M168))*(F_RT14[Measure]=W$4)*(F_RT14[PrjId]=PptoSty[[#This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68" s="338" cm="1">
        <f t="array" ref="X168">IFERROR(IF(PptoSty[[#This Row],[Nature]]&lt;&gt;"Hrs",0,(1/PptoSty[[#This Row],[Division]])*IF(PptoSty[[#This Row],[Sign]]="+",1,-1)*(IF(PptoSty[[#This Row],[POvsCT]]="PO",SUM(_xlfn.CHOOSECOLS(_xlfn._xlws.FILTER(F_RT14[],(IF($M168="X",TRUE,F_RT14[Site]=$M168))*(F_RT14[Measure]=X$4)*(F_RT14[PrjId]=PptoSty[[#This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68" s="338" cm="1">
        <f t="array" ref="Y168">IFERROR(IF(PptoSty[[#This Row],[Nature]]&lt;&gt;"Hrs",0,(1/PptoSty[[#This Row],[Division]])*IF(PptoSty[[#This Row],[Sign]]="+",1,-1)*(IF(PptoSty[[#This Row],[POvsCT]]="PO",SUM(_xlfn.CHOOSECOLS(_xlfn._xlws.FILTER(F_RT14[],(IF($M168="X",TRUE,F_RT14[Site]=$M168))*(F_RT14[Measure]=Y$4)*(F_RT14[PrjId]=PptoSty[[#This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68" s="338" cm="1">
        <f t="array" ref="Z168">IFERROR(IF(PptoSty[[#This Row],[Nature]]&lt;&gt;"Hrs",0,(1/PptoSty[[#This Row],[Division]])*IF(PptoSty[[#This Row],[Sign]]="+",1,-1)*(IF(PptoSty[[#This Row],[POvsCT]]="PO",SUM(_xlfn.CHOOSECOLS(_xlfn._xlws.FILTER(F_RT14[],(IF($M168="X",TRUE,F_RT14[Site]=$M168))*(F_RT14[Measure]=Z$4)*(F_RT14[PrjId]=PptoSty[[#This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68" s="206" cm="1">
        <f t="array" aca="1" ref="AA168"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155577.41865979382</v>
      </c>
      <c r="AB168" s="206" cm="1">
        <f t="array" aca="1" ref="AB168"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47783.287732537494</v>
      </c>
      <c r="AC168" s="206" cm="1">
        <f t="array" aca="1" ref="AC168"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106021.44743189999</v>
      </c>
      <c r="AG168"/>
      <c r="AH168"/>
      <c r="AI168"/>
      <c r="AK168" s="113"/>
      <c r="AO168"/>
      <c r="AP168"/>
      <c r="AZ168" s="175"/>
      <c r="BA168" s="175"/>
      <c r="BE168"/>
      <c r="BF168"/>
      <c r="DG168" s="175"/>
      <c r="DH168" s="175"/>
      <c r="DI168" s="175"/>
      <c r="DL168" s="108"/>
      <c r="DM168" s="366" t="str" cm="1">
        <f t="array" aca="1" ref="DM16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DN168:DS168</v>
      </c>
      <c r="DN168" s="177" t="s">
        <v>375</v>
      </c>
      <c r="DO168" s="177" t="str" cm="1">
        <f t="array" aca="1" ref="DO168:DS16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MECÁNICO</v>
      </c>
      <c r="DP168" s="177" t="str">
        <f ca="1"/>
        <v>FABRICACIÓN ELÉCTRICA</v>
      </c>
      <c r="DQ168" s="177" t="str">
        <f ca="1"/>
        <v>INSTALACIÓN ENR</v>
      </c>
      <c r="DR168" s="177" t="str">
        <f ca="1"/>
        <v>MATERIAL ELÉCTRICO +%</v>
      </c>
      <c r="DS168" s="177" t="str">
        <f ca="1"/>
        <v>MATERIAL MECÁNICO +%</v>
      </c>
      <c r="DT168" s="177"/>
      <c r="DU168" s="177"/>
      <c r="DV168" s="177"/>
      <c r="DW168" s="177"/>
      <c r="DX168" s="177"/>
      <c r="DY168" s="177"/>
      <c r="DZ168" s="177"/>
      <c r="EA168" s="177"/>
      <c r="EB168" s="177"/>
      <c r="EC168" s="177"/>
      <c r="ED168" s="177"/>
    </row>
    <row r="169" spans="3:134" ht="13" customHeight="1">
      <c r="C169" s="356">
        <v>45595</v>
      </c>
      <c r="D169" s="213" t="s">
        <v>2114</v>
      </c>
      <c r="E169" s="356" t="s">
        <v>1710</v>
      </c>
      <c r="F169" s="219" t="s">
        <v>375</v>
      </c>
      <c r="G169" s="201" t="s">
        <v>1415</v>
      </c>
      <c r="H169" s="202">
        <v>16</v>
      </c>
      <c r="I169" s="339" t="str" cm="1">
        <f t="array" aca="1" ref="I16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E004</v>
      </c>
      <c r="J169" s="203" t="str" cm="1">
        <f t="array" ref="J169">IF(OR(PptoSty[[#This Row],[Project]]="",PptoSty[[#This Row],[Project]]="X"),"X",_xlfn.UNIQUE(_xlfn._xlws.FILTER(CstGrpS[Nature],ISNUMBER(FIND(SUBSTITUTE(PptoSty[[#This Row],[PiColumn]]," +%",""),UPPER(SUBSTITUTE(CstGrpS[GrpPrv],"  "," ")))),"X")))</f>
        <v>Hrs</v>
      </c>
      <c r="K169" s="96" t="s">
        <v>1461</v>
      </c>
      <c r="L169" s="96" t="s">
        <v>380</v>
      </c>
      <c r="M169" s="96" t="s">
        <v>28</v>
      </c>
      <c r="N169" s="96" t="str" cm="1">
        <f t="array" ref="N169">IF(OR(PptoSty[[#This Row],[Project]]="",PptoSty[[#This Row],[Project]]="X"),"X",_xlfn._xlws.FILTER(TbAssign[RowId],(TbAssign[Project]=PptoSty[[#This Row],[Project]])*(TbAssign[Módulo]=PptoSty[[#This Row],[PptoVsRow]]),"X"))</f>
        <v>XD02</v>
      </c>
      <c r="O169" s="96" t="str" cm="1">
        <f t="array" ref="O169">IF(OR(PptoSty[[#This Row],[Project]]="",PptoSty[[#This Row],[Project]]="X"),"X",_xlfn.UNIQUE(_xlfn._xlws.FILTER(F_RT14[Amortz.],(F_RT14[Measure]="CurPpto")*(F_RT14[PrjId]=PptoSty[[#This Row],[Project]])*(F_RT14[Vrs]=PptoSty[[#This Row],[Vrs]])*(_xlfn.TEXTAFTER(F_RT14[ActGrp],":")=PptoSty[[#This Row],[PiRow]]),"X")))</f>
        <v>CELL</v>
      </c>
      <c r="P169" s="96" t="s">
        <v>1410</v>
      </c>
      <c r="Q169" s="96" t="s">
        <v>380</v>
      </c>
      <c r="R169" s="204" t="s">
        <v>403</v>
      </c>
      <c r="S169" s="204">
        <v>1</v>
      </c>
      <c r="T169" s="205" t="str" cm="1">
        <f t="array" aca="1" ref="T16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69" s="206" cm="1">
        <f t="array" ref="U169">IFERROR((1/PptoSty[[#This Row],[Division]])*IF(PptoSty[[#This Row],[Sign]]="+",1,-1)*(IF(PptoSty[[#This Row],[POvsCT]]="PO",SUM(_xlfn.CHOOSECOLS(_xlfn._xlws.FILTER(F_RT14[],(IF($M169="X",TRUE,F_RT14[Site]=$M169))*(F_RT14[Measure]=U$4)*(F_RT14[PrjId]=PptoSty[[#This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625.89886597938141</v>
      </c>
      <c r="V169" s="206" cm="1">
        <f t="array" ref="V169">IFERROR((1/PptoSty[[#This Row],[Division]])*IF(PptoSty[[#This Row],[Sign]]="+",1,-1)*(IF(PptoSty[[#This Row],[POvsCT]]="PO",SUM(_xlfn.CHOOSECOLS(_xlfn._xlws.FILTER(F_RT14[],(IF($M169="X",TRUE,F_RT14[Site]=$M169))*(F_RT14[Measure]=V$4)*(F_RT14[PrjId]=PptoSty[[#This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188.30632406999996</v>
      </c>
      <c r="W169" s="206" cm="1">
        <f t="array" ref="W169">IFERROR((1/PptoSty[[#This Row],[Division]])*IF(PptoSty[[#This Row],[Sign]]="+",1,-1)*(IF(PptoSty[[#This Row],[POvsCT]]="PO",SUM(_xlfn.CHOOSECOLS(_xlfn._xlws.FILTER(F_RT14[],(IF($M169="X",TRUE,F_RT14[Site]=$M169))*(F_RT14[Measure]=W$4)*(F_RT14[PrjId]=PptoSty[[#This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417.81363288</v>
      </c>
      <c r="X169" s="338" cm="1">
        <f t="array" ref="X169">IFERROR(IF(PptoSty[[#This Row],[Nature]]&lt;&gt;"Hrs",0,(1/PptoSty[[#This Row],[Division]])*IF(PptoSty[[#This Row],[Sign]]="+",1,-1)*(IF(PptoSty[[#This Row],[POvsCT]]="PO",SUM(_xlfn.CHOOSECOLS(_xlfn._xlws.FILTER(F_RT14[],(IF($M169="X",TRUE,F_RT14[Site]=$M169))*(F_RT14[Measure]=X$4)*(F_RT14[PrjId]=PptoSty[[#This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20.247999999999998</v>
      </c>
      <c r="Y169" s="338" cm="1">
        <f t="array" ref="Y169">IFERROR(IF(PptoSty[[#This Row],[Nature]]&lt;&gt;"Hrs",0,(1/PptoSty[[#This Row],[Division]])*IF(PptoSty[[#This Row],[Sign]]="+",1,-1)*(IF(PptoSty[[#This Row],[POvsCT]]="PO",SUM(_xlfn.CHOOSECOLS(_xlfn._xlws.FILTER(F_RT14[],(IF($M169="X",TRUE,F_RT14[Site]=$M169))*(F_RT14[Measure]=Y$4)*(F_RT14[PrjId]=PptoSty[[#This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4.9101399999999993</v>
      </c>
      <c r="Z169" s="338" cm="1">
        <f t="array" ref="Z169">IFERROR(IF(PptoSty[[#This Row],[Nature]]&lt;&gt;"Hrs",0,(1/PptoSty[[#This Row],[Division]])*IF(PptoSty[[#This Row],[Sign]]="+",1,-1)*(IF(PptoSty[[#This Row],[POvsCT]]="PO",SUM(_xlfn.CHOOSECOLS(_xlfn._xlws.FILTER(F_RT14[],(IF($M169="X",TRUE,F_RT14[Site]=$M169))*(F_RT14[Measure]=Z$4)*(F_RT14[PrjId]=PptoSty[[#This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14.730419999999999</v>
      </c>
      <c r="AA169" s="206" cm="1">
        <f t="array" aca="1" ref="AA169"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156203.31752577319</v>
      </c>
      <c r="AB169" s="206" cm="1">
        <f t="array" aca="1" ref="AB169"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47971.594056607493</v>
      </c>
      <c r="AC169" s="206" cm="1">
        <f t="array" aca="1" ref="AC169"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106439.26106477999</v>
      </c>
      <c r="AG169"/>
      <c r="AH169"/>
      <c r="AI169"/>
      <c r="AK169" s="113"/>
      <c r="AO169"/>
      <c r="AP169"/>
      <c r="AZ169" s="175"/>
      <c r="BA169" s="175"/>
      <c r="BE169"/>
      <c r="BF169"/>
      <c r="DG169" s="175"/>
      <c r="DH169" s="175"/>
      <c r="DI169" s="175"/>
      <c r="DL169" s="108"/>
      <c r="DM169" s="366" t="str" cm="1">
        <f t="array" aca="1" ref="DM169"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DN169:DU169</v>
      </c>
      <c r="DN169" s="177" t="s">
        <v>375</v>
      </c>
      <c r="DO169" s="177" t="str" cm="1">
        <f t="array" aca="1" ref="DO169:DU169"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169" s="177" t="str">
        <f ca="1"/>
        <v>DISEÑO MECÁNICO</v>
      </c>
      <c r="DQ169" s="177" t="str">
        <f ca="1"/>
        <v>FABRICACIÓN MECÁNICA</v>
      </c>
      <c r="DR169" s="177" t="str">
        <f ca="1"/>
        <v>MATERIAL ELÉCTRICO +%</v>
      </c>
      <c r="DS169" s="177" t="str">
        <f ca="1"/>
        <v>MATERIAL FLUIDOS +%</v>
      </c>
      <c r="DT169" s="177" t="str">
        <f ca="1"/>
        <v>MATERIAL MECÁNICO +%</v>
      </c>
      <c r="DU169" s="177" t="str">
        <f ca="1"/>
        <v>MONTAJE MECÁNICO</v>
      </c>
      <c r="DV169" s="177"/>
      <c r="DW169" s="177"/>
      <c r="DX169" s="177"/>
      <c r="DY169" s="177"/>
      <c r="DZ169" s="177"/>
      <c r="EA169" s="177"/>
      <c r="EB169" s="177"/>
      <c r="EC169" s="177"/>
      <c r="ED169" s="177"/>
    </row>
    <row r="170" spans="3:134" ht="13" customHeight="1">
      <c r="C170" s="356">
        <v>45595</v>
      </c>
      <c r="D170" s="213" t="s">
        <v>2114</v>
      </c>
      <c r="E170" s="356" t="s">
        <v>1710</v>
      </c>
      <c r="F170" s="219" t="s">
        <v>375</v>
      </c>
      <c r="G170" s="201" t="s">
        <v>1415</v>
      </c>
      <c r="H170" s="202">
        <v>16</v>
      </c>
      <c r="I170" s="339" t="str" cm="1">
        <f t="array" aca="1" ref="I17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E003</v>
      </c>
      <c r="J170" s="203" t="str" cm="1">
        <f t="array" ref="J170">IF(OR(PptoSty[[#This Row],[Project]]="",PptoSty[[#This Row],[Project]]="X"),"X",_xlfn.UNIQUE(_xlfn._xlws.FILTER(CstGrpS[Nature],ISNUMBER(FIND(SUBSTITUTE(PptoSty[[#This Row],[PiColumn]]," +%",""),UPPER(SUBSTITUTE(CstGrpS[GrpPrv],"  "," ")))),"X")))</f>
        <v>Hrs</v>
      </c>
      <c r="K170" s="96" t="s">
        <v>1460</v>
      </c>
      <c r="L170" s="96" t="s">
        <v>380</v>
      </c>
      <c r="M170" s="96" t="s">
        <v>28</v>
      </c>
      <c r="N170" s="96" t="str" cm="1">
        <f t="array" ref="N170">IF(OR(PptoSty[[#This Row],[Project]]="",PptoSty[[#This Row],[Project]]="X"),"X",_xlfn._xlws.FILTER(TbAssign[RowId],(TbAssign[Project]=PptoSty[[#This Row],[Project]])*(TbAssign[Módulo]=PptoSty[[#This Row],[PptoVsRow]]),"X"))</f>
        <v>XD02</v>
      </c>
      <c r="O170" s="96" t="str" cm="1">
        <f t="array" ref="O170">IF(OR(PptoSty[[#This Row],[Project]]="",PptoSty[[#This Row],[Project]]="X"),"X",_xlfn.UNIQUE(_xlfn._xlws.FILTER(F_RT14[Amortz.],(F_RT14[Measure]="CurPpto")*(F_RT14[PrjId]=PptoSty[[#This Row],[Project]])*(F_RT14[Vrs]=PptoSty[[#This Row],[Vrs]])*(_xlfn.TEXTAFTER(F_RT14[ActGrp],":")=PptoSty[[#This Row],[PiRow]]),"X")))</f>
        <v>CELL</v>
      </c>
      <c r="P170" s="96" t="s">
        <v>1410</v>
      </c>
      <c r="Q170" s="96" t="s">
        <v>380</v>
      </c>
      <c r="R170" s="204" t="s">
        <v>403</v>
      </c>
      <c r="S170" s="204">
        <v>1</v>
      </c>
      <c r="T170" s="205" t="str" cm="1">
        <f t="array" aca="1" ref="T17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70" s="206" cm="1">
        <f t="array" ref="U170">IFERROR((1/PptoSty[[#This Row],[Division]])*IF(PptoSty[[#This Row],[Sign]]="+",1,-1)*(IF(PptoSty[[#This Row],[POvsCT]]="PO",SUM(_xlfn.CHOOSECOLS(_xlfn._xlws.FILTER(F_RT14[],(IF($M170="X",TRUE,F_RT14[Site]=$M170))*(F_RT14[Measure]=U$4)*(F_RT14[PrjId]=PptoSty[[#This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5525.45587628866</v>
      </c>
      <c r="V170" s="206" cm="1">
        <f t="array" ref="V170">IFERROR((1/PptoSty[[#This Row],[Division]])*IF(PptoSty[[#This Row],[Sign]]="+",1,-1)*(IF(PptoSty[[#This Row],[POvsCT]]="PO",SUM(_xlfn.CHOOSECOLS(_xlfn._xlws.FILTER(F_RT14[],(IF($M170="X",TRUE,F_RT14[Site]=$M170))*(F_RT14[Measure]=V$4)*(F_RT14[PrjId]=PptoSty[[#This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1662.3743296875</v>
      </c>
      <c r="W170" s="206" cm="1">
        <f t="array" ref="W170">IFERROR((1/PptoSty[[#This Row],[Division]])*IF(PptoSty[[#This Row],[Sign]]="+",1,-1)*(IF(PptoSty[[#This Row],[POvsCT]]="PO",SUM(_xlfn.CHOOSECOLS(_xlfn._xlws.FILTER(F_RT14[],(IF($M170="X",TRUE,F_RT14[Site]=$M170))*(F_RT14[Measure]=W$4)*(F_RT14[PrjId]=PptoSty[[#This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3688.4722875000002</v>
      </c>
      <c r="X170" s="338" cm="1">
        <f t="array" ref="X170">IFERROR(IF(PptoSty[[#This Row],[Nature]]&lt;&gt;"Hrs",0,(1/PptoSty[[#This Row],[Division]])*IF(PptoSty[[#This Row],[Sign]]="+",1,-1)*(IF(PptoSty[[#This Row],[POvsCT]]="PO",SUM(_xlfn.CHOOSECOLS(_xlfn._xlws.FILTER(F_RT14[],(IF($M170="X",TRUE,F_RT14[Site]=$M170))*(F_RT14[Measure]=X$4)*(F_RT14[PrjId]=PptoSty[[#This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178.75000000000003</v>
      </c>
      <c r="Y170" s="338" cm="1">
        <f t="array" ref="Y170">IFERROR(IF(PptoSty[[#This Row],[Nature]]&lt;&gt;"Hrs",0,(1/PptoSty[[#This Row],[Division]])*IF(PptoSty[[#This Row],[Sign]]="+",1,-1)*(IF(PptoSty[[#This Row],[POvsCT]]="PO",SUM(_xlfn.CHOOSECOLS(_xlfn._xlws.FILTER(F_RT14[],(IF($M170="X",TRUE,F_RT14[Site]=$M170))*(F_RT14[Measure]=Y$4)*(F_RT14[PrjId]=PptoSty[[#This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43.346875000000004</v>
      </c>
      <c r="Z170" s="338" cm="1">
        <f t="array" ref="Z170">IFERROR(IF(PptoSty[[#This Row],[Nature]]&lt;&gt;"Hrs",0,(1/PptoSty[[#This Row],[Division]])*IF(PptoSty[[#This Row],[Sign]]="+",1,-1)*(IF(PptoSty[[#This Row],[POvsCT]]="PO",SUM(_xlfn.CHOOSECOLS(_xlfn._xlws.FILTER(F_RT14[],(IF($M170="X",TRUE,F_RT14[Site]=$M170))*(F_RT14[Measure]=Z$4)*(F_RT14[PrjId]=PptoSty[[#This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130.04062500000001</v>
      </c>
      <c r="AA170" s="206" cm="1">
        <f t="array" aca="1" ref="AA170"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161728.77340206187</v>
      </c>
      <c r="AB170" s="206" cm="1">
        <f t="array" aca="1" ref="AB170"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49633.96838629499</v>
      </c>
      <c r="AC170" s="206" cm="1">
        <f t="array" aca="1" ref="AC170"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110127.73335227999</v>
      </c>
      <c r="AG170"/>
      <c r="AH170"/>
      <c r="AI170"/>
      <c r="AK170" s="113"/>
      <c r="AO170"/>
      <c r="AP170"/>
      <c r="AZ170" s="175"/>
      <c r="BA170" s="175"/>
      <c r="BE170"/>
      <c r="BF170"/>
      <c r="DG170" s="175"/>
      <c r="DH170" s="175"/>
      <c r="DI170" s="175"/>
      <c r="DL170" s="108"/>
      <c r="DM170" s="366" t="str" cm="1">
        <f t="array" aca="1" ref="DM170"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DN170:DP170</v>
      </c>
      <c r="DN170" s="177" t="s">
        <v>375</v>
      </c>
      <c r="DO170" s="177" t="str" cm="1">
        <f t="array" aca="1" ref="DO170:DP170"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MATERIAL ELÉCTRICO +%</v>
      </c>
      <c r="DP170" s="177" t="str">
        <f ca="1"/>
        <v>MONTAJE MECÁNICO</v>
      </c>
      <c r="DQ170" s="177"/>
      <c r="DR170" s="177"/>
      <c r="DS170" s="177"/>
      <c r="DT170" s="177"/>
      <c r="DU170" s="177"/>
      <c r="DV170" s="177"/>
      <c r="DW170" s="177"/>
      <c r="DX170" s="177"/>
      <c r="DY170" s="177"/>
      <c r="DZ170" s="177"/>
      <c r="EA170" s="177"/>
      <c r="EB170" s="177"/>
      <c r="EC170" s="177"/>
      <c r="ED170" s="177"/>
    </row>
    <row r="171" spans="3:134" ht="13" customHeight="1">
      <c r="C171" s="356">
        <v>45595</v>
      </c>
      <c r="D171" s="213" t="s">
        <v>2114</v>
      </c>
      <c r="E171" s="356" t="s">
        <v>1710</v>
      </c>
      <c r="F171" s="219" t="s">
        <v>375</v>
      </c>
      <c r="G171" s="201" t="s">
        <v>1415</v>
      </c>
      <c r="H171" s="202">
        <v>16</v>
      </c>
      <c r="I171" s="339" t="str" cm="1">
        <f t="array" aca="1" ref="I17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X002</v>
      </c>
      <c r="J171" s="203" t="str" cm="1">
        <f t="array" ref="J171">IF(OR(PptoSty[[#This Row],[Project]]="",PptoSty[[#This Row],[Project]]="X"),"X",_xlfn.UNIQUE(_xlfn._xlws.FILTER(CstGrpS[Nature],ISNUMBER(FIND(SUBSTITUTE(PptoSty[[#This Row],[PiColumn]]," +%",""),UPPER(SUBSTITUTE(CstGrpS[GrpPrv],"  "," ")))),"X")))</f>
        <v>Mat</v>
      </c>
      <c r="K171" s="96" t="s">
        <v>1628</v>
      </c>
      <c r="L171" s="96" t="s">
        <v>1639</v>
      </c>
      <c r="M171" s="96" t="s">
        <v>28</v>
      </c>
      <c r="N171" s="96" t="str" cm="1">
        <f t="array" ref="N171">IF(OR(PptoSty[[#This Row],[Project]]="",PptoSty[[#This Row],[Project]]="X"),"X",_xlfn._xlws.FILTER(TbAssign[RowId],(TbAssign[Project]=PptoSty[[#This Row],[Project]])*(TbAssign[Módulo]=PptoSty[[#This Row],[PptoVsRow]]),"X"))</f>
        <v>XC02</v>
      </c>
      <c r="O171" s="96" t="str" cm="1">
        <f t="array" ref="O171">IF(OR(PptoSty[[#This Row],[Project]]="",PptoSty[[#This Row],[Project]]="X"),"X",_xlfn.UNIQUE(_xlfn._xlws.FILTER(F_RT14[Amortz.],(F_RT14[Measure]="CurPpto")*(F_RT14[PrjId]=PptoSty[[#This Row],[Project]])*(F_RT14[Vrs]=PptoSty[[#This Row],[Vrs]])*(_xlfn.TEXTAFTER(F_RT14[ActGrp],":")=PptoSty[[#This Row],[PiRow]]),"X")))</f>
        <v>CELL</v>
      </c>
      <c r="P171" s="96" t="s">
        <v>368</v>
      </c>
      <c r="Q171" s="96" t="s">
        <v>1670</v>
      </c>
      <c r="R171" s="204" t="s">
        <v>403</v>
      </c>
      <c r="S171" s="204">
        <v>1</v>
      </c>
      <c r="T171" s="205" cm="1">
        <f t="array" aca="1" ref="T17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171" s="206" cm="1">
        <f t="array" ref="U171">IFERROR((1/PptoSty[[#This Row],[Division]])*IF(PptoSty[[#This Row],[Sign]]="+",1,-1)*(IF(PptoSty[[#This Row],[POvsCT]]="PO",SUM(_xlfn.CHOOSECOLS(_xlfn._xlws.FILTER(F_RT14[],(IF($M171="X",TRUE,F_RT14[Site]=$M171))*(F_RT14[Measure]=U$4)*(F_RT14[PrjId]=PptoSty[[#This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20359.383600000001</v>
      </c>
      <c r="V171" s="206" cm="1">
        <f t="array" ref="V171">IFERROR((1/PptoSty[[#This Row],[Division]])*IF(PptoSty[[#This Row],[Sign]]="+",1,-1)*(IF(PptoSty[[#This Row],[POvsCT]]="PO",SUM(_xlfn.CHOOSECOLS(_xlfn._xlws.FILTER(F_RT14[],(IF($M171="X",TRUE,F_RT14[Site]=$M171))*(F_RT14[Measure]=V$4)*(F_RT14[PrjId]=PptoSty[[#This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71" s="206" cm="1">
        <f t="array" ref="W171">IFERROR((1/PptoSty[[#This Row],[Division]])*IF(PptoSty[[#This Row],[Sign]]="+",1,-1)*(IF(PptoSty[[#This Row],[POvsCT]]="PO",SUM(_xlfn.CHOOSECOLS(_xlfn._xlws.FILTER(F_RT14[],(IF($M171="X",TRUE,F_RT14[Site]=$M171))*(F_RT14[Measure]=W$4)*(F_RT14[PrjId]=PptoSty[[#This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20359.383600000001</v>
      </c>
      <c r="X171" s="338" cm="1">
        <f t="array" ref="X171">IFERROR(IF(PptoSty[[#This Row],[Nature]]&lt;&gt;"Hrs",0,(1/PptoSty[[#This Row],[Division]])*IF(PptoSty[[#This Row],[Sign]]="+",1,-1)*(IF(PptoSty[[#This Row],[POvsCT]]="PO",SUM(_xlfn.CHOOSECOLS(_xlfn._xlws.FILTER(F_RT14[],(IF($M171="X",TRUE,F_RT14[Site]=$M171))*(F_RT14[Measure]=X$4)*(F_RT14[PrjId]=PptoSty[[#This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71" s="338" cm="1">
        <f t="array" ref="Y171">IFERROR(IF(PptoSty[[#This Row],[Nature]]&lt;&gt;"Hrs",0,(1/PptoSty[[#This Row],[Division]])*IF(PptoSty[[#This Row],[Sign]]="+",1,-1)*(IF(PptoSty[[#This Row],[POvsCT]]="PO",SUM(_xlfn.CHOOSECOLS(_xlfn._xlws.FILTER(F_RT14[],(IF($M171="X",TRUE,F_RT14[Site]=$M171))*(F_RT14[Measure]=Y$4)*(F_RT14[PrjId]=PptoSty[[#This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71" s="338" cm="1">
        <f t="array" ref="Z171">IFERROR(IF(PptoSty[[#This Row],[Nature]]&lt;&gt;"Hrs",0,(1/PptoSty[[#This Row],[Division]])*IF(PptoSty[[#This Row],[Sign]]="+",1,-1)*(IF(PptoSty[[#This Row],[POvsCT]]="PO",SUM(_xlfn.CHOOSECOLS(_xlfn._xlws.FILTER(F_RT14[],(IF($M171="X",TRUE,F_RT14[Site]=$M171))*(F_RT14[Measure]=Z$4)*(F_RT14[PrjId]=PptoSty[[#This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71" s="206" cm="1">
        <f t="array" aca="1" ref="AA171"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316535.35949999985</v>
      </c>
      <c r="AB171" s="206" cm="1">
        <f t="array" aca="1" ref="AB171"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71" s="206" cm="1">
        <f t="array" aca="1" ref="AC171"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316535.35949999985</v>
      </c>
      <c r="AG171"/>
      <c r="AH171"/>
      <c r="AI171"/>
      <c r="AK171" s="113"/>
      <c r="AO171"/>
      <c r="AP171"/>
      <c r="AZ171" s="175"/>
      <c r="BA171" s="175"/>
      <c r="BE171"/>
      <c r="BF171"/>
      <c r="DG171" s="175"/>
      <c r="DH171" s="175"/>
      <c r="DI171" s="175"/>
      <c r="DL171" s="108"/>
      <c r="DM171" s="366" t="str" cm="1">
        <f t="array" aca="1" ref="DM171"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DN171:DW171</v>
      </c>
      <c r="DN171" s="177" t="s">
        <v>375</v>
      </c>
      <c r="DO171" s="177" t="str" cm="1">
        <f t="array" aca="1" ref="DO171:DW171"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171" s="177" t="str">
        <f ca="1"/>
        <v>DISEÑO MECÁNICO</v>
      </c>
      <c r="DQ171" s="177" t="str">
        <f ca="1"/>
        <v>FABRICACIÓN ELÉCTRICA</v>
      </c>
      <c r="DR171" s="177" t="str">
        <f ca="1"/>
        <v>FABRICACIÓN MECÁNICA</v>
      </c>
      <c r="DS171" s="177" t="str">
        <f ca="1"/>
        <v>INSTALACIÓN ENR</v>
      </c>
      <c r="DT171" s="177" t="str">
        <f ca="1"/>
        <v>MATERIAL ELÉCTRICO +%</v>
      </c>
      <c r="DU171" s="177" t="str">
        <f ca="1"/>
        <v>MATERIAL FLUIDOS +%</v>
      </c>
      <c r="DV171" s="177" t="str">
        <f ca="1"/>
        <v>MATERIAL MECÁNICO +%</v>
      </c>
      <c r="DW171" s="177" t="str">
        <f ca="1"/>
        <v>MONTAJE MECÁNICO</v>
      </c>
      <c r="DX171" s="177"/>
      <c r="DY171" s="177"/>
      <c r="DZ171" s="177"/>
      <c r="EA171" s="177"/>
      <c r="EB171" s="177"/>
      <c r="EC171" s="177"/>
      <c r="ED171" s="177"/>
    </row>
    <row r="172" spans="3:134" ht="13" customHeight="1">
      <c r="C172" s="356">
        <v>45595</v>
      </c>
      <c r="D172" s="213" t="s">
        <v>2114</v>
      </c>
      <c r="E172" s="356" t="s">
        <v>1710</v>
      </c>
      <c r="F172" s="219" t="s">
        <v>375</v>
      </c>
      <c r="G172" s="201" t="s">
        <v>1415</v>
      </c>
      <c r="H172" s="202">
        <v>16</v>
      </c>
      <c r="I172" s="339" t="str" cm="1">
        <f t="array" aca="1" ref="I17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172" s="203" t="str" cm="1">
        <f t="array" ref="J172">IF(OR(PptoSty[[#This Row],[Project]]="",PptoSty[[#This Row],[Project]]="X"),"X",_xlfn.UNIQUE(_xlfn._xlws.FILTER(CstGrpS[Nature],ISNUMBER(FIND(SUBSTITUTE(PptoSty[[#This Row],[PiColumn]]," +%",""),UPPER(SUBSTITUTE(CstGrpS[GrpPrv],"  "," ")))),"X")))</f>
        <v>Mat</v>
      </c>
      <c r="K172" s="96" t="s">
        <v>1629</v>
      </c>
      <c r="L172" s="96" t="s">
        <v>1639</v>
      </c>
      <c r="M172" s="96" t="s">
        <v>28</v>
      </c>
      <c r="N172" s="96" t="str" cm="1">
        <f t="array" ref="N172">IF(OR(PptoSty[[#This Row],[Project]]="",PptoSty[[#This Row],[Project]]="X"),"X",_xlfn._xlws.FILTER(TbAssign[RowId],(TbAssign[Project]=PptoSty[[#This Row],[Project]])*(TbAssign[Módulo]=PptoSty[[#This Row],[PptoVsRow]]),"X"))</f>
        <v>XC01</v>
      </c>
      <c r="O172" s="96" t="str" cm="1">
        <f t="array" ref="O172">IF(OR(PptoSty[[#This Row],[Project]]="",PptoSty[[#This Row],[Project]]="X"),"X",_xlfn.UNIQUE(_xlfn._xlws.FILTER(F_RT14[Amortz.],(F_RT14[Measure]="CurPpto")*(F_RT14[PrjId]=PptoSty[[#This Row],[Project]])*(F_RT14[Vrs]=PptoSty[[#This Row],[Vrs]])*(_xlfn.TEXTAFTER(F_RT14[ActGrp],":")=PptoSty[[#This Row],[PiRow]]),"X")))</f>
        <v>TOOL</v>
      </c>
      <c r="P172" s="96" t="s">
        <v>1473</v>
      </c>
      <c r="Q172" s="96" t="s">
        <v>1670</v>
      </c>
      <c r="R172" s="204" t="s">
        <v>403</v>
      </c>
      <c r="S172" s="204">
        <v>1</v>
      </c>
      <c r="T172" s="205" cm="1">
        <f t="array" aca="1" ref="T17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172" s="206" cm="1">
        <f t="array" ref="U172">IFERROR((1/PptoSty[[#This Row],[Division]])*IF(PptoSty[[#This Row],[Sign]]="+",1,-1)*(IF(PptoSty[[#This Row],[POvsCT]]="PO",SUM(_xlfn.CHOOSECOLS(_xlfn._xlws.FILTER(F_RT14[],(IF($M172="X",TRUE,F_RT14[Site]=$M172))*(F_RT14[Measure]=U$4)*(F_RT14[PrjId]=PptoSty[[#This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30976.906899999998</v>
      </c>
      <c r="V172" s="206" cm="1">
        <f t="array" ref="V172">IFERROR((1/PptoSty[[#This Row],[Division]])*IF(PptoSty[[#This Row],[Sign]]="+",1,-1)*(IF(PptoSty[[#This Row],[POvsCT]]="PO",SUM(_xlfn.CHOOSECOLS(_xlfn._xlws.FILTER(F_RT14[],(IF($M172="X",TRUE,F_RT14[Site]=$M172))*(F_RT14[Measure]=V$4)*(F_RT14[PrjId]=PptoSty[[#This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72" s="206" cm="1">
        <f t="array" ref="W172">IFERROR((1/PptoSty[[#This Row],[Division]])*IF(PptoSty[[#This Row],[Sign]]="+",1,-1)*(IF(PptoSty[[#This Row],[POvsCT]]="PO",SUM(_xlfn.CHOOSECOLS(_xlfn._xlws.FILTER(F_RT14[],(IF($M172="X",TRUE,F_RT14[Site]=$M172))*(F_RT14[Measure]=W$4)*(F_RT14[PrjId]=PptoSty[[#This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30976.906899999998</v>
      </c>
      <c r="X172" s="338" cm="1">
        <f t="array" ref="X172">IFERROR(IF(PptoSty[[#This Row],[Nature]]&lt;&gt;"Hrs",0,(1/PptoSty[[#This Row],[Division]])*IF(PptoSty[[#This Row],[Sign]]="+",1,-1)*(IF(PptoSty[[#This Row],[POvsCT]]="PO",SUM(_xlfn.CHOOSECOLS(_xlfn._xlws.FILTER(F_RT14[],(IF($M172="X",TRUE,F_RT14[Site]=$M172))*(F_RT14[Measure]=X$4)*(F_RT14[PrjId]=PptoSty[[#This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72" s="338" cm="1">
        <f t="array" ref="Y172">IFERROR(IF(PptoSty[[#This Row],[Nature]]&lt;&gt;"Hrs",0,(1/PptoSty[[#This Row],[Division]])*IF(PptoSty[[#This Row],[Sign]]="+",1,-1)*(IF(PptoSty[[#This Row],[POvsCT]]="PO",SUM(_xlfn.CHOOSECOLS(_xlfn._xlws.FILTER(F_RT14[],(IF($M172="X",TRUE,F_RT14[Site]=$M172))*(F_RT14[Measure]=Y$4)*(F_RT14[PrjId]=PptoSty[[#This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72" s="338" cm="1">
        <f t="array" ref="Z172">IFERROR(IF(PptoSty[[#This Row],[Nature]]&lt;&gt;"Hrs",0,(1/PptoSty[[#This Row],[Division]])*IF(PptoSty[[#This Row],[Sign]]="+",1,-1)*(IF(PptoSty[[#This Row],[POvsCT]]="PO",SUM(_xlfn.CHOOSECOLS(_xlfn._xlws.FILTER(F_RT14[],(IF($M172="X",TRUE,F_RT14[Site]=$M172))*(F_RT14[Measure]=Z$4)*(F_RT14[PrjId]=PptoSty[[#This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72" s="206" cm="1">
        <f t="array" aca="1" ref="AA172"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215028.45490000001</v>
      </c>
      <c r="AB172" s="206" cm="1">
        <f t="array" aca="1" ref="AB172"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72" s="206" cm="1">
        <f t="array" aca="1" ref="AC172"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215028.45490000001</v>
      </c>
      <c r="AG172"/>
      <c r="AH172"/>
      <c r="AI172"/>
      <c r="AK172" s="113"/>
      <c r="AO172"/>
      <c r="AP172"/>
      <c r="AZ172" s="175"/>
      <c r="BA172" s="175"/>
      <c r="BE172"/>
      <c r="BF172"/>
      <c r="DG172" s="175"/>
      <c r="DH172" s="175"/>
      <c r="DI172" s="175"/>
      <c r="DL172" s="108"/>
      <c r="DM172" s="366" t="str" cm="1">
        <f t="array" aca="1" ref="DM172"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DN172:DV172</v>
      </c>
      <c r="DN172" s="177" t="s">
        <v>375</v>
      </c>
      <c r="DO172" s="177" t="str" cm="1">
        <f t="array" aca="1" ref="DO172:DV172"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172" s="177" t="str">
        <f ca="1"/>
        <v>DISEÑO MECÁNICO</v>
      </c>
      <c r="DQ172" s="177" t="str">
        <f ca="1"/>
        <v>FABRICACIÓN MECÁNICA</v>
      </c>
      <c r="DR172" s="177" t="str">
        <f ca="1"/>
        <v>MATERIAL ELÉCTRICO +%</v>
      </c>
      <c r="DS172" s="177" t="str">
        <f ca="1"/>
        <v>MATERIAL FLUIDOS +%</v>
      </c>
      <c r="DT172" s="177" t="str">
        <f ca="1"/>
        <v>MATERIAL MECÁNICO +%</v>
      </c>
      <c r="DU172" s="177" t="str">
        <f ca="1"/>
        <v>METROLOGÍA</v>
      </c>
      <c r="DV172" s="177" t="str">
        <f ca="1"/>
        <v>MONTAJE MECÁNICO</v>
      </c>
      <c r="DW172" s="177"/>
      <c r="DX172" s="177"/>
      <c r="DY172" s="177"/>
      <c r="DZ172" s="177"/>
      <c r="EA172" s="177"/>
      <c r="EB172" s="177"/>
      <c r="EC172" s="177"/>
      <c r="ED172" s="177"/>
    </row>
    <row r="173" spans="3:134" ht="13" customHeight="1">
      <c r="C173" s="356">
        <v>45595</v>
      </c>
      <c r="D173" s="213" t="s">
        <v>2114</v>
      </c>
      <c r="E173" s="356" t="s">
        <v>1710</v>
      </c>
      <c r="F173" s="219" t="s">
        <v>375</v>
      </c>
      <c r="G173" s="201" t="s">
        <v>1415</v>
      </c>
      <c r="H173" s="202">
        <v>16</v>
      </c>
      <c r="I173" s="339" t="str" cm="1">
        <f t="array" aca="1" ref="I17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X002</v>
      </c>
      <c r="J173" s="203" t="str" cm="1">
        <f t="array" ref="J173">IF(OR(PptoSty[[#This Row],[Project]]="",PptoSty[[#This Row],[Project]]="X"),"X",_xlfn.UNIQUE(_xlfn._xlws.FILTER(CstGrpS[Nature],ISNUMBER(FIND(SUBSTITUTE(PptoSty[[#This Row],[PiColumn]]," +%",""),UPPER(SUBSTITUTE(CstGrpS[GrpPrv],"  "," ")))),"X")))</f>
        <v>Hrs</v>
      </c>
      <c r="K173" s="96" t="s">
        <v>1628</v>
      </c>
      <c r="L173" s="96" t="s">
        <v>381</v>
      </c>
      <c r="M173" s="96" t="s">
        <v>28</v>
      </c>
      <c r="N173" s="96" t="str" cm="1">
        <f t="array" ref="N173">IF(OR(PptoSty[[#This Row],[Project]]="",PptoSty[[#This Row],[Project]]="X"),"X",_xlfn._xlws.FILTER(TbAssign[RowId],(TbAssign[Project]=PptoSty[[#This Row],[Project]])*(TbAssign[Módulo]=PptoSty[[#This Row],[PptoVsRow]]),"X"))</f>
        <v>XD02</v>
      </c>
      <c r="O173" s="96" t="str" cm="1">
        <f t="array" ref="O173">IF(OR(PptoSty[[#This Row],[Project]]="",PptoSty[[#This Row],[Project]]="X"),"X",_xlfn.UNIQUE(_xlfn._xlws.FILTER(F_RT14[Amortz.],(F_RT14[Measure]="CurPpto")*(F_RT14[PrjId]=PptoSty[[#This Row],[Project]])*(F_RT14[Vrs]=PptoSty[[#This Row],[Vrs]])*(_xlfn.TEXTAFTER(F_RT14[ActGrp],":")=PptoSty[[#This Row],[PiRow]]),"X")))</f>
        <v>CELL</v>
      </c>
      <c r="P173" s="96" t="s">
        <v>1410</v>
      </c>
      <c r="Q173" s="96" t="s">
        <v>381</v>
      </c>
      <c r="R173" s="204" t="s">
        <v>403</v>
      </c>
      <c r="S173" s="204">
        <v>1</v>
      </c>
      <c r="T173" s="205" cm="1">
        <f t="array" aca="1" ref="T17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173" s="206" cm="1">
        <f t="array" ref="U173">IFERROR((1/PptoSty[[#This Row],[Division]])*IF(PptoSty[[#This Row],[Sign]]="+",1,-1)*(IF(PptoSty[[#This Row],[POvsCT]]="PO",SUM(_xlfn.CHOOSECOLS(_xlfn._xlws.FILTER(F_RT14[],(IF($M173="X",TRUE,F_RT14[Site]=$M173))*(F_RT14[Measure]=U$4)*(F_RT14[PrjId]=PptoSty[[#This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2446.639381443299</v>
      </c>
      <c r="V173" s="206" cm="1">
        <f t="array" ref="V173">IFERROR((1/PptoSty[[#This Row],[Division]])*IF(PptoSty[[#This Row],[Sign]]="+",1,-1)*(IF(PptoSty[[#This Row],[POvsCT]]="PO",SUM(_xlfn.CHOOSECOLS(_xlfn._xlws.FILTER(F_RT14[],(IF($M173="X",TRUE,F_RT14[Site]=$M173))*(F_RT14[Measure]=V$4)*(F_RT14[PrjId]=PptoSty[[#This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335.53811977800001</v>
      </c>
      <c r="W173" s="206" cm="1">
        <f t="array" ref="W173">IFERROR((1/PptoSty[[#This Row],[Division]])*IF(PptoSty[[#This Row],[Sign]]="+",1,-1)*(IF(PptoSty[[#This Row],[POvsCT]]="PO",SUM(_xlfn.CHOOSECOLS(_xlfn._xlws.FILTER(F_RT14[],(IF($M173="X",TRUE,F_RT14[Site]=$M173))*(F_RT14[Measure]=W$4)*(F_RT14[PrjId]=PptoSty[[#This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2148.0801120179999</v>
      </c>
      <c r="X173" s="338" cm="1">
        <f t="array" ref="X173">IFERROR(IF(PptoSty[[#This Row],[Nature]]&lt;&gt;"Hrs",0,(1/PptoSty[[#This Row],[Division]])*IF(PptoSty[[#This Row],[Sign]]="+",1,-1)*(IF(PptoSty[[#This Row],[POvsCT]]="PO",SUM(_xlfn.CHOOSECOLS(_xlfn._xlws.FILTER(F_RT14[],(IF($M173="X",TRUE,F_RT14[Site]=$M173))*(F_RT14[Measure]=X$4)*(F_RT14[PrjId]=PptoSty[[#This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85.46</v>
      </c>
      <c r="Y173" s="338" cm="1">
        <f t="array" ref="Y173">IFERROR(IF(PptoSty[[#This Row],[Nature]]&lt;&gt;"Hrs",0,(1/PptoSty[[#This Row],[Division]])*IF(PptoSty[[#This Row],[Sign]]="+",1,-1)*(IF(PptoSty[[#This Row],[POvsCT]]="PO",SUM(_xlfn.CHOOSECOLS(_xlfn._xlws.FILTER(F_RT14[],(IF($M173="X",TRUE,F_RT14[Site]=$M173))*(F_RT14[Measure]=Y$4)*(F_RT14[PrjId]=PptoSty[[#This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8.2896199999999993</v>
      </c>
      <c r="Z173" s="338" cm="1">
        <f t="array" ref="Z173">IFERROR(IF(PptoSty[[#This Row],[Nature]]&lt;&gt;"Hrs",0,(1/PptoSty[[#This Row],[Division]])*IF(PptoSty[[#This Row],[Sign]]="+",1,-1)*(IF(PptoSty[[#This Row],[POvsCT]]="PO",SUM(_xlfn.CHOOSECOLS(_xlfn._xlws.FILTER(F_RT14[],(IF($M173="X",TRUE,F_RT14[Site]=$M173))*(F_RT14[Measure]=Z$4)*(F_RT14[PrjId]=PptoSty[[#This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74.606579999999994</v>
      </c>
      <c r="AA173" s="206" cm="1">
        <f t="array" aca="1" ref="AA173"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2446.639381443299</v>
      </c>
      <c r="AB173" s="206" cm="1">
        <f t="array" aca="1" ref="AB173"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335.53811977800001</v>
      </c>
      <c r="AC173" s="206" cm="1">
        <f t="array" aca="1" ref="AC173"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2148.0801120179999</v>
      </c>
      <c r="AG173"/>
      <c r="AH173"/>
      <c r="AI173"/>
      <c r="AK173" s="113"/>
      <c r="AO173"/>
      <c r="AP173"/>
      <c r="AZ173" s="175"/>
      <c r="BA173" s="175"/>
      <c r="BE173"/>
      <c r="BF173"/>
      <c r="DG173" s="175"/>
      <c r="DH173" s="175"/>
      <c r="DI173" s="175"/>
      <c r="DL173" s="108"/>
      <c r="DM173" s="366" t="str" cm="1">
        <f t="array" aca="1" ref="DM173"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DN173:DW173</v>
      </c>
      <c r="DN173" s="177" t="s">
        <v>375</v>
      </c>
      <c r="DO173" s="177" t="str" cm="1">
        <f t="array" aca="1" ref="DO173:DW173"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173" s="177" t="str">
        <f ca="1"/>
        <v>DISEÑO MECÁNICO</v>
      </c>
      <c r="DQ173" s="177" t="str">
        <f ca="1"/>
        <v>FABRICACIÓN ELÉCTRICA</v>
      </c>
      <c r="DR173" s="177" t="str">
        <f ca="1"/>
        <v>FABRICACIÓN MECÁNICA</v>
      </c>
      <c r="DS173" s="177" t="str">
        <f ca="1"/>
        <v>INSTALACIÓN ENR</v>
      </c>
      <c r="DT173" s="177" t="str">
        <f ca="1"/>
        <v>MATERIAL ELÉCTRICO +%</v>
      </c>
      <c r="DU173" s="177" t="str">
        <f ca="1"/>
        <v>MATERIAL FLUIDOS +%</v>
      </c>
      <c r="DV173" s="177" t="str">
        <f ca="1"/>
        <v>MATERIAL MECÁNICO +%</v>
      </c>
      <c r="DW173" s="177" t="str">
        <f ca="1"/>
        <v>MONTAJE MECÁNICO</v>
      </c>
      <c r="DX173" s="177"/>
      <c r="DY173" s="177"/>
      <c r="DZ173" s="177"/>
      <c r="EA173" s="177"/>
      <c r="EB173" s="177"/>
      <c r="EC173" s="177"/>
      <c r="ED173" s="177"/>
    </row>
    <row r="174" spans="3:134" ht="13" customHeight="1">
      <c r="C174" s="356">
        <v>45595</v>
      </c>
      <c r="D174" s="213" t="s">
        <v>2114</v>
      </c>
      <c r="E174" s="356" t="s">
        <v>1710</v>
      </c>
      <c r="F174" s="219" t="s">
        <v>375</v>
      </c>
      <c r="G174" s="201" t="s">
        <v>1415</v>
      </c>
      <c r="H174" s="202">
        <v>16</v>
      </c>
      <c r="I174" s="339" t="str" cm="1">
        <f t="array" aca="1" ref="I17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X002</v>
      </c>
      <c r="J174" s="203" t="str" cm="1">
        <f t="array" ref="J174">IF(OR(PptoSty[[#This Row],[Project]]="",PptoSty[[#This Row],[Project]]="X"),"X",_xlfn.UNIQUE(_xlfn._xlws.FILTER(CstGrpS[Nature],ISNUMBER(FIND(SUBSTITUTE(PptoSty[[#This Row],[PiColumn]]," +%",""),UPPER(SUBSTITUTE(CstGrpS[GrpPrv],"  "," ")))),"X")))</f>
        <v>Hrs</v>
      </c>
      <c r="K174" s="96" t="s">
        <v>1628</v>
      </c>
      <c r="L174" s="96" t="s">
        <v>1645</v>
      </c>
      <c r="M174" s="96" t="s">
        <v>28</v>
      </c>
      <c r="N174" s="96" t="str" cm="1">
        <f t="array" ref="N174">IF(OR(PptoSty[[#This Row],[Project]]="",PptoSty[[#This Row],[Project]]="X"),"X",_xlfn._xlws.FILTER(TbAssign[RowId],(TbAssign[Project]=PptoSty[[#This Row],[Project]])*(TbAssign[Módulo]=PptoSty[[#This Row],[PptoVsRow]]),"X"))</f>
        <v>XD02</v>
      </c>
      <c r="O174" s="96" t="str" cm="1">
        <f t="array" ref="O174">IF(OR(PptoSty[[#This Row],[Project]]="",PptoSty[[#This Row],[Project]]="X"),"X",_xlfn.UNIQUE(_xlfn._xlws.FILTER(F_RT14[Amortz.],(F_RT14[Measure]="CurPpto")*(F_RT14[PrjId]=PptoSty[[#This Row],[Project]])*(F_RT14[Vrs]=PptoSty[[#This Row],[Vrs]])*(_xlfn.TEXTAFTER(F_RT14[ActGrp],":")=PptoSty[[#This Row],[PiRow]]),"X")))</f>
        <v>CELL</v>
      </c>
      <c r="P174" s="96" t="s">
        <v>1410</v>
      </c>
      <c r="Q174" s="96" t="s">
        <v>389</v>
      </c>
      <c r="R174" s="204" t="s">
        <v>403</v>
      </c>
      <c r="S174" s="204">
        <v>1</v>
      </c>
      <c r="T174" s="205" cm="1">
        <f t="array" aca="1" ref="T17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174" s="206" cm="1">
        <f t="array" ref="U174">IFERROR((1/PptoSty[[#This Row],[Division]])*IF(PptoSty[[#This Row],[Sign]]="+",1,-1)*(IF(PptoSty[[#This Row],[POvsCT]]="PO",SUM(_xlfn.CHOOSECOLS(_xlfn._xlws.FILTER(F_RT14[],(IF($M174="X",TRUE,F_RT14[Site]=$M174))*(F_RT14[Measure]=U$4)*(F_RT14[PrjId]=PptoSty[[#This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290.29865979381441</v>
      </c>
      <c r="V174" s="206" cm="1">
        <f t="array" ref="V174">IFERROR((1/PptoSty[[#This Row],[Division]])*IF(PptoSty[[#This Row],[Sign]]="+",1,-1)*(IF(PptoSty[[#This Row],[POvsCT]]="PO",SUM(_xlfn.CHOOSECOLS(_xlfn._xlws.FILTER(F_RT14[],(IF($M174="X",TRUE,F_RT14[Site]=$M174))*(F_RT14[Measure]=V$4)*(F_RT14[PrjId]=PptoSty[[#This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39.812269302000004</v>
      </c>
      <c r="W174" s="206" cm="1">
        <f t="array" ref="W174">IFERROR((1/PptoSty[[#This Row],[Division]])*IF(PptoSty[[#This Row],[Sign]]="+",1,-1)*(IF(PptoSty[[#This Row],[POvsCT]]="PO",SUM(_xlfn.CHOOSECOLS(_xlfn._xlws.FILTER(F_RT14[],(IF($M174="X",TRUE,F_RT14[Site]=$M174))*(F_RT14[Measure]=W$4)*(F_RT14[PrjId]=PptoSty[[#This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254.87400346200005</v>
      </c>
      <c r="X174" s="338" cm="1">
        <f t="array" ref="X174">IFERROR(IF(PptoSty[[#This Row],[Nature]]&lt;&gt;"Hrs",0,(1/PptoSty[[#This Row],[Division]])*IF(PptoSty[[#This Row],[Sign]]="+",1,-1)*(IF(PptoSty[[#This Row],[POvsCT]]="PO",SUM(_xlfn.CHOOSECOLS(_xlfn._xlws.FILTER(F_RT14[],(IF($M174="X",TRUE,F_RT14[Site]=$M174))*(F_RT14[Measure]=X$4)*(F_RT14[PrjId]=PptoSty[[#This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10.14</v>
      </c>
      <c r="Y174" s="338" cm="1">
        <f t="array" ref="Y174">IFERROR(IF(PptoSty[[#This Row],[Nature]]&lt;&gt;"Hrs",0,(1/PptoSty[[#This Row],[Division]])*IF(PptoSty[[#This Row],[Sign]]="+",1,-1)*(IF(PptoSty[[#This Row],[POvsCT]]="PO",SUM(_xlfn.CHOOSECOLS(_xlfn._xlws.FILTER(F_RT14[],(IF($M174="X",TRUE,F_RT14[Site]=$M174))*(F_RT14[Measure]=Y$4)*(F_RT14[PrjId]=PptoSty[[#This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0.98358000000000012</v>
      </c>
      <c r="Z174" s="338" cm="1">
        <f t="array" ref="Z174">IFERROR(IF(PptoSty[[#This Row],[Nature]]&lt;&gt;"Hrs",0,(1/PptoSty[[#This Row],[Division]])*IF(PptoSty[[#This Row],[Sign]]="+",1,-1)*(IF(PptoSty[[#This Row],[POvsCT]]="PO",SUM(_xlfn.CHOOSECOLS(_xlfn._xlws.FILTER(F_RT14[],(IF($M174="X",TRUE,F_RT14[Site]=$M174))*(F_RT14[Measure]=Z$4)*(F_RT14[PrjId]=PptoSty[[#This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8.8522200000000009</v>
      </c>
      <c r="AA174" s="206" cm="1">
        <f t="array" aca="1" ref="AA174"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148376.87783505156</v>
      </c>
      <c r="AB174" s="206" cm="1">
        <f t="array" aca="1" ref="AB174"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15735.151608831004</v>
      </c>
      <c r="AC174" s="206" cm="1">
        <f t="array" aca="1" ref="AC174"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100734.80251031101</v>
      </c>
      <c r="AG174"/>
      <c r="AH174"/>
      <c r="AI174"/>
      <c r="AK174" s="113"/>
      <c r="AO174"/>
      <c r="AP174"/>
      <c r="AZ174" s="175"/>
      <c r="BA174" s="175"/>
      <c r="BE174"/>
      <c r="BF174"/>
      <c r="DG174" s="175"/>
      <c r="DH174" s="175"/>
      <c r="DI174" s="175"/>
      <c r="DL174" s="108"/>
      <c r="DM174" s="366" t="str" cm="1">
        <f t="array" aca="1" ref="DM174"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DN174:DW174</v>
      </c>
      <c r="DN174" s="177" t="s">
        <v>375</v>
      </c>
      <c r="DO174" s="177" t="str" cm="1">
        <f t="array" aca="1" ref="DO174:DW174"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174" s="177" t="str">
        <f ca="1"/>
        <v>DISEÑO MECÁNICO</v>
      </c>
      <c r="DQ174" s="177" t="str">
        <f ca="1"/>
        <v>FABRICACIÓN ELÉCTRICA</v>
      </c>
      <c r="DR174" s="177" t="str">
        <f ca="1"/>
        <v>FABRICACIÓN MECÁNICA</v>
      </c>
      <c r="DS174" s="177" t="str">
        <f ca="1"/>
        <v>INSTALACIÓN ENR</v>
      </c>
      <c r="DT174" s="177" t="str">
        <f ca="1"/>
        <v>MATERIAL ELÉCTRICO +%</v>
      </c>
      <c r="DU174" s="177" t="str">
        <f ca="1"/>
        <v>MATERIAL FLUIDOS +%</v>
      </c>
      <c r="DV174" s="177" t="str">
        <f ca="1"/>
        <v>MATERIAL MECÁNICO +%</v>
      </c>
      <c r="DW174" s="177" t="str">
        <f ca="1"/>
        <v>MONTAJE MECÁNICO</v>
      </c>
      <c r="DX174" s="177"/>
      <c r="DY174" s="177"/>
      <c r="DZ174" s="177"/>
      <c r="EA174" s="177"/>
      <c r="EB174" s="177"/>
      <c r="EC174" s="177"/>
      <c r="ED174" s="177"/>
    </row>
    <row r="175" spans="3:134" ht="13" customHeight="1">
      <c r="C175" s="356">
        <v>45595</v>
      </c>
      <c r="D175" s="213" t="s">
        <v>2114</v>
      </c>
      <c r="E175" s="356" t="s">
        <v>1710</v>
      </c>
      <c r="F175" s="219" t="s">
        <v>375</v>
      </c>
      <c r="G175" s="201" t="s">
        <v>1415</v>
      </c>
      <c r="H175" s="202">
        <v>16</v>
      </c>
      <c r="I175" s="339" t="str" cm="1">
        <f t="array" aca="1" ref="I17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E001</v>
      </c>
      <c r="J175" s="203" t="str" cm="1">
        <f t="array" ref="J175">IF(OR(PptoSty[[#This Row],[Project]]="",PptoSty[[#This Row],[Project]]="X"),"X",_xlfn.UNIQUE(_xlfn._xlws.FILTER(CstGrpS[Nature],ISNUMBER(FIND(SUBSTITUTE(PptoSty[[#This Row],[PiColumn]]," +%",""),UPPER(SUBSTITUTE(CstGrpS[GrpPrv],"  "," ")))),"X")))</f>
        <v>Hrs</v>
      </c>
      <c r="K175" s="96" t="s">
        <v>362</v>
      </c>
      <c r="L175" s="96" t="s">
        <v>381</v>
      </c>
      <c r="M175" s="96" t="s">
        <v>28</v>
      </c>
      <c r="N175" s="96" t="str" cm="1">
        <f t="array" ref="N175">IF(OR(PptoSty[[#This Row],[Project]]="",PptoSty[[#This Row],[Project]]="X"),"X",_xlfn._xlws.FILTER(TbAssign[RowId],(TbAssign[Project]=PptoSty[[#This Row],[Project]])*(TbAssign[Módulo]=PptoSty[[#This Row],[PptoVsRow]]),"X"))</f>
        <v>XD02</v>
      </c>
      <c r="O175" s="96" t="str" cm="1">
        <f t="array" ref="O175">IF(OR(PptoSty[[#This Row],[Project]]="",PptoSty[[#This Row],[Project]]="X"),"X",_xlfn.UNIQUE(_xlfn._xlws.FILTER(F_RT14[Amortz.],(F_RT14[Measure]="CurPpto")*(F_RT14[PrjId]=PptoSty[[#This Row],[Project]])*(F_RT14[Vrs]=PptoSty[[#This Row],[Vrs]])*(_xlfn.TEXTAFTER(F_RT14[ActGrp],":")=PptoSty[[#This Row],[PiRow]]),"X")))</f>
        <v>CELL</v>
      </c>
      <c r="P175" s="96" t="s">
        <v>1410</v>
      </c>
      <c r="Q175" s="96" t="s">
        <v>381</v>
      </c>
      <c r="R175" s="204" t="s">
        <v>1671</v>
      </c>
      <c r="S175" s="204">
        <v>1</v>
      </c>
      <c r="T175" s="205" t="str" cm="1">
        <f t="array" aca="1" ref="T17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75" s="206" cm="1">
        <f t="array" ref="U175">IFERROR((1/PptoSty[[#This Row],[Division]])*IF(PptoSty[[#This Row],[Sign]]="+",1,-1)*(IF(PptoSty[[#This Row],[POvsCT]]="PO",SUM(_xlfn.CHOOSECOLS(_xlfn._xlws.FILTER(F_RT14[],(IF($M175="X",TRUE,F_RT14[Site]=$M175))*(F_RT14[Measure]=U$4)*(F_RT14[PrjId]=PptoSty[[#This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-2438.050618556701</v>
      </c>
      <c r="V175" s="206" cm="1">
        <f t="array" ref="V175">IFERROR((1/PptoSty[[#This Row],[Division]])*IF(PptoSty[[#This Row],[Sign]]="+",1,-1)*(IF(PptoSty[[#This Row],[POvsCT]]="PO",SUM(_xlfn.CHOOSECOLS(_xlfn._xlws.FILTER(F_RT14[],(IF($M175="X",TRUE,F_RT14[Site]=$M175))*(F_RT14[Measure]=V$4)*(F_RT14[PrjId]=PptoSty[[#This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-334.36024198799998</v>
      </c>
      <c r="W175" s="206" cm="1">
        <f t="array" ref="W175">IFERROR((1/PptoSty[[#This Row],[Division]])*IF(PptoSty[[#This Row],[Sign]]="+",1,-1)*(IF(PptoSty[[#This Row],[POvsCT]]="PO",SUM(_xlfn.CHOOSECOLS(_xlfn._xlws.FILTER(F_RT14[],(IF($M175="X",TRUE,F_RT14[Site]=$M175))*(F_RT14[Measure]=W$4)*(F_RT14[PrjId]=PptoSty[[#This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-2140.539461028</v>
      </c>
      <c r="X175" s="338" cm="1">
        <f t="array" ref="X175">IFERROR(IF(PptoSty[[#This Row],[Nature]]&lt;&gt;"Hrs",0,(1/PptoSty[[#This Row],[Division]])*IF(PptoSty[[#This Row],[Sign]]="+",1,-1)*(IF(PptoSty[[#This Row],[POvsCT]]="PO",SUM(_xlfn.CHOOSECOLS(_xlfn._xlws.FILTER(F_RT14[],(IF($M175="X",TRUE,F_RT14[Site]=$M175))*(F_RT14[Measure]=X$4)*(F_RT14[PrjId]=PptoSty[[#This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-85.16</v>
      </c>
      <c r="Y175" s="338" cm="1">
        <f t="array" ref="Y175">IFERROR(IF(PptoSty[[#This Row],[Nature]]&lt;&gt;"Hrs",0,(1/PptoSty[[#This Row],[Division]])*IF(PptoSty[[#This Row],[Sign]]="+",1,-1)*(IF(PptoSty[[#This Row],[POvsCT]]="PO",SUM(_xlfn.CHOOSECOLS(_xlfn._xlws.FILTER(F_RT14[],(IF($M175="X",TRUE,F_RT14[Site]=$M175))*(F_RT14[Measure]=Y$4)*(F_RT14[PrjId]=PptoSty[[#This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-8.2605199999999996</v>
      </c>
      <c r="Z175" s="338" cm="1">
        <f t="array" ref="Z175">IFERROR(IF(PptoSty[[#This Row],[Nature]]&lt;&gt;"Hrs",0,(1/PptoSty[[#This Row],[Division]])*IF(PptoSty[[#This Row],[Sign]]="+",1,-1)*(IF(PptoSty[[#This Row],[POvsCT]]="PO",SUM(_xlfn.CHOOSECOLS(_xlfn._xlws.FILTER(F_RT14[],(IF($M175="X",TRUE,F_RT14[Site]=$M175))*(F_RT14[Measure]=Z$4)*(F_RT14[PrjId]=PptoSty[[#This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-74.344679999999997</v>
      </c>
      <c r="AA175" s="206" cm="1">
        <f t="array" aca="1" ref="AA175"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8.5887628865980332</v>
      </c>
      <c r="AB175" s="206" cm="1">
        <f t="array" aca="1" ref="AB175"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1.177877790000025</v>
      </c>
      <c r="AC175" s="206" cm="1">
        <f t="array" aca="1" ref="AC175"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7.5406509899999037</v>
      </c>
      <c r="AG175"/>
      <c r="AH175"/>
      <c r="AI175"/>
      <c r="AK175" s="113"/>
      <c r="AO175"/>
      <c r="AP175"/>
      <c r="AZ175" s="175"/>
      <c r="BA175" s="175"/>
      <c r="BE175"/>
      <c r="BF175"/>
      <c r="DG175" s="175"/>
      <c r="DH175" s="175"/>
      <c r="DI175" s="175"/>
      <c r="DL175" s="108"/>
      <c r="DM175" s="366" t="str" cm="1">
        <f t="array" aca="1" ref="DM17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DN175:DP175</v>
      </c>
      <c r="DN175" s="177" t="s">
        <v>375</v>
      </c>
      <c r="DO175" s="177" t="str" cm="1">
        <f t="array" aca="1" ref="DO175:DP17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FABRICACIÓN ELÉCTRICA</v>
      </c>
      <c r="DP175" s="177" t="str">
        <f ca="1"/>
        <v>MATERIAL ELÉCTRICO +%</v>
      </c>
      <c r="DQ175" s="177"/>
      <c r="DR175" s="177"/>
      <c r="DS175" s="177"/>
      <c r="DT175" s="177"/>
      <c r="DU175" s="177"/>
      <c r="DV175" s="177"/>
      <c r="DW175" s="177"/>
      <c r="DX175" s="177"/>
      <c r="DY175" s="177"/>
      <c r="DZ175" s="177"/>
      <c r="EA175" s="177"/>
      <c r="EB175" s="177"/>
      <c r="EC175" s="177"/>
      <c r="ED175" s="177"/>
    </row>
    <row r="176" spans="3:134" ht="13" customHeight="1">
      <c r="C176" s="356">
        <v>45595</v>
      </c>
      <c r="D176" s="213" t="s">
        <v>2114</v>
      </c>
      <c r="E176" s="356" t="s">
        <v>1710</v>
      </c>
      <c r="F176" s="219" t="s">
        <v>375</v>
      </c>
      <c r="G176" s="201" t="s">
        <v>1415</v>
      </c>
      <c r="H176" s="202">
        <v>16</v>
      </c>
      <c r="I176" s="339" t="str" cm="1">
        <f t="array" aca="1" ref="I17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X002</v>
      </c>
      <c r="J176" s="203" t="str" cm="1">
        <f t="array" ref="J176">IF(OR(PptoSty[[#This Row],[Project]]="",PptoSty[[#This Row],[Project]]="X"),"X",_xlfn.UNIQUE(_xlfn._xlws.FILTER(CstGrpS[Nature],ISNUMBER(FIND(SUBSTITUTE(PptoSty[[#This Row],[PiColumn]]," +%",""),UPPER(SUBSTITUTE(CstGrpS[GrpPrv],"  "," ")))),"X")))</f>
        <v>Mat</v>
      </c>
      <c r="K176" s="96" t="s">
        <v>1628</v>
      </c>
      <c r="L176" s="96" t="s">
        <v>1646</v>
      </c>
      <c r="M176" s="96" t="s">
        <v>28</v>
      </c>
      <c r="N176" s="96" t="str" cm="1">
        <f t="array" ref="N176">IF(OR(PptoSty[[#This Row],[Project]]="",PptoSty[[#This Row],[Project]]="X"),"X",_xlfn._xlws.FILTER(TbAssign[RowId],(TbAssign[Project]=PptoSty[[#This Row],[Project]])*(TbAssign[Módulo]=PptoSty[[#This Row],[PptoVsRow]]),"X"))</f>
        <v>XD02</v>
      </c>
      <c r="O176" s="96" t="str" cm="1">
        <f t="array" ref="O176">IF(OR(PptoSty[[#This Row],[Project]]="",PptoSty[[#This Row],[Project]]="X"),"X",_xlfn.UNIQUE(_xlfn._xlws.FILTER(F_RT14[Amortz.],(F_RT14[Measure]="CurPpto")*(F_RT14[PrjId]=PptoSty[[#This Row],[Project]])*(F_RT14[Vrs]=PptoSty[[#This Row],[Vrs]])*(_xlfn.TEXTAFTER(F_RT14[ActGrp],":")=PptoSty[[#This Row],[PiRow]]),"X")))</f>
        <v>CELL</v>
      </c>
      <c r="P176" s="96" t="s">
        <v>1410</v>
      </c>
      <c r="Q176" s="96" t="s">
        <v>1275</v>
      </c>
      <c r="R176" s="204" t="s">
        <v>403</v>
      </c>
      <c r="S176" s="204">
        <v>1</v>
      </c>
      <c r="T176" s="205" cm="1">
        <f t="array" aca="1" ref="T17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176" s="206" cm="1">
        <f t="array" ref="U176">IFERROR((1/PptoSty[[#This Row],[Division]])*IF(PptoSty[[#This Row],[Sign]]="+",1,-1)*(IF(PptoSty[[#This Row],[POvsCT]]="PO",SUM(_xlfn.CHOOSECOLS(_xlfn._xlws.FILTER(F_RT14[],(IF($M176="X",TRUE,F_RT14[Site]=$M176))*(F_RT14[Measure]=U$4)*(F_RT14[PrjId]=PptoSty[[#This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5269.7</v>
      </c>
      <c r="V176" s="206" cm="1">
        <f t="array" ref="V176">IFERROR((1/PptoSty[[#This Row],[Division]])*IF(PptoSty[[#This Row],[Sign]]="+",1,-1)*(IF(PptoSty[[#This Row],[POvsCT]]="PO",SUM(_xlfn.CHOOSECOLS(_xlfn._xlws.FILTER(F_RT14[],(IF($M176="X",TRUE,F_RT14[Site]=$M176))*(F_RT14[Measure]=V$4)*(F_RT14[PrjId]=PptoSty[[#This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76" s="206" cm="1">
        <f t="array" ref="W176">IFERROR((1/PptoSty[[#This Row],[Division]])*IF(PptoSty[[#This Row],[Sign]]="+",1,-1)*(IF(PptoSty[[#This Row],[POvsCT]]="PO",SUM(_xlfn.CHOOSECOLS(_xlfn._xlws.FILTER(F_RT14[],(IF($M176="X",TRUE,F_RT14[Site]=$M176))*(F_RT14[Measure]=W$4)*(F_RT14[PrjId]=PptoSty[[#This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5269.7</v>
      </c>
      <c r="X176" s="338" cm="1">
        <f t="array" ref="X176">IFERROR(IF(PptoSty[[#This Row],[Nature]]&lt;&gt;"Hrs",0,(1/PptoSty[[#This Row],[Division]])*IF(PptoSty[[#This Row],[Sign]]="+",1,-1)*(IF(PptoSty[[#This Row],[POvsCT]]="PO",SUM(_xlfn.CHOOSECOLS(_xlfn._xlws.FILTER(F_RT14[],(IF($M176="X",TRUE,F_RT14[Site]=$M176))*(F_RT14[Measure]=X$4)*(F_RT14[PrjId]=PptoSty[[#This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76" s="338" cm="1">
        <f t="array" ref="Y176">IFERROR(IF(PptoSty[[#This Row],[Nature]]&lt;&gt;"Hrs",0,(1/PptoSty[[#This Row],[Division]])*IF(PptoSty[[#This Row],[Sign]]="+",1,-1)*(IF(PptoSty[[#This Row],[POvsCT]]="PO",SUM(_xlfn.CHOOSECOLS(_xlfn._xlws.FILTER(F_RT14[],(IF($M176="X",TRUE,F_RT14[Site]=$M176))*(F_RT14[Measure]=Y$4)*(F_RT14[PrjId]=PptoSty[[#This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76" s="338" cm="1">
        <f t="array" ref="Z176">IFERROR(IF(PptoSty[[#This Row],[Nature]]&lt;&gt;"Hrs",0,(1/PptoSty[[#This Row],[Division]])*IF(PptoSty[[#This Row],[Sign]]="+",1,-1)*(IF(PptoSty[[#This Row],[POvsCT]]="PO",SUM(_xlfn.CHOOSECOLS(_xlfn._xlws.FILTER(F_RT14[],(IF($M176="X",TRUE,F_RT14[Site]=$M176))*(F_RT14[Measure]=Z$4)*(F_RT14[PrjId]=PptoSty[[#This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76" s="206" cm="1">
        <f t="array" aca="1" ref="AA176"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244708.51</v>
      </c>
      <c r="AB176" s="206" cm="1">
        <f t="array" aca="1" ref="AB176"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76" s="206" cm="1">
        <f t="array" aca="1" ref="AC176"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244708.51</v>
      </c>
      <c r="AG176"/>
      <c r="AH176"/>
      <c r="AI176"/>
      <c r="AK176" s="113"/>
      <c r="AO176"/>
      <c r="AP176"/>
      <c r="AZ176" s="175"/>
      <c r="BA176" s="175"/>
      <c r="BE176"/>
      <c r="BF176"/>
      <c r="DG176" s="175"/>
      <c r="DH176" s="175"/>
      <c r="DI176" s="175"/>
      <c r="DL176" s="108"/>
      <c r="DM176" s="366" t="str" cm="1">
        <f t="array" aca="1" ref="DM17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DN176:DW176</v>
      </c>
      <c r="DN176" s="177" t="s">
        <v>375</v>
      </c>
      <c r="DO176" s="177" t="str" cm="1">
        <f t="array" aca="1" ref="DO176:DW17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176" s="177" t="str">
        <f ca="1"/>
        <v>DISEÑO MECÁNICO</v>
      </c>
      <c r="DQ176" s="177" t="str">
        <f ca="1"/>
        <v>FABRICACIÓN ELÉCTRICA</v>
      </c>
      <c r="DR176" s="177" t="str">
        <f ca="1"/>
        <v>FABRICACIÓN MECÁNICA</v>
      </c>
      <c r="DS176" s="177" t="str">
        <f ca="1"/>
        <v>INSTALACIÓN ENR</v>
      </c>
      <c r="DT176" s="177" t="str">
        <f ca="1"/>
        <v>MATERIAL ELÉCTRICO +%</v>
      </c>
      <c r="DU176" s="177" t="str">
        <f ca="1"/>
        <v>MATERIAL FLUIDOS +%</v>
      </c>
      <c r="DV176" s="177" t="str">
        <f ca="1"/>
        <v>MATERIAL MECÁNICO +%</v>
      </c>
      <c r="DW176" s="177" t="str">
        <f ca="1"/>
        <v>MONTAJE MECÁNICO</v>
      </c>
      <c r="DX176" s="177"/>
      <c r="DY176" s="177"/>
      <c r="DZ176" s="177"/>
      <c r="EA176" s="177"/>
      <c r="EB176" s="177"/>
      <c r="EC176" s="177"/>
      <c r="ED176" s="177"/>
    </row>
    <row r="177" spans="3:134" ht="13" customHeight="1">
      <c r="C177" s="356">
        <v>45595</v>
      </c>
      <c r="D177" s="213" t="s">
        <v>2114</v>
      </c>
      <c r="E177" s="356" t="s">
        <v>1710</v>
      </c>
      <c r="F177" s="219" t="s">
        <v>375</v>
      </c>
      <c r="G177" s="201" t="s">
        <v>1415</v>
      </c>
      <c r="H177" s="202">
        <v>16</v>
      </c>
      <c r="I177" s="339" t="str" cm="1">
        <f t="array" aca="1" ref="I17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X002</v>
      </c>
      <c r="J177" s="203" t="str" cm="1">
        <f t="array" ref="J177">IF(OR(PptoSty[[#This Row],[Project]]="",PptoSty[[#This Row],[Project]]="X"),"X",_xlfn.UNIQUE(_xlfn._xlws.FILTER(CstGrpS[Nature],ISNUMBER(FIND(SUBSTITUTE(PptoSty[[#This Row],[PiColumn]]," +%",""),UPPER(SUBSTITUTE(CstGrpS[GrpPrv],"  "," ")))),"X")))</f>
        <v>Mat</v>
      </c>
      <c r="K177" s="96" t="s">
        <v>1628</v>
      </c>
      <c r="L177" s="96" t="s">
        <v>1647</v>
      </c>
      <c r="M177" s="96" t="s">
        <v>28</v>
      </c>
      <c r="N177" s="96" t="str" cm="1">
        <f t="array" ref="N177">IF(OR(PptoSty[[#This Row],[Project]]="",PptoSty[[#This Row],[Project]]="X"),"X",_xlfn._xlws.FILTER(TbAssign[RowId],(TbAssign[Project]=PptoSty[[#This Row],[Project]])*(TbAssign[Módulo]=PptoSty[[#This Row],[PptoVsRow]]),"X"))</f>
        <v>XD02</v>
      </c>
      <c r="O177" s="96" t="str" cm="1">
        <f t="array" ref="O177">IF(OR(PptoSty[[#This Row],[Project]]="",PptoSty[[#This Row],[Project]]="X"),"X",_xlfn.UNIQUE(_xlfn._xlws.FILTER(F_RT14[Amortz.],(F_RT14[Measure]="CurPpto")*(F_RT14[PrjId]=PptoSty[[#This Row],[Project]])*(F_RT14[Vrs]=PptoSty[[#This Row],[Vrs]])*(_xlfn.TEXTAFTER(F_RT14[ActGrp],":")=PptoSty[[#This Row],[PiRow]]),"X")))</f>
        <v>CELL</v>
      </c>
      <c r="P177" s="96" t="s">
        <v>1410</v>
      </c>
      <c r="Q177" s="96" t="s">
        <v>385</v>
      </c>
      <c r="R177" s="204" t="s">
        <v>403</v>
      </c>
      <c r="S177" s="204">
        <v>1</v>
      </c>
      <c r="T177" s="205" cm="1">
        <f t="array" aca="1" ref="T17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177" s="206" cm="1">
        <f t="array" ref="U177">IFERROR((1/PptoSty[[#This Row],[Division]])*IF(PptoSty[[#This Row],[Sign]]="+",1,-1)*(IF(PptoSty[[#This Row],[POvsCT]]="PO",SUM(_xlfn.CHOOSECOLS(_xlfn._xlws.FILTER(F_RT14[],(IF($M177="X",TRUE,F_RT14[Site]=$M177))*(F_RT14[Measure]=U$4)*(F_RT14[PrjId]=PptoSty[[#This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1112.31</v>
      </c>
      <c r="V177" s="206" cm="1">
        <f t="array" ref="V177">IFERROR((1/PptoSty[[#This Row],[Division]])*IF(PptoSty[[#This Row],[Sign]]="+",1,-1)*(IF(PptoSty[[#This Row],[POvsCT]]="PO",SUM(_xlfn.CHOOSECOLS(_xlfn._xlws.FILTER(F_RT14[],(IF($M177="X",TRUE,F_RT14[Site]=$M177))*(F_RT14[Measure]=V$4)*(F_RT14[PrjId]=PptoSty[[#This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77" s="206" cm="1">
        <f t="array" ref="W177">IFERROR((1/PptoSty[[#This Row],[Division]])*IF(PptoSty[[#This Row],[Sign]]="+",1,-1)*(IF(PptoSty[[#This Row],[POvsCT]]="PO",SUM(_xlfn.CHOOSECOLS(_xlfn._xlws.FILTER(F_RT14[],(IF($M177="X",TRUE,F_RT14[Site]=$M177))*(F_RT14[Measure]=W$4)*(F_RT14[PrjId]=PptoSty[[#This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1112.31</v>
      </c>
      <c r="X177" s="338" cm="1">
        <f t="array" ref="X177">IFERROR(IF(PptoSty[[#This Row],[Nature]]&lt;&gt;"Hrs",0,(1/PptoSty[[#This Row],[Division]])*IF(PptoSty[[#This Row],[Sign]]="+",1,-1)*(IF(PptoSty[[#This Row],[POvsCT]]="PO",SUM(_xlfn.CHOOSECOLS(_xlfn._xlws.FILTER(F_RT14[],(IF($M177="X",TRUE,F_RT14[Site]=$M177))*(F_RT14[Measure]=X$4)*(F_RT14[PrjId]=PptoSty[[#This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77" s="338" cm="1">
        <f t="array" ref="Y177">IFERROR(IF(PptoSty[[#This Row],[Nature]]&lt;&gt;"Hrs",0,(1/PptoSty[[#This Row],[Division]])*IF(PptoSty[[#This Row],[Sign]]="+",1,-1)*(IF(PptoSty[[#This Row],[POvsCT]]="PO",SUM(_xlfn.CHOOSECOLS(_xlfn._xlws.FILTER(F_RT14[],(IF($M177="X",TRUE,F_RT14[Site]=$M177))*(F_RT14[Measure]=Y$4)*(F_RT14[PrjId]=PptoSty[[#This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77" s="338" cm="1">
        <f t="array" ref="Z177">IFERROR(IF(PptoSty[[#This Row],[Nature]]&lt;&gt;"Hrs",0,(1/PptoSty[[#This Row],[Division]])*IF(PptoSty[[#This Row],[Sign]]="+",1,-1)*(IF(PptoSty[[#This Row],[POvsCT]]="PO",SUM(_xlfn.CHOOSECOLS(_xlfn._xlws.FILTER(F_RT14[],(IF($M177="X",TRUE,F_RT14[Site]=$M177))*(F_RT14[Measure]=Z$4)*(F_RT14[PrjId]=PptoSty[[#This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77" s="206" cm="1">
        <f t="array" aca="1" ref="AA177"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54211.939999999995</v>
      </c>
      <c r="AB177" s="206" cm="1">
        <f t="array" aca="1" ref="AB177"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77" s="206" cm="1">
        <f t="array" aca="1" ref="AC177"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54211.939999999995</v>
      </c>
      <c r="AG177"/>
      <c r="AH177"/>
      <c r="AI177"/>
      <c r="AK177" s="113"/>
      <c r="AO177"/>
      <c r="AP177"/>
      <c r="AZ177" s="175"/>
      <c r="BA177" s="175"/>
      <c r="BE177"/>
      <c r="BF177"/>
      <c r="DG177" s="175"/>
      <c r="DH177" s="175"/>
      <c r="DI177" s="175"/>
      <c r="DL177" s="108"/>
      <c r="DM177" s="366" t="str" cm="1">
        <f t="array" aca="1" ref="DM17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DN177:DW177</v>
      </c>
      <c r="DN177" s="177" t="s">
        <v>375</v>
      </c>
      <c r="DO177" s="177" t="str" cm="1">
        <f t="array" aca="1" ref="DO177:DW17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177" s="177" t="str">
        <f ca="1"/>
        <v>DISEÑO MECÁNICO</v>
      </c>
      <c r="DQ177" s="177" t="str">
        <f ca="1"/>
        <v>FABRICACIÓN ELÉCTRICA</v>
      </c>
      <c r="DR177" s="177" t="str">
        <f ca="1"/>
        <v>FABRICACIÓN MECÁNICA</v>
      </c>
      <c r="DS177" s="177" t="str">
        <f ca="1"/>
        <v>INSTALACIÓN ENR</v>
      </c>
      <c r="DT177" s="177" t="str">
        <f ca="1"/>
        <v>MATERIAL ELÉCTRICO +%</v>
      </c>
      <c r="DU177" s="177" t="str">
        <f ca="1"/>
        <v>MATERIAL FLUIDOS +%</v>
      </c>
      <c r="DV177" s="177" t="str">
        <f ca="1"/>
        <v>MATERIAL MECÁNICO +%</v>
      </c>
      <c r="DW177" s="177" t="str">
        <f ca="1"/>
        <v>MONTAJE MECÁNICO</v>
      </c>
      <c r="DX177" s="177"/>
      <c r="DY177" s="177"/>
      <c r="DZ177" s="177"/>
      <c r="EA177" s="177"/>
      <c r="EB177" s="177"/>
      <c r="EC177" s="177"/>
      <c r="ED177" s="177"/>
    </row>
    <row r="178" spans="3:134" ht="13" customHeight="1">
      <c r="C178" s="356">
        <v>45595</v>
      </c>
      <c r="D178" s="213" t="s">
        <v>2114</v>
      </c>
      <c r="E178" s="356" t="s">
        <v>1710</v>
      </c>
      <c r="F178" s="219" t="s">
        <v>375</v>
      </c>
      <c r="G178" s="201" t="s">
        <v>1415</v>
      </c>
      <c r="H178" s="202">
        <v>16</v>
      </c>
      <c r="I178" s="339" t="str" cm="1">
        <f t="array" aca="1" ref="I17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E001</v>
      </c>
      <c r="J178" s="203" t="str" cm="1">
        <f t="array" ref="J178">IF(OR(PptoSty[[#This Row],[Project]]="",PptoSty[[#This Row],[Project]]="X"),"X",_xlfn.UNIQUE(_xlfn._xlws.FILTER(CstGrpS[Nature],ISNUMBER(FIND(SUBSTITUTE(PptoSty[[#This Row],[PiColumn]]," +%",""),UPPER(SUBSTITUTE(CstGrpS[GrpPrv],"  "," ")))),"X")))</f>
        <v>Mat</v>
      </c>
      <c r="K178" s="96" t="s">
        <v>362</v>
      </c>
      <c r="L178" s="96" t="s">
        <v>1646</v>
      </c>
      <c r="M178" s="96" t="s">
        <v>28</v>
      </c>
      <c r="N178" s="96" t="str" cm="1">
        <f t="array" ref="N178">IF(OR(PptoSty[[#This Row],[Project]]="",PptoSty[[#This Row],[Project]]="X"),"X",_xlfn._xlws.FILTER(TbAssign[RowId],(TbAssign[Project]=PptoSty[[#This Row],[Project]])*(TbAssign[Módulo]=PptoSty[[#This Row],[PptoVsRow]]),"X"))</f>
        <v>XD02</v>
      </c>
      <c r="O178" s="96" t="str" cm="1">
        <f t="array" ref="O178">IF(OR(PptoSty[[#This Row],[Project]]="",PptoSty[[#This Row],[Project]]="X"),"X",_xlfn.UNIQUE(_xlfn._xlws.FILTER(F_RT14[Amortz.],(F_RT14[Measure]="CurPpto")*(F_RT14[PrjId]=PptoSty[[#This Row],[Project]])*(F_RT14[Vrs]=PptoSty[[#This Row],[Vrs]])*(_xlfn.TEXTAFTER(F_RT14[ActGrp],":")=PptoSty[[#This Row],[PiRow]]),"X")))</f>
        <v>CELL</v>
      </c>
      <c r="P178" s="96" t="s">
        <v>1410</v>
      </c>
      <c r="Q178" s="96" t="s">
        <v>381</v>
      </c>
      <c r="R178" s="204" t="s">
        <v>1671</v>
      </c>
      <c r="S178" s="204">
        <v>1</v>
      </c>
      <c r="T178" s="205" t="str" cm="1">
        <f t="array" aca="1" ref="T17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78" s="206" cm="1">
        <f t="array" ref="U178">IFERROR((1/PptoSty[[#This Row],[Division]])*IF(PptoSty[[#This Row],[Sign]]="+",1,-1)*(IF(PptoSty[[#This Row],[POvsCT]]="PO",SUM(_xlfn.CHOOSECOLS(_xlfn._xlws.FILTER(F_RT14[],(IF($M178="X",TRUE,F_RT14[Site]=$M178))*(F_RT14[Measure]=U$4)*(F_RT14[PrjId]=PptoSty[[#This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-698.88</v>
      </c>
      <c r="V178" s="206" cm="1">
        <f t="array" ref="V178">IFERROR((1/PptoSty[[#This Row],[Division]])*IF(PptoSty[[#This Row],[Sign]]="+",1,-1)*(IF(PptoSty[[#This Row],[POvsCT]]="PO",SUM(_xlfn.CHOOSECOLS(_xlfn._xlws.FILTER(F_RT14[],(IF($M178="X",TRUE,F_RT14[Site]=$M178))*(F_RT14[Measure]=V$4)*(F_RT14[PrjId]=PptoSty[[#This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78" s="206" cm="1">
        <f t="array" ref="W178">IFERROR((1/PptoSty[[#This Row],[Division]])*IF(PptoSty[[#This Row],[Sign]]="+",1,-1)*(IF(PptoSty[[#This Row],[POvsCT]]="PO",SUM(_xlfn.CHOOSECOLS(_xlfn._xlws.FILTER(F_RT14[],(IF($M178="X",TRUE,F_RT14[Site]=$M178))*(F_RT14[Measure]=W$4)*(F_RT14[PrjId]=PptoSty[[#This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-698.88</v>
      </c>
      <c r="X178" s="338" cm="1">
        <f t="array" ref="X178">IFERROR(IF(PptoSty[[#This Row],[Nature]]&lt;&gt;"Hrs",0,(1/PptoSty[[#This Row],[Division]])*IF(PptoSty[[#This Row],[Sign]]="+",1,-1)*(IF(PptoSty[[#This Row],[POvsCT]]="PO",SUM(_xlfn.CHOOSECOLS(_xlfn._xlws.FILTER(F_RT14[],(IF($M178="X",TRUE,F_RT14[Site]=$M178))*(F_RT14[Measure]=X$4)*(F_RT14[PrjId]=PptoSty[[#This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78" s="338" cm="1">
        <f t="array" ref="Y178">IFERROR(IF(PptoSty[[#This Row],[Nature]]&lt;&gt;"Hrs",0,(1/PptoSty[[#This Row],[Division]])*IF(PptoSty[[#This Row],[Sign]]="+",1,-1)*(IF(PptoSty[[#This Row],[POvsCT]]="PO",SUM(_xlfn.CHOOSECOLS(_xlfn._xlws.FILTER(F_RT14[],(IF($M178="X",TRUE,F_RT14[Site]=$M178))*(F_RT14[Measure]=Y$4)*(F_RT14[PrjId]=PptoSty[[#This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78" s="338" cm="1">
        <f t="array" ref="Z178">IFERROR(IF(PptoSty[[#This Row],[Nature]]&lt;&gt;"Hrs",0,(1/PptoSty[[#This Row],[Division]])*IF(PptoSty[[#This Row],[Sign]]="+",1,-1)*(IF(PptoSty[[#This Row],[POvsCT]]="PO",SUM(_xlfn.CHOOSECOLS(_xlfn._xlws.FILTER(F_RT14[],(IF($M178="X",TRUE,F_RT14[Site]=$M178))*(F_RT14[Measure]=Z$4)*(F_RT14[PrjId]=PptoSty[[#This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78" s="206" cm="1">
        <f t="array" aca="1" ref="AA178"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-690.29123711340196</v>
      </c>
      <c r="AB178" s="206" cm="1">
        <f t="array" aca="1" ref="AB178"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1.177877790000025</v>
      </c>
      <c r="AC178" s="206" cm="1">
        <f t="array" aca="1" ref="AC178"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-691.33934901000009</v>
      </c>
      <c r="AG178"/>
      <c r="AH178"/>
      <c r="AI178"/>
      <c r="AK178" s="113"/>
      <c r="AO178"/>
      <c r="AP178"/>
      <c r="AZ178" s="175"/>
      <c r="BA178" s="175"/>
      <c r="BE178"/>
      <c r="BF178"/>
      <c r="DG178" s="175"/>
      <c r="DH178" s="175"/>
      <c r="DI178" s="175"/>
      <c r="DL178" s="108"/>
      <c r="DM178" s="366" t="str" cm="1">
        <f t="array" aca="1" ref="DM17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DN178:DP178</v>
      </c>
      <c r="DN178" s="177" t="s">
        <v>375</v>
      </c>
      <c r="DO178" s="177" t="str" cm="1">
        <f t="array" aca="1" ref="DO178:DP17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FABRICACIÓN ELÉCTRICA</v>
      </c>
      <c r="DP178" s="177" t="str">
        <f ca="1"/>
        <v>MATERIAL ELÉCTRICO +%</v>
      </c>
      <c r="DQ178" s="177"/>
      <c r="DR178" s="177"/>
      <c r="DS178" s="177"/>
      <c r="DT178" s="177"/>
      <c r="DU178" s="177"/>
      <c r="DV178" s="177"/>
      <c r="DW178" s="177"/>
      <c r="DX178" s="177"/>
      <c r="DY178" s="177"/>
      <c r="DZ178" s="177"/>
      <c r="EA178" s="177"/>
      <c r="EB178" s="177"/>
      <c r="EC178" s="177"/>
      <c r="ED178" s="177"/>
    </row>
    <row r="179" spans="3:134" ht="13" customHeight="1">
      <c r="C179" s="356">
        <v>45595</v>
      </c>
      <c r="D179" s="213" t="s">
        <v>2114</v>
      </c>
      <c r="E179" s="356" t="s">
        <v>1710</v>
      </c>
      <c r="F179" s="219" t="s">
        <v>375</v>
      </c>
      <c r="G179" s="201" t="s">
        <v>1415</v>
      </c>
      <c r="H179" s="202">
        <v>16</v>
      </c>
      <c r="I179" s="339" t="str" cm="1">
        <f t="array" aca="1" ref="I17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179" s="203" t="str" cm="1">
        <f t="array" ref="J179">IF(OR(PptoSty[[#This Row],[Project]]="",PptoSty[[#This Row],[Project]]="X"),"X",_xlfn.UNIQUE(_xlfn._xlws.FILTER(CstGrpS[Nature],ISNUMBER(FIND(SUBSTITUTE(PptoSty[[#This Row],[PiColumn]]," +%",""),UPPER(SUBSTITUTE(CstGrpS[GrpPrv],"  "," ")))),"X")))</f>
        <v>Mat</v>
      </c>
      <c r="K179" s="96" t="s">
        <v>1629</v>
      </c>
      <c r="L179" s="96" t="s">
        <v>1646</v>
      </c>
      <c r="M179" s="96" t="s">
        <v>28</v>
      </c>
      <c r="N179" s="96" t="str" cm="1">
        <f t="array" ref="N179">IF(OR(PptoSty[[#This Row],[Project]]="",PptoSty[[#This Row],[Project]]="X"),"X",_xlfn._xlws.FILTER(TbAssign[RowId],(TbAssign[Project]=PptoSty[[#This Row],[Project]])*(TbAssign[Módulo]=PptoSty[[#This Row],[PptoVsRow]]),"X"))</f>
        <v>XD01</v>
      </c>
      <c r="O179" s="96" t="str" cm="1">
        <f t="array" ref="O179">IF(OR(PptoSty[[#This Row],[Project]]="",PptoSty[[#This Row],[Project]]="X"),"X",_xlfn.UNIQUE(_xlfn._xlws.FILTER(F_RT14[Amortz.],(F_RT14[Measure]="CurPpto")*(F_RT14[PrjId]=PptoSty[[#This Row],[Project]])*(F_RT14[Vrs]=PptoSty[[#This Row],[Vrs]])*(_xlfn.TEXTAFTER(F_RT14[ActGrp],":")=PptoSty[[#This Row],[PiRow]]),"X")))</f>
        <v>TOOL</v>
      </c>
      <c r="P179" s="96" t="s">
        <v>1475</v>
      </c>
      <c r="Q179" s="96" t="s">
        <v>1275</v>
      </c>
      <c r="R179" s="204" t="s">
        <v>403</v>
      </c>
      <c r="S179" s="204">
        <v>1</v>
      </c>
      <c r="T179" s="205" cm="1">
        <f t="array" aca="1" ref="T17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179" s="206" cm="1">
        <f t="array" ref="U179">IFERROR((1/PptoSty[[#This Row],[Division]])*IF(PptoSty[[#This Row],[Sign]]="+",1,-1)*(IF(PptoSty[[#This Row],[POvsCT]]="PO",SUM(_xlfn.CHOOSECOLS(_xlfn._xlws.FILTER(F_RT14[],(IF($M179="X",TRUE,F_RT14[Site]=$M179))*(F_RT14[Measure]=U$4)*(F_RT14[PrjId]=PptoSty[[#This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15909.51</v>
      </c>
      <c r="V179" s="206" cm="1">
        <f t="array" ref="V179">IFERROR((1/PptoSty[[#This Row],[Division]])*IF(PptoSty[[#This Row],[Sign]]="+",1,-1)*(IF(PptoSty[[#This Row],[POvsCT]]="PO",SUM(_xlfn.CHOOSECOLS(_xlfn._xlws.FILTER(F_RT14[],(IF($M179="X",TRUE,F_RT14[Site]=$M179))*(F_RT14[Measure]=V$4)*(F_RT14[PrjId]=PptoSty[[#This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79" s="206" cm="1">
        <f t="array" ref="W179">IFERROR((1/PptoSty[[#This Row],[Division]])*IF(PptoSty[[#This Row],[Sign]]="+",1,-1)*(IF(PptoSty[[#This Row],[POvsCT]]="PO",SUM(_xlfn.CHOOSECOLS(_xlfn._xlws.FILTER(F_RT14[],(IF($M179="X",TRUE,F_RT14[Site]=$M179))*(F_RT14[Measure]=W$4)*(F_RT14[PrjId]=PptoSty[[#This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15909.51</v>
      </c>
      <c r="X179" s="338" cm="1">
        <f t="array" ref="X179">IFERROR(IF(PptoSty[[#This Row],[Nature]]&lt;&gt;"Hrs",0,(1/PptoSty[[#This Row],[Division]])*IF(PptoSty[[#This Row],[Sign]]="+",1,-1)*(IF(PptoSty[[#This Row],[POvsCT]]="PO",SUM(_xlfn.CHOOSECOLS(_xlfn._xlws.FILTER(F_RT14[],(IF($M179="X",TRUE,F_RT14[Site]=$M179))*(F_RT14[Measure]=X$4)*(F_RT14[PrjId]=PptoSty[[#This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79" s="338" cm="1">
        <f t="array" ref="Y179">IFERROR(IF(PptoSty[[#This Row],[Nature]]&lt;&gt;"Hrs",0,(1/PptoSty[[#This Row],[Division]])*IF(PptoSty[[#This Row],[Sign]]="+",1,-1)*(IF(PptoSty[[#This Row],[POvsCT]]="PO",SUM(_xlfn.CHOOSECOLS(_xlfn._xlws.FILTER(F_RT14[],(IF($M179="X",TRUE,F_RT14[Site]=$M179))*(F_RT14[Measure]=Y$4)*(F_RT14[PrjId]=PptoSty[[#This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79" s="338" cm="1">
        <f t="array" ref="Z179">IFERROR(IF(PptoSty[[#This Row],[Nature]]&lt;&gt;"Hrs",0,(1/PptoSty[[#This Row],[Division]])*IF(PptoSty[[#This Row],[Sign]]="+",1,-1)*(IF(PptoSty[[#This Row],[POvsCT]]="PO",SUM(_xlfn.CHOOSECOLS(_xlfn._xlws.FILTER(F_RT14[],(IF($M179="X",TRUE,F_RT14[Site]=$M179))*(F_RT14[Measure]=Z$4)*(F_RT14[PrjId]=PptoSty[[#This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79" s="206" cm="1">
        <f t="array" aca="1" ref="AA179"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110165.53000000001</v>
      </c>
      <c r="AB179" s="206" cm="1">
        <f t="array" aca="1" ref="AB179"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79" s="206" cm="1">
        <f t="array" aca="1" ref="AC179"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110165.53000000001</v>
      </c>
      <c r="AG179"/>
      <c r="AH179"/>
      <c r="AI179"/>
      <c r="AK179" s="113"/>
      <c r="AO179"/>
      <c r="AP179"/>
      <c r="AZ179" s="175"/>
      <c r="BA179" s="175"/>
      <c r="BE179"/>
      <c r="BF179"/>
      <c r="DG179" s="175"/>
      <c r="DH179" s="175"/>
      <c r="DI179" s="175"/>
      <c r="DL179" s="108"/>
      <c r="DM179" s="366" t="str" cm="1">
        <f t="array" aca="1" ref="DM179"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DN179:DV179</v>
      </c>
      <c r="DN179" s="177" t="s">
        <v>375</v>
      </c>
      <c r="DO179" s="177" t="str" cm="1">
        <f t="array" aca="1" ref="DO179:DV179"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179" s="177" t="str">
        <f ca="1"/>
        <v>DISEÑO MECÁNICO</v>
      </c>
      <c r="DQ179" s="177" t="str">
        <f ca="1"/>
        <v>FABRICACIÓN MECÁNICA</v>
      </c>
      <c r="DR179" s="177" t="str">
        <f ca="1"/>
        <v>MATERIAL ELÉCTRICO +%</v>
      </c>
      <c r="DS179" s="177" t="str">
        <f ca="1"/>
        <v>MATERIAL FLUIDOS +%</v>
      </c>
      <c r="DT179" s="177" t="str">
        <f ca="1"/>
        <v>MATERIAL MECÁNICO +%</v>
      </c>
      <c r="DU179" s="177" t="str">
        <f ca="1"/>
        <v>METROLOGÍA</v>
      </c>
      <c r="DV179" s="177" t="str">
        <f ca="1"/>
        <v>MONTAJE MECÁNICO</v>
      </c>
      <c r="DW179" s="177"/>
      <c r="DX179" s="177"/>
      <c r="DY179" s="177"/>
      <c r="DZ179" s="177"/>
      <c r="EA179" s="177"/>
      <c r="EB179" s="177"/>
      <c r="EC179" s="177"/>
      <c r="ED179" s="177"/>
    </row>
    <row r="180" spans="3:134" ht="13" customHeight="1">
      <c r="C180" s="356">
        <v>45595</v>
      </c>
      <c r="D180" s="213" t="s">
        <v>2114</v>
      </c>
      <c r="E180" s="356" t="s">
        <v>1710</v>
      </c>
      <c r="F180" s="219" t="s">
        <v>375</v>
      </c>
      <c r="G180" s="201" t="s">
        <v>1415</v>
      </c>
      <c r="H180" s="202">
        <v>16</v>
      </c>
      <c r="I180" s="339" t="str" cm="1">
        <f t="array" aca="1" ref="I18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X001</v>
      </c>
      <c r="J180" s="203" t="str" cm="1">
        <f t="array" ref="J180">IF(OR(PptoSty[[#This Row],[Project]]="",PptoSty[[#This Row],[Project]]="X"),"X",_xlfn.UNIQUE(_xlfn._xlws.FILTER(CstGrpS[Nature],ISNUMBER(FIND(SUBSTITUTE(PptoSty[[#This Row],[PiColumn]]," +%",""),UPPER(SUBSTITUTE(CstGrpS[GrpPrv],"  "," ")))),"X")))</f>
        <v>Mat</v>
      </c>
      <c r="K180" s="96" t="s">
        <v>1629</v>
      </c>
      <c r="L180" s="96" t="s">
        <v>1647</v>
      </c>
      <c r="M180" s="96" t="s">
        <v>28</v>
      </c>
      <c r="N180" s="96" t="str" cm="1">
        <f t="array" ref="N180">IF(OR(PptoSty[[#This Row],[Project]]="",PptoSty[[#This Row],[Project]]="X"),"X",_xlfn._xlws.FILTER(TbAssign[RowId],(TbAssign[Project]=PptoSty[[#This Row],[Project]])*(TbAssign[Módulo]=PptoSty[[#This Row],[PptoVsRow]]),"X"))</f>
        <v>XD01</v>
      </c>
      <c r="O180" s="96" t="str" cm="1">
        <f t="array" ref="O180">IF(OR(PptoSty[[#This Row],[Project]]="",PptoSty[[#This Row],[Project]]="X"),"X",_xlfn.UNIQUE(_xlfn._xlws.FILTER(F_RT14[Amortz.],(F_RT14[Measure]="CurPpto")*(F_RT14[PrjId]=PptoSty[[#This Row],[Project]])*(F_RT14[Vrs]=PptoSty[[#This Row],[Vrs]])*(_xlfn.TEXTAFTER(F_RT14[ActGrp],":")=PptoSty[[#This Row],[PiRow]]),"X")))</f>
        <v>TOOL</v>
      </c>
      <c r="P180" s="96" t="s">
        <v>1475</v>
      </c>
      <c r="Q180" s="96" t="s">
        <v>385</v>
      </c>
      <c r="R180" s="204" t="s">
        <v>403</v>
      </c>
      <c r="S180" s="204">
        <v>1</v>
      </c>
      <c r="T180" s="205" cm="1">
        <f t="array" aca="1" ref="T18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0</v>
      </c>
      <c r="U180" s="206" cm="1">
        <f t="array" ref="U180">IFERROR((1/PptoSty[[#This Row],[Division]])*IF(PptoSty[[#This Row],[Sign]]="+",1,-1)*(IF(PptoSty[[#This Row],[POvsCT]]="PO",SUM(_xlfn.CHOOSECOLS(_xlfn._xlws.FILTER(F_RT14[],(IF($M180="X",TRUE,F_RT14[Site]=$M180))*(F_RT14[Measure]=U$4)*(F_RT14[PrjId]=PptoSty[[#This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14781.05</v>
      </c>
      <c r="V180" s="206" cm="1">
        <f t="array" ref="V180">IFERROR((1/PptoSty[[#This Row],[Division]])*IF(PptoSty[[#This Row],[Sign]]="+",1,-1)*(IF(PptoSty[[#This Row],[POvsCT]]="PO",SUM(_xlfn.CHOOSECOLS(_xlfn._xlws.FILTER(F_RT14[],(IF($M180="X",TRUE,F_RT14[Site]=$M180))*(F_RT14[Measure]=V$4)*(F_RT14[PrjId]=PptoSty[[#This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80" s="206" cm="1">
        <f t="array" ref="W180">IFERROR((1/PptoSty[[#This Row],[Division]])*IF(PptoSty[[#This Row],[Sign]]="+",1,-1)*(IF(PptoSty[[#This Row],[POvsCT]]="PO",SUM(_xlfn.CHOOSECOLS(_xlfn._xlws.FILTER(F_RT14[],(IF($M180="X",TRUE,F_RT14[Site]=$M180))*(F_RT14[Measure]=W$4)*(F_RT14[PrjId]=PptoSty[[#This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14781.05</v>
      </c>
      <c r="X180" s="338" cm="1">
        <f t="array" ref="X180">IFERROR(IF(PptoSty[[#This Row],[Nature]]&lt;&gt;"Hrs",0,(1/PptoSty[[#This Row],[Division]])*IF(PptoSty[[#This Row],[Sign]]="+",1,-1)*(IF(PptoSty[[#This Row],[POvsCT]]="PO",SUM(_xlfn.CHOOSECOLS(_xlfn._xlws.FILTER(F_RT14[],(IF($M180="X",TRUE,F_RT14[Site]=$M180))*(F_RT14[Measure]=X$4)*(F_RT14[PrjId]=PptoSty[[#This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80" s="338" cm="1">
        <f t="array" ref="Y180">IFERROR(IF(PptoSty[[#This Row],[Nature]]&lt;&gt;"Hrs",0,(1/PptoSty[[#This Row],[Division]])*IF(PptoSty[[#This Row],[Sign]]="+",1,-1)*(IF(PptoSty[[#This Row],[POvsCT]]="PO",SUM(_xlfn.CHOOSECOLS(_xlfn._xlws.FILTER(F_RT14[],(IF($M180="X",TRUE,F_RT14[Site]=$M180))*(F_RT14[Measure]=Y$4)*(F_RT14[PrjId]=PptoSty[[#This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80" s="338" cm="1">
        <f t="array" ref="Z180">IFERROR(IF(PptoSty[[#This Row],[Nature]]&lt;&gt;"Hrs",0,(1/PptoSty[[#This Row],[Division]])*IF(PptoSty[[#This Row],[Sign]]="+",1,-1)*(IF(PptoSty[[#This Row],[POvsCT]]="PO",SUM(_xlfn.CHOOSECOLS(_xlfn._xlws.FILTER(F_RT14[],(IF($M180="X",TRUE,F_RT14[Site]=$M180))*(F_RT14[Measure]=Z$4)*(F_RT14[PrjId]=PptoSty[[#This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80" s="206" cm="1">
        <f t="array" aca="1" ref="AA180"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109931.56999999999</v>
      </c>
      <c r="AB180" s="206" cm="1">
        <f t="array" aca="1" ref="AB180"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80" s="206" cm="1">
        <f t="array" aca="1" ref="AC180"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109931.56999999999</v>
      </c>
      <c r="AG180"/>
      <c r="AH180"/>
      <c r="AI180"/>
      <c r="AK180" s="113"/>
      <c r="AO180"/>
      <c r="AP180"/>
      <c r="AZ180" s="175"/>
      <c r="BA180" s="175"/>
      <c r="BE180"/>
      <c r="BF180"/>
      <c r="DG180" s="175"/>
      <c r="DH180" s="175"/>
      <c r="DI180" s="175"/>
      <c r="DL180" s="108"/>
      <c r="DM180" s="366" t="str" cm="1">
        <f t="array" aca="1" ref="DM180"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DN180:DV180</v>
      </c>
      <c r="DN180" s="177" t="s">
        <v>375</v>
      </c>
      <c r="DO180" s="177" t="str" cm="1">
        <f t="array" aca="1" ref="DO180:DV180"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DISEÑO FLUIDOS</v>
      </c>
      <c r="DP180" s="177" t="str">
        <f ca="1"/>
        <v>DISEÑO MECÁNICO</v>
      </c>
      <c r="DQ180" s="177" t="str">
        <f ca="1"/>
        <v>FABRICACIÓN MECÁNICA</v>
      </c>
      <c r="DR180" s="177" t="str">
        <f ca="1"/>
        <v>MATERIAL ELÉCTRICO +%</v>
      </c>
      <c r="DS180" s="177" t="str">
        <f ca="1"/>
        <v>MATERIAL FLUIDOS +%</v>
      </c>
      <c r="DT180" s="177" t="str">
        <f ca="1"/>
        <v>MATERIAL MECÁNICO +%</v>
      </c>
      <c r="DU180" s="177" t="str">
        <f ca="1"/>
        <v>METROLOGÍA</v>
      </c>
      <c r="DV180" s="177" t="str">
        <f ca="1"/>
        <v>MONTAJE MECÁNICO</v>
      </c>
      <c r="DW180" s="177"/>
      <c r="DX180" s="177"/>
      <c r="DY180" s="177"/>
      <c r="DZ180" s="177"/>
      <c r="EA180" s="177"/>
      <c r="EB180" s="177"/>
      <c r="EC180" s="177"/>
      <c r="ED180" s="177"/>
    </row>
    <row r="181" spans="3:134" ht="13" customHeight="1">
      <c r="C181" s="200">
        <v>45594</v>
      </c>
      <c r="D181" s="213" t="s">
        <v>2114</v>
      </c>
      <c r="E181" s="200" t="s">
        <v>1711</v>
      </c>
      <c r="F181" s="220">
        <v>3</v>
      </c>
      <c r="G181" s="201" t="s">
        <v>1415</v>
      </c>
      <c r="H181" s="202" t="s">
        <v>375</v>
      </c>
      <c r="I181" s="339" t="str" cm="1">
        <f t="array" aca="1" ref="I18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81" s="203" t="str" cm="1">
        <f t="array" ref="J181">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Mat</v>
      </c>
      <c r="K181" s="96" t="s">
        <v>375</v>
      </c>
      <c r="L181" s="96" t="s">
        <v>374</v>
      </c>
      <c r="M181" s="96" t="s">
        <v>375</v>
      </c>
      <c r="N181" s="96" t="str" cm="1">
        <f t="array" ref="N181">IF(OR(PptoSty[[#This Row],[Project]]="",PptoSty[[#This Row],[Project]]="X"),"X",_xlfn._xlws.FILTER(TbAssign[RowId],(TbAssign[Project]=PptoSty[[#This Row],[Project]])*(TbAssign[Módulo]=PptoSty[[#This Row],[PptoVsRow]]),"X"))</f>
        <v>XC01</v>
      </c>
      <c r="O181" s="96" t="str" cm="1">
        <f t="array" ref="O181">IF(OR(PptoSty[[#This Row],[Project]]="",PptoSty[[#This Row],[Project]]="X"),"X",_xlfn.UNIQUE(_xlfn._xlws.FILTER(F_RT14[Amortz.],(F_RT14[Measure]="CurPpto")*(F_RT14[PrjId]=PptoSty[[#This Row],[Project]])*(F_RT14[Vrs]=PptoSty[[#This Row],[Vrs]])*(_xlfn.TEXTAFTER(F_RT14[ActGrp],":")=PptoSty[[#This Row],[PiRow]]),"X")))</f>
        <v>X</v>
      </c>
      <c r="P181" s="96" t="s">
        <v>362</v>
      </c>
      <c r="Q181" s="96" t="s">
        <v>1275</v>
      </c>
      <c r="R181" s="204" t="s">
        <v>403</v>
      </c>
      <c r="S181" s="204">
        <v>1</v>
      </c>
      <c r="T181" s="205" t="str" cm="1">
        <f t="array" aca="1" ref="T18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81" s="206" t="str" cm="1">
        <f t="array" aca="1" ref="U181" ca="1">IFERROR((1/PptoSty[[#This Row],[Division]])*IF(PptoSty[[#This Row],[Sign]]="+",1,-1)*(IF(PptoSty[[#This Row],[POvsCT]]="PO",SUM(_xlfn.CHOOSECOLS(_xlfn._xlws.FILTER(F_RT14[],(IF($M181="X",TRUE,F_RT14[Site]=$M181))*(F_RT14[Measure]=U$4)*(F_RT14[PrjId]=PptoSty[[#This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81" s="206" cm="1">
        <f t="array" aca="1" ref="V181" ca="1">IFERROR((1/PptoSty[[#This Row],[Division]])*IF(PptoSty[[#This Row],[Sign]]="+",1,-1)*(IF(PptoSty[[#This Row],[POvsCT]]="PO",SUM(_xlfn.CHOOSECOLS(_xlfn._xlws.FILTER(F_RT14[],(IF($M181="X",TRUE,F_RT14[Site]=$M181))*(F_RT14[Measure]=V$4)*(F_RT14[PrjId]=PptoSty[[#This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81" s="206" cm="1">
        <f t="array" aca="1" ref="W181" ca="1">IFERROR((1/PptoSty[[#This Row],[Division]])*IF(PptoSty[[#This Row],[Sign]]="+",1,-1)*(IF(PptoSty[[#This Row],[POvsCT]]="PO",SUM(_xlfn.CHOOSECOLS(_xlfn._xlws.FILTER(F_RT14[],(IF($M181="X",TRUE,F_RT14[Site]=$M181))*(F_RT14[Measure]=W$4)*(F_RT14[PrjId]=PptoSty[[#This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81" s="338" cm="1">
        <f t="array" ref="X181">IFERROR(IF(PptoSty[[#This Row],[Nature]]&lt;&gt;"Hrs",0,(1/PptoSty[[#This Row],[Division]])*IF(PptoSty[[#This Row],[Sign]]="+",1,-1)*(IF(PptoSty[[#This Row],[POvsCT]]="PO",SUM(_xlfn.CHOOSECOLS(_xlfn._xlws.FILTER(F_RT14[],(IF($M181="X",TRUE,F_RT14[Site]=$M181))*(F_RT14[Measure]=X$4)*(F_RT14[PrjId]=PptoSty[[#This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81" s="338" cm="1">
        <f t="array" ref="Y181">IFERROR(IF(PptoSty[[#This Row],[Nature]]&lt;&gt;"Hrs",0,(1/PptoSty[[#This Row],[Division]])*IF(PptoSty[[#This Row],[Sign]]="+",1,-1)*(IF(PptoSty[[#This Row],[POvsCT]]="PO",SUM(_xlfn.CHOOSECOLS(_xlfn._xlws.FILTER(F_RT14[],(IF($M181="X",TRUE,F_RT14[Site]=$M181))*(F_RT14[Measure]=Y$4)*(F_RT14[PrjId]=PptoSty[[#This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81" s="338" cm="1">
        <f t="array" ref="Z181">IFERROR(IF(PptoSty[[#This Row],[Nature]]&lt;&gt;"Hrs",0,(1/PptoSty[[#This Row],[Division]])*IF(PptoSty[[#This Row],[Sign]]="+",1,-1)*(IF(PptoSty[[#This Row],[POvsCT]]="PO",SUM(_xlfn.CHOOSECOLS(_xlfn._xlws.FILTER(F_RT14[],(IF($M181="X",TRUE,F_RT14[Site]=$M181))*(F_RT14[Measure]=Z$4)*(F_RT14[PrjId]=PptoSty[[#This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81" s="206" cm="1">
        <f t="array" aca="1" ref="AA181"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242006.39</v>
      </c>
      <c r="AB181" s="206" cm="1">
        <f t="array" aca="1" ref="AB181"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81" s="206" cm="1">
        <f t="array" aca="1" ref="AC181"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242006.39</v>
      </c>
      <c r="AG181"/>
      <c r="AH181"/>
      <c r="AI181"/>
      <c r="AK181" s="113"/>
      <c r="AO181"/>
      <c r="AP181"/>
      <c r="AZ181" s="175"/>
      <c r="BA181" s="175"/>
      <c r="BE181"/>
      <c r="BF181"/>
      <c r="DG181" s="175"/>
      <c r="DH181" s="175"/>
      <c r="DI181" s="175"/>
      <c r="DL181" s="108"/>
      <c r="DM181" s="366" t="str" cm="1">
        <f t="array" aca="1" ref="DM181"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DN181:DO181</v>
      </c>
      <c r="DN181" s="177" t="s">
        <v>375</v>
      </c>
      <c r="DO181" s="177" t="str" cm="1">
        <f t="array" aca="1" ref="DO181"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81" s="177"/>
      <c r="DQ181" s="177"/>
      <c r="DR181" s="177"/>
      <c r="DS181" s="177"/>
      <c r="DT181" s="177"/>
      <c r="DU181" s="177"/>
      <c r="DV181" s="177"/>
      <c r="DW181" s="177"/>
      <c r="DX181" s="177"/>
      <c r="DY181" s="177"/>
      <c r="DZ181" s="177"/>
      <c r="EA181" s="177"/>
      <c r="EB181" s="177"/>
      <c r="EC181" s="177"/>
      <c r="ED181" s="177"/>
    </row>
    <row r="182" spans="3:134" ht="13" customHeight="1">
      <c r="C182" s="200">
        <v>45594</v>
      </c>
      <c r="D182" s="213" t="s">
        <v>2114</v>
      </c>
      <c r="E182" s="200" t="s">
        <v>1711</v>
      </c>
      <c r="F182" s="220">
        <v>9</v>
      </c>
      <c r="G182" s="201" t="s">
        <v>1415</v>
      </c>
      <c r="H182" s="202" t="s">
        <v>375</v>
      </c>
      <c r="I182" s="339" t="str" cm="1">
        <f t="array" aca="1" ref="I18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82" s="203" t="str" cm="1">
        <f t="array" ref="J182">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Gto</v>
      </c>
      <c r="K182" s="96" t="s">
        <v>375</v>
      </c>
      <c r="L182" s="96" t="s">
        <v>386</v>
      </c>
      <c r="M182" s="96" t="s">
        <v>375</v>
      </c>
      <c r="N182" s="96" t="str" cm="1">
        <f t="array" ref="N182">IF(OR(PptoSty[[#This Row],[Project]]="",PptoSty[[#This Row],[Project]]="X"),"X",_xlfn._xlws.FILTER(TbAssign[RowId],(TbAssign[Project]=PptoSty[[#This Row],[Project]])*(TbAssign[Módulo]=PptoSty[[#This Row],[PptoVsRow]]),"X"))</f>
        <v>XA02</v>
      </c>
      <c r="O182" s="96" t="str" cm="1">
        <f t="array" ref="O182">IF(OR(PptoSty[[#This Row],[Project]]="",PptoSty[[#This Row],[Project]]="X"),"X",_xlfn.UNIQUE(_xlfn._xlws.FILTER(F_RT14[Amortz.],(F_RT14[Measure]="CurPpto")*(F_RT14[PrjId]=PptoSty[[#This Row],[Project]])*(F_RT14[Vrs]=PptoSty[[#This Row],[Vrs]])*(_xlfn.TEXTAFTER(F_RT14[ActGrp],":")=PptoSty[[#This Row],[PiRow]]),"X")))</f>
        <v>X</v>
      </c>
      <c r="P182" s="96" t="s">
        <v>1243</v>
      </c>
      <c r="Q182" s="96" t="s">
        <v>386</v>
      </c>
      <c r="R182" s="204" t="s">
        <v>403</v>
      </c>
      <c r="S182" s="204">
        <v>1</v>
      </c>
      <c r="T182" s="205" t="str" cm="1">
        <f t="array" aca="1" ref="T18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82" s="206" t="str" cm="1">
        <f t="array" aca="1" ref="U182" ca="1">IFERROR((1/PptoSty[[#This Row],[Division]])*IF(PptoSty[[#This Row],[Sign]]="+",1,-1)*(IF(PptoSty[[#This Row],[POvsCT]]="PO",SUM(_xlfn.CHOOSECOLS(_xlfn._xlws.FILTER(F_RT14[],(IF($M182="X",TRUE,F_RT14[Site]=$M182))*(F_RT14[Measure]=U$4)*(F_RT14[PrjId]=PptoSty[[#This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82" s="206" cm="1">
        <f t="array" aca="1" ref="V182" ca="1">IFERROR((1/PptoSty[[#This Row],[Division]])*IF(PptoSty[[#This Row],[Sign]]="+",1,-1)*(IF(PptoSty[[#This Row],[POvsCT]]="PO",SUM(_xlfn.CHOOSECOLS(_xlfn._xlws.FILTER(F_RT14[],(IF($M182="X",TRUE,F_RT14[Site]=$M182))*(F_RT14[Measure]=V$4)*(F_RT14[PrjId]=PptoSty[[#This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82" s="206" cm="1">
        <f t="array" aca="1" ref="W182" ca="1">IFERROR((1/PptoSty[[#This Row],[Division]])*IF(PptoSty[[#This Row],[Sign]]="+",1,-1)*(IF(PptoSty[[#This Row],[POvsCT]]="PO",SUM(_xlfn.CHOOSECOLS(_xlfn._xlws.FILTER(F_RT14[],(IF($M182="X",TRUE,F_RT14[Site]=$M182))*(F_RT14[Measure]=W$4)*(F_RT14[PrjId]=PptoSty[[#This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82" s="338" cm="1">
        <f t="array" ref="X182">IFERROR(IF(PptoSty[[#This Row],[Nature]]&lt;&gt;"Hrs",0,(1/PptoSty[[#This Row],[Division]])*IF(PptoSty[[#This Row],[Sign]]="+",1,-1)*(IF(PptoSty[[#This Row],[POvsCT]]="PO",SUM(_xlfn.CHOOSECOLS(_xlfn._xlws.FILTER(F_RT14[],(IF($M182="X",TRUE,F_RT14[Site]=$M182))*(F_RT14[Measure]=X$4)*(F_RT14[PrjId]=PptoSty[[#This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82" s="338" cm="1">
        <f t="array" ref="Y182">IFERROR(IF(PptoSty[[#This Row],[Nature]]&lt;&gt;"Hrs",0,(1/PptoSty[[#This Row],[Division]])*IF(PptoSty[[#This Row],[Sign]]="+",1,-1)*(IF(PptoSty[[#This Row],[POvsCT]]="PO",SUM(_xlfn.CHOOSECOLS(_xlfn._xlws.FILTER(F_RT14[],(IF($M182="X",TRUE,F_RT14[Site]=$M182))*(F_RT14[Measure]=Y$4)*(F_RT14[PrjId]=PptoSty[[#This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82" s="338" cm="1">
        <f t="array" ref="Z182">IFERROR(IF(PptoSty[[#This Row],[Nature]]&lt;&gt;"Hrs",0,(1/PptoSty[[#This Row],[Division]])*IF(PptoSty[[#This Row],[Sign]]="+",1,-1)*(IF(PptoSty[[#This Row],[POvsCT]]="PO",SUM(_xlfn.CHOOSECOLS(_xlfn._xlws.FILTER(F_RT14[],(IF($M182="X",TRUE,F_RT14[Site]=$M182))*(F_RT14[Measure]=Z$4)*(F_RT14[PrjId]=PptoSty[[#This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82" s="206" cm="1">
        <f t="array" aca="1" ref="AA182"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182" s="206" cm="1">
        <f t="array" aca="1" ref="AB182"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82" s="206" cm="1">
        <f t="array" aca="1" ref="AC182"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182"/>
      <c r="AH182"/>
      <c r="AI182"/>
      <c r="AK182" s="113"/>
      <c r="AO182"/>
      <c r="AP182"/>
      <c r="AZ182" s="175"/>
      <c r="BA182" s="175"/>
      <c r="BE182"/>
      <c r="BF182"/>
      <c r="DG182" s="175"/>
      <c r="DH182" s="175"/>
      <c r="DI182" s="175"/>
      <c r="DL182" s="108"/>
      <c r="DM182" s="366" t="str" cm="1">
        <f t="array" aca="1" ref="DM182"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DN182:DO182</v>
      </c>
      <c r="DN182" s="177" t="s">
        <v>375</v>
      </c>
      <c r="DO182" s="177" t="str" cm="1">
        <f t="array" aca="1" ref="DO182"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82" s="177"/>
      <c r="DQ182" s="177"/>
      <c r="DR182" s="177"/>
      <c r="DS182" s="177"/>
      <c r="DT182" s="177"/>
      <c r="DU182" s="177"/>
      <c r="DV182" s="177"/>
      <c r="DW182" s="177"/>
      <c r="DX182" s="177"/>
      <c r="DY182" s="177"/>
      <c r="DZ182" s="177"/>
      <c r="EA182" s="177"/>
      <c r="EB182" s="177"/>
      <c r="EC182" s="177"/>
      <c r="ED182" s="177"/>
    </row>
    <row r="183" spans="3:134" ht="13" customHeight="1">
      <c r="C183" s="200">
        <v>45594</v>
      </c>
      <c r="D183" s="213" t="s">
        <v>2114</v>
      </c>
      <c r="E183" s="200" t="s">
        <v>1711</v>
      </c>
      <c r="F183" s="220">
        <v>11</v>
      </c>
      <c r="G183" s="201" t="s">
        <v>1415</v>
      </c>
      <c r="H183" s="202" t="s">
        <v>375</v>
      </c>
      <c r="I183" s="339" t="str" cm="1">
        <f t="array" aca="1" ref="I18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83" s="203" t="str" cm="1">
        <f t="array" ref="J183">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Mat</v>
      </c>
      <c r="K183" s="96" t="s">
        <v>375</v>
      </c>
      <c r="L183" s="96" t="s">
        <v>1646</v>
      </c>
      <c r="M183" s="96" t="s">
        <v>375</v>
      </c>
      <c r="N183" s="96" t="str" cm="1">
        <f t="array" ref="N183">IF(OR(PptoSty[[#This Row],[Project]]="",PptoSty[[#This Row],[Project]]="X"),"X",_xlfn._xlws.FILTER(TbAssign[RowId],(TbAssign[Project]=PptoSty[[#This Row],[Project]])*(TbAssign[Módulo]=PptoSty[[#This Row],[PptoVsRow]]),"X"))</f>
        <v>XD02</v>
      </c>
      <c r="O183" s="96" t="str" cm="1">
        <f t="array" ref="O183">IF(OR(PptoSty[[#This Row],[Project]]="",PptoSty[[#This Row],[Project]]="X"),"X",_xlfn.UNIQUE(_xlfn._xlws.FILTER(F_RT14[Amortz.],(F_RT14[Measure]="CurPpto")*(F_RT14[PrjId]=PptoSty[[#This Row],[Project]])*(F_RT14[Vrs]=PptoSty[[#This Row],[Vrs]])*(_xlfn.TEXTAFTER(F_RT14[ActGrp],":")=PptoSty[[#This Row],[PiRow]]),"X")))</f>
        <v>X</v>
      </c>
      <c r="P183" s="96" t="s">
        <v>1410</v>
      </c>
      <c r="Q183" s="96" t="s">
        <v>1275</v>
      </c>
      <c r="R183" s="204" t="s">
        <v>403</v>
      </c>
      <c r="S183" s="204">
        <v>1</v>
      </c>
      <c r="T183" s="205" t="str" cm="1">
        <f t="array" aca="1" ref="T18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83" s="206" t="str" cm="1">
        <f t="array" aca="1" ref="U183" ca="1">IFERROR((1/PptoSty[[#This Row],[Division]])*IF(PptoSty[[#This Row],[Sign]]="+",1,-1)*(IF(PptoSty[[#This Row],[POvsCT]]="PO",SUM(_xlfn.CHOOSECOLS(_xlfn._xlws.FILTER(F_RT14[],(IF($M183="X",TRUE,F_RT14[Site]=$M183))*(F_RT14[Measure]=U$4)*(F_RT14[PrjId]=PptoSty[[#This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83" s="206" cm="1">
        <f t="array" aca="1" ref="V183" ca="1">IFERROR((1/PptoSty[[#This Row],[Division]])*IF(PptoSty[[#This Row],[Sign]]="+",1,-1)*(IF(PptoSty[[#This Row],[POvsCT]]="PO",SUM(_xlfn.CHOOSECOLS(_xlfn._xlws.FILTER(F_RT14[],(IF($M183="X",TRUE,F_RT14[Site]=$M183))*(F_RT14[Measure]=V$4)*(F_RT14[PrjId]=PptoSty[[#This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83" s="206" cm="1">
        <f t="array" aca="1" ref="W183" ca="1">IFERROR((1/PptoSty[[#This Row],[Division]])*IF(PptoSty[[#This Row],[Sign]]="+",1,-1)*(IF(PptoSty[[#This Row],[POvsCT]]="PO",SUM(_xlfn.CHOOSECOLS(_xlfn._xlws.FILTER(F_RT14[],(IF($M183="X",TRUE,F_RT14[Site]=$M183))*(F_RT14[Measure]=W$4)*(F_RT14[PrjId]=PptoSty[[#This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83" s="338" cm="1">
        <f t="array" ref="X183">IFERROR(IF(PptoSty[[#This Row],[Nature]]&lt;&gt;"Hrs",0,(1/PptoSty[[#This Row],[Division]])*IF(PptoSty[[#This Row],[Sign]]="+",1,-1)*(IF(PptoSty[[#This Row],[POvsCT]]="PO",SUM(_xlfn.CHOOSECOLS(_xlfn._xlws.FILTER(F_RT14[],(IF($M183="X",TRUE,F_RT14[Site]=$M183))*(F_RT14[Measure]=X$4)*(F_RT14[PrjId]=PptoSty[[#This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83" s="338" cm="1">
        <f t="array" ref="Y183">IFERROR(IF(PptoSty[[#This Row],[Nature]]&lt;&gt;"Hrs",0,(1/PptoSty[[#This Row],[Division]])*IF(PptoSty[[#This Row],[Sign]]="+",1,-1)*(IF(PptoSty[[#This Row],[POvsCT]]="PO",SUM(_xlfn.CHOOSECOLS(_xlfn._xlws.FILTER(F_RT14[],(IF($M183="X",TRUE,F_RT14[Site]=$M183))*(F_RT14[Measure]=Y$4)*(F_RT14[PrjId]=PptoSty[[#This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83" s="338" cm="1">
        <f t="array" ref="Z183">IFERROR(IF(PptoSty[[#This Row],[Nature]]&lt;&gt;"Hrs",0,(1/PptoSty[[#This Row],[Division]])*IF(PptoSty[[#This Row],[Sign]]="+",1,-1)*(IF(PptoSty[[#This Row],[POvsCT]]="PO",SUM(_xlfn.CHOOSECOLS(_xlfn._xlws.FILTER(F_RT14[],(IF($M183="X",TRUE,F_RT14[Site]=$M183))*(F_RT14[Measure]=Z$4)*(F_RT14[PrjId]=PptoSty[[#This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83" s="206" cm="1">
        <f t="array" aca="1" ref="AA183"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244708.51</v>
      </c>
      <c r="AB183" s="206" cm="1">
        <f t="array" aca="1" ref="AB183"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83" s="206" cm="1">
        <f t="array" aca="1" ref="AC183"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244708.51</v>
      </c>
      <c r="AG183"/>
      <c r="AH183"/>
      <c r="AI183"/>
      <c r="AK183" s="113"/>
      <c r="AO183"/>
      <c r="AP183"/>
      <c r="AZ183" s="175"/>
      <c r="BA183" s="175"/>
      <c r="BE183"/>
      <c r="BF183"/>
      <c r="DG183" s="175"/>
      <c r="DH183" s="175"/>
      <c r="DI183" s="175"/>
      <c r="DL183" s="108"/>
      <c r="DM183" s="366" t="str" cm="1">
        <f t="array" aca="1" ref="DM183"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DN183:DO183</v>
      </c>
      <c r="DN183" s="177" t="s">
        <v>375</v>
      </c>
      <c r="DO183" s="177" t="str" cm="1">
        <f t="array" aca="1" ref="DO183"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83" s="177"/>
      <c r="DQ183" s="177"/>
      <c r="DR183" s="177"/>
      <c r="DS183" s="177"/>
      <c r="DT183" s="177"/>
      <c r="DU183" s="177"/>
      <c r="DV183" s="177"/>
      <c r="DW183" s="177"/>
      <c r="DX183" s="177"/>
      <c r="DY183" s="177"/>
      <c r="DZ183" s="177"/>
      <c r="EA183" s="177"/>
      <c r="EB183" s="177"/>
      <c r="EC183" s="177"/>
      <c r="ED183" s="177"/>
    </row>
    <row r="184" spans="3:134" ht="13" customHeight="1">
      <c r="C184" s="200"/>
      <c r="D184" s="200"/>
      <c r="E184" s="200"/>
      <c r="F184" s="220"/>
      <c r="G184" s="201"/>
      <c r="H184" s="202"/>
      <c r="I184" s="339" t="str" cm="1">
        <f t="array" aca="1" ref="I18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84" s="203" t="str" cm="1">
        <f t="array" ref="J184">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184" s="96"/>
      <c r="L184" s="96"/>
      <c r="M184" s="96" t="s">
        <v>375</v>
      </c>
      <c r="N184" s="96" t="str" cm="1">
        <f t="array" ref="N184">IF(OR(PptoSty[[#This Row],[Project]]="",PptoSty[[#This Row],[Project]]="X"),"X",_xlfn._xlws.FILTER(TbAssign[RowId],(TbAssign[Project]=PptoSty[[#This Row],[Project]])*(TbAssign[Módulo]=PptoSty[[#This Row],[PptoVsRow]]),"X"))</f>
        <v>X</v>
      </c>
      <c r="O184" s="96" t="str" cm="1">
        <f t="array" ref="O184">IF(OR(PptoSty[[#This Row],[Project]]="",PptoSty[[#This Row],[Project]]="X"),"X",_xlfn.UNIQUE(_xlfn._xlws.FILTER(F_RT14[Amortz.],(F_RT14[Measure]="CurPpto")*(F_RT14[PrjId]=PptoSty[[#This Row],[Project]])*(F_RT14[Vrs]=PptoSty[[#This Row],[Vrs]])*(_xlfn.TEXTAFTER(F_RT14[ActGrp],":")=PptoSty[[#This Row],[PiRow]]),"X")))</f>
        <v>X</v>
      </c>
      <c r="P184" s="96"/>
      <c r="Q184" s="96"/>
      <c r="R184" s="204" t="s">
        <v>403</v>
      </c>
      <c r="S184" s="204">
        <v>1</v>
      </c>
      <c r="T184" s="205" t="str" cm="1">
        <f t="array" aca="1" ref="T18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84" s="206" t="str" cm="1">
        <f t="array" aca="1" ref="U184" ca="1">IFERROR((1/PptoSty[[#This Row],[Division]])*IF(PptoSty[[#This Row],[Sign]]="+",1,-1)*(IF(PptoSty[[#This Row],[POvsCT]]="PO",SUM(_xlfn.CHOOSECOLS(_xlfn._xlws.FILTER(F_RT14[],(IF($M184="X",TRUE,F_RT14[Site]=$M184))*(F_RT14[Measure]=U$4)*(F_RT14[PrjId]=PptoSty[[#This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84" s="206" cm="1">
        <f t="array" aca="1" ref="V184" ca="1">IFERROR((1/PptoSty[[#This Row],[Division]])*IF(PptoSty[[#This Row],[Sign]]="+",1,-1)*(IF(PptoSty[[#This Row],[POvsCT]]="PO",SUM(_xlfn.CHOOSECOLS(_xlfn._xlws.FILTER(F_RT14[],(IF($M184="X",TRUE,F_RT14[Site]=$M184))*(F_RT14[Measure]=V$4)*(F_RT14[PrjId]=PptoSty[[#This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84" s="206" cm="1">
        <f t="array" aca="1" ref="W184" ca="1">IFERROR((1/PptoSty[[#This Row],[Division]])*IF(PptoSty[[#This Row],[Sign]]="+",1,-1)*(IF(PptoSty[[#This Row],[POvsCT]]="PO",SUM(_xlfn.CHOOSECOLS(_xlfn._xlws.FILTER(F_RT14[],(IF($M184="X",TRUE,F_RT14[Site]=$M184))*(F_RT14[Measure]=W$4)*(F_RT14[PrjId]=PptoSty[[#This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84" s="338" cm="1">
        <f t="array" ref="X184">IFERROR(IF(PptoSty[[#This Row],[Nature]]&lt;&gt;"Hrs",0,(1/PptoSty[[#This Row],[Division]])*IF(PptoSty[[#This Row],[Sign]]="+",1,-1)*(IF(PptoSty[[#This Row],[POvsCT]]="PO",SUM(_xlfn.CHOOSECOLS(_xlfn._xlws.FILTER(F_RT14[],(IF($M184="X",TRUE,F_RT14[Site]=$M184))*(F_RT14[Measure]=X$4)*(F_RT14[PrjId]=PptoSty[[#This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84" s="338" cm="1">
        <f t="array" ref="Y184">IFERROR(IF(PptoSty[[#This Row],[Nature]]&lt;&gt;"Hrs",0,(1/PptoSty[[#This Row],[Division]])*IF(PptoSty[[#This Row],[Sign]]="+",1,-1)*(IF(PptoSty[[#This Row],[POvsCT]]="PO",SUM(_xlfn.CHOOSECOLS(_xlfn._xlws.FILTER(F_RT14[],(IF($M184="X",TRUE,F_RT14[Site]=$M184))*(F_RT14[Measure]=Y$4)*(F_RT14[PrjId]=PptoSty[[#This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84" s="338" cm="1">
        <f t="array" ref="Z184">IFERROR(IF(PptoSty[[#This Row],[Nature]]&lt;&gt;"Hrs",0,(1/PptoSty[[#This Row],[Division]])*IF(PptoSty[[#This Row],[Sign]]="+",1,-1)*(IF(PptoSty[[#This Row],[POvsCT]]="PO",SUM(_xlfn.CHOOSECOLS(_xlfn._xlws.FILTER(F_RT14[],(IF($M184="X",TRUE,F_RT14[Site]=$M184))*(F_RT14[Measure]=Z$4)*(F_RT14[PrjId]=PptoSty[[#This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84" s="206" cm="1">
        <f t="array" aca="1" ref="AA184"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184" s="206" cm="1">
        <f t="array" aca="1" ref="AB184"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84" s="206" cm="1">
        <f t="array" aca="1" ref="AC184"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184"/>
      <c r="AH184"/>
      <c r="AI184"/>
      <c r="AK184" s="113"/>
      <c r="AO184"/>
      <c r="AP184"/>
      <c r="AZ184" s="175"/>
      <c r="BA184" s="175"/>
      <c r="BE184"/>
      <c r="BF184"/>
      <c r="DG184" s="175"/>
      <c r="DH184" s="175"/>
      <c r="DI184" s="175"/>
      <c r="DL184" s="108"/>
      <c r="DM184" s="366" t="str" cm="1">
        <f t="array" aca="1" ref="DM184"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184" s="177" t="s">
        <v>375</v>
      </c>
      <c r="DO184" s="177" t="str" cm="1">
        <f t="array" aca="1" ref="DO184"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84" s="177"/>
      <c r="DQ184" s="177"/>
      <c r="DR184" s="177"/>
      <c r="DS184" s="177"/>
      <c r="DT184" s="177"/>
      <c r="DU184" s="177"/>
      <c r="DV184" s="177"/>
      <c r="DW184" s="177"/>
      <c r="DX184" s="177"/>
      <c r="DY184" s="177"/>
      <c r="DZ184" s="177"/>
      <c r="EA184" s="177"/>
      <c r="EB184" s="177"/>
      <c r="EC184" s="177"/>
      <c r="ED184" s="177"/>
    </row>
    <row r="185" spans="3:134" ht="13" customHeight="1">
      <c r="C185" s="200"/>
      <c r="D185" s="200"/>
      <c r="E185" s="200"/>
      <c r="F185" s="220"/>
      <c r="G185" s="201"/>
      <c r="H185" s="202"/>
      <c r="I185" s="339" t="str" cm="1">
        <f t="array" aca="1" ref="I18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85" s="203" t="str" cm="1">
        <f t="array" ref="J185">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185" s="96"/>
      <c r="L185" s="96"/>
      <c r="M185" s="96" t="s">
        <v>375</v>
      </c>
      <c r="N185" s="96" t="str" cm="1">
        <f t="array" ref="N185">IF(OR(PptoSty[[#This Row],[Project]]="",PptoSty[[#This Row],[Project]]="X"),"X",_xlfn._xlws.FILTER(TbAssign[RowId],(TbAssign[Project]=PptoSty[[#This Row],[Project]])*(TbAssign[Módulo]=PptoSty[[#This Row],[PptoVsRow]]),"X"))</f>
        <v>X</v>
      </c>
      <c r="O185" s="96" t="str" cm="1">
        <f t="array" ref="O185">IF(OR(PptoSty[[#This Row],[Project]]="",PptoSty[[#This Row],[Project]]="X"),"X",_xlfn.UNIQUE(_xlfn._xlws.FILTER(F_RT14[Amortz.],(F_RT14[Measure]="CurPpto")*(F_RT14[PrjId]=PptoSty[[#This Row],[Project]])*(F_RT14[Vrs]=PptoSty[[#This Row],[Vrs]])*(_xlfn.TEXTAFTER(F_RT14[ActGrp],":")=PptoSty[[#This Row],[PiRow]]),"X")))</f>
        <v>X</v>
      </c>
      <c r="P185" s="96"/>
      <c r="Q185" s="96"/>
      <c r="R185" s="204" t="s">
        <v>403</v>
      </c>
      <c r="S185" s="204">
        <v>1</v>
      </c>
      <c r="T185" s="205" t="str" cm="1">
        <f t="array" aca="1" ref="T18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85" s="206" t="str" cm="1">
        <f t="array" aca="1" ref="U185" ca="1">IFERROR((1/PptoSty[[#This Row],[Division]])*IF(PptoSty[[#This Row],[Sign]]="+",1,-1)*(IF(PptoSty[[#This Row],[POvsCT]]="PO",SUM(_xlfn.CHOOSECOLS(_xlfn._xlws.FILTER(F_RT14[],(IF($M185="X",TRUE,F_RT14[Site]=$M185))*(F_RT14[Measure]=U$4)*(F_RT14[PrjId]=PptoSty[[#This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85" s="206" cm="1">
        <f t="array" aca="1" ref="V185" ca="1">IFERROR((1/PptoSty[[#This Row],[Division]])*IF(PptoSty[[#This Row],[Sign]]="+",1,-1)*(IF(PptoSty[[#This Row],[POvsCT]]="PO",SUM(_xlfn.CHOOSECOLS(_xlfn._xlws.FILTER(F_RT14[],(IF($M185="X",TRUE,F_RT14[Site]=$M185))*(F_RT14[Measure]=V$4)*(F_RT14[PrjId]=PptoSty[[#This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85" s="206" cm="1">
        <f t="array" aca="1" ref="W185" ca="1">IFERROR((1/PptoSty[[#This Row],[Division]])*IF(PptoSty[[#This Row],[Sign]]="+",1,-1)*(IF(PptoSty[[#This Row],[POvsCT]]="PO",SUM(_xlfn.CHOOSECOLS(_xlfn._xlws.FILTER(F_RT14[],(IF($M185="X",TRUE,F_RT14[Site]=$M185))*(F_RT14[Measure]=W$4)*(F_RT14[PrjId]=PptoSty[[#This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85" s="338" cm="1">
        <f t="array" ref="X185">IFERROR(IF(PptoSty[[#This Row],[Nature]]&lt;&gt;"Hrs",0,(1/PptoSty[[#This Row],[Division]])*IF(PptoSty[[#This Row],[Sign]]="+",1,-1)*(IF(PptoSty[[#This Row],[POvsCT]]="PO",SUM(_xlfn.CHOOSECOLS(_xlfn._xlws.FILTER(F_RT14[],(IF($M185="X",TRUE,F_RT14[Site]=$M185))*(F_RT14[Measure]=X$4)*(F_RT14[PrjId]=PptoSty[[#This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85" s="338" cm="1">
        <f t="array" ref="Y185">IFERROR(IF(PptoSty[[#This Row],[Nature]]&lt;&gt;"Hrs",0,(1/PptoSty[[#This Row],[Division]])*IF(PptoSty[[#This Row],[Sign]]="+",1,-1)*(IF(PptoSty[[#This Row],[POvsCT]]="PO",SUM(_xlfn.CHOOSECOLS(_xlfn._xlws.FILTER(F_RT14[],(IF($M185="X",TRUE,F_RT14[Site]=$M185))*(F_RT14[Measure]=Y$4)*(F_RT14[PrjId]=PptoSty[[#This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85" s="338" cm="1">
        <f t="array" ref="Z185">IFERROR(IF(PptoSty[[#This Row],[Nature]]&lt;&gt;"Hrs",0,(1/PptoSty[[#This Row],[Division]])*IF(PptoSty[[#This Row],[Sign]]="+",1,-1)*(IF(PptoSty[[#This Row],[POvsCT]]="PO",SUM(_xlfn.CHOOSECOLS(_xlfn._xlws.FILTER(F_RT14[],(IF($M185="X",TRUE,F_RT14[Site]=$M185))*(F_RT14[Measure]=Z$4)*(F_RT14[PrjId]=PptoSty[[#This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85" s="206" cm="1">
        <f t="array" aca="1" ref="AA185"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185" s="206" cm="1">
        <f t="array" aca="1" ref="AB185"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85" s="206" cm="1">
        <f t="array" aca="1" ref="AC185"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185"/>
      <c r="AH185"/>
      <c r="AI185"/>
      <c r="AK185" s="113"/>
      <c r="AO185"/>
      <c r="AP185"/>
      <c r="AZ185" s="175"/>
      <c r="BA185" s="175"/>
      <c r="BE185"/>
      <c r="BF185"/>
      <c r="DG185" s="175"/>
      <c r="DH185" s="175"/>
      <c r="DI185" s="175"/>
      <c r="DL185" s="108"/>
      <c r="DM185" s="366" t="str" cm="1">
        <f t="array" aca="1" ref="DM18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185" s="177" t="s">
        <v>375</v>
      </c>
      <c r="DO185" s="177" t="str" cm="1">
        <f t="array" aca="1" ref="DO18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85" s="177"/>
      <c r="DQ185" s="177"/>
      <c r="DR185" s="177"/>
      <c r="DS185" s="177"/>
      <c r="DT185" s="177"/>
      <c r="DU185" s="177"/>
      <c r="DV185" s="177"/>
      <c r="DW185" s="177"/>
      <c r="DX185" s="177"/>
      <c r="DY185" s="177"/>
      <c r="DZ185" s="177"/>
      <c r="EA185" s="177"/>
      <c r="EB185" s="177"/>
      <c r="EC185" s="177"/>
      <c r="ED185" s="177"/>
    </row>
    <row r="186" spans="3:134" ht="13" customHeight="1">
      <c r="C186" s="200"/>
      <c r="D186" s="200"/>
      <c r="E186" s="200"/>
      <c r="F186" s="220"/>
      <c r="G186" s="201"/>
      <c r="H186" s="202"/>
      <c r="I186" s="339" t="str" cm="1">
        <f t="array" aca="1" ref="I18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86" s="203" t="str" cm="1">
        <f t="array" ref="J186">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186" s="96"/>
      <c r="L186" s="96"/>
      <c r="M186" s="96" t="s">
        <v>375</v>
      </c>
      <c r="N186" s="96" t="str" cm="1">
        <f t="array" ref="N186">IF(OR(PptoSty[[#This Row],[Project]]="",PptoSty[[#This Row],[Project]]="X"),"X",_xlfn._xlws.FILTER(TbAssign[RowId],(TbAssign[Project]=PptoSty[[#This Row],[Project]])*(TbAssign[Módulo]=PptoSty[[#This Row],[PptoVsRow]]),"X"))</f>
        <v>X</v>
      </c>
      <c r="O186" s="96" t="str" cm="1">
        <f t="array" ref="O186">IF(OR(PptoSty[[#This Row],[Project]]="",PptoSty[[#This Row],[Project]]="X"),"X",_xlfn.UNIQUE(_xlfn._xlws.FILTER(F_RT14[Amortz.],(F_RT14[Measure]="CurPpto")*(F_RT14[PrjId]=PptoSty[[#This Row],[Project]])*(F_RT14[Vrs]=PptoSty[[#This Row],[Vrs]])*(_xlfn.TEXTAFTER(F_RT14[ActGrp],":")=PptoSty[[#This Row],[PiRow]]),"X")))</f>
        <v>X</v>
      </c>
      <c r="P186" s="96"/>
      <c r="Q186" s="96"/>
      <c r="R186" s="204" t="s">
        <v>403</v>
      </c>
      <c r="S186" s="204">
        <v>1</v>
      </c>
      <c r="T186" s="205" t="str" cm="1">
        <f t="array" aca="1" ref="T18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86" s="206" t="str" cm="1">
        <f t="array" aca="1" ref="U186" ca="1">IFERROR((1/PptoSty[[#This Row],[Division]])*IF(PptoSty[[#This Row],[Sign]]="+",1,-1)*(IF(PptoSty[[#This Row],[POvsCT]]="PO",SUM(_xlfn.CHOOSECOLS(_xlfn._xlws.FILTER(F_RT14[],(IF($M186="X",TRUE,F_RT14[Site]=$M186))*(F_RT14[Measure]=U$4)*(F_RT14[PrjId]=PptoSty[[#This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86" s="206" cm="1">
        <f t="array" aca="1" ref="V186" ca="1">IFERROR((1/PptoSty[[#This Row],[Division]])*IF(PptoSty[[#This Row],[Sign]]="+",1,-1)*(IF(PptoSty[[#This Row],[POvsCT]]="PO",SUM(_xlfn.CHOOSECOLS(_xlfn._xlws.FILTER(F_RT14[],(IF($M186="X",TRUE,F_RT14[Site]=$M186))*(F_RT14[Measure]=V$4)*(F_RT14[PrjId]=PptoSty[[#This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86" s="206" cm="1">
        <f t="array" aca="1" ref="W186" ca="1">IFERROR((1/PptoSty[[#This Row],[Division]])*IF(PptoSty[[#This Row],[Sign]]="+",1,-1)*(IF(PptoSty[[#This Row],[POvsCT]]="PO",SUM(_xlfn.CHOOSECOLS(_xlfn._xlws.FILTER(F_RT14[],(IF($M186="X",TRUE,F_RT14[Site]=$M186))*(F_RT14[Measure]=W$4)*(F_RT14[PrjId]=PptoSty[[#This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86" s="338" cm="1">
        <f t="array" ref="X186">IFERROR(IF(PptoSty[[#This Row],[Nature]]&lt;&gt;"Hrs",0,(1/PptoSty[[#This Row],[Division]])*IF(PptoSty[[#This Row],[Sign]]="+",1,-1)*(IF(PptoSty[[#This Row],[POvsCT]]="PO",SUM(_xlfn.CHOOSECOLS(_xlfn._xlws.FILTER(F_RT14[],(IF($M186="X",TRUE,F_RT14[Site]=$M186))*(F_RT14[Measure]=X$4)*(F_RT14[PrjId]=PptoSty[[#This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86" s="338" cm="1">
        <f t="array" ref="Y186">IFERROR(IF(PptoSty[[#This Row],[Nature]]&lt;&gt;"Hrs",0,(1/PptoSty[[#This Row],[Division]])*IF(PptoSty[[#This Row],[Sign]]="+",1,-1)*(IF(PptoSty[[#This Row],[POvsCT]]="PO",SUM(_xlfn.CHOOSECOLS(_xlfn._xlws.FILTER(F_RT14[],(IF($M186="X",TRUE,F_RT14[Site]=$M186))*(F_RT14[Measure]=Y$4)*(F_RT14[PrjId]=PptoSty[[#This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86" s="338" cm="1">
        <f t="array" ref="Z186">IFERROR(IF(PptoSty[[#This Row],[Nature]]&lt;&gt;"Hrs",0,(1/PptoSty[[#This Row],[Division]])*IF(PptoSty[[#This Row],[Sign]]="+",1,-1)*(IF(PptoSty[[#This Row],[POvsCT]]="PO",SUM(_xlfn.CHOOSECOLS(_xlfn._xlws.FILTER(F_RT14[],(IF($M186="X",TRUE,F_RT14[Site]=$M186))*(F_RT14[Measure]=Z$4)*(F_RT14[PrjId]=PptoSty[[#This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86" s="206" cm="1">
        <f t="array" aca="1" ref="AA186"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186" s="206" cm="1">
        <f t="array" aca="1" ref="AB186"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86" s="206" cm="1">
        <f t="array" aca="1" ref="AC186"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186"/>
      <c r="AH186"/>
      <c r="AI186"/>
      <c r="AK186" s="113"/>
      <c r="AO186"/>
      <c r="AP186"/>
      <c r="AZ186" s="175"/>
      <c r="BA186" s="175"/>
      <c r="BE186"/>
      <c r="BF186"/>
      <c r="DG186" s="175"/>
      <c r="DH186" s="175"/>
      <c r="DI186" s="175"/>
      <c r="DL186" s="108"/>
      <c r="DM186" s="366" t="str" cm="1">
        <f t="array" aca="1" ref="DM18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186" s="177" t="s">
        <v>375</v>
      </c>
      <c r="DO186" s="177" t="str" cm="1">
        <f t="array" aca="1" ref="DO18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86" s="177"/>
      <c r="DQ186" s="177"/>
      <c r="DR186" s="177"/>
      <c r="DS186" s="177"/>
      <c r="DT186" s="177"/>
      <c r="DU186" s="177"/>
      <c r="DV186" s="177"/>
      <c r="DW186" s="177"/>
      <c r="DX186" s="177"/>
      <c r="DY186" s="177"/>
      <c r="DZ186" s="177"/>
      <c r="EA186" s="177"/>
      <c r="EB186" s="177"/>
      <c r="EC186" s="177"/>
      <c r="ED186" s="177"/>
    </row>
    <row r="187" spans="3:134" ht="13" customHeight="1">
      <c r="C187" s="200"/>
      <c r="D187" s="200"/>
      <c r="E187" s="200"/>
      <c r="F187" s="220"/>
      <c r="G187" s="201"/>
      <c r="H187" s="202"/>
      <c r="I187" s="339" t="str" cm="1">
        <f t="array" aca="1" ref="I18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87" s="203" t="str" cm="1">
        <f t="array" ref="J187">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187" s="96"/>
      <c r="L187" s="96"/>
      <c r="M187" s="96" t="s">
        <v>375</v>
      </c>
      <c r="N187" s="96" t="str" cm="1">
        <f t="array" ref="N187">IF(OR(PptoSty[[#This Row],[Project]]="",PptoSty[[#This Row],[Project]]="X"),"X",_xlfn._xlws.FILTER(TbAssign[RowId],(TbAssign[Project]=PptoSty[[#This Row],[Project]])*(TbAssign[Módulo]=PptoSty[[#This Row],[PptoVsRow]]),"X"))</f>
        <v>X</v>
      </c>
      <c r="O187" s="96" t="str" cm="1">
        <f t="array" ref="O187">IF(OR(PptoSty[[#This Row],[Project]]="",PptoSty[[#This Row],[Project]]="X"),"X",_xlfn.UNIQUE(_xlfn._xlws.FILTER(F_RT14[Amortz.],(F_RT14[Measure]="CurPpto")*(F_RT14[PrjId]=PptoSty[[#This Row],[Project]])*(F_RT14[Vrs]=PptoSty[[#This Row],[Vrs]])*(_xlfn.TEXTAFTER(F_RT14[ActGrp],":")=PptoSty[[#This Row],[PiRow]]),"X")))</f>
        <v>X</v>
      </c>
      <c r="P187" s="96"/>
      <c r="Q187" s="96"/>
      <c r="R187" s="204" t="s">
        <v>403</v>
      </c>
      <c r="S187" s="204">
        <v>1</v>
      </c>
      <c r="T187" s="205" t="str" cm="1">
        <f t="array" aca="1" ref="T18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87" s="206" t="str" cm="1">
        <f t="array" aca="1" ref="U187" ca="1">IFERROR((1/PptoSty[[#This Row],[Division]])*IF(PptoSty[[#This Row],[Sign]]="+",1,-1)*(IF(PptoSty[[#This Row],[POvsCT]]="PO",SUM(_xlfn.CHOOSECOLS(_xlfn._xlws.FILTER(F_RT14[],(IF($M187="X",TRUE,F_RT14[Site]=$M187))*(F_RT14[Measure]=U$4)*(F_RT14[PrjId]=PptoSty[[#This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87" s="206" cm="1">
        <f t="array" aca="1" ref="V187" ca="1">IFERROR((1/PptoSty[[#This Row],[Division]])*IF(PptoSty[[#This Row],[Sign]]="+",1,-1)*(IF(PptoSty[[#This Row],[POvsCT]]="PO",SUM(_xlfn.CHOOSECOLS(_xlfn._xlws.FILTER(F_RT14[],(IF($M187="X",TRUE,F_RT14[Site]=$M187))*(F_RT14[Measure]=V$4)*(F_RT14[PrjId]=PptoSty[[#This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87" s="206" cm="1">
        <f t="array" aca="1" ref="W187" ca="1">IFERROR((1/PptoSty[[#This Row],[Division]])*IF(PptoSty[[#This Row],[Sign]]="+",1,-1)*(IF(PptoSty[[#This Row],[POvsCT]]="PO",SUM(_xlfn.CHOOSECOLS(_xlfn._xlws.FILTER(F_RT14[],(IF($M187="X",TRUE,F_RT14[Site]=$M187))*(F_RT14[Measure]=W$4)*(F_RT14[PrjId]=PptoSty[[#This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87" s="338" cm="1">
        <f t="array" ref="X187">IFERROR(IF(PptoSty[[#This Row],[Nature]]&lt;&gt;"Hrs",0,(1/PptoSty[[#This Row],[Division]])*IF(PptoSty[[#This Row],[Sign]]="+",1,-1)*(IF(PptoSty[[#This Row],[POvsCT]]="PO",SUM(_xlfn.CHOOSECOLS(_xlfn._xlws.FILTER(F_RT14[],(IF($M187="X",TRUE,F_RT14[Site]=$M187))*(F_RT14[Measure]=X$4)*(F_RT14[PrjId]=PptoSty[[#This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87" s="338" cm="1">
        <f t="array" ref="Y187">IFERROR(IF(PptoSty[[#This Row],[Nature]]&lt;&gt;"Hrs",0,(1/PptoSty[[#This Row],[Division]])*IF(PptoSty[[#This Row],[Sign]]="+",1,-1)*(IF(PptoSty[[#This Row],[POvsCT]]="PO",SUM(_xlfn.CHOOSECOLS(_xlfn._xlws.FILTER(F_RT14[],(IF($M187="X",TRUE,F_RT14[Site]=$M187))*(F_RT14[Measure]=Y$4)*(F_RT14[PrjId]=PptoSty[[#This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87" s="338" cm="1">
        <f t="array" ref="Z187">IFERROR(IF(PptoSty[[#This Row],[Nature]]&lt;&gt;"Hrs",0,(1/PptoSty[[#This Row],[Division]])*IF(PptoSty[[#This Row],[Sign]]="+",1,-1)*(IF(PptoSty[[#This Row],[POvsCT]]="PO",SUM(_xlfn.CHOOSECOLS(_xlfn._xlws.FILTER(F_RT14[],(IF($M187="X",TRUE,F_RT14[Site]=$M187))*(F_RT14[Measure]=Z$4)*(F_RT14[PrjId]=PptoSty[[#This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87" s="206" cm="1">
        <f t="array" aca="1" ref="AA187"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187" s="206" cm="1">
        <f t="array" aca="1" ref="AB187"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87" s="206" cm="1">
        <f t="array" aca="1" ref="AC187"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187"/>
      <c r="AH187"/>
      <c r="AI187"/>
      <c r="AK187" s="113"/>
      <c r="AO187"/>
      <c r="AP187"/>
      <c r="AZ187" s="175"/>
      <c r="BA187" s="175"/>
      <c r="BE187"/>
      <c r="BF187"/>
      <c r="DG187" s="175"/>
      <c r="DH187" s="175"/>
      <c r="DI187" s="175"/>
      <c r="DL187" s="108"/>
      <c r="DM187" s="366" t="str" cm="1">
        <f t="array" aca="1" ref="DM18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187" s="177" t="s">
        <v>375</v>
      </c>
      <c r="DO187" s="177" t="str" cm="1">
        <f t="array" aca="1" ref="DO18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87" s="177"/>
      <c r="DQ187" s="177"/>
      <c r="DR187" s="177"/>
      <c r="DS187" s="177"/>
      <c r="DT187" s="177"/>
      <c r="DU187" s="177"/>
      <c r="DV187" s="177"/>
      <c r="DW187" s="177"/>
      <c r="DX187" s="177"/>
      <c r="DY187" s="177"/>
      <c r="DZ187" s="177"/>
      <c r="EA187" s="177"/>
      <c r="EB187" s="177"/>
      <c r="EC187" s="177"/>
      <c r="ED187" s="177"/>
    </row>
    <row r="188" spans="3:134" ht="13" customHeight="1">
      <c r="C188" s="200"/>
      <c r="D188" s="200"/>
      <c r="E188" s="200"/>
      <c r="F188" s="220"/>
      <c r="G188" s="201"/>
      <c r="H188" s="202"/>
      <c r="I188" s="339" t="str" cm="1">
        <f t="array" aca="1" ref="I18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88" s="203" t="str" cm="1">
        <f t="array" ref="J188">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188" s="96"/>
      <c r="L188" s="96"/>
      <c r="M188" s="96" t="s">
        <v>375</v>
      </c>
      <c r="N188" s="96" t="str" cm="1">
        <f t="array" ref="N188">IF(OR(PptoSty[[#This Row],[Project]]="",PptoSty[[#This Row],[Project]]="X"),"X",_xlfn._xlws.FILTER(TbAssign[RowId],(TbAssign[Project]=PptoSty[[#This Row],[Project]])*(TbAssign[Módulo]=PptoSty[[#This Row],[PptoVsRow]]),"X"))</f>
        <v>X</v>
      </c>
      <c r="O188" s="96" t="str" cm="1">
        <f t="array" ref="O188">IF(OR(PptoSty[[#This Row],[Project]]="",PptoSty[[#This Row],[Project]]="X"),"X",_xlfn.UNIQUE(_xlfn._xlws.FILTER(F_RT14[Amortz.],(F_RT14[Measure]="CurPpto")*(F_RT14[PrjId]=PptoSty[[#This Row],[Project]])*(F_RT14[Vrs]=PptoSty[[#This Row],[Vrs]])*(_xlfn.TEXTAFTER(F_RT14[ActGrp],":")=PptoSty[[#This Row],[PiRow]]),"X")))</f>
        <v>X</v>
      </c>
      <c r="P188" s="96"/>
      <c r="Q188" s="96"/>
      <c r="R188" s="204" t="s">
        <v>403</v>
      </c>
      <c r="S188" s="204">
        <v>1</v>
      </c>
      <c r="T188" s="205" t="str" cm="1">
        <f t="array" aca="1" ref="T18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88" s="206" t="str" cm="1">
        <f t="array" aca="1" ref="U188" ca="1">IFERROR((1/PptoSty[[#This Row],[Division]])*IF(PptoSty[[#This Row],[Sign]]="+",1,-1)*(IF(PptoSty[[#This Row],[POvsCT]]="PO",SUM(_xlfn.CHOOSECOLS(_xlfn._xlws.FILTER(F_RT14[],(IF($M188="X",TRUE,F_RT14[Site]=$M188))*(F_RT14[Measure]=U$4)*(F_RT14[PrjId]=PptoSty[[#This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88" s="206" cm="1">
        <f t="array" aca="1" ref="V188" ca="1">IFERROR((1/PptoSty[[#This Row],[Division]])*IF(PptoSty[[#This Row],[Sign]]="+",1,-1)*(IF(PptoSty[[#This Row],[POvsCT]]="PO",SUM(_xlfn.CHOOSECOLS(_xlfn._xlws.FILTER(F_RT14[],(IF($M188="X",TRUE,F_RT14[Site]=$M188))*(F_RT14[Measure]=V$4)*(F_RT14[PrjId]=PptoSty[[#This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88" s="206" cm="1">
        <f t="array" aca="1" ref="W188" ca="1">IFERROR((1/PptoSty[[#This Row],[Division]])*IF(PptoSty[[#This Row],[Sign]]="+",1,-1)*(IF(PptoSty[[#This Row],[POvsCT]]="PO",SUM(_xlfn.CHOOSECOLS(_xlfn._xlws.FILTER(F_RT14[],(IF($M188="X",TRUE,F_RT14[Site]=$M188))*(F_RT14[Measure]=W$4)*(F_RT14[PrjId]=PptoSty[[#This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88" s="338" cm="1">
        <f t="array" ref="X188">IFERROR(IF(PptoSty[[#This Row],[Nature]]&lt;&gt;"Hrs",0,(1/PptoSty[[#This Row],[Division]])*IF(PptoSty[[#This Row],[Sign]]="+",1,-1)*(IF(PptoSty[[#This Row],[POvsCT]]="PO",SUM(_xlfn.CHOOSECOLS(_xlfn._xlws.FILTER(F_RT14[],(IF($M188="X",TRUE,F_RT14[Site]=$M188))*(F_RT14[Measure]=X$4)*(F_RT14[PrjId]=PptoSty[[#This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88" s="338" cm="1">
        <f t="array" ref="Y188">IFERROR(IF(PptoSty[[#This Row],[Nature]]&lt;&gt;"Hrs",0,(1/PptoSty[[#This Row],[Division]])*IF(PptoSty[[#This Row],[Sign]]="+",1,-1)*(IF(PptoSty[[#This Row],[POvsCT]]="PO",SUM(_xlfn.CHOOSECOLS(_xlfn._xlws.FILTER(F_RT14[],(IF($M188="X",TRUE,F_RT14[Site]=$M188))*(F_RT14[Measure]=Y$4)*(F_RT14[PrjId]=PptoSty[[#This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88" s="338" cm="1">
        <f t="array" ref="Z188">IFERROR(IF(PptoSty[[#This Row],[Nature]]&lt;&gt;"Hrs",0,(1/PptoSty[[#This Row],[Division]])*IF(PptoSty[[#This Row],[Sign]]="+",1,-1)*(IF(PptoSty[[#This Row],[POvsCT]]="PO",SUM(_xlfn.CHOOSECOLS(_xlfn._xlws.FILTER(F_RT14[],(IF($M188="X",TRUE,F_RT14[Site]=$M188))*(F_RT14[Measure]=Z$4)*(F_RT14[PrjId]=PptoSty[[#This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88" s="206" cm="1">
        <f t="array" aca="1" ref="AA188"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188" s="206" cm="1">
        <f t="array" aca="1" ref="AB188"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88" s="206" cm="1">
        <f t="array" aca="1" ref="AC188"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188"/>
      <c r="AH188"/>
      <c r="AI188"/>
      <c r="AK188" s="113"/>
      <c r="AO188"/>
      <c r="AP188"/>
      <c r="AZ188" s="175"/>
      <c r="BA188" s="175"/>
      <c r="BE188"/>
      <c r="BF188"/>
      <c r="DG188" s="175"/>
      <c r="DH188" s="175"/>
      <c r="DI188" s="175"/>
      <c r="DL188" s="108"/>
      <c r="DM188" s="366" t="str" cm="1">
        <f t="array" aca="1" ref="DM18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188" s="177" t="s">
        <v>375</v>
      </c>
      <c r="DO188" s="177" t="str" cm="1">
        <f t="array" aca="1" ref="DO18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88" s="177"/>
      <c r="DQ188" s="177"/>
      <c r="DR188" s="177"/>
      <c r="DS188" s="177"/>
      <c r="DT188" s="177"/>
      <c r="DU188" s="177"/>
      <c r="DV188" s="177"/>
      <c r="DW188" s="177"/>
      <c r="DX188" s="177"/>
      <c r="DY188" s="177"/>
      <c r="DZ188" s="177"/>
      <c r="EA188" s="177"/>
      <c r="EB188" s="177"/>
      <c r="EC188" s="177"/>
      <c r="ED188" s="177"/>
    </row>
    <row r="189" spans="3:134" ht="13" customHeight="1">
      <c r="C189" s="200"/>
      <c r="D189" s="200"/>
      <c r="E189" s="200"/>
      <c r="F189" s="220"/>
      <c r="G189" s="201"/>
      <c r="H189" s="202"/>
      <c r="I189" s="339" t="str" cm="1">
        <f t="array" aca="1" ref="I18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89" s="203" t="str" cm="1">
        <f t="array" ref="J189">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189" s="96"/>
      <c r="L189" s="96"/>
      <c r="M189" s="96" t="s">
        <v>375</v>
      </c>
      <c r="N189" s="96" t="str" cm="1">
        <f t="array" ref="N189">IF(OR(PptoSty[[#This Row],[Project]]="",PptoSty[[#This Row],[Project]]="X"),"X",_xlfn._xlws.FILTER(TbAssign[RowId],(TbAssign[Project]=PptoSty[[#This Row],[Project]])*(TbAssign[Módulo]=PptoSty[[#This Row],[PptoVsRow]]),"X"))</f>
        <v>X</v>
      </c>
      <c r="O189" s="96" t="str" cm="1">
        <f t="array" ref="O189">IF(OR(PptoSty[[#This Row],[Project]]="",PptoSty[[#This Row],[Project]]="X"),"X",_xlfn.UNIQUE(_xlfn._xlws.FILTER(F_RT14[Amortz.],(F_RT14[Measure]="CurPpto")*(F_RT14[PrjId]=PptoSty[[#This Row],[Project]])*(F_RT14[Vrs]=PptoSty[[#This Row],[Vrs]])*(_xlfn.TEXTAFTER(F_RT14[ActGrp],":")=PptoSty[[#This Row],[PiRow]]),"X")))</f>
        <v>X</v>
      </c>
      <c r="P189" s="96"/>
      <c r="Q189" s="96"/>
      <c r="R189" s="204" t="s">
        <v>403</v>
      </c>
      <c r="S189" s="204">
        <v>1</v>
      </c>
      <c r="T189" s="205" t="str" cm="1">
        <f t="array" aca="1" ref="T18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89" s="206" t="str" cm="1">
        <f t="array" aca="1" ref="U189" ca="1">IFERROR((1/PptoSty[[#This Row],[Division]])*IF(PptoSty[[#This Row],[Sign]]="+",1,-1)*(IF(PptoSty[[#This Row],[POvsCT]]="PO",SUM(_xlfn.CHOOSECOLS(_xlfn._xlws.FILTER(F_RT14[],(IF($M189="X",TRUE,F_RT14[Site]=$M189))*(F_RT14[Measure]=U$4)*(F_RT14[PrjId]=PptoSty[[#This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89" s="206" cm="1">
        <f t="array" aca="1" ref="V189" ca="1">IFERROR((1/PptoSty[[#This Row],[Division]])*IF(PptoSty[[#This Row],[Sign]]="+",1,-1)*(IF(PptoSty[[#This Row],[POvsCT]]="PO",SUM(_xlfn.CHOOSECOLS(_xlfn._xlws.FILTER(F_RT14[],(IF($M189="X",TRUE,F_RT14[Site]=$M189))*(F_RT14[Measure]=V$4)*(F_RT14[PrjId]=PptoSty[[#This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89" s="206" cm="1">
        <f t="array" aca="1" ref="W189" ca="1">IFERROR((1/PptoSty[[#This Row],[Division]])*IF(PptoSty[[#This Row],[Sign]]="+",1,-1)*(IF(PptoSty[[#This Row],[POvsCT]]="PO",SUM(_xlfn.CHOOSECOLS(_xlfn._xlws.FILTER(F_RT14[],(IF($M189="X",TRUE,F_RT14[Site]=$M189))*(F_RT14[Measure]=W$4)*(F_RT14[PrjId]=PptoSty[[#This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89" s="338" cm="1">
        <f t="array" ref="X189">IFERROR(IF(PptoSty[[#This Row],[Nature]]&lt;&gt;"Hrs",0,(1/PptoSty[[#This Row],[Division]])*IF(PptoSty[[#This Row],[Sign]]="+",1,-1)*(IF(PptoSty[[#This Row],[POvsCT]]="PO",SUM(_xlfn.CHOOSECOLS(_xlfn._xlws.FILTER(F_RT14[],(IF($M189="X",TRUE,F_RT14[Site]=$M189))*(F_RT14[Measure]=X$4)*(F_RT14[PrjId]=PptoSty[[#This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89" s="338" cm="1">
        <f t="array" ref="Y189">IFERROR(IF(PptoSty[[#This Row],[Nature]]&lt;&gt;"Hrs",0,(1/PptoSty[[#This Row],[Division]])*IF(PptoSty[[#This Row],[Sign]]="+",1,-1)*(IF(PptoSty[[#This Row],[POvsCT]]="PO",SUM(_xlfn.CHOOSECOLS(_xlfn._xlws.FILTER(F_RT14[],(IF($M189="X",TRUE,F_RT14[Site]=$M189))*(F_RT14[Measure]=Y$4)*(F_RT14[PrjId]=PptoSty[[#This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89" s="338" cm="1">
        <f t="array" ref="Z189">IFERROR(IF(PptoSty[[#This Row],[Nature]]&lt;&gt;"Hrs",0,(1/PptoSty[[#This Row],[Division]])*IF(PptoSty[[#This Row],[Sign]]="+",1,-1)*(IF(PptoSty[[#This Row],[POvsCT]]="PO",SUM(_xlfn.CHOOSECOLS(_xlfn._xlws.FILTER(F_RT14[],(IF($M189="X",TRUE,F_RT14[Site]=$M189))*(F_RT14[Measure]=Z$4)*(F_RT14[PrjId]=PptoSty[[#This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89" s="206" cm="1">
        <f t="array" aca="1" ref="AA189"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189" s="206" cm="1">
        <f t="array" aca="1" ref="AB189"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89" s="206" cm="1">
        <f t="array" aca="1" ref="AC189"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189"/>
      <c r="AH189"/>
      <c r="AI189"/>
      <c r="AK189" s="113"/>
      <c r="AO189"/>
      <c r="AP189"/>
      <c r="AZ189" s="175"/>
      <c r="BA189" s="175"/>
      <c r="BE189"/>
      <c r="BF189"/>
      <c r="DG189" s="175"/>
      <c r="DH189" s="175"/>
      <c r="DI189" s="175"/>
      <c r="DL189" s="108"/>
      <c r="DM189" s="366" t="str" cm="1">
        <f t="array" aca="1" ref="DM189"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189" s="177" t="s">
        <v>375</v>
      </c>
      <c r="DO189" s="177" t="str" cm="1">
        <f t="array" aca="1" ref="DO189"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89" s="177"/>
      <c r="DQ189" s="177"/>
      <c r="DR189" s="177"/>
      <c r="DS189" s="177"/>
      <c r="DT189" s="177"/>
      <c r="DU189" s="177"/>
      <c r="DV189" s="177"/>
      <c r="DW189" s="177"/>
      <c r="DX189" s="177"/>
      <c r="DY189" s="177"/>
      <c r="DZ189" s="177"/>
      <c r="EA189" s="177"/>
      <c r="EB189" s="177"/>
      <c r="EC189" s="177"/>
      <c r="ED189" s="177"/>
    </row>
    <row r="190" spans="3:134" ht="13" customHeight="1">
      <c r="C190" s="200"/>
      <c r="D190" s="200"/>
      <c r="E190" s="200"/>
      <c r="F190" s="220"/>
      <c r="G190" s="201"/>
      <c r="H190" s="202"/>
      <c r="I190" s="339" t="str" cm="1">
        <f t="array" aca="1" ref="I19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90" s="203" t="str" cm="1">
        <f t="array" ref="J190">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190" s="96"/>
      <c r="L190" s="96"/>
      <c r="M190" s="96" t="s">
        <v>375</v>
      </c>
      <c r="N190" s="96" t="str" cm="1">
        <f t="array" ref="N190">IF(OR(PptoSty[[#This Row],[Project]]="",PptoSty[[#This Row],[Project]]="X"),"X",_xlfn._xlws.FILTER(TbAssign[RowId],(TbAssign[Project]=PptoSty[[#This Row],[Project]])*(TbAssign[Módulo]=PptoSty[[#This Row],[PptoVsRow]]),"X"))</f>
        <v>X</v>
      </c>
      <c r="O190" s="96" t="str" cm="1">
        <f t="array" ref="O190">IF(OR(PptoSty[[#This Row],[Project]]="",PptoSty[[#This Row],[Project]]="X"),"X",_xlfn.UNIQUE(_xlfn._xlws.FILTER(F_RT14[Amortz.],(F_RT14[Measure]="CurPpto")*(F_RT14[PrjId]=PptoSty[[#This Row],[Project]])*(F_RT14[Vrs]=PptoSty[[#This Row],[Vrs]])*(_xlfn.TEXTAFTER(F_RT14[ActGrp],":")=PptoSty[[#This Row],[PiRow]]),"X")))</f>
        <v>X</v>
      </c>
      <c r="P190" s="96"/>
      <c r="Q190" s="96"/>
      <c r="R190" s="204" t="s">
        <v>403</v>
      </c>
      <c r="S190" s="204">
        <v>1</v>
      </c>
      <c r="T190" s="205" t="str" cm="1">
        <f t="array" aca="1" ref="T19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90" s="206" t="str" cm="1">
        <f t="array" aca="1" ref="U190" ca="1">IFERROR((1/PptoSty[[#This Row],[Division]])*IF(PptoSty[[#This Row],[Sign]]="+",1,-1)*(IF(PptoSty[[#This Row],[POvsCT]]="PO",SUM(_xlfn.CHOOSECOLS(_xlfn._xlws.FILTER(F_RT14[],(IF($M190="X",TRUE,F_RT14[Site]=$M190))*(F_RT14[Measure]=U$4)*(F_RT14[PrjId]=PptoSty[[#This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90" s="206" cm="1">
        <f t="array" aca="1" ref="V190" ca="1">IFERROR((1/PptoSty[[#This Row],[Division]])*IF(PptoSty[[#This Row],[Sign]]="+",1,-1)*(IF(PptoSty[[#This Row],[POvsCT]]="PO",SUM(_xlfn.CHOOSECOLS(_xlfn._xlws.FILTER(F_RT14[],(IF($M190="X",TRUE,F_RT14[Site]=$M190))*(F_RT14[Measure]=V$4)*(F_RT14[PrjId]=PptoSty[[#This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90" s="206" cm="1">
        <f t="array" aca="1" ref="W190" ca="1">IFERROR((1/PptoSty[[#This Row],[Division]])*IF(PptoSty[[#This Row],[Sign]]="+",1,-1)*(IF(PptoSty[[#This Row],[POvsCT]]="PO",SUM(_xlfn.CHOOSECOLS(_xlfn._xlws.FILTER(F_RT14[],(IF($M190="X",TRUE,F_RT14[Site]=$M190))*(F_RT14[Measure]=W$4)*(F_RT14[PrjId]=PptoSty[[#This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90" s="338" cm="1">
        <f t="array" ref="X190">IFERROR(IF(PptoSty[[#This Row],[Nature]]&lt;&gt;"Hrs",0,(1/PptoSty[[#This Row],[Division]])*IF(PptoSty[[#This Row],[Sign]]="+",1,-1)*(IF(PptoSty[[#This Row],[POvsCT]]="PO",SUM(_xlfn.CHOOSECOLS(_xlfn._xlws.FILTER(F_RT14[],(IF($M190="X",TRUE,F_RT14[Site]=$M190))*(F_RT14[Measure]=X$4)*(F_RT14[PrjId]=PptoSty[[#This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90" s="338" cm="1">
        <f t="array" ref="Y190">IFERROR(IF(PptoSty[[#This Row],[Nature]]&lt;&gt;"Hrs",0,(1/PptoSty[[#This Row],[Division]])*IF(PptoSty[[#This Row],[Sign]]="+",1,-1)*(IF(PptoSty[[#This Row],[POvsCT]]="PO",SUM(_xlfn.CHOOSECOLS(_xlfn._xlws.FILTER(F_RT14[],(IF($M190="X",TRUE,F_RT14[Site]=$M190))*(F_RT14[Measure]=Y$4)*(F_RT14[PrjId]=PptoSty[[#This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90" s="338" cm="1">
        <f t="array" ref="Z190">IFERROR(IF(PptoSty[[#This Row],[Nature]]&lt;&gt;"Hrs",0,(1/PptoSty[[#This Row],[Division]])*IF(PptoSty[[#This Row],[Sign]]="+",1,-1)*(IF(PptoSty[[#This Row],[POvsCT]]="PO",SUM(_xlfn.CHOOSECOLS(_xlfn._xlws.FILTER(F_RT14[],(IF($M190="X",TRUE,F_RT14[Site]=$M190))*(F_RT14[Measure]=Z$4)*(F_RT14[PrjId]=PptoSty[[#This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90" s="206" cm="1">
        <f t="array" aca="1" ref="AA190"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190" s="206" cm="1">
        <f t="array" aca="1" ref="AB190"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90" s="206" cm="1">
        <f t="array" aca="1" ref="AC190"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190"/>
      <c r="AH190"/>
      <c r="AI190"/>
      <c r="AK190" s="113"/>
      <c r="AO190"/>
      <c r="AP190"/>
      <c r="AZ190" s="175"/>
      <c r="BA190" s="175"/>
      <c r="BE190"/>
      <c r="BF190"/>
      <c r="DG190" s="175"/>
      <c r="DH190" s="175"/>
      <c r="DI190" s="175"/>
      <c r="DL190" s="108"/>
      <c r="DM190" s="366" t="str" cm="1">
        <f t="array" aca="1" ref="DM190"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190" s="177" t="s">
        <v>375</v>
      </c>
      <c r="DO190" s="177" t="str" cm="1">
        <f t="array" aca="1" ref="DO190"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90" s="177"/>
      <c r="DQ190" s="177"/>
      <c r="DR190" s="177"/>
      <c r="DS190" s="177"/>
      <c r="DT190" s="177"/>
      <c r="DU190" s="177"/>
      <c r="DV190" s="177"/>
      <c r="DW190" s="177"/>
      <c r="DX190" s="177"/>
      <c r="DY190" s="177"/>
      <c r="DZ190" s="177"/>
      <c r="EA190" s="177"/>
      <c r="EB190" s="177"/>
      <c r="EC190" s="177"/>
      <c r="ED190" s="177"/>
    </row>
    <row r="191" spans="3:134" ht="13" customHeight="1">
      <c r="C191" s="200"/>
      <c r="D191" s="200"/>
      <c r="E191" s="200"/>
      <c r="F191" s="220"/>
      <c r="G191" s="201"/>
      <c r="H191" s="202"/>
      <c r="I191" s="339" t="str" cm="1">
        <f t="array" aca="1" ref="I19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91" s="203" t="str" cm="1">
        <f t="array" ref="J191">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191" s="96"/>
      <c r="L191" s="96"/>
      <c r="M191" s="96" t="s">
        <v>375</v>
      </c>
      <c r="N191" s="96" t="str" cm="1">
        <f t="array" ref="N191">IF(OR(PptoSty[[#This Row],[Project]]="",PptoSty[[#This Row],[Project]]="X"),"X",_xlfn._xlws.FILTER(TbAssign[RowId],(TbAssign[Project]=PptoSty[[#This Row],[Project]])*(TbAssign[Módulo]=PptoSty[[#This Row],[PptoVsRow]]),"X"))</f>
        <v>X</v>
      </c>
      <c r="O191" s="96" t="str" cm="1">
        <f t="array" ref="O191">IF(OR(PptoSty[[#This Row],[Project]]="",PptoSty[[#This Row],[Project]]="X"),"X",_xlfn.UNIQUE(_xlfn._xlws.FILTER(F_RT14[Amortz.],(F_RT14[Measure]="CurPpto")*(F_RT14[PrjId]=PptoSty[[#This Row],[Project]])*(F_RT14[Vrs]=PptoSty[[#This Row],[Vrs]])*(_xlfn.TEXTAFTER(F_RT14[ActGrp],":")=PptoSty[[#This Row],[PiRow]]),"X")))</f>
        <v>X</v>
      </c>
      <c r="P191" s="96"/>
      <c r="Q191" s="96"/>
      <c r="R191" s="204" t="s">
        <v>403</v>
      </c>
      <c r="S191" s="204">
        <v>1</v>
      </c>
      <c r="T191" s="205" t="str" cm="1">
        <f t="array" aca="1" ref="T19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91" s="206" t="str" cm="1">
        <f t="array" aca="1" ref="U191" ca="1">IFERROR((1/PptoSty[[#This Row],[Division]])*IF(PptoSty[[#This Row],[Sign]]="+",1,-1)*(IF(PptoSty[[#This Row],[POvsCT]]="PO",SUM(_xlfn.CHOOSECOLS(_xlfn._xlws.FILTER(F_RT14[],(IF($M191="X",TRUE,F_RT14[Site]=$M191))*(F_RT14[Measure]=U$4)*(F_RT14[PrjId]=PptoSty[[#This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91" s="206" cm="1">
        <f t="array" aca="1" ref="V191" ca="1">IFERROR((1/PptoSty[[#This Row],[Division]])*IF(PptoSty[[#This Row],[Sign]]="+",1,-1)*(IF(PptoSty[[#This Row],[POvsCT]]="PO",SUM(_xlfn.CHOOSECOLS(_xlfn._xlws.FILTER(F_RT14[],(IF($M191="X",TRUE,F_RT14[Site]=$M191))*(F_RT14[Measure]=V$4)*(F_RT14[PrjId]=PptoSty[[#This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91" s="206" cm="1">
        <f t="array" aca="1" ref="W191" ca="1">IFERROR((1/PptoSty[[#This Row],[Division]])*IF(PptoSty[[#This Row],[Sign]]="+",1,-1)*(IF(PptoSty[[#This Row],[POvsCT]]="PO",SUM(_xlfn.CHOOSECOLS(_xlfn._xlws.FILTER(F_RT14[],(IF($M191="X",TRUE,F_RT14[Site]=$M191))*(F_RT14[Measure]=W$4)*(F_RT14[PrjId]=PptoSty[[#This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91" s="338" cm="1">
        <f t="array" ref="X191">IFERROR(IF(PptoSty[[#This Row],[Nature]]&lt;&gt;"Hrs",0,(1/PptoSty[[#This Row],[Division]])*IF(PptoSty[[#This Row],[Sign]]="+",1,-1)*(IF(PptoSty[[#This Row],[POvsCT]]="PO",SUM(_xlfn.CHOOSECOLS(_xlfn._xlws.FILTER(F_RT14[],(IF($M191="X",TRUE,F_RT14[Site]=$M191))*(F_RT14[Measure]=X$4)*(F_RT14[PrjId]=PptoSty[[#This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91" s="338" cm="1">
        <f t="array" ref="Y191">IFERROR(IF(PptoSty[[#This Row],[Nature]]&lt;&gt;"Hrs",0,(1/PptoSty[[#This Row],[Division]])*IF(PptoSty[[#This Row],[Sign]]="+",1,-1)*(IF(PptoSty[[#This Row],[POvsCT]]="PO",SUM(_xlfn.CHOOSECOLS(_xlfn._xlws.FILTER(F_RT14[],(IF($M191="X",TRUE,F_RT14[Site]=$M191))*(F_RT14[Measure]=Y$4)*(F_RT14[PrjId]=PptoSty[[#This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91" s="338" cm="1">
        <f t="array" ref="Z191">IFERROR(IF(PptoSty[[#This Row],[Nature]]&lt;&gt;"Hrs",0,(1/PptoSty[[#This Row],[Division]])*IF(PptoSty[[#This Row],[Sign]]="+",1,-1)*(IF(PptoSty[[#This Row],[POvsCT]]="PO",SUM(_xlfn.CHOOSECOLS(_xlfn._xlws.FILTER(F_RT14[],(IF($M191="X",TRUE,F_RT14[Site]=$M191))*(F_RT14[Measure]=Z$4)*(F_RT14[PrjId]=PptoSty[[#This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91" s="206" cm="1">
        <f t="array" aca="1" ref="AA191"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191" s="206" cm="1">
        <f t="array" aca="1" ref="AB191"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91" s="206" cm="1">
        <f t="array" aca="1" ref="AC191"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191"/>
      <c r="AH191"/>
      <c r="AI191"/>
      <c r="AK191" s="113"/>
      <c r="AO191"/>
      <c r="AP191"/>
      <c r="AZ191" s="175"/>
      <c r="BA191" s="175"/>
      <c r="BE191"/>
      <c r="BF191"/>
      <c r="DG191" s="175"/>
      <c r="DH191" s="175"/>
      <c r="DI191" s="175"/>
      <c r="DL191" s="108"/>
      <c r="DM191" s="366" t="str" cm="1">
        <f t="array" aca="1" ref="DM191"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191" s="177" t="s">
        <v>375</v>
      </c>
      <c r="DO191" s="177" t="str" cm="1">
        <f t="array" aca="1" ref="DO191"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91" s="177"/>
      <c r="DQ191" s="177"/>
      <c r="DR191" s="177"/>
      <c r="DS191" s="177"/>
      <c r="DT191" s="177"/>
      <c r="DU191" s="177"/>
      <c r="DV191" s="177"/>
      <c r="DW191" s="177"/>
      <c r="DX191" s="177"/>
      <c r="DY191" s="177"/>
      <c r="DZ191" s="177"/>
      <c r="EA191" s="177"/>
      <c r="EB191" s="177"/>
      <c r="EC191" s="177"/>
      <c r="ED191" s="177"/>
    </row>
    <row r="192" spans="3:134" ht="13" customHeight="1">
      <c r="C192" s="200"/>
      <c r="D192" s="200"/>
      <c r="E192" s="200"/>
      <c r="F192" s="220"/>
      <c r="G192" s="201"/>
      <c r="H192" s="202"/>
      <c r="I192" s="339" t="str" cm="1">
        <f t="array" aca="1" ref="I19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92" s="203" t="str" cm="1">
        <f t="array" ref="J192">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192" s="96"/>
      <c r="L192" s="96"/>
      <c r="M192" s="96" t="s">
        <v>375</v>
      </c>
      <c r="N192" s="96" t="str" cm="1">
        <f t="array" ref="N192">IF(OR(PptoSty[[#This Row],[Project]]="",PptoSty[[#This Row],[Project]]="X"),"X",_xlfn._xlws.FILTER(TbAssign[RowId],(TbAssign[Project]=PptoSty[[#This Row],[Project]])*(TbAssign[Módulo]=PptoSty[[#This Row],[PptoVsRow]]),"X"))</f>
        <v>X</v>
      </c>
      <c r="O192" s="96" t="str" cm="1">
        <f t="array" ref="O192">IF(OR(PptoSty[[#This Row],[Project]]="",PptoSty[[#This Row],[Project]]="X"),"X",_xlfn.UNIQUE(_xlfn._xlws.FILTER(F_RT14[Amortz.],(F_RT14[Measure]="CurPpto")*(F_RT14[PrjId]=PptoSty[[#This Row],[Project]])*(F_RT14[Vrs]=PptoSty[[#This Row],[Vrs]])*(_xlfn.TEXTAFTER(F_RT14[ActGrp],":")=PptoSty[[#This Row],[PiRow]]),"X")))</f>
        <v>X</v>
      </c>
      <c r="P192" s="96"/>
      <c r="Q192" s="96"/>
      <c r="R192" s="204" t="s">
        <v>403</v>
      </c>
      <c r="S192" s="204">
        <v>1</v>
      </c>
      <c r="T192" s="205" t="str" cm="1">
        <f t="array" aca="1" ref="T19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92" s="206" t="str" cm="1">
        <f t="array" aca="1" ref="U192" ca="1">IFERROR((1/PptoSty[[#This Row],[Division]])*IF(PptoSty[[#This Row],[Sign]]="+",1,-1)*(IF(PptoSty[[#This Row],[POvsCT]]="PO",SUM(_xlfn.CHOOSECOLS(_xlfn._xlws.FILTER(F_RT14[],(IF($M192="X",TRUE,F_RT14[Site]=$M192))*(F_RT14[Measure]=U$4)*(F_RT14[PrjId]=PptoSty[[#This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92" s="206" cm="1">
        <f t="array" aca="1" ref="V192" ca="1">IFERROR((1/PptoSty[[#This Row],[Division]])*IF(PptoSty[[#This Row],[Sign]]="+",1,-1)*(IF(PptoSty[[#This Row],[POvsCT]]="PO",SUM(_xlfn.CHOOSECOLS(_xlfn._xlws.FILTER(F_RT14[],(IF($M192="X",TRUE,F_RT14[Site]=$M192))*(F_RT14[Measure]=V$4)*(F_RT14[PrjId]=PptoSty[[#This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92" s="206" cm="1">
        <f t="array" aca="1" ref="W192" ca="1">IFERROR((1/PptoSty[[#This Row],[Division]])*IF(PptoSty[[#This Row],[Sign]]="+",1,-1)*(IF(PptoSty[[#This Row],[POvsCT]]="PO",SUM(_xlfn.CHOOSECOLS(_xlfn._xlws.FILTER(F_RT14[],(IF($M192="X",TRUE,F_RT14[Site]=$M192))*(F_RT14[Measure]=W$4)*(F_RT14[PrjId]=PptoSty[[#This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92" s="338" cm="1">
        <f t="array" ref="X192">IFERROR(IF(PptoSty[[#This Row],[Nature]]&lt;&gt;"Hrs",0,(1/PptoSty[[#This Row],[Division]])*IF(PptoSty[[#This Row],[Sign]]="+",1,-1)*(IF(PptoSty[[#This Row],[POvsCT]]="PO",SUM(_xlfn.CHOOSECOLS(_xlfn._xlws.FILTER(F_RT14[],(IF($M192="X",TRUE,F_RT14[Site]=$M192))*(F_RT14[Measure]=X$4)*(F_RT14[PrjId]=PptoSty[[#This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92" s="338" cm="1">
        <f t="array" ref="Y192">IFERROR(IF(PptoSty[[#This Row],[Nature]]&lt;&gt;"Hrs",0,(1/PptoSty[[#This Row],[Division]])*IF(PptoSty[[#This Row],[Sign]]="+",1,-1)*(IF(PptoSty[[#This Row],[POvsCT]]="PO",SUM(_xlfn.CHOOSECOLS(_xlfn._xlws.FILTER(F_RT14[],(IF($M192="X",TRUE,F_RT14[Site]=$M192))*(F_RT14[Measure]=Y$4)*(F_RT14[PrjId]=PptoSty[[#This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92" s="338" cm="1">
        <f t="array" ref="Z192">IFERROR(IF(PptoSty[[#This Row],[Nature]]&lt;&gt;"Hrs",0,(1/PptoSty[[#This Row],[Division]])*IF(PptoSty[[#This Row],[Sign]]="+",1,-1)*(IF(PptoSty[[#This Row],[POvsCT]]="PO",SUM(_xlfn.CHOOSECOLS(_xlfn._xlws.FILTER(F_RT14[],(IF($M192="X",TRUE,F_RT14[Site]=$M192))*(F_RT14[Measure]=Z$4)*(F_RT14[PrjId]=PptoSty[[#This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92" s="206" cm="1">
        <f t="array" aca="1" ref="AA192"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192" s="206" cm="1">
        <f t="array" aca="1" ref="AB192"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92" s="206" cm="1">
        <f t="array" aca="1" ref="AC192"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192"/>
      <c r="AH192"/>
      <c r="AI192"/>
      <c r="AK192" s="113"/>
      <c r="AO192"/>
      <c r="AP192"/>
      <c r="AZ192" s="175"/>
      <c r="BA192" s="175"/>
      <c r="BE192"/>
      <c r="BF192"/>
      <c r="DG192" s="175"/>
      <c r="DH192" s="175"/>
      <c r="DI192" s="175"/>
      <c r="DL192" s="108"/>
      <c r="DM192" s="366" t="str" cm="1">
        <f t="array" aca="1" ref="DM192"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192" s="177" t="s">
        <v>375</v>
      </c>
      <c r="DO192" s="177" t="str" cm="1">
        <f t="array" aca="1" ref="DO192"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92" s="177"/>
      <c r="DQ192" s="177"/>
      <c r="DR192" s="177"/>
      <c r="DS192" s="177"/>
      <c r="DT192" s="177"/>
      <c r="DU192" s="177"/>
      <c r="DV192" s="177"/>
      <c r="DW192" s="177"/>
      <c r="DX192" s="177"/>
      <c r="DY192" s="177"/>
      <c r="DZ192" s="177"/>
      <c r="EA192" s="177"/>
      <c r="EB192" s="177"/>
      <c r="EC192" s="177"/>
      <c r="ED192" s="177"/>
    </row>
    <row r="193" spans="3:134" ht="13" customHeight="1">
      <c r="C193" s="200"/>
      <c r="D193" s="200"/>
      <c r="E193" s="200"/>
      <c r="F193" s="220"/>
      <c r="G193" s="201"/>
      <c r="H193" s="202"/>
      <c r="I193" s="339" t="str" cm="1">
        <f t="array" aca="1" ref="I19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93" s="203" t="str" cm="1">
        <f t="array" ref="J193">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193" s="96"/>
      <c r="L193" s="96"/>
      <c r="M193" s="96" t="s">
        <v>375</v>
      </c>
      <c r="N193" s="96" t="str" cm="1">
        <f t="array" ref="N193">IF(OR(PptoSty[[#This Row],[Project]]="",PptoSty[[#This Row],[Project]]="X"),"X",_xlfn._xlws.FILTER(TbAssign[RowId],(TbAssign[Project]=PptoSty[[#This Row],[Project]])*(TbAssign[Módulo]=PptoSty[[#This Row],[PptoVsRow]]),"X"))</f>
        <v>X</v>
      </c>
      <c r="O193" s="96" t="str" cm="1">
        <f t="array" ref="O193">IF(OR(PptoSty[[#This Row],[Project]]="",PptoSty[[#This Row],[Project]]="X"),"X",_xlfn.UNIQUE(_xlfn._xlws.FILTER(F_RT14[Amortz.],(F_RT14[Measure]="CurPpto")*(F_RT14[PrjId]=PptoSty[[#This Row],[Project]])*(F_RT14[Vrs]=PptoSty[[#This Row],[Vrs]])*(_xlfn.TEXTAFTER(F_RT14[ActGrp],":")=PptoSty[[#This Row],[PiRow]]),"X")))</f>
        <v>X</v>
      </c>
      <c r="P193" s="96"/>
      <c r="Q193" s="96"/>
      <c r="R193" s="204" t="s">
        <v>403</v>
      </c>
      <c r="S193" s="204">
        <v>1</v>
      </c>
      <c r="T193" s="205" t="str" cm="1">
        <f t="array" aca="1" ref="T19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93" s="206" t="str" cm="1">
        <f t="array" aca="1" ref="U193" ca="1">IFERROR((1/PptoSty[[#This Row],[Division]])*IF(PptoSty[[#This Row],[Sign]]="+",1,-1)*(IF(PptoSty[[#This Row],[POvsCT]]="PO",SUM(_xlfn.CHOOSECOLS(_xlfn._xlws.FILTER(F_RT14[],(IF($M193="X",TRUE,F_RT14[Site]=$M193))*(F_RT14[Measure]=U$4)*(F_RT14[PrjId]=PptoSty[[#This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93" s="206" cm="1">
        <f t="array" aca="1" ref="V193" ca="1">IFERROR((1/PptoSty[[#This Row],[Division]])*IF(PptoSty[[#This Row],[Sign]]="+",1,-1)*(IF(PptoSty[[#This Row],[POvsCT]]="PO",SUM(_xlfn.CHOOSECOLS(_xlfn._xlws.FILTER(F_RT14[],(IF($M193="X",TRUE,F_RT14[Site]=$M193))*(F_RT14[Measure]=V$4)*(F_RT14[PrjId]=PptoSty[[#This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93" s="206" cm="1">
        <f t="array" aca="1" ref="W193" ca="1">IFERROR((1/PptoSty[[#This Row],[Division]])*IF(PptoSty[[#This Row],[Sign]]="+",1,-1)*(IF(PptoSty[[#This Row],[POvsCT]]="PO",SUM(_xlfn.CHOOSECOLS(_xlfn._xlws.FILTER(F_RT14[],(IF($M193="X",TRUE,F_RT14[Site]=$M193))*(F_RT14[Measure]=W$4)*(F_RT14[PrjId]=PptoSty[[#This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93" s="338" cm="1">
        <f t="array" ref="X193">IFERROR(IF(PptoSty[[#This Row],[Nature]]&lt;&gt;"Hrs",0,(1/PptoSty[[#This Row],[Division]])*IF(PptoSty[[#This Row],[Sign]]="+",1,-1)*(IF(PptoSty[[#This Row],[POvsCT]]="PO",SUM(_xlfn.CHOOSECOLS(_xlfn._xlws.FILTER(F_RT14[],(IF($M193="X",TRUE,F_RT14[Site]=$M193))*(F_RT14[Measure]=X$4)*(F_RT14[PrjId]=PptoSty[[#This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93" s="338" cm="1">
        <f t="array" ref="Y193">IFERROR(IF(PptoSty[[#This Row],[Nature]]&lt;&gt;"Hrs",0,(1/PptoSty[[#This Row],[Division]])*IF(PptoSty[[#This Row],[Sign]]="+",1,-1)*(IF(PptoSty[[#This Row],[POvsCT]]="PO",SUM(_xlfn.CHOOSECOLS(_xlfn._xlws.FILTER(F_RT14[],(IF($M193="X",TRUE,F_RT14[Site]=$M193))*(F_RT14[Measure]=Y$4)*(F_RT14[PrjId]=PptoSty[[#This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93" s="338" cm="1">
        <f t="array" ref="Z193">IFERROR(IF(PptoSty[[#This Row],[Nature]]&lt;&gt;"Hrs",0,(1/PptoSty[[#This Row],[Division]])*IF(PptoSty[[#This Row],[Sign]]="+",1,-1)*(IF(PptoSty[[#This Row],[POvsCT]]="PO",SUM(_xlfn.CHOOSECOLS(_xlfn._xlws.FILTER(F_RT14[],(IF($M193="X",TRUE,F_RT14[Site]=$M193))*(F_RT14[Measure]=Z$4)*(F_RT14[PrjId]=PptoSty[[#This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93" s="206" cm="1">
        <f t="array" aca="1" ref="AA193"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193" s="206" cm="1">
        <f t="array" aca="1" ref="AB193"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93" s="206" cm="1">
        <f t="array" aca="1" ref="AC193"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193"/>
      <c r="AH193"/>
      <c r="AI193"/>
      <c r="AK193" s="113"/>
      <c r="AO193"/>
      <c r="AP193"/>
      <c r="AZ193" s="175"/>
      <c r="BA193" s="175"/>
      <c r="BE193"/>
      <c r="BF193"/>
      <c r="DG193" s="175"/>
      <c r="DH193" s="175"/>
      <c r="DI193" s="175"/>
      <c r="DL193" s="108"/>
      <c r="DM193" s="366" t="str" cm="1">
        <f t="array" aca="1" ref="DM193"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193" s="177" t="s">
        <v>375</v>
      </c>
      <c r="DO193" s="177" t="str" cm="1">
        <f t="array" aca="1" ref="DO193"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93" s="177"/>
      <c r="DQ193" s="177"/>
      <c r="DR193" s="177"/>
      <c r="DS193" s="177"/>
      <c r="DT193" s="177"/>
      <c r="DU193" s="177"/>
      <c r="DV193" s="177"/>
      <c r="DW193" s="177"/>
      <c r="DX193" s="177"/>
      <c r="DY193" s="177"/>
      <c r="DZ193" s="177"/>
      <c r="EA193" s="177"/>
      <c r="EB193" s="177"/>
      <c r="EC193" s="177"/>
      <c r="ED193" s="177"/>
    </row>
    <row r="194" spans="3:134" ht="13" customHeight="1">
      <c r="C194" s="200"/>
      <c r="D194" s="200"/>
      <c r="E194" s="200"/>
      <c r="F194" s="220"/>
      <c r="G194" s="201"/>
      <c r="H194" s="202"/>
      <c r="I194" s="339" t="str" cm="1">
        <f t="array" aca="1" ref="I19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94" s="203" t="str" cm="1">
        <f t="array" ref="J194">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194" s="96"/>
      <c r="L194" s="96"/>
      <c r="M194" s="96" t="s">
        <v>375</v>
      </c>
      <c r="N194" s="96" t="str" cm="1">
        <f t="array" ref="N194">IF(OR(PptoSty[[#This Row],[Project]]="",PptoSty[[#This Row],[Project]]="X"),"X",_xlfn._xlws.FILTER(TbAssign[RowId],(TbAssign[Project]=PptoSty[[#This Row],[Project]])*(TbAssign[Módulo]=PptoSty[[#This Row],[PptoVsRow]]),"X"))</f>
        <v>X</v>
      </c>
      <c r="O194" s="96" t="str" cm="1">
        <f t="array" ref="O194">IF(OR(PptoSty[[#This Row],[Project]]="",PptoSty[[#This Row],[Project]]="X"),"X",_xlfn.UNIQUE(_xlfn._xlws.FILTER(F_RT14[Amortz.],(F_RT14[Measure]="CurPpto")*(F_RT14[PrjId]=PptoSty[[#This Row],[Project]])*(F_RT14[Vrs]=PptoSty[[#This Row],[Vrs]])*(_xlfn.TEXTAFTER(F_RT14[ActGrp],":")=PptoSty[[#This Row],[PiRow]]),"X")))</f>
        <v>X</v>
      </c>
      <c r="P194" s="96"/>
      <c r="Q194" s="96"/>
      <c r="R194" s="204" t="s">
        <v>403</v>
      </c>
      <c r="S194" s="204">
        <v>1</v>
      </c>
      <c r="T194" s="205" t="str" cm="1">
        <f t="array" aca="1" ref="T19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94" s="206" t="str" cm="1">
        <f t="array" aca="1" ref="U194" ca="1">IFERROR((1/PptoSty[[#This Row],[Division]])*IF(PptoSty[[#This Row],[Sign]]="+",1,-1)*(IF(PptoSty[[#This Row],[POvsCT]]="PO",SUM(_xlfn.CHOOSECOLS(_xlfn._xlws.FILTER(F_RT14[],(IF($M194="X",TRUE,F_RT14[Site]=$M194))*(F_RT14[Measure]=U$4)*(F_RT14[PrjId]=PptoSty[[#This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94" s="206" cm="1">
        <f t="array" aca="1" ref="V194" ca="1">IFERROR((1/PptoSty[[#This Row],[Division]])*IF(PptoSty[[#This Row],[Sign]]="+",1,-1)*(IF(PptoSty[[#This Row],[POvsCT]]="PO",SUM(_xlfn.CHOOSECOLS(_xlfn._xlws.FILTER(F_RT14[],(IF($M194="X",TRUE,F_RT14[Site]=$M194))*(F_RT14[Measure]=V$4)*(F_RT14[PrjId]=PptoSty[[#This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94" s="206" cm="1">
        <f t="array" aca="1" ref="W194" ca="1">IFERROR((1/PptoSty[[#This Row],[Division]])*IF(PptoSty[[#This Row],[Sign]]="+",1,-1)*(IF(PptoSty[[#This Row],[POvsCT]]="PO",SUM(_xlfn.CHOOSECOLS(_xlfn._xlws.FILTER(F_RT14[],(IF($M194="X",TRUE,F_RT14[Site]=$M194))*(F_RT14[Measure]=W$4)*(F_RT14[PrjId]=PptoSty[[#This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94" s="338" cm="1">
        <f t="array" ref="X194">IFERROR(IF(PptoSty[[#This Row],[Nature]]&lt;&gt;"Hrs",0,(1/PptoSty[[#This Row],[Division]])*IF(PptoSty[[#This Row],[Sign]]="+",1,-1)*(IF(PptoSty[[#This Row],[POvsCT]]="PO",SUM(_xlfn.CHOOSECOLS(_xlfn._xlws.FILTER(F_RT14[],(IF($M194="X",TRUE,F_RT14[Site]=$M194))*(F_RT14[Measure]=X$4)*(F_RT14[PrjId]=PptoSty[[#This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94" s="338" cm="1">
        <f t="array" ref="Y194">IFERROR(IF(PptoSty[[#This Row],[Nature]]&lt;&gt;"Hrs",0,(1/PptoSty[[#This Row],[Division]])*IF(PptoSty[[#This Row],[Sign]]="+",1,-1)*(IF(PptoSty[[#This Row],[POvsCT]]="PO",SUM(_xlfn.CHOOSECOLS(_xlfn._xlws.FILTER(F_RT14[],(IF($M194="X",TRUE,F_RT14[Site]=$M194))*(F_RT14[Measure]=Y$4)*(F_RT14[PrjId]=PptoSty[[#This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94" s="338" cm="1">
        <f t="array" ref="Z194">IFERROR(IF(PptoSty[[#This Row],[Nature]]&lt;&gt;"Hrs",0,(1/PptoSty[[#This Row],[Division]])*IF(PptoSty[[#This Row],[Sign]]="+",1,-1)*(IF(PptoSty[[#This Row],[POvsCT]]="PO",SUM(_xlfn.CHOOSECOLS(_xlfn._xlws.FILTER(F_RT14[],(IF($M194="X",TRUE,F_RT14[Site]=$M194))*(F_RT14[Measure]=Z$4)*(F_RT14[PrjId]=PptoSty[[#This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94" s="206" cm="1">
        <f t="array" aca="1" ref="AA194"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194" s="206" cm="1">
        <f t="array" aca="1" ref="AB194"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94" s="206" cm="1">
        <f t="array" aca="1" ref="AC194"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194"/>
      <c r="AH194"/>
      <c r="AI194"/>
      <c r="AK194" s="113"/>
      <c r="AO194"/>
      <c r="AP194"/>
      <c r="AZ194" s="175"/>
      <c r="BA194" s="175"/>
      <c r="BE194"/>
      <c r="BF194"/>
      <c r="DG194" s="175"/>
      <c r="DH194" s="175"/>
      <c r="DI194" s="175"/>
      <c r="DL194" s="108"/>
      <c r="DM194" s="366" t="str" cm="1">
        <f t="array" aca="1" ref="DM194"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194" s="177" t="s">
        <v>375</v>
      </c>
      <c r="DO194" s="177" t="str" cm="1">
        <f t="array" aca="1" ref="DO194"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94" s="177"/>
      <c r="DQ194" s="177"/>
      <c r="DR194" s="177"/>
      <c r="DS194" s="177"/>
      <c r="DT194" s="177"/>
      <c r="DU194" s="177"/>
      <c r="DV194" s="177"/>
      <c r="DW194" s="177"/>
      <c r="DX194" s="177"/>
      <c r="DY194" s="177"/>
      <c r="DZ194" s="177"/>
      <c r="EA194" s="177"/>
      <c r="EB194" s="177"/>
      <c r="EC194" s="177"/>
      <c r="ED194" s="177"/>
    </row>
    <row r="195" spans="3:134" ht="13" customHeight="1">
      <c r="C195" s="200"/>
      <c r="D195" s="200"/>
      <c r="E195" s="200"/>
      <c r="F195" s="220"/>
      <c r="G195" s="201"/>
      <c r="H195" s="202"/>
      <c r="I195" s="339" t="str" cm="1">
        <f t="array" aca="1" ref="I19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95" s="203" t="str" cm="1">
        <f t="array" ref="J195">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195" s="96"/>
      <c r="L195" s="96"/>
      <c r="M195" s="96" t="s">
        <v>375</v>
      </c>
      <c r="N195" s="96" t="str" cm="1">
        <f t="array" ref="N195">IF(OR(PptoSty[[#This Row],[Project]]="",PptoSty[[#This Row],[Project]]="X"),"X",_xlfn._xlws.FILTER(TbAssign[RowId],(TbAssign[Project]=PptoSty[[#This Row],[Project]])*(TbAssign[Módulo]=PptoSty[[#This Row],[PptoVsRow]]),"X"))</f>
        <v>X</v>
      </c>
      <c r="O195" s="96" t="str" cm="1">
        <f t="array" ref="O195">IF(OR(PptoSty[[#This Row],[Project]]="",PptoSty[[#This Row],[Project]]="X"),"X",_xlfn.UNIQUE(_xlfn._xlws.FILTER(F_RT14[Amortz.],(F_RT14[Measure]="CurPpto")*(F_RT14[PrjId]=PptoSty[[#This Row],[Project]])*(F_RT14[Vrs]=PptoSty[[#This Row],[Vrs]])*(_xlfn.TEXTAFTER(F_RT14[ActGrp],":")=PptoSty[[#This Row],[PiRow]]),"X")))</f>
        <v>X</v>
      </c>
      <c r="P195" s="96"/>
      <c r="Q195" s="96"/>
      <c r="R195" s="204" t="s">
        <v>403</v>
      </c>
      <c r="S195" s="204">
        <v>1</v>
      </c>
      <c r="T195" s="205" t="str" cm="1">
        <f t="array" aca="1" ref="T19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95" s="206" t="str" cm="1">
        <f t="array" aca="1" ref="U195" ca="1">IFERROR((1/PptoSty[[#This Row],[Division]])*IF(PptoSty[[#This Row],[Sign]]="+",1,-1)*(IF(PptoSty[[#This Row],[POvsCT]]="PO",SUM(_xlfn.CHOOSECOLS(_xlfn._xlws.FILTER(F_RT14[],(IF($M195="X",TRUE,F_RT14[Site]=$M195))*(F_RT14[Measure]=U$4)*(F_RT14[PrjId]=PptoSty[[#This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95" s="206" cm="1">
        <f t="array" aca="1" ref="V195" ca="1">IFERROR((1/PptoSty[[#This Row],[Division]])*IF(PptoSty[[#This Row],[Sign]]="+",1,-1)*(IF(PptoSty[[#This Row],[POvsCT]]="PO",SUM(_xlfn.CHOOSECOLS(_xlfn._xlws.FILTER(F_RT14[],(IF($M195="X",TRUE,F_RT14[Site]=$M195))*(F_RT14[Measure]=V$4)*(F_RT14[PrjId]=PptoSty[[#This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95" s="206" cm="1">
        <f t="array" aca="1" ref="W195" ca="1">IFERROR((1/PptoSty[[#This Row],[Division]])*IF(PptoSty[[#This Row],[Sign]]="+",1,-1)*(IF(PptoSty[[#This Row],[POvsCT]]="PO",SUM(_xlfn.CHOOSECOLS(_xlfn._xlws.FILTER(F_RT14[],(IF($M195="X",TRUE,F_RT14[Site]=$M195))*(F_RT14[Measure]=W$4)*(F_RT14[PrjId]=PptoSty[[#This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95" s="338" cm="1">
        <f t="array" ref="X195">IFERROR(IF(PptoSty[[#This Row],[Nature]]&lt;&gt;"Hrs",0,(1/PptoSty[[#This Row],[Division]])*IF(PptoSty[[#This Row],[Sign]]="+",1,-1)*(IF(PptoSty[[#This Row],[POvsCT]]="PO",SUM(_xlfn.CHOOSECOLS(_xlfn._xlws.FILTER(F_RT14[],(IF($M195="X",TRUE,F_RT14[Site]=$M195))*(F_RT14[Measure]=X$4)*(F_RT14[PrjId]=PptoSty[[#This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95" s="338" cm="1">
        <f t="array" ref="Y195">IFERROR(IF(PptoSty[[#This Row],[Nature]]&lt;&gt;"Hrs",0,(1/PptoSty[[#This Row],[Division]])*IF(PptoSty[[#This Row],[Sign]]="+",1,-1)*(IF(PptoSty[[#This Row],[POvsCT]]="PO",SUM(_xlfn.CHOOSECOLS(_xlfn._xlws.FILTER(F_RT14[],(IF($M195="X",TRUE,F_RT14[Site]=$M195))*(F_RT14[Measure]=Y$4)*(F_RT14[PrjId]=PptoSty[[#This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95" s="338" cm="1">
        <f t="array" ref="Z195">IFERROR(IF(PptoSty[[#This Row],[Nature]]&lt;&gt;"Hrs",0,(1/PptoSty[[#This Row],[Division]])*IF(PptoSty[[#This Row],[Sign]]="+",1,-1)*(IF(PptoSty[[#This Row],[POvsCT]]="PO",SUM(_xlfn.CHOOSECOLS(_xlfn._xlws.FILTER(F_RT14[],(IF($M195="X",TRUE,F_RT14[Site]=$M195))*(F_RT14[Measure]=Z$4)*(F_RT14[PrjId]=PptoSty[[#This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95" s="206" cm="1">
        <f t="array" aca="1" ref="AA195"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195" s="206" cm="1">
        <f t="array" aca="1" ref="AB195"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95" s="206" cm="1">
        <f t="array" aca="1" ref="AC195"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195"/>
      <c r="AH195"/>
      <c r="AI195"/>
      <c r="AK195" s="113"/>
      <c r="AO195"/>
      <c r="AP195"/>
      <c r="AZ195" s="175"/>
      <c r="BA195" s="175"/>
      <c r="BE195"/>
      <c r="BF195"/>
      <c r="DG195" s="175"/>
      <c r="DH195" s="175"/>
      <c r="DI195" s="175"/>
      <c r="DL195" s="108"/>
      <c r="DM195" s="366" t="str" cm="1">
        <f t="array" aca="1" ref="DM19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195" s="177" t="s">
        <v>375</v>
      </c>
      <c r="DO195" s="177" t="str" cm="1">
        <f t="array" aca="1" ref="DO19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95" s="177"/>
      <c r="DQ195" s="177"/>
      <c r="DR195" s="177"/>
      <c r="DS195" s="177"/>
      <c r="DT195" s="177"/>
      <c r="DU195" s="177"/>
      <c r="DV195" s="177"/>
      <c r="DW195" s="177"/>
      <c r="DX195" s="177"/>
      <c r="DY195" s="177"/>
      <c r="DZ195" s="177"/>
      <c r="EA195" s="177"/>
      <c r="EB195" s="177"/>
      <c r="EC195" s="177"/>
      <c r="ED195" s="177"/>
    </row>
    <row r="196" spans="3:134" ht="13" customHeight="1">
      <c r="C196" s="200"/>
      <c r="D196" s="200"/>
      <c r="E196" s="200"/>
      <c r="F196" s="220"/>
      <c r="G196" s="201"/>
      <c r="H196" s="202"/>
      <c r="I196" s="339" t="str" cm="1">
        <f t="array" aca="1" ref="I19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96" s="203" t="str" cm="1">
        <f t="array" ref="J196">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196" s="96"/>
      <c r="L196" s="96"/>
      <c r="M196" s="96" t="s">
        <v>375</v>
      </c>
      <c r="N196" s="96" t="str" cm="1">
        <f t="array" ref="N196">IF(OR(PptoSty[[#This Row],[Project]]="",PptoSty[[#This Row],[Project]]="X"),"X",_xlfn._xlws.FILTER(TbAssign[RowId],(TbAssign[Project]=PptoSty[[#This Row],[Project]])*(TbAssign[Módulo]=PptoSty[[#This Row],[PptoVsRow]]),"X"))</f>
        <v>X</v>
      </c>
      <c r="O196" s="96" t="str" cm="1">
        <f t="array" ref="O196">IF(OR(PptoSty[[#This Row],[Project]]="",PptoSty[[#This Row],[Project]]="X"),"X",_xlfn.UNIQUE(_xlfn._xlws.FILTER(F_RT14[Amortz.],(F_RT14[Measure]="CurPpto")*(F_RT14[PrjId]=PptoSty[[#This Row],[Project]])*(F_RT14[Vrs]=PptoSty[[#This Row],[Vrs]])*(_xlfn.TEXTAFTER(F_RT14[ActGrp],":")=PptoSty[[#This Row],[PiRow]]),"X")))</f>
        <v>X</v>
      </c>
      <c r="P196" s="96"/>
      <c r="Q196" s="96"/>
      <c r="R196" s="204" t="s">
        <v>403</v>
      </c>
      <c r="S196" s="204">
        <v>1</v>
      </c>
      <c r="T196" s="205" t="str" cm="1">
        <f t="array" aca="1" ref="T19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96" s="206" t="str" cm="1">
        <f t="array" aca="1" ref="U196" ca="1">IFERROR((1/PptoSty[[#This Row],[Division]])*IF(PptoSty[[#This Row],[Sign]]="+",1,-1)*(IF(PptoSty[[#This Row],[POvsCT]]="PO",SUM(_xlfn.CHOOSECOLS(_xlfn._xlws.FILTER(F_RT14[],(IF($M196="X",TRUE,F_RT14[Site]=$M196))*(F_RT14[Measure]=U$4)*(F_RT14[PrjId]=PptoSty[[#This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96" s="206" cm="1">
        <f t="array" aca="1" ref="V196" ca="1">IFERROR((1/PptoSty[[#This Row],[Division]])*IF(PptoSty[[#This Row],[Sign]]="+",1,-1)*(IF(PptoSty[[#This Row],[POvsCT]]="PO",SUM(_xlfn.CHOOSECOLS(_xlfn._xlws.FILTER(F_RT14[],(IF($M196="X",TRUE,F_RT14[Site]=$M196))*(F_RT14[Measure]=V$4)*(F_RT14[PrjId]=PptoSty[[#This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96" s="206" cm="1">
        <f t="array" aca="1" ref="W196" ca="1">IFERROR((1/PptoSty[[#This Row],[Division]])*IF(PptoSty[[#This Row],[Sign]]="+",1,-1)*(IF(PptoSty[[#This Row],[POvsCT]]="PO",SUM(_xlfn.CHOOSECOLS(_xlfn._xlws.FILTER(F_RT14[],(IF($M196="X",TRUE,F_RT14[Site]=$M196))*(F_RT14[Measure]=W$4)*(F_RT14[PrjId]=PptoSty[[#This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96" s="338" cm="1">
        <f t="array" ref="X196">IFERROR(IF(PptoSty[[#This Row],[Nature]]&lt;&gt;"Hrs",0,(1/PptoSty[[#This Row],[Division]])*IF(PptoSty[[#This Row],[Sign]]="+",1,-1)*(IF(PptoSty[[#This Row],[POvsCT]]="PO",SUM(_xlfn.CHOOSECOLS(_xlfn._xlws.FILTER(F_RT14[],(IF($M196="X",TRUE,F_RT14[Site]=$M196))*(F_RT14[Measure]=X$4)*(F_RT14[PrjId]=PptoSty[[#This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96" s="338" cm="1">
        <f t="array" ref="Y196">IFERROR(IF(PptoSty[[#This Row],[Nature]]&lt;&gt;"Hrs",0,(1/PptoSty[[#This Row],[Division]])*IF(PptoSty[[#This Row],[Sign]]="+",1,-1)*(IF(PptoSty[[#This Row],[POvsCT]]="PO",SUM(_xlfn.CHOOSECOLS(_xlfn._xlws.FILTER(F_RT14[],(IF($M196="X",TRUE,F_RT14[Site]=$M196))*(F_RT14[Measure]=Y$4)*(F_RT14[PrjId]=PptoSty[[#This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96" s="338" cm="1">
        <f t="array" ref="Z196">IFERROR(IF(PptoSty[[#This Row],[Nature]]&lt;&gt;"Hrs",0,(1/PptoSty[[#This Row],[Division]])*IF(PptoSty[[#This Row],[Sign]]="+",1,-1)*(IF(PptoSty[[#This Row],[POvsCT]]="PO",SUM(_xlfn.CHOOSECOLS(_xlfn._xlws.FILTER(F_RT14[],(IF($M196="X",TRUE,F_RT14[Site]=$M196))*(F_RT14[Measure]=Z$4)*(F_RT14[PrjId]=PptoSty[[#This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96" s="206" cm="1">
        <f t="array" aca="1" ref="AA196"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196" s="206" cm="1">
        <f t="array" aca="1" ref="AB196"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96" s="206" cm="1">
        <f t="array" aca="1" ref="AC196"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196"/>
      <c r="AH196"/>
      <c r="AI196"/>
      <c r="AK196" s="113"/>
      <c r="AO196"/>
      <c r="AP196"/>
      <c r="AZ196" s="175"/>
      <c r="BA196" s="175"/>
      <c r="BE196"/>
      <c r="BF196"/>
      <c r="DG196" s="175"/>
      <c r="DH196" s="175"/>
      <c r="DI196" s="175"/>
      <c r="DL196" s="108"/>
      <c r="DM196" s="366" t="str" cm="1">
        <f t="array" aca="1" ref="DM19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196" s="177" t="s">
        <v>375</v>
      </c>
      <c r="DO196" s="177" t="str" cm="1">
        <f t="array" aca="1" ref="DO19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96" s="177"/>
      <c r="DQ196" s="177"/>
      <c r="DR196" s="177"/>
      <c r="DS196" s="177"/>
      <c r="DT196" s="177"/>
      <c r="DU196" s="177"/>
      <c r="DV196" s="177"/>
      <c r="DW196" s="177"/>
      <c r="DX196" s="177"/>
      <c r="DY196" s="177"/>
      <c r="DZ196" s="177"/>
      <c r="EA196" s="177"/>
      <c r="EB196" s="177"/>
      <c r="EC196" s="177"/>
      <c r="ED196" s="177"/>
    </row>
    <row r="197" spans="3:134" ht="13" customHeight="1">
      <c r="C197" s="200"/>
      <c r="D197" s="200"/>
      <c r="E197" s="200"/>
      <c r="F197" s="220"/>
      <c r="G197" s="201"/>
      <c r="H197" s="202"/>
      <c r="I197" s="339" t="str" cm="1">
        <f t="array" aca="1" ref="I19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97" s="203" t="str" cm="1">
        <f t="array" ref="J197">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197" s="96"/>
      <c r="L197" s="96"/>
      <c r="M197" s="96" t="s">
        <v>375</v>
      </c>
      <c r="N197" s="96" t="str" cm="1">
        <f t="array" ref="N197">IF(OR(PptoSty[[#This Row],[Project]]="",PptoSty[[#This Row],[Project]]="X"),"X",_xlfn._xlws.FILTER(TbAssign[RowId],(TbAssign[Project]=PptoSty[[#This Row],[Project]])*(TbAssign[Módulo]=PptoSty[[#This Row],[PptoVsRow]]),"X"))</f>
        <v>X</v>
      </c>
      <c r="O197" s="96" t="str" cm="1">
        <f t="array" ref="O197">IF(OR(PptoSty[[#This Row],[Project]]="",PptoSty[[#This Row],[Project]]="X"),"X",_xlfn.UNIQUE(_xlfn._xlws.FILTER(F_RT14[Amortz.],(F_RT14[Measure]="CurPpto")*(F_RT14[PrjId]=PptoSty[[#This Row],[Project]])*(F_RT14[Vrs]=PptoSty[[#This Row],[Vrs]])*(_xlfn.TEXTAFTER(F_RT14[ActGrp],":")=PptoSty[[#This Row],[PiRow]]),"X")))</f>
        <v>X</v>
      </c>
      <c r="P197" s="96"/>
      <c r="Q197" s="96"/>
      <c r="R197" s="204" t="s">
        <v>403</v>
      </c>
      <c r="S197" s="204">
        <v>1</v>
      </c>
      <c r="T197" s="205" t="str" cm="1">
        <f t="array" aca="1" ref="T19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97" s="206" t="str" cm="1">
        <f t="array" aca="1" ref="U197" ca="1">IFERROR((1/PptoSty[[#This Row],[Division]])*IF(PptoSty[[#This Row],[Sign]]="+",1,-1)*(IF(PptoSty[[#This Row],[POvsCT]]="PO",SUM(_xlfn.CHOOSECOLS(_xlfn._xlws.FILTER(F_RT14[],(IF($M197="X",TRUE,F_RT14[Site]=$M197))*(F_RT14[Measure]=U$4)*(F_RT14[PrjId]=PptoSty[[#This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97" s="206" cm="1">
        <f t="array" aca="1" ref="V197" ca="1">IFERROR((1/PptoSty[[#This Row],[Division]])*IF(PptoSty[[#This Row],[Sign]]="+",1,-1)*(IF(PptoSty[[#This Row],[POvsCT]]="PO",SUM(_xlfn.CHOOSECOLS(_xlfn._xlws.FILTER(F_RT14[],(IF($M197="X",TRUE,F_RT14[Site]=$M197))*(F_RT14[Measure]=V$4)*(F_RT14[PrjId]=PptoSty[[#This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97" s="206" cm="1">
        <f t="array" aca="1" ref="W197" ca="1">IFERROR((1/PptoSty[[#This Row],[Division]])*IF(PptoSty[[#This Row],[Sign]]="+",1,-1)*(IF(PptoSty[[#This Row],[POvsCT]]="PO",SUM(_xlfn.CHOOSECOLS(_xlfn._xlws.FILTER(F_RT14[],(IF($M197="X",TRUE,F_RT14[Site]=$M197))*(F_RT14[Measure]=W$4)*(F_RT14[PrjId]=PptoSty[[#This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97" s="338" cm="1">
        <f t="array" ref="X197">IFERROR(IF(PptoSty[[#This Row],[Nature]]&lt;&gt;"Hrs",0,(1/PptoSty[[#This Row],[Division]])*IF(PptoSty[[#This Row],[Sign]]="+",1,-1)*(IF(PptoSty[[#This Row],[POvsCT]]="PO",SUM(_xlfn.CHOOSECOLS(_xlfn._xlws.FILTER(F_RT14[],(IF($M197="X",TRUE,F_RT14[Site]=$M197))*(F_RT14[Measure]=X$4)*(F_RT14[PrjId]=PptoSty[[#This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97" s="338" cm="1">
        <f t="array" ref="Y197">IFERROR(IF(PptoSty[[#This Row],[Nature]]&lt;&gt;"Hrs",0,(1/PptoSty[[#This Row],[Division]])*IF(PptoSty[[#This Row],[Sign]]="+",1,-1)*(IF(PptoSty[[#This Row],[POvsCT]]="PO",SUM(_xlfn.CHOOSECOLS(_xlfn._xlws.FILTER(F_RT14[],(IF($M197="X",TRUE,F_RT14[Site]=$M197))*(F_RT14[Measure]=Y$4)*(F_RT14[PrjId]=PptoSty[[#This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97" s="338" cm="1">
        <f t="array" ref="Z197">IFERROR(IF(PptoSty[[#This Row],[Nature]]&lt;&gt;"Hrs",0,(1/PptoSty[[#This Row],[Division]])*IF(PptoSty[[#This Row],[Sign]]="+",1,-1)*(IF(PptoSty[[#This Row],[POvsCT]]="PO",SUM(_xlfn.CHOOSECOLS(_xlfn._xlws.FILTER(F_RT14[],(IF($M197="X",TRUE,F_RT14[Site]=$M197))*(F_RT14[Measure]=Z$4)*(F_RT14[PrjId]=PptoSty[[#This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97" s="206" cm="1">
        <f t="array" aca="1" ref="AA197"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197" s="206" cm="1">
        <f t="array" aca="1" ref="AB197"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97" s="206" cm="1">
        <f t="array" aca="1" ref="AC197"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197"/>
      <c r="AH197"/>
      <c r="AI197"/>
      <c r="AK197" s="113"/>
      <c r="AO197"/>
      <c r="AP197"/>
      <c r="AZ197" s="175"/>
      <c r="BA197" s="175"/>
      <c r="BE197"/>
      <c r="BF197"/>
      <c r="DG197" s="175"/>
      <c r="DH197" s="175"/>
      <c r="DI197" s="175"/>
      <c r="DL197" s="108"/>
      <c r="DM197" s="366" t="str" cm="1">
        <f t="array" aca="1" ref="DM19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197" s="177" t="s">
        <v>375</v>
      </c>
      <c r="DO197" s="177" t="str" cm="1">
        <f t="array" aca="1" ref="DO19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97" s="177"/>
      <c r="DQ197" s="177"/>
      <c r="DR197" s="177"/>
      <c r="DS197" s="177"/>
      <c r="DT197" s="177"/>
      <c r="DU197" s="177"/>
      <c r="DV197" s="177"/>
      <c r="DW197" s="177"/>
      <c r="DX197" s="177"/>
      <c r="DY197" s="177"/>
      <c r="DZ197" s="177"/>
      <c r="EA197" s="177"/>
      <c r="EB197" s="177"/>
      <c r="EC197" s="177"/>
      <c r="ED197" s="177"/>
    </row>
    <row r="198" spans="3:134" ht="13" customHeight="1">
      <c r="C198" s="200"/>
      <c r="D198" s="200"/>
      <c r="E198" s="200"/>
      <c r="F198" s="220"/>
      <c r="G198" s="201"/>
      <c r="H198" s="202"/>
      <c r="I198" s="339" t="str" cm="1">
        <f t="array" aca="1" ref="I19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98" s="203" t="str" cm="1">
        <f t="array" ref="J198">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198" s="96"/>
      <c r="L198" s="96"/>
      <c r="M198" s="96" t="s">
        <v>375</v>
      </c>
      <c r="N198" s="96" t="str" cm="1">
        <f t="array" ref="N198">IF(OR(PptoSty[[#This Row],[Project]]="",PptoSty[[#This Row],[Project]]="X"),"X",_xlfn._xlws.FILTER(TbAssign[RowId],(TbAssign[Project]=PptoSty[[#This Row],[Project]])*(TbAssign[Módulo]=PptoSty[[#This Row],[PptoVsRow]]),"X"))</f>
        <v>X</v>
      </c>
      <c r="O198" s="96" t="str" cm="1">
        <f t="array" ref="O198">IF(OR(PptoSty[[#This Row],[Project]]="",PptoSty[[#This Row],[Project]]="X"),"X",_xlfn.UNIQUE(_xlfn._xlws.FILTER(F_RT14[Amortz.],(F_RT14[Measure]="CurPpto")*(F_RT14[PrjId]=PptoSty[[#This Row],[Project]])*(F_RT14[Vrs]=PptoSty[[#This Row],[Vrs]])*(_xlfn.TEXTAFTER(F_RT14[ActGrp],":")=PptoSty[[#This Row],[PiRow]]),"X")))</f>
        <v>X</v>
      </c>
      <c r="P198" s="96"/>
      <c r="Q198" s="96"/>
      <c r="R198" s="204" t="s">
        <v>403</v>
      </c>
      <c r="S198" s="204">
        <v>1</v>
      </c>
      <c r="T198" s="205" t="str" cm="1">
        <f t="array" aca="1" ref="T19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98" s="206" t="str" cm="1">
        <f t="array" aca="1" ref="U198" ca="1">IFERROR((1/PptoSty[[#This Row],[Division]])*IF(PptoSty[[#This Row],[Sign]]="+",1,-1)*(IF(PptoSty[[#This Row],[POvsCT]]="PO",SUM(_xlfn.CHOOSECOLS(_xlfn._xlws.FILTER(F_RT14[],(IF($M198="X",TRUE,F_RT14[Site]=$M198))*(F_RT14[Measure]=U$4)*(F_RT14[PrjId]=PptoSty[[#This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98" s="206" cm="1">
        <f t="array" aca="1" ref="V198" ca="1">IFERROR((1/PptoSty[[#This Row],[Division]])*IF(PptoSty[[#This Row],[Sign]]="+",1,-1)*(IF(PptoSty[[#This Row],[POvsCT]]="PO",SUM(_xlfn.CHOOSECOLS(_xlfn._xlws.FILTER(F_RT14[],(IF($M198="X",TRUE,F_RT14[Site]=$M198))*(F_RT14[Measure]=V$4)*(F_RT14[PrjId]=PptoSty[[#This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98" s="206" cm="1">
        <f t="array" aca="1" ref="W198" ca="1">IFERROR((1/PptoSty[[#This Row],[Division]])*IF(PptoSty[[#This Row],[Sign]]="+",1,-1)*(IF(PptoSty[[#This Row],[POvsCT]]="PO",SUM(_xlfn.CHOOSECOLS(_xlfn._xlws.FILTER(F_RT14[],(IF($M198="X",TRUE,F_RT14[Site]=$M198))*(F_RT14[Measure]=W$4)*(F_RT14[PrjId]=PptoSty[[#This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98" s="338" cm="1">
        <f t="array" ref="X198">IFERROR(IF(PptoSty[[#This Row],[Nature]]&lt;&gt;"Hrs",0,(1/PptoSty[[#This Row],[Division]])*IF(PptoSty[[#This Row],[Sign]]="+",1,-1)*(IF(PptoSty[[#This Row],[POvsCT]]="PO",SUM(_xlfn.CHOOSECOLS(_xlfn._xlws.FILTER(F_RT14[],(IF($M198="X",TRUE,F_RT14[Site]=$M198))*(F_RT14[Measure]=X$4)*(F_RT14[PrjId]=PptoSty[[#This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98" s="338" cm="1">
        <f t="array" ref="Y198">IFERROR(IF(PptoSty[[#This Row],[Nature]]&lt;&gt;"Hrs",0,(1/PptoSty[[#This Row],[Division]])*IF(PptoSty[[#This Row],[Sign]]="+",1,-1)*(IF(PptoSty[[#This Row],[POvsCT]]="PO",SUM(_xlfn.CHOOSECOLS(_xlfn._xlws.FILTER(F_RT14[],(IF($M198="X",TRUE,F_RT14[Site]=$M198))*(F_RT14[Measure]=Y$4)*(F_RT14[PrjId]=PptoSty[[#This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98" s="338" cm="1">
        <f t="array" ref="Z198">IFERROR(IF(PptoSty[[#This Row],[Nature]]&lt;&gt;"Hrs",0,(1/PptoSty[[#This Row],[Division]])*IF(PptoSty[[#This Row],[Sign]]="+",1,-1)*(IF(PptoSty[[#This Row],[POvsCT]]="PO",SUM(_xlfn.CHOOSECOLS(_xlfn._xlws.FILTER(F_RT14[],(IF($M198="X",TRUE,F_RT14[Site]=$M198))*(F_RT14[Measure]=Z$4)*(F_RT14[PrjId]=PptoSty[[#This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98" s="206" cm="1">
        <f t="array" aca="1" ref="AA198"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198" s="206" cm="1">
        <f t="array" aca="1" ref="AB198"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98" s="206" cm="1">
        <f t="array" aca="1" ref="AC198"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198"/>
      <c r="AH198"/>
      <c r="AI198"/>
      <c r="AK198" s="113"/>
      <c r="AO198"/>
      <c r="AP198"/>
      <c r="AZ198" s="175"/>
      <c r="BA198" s="175"/>
      <c r="BE198"/>
      <c r="BF198"/>
      <c r="DG198" s="175"/>
      <c r="DH198" s="175"/>
      <c r="DI198" s="175"/>
      <c r="DL198" s="108"/>
      <c r="DM198" s="366" t="str" cm="1">
        <f t="array" aca="1" ref="DM19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198" s="177" t="s">
        <v>375</v>
      </c>
      <c r="DO198" s="177" t="str" cm="1">
        <f t="array" aca="1" ref="DO19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98" s="177"/>
      <c r="DQ198" s="177"/>
      <c r="DR198" s="177"/>
      <c r="DS198" s="177"/>
      <c r="DT198" s="177"/>
      <c r="DU198" s="177"/>
      <c r="DV198" s="177"/>
      <c r="DW198" s="177"/>
      <c r="DX198" s="177"/>
      <c r="DY198" s="177"/>
      <c r="DZ198" s="177"/>
      <c r="EA198" s="177"/>
      <c r="EB198" s="177"/>
      <c r="EC198" s="177"/>
      <c r="ED198" s="177"/>
    </row>
    <row r="199" spans="3:134" ht="13" customHeight="1">
      <c r="C199" s="200"/>
      <c r="D199" s="200"/>
      <c r="E199" s="200"/>
      <c r="F199" s="220"/>
      <c r="G199" s="201"/>
      <c r="H199" s="202"/>
      <c r="I199" s="339" t="str" cm="1">
        <f t="array" aca="1" ref="I19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199" s="203" t="str" cm="1">
        <f t="array" ref="J199">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199" s="96"/>
      <c r="L199" s="96"/>
      <c r="M199" s="96" t="s">
        <v>375</v>
      </c>
      <c r="N199" s="96" t="str" cm="1">
        <f t="array" ref="N199">IF(OR(PptoSty[[#This Row],[Project]]="",PptoSty[[#This Row],[Project]]="X"),"X",_xlfn._xlws.FILTER(TbAssign[RowId],(TbAssign[Project]=PptoSty[[#This Row],[Project]])*(TbAssign[Módulo]=PptoSty[[#This Row],[PptoVsRow]]),"X"))</f>
        <v>X</v>
      </c>
      <c r="O199" s="96" t="str" cm="1">
        <f t="array" ref="O199">IF(OR(PptoSty[[#This Row],[Project]]="",PptoSty[[#This Row],[Project]]="X"),"X",_xlfn.UNIQUE(_xlfn._xlws.FILTER(F_RT14[Amortz.],(F_RT14[Measure]="CurPpto")*(F_RT14[PrjId]=PptoSty[[#This Row],[Project]])*(F_RT14[Vrs]=PptoSty[[#This Row],[Vrs]])*(_xlfn.TEXTAFTER(F_RT14[ActGrp],":")=PptoSty[[#This Row],[PiRow]]),"X")))</f>
        <v>X</v>
      </c>
      <c r="P199" s="96"/>
      <c r="Q199" s="96"/>
      <c r="R199" s="204" t="s">
        <v>403</v>
      </c>
      <c r="S199" s="204">
        <v>1</v>
      </c>
      <c r="T199" s="205" t="str" cm="1">
        <f t="array" aca="1" ref="T19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199" s="206" t="str" cm="1">
        <f t="array" aca="1" ref="U199" ca="1">IFERROR((1/PptoSty[[#This Row],[Division]])*IF(PptoSty[[#This Row],[Sign]]="+",1,-1)*(IF(PptoSty[[#This Row],[POvsCT]]="PO",SUM(_xlfn.CHOOSECOLS(_xlfn._xlws.FILTER(F_RT14[],(IF($M199="X",TRUE,F_RT14[Site]=$M199))*(F_RT14[Measure]=U$4)*(F_RT14[PrjId]=PptoSty[[#This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199" s="206" cm="1">
        <f t="array" aca="1" ref="V199" ca="1">IFERROR((1/PptoSty[[#This Row],[Division]])*IF(PptoSty[[#This Row],[Sign]]="+",1,-1)*(IF(PptoSty[[#This Row],[POvsCT]]="PO",SUM(_xlfn.CHOOSECOLS(_xlfn._xlws.FILTER(F_RT14[],(IF($M199="X",TRUE,F_RT14[Site]=$M199))*(F_RT14[Measure]=V$4)*(F_RT14[PrjId]=PptoSty[[#This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199" s="206" cm="1">
        <f t="array" aca="1" ref="W199" ca="1">IFERROR((1/PptoSty[[#This Row],[Division]])*IF(PptoSty[[#This Row],[Sign]]="+",1,-1)*(IF(PptoSty[[#This Row],[POvsCT]]="PO",SUM(_xlfn.CHOOSECOLS(_xlfn._xlws.FILTER(F_RT14[],(IF($M199="X",TRUE,F_RT14[Site]=$M199))*(F_RT14[Measure]=W$4)*(F_RT14[PrjId]=PptoSty[[#This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199" s="338" cm="1">
        <f t="array" ref="X199">IFERROR(IF(PptoSty[[#This Row],[Nature]]&lt;&gt;"Hrs",0,(1/PptoSty[[#This Row],[Division]])*IF(PptoSty[[#This Row],[Sign]]="+",1,-1)*(IF(PptoSty[[#This Row],[POvsCT]]="PO",SUM(_xlfn.CHOOSECOLS(_xlfn._xlws.FILTER(F_RT14[],(IF($M199="X",TRUE,F_RT14[Site]=$M199))*(F_RT14[Measure]=X$4)*(F_RT14[PrjId]=PptoSty[[#This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199" s="338" cm="1">
        <f t="array" ref="Y199">IFERROR(IF(PptoSty[[#This Row],[Nature]]&lt;&gt;"Hrs",0,(1/PptoSty[[#This Row],[Division]])*IF(PptoSty[[#This Row],[Sign]]="+",1,-1)*(IF(PptoSty[[#This Row],[POvsCT]]="PO",SUM(_xlfn.CHOOSECOLS(_xlfn._xlws.FILTER(F_RT14[],(IF($M199="X",TRUE,F_RT14[Site]=$M199))*(F_RT14[Measure]=Y$4)*(F_RT14[PrjId]=PptoSty[[#This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199" s="338" cm="1">
        <f t="array" ref="Z199">IFERROR(IF(PptoSty[[#This Row],[Nature]]&lt;&gt;"Hrs",0,(1/PptoSty[[#This Row],[Division]])*IF(PptoSty[[#This Row],[Sign]]="+",1,-1)*(IF(PptoSty[[#This Row],[POvsCT]]="PO",SUM(_xlfn.CHOOSECOLS(_xlfn._xlws.FILTER(F_RT14[],(IF($M199="X",TRUE,F_RT14[Site]=$M199))*(F_RT14[Measure]=Z$4)*(F_RT14[PrjId]=PptoSty[[#This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199" s="206" cm="1">
        <f t="array" aca="1" ref="AA199"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199" s="206" cm="1">
        <f t="array" aca="1" ref="AB199"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199" s="206" cm="1">
        <f t="array" aca="1" ref="AC199"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199"/>
      <c r="AH199"/>
      <c r="AI199"/>
      <c r="AK199" s="113"/>
      <c r="AO199"/>
      <c r="AP199"/>
      <c r="AZ199" s="175"/>
      <c r="BA199" s="175"/>
      <c r="BE199"/>
      <c r="BF199"/>
      <c r="DG199" s="175"/>
      <c r="DH199" s="175"/>
      <c r="DI199" s="175"/>
      <c r="DL199" s="108"/>
      <c r="DM199" s="366" t="str" cm="1">
        <f t="array" aca="1" ref="DM199"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199" s="177" t="s">
        <v>375</v>
      </c>
      <c r="DO199" s="177" t="str" cm="1">
        <f t="array" aca="1" ref="DO199"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199" s="177"/>
      <c r="DQ199" s="177"/>
      <c r="DR199" s="177"/>
      <c r="DS199" s="177"/>
      <c r="DT199" s="177"/>
      <c r="DU199" s="177"/>
      <c r="DV199" s="177"/>
      <c r="DW199" s="177"/>
      <c r="DX199" s="177"/>
      <c r="DY199" s="177"/>
      <c r="DZ199" s="177"/>
      <c r="EA199" s="177"/>
      <c r="EB199" s="177"/>
      <c r="EC199" s="177"/>
      <c r="ED199" s="177"/>
    </row>
    <row r="200" spans="3:134" ht="13" customHeight="1">
      <c r="C200" s="200"/>
      <c r="D200" s="200"/>
      <c r="E200" s="200"/>
      <c r="F200" s="220"/>
      <c r="G200" s="201"/>
      <c r="H200" s="202"/>
      <c r="I200" s="339" t="str" cm="1">
        <f t="array" aca="1" ref="I20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00" s="203" t="str" cm="1">
        <f t="array" ref="J200">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00" s="96"/>
      <c r="L200" s="96"/>
      <c r="M200" s="96" t="s">
        <v>375</v>
      </c>
      <c r="N200" s="96" t="str" cm="1">
        <f t="array" ref="N200">IF(OR(PptoSty[[#This Row],[Project]]="",PptoSty[[#This Row],[Project]]="X"),"X",_xlfn._xlws.FILTER(TbAssign[RowId],(TbAssign[Project]=PptoSty[[#This Row],[Project]])*(TbAssign[Módulo]=PptoSty[[#This Row],[PptoVsRow]]),"X"))</f>
        <v>X</v>
      </c>
      <c r="O200" s="96" t="str" cm="1">
        <f t="array" ref="O200">IF(OR(PptoSty[[#This Row],[Project]]="",PptoSty[[#This Row],[Project]]="X"),"X",_xlfn.UNIQUE(_xlfn._xlws.FILTER(F_RT14[Amortz.],(F_RT14[Measure]="CurPpto")*(F_RT14[PrjId]=PptoSty[[#This Row],[Project]])*(F_RT14[Vrs]=PptoSty[[#This Row],[Vrs]])*(_xlfn.TEXTAFTER(F_RT14[ActGrp],":")=PptoSty[[#This Row],[PiRow]]),"X")))</f>
        <v>X</v>
      </c>
      <c r="P200" s="96"/>
      <c r="Q200" s="96"/>
      <c r="R200" s="204" t="s">
        <v>403</v>
      </c>
      <c r="S200" s="204">
        <v>1</v>
      </c>
      <c r="T200" s="205" t="str" cm="1">
        <f t="array" aca="1" ref="T20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00" s="206" t="str" cm="1">
        <f t="array" aca="1" ref="U200" ca="1">IFERROR((1/PptoSty[[#This Row],[Division]])*IF(PptoSty[[#This Row],[Sign]]="+",1,-1)*(IF(PptoSty[[#This Row],[POvsCT]]="PO",SUM(_xlfn.CHOOSECOLS(_xlfn._xlws.FILTER(F_RT14[],(IF($M200="X",TRUE,F_RT14[Site]=$M200))*(F_RT14[Measure]=U$4)*(F_RT14[PrjId]=PptoSty[[#This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00" s="206" cm="1">
        <f t="array" aca="1" ref="V200" ca="1">IFERROR((1/PptoSty[[#This Row],[Division]])*IF(PptoSty[[#This Row],[Sign]]="+",1,-1)*(IF(PptoSty[[#This Row],[POvsCT]]="PO",SUM(_xlfn.CHOOSECOLS(_xlfn._xlws.FILTER(F_RT14[],(IF($M200="X",TRUE,F_RT14[Site]=$M200))*(F_RT14[Measure]=V$4)*(F_RT14[PrjId]=PptoSty[[#This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00" s="206" cm="1">
        <f t="array" aca="1" ref="W200" ca="1">IFERROR((1/PptoSty[[#This Row],[Division]])*IF(PptoSty[[#This Row],[Sign]]="+",1,-1)*(IF(PptoSty[[#This Row],[POvsCT]]="PO",SUM(_xlfn.CHOOSECOLS(_xlfn._xlws.FILTER(F_RT14[],(IF($M200="X",TRUE,F_RT14[Site]=$M200))*(F_RT14[Measure]=W$4)*(F_RT14[PrjId]=PptoSty[[#This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00" s="338" cm="1">
        <f t="array" ref="X200">IFERROR(IF(PptoSty[[#This Row],[Nature]]&lt;&gt;"Hrs",0,(1/PptoSty[[#This Row],[Division]])*IF(PptoSty[[#This Row],[Sign]]="+",1,-1)*(IF(PptoSty[[#This Row],[POvsCT]]="PO",SUM(_xlfn.CHOOSECOLS(_xlfn._xlws.FILTER(F_RT14[],(IF($M200="X",TRUE,F_RT14[Site]=$M200))*(F_RT14[Measure]=X$4)*(F_RT14[PrjId]=PptoSty[[#This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00" s="338" cm="1">
        <f t="array" ref="Y200">IFERROR(IF(PptoSty[[#This Row],[Nature]]&lt;&gt;"Hrs",0,(1/PptoSty[[#This Row],[Division]])*IF(PptoSty[[#This Row],[Sign]]="+",1,-1)*(IF(PptoSty[[#This Row],[POvsCT]]="PO",SUM(_xlfn.CHOOSECOLS(_xlfn._xlws.FILTER(F_RT14[],(IF($M200="X",TRUE,F_RT14[Site]=$M200))*(F_RT14[Measure]=Y$4)*(F_RT14[PrjId]=PptoSty[[#This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00" s="338" cm="1">
        <f t="array" ref="Z200">IFERROR(IF(PptoSty[[#This Row],[Nature]]&lt;&gt;"Hrs",0,(1/PptoSty[[#This Row],[Division]])*IF(PptoSty[[#This Row],[Sign]]="+",1,-1)*(IF(PptoSty[[#This Row],[POvsCT]]="PO",SUM(_xlfn.CHOOSECOLS(_xlfn._xlws.FILTER(F_RT14[],(IF($M200="X",TRUE,F_RT14[Site]=$M200))*(F_RT14[Measure]=Z$4)*(F_RT14[PrjId]=PptoSty[[#This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00" s="206" cm="1">
        <f t="array" aca="1" ref="AA200"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00" s="206" cm="1">
        <f t="array" aca="1" ref="AB200"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00" s="206" cm="1">
        <f t="array" aca="1" ref="AC200"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00"/>
      <c r="AH200"/>
      <c r="AI200"/>
      <c r="AK200" s="113"/>
      <c r="AO200"/>
      <c r="AP200"/>
      <c r="AZ200" s="175"/>
      <c r="BA200" s="175"/>
      <c r="BE200"/>
      <c r="BF200"/>
      <c r="DG200" s="175"/>
      <c r="DH200" s="175"/>
      <c r="DI200" s="175"/>
      <c r="DL200" s="108"/>
      <c r="DM200" s="366" t="str" cm="1">
        <f t="array" aca="1" ref="DM200"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00" s="177" t="s">
        <v>375</v>
      </c>
      <c r="DO200" s="177" t="str" cm="1">
        <f t="array" aca="1" ref="DO200"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00" s="177"/>
      <c r="DQ200" s="177"/>
      <c r="DR200" s="177"/>
      <c r="DS200" s="177"/>
      <c r="DT200" s="177"/>
      <c r="DU200" s="177"/>
      <c r="DV200" s="177"/>
      <c r="DW200" s="177"/>
      <c r="DX200" s="177"/>
      <c r="DY200" s="177"/>
      <c r="DZ200" s="177"/>
      <c r="EA200" s="177"/>
      <c r="EB200" s="177"/>
      <c r="EC200" s="177"/>
      <c r="ED200" s="177"/>
    </row>
    <row r="201" spans="3:134" ht="13" customHeight="1">
      <c r="C201" s="200"/>
      <c r="D201" s="200"/>
      <c r="E201" s="200"/>
      <c r="F201" s="220"/>
      <c r="G201" s="201"/>
      <c r="H201" s="202"/>
      <c r="I201" s="339" t="str" cm="1">
        <f t="array" aca="1" ref="I20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01" s="203" t="str" cm="1">
        <f t="array" ref="J201">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01" s="96"/>
      <c r="L201" s="96"/>
      <c r="M201" s="96" t="s">
        <v>375</v>
      </c>
      <c r="N201" s="96" t="str" cm="1">
        <f t="array" ref="N201">IF(OR(PptoSty[[#This Row],[Project]]="",PptoSty[[#This Row],[Project]]="X"),"X",_xlfn._xlws.FILTER(TbAssign[RowId],(TbAssign[Project]=PptoSty[[#This Row],[Project]])*(TbAssign[Módulo]=PptoSty[[#This Row],[PptoVsRow]]),"X"))</f>
        <v>X</v>
      </c>
      <c r="O201" s="96" t="str" cm="1">
        <f t="array" ref="O201">IF(OR(PptoSty[[#This Row],[Project]]="",PptoSty[[#This Row],[Project]]="X"),"X",_xlfn.UNIQUE(_xlfn._xlws.FILTER(F_RT14[Amortz.],(F_RT14[Measure]="CurPpto")*(F_RT14[PrjId]=PptoSty[[#This Row],[Project]])*(F_RT14[Vrs]=PptoSty[[#This Row],[Vrs]])*(_xlfn.TEXTAFTER(F_RT14[ActGrp],":")=PptoSty[[#This Row],[PiRow]]),"X")))</f>
        <v>X</v>
      </c>
      <c r="P201" s="96"/>
      <c r="Q201" s="96"/>
      <c r="R201" s="204" t="s">
        <v>403</v>
      </c>
      <c r="S201" s="204">
        <v>1</v>
      </c>
      <c r="T201" s="205" t="str" cm="1">
        <f t="array" aca="1" ref="T20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01" s="206" t="str" cm="1">
        <f t="array" aca="1" ref="U201" ca="1">IFERROR((1/PptoSty[[#This Row],[Division]])*IF(PptoSty[[#This Row],[Sign]]="+",1,-1)*(IF(PptoSty[[#This Row],[POvsCT]]="PO",SUM(_xlfn.CHOOSECOLS(_xlfn._xlws.FILTER(F_RT14[],(IF($M201="X",TRUE,F_RT14[Site]=$M201))*(F_RT14[Measure]=U$4)*(F_RT14[PrjId]=PptoSty[[#This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01" s="206" cm="1">
        <f t="array" aca="1" ref="V201" ca="1">IFERROR((1/PptoSty[[#This Row],[Division]])*IF(PptoSty[[#This Row],[Sign]]="+",1,-1)*(IF(PptoSty[[#This Row],[POvsCT]]="PO",SUM(_xlfn.CHOOSECOLS(_xlfn._xlws.FILTER(F_RT14[],(IF($M201="X",TRUE,F_RT14[Site]=$M201))*(F_RT14[Measure]=V$4)*(F_RT14[PrjId]=PptoSty[[#This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01" s="206" cm="1">
        <f t="array" aca="1" ref="W201" ca="1">IFERROR((1/PptoSty[[#This Row],[Division]])*IF(PptoSty[[#This Row],[Sign]]="+",1,-1)*(IF(PptoSty[[#This Row],[POvsCT]]="PO",SUM(_xlfn.CHOOSECOLS(_xlfn._xlws.FILTER(F_RT14[],(IF($M201="X",TRUE,F_RT14[Site]=$M201))*(F_RT14[Measure]=W$4)*(F_RT14[PrjId]=PptoSty[[#This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01" s="338" cm="1">
        <f t="array" ref="X201">IFERROR(IF(PptoSty[[#This Row],[Nature]]&lt;&gt;"Hrs",0,(1/PptoSty[[#This Row],[Division]])*IF(PptoSty[[#This Row],[Sign]]="+",1,-1)*(IF(PptoSty[[#This Row],[POvsCT]]="PO",SUM(_xlfn.CHOOSECOLS(_xlfn._xlws.FILTER(F_RT14[],(IF($M201="X",TRUE,F_RT14[Site]=$M201))*(F_RT14[Measure]=X$4)*(F_RT14[PrjId]=PptoSty[[#This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01" s="338" cm="1">
        <f t="array" ref="Y201">IFERROR(IF(PptoSty[[#This Row],[Nature]]&lt;&gt;"Hrs",0,(1/PptoSty[[#This Row],[Division]])*IF(PptoSty[[#This Row],[Sign]]="+",1,-1)*(IF(PptoSty[[#This Row],[POvsCT]]="PO",SUM(_xlfn.CHOOSECOLS(_xlfn._xlws.FILTER(F_RT14[],(IF($M201="X",TRUE,F_RT14[Site]=$M201))*(F_RT14[Measure]=Y$4)*(F_RT14[PrjId]=PptoSty[[#This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01" s="338" cm="1">
        <f t="array" ref="Z201">IFERROR(IF(PptoSty[[#This Row],[Nature]]&lt;&gt;"Hrs",0,(1/PptoSty[[#This Row],[Division]])*IF(PptoSty[[#This Row],[Sign]]="+",1,-1)*(IF(PptoSty[[#This Row],[POvsCT]]="PO",SUM(_xlfn.CHOOSECOLS(_xlfn._xlws.FILTER(F_RT14[],(IF($M201="X",TRUE,F_RT14[Site]=$M201))*(F_RT14[Measure]=Z$4)*(F_RT14[PrjId]=PptoSty[[#This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01" s="206" cm="1">
        <f t="array" aca="1" ref="AA201"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01" s="206" cm="1">
        <f t="array" aca="1" ref="AB201"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01" s="206" cm="1">
        <f t="array" aca="1" ref="AC201"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01"/>
      <c r="AH201"/>
      <c r="AI201"/>
      <c r="AK201" s="113"/>
      <c r="AO201"/>
      <c r="AP201"/>
      <c r="AZ201" s="175"/>
      <c r="BA201" s="175"/>
      <c r="BE201"/>
      <c r="BF201"/>
      <c r="DG201" s="175"/>
      <c r="DH201" s="175"/>
      <c r="DI201" s="175"/>
      <c r="DL201" s="108"/>
      <c r="DM201" s="366" t="str" cm="1">
        <f t="array" aca="1" ref="DM201"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01" s="177" t="s">
        <v>375</v>
      </c>
      <c r="DO201" s="177" t="str" cm="1">
        <f t="array" aca="1" ref="DO201"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01" s="177"/>
      <c r="DQ201" s="177"/>
      <c r="DR201" s="177"/>
      <c r="DS201" s="177"/>
      <c r="DT201" s="177"/>
      <c r="DU201" s="177"/>
      <c r="DV201" s="177"/>
      <c r="DW201" s="177"/>
      <c r="DX201" s="177"/>
      <c r="DY201" s="177"/>
      <c r="DZ201" s="177"/>
      <c r="EA201" s="177"/>
      <c r="EB201" s="177"/>
      <c r="EC201" s="177"/>
      <c r="ED201" s="177"/>
    </row>
    <row r="202" spans="3:134" ht="13" customHeight="1">
      <c r="C202" s="200"/>
      <c r="D202" s="200"/>
      <c r="E202" s="200"/>
      <c r="F202" s="220"/>
      <c r="G202" s="201"/>
      <c r="H202" s="202"/>
      <c r="I202" s="339" t="str" cm="1">
        <f t="array" aca="1" ref="I20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02" s="203" t="str" cm="1">
        <f t="array" ref="J202">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02" s="96"/>
      <c r="L202" s="96"/>
      <c r="M202" s="96" t="s">
        <v>375</v>
      </c>
      <c r="N202" s="96" t="str" cm="1">
        <f t="array" ref="N202">IF(OR(PptoSty[[#This Row],[Project]]="",PptoSty[[#This Row],[Project]]="X"),"X",_xlfn._xlws.FILTER(TbAssign[RowId],(TbAssign[Project]=PptoSty[[#This Row],[Project]])*(TbAssign[Módulo]=PptoSty[[#This Row],[PptoVsRow]]),"X"))</f>
        <v>X</v>
      </c>
      <c r="O202" s="96" t="str" cm="1">
        <f t="array" ref="O202">IF(OR(PptoSty[[#This Row],[Project]]="",PptoSty[[#This Row],[Project]]="X"),"X",_xlfn.UNIQUE(_xlfn._xlws.FILTER(F_RT14[Amortz.],(F_RT14[Measure]="CurPpto")*(F_RT14[PrjId]=PptoSty[[#This Row],[Project]])*(F_RT14[Vrs]=PptoSty[[#This Row],[Vrs]])*(_xlfn.TEXTAFTER(F_RT14[ActGrp],":")=PptoSty[[#This Row],[PiRow]]),"X")))</f>
        <v>X</v>
      </c>
      <c r="P202" s="96"/>
      <c r="Q202" s="96"/>
      <c r="R202" s="204" t="s">
        <v>403</v>
      </c>
      <c r="S202" s="204">
        <v>1</v>
      </c>
      <c r="T202" s="205" t="str" cm="1">
        <f t="array" aca="1" ref="T20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02" s="206" t="str" cm="1">
        <f t="array" aca="1" ref="U202" ca="1">IFERROR((1/PptoSty[[#This Row],[Division]])*IF(PptoSty[[#This Row],[Sign]]="+",1,-1)*(IF(PptoSty[[#This Row],[POvsCT]]="PO",SUM(_xlfn.CHOOSECOLS(_xlfn._xlws.FILTER(F_RT14[],(IF($M202="X",TRUE,F_RT14[Site]=$M202))*(F_RT14[Measure]=U$4)*(F_RT14[PrjId]=PptoSty[[#This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02" s="206" cm="1">
        <f t="array" aca="1" ref="V202" ca="1">IFERROR((1/PptoSty[[#This Row],[Division]])*IF(PptoSty[[#This Row],[Sign]]="+",1,-1)*(IF(PptoSty[[#This Row],[POvsCT]]="PO",SUM(_xlfn.CHOOSECOLS(_xlfn._xlws.FILTER(F_RT14[],(IF($M202="X",TRUE,F_RT14[Site]=$M202))*(F_RT14[Measure]=V$4)*(F_RT14[PrjId]=PptoSty[[#This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02" s="206" cm="1">
        <f t="array" aca="1" ref="W202" ca="1">IFERROR((1/PptoSty[[#This Row],[Division]])*IF(PptoSty[[#This Row],[Sign]]="+",1,-1)*(IF(PptoSty[[#This Row],[POvsCT]]="PO",SUM(_xlfn.CHOOSECOLS(_xlfn._xlws.FILTER(F_RT14[],(IF($M202="X",TRUE,F_RT14[Site]=$M202))*(F_RT14[Measure]=W$4)*(F_RT14[PrjId]=PptoSty[[#This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02" s="338" cm="1">
        <f t="array" ref="X202">IFERROR(IF(PptoSty[[#This Row],[Nature]]&lt;&gt;"Hrs",0,(1/PptoSty[[#This Row],[Division]])*IF(PptoSty[[#This Row],[Sign]]="+",1,-1)*(IF(PptoSty[[#This Row],[POvsCT]]="PO",SUM(_xlfn.CHOOSECOLS(_xlfn._xlws.FILTER(F_RT14[],(IF($M202="X",TRUE,F_RT14[Site]=$M202))*(F_RT14[Measure]=X$4)*(F_RT14[PrjId]=PptoSty[[#This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02" s="338" cm="1">
        <f t="array" ref="Y202">IFERROR(IF(PptoSty[[#This Row],[Nature]]&lt;&gt;"Hrs",0,(1/PptoSty[[#This Row],[Division]])*IF(PptoSty[[#This Row],[Sign]]="+",1,-1)*(IF(PptoSty[[#This Row],[POvsCT]]="PO",SUM(_xlfn.CHOOSECOLS(_xlfn._xlws.FILTER(F_RT14[],(IF($M202="X",TRUE,F_RT14[Site]=$M202))*(F_RT14[Measure]=Y$4)*(F_RT14[PrjId]=PptoSty[[#This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02" s="338" cm="1">
        <f t="array" ref="Z202">IFERROR(IF(PptoSty[[#This Row],[Nature]]&lt;&gt;"Hrs",0,(1/PptoSty[[#This Row],[Division]])*IF(PptoSty[[#This Row],[Sign]]="+",1,-1)*(IF(PptoSty[[#This Row],[POvsCT]]="PO",SUM(_xlfn.CHOOSECOLS(_xlfn._xlws.FILTER(F_RT14[],(IF($M202="X",TRUE,F_RT14[Site]=$M202))*(F_RT14[Measure]=Z$4)*(F_RT14[PrjId]=PptoSty[[#This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02" s="206" cm="1">
        <f t="array" aca="1" ref="AA202"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02" s="206" cm="1">
        <f t="array" aca="1" ref="AB202"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02" s="206" cm="1">
        <f t="array" aca="1" ref="AC202"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02"/>
      <c r="AH202"/>
      <c r="AI202"/>
      <c r="AK202" s="113"/>
      <c r="AO202"/>
      <c r="AP202"/>
      <c r="AZ202" s="175"/>
      <c r="BA202" s="175"/>
      <c r="BE202"/>
      <c r="BF202"/>
      <c r="DG202" s="175"/>
      <c r="DH202" s="175"/>
      <c r="DI202" s="175"/>
      <c r="DL202" s="108"/>
      <c r="DM202" s="366" t="str" cm="1">
        <f t="array" aca="1" ref="DM202"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02" s="177" t="s">
        <v>375</v>
      </c>
      <c r="DO202" s="177" t="str" cm="1">
        <f t="array" aca="1" ref="DO202"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02" s="177"/>
      <c r="DQ202" s="177"/>
      <c r="DR202" s="177"/>
      <c r="DS202" s="177"/>
      <c r="DT202" s="177"/>
      <c r="DU202" s="177"/>
      <c r="DV202" s="177"/>
      <c r="DW202" s="177"/>
      <c r="DX202" s="177"/>
      <c r="DY202" s="177"/>
      <c r="DZ202" s="177"/>
      <c r="EA202" s="177"/>
      <c r="EB202" s="177"/>
      <c r="EC202" s="177"/>
      <c r="ED202" s="177"/>
    </row>
    <row r="203" spans="3:134" ht="13" customHeight="1">
      <c r="C203" s="200"/>
      <c r="D203" s="200"/>
      <c r="E203" s="200"/>
      <c r="F203" s="220"/>
      <c r="G203" s="201"/>
      <c r="H203" s="202"/>
      <c r="I203" s="339" t="str" cm="1">
        <f t="array" aca="1" ref="I20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03" s="203" t="str" cm="1">
        <f t="array" ref="J203">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03" s="96"/>
      <c r="L203" s="96"/>
      <c r="M203" s="96" t="s">
        <v>375</v>
      </c>
      <c r="N203" s="96" t="str" cm="1">
        <f t="array" ref="N203">IF(OR(PptoSty[[#This Row],[Project]]="",PptoSty[[#This Row],[Project]]="X"),"X",_xlfn._xlws.FILTER(TbAssign[RowId],(TbAssign[Project]=PptoSty[[#This Row],[Project]])*(TbAssign[Módulo]=PptoSty[[#This Row],[PptoVsRow]]),"X"))</f>
        <v>X</v>
      </c>
      <c r="O203" s="96" t="str" cm="1">
        <f t="array" ref="O203">IF(OR(PptoSty[[#This Row],[Project]]="",PptoSty[[#This Row],[Project]]="X"),"X",_xlfn.UNIQUE(_xlfn._xlws.FILTER(F_RT14[Amortz.],(F_RT14[Measure]="CurPpto")*(F_RT14[PrjId]=PptoSty[[#This Row],[Project]])*(F_RT14[Vrs]=PptoSty[[#This Row],[Vrs]])*(_xlfn.TEXTAFTER(F_RT14[ActGrp],":")=PptoSty[[#This Row],[PiRow]]),"X")))</f>
        <v>X</v>
      </c>
      <c r="P203" s="96"/>
      <c r="Q203" s="96"/>
      <c r="R203" s="204" t="s">
        <v>403</v>
      </c>
      <c r="S203" s="204">
        <v>1</v>
      </c>
      <c r="T203" s="205" t="str" cm="1">
        <f t="array" aca="1" ref="T20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03" s="206" t="str" cm="1">
        <f t="array" aca="1" ref="U203" ca="1">IFERROR((1/PptoSty[[#This Row],[Division]])*IF(PptoSty[[#This Row],[Sign]]="+",1,-1)*(IF(PptoSty[[#This Row],[POvsCT]]="PO",SUM(_xlfn.CHOOSECOLS(_xlfn._xlws.FILTER(F_RT14[],(IF($M203="X",TRUE,F_RT14[Site]=$M203))*(F_RT14[Measure]=U$4)*(F_RT14[PrjId]=PptoSty[[#This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03" s="206" cm="1">
        <f t="array" aca="1" ref="V203" ca="1">IFERROR((1/PptoSty[[#This Row],[Division]])*IF(PptoSty[[#This Row],[Sign]]="+",1,-1)*(IF(PptoSty[[#This Row],[POvsCT]]="PO",SUM(_xlfn.CHOOSECOLS(_xlfn._xlws.FILTER(F_RT14[],(IF($M203="X",TRUE,F_RT14[Site]=$M203))*(F_RT14[Measure]=V$4)*(F_RT14[PrjId]=PptoSty[[#This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03" s="206" cm="1">
        <f t="array" aca="1" ref="W203" ca="1">IFERROR((1/PptoSty[[#This Row],[Division]])*IF(PptoSty[[#This Row],[Sign]]="+",1,-1)*(IF(PptoSty[[#This Row],[POvsCT]]="PO",SUM(_xlfn.CHOOSECOLS(_xlfn._xlws.FILTER(F_RT14[],(IF($M203="X",TRUE,F_RT14[Site]=$M203))*(F_RT14[Measure]=W$4)*(F_RT14[PrjId]=PptoSty[[#This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03" s="338" cm="1">
        <f t="array" ref="X203">IFERROR(IF(PptoSty[[#This Row],[Nature]]&lt;&gt;"Hrs",0,(1/PptoSty[[#This Row],[Division]])*IF(PptoSty[[#This Row],[Sign]]="+",1,-1)*(IF(PptoSty[[#This Row],[POvsCT]]="PO",SUM(_xlfn.CHOOSECOLS(_xlfn._xlws.FILTER(F_RT14[],(IF($M203="X",TRUE,F_RT14[Site]=$M203))*(F_RT14[Measure]=X$4)*(F_RT14[PrjId]=PptoSty[[#This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03" s="338" cm="1">
        <f t="array" ref="Y203">IFERROR(IF(PptoSty[[#This Row],[Nature]]&lt;&gt;"Hrs",0,(1/PptoSty[[#This Row],[Division]])*IF(PptoSty[[#This Row],[Sign]]="+",1,-1)*(IF(PptoSty[[#This Row],[POvsCT]]="PO",SUM(_xlfn.CHOOSECOLS(_xlfn._xlws.FILTER(F_RT14[],(IF($M203="X",TRUE,F_RT14[Site]=$M203))*(F_RT14[Measure]=Y$4)*(F_RT14[PrjId]=PptoSty[[#This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03" s="338" cm="1">
        <f t="array" ref="Z203">IFERROR(IF(PptoSty[[#This Row],[Nature]]&lt;&gt;"Hrs",0,(1/PptoSty[[#This Row],[Division]])*IF(PptoSty[[#This Row],[Sign]]="+",1,-1)*(IF(PptoSty[[#This Row],[POvsCT]]="PO",SUM(_xlfn.CHOOSECOLS(_xlfn._xlws.FILTER(F_RT14[],(IF($M203="X",TRUE,F_RT14[Site]=$M203))*(F_RT14[Measure]=Z$4)*(F_RT14[PrjId]=PptoSty[[#This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03" s="206" cm="1">
        <f t="array" aca="1" ref="AA203"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03" s="206" cm="1">
        <f t="array" aca="1" ref="AB203"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03" s="206" cm="1">
        <f t="array" aca="1" ref="AC203"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03"/>
      <c r="AH203"/>
      <c r="AI203"/>
      <c r="AK203" s="113"/>
      <c r="AO203"/>
      <c r="AP203"/>
      <c r="AZ203" s="175"/>
      <c r="BA203" s="175"/>
      <c r="BE203"/>
      <c r="BF203"/>
      <c r="DG203" s="175"/>
      <c r="DH203" s="175"/>
      <c r="DI203" s="175"/>
      <c r="DL203" s="108"/>
      <c r="DM203" s="366" t="str" cm="1">
        <f t="array" aca="1" ref="DM203"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03" s="177" t="s">
        <v>375</v>
      </c>
      <c r="DO203" s="177" t="str" cm="1">
        <f t="array" aca="1" ref="DO203"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03" s="177"/>
      <c r="DQ203" s="177"/>
      <c r="DR203" s="177"/>
      <c r="DS203" s="177"/>
      <c r="DT203" s="177"/>
      <c r="DU203" s="177"/>
      <c r="DV203" s="177"/>
      <c r="DW203" s="177"/>
      <c r="DX203" s="177"/>
      <c r="DY203" s="177"/>
      <c r="DZ203" s="177"/>
      <c r="EA203" s="177"/>
      <c r="EB203" s="177"/>
      <c r="EC203" s="177"/>
      <c r="ED203" s="177"/>
    </row>
    <row r="204" spans="3:134" ht="13" customHeight="1">
      <c r="C204" s="200"/>
      <c r="D204" s="200"/>
      <c r="E204" s="200"/>
      <c r="F204" s="220"/>
      <c r="G204" s="201"/>
      <c r="H204" s="202"/>
      <c r="I204" s="339" t="str" cm="1">
        <f t="array" aca="1" ref="I20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04" s="203" t="str" cm="1">
        <f t="array" ref="J204">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04" s="96"/>
      <c r="L204" s="96"/>
      <c r="M204" s="96" t="s">
        <v>375</v>
      </c>
      <c r="N204" s="96" t="str" cm="1">
        <f t="array" ref="N204">IF(OR(PptoSty[[#This Row],[Project]]="",PptoSty[[#This Row],[Project]]="X"),"X",_xlfn._xlws.FILTER(TbAssign[RowId],(TbAssign[Project]=PptoSty[[#This Row],[Project]])*(TbAssign[Módulo]=PptoSty[[#This Row],[PptoVsRow]]),"X"))</f>
        <v>X</v>
      </c>
      <c r="O204" s="96" t="str" cm="1">
        <f t="array" ref="O204">IF(OR(PptoSty[[#This Row],[Project]]="",PptoSty[[#This Row],[Project]]="X"),"X",_xlfn.UNIQUE(_xlfn._xlws.FILTER(F_RT14[Amortz.],(F_RT14[Measure]="CurPpto")*(F_RT14[PrjId]=PptoSty[[#This Row],[Project]])*(F_RT14[Vrs]=PptoSty[[#This Row],[Vrs]])*(_xlfn.TEXTAFTER(F_RT14[ActGrp],":")=PptoSty[[#This Row],[PiRow]]),"X")))</f>
        <v>X</v>
      </c>
      <c r="P204" s="96"/>
      <c r="Q204" s="96"/>
      <c r="R204" s="204" t="s">
        <v>403</v>
      </c>
      <c r="S204" s="204">
        <v>1</v>
      </c>
      <c r="T204" s="205" t="str" cm="1">
        <f t="array" aca="1" ref="T20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04" s="206" t="str" cm="1">
        <f t="array" aca="1" ref="U204" ca="1">IFERROR((1/PptoSty[[#This Row],[Division]])*IF(PptoSty[[#This Row],[Sign]]="+",1,-1)*(IF(PptoSty[[#This Row],[POvsCT]]="PO",SUM(_xlfn.CHOOSECOLS(_xlfn._xlws.FILTER(F_RT14[],(IF($M204="X",TRUE,F_RT14[Site]=$M204))*(F_RT14[Measure]=U$4)*(F_RT14[PrjId]=PptoSty[[#This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04" s="206" cm="1">
        <f t="array" aca="1" ref="V204" ca="1">IFERROR((1/PptoSty[[#This Row],[Division]])*IF(PptoSty[[#This Row],[Sign]]="+",1,-1)*(IF(PptoSty[[#This Row],[POvsCT]]="PO",SUM(_xlfn.CHOOSECOLS(_xlfn._xlws.FILTER(F_RT14[],(IF($M204="X",TRUE,F_RT14[Site]=$M204))*(F_RT14[Measure]=V$4)*(F_RT14[PrjId]=PptoSty[[#This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04" s="206" cm="1">
        <f t="array" aca="1" ref="W204" ca="1">IFERROR((1/PptoSty[[#This Row],[Division]])*IF(PptoSty[[#This Row],[Sign]]="+",1,-1)*(IF(PptoSty[[#This Row],[POvsCT]]="PO",SUM(_xlfn.CHOOSECOLS(_xlfn._xlws.FILTER(F_RT14[],(IF($M204="X",TRUE,F_RT14[Site]=$M204))*(F_RT14[Measure]=W$4)*(F_RT14[PrjId]=PptoSty[[#This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04" s="338" cm="1">
        <f t="array" ref="X204">IFERROR(IF(PptoSty[[#This Row],[Nature]]&lt;&gt;"Hrs",0,(1/PptoSty[[#This Row],[Division]])*IF(PptoSty[[#This Row],[Sign]]="+",1,-1)*(IF(PptoSty[[#This Row],[POvsCT]]="PO",SUM(_xlfn.CHOOSECOLS(_xlfn._xlws.FILTER(F_RT14[],(IF($M204="X",TRUE,F_RT14[Site]=$M204))*(F_RT14[Measure]=X$4)*(F_RT14[PrjId]=PptoSty[[#This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04" s="338" cm="1">
        <f t="array" ref="Y204">IFERROR(IF(PptoSty[[#This Row],[Nature]]&lt;&gt;"Hrs",0,(1/PptoSty[[#This Row],[Division]])*IF(PptoSty[[#This Row],[Sign]]="+",1,-1)*(IF(PptoSty[[#This Row],[POvsCT]]="PO",SUM(_xlfn.CHOOSECOLS(_xlfn._xlws.FILTER(F_RT14[],(IF($M204="X",TRUE,F_RT14[Site]=$M204))*(F_RT14[Measure]=Y$4)*(F_RT14[PrjId]=PptoSty[[#This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04" s="338" cm="1">
        <f t="array" ref="Z204">IFERROR(IF(PptoSty[[#This Row],[Nature]]&lt;&gt;"Hrs",0,(1/PptoSty[[#This Row],[Division]])*IF(PptoSty[[#This Row],[Sign]]="+",1,-1)*(IF(PptoSty[[#This Row],[POvsCT]]="PO",SUM(_xlfn.CHOOSECOLS(_xlfn._xlws.FILTER(F_RT14[],(IF($M204="X",TRUE,F_RT14[Site]=$M204))*(F_RT14[Measure]=Z$4)*(F_RT14[PrjId]=PptoSty[[#This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04" s="206" cm="1">
        <f t="array" aca="1" ref="AA204"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04" s="206" cm="1">
        <f t="array" aca="1" ref="AB204"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04" s="206" cm="1">
        <f t="array" aca="1" ref="AC204"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04"/>
      <c r="AH204"/>
      <c r="AI204"/>
      <c r="AK204" s="113"/>
      <c r="AO204"/>
      <c r="AP204"/>
      <c r="AZ204" s="175"/>
      <c r="BA204" s="175"/>
      <c r="BE204"/>
      <c r="BF204"/>
      <c r="DG204" s="175"/>
      <c r="DH204" s="175"/>
      <c r="DI204" s="175"/>
      <c r="DL204" s="108"/>
      <c r="DM204" s="366" t="str" cm="1">
        <f t="array" aca="1" ref="DM204"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04" s="177" t="s">
        <v>375</v>
      </c>
      <c r="DO204" s="177" t="str" cm="1">
        <f t="array" aca="1" ref="DO204"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04" s="177"/>
      <c r="DQ204" s="177"/>
      <c r="DR204" s="177"/>
      <c r="DS204" s="177"/>
      <c r="DT204" s="177"/>
      <c r="DU204" s="177"/>
      <c r="DV204" s="177"/>
      <c r="DW204" s="177"/>
      <c r="DX204" s="177"/>
      <c r="DY204" s="177"/>
      <c r="DZ204" s="177"/>
      <c r="EA204" s="177"/>
      <c r="EB204" s="177"/>
      <c r="EC204" s="177"/>
      <c r="ED204" s="177"/>
    </row>
    <row r="205" spans="3:134" ht="13" customHeight="1">
      <c r="C205" s="200"/>
      <c r="D205" s="200"/>
      <c r="E205" s="200"/>
      <c r="F205" s="220"/>
      <c r="G205" s="201"/>
      <c r="H205" s="202"/>
      <c r="I205" s="339" t="str" cm="1">
        <f t="array" aca="1" ref="I20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05" s="203" t="str" cm="1">
        <f t="array" ref="J205">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05" s="96"/>
      <c r="L205" s="96"/>
      <c r="M205" s="96" t="s">
        <v>375</v>
      </c>
      <c r="N205" s="96" t="str" cm="1">
        <f t="array" ref="N205">IF(OR(PptoSty[[#This Row],[Project]]="",PptoSty[[#This Row],[Project]]="X"),"X",_xlfn._xlws.FILTER(TbAssign[RowId],(TbAssign[Project]=PptoSty[[#This Row],[Project]])*(TbAssign[Módulo]=PptoSty[[#This Row],[PptoVsRow]]),"X"))</f>
        <v>X</v>
      </c>
      <c r="O205" s="96" t="str" cm="1">
        <f t="array" ref="O205">IF(OR(PptoSty[[#This Row],[Project]]="",PptoSty[[#This Row],[Project]]="X"),"X",_xlfn.UNIQUE(_xlfn._xlws.FILTER(F_RT14[Amortz.],(F_RT14[Measure]="CurPpto")*(F_RT14[PrjId]=PptoSty[[#This Row],[Project]])*(F_RT14[Vrs]=PptoSty[[#This Row],[Vrs]])*(_xlfn.TEXTAFTER(F_RT14[ActGrp],":")=PptoSty[[#This Row],[PiRow]]),"X")))</f>
        <v>X</v>
      </c>
      <c r="P205" s="96"/>
      <c r="Q205" s="96"/>
      <c r="R205" s="204" t="s">
        <v>403</v>
      </c>
      <c r="S205" s="204">
        <v>1</v>
      </c>
      <c r="T205" s="205" t="str" cm="1">
        <f t="array" aca="1" ref="T20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05" s="206" t="str" cm="1">
        <f t="array" aca="1" ref="U205" ca="1">IFERROR((1/PptoSty[[#This Row],[Division]])*IF(PptoSty[[#This Row],[Sign]]="+",1,-1)*(IF(PptoSty[[#This Row],[POvsCT]]="PO",SUM(_xlfn.CHOOSECOLS(_xlfn._xlws.FILTER(F_RT14[],(IF($M205="X",TRUE,F_RT14[Site]=$M205))*(F_RT14[Measure]=U$4)*(F_RT14[PrjId]=PptoSty[[#This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05" s="206" cm="1">
        <f t="array" aca="1" ref="V205" ca="1">IFERROR((1/PptoSty[[#This Row],[Division]])*IF(PptoSty[[#This Row],[Sign]]="+",1,-1)*(IF(PptoSty[[#This Row],[POvsCT]]="PO",SUM(_xlfn.CHOOSECOLS(_xlfn._xlws.FILTER(F_RT14[],(IF($M205="X",TRUE,F_RT14[Site]=$M205))*(F_RT14[Measure]=V$4)*(F_RT14[PrjId]=PptoSty[[#This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05" s="206" cm="1">
        <f t="array" aca="1" ref="W205" ca="1">IFERROR((1/PptoSty[[#This Row],[Division]])*IF(PptoSty[[#This Row],[Sign]]="+",1,-1)*(IF(PptoSty[[#This Row],[POvsCT]]="PO",SUM(_xlfn.CHOOSECOLS(_xlfn._xlws.FILTER(F_RT14[],(IF($M205="X",TRUE,F_RT14[Site]=$M205))*(F_RT14[Measure]=W$4)*(F_RT14[PrjId]=PptoSty[[#This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05" s="338" cm="1">
        <f t="array" ref="X205">IFERROR(IF(PptoSty[[#This Row],[Nature]]&lt;&gt;"Hrs",0,(1/PptoSty[[#This Row],[Division]])*IF(PptoSty[[#This Row],[Sign]]="+",1,-1)*(IF(PptoSty[[#This Row],[POvsCT]]="PO",SUM(_xlfn.CHOOSECOLS(_xlfn._xlws.FILTER(F_RT14[],(IF($M205="X",TRUE,F_RT14[Site]=$M205))*(F_RT14[Measure]=X$4)*(F_RT14[PrjId]=PptoSty[[#This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05" s="338" cm="1">
        <f t="array" ref="Y205">IFERROR(IF(PptoSty[[#This Row],[Nature]]&lt;&gt;"Hrs",0,(1/PptoSty[[#This Row],[Division]])*IF(PptoSty[[#This Row],[Sign]]="+",1,-1)*(IF(PptoSty[[#This Row],[POvsCT]]="PO",SUM(_xlfn.CHOOSECOLS(_xlfn._xlws.FILTER(F_RT14[],(IF($M205="X",TRUE,F_RT14[Site]=$M205))*(F_RT14[Measure]=Y$4)*(F_RT14[PrjId]=PptoSty[[#This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05" s="338" cm="1">
        <f t="array" ref="Z205">IFERROR(IF(PptoSty[[#This Row],[Nature]]&lt;&gt;"Hrs",0,(1/PptoSty[[#This Row],[Division]])*IF(PptoSty[[#This Row],[Sign]]="+",1,-1)*(IF(PptoSty[[#This Row],[POvsCT]]="PO",SUM(_xlfn.CHOOSECOLS(_xlfn._xlws.FILTER(F_RT14[],(IF($M205="X",TRUE,F_RT14[Site]=$M205))*(F_RT14[Measure]=Z$4)*(F_RT14[PrjId]=PptoSty[[#This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05" s="206" cm="1">
        <f t="array" aca="1" ref="AA205"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05" s="206" cm="1">
        <f t="array" aca="1" ref="AB205"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05" s="206" cm="1">
        <f t="array" aca="1" ref="AC205"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05"/>
      <c r="AH205"/>
      <c r="AI205"/>
      <c r="AK205" s="113"/>
      <c r="AO205"/>
      <c r="AP205"/>
      <c r="AZ205" s="175"/>
      <c r="BA205" s="175"/>
      <c r="BE205"/>
      <c r="BF205"/>
      <c r="DG205" s="175"/>
      <c r="DH205" s="175"/>
      <c r="DI205" s="175"/>
      <c r="DL205" s="108"/>
      <c r="DM205" s="366" t="str" cm="1">
        <f t="array" aca="1" ref="DM20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05" s="177" t="s">
        <v>375</v>
      </c>
      <c r="DO205" s="177" t="str" cm="1">
        <f t="array" aca="1" ref="DO20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05" s="177"/>
      <c r="DQ205" s="177"/>
      <c r="DR205" s="177"/>
      <c r="DS205" s="177"/>
      <c r="DT205" s="177"/>
      <c r="DU205" s="177"/>
      <c r="DV205" s="177"/>
      <c r="DW205" s="177"/>
      <c r="DX205" s="177"/>
      <c r="DY205" s="177"/>
      <c r="DZ205" s="177"/>
      <c r="EA205" s="177"/>
      <c r="EB205" s="177"/>
      <c r="EC205" s="177"/>
      <c r="ED205" s="177"/>
    </row>
    <row r="206" spans="3:134" ht="13" customHeight="1">
      <c r="C206" s="200"/>
      <c r="D206" s="200"/>
      <c r="E206" s="200"/>
      <c r="F206" s="220"/>
      <c r="G206" s="201"/>
      <c r="H206" s="202"/>
      <c r="I206" s="339" t="str" cm="1">
        <f t="array" aca="1" ref="I20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06" s="203" t="str" cm="1">
        <f t="array" ref="J206">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06" s="96"/>
      <c r="L206" s="96"/>
      <c r="M206" s="96" t="s">
        <v>375</v>
      </c>
      <c r="N206" s="96" t="str" cm="1">
        <f t="array" ref="N206">IF(OR(PptoSty[[#This Row],[Project]]="",PptoSty[[#This Row],[Project]]="X"),"X",_xlfn._xlws.FILTER(TbAssign[RowId],(TbAssign[Project]=PptoSty[[#This Row],[Project]])*(TbAssign[Módulo]=PptoSty[[#This Row],[PptoVsRow]]),"X"))</f>
        <v>X</v>
      </c>
      <c r="O206" s="96" t="str" cm="1">
        <f t="array" ref="O206">IF(OR(PptoSty[[#This Row],[Project]]="",PptoSty[[#This Row],[Project]]="X"),"X",_xlfn.UNIQUE(_xlfn._xlws.FILTER(F_RT14[Amortz.],(F_RT14[Measure]="CurPpto")*(F_RT14[PrjId]=PptoSty[[#This Row],[Project]])*(F_RT14[Vrs]=PptoSty[[#This Row],[Vrs]])*(_xlfn.TEXTAFTER(F_RT14[ActGrp],":")=PptoSty[[#This Row],[PiRow]]),"X")))</f>
        <v>X</v>
      </c>
      <c r="P206" s="96"/>
      <c r="Q206" s="96"/>
      <c r="R206" s="204" t="s">
        <v>403</v>
      </c>
      <c r="S206" s="204">
        <v>1</v>
      </c>
      <c r="T206" s="205" t="str" cm="1">
        <f t="array" aca="1" ref="T20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06" s="206" t="str" cm="1">
        <f t="array" aca="1" ref="U206" ca="1">IFERROR((1/PptoSty[[#This Row],[Division]])*IF(PptoSty[[#This Row],[Sign]]="+",1,-1)*(IF(PptoSty[[#This Row],[POvsCT]]="PO",SUM(_xlfn.CHOOSECOLS(_xlfn._xlws.FILTER(F_RT14[],(IF($M206="X",TRUE,F_RT14[Site]=$M206))*(F_RT14[Measure]=U$4)*(F_RT14[PrjId]=PptoSty[[#This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06" s="206" cm="1">
        <f t="array" aca="1" ref="V206" ca="1">IFERROR((1/PptoSty[[#This Row],[Division]])*IF(PptoSty[[#This Row],[Sign]]="+",1,-1)*(IF(PptoSty[[#This Row],[POvsCT]]="PO",SUM(_xlfn.CHOOSECOLS(_xlfn._xlws.FILTER(F_RT14[],(IF($M206="X",TRUE,F_RT14[Site]=$M206))*(F_RT14[Measure]=V$4)*(F_RT14[PrjId]=PptoSty[[#This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06" s="206" cm="1">
        <f t="array" aca="1" ref="W206" ca="1">IFERROR((1/PptoSty[[#This Row],[Division]])*IF(PptoSty[[#This Row],[Sign]]="+",1,-1)*(IF(PptoSty[[#This Row],[POvsCT]]="PO",SUM(_xlfn.CHOOSECOLS(_xlfn._xlws.FILTER(F_RT14[],(IF($M206="X",TRUE,F_RT14[Site]=$M206))*(F_RT14[Measure]=W$4)*(F_RT14[PrjId]=PptoSty[[#This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06" s="338" cm="1">
        <f t="array" ref="X206">IFERROR(IF(PptoSty[[#This Row],[Nature]]&lt;&gt;"Hrs",0,(1/PptoSty[[#This Row],[Division]])*IF(PptoSty[[#This Row],[Sign]]="+",1,-1)*(IF(PptoSty[[#This Row],[POvsCT]]="PO",SUM(_xlfn.CHOOSECOLS(_xlfn._xlws.FILTER(F_RT14[],(IF($M206="X",TRUE,F_RT14[Site]=$M206))*(F_RT14[Measure]=X$4)*(F_RT14[PrjId]=PptoSty[[#This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06" s="338" cm="1">
        <f t="array" ref="Y206">IFERROR(IF(PptoSty[[#This Row],[Nature]]&lt;&gt;"Hrs",0,(1/PptoSty[[#This Row],[Division]])*IF(PptoSty[[#This Row],[Sign]]="+",1,-1)*(IF(PptoSty[[#This Row],[POvsCT]]="PO",SUM(_xlfn.CHOOSECOLS(_xlfn._xlws.FILTER(F_RT14[],(IF($M206="X",TRUE,F_RT14[Site]=$M206))*(F_RT14[Measure]=Y$4)*(F_RT14[PrjId]=PptoSty[[#This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06" s="338" cm="1">
        <f t="array" ref="Z206">IFERROR(IF(PptoSty[[#This Row],[Nature]]&lt;&gt;"Hrs",0,(1/PptoSty[[#This Row],[Division]])*IF(PptoSty[[#This Row],[Sign]]="+",1,-1)*(IF(PptoSty[[#This Row],[POvsCT]]="PO",SUM(_xlfn.CHOOSECOLS(_xlfn._xlws.FILTER(F_RT14[],(IF($M206="X",TRUE,F_RT14[Site]=$M206))*(F_RT14[Measure]=Z$4)*(F_RT14[PrjId]=PptoSty[[#This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06" s="206" cm="1">
        <f t="array" aca="1" ref="AA206"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06" s="206" cm="1">
        <f t="array" aca="1" ref="AB206"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06" s="206" cm="1">
        <f t="array" aca="1" ref="AC206"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06"/>
      <c r="AH206"/>
      <c r="AI206"/>
      <c r="AK206" s="113"/>
      <c r="AO206"/>
      <c r="AP206"/>
      <c r="AZ206" s="175"/>
      <c r="BA206" s="175"/>
      <c r="BE206"/>
      <c r="BF206"/>
      <c r="DG206" s="175"/>
      <c r="DH206" s="175"/>
      <c r="DI206" s="175"/>
      <c r="DL206" s="108"/>
      <c r="DM206" s="366" t="str" cm="1">
        <f t="array" aca="1" ref="DM20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06" s="177" t="s">
        <v>375</v>
      </c>
      <c r="DO206" s="177" t="str" cm="1">
        <f t="array" aca="1" ref="DO20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06" s="177"/>
      <c r="DQ206" s="177"/>
      <c r="DR206" s="177"/>
      <c r="DS206" s="177"/>
      <c r="DT206" s="177"/>
      <c r="DU206" s="177"/>
      <c r="DV206" s="177"/>
      <c r="DW206" s="177"/>
      <c r="DX206" s="177"/>
      <c r="DY206" s="177"/>
      <c r="DZ206" s="177"/>
      <c r="EA206" s="177"/>
      <c r="EB206" s="177"/>
      <c r="EC206" s="177"/>
      <c r="ED206" s="177"/>
    </row>
    <row r="207" spans="3:134" ht="13" customHeight="1">
      <c r="C207" s="200"/>
      <c r="D207" s="200"/>
      <c r="E207" s="200"/>
      <c r="F207" s="220"/>
      <c r="G207" s="201"/>
      <c r="H207" s="202"/>
      <c r="I207" s="339" t="str" cm="1">
        <f t="array" aca="1" ref="I20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07" s="203" t="str" cm="1">
        <f t="array" ref="J207">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07" s="96"/>
      <c r="L207" s="96"/>
      <c r="M207" s="96" t="s">
        <v>375</v>
      </c>
      <c r="N207" s="96" t="str" cm="1">
        <f t="array" ref="N207">IF(OR(PptoSty[[#This Row],[Project]]="",PptoSty[[#This Row],[Project]]="X"),"X",_xlfn._xlws.FILTER(TbAssign[RowId],(TbAssign[Project]=PptoSty[[#This Row],[Project]])*(TbAssign[Módulo]=PptoSty[[#This Row],[PptoVsRow]]),"X"))</f>
        <v>X</v>
      </c>
      <c r="O207" s="96" t="str" cm="1">
        <f t="array" ref="O207">IF(OR(PptoSty[[#This Row],[Project]]="",PptoSty[[#This Row],[Project]]="X"),"X",_xlfn.UNIQUE(_xlfn._xlws.FILTER(F_RT14[Amortz.],(F_RT14[Measure]="CurPpto")*(F_RT14[PrjId]=PptoSty[[#This Row],[Project]])*(F_RT14[Vrs]=PptoSty[[#This Row],[Vrs]])*(_xlfn.TEXTAFTER(F_RT14[ActGrp],":")=PptoSty[[#This Row],[PiRow]]),"X")))</f>
        <v>X</v>
      </c>
      <c r="P207" s="96"/>
      <c r="Q207" s="96"/>
      <c r="R207" s="204" t="s">
        <v>403</v>
      </c>
      <c r="S207" s="204">
        <v>1</v>
      </c>
      <c r="T207" s="205" t="str" cm="1">
        <f t="array" aca="1" ref="T20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07" s="206" t="str" cm="1">
        <f t="array" aca="1" ref="U207" ca="1">IFERROR((1/PptoSty[[#This Row],[Division]])*IF(PptoSty[[#This Row],[Sign]]="+",1,-1)*(IF(PptoSty[[#This Row],[POvsCT]]="PO",SUM(_xlfn.CHOOSECOLS(_xlfn._xlws.FILTER(F_RT14[],(IF($M207="X",TRUE,F_RT14[Site]=$M207))*(F_RT14[Measure]=U$4)*(F_RT14[PrjId]=PptoSty[[#This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07" s="206" cm="1">
        <f t="array" aca="1" ref="V207" ca="1">IFERROR((1/PptoSty[[#This Row],[Division]])*IF(PptoSty[[#This Row],[Sign]]="+",1,-1)*(IF(PptoSty[[#This Row],[POvsCT]]="PO",SUM(_xlfn.CHOOSECOLS(_xlfn._xlws.FILTER(F_RT14[],(IF($M207="X",TRUE,F_RT14[Site]=$M207))*(F_RT14[Measure]=V$4)*(F_RT14[PrjId]=PptoSty[[#This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07" s="206" cm="1">
        <f t="array" aca="1" ref="W207" ca="1">IFERROR((1/PptoSty[[#This Row],[Division]])*IF(PptoSty[[#This Row],[Sign]]="+",1,-1)*(IF(PptoSty[[#This Row],[POvsCT]]="PO",SUM(_xlfn.CHOOSECOLS(_xlfn._xlws.FILTER(F_RT14[],(IF($M207="X",TRUE,F_RT14[Site]=$M207))*(F_RT14[Measure]=W$4)*(F_RT14[PrjId]=PptoSty[[#This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07" s="338" cm="1">
        <f t="array" ref="X207">IFERROR(IF(PptoSty[[#This Row],[Nature]]&lt;&gt;"Hrs",0,(1/PptoSty[[#This Row],[Division]])*IF(PptoSty[[#This Row],[Sign]]="+",1,-1)*(IF(PptoSty[[#This Row],[POvsCT]]="PO",SUM(_xlfn.CHOOSECOLS(_xlfn._xlws.FILTER(F_RT14[],(IF($M207="X",TRUE,F_RT14[Site]=$M207))*(F_RT14[Measure]=X$4)*(F_RT14[PrjId]=PptoSty[[#This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07" s="338" cm="1">
        <f t="array" ref="Y207">IFERROR(IF(PptoSty[[#This Row],[Nature]]&lt;&gt;"Hrs",0,(1/PptoSty[[#This Row],[Division]])*IF(PptoSty[[#This Row],[Sign]]="+",1,-1)*(IF(PptoSty[[#This Row],[POvsCT]]="PO",SUM(_xlfn.CHOOSECOLS(_xlfn._xlws.FILTER(F_RT14[],(IF($M207="X",TRUE,F_RT14[Site]=$M207))*(F_RT14[Measure]=Y$4)*(F_RT14[PrjId]=PptoSty[[#This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07" s="338" cm="1">
        <f t="array" ref="Z207">IFERROR(IF(PptoSty[[#This Row],[Nature]]&lt;&gt;"Hrs",0,(1/PptoSty[[#This Row],[Division]])*IF(PptoSty[[#This Row],[Sign]]="+",1,-1)*(IF(PptoSty[[#This Row],[POvsCT]]="PO",SUM(_xlfn.CHOOSECOLS(_xlfn._xlws.FILTER(F_RT14[],(IF($M207="X",TRUE,F_RT14[Site]=$M207))*(F_RT14[Measure]=Z$4)*(F_RT14[PrjId]=PptoSty[[#This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07" s="206" cm="1">
        <f t="array" aca="1" ref="AA207"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07" s="206" cm="1">
        <f t="array" aca="1" ref="AB207"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07" s="206" cm="1">
        <f t="array" aca="1" ref="AC207"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07"/>
      <c r="AH207"/>
      <c r="AI207"/>
      <c r="AK207" s="113"/>
      <c r="AO207"/>
      <c r="AP207"/>
      <c r="AZ207" s="175"/>
      <c r="BA207" s="175"/>
      <c r="BE207"/>
      <c r="BF207"/>
      <c r="DG207" s="175"/>
      <c r="DH207" s="175"/>
      <c r="DI207" s="175"/>
      <c r="DL207" s="108"/>
      <c r="DM207" s="366" t="str" cm="1">
        <f t="array" aca="1" ref="DM20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07" s="177" t="s">
        <v>375</v>
      </c>
      <c r="DO207" s="177" t="str" cm="1">
        <f t="array" aca="1" ref="DO20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07" s="177"/>
      <c r="DQ207" s="177"/>
      <c r="DR207" s="177"/>
      <c r="DS207" s="177"/>
      <c r="DT207" s="177"/>
      <c r="DU207" s="177"/>
      <c r="DV207" s="177"/>
      <c r="DW207" s="177"/>
      <c r="DX207" s="177"/>
      <c r="DY207" s="177"/>
      <c r="DZ207" s="177"/>
      <c r="EA207" s="177"/>
      <c r="EB207" s="177"/>
      <c r="EC207" s="177"/>
      <c r="ED207" s="177"/>
    </row>
    <row r="208" spans="3:134" ht="13" customHeight="1">
      <c r="C208" s="200"/>
      <c r="D208" s="200"/>
      <c r="E208" s="200"/>
      <c r="F208" s="220"/>
      <c r="I208" s="339" t="str" cm="1">
        <f t="array" aca="1" ref="I20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08" s="203" t="str" cm="1">
        <f t="array" ref="J208">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08" s="96"/>
      <c r="L208" s="96"/>
      <c r="M208" s="96" t="s">
        <v>375</v>
      </c>
      <c r="N208" s="96" t="str" cm="1">
        <f t="array" ref="N208">IF(OR(PptoSty[[#This Row],[Project]]="",PptoSty[[#This Row],[Project]]="X"),"X",_xlfn._xlws.FILTER(TbAssign[RowId],(TbAssign[Project]=PptoSty[[#This Row],[Project]])*(TbAssign[Módulo]=PptoSty[[#This Row],[PptoVsRow]]),"X"))</f>
        <v>X</v>
      </c>
      <c r="O208" s="96" t="str" cm="1">
        <f t="array" ref="O208">IF(OR(PptoSty[[#This Row],[Project]]="",PptoSty[[#This Row],[Project]]="X"),"X",_xlfn.UNIQUE(_xlfn._xlws.FILTER(F_RT14[Amortz.],(F_RT14[Measure]="CurPpto")*(F_RT14[PrjId]=PptoSty[[#This Row],[Project]])*(F_RT14[Vrs]=PptoSty[[#This Row],[Vrs]])*(_xlfn.TEXTAFTER(F_RT14[ActGrp],":")=PptoSty[[#This Row],[PiRow]]),"X")))</f>
        <v>X</v>
      </c>
      <c r="P208" s="96"/>
      <c r="Q208" s="96"/>
      <c r="R208" s="204" t="s">
        <v>403</v>
      </c>
      <c r="S208" s="204">
        <v>1</v>
      </c>
      <c r="T208" s="205" t="str" cm="1">
        <f t="array" aca="1" ref="T20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08" s="206" t="str" cm="1">
        <f t="array" aca="1" ref="U208" ca="1">IFERROR((1/PptoSty[[#This Row],[Division]])*IF(PptoSty[[#This Row],[Sign]]="+",1,-1)*(IF(PptoSty[[#This Row],[POvsCT]]="PO",SUM(_xlfn.CHOOSECOLS(_xlfn._xlws.FILTER(F_RT14[],(IF($M208="X",TRUE,F_RT14[Site]=$M208))*(F_RT14[Measure]=U$4)*(F_RT14[PrjId]=PptoSty[[#This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08" s="206" cm="1">
        <f t="array" aca="1" ref="V208" ca="1">IFERROR((1/PptoSty[[#This Row],[Division]])*IF(PptoSty[[#This Row],[Sign]]="+",1,-1)*(IF(PptoSty[[#This Row],[POvsCT]]="PO",SUM(_xlfn.CHOOSECOLS(_xlfn._xlws.FILTER(F_RT14[],(IF($M208="X",TRUE,F_RT14[Site]=$M208))*(F_RT14[Measure]=V$4)*(F_RT14[PrjId]=PptoSty[[#This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08" s="206" cm="1">
        <f t="array" aca="1" ref="W208" ca="1">IFERROR((1/PptoSty[[#This Row],[Division]])*IF(PptoSty[[#This Row],[Sign]]="+",1,-1)*(IF(PptoSty[[#This Row],[POvsCT]]="PO",SUM(_xlfn.CHOOSECOLS(_xlfn._xlws.FILTER(F_RT14[],(IF($M208="X",TRUE,F_RT14[Site]=$M208))*(F_RT14[Measure]=W$4)*(F_RT14[PrjId]=PptoSty[[#This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08" s="338" cm="1">
        <f t="array" ref="X208">IFERROR(IF(PptoSty[[#This Row],[Nature]]&lt;&gt;"Hrs",0,(1/PptoSty[[#This Row],[Division]])*IF(PptoSty[[#This Row],[Sign]]="+",1,-1)*(IF(PptoSty[[#This Row],[POvsCT]]="PO",SUM(_xlfn.CHOOSECOLS(_xlfn._xlws.FILTER(F_RT14[],(IF($M208="X",TRUE,F_RT14[Site]=$M208))*(F_RT14[Measure]=X$4)*(F_RT14[PrjId]=PptoSty[[#This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08" s="338" cm="1">
        <f t="array" ref="Y208">IFERROR(IF(PptoSty[[#This Row],[Nature]]&lt;&gt;"Hrs",0,(1/PptoSty[[#This Row],[Division]])*IF(PptoSty[[#This Row],[Sign]]="+",1,-1)*(IF(PptoSty[[#This Row],[POvsCT]]="PO",SUM(_xlfn.CHOOSECOLS(_xlfn._xlws.FILTER(F_RT14[],(IF($M208="X",TRUE,F_RT14[Site]=$M208))*(F_RT14[Measure]=Y$4)*(F_RT14[PrjId]=PptoSty[[#This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08" s="338" cm="1">
        <f t="array" ref="Z208">IFERROR(IF(PptoSty[[#This Row],[Nature]]&lt;&gt;"Hrs",0,(1/PptoSty[[#This Row],[Division]])*IF(PptoSty[[#This Row],[Sign]]="+",1,-1)*(IF(PptoSty[[#This Row],[POvsCT]]="PO",SUM(_xlfn.CHOOSECOLS(_xlfn._xlws.FILTER(F_RT14[],(IF($M208="X",TRUE,F_RT14[Site]=$M208))*(F_RT14[Measure]=Z$4)*(F_RT14[PrjId]=PptoSty[[#This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08" s="206" cm="1">
        <f t="array" aca="1" ref="AA208"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08" s="206" cm="1">
        <f t="array" aca="1" ref="AB208"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08" s="206" cm="1">
        <f t="array" aca="1" ref="AC208"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08"/>
      <c r="AH208"/>
      <c r="AI208"/>
      <c r="AK208" s="113"/>
      <c r="AO208"/>
      <c r="AP208"/>
      <c r="AZ208" s="175"/>
      <c r="BA208" s="175"/>
      <c r="BE208"/>
      <c r="BF208"/>
      <c r="DG208" s="175"/>
      <c r="DH208" s="175"/>
      <c r="DI208" s="175"/>
      <c r="DL208" s="108"/>
      <c r="DM208" s="366" t="str" cm="1">
        <f t="array" aca="1" ref="DM20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08" s="177" t="s">
        <v>375</v>
      </c>
      <c r="DO208" s="177" t="str" cm="1">
        <f t="array" aca="1" ref="DO20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08" s="177"/>
      <c r="DQ208" s="177"/>
      <c r="DR208" s="177"/>
      <c r="DS208" s="177"/>
      <c r="DT208" s="177"/>
      <c r="DU208" s="177"/>
      <c r="DV208" s="177"/>
      <c r="DW208" s="177"/>
      <c r="DX208" s="177"/>
      <c r="DY208" s="177"/>
      <c r="DZ208" s="177"/>
      <c r="EA208" s="177"/>
      <c r="EB208" s="177"/>
      <c r="EC208" s="177"/>
      <c r="ED208" s="177"/>
    </row>
    <row r="209" spans="6:134" ht="13" customHeight="1">
      <c r="F209" s="221"/>
      <c r="I209" s="339" t="str" cm="1">
        <f t="array" aca="1" ref="I20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09" s="203" t="str" cm="1">
        <f t="array" ref="J209">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09" s="96"/>
      <c r="L209" s="96"/>
      <c r="M209" s="96" t="s">
        <v>375</v>
      </c>
      <c r="N209" s="96" t="str" cm="1">
        <f t="array" ref="N209">IF(OR(PptoSty[[#This Row],[Project]]="",PptoSty[[#This Row],[Project]]="X"),"X",_xlfn._xlws.FILTER(TbAssign[RowId],(TbAssign[Project]=PptoSty[[#This Row],[Project]])*(TbAssign[Módulo]=PptoSty[[#This Row],[PptoVsRow]]),"X"))</f>
        <v>X</v>
      </c>
      <c r="O209" s="96" t="str" cm="1">
        <f t="array" ref="O209">IF(OR(PptoSty[[#This Row],[Project]]="",PptoSty[[#This Row],[Project]]="X"),"X",_xlfn.UNIQUE(_xlfn._xlws.FILTER(F_RT14[Amortz.],(F_RT14[Measure]="CurPpto")*(F_RT14[PrjId]=PptoSty[[#This Row],[Project]])*(F_RT14[Vrs]=PptoSty[[#This Row],[Vrs]])*(_xlfn.TEXTAFTER(F_RT14[ActGrp],":")=PptoSty[[#This Row],[PiRow]]),"X")))</f>
        <v>X</v>
      </c>
      <c r="P209" s="96"/>
      <c r="Q209" s="96"/>
      <c r="R209" s="204" t="s">
        <v>403</v>
      </c>
      <c r="S209" s="204">
        <v>1</v>
      </c>
      <c r="T209" s="205" t="str" cm="1">
        <f t="array" aca="1" ref="T20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09" s="206" t="str" cm="1">
        <f t="array" aca="1" ref="U209" ca="1">IFERROR((1/PptoSty[[#This Row],[Division]])*IF(PptoSty[[#This Row],[Sign]]="+",1,-1)*(IF(PptoSty[[#This Row],[POvsCT]]="PO",SUM(_xlfn.CHOOSECOLS(_xlfn._xlws.FILTER(F_RT14[],(IF($M209="X",TRUE,F_RT14[Site]=$M209))*(F_RT14[Measure]=U$4)*(F_RT14[PrjId]=PptoSty[[#This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09" s="206" cm="1">
        <f t="array" aca="1" ref="V209" ca="1">IFERROR((1/PptoSty[[#This Row],[Division]])*IF(PptoSty[[#This Row],[Sign]]="+",1,-1)*(IF(PptoSty[[#This Row],[POvsCT]]="PO",SUM(_xlfn.CHOOSECOLS(_xlfn._xlws.FILTER(F_RT14[],(IF($M209="X",TRUE,F_RT14[Site]=$M209))*(F_RT14[Measure]=V$4)*(F_RT14[PrjId]=PptoSty[[#This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09" s="206" cm="1">
        <f t="array" aca="1" ref="W209" ca="1">IFERROR((1/PptoSty[[#This Row],[Division]])*IF(PptoSty[[#This Row],[Sign]]="+",1,-1)*(IF(PptoSty[[#This Row],[POvsCT]]="PO",SUM(_xlfn.CHOOSECOLS(_xlfn._xlws.FILTER(F_RT14[],(IF($M209="X",TRUE,F_RT14[Site]=$M209))*(F_RT14[Measure]=W$4)*(F_RT14[PrjId]=PptoSty[[#This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09" s="338" cm="1">
        <f t="array" ref="X209">IFERROR(IF(PptoSty[[#This Row],[Nature]]&lt;&gt;"Hrs",0,(1/PptoSty[[#This Row],[Division]])*IF(PptoSty[[#This Row],[Sign]]="+",1,-1)*(IF(PptoSty[[#This Row],[POvsCT]]="PO",SUM(_xlfn.CHOOSECOLS(_xlfn._xlws.FILTER(F_RT14[],(IF($M209="X",TRUE,F_RT14[Site]=$M209))*(F_RT14[Measure]=X$4)*(F_RT14[PrjId]=PptoSty[[#This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09" s="338" cm="1">
        <f t="array" ref="Y209">IFERROR(IF(PptoSty[[#This Row],[Nature]]&lt;&gt;"Hrs",0,(1/PptoSty[[#This Row],[Division]])*IF(PptoSty[[#This Row],[Sign]]="+",1,-1)*(IF(PptoSty[[#This Row],[POvsCT]]="PO",SUM(_xlfn.CHOOSECOLS(_xlfn._xlws.FILTER(F_RT14[],(IF($M209="X",TRUE,F_RT14[Site]=$M209))*(F_RT14[Measure]=Y$4)*(F_RT14[PrjId]=PptoSty[[#This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09" s="338" cm="1">
        <f t="array" ref="Z209">IFERROR(IF(PptoSty[[#This Row],[Nature]]&lt;&gt;"Hrs",0,(1/PptoSty[[#This Row],[Division]])*IF(PptoSty[[#This Row],[Sign]]="+",1,-1)*(IF(PptoSty[[#This Row],[POvsCT]]="PO",SUM(_xlfn.CHOOSECOLS(_xlfn._xlws.FILTER(F_RT14[],(IF($M209="X",TRUE,F_RT14[Site]=$M209))*(F_RT14[Measure]=Z$4)*(F_RT14[PrjId]=PptoSty[[#This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09" s="206" cm="1">
        <f t="array" aca="1" ref="AA209"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09" s="206" cm="1">
        <f t="array" aca="1" ref="AB209"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09" s="206" cm="1">
        <f t="array" aca="1" ref="AC209"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09"/>
      <c r="AH209"/>
      <c r="AI209"/>
      <c r="AK209" s="113"/>
      <c r="AO209"/>
      <c r="AP209"/>
      <c r="AZ209" s="175"/>
      <c r="BA209" s="175"/>
      <c r="BE209"/>
      <c r="BF209"/>
      <c r="DG209" s="175"/>
      <c r="DH209" s="175"/>
      <c r="DI209" s="175"/>
      <c r="DL209" s="108"/>
      <c r="DM209" s="366" t="str" cm="1">
        <f t="array" aca="1" ref="DM209"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09" s="177" t="s">
        <v>375</v>
      </c>
      <c r="DO209" s="177" t="str" cm="1">
        <f t="array" aca="1" ref="DO209"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09" s="177"/>
      <c r="DQ209" s="177"/>
      <c r="DR209" s="177"/>
      <c r="DS209" s="177"/>
      <c r="DT209" s="177"/>
      <c r="DU209" s="177"/>
      <c r="DV209" s="177"/>
      <c r="DW209" s="177"/>
      <c r="DX209" s="177"/>
      <c r="DY209" s="177"/>
      <c r="DZ209" s="177"/>
      <c r="EA209" s="177"/>
      <c r="EB209" s="177"/>
      <c r="EC209" s="177"/>
      <c r="ED209" s="177"/>
    </row>
    <row r="210" spans="6:134" ht="13" customHeight="1">
      <c r="F210" s="221"/>
      <c r="I210" s="339" t="str" cm="1">
        <f t="array" aca="1" ref="I21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10" s="203" t="str" cm="1">
        <f t="array" ref="J210">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10" s="96"/>
      <c r="L210" s="96"/>
      <c r="M210" s="96" t="s">
        <v>375</v>
      </c>
      <c r="N210" s="96" t="str" cm="1">
        <f t="array" ref="N210">IF(OR(PptoSty[[#This Row],[Project]]="",PptoSty[[#This Row],[Project]]="X"),"X",_xlfn._xlws.FILTER(TbAssign[RowId],(TbAssign[Project]=PptoSty[[#This Row],[Project]])*(TbAssign[Módulo]=PptoSty[[#This Row],[PptoVsRow]]),"X"))</f>
        <v>X</v>
      </c>
      <c r="O210" s="96" t="str" cm="1">
        <f t="array" ref="O210">IF(OR(PptoSty[[#This Row],[Project]]="",PptoSty[[#This Row],[Project]]="X"),"X",_xlfn.UNIQUE(_xlfn._xlws.FILTER(F_RT14[Amortz.],(F_RT14[Measure]="CurPpto")*(F_RT14[PrjId]=PptoSty[[#This Row],[Project]])*(F_RT14[Vrs]=PptoSty[[#This Row],[Vrs]])*(_xlfn.TEXTAFTER(F_RT14[ActGrp],":")=PptoSty[[#This Row],[PiRow]]),"X")))</f>
        <v>X</v>
      </c>
      <c r="P210" s="96"/>
      <c r="Q210" s="96"/>
      <c r="R210" s="204" t="s">
        <v>403</v>
      </c>
      <c r="S210" s="204">
        <v>1</v>
      </c>
      <c r="T210" s="205" t="str" cm="1">
        <f t="array" aca="1" ref="T21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10" s="206" t="str" cm="1">
        <f t="array" aca="1" ref="U210" ca="1">IFERROR((1/PptoSty[[#This Row],[Division]])*IF(PptoSty[[#This Row],[Sign]]="+",1,-1)*(IF(PptoSty[[#This Row],[POvsCT]]="PO",SUM(_xlfn.CHOOSECOLS(_xlfn._xlws.FILTER(F_RT14[],(IF($M210="X",TRUE,F_RT14[Site]=$M210))*(F_RT14[Measure]=U$4)*(F_RT14[PrjId]=PptoSty[[#This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10" s="206" cm="1">
        <f t="array" aca="1" ref="V210" ca="1">IFERROR((1/PptoSty[[#This Row],[Division]])*IF(PptoSty[[#This Row],[Sign]]="+",1,-1)*(IF(PptoSty[[#This Row],[POvsCT]]="PO",SUM(_xlfn.CHOOSECOLS(_xlfn._xlws.FILTER(F_RT14[],(IF($M210="X",TRUE,F_RT14[Site]=$M210))*(F_RT14[Measure]=V$4)*(F_RT14[PrjId]=PptoSty[[#This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10" s="206" cm="1">
        <f t="array" aca="1" ref="W210" ca="1">IFERROR((1/PptoSty[[#This Row],[Division]])*IF(PptoSty[[#This Row],[Sign]]="+",1,-1)*(IF(PptoSty[[#This Row],[POvsCT]]="PO",SUM(_xlfn.CHOOSECOLS(_xlfn._xlws.FILTER(F_RT14[],(IF($M210="X",TRUE,F_RT14[Site]=$M210))*(F_RT14[Measure]=W$4)*(F_RT14[PrjId]=PptoSty[[#This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10" s="338" cm="1">
        <f t="array" ref="X210">IFERROR(IF(PptoSty[[#This Row],[Nature]]&lt;&gt;"Hrs",0,(1/PptoSty[[#This Row],[Division]])*IF(PptoSty[[#This Row],[Sign]]="+",1,-1)*(IF(PptoSty[[#This Row],[POvsCT]]="PO",SUM(_xlfn.CHOOSECOLS(_xlfn._xlws.FILTER(F_RT14[],(IF($M210="X",TRUE,F_RT14[Site]=$M210))*(F_RT14[Measure]=X$4)*(F_RT14[PrjId]=PptoSty[[#This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10" s="338" cm="1">
        <f t="array" ref="Y210">IFERROR(IF(PptoSty[[#This Row],[Nature]]&lt;&gt;"Hrs",0,(1/PptoSty[[#This Row],[Division]])*IF(PptoSty[[#This Row],[Sign]]="+",1,-1)*(IF(PptoSty[[#This Row],[POvsCT]]="PO",SUM(_xlfn.CHOOSECOLS(_xlfn._xlws.FILTER(F_RT14[],(IF($M210="X",TRUE,F_RT14[Site]=$M210))*(F_RT14[Measure]=Y$4)*(F_RT14[PrjId]=PptoSty[[#This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10" s="338" cm="1">
        <f t="array" ref="Z210">IFERROR(IF(PptoSty[[#This Row],[Nature]]&lt;&gt;"Hrs",0,(1/PptoSty[[#This Row],[Division]])*IF(PptoSty[[#This Row],[Sign]]="+",1,-1)*(IF(PptoSty[[#This Row],[POvsCT]]="PO",SUM(_xlfn.CHOOSECOLS(_xlfn._xlws.FILTER(F_RT14[],(IF($M210="X",TRUE,F_RT14[Site]=$M210))*(F_RT14[Measure]=Z$4)*(F_RT14[PrjId]=PptoSty[[#This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10" s="206" cm="1">
        <f t="array" aca="1" ref="AA210"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10" s="206" cm="1">
        <f t="array" aca="1" ref="AB210"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10" s="206" cm="1">
        <f t="array" aca="1" ref="AC210"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10"/>
      <c r="AH210"/>
      <c r="AI210"/>
      <c r="AK210" s="113"/>
      <c r="AO210"/>
      <c r="AP210"/>
      <c r="AZ210" s="175"/>
      <c r="BA210" s="175"/>
      <c r="BE210"/>
      <c r="BF210"/>
      <c r="DG210" s="175"/>
      <c r="DH210" s="175"/>
      <c r="DI210" s="175"/>
      <c r="DL210" s="108"/>
      <c r="DM210" s="366" t="str" cm="1">
        <f t="array" aca="1" ref="DM210"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10" s="177" t="s">
        <v>375</v>
      </c>
      <c r="DO210" s="177" t="str" cm="1">
        <f t="array" aca="1" ref="DO210"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10" s="177"/>
      <c r="DQ210" s="177"/>
      <c r="DR210" s="177"/>
      <c r="DS210" s="177"/>
      <c r="DT210" s="177"/>
      <c r="DU210" s="177"/>
      <c r="DV210" s="177"/>
      <c r="DW210" s="177"/>
      <c r="DX210" s="177"/>
      <c r="DY210" s="177"/>
      <c r="DZ210" s="177"/>
      <c r="EA210" s="177"/>
      <c r="EB210" s="177"/>
      <c r="EC210" s="177"/>
      <c r="ED210" s="177"/>
    </row>
    <row r="211" spans="6:134" ht="13" customHeight="1">
      <c r="F211" s="221"/>
      <c r="I211" s="339" t="str" cm="1">
        <f t="array" aca="1" ref="I21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11" s="203" t="str" cm="1">
        <f t="array" ref="J211">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11" s="96"/>
      <c r="L211" s="96"/>
      <c r="M211" s="96" t="s">
        <v>375</v>
      </c>
      <c r="N211" s="96" t="str" cm="1">
        <f t="array" ref="N211">IF(OR(PptoSty[[#This Row],[Project]]="",PptoSty[[#This Row],[Project]]="X"),"X",_xlfn._xlws.FILTER(TbAssign[RowId],(TbAssign[Project]=PptoSty[[#This Row],[Project]])*(TbAssign[Módulo]=PptoSty[[#This Row],[PptoVsRow]]),"X"))</f>
        <v>X</v>
      </c>
      <c r="O211" s="96" t="str" cm="1">
        <f t="array" ref="O211">IF(OR(PptoSty[[#This Row],[Project]]="",PptoSty[[#This Row],[Project]]="X"),"X",_xlfn.UNIQUE(_xlfn._xlws.FILTER(F_RT14[Amortz.],(F_RT14[Measure]="CurPpto")*(F_RT14[PrjId]=PptoSty[[#This Row],[Project]])*(F_RT14[Vrs]=PptoSty[[#This Row],[Vrs]])*(_xlfn.TEXTAFTER(F_RT14[ActGrp],":")=PptoSty[[#This Row],[PiRow]]),"X")))</f>
        <v>X</v>
      </c>
      <c r="P211" s="96"/>
      <c r="Q211" s="96"/>
      <c r="R211" s="204" t="s">
        <v>403</v>
      </c>
      <c r="S211" s="204">
        <v>1</v>
      </c>
      <c r="T211" s="205" t="str" cm="1">
        <f t="array" aca="1" ref="T21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11" s="206" t="str" cm="1">
        <f t="array" aca="1" ref="U211" ca="1">IFERROR((1/PptoSty[[#This Row],[Division]])*IF(PptoSty[[#This Row],[Sign]]="+",1,-1)*(IF(PptoSty[[#This Row],[POvsCT]]="PO",SUM(_xlfn.CHOOSECOLS(_xlfn._xlws.FILTER(F_RT14[],(IF($M211="X",TRUE,F_RT14[Site]=$M211))*(F_RT14[Measure]=U$4)*(F_RT14[PrjId]=PptoSty[[#This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11" s="206" cm="1">
        <f t="array" aca="1" ref="V211" ca="1">IFERROR((1/PptoSty[[#This Row],[Division]])*IF(PptoSty[[#This Row],[Sign]]="+",1,-1)*(IF(PptoSty[[#This Row],[POvsCT]]="PO",SUM(_xlfn.CHOOSECOLS(_xlfn._xlws.FILTER(F_RT14[],(IF($M211="X",TRUE,F_RT14[Site]=$M211))*(F_RT14[Measure]=V$4)*(F_RT14[PrjId]=PptoSty[[#This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11" s="206" cm="1">
        <f t="array" aca="1" ref="W211" ca="1">IFERROR((1/PptoSty[[#This Row],[Division]])*IF(PptoSty[[#This Row],[Sign]]="+",1,-1)*(IF(PptoSty[[#This Row],[POvsCT]]="PO",SUM(_xlfn.CHOOSECOLS(_xlfn._xlws.FILTER(F_RT14[],(IF($M211="X",TRUE,F_RT14[Site]=$M211))*(F_RT14[Measure]=W$4)*(F_RT14[PrjId]=PptoSty[[#This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11" s="338" cm="1">
        <f t="array" ref="X211">IFERROR(IF(PptoSty[[#This Row],[Nature]]&lt;&gt;"Hrs",0,(1/PptoSty[[#This Row],[Division]])*IF(PptoSty[[#This Row],[Sign]]="+",1,-1)*(IF(PptoSty[[#This Row],[POvsCT]]="PO",SUM(_xlfn.CHOOSECOLS(_xlfn._xlws.FILTER(F_RT14[],(IF($M211="X",TRUE,F_RT14[Site]=$M211))*(F_RT14[Measure]=X$4)*(F_RT14[PrjId]=PptoSty[[#This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11" s="338" cm="1">
        <f t="array" ref="Y211">IFERROR(IF(PptoSty[[#This Row],[Nature]]&lt;&gt;"Hrs",0,(1/PptoSty[[#This Row],[Division]])*IF(PptoSty[[#This Row],[Sign]]="+",1,-1)*(IF(PptoSty[[#This Row],[POvsCT]]="PO",SUM(_xlfn.CHOOSECOLS(_xlfn._xlws.FILTER(F_RT14[],(IF($M211="X",TRUE,F_RT14[Site]=$M211))*(F_RT14[Measure]=Y$4)*(F_RT14[PrjId]=PptoSty[[#This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11" s="338" cm="1">
        <f t="array" ref="Z211">IFERROR(IF(PptoSty[[#This Row],[Nature]]&lt;&gt;"Hrs",0,(1/PptoSty[[#This Row],[Division]])*IF(PptoSty[[#This Row],[Sign]]="+",1,-1)*(IF(PptoSty[[#This Row],[POvsCT]]="PO",SUM(_xlfn.CHOOSECOLS(_xlfn._xlws.FILTER(F_RT14[],(IF($M211="X",TRUE,F_RT14[Site]=$M211))*(F_RT14[Measure]=Z$4)*(F_RT14[PrjId]=PptoSty[[#This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11" s="206" cm="1">
        <f t="array" aca="1" ref="AA211"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11" s="206" cm="1">
        <f t="array" aca="1" ref="AB211"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11" s="206" cm="1">
        <f t="array" aca="1" ref="AC211"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11"/>
      <c r="AH211"/>
      <c r="AI211"/>
      <c r="AK211" s="113"/>
      <c r="AO211"/>
      <c r="AP211"/>
      <c r="AZ211" s="175"/>
      <c r="BA211" s="175"/>
      <c r="BE211"/>
      <c r="BF211"/>
      <c r="DG211" s="175"/>
      <c r="DH211" s="175"/>
      <c r="DI211" s="175"/>
      <c r="DL211" s="108"/>
      <c r="DM211" s="366" t="str" cm="1">
        <f t="array" aca="1" ref="DM211"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11" s="177" t="s">
        <v>375</v>
      </c>
      <c r="DO211" s="177" t="str" cm="1">
        <f t="array" aca="1" ref="DO211"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11" s="177"/>
      <c r="DQ211" s="177"/>
      <c r="DR211" s="177"/>
      <c r="DS211" s="177"/>
      <c r="DT211" s="177"/>
      <c r="DU211" s="177"/>
      <c r="DV211" s="177"/>
      <c r="DW211" s="177"/>
      <c r="DX211" s="177"/>
      <c r="DY211" s="177"/>
      <c r="DZ211" s="177"/>
      <c r="EA211" s="177"/>
      <c r="EB211" s="177"/>
      <c r="EC211" s="177"/>
      <c r="ED211" s="177"/>
    </row>
    <row r="212" spans="6:134" ht="13" customHeight="1">
      <c r="F212" s="221"/>
      <c r="I212" s="339" t="str" cm="1">
        <f t="array" aca="1" ref="I21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12" s="203" t="str" cm="1">
        <f t="array" ref="J212">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12" s="96"/>
      <c r="L212" s="96"/>
      <c r="M212" s="96" t="s">
        <v>375</v>
      </c>
      <c r="N212" s="96" t="str" cm="1">
        <f t="array" ref="N212">IF(OR(PptoSty[[#This Row],[Project]]="",PptoSty[[#This Row],[Project]]="X"),"X",_xlfn._xlws.FILTER(TbAssign[RowId],(TbAssign[Project]=PptoSty[[#This Row],[Project]])*(TbAssign[Módulo]=PptoSty[[#This Row],[PptoVsRow]]),"X"))</f>
        <v>X</v>
      </c>
      <c r="O212" s="96" t="str" cm="1">
        <f t="array" ref="O212">IF(OR(PptoSty[[#This Row],[Project]]="",PptoSty[[#This Row],[Project]]="X"),"X",_xlfn.UNIQUE(_xlfn._xlws.FILTER(F_RT14[Amortz.],(F_RT14[Measure]="CurPpto")*(F_RT14[PrjId]=PptoSty[[#This Row],[Project]])*(F_RT14[Vrs]=PptoSty[[#This Row],[Vrs]])*(_xlfn.TEXTAFTER(F_RT14[ActGrp],":")=PptoSty[[#This Row],[PiRow]]),"X")))</f>
        <v>X</v>
      </c>
      <c r="P212" s="96"/>
      <c r="Q212" s="96"/>
      <c r="R212" s="204" t="s">
        <v>403</v>
      </c>
      <c r="S212" s="204">
        <v>1</v>
      </c>
      <c r="T212" s="205" t="str" cm="1">
        <f t="array" aca="1" ref="T21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12" s="206" t="str" cm="1">
        <f t="array" aca="1" ref="U212" ca="1">IFERROR((1/PptoSty[[#This Row],[Division]])*IF(PptoSty[[#This Row],[Sign]]="+",1,-1)*(IF(PptoSty[[#This Row],[POvsCT]]="PO",SUM(_xlfn.CHOOSECOLS(_xlfn._xlws.FILTER(F_RT14[],(IF($M212="X",TRUE,F_RT14[Site]=$M212))*(F_RT14[Measure]=U$4)*(F_RT14[PrjId]=PptoSty[[#This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12" s="206" cm="1">
        <f t="array" aca="1" ref="V212" ca="1">IFERROR((1/PptoSty[[#This Row],[Division]])*IF(PptoSty[[#This Row],[Sign]]="+",1,-1)*(IF(PptoSty[[#This Row],[POvsCT]]="PO",SUM(_xlfn.CHOOSECOLS(_xlfn._xlws.FILTER(F_RT14[],(IF($M212="X",TRUE,F_RT14[Site]=$M212))*(F_RT14[Measure]=V$4)*(F_RT14[PrjId]=PptoSty[[#This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12" s="206" cm="1">
        <f t="array" aca="1" ref="W212" ca="1">IFERROR((1/PptoSty[[#This Row],[Division]])*IF(PptoSty[[#This Row],[Sign]]="+",1,-1)*(IF(PptoSty[[#This Row],[POvsCT]]="PO",SUM(_xlfn.CHOOSECOLS(_xlfn._xlws.FILTER(F_RT14[],(IF($M212="X",TRUE,F_RT14[Site]=$M212))*(F_RT14[Measure]=W$4)*(F_RT14[PrjId]=PptoSty[[#This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12" s="338" cm="1">
        <f t="array" ref="X212">IFERROR(IF(PptoSty[[#This Row],[Nature]]&lt;&gt;"Hrs",0,(1/PptoSty[[#This Row],[Division]])*IF(PptoSty[[#This Row],[Sign]]="+",1,-1)*(IF(PptoSty[[#This Row],[POvsCT]]="PO",SUM(_xlfn.CHOOSECOLS(_xlfn._xlws.FILTER(F_RT14[],(IF($M212="X",TRUE,F_RT14[Site]=$M212))*(F_RT14[Measure]=X$4)*(F_RT14[PrjId]=PptoSty[[#This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12" s="338" cm="1">
        <f t="array" ref="Y212">IFERROR(IF(PptoSty[[#This Row],[Nature]]&lt;&gt;"Hrs",0,(1/PptoSty[[#This Row],[Division]])*IF(PptoSty[[#This Row],[Sign]]="+",1,-1)*(IF(PptoSty[[#This Row],[POvsCT]]="PO",SUM(_xlfn.CHOOSECOLS(_xlfn._xlws.FILTER(F_RT14[],(IF($M212="X",TRUE,F_RT14[Site]=$M212))*(F_RT14[Measure]=Y$4)*(F_RT14[PrjId]=PptoSty[[#This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12" s="338" cm="1">
        <f t="array" ref="Z212">IFERROR(IF(PptoSty[[#This Row],[Nature]]&lt;&gt;"Hrs",0,(1/PptoSty[[#This Row],[Division]])*IF(PptoSty[[#This Row],[Sign]]="+",1,-1)*(IF(PptoSty[[#This Row],[POvsCT]]="PO",SUM(_xlfn.CHOOSECOLS(_xlfn._xlws.FILTER(F_RT14[],(IF($M212="X",TRUE,F_RT14[Site]=$M212))*(F_RT14[Measure]=Z$4)*(F_RT14[PrjId]=PptoSty[[#This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12" s="206" cm="1">
        <f t="array" aca="1" ref="AA212"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12" s="206" cm="1">
        <f t="array" aca="1" ref="AB212"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12" s="206" cm="1">
        <f t="array" aca="1" ref="AC212"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12"/>
      <c r="AH212"/>
      <c r="AI212"/>
      <c r="AK212" s="113"/>
      <c r="AO212"/>
      <c r="AP212"/>
      <c r="AZ212" s="175"/>
      <c r="BA212" s="175"/>
      <c r="BE212"/>
      <c r="BF212"/>
      <c r="DG212" s="175"/>
      <c r="DH212" s="175"/>
      <c r="DI212" s="175"/>
      <c r="DL212" s="108"/>
      <c r="DM212" s="366" t="str" cm="1">
        <f t="array" aca="1" ref="DM212"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12" s="177" t="s">
        <v>375</v>
      </c>
      <c r="DO212" s="177" t="str" cm="1">
        <f t="array" aca="1" ref="DO212"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12" s="177"/>
      <c r="DQ212" s="177"/>
      <c r="DR212" s="177"/>
      <c r="DS212" s="177"/>
      <c r="DT212" s="177"/>
      <c r="DU212" s="177"/>
      <c r="DV212" s="177"/>
      <c r="DW212" s="177"/>
      <c r="DX212" s="177"/>
      <c r="DY212" s="177"/>
      <c r="DZ212" s="177"/>
      <c r="EA212" s="177"/>
      <c r="EB212" s="177"/>
      <c r="EC212" s="177"/>
      <c r="ED212" s="177"/>
    </row>
    <row r="213" spans="6:134" ht="13" customHeight="1">
      <c r="F213" s="221"/>
      <c r="I213" s="339" t="str" cm="1">
        <f t="array" aca="1" ref="I21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13" s="203" t="str" cm="1">
        <f t="array" ref="J213">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13" s="96"/>
      <c r="L213" s="96"/>
      <c r="M213" s="96" t="s">
        <v>375</v>
      </c>
      <c r="N213" s="96" t="str" cm="1">
        <f t="array" ref="N213">IF(OR(PptoSty[[#This Row],[Project]]="",PptoSty[[#This Row],[Project]]="X"),"X",_xlfn._xlws.FILTER(TbAssign[RowId],(TbAssign[Project]=PptoSty[[#This Row],[Project]])*(TbAssign[Módulo]=PptoSty[[#This Row],[PptoVsRow]]),"X"))</f>
        <v>X</v>
      </c>
      <c r="O213" s="96" t="str" cm="1">
        <f t="array" ref="O213">IF(OR(PptoSty[[#This Row],[Project]]="",PptoSty[[#This Row],[Project]]="X"),"X",_xlfn.UNIQUE(_xlfn._xlws.FILTER(F_RT14[Amortz.],(F_RT14[Measure]="CurPpto")*(F_RT14[PrjId]=PptoSty[[#This Row],[Project]])*(F_RT14[Vrs]=PptoSty[[#This Row],[Vrs]])*(_xlfn.TEXTAFTER(F_RT14[ActGrp],":")=PptoSty[[#This Row],[PiRow]]),"X")))</f>
        <v>X</v>
      </c>
      <c r="P213" s="96"/>
      <c r="Q213" s="96"/>
      <c r="R213" s="204" t="s">
        <v>403</v>
      </c>
      <c r="S213" s="204">
        <v>1</v>
      </c>
      <c r="T213" s="205" t="str" cm="1">
        <f t="array" aca="1" ref="T21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13" s="206" t="str" cm="1">
        <f t="array" aca="1" ref="U213" ca="1">IFERROR((1/PptoSty[[#This Row],[Division]])*IF(PptoSty[[#This Row],[Sign]]="+",1,-1)*(IF(PptoSty[[#This Row],[POvsCT]]="PO",SUM(_xlfn.CHOOSECOLS(_xlfn._xlws.FILTER(F_RT14[],(IF($M213="X",TRUE,F_RT14[Site]=$M213))*(F_RT14[Measure]=U$4)*(F_RT14[PrjId]=PptoSty[[#This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13" s="206" cm="1">
        <f t="array" aca="1" ref="V213" ca="1">IFERROR((1/PptoSty[[#This Row],[Division]])*IF(PptoSty[[#This Row],[Sign]]="+",1,-1)*(IF(PptoSty[[#This Row],[POvsCT]]="PO",SUM(_xlfn.CHOOSECOLS(_xlfn._xlws.FILTER(F_RT14[],(IF($M213="X",TRUE,F_RT14[Site]=$M213))*(F_RT14[Measure]=V$4)*(F_RT14[PrjId]=PptoSty[[#This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13" s="206" cm="1">
        <f t="array" aca="1" ref="W213" ca="1">IFERROR((1/PptoSty[[#This Row],[Division]])*IF(PptoSty[[#This Row],[Sign]]="+",1,-1)*(IF(PptoSty[[#This Row],[POvsCT]]="PO",SUM(_xlfn.CHOOSECOLS(_xlfn._xlws.FILTER(F_RT14[],(IF($M213="X",TRUE,F_RT14[Site]=$M213))*(F_RT14[Measure]=W$4)*(F_RT14[PrjId]=PptoSty[[#This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13" s="338" cm="1">
        <f t="array" ref="X213">IFERROR(IF(PptoSty[[#This Row],[Nature]]&lt;&gt;"Hrs",0,(1/PptoSty[[#This Row],[Division]])*IF(PptoSty[[#This Row],[Sign]]="+",1,-1)*(IF(PptoSty[[#This Row],[POvsCT]]="PO",SUM(_xlfn.CHOOSECOLS(_xlfn._xlws.FILTER(F_RT14[],(IF($M213="X",TRUE,F_RT14[Site]=$M213))*(F_RT14[Measure]=X$4)*(F_RT14[PrjId]=PptoSty[[#This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13" s="338" cm="1">
        <f t="array" ref="Y213">IFERROR(IF(PptoSty[[#This Row],[Nature]]&lt;&gt;"Hrs",0,(1/PptoSty[[#This Row],[Division]])*IF(PptoSty[[#This Row],[Sign]]="+",1,-1)*(IF(PptoSty[[#This Row],[POvsCT]]="PO",SUM(_xlfn.CHOOSECOLS(_xlfn._xlws.FILTER(F_RT14[],(IF($M213="X",TRUE,F_RT14[Site]=$M213))*(F_RT14[Measure]=Y$4)*(F_RT14[PrjId]=PptoSty[[#This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13" s="338" cm="1">
        <f t="array" ref="Z213">IFERROR(IF(PptoSty[[#This Row],[Nature]]&lt;&gt;"Hrs",0,(1/PptoSty[[#This Row],[Division]])*IF(PptoSty[[#This Row],[Sign]]="+",1,-1)*(IF(PptoSty[[#This Row],[POvsCT]]="PO",SUM(_xlfn.CHOOSECOLS(_xlfn._xlws.FILTER(F_RT14[],(IF($M213="X",TRUE,F_RT14[Site]=$M213))*(F_RT14[Measure]=Z$4)*(F_RT14[PrjId]=PptoSty[[#This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13" s="206" cm="1">
        <f t="array" aca="1" ref="AA213"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13" s="206" cm="1">
        <f t="array" aca="1" ref="AB213"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13" s="206" cm="1">
        <f t="array" aca="1" ref="AC213"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13"/>
      <c r="AH213"/>
      <c r="AI213"/>
      <c r="AK213" s="113"/>
      <c r="AO213"/>
      <c r="AP213"/>
      <c r="AZ213" s="175"/>
      <c r="BA213" s="175"/>
      <c r="BE213"/>
      <c r="BF213"/>
      <c r="DG213" s="175"/>
      <c r="DH213" s="175"/>
      <c r="DI213" s="175"/>
      <c r="DL213" s="108"/>
      <c r="DM213" s="366" t="str" cm="1">
        <f t="array" aca="1" ref="DM213"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13" s="177" t="s">
        <v>375</v>
      </c>
      <c r="DO213" s="177" t="str" cm="1">
        <f t="array" aca="1" ref="DO213"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13" s="177"/>
      <c r="DQ213" s="177"/>
      <c r="DR213" s="177"/>
      <c r="DS213" s="177"/>
      <c r="DT213" s="177"/>
      <c r="DU213" s="177"/>
      <c r="DV213" s="177"/>
      <c r="DW213" s="177"/>
      <c r="DX213" s="177"/>
      <c r="DY213" s="177"/>
      <c r="DZ213" s="177"/>
      <c r="EA213" s="177"/>
      <c r="EB213" s="177"/>
      <c r="EC213" s="177"/>
      <c r="ED213" s="177"/>
    </row>
    <row r="214" spans="6:134" ht="13" customHeight="1">
      <c r="F214" s="221"/>
      <c r="I214" s="339" t="str" cm="1">
        <f t="array" aca="1" ref="I21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14" s="203" t="str" cm="1">
        <f t="array" ref="J214">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14" s="96"/>
      <c r="L214" s="96"/>
      <c r="M214" s="96" t="s">
        <v>375</v>
      </c>
      <c r="N214" s="96" t="str" cm="1">
        <f t="array" ref="N214">IF(OR(PptoSty[[#This Row],[Project]]="",PptoSty[[#This Row],[Project]]="X"),"X",_xlfn._xlws.FILTER(TbAssign[RowId],(TbAssign[Project]=PptoSty[[#This Row],[Project]])*(TbAssign[Módulo]=PptoSty[[#This Row],[PptoVsRow]]),"X"))</f>
        <v>X</v>
      </c>
      <c r="O214" s="96" t="str" cm="1">
        <f t="array" ref="O214">IF(OR(PptoSty[[#This Row],[Project]]="",PptoSty[[#This Row],[Project]]="X"),"X",_xlfn.UNIQUE(_xlfn._xlws.FILTER(F_RT14[Amortz.],(F_RT14[Measure]="CurPpto")*(F_RT14[PrjId]=PptoSty[[#This Row],[Project]])*(F_RT14[Vrs]=PptoSty[[#This Row],[Vrs]])*(_xlfn.TEXTAFTER(F_RT14[ActGrp],":")=PptoSty[[#This Row],[PiRow]]),"X")))</f>
        <v>X</v>
      </c>
      <c r="P214" s="96"/>
      <c r="Q214" s="96"/>
      <c r="R214" s="204" t="s">
        <v>403</v>
      </c>
      <c r="S214" s="204">
        <v>1</v>
      </c>
      <c r="T214" s="205" t="str" cm="1">
        <f t="array" aca="1" ref="T21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14" s="206" t="str" cm="1">
        <f t="array" aca="1" ref="U214" ca="1">IFERROR((1/PptoSty[[#This Row],[Division]])*IF(PptoSty[[#This Row],[Sign]]="+",1,-1)*(IF(PptoSty[[#This Row],[POvsCT]]="PO",SUM(_xlfn.CHOOSECOLS(_xlfn._xlws.FILTER(F_RT14[],(IF($M214="X",TRUE,F_RT14[Site]=$M214))*(F_RT14[Measure]=U$4)*(F_RT14[PrjId]=PptoSty[[#This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14" s="206" cm="1">
        <f t="array" aca="1" ref="V214" ca="1">IFERROR((1/PptoSty[[#This Row],[Division]])*IF(PptoSty[[#This Row],[Sign]]="+",1,-1)*(IF(PptoSty[[#This Row],[POvsCT]]="PO",SUM(_xlfn.CHOOSECOLS(_xlfn._xlws.FILTER(F_RT14[],(IF($M214="X",TRUE,F_RT14[Site]=$M214))*(F_RT14[Measure]=V$4)*(F_RT14[PrjId]=PptoSty[[#This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14" s="206" cm="1">
        <f t="array" aca="1" ref="W214" ca="1">IFERROR((1/PptoSty[[#This Row],[Division]])*IF(PptoSty[[#This Row],[Sign]]="+",1,-1)*(IF(PptoSty[[#This Row],[POvsCT]]="PO",SUM(_xlfn.CHOOSECOLS(_xlfn._xlws.FILTER(F_RT14[],(IF($M214="X",TRUE,F_RT14[Site]=$M214))*(F_RT14[Measure]=W$4)*(F_RT14[PrjId]=PptoSty[[#This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14" s="338" cm="1">
        <f t="array" ref="X214">IFERROR(IF(PptoSty[[#This Row],[Nature]]&lt;&gt;"Hrs",0,(1/PptoSty[[#This Row],[Division]])*IF(PptoSty[[#This Row],[Sign]]="+",1,-1)*(IF(PptoSty[[#This Row],[POvsCT]]="PO",SUM(_xlfn.CHOOSECOLS(_xlfn._xlws.FILTER(F_RT14[],(IF($M214="X",TRUE,F_RT14[Site]=$M214))*(F_RT14[Measure]=X$4)*(F_RT14[PrjId]=PptoSty[[#This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14" s="338" cm="1">
        <f t="array" ref="Y214">IFERROR(IF(PptoSty[[#This Row],[Nature]]&lt;&gt;"Hrs",0,(1/PptoSty[[#This Row],[Division]])*IF(PptoSty[[#This Row],[Sign]]="+",1,-1)*(IF(PptoSty[[#This Row],[POvsCT]]="PO",SUM(_xlfn.CHOOSECOLS(_xlfn._xlws.FILTER(F_RT14[],(IF($M214="X",TRUE,F_RT14[Site]=$M214))*(F_RT14[Measure]=Y$4)*(F_RT14[PrjId]=PptoSty[[#This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14" s="338" cm="1">
        <f t="array" ref="Z214">IFERROR(IF(PptoSty[[#This Row],[Nature]]&lt;&gt;"Hrs",0,(1/PptoSty[[#This Row],[Division]])*IF(PptoSty[[#This Row],[Sign]]="+",1,-1)*(IF(PptoSty[[#This Row],[POvsCT]]="PO",SUM(_xlfn.CHOOSECOLS(_xlfn._xlws.FILTER(F_RT14[],(IF($M214="X",TRUE,F_RT14[Site]=$M214))*(F_RT14[Measure]=Z$4)*(F_RT14[PrjId]=PptoSty[[#This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14" s="206" cm="1">
        <f t="array" aca="1" ref="AA214"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14" s="206" cm="1">
        <f t="array" aca="1" ref="AB214"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14" s="206" cm="1">
        <f t="array" aca="1" ref="AC214"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14"/>
      <c r="AH214"/>
      <c r="AI214"/>
      <c r="AK214" s="113"/>
      <c r="AO214"/>
      <c r="AP214"/>
      <c r="AZ214" s="175"/>
      <c r="BA214" s="175"/>
      <c r="BE214"/>
      <c r="BF214"/>
      <c r="DG214" s="175"/>
      <c r="DH214" s="175"/>
      <c r="DI214" s="175"/>
      <c r="DL214" s="108"/>
      <c r="DM214" s="366" t="str" cm="1">
        <f t="array" aca="1" ref="DM214"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14" s="177" t="s">
        <v>375</v>
      </c>
      <c r="DO214" s="177" t="str" cm="1">
        <f t="array" aca="1" ref="DO214"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14" s="177"/>
      <c r="DQ214" s="177"/>
      <c r="DR214" s="177"/>
      <c r="DS214" s="177"/>
      <c r="DT214" s="177"/>
      <c r="DU214" s="177"/>
      <c r="DV214" s="177"/>
      <c r="DW214" s="177"/>
      <c r="DX214" s="177"/>
      <c r="DY214" s="177"/>
      <c r="DZ214" s="177"/>
      <c r="EA214" s="177"/>
      <c r="EB214" s="177"/>
      <c r="EC214" s="177"/>
      <c r="ED214" s="177"/>
    </row>
    <row r="215" spans="6:134" ht="13" customHeight="1">
      <c r="F215" s="221"/>
      <c r="I215" s="339" t="str" cm="1">
        <f t="array" aca="1" ref="I21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15" s="203" t="str" cm="1">
        <f t="array" ref="J215">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15" s="96"/>
      <c r="L215" s="96"/>
      <c r="M215" s="96" t="s">
        <v>375</v>
      </c>
      <c r="N215" s="96" t="str" cm="1">
        <f t="array" ref="N215">IF(OR(PptoSty[[#This Row],[Project]]="",PptoSty[[#This Row],[Project]]="X"),"X",_xlfn._xlws.FILTER(TbAssign[RowId],(TbAssign[Project]=PptoSty[[#This Row],[Project]])*(TbAssign[Módulo]=PptoSty[[#This Row],[PptoVsRow]]),"X"))</f>
        <v>X</v>
      </c>
      <c r="O215" s="96" t="str" cm="1">
        <f t="array" ref="O215">IF(OR(PptoSty[[#This Row],[Project]]="",PptoSty[[#This Row],[Project]]="X"),"X",_xlfn.UNIQUE(_xlfn._xlws.FILTER(F_RT14[Amortz.],(F_RT14[Measure]="CurPpto")*(F_RT14[PrjId]=PptoSty[[#This Row],[Project]])*(F_RT14[Vrs]=PptoSty[[#This Row],[Vrs]])*(_xlfn.TEXTAFTER(F_RT14[ActGrp],":")=PptoSty[[#This Row],[PiRow]]),"X")))</f>
        <v>X</v>
      </c>
      <c r="P215" s="96"/>
      <c r="Q215" s="96"/>
      <c r="R215" s="204" t="s">
        <v>403</v>
      </c>
      <c r="S215" s="204">
        <v>1</v>
      </c>
      <c r="T215" s="205" t="str" cm="1">
        <f t="array" aca="1" ref="T21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15" s="206" t="str" cm="1">
        <f t="array" aca="1" ref="U215" ca="1">IFERROR((1/PptoSty[[#This Row],[Division]])*IF(PptoSty[[#This Row],[Sign]]="+",1,-1)*(IF(PptoSty[[#This Row],[POvsCT]]="PO",SUM(_xlfn.CHOOSECOLS(_xlfn._xlws.FILTER(F_RT14[],(IF($M215="X",TRUE,F_RT14[Site]=$M215))*(F_RT14[Measure]=U$4)*(F_RT14[PrjId]=PptoSty[[#This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15" s="206" cm="1">
        <f t="array" aca="1" ref="V215" ca="1">IFERROR((1/PptoSty[[#This Row],[Division]])*IF(PptoSty[[#This Row],[Sign]]="+",1,-1)*(IF(PptoSty[[#This Row],[POvsCT]]="PO",SUM(_xlfn.CHOOSECOLS(_xlfn._xlws.FILTER(F_RT14[],(IF($M215="X",TRUE,F_RT14[Site]=$M215))*(F_RT14[Measure]=V$4)*(F_RT14[PrjId]=PptoSty[[#This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15" s="206" cm="1">
        <f t="array" aca="1" ref="W215" ca="1">IFERROR((1/PptoSty[[#This Row],[Division]])*IF(PptoSty[[#This Row],[Sign]]="+",1,-1)*(IF(PptoSty[[#This Row],[POvsCT]]="PO",SUM(_xlfn.CHOOSECOLS(_xlfn._xlws.FILTER(F_RT14[],(IF($M215="X",TRUE,F_RT14[Site]=$M215))*(F_RT14[Measure]=W$4)*(F_RT14[PrjId]=PptoSty[[#This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15" s="338" cm="1">
        <f t="array" ref="X215">IFERROR(IF(PptoSty[[#This Row],[Nature]]&lt;&gt;"Hrs",0,(1/PptoSty[[#This Row],[Division]])*IF(PptoSty[[#This Row],[Sign]]="+",1,-1)*(IF(PptoSty[[#This Row],[POvsCT]]="PO",SUM(_xlfn.CHOOSECOLS(_xlfn._xlws.FILTER(F_RT14[],(IF($M215="X",TRUE,F_RT14[Site]=$M215))*(F_RT14[Measure]=X$4)*(F_RT14[PrjId]=PptoSty[[#This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15" s="338" cm="1">
        <f t="array" ref="Y215">IFERROR(IF(PptoSty[[#This Row],[Nature]]&lt;&gt;"Hrs",0,(1/PptoSty[[#This Row],[Division]])*IF(PptoSty[[#This Row],[Sign]]="+",1,-1)*(IF(PptoSty[[#This Row],[POvsCT]]="PO",SUM(_xlfn.CHOOSECOLS(_xlfn._xlws.FILTER(F_RT14[],(IF($M215="X",TRUE,F_RT14[Site]=$M215))*(F_RT14[Measure]=Y$4)*(F_RT14[PrjId]=PptoSty[[#This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15" s="338" cm="1">
        <f t="array" ref="Z215">IFERROR(IF(PptoSty[[#This Row],[Nature]]&lt;&gt;"Hrs",0,(1/PptoSty[[#This Row],[Division]])*IF(PptoSty[[#This Row],[Sign]]="+",1,-1)*(IF(PptoSty[[#This Row],[POvsCT]]="PO",SUM(_xlfn.CHOOSECOLS(_xlfn._xlws.FILTER(F_RT14[],(IF($M215="X",TRUE,F_RT14[Site]=$M215))*(F_RT14[Measure]=Z$4)*(F_RT14[PrjId]=PptoSty[[#This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15" s="206" cm="1">
        <f t="array" aca="1" ref="AA215"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15" s="206" cm="1">
        <f t="array" aca="1" ref="AB215"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15" s="206" cm="1">
        <f t="array" aca="1" ref="AC215"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15"/>
      <c r="AH215"/>
      <c r="AI215"/>
      <c r="AK215" s="113"/>
      <c r="AO215"/>
      <c r="AP215"/>
      <c r="AZ215" s="175"/>
      <c r="BA215" s="175"/>
      <c r="BE215"/>
      <c r="BF215"/>
      <c r="DG215" s="175"/>
      <c r="DH215" s="175"/>
      <c r="DI215" s="175"/>
      <c r="DL215" s="108"/>
      <c r="DM215" s="366" t="str" cm="1">
        <f t="array" aca="1" ref="DM21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15" s="177" t="s">
        <v>375</v>
      </c>
      <c r="DO215" s="177" t="str" cm="1">
        <f t="array" aca="1" ref="DO21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15" s="177"/>
      <c r="DQ215" s="177"/>
      <c r="DR215" s="177"/>
      <c r="DS215" s="177"/>
      <c r="DT215" s="177"/>
      <c r="DU215" s="177"/>
      <c r="DV215" s="177"/>
      <c r="DW215" s="177"/>
      <c r="DX215" s="177"/>
      <c r="DY215" s="177"/>
      <c r="DZ215" s="177"/>
      <c r="EA215" s="177"/>
      <c r="EB215" s="177"/>
      <c r="EC215" s="177"/>
      <c r="ED215" s="177"/>
    </row>
    <row r="216" spans="6:134" ht="13" customHeight="1">
      <c r="F216" s="221"/>
      <c r="I216" s="339" t="str" cm="1">
        <f t="array" aca="1" ref="I21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16" s="203" t="str" cm="1">
        <f t="array" ref="J216">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16" s="96"/>
      <c r="L216" s="96"/>
      <c r="M216" s="96" t="s">
        <v>375</v>
      </c>
      <c r="N216" s="96" t="str" cm="1">
        <f t="array" ref="N216">IF(OR(PptoSty[[#This Row],[Project]]="",PptoSty[[#This Row],[Project]]="X"),"X",_xlfn._xlws.FILTER(TbAssign[RowId],(TbAssign[Project]=PptoSty[[#This Row],[Project]])*(TbAssign[Módulo]=PptoSty[[#This Row],[PptoVsRow]]),"X"))</f>
        <v>X</v>
      </c>
      <c r="O216" s="96" t="str" cm="1">
        <f t="array" ref="O216">IF(OR(PptoSty[[#This Row],[Project]]="",PptoSty[[#This Row],[Project]]="X"),"X",_xlfn.UNIQUE(_xlfn._xlws.FILTER(F_RT14[Amortz.],(F_RT14[Measure]="CurPpto")*(F_RT14[PrjId]=PptoSty[[#This Row],[Project]])*(F_RT14[Vrs]=PptoSty[[#This Row],[Vrs]])*(_xlfn.TEXTAFTER(F_RT14[ActGrp],":")=PptoSty[[#This Row],[PiRow]]),"X")))</f>
        <v>X</v>
      </c>
      <c r="P216" s="96"/>
      <c r="Q216" s="96"/>
      <c r="R216" s="204" t="s">
        <v>403</v>
      </c>
      <c r="S216" s="204">
        <v>1</v>
      </c>
      <c r="T216" s="205" t="str" cm="1">
        <f t="array" aca="1" ref="T21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16" s="206" t="str" cm="1">
        <f t="array" aca="1" ref="U216" ca="1">IFERROR((1/PptoSty[[#This Row],[Division]])*IF(PptoSty[[#This Row],[Sign]]="+",1,-1)*(IF(PptoSty[[#This Row],[POvsCT]]="PO",SUM(_xlfn.CHOOSECOLS(_xlfn._xlws.FILTER(F_RT14[],(IF($M216="X",TRUE,F_RT14[Site]=$M216))*(F_RT14[Measure]=U$4)*(F_RT14[PrjId]=PptoSty[[#This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16" s="206" cm="1">
        <f t="array" aca="1" ref="V216" ca="1">IFERROR((1/PptoSty[[#This Row],[Division]])*IF(PptoSty[[#This Row],[Sign]]="+",1,-1)*(IF(PptoSty[[#This Row],[POvsCT]]="PO",SUM(_xlfn.CHOOSECOLS(_xlfn._xlws.FILTER(F_RT14[],(IF($M216="X",TRUE,F_RT14[Site]=$M216))*(F_RT14[Measure]=V$4)*(F_RT14[PrjId]=PptoSty[[#This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16" s="206" cm="1">
        <f t="array" aca="1" ref="W216" ca="1">IFERROR((1/PptoSty[[#This Row],[Division]])*IF(PptoSty[[#This Row],[Sign]]="+",1,-1)*(IF(PptoSty[[#This Row],[POvsCT]]="PO",SUM(_xlfn.CHOOSECOLS(_xlfn._xlws.FILTER(F_RT14[],(IF($M216="X",TRUE,F_RT14[Site]=$M216))*(F_RT14[Measure]=W$4)*(F_RT14[PrjId]=PptoSty[[#This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16" s="338" cm="1">
        <f t="array" ref="X216">IFERROR(IF(PptoSty[[#This Row],[Nature]]&lt;&gt;"Hrs",0,(1/PptoSty[[#This Row],[Division]])*IF(PptoSty[[#This Row],[Sign]]="+",1,-1)*(IF(PptoSty[[#This Row],[POvsCT]]="PO",SUM(_xlfn.CHOOSECOLS(_xlfn._xlws.FILTER(F_RT14[],(IF($M216="X",TRUE,F_RT14[Site]=$M216))*(F_RT14[Measure]=X$4)*(F_RT14[PrjId]=PptoSty[[#This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16" s="338" cm="1">
        <f t="array" ref="Y216">IFERROR(IF(PptoSty[[#This Row],[Nature]]&lt;&gt;"Hrs",0,(1/PptoSty[[#This Row],[Division]])*IF(PptoSty[[#This Row],[Sign]]="+",1,-1)*(IF(PptoSty[[#This Row],[POvsCT]]="PO",SUM(_xlfn.CHOOSECOLS(_xlfn._xlws.FILTER(F_RT14[],(IF($M216="X",TRUE,F_RT14[Site]=$M216))*(F_RT14[Measure]=Y$4)*(F_RT14[PrjId]=PptoSty[[#This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16" s="338" cm="1">
        <f t="array" ref="Z216">IFERROR(IF(PptoSty[[#This Row],[Nature]]&lt;&gt;"Hrs",0,(1/PptoSty[[#This Row],[Division]])*IF(PptoSty[[#This Row],[Sign]]="+",1,-1)*(IF(PptoSty[[#This Row],[POvsCT]]="PO",SUM(_xlfn.CHOOSECOLS(_xlfn._xlws.FILTER(F_RT14[],(IF($M216="X",TRUE,F_RT14[Site]=$M216))*(F_RT14[Measure]=Z$4)*(F_RT14[PrjId]=PptoSty[[#This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16" s="206" cm="1">
        <f t="array" aca="1" ref="AA216"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16" s="206" cm="1">
        <f t="array" aca="1" ref="AB216"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16" s="206" cm="1">
        <f t="array" aca="1" ref="AC216"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16"/>
      <c r="AH216"/>
      <c r="AI216"/>
      <c r="AK216" s="113"/>
      <c r="AO216"/>
      <c r="AP216"/>
      <c r="AZ216" s="175"/>
      <c r="BA216" s="175"/>
      <c r="BE216"/>
      <c r="BF216"/>
      <c r="DG216" s="175"/>
      <c r="DH216" s="175"/>
      <c r="DI216" s="175"/>
      <c r="DL216" s="108"/>
      <c r="DM216" s="366" t="str" cm="1">
        <f t="array" aca="1" ref="DM21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16" s="177" t="s">
        <v>375</v>
      </c>
      <c r="DO216" s="177" t="str" cm="1">
        <f t="array" aca="1" ref="DO21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16" s="177"/>
      <c r="DQ216" s="177"/>
      <c r="DR216" s="177"/>
      <c r="DS216" s="177"/>
      <c r="DT216" s="177"/>
      <c r="DU216" s="177"/>
      <c r="DV216" s="177"/>
      <c r="DW216" s="177"/>
      <c r="DX216" s="177"/>
      <c r="DY216" s="177"/>
      <c r="DZ216" s="177"/>
      <c r="EA216" s="177"/>
      <c r="EB216" s="177"/>
      <c r="EC216" s="177"/>
      <c r="ED216" s="177"/>
    </row>
    <row r="217" spans="6:134" ht="13" customHeight="1">
      <c r="F217" s="221"/>
      <c r="I217" s="339" t="str" cm="1">
        <f t="array" aca="1" ref="I21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17" s="203" t="str" cm="1">
        <f t="array" ref="J217">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17" s="96"/>
      <c r="L217" s="96"/>
      <c r="M217" s="96" t="s">
        <v>375</v>
      </c>
      <c r="N217" s="96" t="str" cm="1">
        <f t="array" ref="N217">IF(OR(PptoSty[[#This Row],[Project]]="",PptoSty[[#This Row],[Project]]="X"),"X",_xlfn._xlws.FILTER(TbAssign[RowId],(TbAssign[Project]=PptoSty[[#This Row],[Project]])*(TbAssign[Módulo]=PptoSty[[#This Row],[PptoVsRow]]),"X"))</f>
        <v>X</v>
      </c>
      <c r="O217" s="96" t="str" cm="1">
        <f t="array" ref="O217">IF(OR(PptoSty[[#This Row],[Project]]="",PptoSty[[#This Row],[Project]]="X"),"X",_xlfn.UNIQUE(_xlfn._xlws.FILTER(F_RT14[Amortz.],(F_RT14[Measure]="CurPpto")*(F_RT14[PrjId]=PptoSty[[#This Row],[Project]])*(F_RT14[Vrs]=PptoSty[[#This Row],[Vrs]])*(_xlfn.TEXTAFTER(F_RT14[ActGrp],":")=PptoSty[[#This Row],[PiRow]]),"X")))</f>
        <v>X</v>
      </c>
      <c r="P217" s="96"/>
      <c r="Q217" s="96"/>
      <c r="R217" s="204" t="s">
        <v>403</v>
      </c>
      <c r="S217" s="204">
        <v>1</v>
      </c>
      <c r="T217" s="205" t="str" cm="1">
        <f t="array" aca="1" ref="T21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17" s="206" t="str" cm="1">
        <f t="array" aca="1" ref="U217" ca="1">IFERROR((1/PptoSty[[#This Row],[Division]])*IF(PptoSty[[#This Row],[Sign]]="+",1,-1)*(IF(PptoSty[[#This Row],[POvsCT]]="PO",SUM(_xlfn.CHOOSECOLS(_xlfn._xlws.FILTER(F_RT14[],(IF($M217="X",TRUE,F_RT14[Site]=$M217))*(F_RT14[Measure]=U$4)*(F_RT14[PrjId]=PptoSty[[#This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17" s="206" cm="1">
        <f t="array" aca="1" ref="V217" ca="1">IFERROR((1/PptoSty[[#This Row],[Division]])*IF(PptoSty[[#This Row],[Sign]]="+",1,-1)*(IF(PptoSty[[#This Row],[POvsCT]]="PO",SUM(_xlfn.CHOOSECOLS(_xlfn._xlws.FILTER(F_RT14[],(IF($M217="X",TRUE,F_RT14[Site]=$M217))*(F_RT14[Measure]=V$4)*(F_RT14[PrjId]=PptoSty[[#This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17" s="206" cm="1">
        <f t="array" aca="1" ref="W217" ca="1">IFERROR((1/PptoSty[[#This Row],[Division]])*IF(PptoSty[[#This Row],[Sign]]="+",1,-1)*(IF(PptoSty[[#This Row],[POvsCT]]="PO",SUM(_xlfn.CHOOSECOLS(_xlfn._xlws.FILTER(F_RT14[],(IF($M217="X",TRUE,F_RT14[Site]=$M217))*(F_RT14[Measure]=W$4)*(F_RT14[PrjId]=PptoSty[[#This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17" s="338" cm="1">
        <f t="array" ref="X217">IFERROR(IF(PptoSty[[#This Row],[Nature]]&lt;&gt;"Hrs",0,(1/PptoSty[[#This Row],[Division]])*IF(PptoSty[[#This Row],[Sign]]="+",1,-1)*(IF(PptoSty[[#This Row],[POvsCT]]="PO",SUM(_xlfn.CHOOSECOLS(_xlfn._xlws.FILTER(F_RT14[],(IF($M217="X",TRUE,F_RT14[Site]=$M217))*(F_RT14[Measure]=X$4)*(F_RT14[PrjId]=PptoSty[[#This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17" s="338" cm="1">
        <f t="array" ref="Y217">IFERROR(IF(PptoSty[[#This Row],[Nature]]&lt;&gt;"Hrs",0,(1/PptoSty[[#This Row],[Division]])*IF(PptoSty[[#This Row],[Sign]]="+",1,-1)*(IF(PptoSty[[#This Row],[POvsCT]]="PO",SUM(_xlfn.CHOOSECOLS(_xlfn._xlws.FILTER(F_RT14[],(IF($M217="X",TRUE,F_RT14[Site]=$M217))*(F_RT14[Measure]=Y$4)*(F_RT14[PrjId]=PptoSty[[#This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17" s="338" cm="1">
        <f t="array" ref="Z217">IFERROR(IF(PptoSty[[#This Row],[Nature]]&lt;&gt;"Hrs",0,(1/PptoSty[[#This Row],[Division]])*IF(PptoSty[[#This Row],[Sign]]="+",1,-1)*(IF(PptoSty[[#This Row],[POvsCT]]="PO",SUM(_xlfn.CHOOSECOLS(_xlfn._xlws.FILTER(F_RT14[],(IF($M217="X",TRUE,F_RT14[Site]=$M217))*(F_RT14[Measure]=Z$4)*(F_RT14[PrjId]=PptoSty[[#This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17" s="206" cm="1">
        <f t="array" aca="1" ref="AA217"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17" s="206" cm="1">
        <f t="array" aca="1" ref="AB217"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17" s="206" cm="1">
        <f t="array" aca="1" ref="AC217"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17"/>
      <c r="AH217"/>
      <c r="AI217"/>
      <c r="AK217" s="113"/>
      <c r="AO217"/>
      <c r="AP217"/>
      <c r="AZ217" s="175"/>
      <c r="BA217" s="175"/>
      <c r="BE217"/>
      <c r="BF217"/>
      <c r="DG217" s="175"/>
      <c r="DH217" s="175"/>
      <c r="DI217" s="175"/>
      <c r="DL217" s="108"/>
      <c r="DM217" s="366" t="str" cm="1">
        <f t="array" aca="1" ref="DM21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17" s="177" t="s">
        <v>375</v>
      </c>
      <c r="DO217" s="177" t="str" cm="1">
        <f t="array" aca="1" ref="DO21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17" s="177"/>
      <c r="DQ217" s="177"/>
      <c r="DR217" s="177"/>
      <c r="DS217" s="177"/>
      <c r="DT217" s="177"/>
      <c r="DU217" s="177"/>
      <c r="DV217" s="177"/>
      <c r="DW217" s="177"/>
      <c r="DX217" s="177"/>
      <c r="DY217" s="177"/>
      <c r="DZ217" s="177"/>
      <c r="EA217" s="177"/>
      <c r="EB217" s="177"/>
      <c r="EC217" s="177"/>
      <c r="ED217" s="177"/>
    </row>
    <row r="218" spans="6:134" ht="13" customHeight="1">
      <c r="F218" s="221"/>
      <c r="I218" s="339" t="str" cm="1">
        <f t="array" aca="1" ref="I21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18" s="203" t="str" cm="1">
        <f t="array" ref="J218">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18" s="96"/>
      <c r="L218" s="96"/>
      <c r="M218" s="96" t="s">
        <v>375</v>
      </c>
      <c r="N218" s="96" t="str" cm="1">
        <f t="array" ref="N218">IF(OR(PptoSty[[#This Row],[Project]]="",PptoSty[[#This Row],[Project]]="X"),"X",_xlfn._xlws.FILTER(TbAssign[RowId],(TbAssign[Project]=PptoSty[[#This Row],[Project]])*(TbAssign[Módulo]=PptoSty[[#This Row],[PptoVsRow]]),"X"))</f>
        <v>X</v>
      </c>
      <c r="O218" s="96" t="str" cm="1">
        <f t="array" ref="O218">IF(OR(PptoSty[[#This Row],[Project]]="",PptoSty[[#This Row],[Project]]="X"),"X",_xlfn.UNIQUE(_xlfn._xlws.FILTER(F_RT14[Amortz.],(F_RT14[Measure]="CurPpto")*(F_RT14[PrjId]=PptoSty[[#This Row],[Project]])*(F_RT14[Vrs]=PptoSty[[#This Row],[Vrs]])*(_xlfn.TEXTAFTER(F_RT14[ActGrp],":")=PptoSty[[#This Row],[PiRow]]),"X")))</f>
        <v>X</v>
      </c>
      <c r="P218" s="96"/>
      <c r="Q218" s="96"/>
      <c r="R218" s="204" t="s">
        <v>403</v>
      </c>
      <c r="S218" s="204">
        <v>1</v>
      </c>
      <c r="T218" s="205" t="str" cm="1">
        <f t="array" aca="1" ref="T21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18" s="206" t="str" cm="1">
        <f t="array" aca="1" ref="U218" ca="1">IFERROR((1/PptoSty[[#This Row],[Division]])*IF(PptoSty[[#This Row],[Sign]]="+",1,-1)*(IF(PptoSty[[#This Row],[POvsCT]]="PO",SUM(_xlfn.CHOOSECOLS(_xlfn._xlws.FILTER(F_RT14[],(IF($M218="X",TRUE,F_RT14[Site]=$M218))*(F_RT14[Measure]=U$4)*(F_RT14[PrjId]=PptoSty[[#This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18" s="206" cm="1">
        <f t="array" aca="1" ref="V218" ca="1">IFERROR((1/PptoSty[[#This Row],[Division]])*IF(PptoSty[[#This Row],[Sign]]="+",1,-1)*(IF(PptoSty[[#This Row],[POvsCT]]="PO",SUM(_xlfn.CHOOSECOLS(_xlfn._xlws.FILTER(F_RT14[],(IF($M218="X",TRUE,F_RT14[Site]=$M218))*(F_RT14[Measure]=V$4)*(F_RT14[PrjId]=PptoSty[[#This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18" s="206" cm="1">
        <f t="array" aca="1" ref="W218" ca="1">IFERROR((1/PptoSty[[#This Row],[Division]])*IF(PptoSty[[#This Row],[Sign]]="+",1,-1)*(IF(PptoSty[[#This Row],[POvsCT]]="PO",SUM(_xlfn.CHOOSECOLS(_xlfn._xlws.FILTER(F_RT14[],(IF($M218="X",TRUE,F_RT14[Site]=$M218))*(F_RT14[Measure]=W$4)*(F_RT14[PrjId]=PptoSty[[#This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18" s="338" cm="1">
        <f t="array" ref="X218">IFERROR(IF(PptoSty[[#This Row],[Nature]]&lt;&gt;"Hrs",0,(1/PptoSty[[#This Row],[Division]])*IF(PptoSty[[#This Row],[Sign]]="+",1,-1)*(IF(PptoSty[[#This Row],[POvsCT]]="PO",SUM(_xlfn.CHOOSECOLS(_xlfn._xlws.FILTER(F_RT14[],(IF($M218="X",TRUE,F_RT14[Site]=$M218))*(F_RT14[Measure]=X$4)*(F_RT14[PrjId]=PptoSty[[#This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18" s="338" cm="1">
        <f t="array" ref="Y218">IFERROR(IF(PptoSty[[#This Row],[Nature]]&lt;&gt;"Hrs",0,(1/PptoSty[[#This Row],[Division]])*IF(PptoSty[[#This Row],[Sign]]="+",1,-1)*(IF(PptoSty[[#This Row],[POvsCT]]="PO",SUM(_xlfn.CHOOSECOLS(_xlfn._xlws.FILTER(F_RT14[],(IF($M218="X",TRUE,F_RT14[Site]=$M218))*(F_RT14[Measure]=Y$4)*(F_RT14[PrjId]=PptoSty[[#This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18" s="338" cm="1">
        <f t="array" ref="Z218">IFERROR(IF(PptoSty[[#This Row],[Nature]]&lt;&gt;"Hrs",0,(1/PptoSty[[#This Row],[Division]])*IF(PptoSty[[#This Row],[Sign]]="+",1,-1)*(IF(PptoSty[[#This Row],[POvsCT]]="PO",SUM(_xlfn.CHOOSECOLS(_xlfn._xlws.FILTER(F_RT14[],(IF($M218="X",TRUE,F_RT14[Site]=$M218))*(F_RT14[Measure]=Z$4)*(F_RT14[PrjId]=PptoSty[[#This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18" s="206" cm="1">
        <f t="array" aca="1" ref="AA218"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18" s="206" cm="1">
        <f t="array" aca="1" ref="AB218"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18" s="206" cm="1">
        <f t="array" aca="1" ref="AC218"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18"/>
      <c r="AH218"/>
      <c r="AI218"/>
      <c r="AK218" s="113"/>
      <c r="AO218"/>
      <c r="AP218"/>
      <c r="AZ218" s="175"/>
      <c r="BA218" s="175"/>
      <c r="BE218"/>
      <c r="BF218"/>
      <c r="DG218" s="175"/>
      <c r="DH218" s="175"/>
      <c r="DI218" s="175"/>
      <c r="DL218" s="108"/>
      <c r="DM218" s="366" t="str" cm="1">
        <f t="array" aca="1" ref="DM21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18" s="177" t="s">
        <v>375</v>
      </c>
      <c r="DO218" s="177" t="str" cm="1">
        <f t="array" aca="1" ref="DO21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18" s="177"/>
      <c r="DQ218" s="177"/>
      <c r="DR218" s="177"/>
      <c r="DS218" s="177"/>
      <c r="DT218" s="177"/>
      <c r="DU218" s="177"/>
      <c r="DV218" s="177"/>
      <c r="DW218" s="177"/>
      <c r="DX218" s="177"/>
      <c r="DY218" s="177"/>
      <c r="DZ218" s="177"/>
      <c r="EA218" s="177"/>
      <c r="EB218" s="177"/>
      <c r="EC218" s="177"/>
      <c r="ED218" s="177"/>
    </row>
    <row r="219" spans="6:134" ht="13" customHeight="1">
      <c r="F219" s="221"/>
      <c r="I219" s="339" t="str" cm="1">
        <f t="array" aca="1" ref="I21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19" s="203" t="str" cm="1">
        <f t="array" ref="J219">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19" s="96"/>
      <c r="L219" s="96"/>
      <c r="M219" s="96" t="s">
        <v>375</v>
      </c>
      <c r="N219" s="96" t="str" cm="1">
        <f t="array" ref="N219">IF(OR(PptoSty[[#This Row],[Project]]="",PptoSty[[#This Row],[Project]]="X"),"X",_xlfn._xlws.FILTER(TbAssign[RowId],(TbAssign[Project]=PptoSty[[#This Row],[Project]])*(TbAssign[Módulo]=PptoSty[[#This Row],[PptoVsRow]]),"X"))</f>
        <v>X</v>
      </c>
      <c r="O219" s="96" t="str" cm="1">
        <f t="array" ref="O219">IF(OR(PptoSty[[#This Row],[Project]]="",PptoSty[[#This Row],[Project]]="X"),"X",_xlfn.UNIQUE(_xlfn._xlws.FILTER(F_RT14[Amortz.],(F_RT14[Measure]="CurPpto")*(F_RT14[PrjId]=PptoSty[[#This Row],[Project]])*(F_RT14[Vrs]=PptoSty[[#This Row],[Vrs]])*(_xlfn.TEXTAFTER(F_RT14[ActGrp],":")=PptoSty[[#This Row],[PiRow]]),"X")))</f>
        <v>X</v>
      </c>
      <c r="P219" s="96"/>
      <c r="Q219" s="96"/>
      <c r="R219" s="204" t="s">
        <v>403</v>
      </c>
      <c r="S219" s="204">
        <v>1</v>
      </c>
      <c r="T219" s="205" t="str" cm="1">
        <f t="array" aca="1" ref="T21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19" s="206" t="str" cm="1">
        <f t="array" aca="1" ref="U219" ca="1">IFERROR((1/PptoSty[[#This Row],[Division]])*IF(PptoSty[[#This Row],[Sign]]="+",1,-1)*(IF(PptoSty[[#This Row],[POvsCT]]="PO",SUM(_xlfn.CHOOSECOLS(_xlfn._xlws.FILTER(F_RT14[],(IF($M219="X",TRUE,F_RT14[Site]=$M219))*(F_RT14[Measure]=U$4)*(F_RT14[PrjId]=PptoSty[[#This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19" s="206" cm="1">
        <f t="array" aca="1" ref="V219" ca="1">IFERROR((1/PptoSty[[#This Row],[Division]])*IF(PptoSty[[#This Row],[Sign]]="+",1,-1)*(IF(PptoSty[[#This Row],[POvsCT]]="PO",SUM(_xlfn.CHOOSECOLS(_xlfn._xlws.FILTER(F_RT14[],(IF($M219="X",TRUE,F_RT14[Site]=$M219))*(F_RT14[Measure]=V$4)*(F_RT14[PrjId]=PptoSty[[#This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19" s="206" cm="1">
        <f t="array" aca="1" ref="W219" ca="1">IFERROR((1/PptoSty[[#This Row],[Division]])*IF(PptoSty[[#This Row],[Sign]]="+",1,-1)*(IF(PptoSty[[#This Row],[POvsCT]]="PO",SUM(_xlfn.CHOOSECOLS(_xlfn._xlws.FILTER(F_RT14[],(IF($M219="X",TRUE,F_RT14[Site]=$M219))*(F_RT14[Measure]=W$4)*(F_RT14[PrjId]=PptoSty[[#This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19" s="338" cm="1">
        <f t="array" ref="X219">IFERROR(IF(PptoSty[[#This Row],[Nature]]&lt;&gt;"Hrs",0,(1/PptoSty[[#This Row],[Division]])*IF(PptoSty[[#This Row],[Sign]]="+",1,-1)*(IF(PptoSty[[#This Row],[POvsCT]]="PO",SUM(_xlfn.CHOOSECOLS(_xlfn._xlws.FILTER(F_RT14[],(IF($M219="X",TRUE,F_RT14[Site]=$M219))*(F_RT14[Measure]=X$4)*(F_RT14[PrjId]=PptoSty[[#This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19" s="338" cm="1">
        <f t="array" ref="Y219">IFERROR(IF(PptoSty[[#This Row],[Nature]]&lt;&gt;"Hrs",0,(1/PptoSty[[#This Row],[Division]])*IF(PptoSty[[#This Row],[Sign]]="+",1,-1)*(IF(PptoSty[[#This Row],[POvsCT]]="PO",SUM(_xlfn.CHOOSECOLS(_xlfn._xlws.FILTER(F_RT14[],(IF($M219="X",TRUE,F_RT14[Site]=$M219))*(F_RT14[Measure]=Y$4)*(F_RT14[PrjId]=PptoSty[[#This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19" s="338" cm="1">
        <f t="array" ref="Z219">IFERROR(IF(PptoSty[[#This Row],[Nature]]&lt;&gt;"Hrs",0,(1/PptoSty[[#This Row],[Division]])*IF(PptoSty[[#This Row],[Sign]]="+",1,-1)*(IF(PptoSty[[#This Row],[POvsCT]]="PO",SUM(_xlfn.CHOOSECOLS(_xlfn._xlws.FILTER(F_RT14[],(IF($M219="X",TRUE,F_RT14[Site]=$M219))*(F_RT14[Measure]=Z$4)*(F_RT14[PrjId]=PptoSty[[#This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19" s="206" cm="1">
        <f t="array" aca="1" ref="AA219"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19" s="206" cm="1">
        <f t="array" aca="1" ref="AB219"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19" s="206" cm="1">
        <f t="array" aca="1" ref="AC219"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19"/>
      <c r="AH219"/>
      <c r="AI219"/>
      <c r="AK219" s="113"/>
      <c r="AO219"/>
      <c r="AP219"/>
      <c r="AZ219" s="175"/>
      <c r="BA219" s="175"/>
      <c r="BE219"/>
      <c r="BF219"/>
      <c r="DG219" s="175"/>
      <c r="DH219" s="175"/>
      <c r="DI219" s="175"/>
      <c r="DL219" s="108"/>
      <c r="DM219" s="366" t="str" cm="1">
        <f t="array" aca="1" ref="DM219"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19" s="177" t="s">
        <v>375</v>
      </c>
      <c r="DO219" s="177" t="str" cm="1">
        <f t="array" aca="1" ref="DO219"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19" s="177"/>
      <c r="DQ219" s="177"/>
      <c r="DR219" s="177"/>
      <c r="DS219" s="177"/>
      <c r="DT219" s="177"/>
      <c r="DU219" s="177"/>
      <c r="DV219" s="177"/>
      <c r="DW219" s="177"/>
      <c r="DX219" s="177"/>
      <c r="DY219" s="177"/>
      <c r="DZ219" s="177"/>
      <c r="EA219" s="177"/>
      <c r="EB219" s="177"/>
      <c r="EC219" s="177"/>
      <c r="ED219" s="177"/>
    </row>
    <row r="220" spans="6:134" ht="13" customHeight="1">
      <c r="F220" s="221"/>
      <c r="I220" s="339" t="str" cm="1">
        <f t="array" aca="1" ref="I22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20" s="203" t="str" cm="1">
        <f t="array" ref="J220">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20" s="96"/>
      <c r="L220" s="96"/>
      <c r="M220" s="96" t="s">
        <v>375</v>
      </c>
      <c r="N220" s="96" t="str" cm="1">
        <f t="array" ref="N220">IF(OR(PptoSty[[#This Row],[Project]]="",PptoSty[[#This Row],[Project]]="X"),"X",_xlfn._xlws.FILTER(TbAssign[RowId],(TbAssign[Project]=PptoSty[[#This Row],[Project]])*(TbAssign[Módulo]=PptoSty[[#This Row],[PptoVsRow]]),"X"))</f>
        <v>X</v>
      </c>
      <c r="O220" s="96" t="str" cm="1">
        <f t="array" ref="O220">IF(OR(PptoSty[[#This Row],[Project]]="",PptoSty[[#This Row],[Project]]="X"),"X",_xlfn.UNIQUE(_xlfn._xlws.FILTER(F_RT14[Amortz.],(F_RT14[Measure]="CurPpto")*(F_RT14[PrjId]=PptoSty[[#This Row],[Project]])*(F_RT14[Vrs]=PptoSty[[#This Row],[Vrs]])*(_xlfn.TEXTAFTER(F_RT14[ActGrp],":")=PptoSty[[#This Row],[PiRow]]),"X")))</f>
        <v>X</v>
      </c>
      <c r="P220" s="96"/>
      <c r="Q220" s="96"/>
      <c r="R220" s="204" t="s">
        <v>403</v>
      </c>
      <c r="S220" s="204">
        <v>1</v>
      </c>
      <c r="T220" s="205" t="str" cm="1">
        <f t="array" aca="1" ref="T22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20" s="206" t="str" cm="1">
        <f t="array" aca="1" ref="U220" ca="1">IFERROR((1/PptoSty[[#This Row],[Division]])*IF(PptoSty[[#This Row],[Sign]]="+",1,-1)*(IF(PptoSty[[#This Row],[POvsCT]]="PO",SUM(_xlfn.CHOOSECOLS(_xlfn._xlws.FILTER(F_RT14[],(IF($M220="X",TRUE,F_RT14[Site]=$M220))*(F_RT14[Measure]=U$4)*(F_RT14[PrjId]=PptoSty[[#This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20" s="206" cm="1">
        <f t="array" aca="1" ref="V220" ca="1">IFERROR((1/PptoSty[[#This Row],[Division]])*IF(PptoSty[[#This Row],[Sign]]="+",1,-1)*(IF(PptoSty[[#This Row],[POvsCT]]="PO",SUM(_xlfn.CHOOSECOLS(_xlfn._xlws.FILTER(F_RT14[],(IF($M220="X",TRUE,F_RT14[Site]=$M220))*(F_RT14[Measure]=V$4)*(F_RT14[PrjId]=PptoSty[[#This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20" s="206" cm="1">
        <f t="array" aca="1" ref="W220" ca="1">IFERROR((1/PptoSty[[#This Row],[Division]])*IF(PptoSty[[#This Row],[Sign]]="+",1,-1)*(IF(PptoSty[[#This Row],[POvsCT]]="PO",SUM(_xlfn.CHOOSECOLS(_xlfn._xlws.FILTER(F_RT14[],(IF($M220="X",TRUE,F_RT14[Site]=$M220))*(F_RT14[Measure]=W$4)*(F_RT14[PrjId]=PptoSty[[#This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20" s="338" cm="1">
        <f t="array" ref="X220">IFERROR(IF(PptoSty[[#This Row],[Nature]]&lt;&gt;"Hrs",0,(1/PptoSty[[#This Row],[Division]])*IF(PptoSty[[#This Row],[Sign]]="+",1,-1)*(IF(PptoSty[[#This Row],[POvsCT]]="PO",SUM(_xlfn.CHOOSECOLS(_xlfn._xlws.FILTER(F_RT14[],(IF($M220="X",TRUE,F_RT14[Site]=$M220))*(F_RT14[Measure]=X$4)*(F_RT14[PrjId]=PptoSty[[#This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20" s="338" cm="1">
        <f t="array" ref="Y220">IFERROR(IF(PptoSty[[#This Row],[Nature]]&lt;&gt;"Hrs",0,(1/PptoSty[[#This Row],[Division]])*IF(PptoSty[[#This Row],[Sign]]="+",1,-1)*(IF(PptoSty[[#This Row],[POvsCT]]="PO",SUM(_xlfn.CHOOSECOLS(_xlfn._xlws.FILTER(F_RT14[],(IF($M220="X",TRUE,F_RT14[Site]=$M220))*(F_RT14[Measure]=Y$4)*(F_RT14[PrjId]=PptoSty[[#This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20" s="338" cm="1">
        <f t="array" ref="Z220">IFERROR(IF(PptoSty[[#This Row],[Nature]]&lt;&gt;"Hrs",0,(1/PptoSty[[#This Row],[Division]])*IF(PptoSty[[#This Row],[Sign]]="+",1,-1)*(IF(PptoSty[[#This Row],[POvsCT]]="PO",SUM(_xlfn.CHOOSECOLS(_xlfn._xlws.FILTER(F_RT14[],(IF($M220="X",TRUE,F_RT14[Site]=$M220))*(F_RT14[Measure]=Z$4)*(F_RT14[PrjId]=PptoSty[[#This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20" s="206" cm="1">
        <f t="array" aca="1" ref="AA220"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20" s="206" cm="1">
        <f t="array" aca="1" ref="AB220"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20" s="206" cm="1">
        <f t="array" aca="1" ref="AC220"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20"/>
      <c r="AH220"/>
      <c r="AI220"/>
      <c r="AK220" s="113"/>
      <c r="AO220"/>
      <c r="AP220"/>
      <c r="AZ220" s="175"/>
      <c r="BA220" s="175"/>
      <c r="BE220"/>
      <c r="BF220"/>
      <c r="DG220" s="175"/>
      <c r="DH220" s="175"/>
      <c r="DI220" s="175"/>
      <c r="DL220" s="108"/>
      <c r="DM220" s="366" t="str" cm="1">
        <f t="array" aca="1" ref="DM220"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20" s="177" t="s">
        <v>375</v>
      </c>
      <c r="DO220" s="177" t="str" cm="1">
        <f t="array" aca="1" ref="DO220"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20" s="177"/>
      <c r="DQ220" s="177"/>
      <c r="DR220" s="177"/>
      <c r="DS220" s="177"/>
      <c r="DT220" s="177"/>
      <c r="DU220" s="177"/>
      <c r="DV220" s="177"/>
      <c r="DW220" s="177"/>
      <c r="DX220" s="177"/>
      <c r="DY220" s="177"/>
      <c r="DZ220" s="177"/>
      <c r="EA220" s="177"/>
      <c r="EB220" s="177"/>
      <c r="EC220" s="177"/>
      <c r="ED220" s="177"/>
    </row>
    <row r="221" spans="6:134" ht="13" customHeight="1">
      <c r="F221" s="221"/>
      <c r="I221" s="339" t="str" cm="1">
        <f t="array" aca="1" ref="I22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21" s="203" t="str" cm="1">
        <f t="array" ref="J221">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21" s="96"/>
      <c r="L221" s="96"/>
      <c r="M221" s="96" t="s">
        <v>375</v>
      </c>
      <c r="N221" s="96" t="str" cm="1">
        <f t="array" ref="N221">IF(OR(PptoSty[[#This Row],[Project]]="",PptoSty[[#This Row],[Project]]="X"),"X",_xlfn._xlws.FILTER(TbAssign[RowId],(TbAssign[Project]=PptoSty[[#This Row],[Project]])*(TbAssign[Módulo]=PptoSty[[#This Row],[PptoVsRow]]),"X"))</f>
        <v>X</v>
      </c>
      <c r="O221" s="96" t="str" cm="1">
        <f t="array" ref="O221">IF(OR(PptoSty[[#This Row],[Project]]="",PptoSty[[#This Row],[Project]]="X"),"X",_xlfn.UNIQUE(_xlfn._xlws.FILTER(F_RT14[Amortz.],(F_RT14[Measure]="CurPpto")*(F_RT14[PrjId]=PptoSty[[#This Row],[Project]])*(F_RT14[Vrs]=PptoSty[[#This Row],[Vrs]])*(_xlfn.TEXTAFTER(F_RT14[ActGrp],":")=PptoSty[[#This Row],[PiRow]]),"X")))</f>
        <v>X</v>
      </c>
      <c r="P221" s="96"/>
      <c r="Q221" s="96"/>
      <c r="R221" s="204" t="s">
        <v>403</v>
      </c>
      <c r="S221" s="204">
        <v>1</v>
      </c>
      <c r="T221" s="205" t="str" cm="1">
        <f t="array" aca="1" ref="T22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21" s="206" t="str" cm="1">
        <f t="array" aca="1" ref="U221" ca="1">IFERROR((1/PptoSty[[#This Row],[Division]])*IF(PptoSty[[#This Row],[Sign]]="+",1,-1)*(IF(PptoSty[[#This Row],[POvsCT]]="PO",SUM(_xlfn.CHOOSECOLS(_xlfn._xlws.FILTER(F_RT14[],(IF($M221="X",TRUE,F_RT14[Site]=$M221))*(F_RT14[Measure]=U$4)*(F_RT14[PrjId]=PptoSty[[#This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21" s="206" cm="1">
        <f t="array" aca="1" ref="V221" ca="1">IFERROR((1/PptoSty[[#This Row],[Division]])*IF(PptoSty[[#This Row],[Sign]]="+",1,-1)*(IF(PptoSty[[#This Row],[POvsCT]]="PO",SUM(_xlfn.CHOOSECOLS(_xlfn._xlws.FILTER(F_RT14[],(IF($M221="X",TRUE,F_RT14[Site]=$M221))*(F_RT14[Measure]=V$4)*(F_RT14[PrjId]=PptoSty[[#This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21" s="206" cm="1">
        <f t="array" aca="1" ref="W221" ca="1">IFERROR((1/PptoSty[[#This Row],[Division]])*IF(PptoSty[[#This Row],[Sign]]="+",1,-1)*(IF(PptoSty[[#This Row],[POvsCT]]="PO",SUM(_xlfn.CHOOSECOLS(_xlfn._xlws.FILTER(F_RT14[],(IF($M221="X",TRUE,F_RT14[Site]=$M221))*(F_RT14[Measure]=W$4)*(F_RT14[PrjId]=PptoSty[[#This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21" s="338" cm="1">
        <f t="array" ref="X221">IFERROR(IF(PptoSty[[#This Row],[Nature]]&lt;&gt;"Hrs",0,(1/PptoSty[[#This Row],[Division]])*IF(PptoSty[[#This Row],[Sign]]="+",1,-1)*(IF(PptoSty[[#This Row],[POvsCT]]="PO",SUM(_xlfn.CHOOSECOLS(_xlfn._xlws.FILTER(F_RT14[],(IF($M221="X",TRUE,F_RT14[Site]=$M221))*(F_RT14[Measure]=X$4)*(F_RT14[PrjId]=PptoSty[[#This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21" s="338" cm="1">
        <f t="array" ref="Y221">IFERROR(IF(PptoSty[[#This Row],[Nature]]&lt;&gt;"Hrs",0,(1/PptoSty[[#This Row],[Division]])*IF(PptoSty[[#This Row],[Sign]]="+",1,-1)*(IF(PptoSty[[#This Row],[POvsCT]]="PO",SUM(_xlfn.CHOOSECOLS(_xlfn._xlws.FILTER(F_RT14[],(IF($M221="X",TRUE,F_RT14[Site]=$M221))*(F_RT14[Measure]=Y$4)*(F_RT14[PrjId]=PptoSty[[#This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21" s="338" cm="1">
        <f t="array" ref="Z221">IFERROR(IF(PptoSty[[#This Row],[Nature]]&lt;&gt;"Hrs",0,(1/PptoSty[[#This Row],[Division]])*IF(PptoSty[[#This Row],[Sign]]="+",1,-1)*(IF(PptoSty[[#This Row],[POvsCT]]="PO",SUM(_xlfn.CHOOSECOLS(_xlfn._xlws.FILTER(F_RT14[],(IF($M221="X",TRUE,F_RT14[Site]=$M221))*(F_RT14[Measure]=Z$4)*(F_RT14[PrjId]=PptoSty[[#This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21" s="206" cm="1">
        <f t="array" aca="1" ref="AA221"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21" s="206" cm="1">
        <f t="array" aca="1" ref="AB221"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21" s="206" cm="1">
        <f t="array" aca="1" ref="AC221"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21"/>
      <c r="AH221"/>
      <c r="AI221"/>
      <c r="AK221" s="113"/>
      <c r="AO221"/>
      <c r="AP221"/>
      <c r="AZ221" s="175"/>
      <c r="BA221" s="175"/>
      <c r="BE221"/>
      <c r="BF221"/>
      <c r="DG221" s="175"/>
      <c r="DH221" s="175"/>
      <c r="DI221" s="175"/>
      <c r="DL221" s="108"/>
      <c r="DM221" s="366" t="str" cm="1">
        <f t="array" aca="1" ref="DM221"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21" s="177" t="s">
        <v>375</v>
      </c>
      <c r="DO221" s="177" t="str" cm="1">
        <f t="array" aca="1" ref="DO221"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21" s="177"/>
      <c r="DQ221" s="177"/>
      <c r="DR221" s="177"/>
      <c r="DS221" s="177"/>
      <c r="DT221" s="177"/>
      <c r="DU221" s="177"/>
      <c r="DV221" s="177"/>
      <c r="DW221" s="177"/>
      <c r="DX221" s="177"/>
      <c r="DY221" s="177"/>
      <c r="DZ221" s="177"/>
      <c r="EA221" s="177"/>
      <c r="EB221" s="177"/>
      <c r="EC221" s="177"/>
      <c r="ED221" s="177"/>
    </row>
    <row r="222" spans="6:134" ht="13" customHeight="1">
      <c r="F222" s="221"/>
      <c r="I222" s="339" t="str" cm="1">
        <f t="array" aca="1" ref="I22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22" s="203" t="str" cm="1">
        <f t="array" ref="J222">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22" s="96"/>
      <c r="L222" s="96"/>
      <c r="M222" s="96" t="s">
        <v>375</v>
      </c>
      <c r="N222" s="96" t="str" cm="1">
        <f t="array" ref="N222">IF(OR(PptoSty[[#This Row],[Project]]="",PptoSty[[#This Row],[Project]]="X"),"X",_xlfn._xlws.FILTER(TbAssign[RowId],(TbAssign[Project]=PptoSty[[#This Row],[Project]])*(TbAssign[Módulo]=PptoSty[[#This Row],[PptoVsRow]]),"X"))</f>
        <v>X</v>
      </c>
      <c r="O222" s="96" t="str" cm="1">
        <f t="array" ref="O222">IF(OR(PptoSty[[#This Row],[Project]]="",PptoSty[[#This Row],[Project]]="X"),"X",_xlfn.UNIQUE(_xlfn._xlws.FILTER(F_RT14[Amortz.],(F_RT14[Measure]="CurPpto")*(F_RT14[PrjId]=PptoSty[[#This Row],[Project]])*(F_RT14[Vrs]=PptoSty[[#This Row],[Vrs]])*(_xlfn.TEXTAFTER(F_RT14[ActGrp],":")=PptoSty[[#This Row],[PiRow]]),"X")))</f>
        <v>X</v>
      </c>
      <c r="P222" s="96"/>
      <c r="Q222" s="96"/>
      <c r="R222" s="204" t="s">
        <v>403</v>
      </c>
      <c r="S222" s="204">
        <v>1</v>
      </c>
      <c r="T222" s="205" t="str" cm="1">
        <f t="array" aca="1" ref="T22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22" s="206" t="str" cm="1">
        <f t="array" aca="1" ref="U222" ca="1">IFERROR((1/PptoSty[[#This Row],[Division]])*IF(PptoSty[[#This Row],[Sign]]="+",1,-1)*(IF(PptoSty[[#This Row],[POvsCT]]="PO",SUM(_xlfn.CHOOSECOLS(_xlfn._xlws.FILTER(F_RT14[],(IF($M222="X",TRUE,F_RT14[Site]=$M222))*(F_RT14[Measure]=U$4)*(F_RT14[PrjId]=PptoSty[[#This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22" s="206" cm="1">
        <f t="array" aca="1" ref="V222" ca="1">IFERROR((1/PptoSty[[#This Row],[Division]])*IF(PptoSty[[#This Row],[Sign]]="+",1,-1)*(IF(PptoSty[[#This Row],[POvsCT]]="PO",SUM(_xlfn.CHOOSECOLS(_xlfn._xlws.FILTER(F_RT14[],(IF($M222="X",TRUE,F_RT14[Site]=$M222))*(F_RT14[Measure]=V$4)*(F_RT14[PrjId]=PptoSty[[#This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22" s="206" cm="1">
        <f t="array" aca="1" ref="W222" ca="1">IFERROR((1/PptoSty[[#This Row],[Division]])*IF(PptoSty[[#This Row],[Sign]]="+",1,-1)*(IF(PptoSty[[#This Row],[POvsCT]]="PO",SUM(_xlfn.CHOOSECOLS(_xlfn._xlws.FILTER(F_RT14[],(IF($M222="X",TRUE,F_RT14[Site]=$M222))*(F_RT14[Measure]=W$4)*(F_RT14[PrjId]=PptoSty[[#This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22" s="338" cm="1">
        <f t="array" ref="X222">IFERROR(IF(PptoSty[[#This Row],[Nature]]&lt;&gt;"Hrs",0,(1/PptoSty[[#This Row],[Division]])*IF(PptoSty[[#This Row],[Sign]]="+",1,-1)*(IF(PptoSty[[#This Row],[POvsCT]]="PO",SUM(_xlfn.CHOOSECOLS(_xlfn._xlws.FILTER(F_RT14[],(IF($M222="X",TRUE,F_RT14[Site]=$M222))*(F_RT14[Measure]=X$4)*(F_RT14[PrjId]=PptoSty[[#This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22" s="338" cm="1">
        <f t="array" ref="Y222">IFERROR(IF(PptoSty[[#This Row],[Nature]]&lt;&gt;"Hrs",0,(1/PptoSty[[#This Row],[Division]])*IF(PptoSty[[#This Row],[Sign]]="+",1,-1)*(IF(PptoSty[[#This Row],[POvsCT]]="PO",SUM(_xlfn.CHOOSECOLS(_xlfn._xlws.FILTER(F_RT14[],(IF($M222="X",TRUE,F_RT14[Site]=$M222))*(F_RT14[Measure]=Y$4)*(F_RT14[PrjId]=PptoSty[[#This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22" s="338" cm="1">
        <f t="array" ref="Z222">IFERROR(IF(PptoSty[[#This Row],[Nature]]&lt;&gt;"Hrs",0,(1/PptoSty[[#This Row],[Division]])*IF(PptoSty[[#This Row],[Sign]]="+",1,-1)*(IF(PptoSty[[#This Row],[POvsCT]]="PO",SUM(_xlfn.CHOOSECOLS(_xlfn._xlws.FILTER(F_RT14[],(IF($M222="X",TRUE,F_RT14[Site]=$M222))*(F_RT14[Measure]=Z$4)*(F_RT14[PrjId]=PptoSty[[#This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22" s="206" cm="1">
        <f t="array" aca="1" ref="AA222"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22" s="206" cm="1">
        <f t="array" aca="1" ref="AB222"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22" s="206" cm="1">
        <f t="array" aca="1" ref="AC222"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22"/>
      <c r="AH222"/>
      <c r="AI222"/>
      <c r="AK222" s="113"/>
      <c r="AO222"/>
      <c r="AP222"/>
      <c r="AZ222" s="175"/>
      <c r="BA222" s="175"/>
      <c r="BE222"/>
      <c r="BF222"/>
      <c r="DG222" s="175"/>
      <c r="DH222" s="175"/>
      <c r="DI222" s="175"/>
      <c r="DL222" s="108"/>
      <c r="DM222" s="366" t="str" cm="1">
        <f t="array" aca="1" ref="DM222"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22" s="177" t="s">
        <v>375</v>
      </c>
      <c r="DO222" s="177" t="str" cm="1">
        <f t="array" aca="1" ref="DO222"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22" s="177"/>
      <c r="DQ222" s="177"/>
      <c r="DR222" s="177"/>
      <c r="DS222" s="177"/>
      <c r="DT222" s="177"/>
      <c r="DU222" s="177"/>
      <c r="DV222" s="177"/>
      <c r="DW222" s="177"/>
      <c r="DX222" s="177"/>
      <c r="DY222" s="177"/>
      <c r="DZ222" s="177"/>
      <c r="EA222" s="177"/>
      <c r="EB222" s="177"/>
      <c r="EC222" s="177"/>
      <c r="ED222" s="177"/>
    </row>
    <row r="223" spans="6:134" ht="13" customHeight="1">
      <c r="F223" s="221"/>
      <c r="I223" s="339" t="str" cm="1">
        <f t="array" aca="1" ref="I22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23" s="203" t="str" cm="1">
        <f t="array" ref="J223">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23" s="96"/>
      <c r="L223" s="96"/>
      <c r="M223" s="96" t="s">
        <v>375</v>
      </c>
      <c r="N223" s="96" t="str" cm="1">
        <f t="array" ref="N223">IF(OR(PptoSty[[#This Row],[Project]]="",PptoSty[[#This Row],[Project]]="X"),"X",_xlfn._xlws.FILTER(TbAssign[RowId],(TbAssign[Project]=PptoSty[[#This Row],[Project]])*(TbAssign[Módulo]=PptoSty[[#This Row],[PptoVsRow]]),"X"))</f>
        <v>X</v>
      </c>
      <c r="O223" s="96" t="str" cm="1">
        <f t="array" ref="O223">IF(OR(PptoSty[[#This Row],[Project]]="",PptoSty[[#This Row],[Project]]="X"),"X",_xlfn.UNIQUE(_xlfn._xlws.FILTER(F_RT14[Amortz.],(F_RT14[Measure]="CurPpto")*(F_RT14[PrjId]=PptoSty[[#This Row],[Project]])*(F_RT14[Vrs]=PptoSty[[#This Row],[Vrs]])*(_xlfn.TEXTAFTER(F_RT14[ActGrp],":")=PptoSty[[#This Row],[PiRow]]),"X")))</f>
        <v>X</v>
      </c>
      <c r="P223" s="96"/>
      <c r="Q223" s="96"/>
      <c r="R223" s="204" t="s">
        <v>403</v>
      </c>
      <c r="S223" s="204">
        <v>1</v>
      </c>
      <c r="T223" s="205" t="str" cm="1">
        <f t="array" aca="1" ref="T22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23" s="206" t="str" cm="1">
        <f t="array" aca="1" ref="U223" ca="1">IFERROR((1/PptoSty[[#This Row],[Division]])*IF(PptoSty[[#This Row],[Sign]]="+",1,-1)*(IF(PptoSty[[#This Row],[POvsCT]]="PO",SUM(_xlfn.CHOOSECOLS(_xlfn._xlws.FILTER(F_RT14[],(IF($M223="X",TRUE,F_RT14[Site]=$M223))*(F_RT14[Measure]=U$4)*(F_RT14[PrjId]=PptoSty[[#This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23" s="206" cm="1">
        <f t="array" aca="1" ref="V223" ca="1">IFERROR((1/PptoSty[[#This Row],[Division]])*IF(PptoSty[[#This Row],[Sign]]="+",1,-1)*(IF(PptoSty[[#This Row],[POvsCT]]="PO",SUM(_xlfn.CHOOSECOLS(_xlfn._xlws.FILTER(F_RT14[],(IF($M223="X",TRUE,F_RT14[Site]=$M223))*(F_RT14[Measure]=V$4)*(F_RT14[PrjId]=PptoSty[[#This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23" s="206" cm="1">
        <f t="array" aca="1" ref="W223" ca="1">IFERROR((1/PptoSty[[#This Row],[Division]])*IF(PptoSty[[#This Row],[Sign]]="+",1,-1)*(IF(PptoSty[[#This Row],[POvsCT]]="PO",SUM(_xlfn.CHOOSECOLS(_xlfn._xlws.FILTER(F_RT14[],(IF($M223="X",TRUE,F_RT14[Site]=$M223))*(F_RT14[Measure]=W$4)*(F_RT14[PrjId]=PptoSty[[#This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23" s="338" cm="1">
        <f t="array" ref="X223">IFERROR(IF(PptoSty[[#This Row],[Nature]]&lt;&gt;"Hrs",0,(1/PptoSty[[#This Row],[Division]])*IF(PptoSty[[#This Row],[Sign]]="+",1,-1)*(IF(PptoSty[[#This Row],[POvsCT]]="PO",SUM(_xlfn.CHOOSECOLS(_xlfn._xlws.FILTER(F_RT14[],(IF($M223="X",TRUE,F_RT14[Site]=$M223))*(F_RT14[Measure]=X$4)*(F_RT14[PrjId]=PptoSty[[#This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23" s="338" cm="1">
        <f t="array" ref="Y223">IFERROR(IF(PptoSty[[#This Row],[Nature]]&lt;&gt;"Hrs",0,(1/PptoSty[[#This Row],[Division]])*IF(PptoSty[[#This Row],[Sign]]="+",1,-1)*(IF(PptoSty[[#This Row],[POvsCT]]="PO",SUM(_xlfn.CHOOSECOLS(_xlfn._xlws.FILTER(F_RT14[],(IF($M223="X",TRUE,F_RT14[Site]=$M223))*(F_RT14[Measure]=Y$4)*(F_RT14[PrjId]=PptoSty[[#This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23" s="338" cm="1">
        <f t="array" ref="Z223">IFERROR(IF(PptoSty[[#This Row],[Nature]]&lt;&gt;"Hrs",0,(1/PptoSty[[#This Row],[Division]])*IF(PptoSty[[#This Row],[Sign]]="+",1,-1)*(IF(PptoSty[[#This Row],[POvsCT]]="PO",SUM(_xlfn.CHOOSECOLS(_xlfn._xlws.FILTER(F_RT14[],(IF($M223="X",TRUE,F_RT14[Site]=$M223))*(F_RT14[Measure]=Z$4)*(F_RT14[PrjId]=PptoSty[[#This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23" s="206" cm="1">
        <f t="array" aca="1" ref="AA223"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23" s="206" cm="1">
        <f t="array" aca="1" ref="AB223"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23" s="206" cm="1">
        <f t="array" aca="1" ref="AC223"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23"/>
      <c r="AH223"/>
      <c r="AI223"/>
      <c r="AK223" s="113"/>
      <c r="AO223"/>
      <c r="AP223"/>
      <c r="AZ223" s="175"/>
      <c r="BA223" s="175"/>
      <c r="BE223"/>
      <c r="BF223"/>
      <c r="DG223" s="175"/>
      <c r="DH223" s="175"/>
      <c r="DI223" s="175"/>
      <c r="DL223" s="108"/>
      <c r="DM223" s="366" t="str" cm="1">
        <f t="array" aca="1" ref="DM223"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23" s="177" t="s">
        <v>375</v>
      </c>
      <c r="DO223" s="177" t="str" cm="1">
        <f t="array" aca="1" ref="DO223"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23" s="177"/>
      <c r="DQ223" s="177"/>
      <c r="DR223" s="177"/>
      <c r="DS223" s="177"/>
      <c r="DT223" s="177"/>
      <c r="DU223" s="177"/>
      <c r="DV223" s="177"/>
      <c r="DW223" s="177"/>
      <c r="DX223" s="177"/>
      <c r="DY223" s="177"/>
      <c r="DZ223" s="177"/>
      <c r="EA223" s="177"/>
      <c r="EB223" s="177"/>
      <c r="EC223" s="177"/>
      <c r="ED223" s="177"/>
    </row>
    <row r="224" spans="6:134" ht="13" customHeight="1">
      <c r="F224" s="221"/>
      <c r="I224" s="339" t="str" cm="1">
        <f t="array" aca="1" ref="I22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24" s="203" t="str" cm="1">
        <f t="array" ref="J224">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24" s="96"/>
      <c r="L224" s="96"/>
      <c r="M224" s="96" t="s">
        <v>375</v>
      </c>
      <c r="N224" s="96" t="str" cm="1">
        <f t="array" ref="N224">IF(OR(PptoSty[[#This Row],[Project]]="",PptoSty[[#This Row],[Project]]="X"),"X",_xlfn._xlws.FILTER(TbAssign[RowId],(TbAssign[Project]=PptoSty[[#This Row],[Project]])*(TbAssign[Módulo]=PptoSty[[#This Row],[PptoVsRow]]),"X"))</f>
        <v>X</v>
      </c>
      <c r="O224" s="96" t="str" cm="1">
        <f t="array" ref="O224">IF(OR(PptoSty[[#This Row],[Project]]="",PptoSty[[#This Row],[Project]]="X"),"X",_xlfn.UNIQUE(_xlfn._xlws.FILTER(F_RT14[Amortz.],(F_RT14[Measure]="CurPpto")*(F_RT14[PrjId]=PptoSty[[#This Row],[Project]])*(F_RT14[Vrs]=PptoSty[[#This Row],[Vrs]])*(_xlfn.TEXTAFTER(F_RT14[ActGrp],":")=PptoSty[[#This Row],[PiRow]]),"X")))</f>
        <v>X</v>
      </c>
      <c r="P224" s="96"/>
      <c r="Q224" s="96"/>
      <c r="R224" s="204" t="s">
        <v>403</v>
      </c>
      <c r="S224" s="204">
        <v>1</v>
      </c>
      <c r="T224" s="205" t="str" cm="1">
        <f t="array" aca="1" ref="T22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24" s="206" t="str" cm="1">
        <f t="array" aca="1" ref="U224" ca="1">IFERROR((1/PptoSty[[#This Row],[Division]])*IF(PptoSty[[#This Row],[Sign]]="+",1,-1)*(IF(PptoSty[[#This Row],[POvsCT]]="PO",SUM(_xlfn.CHOOSECOLS(_xlfn._xlws.FILTER(F_RT14[],(IF($M224="X",TRUE,F_RT14[Site]=$M224))*(F_RT14[Measure]=U$4)*(F_RT14[PrjId]=PptoSty[[#This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24" s="206" cm="1">
        <f t="array" aca="1" ref="V224" ca="1">IFERROR((1/PptoSty[[#This Row],[Division]])*IF(PptoSty[[#This Row],[Sign]]="+",1,-1)*(IF(PptoSty[[#This Row],[POvsCT]]="PO",SUM(_xlfn.CHOOSECOLS(_xlfn._xlws.FILTER(F_RT14[],(IF($M224="X",TRUE,F_RT14[Site]=$M224))*(F_RT14[Measure]=V$4)*(F_RT14[PrjId]=PptoSty[[#This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24" s="206" cm="1">
        <f t="array" aca="1" ref="W224" ca="1">IFERROR((1/PptoSty[[#This Row],[Division]])*IF(PptoSty[[#This Row],[Sign]]="+",1,-1)*(IF(PptoSty[[#This Row],[POvsCT]]="PO",SUM(_xlfn.CHOOSECOLS(_xlfn._xlws.FILTER(F_RT14[],(IF($M224="X",TRUE,F_RT14[Site]=$M224))*(F_RT14[Measure]=W$4)*(F_RT14[PrjId]=PptoSty[[#This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24" s="338" cm="1">
        <f t="array" ref="X224">IFERROR(IF(PptoSty[[#This Row],[Nature]]&lt;&gt;"Hrs",0,(1/PptoSty[[#This Row],[Division]])*IF(PptoSty[[#This Row],[Sign]]="+",1,-1)*(IF(PptoSty[[#This Row],[POvsCT]]="PO",SUM(_xlfn.CHOOSECOLS(_xlfn._xlws.FILTER(F_RT14[],(IF($M224="X",TRUE,F_RT14[Site]=$M224))*(F_RT14[Measure]=X$4)*(F_RT14[PrjId]=PptoSty[[#This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24" s="338" cm="1">
        <f t="array" ref="Y224">IFERROR(IF(PptoSty[[#This Row],[Nature]]&lt;&gt;"Hrs",0,(1/PptoSty[[#This Row],[Division]])*IF(PptoSty[[#This Row],[Sign]]="+",1,-1)*(IF(PptoSty[[#This Row],[POvsCT]]="PO",SUM(_xlfn.CHOOSECOLS(_xlfn._xlws.FILTER(F_RT14[],(IF($M224="X",TRUE,F_RT14[Site]=$M224))*(F_RT14[Measure]=Y$4)*(F_RT14[PrjId]=PptoSty[[#This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24" s="338" cm="1">
        <f t="array" ref="Z224">IFERROR(IF(PptoSty[[#This Row],[Nature]]&lt;&gt;"Hrs",0,(1/PptoSty[[#This Row],[Division]])*IF(PptoSty[[#This Row],[Sign]]="+",1,-1)*(IF(PptoSty[[#This Row],[POvsCT]]="PO",SUM(_xlfn.CHOOSECOLS(_xlfn._xlws.FILTER(F_RT14[],(IF($M224="X",TRUE,F_RT14[Site]=$M224))*(F_RT14[Measure]=Z$4)*(F_RT14[PrjId]=PptoSty[[#This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24" s="206" cm="1">
        <f t="array" aca="1" ref="AA224"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24" s="206" cm="1">
        <f t="array" aca="1" ref="AB224"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24" s="206" cm="1">
        <f t="array" aca="1" ref="AC224"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24"/>
      <c r="AH224"/>
      <c r="AI224"/>
      <c r="AK224" s="113"/>
      <c r="AO224"/>
      <c r="AP224"/>
      <c r="AZ224" s="175"/>
      <c r="BA224" s="175"/>
      <c r="BE224"/>
      <c r="BF224"/>
      <c r="DG224" s="175"/>
      <c r="DH224" s="175"/>
      <c r="DI224" s="175"/>
      <c r="DL224" s="108"/>
      <c r="DM224" s="366" t="str" cm="1">
        <f t="array" aca="1" ref="DM224"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24" s="177" t="s">
        <v>375</v>
      </c>
      <c r="DO224" s="177" t="str" cm="1">
        <f t="array" aca="1" ref="DO224"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24" s="177"/>
      <c r="DQ224" s="177"/>
      <c r="DR224" s="177"/>
      <c r="DS224" s="177"/>
      <c r="DT224" s="177"/>
      <c r="DU224" s="177"/>
      <c r="DV224" s="177"/>
      <c r="DW224" s="177"/>
      <c r="DX224" s="177"/>
      <c r="DY224" s="177"/>
      <c r="DZ224" s="177"/>
      <c r="EA224" s="177"/>
      <c r="EB224" s="177"/>
      <c r="EC224" s="177"/>
      <c r="ED224" s="177"/>
    </row>
    <row r="225" spans="6:134" ht="13" customHeight="1">
      <c r="F225" s="221"/>
      <c r="I225" s="339" t="str" cm="1">
        <f t="array" aca="1" ref="I22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25" s="203" t="str" cm="1">
        <f t="array" ref="J225">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25" s="96"/>
      <c r="L225" s="96"/>
      <c r="M225" s="96" t="s">
        <v>375</v>
      </c>
      <c r="N225" s="96" t="str" cm="1">
        <f t="array" ref="N225">IF(OR(PptoSty[[#This Row],[Project]]="",PptoSty[[#This Row],[Project]]="X"),"X",_xlfn._xlws.FILTER(TbAssign[RowId],(TbAssign[Project]=PptoSty[[#This Row],[Project]])*(TbAssign[Módulo]=PptoSty[[#This Row],[PptoVsRow]]),"X"))</f>
        <v>X</v>
      </c>
      <c r="O225" s="96" t="str" cm="1">
        <f t="array" ref="O225">IF(OR(PptoSty[[#This Row],[Project]]="",PptoSty[[#This Row],[Project]]="X"),"X",_xlfn.UNIQUE(_xlfn._xlws.FILTER(F_RT14[Amortz.],(F_RT14[Measure]="CurPpto")*(F_RT14[PrjId]=PptoSty[[#This Row],[Project]])*(F_RT14[Vrs]=PptoSty[[#This Row],[Vrs]])*(_xlfn.TEXTAFTER(F_RT14[ActGrp],":")=PptoSty[[#This Row],[PiRow]]),"X")))</f>
        <v>X</v>
      </c>
      <c r="P225" s="96"/>
      <c r="Q225" s="96"/>
      <c r="R225" s="204" t="s">
        <v>403</v>
      </c>
      <c r="S225" s="204">
        <v>1</v>
      </c>
      <c r="T225" s="205" t="str" cm="1">
        <f t="array" aca="1" ref="T22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25" s="206" t="str" cm="1">
        <f t="array" aca="1" ref="U225" ca="1">IFERROR((1/PptoSty[[#This Row],[Division]])*IF(PptoSty[[#This Row],[Sign]]="+",1,-1)*(IF(PptoSty[[#This Row],[POvsCT]]="PO",SUM(_xlfn.CHOOSECOLS(_xlfn._xlws.FILTER(F_RT14[],(IF($M225="X",TRUE,F_RT14[Site]=$M225))*(F_RT14[Measure]=U$4)*(F_RT14[PrjId]=PptoSty[[#This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25" s="206" cm="1">
        <f t="array" aca="1" ref="V225" ca="1">IFERROR((1/PptoSty[[#This Row],[Division]])*IF(PptoSty[[#This Row],[Sign]]="+",1,-1)*(IF(PptoSty[[#This Row],[POvsCT]]="PO",SUM(_xlfn.CHOOSECOLS(_xlfn._xlws.FILTER(F_RT14[],(IF($M225="X",TRUE,F_RT14[Site]=$M225))*(F_RT14[Measure]=V$4)*(F_RT14[PrjId]=PptoSty[[#This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25" s="206" cm="1">
        <f t="array" aca="1" ref="W225" ca="1">IFERROR((1/PptoSty[[#This Row],[Division]])*IF(PptoSty[[#This Row],[Sign]]="+",1,-1)*(IF(PptoSty[[#This Row],[POvsCT]]="PO",SUM(_xlfn.CHOOSECOLS(_xlfn._xlws.FILTER(F_RT14[],(IF($M225="X",TRUE,F_RT14[Site]=$M225))*(F_RT14[Measure]=W$4)*(F_RT14[PrjId]=PptoSty[[#This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25" s="338" cm="1">
        <f t="array" ref="X225">IFERROR(IF(PptoSty[[#This Row],[Nature]]&lt;&gt;"Hrs",0,(1/PptoSty[[#This Row],[Division]])*IF(PptoSty[[#This Row],[Sign]]="+",1,-1)*(IF(PptoSty[[#This Row],[POvsCT]]="PO",SUM(_xlfn.CHOOSECOLS(_xlfn._xlws.FILTER(F_RT14[],(IF($M225="X",TRUE,F_RT14[Site]=$M225))*(F_RT14[Measure]=X$4)*(F_RT14[PrjId]=PptoSty[[#This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25" s="338" cm="1">
        <f t="array" ref="Y225">IFERROR(IF(PptoSty[[#This Row],[Nature]]&lt;&gt;"Hrs",0,(1/PptoSty[[#This Row],[Division]])*IF(PptoSty[[#This Row],[Sign]]="+",1,-1)*(IF(PptoSty[[#This Row],[POvsCT]]="PO",SUM(_xlfn.CHOOSECOLS(_xlfn._xlws.FILTER(F_RT14[],(IF($M225="X",TRUE,F_RT14[Site]=$M225))*(F_RT14[Measure]=Y$4)*(F_RT14[PrjId]=PptoSty[[#This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25" s="338" cm="1">
        <f t="array" ref="Z225">IFERROR(IF(PptoSty[[#This Row],[Nature]]&lt;&gt;"Hrs",0,(1/PptoSty[[#This Row],[Division]])*IF(PptoSty[[#This Row],[Sign]]="+",1,-1)*(IF(PptoSty[[#This Row],[POvsCT]]="PO",SUM(_xlfn.CHOOSECOLS(_xlfn._xlws.FILTER(F_RT14[],(IF($M225="X",TRUE,F_RT14[Site]=$M225))*(F_RT14[Measure]=Z$4)*(F_RT14[PrjId]=PptoSty[[#This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25" s="206" cm="1">
        <f t="array" aca="1" ref="AA225"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25" s="206" cm="1">
        <f t="array" aca="1" ref="AB225"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25" s="206" cm="1">
        <f t="array" aca="1" ref="AC225"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25"/>
      <c r="AH225"/>
      <c r="AI225"/>
      <c r="AK225" s="113"/>
      <c r="AO225"/>
      <c r="AP225"/>
      <c r="AZ225" s="175"/>
      <c r="BA225" s="175"/>
      <c r="BE225"/>
      <c r="BF225"/>
      <c r="DG225" s="175"/>
      <c r="DH225" s="175"/>
      <c r="DI225" s="175"/>
      <c r="DL225" s="108"/>
      <c r="DM225" s="366" t="str" cm="1">
        <f t="array" aca="1" ref="DM22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25" s="177" t="s">
        <v>375</v>
      </c>
      <c r="DO225" s="177" t="str" cm="1">
        <f t="array" aca="1" ref="DO22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25" s="177"/>
      <c r="DQ225" s="177"/>
      <c r="DR225" s="177"/>
      <c r="DS225" s="177"/>
      <c r="DT225" s="177"/>
      <c r="DU225" s="177"/>
      <c r="DV225" s="177"/>
      <c r="DW225" s="177"/>
      <c r="DX225" s="177"/>
      <c r="DY225" s="177"/>
      <c r="DZ225" s="177"/>
      <c r="EA225" s="177"/>
      <c r="EB225" s="177"/>
      <c r="EC225" s="177"/>
      <c r="ED225" s="177"/>
    </row>
    <row r="226" spans="6:134" ht="13" customHeight="1">
      <c r="F226" s="221"/>
      <c r="I226" s="339" t="str" cm="1">
        <f t="array" aca="1" ref="I22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26" s="203" t="str" cm="1">
        <f t="array" ref="J226">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26" s="96"/>
      <c r="L226" s="96"/>
      <c r="M226" s="96" t="s">
        <v>375</v>
      </c>
      <c r="N226" s="96" t="str" cm="1">
        <f t="array" ref="N226">IF(OR(PptoSty[[#This Row],[Project]]="",PptoSty[[#This Row],[Project]]="X"),"X",_xlfn._xlws.FILTER(TbAssign[RowId],(TbAssign[Project]=PptoSty[[#This Row],[Project]])*(TbAssign[Módulo]=PptoSty[[#This Row],[PptoVsRow]]),"X"))</f>
        <v>X</v>
      </c>
      <c r="O226" s="96" t="str" cm="1">
        <f t="array" ref="O226">IF(OR(PptoSty[[#This Row],[Project]]="",PptoSty[[#This Row],[Project]]="X"),"X",_xlfn.UNIQUE(_xlfn._xlws.FILTER(F_RT14[Amortz.],(F_RT14[Measure]="CurPpto")*(F_RT14[PrjId]=PptoSty[[#This Row],[Project]])*(F_RT14[Vrs]=PptoSty[[#This Row],[Vrs]])*(_xlfn.TEXTAFTER(F_RT14[ActGrp],":")=PptoSty[[#This Row],[PiRow]]),"X")))</f>
        <v>X</v>
      </c>
      <c r="P226" s="96"/>
      <c r="Q226" s="96"/>
      <c r="R226" s="204" t="s">
        <v>403</v>
      </c>
      <c r="S226" s="204">
        <v>1</v>
      </c>
      <c r="T226" s="205" t="str" cm="1">
        <f t="array" aca="1" ref="T22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26" s="206" t="str" cm="1">
        <f t="array" aca="1" ref="U226" ca="1">IFERROR((1/PptoSty[[#This Row],[Division]])*IF(PptoSty[[#This Row],[Sign]]="+",1,-1)*(IF(PptoSty[[#This Row],[POvsCT]]="PO",SUM(_xlfn.CHOOSECOLS(_xlfn._xlws.FILTER(F_RT14[],(IF($M226="X",TRUE,F_RT14[Site]=$M226))*(F_RT14[Measure]=U$4)*(F_RT14[PrjId]=PptoSty[[#This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26" s="206" cm="1">
        <f t="array" aca="1" ref="V226" ca="1">IFERROR((1/PptoSty[[#This Row],[Division]])*IF(PptoSty[[#This Row],[Sign]]="+",1,-1)*(IF(PptoSty[[#This Row],[POvsCT]]="PO",SUM(_xlfn.CHOOSECOLS(_xlfn._xlws.FILTER(F_RT14[],(IF($M226="X",TRUE,F_RT14[Site]=$M226))*(F_RT14[Measure]=V$4)*(F_RT14[PrjId]=PptoSty[[#This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26" s="206" cm="1">
        <f t="array" aca="1" ref="W226" ca="1">IFERROR((1/PptoSty[[#This Row],[Division]])*IF(PptoSty[[#This Row],[Sign]]="+",1,-1)*(IF(PptoSty[[#This Row],[POvsCT]]="PO",SUM(_xlfn.CHOOSECOLS(_xlfn._xlws.FILTER(F_RT14[],(IF($M226="X",TRUE,F_RT14[Site]=$M226))*(F_RT14[Measure]=W$4)*(F_RT14[PrjId]=PptoSty[[#This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26" s="338" cm="1">
        <f t="array" ref="X226">IFERROR(IF(PptoSty[[#This Row],[Nature]]&lt;&gt;"Hrs",0,(1/PptoSty[[#This Row],[Division]])*IF(PptoSty[[#This Row],[Sign]]="+",1,-1)*(IF(PptoSty[[#This Row],[POvsCT]]="PO",SUM(_xlfn.CHOOSECOLS(_xlfn._xlws.FILTER(F_RT14[],(IF($M226="X",TRUE,F_RT14[Site]=$M226))*(F_RT14[Measure]=X$4)*(F_RT14[PrjId]=PptoSty[[#This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26" s="338" cm="1">
        <f t="array" ref="Y226">IFERROR(IF(PptoSty[[#This Row],[Nature]]&lt;&gt;"Hrs",0,(1/PptoSty[[#This Row],[Division]])*IF(PptoSty[[#This Row],[Sign]]="+",1,-1)*(IF(PptoSty[[#This Row],[POvsCT]]="PO",SUM(_xlfn.CHOOSECOLS(_xlfn._xlws.FILTER(F_RT14[],(IF($M226="X",TRUE,F_RT14[Site]=$M226))*(F_RT14[Measure]=Y$4)*(F_RT14[PrjId]=PptoSty[[#This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26" s="338" cm="1">
        <f t="array" ref="Z226">IFERROR(IF(PptoSty[[#This Row],[Nature]]&lt;&gt;"Hrs",0,(1/PptoSty[[#This Row],[Division]])*IF(PptoSty[[#This Row],[Sign]]="+",1,-1)*(IF(PptoSty[[#This Row],[POvsCT]]="PO",SUM(_xlfn.CHOOSECOLS(_xlfn._xlws.FILTER(F_RT14[],(IF($M226="X",TRUE,F_RT14[Site]=$M226))*(F_RT14[Measure]=Z$4)*(F_RT14[PrjId]=PptoSty[[#This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26" s="206" cm="1">
        <f t="array" aca="1" ref="AA226"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26" s="206" cm="1">
        <f t="array" aca="1" ref="AB226"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26" s="206" cm="1">
        <f t="array" aca="1" ref="AC226"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26"/>
      <c r="AH226"/>
      <c r="AI226"/>
      <c r="AK226" s="113"/>
      <c r="AO226"/>
      <c r="AP226"/>
      <c r="AZ226" s="175"/>
      <c r="BA226" s="175"/>
      <c r="BE226"/>
      <c r="BF226"/>
      <c r="DG226" s="175"/>
      <c r="DH226" s="175"/>
      <c r="DI226" s="175"/>
      <c r="DL226" s="108"/>
      <c r="DM226" s="366" t="str" cm="1">
        <f t="array" aca="1" ref="DM22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26" s="177" t="s">
        <v>375</v>
      </c>
      <c r="DO226" s="177" t="str" cm="1">
        <f t="array" aca="1" ref="DO22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26" s="177"/>
      <c r="DQ226" s="177"/>
      <c r="DR226" s="177"/>
      <c r="DS226" s="177"/>
      <c r="DT226" s="177"/>
      <c r="DU226" s="177"/>
      <c r="DV226" s="177"/>
      <c r="DW226" s="177"/>
      <c r="DX226" s="177"/>
      <c r="DY226" s="177"/>
      <c r="DZ226" s="177"/>
      <c r="EA226" s="177"/>
      <c r="EB226" s="177"/>
      <c r="EC226" s="177"/>
      <c r="ED226" s="177"/>
    </row>
    <row r="227" spans="6:134" ht="13" customHeight="1">
      <c r="F227" s="221"/>
      <c r="I227" s="339" t="str" cm="1">
        <f t="array" aca="1" ref="I22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27" s="203" t="str" cm="1">
        <f t="array" ref="J227">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27" s="96"/>
      <c r="L227" s="96"/>
      <c r="M227" s="96" t="s">
        <v>375</v>
      </c>
      <c r="N227" s="96" t="str" cm="1">
        <f t="array" ref="N227">IF(OR(PptoSty[[#This Row],[Project]]="",PptoSty[[#This Row],[Project]]="X"),"X",_xlfn._xlws.FILTER(TbAssign[RowId],(TbAssign[Project]=PptoSty[[#This Row],[Project]])*(TbAssign[Módulo]=PptoSty[[#This Row],[PptoVsRow]]),"X"))</f>
        <v>X</v>
      </c>
      <c r="O227" s="96" t="str" cm="1">
        <f t="array" ref="O227">IF(OR(PptoSty[[#This Row],[Project]]="",PptoSty[[#This Row],[Project]]="X"),"X",_xlfn.UNIQUE(_xlfn._xlws.FILTER(F_RT14[Amortz.],(F_RT14[Measure]="CurPpto")*(F_RT14[PrjId]=PptoSty[[#This Row],[Project]])*(F_RT14[Vrs]=PptoSty[[#This Row],[Vrs]])*(_xlfn.TEXTAFTER(F_RT14[ActGrp],":")=PptoSty[[#This Row],[PiRow]]),"X")))</f>
        <v>X</v>
      </c>
      <c r="P227" s="96"/>
      <c r="Q227" s="96"/>
      <c r="R227" s="204" t="s">
        <v>403</v>
      </c>
      <c r="S227" s="204">
        <v>1</v>
      </c>
      <c r="T227" s="205" t="str" cm="1">
        <f t="array" aca="1" ref="T22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27" s="206" t="str" cm="1">
        <f t="array" aca="1" ref="U227" ca="1">IFERROR((1/PptoSty[[#This Row],[Division]])*IF(PptoSty[[#This Row],[Sign]]="+",1,-1)*(IF(PptoSty[[#This Row],[POvsCT]]="PO",SUM(_xlfn.CHOOSECOLS(_xlfn._xlws.FILTER(F_RT14[],(IF($M227="X",TRUE,F_RT14[Site]=$M227))*(F_RT14[Measure]=U$4)*(F_RT14[PrjId]=PptoSty[[#This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27" s="206" cm="1">
        <f t="array" aca="1" ref="V227" ca="1">IFERROR((1/PptoSty[[#This Row],[Division]])*IF(PptoSty[[#This Row],[Sign]]="+",1,-1)*(IF(PptoSty[[#This Row],[POvsCT]]="PO",SUM(_xlfn.CHOOSECOLS(_xlfn._xlws.FILTER(F_RT14[],(IF($M227="X",TRUE,F_RT14[Site]=$M227))*(F_RT14[Measure]=V$4)*(F_RT14[PrjId]=PptoSty[[#This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27" s="206" cm="1">
        <f t="array" aca="1" ref="W227" ca="1">IFERROR((1/PptoSty[[#This Row],[Division]])*IF(PptoSty[[#This Row],[Sign]]="+",1,-1)*(IF(PptoSty[[#This Row],[POvsCT]]="PO",SUM(_xlfn.CHOOSECOLS(_xlfn._xlws.FILTER(F_RT14[],(IF($M227="X",TRUE,F_RT14[Site]=$M227))*(F_RT14[Measure]=W$4)*(F_RT14[PrjId]=PptoSty[[#This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27" s="338" cm="1">
        <f t="array" ref="X227">IFERROR(IF(PptoSty[[#This Row],[Nature]]&lt;&gt;"Hrs",0,(1/PptoSty[[#This Row],[Division]])*IF(PptoSty[[#This Row],[Sign]]="+",1,-1)*(IF(PptoSty[[#This Row],[POvsCT]]="PO",SUM(_xlfn.CHOOSECOLS(_xlfn._xlws.FILTER(F_RT14[],(IF($M227="X",TRUE,F_RT14[Site]=$M227))*(F_RT14[Measure]=X$4)*(F_RT14[PrjId]=PptoSty[[#This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27" s="338" cm="1">
        <f t="array" ref="Y227">IFERROR(IF(PptoSty[[#This Row],[Nature]]&lt;&gt;"Hrs",0,(1/PptoSty[[#This Row],[Division]])*IF(PptoSty[[#This Row],[Sign]]="+",1,-1)*(IF(PptoSty[[#This Row],[POvsCT]]="PO",SUM(_xlfn.CHOOSECOLS(_xlfn._xlws.FILTER(F_RT14[],(IF($M227="X",TRUE,F_RT14[Site]=$M227))*(F_RT14[Measure]=Y$4)*(F_RT14[PrjId]=PptoSty[[#This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27" s="338" cm="1">
        <f t="array" ref="Z227">IFERROR(IF(PptoSty[[#This Row],[Nature]]&lt;&gt;"Hrs",0,(1/PptoSty[[#This Row],[Division]])*IF(PptoSty[[#This Row],[Sign]]="+",1,-1)*(IF(PptoSty[[#This Row],[POvsCT]]="PO",SUM(_xlfn.CHOOSECOLS(_xlfn._xlws.FILTER(F_RT14[],(IF($M227="X",TRUE,F_RT14[Site]=$M227))*(F_RT14[Measure]=Z$4)*(F_RT14[PrjId]=PptoSty[[#This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27" s="206" cm="1">
        <f t="array" aca="1" ref="AA227"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27" s="206" cm="1">
        <f t="array" aca="1" ref="AB227"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27" s="206" cm="1">
        <f t="array" aca="1" ref="AC227"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27"/>
      <c r="AH227"/>
      <c r="AI227"/>
      <c r="AK227" s="113"/>
      <c r="AO227"/>
      <c r="AP227"/>
      <c r="AZ227" s="175"/>
      <c r="BA227" s="175"/>
      <c r="BE227"/>
      <c r="BF227"/>
      <c r="DG227" s="175"/>
      <c r="DH227" s="175"/>
      <c r="DI227" s="175"/>
      <c r="DL227" s="108"/>
      <c r="DM227" s="366" t="str" cm="1">
        <f t="array" aca="1" ref="DM22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27" s="177" t="s">
        <v>375</v>
      </c>
      <c r="DO227" s="177" t="str" cm="1">
        <f t="array" aca="1" ref="DO22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27" s="177"/>
      <c r="DQ227" s="177"/>
      <c r="DR227" s="177"/>
      <c r="DS227" s="177"/>
      <c r="DT227" s="177"/>
      <c r="DU227" s="177"/>
      <c r="DV227" s="177"/>
      <c r="DW227" s="177"/>
      <c r="DX227" s="177"/>
      <c r="DY227" s="177"/>
      <c r="DZ227" s="177"/>
      <c r="EA227" s="177"/>
      <c r="EB227" s="177"/>
      <c r="EC227" s="177"/>
      <c r="ED227" s="177"/>
    </row>
    <row r="228" spans="6:134" ht="13" customHeight="1">
      <c r="F228" s="221"/>
      <c r="I228" s="339" t="str" cm="1">
        <f t="array" aca="1" ref="I22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28" s="203" t="str" cm="1">
        <f t="array" ref="J228">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28" s="96"/>
      <c r="L228" s="96"/>
      <c r="M228" s="96" t="s">
        <v>375</v>
      </c>
      <c r="N228" s="96" t="str" cm="1">
        <f t="array" ref="N228">IF(OR(PptoSty[[#This Row],[Project]]="",PptoSty[[#This Row],[Project]]="X"),"X",_xlfn._xlws.FILTER(TbAssign[RowId],(TbAssign[Project]=PptoSty[[#This Row],[Project]])*(TbAssign[Módulo]=PptoSty[[#This Row],[PptoVsRow]]),"X"))</f>
        <v>X</v>
      </c>
      <c r="O228" s="96" t="str" cm="1">
        <f t="array" ref="O228">IF(OR(PptoSty[[#This Row],[Project]]="",PptoSty[[#This Row],[Project]]="X"),"X",_xlfn.UNIQUE(_xlfn._xlws.FILTER(F_RT14[Amortz.],(F_RT14[Measure]="CurPpto")*(F_RT14[PrjId]=PptoSty[[#This Row],[Project]])*(F_RT14[Vrs]=PptoSty[[#This Row],[Vrs]])*(_xlfn.TEXTAFTER(F_RT14[ActGrp],":")=PptoSty[[#This Row],[PiRow]]),"X")))</f>
        <v>X</v>
      </c>
      <c r="P228" s="96"/>
      <c r="Q228" s="96"/>
      <c r="R228" s="204" t="s">
        <v>403</v>
      </c>
      <c r="S228" s="204">
        <v>1</v>
      </c>
      <c r="T228" s="205" t="str" cm="1">
        <f t="array" aca="1" ref="T22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28" s="206" t="str" cm="1">
        <f t="array" aca="1" ref="U228" ca="1">IFERROR((1/PptoSty[[#This Row],[Division]])*IF(PptoSty[[#This Row],[Sign]]="+",1,-1)*(IF(PptoSty[[#This Row],[POvsCT]]="PO",SUM(_xlfn.CHOOSECOLS(_xlfn._xlws.FILTER(F_RT14[],(IF($M228="X",TRUE,F_RT14[Site]=$M228))*(F_RT14[Measure]=U$4)*(F_RT14[PrjId]=PptoSty[[#This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28" s="206" cm="1">
        <f t="array" aca="1" ref="V228" ca="1">IFERROR((1/PptoSty[[#This Row],[Division]])*IF(PptoSty[[#This Row],[Sign]]="+",1,-1)*(IF(PptoSty[[#This Row],[POvsCT]]="PO",SUM(_xlfn.CHOOSECOLS(_xlfn._xlws.FILTER(F_RT14[],(IF($M228="X",TRUE,F_RT14[Site]=$M228))*(F_RT14[Measure]=V$4)*(F_RT14[PrjId]=PptoSty[[#This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28" s="206" cm="1">
        <f t="array" aca="1" ref="W228" ca="1">IFERROR((1/PptoSty[[#This Row],[Division]])*IF(PptoSty[[#This Row],[Sign]]="+",1,-1)*(IF(PptoSty[[#This Row],[POvsCT]]="PO",SUM(_xlfn.CHOOSECOLS(_xlfn._xlws.FILTER(F_RT14[],(IF($M228="X",TRUE,F_RT14[Site]=$M228))*(F_RT14[Measure]=W$4)*(F_RT14[PrjId]=PptoSty[[#This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28" s="338" cm="1">
        <f t="array" ref="X228">IFERROR(IF(PptoSty[[#This Row],[Nature]]&lt;&gt;"Hrs",0,(1/PptoSty[[#This Row],[Division]])*IF(PptoSty[[#This Row],[Sign]]="+",1,-1)*(IF(PptoSty[[#This Row],[POvsCT]]="PO",SUM(_xlfn.CHOOSECOLS(_xlfn._xlws.FILTER(F_RT14[],(IF($M228="X",TRUE,F_RT14[Site]=$M228))*(F_RT14[Measure]=X$4)*(F_RT14[PrjId]=PptoSty[[#This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28" s="338" cm="1">
        <f t="array" ref="Y228">IFERROR(IF(PptoSty[[#This Row],[Nature]]&lt;&gt;"Hrs",0,(1/PptoSty[[#This Row],[Division]])*IF(PptoSty[[#This Row],[Sign]]="+",1,-1)*(IF(PptoSty[[#This Row],[POvsCT]]="PO",SUM(_xlfn.CHOOSECOLS(_xlfn._xlws.FILTER(F_RT14[],(IF($M228="X",TRUE,F_RT14[Site]=$M228))*(F_RT14[Measure]=Y$4)*(F_RT14[PrjId]=PptoSty[[#This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28" s="338" cm="1">
        <f t="array" ref="Z228">IFERROR(IF(PptoSty[[#This Row],[Nature]]&lt;&gt;"Hrs",0,(1/PptoSty[[#This Row],[Division]])*IF(PptoSty[[#This Row],[Sign]]="+",1,-1)*(IF(PptoSty[[#This Row],[POvsCT]]="PO",SUM(_xlfn.CHOOSECOLS(_xlfn._xlws.FILTER(F_RT14[],(IF($M228="X",TRUE,F_RT14[Site]=$M228))*(F_RT14[Measure]=Z$4)*(F_RT14[PrjId]=PptoSty[[#This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28" s="206" cm="1">
        <f t="array" aca="1" ref="AA228"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28" s="206" cm="1">
        <f t="array" aca="1" ref="AB228"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28" s="206" cm="1">
        <f t="array" aca="1" ref="AC228"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28"/>
      <c r="AH228"/>
      <c r="AI228"/>
      <c r="AK228" s="113"/>
      <c r="AO228"/>
      <c r="AP228"/>
      <c r="AZ228" s="175"/>
      <c r="BA228" s="175"/>
      <c r="BE228"/>
      <c r="BF228"/>
      <c r="DG228" s="175"/>
      <c r="DH228" s="175"/>
      <c r="DI228" s="175"/>
      <c r="DL228" s="108"/>
      <c r="DM228" s="366" t="str" cm="1">
        <f t="array" aca="1" ref="DM22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28" s="177" t="s">
        <v>375</v>
      </c>
      <c r="DO228" s="177" t="str" cm="1">
        <f t="array" aca="1" ref="DO22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28" s="177"/>
      <c r="DQ228" s="177"/>
      <c r="DR228" s="177"/>
      <c r="DS228" s="177"/>
      <c r="DT228" s="177"/>
      <c r="DU228" s="177"/>
      <c r="DV228" s="177"/>
      <c r="DW228" s="177"/>
      <c r="DX228" s="177"/>
      <c r="DY228" s="177"/>
      <c r="DZ228" s="177"/>
      <c r="EA228" s="177"/>
      <c r="EB228" s="177"/>
      <c r="EC228" s="177"/>
      <c r="ED228" s="177"/>
    </row>
    <row r="229" spans="6:134" ht="13" customHeight="1">
      <c r="F229" s="221"/>
      <c r="I229" s="339" t="str" cm="1">
        <f t="array" aca="1" ref="I22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29" s="203" t="str" cm="1">
        <f t="array" ref="J229">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29" s="96"/>
      <c r="L229" s="96"/>
      <c r="M229" s="96" t="s">
        <v>375</v>
      </c>
      <c r="N229" s="96" t="str" cm="1">
        <f t="array" ref="N229">IF(OR(PptoSty[[#This Row],[Project]]="",PptoSty[[#This Row],[Project]]="X"),"X",_xlfn._xlws.FILTER(TbAssign[RowId],(TbAssign[Project]=PptoSty[[#This Row],[Project]])*(TbAssign[Módulo]=PptoSty[[#This Row],[PptoVsRow]]),"X"))</f>
        <v>X</v>
      </c>
      <c r="O229" s="96" t="str" cm="1">
        <f t="array" ref="O229">IF(OR(PptoSty[[#This Row],[Project]]="",PptoSty[[#This Row],[Project]]="X"),"X",_xlfn.UNIQUE(_xlfn._xlws.FILTER(F_RT14[Amortz.],(F_RT14[Measure]="CurPpto")*(F_RT14[PrjId]=PptoSty[[#This Row],[Project]])*(F_RT14[Vrs]=PptoSty[[#This Row],[Vrs]])*(_xlfn.TEXTAFTER(F_RT14[ActGrp],":")=PptoSty[[#This Row],[PiRow]]),"X")))</f>
        <v>X</v>
      </c>
      <c r="P229" s="96"/>
      <c r="Q229" s="96"/>
      <c r="R229" s="204" t="s">
        <v>403</v>
      </c>
      <c r="S229" s="204">
        <v>1</v>
      </c>
      <c r="T229" s="205" t="str" cm="1">
        <f t="array" aca="1" ref="T22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29" s="206" t="str" cm="1">
        <f t="array" aca="1" ref="U229" ca="1">IFERROR((1/PptoSty[[#This Row],[Division]])*IF(PptoSty[[#This Row],[Sign]]="+",1,-1)*(IF(PptoSty[[#This Row],[POvsCT]]="PO",SUM(_xlfn.CHOOSECOLS(_xlfn._xlws.FILTER(F_RT14[],(IF($M229="X",TRUE,F_RT14[Site]=$M229))*(F_RT14[Measure]=U$4)*(F_RT14[PrjId]=PptoSty[[#This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29" s="206" cm="1">
        <f t="array" aca="1" ref="V229" ca="1">IFERROR((1/PptoSty[[#This Row],[Division]])*IF(PptoSty[[#This Row],[Sign]]="+",1,-1)*(IF(PptoSty[[#This Row],[POvsCT]]="PO",SUM(_xlfn.CHOOSECOLS(_xlfn._xlws.FILTER(F_RT14[],(IF($M229="X",TRUE,F_RT14[Site]=$M229))*(F_RT14[Measure]=V$4)*(F_RT14[PrjId]=PptoSty[[#This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29" s="206" cm="1">
        <f t="array" aca="1" ref="W229" ca="1">IFERROR((1/PptoSty[[#This Row],[Division]])*IF(PptoSty[[#This Row],[Sign]]="+",1,-1)*(IF(PptoSty[[#This Row],[POvsCT]]="PO",SUM(_xlfn.CHOOSECOLS(_xlfn._xlws.FILTER(F_RT14[],(IF($M229="X",TRUE,F_RT14[Site]=$M229))*(F_RT14[Measure]=W$4)*(F_RT14[PrjId]=PptoSty[[#This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29" s="338" cm="1">
        <f t="array" ref="X229">IFERROR(IF(PptoSty[[#This Row],[Nature]]&lt;&gt;"Hrs",0,(1/PptoSty[[#This Row],[Division]])*IF(PptoSty[[#This Row],[Sign]]="+",1,-1)*(IF(PptoSty[[#This Row],[POvsCT]]="PO",SUM(_xlfn.CHOOSECOLS(_xlfn._xlws.FILTER(F_RT14[],(IF($M229="X",TRUE,F_RT14[Site]=$M229))*(F_RT14[Measure]=X$4)*(F_RT14[PrjId]=PptoSty[[#This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29" s="338" cm="1">
        <f t="array" ref="Y229">IFERROR(IF(PptoSty[[#This Row],[Nature]]&lt;&gt;"Hrs",0,(1/PptoSty[[#This Row],[Division]])*IF(PptoSty[[#This Row],[Sign]]="+",1,-1)*(IF(PptoSty[[#This Row],[POvsCT]]="PO",SUM(_xlfn.CHOOSECOLS(_xlfn._xlws.FILTER(F_RT14[],(IF($M229="X",TRUE,F_RT14[Site]=$M229))*(F_RT14[Measure]=Y$4)*(F_RT14[PrjId]=PptoSty[[#This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29" s="338" cm="1">
        <f t="array" ref="Z229">IFERROR(IF(PptoSty[[#This Row],[Nature]]&lt;&gt;"Hrs",0,(1/PptoSty[[#This Row],[Division]])*IF(PptoSty[[#This Row],[Sign]]="+",1,-1)*(IF(PptoSty[[#This Row],[POvsCT]]="PO",SUM(_xlfn.CHOOSECOLS(_xlfn._xlws.FILTER(F_RT14[],(IF($M229="X",TRUE,F_RT14[Site]=$M229))*(F_RT14[Measure]=Z$4)*(F_RT14[PrjId]=PptoSty[[#This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29" s="206" cm="1">
        <f t="array" aca="1" ref="AA229"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29" s="206" cm="1">
        <f t="array" aca="1" ref="AB229"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29" s="206" cm="1">
        <f t="array" aca="1" ref="AC229"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29"/>
      <c r="AH229"/>
      <c r="AI229"/>
      <c r="AK229" s="113"/>
      <c r="AO229"/>
      <c r="AP229"/>
      <c r="AZ229" s="175"/>
      <c r="BA229" s="175"/>
      <c r="BE229"/>
      <c r="BF229"/>
      <c r="DG229" s="175"/>
      <c r="DH229" s="175"/>
      <c r="DI229" s="175"/>
      <c r="DL229" s="108"/>
      <c r="DM229" s="366" t="str" cm="1">
        <f t="array" aca="1" ref="DM229"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29" s="177" t="s">
        <v>375</v>
      </c>
      <c r="DO229" s="177" t="str" cm="1">
        <f t="array" aca="1" ref="DO229"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29" s="177"/>
      <c r="DQ229" s="177"/>
      <c r="DR229" s="177"/>
      <c r="DS229" s="177"/>
      <c r="DT229" s="177"/>
      <c r="DU229" s="177"/>
      <c r="DV229" s="177"/>
      <c r="DW229" s="177"/>
      <c r="DX229" s="177"/>
      <c r="DY229" s="177"/>
      <c r="DZ229" s="177"/>
      <c r="EA229" s="177"/>
      <c r="EB229" s="177"/>
      <c r="EC229" s="177"/>
      <c r="ED229" s="177"/>
    </row>
    <row r="230" spans="6:134" ht="13" customHeight="1">
      <c r="F230" s="221"/>
      <c r="I230" s="339" t="str" cm="1">
        <f t="array" aca="1" ref="I23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30" s="203" t="str" cm="1">
        <f t="array" ref="J230">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30" s="96"/>
      <c r="L230" s="96"/>
      <c r="M230" s="96" t="s">
        <v>375</v>
      </c>
      <c r="N230" s="96" t="str" cm="1">
        <f t="array" ref="N230">IF(OR(PptoSty[[#This Row],[Project]]="",PptoSty[[#This Row],[Project]]="X"),"X",_xlfn._xlws.FILTER(TbAssign[RowId],(TbAssign[Project]=PptoSty[[#This Row],[Project]])*(TbAssign[Módulo]=PptoSty[[#This Row],[PptoVsRow]]),"X"))</f>
        <v>X</v>
      </c>
      <c r="O230" s="96" t="str" cm="1">
        <f t="array" ref="O230">IF(OR(PptoSty[[#This Row],[Project]]="",PptoSty[[#This Row],[Project]]="X"),"X",_xlfn.UNIQUE(_xlfn._xlws.FILTER(F_RT14[Amortz.],(F_RT14[Measure]="CurPpto")*(F_RT14[PrjId]=PptoSty[[#This Row],[Project]])*(F_RT14[Vrs]=PptoSty[[#This Row],[Vrs]])*(_xlfn.TEXTAFTER(F_RT14[ActGrp],":")=PptoSty[[#This Row],[PiRow]]),"X")))</f>
        <v>X</v>
      </c>
      <c r="P230" s="96"/>
      <c r="Q230" s="96"/>
      <c r="R230" s="204" t="s">
        <v>403</v>
      </c>
      <c r="S230" s="204">
        <v>1</v>
      </c>
      <c r="T230" s="205" t="str" cm="1">
        <f t="array" aca="1" ref="T23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30" s="206" t="str" cm="1">
        <f t="array" aca="1" ref="U230" ca="1">IFERROR((1/PptoSty[[#This Row],[Division]])*IF(PptoSty[[#This Row],[Sign]]="+",1,-1)*(IF(PptoSty[[#This Row],[POvsCT]]="PO",SUM(_xlfn.CHOOSECOLS(_xlfn._xlws.FILTER(F_RT14[],(IF($M230="X",TRUE,F_RT14[Site]=$M230))*(F_RT14[Measure]=U$4)*(F_RT14[PrjId]=PptoSty[[#This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30" s="206" cm="1">
        <f t="array" aca="1" ref="V230" ca="1">IFERROR((1/PptoSty[[#This Row],[Division]])*IF(PptoSty[[#This Row],[Sign]]="+",1,-1)*(IF(PptoSty[[#This Row],[POvsCT]]="PO",SUM(_xlfn.CHOOSECOLS(_xlfn._xlws.FILTER(F_RT14[],(IF($M230="X",TRUE,F_RT14[Site]=$M230))*(F_RT14[Measure]=V$4)*(F_RT14[PrjId]=PptoSty[[#This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30" s="206" cm="1">
        <f t="array" aca="1" ref="W230" ca="1">IFERROR((1/PptoSty[[#This Row],[Division]])*IF(PptoSty[[#This Row],[Sign]]="+",1,-1)*(IF(PptoSty[[#This Row],[POvsCT]]="PO",SUM(_xlfn.CHOOSECOLS(_xlfn._xlws.FILTER(F_RT14[],(IF($M230="X",TRUE,F_RT14[Site]=$M230))*(F_RT14[Measure]=W$4)*(F_RT14[PrjId]=PptoSty[[#This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30" s="338" cm="1">
        <f t="array" ref="X230">IFERROR(IF(PptoSty[[#This Row],[Nature]]&lt;&gt;"Hrs",0,(1/PptoSty[[#This Row],[Division]])*IF(PptoSty[[#This Row],[Sign]]="+",1,-1)*(IF(PptoSty[[#This Row],[POvsCT]]="PO",SUM(_xlfn.CHOOSECOLS(_xlfn._xlws.FILTER(F_RT14[],(IF($M230="X",TRUE,F_RT14[Site]=$M230))*(F_RT14[Measure]=X$4)*(F_RT14[PrjId]=PptoSty[[#This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30" s="338" cm="1">
        <f t="array" ref="Y230">IFERROR(IF(PptoSty[[#This Row],[Nature]]&lt;&gt;"Hrs",0,(1/PptoSty[[#This Row],[Division]])*IF(PptoSty[[#This Row],[Sign]]="+",1,-1)*(IF(PptoSty[[#This Row],[POvsCT]]="PO",SUM(_xlfn.CHOOSECOLS(_xlfn._xlws.FILTER(F_RT14[],(IF($M230="X",TRUE,F_RT14[Site]=$M230))*(F_RT14[Measure]=Y$4)*(F_RT14[PrjId]=PptoSty[[#This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30" s="338" cm="1">
        <f t="array" ref="Z230">IFERROR(IF(PptoSty[[#This Row],[Nature]]&lt;&gt;"Hrs",0,(1/PptoSty[[#This Row],[Division]])*IF(PptoSty[[#This Row],[Sign]]="+",1,-1)*(IF(PptoSty[[#This Row],[POvsCT]]="PO",SUM(_xlfn.CHOOSECOLS(_xlfn._xlws.FILTER(F_RT14[],(IF($M230="X",TRUE,F_RT14[Site]=$M230))*(F_RT14[Measure]=Z$4)*(F_RT14[PrjId]=PptoSty[[#This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30" s="206" cm="1">
        <f t="array" aca="1" ref="AA230"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30" s="206" cm="1">
        <f t="array" aca="1" ref="AB230"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30" s="206" cm="1">
        <f t="array" aca="1" ref="AC230"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30"/>
      <c r="AH230"/>
      <c r="AI230"/>
      <c r="AK230" s="113"/>
      <c r="AO230"/>
      <c r="AP230"/>
      <c r="AZ230" s="175"/>
      <c r="BA230" s="175"/>
      <c r="BE230"/>
      <c r="BF230"/>
      <c r="DG230" s="175"/>
      <c r="DH230" s="175"/>
      <c r="DI230" s="175"/>
      <c r="DL230" s="108"/>
      <c r="DM230" s="366" t="str" cm="1">
        <f t="array" aca="1" ref="DM230"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30" s="177" t="s">
        <v>375</v>
      </c>
      <c r="DO230" s="177" t="str" cm="1">
        <f t="array" aca="1" ref="DO230"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30" s="177"/>
      <c r="DQ230" s="177"/>
      <c r="DR230" s="177"/>
      <c r="DS230" s="177"/>
      <c r="DT230" s="177"/>
      <c r="DU230" s="177"/>
      <c r="DV230" s="177"/>
      <c r="DW230" s="177"/>
      <c r="DX230" s="177"/>
      <c r="DY230" s="177"/>
      <c r="DZ230" s="177"/>
      <c r="EA230" s="177"/>
      <c r="EB230" s="177"/>
      <c r="EC230" s="177"/>
      <c r="ED230" s="177"/>
    </row>
    <row r="231" spans="6:134" ht="13" customHeight="1">
      <c r="F231" s="221"/>
      <c r="I231" s="339" t="str" cm="1">
        <f t="array" aca="1" ref="I23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31" s="203" t="str" cm="1">
        <f t="array" ref="J231">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31" s="96"/>
      <c r="L231" s="96"/>
      <c r="M231" s="96" t="s">
        <v>375</v>
      </c>
      <c r="N231" s="96" t="str" cm="1">
        <f t="array" ref="N231">IF(OR(PptoSty[[#This Row],[Project]]="",PptoSty[[#This Row],[Project]]="X"),"X",_xlfn._xlws.FILTER(TbAssign[RowId],(TbAssign[Project]=PptoSty[[#This Row],[Project]])*(TbAssign[Módulo]=PptoSty[[#This Row],[PptoVsRow]]),"X"))</f>
        <v>X</v>
      </c>
      <c r="O231" s="96" t="str" cm="1">
        <f t="array" ref="O231">IF(OR(PptoSty[[#This Row],[Project]]="",PptoSty[[#This Row],[Project]]="X"),"X",_xlfn.UNIQUE(_xlfn._xlws.FILTER(F_RT14[Amortz.],(F_RT14[Measure]="CurPpto")*(F_RT14[PrjId]=PptoSty[[#This Row],[Project]])*(F_RT14[Vrs]=PptoSty[[#This Row],[Vrs]])*(_xlfn.TEXTAFTER(F_RT14[ActGrp],":")=PptoSty[[#This Row],[PiRow]]),"X")))</f>
        <v>X</v>
      </c>
      <c r="P231" s="96"/>
      <c r="Q231" s="96"/>
      <c r="R231" s="204" t="s">
        <v>403</v>
      </c>
      <c r="S231" s="204">
        <v>1</v>
      </c>
      <c r="T231" s="205" t="str" cm="1">
        <f t="array" aca="1" ref="T23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31" s="206" t="str" cm="1">
        <f t="array" aca="1" ref="U231" ca="1">IFERROR((1/PptoSty[[#This Row],[Division]])*IF(PptoSty[[#This Row],[Sign]]="+",1,-1)*(IF(PptoSty[[#This Row],[POvsCT]]="PO",SUM(_xlfn.CHOOSECOLS(_xlfn._xlws.FILTER(F_RT14[],(IF($M231="X",TRUE,F_RT14[Site]=$M231))*(F_RT14[Measure]=U$4)*(F_RT14[PrjId]=PptoSty[[#This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31" s="206" cm="1">
        <f t="array" aca="1" ref="V231" ca="1">IFERROR((1/PptoSty[[#This Row],[Division]])*IF(PptoSty[[#This Row],[Sign]]="+",1,-1)*(IF(PptoSty[[#This Row],[POvsCT]]="PO",SUM(_xlfn.CHOOSECOLS(_xlfn._xlws.FILTER(F_RT14[],(IF($M231="X",TRUE,F_RT14[Site]=$M231))*(F_RT14[Measure]=V$4)*(F_RT14[PrjId]=PptoSty[[#This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31" s="206" cm="1">
        <f t="array" aca="1" ref="W231" ca="1">IFERROR((1/PptoSty[[#This Row],[Division]])*IF(PptoSty[[#This Row],[Sign]]="+",1,-1)*(IF(PptoSty[[#This Row],[POvsCT]]="PO",SUM(_xlfn.CHOOSECOLS(_xlfn._xlws.FILTER(F_RT14[],(IF($M231="X",TRUE,F_RT14[Site]=$M231))*(F_RT14[Measure]=W$4)*(F_RT14[PrjId]=PptoSty[[#This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31" s="338" cm="1">
        <f t="array" ref="X231">IFERROR(IF(PptoSty[[#This Row],[Nature]]&lt;&gt;"Hrs",0,(1/PptoSty[[#This Row],[Division]])*IF(PptoSty[[#This Row],[Sign]]="+",1,-1)*(IF(PptoSty[[#This Row],[POvsCT]]="PO",SUM(_xlfn.CHOOSECOLS(_xlfn._xlws.FILTER(F_RT14[],(IF($M231="X",TRUE,F_RT14[Site]=$M231))*(F_RT14[Measure]=X$4)*(F_RT14[PrjId]=PptoSty[[#This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31" s="338" cm="1">
        <f t="array" ref="Y231">IFERROR(IF(PptoSty[[#This Row],[Nature]]&lt;&gt;"Hrs",0,(1/PptoSty[[#This Row],[Division]])*IF(PptoSty[[#This Row],[Sign]]="+",1,-1)*(IF(PptoSty[[#This Row],[POvsCT]]="PO",SUM(_xlfn.CHOOSECOLS(_xlfn._xlws.FILTER(F_RT14[],(IF($M231="X",TRUE,F_RT14[Site]=$M231))*(F_RT14[Measure]=Y$4)*(F_RT14[PrjId]=PptoSty[[#This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31" s="338" cm="1">
        <f t="array" ref="Z231">IFERROR(IF(PptoSty[[#This Row],[Nature]]&lt;&gt;"Hrs",0,(1/PptoSty[[#This Row],[Division]])*IF(PptoSty[[#This Row],[Sign]]="+",1,-1)*(IF(PptoSty[[#This Row],[POvsCT]]="PO",SUM(_xlfn.CHOOSECOLS(_xlfn._xlws.FILTER(F_RT14[],(IF($M231="X",TRUE,F_RT14[Site]=$M231))*(F_RT14[Measure]=Z$4)*(F_RT14[PrjId]=PptoSty[[#This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31" s="206" cm="1">
        <f t="array" aca="1" ref="AA231"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31" s="206" cm="1">
        <f t="array" aca="1" ref="AB231"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31" s="206" cm="1">
        <f t="array" aca="1" ref="AC231"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31"/>
      <c r="AH231"/>
      <c r="AI231"/>
      <c r="AK231" s="113"/>
      <c r="AO231"/>
      <c r="AP231"/>
      <c r="AZ231" s="175"/>
      <c r="BA231" s="175"/>
      <c r="BE231"/>
      <c r="BF231"/>
      <c r="DG231" s="175"/>
      <c r="DH231" s="175"/>
      <c r="DI231" s="175"/>
      <c r="DL231" s="108"/>
      <c r="DM231" s="366" t="str" cm="1">
        <f t="array" aca="1" ref="DM231"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31" s="177" t="s">
        <v>375</v>
      </c>
      <c r="DO231" s="177" t="str" cm="1">
        <f t="array" aca="1" ref="DO231"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31" s="177"/>
      <c r="DQ231" s="177"/>
      <c r="DR231" s="177"/>
      <c r="DS231" s="177"/>
      <c r="DT231" s="177"/>
      <c r="DU231" s="177"/>
      <c r="DV231" s="177"/>
      <c r="DW231" s="177"/>
      <c r="DX231" s="177"/>
      <c r="DY231" s="177"/>
      <c r="DZ231" s="177"/>
      <c r="EA231" s="177"/>
      <c r="EB231" s="177"/>
      <c r="EC231" s="177"/>
      <c r="ED231" s="177"/>
    </row>
    <row r="232" spans="6:134" ht="13" customHeight="1">
      <c r="F232" s="221"/>
      <c r="I232" s="339" t="str" cm="1">
        <f t="array" aca="1" ref="I23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32" s="203" t="str" cm="1">
        <f t="array" ref="J232">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32" s="96"/>
      <c r="L232" s="96"/>
      <c r="M232" s="96" t="s">
        <v>375</v>
      </c>
      <c r="N232" s="96" t="str" cm="1">
        <f t="array" ref="N232">IF(OR(PptoSty[[#This Row],[Project]]="",PptoSty[[#This Row],[Project]]="X"),"X",_xlfn._xlws.FILTER(TbAssign[RowId],(TbAssign[Project]=PptoSty[[#This Row],[Project]])*(TbAssign[Módulo]=PptoSty[[#This Row],[PptoVsRow]]),"X"))</f>
        <v>X</v>
      </c>
      <c r="O232" s="96" t="str" cm="1">
        <f t="array" ref="O232">IF(OR(PptoSty[[#This Row],[Project]]="",PptoSty[[#This Row],[Project]]="X"),"X",_xlfn.UNIQUE(_xlfn._xlws.FILTER(F_RT14[Amortz.],(F_RT14[Measure]="CurPpto")*(F_RT14[PrjId]=PptoSty[[#This Row],[Project]])*(F_RT14[Vrs]=PptoSty[[#This Row],[Vrs]])*(_xlfn.TEXTAFTER(F_RT14[ActGrp],":")=PptoSty[[#This Row],[PiRow]]),"X")))</f>
        <v>X</v>
      </c>
      <c r="P232" s="96"/>
      <c r="Q232" s="96"/>
      <c r="R232" s="204" t="s">
        <v>403</v>
      </c>
      <c r="S232" s="204">
        <v>1</v>
      </c>
      <c r="T232" s="205" t="str" cm="1">
        <f t="array" aca="1" ref="T23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32" s="206" t="str" cm="1">
        <f t="array" aca="1" ref="U232" ca="1">IFERROR((1/PptoSty[[#This Row],[Division]])*IF(PptoSty[[#This Row],[Sign]]="+",1,-1)*(IF(PptoSty[[#This Row],[POvsCT]]="PO",SUM(_xlfn.CHOOSECOLS(_xlfn._xlws.FILTER(F_RT14[],(IF($M232="X",TRUE,F_RT14[Site]=$M232))*(F_RT14[Measure]=U$4)*(F_RT14[PrjId]=PptoSty[[#This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32" s="206" cm="1">
        <f t="array" aca="1" ref="V232" ca="1">IFERROR((1/PptoSty[[#This Row],[Division]])*IF(PptoSty[[#This Row],[Sign]]="+",1,-1)*(IF(PptoSty[[#This Row],[POvsCT]]="PO",SUM(_xlfn.CHOOSECOLS(_xlfn._xlws.FILTER(F_RT14[],(IF($M232="X",TRUE,F_RT14[Site]=$M232))*(F_RT14[Measure]=V$4)*(F_RT14[PrjId]=PptoSty[[#This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32" s="206" cm="1">
        <f t="array" aca="1" ref="W232" ca="1">IFERROR((1/PptoSty[[#This Row],[Division]])*IF(PptoSty[[#This Row],[Sign]]="+",1,-1)*(IF(PptoSty[[#This Row],[POvsCT]]="PO",SUM(_xlfn.CHOOSECOLS(_xlfn._xlws.FILTER(F_RT14[],(IF($M232="X",TRUE,F_RT14[Site]=$M232))*(F_RT14[Measure]=W$4)*(F_RT14[PrjId]=PptoSty[[#This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32" s="338" cm="1">
        <f t="array" ref="X232">IFERROR(IF(PptoSty[[#This Row],[Nature]]&lt;&gt;"Hrs",0,(1/PptoSty[[#This Row],[Division]])*IF(PptoSty[[#This Row],[Sign]]="+",1,-1)*(IF(PptoSty[[#This Row],[POvsCT]]="PO",SUM(_xlfn.CHOOSECOLS(_xlfn._xlws.FILTER(F_RT14[],(IF($M232="X",TRUE,F_RT14[Site]=$M232))*(F_RT14[Measure]=X$4)*(F_RT14[PrjId]=PptoSty[[#This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32" s="338" cm="1">
        <f t="array" ref="Y232">IFERROR(IF(PptoSty[[#This Row],[Nature]]&lt;&gt;"Hrs",0,(1/PptoSty[[#This Row],[Division]])*IF(PptoSty[[#This Row],[Sign]]="+",1,-1)*(IF(PptoSty[[#This Row],[POvsCT]]="PO",SUM(_xlfn.CHOOSECOLS(_xlfn._xlws.FILTER(F_RT14[],(IF($M232="X",TRUE,F_RT14[Site]=$M232))*(F_RT14[Measure]=Y$4)*(F_RT14[PrjId]=PptoSty[[#This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32" s="338" cm="1">
        <f t="array" ref="Z232">IFERROR(IF(PptoSty[[#This Row],[Nature]]&lt;&gt;"Hrs",0,(1/PptoSty[[#This Row],[Division]])*IF(PptoSty[[#This Row],[Sign]]="+",1,-1)*(IF(PptoSty[[#This Row],[POvsCT]]="PO",SUM(_xlfn.CHOOSECOLS(_xlfn._xlws.FILTER(F_RT14[],(IF($M232="X",TRUE,F_RT14[Site]=$M232))*(F_RT14[Measure]=Z$4)*(F_RT14[PrjId]=PptoSty[[#This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32" s="206" cm="1">
        <f t="array" aca="1" ref="AA232"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32" s="206" cm="1">
        <f t="array" aca="1" ref="AB232"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32" s="206" cm="1">
        <f t="array" aca="1" ref="AC232"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32"/>
      <c r="AH232"/>
      <c r="AI232"/>
      <c r="AK232" s="113"/>
      <c r="AO232"/>
      <c r="AP232"/>
      <c r="AZ232" s="175"/>
      <c r="BA232" s="175"/>
      <c r="BE232"/>
      <c r="BF232"/>
      <c r="DG232" s="175"/>
      <c r="DH232" s="175"/>
      <c r="DI232" s="175"/>
      <c r="DL232" s="108"/>
      <c r="DM232" s="366" t="str" cm="1">
        <f t="array" aca="1" ref="DM232"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32" s="177" t="s">
        <v>375</v>
      </c>
      <c r="DO232" s="177" t="str" cm="1">
        <f t="array" aca="1" ref="DO232"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32" s="177"/>
      <c r="DQ232" s="177"/>
      <c r="DR232" s="177"/>
      <c r="DS232" s="177"/>
      <c r="DT232" s="177"/>
      <c r="DU232" s="177"/>
      <c r="DV232" s="177"/>
      <c r="DW232" s="177"/>
      <c r="DX232" s="177"/>
      <c r="DY232" s="177"/>
      <c r="DZ232" s="177"/>
      <c r="EA232" s="177"/>
      <c r="EB232" s="177"/>
      <c r="EC232" s="177"/>
      <c r="ED232" s="177"/>
    </row>
    <row r="233" spans="6:134" ht="13" customHeight="1">
      <c r="F233" s="221"/>
      <c r="I233" s="339" t="str" cm="1">
        <f t="array" aca="1" ref="I23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33" s="203" t="str" cm="1">
        <f t="array" ref="J233">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33" s="96"/>
      <c r="L233" s="96"/>
      <c r="M233" s="96" t="s">
        <v>375</v>
      </c>
      <c r="N233" s="96" t="str" cm="1">
        <f t="array" ref="N233">IF(OR(PptoSty[[#This Row],[Project]]="",PptoSty[[#This Row],[Project]]="X"),"X",_xlfn._xlws.FILTER(TbAssign[RowId],(TbAssign[Project]=PptoSty[[#This Row],[Project]])*(TbAssign[Módulo]=PptoSty[[#This Row],[PptoVsRow]]),"X"))</f>
        <v>X</v>
      </c>
      <c r="O233" s="96" t="str" cm="1">
        <f t="array" ref="O233">IF(OR(PptoSty[[#This Row],[Project]]="",PptoSty[[#This Row],[Project]]="X"),"X",_xlfn.UNIQUE(_xlfn._xlws.FILTER(F_RT14[Amortz.],(F_RT14[Measure]="CurPpto")*(F_RT14[PrjId]=PptoSty[[#This Row],[Project]])*(F_RT14[Vrs]=PptoSty[[#This Row],[Vrs]])*(_xlfn.TEXTAFTER(F_RT14[ActGrp],":")=PptoSty[[#This Row],[PiRow]]),"X")))</f>
        <v>X</v>
      </c>
      <c r="P233" s="96"/>
      <c r="Q233" s="96"/>
      <c r="R233" s="204" t="s">
        <v>403</v>
      </c>
      <c r="S233" s="204">
        <v>1</v>
      </c>
      <c r="T233" s="205" t="str" cm="1">
        <f t="array" aca="1" ref="T23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33" s="206" t="str" cm="1">
        <f t="array" aca="1" ref="U233" ca="1">IFERROR((1/PptoSty[[#This Row],[Division]])*IF(PptoSty[[#This Row],[Sign]]="+",1,-1)*(IF(PptoSty[[#This Row],[POvsCT]]="PO",SUM(_xlfn.CHOOSECOLS(_xlfn._xlws.FILTER(F_RT14[],(IF($M233="X",TRUE,F_RT14[Site]=$M233))*(F_RT14[Measure]=U$4)*(F_RT14[PrjId]=PptoSty[[#This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33" s="206" cm="1">
        <f t="array" aca="1" ref="V233" ca="1">IFERROR((1/PptoSty[[#This Row],[Division]])*IF(PptoSty[[#This Row],[Sign]]="+",1,-1)*(IF(PptoSty[[#This Row],[POvsCT]]="PO",SUM(_xlfn.CHOOSECOLS(_xlfn._xlws.FILTER(F_RT14[],(IF($M233="X",TRUE,F_RT14[Site]=$M233))*(F_RT14[Measure]=V$4)*(F_RT14[PrjId]=PptoSty[[#This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33" s="206" cm="1">
        <f t="array" aca="1" ref="W233" ca="1">IFERROR((1/PptoSty[[#This Row],[Division]])*IF(PptoSty[[#This Row],[Sign]]="+",1,-1)*(IF(PptoSty[[#This Row],[POvsCT]]="PO",SUM(_xlfn.CHOOSECOLS(_xlfn._xlws.FILTER(F_RT14[],(IF($M233="X",TRUE,F_RT14[Site]=$M233))*(F_RT14[Measure]=W$4)*(F_RT14[PrjId]=PptoSty[[#This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33" s="338" cm="1">
        <f t="array" ref="X233">IFERROR(IF(PptoSty[[#This Row],[Nature]]&lt;&gt;"Hrs",0,(1/PptoSty[[#This Row],[Division]])*IF(PptoSty[[#This Row],[Sign]]="+",1,-1)*(IF(PptoSty[[#This Row],[POvsCT]]="PO",SUM(_xlfn.CHOOSECOLS(_xlfn._xlws.FILTER(F_RT14[],(IF($M233="X",TRUE,F_RT14[Site]=$M233))*(F_RT14[Measure]=X$4)*(F_RT14[PrjId]=PptoSty[[#This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33" s="338" cm="1">
        <f t="array" ref="Y233">IFERROR(IF(PptoSty[[#This Row],[Nature]]&lt;&gt;"Hrs",0,(1/PptoSty[[#This Row],[Division]])*IF(PptoSty[[#This Row],[Sign]]="+",1,-1)*(IF(PptoSty[[#This Row],[POvsCT]]="PO",SUM(_xlfn.CHOOSECOLS(_xlfn._xlws.FILTER(F_RT14[],(IF($M233="X",TRUE,F_RT14[Site]=$M233))*(F_RT14[Measure]=Y$4)*(F_RT14[PrjId]=PptoSty[[#This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33" s="338" cm="1">
        <f t="array" ref="Z233">IFERROR(IF(PptoSty[[#This Row],[Nature]]&lt;&gt;"Hrs",0,(1/PptoSty[[#This Row],[Division]])*IF(PptoSty[[#This Row],[Sign]]="+",1,-1)*(IF(PptoSty[[#This Row],[POvsCT]]="PO",SUM(_xlfn.CHOOSECOLS(_xlfn._xlws.FILTER(F_RT14[],(IF($M233="X",TRUE,F_RT14[Site]=$M233))*(F_RT14[Measure]=Z$4)*(F_RT14[PrjId]=PptoSty[[#This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33" s="206" cm="1">
        <f t="array" aca="1" ref="AA233"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33" s="206" cm="1">
        <f t="array" aca="1" ref="AB233"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33" s="206" cm="1">
        <f t="array" aca="1" ref="AC233"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33"/>
      <c r="AH233"/>
      <c r="AI233"/>
      <c r="AK233" s="113"/>
      <c r="AO233"/>
      <c r="AP233"/>
      <c r="AZ233" s="175"/>
      <c r="BA233" s="175"/>
      <c r="BE233"/>
      <c r="BF233"/>
      <c r="DG233" s="175"/>
      <c r="DH233" s="175"/>
      <c r="DI233" s="175"/>
      <c r="DL233" s="108"/>
      <c r="DM233" s="366" t="str" cm="1">
        <f t="array" aca="1" ref="DM233"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33" s="177" t="s">
        <v>375</v>
      </c>
      <c r="DO233" s="177" t="str" cm="1">
        <f t="array" aca="1" ref="DO233"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33" s="177"/>
      <c r="DQ233" s="177"/>
      <c r="DR233" s="177"/>
      <c r="DS233" s="177"/>
      <c r="DT233" s="177"/>
      <c r="DU233" s="177"/>
      <c r="DV233" s="177"/>
      <c r="DW233" s="177"/>
      <c r="DX233" s="177"/>
      <c r="DY233" s="177"/>
      <c r="DZ233" s="177"/>
      <c r="EA233" s="177"/>
      <c r="EB233" s="177"/>
      <c r="EC233" s="177"/>
      <c r="ED233" s="177"/>
    </row>
    <row r="234" spans="6:134" ht="13" customHeight="1">
      <c r="F234" s="221"/>
      <c r="I234" s="339" t="str" cm="1">
        <f t="array" aca="1" ref="I23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34" s="203" t="str" cm="1">
        <f t="array" ref="J234">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34" s="96"/>
      <c r="L234" s="96"/>
      <c r="M234" s="96" t="s">
        <v>375</v>
      </c>
      <c r="N234" s="96" t="str" cm="1">
        <f t="array" ref="N234">IF(OR(PptoSty[[#This Row],[Project]]="",PptoSty[[#This Row],[Project]]="X"),"X",_xlfn._xlws.FILTER(TbAssign[RowId],(TbAssign[Project]=PptoSty[[#This Row],[Project]])*(TbAssign[Módulo]=PptoSty[[#This Row],[PptoVsRow]]),"X"))</f>
        <v>X</v>
      </c>
      <c r="O234" s="96" t="str" cm="1">
        <f t="array" ref="O234">IF(OR(PptoSty[[#This Row],[Project]]="",PptoSty[[#This Row],[Project]]="X"),"X",_xlfn.UNIQUE(_xlfn._xlws.FILTER(F_RT14[Amortz.],(F_RT14[Measure]="CurPpto")*(F_RT14[PrjId]=PptoSty[[#This Row],[Project]])*(F_RT14[Vrs]=PptoSty[[#This Row],[Vrs]])*(_xlfn.TEXTAFTER(F_RT14[ActGrp],":")=PptoSty[[#This Row],[PiRow]]),"X")))</f>
        <v>X</v>
      </c>
      <c r="P234" s="96"/>
      <c r="Q234" s="96"/>
      <c r="R234" s="204" t="s">
        <v>403</v>
      </c>
      <c r="S234" s="204">
        <v>1</v>
      </c>
      <c r="T234" s="205" t="str" cm="1">
        <f t="array" aca="1" ref="T23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34" s="206" t="str" cm="1">
        <f t="array" aca="1" ref="U234" ca="1">IFERROR((1/PptoSty[[#This Row],[Division]])*IF(PptoSty[[#This Row],[Sign]]="+",1,-1)*(IF(PptoSty[[#This Row],[POvsCT]]="PO",SUM(_xlfn.CHOOSECOLS(_xlfn._xlws.FILTER(F_RT14[],(IF($M234="X",TRUE,F_RT14[Site]=$M234))*(F_RT14[Measure]=U$4)*(F_RT14[PrjId]=PptoSty[[#This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34" s="206" cm="1">
        <f t="array" aca="1" ref="V234" ca="1">IFERROR((1/PptoSty[[#This Row],[Division]])*IF(PptoSty[[#This Row],[Sign]]="+",1,-1)*(IF(PptoSty[[#This Row],[POvsCT]]="PO",SUM(_xlfn.CHOOSECOLS(_xlfn._xlws.FILTER(F_RT14[],(IF($M234="X",TRUE,F_RT14[Site]=$M234))*(F_RT14[Measure]=V$4)*(F_RT14[PrjId]=PptoSty[[#This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34" s="206" cm="1">
        <f t="array" aca="1" ref="W234" ca="1">IFERROR((1/PptoSty[[#This Row],[Division]])*IF(PptoSty[[#This Row],[Sign]]="+",1,-1)*(IF(PptoSty[[#This Row],[POvsCT]]="PO",SUM(_xlfn.CHOOSECOLS(_xlfn._xlws.FILTER(F_RT14[],(IF($M234="X",TRUE,F_RT14[Site]=$M234))*(F_RT14[Measure]=W$4)*(F_RT14[PrjId]=PptoSty[[#This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34" s="338" cm="1">
        <f t="array" ref="X234">IFERROR(IF(PptoSty[[#This Row],[Nature]]&lt;&gt;"Hrs",0,(1/PptoSty[[#This Row],[Division]])*IF(PptoSty[[#This Row],[Sign]]="+",1,-1)*(IF(PptoSty[[#This Row],[POvsCT]]="PO",SUM(_xlfn.CHOOSECOLS(_xlfn._xlws.FILTER(F_RT14[],(IF($M234="X",TRUE,F_RT14[Site]=$M234))*(F_RT14[Measure]=X$4)*(F_RT14[PrjId]=PptoSty[[#This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34" s="338" cm="1">
        <f t="array" ref="Y234">IFERROR(IF(PptoSty[[#This Row],[Nature]]&lt;&gt;"Hrs",0,(1/PptoSty[[#This Row],[Division]])*IF(PptoSty[[#This Row],[Sign]]="+",1,-1)*(IF(PptoSty[[#This Row],[POvsCT]]="PO",SUM(_xlfn.CHOOSECOLS(_xlfn._xlws.FILTER(F_RT14[],(IF($M234="X",TRUE,F_RT14[Site]=$M234))*(F_RT14[Measure]=Y$4)*(F_RT14[PrjId]=PptoSty[[#This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34" s="338" cm="1">
        <f t="array" ref="Z234">IFERROR(IF(PptoSty[[#This Row],[Nature]]&lt;&gt;"Hrs",0,(1/PptoSty[[#This Row],[Division]])*IF(PptoSty[[#This Row],[Sign]]="+",1,-1)*(IF(PptoSty[[#This Row],[POvsCT]]="PO",SUM(_xlfn.CHOOSECOLS(_xlfn._xlws.FILTER(F_RT14[],(IF($M234="X",TRUE,F_RT14[Site]=$M234))*(F_RT14[Measure]=Z$4)*(F_RT14[PrjId]=PptoSty[[#This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34" s="206" cm="1">
        <f t="array" aca="1" ref="AA234"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34" s="206" cm="1">
        <f t="array" aca="1" ref="AB234"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34" s="206" cm="1">
        <f t="array" aca="1" ref="AC234"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34"/>
      <c r="AH234"/>
      <c r="AI234"/>
      <c r="AK234" s="113"/>
      <c r="AO234"/>
      <c r="AP234"/>
      <c r="AZ234" s="175"/>
      <c r="BA234" s="175"/>
      <c r="BE234"/>
      <c r="BF234"/>
      <c r="DG234" s="175"/>
      <c r="DH234" s="175"/>
      <c r="DI234" s="175"/>
      <c r="DL234" s="108"/>
      <c r="DM234" s="366" t="str" cm="1">
        <f t="array" aca="1" ref="DM234"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34" s="177" t="s">
        <v>375</v>
      </c>
      <c r="DO234" s="177" t="str" cm="1">
        <f t="array" aca="1" ref="DO234"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34" s="177"/>
      <c r="DQ234" s="177"/>
      <c r="DR234" s="177"/>
      <c r="DS234" s="177"/>
      <c r="DT234" s="177"/>
      <c r="DU234" s="177"/>
      <c r="DV234" s="177"/>
      <c r="DW234" s="177"/>
      <c r="DX234" s="177"/>
      <c r="DY234" s="177"/>
      <c r="DZ234" s="177"/>
      <c r="EA234" s="177"/>
      <c r="EB234" s="177"/>
      <c r="EC234" s="177"/>
      <c r="ED234" s="177"/>
    </row>
    <row r="235" spans="6:134" ht="13" customHeight="1">
      <c r="F235" s="221"/>
      <c r="I235" s="339" t="str" cm="1">
        <f t="array" aca="1" ref="I23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35" s="203" t="str" cm="1">
        <f t="array" ref="J235">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35" s="96"/>
      <c r="L235" s="96"/>
      <c r="M235" s="96" t="s">
        <v>375</v>
      </c>
      <c r="N235" s="96" t="str" cm="1">
        <f t="array" ref="N235">IF(OR(PptoSty[[#This Row],[Project]]="",PptoSty[[#This Row],[Project]]="X"),"X",_xlfn._xlws.FILTER(TbAssign[RowId],(TbAssign[Project]=PptoSty[[#This Row],[Project]])*(TbAssign[Módulo]=PptoSty[[#This Row],[PptoVsRow]]),"X"))</f>
        <v>X</v>
      </c>
      <c r="O235" s="96" t="str" cm="1">
        <f t="array" ref="O235">IF(OR(PptoSty[[#This Row],[Project]]="",PptoSty[[#This Row],[Project]]="X"),"X",_xlfn.UNIQUE(_xlfn._xlws.FILTER(F_RT14[Amortz.],(F_RT14[Measure]="CurPpto")*(F_RT14[PrjId]=PptoSty[[#This Row],[Project]])*(F_RT14[Vrs]=PptoSty[[#This Row],[Vrs]])*(_xlfn.TEXTAFTER(F_RT14[ActGrp],":")=PptoSty[[#This Row],[PiRow]]),"X")))</f>
        <v>X</v>
      </c>
      <c r="P235" s="96"/>
      <c r="Q235" s="96"/>
      <c r="R235" s="204" t="s">
        <v>403</v>
      </c>
      <c r="S235" s="204">
        <v>1</v>
      </c>
      <c r="T235" s="205" t="str" cm="1">
        <f t="array" aca="1" ref="T23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35" s="206" t="str" cm="1">
        <f t="array" aca="1" ref="U235" ca="1">IFERROR((1/PptoSty[[#This Row],[Division]])*IF(PptoSty[[#This Row],[Sign]]="+",1,-1)*(IF(PptoSty[[#This Row],[POvsCT]]="PO",SUM(_xlfn.CHOOSECOLS(_xlfn._xlws.FILTER(F_RT14[],(IF($M235="X",TRUE,F_RT14[Site]=$M235))*(F_RT14[Measure]=U$4)*(F_RT14[PrjId]=PptoSty[[#This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35" s="206" cm="1">
        <f t="array" aca="1" ref="V235" ca="1">IFERROR((1/PptoSty[[#This Row],[Division]])*IF(PptoSty[[#This Row],[Sign]]="+",1,-1)*(IF(PptoSty[[#This Row],[POvsCT]]="PO",SUM(_xlfn.CHOOSECOLS(_xlfn._xlws.FILTER(F_RT14[],(IF($M235="X",TRUE,F_RT14[Site]=$M235))*(F_RT14[Measure]=V$4)*(F_RT14[PrjId]=PptoSty[[#This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35" s="206" cm="1">
        <f t="array" aca="1" ref="W235" ca="1">IFERROR((1/PptoSty[[#This Row],[Division]])*IF(PptoSty[[#This Row],[Sign]]="+",1,-1)*(IF(PptoSty[[#This Row],[POvsCT]]="PO",SUM(_xlfn.CHOOSECOLS(_xlfn._xlws.FILTER(F_RT14[],(IF($M235="X",TRUE,F_RT14[Site]=$M235))*(F_RT14[Measure]=W$4)*(F_RT14[PrjId]=PptoSty[[#This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35" s="338" cm="1">
        <f t="array" ref="X235">IFERROR(IF(PptoSty[[#This Row],[Nature]]&lt;&gt;"Hrs",0,(1/PptoSty[[#This Row],[Division]])*IF(PptoSty[[#This Row],[Sign]]="+",1,-1)*(IF(PptoSty[[#This Row],[POvsCT]]="PO",SUM(_xlfn.CHOOSECOLS(_xlfn._xlws.FILTER(F_RT14[],(IF($M235="X",TRUE,F_RT14[Site]=$M235))*(F_RT14[Measure]=X$4)*(F_RT14[PrjId]=PptoSty[[#This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35" s="338" cm="1">
        <f t="array" ref="Y235">IFERROR(IF(PptoSty[[#This Row],[Nature]]&lt;&gt;"Hrs",0,(1/PptoSty[[#This Row],[Division]])*IF(PptoSty[[#This Row],[Sign]]="+",1,-1)*(IF(PptoSty[[#This Row],[POvsCT]]="PO",SUM(_xlfn.CHOOSECOLS(_xlfn._xlws.FILTER(F_RT14[],(IF($M235="X",TRUE,F_RT14[Site]=$M235))*(F_RT14[Measure]=Y$4)*(F_RT14[PrjId]=PptoSty[[#This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35" s="338" cm="1">
        <f t="array" ref="Z235">IFERROR(IF(PptoSty[[#This Row],[Nature]]&lt;&gt;"Hrs",0,(1/PptoSty[[#This Row],[Division]])*IF(PptoSty[[#This Row],[Sign]]="+",1,-1)*(IF(PptoSty[[#This Row],[POvsCT]]="PO",SUM(_xlfn.CHOOSECOLS(_xlfn._xlws.FILTER(F_RT14[],(IF($M235="X",TRUE,F_RT14[Site]=$M235))*(F_RT14[Measure]=Z$4)*(F_RT14[PrjId]=PptoSty[[#This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35" s="206" cm="1">
        <f t="array" aca="1" ref="AA235"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35" s="206" cm="1">
        <f t="array" aca="1" ref="AB235"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35" s="206" cm="1">
        <f t="array" aca="1" ref="AC235"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35"/>
      <c r="AH235"/>
      <c r="AI235"/>
      <c r="AK235" s="113"/>
      <c r="AO235"/>
      <c r="AP235"/>
      <c r="AZ235" s="175"/>
      <c r="BA235" s="175"/>
      <c r="BE235"/>
      <c r="BF235"/>
      <c r="DG235" s="175"/>
      <c r="DH235" s="175"/>
      <c r="DI235" s="175"/>
      <c r="DL235" s="108"/>
      <c r="DM235" s="366" t="str" cm="1">
        <f t="array" aca="1" ref="DM23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35" s="177" t="s">
        <v>375</v>
      </c>
      <c r="DO235" s="177" t="str" cm="1">
        <f t="array" aca="1" ref="DO23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35" s="177"/>
      <c r="DQ235" s="177"/>
      <c r="DR235" s="177"/>
      <c r="DS235" s="177"/>
      <c r="DT235" s="177"/>
      <c r="DU235" s="177"/>
      <c r="DV235" s="177"/>
      <c r="DW235" s="177"/>
      <c r="DX235" s="177"/>
      <c r="DY235" s="177"/>
      <c r="DZ235" s="177"/>
      <c r="EA235" s="177"/>
      <c r="EB235" s="177"/>
      <c r="EC235" s="177"/>
      <c r="ED235" s="177"/>
    </row>
    <row r="236" spans="6:134" ht="13" customHeight="1">
      <c r="F236" s="221"/>
      <c r="I236" s="339" t="str" cm="1">
        <f t="array" aca="1" ref="I23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36" s="203" t="str" cm="1">
        <f t="array" ref="J236">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36" s="96"/>
      <c r="L236" s="96"/>
      <c r="M236" s="96" t="s">
        <v>375</v>
      </c>
      <c r="N236" s="96" t="str" cm="1">
        <f t="array" ref="N236">IF(OR(PptoSty[[#This Row],[Project]]="",PptoSty[[#This Row],[Project]]="X"),"X",_xlfn._xlws.FILTER(TbAssign[RowId],(TbAssign[Project]=PptoSty[[#This Row],[Project]])*(TbAssign[Módulo]=PptoSty[[#This Row],[PptoVsRow]]),"X"))</f>
        <v>X</v>
      </c>
      <c r="O236" s="96" t="str" cm="1">
        <f t="array" ref="O236">IF(OR(PptoSty[[#This Row],[Project]]="",PptoSty[[#This Row],[Project]]="X"),"X",_xlfn.UNIQUE(_xlfn._xlws.FILTER(F_RT14[Amortz.],(F_RT14[Measure]="CurPpto")*(F_RT14[PrjId]=PptoSty[[#This Row],[Project]])*(F_RT14[Vrs]=PptoSty[[#This Row],[Vrs]])*(_xlfn.TEXTAFTER(F_RT14[ActGrp],":")=PptoSty[[#This Row],[PiRow]]),"X")))</f>
        <v>X</v>
      </c>
      <c r="P236" s="96"/>
      <c r="Q236" s="96"/>
      <c r="R236" s="204" t="s">
        <v>403</v>
      </c>
      <c r="S236" s="204">
        <v>1</v>
      </c>
      <c r="T236" s="205" t="str" cm="1">
        <f t="array" aca="1" ref="T23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36" s="206" t="str" cm="1">
        <f t="array" aca="1" ref="U236" ca="1">IFERROR((1/PptoSty[[#This Row],[Division]])*IF(PptoSty[[#This Row],[Sign]]="+",1,-1)*(IF(PptoSty[[#This Row],[POvsCT]]="PO",SUM(_xlfn.CHOOSECOLS(_xlfn._xlws.FILTER(F_RT14[],(IF($M236="X",TRUE,F_RT14[Site]=$M236))*(F_RT14[Measure]=U$4)*(F_RT14[PrjId]=PptoSty[[#This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36" s="206" cm="1">
        <f t="array" aca="1" ref="V236" ca="1">IFERROR((1/PptoSty[[#This Row],[Division]])*IF(PptoSty[[#This Row],[Sign]]="+",1,-1)*(IF(PptoSty[[#This Row],[POvsCT]]="PO",SUM(_xlfn.CHOOSECOLS(_xlfn._xlws.FILTER(F_RT14[],(IF($M236="X",TRUE,F_RT14[Site]=$M236))*(F_RT14[Measure]=V$4)*(F_RT14[PrjId]=PptoSty[[#This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36" s="206" cm="1">
        <f t="array" aca="1" ref="W236" ca="1">IFERROR((1/PptoSty[[#This Row],[Division]])*IF(PptoSty[[#This Row],[Sign]]="+",1,-1)*(IF(PptoSty[[#This Row],[POvsCT]]="PO",SUM(_xlfn.CHOOSECOLS(_xlfn._xlws.FILTER(F_RT14[],(IF($M236="X",TRUE,F_RT14[Site]=$M236))*(F_RT14[Measure]=W$4)*(F_RT14[PrjId]=PptoSty[[#This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36" s="338" cm="1">
        <f t="array" ref="X236">IFERROR(IF(PptoSty[[#This Row],[Nature]]&lt;&gt;"Hrs",0,(1/PptoSty[[#This Row],[Division]])*IF(PptoSty[[#This Row],[Sign]]="+",1,-1)*(IF(PptoSty[[#This Row],[POvsCT]]="PO",SUM(_xlfn.CHOOSECOLS(_xlfn._xlws.FILTER(F_RT14[],(IF($M236="X",TRUE,F_RT14[Site]=$M236))*(F_RT14[Measure]=X$4)*(F_RT14[PrjId]=PptoSty[[#This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36" s="338" cm="1">
        <f t="array" ref="Y236">IFERROR(IF(PptoSty[[#This Row],[Nature]]&lt;&gt;"Hrs",0,(1/PptoSty[[#This Row],[Division]])*IF(PptoSty[[#This Row],[Sign]]="+",1,-1)*(IF(PptoSty[[#This Row],[POvsCT]]="PO",SUM(_xlfn.CHOOSECOLS(_xlfn._xlws.FILTER(F_RT14[],(IF($M236="X",TRUE,F_RT14[Site]=$M236))*(F_RT14[Measure]=Y$4)*(F_RT14[PrjId]=PptoSty[[#This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36" s="338" cm="1">
        <f t="array" ref="Z236">IFERROR(IF(PptoSty[[#This Row],[Nature]]&lt;&gt;"Hrs",0,(1/PptoSty[[#This Row],[Division]])*IF(PptoSty[[#This Row],[Sign]]="+",1,-1)*(IF(PptoSty[[#This Row],[POvsCT]]="PO",SUM(_xlfn.CHOOSECOLS(_xlfn._xlws.FILTER(F_RT14[],(IF($M236="X",TRUE,F_RT14[Site]=$M236))*(F_RT14[Measure]=Z$4)*(F_RT14[PrjId]=PptoSty[[#This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36" s="206" cm="1">
        <f t="array" aca="1" ref="AA236"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36" s="206" cm="1">
        <f t="array" aca="1" ref="AB236"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36" s="206" cm="1">
        <f t="array" aca="1" ref="AC236"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36"/>
      <c r="AH236"/>
      <c r="AI236"/>
      <c r="AK236" s="113"/>
      <c r="AO236"/>
      <c r="AP236"/>
      <c r="AZ236" s="175"/>
      <c r="BA236" s="175"/>
      <c r="BE236"/>
      <c r="BF236"/>
      <c r="DG236" s="175"/>
      <c r="DH236" s="175"/>
      <c r="DI236" s="175"/>
      <c r="DL236" s="108"/>
      <c r="DM236" s="366" t="str" cm="1">
        <f t="array" aca="1" ref="DM23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36" s="177" t="s">
        <v>375</v>
      </c>
      <c r="DO236" s="177" t="str" cm="1">
        <f t="array" aca="1" ref="DO23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36" s="177"/>
      <c r="DQ236" s="177"/>
      <c r="DR236" s="177"/>
      <c r="DS236" s="177"/>
      <c r="DT236" s="177"/>
      <c r="DU236" s="177"/>
      <c r="DV236" s="177"/>
      <c r="DW236" s="177"/>
      <c r="DX236" s="177"/>
      <c r="DY236" s="177"/>
      <c r="DZ236" s="177"/>
      <c r="EA236" s="177"/>
      <c r="EB236" s="177"/>
      <c r="EC236" s="177"/>
      <c r="ED236" s="177"/>
    </row>
    <row r="237" spans="6:134" ht="13" customHeight="1">
      <c r="F237" s="221"/>
      <c r="I237" s="339" t="str" cm="1">
        <f t="array" aca="1" ref="I23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37" s="203" t="str" cm="1">
        <f t="array" ref="J237">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37" s="96"/>
      <c r="L237" s="96"/>
      <c r="M237" s="96" t="s">
        <v>375</v>
      </c>
      <c r="N237" s="96" t="str" cm="1">
        <f t="array" ref="N237">IF(OR(PptoSty[[#This Row],[Project]]="",PptoSty[[#This Row],[Project]]="X"),"X",_xlfn._xlws.FILTER(TbAssign[RowId],(TbAssign[Project]=PptoSty[[#This Row],[Project]])*(TbAssign[Módulo]=PptoSty[[#This Row],[PptoVsRow]]),"X"))</f>
        <v>X</v>
      </c>
      <c r="O237" s="96" t="str" cm="1">
        <f t="array" ref="O237">IF(OR(PptoSty[[#This Row],[Project]]="",PptoSty[[#This Row],[Project]]="X"),"X",_xlfn.UNIQUE(_xlfn._xlws.FILTER(F_RT14[Amortz.],(F_RT14[Measure]="CurPpto")*(F_RT14[PrjId]=PptoSty[[#This Row],[Project]])*(F_RT14[Vrs]=PptoSty[[#This Row],[Vrs]])*(_xlfn.TEXTAFTER(F_RT14[ActGrp],":")=PptoSty[[#This Row],[PiRow]]),"X")))</f>
        <v>X</v>
      </c>
      <c r="P237" s="96"/>
      <c r="Q237" s="96"/>
      <c r="R237" s="204" t="s">
        <v>403</v>
      </c>
      <c r="S237" s="204">
        <v>1</v>
      </c>
      <c r="T237" s="205" t="str" cm="1">
        <f t="array" aca="1" ref="T23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37" s="206" t="str" cm="1">
        <f t="array" aca="1" ref="U237" ca="1">IFERROR((1/PptoSty[[#This Row],[Division]])*IF(PptoSty[[#This Row],[Sign]]="+",1,-1)*(IF(PptoSty[[#This Row],[POvsCT]]="PO",SUM(_xlfn.CHOOSECOLS(_xlfn._xlws.FILTER(F_RT14[],(IF($M237="X",TRUE,F_RT14[Site]=$M237))*(F_RT14[Measure]=U$4)*(F_RT14[PrjId]=PptoSty[[#This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37" s="206" cm="1">
        <f t="array" aca="1" ref="V237" ca="1">IFERROR((1/PptoSty[[#This Row],[Division]])*IF(PptoSty[[#This Row],[Sign]]="+",1,-1)*(IF(PptoSty[[#This Row],[POvsCT]]="PO",SUM(_xlfn.CHOOSECOLS(_xlfn._xlws.FILTER(F_RT14[],(IF($M237="X",TRUE,F_RT14[Site]=$M237))*(F_RT14[Measure]=V$4)*(F_RT14[PrjId]=PptoSty[[#This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37" s="206" cm="1">
        <f t="array" aca="1" ref="W237" ca="1">IFERROR((1/PptoSty[[#This Row],[Division]])*IF(PptoSty[[#This Row],[Sign]]="+",1,-1)*(IF(PptoSty[[#This Row],[POvsCT]]="PO",SUM(_xlfn.CHOOSECOLS(_xlfn._xlws.FILTER(F_RT14[],(IF($M237="X",TRUE,F_RT14[Site]=$M237))*(F_RT14[Measure]=W$4)*(F_RT14[PrjId]=PptoSty[[#This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37" s="338" cm="1">
        <f t="array" ref="X237">IFERROR(IF(PptoSty[[#This Row],[Nature]]&lt;&gt;"Hrs",0,(1/PptoSty[[#This Row],[Division]])*IF(PptoSty[[#This Row],[Sign]]="+",1,-1)*(IF(PptoSty[[#This Row],[POvsCT]]="PO",SUM(_xlfn.CHOOSECOLS(_xlfn._xlws.FILTER(F_RT14[],(IF($M237="X",TRUE,F_RT14[Site]=$M237))*(F_RT14[Measure]=X$4)*(F_RT14[PrjId]=PptoSty[[#This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37" s="338" cm="1">
        <f t="array" ref="Y237">IFERROR(IF(PptoSty[[#This Row],[Nature]]&lt;&gt;"Hrs",0,(1/PptoSty[[#This Row],[Division]])*IF(PptoSty[[#This Row],[Sign]]="+",1,-1)*(IF(PptoSty[[#This Row],[POvsCT]]="PO",SUM(_xlfn.CHOOSECOLS(_xlfn._xlws.FILTER(F_RT14[],(IF($M237="X",TRUE,F_RT14[Site]=$M237))*(F_RT14[Measure]=Y$4)*(F_RT14[PrjId]=PptoSty[[#This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37" s="338" cm="1">
        <f t="array" ref="Z237">IFERROR(IF(PptoSty[[#This Row],[Nature]]&lt;&gt;"Hrs",0,(1/PptoSty[[#This Row],[Division]])*IF(PptoSty[[#This Row],[Sign]]="+",1,-1)*(IF(PptoSty[[#This Row],[POvsCT]]="PO",SUM(_xlfn.CHOOSECOLS(_xlfn._xlws.FILTER(F_RT14[],(IF($M237="X",TRUE,F_RT14[Site]=$M237))*(F_RT14[Measure]=Z$4)*(F_RT14[PrjId]=PptoSty[[#This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37" s="206" cm="1">
        <f t="array" aca="1" ref="AA237"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37" s="206" cm="1">
        <f t="array" aca="1" ref="AB237"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37" s="206" cm="1">
        <f t="array" aca="1" ref="AC237"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37"/>
      <c r="AH237"/>
      <c r="AI237"/>
      <c r="AK237" s="113"/>
      <c r="AO237"/>
      <c r="AP237"/>
      <c r="AZ237" s="175"/>
      <c r="BA237" s="175"/>
      <c r="BE237"/>
      <c r="BF237"/>
      <c r="DG237" s="175"/>
      <c r="DH237" s="175"/>
      <c r="DI237" s="175"/>
      <c r="DL237" s="108"/>
      <c r="DM237" s="366" t="str" cm="1">
        <f t="array" aca="1" ref="DM23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37" s="177" t="s">
        <v>375</v>
      </c>
      <c r="DO237" s="177" t="str" cm="1">
        <f t="array" aca="1" ref="DO23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37" s="177"/>
      <c r="DQ237" s="177"/>
      <c r="DR237" s="177"/>
      <c r="DS237" s="177"/>
      <c r="DT237" s="177"/>
      <c r="DU237" s="177"/>
      <c r="DV237" s="177"/>
      <c r="DW237" s="177"/>
      <c r="DX237" s="177"/>
      <c r="DY237" s="177"/>
      <c r="DZ237" s="177"/>
      <c r="EA237" s="177"/>
      <c r="EB237" s="177"/>
      <c r="EC237" s="177"/>
      <c r="ED237" s="177"/>
    </row>
    <row r="238" spans="6:134" ht="13" customHeight="1">
      <c r="F238" s="221"/>
      <c r="I238" s="339" t="str" cm="1">
        <f t="array" aca="1" ref="I23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38" s="203" t="str" cm="1">
        <f t="array" ref="J238">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38" s="96"/>
      <c r="L238" s="96"/>
      <c r="M238" s="96" t="s">
        <v>375</v>
      </c>
      <c r="N238" s="96" t="str" cm="1">
        <f t="array" ref="N238">IF(OR(PptoSty[[#This Row],[Project]]="",PptoSty[[#This Row],[Project]]="X"),"X",_xlfn._xlws.FILTER(TbAssign[RowId],(TbAssign[Project]=PptoSty[[#This Row],[Project]])*(TbAssign[Módulo]=PptoSty[[#This Row],[PptoVsRow]]),"X"))</f>
        <v>X</v>
      </c>
      <c r="O238" s="96" t="str" cm="1">
        <f t="array" ref="O238">IF(OR(PptoSty[[#This Row],[Project]]="",PptoSty[[#This Row],[Project]]="X"),"X",_xlfn.UNIQUE(_xlfn._xlws.FILTER(F_RT14[Amortz.],(F_RT14[Measure]="CurPpto")*(F_RT14[PrjId]=PptoSty[[#This Row],[Project]])*(F_RT14[Vrs]=PptoSty[[#This Row],[Vrs]])*(_xlfn.TEXTAFTER(F_RT14[ActGrp],":")=PptoSty[[#This Row],[PiRow]]),"X")))</f>
        <v>X</v>
      </c>
      <c r="P238" s="96"/>
      <c r="Q238" s="96"/>
      <c r="R238" s="204" t="s">
        <v>403</v>
      </c>
      <c r="S238" s="204">
        <v>1</v>
      </c>
      <c r="T238" s="205" t="str" cm="1">
        <f t="array" aca="1" ref="T23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38" s="206" t="str" cm="1">
        <f t="array" aca="1" ref="U238" ca="1">IFERROR((1/PptoSty[[#This Row],[Division]])*IF(PptoSty[[#This Row],[Sign]]="+",1,-1)*(IF(PptoSty[[#This Row],[POvsCT]]="PO",SUM(_xlfn.CHOOSECOLS(_xlfn._xlws.FILTER(F_RT14[],(IF($M238="X",TRUE,F_RT14[Site]=$M238))*(F_RT14[Measure]=U$4)*(F_RT14[PrjId]=PptoSty[[#This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38" s="206" cm="1">
        <f t="array" aca="1" ref="V238" ca="1">IFERROR((1/PptoSty[[#This Row],[Division]])*IF(PptoSty[[#This Row],[Sign]]="+",1,-1)*(IF(PptoSty[[#This Row],[POvsCT]]="PO",SUM(_xlfn.CHOOSECOLS(_xlfn._xlws.FILTER(F_RT14[],(IF($M238="X",TRUE,F_RT14[Site]=$M238))*(F_RT14[Measure]=V$4)*(F_RT14[PrjId]=PptoSty[[#This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38" s="206" cm="1">
        <f t="array" aca="1" ref="W238" ca="1">IFERROR((1/PptoSty[[#This Row],[Division]])*IF(PptoSty[[#This Row],[Sign]]="+",1,-1)*(IF(PptoSty[[#This Row],[POvsCT]]="PO",SUM(_xlfn.CHOOSECOLS(_xlfn._xlws.FILTER(F_RT14[],(IF($M238="X",TRUE,F_RT14[Site]=$M238))*(F_RT14[Measure]=W$4)*(F_RT14[PrjId]=PptoSty[[#This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38" s="338" cm="1">
        <f t="array" ref="X238">IFERROR(IF(PptoSty[[#This Row],[Nature]]&lt;&gt;"Hrs",0,(1/PptoSty[[#This Row],[Division]])*IF(PptoSty[[#This Row],[Sign]]="+",1,-1)*(IF(PptoSty[[#This Row],[POvsCT]]="PO",SUM(_xlfn.CHOOSECOLS(_xlfn._xlws.FILTER(F_RT14[],(IF($M238="X",TRUE,F_RT14[Site]=$M238))*(F_RT14[Measure]=X$4)*(F_RT14[PrjId]=PptoSty[[#This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38" s="338" cm="1">
        <f t="array" ref="Y238">IFERROR(IF(PptoSty[[#This Row],[Nature]]&lt;&gt;"Hrs",0,(1/PptoSty[[#This Row],[Division]])*IF(PptoSty[[#This Row],[Sign]]="+",1,-1)*(IF(PptoSty[[#This Row],[POvsCT]]="PO",SUM(_xlfn.CHOOSECOLS(_xlfn._xlws.FILTER(F_RT14[],(IF($M238="X",TRUE,F_RT14[Site]=$M238))*(F_RT14[Measure]=Y$4)*(F_RT14[PrjId]=PptoSty[[#This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38" s="338" cm="1">
        <f t="array" ref="Z238">IFERROR(IF(PptoSty[[#This Row],[Nature]]&lt;&gt;"Hrs",0,(1/PptoSty[[#This Row],[Division]])*IF(PptoSty[[#This Row],[Sign]]="+",1,-1)*(IF(PptoSty[[#This Row],[POvsCT]]="PO",SUM(_xlfn.CHOOSECOLS(_xlfn._xlws.FILTER(F_RT14[],(IF($M238="X",TRUE,F_RT14[Site]=$M238))*(F_RT14[Measure]=Z$4)*(F_RT14[PrjId]=PptoSty[[#This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38" s="206" cm="1">
        <f t="array" aca="1" ref="AA238"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38" s="206" cm="1">
        <f t="array" aca="1" ref="AB238"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38" s="206" cm="1">
        <f t="array" aca="1" ref="AC238"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38"/>
      <c r="AH238"/>
      <c r="AI238"/>
      <c r="AK238" s="113"/>
      <c r="AO238"/>
      <c r="AP238"/>
      <c r="AZ238" s="175"/>
      <c r="BA238" s="175"/>
      <c r="BE238"/>
      <c r="BF238"/>
      <c r="DG238" s="175"/>
      <c r="DH238" s="175"/>
      <c r="DI238" s="175"/>
      <c r="DL238" s="108"/>
      <c r="DM238" s="366" t="str" cm="1">
        <f t="array" aca="1" ref="DM23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38" s="177" t="s">
        <v>375</v>
      </c>
      <c r="DO238" s="177" t="str" cm="1">
        <f t="array" aca="1" ref="DO23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38" s="177"/>
      <c r="DQ238" s="177"/>
      <c r="DR238" s="177"/>
      <c r="DS238" s="177"/>
      <c r="DT238" s="177"/>
      <c r="DU238" s="177"/>
      <c r="DV238" s="177"/>
      <c r="DW238" s="177"/>
      <c r="DX238" s="177"/>
      <c r="DY238" s="177"/>
      <c r="DZ238" s="177"/>
      <c r="EA238" s="177"/>
      <c r="EB238" s="177"/>
      <c r="EC238" s="177"/>
      <c r="ED238" s="177"/>
    </row>
    <row r="239" spans="6:134" ht="13" customHeight="1">
      <c r="F239" s="221"/>
      <c r="I239" s="339" t="str" cm="1">
        <f t="array" aca="1" ref="I23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39" s="203" t="str" cm="1">
        <f t="array" ref="J239">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39" s="96"/>
      <c r="L239" s="96"/>
      <c r="M239" s="96" t="s">
        <v>375</v>
      </c>
      <c r="N239" s="96" t="str" cm="1">
        <f t="array" ref="N239">IF(OR(PptoSty[[#This Row],[Project]]="",PptoSty[[#This Row],[Project]]="X"),"X",_xlfn._xlws.FILTER(TbAssign[RowId],(TbAssign[Project]=PptoSty[[#This Row],[Project]])*(TbAssign[Módulo]=PptoSty[[#This Row],[PptoVsRow]]),"X"))</f>
        <v>X</v>
      </c>
      <c r="O239" s="96" t="str" cm="1">
        <f t="array" ref="O239">IF(OR(PptoSty[[#This Row],[Project]]="",PptoSty[[#This Row],[Project]]="X"),"X",_xlfn.UNIQUE(_xlfn._xlws.FILTER(F_RT14[Amortz.],(F_RT14[Measure]="CurPpto")*(F_RT14[PrjId]=PptoSty[[#This Row],[Project]])*(F_RT14[Vrs]=PptoSty[[#This Row],[Vrs]])*(_xlfn.TEXTAFTER(F_RT14[ActGrp],":")=PptoSty[[#This Row],[PiRow]]),"X")))</f>
        <v>X</v>
      </c>
      <c r="P239" s="96"/>
      <c r="Q239" s="96"/>
      <c r="R239" s="204" t="s">
        <v>403</v>
      </c>
      <c r="S239" s="204">
        <v>1</v>
      </c>
      <c r="T239" s="205" t="str" cm="1">
        <f t="array" aca="1" ref="T23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39" s="206" t="str" cm="1">
        <f t="array" aca="1" ref="U239" ca="1">IFERROR((1/PptoSty[[#This Row],[Division]])*IF(PptoSty[[#This Row],[Sign]]="+",1,-1)*(IF(PptoSty[[#This Row],[POvsCT]]="PO",SUM(_xlfn.CHOOSECOLS(_xlfn._xlws.FILTER(F_RT14[],(IF($M239="X",TRUE,F_RT14[Site]=$M239))*(F_RT14[Measure]=U$4)*(F_RT14[PrjId]=PptoSty[[#This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39" s="206" cm="1">
        <f t="array" aca="1" ref="V239" ca="1">IFERROR((1/PptoSty[[#This Row],[Division]])*IF(PptoSty[[#This Row],[Sign]]="+",1,-1)*(IF(PptoSty[[#This Row],[POvsCT]]="PO",SUM(_xlfn.CHOOSECOLS(_xlfn._xlws.FILTER(F_RT14[],(IF($M239="X",TRUE,F_RT14[Site]=$M239))*(F_RT14[Measure]=V$4)*(F_RT14[PrjId]=PptoSty[[#This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39" s="206" cm="1">
        <f t="array" aca="1" ref="W239" ca="1">IFERROR((1/PptoSty[[#This Row],[Division]])*IF(PptoSty[[#This Row],[Sign]]="+",1,-1)*(IF(PptoSty[[#This Row],[POvsCT]]="PO",SUM(_xlfn.CHOOSECOLS(_xlfn._xlws.FILTER(F_RT14[],(IF($M239="X",TRUE,F_RT14[Site]=$M239))*(F_RT14[Measure]=W$4)*(F_RT14[PrjId]=PptoSty[[#This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39" s="338" cm="1">
        <f t="array" ref="X239">IFERROR(IF(PptoSty[[#This Row],[Nature]]&lt;&gt;"Hrs",0,(1/PptoSty[[#This Row],[Division]])*IF(PptoSty[[#This Row],[Sign]]="+",1,-1)*(IF(PptoSty[[#This Row],[POvsCT]]="PO",SUM(_xlfn.CHOOSECOLS(_xlfn._xlws.FILTER(F_RT14[],(IF($M239="X",TRUE,F_RT14[Site]=$M239))*(F_RT14[Measure]=X$4)*(F_RT14[PrjId]=PptoSty[[#This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39" s="338" cm="1">
        <f t="array" ref="Y239">IFERROR(IF(PptoSty[[#This Row],[Nature]]&lt;&gt;"Hrs",0,(1/PptoSty[[#This Row],[Division]])*IF(PptoSty[[#This Row],[Sign]]="+",1,-1)*(IF(PptoSty[[#This Row],[POvsCT]]="PO",SUM(_xlfn.CHOOSECOLS(_xlfn._xlws.FILTER(F_RT14[],(IF($M239="X",TRUE,F_RT14[Site]=$M239))*(F_RT14[Measure]=Y$4)*(F_RT14[PrjId]=PptoSty[[#This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39" s="338" cm="1">
        <f t="array" ref="Z239">IFERROR(IF(PptoSty[[#This Row],[Nature]]&lt;&gt;"Hrs",0,(1/PptoSty[[#This Row],[Division]])*IF(PptoSty[[#This Row],[Sign]]="+",1,-1)*(IF(PptoSty[[#This Row],[POvsCT]]="PO",SUM(_xlfn.CHOOSECOLS(_xlfn._xlws.FILTER(F_RT14[],(IF($M239="X",TRUE,F_RT14[Site]=$M239))*(F_RT14[Measure]=Z$4)*(F_RT14[PrjId]=PptoSty[[#This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39" s="206" cm="1">
        <f t="array" aca="1" ref="AA239"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39" s="206" cm="1">
        <f t="array" aca="1" ref="AB239"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39" s="206" cm="1">
        <f t="array" aca="1" ref="AC239"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39"/>
      <c r="AH239"/>
      <c r="AI239"/>
      <c r="AK239" s="113"/>
      <c r="AO239"/>
      <c r="AP239"/>
      <c r="AZ239" s="175"/>
      <c r="BA239" s="175"/>
      <c r="BE239"/>
      <c r="BF239"/>
      <c r="DG239" s="175"/>
      <c r="DH239" s="175"/>
      <c r="DI239" s="175"/>
      <c r="DL239" s="108"/>
      <c r="DM239" s="366" t="str" cm="1">
        <f t="array" aca="1" ref="DM239"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39" s="177" t="s">
        <v>375</v>
      </c>
      <c r="DO239" s="177" t="str" cm="1">
        <f t="array" aca="1" ref="DO239"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39" s="177"/>
      <c r="DQ239" s="177"/>
      <c r="DR239" s="177"/>
      <c r="DS239" s="177"/>
      <c r="DT239" s="177"/>
      <c r="DU239" s="177"/>
      <c r="DV239" s="177"/>
      <c r="DW239" s="177"/>
      <c r="DX239" s="177"/>
      <c r="DY239" s="177"/>
      <c r="DZ239" s="177"/>
      <c r="EA239" s="177"/>
      <c r="EB239" s="177"/>
      <c r="EC239" s="177"/>
      <c r="ED239" s="177"/>
    </row>
    <row r="240" spans="6:134" ht="13" customHeight="1">
      <c r="F240" s="221"/>
      <c r="I240" s="339" t="str" cm="1">
        <f t="array" aca="1" ref="I24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40" s="203" t="str" cm="1">
        <f t="array" ref="J240">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40" s="96"/>
      <c r="L240" s="96"/>
      <c r="M240" s="96" t="s">
        <v>375</v>
      </c>
      <c r="N240" s="96" t="str" cm="1">
        <f t="array" ref="N240">IF(OR(PptoSty[[#This Row],[Project]]="",PptoSty[[#This Row],[Project]]="X"),"X",_xlfn._xlws.FILTER(TbAssign[RowId],(TbAssign[Project]=PptoSty[[#This Row],[Project]])*(TbAssign[Módulo]=PptoSty[[#This Row],[PptoVsRow]]),"X"))</f>
        <v>X</v>
      </c>
      <c r="O240" s="96" t="str" cm="1">
        <f t="array" ref="O240">IF(OR(PptoSty[[#This Row],[Project]]="",PptoSty[[#This Row],[Project]]="X"),"X",_xlfn.UNIQUE(_xlfn._xlws.FILTER(F_RT14[Amortz.],(F_RT14[Measure]="CurPpto")*(F_RT14[PrjId]=PptoSty[[#This Row],[Project]])*(F_RT14[Vrs]=PptoSty[[#This Row],[Vrs]])*(_xlfn.TEXTAFTER(F_RT14[ActGrp],":")=PptoSty[[#This Row],[PiRow]]),"X")))</f>
        <v>X</v>
      </c>
      <c r="P240" s="96"/>
      <c r="Q240" s="96"/>
      <c r="R240" s="204" t="s">
        <v>403</v>
      </c>
      <c r="S240" s="204">
        <v>1</v>
      </c>
      <c r="T240" s="205" t="str" cm="1">
        <f t="array" aca="1" ref="T24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40" s="206" t="str" cm="1">
        <f t="array" aca="1" ref="U240" ca="1">IFERROR((1/PptoSty[[#This Row],[Division]])*IF(PptoSty[[#This Row],[Sign]]="+",1,-1)*(IF(PptoSty[[#This Row],[POvsCT]]="PO",SUM(_xlfn.CHOOSECOLS(_xlfn._xlws.FILTER(F_RT14[],(IF($M240="X",TRUE,F_RT14[Site]=$M240))*(F_RT14[Measure]=U$4)*(F_RT14[PrjId]=PptoSty[[#This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40" s="206" cm="1">
        <f t="array" aca="1" ref="V240" ca="1">IFERROR((1/PptoSty[[#This Row],[Division]])*IF(PptoSty[[#This Row],[Sign]]="+",1,-1)*(IF(PptoSty[[#This Row],[POvsCT]]="PO",SUM(_xlfn.CHOOSECOLS(_xlfn._xlws.FILTER(F_RT14[],(IF($M240="X",TRUE,F_RT14[Site]=$M240))*(F_RT14[Measure]=V$4)*(F_RT14[PrjId]=PptoSty[[#This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40" s="206" cm="1">
        <f t="array" aca="1" ref="W240" ca="1">IFERROR((1/PptoSty[[#This Row],[Division]])*IF(PptoSty[[#This Row],[Sign]]="+",1,-1)*(IF(PptoSty[[#This Row],[POvsCT]]="PO",SUM(_xlfn.CHOOSECOLS(_xlfn._xlws.FILTER(F_RT14[],(IF($M240="X",TRUE,F_RT14[Site]=$M240))*(F_RT14[Measure]=W$4)*(F_RT14[PrjId]=PptoSty[[#This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40" s="338" cm="1">
        <f t="array" ref="X240">IFERROR(IF(PptoSty[[#This Row],[Nature]]&lt;&gt;"Hrs",0,(1/PptoSty[[#This Row],[Division]])*IF(PptoSty[[#This Row],[Sign]]="+",1,-1)*(IF(PptoSty[[#This Row],[POvsCT]]="PO",SUM(_xlfn.CHOOSECOLS(_xlfn._xlws.FILTER(F_RT14[],(IF($M240="X",TRUE,F_RT14[Site]=$M240))*(F_RT14[Measure]=X$4)*(F_RT14[PrjId]=PptoSty[[#This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40" s="338" cm="1">
        <f t="array" ref="Y240">IFERROR(IF(PptoSty[[#This Row],[Nature]]&lt;&gt;"Hrs",0,(1/PptoSty[[#This Row],[Division]])*IF(PptoSty[[#This Row],[Sign]]="+",1,-1)*(IF(PptoSty[[#This Row],[POvsCT]]="PO",SUM(_xlfn.CHOOSECOLS(_xlfn._xlws.FILTER(F_RT14[],(IF($M240="X",TRUE,F_RT14[Site]=$M240))*(F_RT14[Measure]=Y$4)*(F_RT14[PrjId]=PptoSty[[#This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40" s="338" cm="1">
        <f t="array" ref="Z240">IFERROR(IF(PptoSty[[#This Row],[Nature]]&lt;&gt;"Hrs",0,(1/PptoSty[[#This Row],[Division]])*IF(PptoSty[[#This Row],[Sign]]="+",1,-1)*(IF(PptoSty[[#This Row],[POvsCT]]="PO",SUM(_xlfn.CHOOSECOLS(_xlfn._xlws.FILTER(F_RT14[],(IF($M240="X",TRUE,F_RT14[Site]=$M240))*(F_RT14[Measure]=Z$4)*(F_RT14[PrjId]=PptoSty[[#This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40" s="206" cm="1">
        <f t="array" aca="1" ref="AA240"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40" s="206" cm="1">
        <f t="array" aca="1" ref="AB240"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40" s="206" cm="1">
        <f t="array" aca="1" ref="AC240"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40"/>
      <c r="AH240"/>
      <c r="AI240"/>
      <c r="AK240" s="113"/>
      <c r="AO240"/>
      <c r="AP240"/>
      <c r="AZ240" s="175"/>
      <c r="BA240" s="175"/>
      <c r="BE240"/>
      <c r="BF240"/>
      <c r="DG240" s="175"/>
      <c r="DH240" s="175"/>
      <c r="DI240" s="175"/>
      <c r="DL240" s="108"/>
      <c r="DM240" s="366" t="str" cm="1">
        <f t="array" aca="1" ref="DM240"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40" s="177" t="s">
        <v>375</v>
      </c>
      <c r="DO240" s="177" t="str" cm="1">
        <f t="array" aca="1" ref="DO240"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40" s="177"/>
      <c r="DQ240" s="177"/>
      <c r="DR240" s="177"/>
      <c r="DS240" s="177"/>
      <c r="DT240" s="177"/>
      <c r="DU240" s="177"/>
      <c r="DV240" s="177"/>
      <c r="DW240" s="177"/>
      <c r="DX240" s="177"/>
      <c r="DY240" s="177"/>
      <c r="DZ240" s="177"/>
      <c r="EA240" s="177"/>
      <c r="EB240" s="177"/>
      <c r="EC240" s="177"/>
      <c r="ED240" s="177"/>
    </row>
    <row r="241" spans="1:134" ht="13" customHeight="1">
      <c r="F241" s="221"/>
      <c r="I241" s="339" t="str" cm="1">
        <f t="array" aca="1" ref="I24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41" s="203" t="str" cm="1">
        <f t="array" ref="J241">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41" s="96"/>
      <c r="L241" s="96"/>
      <c r="M241" s="96" t="s">
        <v>375</v>
      </c>
      <c r="N241" s="96" t="str" cm="1">
        <f t="array" ref="N241">IF(OR(PptoSty[[#This Row],[Project]]="",PptoSty[[#This Row],[Project]]="X"),"X",_xlfn._xlws.FILTER(TbAssign[RowId],(TbAssign[Project]=PptoSty[[#This Row],[Project]])*(TbAssign[Módulo]=PptoSty[[#This Row],[PptoVsRow]]),"X"))</f>
        <v>X</v>
      </c>
      <c r="O241" s="96" t="str" cm="1">
        <f t="array" ref="O241">IF(OR(PptoSty[[#This Row],[Project]]="",PptoSty[[#This Row],[Project]]="X"),"X",_xlfn.UNIQUE(_xlfn._xlws.FILTER(F_RT14[Amortz.],(F_RT14[Measure]="CurPpto")*(F_RT14[PrjId]=PptoSty[[#This Row],[Project]])*(F_RT14[Vrs]=PptoSty[[#This Row],[Vrs]])*(_xlfn.TEXTAFTER(F_RT14[ActGrp],":")=PptoSty[[#This Row],[PiRow]]),"X")))</f>
        <v>X</v>
      </c>
      <c r="P241" s="96"/>
      <c r="Q241" s="96"/>
      <c r="R241" s="204" t="s">
        <v>403</v>
      </c>
      <c r="S241" s="204">
        <v>1</v>
      </c>
      <c r="T241" s="205" t="str" cm="1">
        <f t="array" aca="1" ref="T24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41" s="206" t="str" cm="1">
        <f t="array" aca="1" ref="U241" ca="1">IFERROR((1/PptoSty[[#This Row],[Division]])*IF(PptoSty[[#This Row],[Sign]]="+",1,-1)*(IF(PptoSty[[#This Row],[POvsCT]]="PO",SUM(_xlfn.CHOOSECOLS(_xlfn._xlws.FILTER(F_RT14[],(IF($M241="X",TRUE,F_RT14[Site]=$M241))*(F_RT14[Measure]=U$4)*(F_RT14[PrjId]=PptoSty[[#This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41" s="206" cm="1">
        <f t="array" aca="1" ref="V241" ca="1">IFERROR((1/PptoSty[[#This Row],[Division]])*IF(PptoSty[[#This Row],[Sign]]="+",1,-1)*(IF(PptoSty[[#This Row],[POvsCT]]="PO",SUM(_xlfn.CHOOSECOLS(_xlfn._xlws.FILTER(F_RT14[],(IF($M241="X",TRUE,F_RT14[Site]=$M241))*(F_RT14[Measure]=V$4)*(F_RT14[PrjId]=PptoSty[[#This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41" s="206" cm="1">
        <f t="array" aca="1" ref="W241" ca="1">IFERROR((1/PptoSty[[#This Row],[Division]])*IF(PptoSty[[#This Row],[Sign]]="+",1,-1)*(IF(PptoSty[[#This Row],[POvsCT]]="PO",SUM(_xlfn.CHOOSECOLS(_xlfn._xlws.FILTER(F_RT14[],(IF($M241="X",TRUE,F_RT14[Site]=$M241))*(F_RT14[Measure]=W$4)*(F_RT14[PrjId]=PptoSty[[#This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41" s="338" cm="1">
        <f t="array" ref="X241">IFERROR(IF(PptoSty[[#This Row],[Nature]]&lt;&gt;"Hrs",0,(1/PptoSty[[#This Row],[Division]])*IF(PptoSty[[#This Row],[Sign]]="+",1,-1)*(IF(PptoSty[[#This Row],[POvsCT]]="PO",SUM(_xlfn.CHOOSECOLS(_xlfn._xlws.FILTER(F_RT14[],(IF($M241="X",TRUE,F_RT14[Site]=$M241))*(F_RT14[Measure]=X$4)*(F_RT14[PrjId]=PptoSty[[#This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41" s="338" cm="1">
        <f t="array" ref="Y241">IFERROR(IF(PptoSty[[#This Row],[Nature]]&lt;&gt;"Hrs",0,(1/PptoSty[[#This Row],[Division]])*IF(PptoSty[[#This Row],[Sign]]="+",1,-1)*(IF(PptoSty[[#This Row],[POvsCT]]="PO",SUM(_xlfn.CHOOSECOLS(_xlfn._xlws.FILTER(F_RT14[],(IF($M241="X",TRUE,F_RT14[Site]=$M241))*(F_RT14[Measure]=Y$4)*(F_RT14[PrjId]=PptoSty[[#This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41" s="338" cm="1">
        <f t="array" ref="Z241">IFERROR(IF(PptoSty[[#This Row],[Nature]]&lt;&gt;"Hrs",0,(1/PptoSty[[#This Row],[Division]])*IF(PptoSty[[#This Row],[Sign]]="+",1,-1)*(IF(PptoSty[[#This Row],[POvsCT]]="PO",SUM(_xlfn.CHOOSECOLS(_xlfn._xlws.FILTER(F_RT14[],(IF($M241="X",TRUE,F_RT14[Site]=$M241))*(F_RT14[Measure]=Z$4)*(F_RT14[PrjId]=PptoSty[[#This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41" s="206" cm="1">
        <f t="array" aca="1" ref="AA241"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41" s="206" cm="1">
        <f t="array" aca="1" ref="AB241"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41" s="206" cm="1">
        <f t="array" aca="1" ref="AC241"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41"/>
      <c r="AH241"/>
      <c r="AI241"/>
      <c r="AK241" s="113"/>
      <c r="AO241"/>
      <c r="AP241"/>
      <c r="AZ241" s="175"/>
      <c r="BA241" s="175"/>
      <c r="BE241"/>
      <c r="BF241"/>
      <c r="DG241" s="175"/>
      <c r="DH241" s="175"/>
      <c r="DI241" s="175"/>
      <c r="DL241" s="108"/>
      <c r="DM241" s="366" t="str" cm="1">
        <f t="array" aca="1" ref="DM241"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41" s="177" t="s">
        <v>375</v>
      </c>
      <c r="DO241" s="177" t="str" cm="1">
        <f t="array" aca="1" ref="DO241"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41" s="177"/>
      <c r="DQ241" s="177"/>
      <c r="DR241" s="177"/>
      <c r="DS241" s="177"/>
      <c r="DT241" s="177"/>
      <c r="DU241" s="177"/>
      <c r="DV241" s="177"/>
      <c r="DW241" s="177"/>
      <c r="DX241" s="177"/>
      <c r="DY241" s="177"/>
      <c r="DZ241" s="177"/>
      <c r="EA241" s="177"/>
      <c r="EB241" s="177"/>
      <c r="EC241" s="177"/>
      <c r="ED241" s="177"/>
    </row>
    <row r="242" spans="1:134" ht="13" customHeight="1">
      <c r="F242" s="221"/>
      <c r="I242" s="339" t="str" cm="1">
        <f t="array" aca="1" ref="I24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42" s="203" t="str" cm="1">
        <f t="array" ref="J242">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42" s="96"/>
      <c r="L242" s="96"/>
      <c r="M242" s="96" t="s">
        <v>375</v>
      </c>
      <c r="N242" s="96" t="str" cm="1">
        <f t="array" ref="N242">IF(OR(PptoSty[[#This Row],[Project]]="",PptoSty[[#This Row],[Project]]="X"),"X",_xlfn._xlws.FILTER(TbAssign[RowId],(TbAssign[Project]=PptoSty[[#This Row],[Project]])*(TbAssign[Módulo]=PptoSty[[#This Row],[PptoVsRow]]),"X"))</f>
        <v>X</v>
      </c>
      <c r="O242" s="96" t="str" cm="1">
        <f t="array" ref="O242">IF(OR(PptoSty[[#This Row],[Project]]="",PptoSty[[#This Row],[Project]]="X"),"X",_xlfn.UNIQUE(_xlfn._xlws.FILTER(F_RT14[Amortz.],(F_RT14[Measure]="CurPpto")*(F_RT14[PrjId]=PptoSty[[#This Row],[Project]])*(F_RT14[Vrs]=PptoSty[[#This Row],[Vrs]])*(_xlfn.TEXTAFTER(F_RT14[ActGrp],":")=PptoSty[[#This Row],[PiRow]]),"X")))</f>
        <v>X</v>
      </c>
      <c r="P242" s="96"/>
      <c r="Q242" s="96"/>
      <c r="R242" s="204" t="s">
        <v>403</v>
      </c>
      <c r="S242" s="204">
        <v>1</v>
      </c>
      <c r="T242" s="205" t="str" cm="1">
        <f t="array" aca="1" ref="T24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42" s="206" t="str" cm="1">
        <f t="array" aca="1" ref="U242" ca="1">IFERROR((1/PptoSty[[#This Row],[Division]])*IF(PptoSty[[#This Row],[Sign]]="+",1,-1)*(IF(PptoSty[[#This Row],[POvsCT]]="PO",SUM(_xlfn.CHOOSECOLS(_xlfn._xlws.FILTER(F_RT14[],(IF($M242="X",TRUE,F_RT14[Site]=$M242))*(F_RT14[Measure]=U$4)*(F_RT14[PrjId]=PptoSty[[#This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42" s="206" cm="1">
        <f t="array" aca="1" ref="V242" ca="1">IFERROR((1/PptoSty[[#This Row],[Division]])*IF(PptoSty[[#This Row],[Sign]]="+",1,-1)*(IF(PptoSty[[#This Row],[POvsCT]]="PO",SUM(_xlfn.CHOOSECOLS(_xlfn._xlws.FILTER(F_RT14[],(IF($M242="X",TRUE,F_RT14[Site]=$M242))*(F_RT14[Measure]=V$4)*(F_RT14[PrjId]=PptoSty[[#This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42" s="206" cm="1">
        <f t="array" aca="1" ref="W242" ca="1">IFERROR((1/PptoSty[[#This Row],[Division]])*IF(PptoSty[[#This Row],[Sign]]="+",1,-1)*(IF(PptoSty[[#This Row],[POvsCT]]="PO",SUM(_xlfn.CHOOSECOLS(_xlfn._xlws.FILTER(F_RT14[],(IF($M242="X",TRUE,F_RT14[Site]=$M242))*(F_RT14[Measure]=W$4)*(F_RT14[PrjId]=PptoSty[[#This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42" s="338" cm="1">
        <f t="array" ref="X242">IFERROR(IF(PptoSty[[#This Row],[Nature]]&lt;&gt;"Hrs",0,(1/PptoSty[[#This Row],[Division]])*IF(PptoSty[[#This Row],[Sign]]="+",1,-1)*(IF(PptoSty[[#This Row],[POvsCT]]="PO",SUM(_xlfn.CHOOSECOLS(_xlfn._xlws.FILTER(F_RT14[],(IF($M242="X",TRUE,F_RT14[Site]=$M242))*(F_RT14[Measure]=X$4)*(F_RT14[PrjId]=PptoSty[[#This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42" s="338" cm="1">
        <f t="array" ref="Y242">IFERROR(IF(PptoSty[[#This Row],[Nature]]&lt;&gt;"Hrs",0,(1/PptoSty[[#This Row],[Division]])*IF(PptoSty[[#This Row],[Sign]]="+",1,-1)*(IF(PptoSty[[#This Row],[POvsCT]]="PO",SUM(_xlfn.CHOOSECOLS(_xlfn._xlws.FILTER(F_RT14[],(IF($M242="X",TRUE,F_RT14[Site]=$M242))*(F_RT14[Measure]=Y$4)*(F_RT14[PrjId]=PptoSty[[#This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42" s="338" cm="1">
        <f t="array" ref="Z242">IFERROR(IF(PptoSty[[#This Row],[Nature]]&lt;&gt;"Hrs",0,(1/PptoSty[[#This Row],[Division]])*IF(PptoSty[[#This Row],[Sign]]="+",1,-1)*(IF(PptoSty[[#This Row],[POvsCT]]="PO",SUM(_xlfn.CHOOSECOLS(_xlfn._xlws.FILTER(F_RT14[],(IF($M242="X",TRUE,F_RT14[Site]=$M242))*(F_RT14[Measure]=Z$4)*(F_RT14[PrjId]=PptoSty[[#This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42" s="206" cm="1">
        <f t="array" aca="1" ref="AA242"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42" s="206" cm="1">
        <f t="array" aca="1" ref="AB242"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42" s="206" cm="1">
        <f t="array" aca="1" ref="AC242"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42"/>
      <c r="AH242"/>
      <c r="AI242"/>
      <c r="AK242" s="113"/>
      <c r="AO242"/>
      <c r="AP242"/>
      <c r="AZ242" s="175"/>
      <c r="BA242" s="175"/>
      <c r="BE242"/>
      <c r="BF242"/>
      <c r="DG242" s="175"/>
      <c r="DH242" s="175"/>
      <c r="DI242" s="175"/>
      <c r="DL242" s="108"/>
      <c r="DM242" s="366" t="str" cm="1">
        <f t="array" aca="1" ref="DM242"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42" s="177" t="s">
        <v>375</v>
      </c>
      <c r="DO242" s="177" t="str" cm="1">
        <f t="array" aca="1" ref="DO242"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42" s="177"/>
      <c r="DQ242" s="177"/>
      <c r="DR242" s="177"/>
      <c r="DS242" s="177"/>
      <c r="DT242" s="177"/>
      <c r="DU242" s="177"/>
      <c r="DV242" s="177"/>
      <c r="DW242" s="177"/>
      <c r="DX242" s="177"/>
      <c r="DY242" s="177"/>
      <c r="DZ242" s="177"/>
      <c r="EA242" s="177"/>
      <c r="EB242" s="177"/>
      <c r="EC242" s="177"/>
      <c r="ED242" s="177"/>
    </row>
    <row r="243" spans="1:134" ht="13" customHeight="1">
      <c r="F243" s="221"/>
      <c r="I243" s="339" t="str" cm="1">
        <f t="array" aca="1" ref="I24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43" s="203" t="str" cm="1">
        <f t="array" ref="J243">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43" s="96"/>
      <c r="L243" s="96"/>
      <c r="M243" s="96" t="s">
        <v>375</v>
      </c>
      <c r="N243" s="96" t="str" cm="1">
        <f t="array" ref="N243">IF(OR(PptoSty[[#This Row],[Project]]="",PptoSty[[#This Row],[Project]]="X"),"X",_xlfn._xlws.FILTER(TbAssign[RowId],(TbAssign[Project]=PptoSty[[#This Row],[Project]])*(TbAssign[Módulo]=PptoSty[[#This Row],[PptoVsRow]]),"X"))</f>
        <v>X</v>
      </c>
      <c r="O243" s="96" t="str" cm="1">
        <f t="array" ref="O243">IF(OR(PptoSty[[#This Row],[Project]]="",PptoSty[[#This Row],[Project]]="X"),"X",_xlfn.UNIQUE(_xlfn._xlws.FILTER(F_RT14[Amortz.],(F_RT14[Measure]="CurPpto")*(F_RT14[PrjId]=PptoSty[[#This Row],[Project]])*(F_RT14[Vrs]=PptoSty[[#This Row],[Vrs]])*(_xlfn.TEXTAFTER(F_RT14[ActGrp],":")=PptoSty[[#This Row],[PiRow]]),"X")))</f>
        <v>X</v>
      </c>
      <c r="P243" s="96"/>
      <c r="Q243" s="96"/>
      <c r="R243" s="204" t="s">
        <v>403</v>
      </c>
      <c r="S243" s="204">
        <v>1</v>
      </c>
      <c r="T243" s="205" t="str" cm="1">
        <f t="array" aca="1" ref="T24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43" s="206" t="str" cm="1">
        <f t="array" aca="1" ref="U243" ca="1">IFERROR((1/PptoSty[[#This Row],[Division]])*IF(PptoSty[[#This Row],[Sign]]="+",1,-1)*(IF(PptoSty[[#This Row],[POvsCT]]="PO",SUM(_xlfn.CHOOSECOLS(_xlfn._xlws.FILTER(F_RT14[],(IF($M243="X",TRUE,F_RT14[Site]=$M243))*(F_RT14[Measure]=U$4)*(F_RT14[PrjId]=PptoSty[[#This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43" s="206" cm="1">
        <f t="array" aca="1" ref="V243" ca="1">IFERROR((1/PptoSty[[#This Row],[Division]])*IF(PptoSty[[#This Row],[Sign]]="+",1,-1)*(IF(PptoSty[[#This Row],[POvsCT]]="PO",SUM(_xlfn.CHOOSECOLS(_xlfn._xlws.FILTER(F_RT14[],(IF($M243="X",TRUE,F_RT14[Site]=$M243))*(F_RT14[Measure]=V$4)*(F_RT14[PrjId]=PptoSty[[#This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43" s="206" cm="1">
        <f t="array" aca="1" ref="W243" ca="1">IFERROR((1/PptoSty[[#This Row],[Division]])*IF(PptoSty[[#This Row],[Sign]]="+",1,-1)*(IF(PptoSty[[#This Row],[POvsCT]]="PO",SUM(_xlfn.CHOOSECOLS(_xlfn._xlws.FILTER(F_RT14[],(IF($M243="X",TRUE,F_RT14[Site]=$M243))*(F_RT14[Measure]=W$4)*(F_RT14[PrjId]=PptoSty[[#This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43" s="338" cm="1">
        <f t="array" ref="X243">IFERROR(IF(PptoSty[[#This Row],[Nature]]&lt;&gt;"Hrs",0,(1/PptoSty[[#This Row],[Division]])*IF(PptoSty[[#This Row],[Sign]]="+",1,-1)*(IF(PptoSty[[#This Row],[POvsCT]]="PO",SUM(_xlfn.CHOOSECOLS(_xlfn._xlws.FILTER(F_RT14[],(IF($M243="X",TRUE,F_RT14[Site]=$M243))*(F_RT14[Measure]=X$4)*(F_RT14[PrjId]=PptoSty[[#This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43" s="338" cm="1">
        <f t="array" ref="Y243">IFERROR(IF(PptoSty[[#This Row],[Nature]]&lt;&gt;"Hrs",0,(1/PptoSty[[#This Row],[Division]])*IF(PptoSty[[#This Row],[Sign]]="+",1,-1)*(IF(PptoSty[[#This Row],[POvsCT]]="PO",SUM(_xlfn.CHOOSECOLS(_xlfn._xlws.FILTER(F_RT14[],(IF($M243="X",TRUE,F_RT14[Site]=$M243))*(F_RT14[Measure]=Y$4)*(F_RT14[PrjId]=PptoSty[[#This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43" s="338" cm="1">
        <f t="array" ref="Z243">IFERROR(IF(PptoSty[[#This Row],[Nature]]&lt;&gt;"Hrs",0,(1/PptoSty[[#This Row],[Division]])*IF(PptoSty[[#This Row],[Sign]]="+",1,-1)*(IF(PptoSty[[#This Row],[POvsCT]]="PO",SUM(_xlfn.CHOOSECOLS(_xlfn._xlws.FILTER(F_RT14[],(IF($M243="X",TRUE,F_RT14[Site]=$M243))*(F_RT14[Measure]=Z$4)*(F_RT14[PrjId]=PptoSty[[#This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43" s="206" cm="1">
        <f t="array" aca="1" ref="AA243"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43" s="206" cm="1">
        <f t="array" aca="1" ref="AB243"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43" s="206" cm="1">
        <f t="array" aca="1" ref="AC243"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43"/>
      <c r="AH243"/>
      <c r="AI243"/>
      <c r="AK243" s="113"/>
      <c r="AO243"/>
      <c r="AP243"/>
      <c r="AZ243" s="175"/>
      <c r="BA243" s="175"/>
      <c r="BE243"/>
      <c r="BF243"/>
      <c r="DG243" s="175"/>
      <c r="DH243" s="175"/>
      <c r="DI243" s="175"/>
      <c r="DL243" s="108"/>
      <c r="DM243" s="366" t="str" cm="1">
        <f t="array" aca="1" ref="DM243"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43" s="177" t="s">
        <v>375</v>
      </c>
      <c r="DO243" s="177" t="str" cm="1">
        <f t="array" aca="1" ref="DO243"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43" s="177"/>
      <c r="DQ243" s="177"/>
      <c r="DR243" s="177"/>
      <c r="DS243" s="177"/>
      <c r="DT243" s="177"/>
      <c r="DU243" s="177"/>
      <c r="DV243" s="177"/>
      <c r="DW243" s="177"/>
      <c r="DX243" s="177"/>
      <c r="DY243" s="177"/>
      <c r="DZ243" s="177"/>
      <c r="EA243" s="177"/>
      <c r="EB243" s="177"/>
      <c r="EC243" s="177"/>
      <c r="ED243" s="177"/>
    </row>
    <row r="244" spans="1:134" ht="13" customHeight="1">
      <c r="F244" s="221"/>
      <c r="I244" s="339" t="str" cm="1">
        <f t="array" aca="1" ref="I24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44" s="203" t="str" cm="1">
        <f t="array" ref="J244">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44" s="96"/>
      <c r="L244" s="96"/>
      <c r="M244" s="96" t="s">
        <v>375</v>
      </c>
      <c r="N244" s="96" t="str" cm="1">
        <f t="array" ref="N244">IF(OR(PptoSty[[#This Row],[Project]]="",PptoSty[[#This Row],[Project]]="X"),"X",_xlfn._xlws.FILTER(TbAssign[RowId],(TbAssign[Project]=PptoSty[[#This Row],[Project]])*(TbAssign[Módulo]=PptoSty[[#This Row],[PptoVsRow]]),"X"))</f>
        <v>X</v>
      </c>
      <c r="O244" s="96" t="str" cm="1">
        <f t="array" ref="O244">IF(OR(PptoSty[[#This Row],[Project]]="",PptoSty[[#This Row],[Project]]="X"),"X",_xlfn.UNIQUE(_xlfn._xlws.FILTER(F_RT14[Amortz.],(F_RT14[Measure]="CurPpto")*(F_RT14[PrjId]=PptoSty[[#This Row],[Project]])*(F_RT14[Vrs]=PptoSty[[#This Row],[Vrs]])*(_xlfn.TEXTAFTER(F_RT14[ActGrp],":")=PptoSty[[#This Row],[PiRow]]),"X")))</f>
        <v>X</v>
      </c>
      <c r="P244" s="96"/>
      <c r="Q244" s="96"/>
      <c r="R244" s="204" t="s">
        <v>403</v>
      </c>
      <c r="S244" s="204">
        <v>1</v>
      </c>
      <c r="T244" s="205" t="str" cm="1">
        <f t="array" aca="1" ref="T24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44" s="206" t="str" cm="1">
        <f t="array" aca="1" ref="U244" ca="1">IFERROR((1/PptoSty[[#This Row],[Division]])*IF(PptoSty[[#This Row],[Sign]]="+",1,-1)*(IF(PptoSty[[#This Row],[POvsCT]]="PO",SUM(_xlfn.CHOOSECOLS(_xlfn._xlws.FILTER(F_RT14[],(IF($M244="X",TRUE,F_RT14[Site]=$M244))*(F_RT14[Measure]=U$4)*(F_RT14[PrjId]=PptoSty[[#This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44" s="206" cm="1">
        <f t="array" aca="1" ref="V244" ca="1">IFERROR((1/PptoSty[[#This Row],[Division]])*IF(PptoSty[[#This Row],[Sign]]="+",1,-1)*(IF(PptoSty[[#This Row],[POvsCT]]="PO",SUM(_xlfn.CHOOSECOLS(_xlfn._xlws.FILTER(F_RT14[],(IF($M244="X",TRUE,F_RT14[Site]=$M244))*(F_RT14[Measure]=V$4)*(F_RT14[PrjId]=PptoSty[[#This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44" s="206" cm="1">
        <f t="array" aca="1" ref="W244" ca="1">IFERROR((1/PptoSty[[#This Row],[Division]])*IF(PptoSty[[#This Row],[Sign]]="+",1,-1)*(IF(PptoSty[[#This Row],[POvsCT]]="PO",SUM(_xlfn.CHOOSECOLS(_xlfn._xlws.FILTER(F_RT14[],(IF($M244="X",TRUE,F_RT14[Site]=$M244))*(F_RT14[Measure]=W$4)*(F_RT14[PrjId]=PptoSty[[#This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44" s="338" cm="1">
        <f t="array" ref="X244">IFERROR(IF(PptoSty[[#This Row],[Nature]]&lt;&gt;"Hrs",0,(1/PptoSty[[#This Row],[Division]])*IF(PptoSty[[#This Row],[Sign]]="+",1,-1)*(IF(PptoSty[[#This Row],[POvsCT]]="PO",SUM(_xlfn.CHOOSECOLS(_xlfn._xlws.FILTER(F_RT14[],(IF($M244="X",TRUE,F_RT14[Site]=$M244))*(F_RT14[Measure]=X$4)*(F_RT14[PrjId]=PptoSty[[#This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44" s="338" cm="1">
        <f t="array" ref="Y244">IFERROR(IF(PptoSty[[#This Row],[Nature]]&lt;&gt;"Hrs",0,(1/PptoSty[[#This Row],[Division]])*IF(PptoSty[[#This Row],[Sign]]="+",1,-1)*(IF(PptoSty[[#This Row],[POvsCT]]="PO",SUM(_xlfn.CHOOSECOLS(_xlfn._xlws.FILTER(F_RT14[],(IF($M244="X",TRUE,F_RT14[Site]=$M244))*(F_RT14[Measure]=Y$4)*(F_RT14[PrjId]=PptoSty[[#This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44" s="338" cm="1">
        <f t="array" ref="Z244">IFERROR(IF(PptoSty[[#This Row],[Nature]]&lt;&gt;"Hrs",0,(1/PptoSty[[#This Row],[Division]])*IF(PptoSty[[#This Row],[Sign]]="+",1,-1)*(IF(PptoSty[[#This Row],[POvsCT]]="PO",SUM(_xlfn.CHOOSECOLS(_xlfn._xlws.FILTER(F_RT14[],(IF($M244="X",TRUE,F_RT14[Site]=$M244))*(F_RT14[Measure]=Z$4)*(F_RT14[PrjId]=PptoSty[[#This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44" s="206" cm="1">
        <f t="array" aca="1" ref="AA244"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44" s="206" cm="1">
        <f t="array" aca="1" ref="AB244"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44" s="206" cm="1">
        <f t="array" aca="1" ref="AC244"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44"/>
      <c r="AH244"/>
      <c r="AI244"/>
      <c r="AK244" s="113"/>
      <c r="AO244"/>
      <c r="AP244"/>
      <c r="AZ244" s="175"/>
      <c r="BA244" s="175"/>
      <c r="BE244"/>
      <c r="BF244"/>
      <c r="DG244" s="175"/>
      <c r="DH244" s="175"/>
      <c r="DI244" s="175"/>
      <c r="DL244" s="108"/>
      <c r="DM244" s="366" t="str" cm="1">
        <f t="array" aca="1" ref="DM244"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44" s="177" t="s">
        <v>375</v>
      </c>
      <c r="DO244" s="177" t="str" cm="1">
        <f t="array" aca="1" ref="DO244"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44" s="177"/>
      <c r="DQ244" s="177"/>
      <c r="DR244" s="177"/>
      <c r="DS244" s="177"/>
      <c r="DT244" s="177"/>
      <c r="DU244" s="177"/>
      <c r="DV244" s="177"/>
      <c r="DW244" s="177"/>
      <c r="DX244" s="177"/>
      <c r="DY244" s="177"/>
      <c r="DZ244" s="177"/>
      <c r="EA244" s="177"/>
      <c r="EB244" s="177"/>
      <c r="EC244" s="177"/>
      <c r="ED244" s="177"/>
    </row>
    <row r="245" spans="1:134" ht="13" customHeight="1">
      <c r="F245" s="221"/>
      <c r="I245" s="339" t="str" cm="1">
        <f t="array" aca="1" ref="I245"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45" s="203" t="str" cm="1">
        <f t="array" ref="J245">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45" s="96"/>
      <c r="L245" s="96"/>
      <c r="M245" s="96" t="s">
        <v>375</v>
      </c>
      <c r="N245" s="96" t="str" cm="1">
        <f t="array" ref="N245">IF(OR(PptoSty[[#This Row],[Project]]="",PptoSty[[#This Row],[Project]]="X"),"X",_xlfn._xlws.FILTER(TbAssign[RowId],(TbAssign[Project]=PptoSty[[#This Row],[Project]])*(TbAssign[Módulo]=PptoSty[[#This Row],[PptoVsRow]]),"X"))</f>
        <v>X</v>
      </c>
      <c r="O245" s="96" t="str" cm="1">
        <f t="array" ref="O245">IF(OR(PptoSty[[#This Row],[Project]]="",PptoSty[[#This Row],[Project]]="X"),"X",_xlfn.UNIQUE(_xlfn._xlws.FILTER(F_RT14[Amortz.],(F_RT14[Measure]="CurPpto")*(F_RT14[PrjId]=PptoSty[[#This Row],[Project]])*(F_RT14[Vrs]=PptoSty[[#This Row],[Vrs]])*(_xlfn.TEXTAFTER(F_RT14[ActGrp],":")=PptoSty[[#This Row],[PiRow]]),"X")))</f>
        <v>X</v>
      </c>
      <c r="P245" s="96"/>
      <c r="Q245" s="96"/>
      <c r="R245" s="204" t="s">
        <v>403</v>
      </c>
      <c r="S245" s="204">
        <v>1</v>
      </c>
      <c r="T245" s="205" t="str" cm="1">
        <f t="array" aca="1" ref="T245"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45" s="206" t="str" cm="1">
        <f t="array" aca="1" ref="U245" ca="1">IFERROR((1/PptoSty[[#This Row],[Division]])*IF(PptoSty[[#This Row],[Sign]]="+",1,-1)*(IF(PptoSty[[#This Row],[POvsCT]]="PO",SUM(_xlfn.CHOOSECOLS(_xlfn._xlws.FILTER(F_RT14[],(IF($M245="X",TRUE,F_RT14[Site]=$M245))*(F_RT14[Measure]=U$4)*(F_RT14[PrjId]=PptoSty[[#This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45" s="206" cm="1">
        <f t="array" aca="1" ref="V245" ca="1">IFERROR((1/PptoSty[[#This Row],[Division]])*IF(PptoSty[[#This Row],[Sign]]="+",1,-1)*(IF(PptoSty[[#This Row],[POvsCT]]="PO",SUM(_xlfn.CHOOSECOLS(_xlfn._xlws.FILTER(F_RT14[],(IF($M245="X",TRUE,F_RT14[Site]=$M245))*(F_RT14[Measure]=V$4)*(F_RT14[PrjId]=PptoSty[[#This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45" s="206" cm="1">
        <f t="array" aca="1" ref="W245" ca="1">IFERROR((1/PptoSty[[#This Row],[Division]])*IF(PptoSty[[#This Row],[Sign]]="+",1,-1)*(IF(PptoSty[[#This Row],[POvsCT]]="PO",SUM(_xlfn.CHOOSECOLS(_xlfn._xlws.FILTER(F_RT14[],(IF($M245="X",TRUE,F_RT14[Site]=$M245))*(F_RT14[Measure]=W$4)*(F_RT14[PrjId]=PptoSty[[#This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45" s="338" cm="1">
        <f t="array" ref="X245">IFERROR(IF(PptoSty[[#This Row],[Nature]]&lt;&gt;"Hrs",0,(1/PptoSty[[#This Row],[Division]])*IF(PptoSty[[#This Row],[Sign]]="+",1,-1)*(IF(PptoSty[[#This Row],[POvsCT]]="PO",SUM(_xlfn.CHOOSECOLS(_xlfn._xlws.FILTER(F_RT14[],(IF($M245="X",TRUE,F_RT14[Site]=$M245))*(F_RT14[Measure]=X$4)*(F_RT14[PrjId]=PptoSty[[#This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45" s="338" cm="1">
        <f t="array" ref="Y245">IFERROR(IF(PptoSty[[#This Row],[Nature]]&lt;&gt;"Hrs",0,(1/PptoSty[[#This Row],[Division]])*IF(PptoSty[[#This Row],[Sign]]="+",1,-1)*(IF(PptoSty[[#This Row],[POvsCT]]="PO",SUM(_xlfn.CHOOSECOLS(_xlfn._xlws.FILTER(F_RT14[],(IF($M245="X",TRUE,F_RT14[Site]=$M245))*(F_RT14[Measure]=Y$4)*(F_RT14[PrjId]=PptoSty[[#This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45" s="338" cm="1">
        <f t="array" ref="Z245">IFERROR(IF(PptoSty[[#This Row],[Nature]]&lt;&gt;"Hrs",0,(1/PptoSty[[#This Row],[Division]])*IF(PptoSty[[#This Row],[Sign]]="+",1,-1)*(IF(PptoSty[[#This Row],[POvsCT]]="PO",SUM(_xlfn.CHOOSECOLS(_xlfn._xlws.FILTER(F_RT14[],(IF($M245="X",TRUE,F_RT14[Site]=$M245))*(F_RT14[Measure]=Z$4)*(F_RT14[PrjId]=PptoSty[[#This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45" s="206" cm="1">
        <f t="array" aca="1" ref="AA245"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45" s="206" cm="1">
        <f t="array" aca="1" ref="AB245"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45" s="206" cm="1">
        <f t="array" aca="1" ref="AC245"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45"/>
      <c r="AH245"/>
      <c r="AI245"/>
      <c r="AK245" s="113"/>
      <c r="AO245"/>
      <c r="AP245"/>
      <c r="AZ245" s="175"/>
      <c r="BA245" s="175"/>
      <c r="BE245"/>
      <c r="BF245"/>
      <c r="DG245" s="175"/>
      <c r="DH245" s="175"/>
      <c r="DI245" s="175"/>
      <c r="DL245" s="108"/>
      <c r="DM245" s="366" t="str" cm="1">
        <f t="array" aca="1" ref="DM245"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45" s="177" t="s">
        <v>375</v>
      </c>
      <c r="DO245" s="177" t="str" cm="1">
        <f t="array" aca="1" ref="DO245"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45" s="177"/>
      <c r="DQ245" s="177"/>
      <c r="DR245" s="177"/>
      <c r="DS245" s="177"/>
      <c r="DT245" s="177"/>
      <c r="DU245" s="177"/>
      <c r="DV245" s="177"/>
      <c r="DW245" s="177"/>
      <c r="DX245" s="177"/>
      <c r="DY245" s="177"/>
      <c r="DZ245" s="177"/>
      <c r="EA245" s="177"/>
      <c r="EB245" s="177"/>
      <c r="EC245" s="177"/>
      <c r="ED245" s="177"/>
    </row>
    <row r="246" spans="1:134" ht="13" customHeight="1">
      <c r="F246" s="221"/>
      <c r="I246" s="339" t="str" cm="1">
        <f t="array" aca="1" ref="I246"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46" s="203" t="str" cm="1">
        <f t="array" ref="J246">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46" s="96"/>
      <c r="L246" s="96"/>
      <c r="M246" s="96" t="s">
        <v>375</v>
      </c>
      <c r="N246" s="96" t="str" cm="1">
        <f t="array" ref="N246">IF(OR(PptoSty[[#This Row],[Project]]="",PptoSty[[#This Row],[Project]]="X"),"X",_xlfn._xlws.FILTER(TbAssign[RowId],(TbAssign[Project]=PptoSty[[#This Row],[Project]])*(TbAssign[Módulo]=PptoSty[[#This Row],[PptoVsRow]]),"X"))</f>
        <v>X</v>
      </c>
      <c r="O246" s="96" t="str" cm="1">
        <f t="array" ref="O246">IF(OR(PptoSty[[#This Row],[Project]]="",PptoSty[[#This Row],[Project]]="X"),"X",_xlfn.UNIQUE(_xlfn._xlws.FILTER(F_RT14[Amortz.],(F_RT14[Measure]="CurPpto")*(F_RT14[PrjId]=PptoSty[[#This Row],[Project]])*(F_RT14[Vrs]=PptoSty[[#This Row],[Vrs]])*(_xlfn.TEXTAFTER(F_RT14[ActGrp],":")=PptoSty[[#This Row],[PiRow]]),"X")))</f>
        <v>X</v>
      </c>
      <c r="P246" s="96"/>
      <c r="Q246" s="96"/>
      <c r="R246" s="204" t="s">
        <v>403</v>
      </c>
      <c r="S246" s="204">
        <v>1</v>
      </c>
      <c r="T246" s="205" t="str" cm="1">
        <f t="array" aca="1" ref="T246"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46" s="206" t="str" cm="1">
        <f t="array" aca="1" ref="U246" ca="1">IFERROR((1/PptoSty[[#This Row],[Division]])*IF(PptoSty[[#This Row],[Sign]]="+",1,-1)*(IF(PptoSty[[#This Row],[POvsCT]]="PO",SUM(_xlfn.CHOOSECOLS(_xlfn._xlws.FILTER(F_RT14[],(IF($M246="X",TRUE,F_RT14[Site]=$M246))*(F_RT14[Measure]=U$4)*(F_RT14[PrjId]=PptoSty[[#This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46" s="206" cm="1">
        <f t="array" aca="1" ref="V246" ca="1">IFERROR((1/PptoSty[[#This Row],[Division]])*IF(PptoSty[[#This Row],[Sign]]="+",1,-1)*(IF(PptoSty[[#This Row],[POvsCT]]="PO",SUM(_xlfn.CHOOSECOLS(_xlfn._xlws.FILTER(F_RT14[],(IF($M246="X",TRUE,F_RT14[Site]=$M246))*(F_RT14[Measure]=V$4)*(F_RT14[PrjId]=PptoSty[[#This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46" s="206" cm="1">
        <f t="array" aca="1" ref="W246" ca="1">IFERROR((1/PptoSty[[#This Row],[Division]])*IF(PptoSty[[#This Row],[Sign]]="+",1,-1)*(IF(PptoSty[[#This Row],[POvsCT]]="PO",SUM(_xlfn.CHOOSECOLS(_xlfn._xlws.FILTER(F_RT14[],(IF($M246="X",TRUE,F_RT14[Site]=$M246))*(F_RT14[Measure]=W$4)*(F_RT14[PrjId]=PptoSty[[#This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46" s="338" cm="1">
        <f t="array" ref="X246">IFERROR(IF(PptoSty[[#This Row],[Nature]]&lt;&gt;"Hrs",0,(1/PptoSty[[#This Row],[Division]])*IF(PptoSty[[#This Row],[Sign]]="+",1,-1)*(IF(PptoSty[[#This Row],[POvsCT]]="PO",SUM(_xlfn.CHOOSECOLS(_xlfn._xlws.FILTER(F_RT14[],(IF($M246="X",TRUE,F_RT14[Site]=$M246))*(F_RT14[Measure]=X$4)*(F_RT14[PrjId]=PptoSty[[#This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46" s="338" cm="1">
        <f t="array" ref="Y246">IFERROR(IF(PptoSty[[#This Row],[Nature]]&lt;&gt;"Hrs",0,(1/PptoSty[[#This Row],[Division]])*IF(PptoSty[[#This Row],[Sign]]="+",1,-1)*(IF(PptoSty[[#This Row],[POvsCT]]="PO",SUM(_xlfn.CHOOSECOLS(_xlfn._xlws.FILTER(F_RT14[],(IF($M246="X",TRUE,F_RT14[Site]=$M246))*(F_RT14[Measure]=Y$4)*(F_RT14[PrjId]=PptoSty[[#This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46" s="338" cm="1">
        <f t="array" ref="Z246">IFERROR(IF(PptoSty[[#This Row],[Nature]]&lt;&gt;"Hrs",0,(1/PptoSty[[#This Row],[Division]])*IF(PptoSty[[#This Row],[Sign]]="+",1,-1)*(IF(PptoSty[[#This Row],[POvsCT]]="PO",SUM(_xlfn.CHOOSECOLS(_xlfn._xlws.FILTER(F_RT14[],(IF($M246="X",TRUE,F_RT14[Site]=$M246))*(F_RT14[Measure]=Z$4)*(F_RT14[PrjId]=PptoSty[[#This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46" s="206" cm="1">
        <f t="array" aca="1" ref="AA246"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46" s="206" cm="1">
        <f t="array" aca="1" ref="AB246"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46" s="206" cm="1">
        <f t="array" aca="1" ref="AC246"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46"/>
      <c r="AH246"/>
      <c r="AI246"/>
      <c r="AK246" s="113"/>
      <c r="AO246"/>
      <c r="AP246"/>
      <c r="AZ246" s="175"/>
      <c r="BA246" s="175"/>
      <c r="BE246"/>
      <c r="BF246"/>
      <c r="DG246" s="175"/>
      <c r="DH246" s="175"/>
      <c r="DI246" s="175"/>
      <c r="DL246" s="108"/>
      <c r="DM246" s="366" t="str" cm="1">
        <f t="array" aca="1" ref="DM246"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46" s="177" t="s">
        <v>375</v>
      </c>
      <c r="DO246" s="177" t="str" cm="1">
        <f t="array" aca="1" ref="DO246"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46" s="177"/>
      <c r="DQ246" s="177"/>
      <c r="DR246" s="177"/>
      <c r="DS246" s="177"/>
      <c r="DT246" s="177"/>
      <c r="DU246" s="177"/>
      <c r="DV246" s="177"/>
      <c r="DW246" s="177"/>
      <c r="DX246" s="177"/>
      <c r="DY246" s="177"/>
      <c r="DZ246" s="177"/>
      <c r="EA246" s="177"/>
      <c r="EB246" s="177"/>
      <c r="EC246" s="177"/>
      <c r="ED246" s="177"/>
    </row>
    <row r="247" spans="1:134" ht="13" customHeight="1">
      <c r="F247" s="221"/>
      <c r="I247" s="339" t="str" cm="1">
        <f t="array" aca="1" ref="I247"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47" s="203" t="str" cm="1">
        <f t="array" ref="J247">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47" s="96"/>
      <c r="L247" s="96"/>
      <c r="M247" s="96" t="s">
        <v>375</v>
      </c>
      <c r="N247" s="96" t="str" cm="1">
        <f t="array" ref="N247">IF(OR(PptoSty[[#This Row],[Project]]="",PptoSty[[#This Row],[Project]]="X"),"X",_xlfn._xlws.FILTER(TbAssign[RowId],(TbAssign[Project]=PptoSty[[#This Row],[Project]])*(TbAssign[Módulo]=PptoSty[[#This Row],[PptoVsRow]]),"X"))</f>
        <v>X</v>
      </c>
      <c r="O247" s="96" t="str" cm="1">
        <f t="array" ref="O247">IF(OR(PptoSty[[#This Row],[Project]]="",PptoSty[[#This Row],[Project]]="X"),"X",_xlfn.UNIQUE(_xlfn._xlws.FILTER(F_RT14[Amortz.],(F_RT14[Measure]="CurPpto")*(F_RT14[PrjId]=PptoSty[[#This Row],[Project]])*(F_RT14[Vrs]=PptoSty[[#This Row],[Vrs]])*(_xlfn.TEXTAFTER(F_RT14[ActGrp],":")=PptoSty[[#This Row],[PiRow]]),"X")))</f>
        <v>X</v>
      </c>
      <c r="P247" s="96"/>
      <c r="Q247" s="96"/>
      <c r="R247" s="204" t="s">
        <v>403</v>
      </c>
      <c r="S247" s="204">
        <v>1</v>
      </c>
      <c r="T247" s="205" t="str" cm="1">
        <f t="array" aca="1" ref="T247"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47" s="206" t="str" cm="1">
        <f t="array" aca="1" ref="U247" ca="1">IFERROR((1/PptoSty[[#This Row],[Division]])*IF(PptoSty[[#This Row],[Sign]]="+",1,-1)*(IF(PptoSty[[#This Row],[POvsCT]]="PO",SUM(_xlfn.CHOOSECOLS(_xlfn._xlws.FILTER(F_RT14[],(IF($M247="X",TRUE,F_RT14[Site]=$M247))*(F_RT14[Measure]=U$4)*(F_RT14[PrjId]=PptoSty[[#This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47" s="206" cm="1">
        <f t="array" aca="1" ref="V247" ca="1">IFERROR((1/PptoSty[[#This Row],[Division]])*IF(PptoSty[[#This Row],[Sign]]="+",1,-1)*(IF(PptoSty[[#This Row],[POvsCT]]="PO",SUM(_xlfn.CHOOSECOLS(_xlfn._xlws.FILTER(F_RT14[],(IF($M247="X",TRUE,F_RT14[Site]=$M247))*(F_RT14[Measure]=V$4)*(F_RT14[PrjId]=PptoSty[[#This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47" s="206" cm="1">
        <f t="array" aca="1" ref="W247" ca="1">IFERROR((1/PptoSty[[#This Row],[Division]])*IF(PptoSty[[#This Row],[Sign]]="+",1,-1)*(IF(PptoSty[[#This Row],[POvsCT]]="PO",SUM(_xlfn.CHOOSECOLS(_xlfn._xlws.FILTER(F_RT14[],(IF($M247="X",TRUE,F_RT14[Site]=$M247))*(F_RT14[Measure]=W$4)*(F_RT14[PrjId]=PptoSty[[#This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47" s="338" cm="1">
        <f t="array" ref="X247">IFERROR(IF(PptoSty[[#This Row],[Nature]]&lt;&gt;"Hrs",0,(1/PptoSty[[#This Row],[Division]])*IF(PptoSty[[#This Row],[Sign]]="+",1,-1)*(IF(PptoSty[[#This Row],[POvsCT]]="PO",SUM(_xlfn.CHOOSECOLS(_xlfn._xlws.FILTER(F_RT14[],(IF($M247="X",TRUE,F_RT14[Site]=$M247))*(F_RT14[Measure]=X$4)*(F_RT14[PrjId]=PptoSty[[#This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47" s="338" cm="1">
        <f t="array" ref="Y247">IFERROR(IF(PptoSty[[#This Row],[Nature]]&lt;&gt;"Hrs",0,(1/PptoSty[[#This Row],[Division]])*IF(PptoSty[[#This Row],[Sign]]="+",1,-1)*(IF(PptoSty[[#This Row],[POvsCT]]="PO",SUM(_xlfn.CHOOSECOLS(_xlfn._xlws.FILTER(F_RT14[],(IF($M247="X",TRUE,F_RT14[Site]=$M247))*(F_RT14[Measure]=Y$4)*(F_RT14[PrjId]=PptoSty[[#This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47" s="338" cm="1">
        <f t="array" ref="Z247">IFERROR(IF(PptoSty[[#This Row],[Nature]]&lt;&gt;"Hrs",0,(1/PptoSty[[#This Row],[Division]])*IF(PptoSty[[#This Row],[Sign]]="+",1,-1)*(IF(PptoSty[[#This Row],[POvsCT]]="PO",SUM(_xlfn.CHOOSECOLS(_xlfn._xlws.FILTER(F_RT14[],(IF($M247="X",TRUE,F_RT14[Site]=$M247))*(F_RT14[Measure]=Z$4)*(F_RT14[PrjId]=PptoSty[[#This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47" s="206" cm="1">
        <f t="array" aca="1" ref="AA247"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47" s="206" cm="1">
        <f t="array" aca="1" ref="AB247"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47" s="206" cm="1">
        <f t="array" aca="1" ref="AC247"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47"/>
      <c r="AH247"/>
      <c r="AI247"/>
      <c r="AK247" s="113"/>
      <c r="AO247"/>
      <c r="AP247"/>
      <c r="AZ247" s="175"/>
      <c r="BA247" s="175"/>
      <c r="BE247"/>
      <c r="BF247"/>
      <c r="DG247" s="175"/>
      <c r="DH247" s="175"/>
      <c r="DI247" s="175"/>
      <c r="DL247" s="108"/>
      <c r="DM247" s="366" t="str" cm="1">
        <f t="array" aca="1" ref="DM247"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47" s="177" t="s">
        <v>375</v>
      </c>
      <c r="DO247" s="177" t="str" cm="1">
        <f t="array" aca="1" ref="DO247"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47" s="177"/>
      <c r="DQ247" s="177"/>
      <c r="DR247" s="177"/>
      <c r="DS247" s="177"/>
      <c r="DT247" s="177"/>
      <c r="DU247" s="177"/>
      <c r="DV247" s="177"/>
      <c r="DW247" s="177"/>
      <c r="DX247" s="177"/>
      <c r="DY247" s="177"/>
      <c r="DZ247" s="177"/>
      <c r="EA247" s="177"/>
      <c r="EB247" s="177"/>
      <c r="EC247" s="177"/>
      <c r="ED247" s="177"/>
    </row>
    <row r="248" spans="1:134" ht="13" customHeight="1">
      <c r="F248" s="221"/>
      <c r="I248" s="339" t="str" cm="1">
        <f t="array" aca="1" ref="I248"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48" s="203" t="str" cm="1">
        <f t="array" ref="J248">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48" s="96"/>
      <c r="L248" s="96"/>
      <c r="M248" s="96" t="s">
        <v>375</v>
      </c>
      <c r="N248" s="96" t="str" cm="1">
        <f t="array" ref="N248">IF(OR(PptoSty[[#This Row],[Project]]="",PptoSty[[#This Row],[Project]]="X"),"X",_xlfn._xlws.FILTER(TbAssign[RowId],(TbAssign[Project]=PptoSty[[#This Row],[Project]])*(TbAssign[Módulo]=PptoSty[[#This Row],[PptoVsRow]]),"X"))</f>
        <v>X</v>
      </c>
      <c r="O248" s="96" t="str" cm="1">
        <f t="array" ref="O248">IF(OR(PptoSty[[#This Row],[Project]]="",PptoSty[[#This Row],[Project]]="X"),"X",_xlfn.UNIQUE(_xlfn._xlws.FILTER(F_RT14[Amortz.],(F_RT14[Measure]="CurPpto")*(F_RT14[PrjId]=PptoSty[[#This Row],[Project]])*(F_RT14[Vrs]=PptoSty[[#This Row],[Vrs]])*(_xlfn.TEXTAFTER(F_RT14[ActGrp],":")=PptoSty[[#This Row],[PiRow]]),"X")))</f>
        <v>X</v>
      </c>
      <c r="P248" s="96"/>
      <c r="Q248" s="96"/>
      <c r="R248" s="204" t="s">
        <v>403</v>
      </c>
      <c r="S248" s="204">
        <v>1</v>
      </c>
      <c r="T248" s="205" t="str" cm="1">
        <f t="array" aca="1" ref="T248"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48" s="206" t="str" cm="1">
        <f t="array" aca="1" ref="U248" ca="1">IFERROR((1/PptoSty[[#This Row],[Division]])*IF(PptoSty[[#This Row],[Sign]]="+",1,-1)*(IF(PptoSty[[#This Row],[POvsCT]]="PO",SUM(_xlfn.CHOOSECOLS(_xlfn._xlws.FILTER(F_RT14[],(IF($M248="X",TRUE,F_RT14[Site]=$M248))*(F_RT14[Measure]=U$4)*(F_RT14[PrjId]=PptoSty[[#This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48" s="206" cm="1">
        <f t="array" aca="1" ref="V248" ca="1">IFERROR((1/PptoSty[[#This Row],[Division]])*IF(PptoSty[[#This Row],[Sign]]="+",1,-1)*(IF(PptoSty[[#This Row],[POvsCT]]="PO",SUM(_xlfn.CHOOSECOLS(_xlfn._xlws.FILTER(F_RT14[],(IF($M248="X",TRUE,F_RT14[Site]=$M248))*(F_RT14[Measure]=V$4)*(F_RT14[PrjId]=PptoSty[[#This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48" s="206" cm="1">
        <f t="array" aca="1" ref="W248" ca="1">IFERROR((1/PptoSty[[#This Row],[Division]])*IF(PptoSty[[#This Row],[Sign]]="+",1,-1)*(IF(PptoSty[[#This Row],[POvsCT]]="PO",SUM(_xlfn.CHOOSECOLS(_xlfn._xlws.FILTER(F_RT14[],(IF($M248="X",TRUE,F_RT14[Site]=$M248))*(F_RT14[Measure]=W$4)*(F_RT14[PrjId]=PptoSty[[#This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48" s="338" cm="1">
        <f t="array" ref="X248">IFERROR(IF(PptoSty[[#This Row],[Nature]]&lt;&gt;"Hrs",0,(1/PptoSty[[#This Row],[Division]])*IF(PptoSty[[#This Row],[Sign]]="+",1,-1)*(IF(PptoSty[[#This Row],[POvsCT]]="PO",SUM(_xlfn.CHOOSECOLS(_xlfn._xlws.FILTER(F_RT14[],(IF($M248="X",TRUE,F_RT14[Site]=$M248))*(F_RT14[Measure]=X$4)*(F_RT14[PrjId]=PptoSty[[#This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48" s="338" cm="1">
        <f t="array" ref="Y248">IFERROR(IF(PptoSty[[#This Row],[Nature]]&lt;&gt;"Hrs",0,(1/PptoSty[[#This Row],[Division]])*IF(PptoSty[[#This Row],[Sign]]="+",1,-1)*(IF(PptoSty[[#This Row],[POvsCT]]="PO",SUM(_xlfn.CHOOSECOLS(_xlfn._xlws.FILTER(F_RT14[],(IF($M248="X",TRUE,F_RT14[Site]=$M248))*(F_RT14[Measure]=Y$4)*(F_RT14[PrjId]=PptoSty[[#This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48" s="338" cm="1">
        <f t="array" ref="Z248">IFERROR(IF(PptoSty[[#This Row],[Nature]]&lt;&gt;"Hrs",0,(1/PptoSty[[#This Row],[Division]])*IF(PptoSty[[#This Row],[Sign]]="+",1,-1)*(IF(PptoSty[[#This Row],[POvsCT]]="PO",SUM(_xlfn.CHOOSECOLS(_xlfn._xlws.FILTER(F_RT14[],(IF($M248="X",TRUE,F_RT14[Site]=$M248))*(F_RT14[Measure]=Z$4)*(F_RT14[PrjId]=PptoSty[[#This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48" s="206" cm="1">
        <f t="array" aca="1" ref="AA248"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48" s="206" cm="1">
        <f t="array" aca="1" ref="AB248"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48" s="206" cm="1">
        <f t="array" aca="1" ref="AC248"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c r="AG248"/>
      <c r="AH248"/>
      <c r="AI248"/>
      <c r="AK248" s="113"/>
      <c r="AO248"/>
      <c r="AP248"/>
      <c r="AZ248" s="175"/>
      <c r="BA248" s="175"/>
      <c r="BE248"/>
      <c r="BF248"/>
      <c r="DG248" s="175"/>
      <c r="DH248" s="175"/>
      <c r="DI248" s="175"/>
      <c r="DL248" s="108"/>
      <c r="DM248" s="366" t="str" cm="1">
        <f t="array" aca="1" ref="DM248" ca="1">IF(_xlfn.LET(_xlpm.x,INDIRECT("rc"&amp;MATCH("PRJ",$1:$1,0),FALSE),_xlpm.y,INDIRECT("rc"&amp;MATCH("VRS",$1:$1,0),FALSE),_xlpm.z,INDIRECT("rc"&amp;MATCH("PIR",$1:$1,0),FALSE),_xlpm.v,INDIRECT("rc"&amp;MATCH("PCT",$1:$1,0),FALSE),OR(_xlpm.x="",_xlpm.y="",_xlpm.z="",_xlpm.x="X",AND(_xlpm.y="X",_xlpm.v="PO"),_xlpm.z="")),"X",_xlfn.LET(_xlpm.x,SUM(ROW()),_xlpm.y,MATCH(DM$1,$1:$1,0),_xlpm.z,INDIRECT("rc[+2]#",FALSE),ADDRESS(_xlpm.x,_xlpm.y+1,4)&amp;":"&amp;ADDRESS(_xlpm.x,1+_xlpm.y+COUNT(CODE(_xlfn._xlws.FILTER(_xlpm.z,_xlpm.z&lt;&gt;"X","X"))),4)))</f>
        <v>X</v>
      </c>
      <c r="DN248" s="177" t="s">
        <v>375</v>
      </c>
      <c r="DO248" s="177" t="str" cm="1">
        <f t="array" aca="1" ref="DO248" ca="1">_xlfn.LET(_xlpm.x,INDIRECT("rc["&amp;SUM(MATCH("PRJ",$1:$1,0)-COLUMN())&amp;"]",FALSE),_xlpm.y,INDIRECT("rc["&amp;SUM(MATCH("VRS",$1:$1,0)-COLUMN())&amp;"]",FALSE),_xlpm.z,INDIRECT("rc["&amp;SUM(MATCH("PIR",$1:$1,0)-COLUMN())&amp;"]",FALSE),_xlpm.w,INDIRECT("rc["&amp;SUM(MATCH("PCT",$1:$1,0)-COLUMN())&amp;"]",FALSE),_xlpm.v,INDIRECT("rc["&amp;SUM(MATCH("RWG",$1:$1,0)-COLUMN())&amp;"]",FALSE),IF(_xlpm.w="PO",IF(OR(_xlpm.x="",_xlpm.y="",_xlpm.z="",_xlpm.x="X",_xlpm.y="X",_xlpm.z=""),"X",TRANSPOSE(_xlfn._xlws.SORT(_xlfn.UNIQUE(_xlfn._xlws.FILTER(F_RT15[Attribute],(F_RT15[PrjId]=_xlpm.x)*(F_RT15[Vrs]=_xlpm.y)*(F_RT15[Módulo]=_xlpm.z),"X"))))),TRANSPOSE(_xlfn._xlws.SORT(_xlfn.UNIQUE(UPPER(_xlfn._xlws.FILTER(CstClcCur[Attribute],(CstClcCur[Name]=_xlpm.v)*(CstClcCur[Value]&lt;&gt;0),"X")))))))</f>
        <v>X</v>
      </c>
      <c r="DP248" s="177"/>
      <c r="DQ248" s="177"/>
      <c r="DR248" s="177"/>
      <c r="DS248" s="177"/>
      <c r="DT248" s="177"/>
      <c r="DU248" s="177"/>
      <c r="DV248" s="177"/>
      <c r="DW248" s="177"/>
      <c r="DX248" s="177"/>
      <c r="DY248" s="177"/>
      <c r="DZ248" s="177"/>
      <c r="EA248" s="177"/>
      <c r="EB248" s="177"/>
      <c r="EC248" s="177"/>
      <c r="ED248" s="177"/>
    </row>
    <row r="249" spans="1:134">
      <c r="F249" s="221"/>
      <c r="I249" s="339" t="str" cm="1">
        <f t="array" aca="1" ref="I249"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49" s="203" t="str" cm="1">
        <f t="array" ref="J249">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49" s="96"/>
      <c r="L249" s="96"/>
      <c r="M249" s="96" t="s">
        <v>375</v>
      </c>
      <c r="N249" s="96" t="str" cm="1">
        <f t="array" ref="N249">IF(OR(PptoSty[[#This Row],[Project]]="",PptoSty[[#This Row],[Project]]="X"),"X",_xlfn._xlws.FILTER(TbAssign[RowId],(TbAssign[Project]=PptoSty[[#This Row],[Project]])*(TbAssign[Módulo]=PptoSty[[#This Row],[PptoVsRow]]),"X"))</f>
        <v>X</v>
      </c>
      <c r="O249" s="96" t="str" cm="1">
        <f t="array" ref="O249">IF(OR(PptoSty[[#This Row],[Project]]="",PptoSty[[#This Row],[Project]]="X"),"X",_xlfn.UNIQUE(_xlfn._xlws.FILTER(F_RT14[Amortz.],(F_RT14[Measure]="CurPpto")*(F_RT14[PrjId]=PptoSty[[#This Row],[Project]])*(F_RT14[Vrs]=PptoSty[[#This Row],[Vrs]])*(_xlfn.TEXTAFTER(F_RT14[ActGrp],":")=PptoSty[[#This Row],[PiRow]]),"X")))</f>
        <v>X</v>
      </c>
      <c r="P249" s="96"/>
      <c r="Q249" s="96"/>
      <c r="R249" s="204" t="s">
        <v>403</v>
      </c>
      <c r="S249" s="204">
        <v>1</v>
      </c>
      <c r="T249" s="205" t="str" cm="1">
        <f t="array" aca="1" ref="T249"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49" s="206" t="str" cm="1">
        <f t="array" aca="1" ref="U249" ca="1">IFERROR((1/PptoSty[[#This Row],[Division]])*IF(PptoSty[[#This Row],[Sign]]="+",1,-1)*(IF(PptoSty[[#This Row],[POvsCT]]="PO",SUM(_xlfn.CHOOSECOLS(_xlfn._xlws.FILTER(F_RT14[],(IF($M249="X",TRUE,F_RT14[Site]=$M249))*(F_RT14[Measure]=U$4)*(F_RT14[PrjId]=PptoSty[[#This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49" s="206" cm="1">
        <f t="array" aca="1" ref="V249" ca="1">IFERROR((1/PptoSty[[#This Row],[Division]])*IF(PptoSty[[#This Row],[Sign]]="+",1,-1)*(IF(PptoSty[[#This Row],[POvsCT]]="PO",SUM(_xlfn.CHOOSECOLS(_xlfn._xlws.FILTER(F_RT14[],(IF($M249="X",TRUE,F_RT14[Site]=$M249))*(F_RT14[Measure]=V$4)*(F_RT14[PrjId]=PptoSty[[#This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49" s="206" cm="1">
        <f t="array" aca="1" ref="W249" ca="1">IFERROR((1/PptoSty[[#This Row],[Division]])*IF(PptoSty[[#This Row],[Sign]]="+",1,-1)*(IF(PptoSty[[#This Row],[POvsCT]]="PO",SUM(_xlfn.CHOOSECOLS(_xlfn._xlws.FILTER(F_RT14[],(IF($M249="X",TRUE,F_RT14[Site]=$M249))*(F_RT14[Measure]=W$4)*(F_RT14[PrjId]=PptoSty[[#This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49" s="338" cm="1">
        <f t="array" ref="X249">IFERROR(IF(PptoSty[[#This Row],[Nature]]&lt;&gt;"Hrs",0,(1/PptoSty[[#This Row],[Division]])*IF(PptoSty[[#This Row],[Sign]]="+",1,-1)*(IF(PptoSty[[#This Row],[POvsCT]]="PO",SUM(_xlfn.CHOOSECOLS(_xlfn._xlws.FILTER(F_RT14[],(IF($M249="X",TRUE,F_RT14[Site]=$M249))*(F_RT14[Measure]=X$4)*(F_RT14[PrjId]=PptoSty[[#This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49" s="338" cm="1">
        <f t="array" ref="Y249">IFERROR(IF(PptoSty[[#This Row],[Nature]]&lt;&gt;"Hrs",0,(1/PptoSty[[#This Row],[Division]])*IF(PptoSty[[#This Row],[Sign]]="+",1,-1)*(IF(PptoSty[[#This Row],[POvsCT]]="PO",SUM(_xlfn.CHOOSECOLS(_xlfn._xlws.FILTER(F_RT14[],(IF($M249="X",TRUE,F_RT14[Site]=$M249))*(F_RT14[Measure]=Y$4)*(F_RT14[PrjId]=PptoSty[[#This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49" s="338" cm="1">
        <f t="array" ref="Z249">IFERROR(IF(PptoSty[[#This Row],[Nature]]&lt;&gt;"Hrs",0,(1/PptoSty[[#This Row],[Division]])*IF(PptoSty[[#This Row],[Sign]]="+",1,-1)*(IF(PptoSty[[#This Row],[POvsCT]]="PO",SUM(_xlfn.CHOOSECOLS(_xlfn._xlws.FILTER(F_RT14[],(IF($M249="X",TRUE,F_RT14[Site]=$M249))*(F_RT14[Measure]=Z$4)*(F_RT14[PrjId]=PptoSty[[#This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49" s="206" cm="1">
        <f t="array" aca="1" ref="AA249"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49" s="206" cm="1">
        <f t="array" aca="1" ref="AB249"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49" s="206" cm="1">
        <f t="array" aca="1" ref="AC249"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row>
    <row r="250" spans="1:134">
      <c r="F250" s="221"/>
      <c r="I250" s="339" t="str" cm="1">
        <f t="array" aca="1" ref="I250"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50" s="203" t="str" cm="1">
        <f t="array" ref="J250">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50" s="96"/>
      <c r="L250" s="96"/>
      <c r="M250" s="96" t="s">
        <v>375</v>
      </c>
      <c r="N250" s="96" t="str" cm="1">
        <f t="array" ref="N250">IF(OR(PptoSty[[#This Row],[Project]]="",PptoSty[[#This Row],[Project]]="X"),"X",_xlfn._xlws.FILTER(TbAssign[RowId],(TbAssign[Project]=PptoSty[[#This Row],[Project]])*(TbAssign[Módulo]=PptoSty[[#This Row],[PptoVsRow]]),"X"))</f>
        <v>X</v>
      </c>
      <c r="O250" s="96" t="str" cm="1">
        <f t="array" ref="O250">IF(OR(PptoSty[[#This Row],[Project]]="",PptoSty[[#This Row],[Project]]="X"),"X",_xlfn.UNIQUE(_xlfn._xlws.FILTER(F_RT14[Amortz.],(F_RT14[Measure]="CurPpto")*(F_RT14[PrjId]=PptoSty[[#This Row],[Project]])*(F_RT14[Vrs]=PptoSty[[#This Row],[Vrs]])*(_xlfn.TEXTAFTER(F_RT14[ActGrp],":")=PptoSty[[#This Row],[PiRow]]),"X")))</f>
        <v>X</v>
      </c>
      <c r="P250" s="96"/>
      <c r="Q250" s="96"/>
      <c r="R250" s="204" t="s">
        <v>403</v>
      </c>
      <c r="S250" s="204">
        <v>1</v>
      </c>
      <c r="T250" s="205" t="str" cm="1">
        <f t="array" aca="1" ref="T250"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50" s="206" t="str" cm="1">
        <f t="array" aca="1" ref="U250" ca="1">IFERROR((1/PptoSty[[#This Row],[Division]])*IF(PptoSty[[#This Row],[Sign]]="+",1,-1)*(IF(PptoSty[[#This Row],[POvsCT]]="PO",SUM(_xlfn.CHOOSECOLS(_xlfn._xlws.FILTER(F_RT14[],(IF($M250="X",TRUE,F_RT14[Site]=$M250))*(F_RT14[Measure]=U$4)*(F_RT14[PrjId]=PptoSty[[#This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50" s="206" cm="1">
        <f t="array" aca="1" ref="V250" ca="1">IFERROR((1/PptoSty[[#This Row],[Division]])*IF(PptoSty[[#This Row],[Sign]]="+",1,-1)*(IF(PptoSty[[#This Row],[POvsCT]]="PO",SUM(_xlfn.CHOOSECOLS(_xlfn._xlws.FILTER(F_RT14[],(IF($M250="X",TRUE,F_RT14[Site]=$M250))*(F_RT14[Measure]=V$4)*(F_RT14[PrjId]=PptoSty[[#This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50" s="206" cm="1">
        <f t="array" aca="1" ref="W250" ca="1">IFERROR((1/PptoSty[[#This Row],[Division]])*IF(PptoSty[[#This Row],[Sign]]="+",1,-1)*(IF(PptoSty[[#This Row],[POvsCT]]="PO",SUM(_xlfn.CHOOSECOLS(_xlfn._xlws.FILTER(F_RT14[],(IF($M250="X",TRUE,F_RT14[Site]=$M250))*(F_RT14[Measure]=W$4)*(F_RT14[PrjId]=PptoSty[[#This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50" s="338" cm="1">
        <f t="array" ref="X250">IFERROR(IF(PptoSty[[#This Row],[Nature]]&lt;&gt;"Hrs",0,(1/PptoSty[[#This Row],[Division]])*IF(PptoSty[[#This Row],[Sign]]="+",1,-1)*(IF(PptoSty[[#This Row],[POvsCT]]="PO",SUM(_xlfn.CHOOSECOLS(_xlfn._xlws.FILTER(F_RT14[],(IF($M250="X",TRUE,F_RT14[Site]=$M250))*(F_RT14[Measure]=X$4)*(F_RT14[PrjId]=PptoSty[[#This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50" s="338" cm="1">
        <f t="array" ref="Y250">IFERROR(IF(PptoSty[[#This Row],[Nature]]&lt;&gt;"Hrs",0,(1/PptoSty[[#This Row],[Division]])*IF(PptoSty[[#This Row],[Sign]]="+",1,-1)*(IF(PptoSty[[#This Row],[POvsCT]]="PO",SUM(_xlfn.CHOOSECOLS(_xlfn._xlws.FILTER(F_RT14[],(IF($M250="X",TRUE,F_RT14[Site]=$M250))*(F_RT14[Measure]=Y$4)*(F_RT14[PrjId]=PptoSty[[#This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50" s="338" cm="1">
        <f t="array" ref="Z250">IFERROR(IF(PptoSty[[#This Row],[Nature]]&lt;&gt;"Hrs",0,(1/PptoSty[[#This Row],[Division]])*IF(PptoSty[[#This Row],[Sign]]="+",1,-1)*(IF(PptoSty[[#This Row],[POvsCT]]="PO",SUM(_xlfn.CHOOSECOLS(_xlfn._xlws.FILTER(F_RT14[],(IF($M250="X",TRUE,F_RT14[Site]=$M250))*(F_RT14[Measure]=Z$4)*(F_RT14[PrjId]=PptoSty[[#This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50" s="206" cm="1">
        <f t="array" aca="1" ref="AA250"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50" s="206" cm="1">
        <f t="array" aca="1" ref="AB250"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50" s="206" cm="1">
        <f t="array" aca="1" ref="AC250"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row>
    <row r="251" spans="1:134">
      <c r="F251" s="221"/>
      <c r="I251" s="339" t="str" cm="1">
        <f t="array" aca="1" ref="I251"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51" s="203" t="str" cm="1">
        <f t="array" ref="J251">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51" s="96"/>
      <c r="L251" s="96"/>
      <c r="M251" s="96" t="s">
        <v>375</v>
      </c>
      <c r="N251" s="96" t="str" cm="1">
        <f t="array" ref="N251">IF(OR(PptoSty[[#This Row],[Project]]="",PptoSty[[#This Row],[Project]]="X"),"X",_xlfn._xlws.FILTER(TbAssign[RowId],(TbAssign[Project]=PptoSty[[#This Row],[Project]])*(TbAssign[Módulo]=PptoSty[[#This Row],[PptoVsRow]]),"X"))</f>
        <v>X</v>
      </c>
      <c r="O251" s="96" t="str" cm="1">
        <f t="array" ref="O251">IF(OR(PptoSty[[#This Row],[Project]]="",PptoSty[[#This Row],[Project]]="X"),"X",_xlfn.UNIQUE(_xlfn._xlws.FILTER(F_RT14[Amortz.],(F_RT14[Measure]="CurPpto")*(F_RT14[PrjId]=PptoSty[[#This Row],[Project]])*(F_RT14[Vrs]=PptoSty[[#This Row],[Vrs]])*(_xlfn.TEXTAFTER(F_RT14[ActGrp],":")=PptoSty[[#This Row],[PiRow]]),"X")))</f>
        <v>X</v>
      </c>
      <c r="P251" s="96"/>
      <c r="Q251" s="96"/>
      <c r="R251" s="204" t="s">
        <v>403</v>
      </c>
      <c r="S251" s="204">
        <v>1</v>
      </c>
      <c r="T251" s="205" t="str" cm="1">
        <f t="array" aca="1" ref="T251"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51" s="206" t="str" cm="1">
        <f t="array" aca="1" ref="U251" ca="1">IFERROR((1/PptoSty[[#This Row],[Division]])*IF(PptoSty[[#This Row],[Sign]]="+",1,-1)*(IF(PptoSty[[#This Row],[POvsCT]]="PO",SUM(_xlfn.CHOOSECOLS(_xlfn._xlws.FILTER(F_RT14[],(IF($M251="X",TRUE,F_RT14[Site]=$M251))*(F_RT14[Measure]=U$4)*(F_RT14[PrjId]=PptoSty[[#This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51" s="206" cm="1">
        <f t="array" aca="1" ref="V251" ca="1">IFERROR((1/PptoSty[[#This Row],[Division]])*IF(PptoSty[[#This Row],[Sign]]="+",1,-1)*(IF(PptoSty[[#This Row],[POvsCT]]="PO",SUM(_xlfn.CHOOSECOLS(_xlfn._xlws.FILTER(F_RT14[],(IF($M251="X",TRUE,F_RT14[Site]=$M251))*(F_RT14[Measure]=V$4)*(F_RT14[PrjId]=PptoSty[[#This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51" s="206" cm="1">
        <f t="array" aca="1" ref="W251" ca="1">IFERROR((1/PptoSty[[#This Row],[Division]])*IF(PptoSty[[#This Row],[Sign]]="+",1,-1)*(IF(PptoSty[[#This Row],[POvsCT]]="PO",SUM(_xlfn.CHOOSECOLS(_xlfn._xlws.FILTER(F_RT14[],(IF($M251="X",TRUE,F_RT14[Site]=$M251))*(F_RT14[Measure]=W$4)*(F_RT14[PrjId]=PptoSty[[#This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51" s="338" cm="1">
        <f t="array" ref="X251">IFERROR(IF(PptoSty[[#This Row],[Nature]]&lt;&gt;"Hrs",0,(1/PptoSty[[#This Row],[Division]])*IF(PptoSty[[#This Row],[Sign]]="+",1,-1)*(IF(PptoSty[[#This Row],[POvsCT]]="PO",SUM(_xlfn.CHOOSECOLS(_xlfn._xlws.FILTER(F_RT14[],(IF($M251="X",TRUE,F_RT14[Site]=$M251))*(F_RT14[Measure]=X$4)*(F_RT14[PrjId]=PptoSty[[#This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51" s="338" cm="1">
        <f t="array" ref="Y251">IFERROR(IF(PptoSty[[#This Row],[Nature]]&lt;&gt;"Hrs",0,(1/PptoSty[[#This Row],[Division]])*IF(PptoSty[[#This Row],[Sign]]="+",1,-1)*(IF(PptoSty[[#This Row],[POvsCT]]="PO",SUM(_xlfn.CHOOSECOLS(_xlfn._xlws.FILTER(F_RT14[],(IF($M251="X",TRUE,F_RT14[Site]=$M251))*(F_RT14[Measure]=Y$4)*(F_RT14[PrjId]=PptoSty[[#This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51" s="338" cm="1">
        <f t="array" ref="Z251">IFERROR(IF(PptoSty[[#This Row],[Nature]]&lt;&gt;"Hrs",0,(1/PptoSty[[#This Row],[Division]])*IF(PptoSty[[#This Row],[Sign]]="+",1,-1)*(IF(PptoSty[[#This Row],[POvsCT]]="PO",SUM(_xlfn.CHOOSECOLS(_xlfn._xlws.FILTER(F_RT14[],(IF($M251="X",TRUE,F_RT14[Site]=$M251))*(F_RT14[Measure]=Z$4)*(F_RT14[PrjId]=PptoSty[[#This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51" s="206" cm="1">
        <f t="array" aca="1" ref="AA251"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51" s="206" cm="1">
        <f t="array" aca="1" ref="AB251"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51" s="206" cm="1">
        <f t="array" aca="1" ref="AC251"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row>
    <row r="252" spans="1:134">
      <c r="F252" s="221"/>
      <c r="I252" s="339" t="str" cm="1">
        <f t="array" aca="1" ref="I252"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52" s="203" t="str" cm="1">
        <f t="array" ref="J252">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52" s="96"/>
      <c r="L252" s="96"/>
      <c r="M252" s="96" t="s">
        <v>375</v>
      </c>
      <c r="N252" s="96" t="str" cm="1">
        <f t="array" ref="N252">IF(OR(PptoSty[[#This Row],[Project]]="",PptoSty[[#This Row],[Project]]="X"),"X",_xlfn._xlws.FILTER(TbAssign[RowId],(TbAssign[Project]=PptoSty[[#This Row],[Project]])*(TbAssign[Módulo]=PptoSty[[#This Row],[PptoVsRow]]),"X"))</f>
        <v>X</v>
      </c>
      <c r="O252" s="96" t="str" cm="1">
        <f t="array" ref="O252">IF(OR(PptoSty[[#This Row],[Project]]="",PptoSty[[#This Row],[Project]]="X"),"X",_xlfn.UNIQUE(_xlfn._xlws.FILTER(F_RT14[Amortz.],(F_RT14[Measure]="CurPpto")*(F_RT14[PrjId]=PptoSty[[#This Row],[Project]])*(F_RT14[Vrs]=PptoSty[[#This Row],[Vrs]])*(_xlfn.TEXTAFTER(F_RT14[ActGrp],":")=PptoSty[[#This Row],[PiRow]]),"X")))</f>
        <v>X</v>
      </c>
      <c r="P252" s="96"/>
      <c r="Q252" s="96"/>
      <c r="R252" s="204" t="s">
        <v>403</v>
      </c>
      <c r="S252" s="204">
        <v>1</v>
      </c>
      <c r="T252" s="205" t="str" cm="1">
        <f t="array" aca="1" ref="T252"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52" s="206" t="str" cm="1">
        <f t="array" aca="1" ref="U252" ca="1">IFERROR((1/PptoSty[[#This Row],[Division]])*IF(PptoSty[[#This Row],[Sign]]="+",1,-1)*(IF(PptoSty[[#This Row],[POvsCT]]="PO",SUM(_xlfn.CHOOSECOLS(_xlfn._xlws.FILTER(F_RT14[],(IF($M252="X",TRUE,F_RT14[Site]=$M252))*(F_RT14[Measure]=U$4)*(F_RT14[PrjId]=PptoSty[[#This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52" s="206" cm="1">
        <f t="array" aca="1" ref="V252" ca="1">IFERROR((1/PptoSty[[#This Row],[Division]])*IF(PptoSty[[#This Row],[Sign]]="+",1,-1)*(IF(PptoSty[[#This Row],[POvsCT]]="PO",SUM(_xlfn.CHOOSECOLS(_xlfn._xlws.FILTER(F_RT14[],(IF($M252="X",TRUE,F_RT14[Site]=$M252))*(F_RT14[Measure]=V$4)*(F_RT14[PrjId]=PptoSty[[#This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52" s="206" cm="1">
        <f t="array" aca="1" ref="W252" ca="1">IFERROR((1/PptoSty[[#This Row],[Division]])*IF(PptoSty[[#This Row],[Sign]]="+",1,-1)*(IF(PptoSty[[#This Row],[POvsCT]]="PO",SUM(_xlfn.CHOOSECOLS(_xlfn._xlws.FILTER(F_RT14[],(IF($M252="X",TRUE,F_RT14[Site]=$M252))*(F_RT14[Measure]=W$4)*(F_RT14[PrjId]=PptoSty[[#This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52" s="338" cm="1">
        <f t="array" ref="X252">IFERROR(IF(PptoSty[[#This Row],[Nature]]&lt;&gt;"Hrs",0,(1/PptoSty[[#This Row],[Division]])*IF(PptoSty[[#This Row],[Sign]]="+",1,-1)*(IF(PptoSty[[#This Row],[POvsCT]]="PO",SUM(_xlfn.CHOOSECOLS(_xlfn._xlws.FILTER(F_RT14[],(IF($M252="X",TRUE,F_RT14[Site]=$M252))*(F_RT14[Measure]=X$4)*(F_RT14[PrjId]=PptoSty[[#This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52" s="338" cm="1">
        <f t="array" ref="Y252">IFERROR(IF(PptoSty[[#This Row],[Nature]]&lt;&gt;"Hrs",0,(1/PptoSty[[#This Row],[Division]])*IF(PptoSty[[#This Row],[Sign]]="+",1,-1)*(IF(PptoSty[[#This Row],[POvsCT]]="PO",SUM(_xlfn.CHOOSECOLS(_xlfn._xlws.FILTER(F_RT14[],(IF($M252="X",TRUE,F_RT14[Site]=$M252))*(F_RT14[Measure]=Y$4)*(F_RT14[PrjId]=PptoSty[[#This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52" s="338" cm="1">
        <f t="array" ref="Z252">IFERROR(IF(PptoSty[[#This Row],[Nature]]&lt;&gt;"Hrs",0,(1/PptoSty[[#This Row],[Division]])*IF(PptoSty[[#This Row],[Sign]]="+",1,-1)*(IF(PptoSty[[#This Row],[POvsCT]]="PO",SUM(_xlfn.CHOOSECOLS(_xlfn._xlws.FILTER(F_RT14[],(IF($M252="X",TRUE,F_RT14[Site]=$M252))*(F_RT14[Measure]=Z$4)*(F_RT14[PrjId]=PptoSty[[#This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52" s="206" cm="1">
        <f t="array" aca="1" ref="AA252"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52" s="206" cm="1">
        <f t="array" aca="1" ref="AB252"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52" s="206" cm="1">
        <f t="array" aca="1" ref="AC252"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row>
    <row r="253" spans="1:134">
      <c r="F253" s="221"/>
      <c r="I253" s="339" t="str" cm="1">
        <f t="array" aca="1" ref="I253"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53" s="203" t="str" cm="1">
        <f t="array" ref="J253">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53" s="96"/>
      <c r="L253" s="96"/>
      <c r="M253" s="96" t="s">
        <v>375</v>
      </c>
      <c r="N253" s="96" t="str" cm="1">
        <f t="array" ref="N253">IF(OR(PptoSty[[#This Row],[Project]]="",PptoSty[[#This Row],[Project]]="X"),"X",_xlfn._xlws.FILTER(TbAssign[RowId],(TbAssign[Project]=PptoSty[[#This Row],[Project]])*(TbAssign[Módulo]=PptoSty[[#This Row],[PptoVsRow]]),"X"))</f>
        <v>X</v>
      </c>
      <c r="O253" s="96" t="str" cm="1">
        <f t="array" ref="O253">IF(OR(PptoSty[[#This Row],[Project]]="",PptoSty[[#This Row],[Project]]="X"),"X",_xlfn.UNIQUE(_xlfn._xlws.FILTER(F_RT14[Amortz.],(F_RT14[Measure]="CurPpto")*(F_RT14[PrjId]=PptoSty[[#This Row],[Project]])*(F_RT14[Vrs]=PptoSty[[#This Row],[Vrs]])*(_xlfn.TEXTAFTER(F_RT14[ActGrp],":")=PptoSty[[#This Row],[PiRow]]),"X")))</f>
        <v>X</v>
      </c>
      <c r="P253" s="96"/>
      <c r="Q253" s="96"/>
      <c r="R253" s="204" t="s">
        <v>403</v>
      </c>
      <c r="S253" s="204">
        <v>1</v>
      </c>
      <c r="T253" s="205" t="str" cm="1">
        <f t="array" aca="1" ref="T253"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53" s="206" t="str" cm="1">
        <f t="array" aca="1" ref="U253" ca="1">IFERROR((1/PptoSty[[#This Row],[Division]])*IF(PptoSty[[#This Row],[Sign]]="+",1,-1)*(IF(PptoSty[[#This Row],[POvsCT]]="PO",SUM(_xlfn.CHOOSECOLS(_xlfn._xlws.FILTER(F_RT14[],(IF($M253="X",TRUE,F_RT14[Site]=$M253))*(F_RT14[Measure]=U$4)*(F_RT14[PrjId]=PptoSty[[#This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53" s="206" cm="1">
        <f t="array" aca="1" ref="V253" ca="1">IFERROR((1/PptoSty[[#This Row],[Division]])*IF(PptoSty[[#This Row],[Sign]]="+",1,-1)*(IF(PptoSty[[#This Row],[POvsCT]]="PO",SUM(_xlfn.CHOOSECOLS(_xlfn._xlws.FILTER(F_RT14[],(IF($M253="X",TRUE,F_RT14[Site]=$M253))*(F_RT14[Measure]=V$4)*(F_RT14[PrjId]=PptoSty[[#This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53" s="206" cm="1">
        <f t="array" aca="1" ref="W253" ca="1">IFERROR((1/PptoSty[[#This Row],[Division]])*IF(PptoSty[[#This Row],[Sign]]="+",1,-1)*(IF(PptoSty[[#This Row],[POvsCT]]="PO",SUM(_xlfn.CHOOSECOLS(_xlfn._xlws.FILTER(F_RT14[],(IF($M253="X",TRUE,F_RT14[Site]=$M253))*(F_RT14[Measure]=W$4)*(F_RT14[PrjId]=PptoSty[[#This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53" s="338" cm="1">
        <f t="array" ref="X253">IFERROR(IF(PptoSty[[#This Row],[Nature]]&lt;&gt;"Hrs",0,(1/PptoSty[[#This Row],[Division]])*IF(PptoSty[[#This Row],[Sign]]="+",1,-1)*(IF(PptoSty[[#This Row],[POvsCT]]="PO",SUM(_xlfn.CHOOSECOLS(_xlfn._xlws.FILTER(F_RT14[],(IF($M253="X",TRUE,F_RT14[Site]=$M253))*(F_RT14[Measure]=X$4)*(F_RT14[PrjId]=PptoSty[[#This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53" s="338" cm="1">
        <f t="array" ref="Y253">IFERROR(IF(PptoSty[[#This Row],[Nature]]&lt;&gt;"Hrs",0,(1/PptoSty[[#This Row],[Division]])*IF(PptoSty[[#This Row],[Sign]]="+",1,-1)*(IF(PptoSty[[#This Row],[POvsCT]]="PO",SUM(_xlfn.CHOOSECOLS(_xlfn._xlws.FILTER(F_RT14[],(IF($M253="X",TRUE,F_RT14[Site]=$M253))*(F_RT14[Measure]=Y$4)*(F_RT14[PrjId]=PptoSty[[#This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53" s="338" cm="1">
        <f t="array" ref="Z253">IFERROR(IF(PptoSty[[#This Row],[Nature]]&lt;&gt;"Hrs",0,(1/PptoSty[[#This Row],[Division]])*IF(PptoSty[[#This Row],[Sign]]="+",1,-1)*(IF(PptoSty[[#This Row],[POvsCT]]="PO",SUM(_xlfn.CHOOSECOLS(_xlfn._xlws.FILTER(F_RT14[],(IF($M253="X",TRUE,F_RT14[Site]=$M253))*(F_RT14[Measure]=Z$4)*(F_RT14[PrjId]=PptoSty[[#This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53" s="206" cm="1">
        <f t="array" aca="1" ref="AA253"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53" s="206" cm="1">
        <f t="array" aca="1" ref="AB253"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53" s="206" cm="1">
        <f t="array" aca="1" ref="AC253"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row>
    <row r="254" spans="1:134">
      <c r="F254" s="221"/>
      <c r="I254" s="339" t="str" cm="1">
        <f t="array" aca="1" ref="I254" ca="1">IFERROR(IF(PptoSty[[#This Row],[POvsCT]]="PO",_xlfn.UNIQUE(_xlfn.TEXTBEFORE(_xlfn._xlws.FILTER(F_RT14[ActGrp],(F_RT14[Measure]="CurPpto")*(F_RT14[Vrs]=PptoSty[[#This Row],[Vrs]])*(_xlfn.TEXTAFTER(F_RT14[ActGrp],":")=PptoSty[[#This Row],[PiRow]]),"X"),":")),_xlfn._xlws.FILTER(#REF!,#REF!=TEXT(INDIRECT("rc["&amp;SUM(MATCH("PRJ",$1:$1,0)-COLUMN())&amp;"]",FALSE),"@"),"X")&amp;INDIRECT("rc["&amp;SUM(MATCH("PCT",$1:$1,0)-COLUMN())&amp;"]",FALSE)&amp;TEXT(INDIRECT("rc["&amp;SUM(MATCH("PCN",$1:$1,0)-COLUMN())&amp;"]",FALSE),"000")),"X")</f>
        <v>X</v>
      </c>
      <c r="J254" s="203" t="str" cm="1">
        <f t="array" ref="J254">IF(OR(PptoSty[[#This Row],[Project]]="",PptoSty[[#This Row],[Project]]="X"),"X",_xlfn.UNIQUE(_xlfn._xlws.FILTER(CstGrpS[Nature],ISNUMBER(FIND(IF(PptoSty[[#This Row],[PiColumn]]="ADICIONALES","MATERIAL MECÁNICO",IF(PptoSty[[#This Row],[PiColumn]]="DISEÑO ELÉCTRICO","AUTOMATISMOS",SUBSTITUTE(SUBSTITUTE(PptoSty[[#This Row],[PiColumn]]," +%",""),"INGENIERÍA ",""))),UPPER(SUBSTITUTE(CstGrpS[GrpPrv],"  "," ")))),"X")))</f>
        <v>X</v>
      </c>
      <c r="K254" s="96"/>
      <c r="L254" s="96"/>
      <c r="M254" s="96" t="s">
        <v>375</v>
      </c>
      <c r="N254" s="96" t="str" cm="1">
        <f t="array" ref="N254">IF(OR(PptoSty[[#This Row],[Project]]="",PptoSty[[#This Row],[Project]]="X"),"X",_xlfn._xlws.FILTER(TbAssign[RowId],(TbAssign[Project]=PptoSty[[#This Row],[Project]])*(TbAssign[Módulo]=PptoSty[[#This Row],[PptoVsRow]]),"X"))</f>
        <v>X</v>
      </c>
      <c r="O254" s="96" t="str" cm="1">
        <f t="array" ref="O254">IF(OR(PptoSty[[#This Row],[Project]]="",PptoSty[[#This Row],[Project]]="X"),"X",_xlfn.UNIQUE(_xlfn._xlws.FILTER(F_RT14[Amortz.],(F_RT14[Measure]="CurPpto")*(F_RT14[PrjId]=PptoSty[[#This Row],[Project]])*(F_RT14[Vrs]=PptoSty[[#This Row],[Vrs]])*(_xlfn.TEXTAFTER(F_RT14[ActGrp],":")=PptoSty[[#This Row],[PiRow]]),"X")))</f>
        <v>X</v>
      </c>
      <c r="P254" s="96"/>
      <c r="Q254" s="96"/>
      <c r="R254" s="204" t="s">
        <v>403</v>
      </c>
      <c r="S254" s="204">
        <v>1</v>
      </c>
      <c r="T254" s="205" t="str" cm="1">
        <f t="array" aca="1" ref="T254" ca="1">IF(PptoSty[[#This Row],[POvsCT]]="PO",IF(OR(PptoSty[[#This Row],[Project]]="",PptoSty[[#This Row],[Project]]="X",PptoSty[[#This Row],[Vrs]]="",PptoSty[[#This Row],[Vrs]]="X",PptoSty[[#This Row],[RowGrp]]="",PptoSty[[#This Row],[RowGrp]]="X"),"X",IF(LEFT(PptoSty[[#This Row],[RowGrp]],1)&lt;&gt;"X",IFERROR(INDEX(INDIRECT(Fback!$B$52),MATCH(PptoSty[[#This Row],[Project]]&amp;":"&amp;PptoSty[[#This Row],[Vrs]]&amp;":"&amp;PptoSty[[#This Row],[RowGrp]]&amp;":"&amp;PptoSty[[#This Row],[PiRow]],INDIRECT(Fback!$B$53)&amp;":"&amp;INDIRECT(Fback!$C$53)&amp;":"&amp;INDIRECT(Fback!$H$53),0),MATCH(PptoSty[[#This Row],[PiColumn]],INDIRECT(Fback!$Z$54),0)),"X"),_xlfn.LET(_xlpm.x,INDIRECT(INDEX(INDIRECT(Fback!$Z$53),MATCH(SUBSTITUTE(PptoSty[[#This Row],[PiColumn]]," +%",""),SUBSTITUTE(INDIRECT(Fback!$Z$54)," +%",""),0))),IF(COUNTIFS(INDIRECT(INDEX(INDIRECT(Fback!$Z$53),MATCH("PrjId",INDIRECT(Fback!$Z$54),0))),PptoSty[[#This Row],[Project]],INDIRECT(INDEX(INDIRECT(Fback!$Z$53),MATCH("Vrs",INDIRECT(Fback!$Z$54),0))),PptoSty[[#This Row],[Vrs]],_xlpm.x,"&lt;&gt;1",_xlpm.x,"&lt;&gt;0")=0,1,0)))),IF(OR(PptoSty[[#This Row],[RowGrp]]="",PptoSty[[#This Row],[RowGrp]]="X"),"X",IF(PptoSty[[#This Row],[PiColumn]]&lt;&gt;"SUBGROUP TOTS",IFERROR(INDEX(INDIRECT(Fback!$B$258),MATCH(PptoSty[[#This Row],[RowGrp]],INDIRECT(Fback!$E$259),0),MATCH("*"&amp;PptoSty[[#This Row],[PiColumn]]&amp;"*",INDIRECT(Fback!$Z$257),0)),"X"),_xlfn.LET(_xlpm.x,INDIRECT(INDEX(INDIRECT(Fback!$Z$259),MATCH(SUBSTITUTE(PptoSty[[#This Row],[PiColumn]]," +%",""),SUBSTITUTE(INDIRECT(Fback!$Z$260)," +%",""),0))),IF(COUNTIFS(INDIRECT(INDEX(INDIRECT(Fback!$Z$259),MATCH("PrjId",INDIRECT(Fback!$Z$260),0))),PptoSty[[#This Row],[RowGrp]],_xlpm.x,"&lt;&gt;1",_xlpm.x,"&lt;&gt;0")=0,1,0)))))</f>
        <v>X</v>
      </c>
      <c r="U254" s="206" t="str" cm="1">
        <f t="array" aca="1" ref="U254" ca="1">IFERROR((1/PptoSty[[#This Row],[Division]])*IF(PptoSty[[#This Row],[Sign]]="+",1,-1)*(IF(PptoSty[[#This Row],[POvsCT]]="PO",SUM(_xlfn.CHOOSECOLS(_xlfn._xlws.FILTER(F_RT14[],(IF($M254="X",TRUE,F_RT14[Site]=$M254))*(F_RT14[Measure]=U$4)*(F_RT14[PrjId]=PptoSty[[#This Row],[Project]])*(F_RT14[Vrs]=PptoSty[[#This Row],[Vrs]])*(_xlfn.TEXTAFTER(F_RT14[ActGrp],":")=PptoSty[[#This Row],[PiRow]]),"X"),MATCH("*"&amp;PptoSty[[#This Row],[PiColumn]],F_RT14[#Headers],0))),IF(_xlfn._xlws.FILTER(TbRsmIn[Alive],TbRsmIn[Enquiry No]=PptoSty[[#This Row],[RowGrp]],"X")="C",0,_xlfn._xlws.FILTER(CstClcCur[Value],(CstClcCur[Name]=PptoSty[[#This Row],[RowGrp]])*(UPPER(CstClcCur[Attribute])=PptoSty[[#This Row],[PiColumn]]),"X")))),"X")</f>
        <v>X</v>
      </c>
      <c r="V254" s="206" cm="1">
        <f t="array" aca="1" ref="V254" ca="1">IFERROR((1/PptoSty[[#This Row],[Division]])*IF(PptoSty[[#This Row],[Sign]]="+",1,-1)*(IF(PptoSty[[#This Row],[POvsCT]]="PO",SUM(_xlfn.CHOOSECOLS(_xlfn._xlws.FILTER(F_RT14[],(IF($M254="X",TRUE,F_RT14[Site]=$M254))*(F_RT14[Measure]=V$4)*(F_RT14[PrjId]=PptoSty[[#This Row],[Project]])*(F_RT14[Vrs]=PptoSty[[#This Row],[Vrs]])*(_xlfn.TEXTAFTER(F_RT14[ActGrp],":")=PptoSty[[#This Row],[PiRow]]),"X"),MATCH("*"&amp;PptoSty[[#This Row],[PiColumn]],F_RT14[#Headers],0))),_xlfn._xlws.FILTER(F_RT13[AvgInE],(SUBSTITUTE(F_RT13[Merged],"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W254" s="206" cm="1">
        <f t="array" aca="1" ref="W254" ca="1">IFERROR((1/PptoSty[[#This Row],[Division]])*IF(PptoSty[[#This Row],[Sign]]="+",1,-1)*(IF(PptoSty[[#This Row],[POvsCT]]="PO",SUM(_xlfn.CHOOSECOLS(_xlfn._xlws.FILTER(F_RT14[],(IF($M254="X",TRUE,F_RT14[Site]=$M254))*(F_RT14[Measure]=W$4)*(F_RT14[PrjId]=PptoSty[[#This Row],[Project]])*(F_RT14[Vrs]=PptoSty[[#This Row],[Vrs]])*(_xlfn.TEXTAFTER(F_RT14[ActGrp],":")=PptoSty[[#This Row],[PiRow]]),0),MATCH("*"&amp;PptoSty[[#This Row],[PiColumn]],F_RT14[#Headers],0))),(1-_xlfn._xlws.FILTER(F_RT13[AvgInE],(SUBSTITUTE(F_RT13[Merged]," +%","")=SUBSTITUTE(SUBSTITUTE(SUBSTITUTE(IFERROR(_xlfn.TEXTBEFORE(PptoSty[[#This Row],[PptoVsColumn]]," ("),PptoSty[[#This Row],[PptoVsColumn]]),"DE ",""),"DISEÑO ELÉCTRICO","AUTOMATISMOS"),"E.N.R.","ENR"))*(F_RT13[PrjId]=PptoSty[[#This Row],[Project]])*(F_RT13[Vrs]=VALUE(_xlfn._xlws.FILTER(FilPrj4[Vrs],FilPrj4[PrjNam]=PptoSty[[#This Row],[Project]],"X"))),"X"))*PptoSty[[#This Row],[CurPpto]])),0)</f>
        <v>0</v>
      </c>
      <c r="X254" s="338" cm="1">
        <f t="array" ref="X254">IFERROR(IF(PptoSty[[#This Row],[Nature]]&lt;&gt;"Hrs",0,(1/PptoSty[[#This Row],[Division]])*IF(PptoSty[[#This Row],[Sign]]="+",1,-1)*(IF(PptoSty[[#This Row],[POvsCT]]="PO",SUM(_xlfn.CHOOSECOLS(_xlfn._xlws.FILTER(F_RT14[],(IF($M254="X",TRUE,F_RT14[Site]=$M254))*(F_RT14[Measure]=X$4)*(F_RT14[PrjId]=PptoSty[[#This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Row],[CurPpto]]/_xlpm.x))))),"X")</f>
        <v>0</v>
      </c>
      <c r="Y254" s="338" cm="1">
        <f t="array" ref="Y254">IFERROR(IF(PptoSty[[#This Row],[Nature]]&lt;&gt;"Hrs",0,(1/PptoSty[[#This Row],[Division]])*IF(PptoSty[[#This Row],[Sign]]="+",1,-1)*(IF(PptoSty[[#This Row],[POvsCT]]="PO",SUM(_xlfn.CHOOSECOLS(_xlfn._xlws.FILTER(F_RT14[],(IF($M254="X",TRUE,F_RT14[Site]=$M254))*(F_RT14[Measure]=Y$4)*(F_RT14[PrjId]=PptoSty[[#This Row],[Project]])*(F_RT14[Vrs]=PptoSty[[#This Row],[Vrs]])*(_xlfn.TEXTAFTER(F_RT14[ActGrp],":")=PptoSty[[#This Row],[PiRow]]),0),MATCH("*"&amp;PptoSty[[#This Row],[PiColumn]],F_RT14[#Headers],0))),_xlfn.LET(_xlpm.x,_xlfn._xlws.FILTER(F_RT13[AvgPpto],(SUBSTITUTE(F_RT13[Merged]," +%","")=SUBSTITUTE(SUBSTITUTE(SUBSTITUTE(IFERROR(_xlfn.TEXTBEFORE(PptoSty[[#This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Row],[CurInt]]/_xlpm.x))))),"X")</f>
        <v>0</v>
      </c>
      <c r="Z254" s="338" cm="1">
        <f t="array" ref="Z254">IFERROR(IF(PptoSty[[#This Row],[Nature]]&lt;&gt;"Hrs",0,(1/PptoSty[[#This Row],[Division]])*IF(PptoSty[[#This Row],[Sign]]="+",1,-1)*(IF(PptoSty[[#This Row],[POvsCT]]="PO",SUM(_xlfn.CHOOSECOLS(_xlfn._xlws.FILTER(F_RT14[],(IF($M254="X",TRUE,F_RT14[Site]=$M254))*(F_RT14[Measure]=Z$4)*(F_RT14[PrjId]=PptoSty[[#This Row],[Project]])*(F_RT14[Vrs]=PptoSty[[#This Row],[Vrs]])*(_xlfn.TEXTAFTER(F_RT14[ActGrp],":")=PptoSty[[#This Row],[PiRow]]),0),MATCH("*"&amp;PptoSty[[#This Row],[PiColumn]],F_RT14[#Headers],0))),_xlfn.LET(_xlpm.x,_xlfn._xlws.FILTER(F_RT13[AvgPpto],(F_RT13[Merged]=SUBSTITUTE(SUBSTITUTE(SUBSTITUTE(IFERROR(_xlfn.TEXTBEFORE(PptoSty[[#This Row],[PptoVsColumn]]," ("),PptoSty[[#This Row],[PptoVsColumn]]),"DE ",""),"DISEÑO ELÉCTRICO","AUTOMATISMOS"),"E.N.R.","ENR"))*(F_RT13[PrjId]=PptoSty[[#This Row],[Project]])*(F_RT13[Vrs]=VALUE(_xlfn._xlws.FILTER(FilPrj4[Vrs],FilPrj4[PrjNam]=PptoSty[[#This Row],[Project]],"X"))),"X"),IF(_xlpm.x=0,0,PptoSty[[#This Row],[CurExt]]/_xlpm.x))))),0)</f>
        <v>0</v>
      </c>
      <c r="AA254" s="206" cm="1">
        <f t="array" aca="1" ref="AA254" ca="1">SUM(_xlfn.LET(_xlpm.x,SUM(ROW()-MATCH("SOR",$A:$A,0)),_xlpm.yA,INDIRECT(INDEX(INDIRECT($AD$3),MATCH("PRJ",INDIRECT($AD$2),0))),_xlpm.yB,INDIRECT(INDEX(INDIRECT($AD$3),MATCH("ROW",INDIRECT($AD$2),0))),_xlpm.yC,INDIRECT(INDEX(INDIRECT($AD$3),MATCH("COL",INDIRECT($AD$2),0))),_xlpm.yD,INDIRECT(INDEX(INDIRECT($AD$3),MATCH("C"&amp;RIGHT(AA$1,2),INDIRECT($AD$2),0))),SUM(IF((_xlfn.TAKE(_xlpm.yA,_xlpm.x)=PptoSty[[#This Row],[Project]])*(_xlfn.TAKE(_xlpm.yB,_xlpm.x)=PptoSty[[#This Row],[PptoVsRow]])*(_xlfn.TAKE(_xlpm.yC,_xlpm.x)=PptoSty[[#This Row],[PptoVsColumn]]),_xlfn.TAKE(_xlpm.yD,_xlpm.x)))))</f>
        <v>0</v>
      </c>
      <c r="AB254" s="206" cm="1">
        <f t="array" aca="1" ref="AB254" ca="1">SUM(_xlfn.LET(_xlpm.x,SUM(ROW()-MATCH("SOR",$A:$A,0)),_xlpm.yA,INDIRECT(INDEX(INDIRECT($AD$3),MATCH("PRJ",INDIRECT($AD$2),0))),_xlpm.yB,INDIRECT(INDEX(INDIRECT($AD$3),MATCH("ROW",INDIRECT($AD$2),0))),_xlpm.yC,INDIRECT(INDEX(INDIRECT($AD$3),MATCH("COL",INDIRECT($AD$2),0))),_xlpm.yD,INDIRECT(INDEX(INDIRECT($AD$3),MATCH("C"&amp;RIGHT(AB$1,2),INDIRECT($AD$2),0))),SUM(IF((_xlfn.TAKE(_xlpm.yA,_xlpm.x)=PptoSty[[#This Row],[Project]])*(_xlfn.TAKE(_xlpm.yB,_xlpm.x)=PptoSty[[#This Row],[PptoVsRow]])*(_xlfn.TAKE(_xlpm.yC,_xlpm.x)=PptoSty[[#This Row],[PptoVsColumn]]),_xlfn.TAKE(_xlpm.yD,_xlpm.x)))))</f>
        <v>0</v>
      </c>
      <c r="AC254" s="206" cm="1">
        <f t="array" aca="1" ref="AC254" ca="1">SUM(_xlfn.LET(_xlpm.x,SUM(ROW()-MATCH("SOR",$A:$A,0)),_xlpm.yA,INDIRECT(INDEX(INDIRECT($AD$3),MATCH("PRJ",INDIRECT($AD$2),0))),_xlpm.yB,INDIRECT(INDEX(INDIRECT($AD$3),MATCH("ROW",INDIRECT($AD$2),0))),_xlpm.yC,INDIRECT(INDEX(INDIRECT($AD$3),MATCH("COL",INDIRECT($AD$2),0))),_xlpm.yD,INDIRECT(INDEX(INDIRECT($AD$3),MATCH("C"&amp;RIGHT(AC$1,2),INDIRECT($AD$2),0))),SUM(IF((_xlfn.TAKE(_xlpm.yA,_xlpm.x)=PptoSty[[#This Row],[Project]])*(_xlfn.TAKE(_xlpm.yB,_xlpm.x)=PptoSty[[#This Row],[PptoVsRow]])*(_xlfn.TAKE(_xlpm.yC,_xlpm.x)=PptoSty[[#This Row],[PptoVsColumn]]),_xlfn.TAKE(_xlpm.yD,_xlpm.x)))))</f>
        <v>0</v>
      </c>
    </row>
    <row r="255" spans="1:134">
      <c r="A255" s="135" t="s">
        <v>406</v>
      </c>
    </row>
  </sheetData>
  <conditionalFormatting sqref="C5:AC254">
    <cfRule type="expression" dxfId="29" priority="4" stopIfTrue="1">
      <formula>OR(C5="X",C5="")</formula>
    </cfRule>
  </conditionalFormatting>
  <dataValidations count="11">
    <dataValidation type="list" allowBlank="1" showInputMessage="1" showErrorMessage="1" sqref="E143:E180 E5:E138" xr:uid="{DF5DBD20-F715-2140-9D61-B693812E3DF7}">
      <formula1>"PO,CT"</formula1>
    </dataValidation>
    <dataValidation type="list" allowBlank="1" showInputMessage="1" showErrorMessage="1" sqref="G5:G183" xr:uid="{4F66C5B5-426F-2A4F-A708-88D77029C341}">
      <formula1>INDIRECT($AI$4)</formula1>
    </dataValidation>
    <dataValidation type="list" allowBlank="1" showInputMessage="1" showErrorMessage="1" sqref="Q5:Q254" xr:uid="{ADAB6837-A091-0C4A-8C32-E6D6CC0BFCE3}">
      <formula1>INDIRECT($AF$5)</formula1>
    </dataValidation>
    <dataValidation type="whole" operator="greaterThan" allowBlank="1" showInputMessage="1" showErrorMessage="1" sqref="S5:S254" xr:uid="{96C6E899-B83A-5F4F-86CA-124E2D25825F}">
      <formula1>0</formula1>
    </dataValidation>
    <dataValidation type="list" allowBlank="1" showInputMessage="1" showErrorMessage="1" sqref="R5:R254" xr:uid="{2B0EFB7D-057D-C247-ACCF-3D1C77B49532}">
      <formula1>"+,-"</formula1>
    </dataValidation>
    <dataValidation type="list" allowBlank="1" showInputMessage="1" showErrorMessage="1" sqref="M5:M254" xr:uid="{51FE8E3A-47AF-4E2A-B9DC-C1E38EF7AD4D}">
      <formula1>"X,SERRA,PLANT"</formula1>
    </dataValidation>
    <dataValidation type="list" allowBlank="1" showInputMessage="1" showErrorMessage="1" sqref="D5:D183" xr:uid="{D650832B-566D-42D6-A8EC-C6B22C343891}">
      <formula1>"Sp,Mx"</formula1>
    </dataValidation>
    <dataValidation type="list" allowBlank="1" showInputMessage="1" showErrorMessage="1" sqref="H5:H254" xr:uid="{00AD898C-0C81-674D-910C-B7952A70797E}">
      <formula1>INDIRECT(INDEX(INDIRECT($AJ$4),MATCH($G5,INDIRECT($AI$4),0)))</formula1>
    </dataValidation>
    <dataValidation type="list" allowBlank="1" showInputMessage="1" showErrorMessage="1" sqref="F5:F254" xr:uid="{08F63796-4204-4248-B8EB-93F64C9C35FE}">
      <formula1>INDIRECT(INDEX(INDIRECT(IF($E5="PO",$AP$4,$BF$4)),MATCH(TEXT($G5,"@"),INDIRECT($AI$4),0)))</formula1>
    </dataValidation>
    <dataValidation type="list" allowBlank="1" showInputMessage="1" showErrorMessage="1" sqref="K5:K254" xr:uid="{1A6F6241-A2BA-2A44-94BB-B6C3F0B82E0E}">
      <formula1>IF($E5="CT",$AJ$5,INDIRECT(INDEX(_xlfn._xlws.FILTER(INDIRECT($FR$4),(INDIRECT($FP$4)=$G5)*(INDIRECT($FQ$4)=$H5),"X"),1)))</formula1>
    </dataValidation>
    <dataValidation type="list" allowBlank="1" showInputMessage="1" showErrorMessage="1" sqref="L5:L254" xr:uid="{B3E7A210-A556-1947-A788-A35E77933D3F}">
      <formula1>INDIRECT(INDIRECT("rc["&amp;SUM(MATCH("SO3",$1:$1,0)-COLUMN())&amp;"]",FALSE))</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iconSet" priority="1244" id="{94FA06F1-59D9-4A87-A18C-93E963B2FEC9}">
            <x14:iconSet showValue="0" custom="1">
              <x14:cfvo type="percent">
                <xm:f>0</xm:f>
              </x14:cfvo>
              <x14:cfvo type="num">
                <xm:f>1</xm:f>
              </x14:cfvo>
              <x14:cfvo type="num" gte="0">
                <xm:f>1</xm:f>
              </x14:cfvo>
              <x14:cfIcon iconSet="3TrafficLights1" iconId="1"/>
              <x14:cfIcon iconSet="3TrafficLights1" iconId="2"/>
              <x14:cfIcon iconSet="3TrafficLights1" iconId="0"/>
            </x14:iconSet>
          </x14:cfRule>
          <xm:sqref>T5:T254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628FFB43-1A1F-D84C-9A42-728C62221E78}">
          <x14:formula1>
            <xm:f>INDIRECT(INDEX(INDIRECT(AsgnBaaN!$BJ$3),MATCH($G5,INDIRECT(AsgnBaaN!$AB$3),0)))</xm:f>
          </x14:formula1>
          <xm:sqref>P5:P254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4E726-E4D8-BF4E-90C7-FAB4D587E622}">
  <sheetPr codeName="Sheet5"/>
  <dimension ref="A1:CN167"/>
  <sheetViews>
    <sheetView topLeftCell="A52" zoomScale="115" zoomScaleNormal="115" workbookViewId="0">
      <selection activeCell="L159" sqref="L159"/>
    </sheetView>
  </sheetViews>
  <sheetFormatPr baseColWidth="10" defaultColWidth="11.5" defaultRowHeight="13"/>
  <cols>
    <col min="1" max="1" width="1.83203125" style="218" bestFit="1" customWidth="1"/>
    <col min="2" max="2" width="1.83203125" style="218" customWidth="1"/>
    <col min="3" max="3" width="6.6640625" style="22" customWidth="1"/>
    <col min="4" max="4" width="4.1640625" style="22" customWidth="1"/>
    <col min="5" max="5" width="5.5" style="21" customWidth="1"/>
    <col min="6" max="6" width="23.1640625" style="69" customWidth="1"/>
    <col min="7" max="7" width="32.6640625" style="21" customWidth="1"/>
    <col min="8" max="10" width="8.6640625" style="21"/>
    <col min="11" max="11" width="13.83203125" style="21" customWidth="1"/>
    <col min="12" max="12" width="12.5" style="21" customWidth="1"/>
    <col min="13" max="13" width="7.33203125" style="21" customWidth="1"/>
    <col min="14" max="14" width="6.6640625" style="21" customWidth="1"/>
    <col min="15" max="17" width="8.6640625" style="21"/>
    <col min="18" max="18" width="7.5" style="21" bestFit="1" customWidth="1"/>
    <col min="19" max="19" width="7.1640625" style="21" bestFit="1" customWidth="1"/>
    <col min="20" max="20" width="7.5" style="21" customWidth="1"/>
    <col min="21" max="21" width="8" style="21" customWidth="1"/>
    <col min="22" max="22" width="20.6640625" style="21" customWidth="1"/>
    <col min="23" max="23" width="1.83203125" bestFit="1" customWidth="1"/>
    <col min="24" max="24" width="23.33203125" style="113" bestFit="1" customWidth="1"/>
    <col min="26" max="26" width="9.33203125" customWidth="1"/>
    <col min="27" max="27" width="5.6640625" customWidth="1"/>
    <col min="28" max="28" width="3" style="113" bestFit="1" customWidth="1"/>
    <col min="29" max="31" width="3" style="175" bestFit="1" customWidth="1"/>
    <col min="32" max="63" width="3" style="175" customWidth="1"/>
    <col min="64" max="64" width="3" customWidth="1"/>
    <col min="65" max="65" width="5.6640625" customWidth="1"/>
    <col min="66" max="92" width="3" style="175" customWidth="1"/>
  </cols>
  <sheetData>
    <row r="1" spans="1:82" s="218" customFormat="1" ht="15">
      <c r="B1" s="218" t="s">
        <v>1314</v>
      </c>
      <c r="C1" s="283"/>
      <c r="D1" s="283"/>
      <c r="E1" s="284" t="s">
        <v>1387</v>
      </c>
      <c r="F1" s="285" t="s">
        <v>1385</v>
      </c>
      <c r="G1" s="284" t="s">
        <v>1386</v>
      </c>
      <c r="H1" s="284" t="s">
        <v>1734</v>
      </c>
      <c r="I1" s="284" t="s">
        <v>1735</v>
      </c>
      <c r="J1" s="284" t="s">
        <v>1736</v>
      </c>
      <c r="K1" s="284"/>
      <c r="L1" s="284"/>
      <c r="M1" s="284"/>
      <c r="N1" s="284"/>
      <c r="O1" s="284" t="s">
        <v>1297</v>
      </c>
      <c r="P1" s="284" t="s">
        <v>1298</v>
      </c>
      <c r="Q1" s="284"/>
      <c r="R1" s="284" t="s">
        <v>2181</v>
      </c>
      <c r="S1" s="284" t="s">
        <v>2182</v>
      </c>
      <c r="T1" s="284"/>
      <c r="U1" s="284"/>
      <c r="V1" s="284"/>
      <c r="W1" s="218" t="s">
        <v>1315</v>
      </c>
      <c r="X1" s="136"/>
      <c r="Z1" s="136" t="s">
        <v>1715</v>
      </c>
      <c r="AA1" s="136" t="s">
        <v>1636</v>
      </c>
      <c r="AB1" s="136"/>
      <c r="AC1" s="137"/>
      <c r="AD1" s="138"/>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c r="BE1" s="137"/>
      <c r="BF1" s="137"/>
      <c r="BG1" s="137"/>
      <c r="BH1" s="137"/>
      <c r="BI1" s="137"/>
      <c r="BJ1" s="137"/>
      <c r="BK1" s="137"/>
      <c r="BL1"/>
      <c r="BM1" s="136" t="s">
        <v>1637</v>
      </c>
      <c r="BN1" s="137"/>
      <c r="BO1" s="137"/>
      <c r="BP1" s="137"/>
      <c r="BQ1" s="137"/>
      <c r="BR1" s="137"/>
      <c r="BS1" s="137"/>
      <c r="BT1" s="137"/>
      <c r="BU1" s="137"/>
      <c r="BV1" s="137"/>
      <c r="BW1" s="137"/>
      <c r="BX1" s="137"/>
      <c r="BY1" s="137"/>
      <c r="BZ1" s="137"/>
      <c r="CA1" s="137"/>
      <c r="CB1" s="137"/>
      <c r="CC1" s="137"/>
      <c r="CD1" s="137"/>
    </row>
    <row r="2" spans="1:82" s="218" customFormat="1" ht="16">
      <c r="C2" s="33" t="str" cm="1">
        <f t="array" aca="1" ref="C2" ca="1">_xlfn.TEXTAFTER(CELL("filename",INDIRECT("A1")),"]")</f>
        <v>AsgnPrv</v>
      </c>
      <c r="D2" s="33"/>
      <c r="E2" s="284"/>
      <c r="F2" s="285"/>
      <c r="G2" s="284"/>
      <c r="H2" s="284"/>
      <c r="I2" s="284"/>
      <c r="J2" s="284"/>
      <c r="K2" s="284"/>
      <c r="L2" s="284"/>
      <c r="M2" s="284"/>
      <c r="N2" s="284"/>
      <c r="O2" s="284"/>
      <c r="P2" s="284"/>
      <c r="Q2" s="284"/>
      <c r="R2" s="284"/>
      <c r="S2" s="284"/>
      <c r="T2" s="284"/>
      <c r="U2" s="284"/>
      <c r="V2" s="284"/>
      <c r="W2" s="218" t="str">
        <f>ADDRESS(1,MATCH("SOC",$1:$1,0)+1,4)&amp;":"&amp;ADDRESS(1,MATCH("EOC",$1:$1,0)-1,4)</f>
        <v>C1:V1</v>
      </c>
      <c r="X2" s="136"/>
      <c r="Z2" s="136"/>
      <c r="AA2" s="136"/>
      <c r="AB2" s="136"/>
      <c r="AC2" s="137"/>
      <c r="AD2" s="138"/>
      <c r="AE2" s="137"/>
      <c r="AF2" s="137"/>
      <c r="AG2" s="137"/>
      <c r="AH2" s="137"/>
      <c r="AI2" s="137"/>
      <c r="AJ2" s="137"/>
      <c r="AK2" s="137"/>
      <c r="AL2" s="137"/>
      <c r="AM2" s="137"/>
      <c r="AN2" s="137"/>
      <c r="AO2" s="137"/>
      <c r="AP2" s="137"/>
      <c r="AQ2" s="137"/>
      <c r="AR2" s="137"/>
      <c r="AS2" s="137"/>
      <c r="AT2" s="137"/>
      <c r="AU2" s="137"/>
      <c r="AV2" s="137"/>
      <c r="AW2" s="137"/>
      <c r="AX2" s="137"/>
      <c r="AY2" s="137"/>
      <c r="AZ2" s="137"/>
      <c r="BA2" s="137"/>
      <c r="BB2" s="137"/>
      <c r="BC2" s="137"/>
      <c r="BD2" s="137"/>
      <c r="BE2" s="137"/>
      <c r="BF2" s="137"/>
      <c r="BG2" s="137"/>
      <c r="BH2" s="137"/>
      <c r="BI2" s="137"/>
      <c r="BJ2" s="137"/>
      <c r="BK2" s="137"/>
      <c r="BL2"/>
      <c r="BM2" s="136"/>
      <c r="BN2" s="137"/>
      <c r="BO2" s="137"/>
      <c r="BP2" s="137"/>
      <c r="BQ2" s="137"/>
      <c r="BR2" s="137"/>
      <c r="BS2" s="137"/>
      <c r="BT2" s="137"/>
      <c r="BU2" s="137"/>
      <c r="BV2" s="137"/>
      <c r="BW2" s="137"/>
      <c r="BX2" s="137"/>
      <c r="BY2" s="137"/>
      <c r="BZ2" s="137"/>
      <c r="CA2" s="137"/>
      <c r="CB2" s="137"/>
      <c r="CC2" s="137"/>
      <c r="CD2" s="137"/>
    </row>
    <row r="3" spans="1:82" s="218" customFormat="1" ht="16">
      <c r="A3" s="218" t="s">
        <v>407</v>
      </c>
      <c r="C3" s="198" t="str">
        <f t="shared" ref="C3:R3" ca="1" si="0">ADDRESS(MATCH("SO"&amp;RIGHT($A3,1),$A:$A,0)+1,SUM(COLUMN()),4,1,$C$2)&amp;":"&amp;ADDRESS(MATCH("EO"&amp;RIGHT($A3,1),$A:$A,0)-1,SUM(COLUMN()),4)</f>
        <v>AsgnPrv!C5:C166</v>
      </c>
      <c r="D3" s="198" t="str">
        <f t="shared" ca="1" si="0"/>
        <v>AsgnPrv!D5:D166</v>
      </c>
      <c r="E3" s="198" t="str">
        <f t="shared" ca="1" si="0"/>
        <v>AsgnPrv!E5:E166</v>
      </c>
      <c r="F3" s="198" t="str">
        <f t="shared" ca="1" si="0"/>
        <v>AsgnPrv!F5:F166</v>
      </c>
      <c r="G3" s="198" t="str">
        <f t="shared" ca="1" si="0"/>
        <v>AsgnPrv!G5:G166</v>
      </c>
      <c r="H3" s="198" t="str">
        <f t="shared" ca="1" si="0"/>
        <v>AsgnPrv!H5:H166</v>
      </c>
      <c r="I3" s="198" t="str">
        <f t="shared" ca="1" si="0"/>
        <v>AsgnPrv!I5:I166</v>
      </c>
      <c r="J3" s="198" t="str">
        <f t="shared" ca="1" si="0"/>
        <v>AsgnPrv!J5:J166</v>
      </c>
      <c r="K3" s="198" t="str">
        <f t="shared" ca="1" si="0"/>
        <v>AsgnPrv!K5:K166</v>
      </c>
      <c r="L3" s="198" t="str">
        <f t="shared" ca="1" si="0"/>
        <v>AsgnPrv!L5:L166</v>
      </c>
      <c r="M3" s="198" t="str">
        <f t="shared" ca="1" si="0"/>
        <v>AsgnPrv!M5:M166</v>
      </c>
      <c r="N3" s="198" t="str">
        <f t="shared" ca="1" si="0"/>
        <v>AsgnPrv!N5:N166</v>
      </c>
      <c r="O3" s="198" t="str">
        <f t="shared" ca="1" si="0"/>
        <v>AsgnPrv!O5:O166</v>
      </c>
      <c r="P3" s="198" t="str">
        <f t="shared" ca="1" si="0"/>
        <v>AsgnPrv!P5:P166</v>
      </c>
      <c r="Q3" s="198" t="str">
        <f t="shared" ca="1" si="0"/>
        <v>AsgnPrv!Q5:Q166</v>
      </c>
      <c r="R3" s="198" t="str">
        <f t="shared" ca="1" si="0"/>
        <v>AsgnPrv!R5:R166</v>
      </c>
      <c r="S3" s="198" t="str">
        <f t="shared" ref="S3:U3" ca="1" si="1">ADDRESS(MATCH("SO"&amp;RIGHT($A3,1),$A:$A,0)+1,SUM(COLUMN()),4,1,$C$2)&amp;":"&amp;ADDRESS(MATCH("EO"&amp;RIGHT($A3,1),$A:$A,0)-1,SUM(COLUMN()),4)</f>
        <v>AsgnPrv!S5:S166</v>
      </c>
      <c r="T3" s="198" t="str">
        <f t="shared" ca="1" si="1"/>
        <v>AsgnPrv!T5:T166</v>
      </c>
      <c r="U3" s="198" t="str">
        <f t="shared" ca="1" si="1"/>
        <v>AsgnPrv!U5:U166</v>
      </c>
      <c r="V3" s="198" t="str">
        <f ca="1">ADDRESS(MATCH("SO"&amp;RIGHT($A3,1),$A:$A,0)+1,SUM(COLUMN()),4,1,$C$2)&amp;":"&amp;ADDRESS(MATCH("EO"&amp;RIGHT($A3,1),$A:$A,0)-1,SUM(COLUMN()),4)</f>
        <v>AsgnPrv!V5:V166</v>
      </c>
      <c r="W3" s="218" t="str">
        <f>ADDRESS(SUM(ROW()),MATCH("SOC",$1:$1,0)+1,4)&amp;":"&amp;ADDRESS(SUM(ROW()),MATCH("EOC",$1:$1,0)-1,4)</f>
        <v>C3:V3</v>
      </c>
      <c r="Z3" s="136"/>
      <c r="AA3" s="136"/>
      <c r="AB3" s="136"/>
      <c r="AC3" s="137"/>
      <c r="AD3" s="138"/>
      <c r="AE3" s="137"/>
      <c r="AF3" s="137"/>
      <c r="AG3" s="137"/>
      <c r="AH3" s="137"/>
      <c r="AI3" s="137"/>
      <c r="AJ3" s="137"/>
      <c r="AK3" s="137"/>
      <c r="AL3" s="137"/>
      <c r="AM3" s="137"/>
      <c r="AN3" s="137"/>
      <c r="AO3" s="137"/>
      <c r="AP3" s="137"/>
      <c r="AQ3" s="137"/>
      <c r="AR3" s="137"/>
      <c r="AS3" s="137"/>
      <c r="AT3" s="137"/>
      <c r="AU3" s="137"/>
      <c r="AV3" s="137"/>
      <c r="AW3" s="137"/>
      <c r="AX3" s="137"/>
      <c r="AY3" s="137"/>
      <c r="AZ3" s="137"/>
      <c r="BA3" s="137"/>
      <c r="BB3" s="137"/>
      <c r="BC3" s="137"/>
      <c r="BD3" s="137"/>
      <c r="BE3" s="137"/>
      <c r="BF3" s="137"/>
      <c r="BG3" s="137"/>
      <c r="BH3" s="137"/>
      <c r="BI3" s="137"/>
      <c r="BJ3" s="137"/>
      <c r="BK3" s="137"/>
      <c r="BL3"/>
      <c r="BM3" s="136"/>
      <c r="BN3" s="137"/>
      <c r="BO3" s="137"/>
      <c r="BP3" s="137"/>
      <c r="BQ3" s="137"/>
      <c r="BR3" s="137"/>
      <c r="BS3" s="137"/>
      <c r="BT3" s="137"/>
      <c r="BU3" s="137"/>
      <c r="BV3" s="137"/>
      <c r="BW3" s="137"/>
      <c r="BX3" s="137"/>
      <c r="BY3" s="137"/>
      <c r="BZ3" s="137"/>
      <c r="CA3" s="137"/>
      <c r="CB3" s="137"/>
      <c r="CC3" s="137"/>
      <c r="CD3" s="137"/>
    </row>
    <row r="4" spans="1:82" ht="53">
      <c r="A4" s="218" t="s">
        <v>390</v>
      </c>
      <c r="B4" s="218" t="s">
        <v>2169</v>
      </c>
      <c r="C4" s="42" t="s">
        <v>391</v>
      </c>
      <c r="D4" s="42" t="s">
        <v>2129</v>
      </c>
      <c r="E4" s="26" t="s">
        <v>1299</v>
      </c>
      <c r="F4" s="70" t="s">
        <v>392</v>
      </c>
      <c r="G4" s="43" t="s">
        <v>393</v>
      </c>
      <c r="H4" s="26" t="s">
        <v>394</v>
      </c>
      <c r="I4" s="26" t="s">
        <v>395</v>
      </c>
      <c r="J4" s="26" t="s">
        <v>396</v>
      </c>
      <c r="K4" s="43" t="s">
        <v>419</v>
      </c>
      <c r="L4" s="43" t="s">
        <v>420</v>
      </c>
      <c r="M4" s="27" t="s">
        <v>421</v>
      </c>
      <c r="N4" s="43" t="s">
        <v>1738</v>
      </c>
      <c r="O4" s="26" t="s">
        <v>422</v>
      </c>
      <c r="P4" s="26" t="s">
        <v>423</v>
      </c>
      <c r="Q4" s="26" t="s">
        <v>1737</v>
      </c>
      <c r="R4" s="26" t="s">
        <v>2179</v>
      </c>
      <c r="S4" s="26" t="s">
        <v>2180</v>
      </c>
      <c r="T4" s="26" t="s">
        <v>2034</v>
      </c>
      <c r="U4" s="26" t="s">
        <v>2035</v>
      </c>
      <c r="V4" s="26" t="s">
        <v>1986</v>
      </c>
      <c r="X4" s="211" t="s">
        <v>1651</v>
      </c>
      <c r="Z4" s="105" t="str" cm="1">
        <f t="array" aca="1" ref="Z4" ca="1">_xlfn.LET(_xlpm.x,MATCH("SOR",$A:$A,0),_xlpm.y,SUM(COLUMN()),ADDRESS(_xlpm.x+1,_xlpm.y,4)&amp;":"&amp;ADDRESS(1+_xlpm.x+COUNT(CODE(_xlfn.ANCHORARRAY(Z$6))),_xlpm.y,4))</f>
        <v>Z5:Z8</v>
      </c>
      <c r="AA4" s="105" t="str" cm="1">
        <f t="array" aca="1" ref="AA4" ca="1">_xlfn.LET(_xlpm.x,MATCH("SOR",$A:$A,0),_xlpm.y,SUM(COLUMN()),ADDRESS(_xlpm.x+1,_xlpm.y,4)&amp;":"&amp;ADDRESS(0+_xlpm.x+COUNT(CODE(INDIRECT(INDIRECT("rc["&amp;SUM(MATCH("PJS",$1:$1,0)-COLUMN())&amp;"]",FALSE)))),_xlpm.y,4))</f>
        <v>AA5:AA8</v>
      </c>
      <c r="AD4" s="176"/>
      <c r="AE4" s="176"/>
      <c r="AF4" s="176"/>
      <c r="AG4" s="176"/>
      <c r="AH4" s="176"/>
      <c r="AI4" s="176"/>
      <c r="AJ4" s="176"/>
      <c r="AK4" s="176"/>
      <c r="AL4" s="176"/>
      <c r="AM4" s="176"/>
      <c r="AN4" s="176"/>
      <c r="AO4" s="176"/>
      <c r="AP4" s="176"/>
      <c r="AQ4" s="176"/>
      <c r="AR4" s="176"/>
      <c r="AS4" s="176"/>
      <c r="AT4" s="176"/>
      <c r="AU4" s="176"/>
      <c r="AV4" s="176"/>
      <c r="AW4" s="176"/>
      <c r="AX4" s="176"/>
      <c r="AY4" s="176"/>
      <c r="AZ4" s="176"/>
      <c r="BA4" s="176"/>
      <c r="BB4" s="176"/>
      <c r="BC4" s="176"/>
      <c r="BD4" s="176"/>
      <c r="BE4" s="176"/>
      <c r="BF4" s="176"/>
      <c r="BG4" s="176"/>
      <c r="BH4" s="176"/>
      <c r="BI4" s="176"/>
      <c r="BJ4" s="176"/>
      <c r="BK4" s="176"/>
      <c r="BM4" s="105" t="str" cm="1">
        <f t="array" aca="1" ref="BM4" ca="1">_xlfn.LET(_xlpm.x,MATCH("SOR",$A:$A,0),_xlpm.y,SUM(COLUMN()),ADDRESS(_xlpm.x+1,_xlpm.y,4)&amp;":"&amp;ADDRESS(0+_xlpm.x+COUNT(CODE(INDIRECT(INDIRECT("rc["&amp;SUM(MATCH("PJS",$1:$1,0)-COLUMN())&amp;"]",FALSE)))),_xlpm.y,4))</f>
        <v>BM5:BM8</v>
      </c>
      <c r="BN4" s="176"/>
      <c r="BO4" s="176"/>
      <c r="BP4" s="176"/>
      <c r="BQ4" s="176"/>
      <c r="BR4" s="176"/>
      <c r="BS4" s="176"/>
      <c r="BT4" s="176"/>
      <c r="BU4" s="176"/>
      <c r="BV4" s="176"/>
      <c r="BW4" s="176"/>
      <c r="BX4" s="176"/>
      <c r="BY4" s="176"/>
      <c r="BZ4" s="176"/>
      <c r="CA4" s="176"/>
      <c r="CB4" s="176"/>
      <c r="CC4" s="176"/>
      <c r="CD4" s="176"/>
    </row>
    <row r="5" spans="1:82" ht="13" customHeight="1">
      <c r="C5" s="357">
        <v>45280</v>
      </c>
      <c r="D5" s="357" t="s">
        <v>2114</v>
      </c>
      <c r="E5" s="358" t="str">
        <f ca="1">Prj0_Id</f>
        <v>31200</v>
      </c>
      <c r="F5" s="359" t="s">
        <v>362</v>
      </c>
      <c r="G5" s="360" t="s">
        <v>1275</v>
      </c>
      <c r="H5" s="358" cm="1">
        <f t="array" aca="1" ref="H5" ca="1">IFERROR(SUM(_xlfn._xlws.FILTER(IF(MeSel="Ppto",PptoSty[CurPpto],PptoSty[CurInt]+PptoSty[CurExt]),(PptoSty[Project]=TEXT(PrvSty[[#This Row],[Project]],"@"))*(PptoSty[PptoVsRow]=PrvSty[[#This Row],[Row]])*(PptoSty[PptoVsColumn]=PrvSty[[#This Row],[Column]]),0)),"X")</f>
        <v>242006.39</v>
      </c>
      <c r="I5" s="358" cm="1">
        <f t="array" aca="1" ref="I5" ca="1">IFERROR(SUM(_xlfn._xlws.FILTER(FrmBB1[Cur],(FrmBB1[PrjId]=TEXT($E5,"@"))*(FrmBB1[Cia]=$D5)*(FrmBB1[Row]=$F5)*(FrmBB1[Column]=_xlfn.LET(_xlpm.x,_xlfn.TEXTBEFORE($G5," ("),IFERROR(_xlpm.x,$G5))&amp;" SERRA"),0)),"X")</f>
        <v>0</v>
      </c>
      <c r="J5" s="358" cm="1">
        <f t="array" aca="1" ref="J5" ca="1">IFERROR(SUM(_xlfn._xlws.FILTER(FrmBB1[Cur],(FrmBB1[PrjId]=TEXT($E5,"@"))*(FrmBB1[Cia]=$D5)*(FrmBB1[Row]=$F5)*(FrmBB1[Column]=_xlfn.LET(_xlpm.x,_xlfn.TEXTBEFORE($G5," ("),IFERROR(_xlpm.x,$G5))&amp;" EXT."),0)),"X")</f>
        <v>97967.27</v>
      </c>
      <c r="K5" s="358">
        <v>0</v>
      </c>
      <c r="L5" s="358">
        <v>0</v>
      </c>
      <c r="M5" s="361">
        <f ca="1">IF(SUM(H5,K5,L5)=0,IF(SUM(I5,J5)&gt;0,1,0),1-SUM(PrvSty[[#This Row],[Real:SERRA]:[Real:EXT.]])/SUM(PrvSty[[#This Row],[AcumInt]:[AcumExt]]))</f>
        <v>0.59518725931162397</v>
      </c>
      <c r="N5" s="362" t="s">
        <v>1739</v>
      </c>
      <c r="O5" s="358">
        <f>IF(OR(PrvSty[[#This Row],[DsvAbs:SERRA]]="X",PrvSty[[#This Row],[DsvAbs:SERRA]]=""),0,IF(PrvSty[[#This Row],[DesvTyp]]="Abs",PrvSty[[#This Row],[DsvAbs:SERRA]],PrvSty[[#This Row],[DsvAbs:SERRA]]*PrvSty[[#This Row],[Ppto]]))</f>
        <v>0</v>
      </c>
      <c r="P5" s="358">
        <f>IF(OR(PrvSty[[#This Row],[DsvAbs:EXT.]]="X",PrvSty[[#This Row],[DsvAbs:EXT.]]=""),0,IF(PrvSty[[#This Row],[DesvTyp]]="Abs",PrvSty[[#This Row],[DsvAbs:EXT.]],PrvSty[[#This Row],[DsvAbs:EXT.]]*PrvSty[[#This Row],[Ppto]]))</f>
        <v>0</v>
      </c>
      <c r="Q5" s="358" t="str" cm="1">
        <f t="array" aca="1" ref="Q5"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5" s="363" cm="1">
        <f t="array" aca="1" ref="R5"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5" s="363" cm="1">
        <f t="array" aca="1" ref="S5"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242006.39</v>
      </c>
      <c r="T5" s="367" cm="1">
        <f t="array" aca="1" ref="T5"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5" s="367" cm="1">
        <f t="array" aca="1" ref="U5"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5" s="363"/>
      <c r="X5" s="188" t="str" cm="1">
        <f t="array" ref="X5">_xlfn.LET(_xlpm.x,MATCH("SOR",$A:$A,0),_xlpm.y,SUM(COLUMN()),ADDRESS(2+_xlpm.x,_xlpm.y,4)&amp;":"&amp;ADDRESS(2+_xlpm.x+COUNT(CODE(_xlfn._xlws.FILTER(_xlfn.ANCHORARRAY(X7),_xlfn.ANCHORARRAY(X7)&lt;&gt;"X","X"))),_xlpm.y,4))</f>
        <v>X6:X24</v>
      </c>
      <c r="Z5" s="106" t="s">
        <v>375</v>
      </c>
      <c r="AA5" s="110" t="s">
        <v>375</v>
      </c>
      <c r="AC5" s="113"/>
      <c r="AD5" s="113"/>
      <c r="AE5" s="113"/>
      <c r="AF5" s="113"/>
      <c r="AG5" s="113"/>
      <c r="AH5" s="113"/>
      <c r="AI5" s="113"/>
      <c r="AJ5" s="113"/>
      <c r="AK5" s="113"/>
      <c r="AL5" s="113"/>
      <c r="AM5" s="113"/>
      <c r="AN5" s="113"/>
      <c r="AO5" s="113"/>
      <c r="AP5" s="113"/>
      <c r="AQ5" s="113"/>
      <c r="AR5" s="113"/>
      <c r="AS5" s="113"/>
      <c r="AT5" s="113"/>
      <c r="AU5" s="113"/>
      <c r="AV5" s="113"/>
      <c r="AW5" s="113"/>
      <c r="AX5" s="113"/>
      <c r="AY5" s="113"/>
      <c r="AZ5" s="113"/>
      <c r="BA5" s="113"/>
      <c r="BB5" s="113"/>
      <c r="BC5" s="113"/>
      <c r="BD5" s="113"/>
      <c r="BE5" s="113"/>
      <c r="BF5" s="113"/>
      <c r="BG5" s="113"/>
      <c r="BH5" s="113"/>
      <c r="BI5" s="113"/>
      <c r="BJ5" s="113"/>
      <c r="BK5" s="113"/>
      <c r="BM5" s="110" t="s">
        <v>375</v>
      </c>
      <c r="BN5" s="113"/>
      <c r="BO5" s="113"/>
      <c r="BP5" s="113"/>
      <c r="BQ5" s="113"/>
      <c r="BR5" s="113"/>
      <c r="BS5" s="113"/>
      <c r="BT5" s="113"/>
      <c r="BU5" s="113"/>
      <c r="BV5" s="113"/>
      <c r="BW5" s="113"/>
      <c r="BX5" s="113"/>
      <c r="BY5" s="113"/>
      <c r="BZ5" s="113"/>
      <c r="CA5" s="113"/>
      <c r="CB5" s="113"/>
      <c r="CC5" s="113"/>
      <c r="CD5" s="113"/>
    </row>
    <row r="6" spans="1:82" ht="13" customHeight="1">
      <c r="C6" s="357">
        <v>45280</v>
      </c>
      <c r="D6" s="357" t="s">
        <v>2114</v>
      </c>
      <c r="E6" s="358" t="str">
        <f ca="1">Prj0_Id</f>
        <v>31200</v>
      </c>
      <c r="F6" s="359" t="s">
        <v>1412</v>
      </c>
      <c r="G6" s="360" t="s">
        <v>377</v>
      </c>
      <c r="H6" s="358" cm="1">
        <f t="array" aca="1" ref="H6" ca="1">IFERROR(SUM(_xlfn._xlws.FILTER(IF(MeSel="Ppto",PptoSty[CurPpto],PptoSty[CurInt]+PptoSty[CurExt]),(PptoSty[Project]=TEXT(PrvSty[[#This Row],[Project]],"@"))*(PptoSty[PptoVsRow]=PrvSty[[#This Row],[Row]])*(PptoSty[PptoVsColumn]=PrvSty[[#This Row],[Column]]),0)),"X")</f>
        <v>0</v>
      </c>
      <c r="I6" s="358" cm="1">
        <f t="array" aca="1" ref="I6" ca="1">IFERROR(SUM(_xlfn._xlws.FILTER(FrmBB1[Cur],(FrmBB1[PrjId]=TEXT($E6,"@"))*(FrmBB1[Cia]=$D6)*(FrmBB1[Row]=$F6)*(FrmBB1[Column]=_xlfn.LET(_xlpm.x,_xlfn.TEXTBEFORE($G6," ("),IFERROR(_xlpm.x,$G6))&amp;" SERRA"),0)),"X")</f>
        <v>13613.880000000001</v>
      </c>
      <c r="J6" s="358" cm="1">
        <f t="array" aca="1" ref="J6" ca="1">IFERROR(SUM(_xlfn._xlws.FILTER(FrmBB1[Cur],(FrmBB1[PrjId]=TEXT($E6,"@"))*(FrmBB1[Cia]=$D6)*(FrmBB1[Row]=$F6)*(FrmBB1[Column]=_xlfn.LET(_xlpm.x,_xlfn.TEXTBEFORE($G6," ("),IFERROR(_xlpm.x,$G6))&amp;" EXT."),0)),"X")</f>
        <v>0</v>
      </c>
      <c r="K6" s="358">
        <f ca="1">PrvSty[[#This Row],[Real:SERRA]]</f>
        <v>13613.880000000001</v>
      </c>
      <c r="L6" s="358">
        <v>0</v>
      </c>
      <c r="M6" s="361">
        <f ca="1">IF(SUM(H6,K6,L6)=0,IF(SUM(I6,J6)&gt;0,1,0),1-SUM(PrvSty[[#This Row],[Real:SERRA]:[Real:EXT.]])/SUM(PrvSty[[#This Row],[AcumInt]:[AcumExt]]))</f>
        <v>0</v>
      </c>
      <c r="N6" s="362" t="s">
        <v>1739</v>
      </c>
      <c r="O6" s="358">
        <f ca="1">IF(OR(PrvSty[[#This Row],[DsvAbs:SERRA]]="X",PrvSty[[#This Row],[DsvAbs:SERRA]]=""),0,IF(PrvSty[[#This Row],[DesvTyp]]="Abs",PrvSty[[#This Row],[DsvAbs:SERRA]],PrvSty[[#This Row],[DsvAbs:SERRA]]*PrvSty[[#This Row],[Ppto]]))</f>
        <v>13613.880000000001</v>
      </c>
      <c r="P6" s="358">
        <f>IF(OR(PrvSty[[#This Row],[DsvAbs:EXT.]]="X",PrvSty[[#This Row],[DsvAbs:EXT.]]=""),0,IF(PrvSty[[#This Row],[DesvTyp]]="Abs",PrvSty[[#This Row],[DsvAbs:EXT.]],PrvSty[[#This Row],[DsvAbs:EXT.]]*PrvSty[[#This Row],[Ppto]]))</f>
        <v>0</v>
      </c>
      <c r="Q6" s="358" t="str" cm="1">
        <f t="array" aca="1" ref="Q6"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6" s="363" cm="1">
        <f t="array" aca="1" ref="R6"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13613.880000000001</v>
      </c>
      <c r="S6" s="363" cm="1">
        <f t="array" aca="1" ref="S6"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6" s="367" cm="1">
        <f t="array" aca="1" ref="T6"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292.39649687072995</v>
      </c>
      <c r="U6" s="367" cm="1">
        <f t="array" aca="1" ref="U6"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6" s="363"/>
      <c r="X6" s="212" t="s">
        <v>375</v>
      </c>
      <c r="Z6" s="394" t="str" cm="1">
        <f t="array" aca="1" ref="Z6:Z8" ca="1">TEXT(_xlfn.ANCHORARRAY(InData!$G$3),"@")</f>
        <v>31199</v>
      </c>
      <c r="AA6" s="110" t="str" cm="1">
        <f t="array" aca="1" ref="AA6" ca="1">IF(INDIRECT("rc["&amp;SUM(MATCH("PJS",$1:$1,0)-COLUMN())&amp;"]",FALSE)="","X",_xlfn.LET(_xlpm.x,SUM(ROW()),_xlpm.y,MATCH(AA$1,$1:$1,0),ADDRESS(_xlpm.x,_xlpm.y+1,4)&amp;":"&amp;ADDRESS(_xlpm.x,1+_xlpm.y+_xlfn.LET(_xlpm.z,INDIRECT("rc[2]#",FALSE),COUNT(CODE(_xlfn._xlws.FILTER(_xlpm.z,_xlpm.z&lt;&gt;"X","X")))),4)))</f>
        <v>AB6:AT6</v>
      </c>
      <c r="AB6" s="177" t="s">
        <v>375</v>
      </c>
      <c r="AC6" s="177" t="str" cm="1">
        <f t="array" aca="1" ref="AC6:AT6" ca="1">IF(INDIRECT("rc"&amp;MATCH("PJS",$1:$1,0),FALSE)="","X",TRANSPOSE(_xlfn._xlws.SORT(_xlfn.UNIQUE(_xlfn._xlws.FILTER(TbAssign[Módulo],(TbAssign[Project]=INDIRECT("rc"&amp;MATCH("PJS",$1:$1,0),FALSE)),"X")))))</f>
        <v>COSTES EVITABLES</v>
      </c>
      <c r="AD6" s="178" t="str">
        <f ca="1"/>
        <v>COSTES EVITABLES PROVEEDORES</v>
      </c>
      <c r="AE6" s="177" t="str">
        <f ca="1"/>
        <v>CUADRANTE ESTRUCTURADO</v>
      </c>
      <c r="AF6" s="177" t="str">
        <f ca="1"/>
        <v>CUADRANTES CD2</v>
      </c>
      <c r="AG6" s="177" t="str">
        <f ca="1"/>
        <v>DISEÑO HARDWARE</v>
      </c>
      <c r="AH6" s="177" t="str">
        <f ca="1"/>
        <v>DISEÑO SOFTWARE</v>
      </c>
      <c r="AI6" s="177" t="str">
        <f ca="1"/>
        <v>DISEÑO UTILES/GARRAS</v>
      </c>
      <c r="AJ6" s="177" t="str">
        <f ca="1"/>
        <v>ENR. UTILES/GARRAS</v>
      </c>
      <c r="AK6" s="177" t="str">
        <f ca="1"/>
        <v>FABRICACION ELEMENTOS IMPLANTA</v>
      </c>
      <c r="AL6" s="177" t="str">
        <f ca="1"/>
        <v>FABRICACION UTILES/GARRAS</v>
      </c>
      <c r="AM6" s="177" t="str">
        <f ca="1"/>
        <v>GASTOS ADUANALES</v>
      </c>
      <c r="AN6" s="177" t="str">
        <f ca="1"/>
        <v>GASTOS DE DESPLAZAMIENTO</v>
      </c>
      <c r="AO6" s="177" t="str">
        <f ca="1"/>
        <v>GASTOS GENERALES</v>
      </c>
      <c r="AP6" s="177" t="str">
        <f ca="1"/>
        <v>GESTION Y COORDINACION</v>
      </c>
      <c r="AQ6" s="177" t="str">
        <f ca="1"/>
        <v>PUESTA EN MARCHA EN PLANTA</v>
      </c>
      <c r="AR6" s="177" t="str">
        <f ca="1"/>
        <v>RECEPCION UTILES</v>
      </c>
      <c r="AS6" s="177" t="str">
        <f ca="1"/>
        <v>ROBCAD</v>
      </c>
      <c r="AT6" s="177" t="str">
        <f ca="1"/>
        <v>TRANSPORTES Y EMBALAJES</v>
      </c>
      <c r="AU6" s="177"/>
      <c r="AV6" s="177"/>
      <c r="AW6" s="177"/>
      <c r="AX6" s="177"/>
      <c r="AY6" s="177"/>
      <c r="AZ6" s="177"/>
      <c r="BA6" s="177"/>
      <c r="BB6" s="177"/>
      <c r="BC6" s="177"/>
      <c r="BD6" s="177"/>
      <c r="BE6" s="177"/>
      <c r="BF6" s="177"/>
      <c r="BG6" s="177"/>
      <c r="BH6" s="177"/>
      <c r="BI6" s="177"/>
      <c r="BJ6" s="177"/>
      <c r="BK6" s="177"/>
      <c r="BM6" s="110" t="str" cm="1">
        <f t="array" aca="1" ref="BM6" ca="1">IF(INDIRECT("rc["&amp;SUM(MATCH("PJS",$1:$1,0)-COLUMN())&amp;"]",FALSE)="","X",_xlfn.LET(_xlpm.x,SUM(ROW()),_xlpm.y,MATCH(BM$1,$1:$1,0),ADDRESS(_xlpm.x,_xlpm.y+1,4)&amp;":"&amp;ADDRESS(_xlpm.x,1+_xlpm.y+_xlfn.LET(_xlpm.z,INDIRECT("rc[2]#",FALSE),COUNT(CODE(_xlfn._xlws.FILTER(_xlpm.z,_xlpm.z&lt;&gt;"X","X")))),4)))</f>
        <v>BN6:CC6</v>
      </c>
      <c r="BN6" s="177" t="s">
        <v>375</v>
      </c>
      <c r="BO6" s="177" t="str" cm="1">
        <f t="array" aca="1" ref="BO6:CC6" ca="1">IF(INDIRECT("rc["&amp;SUM(MATCH("PJS",$1:$1,0)-COLUMN())&amp;"]",FALSE)="","X",TRANSPOSE(_xlfn._xlws.SORT(_xlfn.UNIQUE(_xlfn._xlws.FILTER(PptoSty[PptoVsColumn],(PptoSty[Project]=INDIRECT("rc["&amp;SUM(MATCH("PJS",$1:$1,0)-COLUMN())&amp;"]",FALSE)),"X")))))</f>
        <v>DISEÑO ELÉCTRICO</v>
      </c>
      <c r="BP6" s="177" t="str">
        <f ca="1"/>
        <v>DISEÑO MECÁNICO</v>
      </c>
      <c r="BQ6" s="177" t="str">
        <f ca="1"/>
        <v>DISEÑO NR</v>
      </c>
      <c r="BR6" s="177" t="str">
        <f ca="1"/>
        <v>FABRICACIÓN MECÁNICA (INCLUYE MATERIAS PRIMAS)</v>
      </c>
      <c r="BS6" s="177" t="str">
        <f ca="1"/>
        <v>GESTIÓN DE PROYECTOS</v>
      </c>
      <c r="BT6" s="177" t="str">
        <f ca="1"/>
        <v>GESTIÓN MECÁNICA</v>
      </c>
      <c r="BU6" s="177" t="str">
        <f ca="1"/>
        <v>INSTALACIÓN E.N.R.</v>
      </c>
      <c r="BV6" s="177" t="str">
        <f ca="1"/>
        <v>MATERIAL ELÉCTRICO</v>
      </c>
      <c r="BW6" s="177" t="str">
        <f ca="1"/>
        <v>MATERIAL FLUIDOS</v>
      </c>
      <c r="BX6" s="177" t="str">
        <f ca="1"/>
        <v>MATERIAL MECÁNICO (SOLO COMERCIO)</v>
      </c>
      <c r="BY6" s="177" t="str">
        <f ca="1"/>
        <v>METROLOGÍA</v>
      </c>
      <c r="BZ6" s="177" t="str">
        <f ca="1"/>
        <v>MONTAJE MECÁNICO</v>
      </c>
      <c r="CA6" s="177" t="str">
        <f ca="1"/>
        <v>ROBCAD</v>
      </c>
      <c r="CB6" s="177" t="str">
        <f ca="1"/>
        <v>ROBÓTICA</v>
      </c>
      <c r="CC6" s="177" t="str">
        <f ca="1"/>
        <v>TRANSP. &amp; DESPLAZ.</v>
      </c>
      <c r="CD6" s="177"/>
    </row>
    <row r="7" spans="1:82" ht="13" customHeight="1">
      <c r="C7" s="357">
        <v>45280</v>
      </c>
      <c r="D7" s="357" t="s">
        <v>2114</v>
      </c>
      <c r="E7" s="358" t="str">
        <f ca="1">Prj0_Id</f>
        <v>31200</v>
      </c>
      <c r="F7" s="359" t="s">
        <v>430</v>
      </c>
      <c r="G7" s="360" t="s">
        <v>377</v>
      </c>
      <c r="H7" s="358" cm="1">
        <f t="array" aca="1" ref="H7" ca="1">IFERROR(SUM(_xlfn._xlws.FILTER(IF(MeSel="Ppto",PptoSty[CurPpto],PptoSty[CurInt]+PptoSty[CurExt]),(PptoSty[Project]=TEXT(PrvSty[[#This Row],[Project]],"@"))*(PptoSty[PptoVsRow]=PrvSty[[#This Row],[Row]])*(PptoSty[PptoVsColumn]=PrvSty[[#This Row],[Column]]),0)),"X")</f>
        <v>70484.031393299985</v>
      </c>
      <c r="I7" s="358" cm="1">
        <f t="array" aca="1" ref="I7" ca="1">IFERROR(SUM(_xlfn._xlws.FILTER(FrmBB1[Cur],(FrmBB1[PrjId]=TEXT($E7,"@"))*(FrmBB1[Cia]=$D7)*(FrmBB1[Row]=$F7)*(FrmBB1[Column]=_xlfn.LET(_xlpm.x,_xlfn.TEXTBEFORE($G7," ("),IFERROR(_xlpm.x,$G7))&amp;" SERRA"),0)),"X")</f>
        <v>12758.48</v>
      </c>
      <c r="J7" s="358" cm="1">
        <f t="array" aca="1" ref="J7" ca="1">IFERROR(SUM(_xlfn._xlws.FILTER(FrmBB1[Cur],(FrmBB1[PrjId]=TEXT($E7,"@"))*(FrmBB1[Cia]=$D7)*(FrmBB1[Row]=$F7)*(FrmBB1[Column]=_xlfn.LET(_xlpm.x,_xlfn.TEXTBEFORE($G7," ("),IFERROR(_xlpm.x,$G7))&amp;" EXT."),0)),"X")</f>
        <v>0</v>
      </c>
      <c r="K7" s="358">
        <f ca="1">-K6</f>
        <v>-13613.880000000001</v>
      </c>
      <c r="L7" s="358">
        <v>0</v>
      </c>
      <c r="M7" s="361">
        <f ca="1">IF(SUM(H7,K7,L7)=0,IF(SUM(I7,J7)&gt;0,1,0),1-SUM(PrvSty[[#This Row],[Real:SERRA]:[Real:EXT.]])/SUM(PrvSty[[#This Row],[AcumInt]:[AcumExt]]))</f>
        <v>0.7756559515418644</v>
      </c>
      <c r="N7" s="362" t="s">
        <v>1739</v>
      </c>
      <c r="O7" s="358">
        <f ca="1">IF(OR(PrvSty[[#This Row],[DsvAbs:SERRA]]="X",PrvSty[[#This Row],[DsvAbs:SERRA]]=""),0,IF(PrvSty[[#This Row],[DesvTyp]]="Abs",PrvSty[[#This Row],[DsvAbs:SERRA]],PrvSty[[#This Row],[DsvAbs:SERRA]]*PrvSty[[#This Row],[Ppto]]))</f>
        <v>-13613.880000000001</v>
      </c>
      <c r="P7" s="358">
        <f>IF(OR(PrvSty[[#This Row],[DsvAbs:EXT.]]="X",PrvSty[[#This Row],[DsvAbs:EXT.]]=""),0,IF(PrvSty[[#This Row],[DesvTyp]]="Abs",PrvSty[[#This Row],[DsvAbs:EXT.]],PrvSty[[#This Row],[DsvAbs:EXT.]]*PrvSty[[#This Row],[Ppto]]))</f>
        <v>0</v>
      </c>
      <c r="Q7" s="358" t="str" cm="1">
        <f t="array" aca="1" ref="Q7"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7" s="363" cm="1">
        <f t="array" aca="1" ref="R7"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20100.349397309987</v>
      </c>
      <c r="S7" s="363" cm="1">
        <f t="array" aca="1" ref="S7"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36769.80199598999</v>
      </c>
      <c r="T7" s="367" cm="1">
        <f t="array" aca="1" ref="T7"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-292.39649687072995</v>
      </c>
      <c r="U7" s="367" cm="1">
        <f t="array" aca="1" ref="U7"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7" s="363"/>
      <c r="X7" s="212" t="str" cm="1">
        <f t="array" ref="X7:X24">_xlfn._xlws.SORT(_xlfn.UNIQUE(_xlfn._xlws.FILTER(UPPER(CstGrpS[GprDest]),(CstGrpS[GprDest]&lt;&gt;"")*(CstGrpS[GprDest]&lt;&gt;"X"),"X")))</f>
        <v>ASIST. TÉCNICA</v>
      </c>
      <c r="Z7" s="394" t="str">
        <f ca="1"/>
        <v>31200</v>
      </c>
      <c r="AA7" s="110" t="str" cm="1">
        <f t="array" aca="1" ref="AA7" ca="1">IF(INDIRECT("rc["&amp;SUM(MATCH("PJS",$1:$1,0)-COLUMN())&amp;"]",FALSE)="","X",_xlfn.LET(_xlpm.x,SUM(ROW()),_xlpm.y,MATCH(AA$1,$1:$1,0),ADDRESS(_xlpm.x,_xlpm.y+1,4)&amp;":"&amp;ADDRESS(_xlpm.x,1+_xlpm.y+_xlfn.LET(_xlpm.z,INDIRECT("rc[2]#",FALSE),COUNT(CODE(_xlfn._xlws.FILTER(_xlpm.z,_xlpm.z&lt;&gt;"X","X")))),4)))</f>
        <v>AB7:BC7</v>
      </c>
      <c r="AB7" s="177" t="s">
        <v>375</v>
      </c>
      <c r="AC7" s="177" t="str" cm="1">
        <f t="array" aca="1" ref="AC7:BC7" ca="1">IF(INDIRECT("rc"&amp;MATCH("PJS",$1:$1,0),FALSE)="","X",TRANSPOSE(_xlfn._xlws.SORT(_xlfn.UNIQUE(_xlfn._xlws.FILTER(TbAssign[Módulo],(TbAssign[Project]=INDIRECT("rc"&amp;MATCH("PJS",$1:$1,0),FALSE)),"X")))))</f>
        <v>ARMARIOS ELECTRICOS</v>
      </c>
      <c r="AD7" s="178" t="str">
        <f ca="1"/>
        <v>ASISTENCIA PRODUCCIÓN</v>
      </c>
      <c r="AE7" s="177" t="str">
        <f ca="1"/>
        <v>COSTES EVITABLES</v>
      </c>
      <c r="AF7" s="177" t="str">
        <f ca="1"/>
        <v>COSTES EVITABLES PROVEEDORES</v>
      </c>
      <c r="AG7" s="177" t="str">
        <f ca="1"/>
        <v>CUADRANTE ESTRUCTURADO</v>
      </c>
      <c r="AH7" s="177" t="str">
        <f ca="1"/>
        <v>CUADRANTES CD2</v>
      </c>
      <c r="AI7" s="177" t="str">
        <f ca="1"/>
        <v>DESMONTAJE</v>
      </c>
      <c r="AJ7" s="177" t="str">
        <f ca="1"/>
        <v>DISEÑO ELEMENTOS IMPLANTACION</v>
      </c>
      <c r="AK7" s="177" t="str">
        <f ca="1"/>
        <v>DISEÑO HARDWARE</v>
      </c>
      <c r="AL7" s="177" t="str">
        <f ca="1"/>
        <v>DISEÑO SOFTWARE</v>
      </c>
      <c r="AM7" s="177" t="str">
        <f ca="1"/>
        <v>DISEÑO UTILES/GARRAS</v>
      </c>
      <c r="AN7" s="177" t="str">
        <f ca="1"/>
        <v>ENR. UTILES/GARRAS</v>
      </c>
      <c r="AO7" s="177" t="str">
        <f ca="1"/>
        <v>FABRICACION ELEMENTOS IMPLANTA</v>
      </c>
      <c r="AP7" s="177" t="str">
        <f ca="1"/>
        <v>FABRICACION UTILES/GARRAS</v>
      </c>
      <c r="AQ7" s="177" t="str">
        <f ca="1"/>
        <v>GASTOS ADUANALES</v>
      </c>
      <c r="AR7" s="177" t="str">
        <f ca="1"/>
        <v>GASTOS DE DESPLAZAMIENTO</v>
      </c>
      <c r="AS7" s="177" t="str">
        <f ca="1"/>
        <v>GASTOS GENERALES</v>
      </c>
      <c r="AT7" s="177" t="str">
        <f ca="1"/>
        <v>GESTION Y COORDINACION</v>
      </c>
      <c r="AU7" s="177" t="str">
        <f ca="1"/>
        <v>GRANDES COMPRAS</v>
      </c>
      <c r="AV7" s="177" t="str">
        <f ca="1"/>
        <v>MATERIAL SERRA UNP</v>
      </c>
      <c r="AW7" s="177" t="str">
        <f ca="1"/>
        <v>MONTAJE EN SERRA</v>
      </c>
      <c r="AX7" s="177" t="str">
        <f ca="1"/>
        <v>PROGRAMA STD PLC SIEMENS</v>
      </c>
      <c r="AY7" s="177" t="str">
        <f ca="1"/>
        <v>PUESTA EN MARCHA EN PLANTA</v>
      </c>
      <c r="AZ7" s="177" t="str">
        <f ca="1"/>
        <v>PUESTA EN MARCHA EN SERRA</v>
      </c>
      <c r="BA7" s="177" t="str">
        <f ca="1"/>
        <v>RECEPCION UTILES</v>
      </c>
      <c r="BB7" s="177" t="str">
        <f ca="1"/>
        <v>ROBCAD</v>
      </c>
      <c r="BC7" s="177" t="str">
        <f ca="1"/>
        <v>TRANSPORTES Y EMBALAJES</v>
      </c>
      <c r="BD7" s="177"/>
      <c r="BE7" s="177"/>
      <c r="BF7" s="177"/>
      <c r="BG7" s="177"/>
      <c r="BH7" s="177"/>
      <c r="BI7" s="177"/>
      <c r="BJ7" s="177"/>
      <c r="BK7" s="177"/>
      <c r="BM7" s="110" t="str" cm="1">
        <f t="array" aca="1" ref="BM7" ca="1">IF(INDIRECT("rc["&amp;SUM(MATCH("PJS",$1:$1,0)-COLUMN())&amp;"]",FALSE)="","X",_xlfn.LET(_xlpm.x,SUM(ROW()),_xlpm.y,MATCH(BM$1,$1:$1,0),ADDRESS(_xlpm.x,_xlpm.y+1,4)&amp;":"&amp;ADDRESS(_xlpm.x,1+_xlpm.y+_xlfn.LET(_xlpm.z,INDIRECT("rc[2]#",FALSE),COUNT(CODE(_xlfn._xlws.FILTER(_xlpm.z,_xlpm.z&lt;&gt;"X","X")))),4)))</f>
        <v>BN7:CD7</v>
      </c>
      <c r="BN7" s="177" t="s">
        <v>375</v>
      </c>
      <c r="BO7" s="177" t="str" cm="1">
        <f t="array" aca="1" ref="BO7:CD7" ca="1">IF(INDIRECT("rc["&amp;SUM(MATCH("PJS",$1:$1,0)-COLUMN())&amp;"]",FALSE)="","X",TRANSPOSE(_xlfn._xlws.SORT(_xlfn.UNIQUE(_xlfn._xlws.FILTER(PptoSty[PptoVsColumn],(PptoSty[Project]=INDIRECT("rc["&amp;SUM(MATCH("PJS",$1:$1,0)-COLUMN())&amp;"]",FALSE)),"X")))))</f>
        <v>DISEÑO ELÉCTRICO</v>
      </c>
      <c r="BP7" s="177" t="str">
        <f ca="1"/>
        <v>DISEÑO MECÁNICO</v>
      </c>
      <c r="BQ7" s="177" t="str">
        <f ca="1"/>
        <v>DISEÑO NR</v>
      </c>
      <c r="BR7" s="177" t="str">
        <f ca="1"/>
        <v>FABRICACIÓN ELÉCTRICA</v>
      </c>
      <c r="BS7" s="177" t="str">
        <f ca="1"/>
        <v>FABRICACIÓN MECÁNICA (INCLUYE MATERIAS PRIMAS)</v>
      </c>
      <c r="BT7" s="177" t="str">
        <f ca="1"/>
        <v>GESTIÓN DE PROYECTOS</v>
      </c>
      <c r="BU7" s="177" t="str">
        <f ca="1"/>
        <v>GESTIÓN MECÁNICA</v>
      </c>
      <c r="BV7" s="177" t="str">
        <f ca="1"/>
        <v>INSTALACIÓN E.N.R.</v>
      </c>
      <c r="BW7" s="177" t="str">
        <f ca="1"/>
        <v>MATERIAL ELÉCTRICO</v>
      </c>
      <c r="BX7" s="177" t="str">
        <f ca="1"/>
        <v>MATERIAL FLUIDOS</v>
      </c>
      <c r="BY7" s="177" t="str">
        <f ca="1"/>
        <v>MATERIAL MECÁNICO (SOLO COMERCIO)</v>
      </c>
      <c r="BZ7" s="177" t="str">
        <f ca="1"/>
        <v>METROLOGÍA</v>
      </c>
      <c r="CA7" s="177" t="str">
        <f ca="1"/>
        <v>MONTAJE MECÁNICO</v>
      </c>
      <c r="CB7" s="177" t="str">
        <f ca="1"/>
        <v>ROBCAD</v>
      </c>
      <c r="CC7" s="177" t="str">
        <f ca="1"/>
        <v>ROBÓTICA</v>
      </c>
      <c r="CD7" s="177" t="str">
        <f ca="1"/>
        <v>TRANSP. &amp; DESPLAZ.</v>
      </c>
    </row>
    <row r="8" spans="1:82" ht="13" customHeight="1">
      <c r="C8" s="357">
        <v>45280</v>
      </c>
      <c r="D8" s="357" t="s">
        <v>2114</v>
      </c>
      <c r="E8" s="358" t="str">
        <f ca="1">Prj0_Id</f>
        <v>31200</v>
      </c>
      <c r="F8" s="359" t="s">
        <v>2051</v>
      </c>
      <c r="G8" s="360" t="s">
        <v>377</v>
      </c>
      <c r="H8" s="358" cm="1">
        <f t="array" aca="1" ref="H8" ca="1">IFERROR(SUM(_xlfn._xlws.FILTER(IF(MeSel="Ppto",PptoSty[CurPpto],PptoSty[CurInt]+PptoSty[CurExt]),(PptoSty[Project]=TEXT(PrvSty[[#This Row],[Project]],"@"))*(PptoSty[PptoVsRow]=PrvSty[[#This Row],[Row]])*(PptoSty[PptoVsColumn]=PrvSty[[#This Row],[Column]]),0)),"X")</f>
        <v>0</v>
      </c>
      <c r="I8" s="358" cm="1">
        <f t="array" aca="1" ref="I8" ca="1">IFERROR(SUM(_xlfn._xlws.FILTER(FrmBB1[Cur],(FrmBB1[PrjId]=TEXT($E8,"@"))*(FrmBB1[Cia]=$D8)*(FrmBB1[Row]=$F8)*(FrmBB1[Column]=_xlfn.LET(_xlpm.x,_xlfn.TEXTBEFORE($G8," ("),IFERROR(_xlpm.x,$G8))&amp;" SERRA"),0)),"X")</f>
        <v>0</v>
      </c>
      <c r="J8" s="358" cm="1">
        <f t="array" aca="1" ref="J8" ca="1">IFERROR(SUM(_xlfn._xlws.FILTER(FrmBB1[Cur],(FrmBB1[PrjId]=TEXT($E8,"@"))*(FrmBB1[Cia]=$D8)*(FrmBB1[Row]=$F8)*(FrmBB1[Column]=_xlfn.LET(_xlpm.x,_xlfn.TEXTBEFORE($G8," ("),IFERROR(_xlpm.x,$G8))&amp;" EXT."),0)),"X")</f>
        <v>0</v>
      </c>
      <c r="K8" s="358">
        <f>500*50</f>
        <v>25000</v>
      </c>
      <c r="L8" s="358">
        <v>0</v>
      </c>
      <c r="M8" s="361">
        <f ca="1">IF(SUM(H8,K8,L8)=0,IF(SUM(I8,J8)&gt;0,1,0),1-SUM(PrvSty[[#This Row],[Real:SERRA]:[Real:EXT.]])/SUM(PrvSty[[#This Row],[AcumInt]:[AcumExt]]))</f>
        <v>1</v>
      </c>
      <c r="N8" s="362" t="s">
        <v>1739</v>
      </c>
      <c r="O8" s="358">
        <f>IF(OR(PrvSty[[#This Row],[DsvAbs:SERRA]]="X",PrvSty[[#This Row],[DsvAbs:SERRA]]=""),0,IF(PrvSty[[#This Row],[DesvTyp]]="Abs",PrvSty[[#This Row],[DsvAbs:SERRA]],PrvSty[[#This Row],[DsvAbs:SERRA]]*PrvSty[[#This Row],[Ppto]]))</f>
        <v>25000</v>
      </c>
      <c r="P8" s="358">
        <f>IF(OR(PrvSty[[#This Row],[DsvAbs:EXT.]]="X",PrvSty[[#This Row],[DsvAbs:EXT.]]=""),0,IF(PrvSty[[#This Row],[DesvTyp]]="Abs",PrvSty[[#This Row],[DsvAbs:EXT.]],PrvSty[[#This Row],[DsvAbs:EXT.]]*PrvSty[[#This Row],[Ppto]]))</f>
        <v>0</v>
      </c>
      <c r="Q8" s="358" t="str" cm="1">
        <f t="array" aca="1" ref="Q8"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8" s="363" cm="1">
        <f t="array" aca="1" ref="R8"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25000</v>
      </c>
      <c r="S8" s="363" cm="1">
        <f t="array" aca="1" ref="S8"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8" s="367" cm="1">
        <f t="array" aca="1" ref="T8"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536.94556010250187</v>
      </c>
      <c r="U8" s="367" cm="1">
        <f t="array" aca="1" ref="U8"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8" s="363"/>
      <c r="X8" s="212" t="str">
        <v>DISEÑO ELÉCTRICO</v>
      </c>
      <c r="Z8" s="394" t="str">
        <f ca="1"/>
        <v>X</v>
      </c>
      <c r="AA8" s="110" t="str" cm="1">
        <f t="array" aca="1" ref="AA8" ca="1">IF(INDIRECT("rc["&amp;SUM(MATCH("PJS",$1:$1,0)-COLUMN())&amp;"]",FALSE)="","X",_xlfn.LET(_xlpm.x,SUM(ROW()),_xlpm.y,MATCH(AA$1,$1:$1,0),ADDRESS(_xlpm.x,_xlpm.y+1,4)&amp;":"&amp;ADDRESS(_xlpm.x,1+_xlpm.y+_xlfn.LET(_xlpm.z,INDIRECT("rc[2]#",FALSE),COUNT(CODE(_xlfn._xlws.FILTER(_xlpm.z,_xlpm.z&lt;&gt;"X","X")))),4)))</f>
        <v>AB8:AC8</v>
      </c>
      <c r="AB8" s="177" t="s">
        <v>375</v>
      </c>
      <c r="AC8" s="177" t="str" cm="1">
        <f t="array" aca="1" ref="AC8" ca="1">IF(INDIRECT("rc"&amp;MATCH("PJS",$1:$1,0),FALSE)="","X",TRANSPOSE(_xlfn._xlws.SORT(_xlfn.UNIQUE(_xlfn._xlws.FILTER(TbAssign[Módulo],(TbAssign[Project]=INDIRECT("rc"&amp;MATCH("PJS",$1:$1,0),FALSE)),"X")))))</f>
        <v>X</v>
      </c>
      <c r="AD8" s="178"/>
      <c r="AE8" s="177"/>
      <c r="AF8" s="177"/>
      <c r="AG8" s="177"/>
      <c r="AH8" s="177"/>
      <c r="AI8" s="177"/>
      <c r="AJ8" s="177"/>
      <c r="AK8" s="177"/>
      <c r="AL8" s="177"/>
      <c r="AM8" s="177"/>
      <c r="AN8" s="177"/>
      <c r="AO8" s="177"/>
      <c r="AP8" s="177"/>
      <c r="AQ8" s="177"/>
      <c r="AR8" s="177"/>
      <c r="AS8" s="177"/>
      <c r="AT8" s="177"/>
      <c r="AU8" s="177"/>
      <c r="AV8" s="177"/>
      <c r="AW8" s="177"/>
      <c r="AX8" s="177"/>
      <c r="AY8" s="177"/>
      <c r="AZ8" s="177"/>
      <c r="BA8" s="177"/>
      <c r="BB8" s="177"/>
      <c r="BC8" s="177"/>
      <c r="BD8" s="177"/>
      <c r="BE8" s="177"/>
      <c r="BF8" s="177"/>
      <c r="BG8" s="177"/>
      <c r="BH8" s="177"/>
      <c r="BI8" s="177"/>
      <c r="BJ8" s="177"/>
      <c r="BK8" s="177"/>
      <c r="BM8" s="110" t="str" cm="1">
        <f t="array" aca="1" ref="BM8" ca="1">IF(INDIRECT("rc["&amp;SUM(MATCH("PJS",$1:$1,0)-COLUMN())&amp;"]",FALSE)="","X",_xlfn.LET(_xlpm.x,SUM(ROW()),_xlpm.y,MATCH(BM$1,$1:$1,0),ADDRESS(_xlpm.x,_xlpm.y+1,4)&amp;":"&amp;ADDRESS(_xlpm.x,1+_xlpm.y+_xlfn.LET(_xlpm.z,INDIRECT("rc[2]#",FALSE),COUNT(CODE(_xlfn._xlws.FILTER(_xlpm.z,_xlpm.z&lt;&gt;"X","X")))),4)))</f>
        <v>BN8:BO8</v>
      </c>
      <c r="BN8" s="177" t="s">
        <v>375</v>
      </c>
      <c r="BO8" s="177" t="str" cm="1">
        <f t="array" aca="1" ref="BO8" ca="1">IF(INDIRECT("rc["&amp;SUM(MATCH("PJS",$1:$1,0)-COLUMN())&amp;"]",FALSE)="","X",TRANSPOSE(_xlfn._xlws.SORT(_xlfn.UNIQUE(_xlfn._xlws.FILTER(PptoSty[PptoVsColumn],(PptoSty[Project]=INDIRECT("rc["&amp;SUM(MATCH("PJS",$1:$1,0)-COLUMN())&amp;"]",FALSE)),"X")))))</f>
        <v>X</v>
      </c>
      <c r="BP8" s="177"/>
      <c r="BQ8" s="177"/>
      <c r="BR8" s="177"/>
      <c r="BS8" s="177"/>
      <c r="BT8" s="177"/>
      <c r="BU8" s="177"/>
      <c r="BV8" s="177"/>
      <c r="BW8" s="177"/>
      <c r="BX8" s="177"/>
      <c r="BY8" s="177"/>
      <c r="BZ8" s="177"/>
      <c r="CA8" s="177"/>
      <c r="CB8" s="177"/>
      <c r="CC8" s="177"/>
      <c r="CD8" s="177"/>
    </row>
    <row r="9" spans="1:82" ht="13" customHeight="1">
      <c r="C9" s="357">
        <v>45280</v>
      </c>
      <c r="D9" s="357" t="s">
        <v>2114</v>
      </c>
      <c r="E9" s="358" t="str">
        <f ca="1">Prj0_Id</f>
        <v>31200</v>
      </c>
      <c r="F9" s="359" t="s">
        <v>430</v>
      </c>
      <c r="G9" s="360" t="s">
        <v>377</v>
      </c>
      <c r="H9" s="358" cm="1">
        <f t="array" aca="1" ref="H9" ca="1">IFERROR(SUM(_xlfn._xlws.FILTER(IF(MeSel="Ppto",PptoSty[CurPpto],PptoSty[CurInt]+PptoSty[CurExt]),(PptoSty[Project]=TEXT(PrvSty[[#This Row],[Project]],"@"))*(PptoSty[PptoVsRow]=PrvSty[[#This Row],[Row]])*(PptoSty[PptoVsColumn]=PrvSty[[#This Row],[Column]]),0)),"X")</f>
        <v>70484.031393299985</v>
      </c>
      <c r="I9" s="358" cm="1">
        <f t="array" aca="1" ref="I9" ca="1">IFERROR(SUM(_xlfn._xlws.FILTER(FrmBB1[Cur],(FrmBB1[PrjId]=TEXT($E9,"@"))*(FrmBB1[Cia]=$D9)*(FrmBB1[Row]=$F9)*(FrmBB1[Column]=_xlfn.LET(_xlpm.x,_xlfn.TEXTBEFORE($G9," ("),IFERROR(_xlpm.x,$G9))&amp;" SERRA"),0)),"X")</f>
        <v>12758.48</v>
      </c>
      <c r="J9" s="358" cm="1">
        <f t="array" aca="1" ref="J9" ca="1">IFERROR(SUM(_xlfn._xlws.FILTER(FrmBB1[Cur],(FrmBB1[PrjId]=TEXT($E9,"@"))*(FrmBB1[Cia]=$D9)*(FrmBB1[Row]=$F9)*(FrmBB1[Column]=_xlfn.LET(_xlpm.x,_xlfn.TEXTBEFORE($G9," ("),IFERROR(_xlpm.x,$G9))&amp;" EXT."),0)),"X")</f>
        <v>0</v>
      </c>
      <c r="K9" s="358">
        <f>-K8</f>
        <v>-25000</v>
      </c>
      <c r="L9" s="358">
        <v>0</v>
      </c>
      <c r="M9" s="361">
        <f ca="1">IF(SUM(H9,K9,L9)=0,IF(SUM(I9,J9)&gt;0,1,0),1-SUM(PrvSty[[#This Row],[Real:SERRA]:[Real:EXT.]])/SUM(PrvSty[[#This Row],[AcumInt]:[AcumExt]]))</f>
        <v>0.5996730657927718</v>
      </c>
      <c r="N9" s="362" t="s">
        <v>1739</v>
      </c>
      <c r="O9" s="358">
        <f>IF(OR(PrvSty[[#This Row],[DsvAbs:SERRA]]="X",PrvSty[[#This Row],[DsvAbs:SERRA]]=""),0,IF(PrvSty[[#This Row],[DesvTyp]]="Abs",PrvSty[[#This Row],[DsvAbs:SERRA]],PrvSty[[#This Row],[DsvAbs:SERRA]]*PrvSty[[#This Row],[Ppto]]))</f>
        <v>-25000</v>
      </c>
      <c r="P9" s="358">
        <f>IF(OR(PrvSty[[#This Row],[DsvAbs:EXT.]]="X",PrvSty[[#This Row],[DsvAbs:EXT.]]=""),0,IF(PrvSty[[#This Row],[DesvTyp]]="Abs",PrvSty[[#This Row],[DsvAbs:EXT.]],PrvSty[[#This Row],[DsvAbs:EXT.]]*PrvSty[[#This Row],[Ppto]]))</f>
        <v>0</v>
      </c>
      <c r="Q9" s="358" t="str" cm="1">
        <f t="array" aca="1" ref="Q9"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9" s="363" cm="1">
        <f t="array" aca="1" ref="R9"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-4899.650602690017</v>
      </c>
      <c r="S9" s="363" cm="1">
        <f t="array" aca="1" ref="S9"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36769.80199598999</v>
      </c>
      <c r="T9" s="367" cm="1">
        <f t="array" aca="1" ref="T9"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-536.94556010250187</v>
      </c>
      <c r="U9" s="367" cm="1">
        <f t="array" aca="1" ref="U9"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9" s="363"/>
      <c r="X9" s="212" t="str">
        <v>DISEÑO MECÁNICO</v>
      </c>
      <c r="Z9" s="173" t="s">
        <v>444</v>
      </c>
      <c r="AA9" s="173" t="s">
        <v>1385</v>
      </c>
      <c r="AC9" s="113"/>
      <c r="AD9" s="113"/>
      <c r="AE9" s="113"/>
      <c r="AF9" s="113"/>
      <c r="AG9" s="113"/>
      <c r="AH9" s="113"/>
      <c r="AI9" s="113"/>
      <c r="AJ9" s="113"/>
      <c r="AK9" s="113"/>
      <c r="AL9" s="113"/>
      <c r="AM9" s="113"/>
      <c r="AN9" s="113"/>
      <c r="AO9" s="113"/>
      <c r="AP9" s="113"/>
      <c r="AQ9" s="113"/>
      <c r="AR9" s="113"/>
      <c r="AS9" s="113"/>
      <c r="AT9" s="113"/>
      <c r="AU9" s="113"/>
      <c r="AV9" s="113"/>
      <c r="AW9" s="113"/>
      <c r="AX9" s="113"/>
      <c r="AY9" s="113"/>
      <c r="AZ9" s="113"/>
      <c r="BA9" s="113"/>
      <c r="BB9" s="113"/>
      <c r="BC9" s="113"/>
      <c r="BD9" s="113"/>
      <c r="BE9" s="113"/>
      <c r="BF9" s="113"/>
      <c r="BG9" s="113"/>
      <c r="BH9" s="113"/>
      <c r="BI9" s="113"/>
      <c r="BJ9" s="113"/>
      <c r="BK9" s="113"/>
      <c r="BM9" s="173" t="s">
        <v>1733</v>
      </c>
      <c r="BN9" s="113"/>
      <c r="BO9" s="113"/>
      <c r="BP9" s="113"/>
      <c r="BQ9" s="113"/>
      <c r="BR9" s="113"/>
      <c r="BS9" s="113"/>
      <c r="BT9" s="113"/>
      <c r="BU9" s="113"/>
      <c r="BV9" s="113"/>
      <c r="BW9" s="113"/>
      <c r="BX9" s="113"/>
      <c r="BY9" s="113"/>
      <c r="BZ9" s="113"/>
      <c r="CA9" s="113"/>
      <c r="CB9" s="113"/>
      <c r="CC9" s="113"/>
      <c r="CD9" s="113"/>
    </row>
    <row r="10" spans="1:82" ht="13" customHeight="1">
      <c r="C10" s="357">
        <v>45594</v>
      </c>
      <c r="D10" s="357" t="s">
        <v>2114</v>
      </c>
      <c r="E10" s="360" t="str">
        <f t="shared" ref="E10:E46" si="2">TEXT(Prj2_Id,"@")</f>
        <v>31199</v>
      </c>
      <c r="F10" s="359" t="s">
        <v>358</v>
      </c>
      <c r="G10" s="360" t="s">
        <v>387</v>
      </c>
      <c r="H10" s="358" cm="1">
        <f t="array" ref="H10">IFERROR(SUM(_xlfn._xlws.FILTER(IF(MeSel="Ppto",PptoSty[CurPpto],PptoSty[CurInt]+PptoSty[CurExt]),(PptoSty[Project]=TEXT(PrvSty[[#This Row],[Project]],"@"))*(PptoSty[PptoVsRow]=PrvSty[[#This Row],[Row]])*(PptoSty[PptoVsColumn]=PrvSty[[#This Row],[Column]]),0)),"X")</f>
        <v>29510.494300000002</v>
      </c>
      <c r="I10" s="358" cm="1">
        <f t="array" ref="I10">IFERROR(SUM(_xlfn._xlws.FILTER(FrmBB1[Cur],(FrmBB1[PrjId]=TEXT($E10,"@"))*(FrmBB1[Cia]=$D10)*(FrmBB1[Row]=$F10)*(FrmBB1[Column]=_xlfn.LET(_xlpm.x,_xlfn.TEXTBEFORE($G10," ("),IFERROR(_xlpm.x,$G10))&amp;" SERRA"),0)),"X")</f>
        <v>32839.379999999997</v>
      </c>
      <c r="J10" s="358" cm="1">
        <f t="array" ref="J10">IFERROR(SUM(_xlfn._xlws.FILTER(FrmBB1[Cur],(FrmBB1[PrjId]=TEXT($E10,"@"))*(FrmBB1[Cia]=$D10)*(FrmBB1[Row]=$F10)*(FrmBB1[Column]=_xlfn.LET(_xlpm.x,_xlfn.TEXTBEFORE($G10," ("),IFERROR(_xlpm.x,$G10))&amp;" EXT."),0)),"X")</f>
        <v>0</v>
      </c>
      <c r="K10" s="358">
        <v>3328.8856999999953</v>
      </c>
      <c r="L10" s="358">
        <v>0</v>
      </c>
      <c r="M10" s="361">
        <f ca="1">IF(SUM(H10,K10,L10)=0,IF(SUM(I10,J10)&gt;0,1,0),1-SUM(PrvSty[[#This Row],[Real:SERRA]:[Real:EXT.]])/SUM(PrvSty[[#This Row],[AcumInt]:[AcumExt]]))</f>
        <v>0</v>
      </c>
      <c r="N10" s="362" t="s">
        <v>1739</v>
      </c>
      <c r="O10" s="358">
        <f>IF(OR(PrvSty[[#This Row],[DsvAbs:SERRA]]="X",PrvSty[[#This Row],[DsvAbs:SERRA]]=""),0,IF(PrvSty[[#This Row],[DesvTyp]]="Abs",PrvSty[[#This Row],[DsvAbs:SERRA]],PrvSty[[#This Row],[DsvAbs:SERRA]]*PrvSty[[#This Row],[Ppto]]))</f>
        <v>3328.8856999999953</v>
      </c>
      <c r="P10" s="358">
        <f>IF(OR(PrvSty[[#This Row],[DsvAbs:EXT.]]="X",PrvSty[[#This Row],[DsvAbs:EXT.]]=""),0,IF(PrvSty[[#This Row],[DesvTyp]]="Abs",PrvSty[[#This Row],[DsvAbs:EXT.]],PrvSty[[#This Row],[DsvAbs:EXT.]]*PrvSty[[#This Row],[Ppto]]))</f>
        <v>0</v>
      </c>
      <c r="Q10" s="358" t="str" cm="1">
        <f t="array" aca="1" ref="Q10"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0" s="363" cm="1">
        <f t="array" aca="1" ref="R10"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32839.379999999997</v>
      </c>
      <c r="S10" s="363" cm="1">
        <f t="array" aca="1" ref="S10"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10" s="367" cm="1">
        <f t="array" ref="T10">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67.074062059238287</v>
      </c>
      <c r="U10" s="367" cm="1">
        <f t="array" ref="U10">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0" s="363"/>
      <c r="X10" s="212" t="str">
        <v>DISEÑO NR</v>
      </c>
      <c r="Z10" s="21"/>
      <c r="AA10" s="21"/>
      <c r="AB10" s="175"/>
      <c r="AC10" s="176"/>
      <c r="AD10" s="179"/>
      <c r="AE10" s="176"/>
      <c r="AF10" s="176"/>
      <c r="AG10" s="176"/>
      <c r="AH10" s="176"/>
      <c r="AI10" s="176"/>
      <c r="AJ10" s="176"/>
      <c r="AK10" s="176"/>
      <c r="AL10" s="176"/>
      <c r="AM10" s="176"/>
      <c r="AN10" s="176"/>
      <c r="AO10" s="176"/>
      <c r="AP10" s="176"/>
      <c r="AQ10" s="176"/>
      <c r="AR10" s="176"/>
      <c r="AS10" s="176"/>
      <c r="AT10" s="176"/>
      <c r="AU10" s="176"/>
      <c r="AV10" s="176"/>
      <c r="AW10" s="176"/>
      <c r="AX10" s="176"/>
      <c r="AY10" s="176"/>
      <c r="AZ10" s="176"/>
      <c r="BA10" s="176"/>
      <c r="BB10" s="176"/>
      <c r="BC10" s="176"/>
      <c r="BD10" s="176"/>
      <c r="BE10" s="176"/>
      <c r="BF10" s="176"/>
      <c r="BG10" s="176"/>
      <c r="BH10" s="176"/>
      <c r="BI10" s="176"/>
      <c r="BJ10" s="176"/>
      <c r="BK10" s="176"/>
      <c r="BM10" s="21"/>
      <c r="BN10" s="176"/>
      <c r="BO10" s="176"/>
      <c r="BP10" s="176"/>
      <c r="BQ10" s="176"/>
      <c r="BR10" s="176"/>
      <c r="BS10" s="176"/>
      <c r="BT10" s="176"/>
      <c r="BU10" s="176"/>
      <c r="BV10" s="176"/>
      <c r="BW10" s="176"/>
      <c r="BX10" s="176"/>
      <c r="BY10" s="176"/>
      <c r="BZ10" s="176"/>
      <c r="CA10" s="176"/>
      <c r="CB10" s="176"/>
      <c r="CC10" s="176"/>
      <c r="CD10" s="176"/>
    </row>
    <row r="11" spans="1:82" ht="13" customHeight="1">
      <c r="C11" s="357">
        <v>45594</v>
      </c>
      <c r="D11" s="357" t="s">
        <v>2114</v>
      </c>
      <c r="E11" s="360" t="str">
        <f t="shared" si="2"/>
        <v>31199</v>
      </c>
      <c r="F11" s="359" t="s">
        <v>358</v>
      </c>
      <c r="G11" s="360" t="s">
        <v>377</v>
      </c>
      <c r="H11" s="358" cm="1">
        <f t="array" ref="H11">IFERROR(SUM(_xlfn._xlws.FILTER(IF(MeSel="Ppto",PptoSty[CurPpto],PptoSty[CurInt]+PptoSty[CurExt]),(PptoSty[Project]=TEXT(PrvSty[[#This Row],[Project]],"@"))*(PptoSty[PptoVsRow]=PrvSty[[#This Row],[Row]])*(PptoSty[PptoVsColumn]=PrvSty[[#This Row],[Column]]),0)),"X")</f>
        <v>2622.85284</v>
      </c>
      <c r="I11" s="358" cm="1">
        <f t="array" ref="I11">IFERROR(SUM(_xlfn._xlws.FILTER(FrmBB1[Cur],(FrmBB1[PrjId]=TEXT($E11,"@"))*(FrmBB1[Cia]=$D11)*(FrmBB1[Row]=$F11)*(FrmBB1[Column]=_xlfn.LET(_xlpm.x,_xlfn.TEXTBEFORE($G11," ("),IFERROR(_xlpm.x,$G11))&amp;" SERRA"),0)),"X")</f>
        <v>4663.84</v>
      </c>
      <c r="J11" s="358" cm="1">
        <f t="array" ref="J11">IFERROR(SUM(_xlfn._xlws.FILTER(FrmBB1[Cur],(FrmBB1[PrjId]=TEXT($E11,"@"))*(FrmBB1[Cia]=$D11)*(FrmBB1[Row]=$F11)*(FrmBB1[Column]=_xlfn.LET(_xlpm.x,_xlfn.TEXTBEFORE($G11," ("),IFERROR(_xlpm.x,$G11))&amp;" EXT."),0)),"X")</f>
        <v>0</v>
      </c>
      <c r="K11" s="358">
        <v>2040.9871600000001</v>
      </c>
      <c r="L11" s="358">
        <v>0</v>
      </c>
      <c r="M11" s="361">
        <f ca="1">IF(SUM(H11,K11,L11)=0,IF(SUM(I11,J11)&gt;0,1,0),1-SUM(PrvSty[[#This Row],[Real:SERRA]:[Real:EXT.]])/SUM(PrvSty[[#This Row],[AcumInt]:[AcumExt]]))</f>
        <v>0</v>
      </c>
      <c r="N11" s="362" t="s">
        <v>1739</v>
      </c>
      <c r="O11" s="358">
        <f>IF(OR(PrvSty[[#This Row],[DsvAbs:SERRA]]="X",PrvSty[[#This Row],[DsvAbs:SERRA]]=""),0,IF(PrvSty[[#This Row],[DesvTyp]]="Abs",PrvSty[[#This Row],[DsvAbs:SERRA]],PrvSty[[#This Row],[DsvAbs:SERRA]]*PrvSty[[#This Row],[Ppto]]))</f>
        <v>2040.9871600000001</v>
      </c>
      <c r="P11" s="358">
        <f>IF(OR(PrvSty[[#This Row],[DsvAbs:EXT.]]="X",PrvSty[[#This Row],[DsvAbs:EXT.]]=""),0,IF(PrvSty[[#This Row],[DesvTyp]]="Abs",PrvSty[[#This Row],[DsvAbs:EXT.]],PrvSty[[#This Row],[DsvAbs:EXT.]]*PrvSty[[#This Row],[Ppto]]))</f>
        <v>0</v>
      </c>
      <c r="Q11" s="358" t="str" cm="1">
        <f t="array" aca="1" ref="Q11"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1" s="363" cm="1">
        <f t="array" aca="1" ref="R11"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3306.5636199999999</v>
      </c>
      <c r="S11" s="363" cm="1">
        <f t="array" aca="1" ref="S11"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1357.27638</v>
      </c>
      <c r="T11" s="367" cm="1">
        <f t="array" ref="T1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45.741532223382364</v>
      </c>
      <c r="U11" s="367" cm="1">
        <f t="array" ref="U1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1" s="363"/>
      <c r="X11" s="212" t="str">
        <v>FABRICACIÓN ELÉCTRICA</v>
      </c>
      <c r="Z11" s="21"/>
      <c r="AA11" s="21"/>
      <c r="AB11" s="175"/>
      <c r="AC11" s="176"/>
      <c r="AD11" s="179"/>
      <c r="AE11" s="176"/>
      <c r="AF11" s="176"/>
      <c r="AG11" s="176"/>
      <c r="AH11" s="176"/>
      <c r="AI11" s="176"/>
      <c r="AJ11" s="176"/>
      <c r="AK11" s="176"/>
      <c r="AL11" s="176"/>
      <c r="AM11" s="176"/>
      <c r="AN11" s="176"/>
      <c r="AO11" s="176"/>
      <c r="AP11" s="176"/>
      <c r="AQ11" s="176"/>
      <c r="AR11" s="176"/>
      <c r="AS11" s="176"/>
      <c r="AT11" s="176"/>
      <c r="AU11" s="176"/>
      <c r="AV11" s="176"/>
      <c r="AW11" s="176"/>
      <c r="AX11" s="176"/>
      <c r="AY11" s="176"/>
      <c r="AZ11" s="176"/>
      <c r="BA11" s="176"/>
      <c r="BB11" s="176"/>
      <c r="BC11" s="176"/>
      <c r="BD11" s="176"/>
      <c r="BE11" s="176"/>
      <c r="BF11" s="176"/>
      <c r="BG11" s="176"/>
      <c r="BH11" s="176"/>
      <c r="BI11" s="176"/>
      <c r="BJ11" s="176"/>
      <c r="BK11" s="176"/>
      <c r="BM11" s="21"/>
      <c r="BN11" s="176"/>
      <c r="BO11" s="176"/>
      <c r="BP11" s="176"/>
      <c r="BQ11" s="176"/>
      <c r="BR11" s="176"/>
      <c r="BS11" s="176"/>
      <c r="BT11" s="176"/>
      <c r="BU11" s="176"/>
      <c r="BV11" s="176"/>
      <c r="BW11" s="176"/>
      <c r="BX11" s="176"/>
      <c r="BY11" s="176"/>
      <c r="BZ11" s="176"/>
      <c r="CA11" s="176"/>
      <c r="CB11" s="176"/>
      <c r="CC11" s="176"/>
      <c r="CD11" s="176"/>
    </row>
    <row r="12" spans="1:82">
      <c r="C12" s="357">
        <v>45594</v>
      </c>
      <c r="D12" s="357" t="s">
        <v>2114</v>
      </c>
      <c r="E12" s="360" t="str">
        <f t="shared" si="2"/>
        <v>31199</v>
      </c>
      <c r="F12" s="359" t="s">
        <v>428</v>
      </c>
      <c r="G12" s="360" t="s">
        <v>377</v>
      </c>
      <c r="H12" s="358" cm="1">
        <f t="array" aca="1" ref="H12" ca="1">IFERROR(SUM(_xlfn._xlws.FILTER(IF(MeSel="Ppto",PptoSty[CurPpto],PptoSty[CurInt]+PptoSty[CurExt]),(PptoSty[Project]=TEXT(PrvSty[[#This Row],[Project]],"@"))*(PptoSty[PptoVsRow]=PrvSty[[#This Row],[Row]])*(PptoSty[PptoVsColumn]=PrvSty[[#This Row],[Column]]),0)),"X")</f>
        <v>6102.6774000000005</v>
      </c>
      <c r="I12" s="358" cm="1">
        <f t="array" ref="I12">IFERROR(SUM(_xlfn._xlws.FILTER(FrmBB1[Cur],(FrmBB1[PrjId]=TEXT($E12,"@"))*(FrmBB1[Cia]=$D12)*(FrmBB1[Row]=$F12)*(FrmBB1[Column]=_xlfn.LET(_xlpm.x,_xlfn.TEXTBEFORE($G12," ("),IFERROR(_xlpm.x,$G12))&amp;" SERRA"),0)),"X")</f>
        <v>10563.68</v>
      </c>
      <c r="J12" s="358" cm="1">
        <f t="array" ref="J12">IFERROR(SUM(_xlfn._xlws.FILTER(FrmBB1[Cur],(FrmBB1[PrjId]=TEXT($E12,"@"))*(FrmBB1[Cia]=$D12)*(FrmBB1[Row]=$F12)*(FrmBB1[Column]=_xlfn.LET(_xlpm.x,_xlfn.TEXTBEFORE($G12," ("),IFERROR(_xlpm.x,$G12))&amp;" EXT."),0)),"X")</f>
        <v>0</v>
      </c>
      <c r="K12" s="358">
        <v>2018.9817999999996</v>
      </c>
      <c r="L12" s="358">
        <v>0</v>
      </c>
      <c r="M12" s="361">
        <f ca="1">IF(SUM(H12,K12,L12)=0,IF(SUM(I12,J12)&gt;0,1,0),1-SUM(PrvSty[[#This Row],[Real:SERRA]:[Real:EXT.]])/SUM(PrvSty[[#This Row],[AcumInt]:[AcumExt]]))</f>
        <v>-0.30068003838427493</v>
      </c>
      <c r="N12" s="362" t="s">
        <v>1739</v>
      </c>
      <c r="O12" s="358">
        <f>IF(OR(PrvSty[[#This Row],[DsvAbs:SERRA]]="X",PrvSty[[#This Row],[DsvAbs:SERRA]]=""),0,IF(PrvSty[[#This Row],[DesvTyp]]="Abs",PrvSty[[#This Row],[DsvAbs:SERRA]],PrvSty[[#This Row],[DsvAbs:SERRA]]*PrvSty[[#This Row],[Ppto]]))</f>
        <v>2018.9817999999996</v>
      </c>
      <c r="P12" s="358">
        <f>IF(OR(PrvSty[[#This Row],[DsvAbs:EXT.]]="X",PrvSty[[#This Row],[DsvAbs:EXT.]]=""),0,IF(PrvSty[[#This Row],[DesvTyp]]="Abs",PrvSty[[#This Row],[DsvAbs:EXT.]],PrvSty[[#This Row],[DsvAbs:EXT.]]*PrvSty[[#This Row],[Ppto]]))</f>
        <v>0</v>
      </c>
      <c r="Q12" s="358" t="str" cm="1">
        <f t="array" aca="1" ref="Q12"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2" s="363" cm="1">
        <f t="array" aca="1" ref="R12"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4963.6399000000001</v>
      </c>
      <c r="S12" s="363" cm="1">
        <f t="array" aca="1" ref="S12"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3158.0193000000004</v>
      </c>
      <c r="T12" s="367" cm="1">
        <f t="array" ref="T12">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45.248359653140838</v>
      </c>
      <c r="U12" s="367" cm="1">
        <f t="array" ref="U12">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2" s="363"/>
      <c r="X12" s="212" t="str">
        <v>FABRICACIÓN MECÁNICA (INCLUYE MATERIAS PRIMAS)</v>
      </c>
    </row>
    <row r="13" spans="1:82">
      <c r="C13" s="357">
        <v>45594</v>
      </c>
      <c r="D13" s="357" t="s">
        <v>2114</v>
      </c>
      <c r="E13" s="360" t="str">
        <f t="shared" si="2"/>
        <v>31199</v>
      </c>
      <c r="F13" s="359" t="s">
        <v>300</v>
      </c>
      <c r="G13" s="360" t="s">
        <v>386</v>
      </c>
      <c r="H13" s="358" cm="1">
        <f t="array" aca="1" ref="H13" ca="1">IFERROR(SUM(_xlfn._xlws.FILTER(IF(MeSel="Ppto",PptoSty[CurPpto],PptoSty[CurInt]+PptoSty[CurExt]),(PptoSty[Project]=TEXT(PrvSty[[#This Row],[Project]],"@"))*(PptoSty[PptoVsRow]=PrvSty[[#This Row],[Row]])*(PptoSty[PptoVsColumn]=PrvSty[[#This Row],[Column]]),0)),"X")</f>
        <v>11033.339900000001</v>
      </c>
      <c r="I13" s="358" cm="1">
        <f t="array" ref="I13">IFERROR(SUM(_xlfn._xlws.FILTER(FrmBB1[Cur],(FrmBB1[PrjId]=TEXT($E13,"@"))*(FrmBB1[Cia]=$D13)*(FrmBB1[Row]=$F13)*(FrmBB1[Column]=_xlfn.LET(_xlpm.x,_xlfn.TEXTBEFORE($G13," ("),IFERROR(_xlpm.x,$G13))&amp;" SERRA"),0)),"X")</f>
        <v>0</v>
      </c>
      <c r="J13" s="358" cm="1">
        <f t="array" ref="J13">IFERROR(SUM(_xlfn._xlws.FILTER(FrmBB1[Cur],(FrmBB1[PrjId]=TEXT($E13,"@"))*(FrmBB1[Cia]=$D13)*(FrmBB1[Row]=$F13)*(FrmBB1[Column]=_xlfn.LET(_xlpm.x,_xlfn.TEXTBEFORE($G13," ("),IFERROR(_xlpm.x,$G13))&amp;" EXT."),0)),"X")</f>
        <v>32926.160000000003</v>
      </c>
      <c r="K13" s="358">
        <v>12311.646199999996</v>
      </c>
      <c r="L13" s="358">
        <v>0</v>
      </c>
      <c r="M13" s="361">
        <f ca="1">IF(SUM(H13,K13,L13)=0,IF(SUM(I13,J13)&gt;0,1,0),1-SUM(PrvSty[[#This Row],[Real:SERRA]:[Real:EXT.]])/SUM(PrvSty[[#This Row],[AcumInt]:[AcumExt]]))</f>
        <v>-0.41041677467522719</v>
      </c>
      <c r="N13" s="362" t="s">
        <v>1739</v>
      </c>
      <c r="O13" s="358">
        <f>IF(OR(PrvSty[[#This Row],[DsvAbs:SERRA]]="X",PrvSty[[#This Row],[DsvAbs:SERRA]]=""),0,IF(PrvSty[[#This Row],[DesvTyp]]="Abs",PrvSty[[#This Row],[DsvAbs:SERRA]],PrvSty[[#This Row],[DsvAbs:SERRA]]*PrvSty[[#This Row],[Ppto]]))</f>
        <v>12311.646199999996</v>
      </c>
      <c r="P13" s="358">
        <f>IF(OR(PrvSty[[#This Row],[DsvAbs:EXT.]]="X",PrvSty[[#This Row],[DsvAbs:EXT.]]=""),0,IF(PrvSty[[#This Row],[DesvTyp]]="Abs",PrvSty[[#This Row],[DsvAbs:EXT.]],PrvSty[[#This Row],[DsvAbs:EXT.]]*PrvSty[[#This Row],[Ppto]]))</f>
        <v>0</v>
      </c>
      <c r="Q13" s="358" t="str" cm="1">
        <f t="array" aca="1" ref="Q13"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3" s="363" cm="1">
        <f t="array" aca="1" ref="R13"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12311.646199999996</v>
      </c>
      <c r="S13" s="363" cm="1">
        <f t="array" aca="1" ref="S13"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11033.339900000001</v>
      </c>
      <c r="T13" s="367" cm="1">
        <f t="array" ref="T13">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3" s="367" cm="1">
        <f t="array" ref="U13">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3" s="363"/>
      <c r="X13" s="212" t="str">
        <v>GESTIÓN DE PROYECTOS</v>
      </c>
    </row>
    <row r="14" spans="1:82">
      <c r="C14" s="357">
        <v>45594</v>
      </c>
      <c r="D14" s="357" t="s">
        <v>2114</v>
      </c>
      <c r="E14" s="360" t="str">
        <f t="shared" si="2"/>
        <v>31199</v>
      </c>
      <c r="F14" s="359" t="s">
        <v>358</v>
      </c>
      <c r="G14" s="360" t="s">
        <v>376</v>
      </c>
      <c r="H14" s="358" cm="1">
        <f t="array" ref="H14">IFERROR(SUM(_xlfn._xlws.FILTER(IF(MeSel="Ppto",PptoSty[CurPpto],PptoSty[CurInt]+PptoSty[CurExt]),(PptoSty[Project]=TEXT(PrvSty[[#This Row],[Project]],"@"))*(PptoSty[PptoVsRow]=PrvSty[[#This Row],[Row]])*(PptoSty[PptoVsColumn]=PrvSty[[#This Row],[Column]]),0)),"X")</f>
        <v>41305.073499999991</v>
      </c>
      <c r="I14" s="358" cm="1">
        <f t="array" ref="I14">IFERROR(SUM(_xlfn._xlws.FILTER(FrmBB1[Cur],(FrmBB1[PrjId]=TEXT($E14,"@"))*(FrmBB1[Cia]=$D14)*(FrmBB1[Row]=$F14)*(FrmBB1[Column]=_xlfn.LET(_xlpm.x,_xlfn.TEXTBEFORE($G14," ("),IFERROR(_xlpm.x,$G14))&amp;" SERRA"),0)),"X")</f>
        <v>20893.36</v>
      </c>
      <c r="J14" s="358" cm="1">
        <f t="array" ref="J14">IFERROR(SUM(_xlfn._xlws.FILTER(FrmBB1[Cur],(FrmBB1[PrjId]=TEXT($E14,"@"))*(FrmBB1[Cia]=$D14)*(FrmBB1[Row]=$F14)*(FrmBB1[Column]=_xlfn.LET(_xlpm.x,_xlfn.TEXTBEFORE($G14," ("),IFERROR(_xlpm.x,$G14))&amp;" EXT."),0)),"X")</f>
        <v>6372</v>
      </c>
      <c r="K14" s="358">
        <v>-14039.713499999991</v>
      </c>
      <c r="L14" s="358">
        <v>0</v>
      </c>
      <c r="M14" s="361">
        <f ca="1">IF(SUM(H14,K14,L14)=0,IF(SUM(I14,J14)&gt;0,1,0),1-SUM(PrvSty[[#This Row],[Real:SERRA]:[Real:EXT.]])/SUM(PrvSty[[#This Row],[AcumInt]:[AcumExt]]))</f>
        <v>0</v>
      </c>
      <c r="N14" s="362" t="s">
        <v>1739</v>
      </c>
      <c r="O14" s="358">
        <f>IF(OR(PrvSty[[#This Row],[DsvAbs:SERRA]]="X",PrvSty[[#This Row],[DsvAbs:SERRA]]=""),0,IF(PrvSty[[#This Row],[DesvTyp]]="Abs",PrvSty[[#This Row],[DsvAbs:SERRA]],PrvSty[[#This Row],[DsvAbs:SERRA]]*PrvSty[[#This Row],[Ppto]]))</f>
        <v>-14039.713499999991</v>
      </c>
      <c r="P14" s="358">
        <f>IF(OR(PrvSty[[#This Row],[DsvAbs:EXT.]]="X",PrvSty[[#This Row],[DsvAbs:EXT.]]=""),0,IF(PrvSty[[#This Row],[DesvTyp]]="Abs",PrvSty[[#This Row],[DsvAbs:EXT.]],PrvSty[[#This Row],[DsvAbs:EXT.]]*PrvSty[[#This Row],[Ppto]]))</f>
        <v>0</v>
      </c>
      <c r="Q14" s="358" t="str" cm="1">
        <f t="array" aca="1" ref="Q14"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4" s="363" cm="1">
        <f t="array" aca="1" ref="R14"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27265.360000000001</v>
      </c>
      <c r="S14" s="363" cm="1">
        <f t="array" aca="1" ref="S14"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14" s="367" cm="1">
        <f t="array" ref="T14">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-377.51313525141137</v>
      </c>
      <c r="U14" s="367" cm="1">
        <f t="array" ref="U14">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4" s="363"/>
      <c r="X14" s="212" t="str">
        <v>GESTIÓN MECÁNICA</v>
      </c>
    </row>
    <row r="15" spans="1:82">
      <c r="C15" s="357">
        <v>45594</v>
      </c>
      <c r="D15" s="357" t="s">
        <v>2114</v>
      </c>
      <c r="E15" s="360" t="str">
        <f t="shared" si="2"/>
        <v>31199</v>
      </c>
      <c r="F15" s="359" t="s">
        <v>1468</v>
      </c>
      <c r="G15" s="360" t="s">
        <v>1274</v>
      </c>
      <c r="H15" s="358" cm="1">
        <f t="array" aca="1" ref="H15" ca="1">IFERROR(SUM(_xlfn._xlws.FILTER(IF(MeSel="Ppto",PptoSty[CurPpto],PptoSty[CurInt]+PptoSty[CurExt]),(PptoSty[Project]=TEXT(PrvSty[[#This Row],[Project]],"@"))*(PptoSty[PptoVsRow]=PrvSty[[#This Row],[Row]])*(PptoSty[PptoVsColumn]=PrvSty[[#This Row],[Column]]),0)),"X")</f>
        <v>130217.73750000002</v>
      </c>
      <c r="I15" s="358" cm="1">
        <f t="array" ref="I15">IFERROR(SUM(_xlfn._xlws.FILTER(FrmBB1[Cur],(FrmBB1[PrjId]=TEXT($E15,"@"))*(FrmBB1[Cia]=$D15)*(FrmBB1[Row]=$F15)*(FrmBB1[Column]=_xlfn.LET(_xlpm.x,_xlfn.TEXTBEFORE($G15," ("),IFERROR(_xlpm.x,$G15))&amp;" SERRA"),0)),"X")</f>
        <v>2216.3000000000002</v>
      </c>
      <c r="J15" s="358" cm="1">
        <f t="array" ref="J15">IFERROR(SUM(_xlfn._xlws.FILTER(FrmBB1[Cur],(FrmBB1[PrjId]=TEXT($E15,"@"))*(FrmBB1[Cia]=$D15)*(FrmBB1[Row]=$F15)*(FrmBB1[Column]=_xlfn.LET(_xlpm.x,_xlfn.TEXTBEFORE($G15," ("),IFERROR(_xlpm.x,$G15))&amp;" EXT."),0)),"X")</f>
        <v>128107.65</v>
      </c>
      <c r="K15" s="358">
        <v>0</v>
      </c>
      <c r="L15" s="358">
        <v>-2755.3821000000171</v>
      </c>
      <c r="M15" s="361">
        <f ca="1">IF(SUM(H15,K15,L15)=0,IF(SUM(I15,J15)&gt;0,1,0),1-SUM(PrvSty[[#This Row],[Real:SERRA]:[Real:EXT.]])/SUM(PrvSty[[#This Row],[AcumInt]:[AcumExt]]))</f>
        <v>-2.2450507767723282E-2</v>
      </c>
      <c r="N15" s="362" t="s">
        <v>1739</v>
      </c>
      <c r="O15" s="358">
        <f>IF(OR(PrvSty[[#This Row],[DsvAbs:SERRA]]="X",PrvSty[[#This Row],[DsvAbs:SERRA]]=""),0,IF(PrvSty[[#This Row],[DesvTyp]]="Abs",PrvSty[[#This Row],[DsvAbs:SERRA]],PrvSty[[#This Row],[DsvAbs:SERRA]]*PrvSty[[#This Row],[Ppto]]))</f>
        <v>0</v>
      </c>
      <c r="P15" s="358">
        <f>IF(OR(PrvSty[[#This Row],[DsvAbs:EXT.]]="X",PrvSty[[#This Row],[DsvAbs:EXT.]]=""),0,IF(PrvSty[[#This Row],[DesvTyp]]="Abs",PrvSty[[#This Row],[DsvAbs:EXT.]],PrvSty[[#This Row],[DsvAbs:EXT.]]*PrvSty[[#This Row],[Ppto]]))</f>
        <v>-2755.3821000000171</v>
      </c>
      <c r="Q15" s="358" t="str" cm="1">
        <f t="array" aca="1" ref="Q15"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5" s="363" cm="1">
        <f t="array" aca="1" ref="R15"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111607.452515625</v>
      </c>
      <c r="S15" s="363" cm="1">
        <f t="array" aca="1" ref="S15"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15854.902884374984</v>
      </c>
      <c r="T15" s="367" cm="1">
        <f t="array" ref="T15">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5" s="367" cm="1">
        <f t="array" ref="U15">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-76.538391666667138</v>
      </c>
      <c r="V15" s="363"/>
      <c r="X15" s="212" t="str">
        <v>INSTALACIÓN E.N.R.</v>
      </c>
    </row>
    <row r="16" spans="1:82">
      <c r="C16" s="357">
        <v>45594</v>
      </c>
      <c r="D16" s="357" t="s">
        <v>2114</v>
      </c>
      <c r="E16" s="360" t="str">
        <f t="shared" si="2"/>
        <v>31199</v>
      </c>
      <c r="F16" s="359" t="s">
        <v>1468</v>
      </c>
      <c r="G16" s="360" t="s">
        <v>360</v>
      </c>
      <c r="H16" s="358" cm="1">
        <f t="array" aca="1" ref="H16" ca="1">IFERROR(SUM(_xlfn._xlws.FILTER(IF(MeSel="Ppto",PptoSty[CurPpto],PptoSty[CurInt]+PptoSty[CurExt]),(PptoSty[Project]=TEXT(PrvSty[[#This Row],[Project]],"@"))*(PptoSty[PptoVsRow]=PrvSty[[#This Row],[Row]])*(PptoSty[PptoVsColumn]=PrvSty[[#This Row],[Column]]),0)),"X")</f>
        <v>0</v>
      </c>
      <c r="I16" s="358" cm="1">
        <f t="array" ref="I16">IFERROR(SUM(_xlfn._xlws.FILTER(FrmBB1[Cur],(FrmBB1[PrjId]=TEXT($E16,"@"))*(FrmBB1[Cia]=$D16)*(FrmBB1[Row]=$F16)*(FrmBB1[Column]=_xlfn.LET(_xlpm.x,_xlfn.TEXTBEFORE($G16," ("),IFERROR(_xlpm.x,$G16))&amp;" SERRA"),0)),"X")</f>
        <v>0</v>
      </c>
      <c r="J16" s="358" cm="1">
        <f t="array" ref="J16">IFERROR(SUM(_xlfn._xlws.FILTER(FrmBB1[Cur],(FrmBB1[PrjId]=TEXT($E16,"@"))*(FrmBB1[Cia]=$D16)*(FrmBB1[Row]=$F16)*(FrmBB1[Column]=_xlfn.LET(_xlpm.x,_xlfn.TEXTBEFORE($G16," ("),IFERROR(_xlpm.x,$G16))&amp;" EXT."),0)),"X")</f>
        <v>0</v>
      </c>
      <c r="K16" s="358">
        <v>-99.030799999999999</v>
      </c>
      <c r="L16" s="358">
        <v>0</v>
      </c>
      <c r="M16" s="361">
        <f ca="1">IF(SUM(H16,K16,L16)=0,IF(SUM(I16,J16)&gt;0,1,0),1-SUM(PrvSty[[#This Row],[Real:SERRA]:[Real:EXT.]])/SUM(PrvSty[[#This Row],[AcumInt]:[AcumExt]]))</f>
        <v>1</v>
      </c>
      <c r="N16" s="362" t="s">
        <v>1739</v>
      </c>
      <c r="O16" s="358">
        <f>IF(OR(PrvSty[[#This Row],[DsvAbs:SERRA]]="X",PrvSty[[#This Row],[DsvAbs:SERRA]]=""),0,IF(PrvSty[[#This Row],[DesvTyp]]="Abs",PrvSty[[#This Row],[DsvAbs:SERRA]],PrvSty[[#This Row],[DsvAbs:SERRA]]*PrvSty[[#This Row],[Ppto]]))</f>
        <v>-99.030799999999999</v>
      </c>
      <c r="P16" s="358">
        <f>IF(OR(PrvSty[[#This Row],[DsvAbs:EXT.]]="X",PrvSty[[#This Row],[DsvAbs:EXT.]]=""),0,IF(PrvSty[[#This Row],[DesvTyp]]="Abs",PrvSty[[#This Row],[DsvAbs:EXT.]],PrvSty[[#This Row],[DsvAbs:EXT.]]*PrvSty[[#This Row],[Ppto]]))</f>
        <v>0</v>
      </c>
      <c r="Q16" s="358" t="str" cm="1">
        <f t="array" aca="1" ref="Q16"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6" s="363" cm="1">
        <f t="array" aca="1" ref="R16"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-99.030799999999999</v>
      </c>
      <c r="S16" s="363" cm="1">
        <f t="array" aca="1" ref="S16"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16" s="367" cm="1">
        <f t="array" ref="T16">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-2.1315281962978907</v>
      </c>
      <c r="U16" s="367" cm="1">
        <f t="array" ref="U16">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6" s="363"/>
      <c r="X16" s="212" t="str">
        <v>MATERIAL ELÉCTRICO</v>
      </c>
    </row>
    <row r="17" spans="3:24">
      <c r="C17" s="357">
        <v>45594</v>
      </c>
      <c r="D17" s="357" t="s">
        <v>2114</v>
      </c>
      <c r="E17" s="360" t="str">
        <f t="shared" si="2"/>
        <v>31199</v>
      </c>
      <c r="F17" s="359" t="s">
        <v>360</v>
      </c>
      <c r="G17" s="360" t="s">
        <v>360</v>
      </c>
      <c r="H17" s="358" cm="1">
        <f t="array" aca="1" ref="H17" ca="1">IFERROR(SUM(_xlfn._xlws.FILTER(IF(MeSel="Ppto",PptoSty[CurPpto],PptoSty[CurInt]+PptoSty[CurExt]),(PptoSty[Project]=TEXT(PrvSty[[#This Row],[Project]],"@"))*(PptoSty[PptoVsRow]=PrvSty[[#This Row],[Row]])*(PptoSty[PptoVsColumn]=PrvSty[[#This Row],[Column]]),0)),"X")</f>
        <v>36481.088900000002</v>
      </c>
      <c r="I17" s="358" cm="1">
        <f t="array" ref="I17">IFERROR(SUM(_xlfn._xlws.FILTER(FrmBB1[Cur],(FrmBB1[PrjId]=TEXT($E17,"@"))*(FrmBB1[Cia]=$D17)*(FrmBB1[Row]=$F17)*(FrmBB1[Column]=_xlfn.LET(_xlpm.x,_xlfn.TEXTBEFORE($G17," ("),IFERROR(_xlpm.x,$G17))&amp;" SERRA"),0)),"X")</f>
        <v>4152.1899999999996</v>
      </c>
      <c r="J17" s="358" cm="1">
        <f t="array" ref="J17">IFERROR(SUM(_xlfn._xlws.FILTER(FrmBB1[Cur],(FrmBB1[PrjId]=TEXT($E17,"@"))*(FrmBB1[Cia]=$D17)*(FrmBB1[Row]=$F17)*(FrmBB1[Column]=_xlfn.LET(_xlpm.x,_xlfn.TEXTBEFORE($G17," ("),IFERROR(_xlpm.x,$G17))&amp;" EXT."),0)),"X")</f>
        <v>31766</v>
      </c>
      <c r="K17" s="358">
        <v>-1803.8039000000063</v>
      </c>
      <c r="L17" s="358">
        <v>0</v>
      </c>
      <c r="M17" s="361">
        <f ca="1">IF(SUM(H17,K17,L17)=0,IF(SUM(I17,J17)&gt;0,1,0),1-SUM(PrvSty[[#This Row],[Real:SERRA]:[Real:EXT.]])/SUM(PrvSty[[#This Row],[AcumInt]:[AcumExt]]))</f>
        <v>-3.5784375852954353E-2</v>
      </c>
      <c r="N17" s="362" t="s">
        <v>1739</v>
      </c>
      <c r="O17" s="358">
        <f>IF(OR(PrvSty[[#This Row],[DsvAbs:SERRA]]="X",PrvSty[[#This Row],[DsvAbs:SERRA]]=""),0,IF(PrvSty[[#This Row],[DesvTyp]]="Abs",PrvSty[[#This Row],[DsvAbs:SERRA]],PrvSty[[#This Row],[DsvAbs:SERRA]]*PrvSty[[#This Row],[Ppto]]))</f>
        <v>-1803.8039000000063</v>
      </c>
      <c r="P17" s="358">
        <f>IF(OR(PrvSty[[#This Row],[DsvAbs:EXT.]]="X",PrvSty[[#This Row],[DsvAbs:EXT.]]=""),0,IF(PrvSty[[#This Row],[DesvTyp]]="Abs",PrvSty[[#This Row],[DsvAbs:EXT.]],PrvSty[[#This Row],[DsvAbs:EXT.]]*PrvSty[[#This Row],[Ppto]]))</f>
        <v>0</v>
      </c>
      <c r="Q17" s="358" t="str" cm="1">
        <f t="array" aca="1" ref="Q17"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7" s="363" cm="1">
        <f t="array" aca="1" ref="R17"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15875.311824999993</v>
      </c>
      <c r="S17" s="363" cm="1">
        <f t="array" aca="1" ref="S17"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18801.973174999999</v>
      </c>
      <c r="T17" s="367" cm="1">
        <f t="array" ref="T17">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-38.824879466207626</v>
      </c>
      <c r="U17" s="367" cm="1">
        <f t="array" ref="U17">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7" s="363"/>
      <c r="X17" s="212" t="str">
        <v>MATERIAL FLUIDOS</v>
      </c>
    </row>
    <row r="18" spans="3:24">
      <c r="C18" s="357">
        <v>45594</v>
      </c>
      <c r="D18" s="357" t="s">
        <v>2114</v>
      </c>
      <c r="E18" s="360" t="str">
        <f t="shared" si="2"/>
        <v>31199</v>
      </c>
      <c r="F18" s="359" t="s">
        <v>430</v>
      </c>
      <c r="G18" s="360" t="s">
        <v>377</v>
      </c>
      <c r="H18" s="358" cm="1">
        <f t="array" ref="H18">IFERROR(SUM(_xlfn._xlws.FILTER(IF(MeSel="Ppto",PptoSty[CurPpto],PptoSty[CurInt]+PptoSty[CurExt]),(PptoSty[Project]=TEXT(PrvSty[[#This Row],[Project]],"@"))*(PptoSty[PptoVsRow]=PrvSty[[#This Row],[Row]])*(PptoSty[PptoVsColumn]=PrvSty[[#This Row],[Column]]),0)),"X")</f>
        <v>1731.2559999999999</v>
      </c>
      <c r="I18" s="358" cm="1">
        <f t="array" ref="I18">IFERROR(SUM(_xlfn._xlws.FILTER(FrmBB1[Cur],(FrmBB1[PrjId]=TEXT($E18,"@"))*(FrmBB1[Cia]=$D18)*(FrmBB1[Row]=$F18)*(FrmBB1[Column]=_xlfn.LET(_xlpm.x,_xlfn.TEXTBEFORE($G18," ("),IFERROR(_xlpm.x,$G18))&amp;" SERRA"),0)),"X")</f>
        <v>36.619999999999997</v>
      </c>
      <c r="J18" s="358" cm="1">
        <f t="array" ref="J18">IFERROR(SUM(_xlfn._xlws.FILTER(FrmBB1[Cur],(FrmBB1[PrjId]=TEXT($E18,"@"))*(FrmBB1[Cia]=$D18)*(FrmBB1[Row]=$F18)*(FrmBB1[Column]=_xlfn.LET(_xlpm.x,_xlfn.TEXTBEFORE($G18," ("),IFERROR(_xlpm.x,$G18))&amp;" EXT."),0)),"X")</f>
        <v>0</v>
      </c>
      <c r="K18" s="358">
        <v>-1694.636</v>
      </c>
      <c r="L18" s="358">
        <v>0</v>
      </c>
      <c r="M18" s="361">
        <f ca="1">IF(SUM(H18,K18,L18)=0,IF(SUM(I18,J18)&gt;0,1,0),1-SUM(PrvSty[[#This Row],[Real:SERRA]:[Real:EXT.]])/SUM(PrvSty[[#This Row],[AcumInt]:[AcumExt]]))</f>
        <v>2.2204460492503131E-16</v>
      </c>
      <c r="N18" s="362" t="s">
        <v>1739</v>
      </c>
      <c r="O18" s="358">
        <f>IF(OR(PrvSty[[#This Row],[DsvAbs:SERRA]]="X",PrvSty[[#This Row],[DsvAbs:SERRA]]=""),0,IF(PrvSty[[#This Row],[DesvTyp]]="Abs",PrvSty[[#This Row],[DsvAbs:SERRA]],PrvSty[[#This Row],[DsvAbs:SERRA]]*PrvSty[[#This Row],[Ppto]]))</f>
        <v>-1694.636</v>
      </c>
      <c r="P18" s="358">
        <f>IF(OR(PrvSty[[#This Row],[DsvAbs:EXT.]]="X",PrvSty[[#This Row],[DsvAbs:EXT.]]=""),0,IF(PrvSty[[#This Row],[DesvTyp]]="Abs",PrvSty[[#This Row],[DsvAbs:EXT.]],PrvSty[[#This Row],[DsvAbs:EXT.]]*PrvSty[[#This Row],[Ppto]]))</f>
        <v>0</v>
      </c>
      <c r="Q18" s="358" t="str" cm="1">
        <f t="array" aca="1" ref="Q18"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8" s="363" cm="1">
        <f t="array" aca="1" ref="R18"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-859.27199999999993</v>
      </c>
      <c r="S18" s="363" cm="1">
        <f t="array" aca="1" ref="S18"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895.89199999999994</v>
      </c>
      <c r="T18" s="367" cm="1">
        <f t="array" ref="T18">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-37.979291942681201</v>
      </c>
      <c r="U18" s="367" cm="1">
        <f t="array" ref="U18">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8" s="363"/>
      <c r="X18" s="212" t="str">
        <v>MATERIAL MECÁNICO (SOLO COMERCIO)</v>
      </c>
    </row>
    <row r="19" spans="3:24">
      <c r="C19" s="357">
        <v>45594</v>
      </c>
      <c r="D19" s="357" t="s">
        <v>2114</v>
      </c>
      <c r="E19" s="358" t="str">
        <f t="shared" si="2"/>
        <v>31199</v>
      </c>
      <c r="F19" s="359" t="s">
        <v>358</v>
      </c>
      <c r="G19" s="360" t="s">
        <v>1667</v>
      </c>
      <c r="H19" s="358" cm="1">
        <f t="array" ref="H19">IFERROR(SUM(_xlfn._xlws.FILTER(IF(MeSel="Ppto",PptoSty[CurPpto],PptoSty[CurInt]+PptoSty[CurExt]),(PptoSty[Project]=TEXT(PrvSty[[#This Row],[Project]],"@"))*(PptoSty[PptoVsRow]=PrvSty[[#This Row],[Row]])*(PptoSty[PptoVsColumn]=PrvSty[[#This Row],[Column]]),0)),"X")</f>
        <v>3593.9441205123203</v>
      </c>
      <c r="I19" s="358" cm="1">
        <f t="array" ref="I19">IFERROR(SUM(_xlfn._xlws.FILTER(FrmBB1[Cur],(FrmBB1[PrjId]=TEXT($E19,"@"))*(FrmBB1[Cia]=$D19)*(FrmBB1[Row]=$F19)*(FrmBB1[Column]=_xlfn.LET(_xlpm.x,_xlfn.TEXTBEFORE($G19," ("),IFERROR(_xlpm.x,$G19))&amp;" SERRA"),0)),"X")</f>
        <v>0</v>
      </c>
      <c r="J19" s="358" cm="1">
        <f t="array" ref="J19">IFERROR(SUM(_xlfn._xlws.FILTER(FrmBB1[Cur],(FrmBB1[PrjId]=TEXT($E19,"@"))*(FrmBB1[Cia]=$D19)*(FrmBB1[Row]=$F19)*(FrmBB1[Column]=_xlfn.LET(_xlpm.x,_xlfn.TEXTBEFORE($G19," ("),IFERROR(_xlpm.x,$G19))&amp;" EXT."),0)),"X")</f>
        <v>0</v>
      </c>
      <c r="K19" s="358">
        <v>0</v>
      </c>
      <c r="L19" s="358">
        <v>-3593.9441205123203</v>
      </c>
      <c r="M19" s="361">
        <f>IF(SUM(H19,K19,L19)=0,IF(SUM(I19,J19)&gt;0,1,0),1-SUM(PrvSty[[#This Row],[Real:SERRA]:[Real:EXT.]])/SUM(PrvSty[[#This Row],[AcumInt]:[AcumExt]]))</f>
        <v>0</v>
      </c>
      <c r="N19" s="360" t="s">
        <v>1739</v>
      </c>
      <c r="O19" s="358">
        <f>IF(OR(PrvSty[[#This Row],[DsvAbs:SERRA]]="X",PrvSty[[#This Row],[DsvAbs:SERRA]]=""),0,IF(PrvSty[[#This Row],[DesvTyp]]="Abs",PrvSty[[#This Row],[DsvAbs:SERRA]],PrvSty[[#This Row],[DsvAbs:SERRA]]*PrvSty[[#This Row],[Ppto]]))</f>
        <v>0</v>
      </c>
      <c r="P19" s="358">
        <f>IF(OR(PrvSty[[#This Row],[DsvAbs:EXT.]]="X",PrvSty[[#This Row],[DsvAbs:EXT.]]=""),0,IF(PrvSty[[#This Row],[DesvTyp]]="Abs",PrvSty[[#This Row],[DsvAbs:EXT.]],PrvSty[[#This Row],[DsvAbs:EXT.]]*PrvSty[[#This Row],[Ppto]]))</f>
        <v>-3593.9441205123203</v>
      </c>
      <c r="Q19" s="358" t="str" cm="1">
        <f t="array" aca="1" ref="Q19"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9" s="363" cm="1">
        <f t="array" aca="1" ref="R19"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370.64329356176</v>
      </c>
      <c r="S19" s="363" cm="1">
        <f t="array" aca="1" ref="S19"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-370.64329356175995</v>
      </c>
      <c r="T19" s="367" cm="1">
        <f t="array" ref="T19">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9" s="367" cm="1">
        <f t="array" ref="U19">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-67.347596648118625</v>
      </c>
      <c r="V19" s="358"/>
      <c r="X19" s="212" t="str">
        <v>METROLOGÍA</v>
      </c>
    </row>
    <row r="20" spans="3:24">
      <c r="C20" s="357">
        <v>45594</v>
      </c>
      <c r="D20" s="357" t="s">
        <v>2114</v>
      </c>
      <c r="E20" s="358" t="str">
        <f t="shared" si="2"/>
        <v>31199</v>
      </c>
      <c r="F20" s="359" t="s">
        <v>288</v>
      </c>
      <c r="G20" s="360" t="s">
        <v>1274</v>
      </c>
      <c r="H20" s="358" cm="1">
        <f t="array" ref="H20">IFERROR(SUM(_xlfn._xlws.FILTER(IF(MeSel="Ppto",PptoSty[CurPpto],PptoSty[CurInt]+PptoSty[CurExt]),(PptoSty[Project]=TEXT(PrvSty[[#This Row],[Project]],"@"))*(PptoSty[PptoVsRow]=PrvSty[[#This Row],[Row]])*(PptoSty[PptoVsColumn]=PrvSty[[#This Row],[Column]]),0)),"X")</f>
        <v>0</v>
      </c>
      <c r="I20" s="358" cm="1">
        <f t="array" ref="I20">IFERROR(SUM(_xlfn._xlws.FILTER(FrmBB1[Cur],(FrmBB1[PrjId]=TEXT($E20,"@"))*(FrmBB1[Cia]=$D20)*(FrmBB1[Row]=$F20)*(FrmBB1[Column]=_xlfn.LET(_xlpm.x,_xlfn.TEXTBEFORE($G20," ("),IFERROR(_xlpm.x,$G20))&amp;" SERRA"),0)),"X")</f>
        <v>1510.18</v>
      </c>
      <c r="J20" s="358" cm="1">
        <f t="array" ref="J20">IFERROR(SUM(_xlfn._xlws.FILTER(FrmBB1[Cur],(FrmBB1[PrjId]=TEXT($E20,"@"))*(FrmBB1[Cia]=$D20)*(FrmBB1[Row]=$F20)*(FrmBB1[Column]=_xlfn.LET(_xlpm.x,_xlfn.TEXTBEFORE($G20," ("),IFERROR(_xlpm.x,$G20))&amp;" EXT."),0)),"X")</f>
        <v>0</v>
      </c>
      <c r="K20" s="358">
        <v>0</v>
      </c>
      <c r="L20" s="358">
        <v>656.6</v>
      </c>
      <c r="M20" s="361">
        <f ca="1">IF(SUM(H20,K20,L20)=0,IF(SUM(I20,J20)&gt;0,1,0),1-SUM(PrvSty[[#This Row],[Real:SERRA]:[Real:EXT.]])/SUM(PrvSty[[#This Row],[AcumInt]:[AcumExt]]))</f>
        <v>-1.2999999999999998</v>
      </c>
      <c r="N20" s="360" t="s">
        <v>1739</v>
      </c>
      <c r="O20" s="358">
        <f>IF(OR(PrvSty[[#This Row],[DsvAbs:SERRA]]="X",PrvSty[[#This Row],[DsvAbs:SERRA]]=""),0,IF(PrvSty[[#This Row],[DesvTyp]]="Abs",PrvSty[[#This Row],[DsvAbs:SERRA]],PrvSty[[#This Row],[DsvAbs:SERRA]]*PrvSty[[#This Row],[Ppto]]))</f>
        <v>0</v>
      </c>
      <c r="P20" s="358">
        <f>IF(OR(PrvSty[[#This Row],[DsvAbs:EXT.]]="X",PrvSty[[#This Row],[DsvAbs:EXT.]]=""),0,IF(PrvSty[[#This Row],[DesvTyp]]="Abs",PrvSty[[#This Row],[DsvAbs:EXT.]],PrvSty[[#This Row],[DsvAbs:EXT.]]*PrvSty[[#This Row],[Ppto]]))</f>
        <v>656.6</v>
      </c>
      <c r="Q20" s="358" t="str" cm="1">
        <f t="array" aca="1" ref="Q20"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20" s="363" cm="1">
        <f t="array" aca="1" ref="R20"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20" s="363" cm="1">
        <f t="array" aca="1" ref="S20"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656.6</v>
      </c>
      <c r="T20" s="367" cm="1">
        <f t="array" ref="T20">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20" s="367" cm="1">
        <f t="array" ref="U20">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18.238888888888891</v>
      </c>
      <c r="V20" s="358"/>
      <c r="X20" s="212" t="str">
        <v>MONTAJE MECÁNICO</v>
      </c>
    </row>
    <row r="21" spans="3:24">
      <c r="C21" s="357">
        <v>45594</v>
      </c>
      <c r="D21" s="357" t="s">
        <v>2114</v>
      </c>
      <c r="E21" s="358" t="str">
        <f t="shared" si="2"/>
        <v>31199</v>
      </c>
      <c r="F21" s="359" t="s">
        <v>1468</v>
      </c>
      <c r="G21" s="360" t="s">
        <v>380</v>
      </c>
      <c r="H21" s="358" cm="1">
        <f t="array" ref="H21">IFERROR(SUM(_xlfn._xlws.FILTER(IF(MeSel="Ppto",PptoSty[CurPpto],PptoSty[CurInt]+PptoSty[CurExt]),(PptoSty[Project]=TEXT(PrvSty[[#This Row],[Project]],"@"))*(PptoSty[PptoVsRow]=PrvSty[[#This Row],[Row]])*(PptoSty[PptoVsColumn]=PrvSty[[#This Row],[Column]]),0)),"X")</f>
        <v>0</v>
      </c>
      <c r="I21" s="358" cm="1">
        <f t="array" ref="I21">IFERROR(SUM(_xlfn._xlws.FILTER(FrmBB1[Cur],(FrmBB1[PrjId]=TEXT($E21,"@"))*(FrmBB1[Cia]=$D21)*(FrmBB1[Row]=$F21)*(FrmBB1[Column]=_xlfn.LET(_xlpm.x,_xlfn.TEXTBEFORE($G21," ("),IFERROR(_xlpm.x,$G21))&amp;" SERRA"),0)),"X")</f>
        <v>0</v>
      </c>
      <c r="J21" s="358" cm="1">
        <f t="array" ref="J21">IFERROR(SUM(_xlfn._xlws.FILTER(FrmBB1[Cur],(FrmBB1[PrjId]=TEXT($E21,"@"))*(FrmBB1[Cia]=$D21)*(FrmBB1[Row]=$F21)*(FrmBB1[Column]=_xlfn.LET(_xlpm.x,_xlfn.TEXTBEFORE($G21," ("),IFERROR(_xlpm.x,$G21))&amp;" EXT."),0)),"X")</f>
        <v>2736</v>
      </c>
      <c r="K21" s="358">
        <v>0</v>
      </c>
      <c r="L21" s="358">
        <v>2736</v>
      </c>
      <c r="M21" s="361">
        <f ca="1">IF(SUM(H21,K21,L21)=0,IF(SUM(I21,J21)&gt;0,1,0),1-SUM(PrvSty[[#This Row],[Real:SERRA]:[Real:EXT.]])/SUM(PrvSty[[#This Row],[AcumInt]:[AcumExt]]))</f>
        <v>0</v>
      </c>
      <c r="N21" s="360" t="s">
        <v>1739</v>
      </c>
      <c r="O21" s="358">
        <f>IF(OR(PrvSty[[#This Row],[DsvAbs:SERRA]]="X",PrvSty[[#This Row],[DsvAbs:SERRA]]=""),0,IF(PrvSty[[#This Row],[DesvTyp]]="Abs",PrvSty[[#This Row],[DsvAbs:SERRA]],PrvSty[[#This Row],[DsvAbs:SERRA]]*PrvSty[[#This Row],[Ppto]]))</f>
        <v>0</v>
      </c>
      <c r="P21" s="358">
        <f>IF(OR(PrvSty[[#This Row],[DsvAbs:EXT.]]="X",PrvSty[[#This Row],[DsvAbs:EXT.]]=""),0,IF(PrvSty[[#This Row],[DesvTyp]]="Abs",PrvSty[[#This Row],[DsvAbs:EXT.]],PrvSty[[#This Row],[DsvAbs:EXT.]]*PrvSty[[#This Row],[Ppto]]))</f>
        <v>2736</v>
      </c>
      <c r="Q21" s="358" t="str" cm="1">
        <f t="array" aca="1" ref="Q21"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21" s="363" cm="1">
        <f t="array" aca="1" ref="R21"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21" s="363" cm="1">
        <f t="array" aca="1" ref="S21"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2736</v>
      </c>
      <c r="T21" s="367" cm="1">
        <f t="array" ref="T2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21" s="367" cm="1">
        <f t="array" ref="U2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93.131798899816289</v>
      </c>
      <c r="V21" s="358"/>
      <c r="X21" s="212" t="str">
        <v>ROBCAD</v>
      </c>
    </row>
    <row r="22" spans="3:24">
      <c r="C22" s="357">
        <v>45594</v>
      </c>
      <c r="D22" s="357" t="s">
        <v>2114</v>
      </c>
      <c r="E22" s="358" t="str">
        <f t="shared" si="2"/>
        <v>31199</v>
      </c>
      <c r="F22" s="359" t="s">
        <v>1475</v>
      </c>
      <c r="G22" s="360" t="s">
        <v>1667</v>
      </c>
      <c r="H22" s="358" cm="1">
        <f t="array" ref="H22">IFERROR(SUM(_xlfn._xlws.FILTER(IF(MeSel="Ppto",PptoSty[CurPpto],PptoSty[CurInt]+PptoSty[CurExt]),(PptoSty[Project]=TEXT(PrvSty[[#This Row],[Project]],"@"))*(PptoSty[PptoVsRow]=PrvSty[[#This Row],[Row]])*(PptoSty[PptoVsColumn]=PrvSty[[#This Row],[Column]]),0)),"X")</f>
        <v>0</v>
      </c>
      <c r="I22" s="358" cm="1">
        <f t="array" ref="I22">IFERROR(SUM(_xlfn._xlws.FILTER(FrmBB1[Cur],(FrmBB1[PrjId]=TEXT($E22,"@"))*(FrmBB1[Cia]=$D22)*(FrmBB1[Row]=$F22)*(FrmBB1[Column]=_xlfn.LET(_xlpm.x,_xlfn.TEXTBEFORE($G22," ("),IFERROR(_xlpm.x,$G22))&amp;" SERRA"),0)),"X")</f>
        <v>0</v>
      </c>
      <c r="J22" s="358" cm="1">
        <f t="array" ref="J22">IFERROR(SUM(_xlfn._xlws.FILTER(FrmBB1[Cur],(FrmBB1[PrjId]=TEXT($E22,"@"))*(FrmBB1[Cia]=$D22)*(FrmBB1[Row]=$F22)*(FrmBB1[Column]=_xlfn.LET(_xlpm.x,_xlfn.TEXTBEFORE($G22," ("),IFERROR(_xlpm.x,$G22))&amp;" EXT."),0)),"X")</f>
        <v>9750</v>
      </c>
      <c r="K22" s="358">
        <v>0</v>
      </c>
      <c r="L22" s="358">
        <v>9750</v>
      </c>
      <c r="M22" s="361">
        <f ca="1">IF(SUM(H22,K22,L22)=0,IF(SUM(I22,J22)&gt;0,1,0),1-SUM(PrvSty[[#This Row],[Real:SERRA]:[Real:EXT.]])/SUM(PrvSty[[#This Row],[AcumInt]:[AcumExt]]))</f>
        <v>0</v>
      </c>
      <c r="N22" s="360" t="s">
        <v>1739</v>
      </c>
      <c r="O22" s="358">
        <f>IF(OR(PrvSty[[#This Row],[DsvAbs:SERRA]]="X",PrvSty[[#This Row],[DsvAbs:SERRA]]=""),0,IF(PrvSty[[#This Row],[DesvTyp]]="Abs",PrvSty[[#This Row],[DsvAbs:SERRA]],PrvSty[[#This Row],[DsvAbs:SERRA]]*PrvSty[[#This Row],[Ppto]]))</f>
        <v>0</v>
      </c>
      <c r="P22" s="358">
        <f>IF(OR(PrvSty[[#This Row],[DsvAbs:EXT.]]="X",PrvSty[[#This Row],[DsvAbs:EXT.]]=""),0,IF(PrvSty[[#This Row],[DesvTyp]]="Abs",PrvSty[[#This Row],[DsvAbs:EXT.]],PrvSty[[#This Row],[DsvAbs:EXT.]]*PrvSty[[#This Row],[Ppto]]))</f>
        <v>9750</v>
      </c>
      <c r="Q22" s="358" t="str" cm="1">
        <f t="array" aca="1" ref="Q22"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22" s="363" cm="1">
        <f t="array" aca="1" ref="R22"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22" s="363" cm="1">
        <f t="array" aca="1" ref="S22"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9750</v>
      </c>
      <c r="T22" s="367" cm="1">
        <f t="array" ref="T22">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22" s="367" cm="1">
        <f t="array" ref="U22">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182.70708873057046</v>
      </c>
      <c r="V22" s="358"/>
      <c r="X22" s="212" t="str">
        <v>ROBÓTICA</v>
      </c>
    </row>
    <row r="23" spans="3:24">
      <c r="C23" s="357">
        <v>45594</v>
      </c>
      <c r="D23" s="357" t="s">
        <v>2114</v>
      </c>
      <c r="E23" s="358" t="str">
        <f t="shared" si="2"/>
        <v>31199</v>
      </c>
      <c r="F23" s="359" t="s">
        <v>1475</v>
      </c>
      <c r="G23" s="360" t="s">
        <v>380</v>
      </c>
      <c r="H23" s="358" cm="1">
        <f t="array" ref="H23">IFERROR(SUM(_xlfn._xlws.FILTER(IF(MeSel="Ppto",PptoSty[CurPpto],PptoSty[CurInt]+PptoSty[CurExt]),(PptoSty[Project]=TEXT(PrvSty[[#This Row],[Project]],"@"))*(PptoSty[PptoVsRow]=PrvSty[[#This Row],[Row]])*(PptoSty[PptoVsColumn]=PrvSty[[#This Row],[Column]]),0)),"X")</f>
        <v>0</v>
      </c>
      <c r="I23" s="358" cm="1">
        <f t="array" ref="I23">IFERROR(SUM(_xlfn._xlws.FILTER(FrmBB1[Cur],(FrmBB1[PrjId]=TEXT($E23,"@"))*(FrmBB1[Cia]=$D23)*(FrmBB1[Row]=$F23)*(FrmBB1[Column]=_xlfn.LET(_xlpm.x,_xlfn.TEXTBEFORE($G23," ("),IFERROR(_xlpm.x,$G23))&amp;" SERRA"),0)),"X")</f>
        <v>0</v>
      </c>
      <c r="J23" s="358" cm="1">
        <f t="array" ref="J23">IFERROR(SUM(_xlfn._xlws.FILTER(FrmBB1[Cur],(FrmBB1[PrjId]=TEXT($E23,"@"))*(FrmBB1[Cia]=$D23)*(FrmBB1[Row]=$F23)*(FrmBB1[Column]=_xlfn.LET(_xlpm.x,_xlfn.TEXTBEFORE($G23," ("),IFERROR(_xlpm.x,$G23))&amp;" EXT."),0)),"X")</f>
        <v>403.75</v>
      </c>
      <c r="K23" s="358">
        <v>0</v>
      </c>
      <c r="L23" s="358">
        <v>403.75</v>
      </c>
      <c r="M23" s="361">
        <f ca="1">IF(SUM(H23,K23,L23)=0,IF(SUM(I23,J23)&gt;0,1,0),1-SUM(PrvSty[[#This Row],[Real:SERRA]:[Real:EXT.]])/SUM(PrvSty[[#This Row],[AcumInt]:[AcumExt]]))</f>
        <v>0</v>
      </c>
      <c r="N23" s="360" t="s">
        <v>1739</v>
      </c>
      <c r="O23" s="358">
        <f>IF(OR(PrvSty[[#This Row],[DsvAbs:SERRA]]="X",PrvSty[[#This Row],[DsvAbs:SERRA]]=""),0,IF(PrvSty[[#This Row],[DesvTyp]]="Abs",PrvSty[[#This Row],[DsvAbs:SERRA]],PrvSty[[#This Row],[DsvAbs:SERRA]]*PrvSty[[#This Row],[Ppto]]))</f>
        <v>0</v>
      </c>
      <c r="P23" s="358">
        <f>IF(OR(PrvSty[[#This Row],[DsvAbs:EXT.]]="X",PrvSty[[#This Row],[DsvAbs:EXT.]]=""),0,IF(PrvSty[[#This Row],[DesvTyp]]="Abs",PrvSty[[#This Row],[DsvAbs:EXT.]],PrvSty[[#This Row],[DsvAbs:EXT.]]*PrvSty[[#This Row],[Ppto]]))</f>
        <v>403.75</v>
      </c>
      <c r="Q23" s="358" t="str" cm="1">
        <f t="array" aca="1" ref="Q23"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23" s="363" cm="1">
        <f t="array" aca="1" ref="R23"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23" s="363" cm="1">
        <f t="array" aca="1" ref="S23"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403.75</v>
      </c>
      <c r="T23" s="367" cm="1">
        <f t="array" ref="T23">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23" s="367" cm="1">
        <f t="array" ref="U23">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13.743407823757613</v>
      </c>
      <c r="V23" s="358"/>
      <c r="X23" s="212" t="str">
        <v>SUBCONTRATACIÓN COMPLETA</v>
      </c>
    </row>
    <row r="24" spans="3:24">
      <c r="C24" s="357">
        <v>45594</v>
      </c>
      <c r="D24" s="357" t="s">
        <v>2114</v>
      </c>
      <c r="E24" s="358" t="str">
        <f t="shared" si="2"/>
        <v>31199</v>
      </c>
      <c r="F24" s="359" t="s">
        <v>1473</v>
      </c>
      <c r="G24" s="360" t="s">
        <v>380</v>
      </c>
      <c r="H24" s="358" cm="1">
        <f t="array" ref="H24">IFERROR(SUM(_xlfn._xlws.FILTER(IF(MeSel="Ppto",PptoSty[CurPpto],PptoSty[CurInt]+PptoSty[CurExt]),(PptoSty[Project]=TEXT(PrvSty[[#This Row],[Project]],"@"))*(PptoSty[PptoVsRow]=PrvSty[[#This Row],[Row]])*(PptoSty[PptoVsColumn]=PrvSty[[#This Row],[Column]]),0)),"X")</f>
        <v>0</v>
      </c>
      <c r="I24" s="358" cm="1">
        <f t="array" ref="I24">IFERROR(SUM(_xlfn._xlws.FILTER(FrmBB1[Cur],(FrmBB1[PrjId]=TEXT($E24,"@"))*(FrmBB1[Cia]=$D24)*(FrmBB1[Row]=$F24)*(FrmBB1[Column]=_xlfn.LET(_xlpm.x,_xlfn.TEXTBEFORE($G24," ("),IFERROR(_xlpm.x,$G24))&amp;" SERRA"),0)),"X")</f>
        <v>0</v>
      </c>
      <c r="J24" s="358" cm="1">
        <f t="array" ref="J24">IFERROR(SUM(_xlfn._xlws.FILTER(FrmBB1[Cur],(FrmBB1[PrjId]=TEXT($E24,"@"))*(FrmBB1[Cia]=$D24)*(FrmBB1[Row]=$F24)*(FrmBB1[Column]=_xlfn.LET(_xlpm.x,_xlfn.TEXTBEFORE($G24," ("),IFERROR(_xlpm.x,$G24))&amp;" EXT."),0)),"X")</f>
        <v>613.75</v>
      </c>
      <c r="K24" s="358">
        <v>0</v>
      </c>
      <c r="L24" s="358">
        <v>613.75</v>
      </c>
      <c r="M24" s="361">
        <f ca="1">IF(SUM(H24,K24,L24)=0,IF(SUM(I24,J24)&gt;0,1,0),1-SUM(PrvSty[[#This Row],[Real:SERRA]:[Real:EXT.]])/SUM(PrvSty[[#This Row],[AcumInt]:[AcumExt]]))</f>
        <v>0</v>
      </c>
      <c r="N24" s="360" t="s">
        <v>1739</v>
      </c>
      <c r="O24" s="358">
        <f>IF(OR(PrvSty[[#This Row],[DsvAbs:SERRA]]="X",PrvSty[[#This Row],[DsvAbs:SERRA]]=""),0,IF(PrvSty[[#This Row],[DesvTyp]]="Abs",PrvSty[[#This Row],[DsvAbs:SERRA]],PrvSty[[#This Row],[DsvAbs:SERRA]]*PrvSty[[#This Row],[Ppto]]))</f>
        <v>0</v>
      </c>
      <c r="P24" s="358">
        <f>IF(OR(PrvSty[[#This Row],[DsvAbs:EXT.]]="X",PrvSty[[#This Row],[DsvAbs:EXT.]]=""),0,IF(PrvSty[[#This Row],[DesvTyp]]="Abs",PrvSty[[#This Row],[DsvAbs:EXT.]],PrvSty[[#This Row],[DsvAbs:EXT.]]*PrvSty[[#This Row],[Ppto]]))</f>
        <v>613.75</v>
      </c>
      <c r="Q24" s="358" t="str" cm="1">
        <f t="array" aca="1" ref="Q24"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24" s="363" cm="1">
        <f t="array" aca="1" ref="R24"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24" s="363" cm="1">
        <f t="array" aca="1" ref="S24"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613.75</v>
      </c>
      <c r="T24" s="367" cm="1">
        <f t="array" ref="T24">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24" s="367" cm="1">
        <f t="array" ref="U24">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20.891681862120706</v>
      </c>
      <c r="V24" s="358"/>
      <c r="X24" s="212" t="str">
        <v>TRANSP. &amp; DESPLAZ.</v>
      </c>
    </row>
    <row r="25" spans="3:24">
      <c r="C25" s="357">
        <v>45594</v>
      </c>
      <c r="D25" s="357" t="s">
        <v>2114</v>
      </c>
      <c r="E25" s="358" t="str">
        <f t="shared" si="2"/>
        <v>31199</v>
      </c>
      <c r="F25" s="359" t="s">
        <v>1473</v>
      </c>
      <c r="G25" s="360" t="s">
        <v>373</v>
      </c>
      <c r="H25" s="358" cm="1">
        <f t="array" ref="H25">IFERROR(SUM(_xlfn._xlws.FILTER(IF(MeSel="Ppto",PptoSty[CurPpto],PptoSty[CurInt]+PptoSty[CurExt]),(PptoSty[Project]=TEXT(PrvSty[[#This Row],[Project]],"@"))*(PptoSty[PptoVsRow]=PrvSty[[#This Row],[Row]])*(PptoSty[PptoVsColumn]=PrvSty[[#This Row],[Column]]),0)),"X")</f>
        <v>0</v>
      </c>
      <c r="I25" s="358" cm="1">
        <f t="array" ref="I25">IFERROR(SUM(_xlfn._xlws.FILTER(FrmBB1[Cur],(FrmBB1[PrjId]=TEXT($E25,"@"))*(FrmBB1[Cia]=$D25)*(FrmBB1[Row]=$F25)*(FrmBB1[Column]=_xlfn.LET(_xlpm.x,_xlfn.TEXTBEFORE($G25," ("),IFERROR(_xlpm.x,$G25))&amp;" SERRA"),0)),"X")</f>
        <v>10252.64</v>
      </c>
      <c r="J25" s="358" cm="1">
        <f t="array" ref="J25">IFERROR(SUM(_xlfn._xlws.FILTER(FrmBB1[Cur],(FrmBB1[PrjId]=TEXT($E25,"@"))*(FrmBB1[Cia]=$D25)*(FrmBB1[Row]=$F25)*(FrmBB1[Column]=_xlfn.LET(_xlpm.x,_xlfn.TEXTBEFORE($G25," ("),IFERROR(_xlpm.x,$G25))&amp;" EXT."),0)),"X")</f>
        <v>0</v>
      </c>
      <c r="K25" s="358">
        <v>0</v>
      </c>
      <c r="L25" s="358">
        <v>9229.9599999999991</v>
      </c>
      <c r="M25" s="361">
        <f ca="1">IF(SUM(H25,K25,L25)=0,IF(SUM(I25,J25)&gt;0,1,0),1-SUM(PrvSty[[#This Row],[Real:SERRA]:[Real:EXT.]])/SUM(PrvSty[[#This Row],[AcumInt]:[AcumExt]]))</f>
        <v>-0.11080004680410327</v>
      </c>
      <c r="N25" s="360" t="s">
        <v>1739</v>
      </c>
      <c r="O25" s="358">
        <f>IF(OR(PrvSty[[#This Row],[DsvAbs:SERRA]]="X",PrvSty[[#This Row],[DsvAbs:SERRA]]=""),0,IF(PrvSty[[#This Row],[DesvTyp]]="Abs",PrvSty[[#This Row],[DsvAbs:SERRA]],PrvSty[[#This Row],[DsvAbs:SERRA]]*PrvSty[[#This Row],[Ppto]]))</f>
        <v>0</v>
      </c>
      <c r="P25" s="358">
        <f>IF(OR(PrvSty[[#This Row],[DsvAbs:EXT.]]="X",PrvSty[[#This Row],[DsvAbs:EXT.]]=""),0,IF(PrvSty[[#This Row],[DesvTyp]]="Abs",PrvSty[[#This Row],[DsvAbs:EXT.]],PrvSty[[#This Row],[DsvAbs:EXT.]]*PrvSty[[#This Row],[Ppto]]))</f>
        <v>9229.9599999999991</v>
      </c>
      <c r="Q25" s="358" t="str" cm="1">
        <f t="array" aca="1" ref="Q25"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25" s="363" cm="1">
        <f t="array" aca="1" ref="R25"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25" s="363" cm="1">
        <f t="array" aca="1" ref="S25"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9229.9599999999991</v>
      </c>
      <c r="T25" s="367" cm="1">
        <f t="array" ref="T25">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25" s="367" cm="1">
        <f t="array" ref="U25">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220.24338944697897</v>
      </c>
      <c r="V25" s="358"/>
      <c r="X25" s="212"/>
    </row>
    <row r="26" spans="3:24">
      <c r="C26" s="357">
        <v>45594</v>
      </c>
      <c r="D26" s="357" t="s">
        <v>2114</v>
      </c>
      <c r="E26" s="358" t="str">
        <f t="shared" si="2"/>
        <v>31199</v>
      </c>
      <c r="F26" s="359" t="s">
        <v>1475</v>
      </c>
      <c r="G26" s="360" t="s">
        <v>389</v>
      </c>
      <c r="H26" s="358" cm="1">
        <f t="array" aca="1" ref="H26" ca="1">IFERROR(SUM(_xlfn._xlws.FILTER(IF(MeSel="Ppto",PptoSty[CurPpto],PptoSty[CurInt]+PptoSty[CurExt]),(PptoSty[Project]=TEXT(PrvSty[[#This Row],[Project]],"@"))*(PptoSty[PptoVsRow]=PrvSty[[#This Row],[Row]])*(PptoSty[PptoVsColumn]=PrvSty[[#This Row],[Column]]),0)),"X")</f>
        <v>45383.689972500011</v>
      </c>
      <c r="I26" s="358" cm="1">
        <f t="array" ref="I26">IFERROR(SUM(_xlfn._xlws.FILTER(FrmBB1[Cur],(FrmBB1[PrjId]=TEXT($E26,"@"))*(FrmBB1[Cia]=$D26)*(FrmBB1[Row]=$F26)*(FrmBB1[Column]=_xlfn.LET(_xlpm.x,_xlfn.TEXTBEFORE($G26," ("),IFERROR(_xlpm.x,$G26))&amp;" SERRA"),0)),"X")</f>
        <v>159.47999999999999</v>
      </c>
      <c r="J26" s="358" cm="1">
        <f t="array" ref="J26">IFERROR(SUM(_xlfn._xlws.FILTER(FrmBB1[Cur],(FrmBB1[PrjId]=TEXT($E26,"@"))*(FrmBB1[Cia]=$D26)*(FrmBB1[Row]=$F26)*(FrmBB1[Column]=_xlfn.LET(_xlpm.x,_xlfn.TEXTBEFORE($G26," ("),IFERROR(_xlpm.x,$G26))&amp;" EXT."),0)),"X")</f>
        <v>31081</v>
      </c>
      <c r="K26" s="358">
        <v>0</v>
      </c>
      <c r="L26" s="358">
        <v>-14519.391972500012</v>
      </c>
      <c r="M26" s="361">
        <f ca="1">IF(SUM(H26,K26,L26)=0,IF(SUM(I26,J26)&gt;0,1,0),1-SUM(PrvSty[[#This Row],[Real:SERRA]:[Real:EXT.]])/SUM(PrvSty[[#This Row],[AcumInt]:[AcumExt]]))</f>
        <v>-1.2188257124785329E-2</v>
      </c>
      <c r="N26" s="360" t="s">
        <v>1739</v>
      </c>
      <c r="O26" s="358">
        <f>IF(OR(PrvSty[[#This Row],[DsvAbs:SERRA]]="X",PrvSty[[#This Row],[DsvAbs:SERRA]]=""),0,IF(PrvSty[[#This Row],[DesvTyp]]="Abs",PrvSty[[#This Row],[DsvAbs:SERRA]],PrvSty[[#This Row],[DsvAbs:SERRA]]*PrvSty[[#This Row],[Ppto]]))</f>
        <v>0</v>
      </c>
      <c r="P26" s="358">
        <f>IF(OR(PrvSty[[#This Row],[DsvAbs:EXT.]]="X",PrvSty[[#This Row],[DsvAbs:EXT.]]=""),0,IF(PrvSty[[#This Row],[DesvTyp]]="Abs",PrvSty[[#This Row],[DsvAbs:EXT.]],PrvSty[[#This Row],[DsvAbs:EXT.]]*PrvSty[[#This Row],[Ppto]]))</f>
        <v>-14519.391972500012</v>
      </c>
      <c r="Q26" s="358" t="str" cm="1">
        <f t="array" aca="1" ref="Q26"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26" s="363" cm="1">
        <f t="array" aca="1" ref="R26"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6221.0343750000002</v>
      </c>
      <c r="S26" s="363" cm="1">
        <f t="array" aca="1" ref="S26"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24643.263625000003</v>
      </c>
      <c r="T26" s="367" cm="1">
        <f t="array" ref="T26">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26" s="367" cm="1">
        <f t="array" ref="U26">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-530.73772699435108</v>
      </c>
      <c r="V26" s="358"/>
      <c r="X26" s="212"/>
    </row>
    <row r="27" spans="3:24">
      <c r="C27" s="357">
        <v>45594</v>
      </c>
      <c r="D27" s="357" t="s">
        <v>2114</v>
      </c>
      <c r="E27" s="360" t="str">
        <f t="shared" si="2"/>
        <v>31199</v>
      </c>
      <c r="F27" s="359" t="s">
        <v>358</v>
      </c>
      <c r="G27" s="360" t="s">
        <v>373</v>
      </c>
      <c r="H27" s="358" cm="1">
        <f t="array" ref="H27">IFERROR(SUM(_xlfn._xlws.FILTER(IF(MeSel="Ppto",PptoSty[CurPpto],PptoSty[CurInt]+PptoSty[CurExt]),(PptoSty[Project]=TEXT(PrvSty[[#This Row],[Project]],"@"))*(PptoSty[PptoVsRow]=PrvSty[[#This Row],[Row]])*(PptoSty[PptoVsColumn]=PrvSty[[#This Row],[Column]]),0)),"X")</f>
        <v>5704.6566533333316</v>
      </c>
      <c r="I27" s="358" cm="1">
        <f t="array" ref="I27">IFERROR(SUM(_xlfn._xlws.FILTER(FrmBB1[Cur],(FrmBB1[PrjId]=TEXT($E27,"@"))*(FrmBB1[Cia]=$D27)*(FrmBB1[Row]=$F27)*(FrmBB1[Column]=_xlfn.LET(_xlpm.x,_xlfn.TEXTBEFORE($G27," ("),IFERROR(_xlpm.x,$G27))&amp;" SERRA"),0)),"X")</f>
        <v>0</v>
      </c>
      <c r="J27" s="358" cm="1">
        <f t="array" ref="J27">IFERROR(SUM(_xlfn._xlws.FILTER(FrmBB1[Cur],(FrmBB1[PrjId]=TEXT($E27,"@"))*(FrmBB1[Cia]=$D27)*(FrmBB1[Row]=$F27)*(FrmBB1[Column]=_xlfn.LET(_xlpm.x,_xlfn.TEXTBEFORE($G27," ("),IFERROR(_xlpm.x,$G27))&amp;" EXT."),0)),"X")</f>
        <v>0</v>
      </c>
      <c r="K27" s="358">
        <v>0</v>
      </c>
      <c r="L27" s="358">
        <v>-5704.6566533333316</v>
      </c>
      <c r="M27" s="361">
        <f>IF(SUM(H27,K27,L27)=0,IF(SUM(I27,J27)&gt;0,1,0),1-SUM(PrvSty[[#This Row],[Real:SERRA]:[Real:EXT.]])/SUM(PrvSty[[#This Row],[AcumInt]:[AcumExt]]))</f>
        <v>0</v>
      </c>
      <c r="N27" s="362" t="s">
        <v>1739</v>
      </c>
      <c r="O27" s="358">
        <f>IF(OR(PrvSty[[#This Row],[DsvAbs:SERRA]]="X",PrvSty[[#This Row],[DsvAbs:SERRA]]=""),0,IF(PrvSty[[#This Row],[DesvTyp]]="Abs",PrvSty[[#This Row],[DsvAbs:SERRA]],PrvSty[[#This Row],[DsvAbs:SERRA]]*PrvSty[[#This Row],[Ppto]]))</f>
        <v>0</v>
      </c>
      <c r="P27" s="358">
        <f>IF(OR(PrvSty[[#This Row],[DsvAbs:EXT.]]="X",PrvSty[[#This Row],[DsvAbs:EXT.]]=""),0,IF(PrvSty[[#This Row],[DesvTyp]]="Abs",PrvSty[[#This Row],[DsvAbs:EXT.]],PrvSty[[#This Row],[DsvAbs:EXT.]]*PrvSty[[#This Row],[Ppto]]))</f>
        <v>-5704.6566533333316</v>
      </c>
      <c r="Q27" s="358" t="str" cm="1">
        <f t="array" aca="1" ref="Q27"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27" s="363" cm="1">
        <f t="array" aca="1" ref="R27"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4710.5479499999992</v>
      </c>
      <c r="S27" s="363" cm="1">
        <f t="array" aca="1" ref="S27"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-4710.5479499999983</v>
      </c>
      <c r="T27" s="367" cm="1">
        <f t="array" ref="T27">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27" s="367" cm="1">
        <f t="array" ref="U27">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-136.12333281632777</v>
      </c>
      <c r="V27" s="363"/>
      <c r="X27" s="212"/>
    </row>
    <row r="28" spans="3:24">
      <c r="C28" s="357">
        <v>45594</v>
      </c>
      <c r="D28" s="357" t="s">
        <v>2114</v>
      </c>
      <c r="E28" s="360" t="str">
        <f t="shared" si="2"/>
        <v>31199</v>
      </c>
      <c r="F28" s="359" t="s">
        <v>358</v>
      </c>
      <c r="G28" s="360" t="s">
        <v>389</v>
      </c>
      <c r="H28" s="358" cm="1">
        <f t="array" ref="H28">IFERROR(SUM(_xlfn._xlws.FILTER(IF(MeSel="Ppto",PptoSty[CurPpto],PptoSty[CurInt]+PptoSty[CurExt]),(PptoSty[Project]=TEXT(PrvSty[[#This Row],[Project]],"@"))*(PptoSty[PptoVsRow]=PrvSty[[#This Row],[Row]])*(PptoSty[PptoVsColumn]=PrvSty[[#This Row],[Column]]),0)),"X")</f>
        <v>0</v>
      </c>
      <c r="I28" s="358" cm="1">
        <f t="array" ref="I28">IFERROR(SUM(_xlfn._xlws.FILTER(FrmBB1[Cur],(FrmBB1[PrjId]=TEXT($E28,"@"))*(FrmBB1[Cia]=$D28)*(FrmBB1[Row]=$F28)*(FrmBB1[Column]=_xlfn.LET(_xlpm.x,_xlfn.TEXTBEFORE($G28," ("),IFERROR(_xlpm.x,$G28))&amp;" SERRA"),0)),"X")</f>
        <v>5099.92</v>
      </c>
      <c r="J28" s="358" cm="1">
        <f t="array" ref="J28">IFERROR(SUM(_xlfn._xlws.FILTER(FrmBB1[Cur],(FrmBB1[PrjId]=TEXT($E28,"@"))*(FrmBB1[Cia]=$D28)*(FrmBB1[Row]=$F28)*(FrmBB1[Column]=_xlfn.LET(_xlpm.x,_xlfn.TEXTBEFORE($G28," ("),IFERROR(_xlpm.x,$G28))&amp;" EXT."),0)),"X")</f>
        <v>0</v>
      </c>
      <c r="K28" s="358">
        <v>0</v>
      </c>
      <c r="L28" s="358">
        <v>5099.92</v>
      </c>
      <c r="M28" s="361">
        <f ca="1">IF(SUM(H28,K28,L28)=0,IF(SUM(I28,J28)&gt;0,1,0),1-SUM(PrvSty[[#This Row],[Real:SERRA]:[Real:EXT.]])/SUM(PrvSty[[#This Row],[AcumInt]:[AcumExt]]))</f>
        <v>0</v>
      </c>
      <c r="N28" s="362" t="s">
        <v>1739</v>
      </c>
      <c r="O28" s="358">
        <f>IF(OR(PrvSty[[#This Row],[DsvAbs:SERRA]]="X",PrvSty[[#This Row],[DsvAbs:SERRA]]=""),0,IF(PrvSty[[#This Row],[DesvTyp]]="Abs",PrvSty[[#This Row],[DsvAbs:SERRA]],PrvSty[[#This Row],[DsvAbs:SERRA]]*PrvSty[[#This Row],[Ppto]]))</f>
        <v>0</v>
      </c>
      <c r="P28" s="358">
        <f>IF(OR(PrvSty[[#This Row],[DsvAbs:EXT.]]="X",PrvSty[[#This Row],[DsvAbs:EXT.]]=""),0,IF(PrvSty[[#This Row],[DesvTyp]]="Abs",PrvSty[[#This Row],[DsvAbs:EXT.]],PrvSty[[#This Row],[DsvAbs:EXT.]]*PrvSty[[#This Row],[Ppto]]))</f>
        <v>5099.92</v>
      </c>
      <c r="Q28" s="358" t="str" cm="1">
        <f t="array" aca="1" ref="Q28"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28" s="363" cm="1">
        <f t="array" aca="1" ref="R28"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28" s="363" cm="1">
        <f t="array" aca="1" ref="S28"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5099.92</v>
      </c>
      <c r="T28" s="367" cm="1">
        <f t="array" ref="T28">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28" s="367" cm="1">
        <f t="array" ref="U28">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186.42102601676481</v>
      </c>
      <c r="V28" s="363"/>
    </row>
    <row r="29" spans="3:24">
      <c r="C29" s="357">
        <v>45594</v>
      </c>
      <c r="D29" s="357" t="s">
        <v>2114</v>
      </c>
      <c r="E29" s="358" t="str">
        <f t="shared" si="2"/>
        <v>31199</v>
      </c>
      <c r="F29" s="359" t="s">
        <v>1473</v>
      </c>
      <c r="G29" s="360" t="s">
        <v>1670</v>
      </c>
      <c r="H29" s="358" cm="1">
        <f t="array" aca="1" ref="H29" ca="1">IFERROR(SUM(_xlfn._xlws.FILTER(IF(MeSel="Ppto",PptoSty[CurPpto],PptoSty[CurInt]+PptoSty[CurExt]),(PptoSty[Project]=TEXT(PrvSty[[#This Row],[Project]],"@"))*(PptoSty[PptoVsRow]=PrvSty[[#This Row],[Row]])*(PptoSty[PptoVsColumn]=PrvSty[[#This Row],[Column]]),0)),"X")</f>
        <v>134649.53689999998</v>
      </c>
      <c r="I29" s="358" cm="1">
        <f t="array" ref="I29">IFERROR(SUM(_xlfn._xlws.FILTER(FrmBB1[Cur],(FrmBB1[PrjId]=TEXT($E29,"@"))*(FrmBB1[Cia]=$D29)*(FrmBB1[Row]=$F29)*(FrmBB1[Column]=_xlfn.LET(_xlpm.x,_xlfn.TEXTBEFORE($G29," ("),IFERROR(_xlpm.x,$G29))&amp;" SERRA"),0)),"X")</f>
        <v>0</v>
      </c>
      <c r="J29" s="358" cm="1">
        <f t="array" ref="J29">IFERROR(SUM(_xlfn._xlws.FILTER(FrmBB1[Cur],(FrmBB1[PrjId]=TEXT($E29,"@"))*(FrmBB1[Cia]=$D29)*(FrmBB1[Row]=$F29)*(FrmBB1[Column]=_xlfn.LET(_xlpm.x,_xlfn.TEXTBEFORE($G29," ("),IFERROR(_xlpm.x,$G29))&amp;" EXT."),0)),"X")</f>
        <v>65596.86</v>
      </c>
      <c r="K29" s="358">
        <v>0</v>
      </c>
      <c r="L29" s="358">
        <v>-75940.84149999998</v>
      </c>
      <c r="M29" s="361">
        <f ca="1">IF(SUM(H29,K29,L29)=0,IF(SUM(I29,J29)&gt;0,1,0),1-SUM(PrvSty[[#This Row],[Real:SERRA]:[Real:EXT.]])/SUM(PrvSty[[#This Row],[AcumInt]:[AcumExt]]))</f>
        <v>-0.11732784305746979</v>
      </c>
      <c r="N29" s="360" t="s">
        <v>1739</v>
      </c>
      <c r="O29" s="358">
        <f>IF(OR(PrvSty[[#This Row],[DsvAbs:SERRA]]="X",PrvSty[[#This Row],[DsvAbs:SERRA]]=""),0,IF(PrvSty[[#This Row],[DesvTyp]]="Abs",PrvSty[[#This Row],[DsvAbs:SERRA]],PrvSty[[#This Row],[DsvAbs:SERRA]]*PrvSty[[#This Row],[Ppto]]))</f>
        <v>0</v>
      </c>
      <c r="P29" s="358">
        <f>IF(OR(PrvSty[[#This Row],[DsvAbs:EXT.]]="X",PrvSty[[#This Row],[DsvAbs:EXT.]]=""),0,IF(PrvSty[[#This Row],[DesvTyp]]="Abs",PrvSty[[#This Row],[DsvAbs:EXT.]],PrvSty[[#This Row],[DsvAbs:EXT.]]*PrvSty[[#This Row],[Ppto]]))</f>
        <v>-75940.84149999998</v>
      </c>
      <c r="Q29" s="358" t="str" cm="1">
        <f t="array" aca="1" ref="Q29"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29" s="363" cm="1">
        <f t="array" aca="1" ref="R29"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29" s="363" cm="1">
        <f t="array" aca="1" ref="S29"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58708.695399999997</v>
      </c>
      <c r="T29" s="367" cm="1">
        <f t="array" ref="T29">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29" s="367" cm="1">
        <f t="array" ref="U29">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29" s="358"/>
    </row>
    <row r="30" spans="3:24">
      <c r="C30" s="357">
        <v>45594</v>
      </c>
      <c r="D30" s="357" t="s">
        <v>2114</v>
      </c>
      <c r="E30" s="358" t="str">
        <f t="shared" si="2"/>
        <v>31199</v>
      </c>
      <c r="F30" s="359" t="s">
        <v>1475</v>
      </c>
      <c r="G30" s="360" t="s">
        <v>1670</v>
      </c>
      <c r="H30" s="358" cm="1">
        <f t="array" ref="H30">IFERROR(SUM(_xlfn._xlws.FILTER(IF(MeSel="Ppto",PptoSty[CurPpto],PptoSty[CurInt]+PptoSty[CurExt]),(PptoSty[Project]=TEXT(PrvSty[[#This Row],[Project]],"@"))*(PptoSty[PptoVsRow]=PrvSty[[#This Row],[Row]])*(PptoSty[PptoVsColumn]=PrvSty[[#This Row],[Column]]),0)),"X")</f>
        <v>0</v>
      </c>
      <c r="I30" s="358" cm="1">
        <f t="array" ref="I30">IFERROR(SUM(_xlfn._xlws.FILTER(FrmBB1[Cur],(FrmBB1[PrjId]=TEXT($E30,"@"))*(FrmBB1[Cia]=$D30)*(FrmBB1[Row]=$F30)*(FrmBB1[Column]=_xlfn.LET(_xlpm.x,_xlfn.TEXTBEFORE($G30," ("),IFERROR(_xlpm.x,$G30))&amp;" SERRA"),0)),"X")</f>
        <v>0</v>
      </c>
      <c r="J30" s="358" cm="1">
        <f t="array" ref="J30">IFERROR(SUM(_xlfn._xlws.FILTER(FrmBB1[Cur],(FrmBB1[PrjId]=TEXT($E30,"@"))*(FrmBB1[Cia]=$D30)*(FrmBB1[Row]=$F30)*(FrmBB1[Column]=_xlfn.LET(_xlpm.x,_xlfn.TEXTBEFORE($G30," ("),IFERROR(_xlpm.x,$G30))&amp;" EXT."),0)),"X")</f>
        <v>269.70999999999998</v>
      </c>
      <c r="K30" s="358">
        <v>0</v>
      </c>
      <c r="L30" s="358">
        <v>269.70999999999998</v>
      </c>
      <c r="M30" s="361">
        <f ca="1">IF(SUM(H30,K30,L30)=0,IF(SUM(I30,J30)&gt;0,1,0),1-SUM(PrvSty[[#This Row],[Real:SERRA]:[Real:EXT.]])/SUM(PrvSty[[#This Row],[AcumInt]:[AcumExt]]))</f>
        <v>0</v>
      </c>
      <c r="N30" s="360" t="s">
        <v>1739</v>
      </c>
      <c r="O30" s="358">
        <f>IF(OR(PrvSty[[#This Row],[DsvAbs:SERRA]]="X",PrvSty[[#This Row],[DsvAbs:SERRA]]=""),0,IF(PrvSty[[#This Row],[DesvTyp]]="Abs",PrvSty[[#This Row],[DsvAbs:SERRA]],PrvSty[[#This Row],[DsvAbs:SERRA]]*PrvSty[[#This Row],[Ppto]]))</f>
        <v>0</v>
      </c>
      <c r="P30" s="358">
        <f>IF(OR(PrvSty[[#This Row],[DsvAbs:EXT.]]="X",PrvSty[[#This Row],[DsvAbs:EXT.]]=""),0,IF(PrvSty[[#This Row],[DesvTyp]]="Abs",PrvSty[[#This Row],[DsvAbs:EXT.]],PrvSty[[#This Row],[DsvAbs:EXT.]]*PrvSty[[#This Row],[Ppto]]))</f>
        <v>269.70999999999998</v>
      </c>
      <c r="Q30" s="358" t="str" cm="1">
        <f t="array" aca="1" ref="Q30"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30" s="363" cm="1">
        <f t="array" aca="1" ref="R30"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30" s="363" cm="1">
        <f t="array" aca="1" ref="S30"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269.70999999999998</v>
      </c>
      <c r="T30" s="367" cm="1">
        <f t="array" ref="T30">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30" s="367" cm="1">
        <f t="array" ref="U30">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30" s="358"/>
    </row>
    <row r="31" spans="3:24">
      <c r="C31" s="357">
        <v>45594</v>
      </c>
      <c r="D31" s="357" t="s">
        <v>2114</v>
      </c>
      <c r="E31" s="358" t="str">
        <f t="shared" si="2"/>
        <v>31199</v>
      </c>
      <c r="F31" s="359" t="s">
        <v>1475</v>
      </c>
      <c r="G31" s="360" t="s">
        <v>1275</v>
      </c>
      <c r="H31" s="358" cm="1">
        <f t="array" ref="H31">IFERROR(SUM(_xlfn._xlws.FILTER(IF(MeSel="Ppto",PptoSty[CurPpto],PptoSty[CurInt]+PptoSty[CurExt]),(PptoSty[Project]=TEXT(PrvSty[[#This Row],[Project]],"@"))*(PptoSty[PptoVsRow]=PrvSty[[#This Row],[Row]])*(PptoSty[PptoVsColumn]=PrvSty[[#This Row],[Column]]),0)),"X")</f>
        <v>67852.7834</v>
      </c>
      <c r="I31" s="358" cm="1">
        <f t="array" ref="I31">IFERROR(SUM(_xlfn._xlws.FILTER(FrmBB1[Cur],(FrmBB1[PrjId]=TEXT($E31,"@"))*(FrmBB1[Cia]=$D31)*(FrmBB1[Row]=$F31)*(FrmBB1[Column]=_xlfn.LET(_xlpm.x,_xlfn.TEXTBEFORE($G31," ("),IFERROR(_xlpm.x,$G31))&amp;" SERRA"),0)),"X")</f>
        <v>0</v>
      </c>
      <c r="J31" s="358" cm="1">
        <f t="array" ref="J31">IFERROR(SUM(_xlfn._xlws.FILTER(FrmBB1[Cur],(FrmBB1[PrjId]=TEXT($E31,"@"))*(FrmBB1[Cia]=$D31)*(FrmBB1[Row]=$F31)*(FrmBB1[Column]=_xlfn.LET(_xlpm.x,_xlfn.TEXTBEFORE($G31," ("),IFERROR(_xlpm.x,$G31))&amp;" EXT."),0)),"X")</f>
        <v>22813.35</v>
      </c>
      <c r="K31" s="358">
        <v>0</v>
      </c>
      <c r="L31" s="358">
        <v>-45039.433400000002</v>
      </c>
      <c r="M31" s="361">
        <f ca="1">IF(SUM(H31,K31,L31)=0,IF(SUM(I31,J31)&gt;0,1,0),1-SUM(PrvSty[[#This Row],[Real:SERRA]:[Real:EXT.]])/SUM(PrvSty[[#This Row],[AcumInt]:[AcumExt]]))</f>
        <v>0</v>
      </c>
      <c r="N31" s="360" t="s">
        <v>1739</v>
      </c>
      <c r="O31" s="358">
        <f>IF(OR(PrvSty[[#This Row],[DsvAbs:SERRA]]="X",PrvSty[[#This Row],[DsvAbs:SERRA]]=""),0,IF(PrvSty[[#This Row],[DesvTyp]]="Abs",PrvSty[[#This Row],[DsvAbs:SERRA]],PrvSty[[#This Row],[DsvAbs:SERRA]]*PrvSty[[#This Row],[Ppto]]))</f>
        <v>0</v>
      </c>
      <c r="P31" s="358">
        <f>IF(OR(PrvSty[[#This Row],[DsvAbs:EXT.]]="X",PrvSty[[#This Row],[DsvAbs:EXT.]]=""),0,IF(PrvSty[[#This Row],[DesvTyp]]="Abs",PrvSty[[#This Row],[DsvAbs:EXT.]],PrvSty[[#This Row],[DsvAbs:EXT.]]*PrvSty[[#This Row],[Ppto]]))</f>
        <v>-45039.433400000002</v>
      </c>
      <c r="Q31" s="358" t="str" cm="1">
        <f t="array" aca="1" ref="Q31"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31" s="363" cm="1">
        <f t="array" aca="1" ref="R31"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31" s="363" cm="1">
        <f t="array" aca="1" ref="S31"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22813.35</v>
      </c>
      <c r="T31" s="367" cm="1">
        <f t="array" ref="T3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31" s="367" cm="1">
        <f t="array" ref="U3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31" s="358"/>
    </row>
    <row r="32" spans="3:24">
      <c r="C32" s="357">
        <v>45594</v>
      </c>
      <c r="D32" s="357" t="s">
        <v>2114</v>
      </c>
      <c r="E32" s="358" t="str">
        <f t="shared" si="2"/>
        <v>31199</v>
      </c>
      <c r="F32" s="359" t="s">
        <v>1475</v>
      </c>
      <c r="G32" s="360" t="s">
        <v>385</v>
      </c>
      <c r="H32" s="358" cm="1">
        <f t="array" ref="H32">IFERROR(SUM(_xlfn._xlws.FILTER(IF(MeSel="Ppto",PptoSty[CurPpto],PptoSty[CurInt]+PptoSty[CurExt]),(PptoSty[Project]=TEXT(PrvSty[[#This Row],[Project]],"@"))*(PptoSty[PptoVsRow]=PrvSty[[#This Row],[Row]])*(PptoSty[PptoVsColumn]=PrvSty[[#This Row],[Column]]),0)),"X")</f>
        <v>58971.63660000002</v>
      </c>
      <c r="I32" s="358" cm="1">
        <f t="array" ref="I32">IFERROR(SUM(_xlfn._xlws.FILTER(FrmBB1[Cur],(FrmBB1[PrjId]=TEXT($E32,"@"))*(FrmBB1[Cia]=$D32)*(FrmBB1[Row]=$F32)*(FrmBB1[Column]=_xlfn.LET(_xlpm.x,_xlfn.TEXTBEFORE($G32," ("),IFERROR(_xlpm.x,$G32))&amp;" SERRA"),0)),"X")</f>
        <v>0</v>
      </c>
      <c r="J32" s="358" cm="1">
        <f t="array" ref="J32">IFERROR(SUM(_xlfn._xlws.FILTER(FrmBB1[Cur],(FrmBB1[PrjId]=TEXT($E32,"@"))*(FrmBB1[Cia]=$D32)*(FrmBB1[Row]=$F32)*(FrmBB1[Column]=_xlfn.LET(_xlpm.x,_xlfn.TEXTBEFORE($G32," ("),IFERROR(_xlpm.x,$G32))&amp;" EXT."),0)),"X")</f>
        <v>23483.86</v>
      </c>
      <c r="K32" s="358">
        <v>0</v>
      </c>
      <c r="L32" s="358">
        <v>-35487.776600000019</v>
      </c>
      <c r="M32" s="361">
        <f ca="1">IF(SUM(H32,K32,L32)=0,IF(SUM(I32,J32)&gt;0,1,0),1-SUM(PrvSty[[#This Row],[Real:SERRA]:[Real:EXT.]])/SUM(PrvSty[[#This Row],[AcumInt]:[AcumExt]]))</f>
        <v>0</v>
      </c>
      <c r="N32" s="360" t="s">
        <v>1739</v>
      </c>
      <c r="O32" s="358">
        <f>IF(OR(PrvSty[[#This Row],[DsvAbs:SERRA]]="X",PrvSty[[#This Row],[DsvAbs:SERRA]]=""),0,IF(PrvSty[[#This Row],[DesvTyp]]="Abs",PrvSty[[#This Row],[DsvAbs:SERRA]],PrvSty[[#This Row],[DsvAbs:SERRA]]*PrvSty[[#This Row],[Ppto]]))</f>
        <v>0</v>
      </c>
      <c r="P32" s="358">
        <f>IF(OR(PrvSty[[#This Row],[DsvAbs:EXT.]]="X",PrvSty[[#This Row],[DsvAbs:EXT.]]=""),0,IF(PrvSty[[#This Row],[DesvTyp]]="Abs",PrvSty[[#This Row],[DsvAbs:EXT.]],PrvSty[[#This Row],[DsvAbs:EXT.]]*PrvSty[[#This Row],[Ppto]]))</f>
        <v>-35487.776600000019</v>
      </c>
      <c r="Q32" s="358" t="str" cm="1">
        <f t="array" aca="1" ref="Q32"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32" s="363" cm="1">
        <f t="array" aca="1" ref="R32"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32" s="363" cm="1">
        <f t="array" aca="1" ref="S32"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23483.86</v>
      </c>
      <c r="T32" s="367" cm="1">
        <f t="array" ref="T32">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32" s="367" cm="1">
        <f t="array" ref="U32">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32" s="358"/>
    </row>
    <row r="33" spans="3:22">
      <c r="C33" s="357">
        <v>45594</v>
      </c>
      <c r="D33" s="357" t="s">
        <v>2114</v>
      </c>
      <c r="E33" s="358" t="str">
        <f t="shared" si="2"/>
        <v>31199</v>
      </c>
      <c r="F33" s="359" t="s">
        <v>298</v>
      </c>
      <c r="G33" s="360" t="s">
        <v>380</v>
      </c>
      <c r="H33" s="358" cm="1">
        <f t="array" ref="H33">IFERROR(SUM(_xlfn._xlws.FILTER(IF(MeSel="Ppto",PptoSty[CurPpto],PptoSty[CurInt]+PptoSty[CurExt]),(PptoSty[Project]=TEXT(PrvSty[[#This Row],[Project]],"@"))*(PptoSty[PptoVsRow]=PrvSty[[#This Row],[Row]])*(PptoSty[PptoVsColumn]=PrvSty[[#This Row],[Column]]),0)),"X")</f>
        <v>30500.921530000003</v>
      </c>
      <c r="I33" s="358" cm="1">
        <f t="array" ref="I33">IFERROR(SUM(_xlfn._xlws.FILTER(FrmBB1[Cur],(FrmBB1[PrjId]=TEXT($E33,"@"))*(FrmBB1[Cia]=$D33)*(FrmBB1[Row]=$F33)*(FrmBB1[Column]=_xlfn.LET(_xlpm.x,_xlfn.TEXTBEFORE($G33," ("),IFERROR(_xlpm.x,$G33))&amp;" SERRA"),0)),"X")</f>
        <v>10136.18</v>
      </c>
      <c r="J33" s="358" cm="1">
        <f t="array" ref="J33">IFERROR(SUM(_xlfn._xlws.FILTER(FrmBB1[Cur],(FrmBB1[PrjId]=TEXT($E33,"@"))*(FrmBB1[Cia]=$D33)*(FrmBB1[Row]=$F33)*(FrmBB1[Column]=_xlfn.LET(_xlpm.x,_xlfn.TEXTBEFORE($G33," ("),IFERROR(_xlpm.x,$G33))&amp;" EXT."),0)),"X")</f>
        <v>14339.5</v>
      </c>
      <c r="K33" s="358">
        <v>0</v>
      </c>
      <c r="L33" s="358">
        <v>-6025.241530000003</v>
      </c>
      <c r="M33" s="361">
        <f ca="1">IF(SUM(H33,K33,L33)=0,IF(SUM(I33,J33)&gt;0,1,0),1-SUM(PrvSty[[#This Row],[Real:SERRA]:[Real:EXT.]])/SUM(PrvSty[[#This Row],[AcumInt]:[AcumExt]]))</f>
        <v>0</v>
      </c>
      <c r="N33" s="360" t="s">
        <v>1739</v>
      </c>
      <c r="O33" s="358">
        <f>IF(OR(PrvSty[[#This Row],[DsvAbs:SERRA]]="X",PrvSty[[#This Row],[DsvAbs:SERRA]]=""),0,IF(PrvSty[[#This Row],[DesvTyp]]="Abs",PrvSty[[#This Row],[DsvAbs:SERRA]],PrvSty[[#This Row],[DsvAbs:SERRA]]*PrvSty[[#This Row],[Ppto]]))</f>
        <v>0</v>
      </c>
      <c r="P33" s="358">
        <f>IF(OR(PrvSty[[#This Row],[DsvAbs:EXT.]]="X",PrvSty[[#This Row],[DsvAbs:EXT.]]=""),0,IF(PrvSty[[#This Row],[DesvTyp]]="Abs",PrvSty[[#This Row],[DsvAbs:EXT.]],PrvSty[[#This Row],[DsvAbs:EXT.]]*PrvSty[[#This Row],[Ppto]]))</f>
        <v>-6025.241530000003</v>
      </c>
      <c r="Q33" s="358" t="str" cm="1">
        <f t="array" aca="1" ref="Q33"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33" s="363" cm="1">
        <f t="array" aca="1" ref="R33"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7521.4837900000011</v>
      </c>
      <c r="S33" s="363" cm="1">
        <f t="array" aca="1" ref="S33"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16954.196209999998</v>
      </c>
      <c r="T33" s="367" cm="1">
        <f t="array" ref="T33">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33" s="367" cm="1">
        <f t="array" ref="U33">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-205.09560763698161</v>
      </c>
      <c r="V33" s="358"/>
    </row>
    <row r="34" spans="3:22">
      <c r="C34" s="357">
        <v>45594</v>
      </c>
      <c r="D34" s="357" t="s">
        <v>2114</v>
      </c>
      <c r="E34" s="358" t="str">
        <f t="shared" si="2"/>
        <v>31199</v>
      </c>
      <c r="F34" s="359" t="s">
        <v>298</v>
      </c>
      <c r="G34" s="360" t="s">
        <v>1670</v>
      </c>
      <c r="H34" s="358" cm="1">
        <f t="array" ref="H34">IFERROR(SUM(_xlfn._xlws.FILTER(IF(MeSel="Ppto",PptoSty[CurPpto],PptoSty[CurInt]+PptoSty[CurExt]),(PptoSty[Project]=TEXT(PrvSty[[#This Row],[Project]],"@"))*(PptoSty[PptoVsRow]=PrvSty[[#This Row],[Row]])*(PptoSty[PptoVsColumn]=PrvSty[[#This Row],[Column]]),0)),"X")</f>
        <v>0</v>
      </c>
      <c r="I34" s="358" cm="1">
        <f t="array" ref="I34">IFERROR(SUM(_xlfn._xlws.FILTER(FrmBB1[Cur],(FrmBB1[PrjId]=TEXT($E34,"@"))*(FrmBB1[Cia]=$D34)*(FrmBB1[Row]=$F34)*(FrmBB1[Column]=_xlfn.LET(_xlpm.x,_xlfn.TEXTBEFORE($G34," ("),IFERROR(_xlpm.x,$G34))&amp;" SERRA"),0)),"X")</f>
        <v>0</v>
      </c>
      <c r="J34" s="358" cm="1">
        <f t="array" ref="J34">IFERROR(SUM(_xlfn._xlws.FILTER(FrmBB1[Cur],(FrmBB1[PrjId]=TEXT($E34,"@"))*(FrmBB1[Cia]=$D34)*(FrmBB1[Row]=$F34)*(FrmBB1[Column]=_xlfn.LET(_xlpm.x,_xlfn.TEXTBEFORE($G34," ("),IFERROR(_xlpm.x,$G34))&amp;" EXT."),0)),"X")</f>
        <v>961.55</v>
      </c>
      <c r="K34" s="358">
        <v>0</v>
      </c>
      <c r="L34" s="358">
        <v>961.55</v>
      </c>
      <c r="M34" s="361">
        <f ca="1">IF(SUM(H34,K34,L34)=0,IF(SUM(I34,J34)&gt;0,1,0),1-SUM(PrvSty[[#This Row],[Real:SERRA]:[Real:EXT.]])/SUM(PrvSty[[#This Row],[AcumInt]:[AcumExt]]))</f>
        <v>0</v>
      </c>
      <c r="N34" s="360" t="s">
        <v>1739</v>
      </c>
      <c r="O34" s="358">
        <f>IF(OR(PrvSty[[#This Row],[DsvAbs:SERRA]]="X",PrvSty[[#This Row],[DsvAbs:SERRA]]=""),0,IF(PrvSty[[#This Row],[DesvTyp]]="Abs",PrvSty[[#This Row],[DsvAbs:SERRA]],PrvSty[[#This Row],[DsvAbs:SERRA]]*PrvSty[[#This Row],[Ppto]]))</f>
        <v>0</v>
      </c>
      <c r="P34" s="358">
        <f>IF(OR(PrvSty[[#This Row],[DsvAbs:EXT.]]="X",PrvSty[[#This Row],[DsvAbs:EXT.]]=""),0,IF(PrvSty[[#This Row],[DesvTyp]]="Abs",PrvSty[[#This Row],[DsvAbs:EXT.]],PrvSty[[#This Row],[DsvAbs:EXT.]]*PrvSty[[#This Row],[Ppto]]))</f>
        <v>961.55</v>
      </c>
      <c r="Q34" s="358" t="str" cm="1">
        <f t="array" aca="1" ref="Q34"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34" s="363" cm="1">
        <f t="array" aca="1" ref="R34"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34" s="363" cm="1">
        <f t="array" aca="1" ref="S34"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961.55</v>
      </c>
      <c r="T34" s="367" cm="1">
        <f t="array" ref="T34">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34" s="367" cm="1">
        <f t="array" ref="U34">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34" s="358"/>
    </row>
    <row r="35" spans="3:22">
      <c r="C35" s="357">
        <v>45594</v>
      </c>
      <c r="D35" s="357" t="s">
        <v>2114</v>
      </c>
      <c r="E35" s="358" t="str">
        <f t="shared" si="2"/>
        <v>31199</v>
      </c>
      <c r="F35" s="359" t="s">
        <v>288</v>
      </c>
      <c r="G35" s="360" t="s">
        <v>1667</v>
      </c>
      <c r="H35" s="358" cm="1">
        <f t="array" ref="H35">IFERROR(SUM(_xlfn._xlws.FILTER(IF(MeSel="Ppto",PptoSty[CurPpto],PptoSty[CurInt]+PptoSty[CurExt]),(PptoSty[Project]=TEXT(PrvSty[[#This Row],[Project]],"@"))*(PptoSty[PptoVsRow]=PrvSty[[#This Row],[Row]])*(PptoSty[PptoVsColumn]=PrvSty[[#This Row],[Column]]),0)),"X")</f>
        <v>0</v>
      </c>
      <c r="I35" s="358" cm="1">
        <f t="array" ref="I35">IFERROR(SUM(_xlfn._xlws.FILTER(FrmBB1[Cur],(FrmBB1[PrjId]=TEXT($E35,"@"))*(FrmBB1[Cia]=$D35)*(FrmBB1[Row]=$F35)*(FrmBB1[Column]=_xlfn.LET(_xlpm.x,_xlfn.TEXTBEFORE($G35," ("),IFERROR(_xlpm.x,$G35))&amp;" SERRA"),0)),"X")</f>
        <v>0</v>
      </c>
      <c r="J35" s="358" cm="1">
        <f t="array" ref="J35">IFERROR(SUM(_xlfn._xlws.FILTER(FrmBB1[Cur],(FrmBB1[PrjId]=TEXT($E35,"@"))*(FrmBB1[Cia]=$D35)*(FrmBB1[Row]=$F35)*(FrmBB1[Column]=_xlfn.LET(_xlpm.x,_xlfn.TEXTBEFORE($G35," ("),IFERROR(_xlpm.x,$G35))&amp;" EXT."),0)),"X")</f>
        <v>5939</v>
      </c>
      <c r="K35" s="358">
        <v>0</v>
      </c>
      <c r="L35" s="358">
        <v>3443.2</v>
      </c>
      <c r="M35" s="361">
        <f ca="1">IF(SUM(H35,K35,L35)=0,IF(SUM(I35,J35)&gt;0,1,0),1-SUM(PrvSty[[#This Row],[Real:SERRA]:[Real:EXT.]])/SUM(PrvSty[[#This Row],[AcumInt]:[AcumExt]]))</f>
        <v>-0.72484897769516743</v>
      </c>
      <c r="N35" s="360" t="s">
        <v>1739</v>
      </c>
      <c r="O35" s="358">
        <f>IF(OR(PrvSty[[#This Row],[DsvAbs:SERRA]]="X",PrvSty[[#This Row],[DsvAbs:SERRA]]=""),0,IF(PrvSty[[#This Row],[DesvTyp]]="Abs",PrvSty[[#This Row],[DsvAbs:SERRA]],PrvSty[[#This Row],[DsvAbs:SERRA]]*PrvSty[[#This Row],[Ppto]]))</f>
        <v>0</v>
      </c>
      <c r="P35" s="358">
        <f>IF(OR(PrvSty[[#This Row],[DsvAbs:EXT.]]="X",PrvSty[[#This Row],[DsvAbs:EXT.]]=""),0,IF(PrvSty[[#This Row],[DesvTyp]]="Abs",PrvSty[[#This Row],[DsvAbs:EXT.]],PrvSty[[#This Row],[DsvAbs:EXT.]]*PrvSty[[#This Row],[Ppto]]))</f>
        <v>3443.2</v>
      </c>
      <c r="Q35" s="358" t="str" cm="1">
        <f t="array" aca="1" ref="Q35"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35" s="363" cm="1">
        <f t="array" aca="1" ref="R35"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35" s="363" cm="1">
        <f t="array" aca="1" ref="S35"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3443.2</v>
      </c>
      <c r="T35" s="367" cm="1">
        <f t="array" ref="T35">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35" s="367" cm="1">
        <f t="array" ref="U35">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64.522774145343604</v>
      </c>
      <c r="V35" s="358"/>
    </row>
    <row r="36" spans="3:22">
      <c r="C36" s="357">
        <v>45594</v>
      </c>
      <c r="D36" s="357" t="s">
        <v>2114</v>
      </c>
      <c r="E36" s="358" t="str">
        <f t="shared" si="2"/>
        <v>31199</v>
      </c>
      <c r="F36" s="359" t="s">
        <v>288</v>
      </c>
      <c r="G36" s="360" t="s">
        <v>380</v>
      </c>
      <c r="H36" s="358" cm="1">
        <f t="array" ref="H36">IFERROR(SUM(_xlfn._xlws.FILTER(IF(MeSel="Ppto",PptoSty[CurPpto],PptoSty[CurInt]+PptoSty[CurExt]),(PptoSty[Project]=TEXT(PrvSty[[#This Row],[Project]],"@"))*(PptoSty[PptoVsRow]=PrvSty[[#This Row],[Row]])*(PptoSty[PptoVsColumn]=PrvSty[[#This Row],[Column]]),0)),"X")</f>
        <v>0</v>
      </c>
      <c r="I36" s="358" cm="1">
        <f t="array" ref="I36">IFERROR(SUM(_xlfn._xlws.FILTER(FrmBB1[Cur],(FrmBB1[PrjId]=TEXT($E36,"@"))*(FrmBB1[Cia]=$D36)*(FrmBB1[Row]=$F36)*(FrmBB1[Column]=_xlfn.LET(_xlpm.x,_xlfn.TEXTBEFORE($G36," ("),IFERROR(_xlpm.x,$G36))&amp;" SERRA"),0)),"X")</f>
        <v>604.48</v>
      </c>
      <c r="J36" s="358" cm="1">
        <f t="array" ref="J36">IFERROR(SUM(_xlfn._xlws.FILTER(FrmBB1[Cur],(FrmBB1[PrjId]=TEXT($E36,"@"))*(FrmBB1[Cia]=$D36)*(FrmBB1[Row]=$F36)*(FrmBB1[Column]=_xlfn.LET(_xlpm.x,_xlfn.TEXTBEFORE($G36," ("),IFERROR(_xlpm.x,$G36))&amp;" EXT."),0)),"X")</f>
        <v>926.25</v>
      </c>
      <c r="K36" s="358">
        <v>0</v>
      </c>
      <c r="L36" s="358">
        <v>1530.73</v>
      </c>
      <c r="M36" s="361">
        <f ca="1">IF(SUM(H36,K36,L36)=0,IF(SUM(I36,J36)&gt;0,1,0),1-SUM(PrvSty[[#This Row],[Real:SERRA]:[Real:EXT.]])/SUM(PrvSty[[#This Row],[AcumInt]:[AcumExt]]))</f>
        <v>0</v>
      </c>
      <c r="N36" s="360" t="s">
        <v>1739</v>
      </c>
      <c r="O36" s="358">
        <f>IF(OR(PrvSty[[#This Row],[DsvAbs:SERRA]]="X",PrvSty[[#This Row],[DsvAbs:SERRA]]=""),0,IF(PrvSty[[#This Row],[DesvTyp]]="Abs",PrvSty[[#This Row],[DsvAbs:SERRA]],PrvSty[[#This Row],[DsvAbs:SERRA]]*PrvSty[[#This Row],[Ppto]]))</f>
        <v>0</v>
      </c>
      <c r="P36" s="358">
        <f>IF(OR(PrvSty[[#This Row],[DsvAbs:EXT.]]="X",PrvSty[[#This Row],[DsvAbs:EXT.]]=""),0,IF(PrvSty[[#This Row],[DesvTyp]]="Abs",PrvSty[[#This Row],[DsvAbs:EXT.]],PrvSty[[#This Row],[DsvAbs:EXT.]]*PrvSty[[#This Row],[Ppto]]))</f>
        <v>1530.73</v>
      </c>
      <c r="Q36" s="358" t="str" cm="1">
        <f t="array" aca="1" ref="Q36"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36" s="363" cm="1">
        <f t="array" aca="1" ref="R36"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36" s="363" cm="1">
        <f t="array" aca="1" ref="S36"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1530.73</v>
      </c>
      <c r="T36" s="367" cm="1">
        <f t="array" ref="T36">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36" s="367" cm="1">
        <f t="array" ref="U36">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52.105131041635886</v>
      </c>
      <c r="V36" s="358"/>
    </row>
    <row r="37" spans="3:22">
      <c r="C37" s="357">
        <v>45594</v>
      </c>
      <c r="D37" s="357" t="s">
        <v>2114</v>
      </c>
      <c r="E37" s="358" t="str">
        <f t="shared" si="2"/>
        <v>31199</v>
      </c>
      <c r="F37" s="359" t="s">
        <v>288</v>
      </c>
      <c r="G37" s="360" t="s">
        <v>373</v>
      </c>
      <c r="H37" s="358" cm="1">
        <f t="array" ref="H37">IFERROR(SUM(_xlfn._xlws.FILTER(IF(MeSel="Ppto",PptoSty[CurPpto],PptoSty[CurInt]+PptoSty[CurExt]),(PptoSty[Project]=TEXT(PrvSty[[#This Row],[Project]],"@"))*(PptoSty[PptoVsRow]=PrvSty[[#This Row],[Row]])*(PptoSty[PptoVsColumn]=PrvSty[[#This Row],[Column]]),0)),"X")</f>
        <v>0</v>
      </c>
      <c r="I37" s="358" cm="1">
        <f t="array" ref="I37">IFERROR(SUM(_xlfn._xlws.FILTER(FrmBB1[Cur],(FrmBB1[PrjId]=TEXT($E37,"@"))*(FrmBB1[Cia]=$D37)*(FrmBB1[Row]=$F37)*(FrmBB1[Column]=_xlfn.LET(_xlpm.x,_xlfn.TEXTBEFORE($G37," ("),IFERROR(_xlpm.x,$G37))&amp;" SERRA"),0)),"X")</f>
        <v>78.55</v>
      </c>
      <c r="J37" s="358" cm="1">
        <f t="array" ref="J37">IFERROR(SUM(_xlfn._xlws.FILTER(FrmBB1[Cur],(FrmBB1[PrjId]=TEXT($E37,"@"))*(FrmBB1[Cia]=$D37)*(FrmBB1[Row]=$F37)*(FrmBB1[Column]=_xlfn.LET(_xlpm.x,_xlfn.TEXTBEFORE($G37," ("),IFERROR(_xlpm.x,$G37))&amp;" EXT."),0)),"X")</f>
        <v>0</v>
      </c>
      <c r="K37" s="358">
        <v>0</v>
      </c>
      <c r="L37" s="358">
        <v>78.55</v>
      </c>
      <c r="M37" s="361">
        <f ca="1">IF(SUM(H37,K37,L37)=0,IF(SUM(I37,J37)&gt;0,1,0),1-SUM(PrvSty[[#This Row],[Real:SERRA]:[Real:EXT.]])/SUM(PrvSty[[#This Row],[AcumInt]:[AcumExt]]))</f>
        <v>0</v>
      </c>
      <c r="N37" s="360" t="s">
        <v>1739</v>
      </c>
      <c r="O37" s="358">
        <f>IF(OR(PrvSty[[#This Row],[DsvAbs:SERRA]]="X",PrvSty[[#This Row],[DsvAbs:SERRA]]=""),0,IF(PrvSty[[#This Row],[DesvTyp]]="Abs",PrvSty[[#This Row],[DsvAbs:SERRA]],PrvSty[[#This Row],[DsvAbs:SERRA]]*PrvSty[[#This Row],[Ppto]]))</f>
        <v>0</v>
      </c>
      <c r="P37" s="358">
        <f>IF(OR(PrvSty[[#This Row],[DsvAbs:EXT.]]="X",PrvSty[[#This Row],[DsvAbs:EXT.]]=""),0,IF(PrvSty[[#This Row],[DesvTyp]]="Abs",PrvSty[[#This Row],[DsvAbs:EXT.]],PrvSty[[#This Row],[DsvAbs:EXT.]]*PrvSty[[#This Row],[Ppto]]))</f>
        <v>78.55</v>
      </c>
      <c r="Q37" s="358" t="str" cm="1">
        <f t="array" aca="1" ref="Q37"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37" s="363" cm="1">
        <f t="array" aca="1" ref="R37"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37" s="363" cm="1">
        <f t="array" aca="1" ref="S37"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78.55</v>
      </c>
      <c r="T37" s="367" cm="1">
        <f t="array" ref="T37">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37" s="367" cm="1">
        <f t="array" ref="U37">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1.8743437935874261</v>
      </c>
      <c r="V37" s="358"/>
    </row>
    <row r="38" spans="3:22">
      <c r="C38" s="357">
        <v>45594</v>
      </c>
      <c r="D38" s="357" t="s">
        <v>2114</v>
      </c>
      <c r="E38" s="358" t="str">
        <f t="shared" si="2"/>
        <v>31199</v>
      </c>
      <c r="F38" s="359" t="s">
        <v>1285</v>
      </c>
      <c r="G38" s="360" t="s">
        <v>380</v>
      </c>
      <c r="H38" s="358" cm="1">
        <f t="array" ref="H38">IFERROR(SUM(_xlfn._xlws.FILTER(IF(MeSel="Ppto",PptoSty[CurPpto],PptoSty[CurInt]+PptoSty[CurExt]),(PptoSty[Project]=TEXT(PrvSty[[#This Row],[Project]],"@"))*(PptoSty[PptoVsRow]=PrvSty[[#This Row],[Row]])*(PptoSty[PptoVsColumn]=PrvSty[[#This Row],[Column]]),0)),"X")</f>
        <v>0</v>
      </c>
      <c r="I38" s="358" cm="1">
        <f t="array" ref="I38">IFERROR(SUM(_xlfn._xlws.FILTER(FrmBB1[Cur],(FrmBB1[PrjId]=TEXT($E38,"@"))*(FrmBB1[Cia]=$D38)*(FrmBB1[Row]=$F38)*(FrmBB1[Column]=_xlfn.LET(_xlpm.x,_xlfn.TEXTBEFORE($G38," ("),IFERROR(_xlpm.x,$G38))&amp;" SERRA"),0)),"X")</f>
        <v>302.24</v>
      </c>
      <c r="J38" s="358" cm="1">
        <f t="array" ref="J38">IFERROR(SUM(_xlfn._xlws.FILTER(FrmBB1[Cur],(FrmBB1[PrjId]=TEXT($E38,"@"))*(FrmBB1[Cia]=$D38)*(FrmBB1[Row]=$F38)*(FrmBB1[Column]=_xlfn.LET(_xlpm.x,_xlfn.TEXTBEFORE($G38," ("),IFERROR(_xlpm.x,$G38))&amp;" EXT."),0)),"X")</f>
        <v>0</v>
      </c>
      <c r="K38" s="358">
        <v>0</v>
      </c>
      <c r="L38" s="358">
        <v>302.24</v>
      </c>
      <c r="M38" s="361">
        <f ca="1">IF(SUM(H38,K38,L38)=0,IF(SUM(I38,J38)&gt;0,1,0),1-SUM(PrvSty[[#This Row],[Real:SERRA]:[Real:EXT.]])/SUM(PrvSty[[#This Row],[AcumInt]:[AcumExt]]))</f>
        <v>0</v>
      </c>
      <c r="N38" s="360" t="s">
        <v>1739</v>
      </c>
      <c r="O38" s="358">
        <f>IF(OR(PrvSty[[#This Row],[DsvAbs:SERRA]]="X",PrvSty[[#This Row],[DsvAbs:SERRA]]=""),0,IF(PrvSty[[#This Row],[DesvTyp]]="Abs",PrvSty[[#This Row],[DsvAbs:SERRA]],PrvSty[[#This Row],[DsvAbs:SERRA]]*PrvSty[[#This Row],[Ppto]]))</f>
        <v>0</v>
      </c>
      <c r="P38" s="358">
        <f>IF(OR(PrvSty[[#This Row],[DsvAbs:EXT.]]="X",PrvSty[[#This Row],[DsvAbs:EXT.]]=""),0,IF(PrvSty[[#This Row],[DesvTyp]]="Abs",PrvSty[[#This Row],[DsvAbs:EXT.]],PrvSty[[#This Row],[DsvAbs:EXT.]]*PrvSty[[#This Row],[Ppto]]))</f>
        <v>302.24</v>
      </c>
      <c r="Q38" s="358" t="str" cm="1">
        <f t="array" aca="1" ref="Q38"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38" s="363" cm="1">
        <f t="array" aca="1" ref="R38"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38" s="363" cm="1">
        <f t="array" aca="1" ref="S38"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302.24</v>
      </c>
      <c r="T38" s="367" cm="1">
        <f t="array" ref="T38">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38" s="367" cm="1">
        <f t="array" ref="U38">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10.288068311213625</v>
      </c>
      <c r="V38" s="358"/>
    </row>
    <row r="39" spans="3:22">
      <c r="C39" s="357">
        <v>45594</v>
      </c>
      <c r="D39" s="357" t="s">
        <v>2114</v>
      </c>
      <c r="E39" s="358" t="str">
        <f t="shared" si="2"/>
        <v>31199</v>
      </c>
      <c r="F39" s="359" t="s">
        <v>1285</v>
      </c>
      <c r="G39" s="360" t="s">
        <v>373</v>
      </c>
      <c r="H39" s="358" cm="1">
        <f t="array" ref="H39">IFERROR(SUM(_xlfn._xlws.FILTER(IF(MeSel="Ppto",PptoSty[CurPpto],PptoSty[CurInt]+PptoSty[CurExt]),(PptoSty[Project]=TEXT(PrvSty[[#This Row],[Project]],"@"))*(PptoSty[PptoVsRow]=PrvSty[[#This Row],[Row]])*(PptoSty[PptoVsColumn]=PrvSty[[#This Row],[Column]]),0)),"X")</f>
        <v>0</v>
      </c>
      <c r="I39" s="358" cm="1">
        <f t="array" ref="I39">IFERROR(SUM(_xlfn._xlws.FILTER(FrmBB1[Cur],(FrmBB1[PrjId]=TEXT($E39,"@"))*(FrmBB1[Cia]=$D39)*(FrmBB1[Row]=$F39)*(FrmBB1[Column]=_xlfn.LET(_xlpm.x,_xlfn.TEXTBEFORE($G39," ("),IFERROR(_xlpm.x,$G39))&amp;" SERRA"),0)),"X")</f>
        <v>137.46</v>
      </c>
      <c r="J39" s="358" cm="1">
        <f t="array" ref="J39">IFERROR(SUM(_xlfn._xlws.FILTER(FrmBB1[Cur],(FrmBB1[PrjId]=TEXT($E39,"@"))*(FrmBB1[Cia]=$D39)*(FrmBB1[Row]=$F39)*(FrmBB1[Column]=_xlfn.LET(_xlpm.x,_xlfn.TEXTBEFORE($G39," ("),IFERROR(_xlpm.x,$G39))&amp;" EXT."),0)),"X")</f>
        <v>0</v>
      </c>
      <c r="K39" s="358">
        <v>0</v>
      </c>
      <c r="L39" s="358">
        <v>137.46</v>
      </c>
      <c r="M39" s="361">
        <f ca="1">IF(SUM(H39,K39,L39)=0,IF(SUM(I39,J39)&gt;0,1,0),1-SUM(PrvSty[[#This Row],[Real:SERRA]:[Real:EXT.]])/SUM(PrvSty[[#This Row],[AcumInt]:[AcumExt]]))</f>
        <v>0</v>
      </c>
      <c r="N39" s="360" t="s">
        <v>1739</v>
      </c>
      <c r="O39" s="358">
        <f>IF(OR(PrvSty[[#This Row],[DsvAbs:SERRA]]="X",PrvSty[[#This Row],[DsvAbs:SERRA]]=""),0,IF(PrvSty[[#This Row],[DesvTyp]]="Abs",PrvSty[[#This Row],[DsvAbs:SERRA]],PrvSty[[#This Row],[DsvAbs:SERRA]]*PrvSty[[#This Row],[Ppto]]))</f>
        <v>0</v>
      </c>
      <c r="P39" s="358">
        <f>IF(OR(PrvSty[[#This Row],[DsvAbs:EXT.]]="X",PrvSty[[#This Row],[DsvAbs:EXT.]]=""),0,IF(PrvSty[[#This Row],[DesvTyp]]="Abs",PrvSty[[#This Row],[DsvAbs:EXT.]],PrvSty[[#This Row],[DsvAbs:EXT.]]*PrvSty[[#This Row],[Ppto]]))</f>
        <v>137.46</v>
      </c>
      <c r="Q39" s="358" t="str" cm="1">
        <f t="array" aca="1" ref="Q39"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39" s="363" cm="1">
        <f t="array" aca="1" ref="R39"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39" s="363" cm="1">
        <f t="array" aca="1" ref="S39"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137.46</v>
      </c>
      <c r="T39" s="367" cm="1">
        <f t="array" ref="T39">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39" s="367" cm="1">
        <f t="array" ref="U39">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3.2800419842969779</v>
      </c>
      <c r="V39" s="358"/>
    </row>
    <row r="40" spans="3:22">
      <c r="C40" s="357">
        <v>45594</v>
      </c>
      <c r="D40" s="357" t="s">
        <v>2114</v>
      </c>
      <c r="E40" s="358" t="str">
        <f t="shared" si="2"/>
        <v>31199</v>
      </c>
      <c r="F40" s="359" t="s">
        <v>301</v>
      </c>
      <c r="G40" s="360" t="s">
        <v>386</v>
      </c>
      <c r="H40" s="358" cm="1">
        <f t="array" ref="H40">IFERROR(SUM(_xlfn._xlws.FILTER(IF(MeSel="Ppto",PptoSty[CurPpto],PptoSty[CurInt]+PptoSty[CurExt]),(PptoSty[Project]=TEXT(PrvSty[[#This Row],[Project]],"@"))*(PptoSty[PptoVsRow]=PrvSty[[#This Row],[Row]])*(PptoSty[PptoVsColumn]=PrvSty[[#This Row],[Column]]),0)),"X")</f>
        <v>7019.4058999999997</v>
      </c>
      <c r="I40" s="358" cm="1">
        <f t="array" ref="I40">IFERROR(SUM(_xlfn._xlws.FILTER(FrmBB1[Cur],(FrmBB1[PrjId]=TEXT($E40,"@"))*(FrmBB1[Cia]=$D40)*(FrmBB1[Row]=$F40)*(FrmBB1[Column]=_xlfn.LET(_xlpm.x,_xlfn.TEXTBEFORE($G40," ("),IFERROR(_xlpm.x,$G40))&amp;" SERRA"),0)),"X")</f>
        <v>53.560000000000059</v>
      </c>
      <c r="J40" s="358" cm="1">
        <f t="array" ref="J40">IFERROR(SUM(_xlfn._xlws.FILTER(FrmBB1[Cur],(FrmBB1[PrjId]=TEXT($E40,"@"))*(FrmBB1[Cia]=$D40)*(FrmBB1[Row]=$F40)*(FrmBB1[Column]=_xlfn.LET(_xlpm.x,_xlfn.TEXTBEFORE($G40," ("),IFERROR(_xlpm.x,$G40))&amp;" EXT."),0)),"X")</f>
        <v>858.34</v>
      </c>
      <c r="K40" s="358">
        <v>0</v>
      </c>
      <c r="L40" s="358">
        <v>-6107.5059000000001</v>
      </c>
      <c r="M40" s="361">
        <f ca="1">IF(SUM(H40,K40,L40)=0,IF(SUM(I40,J40)&gt;0,1,0),1-SUM(PrvSty[[#This Row],[Real:SERRA]:[Real:EXT.]])/SUM(PrvSty[[#This Row],[AcumInt]:[AcumExt]]))</f>
        <v>-4.4408920985006262E-16</v>
      </c>
      <c r="N40" s="360" t="s">
        <v>1739</v>
      </c>
      <c r="O40" s="358">
        <f>IF(OR(PrvSty[[#This Row],[DsvAbs:SERRA]]="X",PrvSty[[#This Row],[DsvAbs:SERRA]]=""),0,IF(PrvSty[[#This Row],[DesvTyp]]="Abs",PrvSty[[#This Row],[DsvAbs:SERRA]],PrvSty[[#This Row],[DsvAbs:SERRA]]*PrvSty[[#This Row],[Ppto]]))</f>
        <v>0</v>
      </c>
      <c r="P40" s="358">
        <f>IF(OR(PrvSty[[#This Row],[DsvAbs:EXT.]]="X",PrvSty[[#This Row],[DsvAbs:EXT.]]=""),0,IF(PrvSty[[#This Row],[DesvTyp]]="Abs",PrvSty[[#This Row],[DsvAbs:EXT.]],PrvSty[[#This Row],[DsvAbs:EXT.]]*PrvSty[[#This Row],[Ppto]]))</f>
        <v>-6107.5059000000001</v>
      </c>
      <c r="Q40" s="358" t="str" cm="1">
        <f t="array" aca="1" ref="Q40"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40" s="363" cm="1">
        <f t="array" aca="1" ref="R40"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40" s="363" cm="1">
        <f t="array" aca="1" ref="S40"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911.89999999999964</v>
      </c>
      <c r="T40" s="367" cm="1">
        <f t="array" ref="T40">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40" s="367" cm="1">
        <f t="array" ref="U40">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40" s="358"/>
    </row>
    <row r="41" spans="3:22">
      <c r="C41" s="383">
        <v>45594</v>
      </c>
      <c r="D41" s="357" t="s">
        <v>2114</v>
      </c>
      <c r="E41" s="384" t="str">
        <f t="shared" si="2"/>
        <v>31199</v>
      </c>
      <c r="F41" s="359" t="s">
        <v>1243</v>
      </c>
      <c r="G41" s="360" t="s">
        <v>386</v>
      </c>
      <c r="H41" s="358" cm="1">
        <f t="array" aca="1" ref="H41" ca="1">IFERROR(SUM(_xlfn._xlws.FILTER(IF(MeSel="Ppto",PptoSty[CurPpto],PptoSty[CurInt]+PptoSty[CurExt]),(PptoSty[Project]=TEXT(PrvSty[[#This Row],[Project]],"@"))*(PptoSty[PptoVsRow]=PrvSty[[#This Row],[Row]])*(PptoSty[PptoVsColumn]=PrvSty[[#This Row],[Column]]),0)),"X")</f>
        <v>0</v>
      </c>
      <c r="I41" s="358" cm="1">
        <f t="array" ref="I41">IFERROR(SUM(_xlfn._xlws.FILTER(FrmBB1[Cur],(FrmBB1[PrjId]=TEXT($E41,"@"))*(FrmBB1[Cia]=$D41)*(FrmBB1[Row]=$F41)*(FrmBB1[Column]=_xlfn.LET(_xlpm.x,_xlfn.TEXTBEFORE($G41," ("),IFERROR(_xlpm.x,$G41))&amp;" SERRA"),0)),"X")</f>
        <v>3257.0799999999995</v>
      </c>
      <c r="J41" s="358" cm="1">
        <f t="array" ref="J41">IFERROR(SUM(_xlfn._xlws.FILTER(FrmBB1[Cur],(FrmBB1[PrjId]=TEXT($E41,"@"))*(FrmBB1[Cia]=$D41)*(FrmBB1[Row]=$F41)*(FrmBB1[Column]=_xlfn.LET(_xlpm.x,_xlfn.TEXTBEFORE($G41," ("),IFERROR(_xlpm.x,$G41))&amp;" EXT."),0)),"X")</f>
        <v>0</v>
      </c>
      <c r="K41" s="358">
        <v>0</v>
      </c>
      <c r="L41" s="358">
        <v>2332.1866999999997</v>
      </c>
      <c r="M41" s="361">
        <f ca="1">IF(SUM(H41,K41,L41)=0,IF(SUM(I41,J41)&gt;0,1,0),1-SUM(PrvSty[[#This Row],[Real:SERRA]:[Real:EXT.]])/SUM(PrvSty[[#This Row],[AcumInt]:[AcumExt]]))</f>
        <v>-0.39657772681749703</v>
      </c>
      <c r="N41" s="360" t="s">
        <v>1739</v>
      </c>
      <c r="O41" s="358">
        <f>IF(OR(PrvSty[[#This Row],[DsvAbs:SERRA]]="X",PrvSty[[#This Row],[DsvAbs:SERRA]]=""),0,IF(PrvSty[[#This Row],[DesvTyp]]="Abs",PrvSty[[#This Row],[DsvAbs:SERRA]],PrvSty[[#This Row],[DsvAbs:SERRA]]*PrvSty[[#This Row],[Ppto]]))</f>
        <v>0</v>
      </c>
      <c r="P41" s="358">
        <f>IF(OR(PrvSty[[#This Row],[DsvAbs:EXT.]]="X",PrvSty[[#This Row],[DsvAbs:EXT.]]=""),0,IF(PrvSty[[#This Row],[DesvTyp]]="Abs",PrvSty[[#This Row],[DsvAbs:EXT.]],PrvSty[[#This Row],[DsvAbs:EXT.]]*PrvSty[[#This Row],[Ppto]]))</f>
        <v>2332.1866999999997</v>
      </c>
      <c r="Q41" s="358" t="str" cm="1">
        <f t="array" aca="1" ref="Q41"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41" s="363" cm="1">
        <f t="array" aca="1" ref="R41"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41" s="363" cm="1">
        <f t="array" aca="1" ref="S41"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2332.1866999999997</v>
      </c>
      <c r="T41" s="367" cm="1">
        <f t="array" ref="T4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41" s="367" cm="1">
        <f t="array" ref="U4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41" s="358"/>
    </row>
    <row r="42" spans="3:22">
      <c r="C42" s="383">
        <v>45594</v>
      </c>
      <c r="D42" s="357" t="s">
        <v>2114</v>
      </c>
      <c r="E42" s="384" t="str">
        <f t="shared" si="2"/>
        <v>31199</v>
      </c>
      <c r="F42" s="359" t="s">
        <v>1245</v>
      </c>
      <c r="G42" s="360" t="s">
        <v>1670</v>
      </c>
      <c r="H42" s="358" cm="1">
        <f t="array" ref="H42">IFERROR(SUM(_xlfn._xlws.FILTER(IF(MeSel="Ppto",PptoSty[CurPpto],PptoSty[CurInt]+PptoSty[CurExt]),(PptoSty[Project]=TEXT(PrvSty[[#This Row],[Project]],"@"))*(PptoSty[PptoVsRow]=PrvSty[[#This Row],[Row]])*(PptoSty[PptoVsColumn]=PrvSty[[#This Row],[Column]]),0)),"X")</f>
        <v>0</v>
      </c>
      <c r="I42" s="358" cm="1">
        <f t="array" ref="I42">IFERROR(SUM(_xlfn._xlws.FILTER(FrmBB1[Cur],(FrmBB1[PrjId]=TEXT($E42,"@"))*(FrmBB1[Cia]=$D42)*(FrmBB1[Row]=$F42)*(FrmBB1[Column]=_xlfn.LET(_xlpm.x,_xlfn.TEXTBEFORE($G42," ("),IFERROR(_xlpm.x,$G42))&amp;" SERRA"),0)),"X")</f>
        <v>0</v>
      </c>
      <c r="J42" s="358" cm="1">
        <f t="array" ref="J42">IFERROR(SUM(_xlfn._xlws.FILTER(FrmBB1[Cur],(FrmBB1[PrjId]=TEXT($E42,"@"))*(FrmBB1[Cia]=$D42)*(FrmBB1[Row]=$F42)*(FrmBB1[Column]=_xlfn.LET(_xlpm.x,_xlfn.TEXTBEFORE($G42," ("),IFERROR(_xlpm.x,$G42))&amp;" EXT."),0)),"X")</f>
        <v>3181.5399999999995</v>
      </c>
      <c r="K42" s="358">
        <v>0</v>
      </c>
      <c r="L42" s="358">
        <v>3181.5399999999995</v>
      </c>
      <c r="M42" s="361">
        <f ca="1">IF(SUM(H42,K42,L42)=0,IF(SUM(I42,J42)&gt;0,1,0),1-SUM(PrvSty[[#This Row],[Real:SERRA]:[Real:EXT.]])/SUM(PrvSty[[#This Row],[AcumInt]:[AcumExt]]))</f>
        <v>0</v>
      </c>
      <c r="N42" s="360" t="s">
        <v>1739</v>
      </c>
      <c r="O42" s="358">
        <f>IF(OR(PrvSty[[#This Row],[DsvAbs:SERRA]]="X",PrvSty[[#This Row],[DsvAbs:SERRA]]=""),0,IF(PrvSty[[#This Row],[DesvTyp]]="Abs",PrvSty[[#This Row],[DsvAbs:SERRA]],PrvSty[[#This Row],[DsvAbs:SERRA]]*PrvSty[[#This Row],[Ppto]]))</f>
        <v>0</v>
      </c>
      <c r="P42" s="358">
        <f>IF(OR(PrvSty[[#This Row],[DsvAbs:EXT.]]="X",PrvSty[[#This Row],[DsvAbs:EXT.]]=""),0,IF(PrvSty[[#This Row],[DesvTyp]]="Abs",PrvSty[[#This Row],[DsvAbs:EXT.]],PrvSty[[#This Row],[DsvAbs:EXT.]]*PrvSty[[#This Row],[Ppto]]))</f>
        <v>3181.5399999999995</v>
      </c>
      <c r="Q42" s="358" t="str" cm="1">
        <f t="array" aca="1" ref="Q42"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42" s="363" cm="1">
        <f t="array" aca="1" ref="R42"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42" s="363" cm="1">
        <f t="array" aca="1" ref="S42"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3181.5399999999995</v>
      </c>
      <c r="T42" s="367" cm="1">
        <f t="array" ref="T42">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42" s="367" cm="1">
        <f t="array" ref="U42">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42" s="358" t="s">
        <v>2013</v>
      </c>
    </row>
    <row r="43" spans="3:22">
      <c r="C43" s="383">
        <v>45594</v>
      </c>
      <c r="D43" s="357" t="s">
        <v>2114</v>
      </c>
      <c r="E43" s="384" t="str">
        <f t="shared" si="2"/>
        <v>31199</v>
      </c>
      <c r="F43" s="359" t="s">
        <v>1467</v>
      </c>
      <c r="G43" s="360" t="s">
        <v>372</v>
      </c>
      <c r="H43" s="358" cm="1">
        <f t="array" ref="H43">IFERROR(SUM(_xlfn._xlws.FILTER(IF(MeSel="Ppto",PptoSty[CurPpto],PptoSty[CurInt]+PptoSty[CurExt]),(PptoSty[Project]=TEXT(PrvSty[[#This Row],[Project]],"@"))*(PptoSty[PptoVsRow]=PrvSty[[#This Row],[Row]])*(PptoSty[PptoVsColumn]=PrvSty[[#This Row],[Column]]),0)),"X")</f>
        <v>4403.6059999999998</v>
      </c>
      <c r="I43" s="358" cm="1">
        <f t="array" ref="I43">IFERROR(SUM(_xlfn._xlws.FILTER(FrmBB1[Cur],(FrmBB1[PrjId]=TEXT($E43,"@"))*(FrmBB1[Cia]=$D43)*(FrmBB1[Row]=$F43)*(FrmBB1[Column]=_xlfn.LET(_xlpm.x,_xlfn.TEXTBEFORE($G43," ("),IFERROR(_xlpm.x,$G43))&amp;" SERRA"),0)),"X")</f>
        <v>0</v>
      </c>
      <c r="J43" s="358" cm="1">
        <f t="array" ref="J43">IFERROR(SUM(_xlfn._xlws.FILTER(FrmBB1[Cur],(FrmBB1[PrjId]=TEXT($E43,"@"))*(FrmBB1[Cia]=$D43)*(FrmBB1[Row]=$F43)*(FrmBB1[Column]=_xlfn.LET(_xlpm.x,_xlfn.TEXTBEFORE($G43," ("),IFERROR(_xlpm.x,$G43))&amp;" EXT."),0)),"X")</f>
        <v>0</v>
      </c>
      <c r="K43" s="358">
        <v>0</v>
      </c>
      <c r="L43" s="358">
        <v>-4403.6059999999998</v>
      </c>
      <c r="M43" s="361">
        <f>IF(SUM(H43,K43,L43)=0,IF(SUM(I43,J43)&gt;0,1,0),1-SUM(PrvSty[[#This Row],[Real:SERRA]:[Real:EXT.]])/SUM(PrvSty[[#This Row],[AcumInt]:[AcumExt]]))</f>
        <v>0</v>
      </c>
      <c r="N43" s="360" t="s">
        <v>1739</v>
      </c>
      <c r="O43" s="358">
        <f>IF(OR(PrvSty[[#This Row],[DsvAbs:SERRA]]="X",PrvSty[[#This Row],[DsvAbs:SERRA]]=""),0,IF(PrvSty[[#This Row],[DesvTyp]]="Abs",PrvSty[[#This Row],[DsvAbs:SERRA]],PrvSty[[#This Row],[DsvAbs:SERRA]]*PrvSty[[#This Row],[Ppto]]))</f>
        <v>0</v>
      </c>
      <c r="P43" s="358">
        <f>IF(OR(PrvSty[[#This Row],[DsvAbs:EXT.]]="X",PrvSty[[#This Row],[DsvAbs:EXT.]]=""),0,IF(PrvSty[[#This Row],[DesvTyp]]="Abs",PrvSty[[#This Row],[DsvAbs:EXT.]],PrvSty[[#This Row],[DsvAbs:EXT.]]*PrvSty[[#This Row],[Ppto]]))</f>
        <v>-4403.6059999999998</v>
      </c>
      <c r="Q43" s="358" t="str" cm="1">
        <f t="array" aca="1" ref="Q43"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43" s="363" cm="1">
        <f t="array" aca="1" ref="R43"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1616.4080000000001</v>
      </c>
      <c r="S43" s="363" cm="1">
        <f t="array" aca="1" ref="S43"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-1616.4079999999999</v>
      </c>
      <c r="T43" s="367" cm="1">
        <f t="array" ref="T43">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43" s="367" cm="1">
        <f t="array" ref="U43">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-94.851808770455619</v>
      </c>
      <c r="V43" s="358"/>
    </row>
    <row r="44" spans="3:22">
      <c r="C44" s="383">
        <v>45594</v>
      </c>
      <c r="D44" s="357" t="s">
        <v>2114</v>
      </c>
      <c r="E44" s="384" t="str">
        <f t="shared" si="2"/>
        <v>31199</v>
      </c>
      <c r="F44" s="359" t="s">
        <v>1467</v>
      </c>
      <c r="G44" s="360" t="s">
        <v>380</v>
      </c>
      <c r="H44" s="358" cm="1">
        <f t="array" ref="H44">IFERROR(SUM(_xlfn._xlws.FILTER(IF(MeSel="Ppto",PptoSty[CurPpto],PptoSty[CurInt]+PptoSty[CurExt]),(PptoSty[Project]=TEXT(PrvSty[[#This Row],[Project]],"@"))*(PptoSty[PptoVsRow]=PrvSty[[#This Row],[Row]])*(PptoSty[PptoVsColumn]=PrvSty[[#This Row],[Column]]),0)),"X")</f>
        <v>0</v>
      </c>
      <c r="I44" s="358" cm="1">
        <f t="array" ref="I44">IFERROR(SUM(_xlfn._xlws.FILTER(FrmBB1[Cur],(FrmBB1[PrjId]=TEXT($E44,"@"))*(FrmBB1[Cia]=$D44)*(FrmBB1[Row]=$F44)*(FrmBB1[Column]=_xlfn.LET(_xlpm.x,_xlfn.TEXTBEFORE($G44," ("),IFERROR(_xlpm.x,$G44))&amp;" SERRA"),0)),"X")</f>
        <v>0</v>
      </c>
      <c r="J44" s="358" cm="1">
        <f t="array" ref="J44">IFERROR(SUM(_xlfn._xlws.FILTER(FrmBB1[Cur],(FrmBB1[PrjId]=TEXT($E44,"@"))*(FrmBB1[Cia]=$D44)*(FrmBB1[Row]=$F44)*(FrmBB1[Column]=_xlfn.LET(_xlpm.x,_xlfn.TEXTBEFORE($G44," ("),IFERROR(_xlpm.x,$G44))&amp;" EXT."),0)),"X")</f>
        <v>1218</v>
      </c>
      <c r="K44" s="358">
        <v>0</v>
      </c>
      <c r="L44" s="358">
        <v>1218</v>
      </c>
      <c r="M44" s="361">
        <f ca="1">IF(SUM(H44,K44,L44)=0,IF(SUM(I44,J44)&gt;0,1,0),1-SUM(PrvSty[[#This Row],[Real:SERRA]:[Real:EXT.]])/SUM(PrvSty[[#This Row],[AcumInt]:[AcumExt]]))</f>
        <v>0</v>
      </c>
      <c r="N44" s="360" t="s">
        <v>1739</v>
      </c>
      <c r="O44" s="358">
        <f>IF(OR(PrvSty[[#This Row],[DsvAbs:SERRA]]="X",PrvSty[[#This Row],[DsvAbs:SERRA]]=""),0,IF(PrvSty[[#This Row],[DesvTyp]]="Abs",PrvSty[[#This Row],[DsvAbs:SERRA]],PrvSty[[#This Row],[DsvAbs:SERRA]]*PrvSty[[#This Row],[Ppto]]))</f>
        <v>0</v>
      </c>
      <c r="P44" s="358">
        <f>IF(OR(PrvSty[[#This Row],[DsvAbs:EXT.]]="X",PrvSty[[#This Row],[DsvAbs:EXT.]]=""),0,IF(PrvSty[[#This Row],[DesvTyp]]="Abs",PrvSty[[#This Row],[DsvAbs:EXT.]],PrvSty[[#This Row],[DsvAbs:EXT.]]*PrvSty[[#This Row],[Ppto]]))</f>
        <v>1218</v>
      </c>
      <c r="Q44" s="358" t="str" cm="1">
        <f t="array" aca="1" ref="Q44"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44" s="363" cm="1">
        <f t="array" aca="1" ref="R44"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44" s="363" cm="1">
        <f t="array" aca="1" ref="S44"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1218</v>
      </c>
      <c r="T44" s="367" cm="1">
        <f t="array" ref="T44">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44" s="367" cm="1">
        <f t="array" ref="U44">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41.459989422505934</v>
      </c>
      <c r="V44" s="358"/>
    </row>
    <row r="45" spans="3:22">
      <c r="C45" s="383">
        <v>45594</v>
      </c>
      <c r="D45" s="357" t="s">
        <v>2114</v>
      </c>
      <c r="E45" s="384" t="str">
        <f t="shared" si="2"/>
        <v>31199</v>
      </c>
      <c r="F45" s="359" t="s">
        <v>368</v>
      </c>
      <c r="G45" s="360" t="s">
        <v>1667</v>
      </c>
      <c r="H45" s="358" cm="1">
        <f t="array" aca="1" ref="H45" ca="1">IFERROR(SUM(_xlfn._xlws.FILTER(IF(MeSel="Ppto",PptoSty[CurPpto],PptoSty[CurInt]+PptoSty[CurExt]),(PptoSty[Project]=TEXT(PrvSty[[#This Row],[Project]],"@"))*(PptoSty[PptoVsRow]=PrvSty[[#This Row],[Row]])*(PptoSty[PptoVsColumn]=PrvSty[[#This Row],[Column]]),0)),"X")</f>
        <v>0</v>
      </c>
      <c r="I45" s="358" cm="1">
        <f t="array" ref="I45">IFERROR(SUM(_xlfn._xlws.FILTER(FrmBB1[Cur],(FrmBB1[PrjId]=TEXT($E45,"@"))*(FrmBB1[Cia]=$D45)*(FrmBB1[Row]=$F45)*(FrmBB1[Column]=_xlfn.LET(_xlpm.x,_xlfn.TEXTBEFORE($G45," ("),IFERROR(_xlpm.x,$G45))&amp;" SERRA"),0)),"X")</f>
        <v>0</v>
      </c>
      <c r="J45" s="358" cm="1">
        <f t="array" ref="J45">IFERROR(SUM(_xlfn._xlws.FILTER(FrmBB1[Cur],(FrmBB1[PrjId]=TEXT($E45,"@"))*(FrmBB1[Cia]=$D45)*(FrmBB1[Row]=$F45)*(FrmBB1[Column]=_xlfn.LET(_xlpm.x,_xlfn.TEXTBEFORE($G45," ("),IFERROR(_xlpm.x,$G45))&amp;" EXT."),0)),"X")</f>
        <v>0</v>
      </c>
      <c r="K45" s="358">
        <v>0</v>
      </c>
      <c r="L45" s="358">
        <v>-6208.0285999999996</v>
      </c>
      <c r="M45" s="361">
        <f ca="1">IF(SUM(H45,K45,L45)=0,IF(SUM(I45,J45)&gt;0,1,0),1-SUM(PrvSty[[#This Row],[Real:SERRA]:[Real:EXT.]])/SUM(PrvSty[[#This Row],[AcumInt]:[AcumExt]]))</f>
        <v>1</v>
      </c>
      <c r="N45" s="360" t="s">
        <v>1739</v>
      </c>
      <c r="O45" s="358">
        <f>IF(OR(PrvSty[[#This Row],[DsvAbs:SERRA]]="X",PrvSty[[#This Row],[DsvAbs:SERRA]]=""),0,IF(PrvSty[[#This Row],[DesvTyp]]="Abs",PrvSty[[#This Row],[DsvAbs:SERRA]],PrvSty[[#This Row],[DsvAbs:SERRA]]*PrvSty[[#This Row],[Ppto]]))</f>
        <v>0</v>
      </c>
      <c r="P45" s="358">
        <f>IF(OR(PrvSty[[#This Row],[DsvAbs:EXT.]]="X",PrvSty[[#This Row],[DsvAbs:EXT.]]=""),0,IF(PrvSty[[#This Row],[DesvTyp]]="Abs",PrvSty[[#This Row],[DsvAbs:EXT.]],PrvSty[[#This Row],[DsvAbs:EXT.]]*PrvSty[[#This Row],[Ppto]]))</f>
        <v>-6208.0285999999996</v>
      </c>
      <c r="Q45" s="358" t="str" cm="1">
        <f t="array" aca="1" ref="Q45"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45" s="363" cm="1">
        <f t="array" aca="1" ref="R45"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45" s="363" cm="1">
        <f t="array" aca="1" ref="S45"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-6208.0285999999996</v>
      </c>
      <c r="T45" s="367" cm="1">
        <f t="array" ref="T45">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45" s="367" cm="1">
        <f t="array" ref="U45">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-116.33341869355067</v>
      </c>
      <c r="V45" s="358"/>
    </row>
    <row r="46" spans="3:22">
      <c r="C46" s="383">
        <v>45594</v>
      </c>
      <c r="D46" s="357" t="s">
        <v>2114</v>
      </c>
      <c r="E46" s="384" t="str">
        <f t="shared" si="2"/>
        <v>31199</v>
      </c>
      <c r="F46" s="359" t="s">
        <v>1242</v>
      </c>
      <c r="G46" s="360" t="s">
        <v>386</v>
      </c>
      <c r="H46" s="358" cm="1">
        <f t="array" ref="H46">IFERROR(SUM(_xlfn._xlws.FILTER(IF(MeSel="Ppto",PptoSty[CurPpto],PptoSty[CurInt]+PptoSty[CurExt]),(PptoSty[Project]=TEXT(PrvSty[[#This Row],[Project]],"@"))*(PptoSty[PptoVsRow]=PrvSty[[#This Row],[Row]])*(PptoSty[PptoVsColumn]=PrvSty[[#This Row],[Column]]),0)),"X")</f>
        <v>0</v>
      </c>
      <c r="I46" s="358" cm="1">
        <f t="array" ref="I46">IFERROR(SUM(_xlfn._xlws.FILTER(FrmBB1[Cur],(FrmBB1[PrjId]=TEXT($E46,"@"))*(FrmBB1[Cia]=$D46)*(FrmBB1[Row]=$F46)*(FrmBB1[Column]=_xlfn.LET(_xlpm.x,_xlfn.TEXTBEFORE($G46," ("),IFERROR(_xlpm.x,$G46))&amp;" SERRA"),0)),"X")</f>
        <v>770.19999999999993</v>
      </c>
      <c r="J46" s="358" cm="1">
        <f t="array" ref="J46">IFERROR(SUM(_xlfn._xlws.FILTER(FrmBB1[Cur],(FrmBB1[PrjId]=TEXT($E46,"@"))*(FrmBB1[Cia]=$D46)*(FrmBB1[Row]=$F46)*(FrmBB1[Column]=_xlfn.LET(_xlpm.x,_xlfn.TEXTBEFORE($G46," ("),IFERROR(_xlpm.x,$G46))&amp;" EXT."),0)),"X")</f>
        <v>0</v>
      </c>
      <c r="K46" s="358">
        <v>0</v>
      </c>
      <c r="L46" s="358">
        <v>770.2</v>
      </c>
      <c r="M46" s="361">
        <f ca="1">IF(SUM(H46,K46,L46)=0,IF(SUM(I46,J46)&gt;0,1,0),1-SUM(PrvSty[[#This Row],[Real:SERRA]:[Real:EXT.]])/SUM(PrvSty[[#This Row],[AcumInt]:[AcumExt]]))</f>
        <v>1.1102230246251565E-16</v>
      </c>
      <c r="N46" s="360" t="s">
        <v>1739</v>
      </c>
      <c r="O46" s="358">
        <f>IF(OR(PrvSty[[#This Row],[DsvAbs:SERRA]]="X",PrvSty[[#This Row],[DsvAbs:SERRA]]=""),0,IF(PrvSty[[#This Row],[DesvTyp]]="Abs",PrvSty[[#This Row],[DsvAbs:SERRA]],PrvSty[[#This Row],[DsvAbs:SERRA]]*PrvSty[[#This Row],[Ppto]]))</f>
        <v>0</v>
      </c>
      <c r="P46" s="358">
        <f>IF(OR(PrvSty[[#This Row],[DsvAbs:EXT.]]="X",PrvSty[[#This Row],[DsvAbs:EXT.]]=""),0,IF(PrvSty[[#This Row],[DesvTyp]]="Abs",PrvSty[[#This Row],[DsvAbs:EXT.]],PrvSty[[#This Row],[DsvAbs:EXT.]]*PrvSty[[#This Row],[Ppto]]))</f>
        <v>770.2</v>
      </c>
      <c r="Q46" s="358" t="str" cm="1">
        <f t="array" aca="1" ref="Q46"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46" s="363" cm="1">
        <f t="array" aca="1" ref="R46"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46" s="363" cm="1">
        <f t="array" aca="1" ref="S46"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770.2</v>
      </c>
      <c r="T46" s="367" cm="1">
        <f t="array" ref="T46">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46" s="367" cm="1">
        <f t="array" ref="U46">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46" s="358"/>
    </row>
    <row r="47" spans="3:22">
      <c r="C47" s="383">
        <v>45595</v>
      </c>
      <c r="D47" s="357" t="s">
        <v>2114</v>
      </c>
      <c r="E47" s="384" t="str">
        <f t="shared" ref="E47:E129" ca="1" si="3">Prj0_Id</f>
        <v>31200</v>
      </c>
      <c r="F47" s="359" t="s">
        <v>368</v>
      </c>
      <c r="G47" s="360" t="s">
        <v>388</v>
      </c>
      <c r="H47" s="358" cm="1">
        <f t="array" aca="1" ref="H47" ca="1">IFERROR(SUM(_xlfn._xlws.FILTER(IF(MeSel="Ppto",PptoSty[CurPpto],PptoSty[CurInt]+PptoSty[CurExt]),(PptoSty[Project]=TEXT(PrvSty[[#This Row],[Project]],"@"))*(PptoSty[PptoVsRow]=PrvSty[[#This Row],[Row]])*(PptoSty[PptoVsColumn]=PrvSty[[#This Row],[Column]]),0)),"X")</f>
        <v>0</v>
      </c>
      <c r="I47" s="358" cm="1">
        <f t="array" aca="1" ref="I47" ca="1">IFERROR(SUM(_xlfn._xlws.FILTER(FrmBB1[Cur],(FrmBB1[PrjId]=TEXT($E47,"@"))*(FrmBB1[Cia]=$D47)*(FrmBB1[Row]=$F47)*(FrmBB1[Column]=_xlfn.LET(_xlpm.x,_xlfn.TEXTBEFORE($G47," ("),IFERROR(_xlpm.x,$G47))&amp;" SERRA"),0)),"X")</f>
        <v>0</v>
      </c>
      <c r="J47" s="358" cm="1">
        <f t="array" aca="1" ref="J47" ca="1">IFERROR(SUM(_xlfn._xlws.FILTER(FrmBB1[Cur],(FrmBB1[PrjId]=TEXT($E47,"@"))*(FrmBB1[Cia]=$D47)*(FrmBB1[Row]=$F47)*(FrmBB1[Column]=_xlfn.LET(_xlpm.x,_xlfn.TEXTBEFORE($G47," ("),IFERROR(_xlpm.x,$G47))&amp;" EXT."),0)),"X")</f>
        <v>0</v>
      </c>
      <c r="K47" s="358">
        <v>0</v>
      </c>
      <c r="L47" s="358">
        <f ca="1">SUM(PrvSty[[#This Row],[Real:SERRA]:[Real:EXT.]],-PrvSty[[#This Row],[Ppto]])</f>
        <v>0</v>
      </c>
      <c r="M47" s="361">
        <f ca="1">IF(SUM(H47,K47,L47)=0,IF(SUM(I47,J47)&gt;0,1,0),1-SUM(PrvSty[[#This Row],[Real:SERRA]:[Real:EXT.]])/SUM(PrvSty[[#This Row],[AcumInt]:[AcumExt]]))</f>
        <v>0</v>
      </c>
      <c r="N47" s="360" t="s">
        <v>1739</v>
      </c>
      <c r="O47" s="358">
        <f>IF(OR(PrvSty[[#This Row],[DsvAbs:SERRA]]="X",PrvSty[[#This Row],[DsvAbs:SERRA]]=""),0,IF(PrvSty[[#This Row],[DesvTyp]]="Abs",PrvSty[[#This Row],[DsvAbs:SERRA]],PrvSty[[#This Row],[DsvAbs:SERRA]]*PrvSty[[#This Row],[Ppto]]))</f>
        <v>0</v>
      </c>
      <c r="P47" s="358">
        <f ca="1">IF(OR(PrvSty[[#This Row],[DsvAbs:EXT.]]="X",PrvSty[[#This Row],[DsvAbs:EXT.]]=""),0,IF(PrvSty[[#This Row],[DesvTyp]]="Abs",PrvSty[[#This Row],[DsvAbs:EXT.]],PrvSty[[#This Row],[DsvAbs:EXT.]]*PrvSty[[#This Row],[Ppto]]))</f>
        <v>0</v>
      </c>
      <c r="Q47" s="358" t="str" cm="1">
        <f t="array" aca="1" ref="Q47"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47" s="363" cm="1">
        <f t="array" aca="1" ref="R47"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47" s="363" cm="1">
        <f t="array" aca="1" ref="S47"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47" s="367" t="str" cm="1">
        <f t="array" aca="1" ref="T47"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X</v>
      </c>
      <c r="U47" s="367" t="str" cm="1">
        <f t="array" aca="1" ref="U47"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X</v>
      </c>
      <c r="V47" s="358"/>
    </row>
    <row r="48" spans="3:22">
      <c r="C48" s="383">
        <v>45595</v>
      </c>
      <c r="D48" s="357" t="s">
        <v>2114</v>
      </c>
      <c r="E48" s="384" t="str">
        <f t="shared" ca="1" si="3"/>
        <v>31200</v>
      </c>
      <c r="F48" s="359" t="s">
        <v>368</v>
      </c>
      <c r="G48" s="360" t="s">
        <v>1667</v>
      </c>
      <c r="H48" s="358" cm="1">
        <f t="array" aca="1" ref="H48" ca="1">IFERROR(SUM(_xlfn._xlws.FILTER(IF(MeSel="Ppto",PptoSty[CurPpto],PptoSty[CurInt]+PptoSty[CurExt]),(PptoSty[Project]=TEXT(PrvSty[[#This Row],[Project]],"@"))*(PptoSty[PptoVsRow]=PrvSty[[#This Row],[Row]])*(PptoSty[PptoVsColumn]=PrvSty[[#This Row],[Column]]),0)),"X")</f>
        <v>385777.3386896819</v>
      </c>
      <c r="I48" s="358" cm="1">
        <f t="array" aca="1" ref="I48" ca="1">IFERROR(SUM(_xlfn._xlws.FILTER(FrmBB1[Cur],(FrmBB1[PrjId]=TEXT($E48,"@"))*(FrmBB1[Cia]=$D48)*(FrmBB1[Row]=$F48)*(FrmBB1[Column]=_xlfn.LET(_xlpm.x,_xlfn.TEXTBEFORE($G48," ("),IFERROR(_xlpm.x,$G48))&amp;" SERRA"),0)),"X")</f>
        <v>0</v>
      </c>
      <c r="J48" s="358" cm="1">
        <f t="array" aca="1" ref="J48" ca="1">IFERROR(SUM(_xlfn._xlws.FILTER(FrmBB1[Cur],(FrmBB1[PrjId]=TEXT($E48,"@"))*(FrmBB1[Cia]=$D48)*(FrmBB1[Row]=$F48)*(FrmBB1[Column]=_xlfn.LET(_xlpm.x,_xlfn.TEXTBEFORE($G48," ("),IFERROR(_xlpm.x,$G48))&amp;" EXT."),0)),"X")</f>
        <v>442406</v>
      </c>
      <c r="K48" s="358">
        <v>0</v>
      </c>
      <c r="L48" s="358">
        <f ca="1">-L47</f>
        <v>0</v>
      </c>
      <c r="M48" s="361">
        <f ca="1">IF(SUM(H48,K48,L48)=0,IF(SUM(I48,J48)&gt;0,1,0),1-SUM(PrvSty[[#This Row],[Real:SERRA]:[Real:EXT.]])/SUM(PrvSty[[#This Row],[AcumInt]:[AcumExt]]))</f>
        <v>-0.14679105180895546</v>
      </c>
      <c r="N48" s="360" t="s">
        <v>1739</v>
      </c>
      <c r="O48" s="358">
        <f>IF(OR(PrvSty[[#This Row],[DsvAbs:SERRA]]="X",PrvSty[[#This Row],[DsvAbs:SERRA]]=""),0,IF(PrvSty[[#This Row],[DesvTyp]]="Abs",PrvSty[[#This Row],[DsvAbs:SERRA]],PrvSty[[#This Row],[DsvAbs:SERRA]]*PrvSty[[#This Row],[Ppto]]))</f>
        <v>0</v>
      </c>
      <c r="P48" s="358">
        <f ca="1">IF(OR(PrvSty[[#This Row],[DsvAbs:EXT.]]="X",PrvSty[[#This Row],[DsvAbs:EXT.]]=""),0,IF(PrvSty[[#This Row],[DesvTyp]]="Abs",PrvSty[[#This Row],[DsvAbs:EXT.]],PrvSty[[#This Row],[DsvAbs:EXT.]]*PrvSty[[#This Row],[Ppto]]))</f>
        <v>0</v>
      </c>
      <c r="Q48" s="358" t="str" cm="1">
        <f t="array" aca="1" ref="Q48"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48" s="363" cm="1">
        <f t="array" aca="1" ref="R48"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19009.700878386426</v>
      </c>
      <c r="S48" s="363" cm="1">
        <f t="array" aca="1" ref="S48"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366767.63781129551</v>
      </c>
      <c r="T48" s="367" cm="1">
        <f t="array" aca="1" ref="T48"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48" s="367" cm="1">
        <f t="array" aca="1" ref="U48"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48" s="358" t="s">
        <v>2000</v>
      </c>
    </row>
    <row r="49" spans="3:22">
      <c r="C49" s="383">
        <v>45595</v>
      </c>
      <c r="D49" s="357" t="s">
        <v>2114</v>
      </c>
      <c r="E49" s="384" t="str">
        <f t="shared" ca="1" si="3"/>
        <v>31200</v>
      </c>
      <c r="F49" s="359" t="s">
        <v>1478</v>
      </c>
      <c r="G49" s="360" t="s">
        <v>1670</v>
      </c>
      <c r="H49" s="358" cm="1">
        <f t="array" aca="1" ref="H49" ca="1">IFERROR(SUM(_xlfn._xlws.FILTER(IF(MeSel="Ppto",PptoSty[CurPpto],PptoSty[CurInt]+PptoSty[CurExt]),(PptoSty[Project]=TEXT(PrvSty[[#This Row],[Project]],"@"))*(PptoSty[PptoVsRow]=PrvSty[[#This Row],[Row]])*(PptoSty[PptoVsColumn]=PrvSty[[#This Row],[Column]]),0)),"X")</f>
        <v>482632</v>
      </c>
      <c r="I49" s="358" cm="1">
        <f t="array" aca="1" ref="I49" ca="1">IFERROR(SUM(_xlfn._xlws.FILTER(FrmBB1[Cur],(FrmBB1[PrjId]=TEXT($E49,"@"))*(FrmBB1[Cia]=$D49)*(FrmBB1[Row]=$F49)*(FrmBB1[Column]=_xlfn.LET(_xlpm.x,_xlfn.TEXTBEFORE($G49," ("),IFERROR(_xlpm.x,$G49))&amp;" SERRA"),0)),"X")</f>
        <v>0</v>
      </c>
      <c r="J49" s="358" cm="1">
        <f t="array" aca="1" ref="J49" ca="1">IFERROR(SUM(_xlfn._xlws.FILTER(FrmBB1[Cur],(FrmBB1[PrjId]=TEXT($E49,"@"))*(FrmBB1[Cia]=$D49)*(FrmBB1[Row]=$F49)*(FrmBB1[Column]=_xlfn.LET(_xlpm.x,_xlfn.TEXTBEFORE($G49," ("),IFERROR(_xlpm.x,$G49))&amp;" EXT."),0)),"X")</f>
        <v>499104.92</v>
      </c>
      <c r="K49" s="358">
        <v>0</v>
      </c>
      <c r="L49" s="358">
        <v>0</v>
      </c>
      <c r="M49" s="361">
        <f ca="1">IF(SUM(H49,K49,L49)=0,IF(SUM(I49,J49)&gt;0,1,0),1-SUM(PrvSty[[#This Row],[Real:SERRA]:[Real:EXT.]])/SUM(PrvSty[[#This Row],[AcumInt]:[AcumExt]]))</f>
        <v>-3.4131429329178342E-2</v>
      </c>
      <c r="N49" s="360" t="s">
        <v>1739</v>
      </c>
      <c r="O49" s="358">
        <f>IF(OR(PrvSty[[#This Row],[DsvAbs:SERRA]]="X",PrvSty[[#This Row],[DsvAbs:SERRA]]=""),0,IF(PrvSty[[#This Row],[DesvTyp]]="Abs",PrvSty[[#This Row],[DsvAbs:SERRA]],PrvSty[[#This Row],[DsvAbs:SERRA]]*PrvSty[[#This Row],[Ppto]]))</f>
        <v>0</v>
      </c>
      <c r="P49" s="358">
        <f>IF(OR(PrvSty[[#This Row],[DsvAbs:EXT.]]="X",PrvSty[[#This Row],[DsvAbs:EXT.]]=""),0,IF(PrvSty[[#This Row],[DesvTyp]]="Abs",PrvSty[[#This Row],[DsvAbs:EXT.]],PrvSty[[#This Row],[DsvAbs:EXT.]]*PrvSty[[#This Row],[Ppto]]))</f>
        <v>0</v>
      </c>
      <c r="Q49" s="358" t="str" cm="1">
        <f t="array" aca="1" ref="Q49"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49" s="363" cm="1">
        <f t="array" aca="1" ref="R49"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49" s="363" cm="1">
        <f t="array" aca="1" ref="S49"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482632</v>
      </c>
      <c r="T49" s="367" cm="1">
        <f t="array" aca="1" ref="T49"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49" s="367" cm="1">
        <f t="array" aca="1" ref="U49"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49" s="358" t="s">
        <v>1987</v>
      </c>
    </row>
    <row r="50" spans="3:22">
      <c r="C50" s="383">
        <v>45595</v>
      </c>
      <c r="D50" s="357" t="s">
        <v>2114</v>
      </c>
      <c r="E50" s="384" t="str">
        <f t="shared" ca="1" si="3"/>
        <v>31200</v>
      </c>
      <c r="F50" s="359" t="s">
        <v>291</v>
      </c>
      <c r="G50" s="360" t="s">
        <v>1670</v>
      </c>
      <c r="H50" s="358" cm="1">
        <f t="array" aca="1" ref="H50" ca="1">IFERROR(SUM(_xlfn._xlws.FILTER(IF(MeSel="Ppto",PptoSty[CurPpto],PptoSty[CurInt]+PptoSty[CurExt]),(PptoSty[Project]=TEXT(PrvSty[[#This Row],[Project]],"@"))*(PptoSty[PptoVsRow]=PrvSty[[#This Row],[Row]])*(PptoSty[PptoVsColumn]=PrvSty[[#This Row],[Column]]),0)),"X")</f>
        <v>601239.14559999993</v>
      </c>
      <c r="I50" s="358" cm="1">
        <f t="array" aca="1" ref="I50" ca="1">IFERROR(SUM(_xlfn._xlws.FILTER(FrmBB1[Cur],(FrmBB1[PrjId]=TEXT($E50,"@"))*(FrmBB1[Cia]=$D50)*(FrmBB1[Row]=$F50)*(FrmBB1[Column]=_xlfn.LET(_xlpm.x,_xlfn.TEXTBEFORE($G50," ("),IFERROR(_xlpm.x,$G50))&amp;" SERRA"),0)),"X")</f>
        <v>0</v>
      </c>
      <c r="J50" s="358" cm="1">
        <f t="array" aca="1" ref="J50" ca="1">IFERROR(SUM(_xlfn._xlws.FILTER(FrmBB1[Cur],(FrmBB1[PrjId]=TEXT($E50,"@"))*(FrmBB1[Cia]=$D50)*(FrmBB1[Row]=$F50)*(FrmBB1[Column]=_xlfn.LET(_xlpm.x,_xlfn.TEXTBEFORE($G50," ("),IFERROR(_xlpm.x,$G50))&amp;" EXT."),0)),"X")</f>
        <v>420612.8</v>
      </c>
      <c r="K50" s="358">
        <v>0</v>
      </c>
      <c r="L50" s="358">
        <v>0</v>
      </c>
      <c r="M50" s="361">
        <f ca="1">IF(SUM(H50,K50,L50)=0,IF(SUM(I50,J50)&gt;0,1,0),1-SUM(PrvSty[[#This Row],[Real:SERRA]:[Real:EXT.]])/SUM(PrvSty[[#This Row],[AcumInt]:[AcumExt]]))</f>
        <v>0.30042346198158121</v>
      </c>
      <c r="N50" s="360" t="s">
        <v>1739</v>
      </c>
      <c r="O50" s="358">
        <f>IF(OR(PrvSty[[#This Row],[DsvAbs:SERRA]]="X",PrvSty[[#This Row],[DsvAbs:SERRA]]=""),0,IF(PrvSty[[#This Row],[DesvTyp]]="Abs",PrvSty[[#This Row],[DsvAbs:SERRA]],PrvSty[[#This Row],[DsvAbs:SERRA]]*PrvSty[[#This Row],[Ppto]]))</f>
        <v>0</v>
      </c>
      <c r="P50" s="358">
        <f>IF(OR(PrvSty[[#This Row],[DsvAbs:EXT.]]="X",PrvSty[[#This Row],[DsvAbs:EXT.]]=""),0,IF(PrvSty[[#This Row],[DesvTyp]]="Abs",PrvSty[[#This Row],[DsvAbs:EXT.]],PrvSty[[#This Row],[DsvAbs:EXT.]]*PrvSty[[#This Row],[Ppto]]))</f>
        <v>0</v>
      </c>
      <c r="Q50" s="358" t="str" cm="1">
        <f t="array" aca="1" ref="Q50"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50" s="363" cm="1">
        <f t="array" aca="1" ref="R50"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50" s="363" cm="1">
        <f t="array" aca="1" ref="S50"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601239.14559999993</v>
      </c>
      <c r="T50" s="367" cm="1">
        <f t="array" aca="1" ref="T50"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50" s="367" cm="1">
        <f t="array" aca="1" ref="U50"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50" s="358" t="s">
        <v>1988</v>
      </c>
    </row>
    <row r="51" spans="3:22">
      <c r="C51" s="383">
        <v>45595</v>
      </c>
      <c r="D51" s="357" t="s">
        <v>2114</v>
      </c>
      <c r="E51" s="384" t="str">
        <f t="shared" ca="1" si="3"/>
        <v>31200</v>
      </c>
      <c r="F51" s="359" t="s">
        <v>1467</v>
      </c>
      <c r="G51" s="360" t="s">
        <v>380</v>
      </c>
      <c r="H51" s="358" cm="1">
        <f t="array" aca="1" ref="H51" ca="1">IFERROR(SUM(_xlfn._xlws.FILTER(IF(MeSel="Ppto",PptoSty[CurPpto],PptoSty[CurInt]+PptoSty[CurExt]),(PptoSty[Project]=TEXT(PrvSty[[#This Row],[Project]],"@"))*(PptoSty[PptoVsRow]=PrvSty[[#This Row],[Row]])*(PptoSty[PptoVsColumn]=PrvSty[[#This Row],[Column]]),0)),"X")</f>
        <v>53523.433575000003</v>
      </c>
      <c r="I51" s="358" cm="1">
        <f t="array" aca="1" ref="I51" ca="1">IFERROR(SUM(_xlfn._xlws.FILTER(FrmBB1[Cur],(FrmBB1[PrjId]=TEXT($E51,"@"))*(FrmBB1[Cia]=$D51)*(FrmBB1[Row]=$F51)*(FrmBB1[Column]=_xlfn.LET(_xlpm.x,_xlfn.TEXTBEFORE($G51," ("),IFERROR(_xlpm.x,$G51))&amp;" SERRA"),0)),"X")</f>
        <v>0</v>
      </c>
      <c r="J51" s="358" cm="1">
        <f t="array" aca="1" ref="J51" ca="1">IFERROR(SUM(_xlfn._xlws.FILTER(FrmBB1[Cur],(FrmBB1[PrjId]=TEXT($E51,"@"))*(FrmBB1[Cia]=$D51)*(FrmBB1[Row]=$F51)*(FrmBB1[Column]=_xlfn.LET(_xlpm.x,_xlfn.TEXTBEFORE($G51," ("),IFERROR(_xlpm.x,$G51))&amp;" EXT."),0)),"X")</f>
        <v>0</v>
      </c>
      <c r="K51" s="358">
        <v>0</v>
      </c>
      <c r="L51" s="358">
        <v>0</v>
      </c>
      <c r="M51" s="361">
        <f ca="1">IF(SUM(H51,K51,L51)=0,IF(SUM(I51,J51)&gt;0,1,0),1-SUM(PrvSty[[#This Row],[Real:SERRA]:[Real:EXT.]])/SUM(PrvSty[[#This Row],[AcumInt]:[AcumExt]]))</f>
        <v>1</v>
      </c>
      <c r="N51" s="360" t="s">
        <v>1739</v>
      </c>
      <c r="O51" s="358">
        <f>IF(OR(PrvSty[[#This Row],[DsvAbs:SERRA]]="X",PrvSty[[#This Row],[DsvAbs:SERRA]]=""),0,IF(PrvSty[[#This Row],[DesvTyp]]="Abs",PrvSty[[#This Row],[DsvAbs:SERRA]],PrvSty[[#This Row],[DsvAbs:SERRA]]*PrvSty[[#This Row],[Ppto]]))</f>
        <v>0</v>
      </c>
      <c r="P51" s="358">
        <f>IF(OR(PrvSty[[#This Row],[DsvAbs:EXT.]]="X",PrvSty[[#This Row],[DsvAbs:EXT.]]=""),0,IF(PrvSty[[#This Row],[DesvTyp]]="Abs",PrvSty[[#This Row],[DsvAbs:EXT.]],PrvSty[[#This Row],[DsvAbs:EXT.]]*PrvSty[[#This Row],[Ppto]]))</f>
        <v>0</v>
      </c>
      <c r="Q51" s="358" t="str" cm="1">
        <f t="array" aca="1" ref="Q51"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51" s="363" cm="1">
        <f t="array" aca="1" ref="R51"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16628.393294999998</v>
      </c>
      <c r="S51" s="363" cm="1">
        <f t="array" aca="1" ref="S51"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36895.040280000001</v>
      </c>
      <c r="T51" s="367" cm="1">
        <f t="array" aca="1" ref="T51"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51" s="367" cm="1">
        <f t="array" aca="1" ref="U51"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51" s="358" t="s">
        <v>1989</v>
      </c>
    </row>
    <row r="52" spans="3:22">
      <c r="C52" s="383">
        <v>45596</v>
      </c>
      <c r="D52" s="357" t="s">
        <v>2114</v>
      </c>
      <c r="E52" s="384" t="str">
        <f t="shared" ca="1" si="3"/>
        <v>31200</v>
      </c>
      <c r="F52" s="359" t="s">
        <v>1468</v>
      </c>
      <c r="G52" s="360" t="s">
        <v>1274</v>
      </c>
      <c r="H52" s="358" cm="1">
        <f t="array" aca="1" ref="H52" ca="1">IFERROR(SUM(_xlfn._xlws.FILTER(IF(MeSel="Ppto",PptoSty[CurPpto],PptoSty[CurInt]+PptoSty[CurExt]),(PptoSty[Project]=TEXT(PrvSty[[#This Row],[Project]],"@"))*(PptoSty[PptoVsRow]=PrvSty[[#This Row],[Row]])*(PptoSty[PptoVsColumn]=PrvSty[[#This Row],[Column]]),0)),"X")</f>
        <v>453767.488132775</v>
      </c>
      <c r="I52" s="358" cm="1">
        <f t="array" aca="1" ref="I52" ca="1">IFERROR(SUM(_xlfn._xlws.FILTER(FrmBB1[Cur],(FrmBB1[PrjId]=TEXT($E52,"@"))*(FrmBB1[Cia]=$D52)*(FrmBB1[Row]=$F52)*(FrmBB1[Column]=_xlfn.LET(_xlpm.x,_xlfn.TEXTBEFORE($G52," ("),IFERROR(_xlpm.x,$G52))&amp;" SERRA"),0)),"X")</f>
        <v>209051.59</v>
      </c>
      <c r="J52" s="358" cm="1">
        <f t="array" aca="1" ref="J52" ca="1">IFERROR(SUM(_xlfn._xlws.FILTER(FrmBB1[Cur],(FrmBB1[PrjId]=TEXT($E52,"@"))*(FrmBB1[Cia]=$D52)*(FrmBB1[Row]=$F52)*(FrmBB1[Column]=_xlfn.LET(_xlpm.x,_xlfn.TEXTBEFORE($G52," ("),IFERROR(_xlpm.x,$G52))&amp;" EXT."),0)),"X")</f>
        <v>29023.5</v>
      </c>
      <c r="K52" s="358">
        <v>-200000</v>
      </c>
      <c r="L52" s="358">
        <v>0</v>
      </c>
      <c r="M52" s="361">
        <f ca="1">IF(SUM(H52,K52,L52)=0,IF(SUM(I52,J52)&gt;0,1,0),1-SUM(PrvSty[[#This Row],[Real:SERRA]:[Real:EXT.]])/SUM(PrvSty[[#This Row],[AcumInt]:[AcumExt]]))</f>
        <v>6.1837701307759896E-2</v>
      </c>
      <c r="N52" s="360" t="s">
        <v>1739</v>
      </c>
      <c r="O52" s="358">
        <f>IF(OR(PrvSty[[#This Row],[DsvAbs:SERRA]]="X",PrvSty[[#This Row],[DsvAbs:SERRA]]=""),0,IF(PrvSty[[#This Row],[DesvTyp]]="Abs",PrvSty[[#This Row],[DsvAbs:SERRA]],PrvSty[[#This Row],[DsvAbs:SERRA]]*PrvSty[[#This Row],[Ppto]]))</f>
        <v>-200000</v>
      </c>
      <c r="P52" s="358">
        <f>IF(OR(PrvSty[[#This Row],[DsvAbs:EXT.]]="X",PrvSty[[#This Row],[DsvAbs:EXT.]]=""),0,IF(PrvSty[[#This Row],[DesvTyp]]="Abs",PrvSty[[#This Row],[DsvAbs:EXT.]],PrvSty[[#This Row],[DsvAbs:EXT.]]*PrvSty[[#This Row],[Ppto]]))</f>
        <v>0</v>
      </c>
      <c r="Q52" s="358" t="str" cm="1">
        <f t="array" aca="1" ref="Q52"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52" s="363" cm="1">
        <f t="array" aca="1" ref="R52"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187976.86833482503</v>
      </c>
      <c r="S52" s="363" cm="1">
        <f t="array" aca="1" ref="S52"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65790.619797949999</v>
      </c>
      <c r="T52" s="367" cm="1">
        <f t="array" aca="1" ref="T52"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-5340.9183533749938</v>
      </c>
      <c r="U52" s="367" cm="1">
        <f t="array" aca="1" ref="U52"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52" s="358" t="s">
        <v>2009</v>
      </c>
    </row>
    <row r="53" spans="3:22">
      <c r="C53" s="383">
        <v>45596</v>
      </c>
      <c r="D53" s="357" t="s">
        <v>2114</v>
      </c>
      <c r="E53" s="384" t="str">
        <f t="shared" ca="1" si="3"/>
        <v>31200</v>
      </c>
      <c r="F53" s="359" t="s">
        <v>1286</v>
      </c>
      <c r="G53" s="360" t="s">
        <v>1274</v>
      </c>
      <c r="H53" s="358" cm="1">
        <f t="array" aca="1" ref="H53" ca="1">IFERROR(SUM(_xlfn._xlws.FILTER(IF(MeSel="Ppto",PptoSty[CurPpto],PptoSty[CurInt]+PptoSty[CurExt]),(PptoSty[Project]=TEXT(PrvSty[[#This Row],[Project]],"@"))*(PptoSty[PptoVsRow]=PrvSty[[#This Row],[Row]])*(PptoSty[PptoVsColumn]=PrvSty[[#This Row],[Column]]),0)),"X")</f>
        <v>79920.425579793751</v>
      </c>
      <c r="I53" s="358" cm="1">
        <f t="array" aca="1" ref="I53" ca="1">IFERROR(SUM(_xlfn._xlws.FILTER(FrmBB1[Cur],(FrmBB1[PrjId]=TEXT($E53,"@"))*(FrmBB1[Cia]=$D53)*(FrmBB1[Row]=$F53)*(FrmBB1[Column]=_xlfn.LET(_xlpm.x,_xlfn.TEXTBEFORE($G53," ("),IFERROR(_xlpm.x,$G53))&amp;" SERRA"),0)),"X")</f>
        <v>18005.599999999999</v>
      </c>
      <c r="J53" s="358" cm="1">
        <f t="array" aca="1" ref="J53" ca="1">IFERROR(SUM(_xlfn._xlws.FILTER(FrmBB1[Cur],(FrmBB1[PrjId]=TEXT($E53,"@"))*(FrmBB1[Cia]=$D53)*(FrmBB1[Row]=$F53)*(FrmBB1[Column]=_xlfn.LET(_xlpm.x,_xlfn.TEXTBEFORE($G53," ("),IFERROR(_xlpm.x,$G53))&amp;" EXT."),0)),"X")</f>
        <v>3694.55</v>
      </c>
      <c r="K53" s="358">
        <v>-30000</v>
      </c>
      <c r="L53" s="358">
        <v>0</v>
      </c>
      <c r="M53" s="361">
        <f ca="1">IF(SUM(H53,K53,L53)=0,IF(SUM(I53,J53)&gt;0,1,0),1-SUM(PrvSty[[#This Row],[Real:SERRA]:[Real:EXT.]])/SUM(PrvSty[[#This Row],[AcumInt]:[AcumExt]]))</f>
        <v>0.5653051882477631</v>
      </c>
      <c r="N53" s="360" t="s">
        <v>1739</v>
      </c>
      <c r="O53" s="358">
        <f>IF(OR(PrvSty[[#This Row],[DsvAbs:SERRA]]="X",PrvSty[[#This Row],[DsvAbs:SERRA]]=""),0,IF(PrvSty[[#This Row],[DesvTyp]]="Abs",PrvSty[[#This Row],[DsvAbs:SERRA]],PrvSty[[#This Row],[DsvAbs:SERRA]]*PrvSty[[#This Row],[Ppto]]))</f>
        <v>-30000</v>
      </c>
      <c r="P53" s="358">
        <f>IF(OR(PrvSty[[#This Row],[DsvAbs:EXT.]]="X",PrvSty[[#This Row],[DsvAbs:EXT.]]=""),0,IF(PrvSty[[#This Row],[DesvTyp]]="Abs",PrvSty[[#This Row],[DsvAbs:EXT.]],PrvSty[[#This Row],[DsvAbs:EXT.]]*PrvSty[[#This Row],[Ppto]]))</f>
        <v>0</v>
      </c>
      <c r="Q53" s="358" t="str" cm="1">
        <f t="array" aca="1" ref="Q53"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53" s="363" cm="1">
        <f t="array" aca="1" ref="R53"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38332.961799506258</v>
      </c>
      <c r="S53" s="363" cm="1">
        <f t="array" aca="1" ref="S53"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11587.4637802875</v>
      </c>
      <c r="T53" s="367" cm="1">
        <f t="array" aca="1" ref="T53"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-801.13775300624911</v>
      </c>
      <c r="U53" s="367" cm="1">
        <f t="array" aca="1" ref="U53"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53" s="358" t="s">
        <v>2009</v>
      </c>
    </row>
    <row r="54" spans="3:22">
      <c r="C54" s="383">
        <v>45596</v>
      </c>
      <c r="D54" s="357" t="s">
        <v>2114</v>
      </c>
      <c r="E54" s="384" t="str">
        <f t="shared" ca="1" si="3"/>
        <v>31200</v>
      </c>
      <c r="F54" s="359" t="s">
        <v>1473</v>
      </c>
      <c r="G54" s="360" t="s">
        <v>380</v>
      </c>
      <c r="H54" s="358" cm="1">
        <f t="array" aca="1" ref="H54" ca="1">IFERROR(SUM(_xlfn._xlws.FILTER(IF(MeSel="Ppto",PptoSty[CurPpto],PptoSty[CurInt]+PptoSty[CurExt]),(PptoSty[Project]=TEXT(PrvSty[[#This Row],[Project]],"@"))*(PptoSty[PptoVsRow]=PrvSty[[#This Row],[Row]])*(PptoSty[PptoVsColumn]=PrvSty[[#This Row],[Column]]),0)),"X")</f>
        <v>0</v>
      </c>
      <c r="I54" s="358" cm="1">
        <f t="array" aca="1" ref="I54" ca="1">IFERROR(SUM(_xlfn._xlws.FILTER(FrmBB1[Cur],(FrmBB1[PrjId]=TEXT($E54,"@"))*(FrmBB1[Cia]=$D54)*(FrmBB1[Row]=$F54)*(FrmBB1[Column]=_xlfn.LET(_xlpm.x,_xlfn.TEXTBEFORE($G54," ("),IFERROR(_xlpm.x,$G54))&amp;" SERRA"),0)),"X")</f>
        <v>7207.43</v>
      </c>
      <c r="J54" s="358" cm="1">
        <f t="array" aca="1" ref="J54" ca="1">IFERROR(SUM(_xlfn._xlws.FILTER(FrmBB1[Cur],(FrmBB1[PrjId]=TEXT($E54,"@"))*(FrmBB1[Cia]=$D54)*(FrmBB1[Row]=$F54)*(FrmBB1[Column]=_xlfn.LET(_xlpm.x,_xlfn.TEXTBEFORE($G54," ("),IFERROR(_xlpm.x,$G54))&amp;" EXT."),0)),"X")</f>
        <v>0</v>
      </c>
      <c r="K54" s="358">
        <v>1761.26</v>
      </c>
      <c r="L54" s="358">
        <v>0</v>
      </c>
      <c r="M54" s="361">
        <f ca="1">IF(SUM(H54,K54,L54)=0,IF(SUM(I54,J54)&gt;0,1,0),1-SUM(PrvSty[[#This Row],[Real:SERRA]:[Real:EXT.]])/SUM(PrvSty[[#This Row],[AcumInt]:[AcumExt]]))</f>
        <v>-3.0922010378933269</v>
      </c>
      <c r="N54" s="360" t="s">
        <v>1739</v>
      </c>
      <c r="O54" s="358">
        <f>IF(OR(PrvSty[[#This Row],[DsvAbs:SERRA]]="X",PrvSty[[#This Row],[DsvAbs:SERRA]]=""),0,IF(PrvSty[[#This Row],[DesvTyp]]="Abs",PrvSty[[#This Row],[DsvAbs:SERRA]],PrvSty[[#This Row],[DsvAbs:SERRA]]*PrvSty[[#This Row],[Ppto]]))</f>
        <v>1761.26</v>
      </c>
      <c r="P54" s="358">
        <f>IF(OR(PrvSty[[#This Row],[DsvAbs:EXT.]]="X",PrvSty[[#This Row],[DsvAbs:EXT.]]=""),0,IF(PrvSty[[#This Row],[DesvTyp]]="Abs",PrvSty[[#This Row],[DsvAbs:EXT.]],PrvSty[[#This Row],[DsvAbs:EXT.]]*PrvSty[[#This Row],[Ppto]]))</f>
        <v>0</v>
      </c>
      <c r="Q54" s="358" t="str" cm="1">
        <f t="array" aca="1" ref="Q54"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54" s="363" cm="1">
        <f t="array" aca="1" ref="R54"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1761.26</v>
      </c>
      <c r="S54" s="363" cm="1">
        <f t="array" aca="1" ref="S54"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54" s="367" cm="1">
        <f t="array" aca="1" ref="T54"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58.166129461560054</v>
      </c>
      <c r="U54" s="367" cm="1">
        <f t="array" aca="1" ref="U54"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54" s="358"/>
    </row>
    <row r="55" spans="3:22">
      <c r="C55" s="383">
        <v>45596</v>
      </c>
      <c r="D55" s="357" t="s">
        <v>2114</v>
      </c>
      <c r="E55" s="384" t="str">
        <f t="shared" ca="1" si="3"/>
        <v>31200</v>
      </c>
      <c r="F55" s="359" t="s">
        <v>1473</v>
      </c>
      <c r="G55" s="360" t="s">
        <v>373</v>
      </c>
      <c r="H55" s="358" cm="1">
        <f t="array" aca="1" ref="H55" ca="1">IFERROR(SUM(_xlfn._xlws.FILTER(IF(MeSel="Ppto",PptoSty[CurPpto],PptoSty[CurInt]+PptoSty[CurExt]),(PptoSty[Project]=TEXT(PrvSty[[#This Row],[Project]],"@"))*(PptoSty[PptoVsRow]=PrvSty[[#This Row],[Row]])*(PptoSty[PptoVsColumn]=PrvSty[[#This Row],[Column]]),0)),"X")</f>
        <v>0</v>
      </c>
      <c r="I55" s="358" cm="1">
        <f t="array" aca="1" ref="I55" ca="1">IFERROR(SUM(_xlfn._xlws.FILTER(FrmBB1[Cur],(FrmBB1[PrjId]=TEXT($E55,"@"))*(FrmBB1[Cia]=$D55)*(FrmBB1[Row]=$F55)*(FrmBB1[Column]=_xlfn.LET(_xlpm.x,_xlfn.TEXTBEFORE($G55," ("),IFERROR(_xlpm.x,$G55))&amp;" SERRA"),0)),"X")</f>
        <v>16514.439999999999</v>
      </c>
      <c r="J55" s="358" cm="1">
        <f t="array" aca="1" ref="J55" ca="1">IFERROR(SUM(_xlfn._xlws.FILTER(FrmBB1[Cur],(FrmBB1[PrjId]=TEXT($E55,"@"))*(FrmBB1[Cia]=$D55)*(FrmBB1[Row]=$F55)*(FrmBB1[Column]=_xlfn.LET(_xlpm.x,_xlfn.TEXTBEFORE($G55," ("),IFERROR(_xlpm.x,$G55))&amp;" EXT."),0)),"X")</f>
        <v>0</v>
      </c>
      <c r="K55" s="358">
        <v>8994.81</v>
      </c>
      <c r="L55" s="358">
        <v>0</v>
      </c>
      <c r="M55" s="361">
        <f ca="1">IF(SUM(H55,K55,L55)=0,IF(SUM(I55,J55)&gt;0,1,0),1-SUM(PrvSty[[#This Row],[Real:SERRA]:[Real:EXT.]])/SUM(PrvSty[[#This Row],[AcumInt]:[AcumExt]]))</f>
        <v>-0.8359965357800776</v>
      </c>
      <c r="N55" s="360" t="s">
        <v>1739</v>
      </c>
      <c r="O55" s="358">
        <f>IF(OR(PrvSty[[#This Row],[DsvAbs:SERRA]]="X",PrvSty[[#This Row],[DsvAbs:SERRA]]=""),0,IF(PrvSty[[#This Row],[DesvTyp]]="Abs",PrvSty[[#This Row],[DsvAbs:SERRA]],PrvSty[[#This Row],[DsvAbs:SERRA]]*PrvSty[[#This Row],[Ppto]]))</f>
        <v>8994.81</v>
      </c>
      <c r="P55" s="358">
        <f>IF(OR(PrvSty[[#This Row],[DsvAbs:EXT.]]="X",PrvSty[[#This Row],[DsvAbs:EXT.]]=""),0,IF(PrvSty[[#This Row],[DesvTyp]]="Abs",PrvSty[[#This Row],[DsvAbs:EXT.]],PrvSty[[#This Row],[DsvAbs:EXT.]]*PrvSty[[#This Row],[Ppto]]))</f>
        <v>0</v>
      </c>
      <c r="Q55" s="358" t="str" cm="1">
        <f t="array" aca="1" ref="Q55"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55" s="363" cm="1">
        <f t="array" aca="1" ref="R55"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8994.81</v>
      </c>
      <c r="S55" s="363" cm="1">
        <f t="array" aca="1" ref="S55"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55" s="367" cm="1">
        <f t="array" aca="1" ref="T55"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193.81626595550929</v>
      </c>
      <c r="U55" s="367" cm="1">
        <f t="array" aca="1" ref="U55"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55" s="358"/>
    </row>
    <row r="56" spans="3:22">
      <c r="C56" s="383">
        <v>45596</v>
      </c>
      <c r="D56" s="357" t="s">
        <v>2114</v>
      </c>
      <c r="E56" s="384" t="str">
        <f t="shared" ca="1" si="3"/>
        <v>31200</v>
      </c>
      <c r="F56" s="359" t="s">
        <v>1473</v>
      </c>
      <c r="G56" s="360" t="s">
        <v>1667</v>
      </c>
      <c r="H56" s="358" cm="1">
        <f t="array" aca="1" ref="H56" ca="1">IFERROR(SUM(_xlfn._xlws.FILTER(IF(MeSel="Ppto",PptoSty[CurPpto],PptoSty[CurInt]+PptoSty[CurExt]),(PptoSty[Project]=TEXT(PrvSty[[#This Row],[Project]],"@"))*(PptoSty[PptoVsRow]=PrvSty[[#This Row],[Row]])*(PptoSty[PptoVsColumn]=PrvSty[[#This Row],[Column]]),0)),"X")</f>
        <v>858533.92855330685</v>
      </c>
      <c r="I56" s="358" cm="1">
        <f t="array" aca="1" ref="I56" ca="1">IFERROR(SUM(_xlfn._xlws.FILTER(FrmBB1[Cur],(FrmBB1[PrjId]=TEXT($E56,"@"))*(FrmBB1[Cia]=$D56)*(FrmBB1[Row]=$F56)*(FrmBB1[Column]=_xlfn.LET(_xlpm.x,_xlfn.TEXTBEFORE($G56," ("),IFERROR(_xlpm.x,$G56))&amp;" SERRA"),0)),"X")</f>
        <v>0</v>
      </c>
      <c r="J56" s="358" cm="1">
        <f t="array" aca="1" ref="J56" ca="1">IFERROR(SUM(_xlfn._xlws.FILTER(FrmBB1[Cur],(FrmBB1[PrjId]=TEXT($E56,"@"))*(FrmBB1[Cia]=$D56)*(FrmBB1[Row]=$F56)*(FrmBB1[Column]=_xlfn.LET(_xlpm.x,_xlfn.TEXTBEFORE($G56," ("),IFERROR(_xlpm.x,$G56))&amp;" EXT."),0)),"X")</f>
        <v>530457.75</v>
      </c>
      <c r="K56" s="358">
        <v>-10756.07</v>
      </c>
      <c r="L56" s="358">
        <v>0</v>
      </c>
      <c r="M56" s="361">
        <f ca="1">IF(SUM(H56,K56,L56)=0,IF(SUM(I56,J56)&gt;0,1,0),1-SUM(PrvSty[[#This Row],[Real:SERRA]:[Real:EXT.]])/SUM(PrvSty[[#This Row],[AcumInt]:[AcumExt]]))</f>
        <v>0.37429629159553512</v>
      </c>
      <c r="N56" s="360" t="s">
        <v>1739</v>
      </c>
      <c r="O56" s="358">
        <f>IF(OR(PrvSty[[#This Row],[DsvAbs:SERRA]]="X",PrvSty[[#This Row],[DsvAbs:SERRA]]=""),0,IF(PrvSty[[#This Row],[DesvTyp]]="Abs",PrvSty[[#This Row],[DsvAbs:SERRA]],PrvSty[[#This Row],[DsvAbs:SERRA]]*PrvSty[[#This Row],[Ppto]]))</f>
        <v>-10756.07</v>
      </c>
      <c r="P56" s="358">
        <f>IF(OR(PrvSty[[#This Row],[DsvAbs:EXT.]]="X",PrvSty[[#This Row],[DsvAbs:EXT.]]=""),0,IF(PrvSty[[#This Row],[DesvTyp]]="Abs",PrvSty[[#This Row],[DsvAbs:EXT.]],PrvSty[[#This Row],[DsvAbs:EXT.]]*PrvSty[[#This Row],[Ppto]]))</f>
        <v>0</v>
      </c>
      <c r="Q56" s="358" t="str" cm="1">
        <f t="array" aca="1" ref="Q56"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56" s="363" cm="1">
        <f t="array" aca="1" ref="R56"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122621.96425583257</v>
      </c>
      <c r="S56" s="363" cm="1">
        <f t="array" aca="1" ref="S56"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725155.8942974743</v>
      </c>
      <c r="T56" s="367" cm="1">
        <f t="array" aca="1" ref="T56"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-165.50769448628958</v>
      </c>
      <c r="U56" s="367" cm="1">
        <f t="array" aca="1" ref="U56"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56" s="358" t="s">
        <v>2011</v>
      </c>
    </row>
    <row r="57" spans="3:22">
      <c r="C57" s="383">
        <v>45596</v>
      </c>
      <c r="D57" s="357" t="s">
        <v>2114</v>
      </c>
      <c r="E57" s="384" t="str">
        <f t="shared" ca="1" si="3"/>
        <v>31200</v>
      </c>
      <c r="F57" s="359" t="s">
        <v>360</v>
      </c>
      <c r="G57" s="360" t="s">
        <v>360</v>
      </c>
      <c r="H57" s="358" cm="1">
        <f t="array" aca="1" ref="H57" ca="1">IFERROR(SUM(_xlfn._xlws.FILTER(IF(MeSel="Ppto",PptoSty[CurPpto],PptoSty[CurInt]+PptoSty[CurExt]),(PptoSty[Project]=TEXT(PrvSty[[#This Row],[Project]],"@"))*(PptoSty[PptoVsRow]=PrvSty[[#This Row],[Row]])*(PptoSty[PptoVsColumn]=PrvSty[[#This Row],[Column]]),0)),"X")</f>
        <v>124653.13008587834</v>
      </c>
      <c r="I57" s="358" cm="1">
        <f t="array" aca="1" ref="I57" ca="1">IFERROR(SUM(_xlfn._xlws.FILTER(FrmBB1[Cur],(FrmBB1[PrjId]=TEXT($E57,"@"))*(FrmBB1[Cia]=$D57)*(FrmBB1[Row]=$F57)*(FrmBB1[Column]=_xlfn.LET(_xlpm.x,_xlfn.TEXTBEFORE($G57," ("),IFERROR(_xlpm.x,$G57))&amp;" SERRA"),0)),"X")</f>
        <v>46262.93</v>
      </c>
      <c r="J57" s="358" cm="1">
        <f t="array" aca="1" ref="J57" ca="1">IFERROR(SUM(_xlfn._xlws.FILTER(FrmBB1[Cur],(FrmBB1[PrjId]=TEXT($E57,"@"))*(FrmBB1[Cia]=$D57)*(FrmBB1[Row]=$F57)*(FrmBB1[Column]=_xlfn.LET(_xlpm.x,_xlfn.TEXTBEFORE($G57," ("),IFERROR(_xlpm.x,$G57))&amp;" EXT."),0)),"X")</f>
        <v>0</v>
      </c>
      <c r="K57" s="358">
        <v>-59885</v>
      </c>
      <c r="L57" s="358">
        <v>0</v>
      </c>
      <c r="M57" s="361">
        <f ca="1">IF(SUM(H57,K57,L57)=0,IF(SUM(I57,J57)&gt;0,1,0),1-SUM(PrvSty[[#This Row],[Real:SERRA]:[Real:EXT.]])/SUM(PrvSty[[#This Row],[AcumInt]:[AcumExt]]))</f>
        <v>0.28571459545522837</v>
      </c>
      <c r="N57" s="360" t="s">
        <v>1739</v>
      </c>
      <c r="O57" s="358">
        <f>IF(OR(PrvSty[[#This Row],[DsvAbs:SERRA]]="X",PrvSty[[#This Row],[DsvAbs:SERRA]]=""),0,IF(PrvSty[[#This Row],[DesvTyp]]="Abs",PrvSty[[#This Row],[DsvAbs:SERRA]],PrvSty[[#This Row],[DsvAbs:SERRA]]*PrvSty[[#This Row],[Ppto]]))</f>
        <v>-59885</v>
      </c>
      <c r="P57" s="358">
        <f>IF(OR(PrvSty[[#This Row],[DsvAbs:EXT.]]="X",PrvSty[[#This Row],[DsvAbs:EXT.]]=""),0,IF(PrvSty[[#This Row],[DesvTyp]]="Abs",PrvSty[[#This Row],[DsvAbs:EXT.]],PrvSty[[#This Row],[DsvAbs:EXT.]]*PrvSty[[#This Row],[Ppto]]))</f>
        <v>0</v>
      </c>
      <c r="Q57" s="358" t="str" cm="1">
        <f t="array" aca="1" ref="Q57"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57" s="363" cm="1">
        <f t="array" aca="1" ref="R57"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0.18599820791860111</v>
      </c>
      <c r="S57" s="363" cm="1">
        <f t="array" aca="1" ref="S57"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64767.944087670418</v>
      </c>
      <c r="T57" s="367" cm="1">
        <f t="array" aca="1" ref="T57"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-1235.2825059443246</v>
      </c>
      <c r="U57" s="367" cm="1">
        <f t="array" aca="1" ref="U57"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57" s="358" t="s">
        <v>2010</v>
      </c>
    </row>
    <row r="58" spans="3:22">
      <c r="C58" s="383">
        <v>45596</v>
      </c>
      <c r="D58" s="357" t="s">
        <v>2114</v>
      </c>
      <c r="E58" s="384" t="str">
        <f t="shared" ca="1" si="3"/>
        <v>31200</v>
      </c>
      <c r="F58" s="359" t="s">
        <v>358</v>
      </c>
      <c r="G58" s="360" t="s">
        <v>376</v>
      </c>
      <c r="H58" s="358" cm="1">
        <f t="array" aca="1" ref="H58" ca="1">IFERROR(SUM(_xlfn._xlws.FILTER(IF(MeSel="Ppto",PptoSty[CurPpto],PptoSty[CurInt]+PptoSty[CurExt]),(PptoSty[Project]=TEXT(PrvSty[[#This Row],[Project]],"@"))*(PptoSty[PptoVsRow]=PrvSty[[#This Row],[Row]])*(PptoSty[PptoVsColumn]=PrvSty[[#This Row],[Column]]),0)),"X")</f>
        <v>112842.694944</v>
      </c>
      <c r="I58" s="358" cm="1">
        <f t="array" aca="1" ref="I58" ca="1">IFERROR(SUM(_xlfn._xlws.FILTER(FrmBB1[Cur],(FrmBB1[PrjId]=TEXT($E58,"@"))*(FrmBB1[Cia]=$D58)*(FrmBB1[Row]=$F58)*(FrmBB1[Column]=_xlfn.LET(_xlpm.x,_xlfn.TEXTBEFORE($G58," ("),IFERROR(_xlpm.x,$G58))&amp;" SERRA"),0)),"X")</f>
        <v>104416.4</v>
      </c>
      <c r="J58" s="358" cm="1">
        <f t="array" aca="1" ref="J58" ca="1">IFERROR(SUM(_xlfn._xlws.FILTER(FrmBB1[Cur],(FrmBB1[PrjId]=TEXT($E58,"@"))*(FrmBB1[Cia]=$D58)*(FrmBB1[Row]=$F58)*(FrmBB1[Column]=_xlfn.LET(_xlpm.x,_xlfn.TEXTBEFORE($G58," ("),IFERROR(_xlpm.x,$G58))&amp;" EXT."),0)),"X")</f>
        <v>0</v>
      </c>
      <c r="K58" s="358">
        <v>-10000</v>
      </c>
      <c r="L58" s="358">
        <v>0</v>
      </c>
      <c r="M58" s="361">
        <f ca="1">IF(SUM(H58,K58,L58)=0,IF(SUM(I58,J58)&gt;0,1,0),1-SUM(PrvSty[[#This Row],[Real:SERRA]:[Real:EXT.]])/SUM(PrvSty[[#This Row],[AcumInt]:[AcumExt]]))</f>
        <v>-1.5302059683061753E-2</v>
      </c>
      <c r="N58" s="360" t="s">
        <v>1739</v>
      </c>
      <c r="O58" s="358">
        <f>IF(OR(PrvSty[[#This Row],[DsvAbs:SERRA]]="X",PrvSty[[#This Row],[DsvAbs:SERRA]]=""),0,IF(PrvSty[[#This Row],[DesvTyp]]="Abs",PrvSty[[#This Row],[DsvAbs:SERRA]],PrvSty[[#This Row],[DsvAbs:SERRA]]*PrvSty[[#This Row],[Ppto]]))</f>
        <v>-10000</v>
      </c>
      <c r="P58" s="358">
        <f>IF(OR(PrvSty[[#This Row],[DsvAbs:EXT.]]="X",PrvSty[[#This Row],[DsvAbs:EXT.]]=""),0,IF(PrvSty[[#This Row],[DesvTyp]]="Abs",PrvSty[[#This Row],[DsvAbs:EXT.]],PrvSty[[#This Row],[DsvAbs:EXT.]]*PrvSty[[#This Row],[Ppto]]))</f>
        <v>0</v>
      </c>
      <c r="Q58" s="358" t="str" cm="1">
        <f t="array" aca="1" ref="Q58"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58" s="363" cm="1">
        <f t="array" aca="1" ref="R58"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102842.694944</v>
      </c>
      <c r="S58" s="363" cm="1">
        <f t="array" aca="1" ref="S58"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58" s="367" cm="1">
        <f t="array" aca="1" ref="T58"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-258.81271682019099</v>
      </c>
      <c r="U58" s="367" cm="1">
        <f t="array" aca="1" ref="U58"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58" s="358" t="s">
        <v>2010</v>
      </c>
    </row>
    <row r="59" spans="3:22">
      <c r="C59" s="383">
        <v>45596</v>
      </c>
      <c r="D59" s="357" t="s">
        <v>2114</v>
      </c>
      <c r="E59" s="384" t="str">
        <f t="shared" ca="1" si="3"/>
        <v>31200</v>
      </c>
      <c r="F59" s="359" t="s">
        <v>1410</v>
      </c>
      <c r="G59" s="360" t="s">
        <v>381</v>
      </c>
      <c r="H59" s="358" cm="1">
        <f t="array" aca="1" ref="H59" ca="1">IFERROR(SUM(_xlfn._xlws.FILTER(IF(MeSel="Ppto",PptoSty[CurPpto],PptoSty[CurInt]+PptoSty[CurExt]),(PptoSty[Project]=TEXT(PrvSty[[#This Row],[Project]],"@"))*(PptoSty[PptoVsRow]=PrvSty[[#This Row],[Row]])*(PptoSty[PptoVsColumn]=PrvSty[[#This Row],[Column]]),0)),"X")</f>
        <v>-690.16147121999973</v>
      </c>
      <c r="I59" s="358" cm="1">
        <f t="array" aca="1" ref="I59" ca="1">IFERROR(SUM(_xlfn._xlws.FILTER(FrmBB1[Cur],(FrmBB1[PrjId]=TEXT($E59,"@"))*(FrmBB1[Cia]=$D59)*(FrmBB1[Row]=$F59)*(FrmBB1[Column]=_xlfn.LET(_xlpm.x,_xlfn.TEXTBEFORE($G59," ("),IFERROR(_xlpm.x,$G59))&amp;" SERRA"),0)),"X")</f>
        <v>0</v>
      </c>
      <c r="J59" s="358" cm="1">
        <f t="array" aca="1" ref="J59" ca="1">IFERROR(SUM(_xlfn._xlws.FILTER(FrmBB1[Cur],(FrmBB1[PrjId]=TEXT($E59,"@"))*(FrmBB1[Cia]=$D59)*(FrmBB1[Row]=$F59)*(FrmBB1[Column]=_xlfn.LET(_xlpm.x,_xlfn.TEXTBEFORE($G59," ("),IFERROR(_xlpm.x,$G59))&amp;" EXT."),0)),"X")</f>
        <v>0</v>
      </c>
      <c r="K59" s="358">
        <v>690.16147121999973</v>
      </c>
      <c r="L59" s="358">
        <v>0</v>
      </c>
      <c r="M59" s="361">
        <f ca="1">IF(SUM(H59,K59,L59)=0,IF(SUM(I59,J59)&gt;0,1,0),1-SUM(PrvSty[[#This Row],[Real:SERRA]:[Real:EXT.]])/SUM(PrvSty[[#This Row],[AcumInt]:[AcumExt]]))</f>
        <v>0</v>
      </c>
      <c r="N59" s="360" t="s">
        <v>1739</v>
      </c>
      <c r="O59" s="358">
        <f>IF(OR(PrvSty[[#This Row],[DsvAbs:SERRA]]="X",PrvSty[[#This Row],[DsvAbs:SERRA]]=""),0,IF(PrvSty[[#This Row],[DesvTyp]]="Abs",PrvSty[[#This Row],[DsvAbs:SERRA]],PrvSty[[#This Row],[DsvAbs:SERRA]]*PrvSty[[#This Row],[Ppto]]))</f>
        <v>690.16147121999973</v>
      </c>
      <c r="P59" s="358">
        <f>IF(OR(PrvSty[[#This Row],[DsvAbs:EXT.]]="X",PrvSty[[#This Row],[DsvAbs:EXT.]]=""),0,IF(PrvSty[[#This Row],[DesvTyp]]="Abs",PrvSty[[#This Row],[DsvAbs:EXT.]],PrvSty[[#This Row],[DsvAbs:EXT.]]*PrvSty[[#This Row],[Ppto]]))</f>
        <v>0</v>
      </c>
      <c r="Q59" s="358" t="str" cm="1">
        <f t="array" aca="1" ref="Q59"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59" s="363" cm="1">
        <f t="array" aca="1" ref="R59"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691.33934900999975</v>
      </c>
      <c r="S59" s="363" cm="1">
        <f t="array" aca="1" ref="S59"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-691.33934901000009</v>
      </c>
      <c r="T59" s="367" cm="1">
        <f t="array" aca="1" ref="T59"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24.107026402768163</v>
      </c>
      <c r="U59" s="367" cm="1">
        <f t="array" aca="1" ref="U59"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59" s="358" t="s">
        <v>2011</v>
      </c>
    </row>
    <row r="60" spans="3:22">
      <c r="C60" s="383">
        <v>45596</v>
      </c>
      <c r="D60" s="357" t="s">
        <v>2114</v>
      </c>
      <c r="E60" s="384" t="str">
        <f t="shared" ca="1" si="3"/>
        <v>31200</v>
      </c>
      <c r="F60" s="359" t="s">
        <v>1243</v>
      </c>
      <c r="G60" s="360" t="s">
        <v>386</v>
      </c>
      <c r="H60" s="358" cm="1">
        <f t="array" aca="1" ref="H60" ca="1">IFERROR(SUM(_xlfn._xlws.FILTER(IF(MeSel="Ppto",PptoSty[CurPpto],PptoSty[CurInt]+PptoSty[CurExt]),(PptoSty[Project]=TEXT(PrvSty[[#This Row],[Project]],"@"))*(PptoSty[PptoVsRow]=PrvSty[[#This Row],[Row]])*(PptoSty[PptoVsColumn]=PrvSty[[#This Row],[Column]]),0)),"X")</f>
        <v>0</v>
      </c>
      <c r="I60" s="358" cm="1">
        <f t="array" aca="1" ref="I60" ca="1">IFERROR(SUM(_xlfn._xlws.FILTER(FrmBB1[Cur],(FrmBB1[PrjId]=TEXT($E60,"@"))*(FrmBB1[Cia]=$D60)*(FrmBB1[Row]=$F60)*(FrmBB1[Column]=_xlfn.LET(_xlpm.x,_xlfn.TEXTBEFORE($G60," ("),IFERROR(_xlpm.x,$G60))&amp;" SERRA"),0)),"X")</f>
        <v>58825.090000000011</v>
      </c>
      <c r="J60" s="358" cm="1">
        <f t="array" aca="1" ref="J60" ca="1">IFERROR(SUM(_xlfn._xlws.FILTER(FrmBB1[Cur],(FrmBB1[PrjId]=TEXT($E60,"@"))*(FrmBB1[Cia]=$D60)*(FrmBB1[Row]=$F60)*(FrmBB1[Column]=_xlfn.LET(_xlpm.x,_xlfn.TEXTBEFORE($G60," ("),IFERROR(_xlpm.x,$G60))&amp;" EXT."),0)),"X")</f>
        <v>0</v>
      </c>
      <c r="K60" s="358">
        <v>9779.940600000009</v>
      </c>
      <c r="L60" s="358">
        <v>0</v>
      </c>
      <c r="M60" s="361">
        <f ca="1">IF(SUM(H60,K60,L60)=0,IF(SUM(I60,J60)&gt;0,1,0),1-SUM(PrvSty[[#This Row],[Real:SERRA]:[Real:EXT.]])/SUM(PrvSty[[#This Row],[AcumInt]:[AcumExt]]))</f>
        <v>-5.0148719103672219</v>
      </c>
      <c r="N60" s="360" t="s">
        <v>1739</v>
      </c>
      <c r="O60" s="358">
        <f>IF(OR(PrvSty[[#This Row],[DsvAbs:SERRA]]="X",PrvSty[[#This Row],[DsvAbs:SERRA]]=""),0,IF(PrvSty[[#This Row],[DesvTyp]]="Abs",PrvSty[[#This Row],[DsvAbs:SERRA]],PrvSty[[#This Row],[DsvAbs:SERRA]]*PrvSty[[#This Row],[Ppto]]))</f>
        <v>9779.940600000009</v>
      </c>
      <c r="P60" s="358">
        <f>IF(OR(PrvSty[[#This Row],[DsvAbs:EXT.]]="X",PrvSty[[#This Row],[DsvAbs:EXT.]]=""),0,IF(PrvSty[[#This Row],[DesvTyp]]="Abs",PrvSty[[#This Row],[DsvAbs:EXT.]],PrvSty[[#This Row],[DsvAbs:EXT.]]*PrvSty[[#This Row],[Ppto]]))</f>
        <v>0</v>
      </c>
      <c r="Q60" s="358" t="str" cm="1">
        <f t="array" aca="1" ref="Q60"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60" s="363" cm="1">
        <f t="array" aca="1" ref="R60"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9779.940600000009</v>
      </c>
      <c r="S60" s="363" cm="1">
        <f t="array" aca="1" ref="S60"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60" s="367" cm="1">
        <f t="array" aca="1" ref="T60"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60" s="367" cm="1">
        <f t="array" aca="1" ref="U60"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60" s="358" t="s">
        <v>2011</v>
      </c>
    </row>
    <row r="61" spans="3:22">
      <c r="C61" s="383">
        <v>45625</v>
      </c>
      <c r="D61" s="357" t="s">
        <v>2114</v>
      </c>
      <c r="E61" s="384" t="str">
        <f t="shared" ca="1" si="3"/>
        <v>31200</v>
      </c>
      <c r="F61" s="359" t="s">
        <v>1244</v>
      </c>
      <c r="G61" s="360" t="s">
        <v>386</v>
      </c>
      <c r="H61" s="358" cm="1">
        <f t="array" aca="1" ref="H61" ca="1">IFERROR(SUM(_xlfn._xlws.FILTER(IF(MeSel="Ppto",PptoSty[CurPpto],PptoSty[CurInt]+PptoSty[CurExt]),(PptoSty[Project]=TEXT(PrvSty[[#This Row],[Project]],"@"))*(PptoSty[PptoVsRow]=PrvSty[[#This Row],[Row]])*(PptoSty[PptoVsColumn]=PrvSty[[#This Row],[Column]]),0)),"X")</f>
        <v>0</v>
      </c>
      <c r="I61" s="358" cm="1">
        <f t="array" aca="1" ref="I61" ca="1">IFERROR(SUM(_xlfn._xlws.FILTER(FrmBB1[Cur],(FrmBB1[PrjId]=TEXT($E61,"@"))*(FrmBB1[Cia]=$D61)*(FrmBB1[Row]=$F61)*(FrmBB1[Column]=_xlfn.LET(_xlpm.x,_xlfn.TEXTBEFORE($G61," ("),IFERROR(_xlpm.x,$G61))&amp;" SERRA"),0)),"X")</f>
        <v>0</v>
      </c>
      <c r="J61" s="358" cm="1">
        <f t="array" aca="1" ref="J61" ca="1">IFERROR(SUM(_xlfn._xlws.FILTER(FrmBB1[Cur],(FrmBB1[PrjId]=TEXT($E61,"@"))*(FrmBB1[Cia]=$D61)*(FrmBB1[Row]=$F61)*(FrmBB1[Column]=_xlfn.LET(_xlpm.x,_xlfn.TEXTBEFORE($G61," ("),IFERROR(_xlpm.x,$G61))&amp;" EXT."),0)),"X")</f>
        <v>0</v>
      </c>
      <c r="K61" s="358">
        <f ca="1">PrvSty[[#This Row],[Real:SERRA]]</f>
        <v>0</v>
      </c>
      <c r="L61" s="358">
        <v>0</v>
      </c>
      <c r="M61" s="361">
        <f ca="1">IF(SUM(H61,K61,L61)=0,IF(SUM(I61,J61)&gt;0,1,0),1-SUM(PrvSty[[#This Row],[Real:SERRA]:[Real:EXT.]])/SUM(PrvSty[[#This Row],[AcumInt]:[AcumExt]]))</f>
        <v>0</v>
      </c>
      <c r="N61" s="360" t="s">
        <v>1739</v>
      </c>
      <c r="O61" s="358">
        <f ca="1">IF(OR(PrvSty[[#This Row],[DsvAbs:SERRA]]="X",PrvSty[[#This Row],[DsvAbs:SERRA]]=""),0,IF(PrvSty[[#This Row],[DesvTyp]]="Abs",PrvSty[[#This Row],[DsvAbs:SERRA]],PrvSty[[#This Row],[DsvAbs:SERRA]]*PrvSty[[#This Row],[Ppto]]))</f>
        <v>0</v>
      </c>
      <c r="P61" s="358">
        <f>IF(OR(PrvSty[[#This Row],[DsvAbs:EXT.]]="X",PrvSty[[#This Row],[DsvAbs:EXT.]]=""),0,IF(PrvSty[[#This Row],[DesvTyp]]="Abs",PrvSty[[#This Row],[DsvAbs:EXT.]],PrvSty[[#This Row],[DsvAbs:EXT.]]*PrvSty[[#This Row],[Ppto]]))</f>
        <v>0</v>
      </c>
      <c r="Q61" s="358" t="str" cm="1">
        <f t="array" aca="1" ref="Q61"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61" s="363" cm="1">
        <f t="array" aca="1" ref="R61"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61" s="363" cm="1">
        <f t="array" aca="1" ref="S61"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61" s="367" cm="1">
        <f t="array" aca="1" ref="T61"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61" s="367" cm="1">
        <f t="array" aca="1" ref="U61"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61" s="358" t="s">
        <v>2013</v>
      </c>
    </row>
    <row r="62" spans="3:22">
      <c r="C62" s="383">
        <v>45625</v>
      </c>
      <c r="D62" s="357" t="s">
        <v>2114</v>
      </c>
      <c r="E62" s="384" t="str">
        <f t="shared" ca="1" si="3"/>
        <v>31200</v>
      </c>
      <c r="F62" s="359" t="s">
        <v>1245</v>
      </c>
      <c r="G62" s="360" t="s">
        <v>1670</v>
      </c>
      <c r="H62" s="358" cm="1">
        <f t="array" aca="1" ref="H62" ca="1">IFERROR(SUM(_xlfn._xlws.FILTER(IF(MeSel="Ppto",PptoSty[CurPpto],PptoSty[CurInt]+PptoSty[CurExt]),(PptoSty[Project]=TEXT(PrvSty[[#This Row],[Project]],"@"))*(PptoSty[PptoVsRow]=PrvSty[[#This Row],[Row]])*(PptoSty[PptoVsColumn]=PrvSty[[#This Row],[Column]]),0)),"X")</f>
        <v>0</v>
      </c>
      <c r="I62" s="358" cm="1">
        <f t="array" aca="1" ref="I62" ca="1">IFERROR(SUM(_xlfn._xlws.FILTER(FrmBB1[Cur],(FrmBB1[PrjId]=TEXT($E62,"@"))*(FrmBB1[Cia]=$D62)*(FrmBB1[Row]=$F62)*(FrmBB1[Column]=_xlfn.LET(_xlpm.x,_xlfn.TEXTBEFORE($G62," ("),IFERROR(_xlpm.x,$G62))&amp;" SERRA"),0)),"X")</f>
        <v>0</v>
      </c>
      <c r="J62" s="358" cm="1">
        <f t="array" aca="1" ref="J62" ca="1">IFERROR(SUM(_xlfn._xlws.FILTER(FrmBB1[Cur],(FrmBB1[PrjId]=TEXT($E62,"@"))*(FrmBB1[Cia]=$D62)*(FrmBB1[Row]=$F62)*(FrmBB1[Column]=_xlfn.LET(_xlpm.x,_xlfn.TEXTBEFORE($G62," ("),IFERROR(_xlpm.x,$G62))&amp;" EXT."),0)),"X")</f>
        <v>10403.970000000001</v>
      </c>
      <c r="K62" s="358">
        <v>0</v>
      </c>
      <c r="L62" s="358">
        <f ca="1">PrvSty[[#This Row],[Real:EXT.]]</f>
        <v>10403.970000000001</v>
      </c>
      <c r="M62" s="361">
        <f ca="1">IF(SUM(H62,K62,L62)=0,IF(SUM(I62,J62)&gt;0,1,0),1-SUM(PrvSty[[#This Row],[Real:SERRA]:[Real:EXT.]])/SUM(PrvSty[[#This Row],[AcumInt]:[AcumExt]]))</f>
        <v>0</v>
      </c>
      <c r="N62" s="360" t="s">
        <v>1739</v>
      </c>
      <c r="O62" s="358">
        <f>IF(OR(PrvSty[[#This Row],[DsvAbs:SERRA]]="X",PrvSty[[#This Row],[DsvAbs:SERRA]]=""),0,IF(PrvSty[[#This Row],[DesvTyp]]="Abs",PrvSty[[#This Row],[DsvAbs:SERRA]],PrvSty[[#This Row],[DsvAbs:SERRA]]*PrvSty[[#This Row],[Ppto]]))</f>
        <v>0</v>
      </c>
      <c r="P62" s="358">
        <f ca="1">IF(OR(PrvSty[[#This Row],[DsvAbs:EXT.]]="X",PrvSty[[#This Row],[DsvAbs:EXT.]]=""),0,IF(PrvSty[[#This Row],[DesvTyp]]="Abs",PrvSty[[#This Row],[DsvAbs:EXT.]],PrvSty[[#This Row],[DsvAbs:EXT.]]*PrvSty[[#This Row],[Ppto]]))</f>
        <v>10403.970000000001</v>
      </c>
      <c r="Q62" s="358" t="str" cm="1">
        <f t="array" aca="1" ref="Q62"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62" s="363" cm="1">
        <f t="array" aca="1" ref="R62"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62" s="363" cm="1">
        <f t="array" aca="1" ref="S62"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10403.970000000001</v>
      </c>
      <c r="T62" s="367" cm="1">
        <f t="array" aca="1" ref="T62"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62" s="367" cm="1">
        <f t="array" aca="1" ref="U62"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62" s="358" t="s">
        <v>2013</v>
      </c>
    </row>
    <row r="63" spans="3:22">
      <c r="C63" s="383">
        <v>45625</v>
      </c>
      <c r="D63" s="357" t="s">
        <v>2114</v>
      </c>
      <c r="E63" s="384" t="str">
        <f t="shared" ca="1" si="3"/>
        <v>31200</v>
      </c>
      <c r="F63" s="359" t="s">
        <v>1245</v>
      </c>
      <c r="G63" s="360" t="s">
        <v>1275</v>
      </c>
      <c r="H63" s="358" cm="1">
        <f t="array" aca="1" ref="H63" ca="1">IFERROR(SUM(_xlfn._xlws.FILTER(IF(MeSel="Ppto",PptoSty[CurPpto],PptoSty[CurInt]+PptoSty[CurExt]),(PptoSty[Project]=TEXT(PrvSty[[#This Row],[Project]],"@"))*(PptoSty[PptoVsRow]=PrvSty[[#This Row],[Row]])*(PptoSty[PptoVsColumn]=PrvSty[[#This Row],[Column]]),0)),"X")</f>
        <v>0</v>
      </c>
      <c r="I63" s="358" cm="1">
        <f t="array" aca="1" ref="I63" ca="1">IFERROR(SUM(_xlfn._xlws.FILTER(FrmBB1[Cur],(FrmBB1[PrjId]=TEXT($E63,"@"))*(FrmBB1[Cia]=$D63)*(FrmBB1[Row]=$F63)*(FrmBB1[Column]=_xlfn.LET(_xlpm.x,_xlfn.TEXTBEFORE($G63," ("),IFERROR(_xlpm.x,$G63))&amp;" SERRA"),0)),"X")</f>
        <v>0</v>
      </c>
      <c r="J63" s="358" cm="1">
        <f t="array" aca="1" ref="J63" ca="1">IFERROR(SUM(_xlfn._xlws.FILTER(FrmBB1[Cur],(FrmBB1[PrjId]=TEXT($E63,"@"))*(FrmBB1[Cia]=$D63)*(FrmBB1[Row]=$F63)*(FrmBB1[Column]=_xlfn.LET(_xlpm.x,_xlfn.TEXTBEFORE($G63," ("),IFERROR(_xlpm.x,$G63))&amp;" EXT."),0)),"X")</f>
        <v>1015.74</v>
      </c>
      <c r="K63" s="358">
        <v>0</v>
      </c>
      <c r="L63" s="358">
        <f ca="1">PrvSty[[#This Row],[Real:EXT.]]</f>
        <v>1015.74</v>
      </c>
      <c r="M63" s="361">
        <f ca="1">IF(SUM(H63,K63,L63)=0,IF(SUM(I63,J63)&gt;0,1,0),1-SUM(PrvSty[[#This Row],[Real:SERRA]:[Real:EXT.]])/SUM(PrvSty[[#This Row],[AcumInt]:[AcumExt]]))</f>
        <v>0</v>
      </c>
      <c r="N63" s="360" t="s">
        <v>1739</v>
      </c>
      <c r="O63" s="358">
        <f>IF(OR(PrvSty[[#This Row],[DsvAbs:SERRA]]="X",PrvSty[[#This Row],[DsvAbs:SERRA]]=""),0,IF(PrvSty[[#This Row],[DesvTyp]]="Abs",PrvSty[[#This Row],[DsvAbs:SERRA]],PrvSty[[#This Row],[DsvAbs:SERRA]]*PrvSty[[#This Row],[Ppto]]))</f>
        <v>0</v>
      </c>
      <c r="P63" s="358">
        <f ca="1">IF(OR(PrvSty[[#This Row],[DsvAbs:EXT.]]="X",PrvSty[[#This Row],[DsvAbs:EXT.]]=""),0,IF(PrvSty[[#This Row],[DesvTyp]]="Abs",PrvSty[[#This Row],[DsvAbs:EXT.]],PrvSty[[#This Row],[DsvAbs:EXT.]]*PrvSty[[#This Row],[Ppto]]))</f>
        <v>1015.74</v>
      </c>
      <c r="Q63" s="358" t="str" cm="1">
        <f t="array" aca="1" ref="Q63"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63" s="363" cm="1">
        <f t="array" aca="1" ref="R63"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63" s="363" cm="1">
        <f t="array" aca="1" ref="S63"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1015.74</v>
      </c>
      <c r="T63" s="367" cm="1">
        <f t="array" aca="1" ref="T63"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63" s="367" cm="1">
        <f t="array" aca="1" ref="U63"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63" s="358" t="s">
        <v>2013</v>
      </c>
    </row>
    <row r="64" spans="3:22">
      <c r="C64" s="383">
        <v>45625</v>
      </c>
      <c r="D64" s="357" t="s">
        <v>2114</v>
      </c>
      <c r="E64" s="384" t="str">
        <f t="shared" ca="1" si="3"/>
        <v>31200</v>
      </c>
      <c r="F64" s="359" t="s">
        <v>1245</v>
      </c>
      <c r="G64" s="360" t="s">
        <v>385</v>
      </c>
      <c r="H64" s="358" cm="1">
        <f t="array" aca="1" ref="H64" ca="1">IFERROR(SUM(_xlfn._xlws.FILTER(IF(MeSel="Ppto",PptoSty[CurPpto],PptoSty[CurInt]+PptoSty[CurExt]),(PptoSty[Project]=TEXT(PrvSty[[#This Row],[Project]],"@"))*(PptoSty[PptoVsRow]=PrvSty[[#This Row],[Row]])*(PptoSty[PptoVsColumn]=PrvSty[[#This Row],[Column]]),0)),"X")</f>
        <v>0</v>
      </c>
      <c r="I64" s="358" cm="1">
        <f t="array" aca="1" ref="I64" ca="1">IFERROR(SUM(_xlfn._xlws.FILTER(FrmBB1[Cur],(FrmBB1[PrjId]=TEXT($E64,"@"))*(FrmBB1[Cia]=$D64)*(FrmBB1[Row]=$F64)*(FrmBB1[Column]=_xlfn.LET(_xlpm.x,_xlfn.TEXTBEFORE($G64," ("),IFERROR(_xlpm.x,$G64))&amp;" SERRA"),0)),"X")</f>
        <v>0</v>
      </c>
      <c r="J64" s="358" cm="1">
        <f t="array" aca="1" ref="J64" ca="1">IFERROR(SUM(_xlfn._xlws.FILTER(FrmBB1[Cur],(FrmBB1[PrjId]=TEXT($E64,"@"))*(FrmBB1[Cia]=$D64)*(FrmBB1[Row]=$F64)*(FrmBB1[Column]=_xlfn.LET(_xlpm.x,_xlfn.TEXTBEFORE($G64," ("),IFERROR(_xlpm.x,$G64))&amp;" EXT."),0)),"X")</f>
        <v>425.56</v>
      </c>
      <c r="K64" s="358">
        <v>0</v>
      </c>
      <c r="L64" s="358">
        <f ca="1">PrvSty[[#This Row],[Real:EXT.]]</f>
        <v>425.56</v>
      </c>
      <c r="M64" s="361">
        <f ca="1">IF(SUM(H64,K64,L64)=0,IF(SUM(I64,J64)&gt;0,1,0),1-SUM(PrvSty[[#This Row],[Real:SERRA]:[Real:EXT.]])/SUM(PrvSty[[#This Row],[AcumInt]:[AcumExt]]))</f>
        <v>0</v>
      </c>
      <c r="N64" s="360" t="s">
        <v>1739</v>
      </c>
      <c r="O64" s="358">
        <f>IF(OR(PrvSty[[#This Row],[DsvAbs:SERRA]]="X",PrvSty[[#This Row],[DsvAbs:SERRA]]=""),0,IF(PrvSty[[#This Row],[DesvTyp]]="Abs",PrvSty[[#This Row],[DsvAbs:SERRA]],PrvSty[[#This Row],[DsvAbs:SERRA]]*PrvSty[[#This Row],[Ppto]]))</f>
        <v>0</v>
      </c>
      <c r="P64" s="358">
        <f ca="1">IF(OR(PrvSty[[#This Row],[DsvAbs:EXT.]]="X",PrvSty[[#This Row],[DsvAbs:EXT.]]=""),0,IF(PrvSty[[#This Row],[DesvTyp]]="Abs",PrvSty[[#This Row],[DsvAbs:EXT.]],PrvSty[[#This Row],[DsvAbs:EXT.]]*PrvSty[[#This Row],[Ppto]]))</f>
        <v>425.56</v>
      </c>
      <c r="Q64" s="358" t="str" cm="1">
        <f t="array" aca="1" ref="Q64"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64" s="363" cm="1">
        <f t="array" aca="1" ref="R64"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64" s="363" cm="1">
        <f t="array" aca="1" ref="S64"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425.56</v>
      </c>
      <c r="T64" s="367" cm="1">
        <f t="array" aca="1" ref="T64"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64" s="367" cm="1">
        <f t="array" aca="1" ref="U64"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64" s="358" t="s">
        <v>2013</v>
      </c>
    </row>
    <row r="65" spans="3:22">
      <c r="C65" s="383">
        <v>45600</v>
      </c>
      <c r="D65" s="357" t="s">
        <v>2114</v>
      </c>
      <c r="E65" s="384" t="str">
        <f t="shared" ca="1" si="3"/>
        <v>31200</v>
      </c>
      <c r="F65" s="359" t="s">
        <v>1242</v>
      </c>
      <c r="G65" s="360" t="s">
        <v>386</v>
      </c>
      <c r="H65" s="358" cm="1">
        <f t="array" aca="1" ref="H65" ca="1">IFERROR(SUM(_xlfn._xlws.FILTER(IF(MeSel="Ppto",PptoSty[CurPpto],PptoSty[CurInt]+PptoSty[CurExt]),(PptoSty[Project]=TEXT(PrvSty[[#This Row],[Project]],"@"))*(PptoSty[PptoVsRow]=PrvSty[[#This Row],[Row]])*(PptoSty[PptoVsColumn]=PrvSty[[#This Row],[Column]]),0)),"X")</f>
        <v>0</v>
      </c>
      <c r="I65" s="358" cm="1">
        <f t="array" aca="1" ref="I65" ca="1">IFERROR(SUM(_xlfn._xlws.FILTER(FrmBB1[Cur],(FrmBB1[PrjId]=TEXT($E65,"@"))*(FrmBB1[Cia]=$D65)*(FrmBB1[Row]=$F65)*(FrmBB1[Column]=_xlfn.LET(_xlpm.x,_xlfn.TEXTBEFORE($G65," ("),IFERROR(_xlpm.x,$G65))&amp;" SERRA"),0)),"X")</f>
        <v>-15368.310000000009</v>
      </c>
      <c r="J65" s="358" cm="1">
        <f t="array" aca="1" ref="J65" ca="1">IFERROR(SUM(_xlfn._xlws.FILTER(FrmBB1[Cur],(FrmBB1[PrjId]=TEXT($E65,"@"))*(FrmBB1[Cia]=$D65)*(FrmBB1[Row]=$F65)*(FrmBB1[Column]=_xlfn.LET(_xlpm.x,_xlfn.TEXTBEFORE($G65," ("),IFERROR(_xlpm.x,$G65))&amp;" EXT."),0)),"X")</f>
        <v>0</v>
      </c>
      <c r="K65" s="358">
        <v>-17388.610000000008</v>
      </c>
      <c r="L65" s="358">
        <v>0</v>
      </c>
      <c r="M65" s="361">
        <f ca="1">IF(SUM(H65,K65,L65)=0,IF(SUM(I65,J65)&gt;0,1,0),1-SUM(PrvSty[[#This Row],[Real:SERRA]:[Real:EXT.]])/SUM(PrvSty[[#This Row],[AcumInt]:[AcumExt]]))</f>
        <v>0.11618524999985613</v>
      </c>
      <c r="N65" s="360" t="s">
        <v>1739</v>
      </c>
      <c r="O65" s="358">
        <f>IF(OR(PrvSty[[#This Row],[DsvAbs:SERRA]]="X",PrvSty[[#This Row],[DsvAbs:SERRA]]=""),0,IF(PrvSty[[#This Row],[DesvTyp]]="Abs",PrvSty[[#This Row],[DsvAbs:SERRA]],PrvSty[[#This Row],[DsvAbs:SERRA]]*PrvSty[[#This Row],[Ppto]]))</f>
        <v>-17388.610000000008</v>
      </c>
      <c r="P65" s="358">
        <f>IF(OR(PrvSty[[#This Row],[DsvAbs:EXT.]]="X",PrvSty[[#This Row],[DsvAbs:EXT.]]=""),0,IF(PrvSty[[#This Row],[DesvTyp]]="Abs",PrvSty[[#This Row],[DsvAbs:EXT.]],PrvSty[[#This Row],[DsvAbs:EXT.]]*PrvSty[[#This Row],[Ppto]]))</f>
        <v>0</v>
      </c>
      <c r="Q65" s="358" t="str" cm="1">
        <f t="array" aca="1" ref="Q65"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65" s="363" cm="1">
        <f t="array" aca="1" ref="R65"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-17388.610000000008</v>
      </c>
      <c r="S65" s="363" cm="1">
        <f t="array" aca="1" ref="S65"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65" s="367" cm="1">
        <f t="array" aca="1" ref="T65"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65" s="367" cm="1">
        <f t="array" aca="1" ref="U65"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65" s="358" t="s">
        <v>2011</v>
      </c>
    </row>
    <row r="66" spans="3:22">
      <c r="C66" s="364">
        <v>45600</v>
      </c>
      <c r="D66" s="357" t="s">
        <v>2114</v>
      </c>
      <c r="E66" s="365" t="str">
        <f t="shared" ca="1" si="3"/>
        <v>31200</v>
      </c>
      <c r="F66" s="359" t="s">
        <v>1478</v>
      </c>
      <c r="G66" s="360" t="s">
        <v>1670</v>
      </c>
      <c r="H66" s="358" cm="1">
        <f t="array" aca="1" ref="H66" ca="1">IFERROR(SUM(_xlfn._xlws.FILTER(IF(MeSel="Ppto",PptoSty[CurPpto],PptoSty[CurInt]+PptoSty[CurExt]),(PptoSty[Project]=TEXT(PrvSty[[#This Row],[Project]],"@"))*(PptoSty[PptoVsRow]=PrvSty[[#This Row],[Row]])*(PptoSty[PptoVsColumn]=PrvSty[[#This Row],[Column]]),0)),"X")</f>
        <v>482632</v>
      </c>
      <c r="I66" s="358" cm="1">
        <f t="array" aca="1" ref="I66" ca="1">IFERROR(SUM(_xlfn._xlws.FILTER(FrmBB1[Cur],(FrmBB1[PrjId]=TEXT($E66,"@"))*(FrmBB1[Cia]=$D66)*(FrmBB1[Row]=$F66)*(FrmBB1[Column]=_xlfn.LET(_xlpm.x,_xlfn.TEXTBEFORE($G66," ("),IFERROR(_xlpm.x,$G66))&amp;" SERRA"),0)),"X")</f>
        <v>0</v>
      </c>
      <c r="J66" s="358" cm="1">
        <f t="array" aca="1" ref="J66" ca="1">IFERROR(SUM(_xlfn._xlws.FILTER(FrmBB1[Cur],(FrmBB1[PrjId]=TEXT($E66,"@"))*(FrmBB1[Cia]=$D66)*(FrmBB1[Row]=$F66)*(FrmBB1[Column]=_xlfn.LET(_xlpm.x,_xlfn.TEXTBEFORE($G66," ("),IFERROR(_xlpm.x,$G66))&amp;" EXT."),0)),"X")</f>
        <v>499104.92</v>
      </c>
      <c r="K66" s="358">
        <v>0</v>
      </c>
      <c r="L66" s="358">
        <v>16470.320000000007</v>
      </c>
      <c r="M66" s="361">
        <f ca="1">IF(SUM(H66,K66,L66)=0,IF(SUM(I66,J66)&gt;0,1,0),1-SUM(PrvSty[[#This Row],[Real:SERRA]:[Real:EXT.]])/SUM(PrvSty[[#This Row],[AcumInt]:[AcumExt]]))</f>
        <v>-5.2093526634600096E-6</v>
      </c>
      <c r="N66" s="360" t="s">
        <v>1739</v>
      </c>
      <c r="O66" s="358">
        <f>IF(OR(PrvSty[[#This Row],[DsvAbs:SERRA]]="X",PrvSty[[#This Row],[DsvAbs:SERRA]]=""),0,IF(PrvSty[[#This Row],[DesvTyp]]="Abs",PrvSty[[#This Row],[DsvAbs:SERRA]],PrvSty[[#This Row],[DsvAbs:SERRA]]*PrvSty[[#This Row],[Ppto]]))</f>
        <v>0</v>
      </c>
      <c r="P66" s="358">
        <f>IF(OR(PrvSty[[#This Row],[DsvAbs:EXT.]]="X",PrvSty[[#This Row],[DsvAbs:EXT.]]=""),0,IF(PrvSty[[#This Row],[DesvTyp]]="Abs",PrvSty[[#This Row],[DsvAbs:EXT.]],PrvSty[[#This Row],[DsvAbs:EXT.]]*PrvSty[[#This Row],[Ppto]]))</f>
        <v>16470.320000000007</v>
      </c>
      <c r="Q66" s="358" t="str" cm="1">
        <f t="array" aca="1" ref="Q66"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66" s="363" cm="1">
        <f t="array" aca="1" ref="R66"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66" s="363" cm="1">
        <f t="array" aca="1" ref="S66"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499102.32</v>
      </c>
      <c r="T66" s="367" cm="1">
        <f t="array" aca="1" ref="T66"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66" s="367" cm="1">
        <f t="array" aca="1" ref="U66"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66" s="358" t="s">
        <v>2014</v>
      </c>
    </row>
    <row r="67" spans="3:22">
      <c r="C67" s="364">
        <v>45600</v>
      </c>
      <c r="D67" s="357" t="s">
        <v>2114</v>
      </c>
      <c r="E67" s="365" t="str">
        <f t="shared" ca="1" si="3"/>
        <v>31200</v>
      </c>
      <c r="F67" s="359" t="s">
        <v>1473</v>
      </c>
      <c r="G67" s="360" t="s">
        <v>380</v>
      </c>
      <c r="H67" s="358" cm="1">
        <f t="array" aca="1" ref="H67" ca="1">IFERROR(SUM(_xlfn._xlws.FILTER(IF(MeSel="Ppto",PptoSty[CurPpto],PptoSty[CurInt]+PptoSty[CurExt]),(PptoSty[Project]=TEXT(PrvSty[[#This Row],[Project]],"@"))*(PptoSty[PptoVsRow]=PrvSty[[#This Row],[Row]])*(PptoSty[PptoVsColumn]=PrvSty[[#This Row],[Column]]),0)),"X")</f>
        <v>0</v>
      </c>
      <c r="I67" s="358" cm="1">
        <f t="array" aca="1" ref="I67" ca="1">IFERROR(SUM(_xlfn._xlws.FILTER(FrmBB1[Cur],(FrmBB1[PrjId]=TEXT($E67,"@"))*(FrmBB1[Cia]=$D67)*(FrmBB1[Row]=$F67)*(FrmBB1[Column]=_xlfn.LET(_xlpm.x,_xlfn.TEXTBEFORE($G67," ("),IFERROR(_xlpm.x,$G67))&amp;" SERRA"),0)),"X")</f>
        <v>7207.43</v>
      </c>
      <c r="J67" s="358" cm="1">
        <f t="array" aca="1" ref="J67" ca="1">IFERROR(SUM(_xlfn._xlws.FILTER(FrmBB1[Cur],(FrmBB1[PrjId]=TEXT($E67,"@"))*(FrmBB1[Cia]=$D67)*(FrmBB1[Row]=$F67)*(FrmBB1[Column]=_xlfn.LET(_xlpm.x,_xlfn.TEXTBEFORE($G67," ("),IFERROR(_xlpm.x,$G67))&amp;" EXT."),0)),"X")</f>
        <v>0</v>
      </c>
      <c r="K67" s="358">
        <v>686.00000000000023</v>
      </c>
      <c r="L67" s="358">
        <v>0</v>
      </c>
      <c r="M67" s="361">
        <f ca="1">IF(SUM(H67,K67,L67)=0,IF(SUM(I67,J67)&gt;0,1,0),1-SUM(PrvSty[[#This Row],[Real:SERRA]:[Real:EXT.]])/SUM(PrvSty[[#This Row],[AcumInt]:[AcumExt]]))</f>
        <v>-1.9451018690290365</v>
      </c>
      <c r="N67" s="360" t="s">
        <v>1739</v>
      </c>
      <c r="O67" s="358">
        <f>IF(OR(PrvSty[[#This Row],[DsvAbs:SERRA]]="X",PrvSty[[#This Row],[DsvAbs:SERRA]]=""),0,IF(PrvSty[[#This Row],[DesvTyp]]="Abs",PrvSty[[#This Row],[DsvAbs:SERRA]],PrvSty[[#This Row],[DsvAbs:SERRA]]*PrvSty[[#This Row],[Ppto]]))</f>
        <v>686.00000000000023</v>
      </c>
      <c r="P67" s="358">
        <f>IF(OR(PrvSty[[#This Row],[DsvAbs:EXT.]]="X",PrvSty[[#This Row],[DsvAbs:EXT.]]=""),0,IF(PrvSty[[#This Row],[DesvTyp]]="Abs",PrvSty[[#This Row],[DsvAbs:EXT.]],PrvSty[[#This Row],[DsvAbs:EXT.]]*PrvSty[[#This Row],[Ppto]]))</f>
        <v>0</v>
      </c>
      <c r="Q67" s="358" t="str" cm="1">
        <f t="array" aca="1" ref="Q67"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67" s="363" cm="1">
        <f t="array" aca="1" ref="R67"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2447.2600000000002</v>
      </c>
      <c r="S67" s="363" cm="1">
        <f t="array" aca="1" ref="S67"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67" s="367" cm="1">
        <f t="array" aca="1" ref="T67"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22.655351742860343</v>
      </c>
      <c r="U67" s="367" cm="1">
        <f t="array" aca="1" ref="U67"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67" s="358" t="s">
        <v>2011</v>
      </c>
    </row>
    <row r="68" spans="3:22">
      <c r="C68" s="364">
        <v>45600</v>
      </c>
      <c r="D68" s="357" t="s">
        <v>2114</v>
      </c>
      <c r="E68" s="365" t="str">
        <f t="shared" ca="1" si="3"/>
        <v>31200</v>
      </c>
      <c r="F68" s="359" t="s">
        <v>1473</v>
      </c>
      <c r="G68" s="360" t="s">
        <v>1667</v>
      </c>
      <c r="H68" s="358" cm="1">
        <f t="array" aca="1" ref="H68" ca="1">IFERROR(SUM(_xlfn._xlws.FILTER(IF(MeSel="Ppto",PptoSty[CurPpto],PptoSty[CurInt]+PptoSty[CurExt]),(PptoSty[Project]=TEXT(PrvSty[[#This Row],[Project]],"@"))*(PptoSty[PptoVsRow]=PrvSty[[#This Row],[Row]])*(PptoSty[PptoVsColumn]=PrvSty[[#This Row],[Column]]),0)),"X")</f>
        <v>858533.92855330685</v>
      </c>
      <c r="I68" s="358" cm="1">
        <f t="array" aca="1" ref="I68" ca="1">IFERROR(SUM(_xlfn._xlws.FILTER(FrmBB1[Cur],(FrmBB1[PrjId]=TEXT($E68,"@"))*(FrmBB1[Cia]=$D68)*(FrmBB1[Row]=$F68)*(FrmBB1[Column]=_xlfn.LET(_xlpm.x,_xlfn.TEXTBEFORE($G68," ("),IFERROR(_xlpm.x,$G68))&amp;" SERRA"),0)),"X")</f>
        <v>0</v>
      </c>
      <c r="J68" s="358" cm="1">
        <f t="array" aca="1" ref="J68" ca="1">IFERROR(SUM(_xlfn._xlws.FILTER(FrmBB1[Cur],(FrmBB1[PrjId]=TEXT($E68,"@"))*(FrmBB1[Cia]=$D68)*(FrmBB1[Row]=$F68)*(FrmBB1[Column]=_xlfn.LET(_xlpm.x,_xlfn.TEXTBEFORE($G68," ("),IFERROR(_xlpm.x,$G68))&amp;" EXT."),0)),"X")</f>
        <v>530457.75</v>
      </c>
      <c r="K68" s="358">
        <v>0</v>
      </c>
      <c r="L68" s="358">
        <f ca="1">PrvSty[[#This Row],[Real:EXT.]]-PrvSty[[#This Row],[Ppto]]+200000</f>
        <v>-128076.17855330685</v>
      </c>
      <c r="M68" s="361">
        <f ca="1">IF(SUM(H68,K68,L68)=0,IF(SUM(I68,J68)&gt;0,1,0),1-SUM(PrvSty[[#This Row],[Real:SERRA]:[Real:EXT.]])/SUM(PrvSty[[#This Row],[AcumInt]:[AcumExt]]))</f>
        <v>0.26294773968014085</v>
      </c>
      <c r="N68" s="360" t="s">
        <v>1739</v>
      </c>
      <c r="O68" s="358">
        <f>IF(OR(PrvSty[[#This Row],[DsvAbs:SERRA]]="X",PrvSty[[#This Row],[DsvAbs:SERRA]]=""),0,IF(PrvSty[[#This Row],[DesvTyp]]="Abs",PrvSty[[#This Row],[DsvAbs:SERRA]],PrvSty[[#This Row],[DsvAbs:SERRA]]*PrvSty[[#This Row],[Ppto]]))</f>
        <v>0</v>
      </c>
      <c r="P68" s="358">
        <f ca="1">IF(OR(PrvSty[[#This Row],[DsvAbs:EXT.]]="X",PrvSty[[#This Row],[DsvAbs:EXT.]]=""),0,IF(PrvSty[[#This Row],[DesvTyp]]="Abs",PrvSty[[#This Row],[DsvAbs:EXT.]],PrvSty[[#This Row],[DsvAbs:EXT.]]*PrvSty[[#This Row],[Ppto]]))</f>
        <v>-128076.17855330685</v>
      </c>
      <c r="Q68" s="358" t="str" cm="1">
        <f t="array" aca="1" ref="Q68"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68" s="363" cm="1">
        <f t="array" aca="1" ref="R68"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122621.96425583257</v>
      </c>
      <c r="S68" s="363" cm="1">
        <f t="array" aca="1" ref="S68"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597079.71574416745</v>
      </c>
      <c r="T68" s="367" cm="1">
        <f t="array" aca="1" ref="T68"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68" s="367" cm="1">
        <f t="array" aca="1" ref="U68"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-1970.7563293072826</v>
      </c>
      <c r="V68" s="358" t="s">
        <v>2009</v>
      </c>
    </row>
    <row r="69" spans="3:22">
      <c r="C69" s="364">
        <v>45600</v>
      </c>
      <c r="D69" s="357" t="s">
        <v>2114</v>
      </c>
      <c r="E69" s="365" t="str">
        <f t="shared" ca="1" si="3"/>
        <v>31200</v>
      </c>
      <c r="F69" s="359" t="s">
        <v>1286</v>
      </c>
      <c r="G69" s="360" t="s">
        <v>1274</v>
      </c>
      <c r="H69" s="358" cm="1">
        <f t="array" aca="1" ref="H69" ca="1">IFERROR(SUM(_xlfn._xlws.FILTER(IF(MeSel="Ppto",PptoSty[CurPpto],PptoSty[CurInt]+PptoSty[CurExt]),(PptoSty[Project]=TEXT(PrvSty[[#This Row],[Project]],"@"))*(PptoSty[PptoVsRow]=PrvSty[[#This Row],[Row]])*(PptoSty[PptoVsColumn]=PrvSty[[#This Row],[Column]]),0)),"X")</f>
        <v>79920.425579793751</v>
      </c>
      <c r="I69" s="358" cm="1">
        <f t="array" aca="1" ref="I69" ca="1">IFERROR(SUM(_xlfn._xlws.FILTER(FrmBB1[Cur],(FrmBB1[PrjId]=TEXT($E69,"@"))*(FrmBB1[Cia]=$D69)*(FrmBB1[Row]=$F69)*(FrmBB1[Column]=_xlfn.LET(_xlpm.x,_xlfn.TEXTBEFORE($G69," ("),IFERROR(_xlpm.x,$G69))&amp;" SERRA"),0)),"X")</f>
        <v>18005.599999999999</v>
      </c>
      <c r="J69" s="358" cm="1">
        <f t="array" aca="1" ref="J69" ca="1">IFERROR(SUM(_xlfn._xlws.FILTER(FrmBB1[Cur],(FrmBB1[PrjId]=TEXT($E69,"@"))*(FrmBB1[Cia]=$D69)*(FrmBB1[Row]=$F69)*(FrmBB1[Column]=_xlfn.LET(_xlpm.x,_xlfn.TEXTBEFORE($G69," ("),IFERROR(_xlpm.x,$G69))&amp;" EXT."),0)),"X")</f>
        <v>3694.55</v>
      </c>
      <c r="K69" s="358">
        <v>-35000</v>
      </c>
      <c r="L69" s="358">
        <v>0</v>
      </c>
      <c r="M69" s="361">
        <f ca="1">IF(SUM(H69,K69,L69)=0,IF(SUM(I69,J69)&gt;0,1,0),1-SUM(PrvSty[[#This Row],[Real:SERRA]:[Real:EXT.]])/SUM(PrvSty[[#This Row],[AcumInt]:[AcumExt]]))</f>
        <v>-0.45439216086354772</v>
      </c>
      <c r="N69" s="360" t="s">
        <v>1739</v>
      </c>
      <c r="O69" s="358">
        <f>IF(OR(PrvSty[[#This Row],[DsvAbs:SERRA]]="X",PrvSty[[#This Row],[DsvAbs:SERRA]]=""),0,IF(PrvSty[[#This Row],[DesvTyp]]="Abs",PrvSty[[#This Row],[DsvAbs:SERRA]],PrvSty[[#This Row],[DsvAbs:SERRA]]*PrvSty[[#This Row],[Ppto]]))</f>
        <v>-35000</v>
      </c>
      <c r="P69" s="358">
        <f>IF(OR(PrvSty[[#This Row],[DsvAbs:EXT.]]="X",PrvSty[[#This Row],[DsvAbs:EXT.]]=""),0,IF(PrvSty[[#This Row],[DesvTyp]]="Abs",PrvSty[[#This Row],[DsvAbs:EXT.]],PrvSty[[#This Row],[DsvAbs:EXT.]]*PrvSty[[#This Row],[Ppto]]))</f>
        <v>0</v>
      </c>
      <c r="Q69" s="358" t="str" cm="1">
        <f t="array" aca="1" ref="Q69"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69" s="363" cm="1">
        <f t="array" aca="1" ref="R69"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3332.9617995062581</v>
      </c>
      <c r="S69" s="363" cm="1">
        <f t="array" aca="1" ref="S69"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11587.4637802875</v>
      </c>
      <c r="T69" s="367" cm="1">
        <f t="array" aca="1" ref="T69"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-934.66071184062389</v>
      </c>
      <c r="U69" s="367" cm="1">
        <f t="array" aca="1" ref="U69"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69" s="358" t="s">
        <v>2009</v>
      </c>
    </row>
    <row r="70" spans="3:22">
      <c r="C70" s="370">
        <v>45615</v>
      </c>
      <c r="D70" s="357" t="s">
        <v>2114</v>
      </c>
      <c r="E70" s="371" t="str">
        <f t="shared" ca="1" si="3"/>
        <v>31200</v>
      </c>
      <c r="F70" s="359" t="s">
        <v>1473</v>
      </c>
      <c r="G70" s="360" t="s">
        <v>380</v>
      </c>
      <c r="H70" s="358" cm="1">
        <f t="array" aca="1" ref="H70" ca="1">IFERROR(SUM(_xlfn._xlws.FILTER(IF(MeSel="Ppto",PptoSty[CurPpto],PptoSty[CurInt]+PptoSty[CurExt]),(PptoSty[Project]=TEXT(PrvSty[[#This Row],[Project]],"@"))*(PptoSty[PptoVsRow]=PrvSty[[#This Row],[Row]])*(PptoSty[PptoVsColumn]=PrvSty[[#This Row],[Column]]),0)),"X")</f>
        <v>0</v>
      </c>
      <c r="I70" s="358" cm="1">
        <f t="array" aca="1" ref="I70" ca="1">IFERROR(SUM(_xlfn._xlws.FILTER(FrmBB1[Cur],(FrmBB1[PrjId]=TEXT($E70,"@"))*(FrmBB1[Cia]=$D70)*(FrmBB1[Row]=$F70)*(FrmBB1[Column]=_xlfn.LET(_xlpm.x,_xlfn.TEXTBEFORE($G70," ("),IFERROR(_xlpm.x,$G70))&amp;" SERRA"),0)),"X")</f>
        <v>7207.43</v>
      </c>
      <c r="J70" s="358" cm="1">
        <f t="array" aca="1" ref="J70" ca="1">IFERROR(SUM(_xlfn._xlws.FILTER(FrmBB1[Cur],(FrmBB1[PrjId]=TEXT($E70,"@"))*(FrmBB1[Cia]=$D70)*(FrmBB1[Row]=$F70)*(FrmBB1[Column]=_xlfn.LET(_xlpm.x,_xlfn.TEXTBEFORE($G70," ("),IFERROR(_xlpm.x,$G70))&amp;" EXT."),0)),"X")</f>
        <v>0</v>
      </c>
      <c r="K70" s="358">
        <v>1372.02</v>
      </c>
      <c r="L70" s="358">
        <v>0</v>
      </c>
      <c r="M70" s="361">
        <f ca="1">IF(SUM(H70,K70,L70)=0,IF(SUM(I70,J70)&gt;0,1,0),1-SUM(PrvSty[[#This Row],[Real:SERRA]:[Real:EXT.]])/SUM(PrvSty[[#This Row],[AcumInt]:[AcumExt]]))</f>
        <v>-0.88711746716658646</v>
      </c>
      <c r="N70" s="360" t="s">
        <v>1739</v>
      </c>
      <c r="O70" s="358">
        <f>IF(OR(PrvSty[[#This Row],[DsvAbs:SERRA]]="X",PrvSty[[#This Row],[DsvAbs:SERRA]]=""),0,IF(PrvSty[[#This Row],[DesvTyp]]="Abs",PrvSty[[#This Row],[DsvAbs:SERRA]],PrvSty[[#This Row],[DsvAbs:SERRA]]*PrvSty[[#This Row],[Ppto]]))</f>
        <v>1372.02</v>
      </c>
      <c r="P70" s="358">
        <f>IF(OR(PrvSty[[#This Row],[DsvAbs:EXT.]]="X",PrvSty[[#This Row],[DsvAbs:EXT.]]=""),0,IF(PrvSty[[#This Row],[DesvTyp]]="Abs",PrvSty[[#This Row],[DsvAbs:EXT.]],PrvSty[[#This Row],[DsvAbs:EXT.]]*PrvSty[[#This Row],[Ppto]]))</f>
        <v>0</v>
      </c>
      <c r="Q70" s="358" t="str" cm="1">
        <f t="array" aca="1" ref="Q70"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70" s="363" cm="1">
        <f t="array" aca="1" ref="R70"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3819.28</v>
      </c>
      <c r="S70" s="363" cm="1">
        <f t="array" aca="1" ref="S70"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70" s="367" cm="1">
        <f t="array" aca="1" ref="T70"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45.311363991602391</v>
      </c>
      <c r="U70" s="367" cm="1">
        <f t="array" aca="1" ref="U70"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70" s="358" t="s">
        <v>2056</v>
      </c>
    </row>
    <row r="71" spans="3:22">
      <c r="C71" s="370">
        <v>45615</v>
      </c>
      <c r="D71" s="357" t="s">
        <v>2114</v>
      </c>
      <c r="E71" s="371" t="str">
        <f t="shared" ca="1" si="3"/>
        <v>31200</v>
      </c>
      <c r="F71" s="359" t="s">
        <v>1473</v>
      </c>
      <c r="G71" s="360" t="s">
        <v>373</v>
      </c>
      <c r="H71" s="358" cm="1">
        <f t="array" aca="1" ref="H71" ca="1">IFERROR(SUM(_xlfn._xlws.FILTER(IF(MeSel="Ppto",PptoSty[CurPpto],PptoSty[CurInt]+PptoSty[CurExt]),(PptoSty[Project]=TEXT(PrvSty[[#This Row],[Project]],"@"))*(PptoSty[PptoVsRow]=PrvSty[[#This Row],[Row]])*(PptoSty[PptoVsColumn]=PrvSty[[#This Row],[Column]]),0)),"X")</f>
        <v>0</v>
      </c>
      <c r="I71" s="358" cm="1">
        <f t="array" aca="1" ref="I71" ca="1">IFERROR(SUM(_xlfn._xlws.FILTER(FrmBB1[Cur],(FrmBB1[PrjId]=TEXT($E71,"@"))*(FrmBB1[Cia]=$D71)*(FrmBB1[Row]=$F71)*(FrmBB1[Column]=_xlfn.LET(_xlpm.x,_xlfn.TEXTBEFORE($G71," ("),IFERROR(_xlpm.x,$G71))&amp;" SERRA"),0)),"X")</f>
        <v>16514.439999999999</v>
      </c>
      <c r="J71" s="358" cm="1">
        <f t="array" aca="1" ref="J71" ca="1">IFERROR(SUM(_xlfn._xlws.FILTER(FrmBB1[Cur],(FrmBB1[PrjId]=TEXT($E71,"@"))*(FrmBB1[Cia]=$D71)*(FrmBB1[Row]=$F71)*(FrmBB1[Column]=_xlfn.LET(_xlpm.x,_xlfn.TEXTBEFORE($G71," ("),IFERROR(_xlpm.x,$G71))&amp;" EXT."),0)),"X")</f>
        <v>0</v>
      </c>
      <c r="K71" s="358">
        <v>1388.9099999999999</v>
      </c>
      <c r="L71" s="358">
        <v>0</v>
      </c>
      <c r="M71" s="361">
        <f ca="1">IF(SUM(H71,K71,L71)=0,IF(SUM(I71,J71)&gt;0,1,0),1-SUM(PrvSty[[#This Row],[Real:SERRA]:[Real:EXT.]])/SUM(PrvSty[[#This Row],[AcumInt]:[AcumExt]]))</f>
        <v>-0.59041653665545679</v>
      </c>
      <c r="N71" s="360" t="s">
        <v>1739</v>
      </c>
      <c r="O71" s="358">
        <f>IF(OR(PrvSty[[#This Row],[DsvAbs:SERRA]]="X",PrvSty[[#This Row],[DsvAbs:SERRA]]=""),0,IF(PrvSty[[#This Row],[DesvTyp]]="Abs",PrvSty[[#This Row],[DsvAbs:SERRA]],PrvSty[[#This Row],[DsvAbs:SERRA]]*PrvSty[[#This Row],[Ppto]]))</f>
        <v>1388.9099999999999</v>
      </c>
      <c r="P71" s="358">
        <f>IF(OR(PrvSty[[#This Row],[DsvAbs:EXT.]]="X",PrvSty[[#This Row],[DsvAbs:EXT.]]=""),0,IF(PrvSty[[#This Row],[DesvTyp]]="Abs",PrvSty[[#This Row],[DsvAbs:EXT.]],PrvSty[[#This Row],[DsvAbs:EXT.]]*PrvSty[[#This Row],[Ppto]]))</f>
        <v>0</v>
      </c>
      <c r="Q71" s="358" t="str" cm="1">
        <f t="array" aca="1" ref="Q71"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71" s="363" cm="1">
        <f t="array" aca="1" ref="R71"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10383.719999999999</v>
      </c>
      <c r="S71" s="363" cm="1">
        <f t="array" aca="1" ref="S71"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71" s="367" cm="1">
        <f t="array" aca="1" ref="T71"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29.927630483386128</v>
      </c>
      <c r="U71" s="367" cm="1">
        <f t="array" aca="1" ref="U71"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71" s="358" t="s">
        <v>2057</v>
      </c>
    </row>
    <row r="72" spans="3:22">
      <c r="C72" s="364">
        <v>45619</v>
      </c>
      <c r="D72" s="357" t="s">
        <v>2114</v>
      </c>
      <c r="E72" s="365" t="str">
        <f t="shared" ca="1" si="3"/>
        <v>31200</v>
      </c>
      <c r="F72" s="359" t="s">
        <v>1467</v>
      </c>
      <c r="G72" s="360" t="s">
        <v>377</v>
      </c>
      <c r="H72" s="358" cm="1">
        <f t="array" aca="1" ref="H72" ca="1">IFERROR(SUM(_xlfn._xlws.FILTER(IF(MeSel="Ppto",PptoSty[CurPpto],PptoSty[CurInt]+PptoSty[CurExt]),(PptoSty[Project]=TEXT(PrvSty[[#This Row],[Project]],"@"))*(PptoSty[PptoVsRow]=PrvSty[[#This Row],[Row]])*(PptoSty[PptoVsColumn]=PrvSty[[#This Row],[Column]]),0)),"X")</f>
        <v>82000.919099999999</v>
      </c>
      <c r="I72" s="358" cm="1">
        <f t="array" aca="1" ref="I72" ca="1">IFERROR(SUM(_xlfn._xlws.FILTER(FrmBB1[Cur],(FrmBB1[PrjId]=TEXT($E72,"@"))*(FrmBB1[Cia]=$D72)*(FrmBB1[Row]=$F72)*(FrmBB1[Column]=_xlfn.LET(_xlpm.x,_xlfn.TEXTBEFORE($G72," ("),IFERROR(_xlpm.x,$G72))&amp;" SERRA"),0)),"X")</f>
        <v>219.72</v>
      </c>
      <c r="J72" s="358" cm="1">
        <f t="array" aca="1" ref="J72" ca="1">IFERROR(SUM(_xlfn._xlws.FILTER(FrmBB1[Cur],(FrmBB1[PrjId]=TEXT($E72,"@"))*(FrmBB1[Cia]=$D72)*(FrmBB1[Row]=$F72)*(FrmBB1[Column]=_xlfn.LET(_xlpm.x,_xlfn.TEXTBEFORE($G72," ("),IFERROR(_xlpm.x,$G72))&amp;" EXT."),0)),"X")</f>
        <v>0</v>
      </c>
      <c r="K72" s="358">
        <v>20000</v>
      </c>
      <c r="L72" s="358">
        <v>0</v>
      </c>
      <c r="M72" s="361">
        <f ca="1">IF(SUM(H72,K72,L72)=0,IF(SUM(I72,J72)&gt;0,1,0),1-SUM(PrvSty[[#This Row],[Real:SERRA]:[Real:EXT.]])/SUM(PrvSty[[#This Row],[AcumInt]:[AcumExt]]))</f>
        <v>0.99784590176305576</v>
      </c>
      <c r="N72" s="360" t="s">
        <v>1739</v>
      </c>
      <c r="O72" s="358">
        <f>IF(OR(PrvSty[[#This Row],[DsvAbs:SERRA]]="X",PrvSty[[#This Row],[DsvAbs:SERRA]]=""),0,IF(PrvSty[[#This Row],[DesvTyp]]="Abs",PrvSty[[#This Row],[DsvAbs:SERRA]],PrvSty[[#This Row],[DsvAbs:SERRA]]*PrvSty[[#This Row],[Ppto]]))</f>
        <v>20000</v>
      </c>
      <c r="P72" s="358">
        <f>IF(OR(PrvSty[[#This Row],[DsvAbs:EXT.]]="X",PrvSty[[#This Row],[DsvAbs:EXT.]]=""),0,IF(PrvSty[[#This Row],[DesvTyp]]="Abs",PrvSty[[#This Row],[DsvAbs:EXT.]],PrvSty[[#This Row],[DsvAbs:EXT.]]*PrvSty[[#This Row],[Ppto]]))</f>
        <v>0</v>
      </c>
      <c r="Q72" s="358" t="str" cm="1">
        <f t="array" aca="1" ref="Q72"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72" s="363" cm="1">
        <f t="array" aca="1" ref="R72"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59223.037369999998</v>
      </c>
      <c r="S72" s="363" cm="1">
        <f t="array" aca="1" ref="S72"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42777.881729999994</v>
      </c>
      <c r="T72" s="367" cm="1">
        <f t="array" aca="1" ref="T72"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429.55644808200151</v>
      </c>
      <c r="U72" s="367" cm="1">
        <f t="array" aca="1" ref="U72"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72" s="358" t="s">
        <v>2101</v>
      </c>
    </row>
    <row r="73" spans="3:22">
      <c r="C73" s="364">
        <v>45619</v>
      </c>
      <c r="D73" s="357" t="s">
        <v>2114</v>
      </c>
      <c r="E73" s="365" t="str">
        <f t="shared" ca="1" si="3"/>
        <v>31200</v>
      </c>
      <c r="F73" s="359" t="s">
        <v>1284</v>
      </c>
      <c r="G73" s="360" t="s">
        <v>377</v>
      </c>
      <c r="H73" s="358" cm="1">
        <f t="array" aca="1" ref="H73" ca="1">IFERROR(SUM(_xlfn._xlws.FILTER(IF(MeSel="Ppto",PptoSty[CurPpto],PptoSty[CurInt]+PptoSty[CurExt]),(PptoSty[Project]=TEXT(PrvSty[[#This Row],[Project]],"@"))*(PptoSty[PptoVsRow]=PrvSty[[#This Row],[Row]])*(PptoSty[PptoVsColumn]=PrvSty[[#This Row],[Column]]),0)),"X")</f>
        <v>148449.93974999999</v>
      </c>
      <c r="I73" s="358" cm="1">
        <f t="array" aca="1" ref="I73" ca="1">IFERROR(SUM(_xlfn._xlws.FILTER(FrmBB1[Cur],(FrmBB1[PrjId]=TEXT($E73,"@"))*(FrmBB1[Cia]=$D73)*(FrmBB1[Row]=$F73)*(FrmBB1[Column]=_xlfn.LET(_xlpm.x,_xlfn.TEXTBEFORE($G73," ("),IFERROR(_xlpm.x,$G73))&amp;" SERRA"),0)),"X")</f>
        <v>22061.360000000001</v>
      </c>
      <c r="J73" s="358" cm="1">
        <f t="array" aca="1" ref="J73" ca="1">IFERROR(SUM(_xlfn._xlws.FILTER(FrmBB1[Cur],(FrmBB1[PrjId]=TEXT($E73,"@"))*(FrmBB1[Cia]=$D73)*(FrmBB1[Row]=$F73)*(FrmBB1[Column]=_xlfn.LET(_xlpm.x,_xlfn.TEXTBEFORE($G73," ("),IFERROR(_xlpm.x,$G73))&amp;" EXT."),0)),"X")</f>
        <v>18000</v>
      </c>
      <c r="K73" s="358">
        <v>-20000</v>
      </c>
      <c r="L73" s="358">
        <v>0</v>
      </c>
      <c r="M73" s="361">
        <f ca="1">IF(SUM(H73,K73,L73)=0,IF(SUM(I73,J73)&gt;0,1,0),1-SUM(PrvSty[[#This Row],[Real:SERRA]:[Real:EXT.]])/SUM(PrvSty[[#This Row],[AcumInt]:[AcumExt]]))</f>
        <v>0.68811694207120089</v>
      </c>
      <c r="N73" s="360" t="s">
        <v>1739</v>
      </c>
      <c r="O73" s="358">
        <f>IF(OR(PrvSty[[#This Row],[DsvAbs:SERRA]]="X",PrvSty[[#This Row],[DsvAbs:SERRA]]=""),0,IF(PrvSty[[#This Row],[DesvTyp]]="Abs",PrvSty[[#This Row],[DsvAbs:SERRA]],PrvSty[[#This Row],[DsvAbs:SERRA]]*PrvSty[[#This Row],[Ppto]]))</f>
        <v>-20000</v>
      </c>
      <c r="P73" s="358">
        <f>IF(OR(PrvSty[[#This Row],[DsvAbs:EXT.]]="X",PrvSty[[#This Row],[DsvAbs:EXT.]]=""),0,IF(PrvSty[[#This Row],[DesvTyp]]="Abs",PrvSty[[#This Row],[DsvAbs:EXT.]],PrvSty[[#This Row],[DsvAbs:EXT.]]*PrvSty[[#This Row],[Ppto]]))</f>
        <v>0</v>
      </c>
      <c r="Q73" s="358" t="str" cm="1">
        <f t="array" aca="1" ref="Q73"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73" s="363" cm="1">
        <f t="array" aca="1" ref="R73"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51007.22282499999</v>
      </c>
      <c r="S73" s="363" cm="1">
        <f t="array" aca="1" ref="S73"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77442.716925000001</v>
      </c>
      <c r="T73" s="367" cm="1">
        <f t="array" aca="1" ref="T73"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-429.55644808200151</v>
      </c>
      <c r="U73" s="367" cm="1">
        <f t="array" aca="1" ref="U73"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73" s="358" t="s">
        <v>2101</v>
      </c>
    </row>
    <row r="74" spans="3:22">
      <c r="C74" s="364">
        <v>45619</v>
      </c>
      <c r="D74" s="357" t="s">
        <v>2114</v>
      </c>
      <c r="E74" s="365" t="str">
        <f t="shared" ca="1" si="3"/>
        <v>31200</v>
      </c>
      <c r="F74" s="359" t="s">
        <v>2051</v>
      </c>
      <c r="G74" s="360" t="s">
        <v>372</v>
      </c>
      <c r="H74" s="358" cm="1">
        <f t="array" aca="1" ref="H74" ca="1">IFERROR(SUM(_xlfn._xlws.FILTER(IF(MeSel="Ppto",PptoSty[CurPpto],PptoSty[CurInt]+PptoSty[CurExt]),(PptoSty[Project]=TEXT(PrvSty[[#This Row],[Project]],"@"))*(PptoSty[PptoVsRow]=PrvSty[[#This Row],[Row]])*(PptoSty[PptoVsColumn]=PrvSty[[#This Row],[Column]]),0)),"X")</f>
        <v>0</v>
      </c>
      <c r="I74" s="358" cm="1">
        <f t="array" aca="1" ref="I74" ca="1">IFERROR(SUM(_xlfn._xlws.FILTER(FrmBB1[Cur],(FrmBB1[PrjId]=TEXT($E74,"@"))*(FrmBB1[Cia]=$D74)*(FrmBB1[Row]=$F74)*(FrmBB1[Column]=_xlfn.LET(_xlpm.x,_xlfn.TEXTBEFORE($G74," ("),IFERROR(_xlpm.x,$G74))&amp;" SERRA"),0)),"X")</f>
        <v>0</v>
      </c>
      <c r="J74" s="358" cm="1">
        <f t="array" aca="1" ref="J74" ca="1">IFERROR(SUM(_xlfn._xlws.FILTER(FrmBB1[Cur],(FrmBB1[PrjId]=TEXT($E74,"@"))*(FrmBB1[Cia]=$D74)*(FrmBB1[Row]=$F74)*(FrmBB1[Column]=_xlfn.LET(_xlpm.x,_xlfn.TEXTBEFORE($G74," ("),IFERROR(_xlpm.x,$G74))&amp;" EXT."),0)),"X")</f>
        <v>0</v>
      </c>
      <c r="K74" s="358">
        <v>20000</v>
      </c>
      <c r="L74" s="358">
        <v>0</v>
      </c>
      <c r="M74" s="361">
        <f ca="1">IF(SUM(H74,K74,L74)=0,IF(SUM(I74,J74)&gt;0,1,0),1-SUM(PrvSty[[#This Row],[Real:SERRA]:[Real:EXT.]])/SUM(PrvSty[[#This Row],[AcumInt]:[AcumExt]]))</f>
        <v>1</v>
      </c>
      <c r="N74" s="360" t="s">
        <v>1739</v>
      </c>
      <c r="O74" s="358">
        <f>IF(OR(PrvSty[[#This Row],[DsvAbs:SERRA]]="X",PrvSty[[#This Row],[DsvAbs:SERRA]]=""),0,IF(PrvSty[[#This Row],[DesvTyp]]="Abs",PrvSty[[#This Row],[DsvAbs:SERRA]],PrvSty[[#This Row],[DsvAbs:SERRA]]*PrvSty[[#This Row],[Ppto]]))</f>
        <v>20000</v>
      </c>
      <c r="P74" s="358">
        <f>IF(OR(PrvSty[[#This Row],[DsvAbs:EXT.]]="X",PrvSty[[#This Row],[DsvAbs:EXT.]]=""),0,IF(PrvSty[[#This Row],[DesvTyp]]="Abs",PrvSty[[#This Row],[DsvAbs:EXT.]],PrvSty[[#This Row],[DsvAbs:EXT.]]*PrvSty[[#This Row],[Ppto]]))</f>
        <v>0</v>
      </c>
      <c r="Q74" s="358" t="str" cm="1">
        <f t="array" aca="1" ref="Q74"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74" s="363" cm="1">
        <f t="array" aca="1" ref="R74"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20000</v>
      </c>
      <c r="S74" s="363" cm="1">
        <f t="array" aca="1" ref="S74"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74" s="367" cm="1">
        <f t="array" aca="1" ref="T74"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420.6603884608291</v>
      </c>
      <c r="U74" s="367" cm="1">
        <f t="array" aca="1" ref="U74"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74" s="358" t="s">
        <v>2102</v>
      </c>
    </row>
    <row r="75" spans="3:22">
      <c r="C75" s="364">
        <v>45619</v>
      </c>
      <c r="D75" s="357" t="s">
        <v>2114</v>
      </c>
      <c r="E75" s="365" t="str">
        <f t="shared" ca="1" si="3"/>
        <v>31200</v>
      </c>
      <c r="F75" s="359" t="s">
        <v>1467</v>
      </c>
      <c r="G75" s="360" t="s">
        <v>372</v>
      </c>
      <c r="H75" s="358" cm="1">
        <f t="array" aca="1" ref="H75" ca="1">IFERROR(SUM(_xlfn._xlws.FILTER(IF(MeSel="Ppto",PptoSty[CurPpto],PptoSty[CurInt]+PptoSty[CurExt]),(PptoSty[Project]=TEXT(PrvSty[[#This Row],[Project]],"@"))*(PptoSty[PptoVsRow]=PrvSty[[#This Row],[Row]])*(PptoSty[PptoVsColumn]=PrvSty[[#This Row],[Column]]),0)),"X")</f>
        <v>185389.35690000001</v>
      </c>
      <c r="I75" s="358" cm="1">
        <f t="array" aca="1" ref="I75" ca="1">IFERROR(SUM(_xlfn._xlws.FILTER(FrmBB1[Cur],(FrmBB1[PrjId]=TEXT($E75,"@"))*(FrmBB1[Cia]=$D75)*(FrmBB1[Row]=$F75)*(FrmBB1[Column]=_xlfn.LET(_xlpm.x,_xlfn.TEXTBEFORE($G75," ("),IFERROR(_xlpm.x,$G75))&amp;" SERRA"),0)),"X")</f>
        <v>575.74</v>
      </c>
      <c r="J75" s="358" cm="1">
        <f t="array" aca="1" ref="J75" ca="1">IFERROR(SUM(_xlfn._xlws.FILTER(FrmBB1[Cur],(FrmBB1[PrjId]=TEXT($E75,"@"))*(FrmBB1[Cia]=$D75)*(FrmBB1[Row]=$F75)*(FrmBB1[Column]=_xlfn.LET(_xlpm.x,_xlfn.TEXTBEFORE($G75," ("),IFERROR(_xlpm.x,$G75))&amp;" EXT."),0)),"X")</f>
        <v>0</v>
      </c>
      <c r="K75" s="358">
        <v>-20000</v>
      </c>
      <c r="L75" s="358">
        <v>0</v>
      </c>
      <c r="M75" s="361">
        <f ca="1">IF(SUM(H75,K75,L75)=0,IF(SUM(I75,J75)&gt;0,1,0),1-SUM(PrvSty[[#This Row],[Real:SERRA]:[Real:EXT.]])/SUM(PrvSty[[#This Row],[AcumInt]:[AcumExt]]))</f>
        <v>0.99651888119772958</v>
      </c>
      <c r="N75" s="360" t="s">
        <v>1739</v>
      </c>
      <c r="O75" s="358">
        <f>IF(OR(PrvSty[[#This Row],[DsvAbs:SERRA]]="X",PrvSty[[#This Row],[DsvAbs:SERRA]]=""),0,IF(PrvSty[[#This Row],[DesvTyp]]="Abs",PrvSty[[#This Row],[DsvAbs:SERRA]],PrvSty[[#This Row],[DsvAbs:SERRA]]*PrvSty[[#This Row],[Ppto]]))</f>
        <v>-20000</v>
      </c>
      <c r="P75" s="358">
        <f>IF(OR(PrvSty[[#This Row],[DsvAbs:EXT.]]="X",PrvSty[[#This Row],[DsvAbs:EXT.]]=""),0,IF(PrvSty[[#This Row],[DesvTyp]]="Abs",PrvSty[[#This Row],[DsvAbs:EXT.]],PrvSty[[#This Row],[DsvAbs:EXT.]]*PrvSty[[#This Row],[Ppto]]))</f>
        <v>0</v>
      </c>
      <c r="Q75" s="358" t="str" cm="1">
        <f t="array" aca="1" ref="Q75"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75" s="363" cm="1">
        <f t="array" aca="1" ref="R75"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47327.769740800009</v>
      </c>
      <c r="S75" s="363" cm="1">
        <f t="array" aca="1" ref="S75"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118061.58715919999</v>
      </c>
      <c r="T75" s="367" cm="1">
        <f t="array" aca="1" ref="T75"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-420.6603884608291</v>
      </c>
      <c r="U75" s="367" cm="1">
        <f t="array" aca="1" ref="U75"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75" s="358" t="s">
        <v>2101</v>
      </c>
    </row>
    <row r="76" spans="3:22">
      <c r="C76" s="370">
        <v>45621</v>
      </c>
      <c r="D76" s="357" t="s">
        <v>2114</v>
      </c>
      <c r="E76" s="371" t="str">
        <f t="shared" ca="1" si="3"/>
        <v>31200</v>
      </c>
      <c r="F76" s="359" t="s">
        <v>358</v>
      </c>
      <c r="G76" s="360" t="s">
        <v>387</v>
      </c>
      <c r="H76" s="358" cm="1">
        <f t="array" aca="1" ref="H76" ca="1">IFERROR(SUM(_xlfn._xlws.FILTER(IF(MeSel="Ppto",PptoSty[CurPpto],PptoSty[CurInt]+PptoSty[CurExt]),(PptoSty[Project]=TEXT(PrvSty[[#This Row],[Project]],"@"))*(PptoSty[PptoVsRow]=PrvSty[[#This Row],[Row]])*(PptoSty[PptoVsColumn]=PrvSty[[#This Row],[Column]]),0)),"X")</f>
        <v>68668.844164500013</v>
      </c>
      <c r="I76" s="358" cm="1">
        <f t="array" aca="1" ref="I76" ca="1">IFERROR(SUM(_xlfn._xlws.FILTER(FrmBB1[Cur],(FrmBB1[PrjId]=TEXT($E76,"@"))*(FrmBB1[Cia]=$D76)*(FrmBB1[Row]=$F76)*(FrmBB1[Column]=_xlfn.LET(_xlpm.x,_xlfn.TEXTBEFORE($G76," ("),IFERROR(_xlpm.x,$G76))&amp;" SERRA"),0)),"X")</f>
        <v>74664.240000000005</v>
      </c>
      <c r="J76" s="358" cm="1">
        <f t="array" aca="1" ref="J76" ca="1">IFERROR(SUM(_xlfn._xlws.FILTER(FrmBB1[Cur],(FrmBB1[PrjId]=TEXT($E76,"@"))*(FrmBB1[Cia]=$D76)*(FrmBB1[Row]=$F76)*(FrmBB1[Column]=_xlfn.LET(_xlpm.x,_xlfn.TEXTBEFORE($G76," ("),IFERROR(_xlpm.x,$G76))&amp;" EXT."),0)),"X")</f>
        <v>0</v>
      </c>
      <c r="K76" s="358">
        <v>-15000</v>
      </c>
      <c r="L76" s="358">
        <v>0</v>
      </c>
      <c r="M76" s="361">
        <f ca="1">IF(SUM(H76,K76,L76)=0,IF(SUM(I76,J76)&gt;0,1,0),1-SUM(PrvSty[[#This Row],[Real:SERRA]:[Real:EXT.]])/SUM(PrvSty[[#This Row],[AcumInt]:[AcumExt]]))</f>
        <v>-0.39120268309015827</v>
      </c>
      <c r="N76" s="360" t="s">
        <v>1739</v>
      </c>
      <c r="O76" s="358">
        <f>IF(OR(PrvSty[[#This Row],[DsvAbs:SERRA]]="X",PrvSty[[#This Row],[DsvAbs:SERRA]]=""),0,IF(PrvSty[[#This Row],[DesvTyp]]="Abs",PrvSty[[#This Row],[DsvAbs:SERRA]],PrvSty[[#This Row],[DsvAbs:SERRA]]*PrvSty[[#This Row],[Ppto]]))</f>
        <v>-15000</v>
      </c>
      <c r="P76" s="358">
        <f>IF(OR(PrvSty[[#This Row],[DsvAbs:EXT.]]="X",PrvSty[[#This Row],[DsvAbs:EXT.]]=""),0,IF(PrvSty[[#This Row],[DesvTyp]]="Abs",PrvSty[[#This Row],[DsvAbs:EXT.]],PrvSty[[#This Row],[DsvAbs:EXT.]]*PrvSty[[#This Row],[Ppto]]))</f>
        <v>0</v>
      </c>
      <c r="Q76" s="358" t="str" cm="1">
        <f t="array" aca="1" ref="Q76"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76" s="363" cm="1">
        <f t="array" aca="1" ref="R76"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53668.844164500013</v>
      </c>
      <c r="S76" s="363" cm="1">
        <f t="array" aca="1" ref="S76"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76" s="367" cm="1">
        <f t="array" aca="1" ref="T76"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-290.9100824825818</v>
      </c>
      <c r="U76" s="367" cm="1">
        <f t="array" aca="1" ref="U76"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76" s="358" t="s">
        <v>2103</v>
      </c>
    </row>
    <row r="77" spans="3:22">
      <c r="C77" s="370">
        <v>45621</v>
      </c>
      <c r="D77" s="357" t="s">
        <v>2114</v>
      </c>
      <c r="E77" s="371" t="str">
        <f t="shared" ca="1" si="3"/>
        <v>31200</v>
      </c>
      <c r="F77" s="359" t="s">
        <v>1284</v>
      </c>
      <c r="G77" s="360" t="s">
        <v>387</v>
      </c>
      <c r="H77" s="358" cm="1">
        <f t="array" aca="1" ref="H77" ca="1">IFERROR(SUM(_xlfn._xlws.FILTER(IF(MeSel="Ppto",PptoSty[CurPpto],PptoSty[CurInt]+PptoSty[CurExt]),(PptoSty[Project]=TEXT(PrvSty[[#This Row],[Project]],"@"))*(PptoSty[PptoVsRow]=PrvSty[[#This Row],[Row]])*(PptoSty[PptoVsColumn]=PrvSty[[#This Row],[Column]]),0)),"X")</f>
        <v>58914.315648449992</v>
      </c>
      <c r="I77" s="358" cm="1">
        <f t="array" aca="1" ref="I77" ca="1">IFERROR(SUM(_xlfn._xlws.FILTER(FrmBB1[Cur],(FrmBB1[PrjId]=TEXT($E77,"@"))*(FrmBB1[Cia]=$D77)*(FrmBB1[Row]=$F77)*(FrmBB1[Column]=_xlfn.LET(_xlpm.x,_xlfn.TEXTBEFORE($G77," ("),IFERROR(_xlpm.x,$G77))&amp;" SERRA"),0)),"X")</f>
        <v>2868.32</v>
      </c>
      <c r="J77" s="358" cm="1">
        <f t="array" aca="1" ref="J77" ca="1">IFERROR(SUM(_xlfn._xlws.FILTER(FrmBB1[Cur],(FrmBB1[PrjId]=TEXT($E77,"@"))*(FrmBB1[Cia]=$D77)*(FrmBB1[Row]=$F77)*(FrmBB1[Column]=_xlfn.LET(_xlpm.x,_xlfn.TEXTBEFORE($G77," ("),IFERROR(_xlpm.x,$G77))&amp;" EXT."),0)),"X")</f>
        <v>0</v>
      </c>
      <c r="K77" s="358">
        <v>-20000</v>
      </c>
      <c r="L77" s="358">
        <v>0</v>
      </c>
      <c r="M77" s="361">
        <f ca="1">IF(SUM(H77,K77,L77)=0,IF(SUM(I77,J77)&gt;0,1,0),1-SUM(PrvSty[[#This Row],[Real:SERRA]:[Real:EXT.]])/SUM(PrvSty[[#This Row],[AcumInt]:[AcumExt]]))</f>
        <v>0.92629139296930563</v>
      </c>
      <c r="N77" s="360" t="s">
        <v>1739</v>
      </c>
      <c r="O77" s="358">
        <f>IF(OR(PrvSty[[#This Row],[DsvAbs:SERRA]]="X",PrvSty[[#This Row],[DsvAbs:SERRA]]=""),0,IF(PrvSty[[#This Row],[DesvTyp]]="Abs",PrvSty[[#This Row],[DsvAbs:SERRA]],PrvSty[[#This Row],[DsvAbs:SERRA]]*PrvSty[[#This Row],[Ppto]]))</f>
        <v>-20000</v>
      </c>
      <c r="P77" s="358">
        <f>IF(OR(PrvSty[[#This Row],[DsvAbs:EXT.]]="X",PrvSty[[#This Row],[DsvAbs:EXT.]]=""),0,IF(PrvSty[[#This Row],[DesvTyp]]="Abs",PrvSty[[#This Row],[DsvAbs:EXT.]],PrvSty[[#This Row],[DsvAbs:EXT.]]*PrvSty[[#This Row],[Ppto]]))</f>
        <v>0</v>
      </c>
      <c r="Q77" s="358" t="str" cm="1">
        <f t="array" aca="1" ref="Q77"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77" s="363" cm="1">
        <f t="array" aca="1" ref="R77"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38914.315648449992</v>
      </c>
      <c r="S77" s="363" cm="1">
        <f t="array" aca="1" ref="S77"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77" s="367" cm="1">
        <f t="array" aca="1" ref="T77"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-387.88010997677577</v>
      </c>
      <c r="U77" s="367" cm="1">
        <f t="array" aca="1" ref="U77"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77" s="358" t="s">
        <v>2103</v>
      </c>
    </row>
    <row r="78" spans="3:22">
      <c r="C78" s="370">
        <v>45621</v>
      </c>
      <c r="D78" s="357" t="s">
        <v>2114</v>
      </c>
      <c r="E78" s="371" t="str">
        <f t="shared" ca="1" si="3"/>
        <v>31200</v>
      </c>
      <c r="F78" s="359" t="s">
        <v>1467</v>
      </c>
      <c r="G78" s="360" t="s">
        <v>387</v>
      </c>
      <c r="H78" s="358" cm="1">
        <f t="array" aca="1" ref="H78" ca="1">IFERROR(SUM(_xlfn._xlws.FILTER(IF(MeSel="Ppto",PptoSty[CurPpto],PptoSty[CurInt]+PptoSty[CurExt]),(PptoSty[Project]=TEXT(PrvSty[[#This Row],[Project]],"@"))*(PptoSty[PptoVsRow]=PrvSty[[#This Row],[Row]])*(PptoSty[PptoVsColumn]=PrvSty[[#This Row],[Column]]),0)),"X")</f>
        <v>20577.269987999996</v>
      </c>
      <c r="I78" s="358" cm="1">
        <f t="array" aca="1" ref="I78" ca="1">IFERROR(SUM(_xlfn._xlws.FILTER(FrmBB1[Cur],(FrmBB1[PrjId]=TEXT($E78,"@"))*(FrmBB1[Cia]=$D78)*(FrmBB1[Row]=$F78)*(FrmBB1[Column]=_xlfn.LET(_xlpm.x,_xlfn.TEXTBEFORE($G78," ("),IFERROR(_xlpm.x,$G78))&amp;" SERRA"),0)),"X")</f>
        <v>0</v>
      </c>
      <c r="J78" s="358" cm="1">
        <f t="array" aca="1" ref="J78" ca="1">IFERROR(SUM(_xlfn._xlws.FILTER(FrmBB1[Cur],(FrmBB1[PrjId]=TEXT($E78,"@"))*(FrmBB1[Cia]=$D78)*(FrmBB1[Row]=$F78)*(FrmBB1[Column]=_xlfn.LET(_xlpm.x,_xlfn.TEXTBEFORE($G78," ("),IFERROR(_xlpm.x,$G78))&amp;" EXT."),0)),"X")</f>
        <v>0</v>
      </c>
      <c r="K78" s="358">
        <v>15000</v>
      </c>
      <c r="L78" s="358">
        <v>0</v>
      </c>
      <c r="M78" s="361">
        <f ca="1">IF(SUM(H78,K78,L78)=0,IF(SUM(I78,J78)&gt;0,1,0),1-SUM(PrvSty[[#This Row],[Real:SERRA]:[Real:EXT.]])/SUM(PrvSty[[#This Row],[AcumInt]:[AcumExt]]))</f>
        <v>1</v>
      </c>
      <c r="N78" s="360" t="s">
        <v>1739</v>
      </c>
      <c r="O78" s="358">
        <f>IF(OR(PrvSty[[#This Row],[DsvAbs:SERRA]]="X",PrvSty[[#This Row],[DsvAbs:SERRA]]=""),0,IF(PrvSty[[#This Row],[DesvTyp]]="Abs",PrvSty[[#This Row],[DsvAbs:SERRA]],PrvSty[[#This Row],[DsvAbs:SERRA]]*PrvSty[[#This Row],[Ppto]]))</f>
        <v>15000</v>
      </c>
      <c r="P78" s="358">
        <f>IF(OR(PrvSty[[#This Row],[DsvAbs:EXT.]]="X",PrvSty[[#This Row],[DsvAbs:EXT.]]=""),0,IF(PrvSty[[#This Row],[DesvTyp]]="Abs",PrvSty[[#This Row],[DsvAbs:EXT.]],PrvSty[[#This Row],[DsvAbs:EXT.]]*PrvSty[[#This Row],[Ppto]]))</f>
        <v>0</v>
      </c>
      <c r="Q78" s="358" t="str" cm="1">
        <f t="array" aca="1" ref="Q78"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78" s="363" cm="1">
        <f t="array" aca="1" ref="R78"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35577.269988</v>
      </c>
      <c r="S78" s="363" cm="1">
        <f t="array" aca="1" ref="S78"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78" s="367" cm="1">
        <f t="array" aca="1" ref="T78"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290.9100824825818</v>
      </c>
      <c r="U78" s="367" cm="1">
        <f t="array" aca="1" ref="U78"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78" s="358" t="s">
        <v>2103</v>
      </c>
    </row>
    <row r="79" spans="3:22">
      <c r="C79" s="370">
        <v>45621</v>
      </c>
      <c r="D79" s="357" t="s">
        <v>2114</v>
      </c>
      <c r="E79" s="371" t="str">
        <f t="shared" ca="1" si="3"/>
        <v>31200</v>
      </c>
      <c r="F79" s="359" t="s">
        <v>1284</v>
      </c>
      <c r="G79" s="360" t="s">
        <v>376</v>
      </c>
      <c r="H79" s="358" cm="1">
        <f t="array" aca="1" ref="H79" ca="1">IFERROR(SUM(_xlfn._xlws.FILTER(IF(MeSel="Ppto",PptoSty[CurPpto],PptoSty[CurInt]+PptoSty[CurExt]),(PptoSty[Project]=TEXT(PrvSty[[#This Row],[Project]],"@"))*(PptoSty[PptoVsRow]=PrvSty[[#This Row],[Row]])*(PptoSty[PptoVsColumn]=PrvSty[[#This Row],[Column]]),0)),"X")</f>
        <v>0</v>
      </c>
      <c r="I79" s="358" cm="1">
        <f t="array" aca="1" ref="I79" ca="1">IFERROR(SUM(_xlfn._xlws.FILTER(FrmBB1[Cur],(FrmBB1[PrjId]=TEXT($E79,"@"))*(FrmBB1[Cia]=$D79)*(FrmBB1[Row]=$F79)*(FrmBB1[Column]=_xlfn.LET(_xlpm.x,_xlfn.TEXTBEFORE($G79," ("),IFERROR(_xlpm.x,$G79))&amp;" SERRA"),0)),"X")</f>
        <v>0</v>
      </c>
      <c r="J79" s="358" cm="1">
        <f t="array" aca="1" ref="J79" ca="1">IFERROR(SUM(_xlfn._xlws.FILTER(FrmBB1[Cur],(FrmBB1[PrjId]=TEXT($E79,"@"))*(FrmBB1[Cia]=$D79)*(FrmBB1[Row]=$F79)*(FrmBB1[Column]=_xlfn.LET(_xlpm.x,_xlfn.TEXTBEFORE($G79," ("),IFERROR(_xlpm.x,$G79))&amp;" EXT."),0)),"X")</f>
        <v>0</v>
      </c>
      <c r="K79" s="358">
        <v>5000</v>
      </c>
      <c r="L79" s="358">
        <v>0</v>
      </c>
      <c r="M79" s="361">
        <f ca="1">IF(SUM(H79,K79,L79)=0,IF(SUM(I79,J79)&gt;0,1,0),1-SUM(PrvSty[[#This Row],[Real:SERRA]:[Real:EXT.]])/SUM(PrvSty[[#This Row],[AcumInt]:[AcumExt]]))</f>
        <v>1</v>
      </c>
      <c r="N79" s="360" t="s">
        <v>1739</v>
      </c>
      <c r="O79" s="358">
        <f>IF(OR(PrvSty[[#This Row],[DsvAbs:SERRA]]="X",PrvSty[[#This Row],[DsvAbs:SERRA]]=""),0,IF(PrvSty[[#This Row],[DesvTyp]]="Abs",PrvSty[[#This Row],[DsvAbs:SERRA]],PrvSty[[#This Row],[DsvAbs:SERRA]]*PrvSty[[#This Row],[Ppto]]))</f>
        <v>5000</v>
      </c>
      <c r="P79" s="358">
        <f>IF(OR(PrvSty[[#This Row],[DsvAbs:EXT.]]="X",PrvSty[[#This Row],[DsvAbs:EXT.]]=""),0,IF(PrvSty[[#This Row],[DesvTyp]]="Abs",PrvSty[[#This Row],[DsvAbs:EXT.]],PrvSty[[#This Row],[DsvAbs:EXT.]]*PrvSty[[#This Row],[Ppto]]))</f>
        <v>0</v>
      </c>
      <c r="Q79" s="358" t="str" cm="1">
        <f t="array" aca="1" ref="Q79"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79" s="363" cm="1">
        <f t="array" aca="1" ref="R79"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5000</v>
      </c>
      <c r="S79" s="363" cm="1">
        <f t="array" aca="1" ref="S79"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79" s="367" cm="1">
        <f t="array" aca="1" ref="T79"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129.40635841009549</v>
      </c>
      <c r="U79" s="367" cm="1">
        <f t="array" aca="1" ref="U79"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79" s="358" t="s">
        <v>2103</v>
      </c>
    </row>
    <row r="80" spans="3:22">
      <c r="C80" s="370">
        <v>45621</v>
      </c>
      <c r="D80" s="357" t="s">
        <v>2114</v>
      </c>
      <c r="E80" s="371" t="str">
        <f t="shared" ca="1" si="3"/>
        <v>31200</v>
      </c>
      <c r="F80" s="359" t="s">
        <v>1468</v>
      </c>
      <c r="G80" s="360" t="s">
        <v>1274</v>
      </c>
      <c r="H80" s="358" cm="1">
        <f t="array" aca="1" ref="H80" ca="1">IFERROR(SUM(_xlfn._xlws.FILTER(IF(MeSel="Ppto",PptoSty[CurPpto],PptoSty[CurInt]+PptoSty[CurExt]),(PptoSty[Project]=TEXT(PrvSty[[#This Row],[Project]],"@"))*(PptoSty[PptoVsRow]=PrvSty[[#This Row],[Row]])*(PptoSty[PptoVsColumn]=PrvSty[[#This Row],[Column]]),0)),"X")</f>
        <v>453767.488132775</v>
      </c>
      <c r="I80" s="358" cm="1">
        <f t="array" aca="1" ref="I80" ca="1">IFERROR(SUM(_xlfn._xlws.FILTER(FrmBB1[Cur],(FrmBB1[PrjId]=TEXT($E80,"@"))*(FrmBB1[Cia]=$D80)*(FrmBB1[Row]=$F80)*(FrmBB1[Column]=_xlfn.LET(_xlpm.x,_xlfn.TEXTBEFORE($G80," ("),IFERROR(_xlpm.x,$G80))&amp;" SERRA"),0)),"X")</f>
        <v>209051.59</v>
      </c>
      <c r="J80" s="358" cm="1">
        <f t="array" aca="1" ref="J80" ca="1">IFERROR(SUM(_xlfn._xlws.FILTER(FrmBB1[Cur],(FrmBB1[PrjId]=TEXT($E80,"@"))*(FrmBB1[Cia]=$D80)*(FrmBB1[Row]=$F80)*(FrmBB1[Column]=_xlfn.LET(_xlpm.x,_xlfn.TEXTBEFORE($G80," ("),IFERROR(_xlpm.x,$G80))&amp;" EXT."),0)),"X")</f>
        <v>29023.5</v>
      </c>
      <c r="K80" s="358">
        <v>20000</v>
      </c>
      <c r="L80" s="358">
        <v>0</v>
      </c>
      <c r="M80" s="361">
        <f ca="1">IF(SUM(H80,K80,L80)=0,IF(SUM(I80,J80)&gt;0,1,0),1-SUM(PrvSty[[#This Row],[Real:SERRA]:[Real:EXT.]])/SUM(PrvSty[[#This Row],[AcumInt]:[AcumExt]]))</f>
        <v>0.13037486071196491</v>
      </c>
      <c r="N80" s="360" t="s">
        <v>1739</v>
      </c>
      <c r="O80" s="358">
        <f>IF(OR(PrvSty[[#This Row],[DsvAbs:SERRA]]="X",PrvSty[[#This Row],[DsvAbs:SERRA]]=""),0,IF(PrvSty[[#This Row],[DesvTyp]]="Abs",PrvSty[[#This Row],[DsvAbs:SERRA]],PrvSty[[#This Row],[DsvAbs:SERRA]]*PrvSty[[#This Row],[Ppto]]))</f>
        <v>20000</v>
      </c>
      <c r="P80" s="358">
        <f>IF(OR(PrvSty[[#This Row],[DsvAbs:EXT.]]="X",PrvSty[[#This Row],[DsvAbs:EXT.]]=""),0,IF(PrvSty[[#This Row],[DesvTyp]]="Abs",PrvSty[[#This Row],[DsvAbs:EXT.]],PrvSty[[#This Row],[DsvAbs:EXT.]]*PrvSty[[#This Row],[Ppto]]))</f>
        <v>0</v>
      </c>
      <c r="Q80" s="358" t="str" cm="1">
        <f t="array" aca="1" ref="Q80"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80" s="363" cm="1">
        <f t="array" aca="1" ref="R80"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207976.86833482503</v>
      </c>
      <c r="S80" s="363" cm="1">
        <f t="array" aca="1" ref="S80"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65790.619797949999</v>
      </c>
      <c r="T80" s="367" cm="1">
        <f t="array" aca="1" ref="T80"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534.09183533749933</v>
      </c>
      <c r="U80" s="367" cm="1">
        <f t="array" aca="1" ref="U80"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80" s="358" t="s">
        <v>2103</v>
      </c>
    </row>
    <row r="81" spans="3:22">
      <c r="C81" s="370">
        <v>45621</v>
      </c>
      <c r="D81" s="357" t="s">
        <v>2114</v>
      </c>
      <c r="E81" s="371" t="str">
        <f t="shared" ca="1" si="3"/>
        <v>31200</v>
      </c>
      <c r="F81" s="359" t="s">
        <v>1286</v>
      </c>
      <c r="G81" s="360" t="s">
        <v>1274</v>
      </c>
      <c r="H81" s="358" cm="1">
        <f t="array" aca="1" ref="H81" ca="1">IFERROR(SUM(_xlfn._xlws.FILTER(IF(MeSel="Ppto",PptoSty[CurPpto],PptoSty[CurInt]+PptoSty[CurExt]),(PptoSty[Project]=TEXT(PrvSty[[#This Row],[Project]],"@"))*(PptoSty[PptoVsRow]=PrvSty[[#This Row],[Row]])*(PptoSty[PptoVsColumn]=PrvSty[[#This Row],[Column]]),0)),"X")</f>
        <v>79920.425579793751</v>
      </c>
      <c r="I81" s="358" cm="1">
        <f t="array" aca="1" ref="I81" ca="1">IFERROR(SUM(_xlfn._xlws.FILTER(FrmBB1[Cur],(FrmBB1[PrjId]=TEXT($E81,"@"))*(FrmBB1[Cia]=$D81)*(FrmBB1[Row]=$F81)*(FrmBB1[Column]=_xlfn.LET(_xlpm.x,_xlfn.TEXTBEFORE($G81," ("),IFERROR(_xlpm.x,$G81))&amp;" SERRA"),0)),"X")</f>
        <v>18005.599999999999</v>
      </c>
      <c r="J81" s="358" cm="1">
        <f t="array" aca="1" ref="J81" ca="1">IFERROR(SUM(_xlfn._xlws.FILTER(FrmBB1[Cur],(FrmBB1[PrjId]=TEXT($E81,"@"))*(FrmBB1[Cia]=$D81)*(FrmBB1[Row]=$F81)*(FrmBB1[Column]=_xlfn.LET(_xlpm.x,_xlfn.TEXTBEFORE($G81," ("),IFERROR(_xlpm.x,$G81))&amp;" EXT."),0)),"X")</f>
        <v>3694.55</v>
      </c>
      <c r="K81" s="358">
        <v>10000</v>
      </c>
      <c r="L81" s="358">
        <v>0</v>
      </c>
      <c r="M81" s="361">
        <f ca="1">IF(SUM(H81,K81,L81)=0,IF(SUM(I81,J81)&gt;0,1,0),1-SUM(PrvSty[[#This Row],[Real:SERRA]:[Real:EXT.]])/SUM(PrvSty[[#This Row],[AcumInt]:[AcumExt]]))</f>
        <v>0.12922233488680301</v>
      </c>
      <c r="N81" s="360" t="s">
        <v>1739</v>
      </c>
      <c r="O81" s="358">
        <f>IF(OR(PrvSty[[#This Row],[DsvAbs:SERRA]]="X",PrvSty[[#This Row],[DsvAbs:SERRA]]=""),0,IF(PrvSty[[#This Row],[DesvTyp]]="Abs",PrvSty[[#This Row],[DsvAbs:SERRA]],PrvSty[[#This Row],[DsvAbs:SERRA]]*PrvSty[[#This Row],[Ppto]]))</f>
        <v>10000</v>
      </c>
      <c r="P81" s="358">
        <f>IF(OR(PrvSty[[#This Row],[DsvAbs:EXT.]]="X",PrvSty[[#This Row],[DsvAbs:EXT.]]=""),0,IF(PrvSty[[#This Row],[DesvTyp]]="Abs",PrvSty[[#This Row],[DsvAbs:EXT.]],PrvSty[[#This Row],[DsvAbs:EXT.]]*PrvSty[[#This Row],[Ppto]]))</f>
        <v>0</v>
      </c>
      <c r="Q81" s="358" t="str" cm="1">
        <f t="array" aca="1" ref="Q81"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81" s="363" cm="1">
        <f t="array" aca="1" ref="R81"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13332.961799506258</v>
      </c>
      <c r="S81" s="363" cm="1">
        <f t="array" aca="1" ref="S81"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11587.4637802875</v>
      </c>
      <c r="T81" s="367" cm="1">
        <f t="array" aca="1" ref="T81"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267.04591766874967</v>
      </c>
      <c r="U81" s="367" cm="1">
        <f t="array" aca="1" ref="U81"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81" s="358" t="s">
        <v>2103</v>
      </c>
    </row>
    <row r="82" spans="3:22">
      <c r="C82" s="370">
        <v>45621</v>
      </c>
      <c r="D82" s="357" t="s">
        <v>2114</v>
      </c>
      <c r="E82" s="371" t="str">
        <f t="shared" ca="1" si="3"/>
        <v>31200</v>
      </c>
      <c r="F82" s="359" t="s">
        <v>360</v>
      </c>
      <c r="G82" s="360" t="s">
        <v>360</v>
      </c>
      <c r="H82" s="358" cm="1">
        <f t="array" aca="1" ref="H82" ca="1">IFERROR(SUM(_xlfn._xlws.FILTER(IF(MeSel="Ppto",PptoSty[CurPpto],PptoSty[CurInt]+PptoSty[CurExt]),(PptoSty[Project]=TEXT(PrvSty[[#This Row],[Project]],"@"))*(PptoSty[PptoVsRow]=PrvSty[[#This Row],[Row]])*(PptoSty[PptoVsColumn]=PrvSty[[#This Row],[Column]]),0)),"X")</f>
        <v>124653.13008587834</v>
      </c>
      <c r="I82" s="358" cm="1">
        <f t="array" aca="1" ref="I82" ca="1">IFERROR(SUM(_xlfn._xlws.FILTER(FrmBB1[Cur],(FrmBB1[PrjId]=TEXT($E82,"@"))*(FrmBB1[Cia]=$D82)*(FrmBB1[Row]=$F82)*(FrmBB1[Column]=_xlfn.LET(_xlpm.x,_xlfn.TEXTBEFORE($G82," ("),IFERROR(_xlpm.x,$G82))&amp;" SERRA"),0)),"X")</f>
        <v>46262.93</v>
      </c>
      <c r="J82" s="358" cm="1">
        <f t="array" aca="1" ref="J82" ca="1">IFERROR(SUM(_xlfn._xlws.FILTER(FrmBB1[Cur],(FrmBB1[PrjId]=TEXT($E82,"@"))*(FrmBB1[Cia]=$D82)*(FrmBB1[Row]=$F82)*(FrmBB1[Column]=_xlfn.LET(_xlpm.x,_xlfn.TEXTBEFORE($G82," ("),IFERROR(_xlpm.x,$G82))&amp;" EXT."),0)),"X")</f>
        <v>0</v>
      </c>
      <c r="K82" s="358">
        <v>10000</v>
      </c>
      <c r="L82" s="358">
        <v>0</v>
      </c>
      <c r="M82" s="361">
        <f ca="1">IF(SUM(H82,K82,L82)=0,IF(SUM(I82,J82)&gt;0,1,0),1-SUM(PrvSty[[#This Row],[Real:SERRA]:[Real:EXT.]])/SUM(PrvSty[[#This Row],[AcumInt]:[AcumExt]]))</f>
        <v>0.38124800035974404</v>
      </c>
      <c r="N82" s="360" t="s">
        <v>1739</v>
      </c>
      <c r="O82" s="358">
        <f>IF(OR(PrvSty[[#This Row],[DsvAbs:SERRA]]="X",PrvSty[[#This Row],[DsvAbs:SERRA]]=""),0,IF(PrvSty[[#This Row],[DesvTyp]]="Abs",PrvSty[[#This Row],[DsvAbs:SERRA]],PrvSty[[#This Row],[DsvAbs:SERRA]]*PrvSty[[#This Row],[Ppto]]))</f>
        <v>10000</v>
      </c>
      <c r="P82" s="358">
        <f>IF(OR(PrvSty[[#This Row],[DsvAbs:EXT.]]="X",PrvSty[[#This Row],[DsvAbs:EXT.]]=""),0,IF(PrvSty[[#This Row],[DesvTyp]]="Abs",PrvSty[[#This Row],[DsvAbs:EXT.]],PrvSty[[#This Row],[DsvAbs:EXT.]]*PrvSty[[#This Row],[Ppto]]))</f>
        <v>0</v>
      </c>
      <c r="Q82" s="358" t="str" cm="1">
        <f t="array" aca="1" ref="Q82"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82" s="363" cm="1">
        <f t="array" aca="1" ref="R82"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10000.185998207919</v>
      </c>
      <c r="S82" s="363" cm="1">
        <f t="array" aca="1" ref="S82"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64767.944087670418</v>
      </c>
      <c r="T82" s="367" cm="1">
        <f t="array" aca="1" ref="T82"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206.27577956822654</v>
      </c>
      <c r="U82" s="367" cm="1">
        <f t="array" aca="1" ref="U82"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82" s="358" t="s">
        <v>2103</v>
      </c>
    </row>
    <row r="83" spans="3:22">
      <c r="C83" s="370">
        <v>45621</v>
      </c>
      <c r="D83" s="357" t="s">
        <v>2114</v>
      </c>
      <c r="E83" s="371" t="str">
        <f t="shared" ca="1" si="3"/>
        <v>31200</v>
      </c>
      <c r="F83" s="359" t="s">
        <v>428</v>
      </c>
      <c r="G83" s="360" t="s">
        <v>378</v>
      </c>
      <c r="H83" s="358" cm="1">
        <f t="array" aca="1" ref="H83" ca="1">IFERROR(SUM(_xlfn._xlws.FILTER(IF(MeSel="Ppto",PptoSty[CurPpto],PptoSty[CurInt]+PptoSty[CurExt]),(PptoSty[Project]=TEXT(PrvSty[[#This Row],[Project]],"@"))*(PptoSty[PptoVsRow]=PrvSty[[#This Row],[Row]])*(PptoSty[PptoVsColumn]=PrvSty[[#This Row],[Column]]),0)),"X")</f>
        <v>26455.825996187497</v>
      </c>
      <c r="I83" s="358" cm="1">
        <f t="array" aca="1" ref="I83" ca="1">IFERROR(SUM(_xlfn._xlws.FILTER(FrmBB1[Cur],(FrmBB1[PrjId]=TEXT($E83,"@"))*(FrmBB1[Cia]=$D83)*(FrmBB1[Row]=$F83)*(FrmBB1[Column]=_xlfn.LET(_xlpm.x,_xlfn.TEXTBEFORE($G83," ("),IFERROR(_xlpm.x,$G83))&amp;" SERRA"),0)),"X")</f>
        <v>11020.56</v>
      </c>
      <c r="J83" s="358" cm="1">
        <f t="array" aca="1" ref="J83" ca="1">IFERROR(SUM(_xlfn._xlws.FILTER(FrmBB1[Cur],(FrmBB1[PrjId]=TEXT($E83,"@"))*(FrmBB1[Cia]=$D83)*(FrmBB1[Row]=$F83)*(FrmBB1[Column]=_xlfn.LET(_xlpm.x,_xlfn.TEXTBEFORE($G83," ("),IFERROR(_xlpm.x,$G83))&amp;" EXT."),0)),"X")</f>
        <v>0</v>
      </c>
      <c r="K83" s="358">
        <v>-5000</v>
      </c>
      <c r="L83" s="358">
        <v>0</v>
      </c>
      <c r="M83" s="361">
        <f ca="1">IF(SUM(H83,K83,L83)=0,IF(SUM(I83,J83)&gt;0,1,0),1-SUM(PrvSty[[#This Row],[Real:SERRA]:[Real:EXT.]])/SUM(PrvSty[[#This Row],[AcumInt]:[AcumExt]]))</f>
        <v>0.486360487731479</v>
      </c>
      <c r="N83" s="360" t="s">
        <v>1739</v>
      </c>
      <c r="O83" s="358">
        <f>IF(OR(PrvSty[[#This Row],[DsvAbs:SERRA]]="X",PrvSty[[#This Row],[DsvAbs:SERRA]]=""),0,IF(PrvSty[[#This Row],[DesvTyp]]="Abs",PrvSty[[#This Row],[DsvAbs:SERRA]],PrvSty[[#This Row],[DsvAbs:SERRA]]*PrvSty[[#This Row],[Ppto]]))</f>
        <v>-5000</v>
      </c>
      <c r="P83" s="358">
        <f>IF(OR(PrvSty[[#This Row],[DsvAbs:EXT.]]="X",PrvSty[[#This Row],[DsvAbs:EXT.]]=""),0,IF(PrvSty[[#This Row],[DesvTyp]]="Abs",PrvSty[[#This Row],[DsvAbs:EXT.]],PrvSty[[#This Row],[DsvAbs:EXT.]]*PrvSty[[#This Row],[Ppto]]))</f>
        <v>0</v>
      </c>
      <c r="Q83" s="358" t="str" cm="1">
        <f t="array" aca="1" ref="Q83"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83" s="363" cm="1">
        <f t="array" aca="1" ref="R83"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21455.825996187497</v>
      </c>
      <c r="S83" s="363" cm="1">
        <f t="array" aca="1" ref="S83"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83" s="367" t="str" cm="1">
        <f t="array" aca="1" ref="T83"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X</v>
      </c>
      <c r="U83" s="367" t="str" cm="1">
        <f t="array" aca="1" ref="U83"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X</v>
      </c>
      <c r="V83" s="358" t="s">
        <v>2103</v>
      </c>
    </row>
    <row r="84" spans="3:22">
      <c r="C84" s="370">
        <v>45621</v>
      </c>
      <c r="D84" s="357" t="s">
        <v>2114</v>
      </c>
      <c r="E84" s="371" t="str">
        <f t="shared" ca="1" si="3"/>
        <v>31200</v>
      </c>
      <c r="F84" s="359" t="s">
        <v>358</v>
      </c>
      <c r="G84" s="360" t="s">
        <v>377</v>
      </c>
      <c r="H84" s="358" cm="1">
        <f t="array" aca="1" ref="H84" ca="1">IFERROR(SUM(_xlfn._xlws.FILTER(IF(MeSel="Ppto",PptoSty[CurPpto],PptoSty[CurInt]+PptoSty[CurExt]),(PptoSty[Project]=TEXT(PrvSty[[#This Row],[Project]],"@"))*(PptoSty[PptoVsRow]=PrvSty[[#This Row],[Row]])*(PptoSty[PptoVsColumn]=PrvSty[[#This Row],[Column]]),0)),"X")</f>
        <v>61115.868201421872</v>
      </c>
      <c r="I84" s="358" cm="1">
        <f t="array" aca="1" ref="I84" ca="1">IFERROR(SUM(_xlfn._xlws.FILTER(FrmBB1[Cur],(FrmBB1[PrjId]=TEXT($E84,"@"))*(FrmBB1[Cia]=$D84)*(FrmBB1[Row]=$F84)*(FrmBB1[Column]=_xlfn.LET(_xlpm.x,_xlfn.TEXTBEFORE($G84," ("),IFERROR(_xlpm.x,$G84))&amp;" SERRA"),0)),"X")</f>
        <v>23665.5</v>
      </c>
      <c r="J84" s="358" cm="1">
        <f t="array" aca="1" ref="J84" ca="1">IFERROR(SUM(_xlfn._xlws.FILTER(FrmBB1[Cur],(FrmBB1[PrjId]=TEXT($E84,"@"))*(FrmBB1[Cia]=$D84)*(FrmBB1[Row]=$F84)*(FrmBB1[Column]=_xlfn.LET(_xlpm.x,_xlfn.TEXTBEFORE($G84," ("),IFERROR(_xlpm.x,$G84))&amp;" EXT."),0)),"X")</f>
        <v>0</v>
      </c>
      <c r="K84" s="358">
        <v>-15000</v>
      </c>
      <c r="L84" s="358">
        <v>0</v>
      </c>
      <c r="M84" s="361">
        <f ca="1">IF(SUM(H84,K84,L84)=0,IF(SUM(I84,J84)&gt;0,1,0),1-SUM(PrvSty[[#This Row],[Real:SERRA]:[Real:EXT.]])/SUM(PrvSty[[#This Row],[AcumInt]:[AcumExt]]))</f>
        <v>0.48682523124935262</v>
      </c>
      <c r="N84" s="360" t="s">
        <v>1739</v>
      </c>
      <c r="O84" s="358">
        <f>IF(OR(PrvSty[[#This Row],[DsvAbs:SERRA]]="X",PrvSty[[#This Row],[DsvAbs:SERRA]]=""),0,IF(PrvSty[[#This Row],[DesvTyp]]="Abs",PrvSty[[#This Row],[DsvAbs:SERRA]],PrvSty[[#This Row],[DsvAbs:SERRA]]*PrvSty[[#This Row],[Ppto]]))</f>
        <v>-15000</v>
      </c>
      <c r="P84" s="358">
        <f>IF(OR(PrvSty[[#This Row],[DsvAbs:EXT.]]="X",PrvSty[[#This Row],[DsvAbs:EXT.]]=""),0,IF(PrvSty[[#This Row],[DesvTyp]]="Abs",PrvSty[[#This Row],[DsvAbs:EXT.]],PrvSty[[#This Row],[DsvAbs:EXT.]]*PrvSty[[#This Row],[Ppto]]))</f>
        <v>0</v>
      </c>
      <c r="Q84" s="358" t="str" cm="1">
        <f t="array" aca="1" ref="Q84"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84" s="363" cm="1">
        <f t="array" aca="1" ref="R84"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14233.208708807811</v>
      </c>
      <c r="S84" s="363" cm="1">
        <f t="array" aca="1" ref="S84"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31882.659492614061</v>
      </c>
      <c r="T84" s="367" cm="1">
        <f t="array" aca="1" ref="T84"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-322.16733606150109</v>
      </c>
      <c r="U84" s="367" cm="1">
        <f t="array" aca="1" ref="U84"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84" s="358" t="s">
        <v>2103</v>
      </c>
    </row>
    <row r="85" spans="3:22">
      <c r="C85" s="370">
        <v>45621</v>
      </c>
      <c r="D85" s="357" t="s">
        <v>2114</v>
      </c>
      <c r="E85" s="371" t="str">
        <f t="shared" ca="1" si="3"/>
        <v>31200</v>
      </c>
      <c r="F85" s="359" t="s">
        <v>428</v>
      </c>
      <c r="G85" s="360" t="s">
        <v>377</v>
      </c>
      <c r="H85" s="358" cm="1">
        <f t="array" aca="1" ref="H85" ca="1">IFERROR(SUM(_xlfn._xlws.FILTER(IF(MeSel="Ppto",PptoSty[CurPpto],PptoSty[CurInt]+PptoSty[CurExt]),(PptoSty[Project]=TEXT(PrvSty[[#This Row],[Project]],"@"))*(PptoSty[PptoVsRow]=PrvSty[[#This Row],[Row]])*(PptoSty[PptoVsColumn]=PrvSty[[#This Row],[Column]]),0)),"X")</f>
        <v>28756.874043000003</v>
      </c>
      <c r="I85" s="358" cm="1">
        <f t="array" aca="1" ref="I85" ca="1">IFERROR(SUM(_xlfn._xlws.FILTER(FrmBB1[Cur],(FrmBB1[PrjId]=TEXT($E85,"@"))*(FrmBB1[Cia]=$D85)*(FrmBB1[Row]=$F85)*(FrmBB1[Column]=_xlfn.LET(_xlpm.x,_xlfn.TEXTBEFORE($G85," ("),IFERROR(_xlpm.x,$G85))&amp;" SERRA"),0)),"X")</f>
        <v>19337.2</v>
      </c>
      <c r="J85" s="358" cm="1">
        <f t="array" aca="1" ref="J85" ca="1">IFERROR(SUM(_xlfn._xlws.FILTER(FrmBB1[Cur],(FrmBB1[PrjId]=TEXT($E85,"@"))*(FrmBB1[Cia]=$D85)*(FrmBB1[Row]=$F85)*(FrmBB1[Column]=_xlfn.LET(_xlpm.x,_xlfn.TEXTBEFORE($G85," ("),IFERROR(_xlpm.x,$G85))&amp;" EXT."),0)),"X")</f>
        <v>15000</v>
      </c>
      <c r="K85" s="358">
        <v>5000</v>
      </c>
      <c r="L85" s="358">
        <v>0</v>
      </c>
      <c r="M85" s="361">
        <f ca="1">IF(SUM(H85,K85,L85)=0,IF(SUM(I85,J85)&gt;0,1,0),1-SUM(PrvSty[[#This Row],[Real:SERRA]:[Real:EXT.]])/SUM(PrvSty[[#This Row],[AcumInt]:[AcumExt]]))</f>
        <v>-1.7191341717860631E-2</v>
      </c>
      <c r="N85" s="360" t="s">
        <v>1739</v>
      </c>
      <c r="O85" s="358">
        <f>IF(OR(PrvSty[[#This Row],[DsvAbs:SERRA]]="X",PrvSty[[#This Row],[DsvAbs:SERRA]]=""),0,IF(PrvSty[[#This Row],[DesvTyp]]="Abs",PrvSty[[#This Row],[DsvAbs:SERRA]],PrvSty[[#This Row],[DsvAbs:SERRA]]*PrvSty[[#This Row],[Ppto]]))</f>
        <v>5000</v>
      </c>
      <c r="P85" s="358">
        <f>IF(OR(PrvSty[[#This Row],[DsvAbs:EXT.]]="X",PrvSty[[#This Row],[DsvAbs:EXT.]]=""),0,IF(PrvSty[[#This Row],[DesvTyp]]="Abs",PrvSty[[#This Row],[DsvAbs:EXT.]],PrvSty[[#This Row],[DsvAbs:EXT.]]*PrvSty[[#This Row],[Ppto]]))</f>
        <v>0</v>
      </c>
      <c r="Q85" s="358" t="str" cm="1">
        <f t="array" aca="1" ref="Q85"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85" s="363" cm="1">
        <f t="array" aca="1" ref="R85"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18755.113450099998</v>
      </c>
      <c r="S85" s="363" cm="1">
        <f t="array" aca="1" ref="S85"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15001.760592900002</v>
      </c>
      <c r="T85" s="367" cm="1">
        <f t="array" aca="1" ref="T85"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107.38911202050038</v>
      </c>
      <c r="U85" s="367" cm="1">
        <f t="array" aca="1" ref="U85"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85" s="358" t="s">
        <v>2103</v>
      </c>
    </row>
    <row r="86" spans="3:22">
      <c r="C86" s="370">
        <v>45621</v>
      </c>
      <c r="D86" s="357" t="s">
        <v>2114</v>
      </c>
      <c r="E86" s="371" t="str">
        <f t="shared" ca="1" si="3"/>
        <v>31200</v>
      </c>
      <c r="F86" s="359" t="s">
        <v>430</v>
      </c>
      <c r="G86" s="360" t="s">
        <v>377</v>
      </c>
      <c r="H86" s="358" cm="1">
        <f t="array" aca="1" ref="H86" ca="1">IFERROR(SUM(_xlfn._xlws.FILTER(IF(MeSel="Ppto",PptoSty[CurPpto],PptoSty[CurInt]+PptoSty[CurExt]),(PptoSty[Project]=TEXT(PrvSty[[#This Row],[Project]],"@"))*(PptoSty[PptoVsRow]=PrvSty[[#This Row],[Row]])*(PptoSty[PptoVsColumn]=PrvSty[[#This Row],[Column]]),0)),"X")</f>
        <v>70484.031393299985</v>
      </c>
      <c r="I86" s="358" cm="1">
        <f t="array" aca="1" ref="I86" ca="1">IFERROR(SUM(_xlfn._xlws.FILTER(FrmBB1[Cur],(FrmBB1[PrjId]=TEXT($E86,"@"))*(FrmBB1[Cia]=$D86)*(FrmBB1[Row]=$F86)*(FrmBB1[Column]=_xlfn.LET(_xlpm.x,_xlfn.TEXTBEFORE($G86," ("),IFERROR(_xlpm.x,$G86))&amp;" SERRA"),0)),"X")</f>
        <v>12758.48</v>
      </c>
      <c r="J86" s="358" cm="1">
        <f t="array" aca="1" ref="J86" ca="1">IFERROR(SUM(_xlfn._xlws.FILTER(FrmBB1[Cur],(FrmBB1[PrjId]=TEXT($E86,"@"))*(FrmBB1[Cia]=$D86)*(FrmBB1[Row]=$F86)*(FrmBB1[Column]=_xlfn.LET(_xlpm.x,_xlfn.TEXTBEFORE($G86," ("),IFERROR(_xlpm.x,$G86))&amp;" EXT."),0)),"X")</f>
        <v>0</v>
      </c>
      <c r="K86" s="358">
        <v>-10000</v>
      </c>
      <c r="L86" s="358">
        <v>0</v>
      </c>
      <c r="M86" s="361">
        <f ca="1">IF(SUM(H86,K86,L86)=0,IF(SUM(I86,J86)&gt;0,1,0),1-SUM(PrvSty[[#This Row],[Real:SERRA]:[Real:EXT.]])/SUM(PrvSty[[#This Row],[AcumInt]:[AcumExt]]))</f>
        <v>0.41662589478422074</v>
      </c>
      <c r="N86" s="360" t="s">
        <v>1739</v>
      </c>
      <c r="O86" s="358">
        <f>IF(OR(PrvSty[[#This Row],[DsvAbs:SERRA]]="X",PrvSty[[#This Row],[DsvAbs:SERRA]]=""),0,IF(PrvSty[[#This Row],[DesvTyp]]="Abs",PrvSty[[#This Row],[DsvAbs:SERRA]],PrvSty[[#This Row],[DsvAbs:SERRA]]*PrvSty[[#This Row],[Ppto]]))</f>
        <v>-10000</v>
      </c>
      <c r="P86" s="358">
        <f>IF(OR(PrvSty[[#This Row],[DsvAbs:EXT.]]="X",PrvSty[[#This Row],[DsvAbs:EXT.]]=""),0,IF(PrvSty[[#This Row],[DesvTyp]]="Abs",PrvSty[[#This Row],[DsvAbs:EXT.]],PrvSty[[#This Row],[DsvAbs:EXT.]]*PrvSty[[#This Row],[Ppto]]))</f>
        <v>0</v>
      </c>
      <c r="Q86" s="358" t="str" cm="1">
        <f t="array" aca="1" ref="Q86"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86" s="363" cm="1">
        <f t="array" aca="1" ref="R86"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-14899.650602690017</v>
      </c>
      <c r="S86" s="363" cm="1">
        <f t="array" aca="1" ref="S86"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36769.80199598999</v>
      </c>
      <c r="T86" s="367" cm="1">
        <f t="array" aca="1" ref="T86"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-214.77822404100075</v>
      </c>
      <c r="U86" s="367" cm="1">
        <f t="array" aca="1" ref="U86"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86" s="358" t="s">
        <v>2103</v>
      </c>
    </row>
    <row r="87" spans="3:22">
      <c r="C87" s="364">
        <v>45622</v>
      </c>
      <c r="D87" s="357" t="s">
        <v>2114</v>
      </c>
      <c r="E87" s="365" t="str">
        <f t="shared" ca="1" si="3"/>
        <v>31200</v>
      </c>
      <c r="F87" s="359" t="s">
        <v>358</v>
      </c>
      <c r="G87" s="360" t="s">
        <v>372</v>
      </c>
      <c r="H87" s="358" cm="1">
        <f t="array" aca="1" ref="H87" ca="1">IFERROR(SUM(_xlfn._xlws.FILTER(IF(MeSel="Ppto",PptoSty[CurPpto],PptoSty[CurInt]+PptoSty[CurExt]),(PptoSty[Project]=TEXT(PrvSty[[#This Row],[Project]],"@"))*(PptoSty[PptoVsRow]=PrvSty[[#This Row],[Row]])*(PptoSty[PptoVsColumn]=PrvSty[[#This Row],[Column]]),0)),"X")</f>
        <v>0</v>
      </c>
      <c r="I87" s="358" cm="1">
        <f t="array" aca="1" ref="I87" ca="1">IFERROR(SUM(_xlfn._xlws.FILTER(FrmBB1[Cur],(FrmBB1[PrjId]=TEXT($E87,"@"))*(FrmBB1[Cia]=$D87)*(FrmBB1[Row]=$F87)*(FrmBB1[Column]=_xlfn.LET(_xlpm.x,_xlfn.TEXTBEFORE($G87," ("),IFERROR(_xlpm.x,$G87))&amp;" SERRA"),0)),"X")</f>
        <v>166.2</v>
      </c>
      <c r="J87" s="358" cm="1">
        <f t="array" aca="1" ref="J87" ca="1">IFERROR(SUM(_xlfn._xlws.FILTER(FrmBB1[Cur],(FrmBB1[PrjId]=TEXT($E87,"@"))*(FrmBB1[Cia]=$D87)*(FrmBB1[Row]=$F87)*(FrmBB1[Column]=_xlfn.LET(_xlpm.x,_xlfn.TEXTBEFORE($G87," ("),IFERROR(_xlpm.x,$G87))&amp;" EXT."),0)),"X")</f>
        <v>0</v>
      </c>
      <c r="K87" s="358">
        <v>0</v>
      </c>
      <c r="L87" s="358">
        <v>166.3</v>
      </c>
      <c r="M87" s="361">
        <f ca="1">IF(SUM(H87,K87,L87)=0,IF(SUM(I87,J87)&gt;0,1,0),1-SUM(PrvSty[[#This Row],[Real:SERRA]:[Real:EXT.]])/SUM(PrvSty[[#This Row],[AcumInt]:[AcumExt]]))</f>
        <v>6.0132291040304597E-4</v>
      </c>
      <c r="N87" s="360" t="s">
        <v>1739</v>
      </c>
      <c r="O87" s="358">
        <f>IF(OR(PrvSty[[#This Row],[DsvAbs:SERRA]]="X",PrvSty[[#This Row],[DsvAbs:SERRA]]=""),0,IF(PrvSty[[#This Row],[DesvTyp]]="Abs",PrvSty[[#This Row],[DsvAbs:SERRA]],PrvSty[[#This Row],[DsvAbs:SERRA]]*PrvSty[[#This Row],[Ppto]]))</f>
        <v>0</v>
      </c>
      <c r="P87" s="358">
        <f>IF(OR(PrvSty[[#This Row],[DsvAbs:EXT.]]="X",PrvSty[[#This Row],[DsvAbs:EXT.]]=""),0,IF(PrvSty[[#This Row],[DesvTyp]]="Abs",PrvSty[[#This Row],[DsvAbs:EXT.]],PrvSty[[#This Row],[DsvAbs:EXT.]]*PrvSty[[#This Row],[Ppto]]))</f>
        <v>166.3</v>
      </c>
      <c r="Q87" s="358" t="str" cm="1">
        <f t="array" aca="1" ref="Q87"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87" s="363" cm="1">
        <f t="array" aca="1" ref="R87"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87" s="363" cm="1">
        <f t="array" aca="1" ref="S87"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166.3</v>
      </c>
      <c r="T87" s="367" cm="1">
        <f t="array" aca="1" ref="T87"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87" s="367" cm="1">
        <f t="array" aca="1" ref="U87"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3.4977911300517941</v>
      </c>
      <c r="V87" s="358" t="s">
        <v>2104</v>
      </c>
    </row>
    <row r="88" spans="3:22">
      <c r="C88" s="370">
        <v>45621</v>
      </c>
      <c r="D88" s="357" t="s">
        <v>2114</v>
      </c>
      <c r="E88" s="371" t="str">
        <f t="shared" ca="1" si="3"/>
        <v>31200</v>
      </c>
      <c r="F88" s="359" t="s">
        <v>430</v>
      </c>
      <c r="G88" s="360" t="s">
        <v>372</v>
      </c>
      <c r="H88" s="358" cm="1">
        <f t="array" aca="1" ref="H88" ca="1">IFERROR(SUM(_xlfn._xlws.FILTER(IF(MeSel="Ppto",PptoSty[CurPpto],PptoSty[CurInt]+PptoSty[CurExt]),(PptoSty[Project]=TEXT(PrvSty[[#This Row],[Project]],"@"))*(PptoSty[PptoVsRow]=PrvSty[[#This Row],[Row]])*(PptoSty[PptoVsColumn]=PrvSty[[#This Row],[Column]]),0)),"X")</f>
        <v>51207.389977413884</v>
      </c>
      <c r="I88" s="358" cm="1">
        <f t="array" aca="1" ref="I88" ca="1">IFERROR(SUM(_xlfn._xlws.FILTER(FrmBB1[Cur],(FrmBB1[PrjId]=TEXT($E88,"@"))*(FrmBB1[Cia]=$D88)*(FrmBB1[Row]=$F88)*(FrmBB1[Column]=_xlfn.LET(_xlpm.x,_xlfn.TEXTBEFORE($G88," ("),IFERROR(_xlpm.x,$G88))&amp;" SERRA"),0)),"X")</f>
        <v>47993.68</v>
      </c>
      <c r="J88" s="358" cm="1">
        <f t="array" aca="1" ref="J88" ca="1">IFERROR(SUM(_xlfn._xlws.FILTER(FrmBB1[Cur],(FrmBB1[PrjId]=TEXT($E88,"@"))*(FrmBB1[Cia]=$D88)*(FrmBB1[Row]=$F88)*(FrmBB1[Column]=_xlfn.LET(_xlpm.x,_xlfn.TEXTBEFORE($G88," ("),IFERROR(_xlpm.x,$G88))&amp;" EXT."),0)),"X")</f>
        <v>0</v>
      </c>
      <c r="K88" s="358">
        <v>5000</v>
      </c>
      <c r="L88" s="358">
        <v>0</v>
      </c>
      <c r="M88" s="361">
        <f ca="1">IF(SUM(H88,K88,L88)=0,IF(SUM(I88,J88)&gt;0,1,0),1-SUM(PrvSty[[#This Row],[Real:SERRA]:[Real:EXT.]])/SUM(PrvSty[[#This Row],[AcumInt]:[AcumExt]]))</f>
        <v>0.14613220753915901</v>
      </c>
      <c r="N88" s="360" t="s">
        <v>1739</v>
      </c>
      <c r="O88" s="358">
        <f>IF(OR(PrvSty[[#This Row],[DsvAbs:SERRA]]="X",PrvSty[[#This Row],[DsvAbs:SERRA]]=""),0,IF(PrvSty[[#This Row],[DesvTyp]]="Abs",PrvSty[[#This Row],[DsvAbs:SERRA]],PrvSty[[#This Row],[DsvAbs:SERRA]]*PrvSty[[#This Row],[Ppto]]))</f>
        <v>5000</v>
      </c>
      <c r="P88" s="358">
        <f>IF(OR(PrvSty[[#This Row],[DsvAbs:EXT.]]="X",PrvSty[[#This Row],[DsvAbs:EXT.]]=""),0,IF(PrvSty[[#This Row],[DesvTyp]]="Abs",PrvSty[[#This Row],[DsvAbs:EXT.]],PrvSty[[#This Row],[DsvAbs:EXT.]]*PrvSty[[#This Row],[Ppto]]))</f>
        <v>0</v>
      </c>
      <c r="Q88" s="358" t="str" cm="1">
        <f t="array" aca="1" ref="Q88"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88" s="363" cm="1">
        <f t="array" aca="1" ref="R88"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14021.591403287777</v>
      </c>
      <c r="S88" s="363" cm="1">
        <f t="array" aca="1" ref="S88"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42185.798574126115</v>
      </c>
      <c r="T88" s="367" cm="1">
        <f t="array" aca="1" ref="T88"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105.16509711520727</v>
      </c>
      <c r="U88" s="367" cm="1">
        <f t="array" aca="1" ref="U88"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88" s="358" t="s">
        <v>2103</v>
      </c>
    </row>
    <row r="89" spans="3:22">
      <c r="C89" s="370">
        <v>45621</v>
      </c>
      <c r="D89" s="357" t="s">
        <v>2114</v>
      </c>
      <c r="E89" s="371" t="str">
        <f t="shared" ca="1" si="3"/>
        <v>31200</v>
      </c>
      <c r="F89" s="359" t="s">
        <v>1284</v>
      </c>
      <c r="G89" s="360" t="s">
        <v>372</v>
      </c>
      <c r="H89" s="358" cm="1">
        <f t="array" aca="1" ref="H89" ca="1">IFERROR(SUM(_xlfn._xlws.FILTER(IF(MeSel="Ppto",PptoSty[CurPpto],PptoSty[CurInt]+PptoSty[CurExt]),(PptoSty[Project]=TEXT(PrvSty[[#This Row],[Project]],"@"))*(PptoSty[PptoVsRow]=PrvSty[[#This Row],[Row]])*(PptoSty[PptoVsColumn]=PrvSty[[#This Row],[Column]]),0)),"X")</f>
        <v>102861.43346015624</v>
      </c>
      <c r="I89" s="358" cm="1">
        <f t="array" aca="1" ref="I89" ca="1">IFERROR(SUM(_xlfn._xlws.FILTER(FrmBB1[Cur],(FrmBB1[PrjId]=TEXT($E89,"@"))*(FrmBB1[Cia]=$D89)*(FrmBB1[Row]=$F89)*(FrmBB1[Column]=_xlfn.LET(_xlpm.x,_xlfn.TEXTBEFORE($G89," ("),IFERROR(_xlpm.x,$G89))&amp;" SERRA"),0)),"X")</f>
        <v>49475.35</v>
      </c>
      <c r="J89" s="358" cm="1">
        <f t="array" aca="1" ref="J89" ca="1">IFERROR(SUM(_xlfn._xlws.FILTER(FrmBB1[Cur],(FrmBB1[PrjId]=TEXT($E89,"@"))*(FrmBB1[Cia]=$D89)*(FrmBB1[Row]=$F89)*(FrmBB1[Column]=_xlfn.LET(_xlpm.x,_xlfn.TEXTBEFORE($G89," ("),IFERROR(_xlpm.x,$G89))&amp;" EXT."),0)),"X")</f>
        <v>0</v>
      </c>
      <c r="K89" s="358">
        <v>35000</v>
      </c>
      <c r="L89" s="358">
        <v>0</v>
      </c>
      <c r="M89" s="361">
        <f ca="1">IF(SUM(H89,K89,L89)=0,IF(SUM(I89,J89)&gt;0,1,0),1-SUM(PrvSty[[#This Row],[Real:SERRA]:[Real:EXT.]])/SUM(PrvSty[[#This Row],[AcumInt]:[AcumExt]]))</f>
        <v>0.64112262031354095</v>
      </c>
      <c r="N89" s="360" t="s">
        <v>1739</v>
      </c>
      <c r="O89" s="358">
        <f>IF(OR(PrvSty[[#This Row],[DsvAbs:SERRA]]="X",PrvSty[[#This Row],[DsvAbs:SERRA]]=""),0,IF(PrvSty[[#This Row],[DesvTyp]]="Abs",PrvSty[[#This Row],[DsvAbs:SERRA]],PrvSty[[#This Row],[DsvAbs:SERRA]]*PrvSty[[#This Row],[Ppto]]))</f>
        <v>35000</v>
      </c>
      <c r="P89" s="358">
        <f>IF(OR(PrvSty[[#This Row],[DsvAbs:EXT.]]="X",PrvSty[[#This Row],[DsvAbs:EXT.]]=""),0,IF(PrvSty[[#This Row],[DesvTyp]]="Abs",PrvSty[[#This Row],[DsvAbs:EXT.]],PrvSty[[#This Row],[DsvAbs:EXT.]]*PrvSty[[#This Row],[Ppto]]))</f>
        <v>0</v>
      </c>
      <c r="Q89" s="358" t="str" cm="1">
        <f t="array" aca="1" ref="Q89"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89" s="363" cm="1">
        <f t="array" aca="1" ref="R89"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66956.476933906248</v>
      </c>
      <c r="S89" s="363" cm="1">
        <f t="array" aca="1" ref="S89"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70904.956526249996</v>
      </c>
      <c r="T89" s="367" cm="1">
        <f t="array" aca="1" ref="T89"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736.15567980645096</v>
      </c>
      <c r="U89" s="367" cm="1">
        <f t="array" aca="1" ref="U89"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89" s="358" t="s">
        <v>2103</v>
      </c>
    </row>
    <row r="90" spans="3:22">
      <c r="C90" s="364">
        <v>45622</v>
      </c>
      <c r="D90" s="357" t="s">
        <v>2114</v>
      </c>
      <c r="E90" s="365" t="str">
        <f t="shared" ca="1" si="3"/>
        <v>31200</v>
      </c>
      <c r="F90" s="359" t="s">
        <v>1468</v>
      </c>
      <c r="G90" s="360" t="s">
        <v>1667</v>
      </c>
      <c r="H90" s="358" cm="1">
        <f t="array" aca="1" ref="H90" ca="1">IFERROR(SUM(_xlfn._xlws.FILTER(IF(MeSel="Ppto",PptoSty[CurPpto],PptoSty[CurInt]+PptoSty[CurExt]),(PptoSty[Project]=TEXT(PrvSty[[#This Row],[Project]],"@"))*(PptoSty[PptoVsRow]=PrvSty[[#This Row],[Row]])*(PptoSty[PptoVsColumn]=PrvSty[[#This Row],[Column]]),0)),"X")</f>
        <v>0</v>
      </c>
      <c r="I90" s="358" cm="1">
        <f t="array" aca="1" ref="I90" ca="1">IFERROR(SUM(_xlfn._xlws.FILTER(FrmBB1[Cur],(FrmBB1[PrjId]=TEXT($E90,"@"))*(FrmBB1[Cia]=$D90)*(FrmBB1[Row]=$F90)*(FrmBB1[Column]=_xlfn.LET(_xlpm.x,_xlfn.TEXTBEFORE($G90," ("),IFERROR(_xlpm.x,$G90))&amp;" SERRA"),0)),"X")</f>
        <v>0</v>
      </c>
      <c r="J90" s="358" cm="1">
        <f t="array" aca="1" ref="J90" ca="1">IFERROR(SUM(_xlfn._xlws.FILTER(FrmBB1[Cur],(FrmBB1[PrjId]=TEXT($E90,"@"))*(FrmBB1[Cia]=$D90)*(FrmBB1[Row]=$F90)*(FrmBB1[Column]=_xlfn.LET(_xlpm.x,_xlfn.TEXTBEFORE($G90," ("),IFERROR(_xlpm.x,$G90))&amp;" EXT."),0)),"X")</f>
        <v>25</v>
      </c>
      <c r="K90" s="358">
        <v>0</v>
      </c>
      <c r="L90" s="358">
        <v>25</v>
      </c>
      <c r="M90" s="361">
        <f ca="1">IF(SUM(H90,K90,L90)=0,IF(SUM(I90,J90)&gt;0,1,0),1-SUM(PrvSty[[#This Row],[Real:SERRA]:[Real:EXT.]])/SUM(PrvSty[[#This Row],[AcumInt]:[AcumExt]]))</f>
        <v>0</v>
      </c>
      <c r="N90" s="360" t="s">
        <v>1739</v>
      </c>
      <c r="O90" s="358">
        <f>IF(OR(PrvSty[[#This Row],[DsvAbs:SERRA]]="X",PrvSty[[#This Row],[DsvAbs:SERRA]]=""),0,IF(PrvSty[[#This Row],[DesvTyp]]="Abs",PrvSty[[#This Row],[DsvAbs:SERRA]],PrvSty[[#This Row],[DsvAbs:SERRA]]*PrvSty[[#This Row],[Ppto]]))</f>
        <v>0</v>
      </c>
      <c r="P90" s="358">
        <f>IF(OR(PrvSty[[#This Row],[DsvAbs:EXT.]]="X",PrvSty[[#This Row],[DsvAbs:EXT.]]=""),0,IF(PrvSty[[#This Row],[DesvTyp]]="Abs",PrvSty[[#This Row],[DsvAbs:EXT.]],PrvSty[[#This Row],[DsvAbs:EXT.]]*PrvSty[[#This Row],[Ppto]]))</f>
        <v>25</v>
      </c>
      <c r="Q90" s="358" t="str" cm="1">
        <f t="array" aca="1" ref="Q90"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90" s="363" cm="1">
        <f t="array" aca="1" ref="R90"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90" s="363" cm="1">
        <f t="array" aca="1" ref="S90"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25</v>
      </c>
      <c r="T90" s="367" cm="1">
        <f t="array" aca="1" ref="T90"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90" s="367" cm="1">
        <f t="array" aca="1" ref="U90"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0.38468440258916492</v>
      </c>
      <c r="V90" s="358" t="s">
        <v>2104</v>
      </c>
    </row>
    <row r="91" spans="3:22">
      <c r="C91" s="364">
        <v>45622</v>
      </c>
      <c r="D91" s="357" t="s">
        <v>2114</v>
      </c>
      <c r="E91" s="365" t="str">
        <f t="shared" ca="1" si="3"/>
        <v>31200</v>
      </c>
      <c r="F91" s="359" t="s">
        <v>1410</v>
      </c>
      <c r="G91" s="360" t="s">
        <v>1667</v>
      </c>
      <c r="H91" s="358" cm="1">
        <f t="array" aca="1" ref="H91" ca="1">IFERROR(SUM(_xlfn._xlws.FILTER(IF(MeSel="Ppto",PptoSty[CurPpto],PptoSty[CurInt]+PptoSty[CurExt]),(PptoSty[Project]=TEXT(PrvSty[[#This Row],[Project]],"@"))*(PptoSty[PptoVsRow]=PrvSty[[#This Row],[Row]])*(PptoSty[PptoVsColumn]=PrvSty[[#This Row],[Column]]),0)),"X")</f>
        <v>0</v>
      </c>
      <c r="I91" s="358" cm="1">
        <f t="array" aca="1" ref="I91" ca="1">IFERROR(SUM(_xlfn._xlws.FILTER(FrmBB1[Cur],(FrmBB1[PrjId]=TEXT($E91,"@"))*(FrmBB1[Cia]=$D91)*(FrmBB1[Row]=$F91)*(FrmBB1[Column]=_xlfn.LET(_xlpm.x,_xlfn.TEXTBEFORE($G91," ("),IFERROR(_xlpm.x,$G91))&amp;" SERRA"),0)),"X")</f>
        <v>0</v>
      </c>
      <c r="J91" s="358" cm="1">
        <f t="array" aca="1" ref="J91" ca="1">IFERROR(SUM(_xlfn._xlws.FILTER(FrmBB1[Cur],(FrmBB1[PrjId]=TEXT($E91,"@"))*(FrmBB1[Cia]=$D91)*(FrmBB1[Row]=$F91)*(FrmBB1[Column]=_xlfn.LET(_xlpm.x,_xlfn.TEXTBEFORE($G91," ("),IFERROR(_xlpm.x,$G91))&amp;" EXT."),0)),"X")</f>
        <v>302.83000000000004</v>
      </c>
      <c r="K91" s="358">
        <v>0</v>
      </c>
      <c r="L91" s="358">
        <v>208.9</v>
      </c>
      <c r="M91" s="361">
        <f ca="1">IF(SUM(H91,K91,L91)=0,IF(SUM(I91,J91)&gt;0,1,0),1-SUM(PrvSty[[#This Row],[Real:SERRA]:[Real:EXT.]])/SUM(PrvSty[[#This Row],[AcumInt]:[AcumExt]]))</f>
        <v>-0.44964097654380097</v>
      </c>
      <c r="N91" s="360" t="s">
        <v>1739</v>
      </c>
      <c r="O91" s="358">
        <f>IF(OR(PrvSty[[#This Row],[DsvAbs:SERRA]]="X",PrvSty[[#This Row],[DsvAbs:SERRA]]=""),0,IF(PrvSty[[#This Row],[DesvTyp]]="Abs",PrvSty[[#This Row],[DsvAbs:SERRA]],PrvSty[[#This Row],[DsvAbs:SERRA]]*PrvSty[[#This Row],[Ppto]]))</f>
        <v>0</v>
      </c>
      <c r="P91" s="358">
        <f>IF(OR(PrvSty[[#This Row],[DsvAbs:EXT.]]="X",PrvSty[[#This Row],[DsvAbs:EXT.]]=""),0,IF(PrvSty[[#This Row],[DesvTyp]]="Abs",PrvSty[[#This Row],[DsvAbs:EXT.]],PrvSty[[#This Row],[DsvAbs:EXT.]]*PrvSty[[#This Row],[Ppto]]))</f>
        <v>208.9</v>
      </c>
      <c r="Q91" s="358" t="str" cm="1">
        <f t="array" aca="1" ref="Q91"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91" s="363" cm="1">
        <f t="array" aca="1" ref="R91"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91" s="363" cm="1">
        <f t="array" aca="1" ref="S91"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208.9</v>
      </c>
      <c r="T91" s="367" cm="1">
        <f t="array" aca="1" ref="T91"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91" s="367" cm="1">
        <f t="array" aca="1" ref="U91"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3.2144228680350624</v>
      </c>
      <c r="V91" s="358" t="s">
        <v>2104</v>
      </c>
    </row>
    <row r="92" spans="3:22">
      <c r="C92" s="379">
        <v>45622</v>
      </c>
      <c r="D92" s="357" t="s">
        <v>2114</v>
      </c>
      <c r="E92" s="380" t="str">
        <f t="shared" ca="1" si="3"/>
        <v>31200</v>
      </c>
      <c r="F92" s="359" t="s">
        <v>288</v>
      </c>
      <c r="G92" s="360" t="s">
        <v>1667</v>
      </c>
      <c r="H92" s="358" cm="1">
        <f t="array" aca="1" ref="H92" ca="1">IFERROR(SUM(_xlfn._xlws.FILTER(IF(MeSel="Ppto",PptoSty[CurPpto],PptoSty[CurInt]+PptoSty[CurExt]),(PptoSty[Project]=TEXT(PrvSty[[#This Row],[Project]],"@"))*(PptoSty[PptoVsRow]=PrvSty[[#This Row],[Row]])*(PptoSty[PptoVsColumn]=PrvSty[[#This Row],[Column]]),0)),"X")</f>
        <v>0</v>
      </c>
      <c r="I92" s="358" cm="1">
        <f t="array" aca="1" ref="I92" ca="1">IFERROR(SUM(_xlfn._xlws.FILTER(FrmBB1[Cur],(FrmBB1[PrjId]=TEXT($E92,"@"))*(FrmBB1[Cia]=$D92)*(FrmBB1[Row]=$F92)*(FrmBB1[Column]=_xlfn.LET(_xlpm.x,_xlfn.TEXTBEFORE($G92," ("),IFERROR(_xlpm.x,$G92))&amp;" SERRA"),0)),"X")</f>
        <v>0</v>
      </c>
      <c r="J92" s="358" cm="1">
        <f t="array" aca="1" ref="J92" ca="1">IFERROR(SUM(_xlfn._xlws.FILTER(FrmBB1[Cur],(FrmBB1[PrjId]=TEXT($E92,"@"))*(FrmBB1[Cia]=$D92)*(FrmBB1[Row]=$F92)*(FrmBB1[Column]=_xlfn.LET(_xlpm.x,_xlfn.TEXTBEFORE($G92," ("),IFERROR(_xlpm.x,$G92))&amp;" EXT."),0)),"X")</f>
        <v>4406</v>
      </c>
      <c r="K92" s="358">
        <v>0</v>
      </c>
      <c r="L92" s="358">
        <v>2382</v>
      </c>
      <c r="M92" s="361">
        <f ca="1">IF(SUM(H92,K92,L92)=0,IF(SUM(I92,J92)&gt;0,1,0),1-SUM(PrvSty[[#This Row],[Real:SERRA]:[Real:EXT.]])/SUM(PrvSty[[#This Row],[AcumInt]:[AcumExt]]))</f>
        <v>-0.84970612930310674</v>
      </c>
      <c r="N92" s="360" t="s">
        <v>1739</v>
      </c>
      <c r="O92" s="358">
        <f>IF(OR(PrvSty[[#This Row],[DsvAbs:SERRA]]="X",PrvSty[[#This Row],[DsvAbs:SERRA]]=""),0,IF(PrvSty[[#This Row],[DesvTyp]]="Abs",PrvSty[[#This Row],[DsvAbs:SERRA]],PrvSty[[#This Row],[DsvAbs:SERRA]]*PrvSty[[#This Row],[Ppto]]))</f>
        <v>0</v>
      </c>
      <c r="P92" s="358">
        <f>IF(OR(PrvSty[[#This Row],[DsvAbs:EXT.]]="X",PrvSty[[#This Row],[DsvAbs:EXT.]]=""),0,IF(PrvSty[[#This Row],[DesvTyp]]="Abs",PrvSty[[#This Row],[DsvAbs:EXT.]],PrvSty[[#This Row],[DsvAbs:EXT.]]*PrvSty[[#This Row],[Ppto]]))</f>
        <v>2382</v>
      </c>
      <c r="Q92" s="358" t="str" cm="1">
        <f t="array" aca="1" ref="Q92"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92" s="363" cm="1">
        <f t="array" aca="1" ref="R92"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92" s="363" cm="1">
        <f t="array" aca="1" ref="S92"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2382</v>
      </c>
      <c r="T92" s="367" cm="1">
        <f t="array" aca="1" ref="T92"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92" s="367" cm="1">
        <f t="array" aca="1" ref="U92"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36.652729878695638</v>
      </c>
      <c r="V92" s="358" t="s">
        <v>2105</v>
      </c>
    </row>
    <row r="93" spans="3:22">
      <c r="C93" s="379">
        <v>45622</v>
      </c>
      <c r="D93" s="357" t="s">
        <v>2114</v>
      </c>
      <c r="E93" s="380" t="str">
        <f t="shared" ca="1" si="3"/>
        <v>31200</v>
      </c>
      <c r="F93" s="359" t="s">
        <v>288</v>
      </c>
      <c r="G93" s="360" t="s">
        <v>380</v>
      </c>
      <c r="H93" s="358" cm="1">
        <f t="array" aca="1" ref="H93" ca="1">IFERROR(SUM(_xlfn._xlws.FILTER(IF(MeSel="Ppto",PptoSty[CurPpto],PptoSty[CurInt]+PptoSty[CurExt]),(PptoSty[Project]=TEXT(PrvSty[[#This Row],[Project]],"@"))*(PptoSty[PptoVsRow]=PrvSty[[#This Row],[Row]])*(PptoSty[PptoVsColumn]=PrvSty[[#This Row],[Column]]),0)),"X")</f>
        <v>0</v>
      </c>
      <c r="I93" s="358" cm="1">
        <f t="array" aca="1" ref="I93" ca="1">IFERROR(SUM(_xlfn._xlws.FILTER(FrmBB1[Cur],(FrmBB1[PrjId]=TEXT($E93,"@"))*(FrmBB1[Cia]=$D93)*(FrmBB1[Row]=$F93)*(FrmBB1[Column]=_xlfn.LET(_xlpm.x,_xlfn.TEXTBEFORE($G93," ("),IFERROR(_xlpm.x,$G93))&amp;" SERRA"),0)),"X")</f>
        <v>1895.8</v>
      </c>
      <c r="J93" s="358" cm="1">
        <f t="array" aca="1" ref="J93" ca="1">IFERROR(SUM(_xlfn._xlws.FILTER(FrmBB1[Cur],(FrmBB1[PrjId]=TEXT($E93,"@"))*(FrmBB1[Cia]=$D93)*(FrmBB1[Row]=$F93)*(FrmBB1[Column]=_xlfn.LET(_xlpm.x,_xlfn.TEXTBEFORE($G93," ("),IFERROR(_xlpm.x,$G93))&amp;" EXT."),0)),"X")</f>
        <v>400</v>
      </c>
      <c r="K93" s="358">
        <v>0</v>
      </c>
      <c r="L93" s="358">
        <v>1097.5999999999999</v>
      </c>
      <c r="M93" s="361">
        <f ca="1">IF(SUM(H93,K93,L93)=0,IF(SUM(I93,J93)&gt;0,1,0),1-SUM(PrvSty[[#This Row],[Real:SERRA]:[Real:EXT.]])/SUM(PrvSty[[#This Row],[AcumInt]:[AcumExt]]))</f>
        <v>-1.0916545189504379</v>
      </c>
      <c r="N93" s="360" t="s">
        <v>1739</v>
      </c>
      <c r="O93" s="358">
        <f>IF(OR(PrvSty[[#This Row],[DsvAbs:SERRA]]="X",PrvSty[[#This Row],[DsvAbs:SERRA]]=""),0,IF(PrvSty[[#This Row],[DesvTyp]]="Abs",PrvSty[[#This Row],[DsvAbs:SERRA]],PrvSty[[#This Row],[DsvAbs:SERRA]]*PrvSty[[#This Row],[Ppto]]))</f>
        <v>0</v>
      </c>
      <c r="P93" s="358">
        <f>IF(OR(PrvSty[[#This Row],[DsvAbs:EXT.]]="X",PrvSty[[#This Row],[DsvAbs:EXT.]]=""),0,IF(PrvSty[[#This Row],[DesvTyp]]="Abs",PrvSty[[#This Row],[DsvAbs:EXT.]],PrvSty[[#This Row],[DsvAbs:EXT.]]*PrvSty[[#This Row],[Ppto]]))</f>
        <v>1097.5999999999999</v>
      </c>
      <c r="Q93" s="358" t="str" cm="1">
        <f t="array" aca="1" ref="Q93"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93" s="363" cm="1">
        <f t="array" aca="1" ref="R93"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93" s="363" cm="1">
        <f t="array" aca="1" ref="S93"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1097.5999999999999</v>
      </c>
      <c r="T93" s="367" cm="1">
        <f t="array" aca="1" ref="T93"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93" s="367" cm="1">
        <f t="array" aca="1" ref="U93"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36.248562788576535</v>
      </c>
      <c r="V93" s="358" t="s">
        <v>2105</v>
      </c>
    </row>
    <row r="94" spans="3:22">
      <c r="C94" s="379">
        <v>45622</v>
      </c>
      <c r="D94" s="357" t="s">
        <v>2114</v>
      </c>
      <c r="E94" s="380" t="str">
        <f t="shared" ca="1" si="3"/>
        <v>31200</v>
      </c>
      <c r="F94" s="359" t="s">
        <v>1285</v>
      </c>
      <c r="G94" s="360" t="s">
        <v>380</v>
      </c>
      <c r="H94" s="358" cm="1">
        <f t="array" aca="1" ref="H94" ca="1">IFERROR(SUM(_xlfn._xlws.FILTER(IF(MeSel="Ppto",PptoSty[CurPpto],PptoSty[CurInt]+PptoSty[CurExt]),(PptoSty[Project]=TEXT(PrvSty[[#This Row],[Project]],"@"))*(PptoSty[PptoVsRow]=PrvSty[[#This Row],[Row]])*(PptoSty[PptoVsColumn]=PrvSty[[#This Row],[Column]]),0)),"X")</f>
        <v>0</v>
      </c>
      <c r="I94" s="358" cm="1">
        <f t="array" aca="1" ref="I94" ca="1">IFERROR(SUM(_xlfn._xlws.FILTER(FrmBB1[Cur],(FrmBB1[PrjId]=TEXT($E94,"@"))*(FrmBB1[Cia]=$D94)*(FrmBB1[Row]=$F94)*(FrmBB1[Column]=_xlfn.LET(_xlpm.x,_xlfn.TEXTBEFORE($G94," ("),IFERROR(_xlpm.x,$G94))&amp;" SERRA"),0)),"X")</f>
        <v>1781.95</v>
      </c>
      <c r="J94" s="358" cm="1">
        <f t="array" aca="1" ref="J94" ca="1">IFERROR(SUM(_xlfn._xlws.FILTER(FrmBB1[Cur],(FrmBB1[PrjId]=TEXT($E94,"@"))*(FrmBB1[Cia]=$D94)*(FrmBB1[Row]=$F94)*(FrmBB1[Column]=_xlfn.LET(_xlpm.x,_xlfn.TEXTBEFORE($G94," ("),IFERROR(_xlpm.x,$G94))&amp;" EXT."),0)),"X")</f>
        <v>0</v>
      </c>
      <c r="K94" s="358">
        <v>0</v>
      </c>
      <c r="L94" s="358">
        <v>686</v>
      </c>
      <c r="M94" s="361">
        <f ca="1">IF(SUM(H94,K94,L94)=0,IF(SUM(I94,J94)&gt;0,1,0),1-SUM(PrvSty[[#This Row],[Real:SERRA]:[Real:EXT.]])/SUM(PrvSty[[#This Row],[AcumInt]:[AcumExt]]))</f>
        <v>-1.597594752186589</v>
      </c>
      <c r="N94" s="360" t="s">
        <v>1739</v>
      </c>
      <c r="O94" s="358">
        <f>IF(OR(PrvSty[[#This Row],[DsvAbs:SERRA]]="X",PrvSty[[#This Row],[DsvAbs:SERRA]]=""),0,IF(PrvSty[[#This Row],[DesvTyp]]="Abs",PrvSty[[#This Row],[DsvAbs:SERRA]],PrvSty[[#This Row],[DsvAbs:SERRA]]*PrvSty[[#This Row],[Ppto]]))</f>
        <v>0</v>
      </c>
      <c r="P94" s="358">
        <f>IF(OR(PrvSty[[#This Row],[DsvAbs:EXT.]]="X",PrvSty[[#This Row],[DsvAbs:EXT.]]=""),0,IF(PrvSty[[#This Row],[DesvTyp]]="Abs",PrvSty[[#This Row],[DsvAbs:EXT.]],PrvSty[[#This Row],[DsvAbs:EXT.]]*PrvSty[[#This Row],[Ppto]]))</f>
        <v>686</v>
      </c>
      <c r="Q94" s="358" t="str" cm="1">
        <f t="array" aca="1" ref="Q94"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94" s="363" cm="1">
        <f t="array" aca="1" ref="R94"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94" s="363" cm="1">
        <f t="array" aca="1" ref="S94"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686</v>
      </c>
      <c r="T94" s="367" cm="1">
        <f t="array" aca="1" ref="T94"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94" s="367" cm="1">
        <f t="array" aca="1" ref="U94"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22.655351742860336</v>
      </c>
      <c r="V94" s="358" t="s">
        <v>2105</v>
      </c>
    </row>
    <row r="95" spans="3:22">
      <c r="C95" s="379">
        <v>45622</v>
      </c>
      <c r="D95" s="357" t="s">
        <v>2114</v>
      </c>
      <c r="E95" s="380" t="str">
        <f t="shared" ca="1" si="3"/>
        <v>31200</v>
      </c>
      <c r="F95" s="359" t="s">
        <v>1285</v>
      </c>
      <c r="G95" s="360" t="s">
        <v>373</v>
      </c>
      <c r="H95" s="358" cm="1">
        <f t="array" aca="1" ref="H95" ca="1">IFERROR(SUM(_xlfn._xlws.FILTER(IF(MeSel="Ppto",PptoSty[CurPpto],PptoSty[CurInt]+PptoSty[CurExt]),(PptoSty[Project]=TEXT(PrvSty[[#This Row],[Project]],"@"))*(PptoSty[PptoVsRow]=PrvSty[[#This Row],[Row]])*(PptoSty[PptoVsColumn]=PrvSty[[#This Row],[Column]]),0)),"X")</f>
        <v>0</v>
      </c>
      <c r="I95" s="358" cm="1">
        <f t="array" aca="1" ref="I95" ca="1">IFERROR(SUM(_xlfn._xlws.FILTER(FrmBB1[Cur],(FrmBB1[PrjId]=TEXT($E95,"@"))*(FrmBB1[Cia]=$D95)*(FrmBB1[Row]=$F95)*(FrmBB1[Column]=_xlfn.LET(_xlpm.x,_xlfn.TEXTBEFORE($G95," ("),IFERROR(_xlpm.x,$G95))&amp;" SERRA"),0)),"X")</f>
        <v>78.55</v>
      </c>
      <c r="J95" s="358" cm="1">
        <f t="array" aca="1" ref="J95" ca="1">IFERROR(SUM(_xlfn._xlws.FILTER(FrmBB1[Cur],(FrmBB1[PrjId]=TEXT($E95,"@"))*(FrmBB1[Cia]=$D95)*(FrmBB1[Row]=$F95)*(FrmBB1[Column]=_xlfn.LET(_xlpm.x,_xlfn.TEXTBEFORE($G95," ("),IFERROR(_xlpm.x,$G95))&amp;" EXT."),0)),"X")</f>
        <v>0</v>
      </c>
      <c r="K95" s="358">
        <v>0</v>
      </c>
      <c r="L95" s="358">
        <v>78.55</v>
      </c>
      <c r="M95" s="361">
        <f ca="1">IF(SUM(H95,K95,L95)=0,IF(SUM(I95,J95)&gt;0,1,0),1-SUM(PrvSty[[#This Row],[Real:SERRA]:[Real:EXT.]])/SUM(PrvSty[[#This Row],[AcumInt]:[AcumExt]]))</f>
        <v>0</v>
      </c>
      <c r="N95" s="360" t="s">
        <v>1739</v>
      </c>
      <c r="O95" s="358">
        <f>IF(OR(PrvSty[[#This Row],[DsvAbs:SERRA]]="X",PrvSty[[#This Row],[DsvAbs:SERRA]]=""),0,IF(PrvSty[[#This Row],[DesvTyp]]="Abs",PrvSty[[#This Row],[DsvAbs:SERRA]],PrvSty[[#This Row],[DsvAbs:SERRA]]*PrvSty[[#This Row],[Ppto]]))</f>
        <v>0</v>
      </c>
      <c r="P95" s="358">
        <f>IF(OR(PrvSty[[#This Row],[DsvAbs:EXT.]]="X",PrvSty[[#This Row],[DsvAbs:EXT.]]=""),0,IF(PrvSty[[#This Row],[DesvTyp]]="Abs",PrvSty[[#This Row],[DsvAbs:EXT.]],PrvSty[[#This Row],[DsvAbs:EXT.]]*PrvSty[[#This Row],[Ppto]]))</f>
        <v>78.55</v>
      </c>
      <c r="Q95" s="358" t="str" cm="1">
        <f t="array" aca="1" ref="Q95"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95" s="363" cm="1">
        <f t="array" aca="1" ref="R95"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95" s="363" cm="1">
        <f t="array" aca="1" ref="S95"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78.55</v>
      </c>
      <c r="T95" s="367" cm="1">
        <f t="array" aca="1" ref="T95"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95" s="367" cm="1">
        <f t="array" aca="1" ref="U95"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1.6925613426859771</v>
      </c>
      <c r="V95" s="358" t="s">
        <v>2105</v>
      </c>
    </row>
    <row r="96" spans="3:22">
      <c r="C96" s="364">
        <v>45622</v>
      </c>
      <c r="D96" s="357" t="s">
        <v>2114</v>
      </c>
      <c r="E96" s="365" t="str">
        <f t="shared" ca="1" si="3"/>
        <v>31200</v>
      </c>
      <c r="F96" s="359" t="s">
        <v>1475</v>
      </c>
      <c r="G96" s="360" t="s">
        <v>1667</v>
      </c>
      <c r="H96" s="358" cm="1">
        <f t="array" aca="1" ref="H96" ca="1">IFERROR(SUM(_xlfn._xlws.FILTER(IF(MeSel="Ppto",PptoSty[CurPpto],PptoSty[CurInt]+PptoSty[CurExt]),(PptoSty[Project]=TEXT(PrvSty[[#This Row],[Project]],"@"))*(PptoSty[PptoVsRow]=PrvSty[[#This Row],[Row]])*(PptoSty[PptoVsColumn]=PrvSty[[#This Row],[Column]]),0)),"X")</f>
        <v>0</v>
      </c>
      <c r="I96" s="358" cm="1">
        <f t="array" aca="1" ref="I96" ca="1">IFERROR(SUM(_xlfn._xlws.FILTER(FrmBB1[Cur],(FrmBB1[PrjId]=TEXT($E96,"@"))*(FrmBB1[Cia]=$D96)*(FrmBB1[Row]=$F96)*(FrmBB1[Column]=_xlfn.LET(_xlpm.x,_xlfn.TEXTBEFORE($G96," ("),IFERROR(_xlpm.x,$G96))&amp;" SERRA"),0)),"X")</f>
        <v>0</v>
      </c>
      <c r="J96" s="358" cm="1">
        <f t="array" aca="1" ref="J96" ca="1">IFERROR(SUM(_xlfn._xlws.FILTER(FrmBB1[Cur],(FrmBB1[PrjId]=TEXT($E96,"@"))*(FrmBB1[Cia]=$D96)*(FrmBB1[Row]=$F96)*(FrmBB1[Column]=_xlfn.LET(_xlpm.x,_xlfn.TEXTBEFORE($G96," ("),IFERROR(_xlpm.x,$G96))&amp;" EXT."),0)),"X")</f>
        <v>6498.8</v>
      </c>
      <c r="K96" s="358">
        <v>0</v>
      </c>
      <c r="L96" s="358">
        <v>5459</v>
      </c>
      <c r="M96" s="361">
        <f ca="1">IF(SUM(H96,K96,L96)=0,IF(SUM(I96,J96)&gt;0,1,0),1-SUM(PrvSty[[#This Row],[Real:SERRA]:[Real:EXT.]])/SUM(PrvSty[[#This Row],[AcumInt]:[AcumExt]]))</f>
        <v>-0.19047444586920692</v>
      </c>
      <c r="N96" s="360" t="s">
        <v>1739</v>
      </c>
      <c r="O96" s="358">
        <f>IF(OR(PrvSty[[#This Row],[DsvAbs:SERRA]]="X",PrvSty[[#This Row],[DsvAbs:SERRA]]=""),0,IF(PrvSty[[#This Row],[DesvTyp]]="Abs",PrvSty[[#This Row],[DsvAbs:SERRA]],PrvSty[[#This Row],[DsvAbs:SERRA]]*PrvSty[[#This Row],[Ppto]]))</f>
        <v>0</v>
      </c>
      <c r="P96" s="358">
        <f>IF(OR(PrvSty[[#This Row],[DsvAbs:EXT.]]="X",PrvSty[[#This Row],[DsvAbs:EXT.]]=""),0,IF(PrvSty[[#This Row],[DesvTyp]]="Abs",PrvSty[[#This Row],[DsvAbs:EXT.]],PrvSty[[#This Row],[DsvAbs:EXT.]]*PrvSty[[#This Row],[Ppto]]))</f>
        <v>5459</v>
      </c>
      <c r="Q96" s="358" t="str" cm="1">
        <f t="array" aca="1" ref="Q96"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96" s="363" cm="1">
        <f t="array" aca="1" ref="R96"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96" s="363" cm="1">
        <f t="array" aca="1" ref="S96"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5459</v>
      </c>
      <c r="T96" s="367" cm="1">
        <f t="array" aca="1" ref="T96"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96" s="367" cm="1">
        <f t="array" aca="1" ref="U96"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83.999686149370049</v>
      </c>
      <c r="V96" s="358" t="s">
        <v>2104</v>
      </c>
    </row>
    <row r="97" spans="3:22">
      <c r="C97" s="370">
        <v>45621</v>
      </c>
      <c r="D97" s="357" t="s">
        <v>2114</v>
      </c>
      <c r="E97" s="371" t="str">
        <f t="shared" ca="1" si="3"/>
        <v>31200</v>
      </c>
      <c r="F97" s="359" t="s">
        <v>368</v>
      </c>
      <c r="G97" s="360" t="s">
        <v>1667</v>
      </c>
      <c r="H97" s="358" cm="1">
        <f t="array" aca="1" ref="H97" ca="1">IFERROR(SUM(_xlfn._xlws.FILTER(IF(MeSel="Ppto",PptoSty[CurPpto],PptoSty[CurInt]+PptoSty[CurExt]),(PptoSty[Project]=TEXT(PrvSty[[#This Row],[Project]],"@"))*(PptoSty[PptoVsRow]=PrvSty[[#This Row],[Row]])*(PptoSty[PptoVsColumn]=PrvSty[[#This Row],[Column]]),0)),"X")</f>
        <v>385777.3386896819</v>
      </c>
      <c r="I97" s="358" cm="1">
        <f t="array" aca="1" ref="I97" ca="1">IFERROR(SUM(_xlfn._xlws.FILTER(FrmBB1[Cur],(FrmBB1[PrjId]=TEXT($E97,"@"))*(FrmBB1[Cia]=$D97)*(FrmBB1[Row]=$F97)*(FrmBB1[Column]=_xlfn.LET(_xlpm.x,_xlfn.TEXTBEFORE($G97," ("),IFERROR(_xlpm.x,$G97))&amp;" SERRA"),0)),"X")</f>
        <v>0</v>
      </c>
      <c r="J97" s="358" cm="1">
        <f t="array" aca="1" ref="J97" ca="1">IFERROR(SUM(_xlfn._xlws.FILTER(FrmBB1[Cur],(FrmBB1[PrjId]=TEXT($E97,"@"))*(FrmBB1[Cia]=$D97)*(FrmBB1[Row]=$F97)*(FrmBB1[Column]=_xlfn.LET(_xlpm.x,_xlfn.TEXTBEFORE($G97," ("),IFERROR(_xlpm.x,$G97))&amp;" EXT."),0)),"X")</f>
        <v>442406</v>
      </c>
      <c r="K97" s="358">
        <v>0</v>
      </c>
      <c r="L97" s="358">
        <v>50000</v>
      </c>
      <c r="M97" s="361">
        <f ca="1">IF(SUM(H97,K97,L97)=0,IF(SUM(I97,J97)&gt;0,1,0),1-SUM(PrvSty[[#This Row],[Real:SERRA]:[Real:EXT.]])/SUM(PrvSty[[#This Row],[AcumInt]:[AcumExt]]))</f>
        <v>-1.5211119812355234E-2</v>
      </c>
      <c r="N97" s="360" t="s">
        <v>1739</v>
      </c>
      <c r="O97" s="358">
        <f>IF(OR(PrvSty[[#This Row],[DsvAbs:SERRA]]="X",PrvSty[[#This Row],[DsvAbs:SERRA]]=""),0,IF(PrvSty[[#This Row],[DesvTyp]]="Abs",PrvSty[[#This Row],[DsvAbs:SERRA]],PrvSty[[#This Row],[DsvAbs:SERRA]]*PrvSty[[#This Row],[Ppto]]))</f>
        <v>0</v>
      </c>
      <c r="P97" s="358">
        <f>IF(OR(PrvSty[[#This Row],[DsvAbs:EXT.]]="X",PrvSty[[#This Row],[DsvAbs:EXT.]]=""),0,IF(PrvSty[[#This Row],[DesvTyp]]="Abs",PrvSty[[#This Row],[DsvAbs:EXT.]],PrvSty[[#This Row],[DsvAbs:EXT.]]*PrvSty[[#This Row],[Ppto]]))</f>
        <v>50000</v>
      </c>
      <c r="Q97" s="358" t="str" cm="1">
        <f t="array" aca="1" ref="Q97"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97" s="363" cm="1">
        <f t="array" aca="1" ref="R97"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19009.700878386426</v>
      </c>
      <c r="S97" s="363" cm="1">
        <f t="array" aca="1" ref="S97"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416767.63781129551</v>
      </c>
      <c r="T97" s="367" cm="1">
        <f t="array" aca="1" ref="T97"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97" s="367" cm="1">
        <f t="array" aca="1" ref="U97"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769.36880517832992</v>
      </c>
      <c r="V97" s="358" t="s">
        <v>2103</v>
      </c>
    </row>
    <row r="98" spans="3:22">
      <c r="C98" s="370">
        <v>45621</v>
      </c>
      <c r="D98" s="357" t="s">
        <v>2114</v>
      </c>
      <c r="E98" s="371" t="str">
        <f t="shared" ca="1" si="3"/>
        <v>31200</v>
      </c>
      <c r="F98" s="359" t="s">
        <v>1473</v>
      </c>
      <c r="G98" s="360" t="s">
        <v>1667</v>
      </c>
      <c r="H98" s="358" cm="1">
        <f t="array" aca="1" ref="H98" ca="1">IFERROR(SUM(_xlfn._xlws.FILTER(IF(MeSel="Ppto",PptoSty[CurPpto],PptoSty[CurInt]+PptoSty[CurExt]),(PptoSty[Project]=TEXT(PrvSty[[#This Row],[Project]],"@"))*(PptoSty[PptoVsRow]=PrvSty[[#This Row],[Row]])*(PptoSty[PptoVsColumn]=PrvSty[[#This Row],[Column]]),0)),"X")</f>
        <v>858533.92855330685</v>
      </c>
      <c r="I98" s="358" cm="1">
        <f t="array" aca="1" ref="I98" ca="1">IFERROR(SUM(_xlfn._xlws.FILTER(FrmBB1[Cur],(FrmBB1[PrjId]=TEXT($E98,"@"))*(FrmBB1[Cia]=$D98)*(FrmBB1[Row]=$F98)*(FrmBB1[Column]=_xlfn.LET(_xlpm.x,_xlfn.TEXTBEFORE($G98," ("),IFERROR(_xlpm.x,$G98))&amp;" SERRA"),0)),"X")</f>
        <v>0</v>
      </c>
      <c r="J98" s="358" cm="1">
        <f t="array" aca="1" ref="J98" ca="1">IFERROR(SUM(_xlfn._xlws.FILTER(FrmBB1[Cur],(FrmBB1[PrjId]=TEXT($E98,"@"))*(FrmBB1[Cia]=$D98)*(FrmBB1[Row]=$F98)*(FrmBB1[Column]=_xlfn.LET(_xlpm.x,_xlfn.TEXTBEFORE($G98," ("),IFERROR(_xlpm.x,$G98))&amp;" EXT."),0)),"X")</f>
        <v>530457.75</v>
      </c>
      <c r="K98" s="358">
        <v>0</v>
      </c>
      <c r="L98" s="358">
        <v>-40000</v>
      </c>
      <c r="M98" s="361">
        <f ca="1">IF(SUM(H98,K98,L98)=0,IF(SUM(I98,J98)&gt;0,1,0),1-SUM(PrvSty[[#This Row],[Real:SERRA]:[Real:EXT.]])/SUM(PrvSty[[#This Row],[AcumInt]:[AcumExt]]))</f>
        <v>0.21957269548017011</v>
      </c>
      <c r="N98" s="360" t="s">
        <v>1739</v>
      </c>
      <c r="O98" s="358">
        <f>IF(OR(PrvSty[[#This Row],[DsvAbs:SERRA]]="X",PrvSty[[#This Row],[DsvAbs:SERRA]]=""),0,IF(PrvSty[[#This Row],[DesvTyp]]="Abs",PrvSty[[#This Row],[DsvAbs:SERRA]],PrvSty[[#This Row],[DsvAbs:SERRA]]*PrvSty[[#This Row],[Ppto]]))</f>
        <v>0</v>
      </c>
      <c r="P98" s="358">
        <f>IF(OR(PrvSty[[#This Row],[DsvAbs:EXT.]]="X",PrvSty[[#This Row],[DsvAbs:EXT.]]=""),0,IF(PrvSty[[#This Row],[DesvTyp]]="Abs",PrvSty[[#This Row],[DsvAbs:EXT.]],PrvSty[[#This Row],[DsvAbs:EXT.]]*PrvSty[[#This Row],[Ppto]]))</f>
        <v>-40000</v>
      </c>
      <c r="Q98" s="358" t="str" cm="1">
        <f t="array" aca="1" ref="Q98"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98" s="363" cm="1">
        <f t="array" aca="1" ref="R98"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122621.96425583257</v>
      </c>
      <c r="S98" s="363" cm="1">
        <f t="array" aca="1" ref="S98"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557079.71574416745</v>
      </c>
      <c r="T98" s="367" cm="1">
        <f t="array" aca="1" ref="T98"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98" s="367" cm="1">
        <f t="array" aca="1" ref="U98"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-615.49504414266391</v>
      </c>
      <c r="V98" s="358" t="s">
        <v>2103</v>
      </c>
    </row>
    <row r="99" spans="3:22">
      <c r="C99" s="370">
        <v>45621</v>
      </c>
      <c r="D99" s="357" t="s">
        <v>2114</v>
      </c>
      <c r="E99" s="371" t="str">
        <f t="shared" ca="1" si="3"/>
        <v>31200</v>
      </c>
      <c r="F99" s="359" t="s">
        <v>1284</v>
      </c>
      <c r="G99" s="360" t="s">
        <v>380</v>
      </c>
      <c r="H99" s="358" cm="1">
        <f t="array" aca="1" ref="H99" ca="1">IFERROR(SUM(_xlfn._xlws.FILTER(IF(MeSel="Ppto",PptoSty[CurPpto],PptoSty[CurInt]+PptoSty[CurExt]),(PptoSty[Project]=TEXT(PrvSty[[#This Row],[Project]],"@"))*(PptoSty[PptoVsRow]=PrvSty[[#This Row],[Row]])*(PptoSty[PptoVsColumn]=PrvSty[[#This Row],[Column]]),0)),"X")</f>
        <v>138289.48439962498</v>
      </c>
      <c r="I99" s="358" cm="1">
        <f t="array" aca="1" ref="I99" ca="1">IFERROR(SUM(_xlfn._xlws.FILTER(FrmBB1[Cur],(FrmBB1[PrjId]=TEXT($E99,"@"))*(FrmBB1[Cia]=$D99)*(FrmBB1[Row]=$F99)*(FrmBB1[Column]=_xlfn.LET(_xlpm.x,_xlfn.TEXTBEFORE($G99," ("),IFERROR(_xlpm.x,$G99))&amp;" SERRA"),0)),"X")</f>
        <v>21679.85</v>
      </c>
      <c r="J99" s="358" cm="1">
        <f t="array" aca="1" ref="J99" ca="1">IFERROR(SUM(_xlfn._xlws.FILTER(FrmBB1[Cur],(FrmBB1[PrjId]=TEXT($E99,"@"))*(FrmBB1[Cia]=$D99)*(FrmBB1[Row]=$F99)*(FrmBB1[Column]=_xlfn.LET(_xlpm.x,_xlfn.TEXTBEFORE($G99," ("),IFERROR(_xlpm.x,$G99))&amp;" EXT."),0)),"X")</f>
        <v>0</v>
      </c>
      <c r="K99" s="358">
        <v>0</v>
      </c>
      <c r="L99" s="358">
        <v>-30000</v>
      </c>
      <c r="M99" s="361">
        <f ca="1">IF(SUM(H99,K99,L99)=0,IF(SUM(I99,J99)&gt;0,1,0),1-SUM(PrvSty[[#This Row],[Real:SERRA]:[Real:EXT.]])/SUM(PrvSty[[#This Row],[AcumInt]:[AcumExt]]))</f>
        <v>0.79979727375934329</v>
      </c>
      <c r="N99" s="360" t="s">
        <v>1739</v>
      </c>
      <c r="O99" s="358">
        <f>IF(OR(PrvSty[[#This Row],[DsvAbs:SERRA]]="X",PrvSty[[#This Row],[DsvAbs:SERRA]]=""),0,IF(PrvSty[[#This Row],[DesvTyp]]="Abs",PrvSty[[#This Row],[DsvAbs:SERRA]],PrvSty[[#This Row],[DsvAbs:SERRA]]*PrvSty[[#This Row],[Ppto]]))</f>
        <v>0</v>
      </c>
      <c r="P99" s="358">
        <f>IF(OR(PrvSty[[#This Row],[DsvAbs:EXT.]]="X",PrvSty[[#This Row],[DsvAbs:EXT.]]=""),0,IF(PrvSty[[#This Row],[DesvTyp]]="Abs",PrvSty[[#This Row],[DsvAbs:EXT.]],PrvSty[[#This Row],[DsvAbs:EXT.]]*PrvSty[[#This Row],[Ppto]]))</f>
        <v>-30000</v>
      </c>
      <c r="Q99" s="358" t="str" cm="1">
        <f t="array" aca="1" ref="Q99"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99" s="363" cm="1">
        <f t="array" aca="1" ref="R99"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41480.067952440004</v>
      </c>
      <c r="S99" s="363" cm="1">
        <f t="array" aca="1" ref="S99"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66809.416447185009</v>
      </c>
      <c r="T99" s="367" cm="1">
        <f t="array" aca="1" ref="T99"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99" s="367" cm="1">
        <f t="array" aca="1" ref="U99"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-990.75882257406727</v>
      </c>
      <c r="V99" s="358" t="s">
        <v>2103</v>
      </c>
    </row>
    <row r="100" spans="3:22">
      <c r="C100" s="370">
        <v>45621</v>
      </c>
      <c r="D100" s="357" t="s">
        <v>2114</v>
      </c>
      <c r="E100" s="371" t="str">
        <f t="shared" ca="1" si="3"/>
        <v>31200</v>
      </c>
      <c r="F100" s="359" t="s">
        <v>1410</v>
      </c>
      <c r="G100" s="360" t="s">
        <v>380</v>
      </c>
      <c r="H100" s="358" cm="1">
        <f t="array" aca="1" ref="H100" ca="1">IFERROR(SUM(_xlfn._xlws.FILTER(IF(MeSel="Ppto",PptoSty[CurPpto],PptoSty[CurInt]+PptoSty[CurExt]),(PptoSty[Project]=TEXT(PrvSty[[#This Row],[Project]],"@"))*(PptoSty[PptoVsRow]=PrvSty[[#This Row],[Row]])*(PptoSty[PptoVsColumn]=PrvSty[[#This Row],[Column]]),0)),"X")</f>
        <v>159761.70173857495</v>
      </c>
      <c r="I100" s="358" cm="1">
        <f t="array" aca="1" ref="I100" ca="1">IFERROR(SUM(_xlfn._xlws.FILTER(FrmBB1[Cur],(FrmBB1[PrjId]=TEXT($E100,"@"))*(FrmBB1[Cia]=$D100)*(FrmBB1[Row]=$F100)*(FrmBB1[Column]=_xlfn.LET(_xlpm.x,_xlfn.TEXTBEFORE($G100," ("),IFERROR(_xlpm.x,$G100))&amp;" SERRA"),0)),"X")</f>
        <v>35888.959999999999</v>
      </c>
      <c r="J100" s="358" cm="1">
        <f t="array" aca="1" ref="J100" ca="1">IFERROR(SUM(_xlfn._xlws.FILTER(FrmBB1[Cur],(FrmBB1[PrjId]=TEXT($E100,"@"))*(FrmBB1[Cia]=$D100)*(FrmBB1[Row]=$F100)*(FrmBB1[Column]=_xlfn.LET(_xlpm.x,_xlfn.TEXTBEFORE($G100," ("),IFERROR(_xlpm.x,$G100))&amp;" EXT."),0)),"X")</f>
        <v>55138</v>
      </c>
      <c r="K100" s="358">
        <v>0</v>
      </c>
      <c r="L100" s="358">
        <v>10000</v>
      </c>
      <c r="M100" s="361">
        <f ca="1">IF(SUM(H100,K100,L100)=0,IF(SUM(I100,J100)&gt;0,1,0),1-SUM(PrvSty[[#This Row],[Real:SERRA]:[Real:EXT.]])/SUM(PrvSty[[#This Row],[AcumInt]:[AcumExt]]))</f>
        <v>0.463795667292631</v>
      </c>
      <c r="N100" s="360" t="s">
        <v>1739</v>
      </c>
      <c r="O100" s="358">
        <f>IF(OR(PrvSty[[#This Row],[DsvAbs:SERRA]]="X",PrvSty[[#This Row],[DsvAbs:SERRA]]=""),0,IF(PrvSty[[#This Row],[DesvTyp]]="Abs",PrvSty[[#This Row],[DsvAbs:SERRA]],PrvSty[[#This Row],[DsvAbs:SERRA]]*PrvSty[[#This Row],[Ppto]]))</f>
        <v>0</v>
      </c>
      <c r="P100" s="358">
        <f>IF(OR(PrvSty[[#This Row],[DsvAbs:EXT.]]="X",PrvSty[[#This Row],[DsvAbs:EXT.]]=""),0,IF(PrvSty[[#This Row],[DesvTyp]]="Abs",PrvSty[[#This Row],[DsvAbs:EXT.]],PrvSty[[#This Row],[DsvAbs:EXT.]]*PrvSty[[#This Row],[Ppto]]))</f>
        <v>10000</v>
      </c>
      <c r="Q100" s="358" t="str" cm="1">
        <f t="array" aca="1" ref="Q100"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00" s="363" cm="1">
        <f t="array" aca="1" ref="R100"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49633.96838629499</v>
      </c>
      <c r="S100" s="363" cm="1">
        <f t="array" aca="1" ref="S100"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120127.73335227999</v>
      </c>
      <c r="T100" s="367" cm="1">
        <f t="array" aca="1" ref="T100"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00" s="367" cm="1">
        <f t="array" aca="1" ref="U100"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330.25294085802238</v>
      </c>
      <c r="V100" s="358" t="s">
        <v>2103</v>
      </c>
    </row>
    <row r="101" spans="3:22">
      <c r="C101" s="370">
        <v>45621</v>
      </c>
      <c r="D101" s="357" t="s">
        <v>2114</v>
      </c>
      <c r="E101" s="371" t="str">
        <f t="shared" ca="1" si="3"/>
        <v>31200</v>
      </c>
      <c r="F101" s="359" t="s">
        <v>362</v>
      </c>
      <c r="G101" s="360" t="s">
        <v>381</v>
      </c>
      <c r="H101" s="358" cm="1">
        <f t="array" aca="1" ref="H101" ca="1">IFERROR(SUM(_xlfn._xlws.FILTER(IF(MeSel="Ppto",PptoSty[CurPpto],PptoSty[CurInt]+PptoSty[CurExt]),(PptoSty[Project]=TEXT(PrvSty[[#This Row],[Project]],"@"))*(PptoSty[PptoVsRow]=PrvSty[[#This Row],[Row]])*(PptoSty[PptoVsColumn]=PrvSty[[#This Row],[Column]]),0)),"X")</f>
        <v>44667.347880948</v>
      </c>
      <c r="I101" s="358" cm="1">
        <f t="array" aca="1" ref="I101" ca="1">IFERROR(SUM(_xlfn._xlws.FILTER(FrmBB1[Cur],(FrmBB1[PrjId]=TEXT($E101,"@"))*(FrmBB1[Cia]=$D101)*(FrmBB1[Row]=$F101)*(FrmBB1[Column]=_xlfn.LET(_xlpm.x,_xlfn.TEXTBEFORE($G101," ("),IFERROR(_xlpm.x,$G101))&amp;" SERRA"),0)),"X")</f>
        <v>8210.24</v>
      </c>
      <c r="J101" s="358" cm="1">
        <f t="array" aca="1" ref="J101" ca="1">IFERROR(SUM(_xlfn._xlws.FILTER(FrmBB1[Cur],(FrmBB1[PrjId]=TEXT($E101,"@"))*(FrmBB1[Cia]=$D101)*(FrmBB1[Row]=$F101)*(FrmBB1[Column]=_xlfn.LET(_xlpm.x,_xlfn.TEXTBEFORE($G101," ("),IFERROR(_xlpm.x,$G101))&amp;" EXT."),0)),"X")</f>
        <v>20693.560000000001</v>
      </c>
      <c r="K101" s="358">
        <v>0</v>
      </c>
      <c r="L101" s="358">
        <v>-7500</v>
      </c>
      <c r="M101" s="361">
        <f ca="1">IF(SUM(H101,K101,L101)=0,IF(SUM(I101,J101)&gt;0,1,0),1-SUM(PrvSty[[#This Row],[Real:SERRA]:[Real:EXT.]])/SUM(PrvSty[[#This Row],[AcumInt]:[AcumExt]]))</f>
        <v>0.22233353607626893</v>
      </c>
      <c r="N101" s="360" t="s">
        <v>1739</v>
      </c>
      <c r="O101" s="358">
        <f>IF(OR(PrvSty[[#This Row],[DsvAbs:SERRA]]="X",PrvSty[[#This Row],[DsvAbs:SERRA]]=""),0,IF(PrvSty[[#This Row],[DesvTyp]]="Abs",PrvSty[[#This Row],[DsvAbs:SERRA]],PrvSty[[#This Row],[DsvAbs:SERRA]]*PrvSty[[#This Row],[Ppto]]))</f>
        <v>0</v>
      </c>
      <c r="P101" s="358">
        <f>IF(OR(PrvSty[[#This Row],[DsvAbs:EXT.]]="X",PrvSty[[#This Row],[DsvAbs:EXT.]]=""),0,IF(PrvSty[[#This Row],[DesvTyp]]="Abs",PrvSty[[#This Row],[DsvAbs:EXT.]],PrvSty[[#This Row],[DsvAbs:EXT.]]*PrvSty[[#This Row],[Ppto]]))</f>
        <v>-7500</v>
      </c>
      <c r="Q101" s="358" t="str" cm="1">
        <f t="array" aca="1" ref="Q101"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01" s="363" cm="1">
        <f t="array" aca="1" ref="R101"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6034.5820189139995</v>
      </c>
      <c r="S101" s="363" cm="1">
        <f t="array" aca="1" ref="S101"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31132.765862033993</v>
      </c>
      <c r="T101" s="367" cm="1">
        <f t="array" aca="1" ref="T101"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01" s="367" cm="1">
        <f t="array" aca="1" ref="U101"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-261.97159007030046</v>
      </c>
      <c r="V101" s="358" t="s">
        <v>2103</v>
      </c>
    </row>
    <row r="102" spans="3:22">
      <c r="C102" s="370">
        <v>45621</v>
      </c>
      <c r="D102" s="357" t="s">
        <v>2114</v>
      </c>
      <c r="E102" s="371" t="str">
        <f t="shared" ca="1" si="3"/>
        <v>31200</v>
      </c>
      <c r="F102" s="359" t="s">
        <v>1475</v>
      </c>
      <c r="G102" s="360" t="s">
        <v>389</v>
      </c>
      <c r="H102" s="358" cm="1">
        <f t="array" aca="1" ref="H102" ca="1">IFERROR(SUM(_xlfn._xlws.FILTER(IF(MeSel="Ppto",PptoSty[CurPpto],PptoSty[CurInt]+PptoSty[CurExt]),(PptoSty[Project]=TEXT(PrvSty[[#This Row],[Project]],"@"))*(PptoSty[PptoVsRow]=PrvSty[[#This Row],[Row]])*(PptoSty[PptoVsColumn]=PrvSty[[#This Row],[Column]]),0)),"X")</f>
        <v>86563.656697986007</v>
      </c>
      <c r="I102" s="358" cm="1">
        <f t="array" aca="1" ref="I102" ca="1">IFERROR(SUM(_xlfn._xlws.FILTER(FrmBB1[Cur],(FrmBB1[PrjId]=TEXT($E102,"@"))*(FrmBB1[Cia]=$D102)*(FrmBB1[Row]=$F102)*(FrmBB1[Column]=_xlfn.LET(_xlpm.x,_xlfn.TEXTBEFORE($G102," ("),IFERROR(_xlpm.x,$G102))&amp;" SERRA"),0)),"X")</f>
        <v>7604.76</v>
      </c>
      <c r="J102" s="358" cm="1">
        <f t="array" aca="1" ref="J102" ca="1">IFERROR(SUM(_xlfn._xlws.FILTER(FrmBB1[Cur],(FrmBB1[PrjId]=TEXT($E102,"@"))*(FrmBB1[Cia]=$D102)*(FrmBB1[Row]=$F102)*(FrmBB1[Column]=_xlfn.LET(_xlpm.x,_xlfn.TEXTBEFORE($G102," ("),IFERROR(_xlpm.x,$G102))&amp;" EXT."),0)),"X")</f>
        <v>52355</v>
      </c>
      <c r="K102" s="358">
        <v>0</v>
      </c>
      <c r="L102" s="358">
        <v>-20000</v>
      </c>
      <c r="M102" s="361">
        <f ca="1">IF(SUM(H102,K102,L102)=0,IF(SUM(I102,J102)&gt;0,1,0),1-SUM(PrvSty[[#This Row],[Real:SERRA]:[Real:EXT.]])/SUM(PrvSty[[#This Row],[AcumInt]:[AcumExt]]))</f>
        <v>9.9211747454761134E-2</v>
      </c>
      <c r="N102" s="360" t="s">
        <v>1739</v>
      </c>
      <c r="O102" s="358">
        <f>IF(OR(PrvSty[[#This Row],[DsvAbs:SERRA]]="X",PrvSty[[#This Row],[DsvAbs:SERRA]]=""),0,IF(PrvSty[[#This Row],[DesvTyp]]="Abs",PrvSty[[#This Row],[DsvAbs:SERRA]],PrvSty[[#This Row],[DsvAbs:SERRA]]*PrvSty[[#This Row],[Ppto]]))</f>
        <v>0</v>
      </c>
      <c r="P102" s="358">
        <f>IF(OR(PrvSty[[#This Row],[DsvAbs:EXT.]]="X",PrvSty[[#This Row],[DsvAbs:EXT.]]=""),0,IF(PrvSty[[#This Row],[DesvTyp]]="Abs",PrvSty[[#This Row],[DsvAbs:EXT.]],PrvSty[[#This Row],[DsvAbs:EXT.]]*PrvSty[[#This Row],[Ppto]]))</f>
        <v>-20000</v>
      </c>
      <c r="Q102" s="358" t="str" cm="1">
        <f t="array" aca="1" ref="Q102"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02" s="363" cm="1">
        <f t="array" aca="1" ref="R102"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11694.795213573001</v>
      </c>
      <c r="S102" s="363" cm="1">
        <f t="array" aca="1" ref="S102"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54868.861484413006</v>
      </c>
      <c r="T102" s="367" cm="1">
        <f t="array" aca="1" ref="T102"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02" s="367" cm="1">
        <f t="array" aca="1" ref="U102"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-539.5199395736056</v>
      </c>
      <c r="V102" s="358" t="s">
        <v>2103</v>
      </c>
    </row>
    <row r="103" spans="3:22">
      <c r="C103" s="370">
        <v>45621</v>
      </c>
      <c r="D103" s="357" t="s">
        <v>2114</v>
      </c>
      <c r="E103" s="371" t="str">
        <f t="shared" ca="1" si="3"/>
        <v>31200</v>
      </c>
      <c r="F103" s="359" t="s">
        <v>358</v>
      </c>
      <c r="G103" s="360" t="s">
        <v>389</v>
      </c>
      <c r="H103" s="358" cm="1">
        <f t="array" aca="1" ref="H103" ca="1">IFERROR(SUM(_xlfn._xlws.FILTER(IF(MeSel="Ppto",PptoSty[CurPpto],PptoSty[CurInt]+PptoSty[CurExt]),(PptoSty[Project]=TEXT(PrvSty[[#This Row],[Project]],"@"))*(PptoSty[PptoVsRow]=PrvSty[[#This Row],[Row]])*(PptoSty[PptoVsColumn]=PrvSty[[#This Row],[Column]]),0)),"X")</f>
        <v>0</v>
      </c>
      <c r="I103" s="358" cm="1">
        <f t="array" aca="1" ref="I103" ca="1">IFERROR(SUM(_xlfn._xlws.FILTER(FrmBB1[Cur],(FrmBB1[PrjId]=TEXT($E103,"@"))*(FrmBB1[Cia]=$D103)*(FrmBB1[Row]=$F103)*(FrmBB1[Column]=_xlfn.LET(_xlpm.x,_xlfn.TEXTBEFORE($G103," ("),IFERROR(_xlpm.x,$G103))&amp;" SERRA"),0)),"X")</f>
        <v>18321.84</v>
      </c>
      <c r="J103" s="358" cm="1">
        <f t="array" aca="1" ref="J103" ca="1">IFERROR(SUM(_xlfn._xlws.FILTER(FrmBB1[Cur],(FrmBB1[PrjId]=TEXT($E103,"@"))*(FrmBB1[Cia]=$D103)*(FrmBB1[Row]=$F103)*(FrmBB1[Column]=_xlfn.LET(_xlpm.x,_xlfn.TEXTBEFORE($G103," ("),IFERROR(_xlpm.x,$G103))&amp;" EXT."),0)),"X")</f>
        <v>0</v>
      </c>
      <c r="K103" s="358">
        <v>0</v>
      </c>
      <c r="L103" s="358">
        <v>11564.6</v>
      </c>
      <c r="M103" s="361">
        <f ca="1">IF(SUM(H103,K103,L103)=0,IF(SUM(I103,J103)&gt;0,1,0),1-SUM(PrvSty[[#This Row],[Real:SERRA]:[Real:EXT.]])/SUM(PrvSty[[#This Row],[AcumInt]:[AcumExt]]))</f>
        <v>-0.58430382373795897</v>
      </c>
      <c r="N103" s="360" t="s">
        <v>1739</v>
      </c>
      <c r="O103" s="358">
        <f>IF(OR(PrvSty[[#This Row],[DsvAbs:SERRA]]="X",PrvSty[[#This Row],[DsvAbs:SERRA]]=""),0,IF(PrvSty[[#This Row],[DesvTyp]]="Abs",PrvSty[[#This Row],[DsvAbs:SERRA]],PrvSty[[#This Row],[DsvAbs:SERRA]]*PrvSty[[#This Row],[Ppto]]))</f>
        <v>0</v>
      </c>
      <c r="P103" s="358">
        <f>IF(OR(PrvSty[[#This Row],[DsvAbs:EXT.]]="X",PrvSty[[#This Row],[DsvAbs:EXT.]]=""),0,IF(PrvSty[[#This Row],[DesvTyp]]="Abs",PrvSty[[#This Row],[DsvAbs:EXT.]],PrvSty[[#This Row],[DsvAbs:EXT.]]*PrvSty[[#This Row],[Ppto]]))</f>
        <v>11564.6</v>
      </c>
      <c r="Q103" s="358" t="str" cm="1">
        <f t="array" aca="1" ref="Q103"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03" s="363" cm="1">
        <f t="array" aca="1" ref="R103"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03" s="363" cm="1">
        <f t="array" aca="1" ref="S103"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11564.6</v>
      </c>
      <c r="T103" s="367" cm="1">
        <f t="array" aca="1" ref="T103"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03" s="367" cm="1">
        <f t="array" aca="1" ref="U103"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311.96661465964598</v>
      </c>
      <c r="V103" s="358" t="s">
        <v>2103</v>
      </c>
    </row>
    <row r="104" spans="3:22">
      <c r="C104" s="364">
        <v>45622</v>
      </c>
      <c r="D104" s="357" t="s">
        <v>2114</v>
      </c>
      <c r="E104" s="365" t="str">
        <f t="shared" ca="1" si="3"/>
        <v>31200</v>
      </c>
      <c r="F104" s="359" t="s">
        <v>1467</v>
      </c>
      <c r="G104" s="360" t="s">
        <v>389</v>
      </c>
      <c r="H104" s="358" cm="1">
        <f t="array" aca="1" ref="H104" ca="1">IFERROR(SUM(_xlfn._xlws.FILTER(IF(MeSel="Ppto",PptoSty[CurPpto],PptoSty[CurInt]+PptoSty[CurExt]),(PptoSty[Project]=TEXT(PrvSty[[#This Row],[Project]],"@"))*(PptoSty[PptoVsRow]=PrvSty[[#This Row],[Row]])*(PptoSty[PptoVsColumn]=PrvSty[[#This Row],[Column]]),0)),"X")</f>
        <v>0</v>
      </c>
      <c r="I104" s="358" cm="1">
        <f t="array" aca="1" ref="I104" ca="1">IFERROR(SUM(_xlfn._xlws.FILTER(FrmBB1[Cur],(FrmBB1[PrjId]=TEXT($E104,"@"))*(FrmBB1[Cia]=$D104)*(FrmBB1[Row]=$F104)*(FrmBB1[Column]=_xlfn.LET(_xlpm.x,_xlfn.TEXTBEFORE($G104," ("),IFERROR(_xlpm.x,$G104))&amp;" SERRA"),0)),"X")</f>
        <v>437.16</v>
      </c>
      <c r="J104" s="358" cm="1">
        <f t="array" aca="1" ref="J104" ca="1">IFERROR(SUM(_xlfn._xlws.FILTER(FrmBB1[Cur],(FrmBB1[PrjId]=TEXT($E104,"@"))*(FrmBB1[Cia]=$D104)*(FrmBB1[Row]=$F104)*(FrmBB1[Column]=_xlfn.LET(_xlpm.x,_xlfn.TEXTBEFORE($G104," ("),IFERROR(_xlpm.x,$G104))&amp;" EXT."),0)),"X")</f>
        <v>10394.799999999999</v>
      </c>
      <c r="K104" s="358">
        <v>437.16</v>
      </c>
      <c r="L104" s="358">
        <v>10394.799999999999</v>
      </c>
      <c r="M104" s="361">
        <f ca="1">IF(SUM(H104,K104,L104)=0,IF(SUM(I104,J104)&gt;0,1,0),1-SUM(PrvSty[[#This Row],[Real:SERRA]:[Real:EXT.]])/SUM(PrvSty[[#This Row],[AcumInt]:[AcumExt]]))</f>
        <v>0</v>
      </c>
      <c r="N104" s="360" t="s">
        <v>1739</v>
      </c>
      <c r="O104" s="358">
        <f>IF(OR(PrvSty[[#This Row],[DsvAbs:SERRA]]="X",PrvSty[[#This Row],[DsvAbs:SERRA]]=""),0,IF(PrvSty[[#This Row],[DesvTyp]]="Abs",PrvSty[[#This Row],[DsvAbs:SERRA]],PrvSty[[#This Row],[DsvAbs:SERRA]]*PrvSty[[#This Row],[Ppto]]))</f>
        <v>437.16</v>
      </c>
      <c r="P104" s="358">
        <f>IF(OR(PrvSty[[#This Row],[DsvAbs:EXT.]]="X",PrvSty[[#This Row],[DsvAbs:EXT.]]=""),0,IF(PrvSty[[#This Row],[DesvTyp]]="Abs",PrvSty[[#This Row],[DsvAbs:EXT.]],PrvSty[[#This Row],[DsvAbs:EXT.]]*PrvSty[[#This Row],[Ppto]]))</f>
        <v>10394.799999999999</v>
      </c>
      <c r="Q104" s="358" t="str" cm="1">
        <f t="array" aca="1" ref="Q104"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04" s="363" cm="1">
        <f t="array" aca="1" ref="R104"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437.16</v>
      </c>
      <c r="S104" s="363" cm="1">
        <f t="array" aca="1" ref="S104"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10394.799999999999</v>
      </c>
      <c r="T104" s="367" cm="1">
        <f t="array" aca="1" ref="T104"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11.792826839199874</v>
      </c>
      <c r="U104" s="367" cm="1">
        <f t="array" aca="1" ref="U104"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280.41009339398579</v>
      </c>
      <c r="V104" s="358" t="s">
        <v>2104</v>
      </c>
    </row>
    <row r="105" spans="3:22">
      <c r="C105" s="364">
        <v>45622</v>
      </c>
      <c r="D105" s="357" t="s">
        <v>2114</v>
      </c>
      <c r="E105" s="365" t="str">
        <f t="shared" ca="1" si="3"/>
        <v>31200</v>
      </c>
      <c r="F105" s="359" t="s">
        <v>1410</v>
      </c>
      <c r="G105" s="360" t="s">
        <v>389</v>
      </c>
      <c r="H105" s="358" cm="1">
        <f t="array" aca="1" ref="H105" ca="1">IFERROR(SUM(_xlfn._xlws.FILTER(IF(MeSel="Ppto",PptoSty[CurPpto],PptoSty[CurInt]+PptoSty[CurExt]),(PptoSty[Project]=TEXT(PrvSty[[#This Row],[Project]],"@"))*(PptoSty[PptoVsRow]=PrvSty[[#This Row],[Row]])*(PptoSty[PptoVsColumn]=PrvSty[[#This Row],[Column]]),0)),"X")</f>
        <v>116469.95411914201</v>
      </c>
      <c r="I105" s="358" cm="1">
        <f t="array" aca="1" ref="I105" ca="1">IFERROR(SUM(_xlfn._xlws.FILTER(FrmBB1[Cur],(FrmBB1[PrjId]=TEXT($E105,"@"))*(FrmBB1[Cia]=$D105)*(FrmBB1[Row]=$F105)*(FrmBB1[Column]=_xlfn.LET(_xlpm.x,_xlfn.TEXTBEFORE($G105," ("),IFERROR(_xlpm.x,$G105))&amp;" SERRA"),0)),"X")</f>
        <v>15828.73</v>
      </c>
      <c r="J105" s="358" cm="1">
        <f t="array" aca="1" ref="J105" ca="1">IFERROR(SUM(_xlfn._xlws.FILTER(FrmBB1[Cur],(FrmBB1[PrjId]=TEXT($E105,"@"))*(FrmBB1[Cia]=$D105)*(FrmBB1[Row]=$F105)*(FrmBB1[Column]=_xlfn.LET(_xlpm.x,_xlfn.TEXTBEFORE($G105," ("),IFERROR(_xlpm.x,$G105))&amp;" EXT."),0)),"X")</f>
        <v>107160.56</v>
      </c>
      <c r="K105" s="358">
        <v>5000</v>
      </c>
      <c r="L105" s="358">
        <v>0</v>
      </c>
      <c r="M105" s="361">
        <f ca="1">IF(SUM(H105,K105,L105)=0,IF(SUM(I105,J105)&gt;0,1,0),1-SUM(PrvSty[[#This Row],[Real:SERRA]:[Real:EXT.]])/SUM(PrvSty[[#This Row],[AcumInt]:[AcumExt]]))</f>
        <v>-1.2507915162030647E-2</v>
      </c>
      <c r="N105" s="360" t="s">
        <v>1739</v>
      </c>
      <c r="O105" s="358">
        <f>IF(OR(PrvSty[[#This Row],[DsvAbs:SERRA]]="X",PrvSty[[#This Row],[DsvAbs:SERRA]]=""),0,IF(PrvSty[[#This Row],[DesvTyp]]="Abs",PrvSty[[#This Row],[DsvAbs:SERRA]],PrvSty[[#This Row],[DsvAbs:SERRA]]*PrvSty[[#This Row],[Ppto]]))</f>
        <v>5000</v>
      </c>
      <c r="P105" s="358">
        <f>IF(OR(PrvSty[[#This Row],[DsvAbs:EXT.]]="X",PrvSty[[#This Row],[DsvAbs:EXT.]]=""),0,IF(PrvSty[[#This Row],[DesvTyp]]="Abs",PrvSty[[#This Row],[DsvAbs:EXT.]],PrvSty[[#This Row],[DsvAbs:EXT.]]*PrvSty[[#This Row],[Ppto]]))</f>
        <v>0</v>
      </c>
      <c r="Q105" s="358" t="str" cm="1">
        <f t="array" aca="1" ref="Q105"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05" s="363" cm="1">
        <f t="array" aca="1" ref="R105"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20735.151608831002</v>
      </c>
      <c r="S105" s="363" cm="1">
        <f t="array" aca="1" ref="S105"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100734.80251031101</v>
      </c>
      <c r="T105" s="367" cm="1">
        <f t="array" aca="1" ref="T105"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134.8799848934014</v>
      </c>
      <c r="U105" s="367" cm="1">
        <f t="array" aca="1" ref="U105"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05" s="358" t="s">
        <v>2110</v>
      </c>
    </row>
    <row r="106" spans="3:22">
      <c r="C106" s="364">
        <v>45622</v>
      </c>
      <c r="D106" s="357" t="s">
        <v>2114</v>
      </c>
      <c r="E106" s="365" t="str">
        <f t="shared" ca="1" si="3"/>
        <v>31200</v>
      </c>
      <c r="F106" s="359" t="s">
        <v>1410</v>
      </c>
      <c r="G106" s="360" t="s">
        <v>389</v>
      </c>
      <c r="H106" s="358" cm="1">
        <f t="array" aca="1" ref="H106" ca="1">IFERROR(SUM(_xlfn._xlws.FILTER(IF(MeSel="Ppto",PptoSty[CurPpto],PptoSty[CurInt]+PptoSty[CurExt]),(PptoSty[Project]=TEXT(PrvSty[[#This Row],[Project]],"@"))*(PptoSty[PptoVsRow]=PrvSty[[#This Row],[Row]])*(PptoSty[PptoVsColumn]=PrvSty[[#This Row],[Column]]),0)),"X")</f>
        <v>116469.95411914201</v>
      </c>
      <c r="I106" s="358" cm="1">
        <f t="array" aca="1" ref="I106" ca="1">IFERROR(SUM(_xlfn._xlws.FILTER(FrmBB1[Cur],(FrmBB1[PrjId]=TEXT($E106,"@"))*(FrmBB1[Cia]=$D106)*(FrmBB1[Row]=$F106)*(FrmBB1[Column]=_xlfn.LET(_xlpm.x,_xlfn.TEXTBEFORE($G106," ("),IFERROR(_xlpm.x,$G106))&amp;" SERRA"),0)),"X")</f>
        <v>15828.73</v>
      </c>
      <c r="J106" s="358" cm="1">
        <f t="array" aca="1" ref="J106" ca="1">IFERROR(SUM(_xlfn._xlws.FILTER(FrmBB1[Cur],(FrmBB1[PrjId]=TEXT($E106,"@"))*(FrmBB1[Cia]=$D106)*(FrmBB1[Row]=$F106)*(FrmBB1[Column]=_xlfn.LET(_xlpm.x,_xlfn.TEXTBEFORE($G106," ("),IFERROR(_xlpm.x,$G106))&amp;" EXT."),0)),"X")</f>
        <v>107160.56</v>
      </c>
      <c r="K106" s="358">
        <v>5000</v>
      </c>
      <c r="L106" s="358">
        <v>0</v>
      </c>
      <c r="M106" s="361">
        <f ca="1">IF(SUM(H106,K106,L106)=0,IF(SUM(I106,J106)&gt;0,1,0),1-SUM(PrvSty[[#This Row],[Real:SERRA]:[Real:EXT.]])/SUM(PrvSty[[#This Row],[AcumInt]:[AcumExt]]))</f>
        <v>2.7521668236417884E-2</v>
      </c>
      <c r="N106" s="360" t="s">
        <v>1739</v>
      </c>
      <c r="O106" s="358">
        <f>IF(OR(PrvSty[[#This Row],[DsvAbs:SERRA]]="X",PrvSty[[#This Row],[DsvAbs:SERRA]]=""),0,IF(PrvSty[[#This Row],[DesvTyp]]="Abs",PrvSty[[#This Row],[DsvAbs:SERRA]],PrvSty[[#This Row],[DsvAbs:SERRA]]*PrvSty[[#This Row],[Ppto]]))</f>
        <v>5000</v>
      </c>
      <c r="P106" s="358">
        <f>IF(OR(PrvSty[[#This Row],[DsvAbs:EXT.]]="X",PrvSty[[#This Row],[DsvAbs:EXT.]]=""),0,IF(PrvSty[[#This Row],[DesvTyp]]="Abs",PrvSty[[#This Row],[DsvAbs:EXT.]],PrvSty[[#This Row],[DsvAbs:EXT.]]*PrvSty[[#This Row],[Ppto]]))</f>
        <v>0</v>
      </c>
      <c r="Q106" s="358" t="str" cm="1">
        <f t="array" aca="1" ref="Q106"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06" s="363" cm="1">
        <f t="array" aca="1" ref="R106"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25735.151608831002</v>
      </c>
      <c r="S106" s="363" cm="1">
        <f t="array" aca="1" ref="S106"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100734.80251031101</v>
      </c>
      <c r="T106" s="367" cm="1">
        <f t="array" aca="1" ref="T106"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134.8799848934014</v>
      </c>
      <c r="U106" s="367" cm="1">
        <f t="array" aca="1" ref="U106"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06" s="358" t="s">
        <v>2104</v>
      </c>
    </row>
    <row r="107" spans="3:22">
      <c r="C107" s="364">
        <v>45622</v>
      </c>
      <c r="D107" s="357" t="s">
        <v>2114</v>
      </c>
      <c r="E107" s="365" t="str">
        <f t="shared" ca="1" si="3"/>
        <v>31200</v>
      </c>
      <c r="F107" s="359" t="s">
        <v>428</v>
      </c>
      <c r="G107" s="360" t="s">
        <v>1670</v>
      </c>
      <c r="H107" s="358" cm="1">
        <f t="array" aca="1" ref="H107" ca="1">IFERROR(SUM(_xlfn._xlws.FILTER(IF(MeSel="Ppto",PptoSty[CurPpto],PptoSty[CurInt]+PptoSty[CurExt]),(PptoSty[Project]=TEXT(PrvSty[[#This Row],[Project]],"@"))*(PptoSty[PptoVsRow]=PrvSty[[#This Row],[Row]])*(PptoSty[PptoVsColumn]=PrvSty[[#This Row],[Column]]),0)),"X")</f>
        <v>0</v>
      </c>
      <c r="I107" s="358" cm="1">
        <f t="array" aca="1" ref="I107" ca="1">IFERROR(SUM(_xlfn._xlws.FILTER(FrmBB1[Cur],(FrmBB1[PrjId]=TEXT($E107,"@"))*(FrmBB1[Cia]=$D107)*(FrmBB1[Row]=$F107)*(FrmBB1[Column]=_xlfn.LET(_xlpm.x,_xlfn.TEXTBEFORE($G107," ("),IFERROR(_xlpm.x,$G107))&amp;" SERRA"),0)),"X")</f>
        <v>0</v>
      </c>
      <c r="J107" s="358" cm="1">
        <f t="array" aca="1" ref="J107" ca="1">IFERROR(SUM(_xlfn._xlws.FILTER(FrmBB1[Cur],(FrmBB1[PrjId]=TEXT($E107,"@"))*(FrmBB1[Cia]=$D107)*(FrmBB1[Row]=$F107)*(FrmBB1[Column]=_xlfn.LET(_xlpm.x,_xlfn.TEXTBEFORE($G107," ("),IFERROR(_xlpm.x,$G107))&amp;" EXT."),0)),"X")</f>
        <v>20.8</v>
      </c>
      <c r="K107" s="358">
        <v>0</v>
      </c>
      <c r="L107" s="358">
        <v>20.8</v>
      </c>
      <c r="M107" s="361">
        <f ca="1">IF(SUM(H107,K107,L107)=0,IF(SUM(I107,J107)&gt;0,1,0),1-SUM(PrvSty[[#This Row],[Real:SERRA]:[Real:EXT.]])/SUM(PrvSty[[#This Row],[AcumInt]:[AcumExt]]))</f>
        <v>0</v>
      </c>
      <c r="N107" s="360" t="s">
        <v>1739</v>
      </c>
      <c r="O107" s="358">
        <f>IF(OR(PrvSty[[#This Row],[DsvAbs:SERRA]]="X",PrvSty[[#This Row],[DsvAbs:SERRA]]=""),0,IF(PrvSty[[#This Row],[DesvTyp]]="Abs",PrvSty[[#This Row],[DsvAbs:SERRA]],PrvSty[[#This Row],[DsvAbs:SERRA]]*PrvSty[[#This Row],[Ppto]]))</f>
        <v>0</v>
      </c>
      <c r="P107" s="358">
        <f>IF(OR(PrvSty[[#This Row],[DsvAbs:EXT.]]="X",PrvSty[[#This Row],[DsvAbs:EXT.]]=""),0,IF(PrvSty[[#This Row],[DesvTyp]]="Abs",PrvSty[[#This Row],[DsvAbs:EXT.]],PrvSty[[#This Row],[DsvAbs:EXT.]]*PrvSty[[#This Row],[Ppto]]))</f>
        <v>20.8</v>
      </c>
      <c r="Q107" s="358" t="str" cm="1">
        <f t="array" aca="1" ref="Q107"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07" s="363" cm="1">
        <f t="array" aca="1" ref="R107"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07" s="363" cm="1">
        <f t="array" aca="1" ref="S107"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20.8</v>
      </c>
      <c r="T107" s="367" cm="1">
        <f t="array" aca="1" ref="T107"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07" s="367" cm="1">
        <f t="array" aca="1" ref="U107"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07" s="358" t="s">
        <v>2104</v>
      </c>
    </row>
    <row r="108" spans="3:22">
      <c r="C108" s="364">
        <v>45622</v>
      </c>
      <c r="D108" s="357" t="s">
        <v>2114</v>
      </c>
      <c r="E108" s="365" t="str">
        <f t="shared" ca="1" si="3"/>
        <v>31200</v>
      </c>
      <c r="F108" s="359" t="s">
        <v>428</v>
      </c>
      <c r="G108" s="360" t="s">
        <v>1275</v>
      </c>
      <c r="H108" s="358" cm="1">
        <f t="array" aca="1" ref="H108" ca="1">IFERROR(SUM(_xlfn._xlws.FILTER(IF(MeSel="Ppto",PptoSty[CurPpto],PptoSty[CurInt]+PptoSty[CurExt]),(PptoSty[Project]=TEXT(PrvSty[[#This Row],[Project]],"@"))*(PptoSty[PptoVsRow]=PrvSty[[#This Row],[Row]])*(PptoSty[PptoVsColumn]=PrvSty[[#This Row],[Column]]),0)),"X")</f>
        <v>0</v>
      </c>
      <c r="I108" s="358" cm="1">
        <f t="array" aca="1" ref="I108" ca="1">IFERROR(SUM(_xlfn._xlws.FILTER(FrmBB1[Cur],(FrmBB1[PrjId]=TEXT($E108,"@"))*(FrmBB1[Cia]=$D108)*(FrmBB1[Row]=$F108)*(FrmBB1[Column]=_xlfn.LET(_xlpm.x,_xlfn.TEXTBEFORE($G108," ("),IFERROR(_xlpm.x,$G108))&amp;" SERRA"),0)),"X")</f>
        <v>0</v>
      </c>
      <c r="J108" s="358" cm="1">
        <f t="array" aca="1" ref="J108" ca="1">IFERROR(SUM(_xlfn._xlws.FILTER(FrmBB1[Cur],(FrmBB1[PrjId]=TEXT($E108,"@"))*(FrmBB1[Cia]=$D108)*(FrmBB1[Row]=$F108)*(FrmBB1[Column]=_xlfn.LET(_xlpm.x,_xlfn.TEXTBEFORE($G108," ("),IFERROR(_xlpm.x,$G108))&amp;" EXT."),0)),"X")</f>
        <v>26.23</v>
      </c>
      <c r="K108" s="358">
        <v>0</v>
      </c>
      <c r="L108" s="358">
        <v>26.23</v>
      </c>
      <c r="M108" s="361">
        <f ca="1">IF(SUM(H108,K108,L108)=0,IF(SUM(I108,J108)&gt;0,1,0),1-SUM(PrvSty[[#This Row],[Real:SERRA]:[Real:EXT.]])/SUM(PrvSty[[#This Row],[AcumInt]:[AcumExt]]))</f>
        <v>0</v>
      </c>
      <c r="N108" s="360" t="s">
        <v>1739</v>
      </c>
      <c r="O108" s="358">
        <f>IF(OR(PrvSty[[#This Row],[DsvAbs:SERRA]]="X",PrvSty[[#This Row],[DsvAbs:SERRA]]=""),0,IF(PrvSty[[#This Row],[DesvTyp]]="Abs",PrvSty[[#This Row],[DsvAbs:SERRA]],PrvSty[[#This Row],[DsvAbs:SERRA]]*PrvSty[[#This Row],[Ppto]]))</f>
        <v>0</v>
      </c>
      <c r="P108" s="358">
        <f>IF(OR(PrvSty[[#This Row],[DsvAbs:EXT.]]="X",PrvSty[[#This Row],[DsvAbs:EXT.]]=""),0,IF(PrvSty[[#This Row],[DesvTyp]]="Abs",PrvSty[[#This Row],[DsvAbs:EXT.]],PrvSty[[#This Row],[DsvAbs:EXT.]]*PrvSty[[#This Row],[Ppto]]))</f>
        <v>26.23</v>
      </c>
      <c r="Q108" s="358" t="str" cm="1">
        <f t="array" aca="1" ref="Q108"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08" s="363" cm="1">
        <f t="array" aca="1" ref="R108"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08" s="363" cm="1">
        <f t="array" aca="1" ref="S108"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26.23</v>
      </c>
      <c r="T108" s="367" cm="1">
        <f t="array" aca="1" ref="T108"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08" s="367" cm="1">
        <f t="array" aca="1" ref="U108"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08" s="358" t="s">
        <v>2104</v>
      </c>
    </row>
    <row r="109" spans="3:22">
      <c r="C109" s="364">
        <v>45622</v>
      </c>
      <c r="D109" s="357" t="s">
        <v>2114</v>
      </c>
      <c r="E109" s="365" t="str">
        <f t="shared" ca="1" si="3"/>
        <v>31200</v>
      </c>
      <c r="F109" s="359" t="s">
        <v>1468</v>
      </c>
      <c r="G109" s="360" t="s">
        <v>1275</v>
      </c>
      <c r="H109" s="358" cm="1">
        <f t="array" aca="1" ref="H109" ca="1">IFERROR(SUM(_xlfn._xlws.FILTER(IF(MeSel="Ppto",PptoSty[CurPpto],PptoSty[CurInt]+PptoSty[CurExt]),(PptoSty[Project]=TEXT(PrvSty[[#This Row],[Project]],"@"))*(PptoSty[PptoVsRow]=PrvSty[[#This Row],[Row]])*(PptoSty[PptoVsColumn]=PrvSty[[#This Row],[Column]]),0)),"X")</f>
        <v>0</v>
      </c>
      <c r="I109" s="358" cm="1">
        <f t="array" aca="1" ref="I109" ca="1">IFERROR(SUM(_xlfn._xlws.FILTER(FrmBB1[Cur],(FrmBB1[PrjId]=TEXT($E109,"@"))*(FrmBB1[Cia]=$D109)*(FrmBB1[Row]=$F109)*(FrmBB1[Column]=_xlfn.LET(_xlpm.x,_xlfn.TEXTBEFORE($G109," ("),IFERROR(_xlpm.x,$G109))&amp;" SERRA"),0)),"X")</f>
        <v>0</v>
      </c>
      <c r="J109" s="358" cm="1">
        <f t="array" aca="1" ref="J109" ca="1">IFERROR(SUM(_xlfn._xlws.FILTER(FrmBB1[Cur],(FrmBB1[PrjId]=TEXT($E109,"@"))*(FrmBB1[Cia]=$D109)*(FrmBB1[Row]=$F109)*(FrmBB1[Column]=_xlfn.LET(_xlpm.x,_xlfn.TEXTBEFORE($G109," ("),IFERROR(_xlpm.x,$G109))&amp;" EXT."),0)),"X")</f>
        <v>86.78</v>
      </c>
      <c r="K109" s="358">
        <v>0</v>
      </c>
      <c r="L109" s="358">
        <v>86.78</v>
      </c>
      <c r="M109" s="361">
        <f ca="1">IF(SUM(H109,K109,L109)=0,IF(SUM(I109,J109)&gt;0,1,0),1-SUM(PrvSty[[#This Row],[Real:SERRA]:[Real:EXT.]])/SUM(PrvSty[[#This Row],[AcumInt]:[AcumExt]]))</f>
        <v>0</v>
      </c>
      <c r="N109" s="360" t="s">
        <v>1739</v>
      </c>
      <c r="O109" s="358">
        <f>IF(OR(PrvSty[[#This Row],[DsvAbs:SERRA]]="X",PrvSty[[#This Row],[DsvAbs:SERRA]]=""),0,IF(PrvSty[[#This Row],[DesvTyp]]="Abs",PrvSty[[#This Row],[DsvAbs:SERRA]],PrvSty[[#This Row],[DsvAbs:SERRA]]*PrvSty[[#This Row],[Ppto]]))</f>
        <v>0</v>
      </c>
      <c r="P109" s="358">
        <f>IF(OR(PrvSty[[#This Row],[DsvAbs:EXT.]]="X",PrvSty[[#This Row],[DsvAbs:EXT.]]=""),0,IF(PrvSty[[#This Row],[DesvTyp]]="Abs",PrvSty[[#This Row],[DsvAbs:EXT.]],PrvSty[[#This Row],[DsvAbs:EXT.]]*PrvSty[[#This Row],[Ppto]]))</f>
        <v>86.78</v>
      </c>
      <c r="Q109" s="358" t="str" cm="1">
        <f t="array" aca="1" ref="Q109"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09" s="363" cm="1">
        <f t="array" aca="1" ref="R109"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09" s="363" cm="1">
        <f t="array" aca="1" ref="S109"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86.78</v>
      </c>
      <c r="T109" s="367" cm="1">
        <f t="array" aca="1" ref="T109"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09" s="367" cm="1">
        <f t="array" aca="1" ref="U109"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09" s="358" t="s">
        <v>2104</v>
      </c>
    </row>
    <row r="110" spans="3:22">
      <c r="C110" s="364">
        <v>45622</v>
      </c>
      <c r="D110" s="357" t="s">
        <v>2114</v>
      </c>
      <c r="E110" s="365" t="str">
        <f t="shared" ca="1" si="3"/>
        <v>31200</v>
      </c>
      <c r="F110" s="359" t="s">
        <v>298</v>
      </c>
      <c r="G110" s="360" t="s">
        <v>1670</v>
      </c>
      <c r="H110" s="358" cm="1">
        <f t="array" aca="1" ref="H110" ca="1">IFERROR(SUM(_xlfn._xlws.FILTER(IF(MeSel="Ppto",PptoSty[CurPpto],PptoSty[CurInt]+PptoSty[CurExt]),(PptoSty[Project]=TEXT(PrvSty[[#This Row],[Project]],"@"))*(PptoSty[PptoVsRow]=PrvSty[[#This Row],[Row]])*(PptoSty[PptoVsColumn]=PrvSty[[#This Row],[Column]]),0)),"X")</f>
        <v>0</v>
      </c>
      <c r="I110" s="358" cm="1">
        <f t="array" aca="1" ref="I110" ca="1">IFERROR(SUM(_xlfn._xlws.FILTER(FrmBB1[Cur],(FrmBB1[PrjId]=TEXT($E110,"@"))*(FrmBB1[Cia]=$D110)*(FrmBB1[Row]=$F110)*(FrmBB1[Column]=_xlfn.LET(_xlpm.x,_xlfn.TEXTBEFORE($G110," ("),IFERROR(_xlpm.x,$G110))&amp;" SERRA"),0)),"X")</f>
        <v>0</v>
      </c>
      <c r="J110" s="358" cm="1">
        <f t="array" aca="1" ref="J110" ca="1">IFERROR(SUM(_xlfn._xlws.FILTER(FrmBB1[Cur],(FrmBB1[PrjId]=TEXT($E110,"@"))*(FrmBB1[Cia]=$D110)*(FrmBB1[Row]=$F110)*(FrmBB1[Column]=_xlfn.LET(_xlpm.x,_xlfn.TEXTBEFORE($G110," ("),IFERROR(_xlpm.x,$G110))&amp;" EXT."),0)),"X")</f>
        <v>3285.71</v>
      </c>
      <c r="K110" s="358">
        <v>0</v>
      </c>
      <c r="L110" s="358">
        <v>2895.1800000000003</v>
      </c>
      <c r="M110" s="361">
        <f ca="1">IF(SUM(H110,K110,L110)=0,IF(SUM(I110,J110)&gt;0,1,0),1-SUM(PrvSty[[#This Row],[Real:SERRA]:[Real:EXT.]])/SUM(PrvSty[[#This Row],[AcumInt]:[AcumExt]]))</f>
        <v>-0.13488971324753551</v>
      </c>
      <c r="N110" s="360" t="s">
        <v>1739</v>
      </c>
      <c r="O110" s="358">
        <f>IF(OR(PrvSty[[#This Row],[DsvAbs:SERRA]]="X",PrvSty[[#This Row],[DsvAbs:SERRA]]=""),0,IF(PrvSty[[#This Row],[DesvTyp]]="Abs",PrvSty[[#This Row],[DsvAbs:SERRA]],PrvSty[[#This Row],[DsvAbs:SERRA]]*PrvSty[[#This Row],[Ppto]]))</f>
        <v>0</v>
      </c>
      <c r="P110" s="358">
        <f>IF(OR(PrvSty[[#This Row],[DsvAbs:EXT.]]="X",PrvSty[[#This Row],[DsvAbs:EXT.]]=""),0,IF(PrvSty[[#This Row],[DesvTyp]]="Abs",PrvSty[[#This Row],[DsvAbs:EXT.]],PrvSty[[#This Row],[DsvAbs:EXT.]]*PrvSty[[#This Row],[Ppto]]))</f>
        <v>2895.1800000000003</v>
      </c>
      <c r="Q110" s="358" t="str" cm="1">
        <f t="array" aca="1" ref="Q110"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10" s="363" cm="1">
        <f t="array" aca="1" ref="R110"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10" s="363" cm="1">
        <f t="array" aca="1" ref="S110"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2895.1800000000003</v>
      </c>
      <c r="T110" s="367" cm="1">
        <f t="array" aca="1" ref="T110"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10" s="367" cm="1">
        <f t="array" aca="1" ref="U110"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10" s="358" t="s">
        <v>2104</v>
      </c>
    </row>
    <row r="111" spans="3:22">
      <c r="C111" s="364">
        <v>45622</v>
      </c>
      <c r="D111" s="357" t="s">
        <v>2114</v>
      </c>
      <c r="E111" s="365" t="str">
        <f t="shared" ca="1" si="3"/>
        <v>31200</v>
      </c>
      <c r="F111" s="359" t="s">
        <v>298</v>
      </c>
      <c r="G111" s="360" t="s">
        <v>385</v>
      </c>
      <c r="H111" s="358" cm="1">
        <f t="array" aca="1" ref="H111" ca="1">IFERROR(SUM(_xlfn._xlws.FILTER(IF(MeSel="Ppto",PptoSty[CurPpto],PptoSty[CurInt]+PptoSty[CurExt]),(PptoSty[Project]=TEXT(PrvSty[[#This Row],[Project]],"@"))*(PptoSty[PptoVsRow]=PrvSty[[#This Row],[Row]])*(PptoSty[PptoVsColumn]=PrvSty[[#This Row],[Column]]),0)),"X")</f>
        <v>0</v>
      </c>
      <c r="I111" s="358" cm="1">
        <f t="array" aca="1" ref="I111" ca="1">IFERROR(SUM(_xlfn._xlws.FILTER(FrmBB1[Cur],(FrmBB1[PrjId]=TEXT($E111,"@"))*(FrmBB1[Cia]=$D111)*(FrmBB1[Row]=$F111)*(FrmBB1[Column]=_xlfn.LET(_xlpm.x,_xlfn.TEXTBEFORE($G111," ("),IFERROR(_xlpm.x,$G111))&amp;" SERRA"),0)),"X")</f>
        <v>0</v>
      </c>
      <c r="J111" s="358" cm="1">
        <f t="array" aca="1" ref="J111" ca="1">IFERROR(SUM(_xlfn._xlws.FILTER(FrmBB1[Cur],(FrmBB1[PrjId]=TEXT($E111,"@"))*(FrmBB1[Cia]=$D111)*(FrmBB1[Row]=$F111)*(FrmBB1[Column]=_xlfn.LET(_xlpm.x,_xlfn.TEXTBEFORE($G111," ("),IFERROR(_xlpm.x,$G111))&amp;" EXT."),0)),"X")</f>
        <v>146.47</v>
      </c>
      <c r="K111" s="358">
        <v>0</v>
      </c>
      <c r="L111" s="358">
        <v>141.6</v>
      </c>
      <c r="M111" s="361">
        <f ca="1">IF(SUM(H111,K111,L111)=0,IF(SUM(I111,J111)&gt;0,1,0),1-SUM(PrvSty[[#This Row],[Real:SERRA]:[Real:EXT.]])/SUM(PrvSty[[#This Row],[AcumInt]:[AcumExt]]))</f>
        <v>-3.4392655367231573E-2</v>
      </c>
      <c r="N111" s="360" t="s">
        <v>1739</v>
      </c>
      <c r="O111" s="358">
        <f>IF(OR(PrvSty[[#This Row],[DsvAbs:SERRA]]="X",PrvSty[[#This Row],[DsvAbs:SERRA]]=""),0,IF(PrvSty[[#This Row],[DesvTyp]]="Abs",PrvSty[[#This Row],[DsvAbs:SERRA]],PrvSty[[#This Row],[DsvAbs:SERRA]]*PrvSty[[#This Row],[Ppto]]))</f>
        <v>0</v>
      </c>
      <c r="P111" s="358">
        <f>IF(OR(PrvSty[[#This Row],[DsvAbs:EXT.]]="X",PrvSty[[#This Row],[DsvAbs:EXT.]]=""),0,IF(PrvSty[[#This Row],[DesvTyp]]="Abs",PrvSty[[#This Row],[DsvAbs:EXT.]],PrvSty[[#This Row],[DsvAbs:EXT.]]*PrvSty[[#This Row],[Ppto]]))</f>
        <v>141.6</v>
      </c>
      <c r="Q111" s="358" t="str" cm="1">
        <f t="array" aca="1" ref="Q111"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11" s="363" cm="1">
        <f t="array" aca="1" ref="R111"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11" s="363" cm="1">
        <f t="array" aca="1" ref="S111"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141.6</v>
      </c>
      <c r="T111" s="367" cm="1">
        <f t="array" aca="1" ref="T111"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11" s="367" cm="1">
        <f t="array" aca="1" ref="U111"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11" s="358" t="s">
        <v>2104</v>
      </c>
    </row>
    <row r="112" spans="3:22">
      <c r="C112" s="364">
        <v>45622</v>
      </c>
      <c r="D112" s="357" t="s">
        <v>2114</v>
      </c>
      <c r="E112" s="365" t="str">
        <f t="shared" ca="1" si="3"/>
        <v>31200</v>
      </c>
      <c r="F112" s="359" t="s">
        <v>362</v>
      </c>
      <c r="G112" s="360" t="s">
        <v>1670</v>
      </c>
      <c r="H112" s="358" cm="1">
        <f t="array" aca="1" ref="H112" ca="1">IFERROR(SUM(_xlfn._xlws.FILTER(IF(MeSel="Ppto",PptoSty[CurPpto],PptoSty[CurInt]+PptoSty[CurExt]),(PptoSty[Project]=TEXT(PrvSty[[#This Row],[Project]],"@"))*(PptoSty[PptoVsRow]=PrvSty[[#This Row],[Row]])*(PptoSty[PptoVsColumn]=PrvSty[[#This Row],[Column]]),0)),"X")</f>
        <v>0</v>
      </c>
      <c r="I112" s="358" cm="1">
        <f t="array" aca="1" ref="I112" ca="1">IFERROR(SUM(_xlfn._xlws.FILTER(FrmBB1[Cur],(FrmBB1[PrjId]=TEXT($E112,"@"))*(FrmBB1[Cia]=$D112)*(FrmBB1[Row]=$F112)*(FrmBB1[Column]=_xlfn.LET(_xlpm.x,_xlfn.TEXTBEFORE($G112," ("),IFERROR(_xlpm.x,$G112))&amp;" SERRA"),0)),"X")</f>
        <v>0</v>
      </c>
      <c r="J112" s="358" cm="1">
        <f t="array" aca="1" ref="J112" ca="1">IFERROR(SUM(_xlfn._xlws.FILTER(FrmBB1[Cur],(FrmBB1[PrjId]=TEXT($E112,"@"))*(FrmBB1[Cia]=$D112)*(FrmBB1[Row]=$F112)*(FrmBB1[Column]=_xlfn.LET(_xlpm.x,_xlfn.TEXTBEFORE($G112," ("),IFERROR(_xlpm.x,$G112))&amp;" EXT."),0)),"X")</f>
        <v>7328.7699999999995</v>
      </c>
      <c r="K112" s="358">
        <v>0</v>
      </c>
      <c r="L112" s="358">
        <v>7181.97</v>
      </c>
      <c r="M112" s="361">
        <f ca="1">IF(SUM(H112,K112,L112)=0,IF(SUM(I112,J112)&gt;0,1,0),1-SUM(PrvSty[[#This Row],[Real:SERRA]:[Real:EXT.]])/SUM(PrvSty[[#This Row],[AcumInt]:[AcumExt]]))</f>
        <v>-2.0440074241468542E-2</v>
      </c>
      <c r="N112" s="360" t="s">
        <v>1739</v>
      </c>
      <c r="O112" s="358">
        <f>IF(OR(PrvSty[[#This Row],[DsvAbs:SERRA]]="X",PrvSty[[#This Row],[DsvAbs:SERRA]]=""),0,IF(PrvSty[[#This Row],[DesvTyp]]="Abs",PrvSty[[#This Row],[DsvAbs:SERRA]],PrvSty[[#This Row],[DsvAbs:SERRA]]*PrvSty[[#This Row],[Ppto]]))</f>
        <v>0</v>
      </c>
      <c r="P112" s="358">
        <f>IF(OR(PrvSty[[#This Row],[DsvAbs:EXT.]]="X",PrvSty[[#This Row],[DsvAbs:EXT.]]=""),0,IF(PrvSty[[#This Row],[DesvTyp]]="Abs",PrvSty[[#This Row],[DsvAbs:EXT.]],PrvSty[[#This Row],[DsvAbs:EXT.]]*PrvSty[[#This Row],[Ppto]]))</f>
        <v>7181.97</v>
      </c>
      <c r="Q112" s="358" t="str" cm="1">
        <f t="array" aca="1" ref="Q112"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12" s="363" cm="1">
        <f t="array" aca="1" ref="R112"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12" s="363" cm="1">
        <f t="array" aca="1" ref="S112"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7181.97</v>
      </c>
      <c r="T112" s="367" cm="1">
        <f t="array" aca="1" ref="T112"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12" s="367" cm="1">
        <f t="array" aca="1" ref="U112"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12" s="358" t="s">
        <v>2104</v>
      </c>
    </row>
    <row r="113" spans="3:22">
      <c r="C113" s="364">
        <v>45622</v>
      </c>
      <c r="D113" s="357" t="s">
        <v>2114</v>
      </c>
      <c r="E113" s="365" t="str">
        <f t="shared" ca="1" si="3"/>
        <v>31200</v>
      </c>
      <c r="F113" s="359" t="s">
        <v>362</v>
      </c>
      <c r="G113" s="360" t="s">
        <v>1275</v>
      </c>
      <c r="H113" s="358" cm="1">
        <f t="array" aca="1" ref="H113" ca="1">IFERROR(SUM(_xlfn._xlws.FILTER(IF(MeSel="Ppto",PptoSty[CurPpto],PptoSty[CurInt]+PptoSty[CurExt]),(PptoSty[Project]=TEXT(PrvSty[[#This Row],[Project]],"@"))*(PptoSty[PptoVsRow]=PrvSty[[#This Row],[Row]])*(PptoSty[PptoVsColumn]=PrvSty[[#This Row],[Column]]),0)),"X")</f>
        <v>242006.39</v>
      </c>
      <c r="I113" s="358" cm="1">
        <f t="array" aca="1" ref="I113" ca="1">IFERROR(SUM(_xlfn._xlws.FILTER(FrmBB1[Cur],(FrmBB1[PrjId]=TEXT($E113,"@"))*(FrmBB1[Cia]=$D113)*(FrmBB1[Row]=$F113)*(FrmBB1[Column]=_xlfn.LET(_xlpm.x,_xlfn.TEXTBEFORE($G113," ("),IFERROR(_xlpm.x,$G113))&amp;" SERRA"),0)),"X")</f>
        <v>0</v>
      </c>
      <c r="J113" s="358" cm="1">
        <f t="array" aca="1" ref="J113" ca="1">IFERROR(SUM(_xlfn._xlws.FILTER(FrmBB1[Cur],(FrmBB1[PrjId]=TEXT($E113,"@"))*(FrmBB1[Cia]=$D113)*(FrmBB1[Row]=$F113)*(FrmBB1[Column]=_xlfn.LET(_xlpm.x,_xlfn.TEXTBEFORE($G113," ("),IFERROR(_xlpm.x,$G113))&amp;" EXT."),0)),"X")</f>
        <v>97967.27</v>
      </c>
      <c r="K113" s="358">
        <v>0</v>
      </c>
      <c r="L113" s="358">
        <v>-7181.97</v>
      </c>
      <c r="M113" s="361">
        <f ca="1">IF(SUM(H113,K113,L113)=0,IF(SUM(I113,J113)&gt;0,1,0),1-SUM(PrvSty[[#This Row],[Real:SERRA]:[Real:EXT.]])/SUM(PrvSty[[#This Row],[AcumInt]:[AcumExt]]))</f>
        <v>0.58280629416650953</v>
      </c>
      <c r="N113" s="360" t="s">
        <v>1739</v>
      </c>
      <c r="O113" s="358">
        <f>IF(OR(PrvSty[[#This Row],[DsvAbs:SERRA]]="X",PrvSty[[#This Row],[DsvAbs:SERRA]]=""),0,IF(PrvSty[[#This Row],[DesvTyp]]="Abs",PrvSty[[#This Row],[DsvAbs:SERRA]],PrvSty[[#This Row],[DsvAbs:SERRA]]*PrvSty[[#This Row],[Ppto]]))</f>
        <v>0</v>
      </c>
      <c r="P113" s="358">
        <f>IF(OR(PrvSty[[#This Row],[DsvAbs:EXT.]]="X",PrvSty[[#This Row],[DsvAbs:EXT.]]=""),0,IF(PrvSty[[#This Row],[DesvTyp]]="Abs",PrvSty[[#This Row],[DsvAbs:EXT.]],PrvSty[[#This Row],[DsvAbs:EXT.]]*PrvSty[[#This Row],[Ppto]]))</f>
        <v>-7181.97</v>
      </c>
      <c r="Q113" s="358" t="str" cm="1">
        <f t="array" aca="1" ref="Q113"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13" s="363" cm="1">
        <f t="array" aca="1" ref="R113"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13" s="363" cm="1">
        <f t="array" aca="1" ref="S113"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234824.42</v>
      </c>
      <c r="T113" s="367" cm="1">
        <f t="array" aca="1" ref="T113"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13" s="367" cm="1">
        <f t="array" aca="1" ref="U113"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13" s="358" t="s">
        <v>2104</v>
      </c>
    </row>
    <row r="114" spans="3:22">
      <c r="C114" s="364">
        <v>45622</v>
      </c>
      <c r="D114" s="357" t="s">
        <v>2114</v>
      </c>
      <c r="E114" s="365" t="str">
        <f t="shared" ca="1" si="3"/>
        <v>31200</v>
      </c>
      <c r="F114" s="359" t="s">
        <v>368</v>
      </c>
      <c r="G114" s="360" t="s">
        <v>1275</v>
      </c>
      <c r="H114" s="358" cm="1">
        <f t="array" aca="1" ref="H114" ca="1">IFERROR(SUM(_xlfn._xlws.FILTER(IF(MeSel="Ppto",PptoSty[CurPpto],PptoSty[CurInt]+PptoSty[CurExt]),(PptoSty[Project]=TEXT(PrvSty[[#This Row],[Project]],"@"))*(PptoSty[PptoVsRow]=PrvSty[[#This Row],[Row]])*(PptoSty[PptoVsColumn]=PrvSty[[#This Row],[Column]]),0)),"X")</f>
        <v>0</v>
      </c>
      <c r="I114" s="358" cm="1">
        <f t="array" aca="1" ref="I114" ca="1">IFERROR(SUM(_xlfn._xlws.FILTER(FrmBB1[Cur],(FrmBB1[PrjId]=TEXT($E114,"@"))*(FrmBB1[Cia]=$D114)*(FrmBB1[Row]=$F114)*(FrmBB1[Column]=_xlfn.LET(_xlpm.x,_xlfn.TEXTBEFORE($G114," ("),IFERROR(_xlpm.x,$G114))&amp;" SERRA"),0)),"X")</f>
        <v>0</v>
      </c>
      <c r="J114" s="358" cm="1">
        <f t="array" aca="1" ref="J114" ca="1">IFERROR(SUM(_xlfn._xlws.FILTER(FrmBB1[Cur],(FrmBB1[PrjId]=TEXT($E114,"@"))*(FrmBB1[Cia]=$D114)*(FrmBB1[Row]=$F114)*(FrmBB1[Column]=_xlfn.LET(_xlpm.x,_xlfn.TEXTBEFORE($G114," ("),IFERROR(_xlpm.x,$G114))&amp;" EXT."),0)),"X")</f>
        <v>36132.57</v>
      </c>
      <c r="K114" s="358">
        <v>0</v>
      </c>
      <c r="L114" s="358">
        <v>35150</v>
      </c>
      <c r="M114" s="361">
        <f ca="1">IF(SUM(H114,K114,L114)=0,IF(SUM(I114,J114)&gt;0,1,0),1-SUM(PrvSty[[#This Row],[Real:SERRA]:[Real:EXT.]])/SUM(PrvSty[[#This Row],[AcumInt]:[AcumExt]]))</f>
        <v>-2.7953627311521956E-2</v>
      </c>
      <c r="N114" s="360" t="s">
        <v>1739</v>
      </c>
      <c r="O114" s="358">
        <f>IF(OR(PrvSty[[#This Row],[DsvAbs:SERRA]]="X",PrvSty[[#This Row],[DsvAbs:SERRA]]=""),0,IF(PrvSty[[#This Row],[DesvTyp]]="Abs",PrvSty[[#This Row],[DsvAbs:SERRA]],PrvSty[[#This Row],[DsvAbs:SERRA]]*PrvSty[[#This Row],[Ppto]]))</f>
        <v>0</v>
      </c>
      <c r="P114" s="358">
        <f>IF(OR(PrvSty[[#This Row],[DsvAbs:EXT.]]="X",PrvSty[[#This Row],[DsvAbs:EXT.]]=""),0,IF(PrvSty[[#This Row],[DesvTyp]]="Abs",PrvSty[[#This Row],[DsvAbs:EXT.]],PrvSty[[#This Row],[DsvAbs:EXT.]]*PrvSty[[#This Row],[Ppto]]))</f>
        <v>35150</v>
      </c>
      <c r="Q114" s="358" t="str" cm="1">
        <f t="array" aca="1" ref="Q114"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14" s="363" cm="1">
        <f t="array" aca="1" ref="R114"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14" s="363" cm="1">
        <f t="array" aca="1" ref="S114"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35150</v>
      </c>
      <c r="T114" s="367" cm="1">
        <f t="array" aca="1" ref="T114"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14" s="367" cm="1">
        <f t="array" aca="1" ref="U114"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14" s="358" t="s">
        <v>2104</v>
      </c>
    </row>
    <row r="115" spans="3:22">
      <c r="C115" s="364">
        <v>45622</v>
      </c>
      <c r="D115" s="357" t="s">
        <v>2114</v>
      </c>
      <c r="E115" s="365" t="str">
        <f t="shared" ca="1" si="3"/>
        <v>31200</v>
      </c>
      <c r="F115" s="359" t="s">
        <v>368</v>
      </c>
      <c r="G115" s="360" t="s">
        <v>385</v>
      </c>
      <c r="H115" s="358" cm="1">
        <f t="array" aca="1" ref="H115" ca="1">IFERROR(SUM(_xlfn._xlws.FILTER(IF(MeSel="Ppto",PptoSty[CurPpto],PptoSty[CurInt]+PptoSty[CurExt]),(PptoSty[Project]=TEXT(PrvSty[[#This Row],[Project]],"@"))*(PptoSty[PptoVsRow]=PrvSty[[#This Row],[Row]])*(PptoSty[PptoVsColumn]=PrvSty[[#This Row],[Column]]),0)),"X")</f>
        <v>0</v>
      </c>
      <c r="I115" s="358" cm="1">
        <f t="array" aca="1" ref="I115" ca="1">IFERROR(SUM(_xlfn._xlws.FILTER(FrmBB1[Cur],(FrmBB1[PrjId]=TEXT($E115,"@"))*(FrmBB1[Cia]=$D115)*(FrmBB1[Row]=$F115)*(FrmBB1[Column]=_xlfn.LET(_xlpm.x,_xlfn.TEXTBEFORE($G115," ("),IFERROR(_xlpm.x,$G115))&amp;" SERRA"),0)),"X")</f>
        <v>0</v>
      </c>
      <c r="J115" s="358" cm="1">
        <f t="array" aca="1" ref="J115" ca="1">IFERROR(SUM(_xlfn._xlws.FILTER(FrmBB1[Cur],(FrmBB1[PrjId]=TEXT($E115,"@"))*(FrmBB1[Cia]=$D115)*(FrmBB1[Row]=$F115)*(FrmBB1[Column]=_xlfn.LET(_xlpm.x,_xlfn.TEXTBEFORE($G115," ("),IFERROR(_xlpm.x,$G115))&amp;" EXT."),0)),"X")</f>
        <v>201.29</v>
      </c>
      <c r="K115" s="358">
        <v>0</v>
      </c>
      <c r="L115" s="358">
        <v>201.29</v>
      </c>
      <c r="M115" s="361">
        <f ca="1">IF(SUM(H115,K115,L115)=0,IF(SUM(I115,J115)&gt;0,1,0),1-SUM(PrvSty[[#This Row],[Real:SERRA]:[Real:EXT.]])/SUM(PrvSty[[#This Row],[AcumInt]:[AcumExt]]))</f>
        <v>0</v>
      </c>
      <c r="N115" s="360" t="s">
        <v>1739</v>
      </c>
      <c r="O115" s="358">
        <f>IF(OR(PrvSty[[#This Row],[DsvAbs:SERRA]]="X",PrvSty[[#This Row],[DsvAbs:SERRA]]=""),0,IF(PrvSty[[#This Row],[DesvTyp]]="Abs",PrvSty[[#This Row],[DsvAbs:SERRA]],PrvSty[[#This Row],[DsvAbs:SERRA]]*PrvSty[[#This Row],[Ppto]]))</f>
        <v>0</v>
      </c>
      <c r="P115" s="358">
        <f>IF(OR(PrvSty[[#This Row],[DsvAbs:EXT.]]="X",PrvSty[[#This Row],[DsvAbs:EXT.]]=""),0,IF(PrvSty[[#This Row],[DesvTyp]]="Abs",PrvSty[[#This Row],[DsvAbs:EXT.]],PrvSty[[#This Row],[DsvAbs:EXT.]]*PrvSty[[#This Row],[Ppto]]))</f>
        <v>201.29</v>
      </c>
      <c r="Q115" s="358" t="str" cm="1">
        <f t="array" aca="1" ref="Q115"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15" s="363" cm="1">
        <f t="array" aca="1" ref="R115"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15" s="363" cm="1">
        <f t="array" aca="1" ref="S115"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201.29</v>
      </c>
      <c r="T115" s="367" cm="1">
        <f t="array" aca="1" ref="T115"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15" s="367" cm="1">
        <f t="array" aca="1" ref="U115"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15" s="358" t="s">
        <v>2104</v>
      </c>
    </row>
    <row r="116" spans="3:22">
      <c r="C116" s="364">
        <v>45622</v>
      </c>
      <c r="D116" s="357" t="s">
        <v>2114</v>
      </c>
      <c r="E116" s="365" t="str">
        <f t="shared" ca="1" si="3"/>
        <v>31200</v>
      </c>
      <c r="F116" s="359" t="s">
        <v>1410</v>
      </c>
      <c r="G116" s="360" t="s">
        <v>1275</v>
      </c>
      <c r="H116" s="358" cm="1">
        <f t="array" aca="1" ref="H116" ca="1">IFERROR(SUM(_xlfn._xlws.FILTER(IF(MeSel="Ppto",PptoSty[CurPpto],PptoSty[CurInt]+PptoSty[CurExt]),(PptoSty[Project]=TEXT(PrvSty[[#This Row],[Project]],"@"))*(PptoSty[PptoVsRow]=PrvSty[[#This Row],[Row]])*(PptoSty[PptoVsColumn]=PrvSty[[#This Row],[Column]]),0)),"X")</f>
        <v>244708.51</v>
      </c>
      <c r="I116" s="358" cm="1">
        <f t="array" aca="1" ref="I116" ca="1">IFERROR(SUM(_xlfn._xlws.FILTER(FrmBB1[Cur],(FrmBB1[PrjId]=TEXT($E116,"@"))*(FrmBB1[Cia]=$D116)*(FrmBB1[Row]=$F116)*(FrmBB1[Column]=_xlfn.LET(_xlpm.x,_xlfn.TEXTBEFORE($G116," ("),IFERROR(_xlpm.x,$G116))&amp;" SERRA"),0)),"X")</f>
        <v>0</v>
      </c>
      <c r="J116" s="358" cm="1">
        <f t="array" aca="1" ref="J116" ca="1">IFERROR(SUM(_xlfn._xlws.FILTER(FrmBB1[Cur],(FrmBB1[PrjId]=TEXT($E116,"@"))*(FrmBB1[Cia]=$D116)*(FrmBB1[Row]=$F116)*(FrmBB1[Column]=_xlfn.LET(_xlpm.x,_xlfn.TEXTBEFORE($G116," ("),IFERROR(_xlpm.x,$G116))&amp;" EXT."),0)),"X")</f>
        <v>105681.19</v>
      </c>
      <c r="K116" s="358">
        <v>0</v>
      </c>
      <c r="L116" s="358">
        <v>-35150</v>
      </c>
      <c r="M116" s="361">
        <f ca="1">IF(SUM(H116,K116,L116)=0,IF(SUM(I116,J116)&gt;0,1,0),1-SUM(PrvSty[[#This Row],[Real:SERRA]:[Real:EXT.]])/SUM(PrvSty[[#This Row],[AcumInt]:[AcumExt]]))</f>
        <v>0.49569602303433058</v>
      </c>
      <c r="N116" s="360" t="s">
        <v>1739</v>
      </c>
      <c r="O116" s="358">
        <f>IF(OR(PrvSty[[#This Row],[DsvAbs:SERRA]]="X",PrvSty[[#This Row],[DsvAbs:SERRA]]=""),0,IF(PrvSty[[#This Row],[DesvTyp]]="Abs",PrvSty[[#This Row],[DsvAbs:SERRA]],PrvSty[[#This Row],[DsvAbs:SERRA]]*PrvSty[[#This Row],[Ppto]]))</f>
        <v>0</v>
      </c>
      <c r="P116" s="358">
        <f>IF(OR(PrvSty[[#This Row],[DsvAbs:EXT.]]="X",PrvSty[[#This Row],[DsvAbs:EXT.]]=""),0,IF(PrvSty[[#This Row],[DesvTyp]]="Abs",PrvSty[[#This Row],[DsvAbs:EXT.]],PrvSty[[#This Row],[DsvAbs:EXT.]]*PrvSty[[#This Row],[Ppto]]))</f>
        <v>-35150</v>
      </c>
      <c r="Q116" s="358" t="str" cm="1">
        <f t="array" aca="1" ref="Q116"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16" s="363" cm="1">
        <f t="array" aca="1" ref="R116"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16" s="363" cm="1">
        <f t="array" aca="1" ref="S116"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209558.51</v>
      </c>
      <c r="T116" s="367" cm="1">
        <f t="array" aca="1" ref="T116"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16" s="367" cm="1">
        <f t="array" aca="1" ref="U116"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16" s="358" t="s">
        <v>2104</v>
      </c>
    </row>
    <row r="117" spans="3:22">
      <c r="C117" s="364">
        <v>45622</v>
      </c>
      <c r="D117" s="357" t="s">
        <v>2114</v>
      </c>
      <c r="E117" s="365" t="str">
        <f t="shared" ca="1" si="3"/>
        <v>31200</v>
      </c>
      <c r="F117" s="359" t="s">
        <v>1410</v>
      </c>
      <c r="G117" s="360" t="s">
        <v>385</v>
      </c>
      <c r="H117" s="358" cm="1">
        <f t="array" aca="1" ref="H117" ca="1">IFERROR(SUM(_xlfn._xlws.FILTER(IF(MeSel="Ppto",PptoSty[CurPpto],PptoSty[CurInt]+PptoSty[CurExt]),(PptoSty[Project]=TEXT(PrvSty[[#This Row],[Project]],"@"))*(PptoSty[PptoVsRow]=PrvSty[[#This Row],[Row]])*(PptoSty[PptoVsColumn]=PrvSty[[#This Row],[Column]]),0)),"X")</f>
        <v>54211.939999999995</v>
      </c>
      <c r="I117" s="358" cm="1">
        <f t="array" aca="1" ref="I117" ca="1">IFERROR(SUM(_xlfn._xlws.FILTER(FrmBB1[Cur],(FrmBB1[PrjId]=TEXT($E117,"@"))*(FrmBB1[Cia]=$D117)*(FrmBB1[Row]=$F117)*(FrmBB1[Column]=_xlfn.LET(_xlpm.x,_xlfn.TEXTBEFORE($G117," ("),IFERROR(_xlpm.x,$G117))&amp;" SERRA"),0)),"X")</f>
        <v>0</v>
      </c>
      <c r="J117" s="358" cm="1">
        <f t="array" aca="1" ref="J117" ca="1">IFERROR(SUM(_xlfn._xlws.FILTER(FrmBB1[Cur],(FrmBB1[PrjId]=TEXT($E117,"@"))*(FrmBB1[Cia]=$D117)*(FrmBB1[Row]=$F117)*(FrmBB1[Column]=_xlfn.LET(_xlpm.x,_xlfn.TEXTBEFORE($G117," ("),IFERROR(_xlpm.x,$G117))&amp;" EXT."),0)),"X")</f>
        <v>3744.35</v>
      </c>
      <c r="K117" s="358">
        <v>0</v>
      </c>
      <c r="L117" s="358">
        <v>-201.29</v>
      </c>
      <c r="M117" s="361">
        <f ca="1">IF(SUM(H117,K117,L117)=0,IF(SUM(I117,J117)&gt;0,1,0),1-SUM(PrvSty[[#This Row],[Real:SERRA]:[Real:EXT.]])/SUM(PrvSty[[#This Row],[AcumInt]:[AcumExt]]))</f>
        <v>0.93067385784099987</v>
      </c>
      <c r="N117" s="360" t="s">
        <v>1739</v>
      </c>
      <c r="O117" s="358">
        <f>IF(OR(PrvSty[[#This Row],[DsvAbs:SERRA]]="X",PrvSty[[#This Row],[DsvAbs:SERRA]]=""),0,IF(PrvSty[[#This Row],[DesvTyp]]="Abs",PrvSty[[#This Row],[DsvAbs:SERRA]],PrvSty[[#This Row],[DsvAbs:SERRA]]*PrvSty[[#This Row],[Ppto]]))</f>
        <v>0</v>
      </c>
      <c r="P117" s="358">
        <f>IF(OR(PrvSty[[#This Row],[DsvAbs:EXT.]]="X",PrvSty[[#This Row],[DsvAbs:EXT.]]=""),0,IF(PrvSty[[#This Row],[DesvTyp]]="Abs",PrvSty[[#This Row],[DsvAbs:EXT.]],PrvSty[[#This Row],[DsvAbs:EXT.]]*PrvSty[[#This Row],[Ppto]]))</f>
        <v>-201.29</v>
      </c>
      <c r="Q117" s="358" t="str" cm="1">
        <f t="array" aca="1" ref="Q117"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17" s="363" cm="1">
        <f t="array" aca="1" ref="R117"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17" s="363" cm="1">
        <f t="array" aca="1" ref="S117"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54010.649999999994</v>
      </c>
      <c r="T117" s="367" cm="1">
        <f t="array" aca="1" ref="T117"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17" s="367" cm="1">
        <f t="array" aca="1" ref="U117"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17" s="358" t="s">
        <v>2104</v>
      </c>
    </row>
    <row r="118" spans="3:22">
      <c r="C118" s="364">
        <v>45622</v>
      </c>
      <c r="D118" s="357" t="s">
        <v>2114</v>
      </c>
      <c r="E118" s="365" t="str">
        <f t="shared" ca="1" si="3"/>
        <v>31200</v>
      </c>
      <c r="F118" s="359" t="s">
        <v>1410</v>
      </c>
      <c r="G118" s="360" t="s">
        <v>1670</v>
      </c>
      <c r="H118" s="358" cm="1">
        <f t="array" aca="1" ref="H118" ca="1">IFERROR(SUM(_xlfn._xlws.FILTER(IF(MeSel="Ppto",PptoSty[CurPpto],PptoSty[CurInt]+PptoSty[CurExt]),(PptoSty[Project]=TEXT(PrvSty[[#This Row],[Project]],"@"))*(PptoSty[PptoVsRow]=PrvSty[[#This Row],[Row]])*(PptoSty[PptoVsColumn]=PrvSty[[#This Row],[Column]]),0)),"X")</f>
        <v>0</v>
      </c>
      <c r="I118" s="358" cm="1">
        <f t="array" aca="1" ref="I118" ca="1">IFERROR(SUM(_xlfn._xlws.FILTER(FrmBB1[Cur],(FrmBB1[PrjId]=TEXT($E118,"@"))*(FrmBB1[Cia]=$D118)*(FrmBB1[Row]=$F118)*(FrmBB1[Column]=_xlfn.LET(_xlpm.x,_xlfn.TEXTBEFORE($G118," ("),IFERROR(_xlpm.x,$G118))&amp;" SERRA"),0)),"X")</f>
        <v>0</v>
      </c>
      <c r="J118" s="358" cm="1">
        <f t="array" aca="1" ref="J118" ca="1">IFERROR(SUM(_xlfn._xlws.FILTER(FrmBB1[Cur],(FrmBB1[PrjId]=TEXT($E118,"@"))*(FrmBB1[Cia]=$D118)*(FrmBB1[Row]=$F118)*(FrmBB1[Column]=_xlfn.LET(_xlpm.x,_xlfn.TEXTBEFORE($G118," ("),IFERROR(_xlpm.x,$G118))&amp;" EXT."),0)),"X")</f>
        <v>122915.94</v>
      </c>
      <c r="K118" s="358">
        <v>0</v>
      </c>
      <c r="L118" s="358">
        <v>4205.49</v>
      </c>
      <c r="M118" s="361">
        <f ca="1">IF(SUM(H118,K118,L118)=0,IF(SUM(I118,J118)&gt;0,1,0),1-SUM(PrvSty[[#This Row],[Real:SERRA]:[Real:EXT.]])/SUM(PrvSty[[#This Row],[AcumInt]:[AcumExt]]))</f>
        <v>-28.227495488040635</v>
      </c>
      <c r="N118" s="360" t="s">
        <v>1739</v>
      </c>
      <c r="O118" s="358">
        <f>IF(OR(PrvSty[[#This Row],[DsvAbs:SERRA]]="X",PrvSty[[#This Row],[DsvAbs:SERRA]]=""),0,IF(PrvSty[[#This Row],[DesvTyp]]="Abs",PrvSty[[#This Row],[DsvAbs:SERRA]],PrvSty[[#This Row],[DsvAbs:SERRA]]*PrvSty[[#This Row],[Ppto]]))</f>
        <v>0</v>
      </c>
      <c r="P118" s="358">
        <f>IF(OR(PrvSty[[#This Row],[DsvAbs:EXT.]]="X",PrvSty[[#This Row],[DsvAbs:EXT.]]=""),0,IF(PrvSty[[#This Row],[DesvTyp]]="Abs",PrvSty[[#This Row],[DsvAbs:EXT.]],PrvSty[[#This Row],[DsvAbs:EXT.]]*PrvSty[[#This Row],[Ppto]]))</f>
        <v>4205.49</v>
      </c>
      <c r="Q118" s="358" t="str" cm="1">
        <f t="array" aca="1" ref="Q118"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18" s="363" cm="1">
        <f t="array" aca="1" ref="R118"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18" s="363" cm="1">
        <f t="array" aca="1" ref="S118"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4205.49</v>
      </c>
      <c r="T118" s="367" cm="1">
        <f t="array" aca="1" ref="T118"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18" s="367" cm="1">
        <f t="array" aca="1" ref="U118"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18" s="358" t="s">
        <v>2104</v>
      </c>
    </row>
    <row r="119" spans="3:22">
      <c r="C119" s="364">
        <v>45622</v>
      </c>
      <c r="D119" s="357" t="s">
        <v>2114</v>
      </c>
      <c r="E119" s="365" t="str">
        <f t="shared" ca="1" si="3"/>
        <v>31200</v>
      </c>
      <c r="F119" s="359" t="s">
        <v>1473</v>
      </c>
      <c r="G119" s="360" t="s">
        <v>1275</v>
      </c>
      <c r="H119" s="358" cm="1">
        <f t="array" aca="1" ref="H119" ca="1">IFERROR(SUM(_xlfn._xlws.FILTER(IF(MeSel="Ppto",PptoSty[CurPpto],PptoSty[CurInt]+PptoSty[CurExt]),(PptoSty[Project]=TEXT(PrvSty[[#This Row],[Project]],"@"))*(PptoSty[PptoVsRow]=PrvSty[[#This Row],[Row]])*(PptoSty[PptoVsColumn]=PrvSty[[#This Row],[Column]]),0)),"X")</f>
        <v>0</v>
      </c>
      <c r="I119" s="358" cm="1">
        <f t="array" aca="1" ref="I119" ca="1">IFERROR(SUM(_xlfn._xlws.FILTER(FrmBB1[Cur],(FrmBB1[PrjId]=TEXT($E119,"@"))*(FrmBB1[Cia]=$D119)*(FrmBB1[Row]=$F119)*(FrmBB1[Column]=_xlfn.LET(_xlpm.x,_xlfn.TEXTBEFORE($G119," ("),IFERROR(_xlpm.x,$G119))&amp;" SERRA"),0)),"X")</f>
        <v>0</v>
      </c>
      <c r="J119" s="358" cm="1">
        <f t="array" aca="1" ref="J119" ca="1">IFERROR(SUM(_xlfn._xlws.FILTER(FrmBB1[Cur],(FrmBB1[PrjId]=TEXT($E119,"@"))*(FrmBB1[Cia]=$D119)*(FrmBB1[Row]=$F119)*(FrmBB1[Column]=_xlfn.LET(_xlpm.x,_xlfn.TEXTBEFORE($G119," ("),IFERROR(_xlpm.x,$G119))&amp;" EXT."),0)),"X")</f>
        <v>48.56</v>
      </c>
      <c r="K119" s="358">
        <v>0</v>
      </c>
      <c r="L119" s="358">
        <v>48.56</v>
      </c>
      <c r="M119" s="361">
        <f ca="1">IF(SUM(H119,K119,L119)=0,IF(SUM(I119,J119)&gt;0,1,0),1-SUM(PrvSty[[#This Row],[Real:SERRA]:[Real:EXT.]])/SUM(PrvSty[[#This Row],[AcumInt]:[AcumExt]]))</f>
        <v>0</v>
      </c>
      <c r="N119" s="360" t="s">
        <v>1739</v>
      </c>
      <c r="O119" s="358">
        <f>IF(OR(PrvSty[[#This Row],[DsvAbs:SERRA]]="X",PrvSty[[#This Row],[DsvAbs:SERRA]]=""),0,IF(PrvSty[[#This Row],[DesvTyp]]="Abs",PrvSty[[#This Row],[DsvAbs:SERRA]],PrvSty[[#This Row],[DsvAbs:SERRA]]*PrvSty[[#This Row],[Ppto]]))</f>
        <v>0</v>
      </c>
      <c r="P119" s="358">
        <f>IF(OR(PrvSty[[#This Row],[DsvAbs:EXT.]]="X",PrvSty[[#This Row],[DsvAbs:EXT.]]=""),0,IF(PrvSty[[#This Row],[DesvTyp]]="Abs",PrvSty[[#This Row],[DsvAbs:EXT.]],PrvSty[[#This Row],[DsvAbs:EXT.]]*PrvSty[[#This Row],[Ppto]]))</f>
        <v>48.56</v>
      </c>
      <c r="Q119" s="358" t="str" cm="1">
        <f t="array" aca="1" ref="Q119"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19" s="363" cm="1">
        <f t="array" aca="1" ref="R119"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19" s="363" cm="1">
        <f t="array" aca="1" ref="S119"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48.56</v>
      </c>
      <c r="T119" s="367" cm="1">
        <f t="array" aca="1" ref="T119"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19" s="367" cm="1">
        <f t="array" aca="1" ref="U119"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19" s="358" t="s">
        <v>2104</v>
      </c>
    </row>
    <row r="120" spans="3:22">
      <c r="C120" s="364">
        <v>45622</v>
      </c>
      <c r="D120" s="357" t="s">
        <v>2114</v>
      </c>
      <c r="E120" s="365" t="str">
        <f t="shared" ca="1" si="3"/>
        <v>31200</v>
      </c>
      <c r="F120" s="359" t="s">
        <v>1473</v>
      </c>
      <c r="G120" s="360" t="s">
        <v>385</v>
      </c>
      <c r="H120" s="358" cm="1">
        <f t="array" aca="1" ref="H120" ca="1">IFERROR(SUM(_xlfn._xlws.FILTER(IF(MeSel="Ppto",PptoSty[CurPpto],PptoSty[CurInt]+PptoSty[CurExt]),(PptoSty[Project]=TEXT(PrvSty[[#This Row],[Project]],"@"))*(PptoSty[PptoVsRow]=PrvSty[[#This Row],[Row]])*(PptoSty[PptoVsColumn]=PrvSty[[#This Row],[Column]]),0)),"X")</f>
        <v>0</v>
      </c>
      <c r="I120" s="358" cm="1">
        <f t="array" aca="1" ref="I120" ca="1">IFERROR(SUM(_xlfn._xlws.FILTER(FrmBB1[Cur],(FrmBB1[PrjId]=TEXT($E120,"@"))*(FrmBB1[Cia]=$D120)*(FrmBB1[Row]=$F120)*(FrmBB1[Column]=_xlfn.LET(_xlpm.x,_xlfn.TEXTBEFORE($G120," ("),IFERROR(_xlpm.x,$G120))&amp;" SERRA"),0)),"X")</f>
        <v>0</v>
      </c>
      <c r="J120" s="358" cm="1">
        <f t="array" aca="1" ref="J120" ca="1">IFERROR(SUM(_xlfn._xlws.FILTER(FrmBB1[Cur],(FrmBB1[PrjId]=TEXT($E120,"@"))*(FrmBB1[Cia]=$D120)*(FrmBB1[Row]=$F120)*(FrmBB1[Column]=_xlfn.LET(_xlpm.x,_xlfn.TEXTBEFORE($G120," ("),IFERROR(_xlpm.x,$G120))&amp;" EXT."),0)),"X")</f>
        <v>809.14</v>
      </c>
      <c r="K120" s="358">
        <v>0</v>
      </c>
      <c r="L120" s="358">
        <v>809.14</v>
      </c>
      <c r="M120" s="361">
        <f ca="1">IF(SUM(H120,K120,L120)=0,IF(SUM(I120,J120)&gt;0,1,0),1-SUM(PrvSty[[#This Row],[Real:SERRA]:[Real:EXT.]])/SUM(PrvSty[[#This Row],[AcumInt]:[AcumExt]]))</f>
        <v>0</v>
      </c>
      <c r="N120" s="360" t="s">
        <v>1739</v>
      </c>
      <c r="O120" s="358">
        <f>IF(OR(PrvSty[[#This Row],[DsvAbs:SERRA]]="X",PrvSty[[#This Row],[DsvAbs:SERRA]]=""),0,IF(PrvSty[[#This Row],[DesvTyp]]="Abs",PrvSty[[#This Row],[DsvAbs:SERRA]],PrvSty[[#This Row],[DsvAbs:SERRA]]*PrvSty[[#This Row],[Ppto]]))</f>
        <v>0</v>
      </c>
      <c r="P120" s="358">
        <f>IF(OR(PrvSty[[#This Row],[DsvAbs:EXT.]]="X",PrvSty[[#This Row],[DsvAbs:EXT.]]=""),0,IF(PrvSty[[#This Row],[DesvTyp]]="Abs",PrvSty[[#This Row],[DsvAbs:EXT.]],PrvSty[[#This Row],[DsvAbs:EXT.]]*PrvSty[[#This Row],[Ppto]]))</f>
        <v>809.14</v>
      </c>
      <c r="Q120" s="358" t="str" cm="1">
        <f t="array" aca="1" ref="Q120"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20" s="363" cm="1">
        <f t="array" aca="1" ref="R120"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20" s="363" cm="1">
        <f t="array" aca="1" ref="S120"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809.14</v>
      </c>
      <c r="T120" s="367" cm="1">
        <f t="array" aca="1" ref="T120"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20" s="367" cm="1">
        <f t="array" aca="1" ref="U120"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20" s="358" t="s">
        <v>2104</v>
      </c>
    </row>
    <row r="121" spans="3:22">
      <c r="C121" s="364">
        <v>45622</v>
      </c>
      <c r="D121" s="357" t="s">
        <v>2114</v>
      </c>
      <c r="E121" s="365" t="str">
        <f t="shared" ca="1" si="3"/>
        <v>31200</v>
      </c>
      <c r="F121" s="359" t="s">
        <v>1475</v>
      </c>
      <c r="G121" s="360" t="s">
        <v>1670</v>
      </c>
      <c r="H121" s="358" cm="1">
        <f t="array" aca="1" ref="H121" ca="1">IFERROR(SUM(_xlfn._xlws.FILTER(IF(MeSel="Ppto",PptoSty[CurPpto],PptoSty[CurInt]+PptoSty[CurExt]),(PptoSty[Project]=TEXT(PrvSty[[#This Row],[Project]],"@"))*(PptoSty[PptoVsRow]=PrvSty[[#This Row],[Row]])*(PptoSty[PptoVsColumn]=PrvSty[[#This Row],[Column]]),0)),"X")</f>
        <v>0</v>
      </c>
      <c r="I121" s="358" cm="1">
        <f t="array" aca="1" ref="I121" ca="1">IFERROR(SUM(_xlfn._xlws.FILTER(FrmBB1[Cur],(FrmBB1[PrjId]=TEXT($E121,"@"))*(FrmBB1[Cia]=$D121)*(FrmBB1[Row]=$F121)*(FrmBB1[Column]=_xlfn.LET(_xlpm.x,_xlfn.TEXTBEFORE($G121," ("),IFERROR(_xlpm.x,$G121))&amp;" SERRA"),0)),"X")</f>
        <v>0</v>
      </c>
      <c r="J121" s="358" cm="1">
        <f t="array" aca="1" ref="J121" ca="1">IFERROR(SUM(_xlfn._xlws.FILTER(FrmBB1[Cur],(FrmBB1[PrjId]=TEXT($E121,"@"))*(FrmBB1[Cia]=$D121)*(FrmBB1[Row]=$F121)*(FrmBB1[Column]=_xlfn.LET(_xlpm.x,_xlfn.TEXTBEFORE($G121," ("),IFERROR(_xlpm.x,$G121))&amp;" EXT."),0)),"X")</f>
        <v>10452.9</v>
      </c>
      <c r="K121" s="358">
        <v>0</v>
      </c>
      <c r="L121" s="358">
        <v>9192.16</v>
      </c>
      <c r="M121" s="361">
        <f ca="1">IF(SUM(H121,K121,L121)=0,IF(SUM(I121,J121)&gt;0,1,0),1-SUM(PrvSty[[#This Row],[Real:SERRA]:[Real:EXT.]])/SUM(PrvSty[[#This Row],[AcumInt]:[AcumExt]]))</f>
        <v>-0.13715383544237691</v>
      </c>
      <c r="N121" s="360" t="s">
        <v>1739</v>
      </c>
      <c r="O121" s="358">
        <f>IF(OR(PrvSty[[#This Row],[DsvAbs:SERRA]]="X",PrvSty[[#This Row],[DsvAbs:SERRA]]=""),0,IF(PrvSty[[#This Row],[DesvTyp]]="Abs",PrvSty[[#This Row],[DsvAbs:SERRA]],PrvSty[[#This Row],[DsvAbs:SERRA]]*PrvSty[[#This Row],[Ppto]]))</f>
        <v>0</v>
      </c>
      <c r="P121" s="358">
        <f>IF(OR(PrvSty[[#This Row],[DsvAbs:EXT.]]="X",PrvSty[[#This Row],[DsvAbs:EXT.]]=""),0,IF(PrvSty[[#This Row],[DesvTyp]]="Abs",PrvSty[[#This Row],[DsvAbs:EXT.]],PrvSty[[#This Row],[DsvAbs:EXT.]]*PrvSty[[#This Row],[Ppto]]))</f>
        <v>9192.16</v>
      </c>
      <c r="Q121" s="358" t="str" cm="1">
        <f t="array" aca="1" ref="Q121"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21" s="363" cm="1">
        <f t="array" aca="1" ref="R121"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21" s="363" cm="1">
        <f t="array" aca="1" ref="S121"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9192.16</v>
      </c>
      <c r="T121" s="367" cm="1">
        <f t="array" aca="1" ref="T121"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21" s="367" cm="1">
        <f t="array" aca="1" ref="U121"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21" s="358" t="s">
        <v>2104</v>
      </c>
    </row>
    <row r="122" spans="3:22">
      <c r="C122" s="370">
        <v>45621</v>
      </c>
      <c r="D122" s="357" t="s">
        <v>2114</v>
      </c>
      <c r="E122" s="371" t="str">
        <f t="shared" ca="1" si="3"/>
        <v>31200</v>
      </c>
      <c r="F122" s="359" t="s">
        <v>1473</v>
      </c>
      <c r="G122" s="360" t="s">
        <v>1670</v>
      </c>
      <c r="H122" s="358" cm="1">
        <f t="array" aca="1" ref="H122" ca="1">IFERROR(SUM(_xlfn._xlws.FILTER(IF(MeSel="Ppto",PptoSty[CurPpto],PptoSty[CurInt]+PptoSty[CurExt]),(PptoSty[Project]=TEXT(PrvSty[[#This Row],[Project]],"@"))*(PptoSty[PptoVsRow]=PrvSty[[#This Row],[Row]])*(PptoSty[PptoVsColumn]=PrvSty[[#This Row],[Column]]),0)),"X")</f>
        <v>215028.45490000001</v>
      </c>
      <c r="I122" s="358" cm="1">
        <f t="array" aca="1" ref="I122" ca="1">IFERROR(SUM(_xlfn._xlws.FILTER(FrmBB1[Cur],(FrmBB1[PrjId]=TEXT($E122,"@"))*(FrmBB1[Cia]=$D122)*(FrmBB1[Row]=$F122)*(FrmBB1[Column]=_xlfn.LET(_xlpm.x,_xlfn.TEXTBEFORE($G122," ("),IFERROR(_xlpm.x,$G122))&amp;" SERRA"),0)),"X")</f>
        <v>0</v>
      </c>
      <c r="J122" s="358" cm="1">
        <f t="array" aca="1" ref="J122" ca="1">IFERROR(SUM(_xlfn._xlws.FILTER(FrmBB1[Cur],(FrmBB1[PrjId]=TEXT($E122,"@"))*(FrmBB1[Cia]=$D122)*(FrmBB1[Row]=$F122)*(FrmBB1[Column]=_xlfn.LET(_xlpm.x,_xlfn.TEXTBEFORE($G122," ("),IFERROR(_xlpm.x,$G122))&amp;" EXT."),0)),"X")</f>
        <v>126308.17</v>
      </c>
      <c r="K122" s="358">
        <v>0</v>
      </c>
      <c r="L122" s="358">
        <v>-70000</v>
      </c>
      <c r="M122" s="361">
        <f ca="1">IF(SUM(H122,K122,L122)=0,IF(SUM(I122,J122)&gt;0,1,0),1-SUM(PrvSty[[#This Row],[Real:SERRA]:[Real:EXT.]])/SUM(PrvSty[[#This Row],[AcumInt]:[AcumExt]]))</f>
        <v>0.12908008233906942</v>
      </c>
      <c r="N122" s="360" t="s">
        <v>1739</v>
      </c>
      <c r="O122" s="358">
        <f>IF(OR(PrvSty[[#This Row],[DsvAbs:SERRA]]="X",PrvSty[[#This Row],[DsvAbs:SERRA]]=""),0,IF(PrvSty[[#This Row],[DesvTyp]]="Abs",PrvSty[[#This Row],[DsvAbs:SERRA]],PrvSty[[#This Row],[DsvAbs:SERRA]]*PrvSty[[#This Row],[Ppto]]))</f>
        <v>0</v>
      </c>
      <c r="P122" s="358">
        <f>IF(OR(PrvSty[[#This Row],[DsvAbs:EXT.]]="X",PrvSty[[#This Row],[DsvAbs:EXT.]]=""),0,IF(PrvSty[[#This Row],[DesvTyp]]="Abs",PrvSty[[#This Row],[DsvAbs:EXT.]],PrvSty[[#This Row],[DsvAbs:EXT.]]*PrvSty[[#This Row],[Ppto]]))</f>
        <v>-70000</v>
      </c>
      <c r="Q122" s="358" t="str" cm="1">
        <f t="array" aca="1" ref="Q122"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22" s="363" cm="1">
        <f t="array" aca="1" ref="R122"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22" s="363" cm="1">
        <f t="array" aca="1" ref="S122"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145028.45490000001</v>
      </c>
      <c r="T122" s="367" cm="1">
        <f t="array" aca="1" ref="T122"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22" s="367" cm="1">
        <f t="array" aca="1" ref="U122"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22" s="358" t="s">
        <v>2103</v>
      </c>
    </row>
    <row r="123" spans="3:22">
      <c r="C123" s="370">
        <v>45621</v>
      </c>
      <c r="D123" s="357" t="s">
        <v>2114</v>
      </c>
      <c r="E123" s="371" t="str">
        <f t="shared" ca="1" si="3"/>
        <v>31200</v>
      </c>
      <c r="F123" s="359" t="s">
        <v>368</v>
      </c>
      <c r="G123" s="360" t="s">
        <v>1670</v>
      </c>
      <c r="H123" s="358" cm="1">
        <f t="array" aca="1" ref="H123" ca="1">IFERROR(SUM(_xlfn._xlws.FILTER(IF(MeSel="Ppto",PptoSty[CurPpto],PptoSty[CurInt]+PptoSty[CurExt]),(PptoSty[Project]=TEXT(PrvSty[[#This Row],[Project]],"@"))*(PptoSty[PptoVsRow]=PrvSty[[#This Row],[Row]])*(PptoSty[PptoVsColumn]=PrvSty[[#This Row],[Column]]),0)),"X")</f>
        <v>316535.35949999985</v>
      </c>
      <c r="I123" s="358" cm="1">
        <f t="array" aca="1" ref="I123" ca="1">IFERROR(SUM(_xlfn._xlws.FILTER(FrmBB1[Cur],(FrmBB1[PrjId]=TEXT($E123,"@"))*(FrmBB1[Cia]=$D123)*(FrmBB1[Row]=$F123)*(FrmBB1[Column]=_xlfn.LET(_xlpm.x,_xlfn.TEXTBEFORE($G123," ("),IFERROR(_xlpm.x,$G123))&amp;" SERRA"),0)),"X")</f>
        <v>0</v>
      </c>
      <c r="J123" s="358" cm="1">
        <f t="array" aca="1" ref="J123" ca="1">IFERROR(SUM(_xlfn._xlws.FILTER(FrmBB1[Cur],(FrmBB1[PrjId]=TEXT($E123,"@"))*(FrmBB1[Cia]=$D123)*(FrmBB1[Row]=$F123)*(FrmBB1[Column]=_xlfn.LET(_xlpm.x,_xlfn.TEXTBEFORE($G123," ("),IFERROR(_xlpm.x,$G123))&amp;" EXT."),0)),"X")</f>
        <v>53281.54</v>
      </c>
      <c r="K123" s="358">
        <v>0</v>
      </c>
      <c r="L123" s="358">
        <v>-100000</v>
      </c>
      <c r="M123" s="361">
        <f ca="1">IF(SUM(H123,K123,L123)=0,IF(SUM(I123,J123)&gt;0,1,0),1-SUM(PrvSty[[#This Row],[Real:SERRA]:[Real:EXT.]])/SUM(PrvSty[[#This Row],[AcumInt]:[AcumExt]]))</f>
        <v>0.75393607712369937</v>
      </c>
      <c r="N123" s="360" t="s">
        <v>1739</v>
      </c>
      <c r="O123" s="358">
        <f>IF(OR(PrvSty[[#This Row],[DsvAbs:SERRA]]="X",PrvSty[[#This Row],[DsvAbs:SERRA]]=""),0,IF(PrvSty[[#This Row],[DesvTyp]]="Abs",PrvSty[[#This Row],[DsvAbs:SERRA]],PrvSty[[#This Row],[DsvAbs:SERRA]]*PrvSty[[#This Row],[Ppto]]))</f>
        <v>0</v>
      </c>
      <c r="P123" s="358">
        <f>IF(OR(PrvSty[[#This Row],[DsvAbs:EXT.]]="X",PrvSty[[#This Row],[DsvAbs:EXT.]]=""),0,IF(PrvSty[[#This Row],[DesvTyp]]="Abs",PrvSty[[#This Row],[DsvAbs:EXT.]],PrvSty[[#This Row],[DsvAbs:EXT.]]*PrvSty[[#This Row],[Ppto]]))</f>
        <v>-100000</v>
      </c>
      <c r="Q123" s="358" t="str" cm="1">
        <f t="array" aca="1" ref="Q123"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23" s="363" cm="1">
        <f t="array" aca="1" ref="R123"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23" s="363" cm="1">
        <f t="array" aca="1" ref="S123"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216535.35949999985</v>
      </c>
      <c r="T123" s="367" cm="1">
        <f t="array" aca="1" ref="T123"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23" s="367" cm="1">
        <f t="array" aca="1" ref="U123"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23" s="358" t="s">
        <v>2103</v>
      </c>
    </row>
    <row r="124" spans="3:22">
      <c r="C124" s="379">
        <v>45621</v>
      </c>
      <c r="D124" s="357" t="s">
        <v>2114</v>
      </c>
      <c r="E124" s="380" t="str">
        <f t="shared" ca="1" si="3"/>
        <v>31200</v>
      </c>
      <c r="F124" s="359" t="s">
        <v>1478</v>
      </c>
      <c r="G124" s="360" t="s">
        <v>1670</v>
      </c>
      <c r="H124" s="358" cm="1">
        <f t="array" aca="1" ref="H124" ca="1">IFERROR(SUM(_xlfn._xlws.FILTER(IF(MeSel="Ppto",PptoSty[CurPpto],PptoSty[CurInt]+PptoSty[CurExt]),(PptoSty[Project]=TEXT(PrvSty[[#This Row],[Project]],"@"))*(PptoSty[PptoVsRow]=PrvSty[[#This Row],[Row]])*(PptoSty[PptoVsColumn]=PrvSty[[#This Row],[Column]]),0)),"X")</f>
        <v>482632</v>
      </c>
      <c r="I124" s="358" cm="1">
        <f t="array" aca="1" ref="I124" ca="1">IFERROR(SUM(_xlfn._xlws.FILTER(FrmBB1[Cur],(FrmBB1[PrjId]=TEXT($E124,"@"))*(FrmBB1[Cia]=$D124)*(FrmBB1[Row]=$F124)*(FrmBB1[Column]=_xlfn.LET(_xlpm.x,_xlfn.TEXTBEFORE($G124," ("),IFERROR(_xlpm.x,$G124))&amp;" SERRA"),0)),"X")</f>
        <v>0</v>
      </c>
      <c r="J124" s="358" cm="1">
        <f t="array" aca="1" ref="J124" ca="1">IFERROR(SUM(_xlfn._xlws.FILTER(FrmBB1[Cur],(FrmBB1[PrjId]=TEXT($E124,"@"))*(FrmBB1[Cia]=$D124)*(FrmBB1[Row]=$F124)*(FrmBB1[Column]=_xlfn.LET(_xlpm.x,_xlfn.TEXTBEFORE($G124," ("),IFERROR(_xlpm.x,$G124))&amp;" EXT."),0)),"X")</f>
        <v>499104.92</v>
      </c>
      <c r="K124" s="358">
        <v>0</v>
      </c>
      <c r="L124" s="358">
        <v>16472.919999999984</v>
      </c>
      <c r="M124" s="361">
        <f ca="1">IF(SUM(H124,K124,L124)=0,IF(SUM(I124,J124)&gt;0,1,0),1-SUM(PrvSty[[#This Row],[Real:SERRA]:[Real:EXT.]])/SUM(PrvSty[[#This Row],[AcumInt]:[AcumExt]]))</f>
        <v>3.1945521666246091E-2</v>
      </c>
      <c r="N124" s="360" t="s">
        <v>1739</v>
      </c>
      <c r="O124" s="358">
        <f>IF(OR(PrvSty[[#This Row],[DsvAbs:SERRA]]="X",PrvSty[[#This Row],[DsvAbs:SERRA]]=""),0,IF(PrvSty[[#This Row],[DesvTyp]]="Abs",PrvSty[[#This Row],[DsvAbs:SERRA]],PrvSty[[#This Row],[DsvAbs:SERRA]]*PrvSty[[#This Row],[Ppto]]))</f>
        <v>0</v>
      </c>
      <c r="P124" s="358">
        <f>IF(OR(PrvSty[[#This Row],[DsvAbs:EXT.]]="X",PrvSty[[#This Row],[DsvAbs:EXT.]]=""),0,IF(PrvSty[[#This Row],[DesvTyp]]="Abs",PrvSty[[#This Row],[DsvAbs:EXT.]],PrvSty[[#This Row],[DsvAbs:EXT.]]*PrvSty[[#This Row],[Ppto]]))</f>
        <v>16472.919999999984</v>
      </c>
      <c r="Q124" s="358" t="str" cm="1">
        <f t="array" aca="1" ref="Q124"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24" s="363" cm="1">
        <f t="array" aca="1" ref="R124"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24" s="363" cm="1">
        <f t="array" aca="1" ref="S124"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515575.24</v>
      </c>
      <c r="T124" s="367" cm="1">
        <f t="array" aca="1" ref="T124"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24" s="367" cm="1">
        <f t="array" aca="1" ref="U124"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24" s="358" t="s">
        <v>2111</v>
      </c>
    </row>
    <row r="125" spans="3:22">
      <c r="C125" s="370">
        <v>45621</v>
      </c>
      <c r="D125" s="357" t="s">
        <v>2114</v>
      </c>
      <c r="E125" s="371" t="str">
        <f t="shared" ca="1" si="3"/>
        <v>31200</v>
      </c>
      <c r="F125" s="359" t="s">
        <v>291</v>
      </c>
      <c r="G125" s="360" t="s">
        <v>1670</v>
      </c>
      <c r="H125" s="358" cm="1">
        <f t="array" aca="1" ref="H125" ca="1">IFERROR(SUM(_xlfn._xlws.FILTER(IF(MeSel="Ppto",PptoSty[CurPpto],PptoSty[CurInt]+PptoSty[CurExt]),(PptoSty[Project]=TEXT(PrvSty[[#This Row],[Project]],"@"))*(PptoSty[PptoVsRow]=PrvSty[[#This Row],[Row]])*(PptoSty[PptoVsColumn]=PrvSty[[#This Row],[Column]]),0)),"X")</f>
        <v>601239.14559999993</v>
      </c>
      <c r="I125" s="358" cm="1">
        <f t="array" aca="1" ref="I125" ca="1">IFERROR(SUM(_xlfn._xlws.FILTER(FrmBB1[Cur],(FrmBB1[PrjId]=TEXT($E125,"@"))*(FrmBB1[Cia]=$D125)*(FrmBB1[Row]=$F125)*(FrmBB1[Column]=_xlfn.LET(_xlpm.x,_xlfn.TEXTBEFORE($G125," ("),IFERROR(_xlpm.x,$G125))&amp;" SERRA"),0)),"X")</f>
        <v>0</v>
      </c>
      <c r="J125" s="358" cm="1">
        <f t="array" aca="1" ref="J125" ca="1">IFERROR(SUM(_xlfn._xlws.FILTER(FrmBB1[Cur],(FrmBB1[PrjId]=TEXT($E125,"@"))*(FrmBB1[Cia]=$D125)*(FrmBB1[Row]=$F125)*(FrmBB1[Column]=_xlfn.LET(_xlpm.x,_xlfn.TEXTBEFORE($G125," ("),IFERROR(_xlpm.x,$G125))&amp;" EXT."),0)),"X")</f>
        <v>420612.8</v>
      </c>
      <c r="K125" s="358">
        <v>0</v>
      </c>
      <c r="L125" s="358">
        <v>-100000</v>
      </c>
      <c r="M125" s="361">
        <f ca="1">IF(SUM(H125,K125,L125)=0,IF(SUM(I125,J125)&gt;0,1,0),1-SUM(PrvSty[[#This Row],[Real:SERRA]:[Real:EXT.]])/SUM(PrvSty[[#This Row],[AcumInt]:[AcumExt]]))</f>
        <v>0.16085404802828707</v>
      </c>
      <c r="N125" s="360" t="s">
        <v>1739</v>
      </c>
      <c r="O125" s="358">
        <f>IF(OR(PrvSty[[#This Row],[DsvAbs:SERRA]]="X",PrvSty[[#This Row],[DsvAbs:SERRA]]=""),0,IF(PrvSty[[#This Row],[DesvTyp]]="Abs",PrvSty[[#This Row],[DsvAbs:SERRA]],PrvSty[[#This Row],[DsvAbs:SERRA]]*PrvSty[[#This Row],[Ppto]]))</f>
        <v>0</v>
      </c>
      <c r="P125" s="358">
        <f>IF(OR(PrvSty[[#This Row],[DsvAbs:EXT.]]="X",PrvSty[[#This Row],[DsvAbs:EXT.]]=""),0,IF(PrvSty[[#This Row],[DesvTyp]]="Abs",PrvSty[[#This Row],[DsvAbs:EXT.]],PrvSty[[#This Row],[DsvAbs:EXT.]]*PrvSty[[#This Row],[Ppto]]))</f>
        <v>-100000</v>
      </c>
      <c r="Q125" s="358" t="str" cm="1">
        <f t="array" aca="1" ref="Q125"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25" s="363" cm="1">
        <f t="array" aca="1" ref="R125"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25" s="363" cm="1">
        <f t="array" aca="1" ref="S125"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501239.14559999993</v>
      </c>
      <c r="T125" s="367" cm="1">
        <f t="array" aca="1" ref="T125"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25" s="367" cm="1">
        <f t="array" aca="1" ref="U125"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25" s="358" t="s">
        <v>2103</v>
      </c>
    </row>
    <row r="126" spans="3:22">
      <c r="C126" s="370">
        <v>45621</v>
      </c>
      <c r="D126" s="357" t="s">
        <v>2114</v>
      </c>
      <c r="E126" s="371" t="str">
        <f t="shared" ca="1" si="3"/>
        <v>31200</v>
      </c>
      <c r="F126" s="359" t="s">
        <v>1410</v>
      </c>
      <c r="G126" s="360" t="s">
        <v>1275</v>
      </c>
      <c r="H126" s="358" cm="1">
        <f t="array" aca="1" ref="H126" ca="1">IFERROR(SUM(_xlfn._xlws.FILTER(IF(MeSel="Ppto",PptoSty[CurPpto],PptoSty[CurInt]+PptoSty[CurExt]),(PptoSty[Project]=TEXT(PrvSty[[#This Row],[Project]],"@"))*(PptoSty[PptoVsRow]=PrvSty[[#This Row],[Row]])*(PptoSty[PptoVsColumn]=PrvSty[[#This Row],[Column]]),0)),"X")</f>
        <v>244708.51</v>
      </c>
      <c r="I126" s="358" cm="1">
        <f t="array" aca="1" ref="I126" ca="1">IFERROR(SUM(_xlfn._xlws.FILTER(FrmBB1[Cur],(FrmBB1[PrjId]=TEXT($E126,"@"))*(FrmBB1[Cia]=$D126)*(FrmBB1[Row]=$F126)*(FrmBB1[Column]=_xlfn.LET(_xlpm.x,_xlfn.TEXTBEFORE($G126," ("),IFERROR(_xlpm.x,$G126))&amp;" SERRA"),0)),"X")</f>
        <v>0</v>
      </c>
      <c r="J126" s="358" cm="1">
        <f t="array" aca="1" ref="J126" ca="1">IFERROR(SUM(_xlfn._xlws.FILTER(FrmBB1[Cur],(FrmBB1[PrjId]=TEXT($E126,"@"))*(FrmBB1[Cia]=$D126)*(FrmBB1[Row]=$F126)*(FrmBB1[Column]=_xlfn.LET(_xlpm.x,_xlfn.TEXTBEFORE($G126," ("),IFERROR(_xlpm.x,$G126))&amp;" EXT."),0)),"X")</f>
        <v>105681.19</v>
      </c>
      <c r="K126" s="358">
        <v>0</v>
      </c>
      <c r="L126" s="358">
        <v>-100000</v>
      </c>
      <c r="M126" s="361">
        <f ca="1">IF(SUM(H126,K126,L126)=0,IF(SUM(I126,J126)&gt;0,1,0),1-SUM(PrvSty[[#This Row],[Real:SERRA]:[Real:EXT.]])/SUM(PrvSty[[#This Row],[AcumInt]:[AcumExt]]))</f>
        <v>3.5390404634017103E-2</v>
      </c>
      <c r="N126" s="360" t="s">
        <v>1739</v>
      </c>
      <c r="O126" s="358">
        <f>IF(OR(PrvSty[[#This Row],[DsvAbs:SERRA]]="X",PrvSty[[#This Row],[DsvAbs:SERRA]]=""),0,IF(PrvSty[[#This Row],[DesvTyp]]="Abs",PrvSty[[#This Row],[DsvAbs:SERRA]],PrvSty[[#This Row],[DsvAbs:SERRA]]*PrvSty[[#This Row],[Ppto]]))</f>
        <v>0</v>
      </c>
      <c r="P126" s="358">
        <f>IF(OR(PrvSty[[#This Row],[DsvAbs:EXT.]]="X",PrvSty[[#This Row],[DsvAbs:EXT.]]=""),0,IF(PrvSty[[#This Row],[DesvTyp]]="Abs",PrvSty[[#This Row],[DsvAbs:EXT.]],PrvSty[[#This Row],[DsvAbs:EXT.]]*PrvSty[[#This Row],[Ppto]]))</f>
        <v>-100000</v>
      </c>
      <c r="Q126" s="358" t="str" cm="1">
        <f t="array" aca="1" ref="Q126"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26" s="363" cm="1">
        <f t="array" aca="1" ref="R126"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26" s="363" cm="1">
        <f t="array" aca="1" ref="S126"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109558.51000000001</v>
      </c>
      <c r="T126" s="367" cm="1">
        <f t="array" aca="1" ref="T126"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26" s="367" cm="1">
        <f t="array" aca="1" ref="U126"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26" s="358" t="s">
        <v>2103</v>
      </c>
    </row>
    <row r="127" spans="3:22">
      <c r="C127" s="379">
        <v>45621</v>
      </c>
      <c r="D127" s="357" t="s">
        <v>2114</v>
      </c>
      <c r="E127" s="380" t="str">
        <f t="shared" ca="1" si="3"/>
        <v>31200</v>
      </c>
      <c r="F127" s="359" t="s">
        <v>300</v>
      </c>
      <c r="G127" s="360" t="s">
        <v>386</v>
      </c>
      <c r="H127" s="358" cm="1">
        <f t="array" aca="1" ref="H127" ca="1">IFERROR(SUM(_xlfn._xlws.FILTER(IF(MeSel="Ppto",PptoSty[CurPpto],PptoSty[CurInt]+PptoSty[CurExt]),(PptoSty[Project]=TEXT(PrvSty[[#This Row],[Project]],"@"))*(PptoSty[PptoVsRow]=PrvSty[[#This Row],[Row]])*(PptoSty[PptoVsColumn]=PrvSty[[#This Row],[Column]]),0)),"X")</f>
        <v>117376.5405</v>
      </c>
      <c r="I127" s="358" cm="1">
        <f t="array" aca="1" ref="I127" ca="1">IFERROR(SUM(_xlfn._xlws.FILTER(FrmBB1[Cur],(FrmBB1[PrjId]=TEXT($E127,"@"))*(FrmBB1[Cia]=$D127)*(FrmBB1[Row]=$F127)*(FrmBB1[Column]=_xlfn.LET(_xlpm.x,_xlfn.TEXTBEFORE($G127," ("),IFERROR(_xlpm.x,$G127))&amp;" SERRA"),0)),"X")</f>
        <v>0</v>
      </c>
      <c r="J127" s="358" cm="1">
        <f t="array" aca="1" ref="J127" ca="1">IFERROR(SUM(_xlfn._xlws.FILTER(FrmBB1[Cur],(FrmBB1[PrjId]=TEXT($E127,"@"))*(FrmBB1[Cia]=$D127)*(FrmBB1[Row]=$F127)*(FrmBB1[Column]=_xlfn.LET(_xlpm.x,_xlfn.TEXTBEFORE($G127," ("),IFERROR(_xlpm.x,$G127))&amp;" EXT."),0)),"X")</f>
        <v>14594.760000000002</v>
      </c>
      <c r="K127" s="358">
        <v>0</v>
      </c>
      <c r="L127" s="358">
        <v>70000</v>
      </c>
      <c r="M127" s="361">
        <f ca="1">IF(SUM(H127,K127,L127)=0,IF(SUM(I127,J127)&gt;0,1,0),1-SUM(PrvSty[[#This Row],[Real:SERRA]:[Real:EXT.]])/SUM(PrvSty[[#This Row],[AcumInt]:[AcumExt]]))</f>
        <v>0.92210999327314402</v>
      </c>
      <c r="N127" s="360" t="s">
        <v>1739</v>
      </c>
      <c r="O127" s="358">
        <f>IF(OR(PrvSty[[#This Row],[DsvAbs:SERRA]]="X",PrvSty[[#This Row],[DsvAbs:SERRA]]=""),0,IF(PrvSty[[#This Row],[DesvTyp]]="Abs",PrvSty[[#This Row],[DsvAbs:SERRA]],PrvSty[[#This Row],[DsvAbs:SERRA]]*PrvSty[[#This Row],[Ppto]]))</f>
        <v>0</v>
      </c>
      <c r="P127" s="358">
        <f>IF(OR(PrvSty[[#This Row],[DsvAbs:EXT.]]="X",PrvSty[[#This Row],[DsvAbs:EXT.]]=""),0,IF(PrvSty[[#This Row],[DesvTyp]]="Abs",PrvSty[[#This Row],[DsvAbs:EXT.]],PrvSty[[#This Row],[DsvAbs:EXT.]]*PrvSty[[#This Row],[Ppto]]))</f>
        <v>70000</v>
      </c>
      <c r="Q127" s="358" t="str" cm="1">
        <f t="array" aca="1" ref="Q127"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27" s="363" cm="1">
        <f t="array" aca="1" ref="R127"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27" s="363" cm="1">
        <f t="array" aca="1" ref="S127"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187376.5405</v>
      </c>
      <c r="T127" s="367" cm="1">
        <f t="array" aca="1" ref="T127"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27" s="367" cm="1">
        <f t="array" aca="1" ref="U127"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27" s="358" t="s">
        <v>2112</v>
      </c>
    </row>
    <row r="128" spans="3:22">
      <c r="C128" s="379">
        <v>45621</v>
      </c>
      <c r="D128" s="357" t="s">
        <v>2114</v>
      </c>
      <c r="E128" s="380" t="str">
        <f t="shared" ca="1" si="3"/>
        <v>31200</v>
      </c>
      <c r="F128" s="359" t="s">
        <v>301</v>
      </c>
      <c r="G128" s="360" t="s">
        <v>386</v>
      </c>
      <c r="H128" s="358" cm="1">
        <f t="array" aca="1" ref="H128" ca="1">IFERROR(SUM(_xlfn._xlws.FILTER(IF(MeSel="Ppto",PptoSty[CurPpto],PptoSty[CurInt]+PptoSty[CurExt]),(PptoSty[Project]=TEXT(PrvSty[[#This Row],[Project]],"@"))*(PptoSty[PptoVsRow]=PrvSty[[#This Row],[Row]])*(PptoSty[PptoVsColumn]=PrvSty[[#This Row],[Column]]),0)),"X")</f>
        <v>233207.6263</v>
      </c>
      <c r="I128" s="358" cm="1">
        <f t="array" aca="1" ref="I128" ca="1">IFERROR(SUM(_xlfn._xlws.FILTER(FrmBB1[Cur],(FrmBB1[PrjId]=TEXT($E128,"@"))*(FrmBB1[Cia]=$D128)*(FrmBB1[Row]=$F128)*(FrmBB1[Column]=_xlfn.LET(_xlpm.x,_xlfn.TEXTBEFORE($G128," ("),IFERROR(_xlpm.x,$G128))&amp;" SERRA"),0)),"X")</f>
        <v>2479.2300000000032</v>
      </c>
      <c r="J128" s="358" cm="1">
        <f t="array" aca="1" ref="J128" ca="1">IFERROR(SUM(_xlfn._xlws.FILTER(FrmBB1[Cur],(FrmBB1[PrjId]=TEXT($E128,"@"))*(FrmBB1[Cia]=$D128)*(FrmBB1[Row]=$F128)*(FrmBB1[Column]=_xlfn.LET(_xlpm.x,_xlfn.TEXTBEFORE($G128," ("),IFERROR(_xlpm.x,$G128))&amp;" EXT."),0)),"X")</f>
        <v>67200.800000000003</v>
      </c>
      <c r="K128" s="358">
        <v>0</v>
      </c>
      <c r="L128" s="358">
        <v>50000</v>
      </c>
      <c r="M128" s="361">
        <f ca="1">IF(SUM(H128,K128,L128)=0,IF(SUM(I128,J128)&gt;0,1,0),1-SUM(PrvSty[[#This Row],[Real:SERRA]:[Real:EXT.]])/SUM(PrvSty[[#This Row],[AcumInt]:[AcumExt]]))</f>
        <v>0.75396132190950116</v>
      </c>
      <c r="N128" s="360" t="s">
        <v>1739</v>
      </c>
      <c r="O128" s="358">
        <f>IF(OR(PrvSty[[#This Row],[DsvAbs:SERRA]]="X",PrvSty[[#This Row],[DsvAbs:SERRA]]=""),0,IF(PrvSty[[#This Row],[DesvTyp]]="Abs",PrvSty[[#This Row],[DsvAbs:SERRA]],PrvSty[[#This Row],[DsvAbs:SERRA]]*PrvSty[[#This Row],[Ppto]]))</f>
        <v>0</v>
      </c>
      <c r="P128" s="358">
        <f>IF(OR(PrvSty[[#This Row],[DsvAbs:EXT.]]="X",PrvSty[[#This Row],[DsvAbs:EXT.]]=""),0,IF(PrvSty[[#This Row],[DesvTyp]]="Abs",PrvSty[[#This Row],[DsvAbs:EXT.]],PrvSty[[#This Row],[DsvAbs:EXT.]]*PrvSty[[#This Row],[Ppto]]))</f>
        <v>50000</v>
      </c>
      <c r="Q128" s="358" t="str" cm="1">
        <f t="array" aca="1" ref="Q128"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28" s="363" cm="1">
        <f t="array" aca="1" ref="R128"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28" s="363" cm="1">
        <f t="array" aca="1" ref="S128"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283207.6263</v>
      </c>
      <c r="T128" s="367" cm="1">
        <f t="array" aca="1" ref="T128"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28" s="367" cm="1">
        <f t="array" aca="1" ref="U128"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28" s="358" t="s">
        <v>2112</v>
      </c>
    </row>
    <row r="129" spans="3:22">
      <c r="C129" s="383">
        <v>45625</v>
      </c>
      <c r="D129" s="357" t="s">
        <v>2114</v>
      </c>
      <c r="E129" s="384" t="str">
        <f t="shared" ca="1" si="3"/>
        <v>31200</v>
      </c>
      <c r="F129" s="359" t="s">
        <v>1242</v>
      </c>
      <c r="G129" s="360" t="s">
        <v>386</v>
      </c>
      <c r="H129" s="358" cm="1">
        <f t="array" aca="1" ref="H129" ca="1">IFERROR(SUM(_xlfn._xlws.FILTER(IF(MeSel="Ppto",PptoSty[CurPpto],PptoSty[CurInt]+PptoSty[CurExt]),(PptoSty[Project]=TEXT(PrvSty[[#This Row],[Project]],"@"))*(PptoSty[PptoVsRow]=PrvSty[[#This Row],[Row]])*(PptoSty[PptoVsColumn]=PrvSty[[#This Row],[Column]]),0)),"X")</f>
        <v>0</v>
      </c>
      <c r="I129" s="358" cm="1">
        <f t="array" aca="1" ref="I129" ca="1">IFERROR(SUM(_xlfn._xlws.FILTER(FrmBB1[Cur],(FrmBB1[PrjId]=TEXT($E129,"@"))*(FrmBB1[Cia]=$D129)*(FrmBB1[Row]=$F129)*(FrmBB1[Column]=_xlfn.LET(_xlpm.x,_xlfn.TEXTBEFORE($G129," ("),IFERROR(_xlpm.x,$G129))&amp;" SERRA"),0)),"X")</f>
        <v>-15368.310000000009</v>
      </c>
      <c r="J129" s="358" cm="1">
        <f t="array" aca="1" ref="J129" ca="1">IFERROR(SUM(_xlfn._xlws.FILTER(FrmBB1[Cur],(FrmBB1[PrjId]=TEXT($E129,"@"))*(FrmBB1[Cia]=$D129)*(FrmBB1[Row]=$F129)*(FrmBB1[Column]=_xlfn.LET(_xlpm.x,_xlfn.TEXTBEFORE($G129," ("),IFERROR(_xlpm.x,$G129))&amp;" EXT."),0)),"X")</f>
        <v>0</v>
      </c>
      <c r="K129" s="358">
        <v>156.29999999999927</v>
      </c>
      <c r="L129" s="358">
        <v>0</v>
      </c>
      <c r="M129" s="361">
        <f ca="1">IF(SUM(H129,K129,L129)=0,IF(SUM(I129,J129)&gt;0,1,0),1-SUM(PrvSty[[#This Row],[Real:SERRA]:[Real:EXT.]])/SUM(PrvSty[[#This Row],[AcumInt]:[AcumExt]]))</f>
        <v>0.10816889900425419</v>
      </c>
      <c r="N129" s="360" t="s">
        <v>1739</v>
      </c>
      <c r="O129" s="358">
        <f>IF(OR(PrvSty[[#This Row],[DsvAbs:SERRA]]="X",PrvSty[[#This Row],[DsvAbs:SERRA]]=""),0,IF(PrvSty[[#This Row],[DesvTyp]]="Abs",PrvSty[[#This Row],[DsvAbs:SERRA]],PrvSty[[#This Row],[DsvAbs:SERRA]]*PrvSty[[#This Row],[Ppto]]))</f>
        <v>156.29999999999927</v>
      </c>
      <c r="P129" s="358">
        <f>IF(OR(PrvSty[[#This Row],[DsvAbs:EXT.]]="X",PrvSty[[#This Row],[DsvAbs:EXT.]]=""),0,IF(PrvSty[[#This Row],[DesvTyp]]="Abs",PrvSty[[#This Row],[DsvAbs:EXT.]],PrvSty[[#This Row],[DsvAbs:EXT.]]*PrvSty[[#This Row],[Ppto]]))</f>
        <v>0</v>
      </c>
      <c r="Q129" s="358" t="str" cm="1">
        <f t="array" aca="1" ref="Q129"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29" s="363" cm="1">
        <f t="array" aca="1" ref="R129"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-17232.310000000009</v>
      </c>
      <c r="S129" s="363" cm="1">
        <f t="array" aca="1" ref="S129"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129" s="367" cm="1">
        <f t="array" aca="1" ref="T129"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29" s="367" cm="1">
        <f t="array" aca="1" ref="U129" ca="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29" s="358" t="s">
        <v>2113</v>
      </c>
    </row>
    <row r="130" spans="3:22">
      <c r="C130" s="392">
        <v>45670</v>
      </c>
      <c r="D130" s="357" t="s">
        <v>2114</v>
      </c>
      <c r="E130" s="393" t="s">
        <v>1415</v>
      </c>
      <c r="F130" s="359" t="s">
        <v>1284</v>
      </c>
      <c r="G130" s="360" t="s">
        <v>1667</v>
      </c>
      <c r="H130" s="358" cm="1">
        <f t="array" ref="H130">IFERROR(SUM(_xlfn._xlws.FILTER(IF(MeSel="Ppto",PptoSty[CurPpto],PptoSty[CurInt]+PptoSty[CurExt]),(PptoSty[Project]=TEXT(PrvSty[[#This Row],[Project]],"@"))*(PptoSty[PptoVsRow]=PrvSty[[#This Row],[Row]])*(PptoSty[PptoVsColumn]=PrvSty[[#This Row],[Column]]),0)),"X")</f>
        <v>0</v>
      </c>
      <c r="I130" s="358" cm="1">
        <f t="array" ref="I130">IFERROR(SUM(_xlfn._xlws.FILTER(FrmBB1[Cur],(FrmBB1[PrjId]=TEXT($E130,"@"))*(FrmBB1[Cia]=$D130)*(FrmBB1[Row]=$F130)*(FrmBB1[Column]=_xlfn.LET(_xlpm.x,_xlfn.TEXTBEFORE($G130," ("),IFERROR(_xlpm.x,$G130))&amp;" SERRA"),0)),"X")</f>
        <v>0</v>
      </c>
      <c r="J130" s="358" cm="1">
        <f t="array" ref="J130">IFERROR(SUM(_xlfn._xlws.FILTER(FrmBB1[Cur],(FrmBB1[PrjId]=TEXT($E130,"@"))*(FrmBB1[Cia]=$D130)*(FrmBB1[Row]=$F130)*(FrmBB1[Column]=_xlfn.LET(_xlpm.x,_xlfn.TEXTBEFORE($G130," ("),IFERROR(_xlpm.x,$G130))&amp;" EXT."),0)),"X")</f>
        <v>2671.25</v>
      </c>
      <c r="K130" s="358">
        <v>0</v>
      </c>
      <c r="L130" s="358">
        <v>1141.25</v>
      </c>
      <c r="M130" s="361">
        <f ca="1">IF(SUM(H130,K130,L130)=0,IF(SUM(I130,J130)&gt;0,1,0),1-SUM(PrvSty[[#This Row],[Real:SERRA]:[Real:EXT.]])/SUM(PrvSty[[#This Row],[AcumInt]:[AcumExt]]))</f>
        <v>-1.3406352683461118</v>
      </c>
      <c r="N130" s="360" t="s">
        <v>1739</v>
      </c>
      <c r="O130" s="358">
        <f>IF(OR(PrvSty[[#This Row],[DsvAbs:SERRA]]="X",PrvSty[[#This Row],[DsvAbs:SERRA]]=""),0,IF(PrvSty[[#This Row],[DesvTyp]]="Abs",PrvSty[[#This Row],[DsvAbs:SERRA]],PrvSty[[#This Row],[DsvAbs:SERRA]]*PrvSty[[#This Row],[Ppto]]))</f>
        <v>0</v>
      </c>
      <c r="P130" s="358">
        <f>IF(OR(PrvSty[[#This Row],[DsvAbs:EXT.]]="X",PrvSty[[#This Row],[DsvAbs:EXT.]]=""),0,IF(PrvSty[[#This Row],[DesvTyp]]="Abs",PrvSty[[#This Row],[DsvAbs:EXT.]],PrvSty[[#This Row],[DsvAbs:EXT.]]*PrvSty[[#This Row],[Ppto]]))</f>
        <v>1141.25</v>
      </c>
      <c r="Q130" s="358" t="str" cm="1">
        <f t="array" aca="1" ref="Q130"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30" s="363" cm="1">
        <f t="array" aca="1" ref="R130"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30" s="363" cm="1">
        <f t="array" aca="1" ref="S130"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1141.25</v>
      </c>
      <c r="T130" s="367" cm="1">
        <f t="array" ref="T130">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30" s="367" cm="1">
        <f t="array" ref="U130">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17.560842978195378</v>
      </c>
      <c r="V130" s="358" t="s">
        <v>2104</v>
      </c>
    </row>
    <row r="131" spans="3:22">
      <c r="C131" s="392">
        <v>45670</v>
      </c>
      <c r="D131" s="357" t="s">
        <v>2114</v>
      </c>
      <c r="E131" s="393" t="s">
        <v>1415</v>
      </c>
      <c r="F131" s="359" t="s">
        <v>362</v>
      </c>
      <c r="G131" s="360" t="s">
        <v>1667</v>
      </c>
      <c r="H131" s="358" cm="1">
        <f t="array" ref="H131">IFERROR(SUM(_xlfn._xlws.FILTER(IF(MeSel="Ppto",PptoSty[CurPpto],PptoSty[CurInt]+PptoSty[CurExt]),(PptoSty[Project]=TEXT(PrvSty[[#This Row],[Project]],"@"))*(PptoSty[PptoVsRow]=PrvSty[[#This Row],[Row]])*(PptoSty[PptoVsColumn]=PrvSty[[#This Row],[Column]]),0)),"X")</f>
        <v>0</v>
      </c>
      <c r="I131" s="358" cm="1">
        <f t="array" ref="I131">IFERROR(SUM(_xlfn._xlws.FILTER(FrmBB1[Cur],(FrmBB1[PrjId]=TEXT($E131,"@"))*(FrmBB1[Cia]=$D131)*(FrmBB1[Row]=$F131)*(FrmBB1[Column]=_xlfn.LET(_xlpm.x,_xlfn.TEXTBEFORE($G131," ("),IFERROR(_xlpm.x,$G131))&amp;" SERRA"),0)),"X")</f>
        <v>0</v>
      </c>
      <c r="J131" s="358" cm="1">
        <f t="array" ref="J131">IFERROR(SUM(_xlfn._xlws.FILTER(FrmBB1[Cur],(FrmBB1[PrjId]=TEXT($E131,"@"))*(FrmBB1[Cia]=$D131)*(FrmBB1[Row]=$F131)*(FrmBB1[Column]=_xlfn.LET(_xlpm.x,_xlfn.TEXTBEFORE($G131," ("),IFERROR(_xlpm.x,$G131))&amp;" EXT."),0)),"X")</f>
        <v>57.23</v>
      </c>
      <c r="K131" s="358">
        <v>0</v>
      </c>
      <c r="L131" s="358">
        <v>21.88</v>
      </c>
      <c r="M131" s="361">
        <f ca="1">IF(SUM(H131,K131,L131)=0,IF(SUM(I131,J131)&gt;0,1,0),1-SUM(PrvSty[[#This Row],[Real:SERRA]:[Real:EXT.]])/SUM(PrvSty[[#This Row],[AcumInt]:[AcumExt]]))</f>
        <v>-1.6156307129798901</v>
      </c>
      <c r="N131" s="360" t="s">
        <v>1739</v>
      </c>
      <c r="O131" s="358">
        <f>IF(OR(PrvSty[[#This Row],[DsvAbs:SERRA]]="X",PrvSty[[#This Row],[DsvAbs:SERRA]]=""),0,IF(PrvSty[[#This Row],[DesvTyp]]="Abs",PrvSty[[#This Row],[DsvAbs:SERRA]],PrvSty[[#This Row],[DsvAbs:SERRA]]*PrvSty[[#This Row],[Ppto]]))</f>
        <v>0</v>
      </c>
      <c r="P131" s="358">
        <f>IF(OR(PrvSty[[#This Row],[DsvAbs:EXT.]]="X",PrvSty[[#This Row],[DsvAbs:EXT.]]=""),0,IF(PrvSty[[#This Row],[DesvTyp]]="Abs",PrvSty[[#This Row],[DsvAbs:EXT.]],PrvSty[[#This Row],[DsvAbs:EXT.]]*PrvSty[[#This Row],[Ppto]]))</f>
        <v>21.88</v>
      </c>
      <c r="Q131" s="358" t="str" cm="1">
        <f t="array" aca="1" ref="Q131"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31" s="363" cm="1">
        <f t="array" aca="1" ref="R131"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31" s="363" cm="1">
        <f t="array" aca="1" ref="S131"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21.88</v>
      </c>
      <c r="T131" s="367" cm="1">
        <f t="array" ref="T13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31" s="367" cm="1">
        <f t="array" ref="U13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0.33667578914603713</v>
      </c>
      <c r="V131" s="358" t="s">
        <v>2104</v>
      </c>
    </row>
    <row r="132" spans="3:22">
      <c r="C132" s="392">
        <v>45670</v>
      </c>
      <c r="D132" s="357" t="s">
        <v>2114</v>
      </c>
      <c r="E132" s="393" t="s">
        <v>1415</v>
      </c>
      <c r="F132" s="359" t="s">
        <v>358</v>
      </c>
      <c r="G132" s="360" t="s">
        <v>380</v>
      </c>
      <c r="H132" s="358" cm="1">
        <f t="array" ref="H132">IFERROR(SUM(_xlfn._xlws.FILTER(IF(MeSel="Ppto",PptoSty[CurPpto],PptoSty[CurInt]+PptoSty[CurExt]),(PptoSty[Project]=TEXT(PrvSty[[#This Row],[Project]],"@"))*(PptoSty[PptoVsRow]=PrvSty[[#This Row],[Row]])*(PptoSty[PptoVsColumn]=PrvSty[[#This Row],[Column]]),0)),"X")</f>
        <v>13411.433639313125</v>
      </c>
      <c r="I132" s="358" cm="1">
        <f t="array" ref="I132">IFERROR(SUM(_xlfn._xlws.FILTER(FrmBB1[Cur],(FrmBB1[PrjId]=TEXT($E132,"@"))*(FrmBB1[Cia]=$D132)*(FrmBB1[Row]=$F132)*(FrmBB1[Column]=_xlfn.LET(_xlpm.x,_xlfn.TEXTBEFORE($G132," ("),IFERROR(_xlpm.x,$G132))&amp;" SERRA"),0)),"X")</f>
        <v>8614.5</v>
      </c>
      <c r="J132" s="358" cm="1">
        <f t="array" ref="J132">IFERROR(SUM(_xlfn._xlws.FILTER(FrmBB1[Cur],(FrmBB1[PrjId]=TEXT($E132,"@"))*(FrmBB1[Cia]=$D132)*(FrmBB1[Row]=$F132)*(FrmBB1[Column]=_xlfn.LET(_xlpm.x,_xlfn.TEXTBEFORE($G132," ("),IFERROR(_xlpm.x,$G132))&amp;" EXT."),0)),"X")</f>
        <v>0</v>
      </c>
      <c r="K132" s="358">
        <f>PrvSty[[#This Row],[Real:SERRA]]-PrvSty[[#This Row],[Ppto]]</f>
        <v>-4796.9336393131252</v>
      </c>
      <c r="L132" s="358">
        <v>0</v>
      </c>
      <c r="M132" s="361">
        <f ca="1">IF(SUM(H132,K132,L132)=0,IF(SUM(I132,J132)&gt;0,1,0),1-SUM(PrvSty[[#This Row],[Real:SERRA]:[Real:EXT.]])/SUM(PrvSty[[#This Row],[AcumInt]:[AcumExt]]))</f>
        <v>0</v>
      </c>
      <c r="N132" s="360" t="s">
        <v>1739</v>
      </c>
      <c r="O132" s="358">
        <f>IF(OR(PrvSty[[#This Row],[DsvAbs:SERRA]]="X",PrvSty[[#This Row],[DsvAbs:SERRA]]=""),0,IF(PrvSty[[#This Row],[DesvTyp]]="Abs",PrvSty[[#This Row],[DsvAbs:SERRA]],PrvSty[[#This Row],[DsvAbs:SERRA]]*PrvSty[[#This Row],[Ppto]]))</f>
        <v>-4796.9336393131252</v>
      </c>
      <c r="P132" s="358">
        <f>IF(OR(PrvSty[[#This Row],[DsvAbs:EXT.]]="X",PrvSty[[#This Row],[DsvAbs:EXT.]]=""),0,IF(PrvSty[[#This Row],[DesvTyp]]="Abs",PrvSty[[#This Row],[DsvAbs:EXT.]],PrvSty[[#This Row],[DsvAbs:EXT.]]*PrvSty[[#This Row],[Ppto]]))</f>
        <v>0</v>
      </c>
      <c r="Q132" s="358" t="str" cm="1">
        <f t="array" aca="1" ref="Q132"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32" s="363" cm="1">
        <f t="array" aca="1" ref="R132"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-3589.4131887097938</v>
      </c>
      <c r="S132" s="363" cm="1">
        <f t="array" aca="1" ref="S132"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12203.913188709794</v>
      </c>
      <c r="T132" s="367" cm="1">
        <f t="array" ref="T132">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-158.42014414839358</v>
      </c>
      <c r="U132" s="367" cm="1">
        <f t="array" ref="U132">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32" s="358" t="s">
        <v>2104</v>
      </c>
    </row>
    <row r="133" spans="3:22">
      <c r="C133" s="392">
        <v>45670</v>
      </c>
      <c r="D133" s="357" t="s">
        <v>2114</v>
      </c>
      <c r="E133" s="393" t="s">
        <v>1415</v>
      </c>
      <c r="F133" s="359" t="s">
        <v>1410</v>
      </c>
      <c r="G133" s="360" t="s">
        <v>380</v>
      </c>
      <c r="H133" s="358" cm="1">
        <f t="array" ref="H133">IFERROR(SUM(_xlfn._xlws.FILTER(IF(MeSel="Ppto",PptoSty[CurPpto],PptoSty[CurInt]+PptoSty[CurExt]),(PptoSty[Project]=TEXT(PrvSty[[#This Row],[Project]],"@"))*(PptoSty[PptoVsRow]=PrvSty[[#This Row],[Row]])*(PptoSty[PptoVsColumn]=PrvSty[[#This Row],[Column]]),0)),"X")</f>
        <v>159761.70173857495</v>
      </c>
      <c r="I133" s="358" cm="1">
        <f t="array" ref="I133">IFERROR(SUM(_xlfn._xlws.FILTER(FrmBB1[Cur],(FrmBB1[PrjId]=TEXT($E133,"@"))*(FrmBB1[Cia]=$D133)*(FrmBB1[Row]=$F133)*(FrmBB1[Column]=_xlfn.LET(_xlpm.x,_xlfn.TEXTBEFORE($G133," ("),IFERROR(_xlpm.x,$G133))&amp;" SERRA"),0)),"X")</f>
        <v>35888.959999999999</v>
      </c>
      <c r="J133" s="358" cm="1">
        <f t="array" ref="J133">IFERROR(SUM(_xlfn._xlws.FILTER(FrmBB1[Cur],(FrmBB1[PrjId]=TEXT($E133,"@"))*(FrmBB1[Cia]=$D133)*(FrmBB1[Row]=$F133)*(FrmBB1[Column]=_xlfn.LET(_xlpm.x,_xlfn.TEXTBEFORE($G133," ("),IFERROR(_xlpm.x,$G133))&amp;" EXT."),0)),"X")</f>
        <v>55138</v>
      </c>
      <c r="K133" s="358">
        <f>-K132</f>
        <v>4796.9336393131252</v>
      </c>
      <c r="L133" s="358">
        <v>0</v>
      </c>
      <c r="M133" s="361">
        <f ca="1">IF(SUM(H133,K133,L133)=0,IF(SUM(I133,J133)&gt;0,1,0),1-SUM(PrvSty[[#This Row],[Real:SERRA]:[Real:EXT.]])/SUM(PrvSty[[#This Row],[AcumInt]:[AcumExt]]))</f>
        <v>0.47853075384702126</v>
      </c>
      <c r="N133" s="360" t="s">
        <v>1739</v>
      </c>
      <c r="O133" s="358">
        <f>IF(OR(PrvSty[[#This Row],[DsvAbs:SERRA]]="X",PrvSty[[#This Row],[DsvAbs:SERRA]]=""),0,IF(PrvSty[[#This Row],[DesvTyp]]="Abs",PrvSty[[#This Row],[DsvAbs:SERRA]],PrvSty[[#This Row],[DsvAbs:SERRA]]*PrvSty[[#This Row],[Ppto]]))</f>
        <v>4796.9336393131252</v>
      </c>
      <c r="P133" s="358">
        <f>IF(OR(PrvSty[[#This Row],[DsvAbs:EXT.]]="X",PrvSty[[#This Row],[DsvAbs:EXT.]]=""),0,IF(PrvSty[[#This Row],[DesvTyp]]="Abs",PrvSty[[#This Row],[DsvAbs:EXT.]],PrvSty[[#This Row],[DsvAbs:EXT.]]*PrvSty[[#This Row],[Ppto]]))</f>
        <v>0</v>
      </c>
      <c r="Q133" s="358" t="str" cm="1">
        <f t="array" aca="1" ref="Q133"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33" s="363" cm="1">
        <f t="array" aca="1" ref="R133"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54430.902025608113</v>
      </c>
      <c r="S133" s="363" cm="1">
        <f t="array" aca="1" ref="S133"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120127.73335227999</v>
      </c>
      <c r="T133" s="367" cm="1">
        <f t="array" ref="T133">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158.42014414839358</v>
      </c>
      <c r="U133" s="367" cm="1">
        <f t="array" ref="U133">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33" s="358" t="s">
        <v>2104</v>
      </c>
    </row>
    <row r="134" spans="3:22">
      <c r="C134" s="392">
        <v>45670</v>
      </c>
      <c r="D134" s="357" t="s">
        <v>2114</v>
      </c>
      <c r="E134" s="393" t="s">
        <v>1415</v>
      </c>
      <c r="F134" s="359" t="s">
        <v>288</v>
      </c>
      <c r="G134" s="360" t="s">
        <v>380</v>
      </c>
      <c r="H134" s="358" cm="1">
        <f t="array" ref="H134">IFERROR(SUM(_xlfn._xlws.FILTER(IF(MeSel="Ppto",PptoSty[CurPpto],PptoSty[CurInt]+PptoSty[CurExt]),(PptoSty[Project]=TEXT(PrvSty[[#This Row],[Project]],"@"))*(PptoSty[PptoVsRow]=PrvSty[[#This Row],[Row]])*(PptoSty[PptoVsColumn]=PrvSty[[#This Row],[Column]]),0)),"X")</f>
        <v>0</v>
      </c>
      <c r="I134" s="358" cm="1">
        <f t="array" ref="I134">IFERROR(SUM(_xlfn._xlws.FILTER(FrmBB1[Cur],(FrmBB1[PrjId]=TEXT($E134,"@"))*(FrmBB1[Cia]=$D134)*(FrmBB1[Row]=$F134)*(FrmBB1[Column]=_xlfn.LET(_xlpm.x,_xlfn.TEXTBEFORE($G134," ("),IFERROR(_xlpm.x,$G134))&amp;" SERRA"),0)),"X")</f>
        <v>1895.8</v>
      </c>
      <c r="J134" s="358" cm="1">
        <f t="array" ref="J134">IFERROR(SUM(_xlfn._xlws.FILTER(FrmBB1[Cur],(FrmBB1[PrjId]=TEXT($E134,"@"))*(FrmBB1[Cia]=$D134)*(FrmBB1[Row]=$F134)*(FrmBB1[Column]=_xlfn.LET(_xlpm.x,_xlfn.TEXTBEFORE($G134," ("),IFERROR(_xlpm.x,$G134))&amp;" EXT."),0)),"X")</f>
        <v>400</v>
      </c>
      <c r="K134" s="358">
        <v>686</v>
      </c>
      <c r="L134" s="358">
        <v>0</v>
      </c>
      <c r="M134" s="361">
        <f ca="1">IF(SUM(H134,K134,L134)=0,IF(SUM(I134,J134)&gt;0,1,0),1-SUM(PrvSty[[#This Row],[Real:SERRA]:[Real:EXT.]])/SUM(PrvSty[[#This Row],[AcumInt]:[AcumExt]]))</f>
        <v>-0.28717201166180772</v>
      </c>
      <c r="N134" s="360" t="s">
        <v>1739</v>
      </c>
      <c r="O134" s="358">
        <f>IF(OR(PrvSty[[#This Row],[DsvAbs:SERRA]]="X",PrvSty[[#This Row],[DsvAbs:SERRA]]=""),0,IF(PrvSty[[#This Row],[DesvTyp]]="Abs",PrvSty[[#This Row],[DsvAbs:SERRA]],PrvSty[[#This Row],[DsvAbs:SERRA]]*PrvSty[[#This Row],[Ppto]]))</f>
        <v>686</v>
      </c>
      <c r="P134" s="358">
        <f>IF(OR(PrvSty[[#This Row],[DsvAbs:EXT.]]="X",PrvSty[[#This Row],[DsvAbs:EXT.]]=""),0,IF(PrvSty[[#This Row],[DesvTyp]]="Abs",PrvSty[[#This Row],[DsvAbs:EXT.]],PrvSty[[#This Row],[DsvAbs:EXT.]]*PrvSty[[#This Row],[Ppto]]))</f>
        <v>0</v>
      </c>
      <c r="Q134" s="358" t="str" cm="1">
        <f t="array" aca="1" ref="Q134"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34" s="363" cm="1">
        <f t="array" aca="1" ref="R134"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686</v>
      </c>
      <c r="S134" s="363" cm="1">
        <f t="array" aca="1" ref="S134"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1097.5999999999999</v>
      </c>
      <c r="T134" s="367" cm="1">
        <f t="array" ref="T134">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22.655351742860336</v>
      </c>
      <c r="U134" s="367" cm="1">
        <f t="array" ref="U134">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34" s="358" t="s">
        <v>2105</v>
      </c>
    </row>
    <row r="135" spans="3:22">
      <c r="C135" s="392">
        <v>45670</v>
      </c>
      <c r="D135" s="357" t="s">
        <v>2114</v>
      </c>
      <c r="E135" s="393" t="s">
        <v>1415</v>
      </c>
      <c r="F135" s="359" t="s">
        <v>1285</v>
      </c>
      <c r="G135" s="360" t="s">
        <v>380</v>
      </c>
      <c r="H135" s="358" cm="1">
        <f t="array" ref="H135">IFERROR(SUM(_xlfn._xlws.FILTER(IF(MeSel="Ppto",PptoSty[CurPpto],PptoSty[CurInt]+PptoSty[CurExt]),(PptoSty[Project]=TEXT(PrvSty[[#This Row],[Project]],"@"))*(PptoSty[PptoVsRow]=PrvSty[[#This Row],[Row]])*(PptoSty[PptoVsColumn]=PrvSty[[#This Row],[Column]]),0)),"X")</f>
        <v>0</v>
      </c>
      <c r="I135" s="358" cm="1">
        <f t="array" ref="I135">IFERROR(SUM(_xlfn._xlws.FILTER(FrmBB1[Cur],(FrmBB1[PrjId]=TEXT($E135,"@"))*(FrmBB1[Cia]=$D135)*(FrmBB1[Row]=$F135)*(FrmBB1[Column]=_xlfn.LET(_xlpm.x,_xlfn.TEXTBEFORE($G135," ("),IFERROR(_xlpm.x,$G135))&amp;" SERRA"),0)),"X")</f>
        <v>1781.95</v>
      </c>
      <c r="J135" s="358" cm="1">
        <f t="array" ref="J135">IFERROR(SUM(_xlfn._xlws.FILTER(FrmBB1[Cur],(FrmBB1[PrjId]=TEXT($E135,"@"))*(FrmBB1[Cia]=$D135)*(FrmBB1[Row]=$F135)*(FrmBB1[Column]=_xlfn.LET(_xlpm.x,_xlfn.TEXTBEFORE($G135," ("),IFERROR(_xlpm.x,$G135))&amp;" EXT."),0)),"X")</f>
        <v>0</v>
      </c>
      <c r="K135" s="358">
        <v>0</v>
      </c>
      <c r="L135" s="358">
        <v>343</v>
      </c>
      <c r="M135" s="361">
        <f ca="1">IF(SUM(H135,K135,L135)=0,IF(SUM(I135,J135)&gt;0,1,0),1-SUM(PrvSty[[#This Row],[Real:SERRA]:[Real:EXT.]])/SUM(PrvSty[[#This Row],[AcumInt]:[AcumExt]]))</f>
        <v>-0.73172983479105924</v>
      </c>
      <c r="N135" s="360" t="s">
        <v>1739</v>
      </c>
      <c r="O135" s="358">
        <f>IF(OR(PrvSty[[#This Row],[DsvAbs:SERRA]]="X",PrvSty[[#This Row],[DsvAbs:SERRA]]=""),0,IF(PrvSty[[#This Row],[DesvTyp]]="Abs",PrvSty[[#This Row],[DsvAbs:SERRA]],PrvSty[[#This Row],[DsvAbs:SERRA]]*PrvSty[[#This Row],[Ppto]]))</f>
        <v>0</v>
      </c>
      <c r="P135" s="358">
        <f>IF(OR(PrvSty[[#This Row],[DsvAbs:EXT.]]="X",PrvSty[[#This Row],[DsvAbs:EXT.]]=""),0,IF(PrvSty[[#This Row],[DesvTyp]]="Abs",PrvSty[[#This Row],[DsvAbs:EXT.]],PrvSty[[#This Row],[DsvAbs:EXT.]]*PrvSty[[#This Row],[Ppto]]))</f>
        <v>343</v>
      </c>
      <c r="Q135" s="358" t="str" cm="1">
        <f t="array" aca="1" ref="Q135"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35" s="363" cm="1">
        <f t="array" aca="1" ref="R135"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35" s="363" cm="1">
        <f t="array" aca="1" ref="S135"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1029</v>
      </c>
      <c r="T135" s="367" cm="1">
        <f t="array" ref="T135">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35" s="367" cm="1">
        <f t="array" ref="U135">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11.327675871430168</v>
      </c>
      <c r="V135" s="358" t="s">
        <v>2105</v>
      </c>
    </row>
    <row r="136" spans="3:22">
      <c r="C136" s="392">
        <v>45670</v>
      </c>
      <c r="D136" s="357" t="s">
        <v>2114</v>
      </c>
      <c r="E136" s="393" t="s">
        <v>1415</v>
      </c>
      <c r="F136" s="359" t="s">
        <v>1475</v>
      </c>
      <c r="G136" s="360" t="s">
        <v>1667</v>
      </c>
      <c r="H136" s="358" cm="1">
        <f t="array" ref="H136">IFERROR(SUM(_xlfn._xlws.FILTER(IF(MeSel="Ppto",PptoSty[CurPpto],PptoSty[CurInt]+PptoSty[CurExt]),(PptoSty[Project]=TEXT(PrvSty[[#This Row],[Project]],"@"))*(PptoSty[PptoVsRow]=PrvSty[[#This Row],[Row]])*(PptoSty[PptoVsColumn]=PrvSty[[#This Row],[Column]]),0)),"X")</f>
        <v>0</v>
      </c>
      <c r="I136" s="358" cm="1">
        <f t="array" ref="I136">IFERROR(SUM(_xlfn._xlws.FILTER(FrmBB1[Cur],(FrmBB1[PrjId]=TEXT($E136,"@"))*(FrmBB1[Cia]=$D136)*(FrmBB1[Row]=$F136)*(FrmBB1[Column]=_xlfn.LET(_xlpm.x,_xlfn.TEXTBEFORE($G136," ("),IFERROR(_xlpm.x,$G136))&amp;" SERRA"),0)),"X")</f>
        <v>0</v>
      </c>
      <c r="J136" s="358" cm="1">
        <f t="array" ref="J136">IFERROR(SUM(_xlfn._xlws.FILTER(FrmBB1[Cur],(FrmBB1[PrjId]=TEXT($E136,"@"))*(FrmBB1[Cia]=$D136)*(FrmBB1[Row]=$F136)*(FrmBB1[Column]=_xlfn.LET(_xlpm.x,_xlfn.TEXTBEFORE($G136," ("),IFERROR(_xlpm.x,$G136))&amp;" EXT."),0)),"X")</f>
        <v>6498.8</v>
      </c>
      <c r="K136" s="358">
        <v>0</v>
      </c>
      <c r="L136" s="358">
        <v>415.80000000000018</v>
      </c>
      <c r="M136" s="361">
        <f ca="1">IF(SUM(H136,K136,L136)=0,IF(SUM(I136,J136)&gt;0,1,0),1-SUM(PrvSty[[#This Row],[Real:SERRA]:[Real:EXT.]])/SUM(PrvSty[[#This Row],[AcumInt]:[AcumExt]]))</f>
        <v>-0.10621638183427518</v>
      </c>
      <c r="N136" s="360" t="s">
        <v>1739</v>
      </c>
      <c r="O136" s="358">
        <f>IF(OR(PrvSty[[#This Row],[DsvAbs:SERRA]]="X",PrvSty[[#This Row],[DsvAbs:SERRA]]=""),0,IF(PrvSty[[#This Row],[DesvTyp]]="Abs",PrvSty[[#This Row],[DsvAbs:SERRA]],PrvSty[[#This Row],[DsvAbs:SERRA]]*PrvSty[[#This Row],[Ppto]]))</f>
        <v>0</v>
      </c>
      <c r="P136" s="358">
        <f>IF(OR(PrvSty[[#This Row],[DsvAbs:EXT.]]="X",PrvSty[[#This Row],[DsvAbs:EXT.]]=""),0,IF(PrvSty[[#This Row],[DesvTyp]]="Abs",PrvSty[[#This Row],[DsvAbs:EXT.]],PrvSty[[#This Row],[DsvAbs:EXT.]]*PrvSty[[#This Row],[Ppto]]))</f>
        <v>415.80000000000018</v>
      </c>
      <c r="Q136" s="358" t="str" cm="1">
        <f t="array" aca="1" ref="Q136"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36" s="363" cm="1">
        <f t="array" aca="1" ref="R136"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36" s="363" cm="1">
        <f t="array" aca="1" ref="S136"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5874.8</v>
      </c>
      <c r="T136" s="367" cm="1">
        <f t="array" ref="T136">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36" s="367" cm="1">
        <f t="array" ref="U136">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6.3980709838629943</v>
      </c>
      <c r="V136" s="358" t="s">
        <v>2104</v>
      </c>
    </row>
    <row r="137" spans="3:22">
      <c r="C137" s="392">
        <v>45670</v>
      </c>
      <c r="D137" s="357" t="s">
        <v>2114</v>
      </c>
      <c r="E137" s="393" t="s">
        <v>1415</v>
      </c>
      <c r="F137" s="359" t="s">
        <v>1473</v>
      </c>
      <c r="G137" s="360" t="s">
        <v>380</v>
      </c>
      <c r="H137" s="358" cm="1">
        <f t="array" ref="H137">IFERROR(SUM(_xlfn._xlws.FILTER(IF(MeSel="Ppto",PptoSty[CurPpto],PptoSty[CurInt]+PptoSty[CurExt]),(PptoSty[Project]=TEXT(PrvSty[[#This Row],[Project]],"@"))*(PptoSty[PptoVsRow]=PrvSty[[#This Row],[Row]])*(PptoSty[PptoVsColumn]=PrvSty[[#This Row],[Column]]),0)),"X")</f>
        <v>0</v>
      </c>
      <c r="I137" s="358" cm="1">
        <f t="array" ref="I137">IFERROR(SUM(_xlfn._xlws.FILTER(FrmBB1[Cur],(FrmBB1[PrjId]=TEXT($E137,"@"))*(FrmBB1[Cia]=$D137)*(FrmBB1[Row]=$F137)*(FrmBB1[Column]=_xlfn.LET(_xlpm.x,_xlfn.TEXTBEFORE($G137," ("),IFERROR(_xlpm.x,$G137))&amp;" SERRA"),0)),"X")</f>
        <v>7207.43</v>
      </c>
      <c r="J137" s="358" cm="1">
        <f t="array" ref="J137">IFERROR(SUM(_xlfn._xlws.FILTER(FrmBB1[Cur],(FrmBB1[PrjId]=TEXT($E137,"@"))*(FrmBB1[Cia]=$D137)*(FrmBB1[Row]=$F137)*(FrmBB1[Column]=_xlfn.LET(_xlpm.x,_xlfn.TEXTBEFORE($G137," ("),IFERROR(_xlpm.x,$G137))&amp;" EXT."),0)),"X")</f>
        <v>0</v>
      </c>
      <c r="K137" s="358">
        <v>857.50999999999976</v>
      </c>
      <c r="L137" s="358">
        <v>0</v>
      </c>
      <c r="M137" s="361">
        <f ca="1">IF(SUM(H137,K137,L137)=0,IF(SUM(I137,J137)&gt;0,1,0),1-SUM(PrvSty[[#This Row],[Real:SERRA]:[Real:EXT.]])/SUM(PrvSty[[#This Row],[AcumInt]:[AcumExt]]))</f>
        <v>-0.54110618608062366</v>
      </c>
      <c r="N137" s="360" t="s">
        <v>1739</v>
      </c>
      <c r="O137" s="358">
        <f>IF(OR(PrvSty[[#This Row],[DsvAbs:SERRA]]="X",PrvSty[[#This Row],[DsvAbs:SERRA]]=""),0,IF(PrvSty[[#This Row],[DesvTyp]]="Abs",PrvSty[[#This Row],[DsvAbs:SERRA]],PrvSty[[#This Row],[DsvAbs:SERRA]]*PrvSty[[#This Row],[Ppto]]))</f>
        <v>857.50999999999976</v>
      </c>
      <c r="P137" s="358">
        <f>IF(OR(PrvSty[[#This Row],[DsvAbs:EXT.]]="X",PrvSty[[#This Row],[DsvAbs:EXT.]]=""),0,IF(PrvSty[[#This Row],[DesvTyp]]="Abs",PrvSty[[#This Row],[DsvAbs:EXT.]],PrvSty[[#This Row],[DsvAbs:EXT.]]*PrvSty[[#This Row],[Ppto]]))</f>
        <v>0</v>
      </c>
      <c r="Q137" s="358" t="str" cm="1">
        <f t="array" aca="1" ref="Q137"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37" s="363" cm="1">
        <f t="array" aca="1" ref="R137"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4676.79</v>
      </c>
      <c r="S137" s="363" cm="1">
        <f t="array" aca="1" ref="S137"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137" s="367" cm="1">
        <f t="array" ref="T137">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28.319519931516272</v>
      </c>
      <c r="U137" s="367" cm="1">
        <f t="array" ref="U137">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37" s="358" t="s">
        <v>2149</v>
      </c>
    </row>
    <row r="138" spans="3:22">
      <c r="C138" s="392">
        <v>45670</v>
      </c>
      <c r="D138" s="357" t="s">
        <v>2114</v>
      </c>
      <c r="E138" s="393" t="s">
        <v>1415</v>
      </c>
      <c r="F138" s="359" t="s">
        <v>1473</v>
      </c>
      <c r="G138" s="360" t="s">
        <v>373</v>
      </c>
      <c r="H138" s="358" cm="1">
        <f t="array" ref="H138">IFERROR(SUM(_xlfn._xlws.FILTER(IF(MeSel="Ppto",PptoSty[CurPpto],PptoSty[CurInt]+PptoSty[CurExt]),(PptoSty[Project]=TEXT(PrvSty[[#This Row],[Project]],"@"))*(PptoSty[PptoVsRow]=PrvSty[[#This Row],[Row]])*(PptoSty[PptoVsColumn]=PrvSty[[#This Row],[Column]]),0)),"X")</f>
        <v>0</v>
      </c>
      <c r="I138" s="358" cm="1">
        <f t="array" ref="I138">IFERROR(SUM(_xlfn._xlws.FILTER(FrmBB1[Cur],(FrmBB1[PrjId]=TEXT($E138,"@"))*(FrmBB1[Cia]=$D138)*(FrmBB1[Row]=$F138)*(FrmBB1[Column]=_xlfn.LET(_xlpm.x,_xlfn.TEXTBEFORE($G138," ("),IFERROR(_xlpm.x,$G138))&amp;" SERRA"),0)),"X")</f>
        <v>16514.439999999999</v>
      </c>
      <c r="J138" s="358" cm="1">
        <f t="array" ref="J138">IFERROR(SUM(_xlfn._xlws.FILTER(FrmBB1[Cur],(FrmBB1[PrjId]=TEXT($E138,"@"))*(FrmBB1[Cia]=$D138)*(FrmBB1[Row]=$F138)*(FrmBB1[Column]=_xlfn.LET(_xlpm.x,_xlfn.TEXTBEFORE($G138," ("),IFERROR(_xlpm.x,$G138))&amp;" EXT."),0)),"X")</f>
        <v>0</v>
      </c>
      <c r="K138" s="358">
        <v>2653.4400000000005</v>
      </c>
      <c r="L138" s="358">
        <v>0</v>
      </c>
      <c r="M138" s="361">
        <f ca="1">IF(SUM(H138,K138,L138)=0,IF(SUM(I138,J138)&gt;0,1,0),1-SUM(PrvSty[[#This Row],[Real:SERRA]:[Real:EXT.]])/SUM(PrvSty[[#This Row],[AcumInt]:[AcumExt]]))</f>
        <v>-0.26672066615735313</v>
      </c>
      <c r="N138" s="360" t="s">
        <v>1739</v>
      </c>
      <c r="O138" s="358">
        <f>IF(OR(PrvSty[[#This Row],[DsvAbs:SERRA]]="X",PrvSty[[#This Row],[DsvAbs:SERRA]]=""),0,IF(PrvSty[[#This Row],[DesvTyp]]="Abs",PrvSty[[#This Row],[DsvAbs:SERRA]],PrvSty[[#This Row],[DsvAbs:SERRA]]*PrvSty[[#This Row],[Ppto]]))</f>
        <v>2653.4400000000005</v>
      </c>
      <c r="P138" s="358">
        <f>IF(OR(PrvSty[[#This Row],[DsvAbs:EXT.]]="X",PrvSty[[#This Row],[DsvAbs:EXT.]]=""),0,IF(PrvSty[[#This Row],[DesvTyp]]="Abs",PrvSty[[#This Row],[DsvAbs:EXT.]],PrvSty[[#This Row],[DsvAbs:EXT.]]*PrvSty[[#This Row],[Ppto]]))</f>
        <v>0</v>
      </c>
      <c r="Q138" s="358" t="str" cm="1">
        <f t="array" aca="1" ref="Q138"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38" s="363" cm="1">
        <f t="array" aca="1" ref="R138"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13037.16</v>
      </c>
      <c r="S138" s="363" cm="1">
        <f t="array" aca="1" ref="S138"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138" s="367" cm="1">
        <f t="array" ref="T138">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57.175174654827245</v>
      </c>
      <c r="U138" s="367" cm="1">
        <f t="array" ref="U138">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38" s="358" t="s">
        <v>2104</v>
      </c>
    </row>
    <row r="139" spans="3:22">
      <c r="C139" s="392">
        <v>45670</v>
      </c>
      <c r="D139" s="357" t="s">
        <v>2114</v>
      </c>
      <c r="E139" s="393" t="s">
        <v>1415</v>
      </c>
      <c r="F139" s="359" t="s">
        <v>358</v>
      </c>
      <c r="G139" s="360" t="s">
        <v>373</v>
      </c>
      <c r="H139" s="358" cm="1">
        <f t="array" ref="H139">IFERROR(SUM(_xlfn._xlws.FILTER(IF(MeSel="Ppto",PptoSty[CurPpto],PptoSty[CurInt]+PptoSty[CurExt]),(PptoSty[Project]=TEXT(PrvSty[[#This Row],[Project]],"@"))*(PptoSty[PptoVsRow]=PrvSty[[#This Row],[Row]])*(PptoSty[PptoVsColumn]=PrvSty[[#This Row],[Column]]),0)),"X")</f>
        <v>26580.801052530198</v>
      </c>
      <c r="I139" s="358" cm="1">
        <f t="array" ref="I139">IFERROR(SUM(_xlfn._xlws.FILTER(FrmBB1[Cur],(FrmBB1[PrjId]=TEXT($E139,"@"))*(FrmBB1[Cia]=$D139)*(FrmBB1[Row]=$F139)*(FrmBB1[Column]=_xlfn.LET(_xlpm.x,_xlfn.TEXTBEFORE($G139," ("),IFERROR(_xlpm.x,$G139))&amp;" SERRA"),0)),"X")</f>
        <v>0</v>
      </c>
      <c r="J139" s="358" cm="1">
        <f t="array" ref="J139">IFERROR(SUM(_xlfn._xlws.FILTER(FrmBB1[Cur],(FrmBB1[PrjId]=TEXT($E139,"@"))*(FrmBB1[Cia]=$D139)*(FrmBB1[Row]=$F139)*(FrmBB1[Column]=_xlfn.LET(_xlpm.x,_xlfn.TEXTBEFORE($G139," ("),IFERROR(_xlpm.x,$G139))&amp;" EXT."),0)),"X")</f>
        <v>0</v>
      </c>
      <c r="K139" s="358">
        <v>-2653.4400000000005</v>
      </c>
      <c r="L139" s="358">
        <v>0</v>
      </c>
      <c r="M139" s="361">
        <f ca="1">IF(SUM(H139,K139,L139)=0,IF(SUM(I139,J139)&gt;0,1,0),1-SUM(PrvSty[[#This Row],[Real:SERRA]:[Real:EXT.]])/SUM(PrvSty[[#This Row],[AcumInt]:[AcumExt]]))</f>
        <v>1</v>
      </c>
      <c r="N139" s="360" t="s">
        <v>1739</v>
      </c>
      <c r="O139" s="358">
        <f>IF(OR(PrvSty[[#This Row],[DsvAbs:SERRA]]="X",PrvSty[[#This Row],[DsvAbs:SERRA]]=""),0,IF(PrvSty[[#This Row],[DesvTyp]]="Abs",PrvSty[[#This Row],[DsvAbs:SERRA]],PrvSty[[#This Row],[DsvAbs:SERRA]]*PrvSty[[#This Row],[Ppto]]))</f>
        <v>-2653.4400000000005</v>
      </c>
      <c r="P139" s="358">
        <f>IF(OR(PrvSty[[#This Row],[DsvAbs:EXT.]]="X",PrvSty[[#This Row],[DsvAbs:EXT.]]=""),0,IF(PrvSty[[#This Row],[DesvTyp]]="Abs",PrvSty[[#This Row],[DsvAbs:EXT.]],PrvSty[[#This Row],[DsvAbs:EXT.]]*PrvSty[[#This Row],[Ppto]]))</f>
        <v>0</v>
      </c>
      <c r="Q139" s="358" t="str" cm="1">
        <f t="array" aca="1" ref="Q139"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39" s="363" cm="1">
        <f t="array" aca="1" ref="R139"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19514.204708656864</v>
      </c>
      <c r="S139" s="363" cm="1">
        <f t="array" aca="1" ref="S139"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4413.156343873331</v>
      </c>
      <c r="T139" s="367" cm="1">
        <f t="array" ref="T139">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-57.175174654827245</v>
      </c>
      <c r="U139" s="367" cm="1">
        <f t="array" ref="U139">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39" s="358" t="s">
        <v>2104</v>
      </c>
    </row>
    <row r="140" spans="3:22">
      <c r="C140" s="392">
        <v>45670</v>
      </c>
      <c r="D140" s="357" t="s">
        <v>2114</v>
      </c>
      <c r="E140" s="393" t="s">
        <v>1415</v>
      </c>
      <c r="F140" s="359" t="s">
        <v>288</v>
      </c>
      <c r="G140" s="360" t="s">
        <v>1667</v>
      </c>
      <c r="H140" s="358" cm="1">
        <f t="array" ref="H140">IFERROR(SUM(_xlfn._xlws.FILTER(IF(MeSel="Ppto",PptoSty[CurPpto],PptoSty[CurInt]+PptoSty[CurExt]),(PptoSty[Project]=TEXT(PrvSty[[#This Row],[Project]],"@"))*(PptoSty[PptoVsRow]=PrvSty[[#This Row],[Row]])*(PptoSty[PptoVsColumn]=PrvSty[[#This Row],[Column]]),0)),"X")</f>
        <v>0</v>
      </c>
      <c r="I140" s="358" cm="1">
        <f t="array" ref="I140">IFERROR(SUM(_xlfn._xlws.FILTER(FrmBB1[Cur],(FrmBB1[PrjId]=TEXT($E140,"@"))*(FrmBB1[Cia]=$D140)*(FrmBB1[Row]=$F140)*(FrmBB1[Column]=_xlfn.LET(_xlpm.x,_xlfn.TEXTBEFORE($G140," ("),IFERROR(_xlpm.x,$G140))&amp;" SERRA"),0)),"X")</f>
        <v>0</v>
      </c>
      <c r="J140" s="358" cm="1">
        <f t="array" ref="J140">IFERROR(SUM(_xlfn._xlws.FILTER(FrmBB1[Cur],(FrmBB1[PrjId]=TEXT($E140,"@"))*(FrmBB1[Cia]=$D140)*(FrmBB1[Row]=$F140)*(FrmBB1[Column]=_xlfn.LET(_xlpm.x,_xlfn.TEXTBEFORE($G140," ("),IFERROR(_xlpm.x,$G140))&amp;" EXT."),0)),"X")</f>
        <v>4406</v>
      </c>
      <c r="K140" s="358">
        <v>0</v>
      </c>
      <c r="L140" s="358">
        <v>1490</v>
      </c>
      <c r="M140" s="361">
        <f ca="1">IF(SUM(H140,K140,L140)=0,IF(SUM(I140,J140)&gt;0,1,0),1-SUM(PrvSty[[#This Row],[Real:SERRA]:[Real:EXT.]])/SUM(PrvSty[[#This Row],[AcumInt]:[AcumExt]]))</f>
        <v>-0.13791322314049581</v>
      </c>
      <c r="N140" s="360" t="s">
        <v>1739</v>
      </c>
      <c r="O140" s="358">
        <f>IF(OR(PrvSty[[#This Row],[DsvAbs:SERRA]]="X",PrvSty[[#This Row],[DsvAbs:SERRA]]=""),0,IF(PrvSty[[#This Row],[DesvTyp]]="Abs",PrvSty[[#This Row],[DsvAbs:SERRA]],PrvSty[[#This Row],[DsvAbs:SERRA]]*PrvSty[[#This Row],[Ppto]]))</f>
        <v>0</v>
      </c>
      <c r="P140" s="358">
        <f>IF(OR(PrvSty[[#This Row],[DsvAbs:EXT.]]="X",PrvSty[[#This Row],[DsvAbs:EXT.]]=""),0,IF(PrvSty[[#This Row],[DesvTyp]]="Abs",PrvSty[[#This Row],[DsvAbs:EXT.]],PrvSty[[#This Row],[DsvAbs:EXT.]]*PrvSty[[#This Row],[Ppto]]))</f>
        <v>1490</v>
      </c>
      <c r="Q140" s="358" t="str" cm="1">
        <f t="array" aca="1" ref="Q140"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40" s="363" cm="1">
        <f t="array" aca="1" ref="R140"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40" s="363" cm="1">
        <f t="array" aca="1" ref="S140"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3872</v>
      </c>
      <c r="T140" s="367" cm="1">
        <f t="array" ref="T140">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40" s="367" cm="1">
        <f t="array" ref="U140">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22.927190394314231</v>
      </c>
      <c r="V140" s="358" t="s">
        <v>2105</v>
      </c>
    </row>
    <row r="141" spans="3:22">
      <c r="C141" s="392">
        <v>45670</v>
      </c>
      <c r="D141" s="357" t="s">
        <v>2114</v>
      </c>
      <c r="E141" s="393" t="s">
        <v>1415</v>
      </c>
      <c r="F141" s="359" t="s">
        <v>358</v>
      </c>
      <c r="G141" s="360" t="s">
        <v>389</v>
      </c>
      <c r="H141" s="358" cm="1">
        <f t="array" ref="H141">IFERROR(SUM(_xlfn._xlws.FILTER(IF(MeSel="Ppto",PptoSty[CurPpto],PptoSty[CurInt]+PptoSty[CurExt]),(PptoSty[Project]=TEXT(PrvSty[[#This Row],[Project]],"@"))*(PptoSty[PptoVsRow]=PrvSty[[#This Row],[Row]])*(PptoSty[PptoVsColumn]=PrvSty[[#This Row],[Column]]),0)),"X")</f>
        <v>0</v>
      </c>
      <c r="I141" s="358" cm="1">
        <f t="array" ref="I141">IFERROR(SUM(_xlfn._xlws.FILTER(FrmBB1[Cur],(FrmBB1[PrjId]=TEXT($E141,"@"))*(FrmBB1[Cia]=$D141)*(FrmBB1[Row]=$F141)*(FrmBB1[Column]=_xlfn.LET(_xlpm.x,_xlfn.TEXTBEFORE($G141," ("),IFERROR(_xlpm.x,$G141))&amp;" SERRA"),0)),"X")</f>
        <v>18321.84</v>
      </c>
      <c r="J141" s="358" cm="1">
        <f t="array" ref="J141">IFERROR(SUM(_xlfn._xlws.FILTER(FrmBB1[Cur],(FrmBB1[PrjId]=TEXT($E141,"@"))*(FrmBB1[Cia]=$D141)*(FrmBB1[Row]=$F141)*(FrmBB1[Column]=_xlfn.LET(_xlpm.x,_xlfn.TEXTBEFORE($G141," ("),IFERROR(_xlpm.x,$G141))&amp;" EXT."),0)),"X")</f>
        <v>0</v>
      </c>
      <c r="K141" s="358">
        <v>4935.74</v>
      </c>
      <c r="L141" s="360"/>
      <c r="M141" s="361">
        <f ca="1">IF(SUM(H141,K141,L141)=0,IF(SUM(I141,J141)&gt;0,1,0),1-SUM(PrvSty[[#This Row],[Real:SERRA]:[Real:EXT.]])/SUM(PrvSty[[#This Row],[AcumInt]:[AcumExt]]))</f>
        <v>-0.11039166465660699</v>
      </c>
      <c r="N141" s="360" t="s">
        <v>1739</v>
      </c>
      <c r="O141" s="358">
        <f>IF(OR(PrvSty[[#This Row],[DsvAbs:SERRA]]="X",PrvSty[[#This Row],[DsvAbs:SERRA]]=""),0,IF(PrvSty[[#This Row],[DesvTyp]]="Abs",PrvSty[[#This Row],[DsvAbs:SERRA]],PrvSty[[#This Row],[DsvAbs:SERRA]]*PrvSty[[#This Row],[Ppto]]))</f>
        <v>4935.74</v>
      </c>
      <c r="P141" s="358">
        <f>IF(OR(PrvSty[[#This Row],[DsvAbs:EXT.]]="X",PrvSty[[#This Row],[DsvAbs:EXT.]]=""),0,IF(PrvSty[[#This Row],[DesvTyp]]="Abs",PrvSty[[#This Row],[DsvAbs:EXT.]],PrvSty[[#This Row],[DsvAbs:EXT.]]*PrvSty[[#This Row],[Ppto]]))</f>
        <v>0</v>
      </c>
      <c r="Q141" s="358" t="str" cm="1">
        <f t="array" aca="1" ref="Q141"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41" s="363" cm="1">
        <f t="array" aca="1" ref="R141"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4935.74</v>
      </c>
      <c r="S141" s="363" cm="1">
        <f t="array" aca="1" ref="S141"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11564.6</v>
      </c>
      <c r="T141" s="367" cm="1">
        <f t="array" ref="T14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133.1465073275514</v>
      </c>
      <c r="U141" s="367" cm="1">
        <f t="array" ref="U14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41" s="358" t="s">
        <v>2104</v>
      </c>
    </row>
    <row r="142" spans="3:22">
      <c r="C142" s="392">
        <v>45670</v>
      </c>
      <c r="D142" s="357" t="s">
        <v>2114</v>
      </c>
      <c r="E142" s="393" t="s">
        <v>1415</v>
      </c>
      <c r="F142" s="359" t="s">
        <v>358</v>
      </c>
      <c r="G142" s="360" t="s">
        <v>387</v>
      </c>
      <c r="H142" s="358" cm="1">
        <f t="array" ref="H142">IFERROR(SUM(_xlfn._xlws.FILTER(IF(MeSel="Ppto",PptoSty[CurPpto],PptoSty[CurInt]+PptoSty[CurExt]),(PptoSty[Project]=TEXT(PrvSty[[#This Row],[Project]],"@"))*(PptoSty[PptoVsRow]=PrvSty[[#This Row],[Row]])*(PptoSty[PptoVsColumn]=PrvSty[[#This Row],[Column]]),0)),"X")</f>
        <v>68668.844164500013</v>
      </c>
      <c r="I142" s="358" cm="1">
        <f t="array" ref="I142">IFERROR(SUM(_xlfn._xlws.FILTER(FrmBB1[Cur],(FrmBB1[PrjId]=TEXT($E142,"@"))*(FrmBB1[Cia]=$D142)*(FrmBB1[Row]=$F142)*(FrmBB1[Column]=_xlfn.LET(_xlpm.x,_xlfn.TEXTBEFORE($G142," ("),IFERROR(_xlpm.x,$G142))&amp;" SERRA"),0)),"X")</f>
        <v>74664.240000000005</v>
      </c>
      <c r="J142" s="358" cm="1">
        <f t="array" ref="J142">IFERROR(SUM(_xlfn._xlws.FILTER(FrmBB1[Cur],(FrmBB1[PrjId]=TEXT($E142,"@"))*(FrmBB1[Cia]=$D142)*(FrmBB1[Row]=$F142)*(FrmBB1[Column]=_xlfn.LET(_xlpm.x,_xlfn.TEXTBEFORE($G142," ("),IFERROR(_xlpm.x,$G142))&amp;" EXT."),0)),"X")</f>
        <v>0</v>
      </c>
      <c r="K142" s="360">
        <v>6000</v>
      </c>
      <c r="L142" s="360">
        <v>0</v>
      </c>
      <c r="M142" s="361">
        <f ca="1">IF(SUM(H142,K142,L142)=0,IF(SUM(I142,J142)&gt;0,1,0),1-SUM(PrvSty[[#This Row],[Real:SERRA]:[Real:EXT.]])/SUM(PrvSty[[#This Row],[AcumInt]:[AcumExt]]))</f>
        <v>-0.25131031186324715</v>
      </c>
      <c r="N142" s="360" t="s">
        <v>1739</v>
      </c>
      <c r="O142" s="358">
        <f>IF(OR(PrvSty[[#This Row],[DsvAbs:SERRA]]="X",PrvSty[[#This Row],[DsvAbs:SERRA]]=""),0,IF(PrvSty[[#This Row],[DesvTyp]]="Abs",PrvSty[[#This Row],[DsvAbs:SERRA]],PrvSty[[#This Row],[DsvAbs:SERRA]]*PrvSty[[#This Row],[Ppto]]))</f>
        <v>6000</v>
      </c>
      <c r="P142" s="358">
        <f>IF(OR(PrvSty[[#This Row],[DsvAbs:EXT.]]="X",PrvSty[[#This Row],[DsvAbs:EXT.]]=""),0,IF(PrvSty[[#This Row],[DesvTyp]]="Abs",PrvSty[[#This Row],[DsvAbs:EXT.]],PrvSty[[#This Row],[DsvAbs:EXT.]]*PrvSty[[#This Row],[Ppto]]))</f>
        <v>0</v>
      </c>
      <c r="Q142" s="358" t="str" cm="1">
        <f t="array" aca="1" ref="Q142"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42" s="363" cm="1">
        <f t="array" aca="1" ref="R142"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59668.844164500013</v>
      </c>
      <c r="S142" s="363" cm="1">
        <f t="array" aca="1" ref="S142"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142" s="367" cm="1">
        <f t="array" ref="T142">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116.36403299303272</v>
      </c>
      <c r="U142" s="367" cm="1">
        <f t="array" ref="U142">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42" s="358" t="s">
        <v>2165</v>
      </c>
    </row>
    <row r="143" spans="3:22">
      <c r="C143" s="392">
        <v>45670</v>
      </c>
      <c r="D143" s="357" t="s">
        <v>2114</v>
      </c>
      <c r="E143" s="393" t="s">
        <v>1415</v>
      </c>
      <c r="F143" s="359" t="s">
        <v>362</v>
      </c>
      <c r="G143" s="360" t="s">
        <v>389</v>
      </c>
      <c r="H143" s="358" cm="1">
        <f t="array" ref="H143">IFERROR(SUM(_xlfn._xlws.FILTER(IF(MeSel="Ppto",PptoSty[CurPpto],PptoSty[CurInt]+PptoSty[CurExt]),(PptoSty[Project]=TEXT(PrvSty[[#This Row],[Project]],"@"))*(PptoSty[PptoVsRow]=PrvSty[[#This Row],[Row]])*(PptoSty[PptoVsColumn]=PrvSty[[#This Row],[Column]]),0)),"X")</f>
        <v>0</v>
      </c>
      <c r="I143" s="358" cm="1">
        <f t="array" ref="I143">IFERROR(SUM(_xlfn._xlws.FILTER(FrmBB1[Cur],(FrmBB1[PrjId]=TEXT($E143,"@"))*(FrmBB1[Cia]=$D143)*(FrmBB1[Row]=$F143)*(FrmBB1[Column]=_xlfn.LET(_xlpm.x,_xlfn.TEXTBEFORE($G143," ("),IFERROR(_xlpm.x,$G143))&amp;" SERRA"),0)),"X")</f>
        <v>0</v>
      </c>
      <c r="J143" s="358" cm="1">
        <f t="array" ref="J143">IFERROR(SUM(_xlfn._xlws.FILTER(FrmBB1[Cur],(FrmBB1[PrjId]=TEXT($E143,"@"))*(FrmBB1[Cia]=$D143)*(FrmBB1[Row]=$F143)*(FrmBB1[Column]=_xlfn.LET(_xlpm.x,_xlfn.TEXTBEFORE($G143," ("),IFERROR(_xlpm.x,$G143))&amp;" EXT."),0)),"X")</f>
        <v>2649.84</v>
      </c>
      <c r="K143" s="358">
        <v>2649.84</v>
      </c>
      <c r="L143" s="360">
        <v>0</v>
      </c>
      <c r="M143" s="361">
        <f ca="1">IF(SUM(H143,K143,L143)=0,IF(SUM(I143,J143)&gt;0,1,0),1-SUM(PrvSty[[#This Row],[Real:SERRA]:[Real:EXT.]])/SUM(PrvSty[[#This Row],[AcumInt]:[AcumExt]]))</f>
        <v>0</v>
      </c>
      <c r="N143" s="360" t="s">
        <v>1739</v>
      </c>
      <c r="O143" s="358">
        <f>IF(OR(PrvSty[[#This Row],[DsvAbs:SERRA]]="X",PrvSty[[#This Row],[DsvAbs:SERRA]]=""),0,IF(PrvSty[[#This Row],[DesvTyp]]="Abs",PrvSty[[#This Row],[DsvAbs:SERRA]],PrvSty[[#This Row],[DsvAbs:SERRA]]*PrvSty[[#This Row],[Ppto]]))</f>
        <v>2649.84</v>
      </c>
      <c r="P143" s="358">
        <f>IF(OR(PrvSty[[#This Row],[DsvAbs:EXT.]]="X",PrvSty[[#This Row],[DsvAbs:EXT.]]=""),0,IF(PrvSty[[#This Row],[DesvTyp]]="Abs",PrvSty[[#This Row],[DsvAbs:EXT.]],PrvSty[[#This Row],[DsvAbs:EXT.]]*PrvSty[[#This Row],[Ppto]]))</f>
        <v>0</v>
      </c>
      <c r="Q143" s="358" t="str" cm="1">
        <f t="array" aca="1" ref="Q143"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43" s="363" cm="1">
        <f t="array" aca="1" ref="R143"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2649.84</v>
      </c>
      <c r="S143" s="363" cm="1">
        <f t="array" aca="1" ref="S143"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143" s="367" cm="1">
        <f t="array" ref="T143">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71.482075833986158</v>
      </c>
      <c r="U143" s="367" cm="1">
        <f t="array" ref="U143">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43" s="358" t="s">
        <v>2149</v>
      </c>
    </row>
    <row r="144" spans="3:22">
      <c r="C144" s="392">
        <v>45670</v>
      </c>
      <c r="D144" s="357" t="s">
        <v>2114</v>
      </c>
      <c r="E144" s="393" t="s">
        <v>1415</v>
      </c>
      <c r="F144" s="359" t="s">
        <v>288</v>
      </c>
      <c r="G144" s="360" t="s">
        <v>389</v>
      </c>
      <c r="H144" s="358" cm="1">
        <f t="array" ref="H144">IFERROR(SUM(_xlfn._xlws.FILTER(IF(MeSel="Ppto",PptoSty[CurPpto],PptoSty[CurInt]+PptoSty[CurExt]),(PptoSty[Project]=TEXT(PrvSty[[#This Row],[Project]],"@"))*(PptoSty[PptoVsRow]=PrvSty[[#This Row],[Row]])*(PptoSty[PptoVsColumn]=PrvSty[[#This Row],[Column]]),0)),"X")</f>
        <v>0</v>
      </c>
      <c r="I144" s="358" cm="1">
        <f t="array" ref="I144">IFERROR(SUM(_xlfn._xlws.FILTER(FrmBB1[Cur],(FrmBB1[PrjId]=TEXT($E144,"@"))*(FrmBB1[Cia]=$D144)*(FrmBB1[Row]=$F144)*(FrmBB1[Column]=_xlfn.LET(_xlpm.x,_xlfn.TEXTBEFORE($G144," ("),IFERROR(_xlpm.x,$G144))&amp;" SERRA"),0)),"X")</f>
        <v>2222.23</v>
      </c>
      <c r="J144" s="358" cm="1">
        <f t="array" ref="J144">IFERROR(SUM(_xlfn._xlws.FILTER(FrmBB1[Cur],(FrmBB1[PrjId]=TEXT($E144,"@"))*(FrmBB1[Cia]=$D144)*(FrmBB1[Row]=$F144)*(FrmBB1[Column]=_xlfn.LET(_xlpm.x,_xlfn.TEXTBEFORE($G144," ("),IFERROR(_xlpm.x,$G144))&amp;" EXT."),0)),"X")</f>
        <v>0</v>
      </c>
      <c r="K144" s="358">
        <v>582.88</v>
      </c>
      <c r="L144" s="360">
        <v>0</v>
      </c>
      <c r="M144" s="361">
        <f ca="1">IF(SUM(H144,K144,L144)=0,IF(SUM(I144,J144)&gt;0,1,0),1-SUM(PrvSty[[#This Row],[Real:SERRA]:[Real:EXT.]])/SUM(PrvSty[[#This Row],[AcumInt]:[AcumExt]]))</f>
        <v>-2.8125</v>
      </c>
      <c r="N144" s="360" t="s">
        <v>1739</v>
      </c>
      <c r="O144" s="358">
        <f>IF(OR(PrvSty[[#This Row],[DsvAbs:SERRA]]="X",PrvSty[[#This Row],[DsvAbs:SERRA]]=""),0,IF(PrvSty[[#This Row],[DesvTyp]]="Abs",PrvSty[[#This Row],[DsvAbs:SERRA]],PrvSty[[#This Row],[DsvAbs:SERRA]]*PrvSty[[#This Row],[Ppto]]))</f>
        <v>582.88</v>
      </c>
      <c r="P144" s="358">
        <f>IF(OR(PrvSty[[#This Row],[DsvAbs:EXT.]]="X",PrvSty[[#This Row],[DsvAbs:EXT.]]=""),0,IF(PrvSty[[#This Row],[DesvTyp]]="Abs",PrvSty[[#This Row],[DsvAbs:EXT.]],PrvSty[[#This Row],[DsvAbs:EXT.]]*PrvSty[[#This Row],[Ppto]]))</f>
        <v>0</v>
      </c>
      <c r="Q144" s="358" t="str" cm="1">
        <f t="array" aca="1" ref="Q144"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44" s="363" cm="1">
        <f t="array" aca="1" ref="R144"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582.88</v>
      </c>
      <c r="S144" s="363" cm="1">
        <f t="array" aca="1" ref="S144"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144" s="367" cm="1">
        <f t="array" ref="T144">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15.723769118933163</v>
      </c>
      <c r="U144" s="367" cm="1">
        <f t="array" ref="U144">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44" s="358" t="s">
        <v>2104</v>
      </c>
    </row>
    <row r="145" spans="3:22">
      <c r="C145" s="392">
        <v>45670</v>
      </c>
      <c r="D145" s="357" t="s">
        <v>2114</v>
      </c>
      <c r="E145" s="393" t="s">
        <v>1415</v>
      </c>
      <c r="F145" s="359" t="s">
        <v>1285</v>
      </c>
      <c r="G145" s="360" t="s">
        <v>389</v>
      </c>
      <c r="H145" s="358" cm="1">
        <f t="array" ref="H145">IFERROR(SUM(_xlfn._xlws.FILTER(IF(MeSel="Ppto",PptoSty[CurPpto],PptoSty[CurInt]+PptoSty[CurExt]),(PptoSty[Project]=TEXT(PrvSty[[#This Row],[Project]],"@"))*(PptoSty[PptoVsRow]=PrvSty[[#This Row],[Row]])*(PptoSty[PptoVsColumn]=PrvSty[[#This Row],[Column]]),0)),"X")</f>
        <v>0</v>
      </c>
      <c r="I145" s="358" cm="1">
        <f t="array" ref="I145">IFERROR(SUM(_xlfn._xlws.FILTER(FrmBB1[Cur],(FrmBB1[PrjId]=TEXT($E145,"@"))*(FrmBB1[Cia]=$D145)*(FrmBB1[Row]=$F145)*(FrmBB1[Column]=_xlfn.LET(_xlpm.x,_xlfn.TEXTBEFORE($G145," ("),IFERROR(_xlpm.x,$G145))&amp;" SERRA"),0)),"X")</f>
        <v>1020.4</v>
      </c>
      <c r="J145" s="358" cm="1">
        <f t="array" ref="J145">IFERROR(SUM(_xlfn._xlws.FILTER(FrmBB1[Cur],(FrmBB1[PrjId]=TEXT($E145,"@"))*(FrmBB1[Cia]=$D145)*(FrmBB1[Row]=$F145)*(FrmBB1[Column]=_xlfn.LET(_xlpm.x,_xlfn.TEXTBEFORE($G145," ("),IFERROR(_xlpm.x,$G145))&amp;" EXT."),0)),"X")</f>
        <v>0</v>
      </c>
      <c r="K145" s="358">
        <v>1020.04</v>
      </c>
      <c r="L145" s="360">
        <v>0</v>
      </c>
      <c r="M145" s="361">
        <f ca="1">IF(SUM(H145,K145,L145)=0,IF(SUM(I145,J145)&gt;0,1,0),1-SUM(PrvSty[[#This Row],[Real:SERRA]:[Real:EXT.]])/SUM(PrvSty[[#This Row],[AcumInt]:[AcumExt]]))</f>
        <v>-3.5292733618286221E-4</v>
      </c>
      <c r="N145" s="360" t="s">
        <v>1739</v>
      </c>
      <c r="O145" s="358">
        <f>IF(OR(PrvSty[[#This Row],[DsvAbs:SERRA]]="X",PrvSty[[#This Row],[DsvAbs:SERRA]]=""),0,IF(PrvSty[[#This Row],[DesvTyp]]="Abs",PrvSty[[#This Row],[DsvAbs:SERRA]],PrvSty[[#This Row],[DsvAbs:SERRA]]*PrvSty[[#This Row],[Ppto]]))</f>
        <v>1020.04</v>
      </c>
      <c r="P145" s="358">
        <f>IF(OR(PrvSty[[#This Row],[DsvAbs:EXT.]]="X",PrvSty[[#This Row],[DsvAbs:EXT.]]=""),0,IF(PrvSty[[#This Row],[DesvTyp]]="Abs",PrvSty[[#This Row],[DsvAbs:EXT.]],PrvSty[[#This Row],[DsvAbs:EXT.]]*PrvSty[[#This Row],[Ppto]]))</f>
        <v>0</v>
      </c>
      <c r="Q145" s="358" t="str" cm="1">
        <f t="array" aca="1" ref="Q145"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45" s="363" cm="1">
        <f t="array" aca="1" ref="R145"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1020.04</v>
      </c>
      <c r="S145" s="363" cm="1">
        <f t="array" aca="1" ref="S145"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145" s="367" cm="1">
        <f t="array" ref="T145">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27.516595958133035</v>
      </c>
      <c r="U145" s="367" cm="1">
        <f t="array" ref="U145">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45" s="358" t="s">
        <v>2104</v>
      </c>
    </row>
    <row r="146" spans="3:22">
      <c r="C146" s="392">
        <v>45670</v>
      </c>
      <c r="D146" s="357" t="s">
        <v>2114</v>
      </c>
      <c r="E146" s="393" t="s">
        <v>1415</v>
      </c>
      <c r="F146" s="359" t="s">
        <v>298</v>
      </c>
      <c r="G146" s="360" t="s">
        <v>1670</v>
      </c>
      <c r="H146" s="358" cm="1">
        <f t="array" ref="H146">IFERROR(SUM(_xlfn._xlws.FILTER(IF(MeSel="Ppto",PptoSty[CurPpto],PptoSty[CurInt]+PptoSty[CurExt]),(PptoSty[Project]=TEXT(PrvSty[[#This Row],[Project]],"@"))*(PptoSty[PptoVsRow]=PrvSty[[#This Row],[Row]])*(PptoSty[PptoVsColumn]=PrvSty[[#This Row],[Column]]),0)),"X")</f>
        <v>0</v>
      </c>
      <c r="I146" s="358" cm="1">
        <f t="array" ref="I146">IFERROR(SUM(_xlfn._xlws.FILTER(FrmBB1[Cur],(FrmBB1[PrjId]=TEXT($E146,"@"))*(FrmBB1[Cia]=$D146)*(FrmBB1[Row]=$F146)*(FrmBB1[Column]=_xlfn.LET(_xlpm.x,_xlfn.TEXTBEFORE($G146," ("),IFERROR(_xlpm.x,$G146))&amp;" SERRA"),0)),"X")</f>
        <v>0</v>
      </c>
      <c r="J146" s="358" cm="1">
        <f t="array" ref="J146">IFERROR(SUM(_xlfn._xlws.FILTER(FrmBB1[Cur],(FrmBB1[PrjId]=TEXT($E146,"@"))*(FrmBB1[Cia]=$D146)*(FrmBB1[Row]=$F146)*(FrmBB1[Column]=_xlfn.LET(_xlpm.x,_xlfn.TEXTBEFORE($G146," ("),IFERROR(_xlpm.x,$G146))&amp;" EXT."),0)),"X")</f>
        <v>3285.71</v>
      </c>
      <c r="K146" s="360">
        <v>0</v>
      </c>
      <c r="L146" s="358">
        <v>312.75999999999976</v>
      </c>
      <c r="M146" s="361">
        <f ca="1">IF(SUM(H146,K146,L146)=0,IF(SUM(I146,J146)&gt;0,1,0),1-SUM(PrvSty[[#This Row],[Real:SERRA]:[Real:EXT.]])/SUM(PrvSty[[#This Row],[AcumInt]:[AcumExt]]))</f>
        <v>-2.424297212541382E-2</v>
      </c>
      <c r="N146" s="360" t="s">
        <v>1739</v>
      </c>
      <c r="O146" s="358">
        <f>IF(OR(PrvSty[[#This Row],[DsvAbs:SERRA]]="X",PrvSty[[#This Row],[DsvAbs:SERRA]]=""),0,IF(PrvSty[[#This Row],[DesvTyp]]="Abs",PrvSty[[#This Row],[DsvAbs:SERRA]],PrvSty[[#This Row],[DsvAbs:SERRA]]*PrvSty[[#This Row],[Ppto]]))</f>
        <v>0</v>
      </c>
      <c r="P146" s="358">
        <f>IF(OR(PrvSty[[#This Row],[DsvAbs:EXT.]]="X",PrvSty[[#This Row],[DsvAbs:EXT.]]=""),0,IF(PrvSty[[#This Row],[DesvTyp]]="Abs",PrvSty[[#This Row],[DsvAbs:EXT.]],PrvSty[[#This Row],[DsvAbs:EXT.]]*PrvSty[[#This Row],[Ppto]]))</f>
        <v>312.75999999999976</v>
      </c>
      <c r="Q146" s="358" t="str" cm="1">
        <f t="array" aca="1" ref="Q146"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46" s="363" cm="1">
        <f t="array" aca="1" ref="R146"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46" s="363" cm="1">
        <f t="array" aca="1" ref="S146"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3207.94</v>
      </c>
      <c r="T146" s="367" cm="1">
        <f t="array" ref="T146">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46" s="367" cm="1">
        <f t="array" ref="U146">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46" s="358" t="s">
        <v>2166</v>
      </c>
    </row>
    <row r="147" spans="3:22">
      <c r="C147" s="392">
        <v>45670</v>
      </c>
      <c r="D147" s="357" t="s">
        <v>2114</v>
      </c>
      <c r="E147" s="393" t="s">
        <v>1415</v>
      </c>
      <c r="F147" s="359" t="s">
        <v>362</v>
      </c>
      <c r="G147" s="360" t="s">
        <v>385</v>
      </c>
      <c r="H147" s="358" cm="1">
        <f t="array" ref="H147">IFERROR(SUM(_xlfn._xlws.FILTER(IF(MeSel="Ppto",PptoSty[CurPpto],PptoSty[CurInt]+PptoSty[CurExt]),(PptoSty[Project]=TEXT(PrvSty[[#This Row],[Project]],"@"))*(PptoSty[PptoVsRow]=PrvSty[[#This Row],[Row]])*(PptoSty[PptoVsColumn]=PrvSty[[#This Row],[Column]]),0)),"X")</f>
        <v>0</v>
      </c>
      <c r="I147" s="358" cm="1">
        <f t="array" ref="I147">IFERROR(SUM(_xlfn._xlws.FILTER(FrmBB1[Cur],(FrmBB1[PrjId]=TEXT($E147,"@"))*(FrmBB1[Cia]=$D147)*(FrmBB1[Row]=$F147)*(FrmBB1[Column]=_xlfn.LET(_xlpm.x,_xlfn.TEXTBEFORE($G147," ("),IFERROR(_xlpm.x,$G147))&amp;" SERRA"),0)),"X")</f>
        <v>0</v>
      </c>
      <c r="J147" s="358" cm="1">
        <f t="array" ref="J147">IFERROR(SUM(_xlfn._xlws.FILTER(FrmBB1[Cur],(FrmBB1[PrjId]=TEXT($E147,"@"))*(FrmBB1[Cia]=$D147)*(FrmBB1[Row]=$F147)*(FrmBB1[Column]=_xlfn.LET(_xlpm.x,_xlfn.TEXTBEFORE($G147," ("),IFERROR(_xlpm.x,$G147))&amp;" EXT."),0)),"X")</f>
        <v>305.83</v>
      </c>
      <c r="K147" s="360">
        <v>0</v>
      </c>
      <c r="L147" s="358">
        <v>11.1</v>
      </c>
      <c r="M147" s="361">
        <f ca="1">IF(SUM(H147,K147,L147)=0,IF(SUM(I147,J147)&gt;0,1,0),1-SUM(PrvSty[[#This Row],[Real:SERRA]:[Real:EXT.]])/SUM(PrvSty[[#This Row],[AcumInt]:[AcumExt]]))</f>
        <v>-26.552252252252252</v>
      </c>
      <c r="N147" s="360" t="s">
        <v>1739</v>
      </c>
      <c r="O147" s="358">
        <f>IF(OR(PrvSty[[#This Row],[DsvAbs:SERRA]]="X",PrvSty[[#This Row],[DsvAbs:SERRA]]=""),0,IF(PrvSty[[#This Row],[DesvTyp]]="Abs",PrvSty[[#This Row],[DsvAbs:SERRA]],PrvSty[[#This Row],[DsvAbs:SERRA]]*PrvSty[[#This Row],[Ppto]]))</f>
        <v>0</v>
      </c>
      <c r="P147" s="358">
        <f>IF(OR(PrvSty[[#This Row],[DsvAbs:EXT.]]="X",PrvSty[[#This Row],[DsvAbs:EXT.]]=""),0,IF(PrvSty[[#This Row],[DesvTyp]]="Abs",PrvSty[[#This Row],[DsvAbs:EXT.]],PrvSty[[#This Row],[DsvAbs:EXT.]]*PrvSty[[#This Row],[Ppto]]))</f>
        <v>11.1</v>
      </c>
      <c r="Q147" s="358" t="str" cm="1">
        <f t="array" aca="1" ref="Q147"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47" s="363" cm="1">
        <f t="array" aca="1" ref="R147"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47" s="363" cm="1">
        <f t="array" aca="1" ref="S147"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11.1</v>
      </c>
      <c r="T147" s="367" cm="1">
        <f t="array" ref="T147">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47" s="367" cm="1">
        <f t="array" ref="U147">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47" s="358" t="s">
        <v>2149</v>
      </c>
    </row>
    <row r="148" spans="3:22">
      <c r="C148" s="392">
        <v>45670</v>
      </c>
      <c r="D148" s="357" t="s">
        <v>2114</v>
      </c>
      <c r="E148" s="393" t="s">
        <v>1415</v>
      </c>
      <c r="F148" s="359" t="s">
        <v>362</v>
      </c>
      <c r="G148" s="360" t="s">
        <v>1670</v>
      </c>
      <c r="H148" s="358" cm="1">
        <f t="array" ref="H148">IFERROR(SUM(_xlfn._xlws.FILTER(IF(MeSel="Ppto",PptoSty[CurPpto],PptoSty[CurInt]+PptoSty[CurExt]),(PptoSty[Project]=TEXT(PrvSty[[#This Row],[Project]],"@"))*(PptoSty[PptoVsRow]=PrvSty[[#This Row],[Row]])*(PptoSty[PptoVsColumn]=PrvSty[[#This Row],[Column]]),0)),"X")</f>
        <v>0</v>
      </c>
      <c r="I148" s="358" cm="1">
        <f t="array" ref="I148">IFERROR(SUM(_xlfn._xlws.FILTER(FrmBB1[Cur],(FrmBB1[PrjId]=TEXT($E148,"@"))*(FrmBB1[Cia]=$D148)*(FrmBB1[Row]=$F148)*(FrmBB1[Column]=_xlfn.LET(_xlpm.x,_xlfn.TEXTBEFORE($G148," ("),IFERROR(_xlpm.x,$G148))&amp;" SERRA"),0)),"X")</f>
        <v>0</v>
      </c>
      <c r="J148" s="358" cm="1">
        <f t="array" ref="J148">IFERROR(SUM(_xlfn._xlws.FILTER(FrmBB1[Cur],(FrmBB1[PrjId]=TEXT($E148,"@"))*(FrmBB1[Cia]=$D148)*(FrmBB1[Row]=$F148)*(FrmBB1[Column]=_xlfn.LET(_xlpm.x,_xlfn.TEXTBEFORE($G148," ("),IFERROR(_xlpm.x,$G148))&amp;" EXT."),0)),"X")</f>
        <v>7328.7699999999995</v>
      </c>
      <c r="K148" s="360">
        <v>0</v>
      </c>
      <c r="L148" s="358">
        <v>8.8800000000001091</v>
      </c>
      <c r="M148" s="361">
        <f ca="1">IF(SUM(H148,K148,L148)=0,IF(SUM(I148,J148)&gt;0,1,0),1-SUM(PrvSty[[#This Row],[Real:SERRA]:[Real:EXT.]])/SUM(PrvSty[[#This Row],[AcumInt]:[AcumExt]]))</f>
        <v>-1.9179930049993965E-2</v>
      </c>
      <c r="N148" s="360" t="s">
        <v>1739</v>
      </c>
      <c r="O148" s="358">
        <f>IF(OR(PrvSty[[#This Row],[DsvAbs:SERRA]]="X",PrvSty[[#This Row],[DsvAbs:SERRA]]=""),0,IF(PrvSty[[#This Row],[DesvTyp]]="Abs",PrvSty[[#This Row],[DsvAbs:SERRA]],PrvSty[[#This Row],[DsvAbs:SERRA]]*PrvSty[[#This Row],[Ppto]]))</f>
        <v>0</v>
      </c>
      <c r="P148" s="358">
        <f>IF(OR(PrvSty[[#This Row],[DsvAbs:EXT.]]="X",PrvSty[[#This Row],[DsvAbs:EXT.]]=""),0,IF(PrvSty[[#This Row],[DesvTyp]]="Abs",PrvSty[[#This Row],[DsvAbs:EXT.]],PrvSty[[#This Row],[DsvAbs:EXT.]]*PrvSty[[#This Row],[Ppto]]))</f>
        <v>8.8800000000001091</v>
      </c>
      <c r="Q148" s="358" t="str" cm="1">
        <f t="array" aca="1" ref="Q148"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48" s="363" cm="1">
        <f t="array" aca="1" ref="R148"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48" s="363" cm="1">
        <f t="array" aca="1" ref="S148"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7190.85</v>
      </c>
      <c r="T148" s="367" cm="1">
        <f t="array" ref="T148">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48" s="367" cm="1">
        <f t="array" ref="U148">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48" s="358" t="s">
        <v>2149</v>
      </c>
    </row>
    <row r="149" spans="3:22">
      <c r="C149" s="392">
        <v>45670</v>
      </c>
      <c r="D149" s="357" t="s">
        <v>2114</v>
      </c>
      <c r="E149" s="393" t="s">
        <v>1415</v>
      </c>
      <c r="F149" s="359" t="s">
        <v>368</v>
      </c>
      <c r="G149" s="360" t="s">
        <v>1275</v>
      </c>
      <c r="H149" s="358" cm="1">
        <f t="array" ref="H149">IFERROR(SUM(_xlfn._xlws.FILTER(IF(MeSel="Ppto",PptoSty[CurPpto],PptoSty[CurInt]+PptoSty[CurExt]),(PptoSty[Project]=TEXT(PrvSty[[#This Row],[Project]],"@"))*(PptoSty[PptoVsRow]=PrvSty[[#This Row],[Row]])*(PptoSty[PptoVsColumn]=PrvSty[[#This Row],[Column]]),0)),"X")</f>
        <v>0</v>
      </c>
      <c r="I149" s="358" cm="1">
        <f t="array" ref="I149">IFERROR(SUM(_xlfn._xlws.FILTER(FrmBB1[Cur],(FrmBB1[PrjId]=TEXT($E149,"@"))*(FrmBB1[Cia]=$D149)*(FrmBB1[Row]=$F149)*(FrmBB1[Column]=_xlfn.LET(_xlpm.x,_xlfn.TEXTBEFORE($G149," ("),IFERROR(_xlpm.x,$G149))&amp;" SERRA"),0)),"X")</f>
        <v>0</v>
      </c>
      <c r="J149" s="358" cm="1">
        <f t="array" ref="J149">IFERROR(SUM(_xlfn._xlws.FILTER(FrmBB1[Cur],(FrmBB1[PrjId]=TEXT($E149,"@"))*(FrmBB1[Cia]=$D149)*(FrmBB1[Row]=$F149)*(FrmBB1[Column]=_xlfn.LET(_xlpm.x,_xlfn.TEXTBEFORE($G149," ("),IFERROR(_xlpm.x,$G149))&amp;" EXT."),0)),"X")</f>
        <v>36132.57</v>
      </c>
      <c r="K149" s="360">
        <v>0</v>
      </c>
      <c r="L149" s="358">
        <v>982.56999999999971</v>
      </c>
      <c r="M149" s="361">
        <f ca="1">IF(SUM(H149,K149,L149)=0,IF(SUM(I149,J149)&gt;0,1,0),1-SUM(PrvSty[[#This Row],[Real:SERRA]:[Real:EXT.]])/SUM(PrvSty[[#This Row],[AcumInt]:[AcumExt]]))</f>
        <v>0</v>
      </c>
      <c r="N149" s="360" t="s">
        <v>1739</v>
      </c>
      <c r="O149" s="358">
        <f>IF(OR(PrvSty[[#This Row],[DsvAbs:SERRA]]="X",PrvSty[[#This Row],[DsvAbs:SERRA]]=""),0,IF(PrvSty[[#This Row],[DesvTyp]]="Abs",PrvSty[[#This Row],[DsvAbs:SERRA]],PrvSty[[#This Row],[DsvAbs:SERRA]]*PrvSty[[#This Row],[Ppto]]))</f>
        <v>0</v>
      </c>
      <c r="P149" s="358">
        <f>IF(OR(PrvSty[[#This Row],[DsvAbs:EXT.]]="X",PrvSty[[#This Row],[DsvAbs:EXT.]]=""),0,IF(PrvSty[[#This Row],[DesvTyp]]="Abs",PrvSty[[#This Row],[DsvAbs:EXT.]],PrvSty[[#This Row],[DsvAbs:EXT.]]*PrvSty[[#This Row],[Ppto]]))</f>
        <v>982.56999999999971</v>
      </c>
      <c r="Q149" s="358" t="str" cm="1">
        <f t="array" aca="1" ref="Q149"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49" s="363" cm="1">
        <f t="array" aca="1" ref="R149"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49" s="363" cm="1">
        <f t="array" aca="1" ref="S149"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36132.57</v>
      </c>
      <c r="T149" s="367" cm="1">
        <f t="array" ref="T149">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49" s="367" cm="1">
        <f t="array" ref="U149">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49" s="358" t="s">
        <v>2149</v>
      </c>
    </row>
    <row r="150" spans="3:22">
      <c r="C150" s="392">
        <v>45670</v>
      </c>
      <c r="D150" s="357" t="s">
        <v>2114</v>
      </c>
      <c r="E150" s="393" t="s">
        <v>1415</v>
      </c>
      <c r="F150" s="359" t="s">
        <v>1475</v>
      </c>
      <c r="G150" s="360" t="s">
        <v>1670</v>
      </c>
      <c r="H150" s="358" cm="1">
        <f t="array" ref="H150">IFERROR(SUM(_xlfn._xlws.FILTER(IF(MeSel="Ppto",PptoSty[CurPpto],PptoSty[CurInt]+PptoSty[CurExt]),(PptoSty[Project]=TEXT(PrvSty[[#This Row],[Project]],"@"))*(PptoSty[PptoVsRow]=PrvSty[[#This Row],[Row]])*(PptoSty[PptoVsColumn]=PrvSty[[#This Row],[Column]]),0)),"X")</f>
        <v>0</v>
      </c>
      <c r="I150" s="358" cm="1">
        <f t="array" ref="I150">IFERROR(SUM(_xlfn._xlws.FILTER(FrmBB1[Cur],(FrmBB1[PrjId]=TEXT($E150,"@"))*(FrmBB1[Cia]=$D150)*(FrmBB1[Row]=$F150)*(FrmBB1[Column]=_xlfn.LET(_xlpm.x,_xlfn.TEXTBEFORE($G150," ("),IFERROR(_xlpm.x,$G150))&amp;" SERRA"),0)),"X")</f>
        <v>0</v>
      </c>
      <c r="J150" s="358" cm="1">
        <f t="array" ref="J150">IFERROR(SUM(_xlfn._xlws.FILTER(FrmBB1[Cur],(FrmBB1[PrjId]=TEXT($E150,"@"))*(FrmBB1[Cia]=$D150)*(FrmBB1[Row]=$F150)*(FrmBB1[Column]=_xlfn.LET(_xlpm.x,_xlfn.TEXTBEFORE($G150," ("),IFERROR(_xlpm.x,$G150))&amp;" EXT."),0)),"X")</f>
        <v>10452.9</v>
      </c>
      <c r="K150" s="360">
        <v>0</v>
      </c>
      <c r="L150" s="358">
        <v>464.48999999999978</v>
      </c>
      <c r="M150" s="361">
        <f ca="1">IF(SUM(H150,K150,L150)=0,IF(SUM(I150,J150)&gt;0,1,0),1-SUM(PrvSty[[#This Row],[Real:SERRA]:[Real:EXT.]])/SUM(PrvSty[[#This Row],[AcumInt]:[AcumExt]]))</f>
        <v>-8.2456131267054422E-2</v>
      </c>
      <c r="N150" s="360" t="s">
        <v>1739</v>
      </c>
      <c r="O150" s="358">
        <f>IF(OR(PrvSty[[#This Row],[DsvAbs:SERRA]]="X",PrvSty[[#This Row],[DsvAbs:SERRA]]=""),0,IF(PrvSty[[#This Row],[DesvTyp]]="Abs",PrvSty[[#This Row],[DsvAbs:SERRA]],PrvSty[[#This Row],[DsvAbs:SERRA]]*PrvSty[[#This Row],[Ppto]]))</f>
        <v>0</v>
      </c>
      <c r="P150" s="358">
        <f>IF(OR(PrvSty[[#This Row],[DsvAbs:EXT.]]="X",PrvSty[[#This Row],[DsvAbs:EXT.]]=""),0,IF(PrvSty[[#This Row],[DesvTyp]]="Abs",PrvSty[[#This Row],[DsvAbs:EXT.]],PrvSty[[#This Row],[DsvAbs:EXT.]]*PrvSty[[#This Row],[Ppto]]))</f>
        <v>464.48999999999978</v>
      </c>
      <c r="Q150" s="358" t="str" cm="1">
        <f t="array" aca="1" ref="Q150"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50" s="363" cm="1">
        <f t="array" aca="1" ref="R150"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50" s="363" cm="1">
        <f t="array" aca="1" ref="S150"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9656.65</v>
      </c>
      <c r="T150" s="367" cm="1">
        <f t="array" ref="T150">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50" s="367" cm="1">
        <f t="array" ref="U150">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50" s="358" t="s">
        <v>2149</v>
      </c>
    </row>
    <row r="151" spans="3:22">
      <c r="C151" s="392">
        <v>45670</v>
      </c>
      <c r="D151" s="357" t="s">
        <v>2114</v>
      </c>
      <c r="E151" s="393" t="s">
        <v>1415</v>
      </c>
      <c r="F151" s="359" t="s">
        <v>1475</v>
      </c>
      <c r="G151" s="360" t="s">
        <v>1275</v>
      </c>
      <c r="H151" s="358" cm="1">
        <f t="array" ref="H151">IFERROR(SUM(_xlfn._xlws.FILTER(IF(MeSel="Ppto",PptoSty[CurPpto],PptoSty[CurInt]+PptoSty[CurExt]),(PptoSty[Project]=TEXT(PrvSty[[#This Row],[Project]],"@"))*(PptoSty[PptoVsRow]=PrvSty[[#This Row],[Row]])*(PptoSty[PptoVsColumn]=PrvSty[[#This Row],[Column]]),0)),"X")</f>
        <v>110165.53000000001</v>
      </c>
      <c r="I151" s="358" cm="1">
        <f t="array" ref="I151">IFERROR(SUM(_xlfn._xlws.FILTER(FrmBB1[Cur],(FrmBB1[PrjId]=TEXT($E151,"@"))*(FrmBB1[Cia]=$D151)*(FrmBB1[Row]=$F151)*(FrmBB1[Column]=_xlfn.LET(_xlpm.x,_xlfn.TEXTBEFORE($G151," ("),IFERROR(_xlpm.x,$G151))&amp;" SERRA"),0)),"X")</f>
        <v>0</v>
      </c>
      <c r="J151" s="358" cm="1">
        <f t="array" ref="J151">IFERROR(SUM(_xlfn._xlws.FILTER(FrmBB1[Cur],(FrmBB1[PrjId]=TEXT($E151,"@"))*(FrmBB1[Cia]=$D151)*(FrmBB1[Row]=$F151)*(FrmBB1[Column]=_xlfn.LET(_xlpm.x,_xlfn.TEXTBEFORE($G151," ("),IFERROR(_xlpm.x,$G151))&amp;" EXT."),0)),"X")</f>
        <v>110462.9</v>
      </c>
      <c r="K151" s="360">
        <v>0</v>
      </c>
      <c r="L151" s="358">
        <v>99.349999999991269</v>
      </c>
      <c r="M151" s="361">
        <f ca="1">IF(SUM(H151,K151,L151)=0,IF(SUM(I151,J151)&gt;0,1,0),1-SUM(PrvSty[[#This Row],[Real:SERRA]:[Real:EXT.]])/SUM(PrvSty[[#This Row],[AcumInt]:[AcumExt]]))</f>
        <v>-1.7958573935779043E-3</v>
      </c>
      <c r="N151" s="360" t="s">
        <v>1739</v>
      </c>
      <c r="O151" s="358">
        <f>IF(OR(PrvSty[[#This Row],[DsvAbs:SERRA]]="X",PrvSty[[#This Row],[DsvAbs:SERRA]]=""),0,IF(PrvSty[[#This Row],[DesvTyp]]="Abs",PrvSty[[#This Row],[DsvAbs:SERRA]],PrvSty[[#This Row],[DsvAbs:SERRA]]*PrvSty[[#This Row],[Ppto]]))</f>
        <v>0</v>
      </c>
      <c r="P151" s="358">
        <f>IF(OR(PrvSty[[#This Row],[DsvAbs:EXT.]]="X",PrvSty[[#This Row],[DsvAbs:EXT.]]=""),0,IF(PrvSty[[#This Row],[DesvTyp]]="Abs",PrvSty[[#This Row],[DsvAbs:EXT.]],PrvSty[[#This Row],[DsvAbs:EXT.]]*PrvSty[[#This Row],[Ppto]]))</f>
        <v>99.349999999991269</v>
      </c>
      <c r="Q151" s="358" t="str" cm="1">
        <f t="array" aca="1" ref="Q151"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51" s="363" cm="1">
        <f t="array" aca="1" ref="R151"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51" s="363" cm="1">
        <f t="array" aca="1" ref="S151"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110264.88</v>
      </c>
      <c r="T151" s="367" cm="1">
        <f t="array" ref="T15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51" s="367" cm="1">
        <f t="array" ref="U15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51" s="358" t="s">
        <v>2149</v>
      </c>
    </row>
    <row r="152" spans="3:22">
      <c r="C152" s="399">
        <v>45670</v>
      </c>
      <c r="D152" s="357" t="s">
        <v>2114</v>
      </c>
      <c r="E152" s="400" t="s">
        <v>1415</v>
      </c>
      <c r="F152" s="359" t="s">
        <v>1243</v>
      </c>
      <c r="G152" s="360" t="s">
        <v>386</v>
      </c>
      <c r="H152" s="358" cm="1">
        <f t="array" aca="1" ref="H152" ca="1">IFERROR(SUM(_xlfn._xlws.FILTER(IF(MeSel="Ppto",PptoSty[CurPpto],PptoSty[CurInt]+PptoSty[CurExt]),(PptoSty[Project]=TEXT(PrvSty[[#This Row],[Project]],"@"))*(PptoSty[PptoVsRow]=PrvSty[[#This Row],[Row]])*(PptoSty[PptoVsColumn]=PrvSty[[#This Row],[Column]]),0)),"X")</f>
        <v>0</v>
      </c>
      <c r="I152" s="358" cm="1">
        <f t="array" ref="I152">IFERROR(SUM(_xlfn._xlws.FILTER(FrmBB1[Cur],(FrmBB1[PrjId]=TEXT($E152,"@"))*(FrmBB1[Cia]=$D152)*(FrmBB1[Row]=$F152)*(FrmBB1[Column]=_xlfn.LET(_xlpm.x,_xlfn.TEXTBEFORE($G152," ("),IFERROR(_xlpm.x,$G152))&amp;" SERRA"),0)),"X")</f>
        <v>58825.090000000011</v>
      </c>
      <c r="J152" s="358" cm="1">
        <f t="array" ref="J152">IFERROR(SUM(_xlfn._xlws.FILTER(FrmBB1[Cur],(FrmBB1[PrjId]=TEXT($E152,"@"))*(FrmBB1[Cia]=$D152)*(FrmBB1[Row]=$F152)*(FrmBB1[Column]=_xlfn.LET(_xlpm.x,_xlfn.TEXTBEFORE($G152," ("),IFERROR(_xlpm.x,$G152))&amp;" EXT."),0)),"X")</f>
        <v>0</v>
      </c>
      <c r="K152" s="358">
        <v>49045.149400000002</v>
      </c>
      <c r="L152" s="360"/>
      <c r="M152" s="361">
        <f ca="1">IF(SUM(H152,K152,L152)=0,IF(SUM(I152,J152)&gt;0,1,0),1-SUM(PrvSty[[#This Row],[Real:SERRA]:[Real:EXT.]])/SUM(PrvSty[[#This Row],[AcumInt]:[AcumExt]]))</f>
        <v>0</v>
      </c>
      <c r="N152" s="360" t="s">
        <v>1739</v>
      </c>
      <c r="O152" s="358">
        <f>IF(OR(PrvSty[[#This Row],[DsvAbs:SERRA]]="X",PrvSty[[#This Row],[DsvAbs:SERRA]]=""),0,IF(PrvSty[[#This Row],[DesvTyp]]="Abs",PrvSty[[#This Row],[DsvAbs:SERRA]],PrvSty[[#This Row],[DsvAbs:SERRA]]*PrvSty[[#This Row],[Ppto]]))</f>
        <v>49045.149400000002</v>
      </c>
      <c r="P152" s="358">
        <f>IF(OR(PrvSty[[#This Row],[DsvAbs:EXT.]]="X",PrvSty[[#This Row],[DsvAbs:EXT.]]=""),0,IF(PrvSty[[#This Row],[DesvTyp]]="Abs",PrvSty[[#This Row],[DsvAbs:EXT.]],PrvSty[[#This Row],[DsvAbs:EXT.]]*PrvSty[[#This Row],[Ppto]]))</f>
        <v>0</v>
      </c>
      <c r="Q152" s="358" t="str" cm="1">
        <f t="array" aca="1" ref="Q152"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52" s="363" cm="1">
        <f t="array" aca="1" ref="R152"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58825.090000000011</v>
      </c>
      <c r="S152" s="363" cm="1">
        <f t="array" aca="1" ref="S152"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152" s="367" cm="1">
        <f t="array" ref="T152">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52" s="367" cm="1">
        <f t="array" ref="U152">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52" s="358" t="s">
        <v>2167</v>
      </c>
    </row>
    <row r="153" spans="3:22">
      <c r="C153" s="399">
        <v>45670</v>
      </c>
      <c r="D153" s="357" t="s">
        <v>2114</v>
      </c>
      <c r="E153" s="400" t="s">
        <v>1415</v>
      </c>
      <c r="F153" s="69" t="s">
        <v>1410</v>
      </c>
      <c r="G153" s="21" t="s">
        <v>1670</v>
      </c>
      <c r="H153" s="358" cm="1">
        <f t="array" ref="H153">IFERROR(SUM(_xlfn._xlws.FILTER(IF(MeSel="Ppto",PptoSty[CurPpto],PptoSty[CurInt]+PptoSty[CurExt]),(PptoSty[Project]=TEXT(PrvSty[[#This Row],[Project]],"@"))*(PptoSty[PptoVsRow]=PrvSty[[#This Row],[Row]])*(PptoSty[PptoVsColumn]=PrvSty[[#This Row],[Column]]),0)),"X")</f>
        <v>0</v>
      </c>
      <c r="I153" s="358" cm="1">
        <f t="array" ref="I153">IFERROR(SUM(_xlfn._xlws.FILTER(FrmBB1[Cur],(FrmBB1[PrjId]=TEXT($E153,"@"))*(FrmBB1[Cia]=$D153)*(FrmBB1[Row]=$F153)*(FrmBB1[Column]=_xlfn.LET(_xlpm.x,_xlfn.TEXTBEFORE($G153," ("),IFERROR(_xlpm.x,$G153))&amp;" SERRA"),0)),"X")</f>
        <v>0</v>
      </c>
      <c r="J153" s="358" cm="1">
        <f t="array" ref="J153">IFERROR(SUM(_xlfn._xlws.FILTER(FrmBB1[Cur],(FrmBB1[PrjId]=TEXT($E153,"@"))*(FrmBB1[Cia]=$D153)*(FrmBB1[Row]=$F153)*(FrmBB1[Column]=_xlfn.LET(_xlpm.x,_xlfn.TEXTBEFORE($G153," ("),IFERROR(_xlpm.x,$G153))&amp;" EXT."),0)),"X")</f>
        <v>122915.94</v>
      </c>
      <c r="K153" s="360">
        <v>0</v>
      </c>
      <c r="L153" s="358">
        <v>118106.23</v>
      </c>
      <c r="M153" s="361">
        <f ca="1">IF(SUM(H153,K153,L153)=0,IF(SUM(I153,J153)&gt;0,1,0),1-SUM(PrvSty[[#This Row],[Real:SERRA]:[Real:EXT.]])/SUM(PrvSty[[#This Row],[AcumInt]:[AcumExt]]))</f>
        <v>-4.9400008437459064E-3</v>
      </c>
      <c r="N153" s="360" t="s">
        <v>1739</v>
      </c>
      <c r="O153" s="358">
        <f>IF(OR(PrvSty[[#This Row],[DsvAbs:SERRA]]="X",PrvSty[[#This Row],[DsvAbs:SERRA]]=""),0,IF(PrvSty[[#This Row],[DesvTyp]]="Abs",PrvSty[[#This Row],[DsvAbs:SERRA]],PrvSty[[#This Row],[DsvAbs:SERRA]]*PrvSty[[#This Row],[Ppto]]))</f>
        <v>0</v>
      </c>
      <c r="P153" s="358">
        <f>IF(OR(PrvSty[[#This Row],[DsvAbs:EXT.]]="X",PrvSty[[#This Row],[DsvAbs:EXT.]]=""),0,IF(PrvSty[[#This Row],[DesvTyp]]="Abs",PrvSty[[#This Row],[DsvAbs:EXT.]],PrvSty[[#This Row],[DsvAbs:EXT.]]*PrvSty[[#This Row],[Ppto]]))</f>
        <v>118106.23</v>
      </c>
      <c r="Q153" s="358" t="str" cm="1">
        <f t="array" aca="1" ref="Q153"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53" s="363" cm="1">
        <f t="array" aca="1" ref="R153"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53" s="363" cm="1">
        <f t="array" aca="1" ref="S153"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122311.72</v>
      </c>
      <c r="T153" s="367" cm="1">
        <f t="array" ref="T153">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53" s="367" cm="1">
        <f t="array" ref="U153">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53" s="358" t="s">
        <v>2168</v>
      </c>
    </row>
    <row r="154" spans="3:22">
      <c r="C154" s="399">
        <v>45670</v>
      </c>
      <c r="D154" s="357" t="s">
        <v>2114</v>
      </c>
      <c r="E154" s="400" t="s">
        <v>1415</v>
      </c>
      <c r="F154" s="69" t="s">
        <v>368</v>
      </c>
      <c r="G154" s="21" t="s">
        <v>1670</v>
      </c>
      <c r="H154" s="358" cm="1">
        <f t="array" ref="H154">IFERROR(SUM(_xlfn._xlws.FILTER(IF(MeSel="Ppto",PptoSty[CurPpto],PptoSty[CurInt]+PptoSty[CurExt]),(PptoSty[Project]=TEXT(PrvSty[[#This Row],[Project]],"@"))*(PptoSty[PptoVsRow]=PrvSty[[#This Row],[Row]])*(PptoSty[PptoVsColumn]=PrvSty[[#This Row],[Column]]),0)),"X")</f>
        <v>316535.35949999985</v>
      </c>
      <c r="I154" s="358" cm="1">
        <f t="array" ref="I154">IFERROR(SUM(_xlfn._xlws.FILTER(FrmBB1[Cur],(FrmBB1[PrjId]=TEXT($E154,"@"))*(FrmBB1[Cia]=$D154)*(FrmBB1[Row]=$F154)*(FrmBB1[Column]=_xlfn.LET(_xlpm.x,_xlfn.TEXTBEFORE($G154," ("),IFERROR(_xlpm.x,$G154))&amp;" SERRA"),0)),"X")</f>
        <v>0</v>
      </c>
      <c r="J154" s="358" cm="1">
        <f t="array" ref="J154">IFERROR(SUM(_xlfn._xlws.FILTER(FrmBB1[Cur],(FrmBB1[PrjId]=TEXT($E154,"@"))*(FrmBB1[Cia]=$D154)*(FrmBB1[Row]=$F154)*(FrmBB1[Column]=_xlfn.LET(_xlpm.x,_xlfn.TEXTBEFORE($G154," ("),IFERROR(_xlpm.x,$G154))&amp;" EXT."),0)),"X")</f>
        <v>53281.54</v>
      </c>
      <c r="K154" s="360">
        <v>0</v>
      </c>
      <c r="L154" s="358">
        <f>-L153</f>
        <v>-118106.23</v>
      </c>
      <c r="M154" s="361">
        <f ca="1">IF(SUM(H154,K154,L154)=0,IF(SUM(I154,J154)&gt;0,1,0),1-SUM(PrvSty[[#This Row],[Real:SERRA]:[Real:EXT.]])/SUM(PrvSty[[#This Row],[AcumInt]:[AcumExt]]))</f>
        <v>0.45868118238310662</v>
      </c>
      <c r="N154" s="360" t="s">
        <v>1739</v>
      </c>
      <c r="O154" s="358">
        <f>IF(OR(PrvSty[[#This Row],[DsvAbs:SERRA]]="X",PrvSty[[#This Row],[DsvAbs:SERRA]]=""),0,IF(PrvSty[[#This Row],[DesvTyp]]="Abs",PrvSty[[#This Row],[DsvAbs:SERRA]],PrvSty[[#This Row],[DsvAbs:SERRA]]*PrvSty[[#This Row],[Ppto]]))</f>
        <v>0</v>
      </c>
      <c r="P154" s="358">
        <f>IF(OR(PrvSty[[#This Row],[DsvAbs:EXT.]]="X",PrvSty[[#This Row],[DsvAbs:EXT.]]=""),0,IF(PrvSty[[#This Row],[DesvTyp]]="Abs",PrvSty[[#This Row],[DsvAbs:EXT.]],PrvSty[[#This Row],[DsvAbs:EXT.]]*PrvSty[[#This Row],[Ppto]]))</f>
        <v>-118106.23</v>
      </c>
      <c r="Q154" s="358" t="str" cm="1">
        <f t="array" aca="1" ref="Q154"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54" s="363" cm="1">
        <f t="array" aca="1" ref="R154"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54" s="363" cm="1">
        <f t="array" aca="1" ref="S154"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98429.129499999864</v>
      </c>
      <c r="T154" s="367" cm="1">
        <f t="array" ref="T154">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0</v>
      </c>
      <c r="U154" s="367" cm="1">
        <f t="array" ref="U154">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0</v>
      </c>
      <c r="V154" s="358" t="s">
        <v>2168</v>
      </c>
    </row>
    <row r="155" spans="3:22">
      <c r="D155" s="357"/>
      <c r="E155" s="395"/>
      <c r="H155" s="358" cm="1">
        <f t="array" ref="H155">IFERROR(SUM(_xlfn._xlws.FILTER(IF(MeSel="Ppto",PptoSty[CurPpto],PptoSty[CurInt]+PptoSty[CurExt]),(PptoSty[Project]=TEXT(PrvSty[[#This Row],[Project]],"@"))*(PptoSty[PptoVsRow]=PrvSty[[#This Row],[Row]])*(PptoSty[PptoVsColumn]=PrvSty[[#This Row],[Column]]),0)),"X")</f>
        <v>0</v>
      </c>
      <c r="I155" s="358" cm="1">
        <f t="array" ref="I155">IFERROR(SUM(_xlfn._xlws.FILTER(FrmBB1[Cur],(FrmBB1[PrjId]=TEXT($E155,"@"))*(FrmBB1[Cia]=$D155)*(FrmBB1[Row]=$F155)*(FrmBB1[Column]=_xlfn.LET(_xlpm.x,_xlfn.TEXTBEFORE($G155," ("),IFERROR(_xlpm.x,$G155))&amp;" SERRA"),0)),"X")</f>
        <v>0</v>
      </c>
      <c r="J155" s="358" cm="1">
        <f t="array" ref="J155">IFERROR(SUM(_xlfn._xlws.FILTER(FrmBB1[Cur],(FrmBB1[PrjId]=TEXT($E155,"@"))*(FrmBB1[Cia]=$D155)*(FrmBB1[Row]=$F155)*(FrmBB1[Column]=_xlfn.LET(_xlpm.x,_xlfn.TEXTBEFORE($G155," ("),IFERROR(_xlpm.x,$G155))&amp;" EXT."),0)),"X")</f>
        <v>0</v>
      </c>
      <c r="K155" s="360"/>
      <c r="L155" s="360"/>
      <c r="M155" s="361">
        <f>IF(SUM(H155,K155,L155)=0,IF(SUM(I155,J155)&gt;0,1,0),1-SUM(PrvSty[[#This Row],[Real:SERRA]:[Real:EXT.]])/SUM(PrvSty[[#This Row],[AcumInt]:[AcumExt]]))</f>
        <v>0</v>
      </c>
      <c r="N155" s="360" t="s">
        <v>1739</v>
      </c>
      <c r="O155" s="358">
        <f>IF(OR(PrvSty[[#This Row],[DsvAbs:SERRA]]="X",PrvSty[[#This Row],[DsvAbs:SERRA]]=""),0,IF(PrvSty[[#This Row],[DesvTyp]]="Abs",PrvSty[[#This Row],[DsvAbs:SERRA]],PrvSty[[#This Row],[DsvAbs:SERRA]]*PrvSty[[#This Row],[Ppto]]))</f>
        <v>0</v>
      </c>
      <c r="P155" s="358">
        <f>IF(OR(PrvSty[[#This Row],[DsvAbs:EXT.]]="X",PrvSty[[#This Row],[DsvAbs:EXT.]]=""),0,IF(PrvSty[[#This Row],[DesvTyp]]="Abs",PrvSty[[#This Row],[DsvAbs:EXT.]],PrvSty[[#This Row],[DsvAbs:EXT.]]*PrvSty[[#This Row],[Ppto]]))</f>
        <v>0</v>
      </c>
      <c r="Q155" s="358" t="str" cm="1">
        <f t="array" aca="1" ref="Q155"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55" s="363" cm="1">
        <f t="array" aca="1" ref="R155"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55" s="363" cm="1">
        <f t="array" aca="1" ref="S155"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155" s="367" t="str" cm="1">
        <f t="array" ref="T155">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X</v>
      </c>
      <c r="U155" s="367" t="str" cm="1">
        <f t="array" ref="U155">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X</v>
      </c>
      <c r="V155" s="358"/>
    </row>
    <row r="156" spans="3:22">
      <c r="D156" s="357"/>
      <c r="E156" s="395"/>
      <c r="H156" s="358" cm="1">
        <f t="array" ref="H156">IFERROR(SUM(_xlfn._xlws.FILTER(IF(MeSel="Ppto",PptoSty[CurPpto],PptoSty[CurInt]+PptoSty[CurExt]),(PptoSty[Project]=TEXT(PrvSty[[#This Row],[Project]],"@"))*(PptoSty[PptoVsRow]=PrvSty[[#This Row],[Row]])*(PptoSty[PptoVsColumn]=PrvSty[[#This Row],[Column]]),0)),"X")</f>
        <v>0</v>
      </c>
      <c r="I156" s="358" cm="1">
        <f t="array" ref="I156">IFERROR(SUM(_xlfn._xlws.FILTER(FrmBB1[Cur],(FrmBB1[PrjId]=TEXT($E156,"@"))*(FrmBB1[Cia]=$D156)*(FrmBB1[Row]=$F156)*(FrmBB1[Column]=_xlfn.LET(_xlpm.x,_xlfn.TEXTBEFORE($G156," ("),IFERROR(_xlpm.x,$G156))&amp;" SERRA"),0)),"X")</f>
        <v>0</v>
      </c>
      <c r="J156" s="358" cm="1">
        <f t="array" ref="J156">IFERROR(SUM(_xlfn._xlws.FILTER(FrmBB1[Cur],(FrmBB1[PrjId]=TEXT($E156,"@"))*(FrmBB1[Cia]=$D156)*(FrmBB1[Row]=$F156)*(FrmBB1[Column]=_xlfn.LET(_xlpm.x,_xlfn.TEXTBEFORE($G156," ("),IFERROR(_xlpm.x,$G156))&amp;" EXT."),0)),"X")</f>
        <v>0</v>
      </c>
      <c r="K156" s="360"/>
      <c r="L156" s="360"/>
      <c r="M156" s="361">
        <f>IF(SUM(H156,K156,L156)=0,IF(SUM(I156,J156)&gt;0,1,0),1-SUM(PrvSty[[#This Row],[Real:SERRA]:[Real:EXT.]])/SUM(PrvSty[[#This Row],[AcumInt]:[AcumExt]]))</f>
        <v>0</v>
      </c>
      <c r="N156" s="360" t="s">
        <v>1739</v>
      </c>
      <c r="O156" s="358">
        <f>IF(OR(PrvSty[[#This Row],[DsvAbs:SERRA]]="X",PrvSty[[#This Row],[DsvAbs:SERRA]]=""),0,IF(PrvSty[[#This Row],[DesvTyp]]="Abs",PrvSty[[#This Row],[DsvAbs:SERRA]],PrvSty[[#This Row],[DsvAbs:SERRA]]*PrvSty[[#This Row],[Ppto]]))</f>
        <v>0</v>
      </c>
      <c r="P156" s="358">
        <f>IF(OR(PrvSty[[#This Row],[DsvAbs:EXT.]]="X",PrvSty[[#This Row],[DsvAbs:EXT.]]=""),0,IF(PrvSty[[#This Row],[DesvTyp]]="Abs",PrvSty[[#This Row],[DsvAbs:EXT.]],PrvSty[[#This Row],[DsvAbs:EXT.]]*PrvSty[[#This Row],[Ppto]]))</f>
        <v>0</v>
      </c>
      <c r="Q156" s="358" t="str" cm="1">
        <f t="array" aca="1" ref="Q156"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56" s="363" cm="1">
        <f t="array" aca="1" ref="R156"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56" s="363" cm="1">
        <f t="array" aca="1" ref="S156"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156" s="367" t="str" cm="1">
        <f t="array" ref="T156">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X</v>
      </c>
      <c r="U156" s="367" t="str" cm="1">
        <f t="array" ref="U156">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X</v>
      </c>
      <c r="V156" s="395"/>
    </row>
    <row r="157" spans="3:22">
      <c r="D157" s="357"/>
      <c r="E157" s="395"/>
      <c r="H157" s="358" cm="1">
        <f t="array" ref="H157">IFERROR(SUM(_xlfn._xlws.FILTER(IF(MeSel="Ppto",PptoSty[CurPpto],PptoSty[CurInt]+PptoSty[CurExt]),(PptoSty[Project]=TEXT(PrvSty[[#This Row],[Project]],"@"))*(PptoSty[PptoVsRow]=PrvSty[[#This Row],[Row]])*(PptoSty[PptoVsColumn]=PrvSty[[#This Row],[Column]]),0)),"X")</f>
        <v>0</v>
      </c>
      <c r="I157" s="358" cm="1">
        <f t="array" ref="I157">IFERROR(SUM(_xlfn._xlws.FILTER(FrmBB1[Cur],(FrmBB1[PrjId]=TEXT($E157,"@"))*(FrmBB1[Cia]=$D157)*(FrmBB1[Row]=$F157)*(FrmBB1[Column]=_xlfn.LET(_xlpm.x,_xlfn.TEXTBEFORE($G157," ("),IFERROR(_xlpm.x,$G157))&amp;" SERRA"),0)),"X")</f>
        <v>0</v>
      </c>
      <c r="J157" s="358" cm="1">
        <f t="array" ref="J157">IFERROR(SUM(_xlfn._xlws.FILTER(FrmBB1[Cur],(FrmBB1[PrjId]=TEXT($E157,"@"))*(FrmBB1[Cia]=$D157)*(FrmBB1[Row]=$F157)*(FrmBB1[Column]=_xlfn.LET(_xlpm.x,_xlfn.TEXTBEFORE($G157," ("),IFERROR(_xlpm.x,$G157))&amp;" EXT."),0)),"X")</f>
        <v>0</v>
      </c>
      <c r="K157" s="360"/>
      <c r="L157" s="360"/>
      <c r="M157" s="361">
        <f>IF(SUM(H157,K157,L157)=0,IF(SUM(I157,J157)&gt;0,1,0),1-SUM(PrvSty[[#This Row],[Real:SERRA]:[Real:EXT.]])/SUM(PrvSty[[#This Row],[AcumInt]:[AcumExt]]))</f>
        <v>0</v>
      </c>
      <c r="N157" s="360" t="s">
        <v>1739</v>
      </c>
      <c r="O157" s="358">
        <f>IF(OR(PrvSty[[#This Row],[DsvAbs:SERRA]]="X",PrvSty[[#This Row],[DsvAbs:SERRA]]=""),0,IF(PrvSty[[#This Row],[DesvTyp]]="Abs",PrvSty[[#This Row],[DsvAbs:SERRA]],PrvSty[[#This Row],[DsvAbs:SERRA]]*PrvSty[[#This Row],[Ppto]]))</f>
        <v>0</v>
      </c>
      <c r="P157" s="358">
        <f>IF(OR(PrvSty[[#This Row],[DsvAbs:EXT.]]="X",PrvSty[[#This Row],[DsvAbs:EXT.]]=""),0,IF(PrvSty[[#This Row],[DesvTyp]]="Abs",PrvSty[[#This Row],[DsvAbs:EXT.]],PrvSty[[#This Row],[DsvAbs:EXT.]]*PrvSty[[#This Row],[Ppto]]))</f>
        <v>0</v>
      </c>
      <c r="Q157" s="358" t="str" cm="1">
        <f t="array" aca="1" ref="Q157"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57" s="363" cm="1">
        <f t="array" aca="1" ref="R157"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57" s="363" cm="1">
        <f t="array" aca="1" ref="S157"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157" s="367" t="str" cm="1">
        <f t="array" ref="T157">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X</v>
      </c>
      <c r="U157" s="367" t="str" cm="1">
        <f t="array" ref="U157">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X</v>
      </c>
      <c r="V157" s="395"/>
    </row>
    <row r="158" spans="3:22">
      <c r="D158" s="357"/>
      <c r="E158" s="395"/>
      <c r="H158" s="358" cm="1">
        <f t="array" ref="H158">IFERROR(SUM(_xlfn._xlws.FILTER(IF(MeSel="Ppto",PptoSty[CurPpto],PptoSty[CurInt]+PptoSty[CurExt]),(PptoSty[Project]=TEXT(PrvSty[[#This Row],[Project]],"@"))*(PptoSty[PptoVsRow]=PrvSty[[#This Row],[Row]])*(PptoSty[PptoVsColumn]=PrvSty[[#This Row],[Column]]),0)),"X")</f>
        <v>0</v>
      </c>
      <c r="I158" s="358" cm="1">
        <f t="array" ref="I158">IFERROR(SUM(_xlfn._xlws.FILTER(FrmBB1[Cur],(FrmBB1[PrjId]=TEXT($E158,"@"))*(FrmBB1[Cia]=$D158)*(FrmBB1[Row]=$F158)*(FrmBB1[Column]=_xlfn.LET(_xlpm.x,_xlfn.TEXTBEFORE($G158," ("),IFERROR(_xlpm.x,$G158))&amp;" SERRA"),0)),"X")</f>
        <v>0</v>
      </c>
      <c r="J158" s="358" cm="1">
        <f t="array" ref="J158">IFERROR(SUM(_xlfn._xlws.FILTER(FrmBB1[Cur],(FrmBB1[PrjId]=TEXT($E158,"@"))*(FrmBB1[Cia]=$D158)*(FrmBB1[Row]=$F158)*(FrmBB1[Column]=_xlfn.LET(_xlpm.x,_xlfn.TEXTBEFORE($G158," ("),IFERROR(_xlpm.x,$G158))&amp;" EXT."),0)),"X")</f>
        <v>0</v>
      </c>
      <c r="K158" s="360"/>
      <c r="L158" s="360"/>
      <c r="M158" s="361">
        <f>IF(SUM(H158,K158,L158)=0,IF(SUM(I158,J158)&gt;0,1,0),1-SUM(PrvSty[[#This Row],[Real:SERRA]:[Real:EXT.]])/SUM(PrvSty[[#This Row],[AcumInt]:[AcumExt]]))</f>
        <v>0</v>
      </c>
      <c r="N158" s="360" t="s">
        <v>1739</v>
      </c>
      <c r="O158" s="358">
        <f>IF(OR(PrvSty[[#This Row],[DsvAbs:SERRA]]="X",PrvSty[[#This Row],[DsvAbs:SERRA]]=""),0,IF(PrvSty[[#This Row],[DesvTyp]]="Abs",PrvSty[[#This Row],[DsvAbs:SERRA]],PrvSty[[#This Row],[DsvAbs:SERRA]]*PrvSty[[#This Row],[Ppto]]))</f>
        <v>0</v>
      </c>
      <c r="P158" s="358">
        <f>IF(OR(PrvSty[[#This Row],[DsvAbs:EXT.]]="X",PrvSty[[#This Row],[DsvAbs:EXT.]]=""),0,IF(PrvSty[[#This Row],[DesvTyp]]="Abs",PrvSty[[#This Row],[DsvAbs:EXT.]],PrvSty[[#This Row],[DsvAbs:EXT.]]*PrvSty[[#This Row],[Ppto]]))</f>
        <v>0</v>
      </c>
      <c r="Q158" s="358" t="str" cm="1">
        <f t="array" aca="1" ref="Q158"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58" s="363" cm="1">
        <f t="array" aca="1" ref="R158"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58" s="363" cm="1">
        <f t="array" aca="1" ref="S158"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158" s="367" t="str" cm="1">
        <f t="array" ref="T158">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X</v>
      </c>
      <c r="U158" s="367" t="str" cm="1">
        <f t="array" ref="U158">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X</v>
      </c>
      <c r="V158" s="395"/>
    </row>
    <row r="159" spans="3:22">
      <c r="D159" s="357"/>
      <c r="E159" s="395"/>
      <c r="H159" s="358" cm="1">
        <f t="array" ref="H159">IFERROR(SUM(_xlfn._xlws.FILTER(IF(MeSel="Ppto",PptoSty[CurPpto],PptoSty[CurInt]+PptoSty[CurExt]),(PptoSty[Project]=TEXT(PrvSty[[#This Row],[Project]],"@"))*(PptoSty[PptoVsRow]=PrvSty[[#This Row],[Row]])*(PptoSty[PptoVsColumn]=PrvSty[[#This Row],[Column]]),0)),"X")</f>
        <v>0</v>
      </c>
      <c r="I159" s="358" cm="1">
        <f t="array" ref="I159">IFERROR(SUM(_xlfn._xlws.FILTER(FrmBB1[Cur],(FrmBB1[PrjId]=TEXT($E159,"@"))*(FrmBB1[Cia]=$D159)*(FrmBB1[Row]=$F159)*(FrmBB1[Column]=_xlfn.LET(_xlpm.x,_xlfn.TEXTBEFORE($G159," ("),IFERROR(_xlpm.x,$G159))&amp;" SERRA"),0)),"X")</f>
        <v>0</v>
      </c>
      <c r="J159" s="358" cm="1">
        <f t="array" ref="J159">IFERROR(SUM(_xlfn._xlws.FILTER(FrmBB1[Cur],(FrmBB1[PrjId]=TEXT($E159,"@"))*(FrmBB1[Cia]=$D159)*(FrmBB1[Row]=$F159)*(FrmBB1[Column]=_xlfn.LET(_xlpm.x,_xlfn.TEXTBEFORE($G159," ("),IFERROR(_xlpm.x,$G159))&amp;" EXT."),0)),"X")</f>
        <v>0</v>
      </c>
      <c r="K159" s="360"/>
      <c r="L159" s="360"/>
      <c r="M159" s="361">
        <f>IF(SUM(H159,K159,L159)=0,IF(SUM(I159,J159)&gt;0,1,0),1-SUM(PrvSty[[#This Row],[Real:SERRA]:[Real:EXT.]])/SUM(PrvSty[[#This Row],[AcumInt]:[AcumExt]]))</f>
        <v>0</v>
      </c>
      <c r="N159" s="360" t="s">
        <v>1739</v>
      </c>
      <c r="O159" s="358">
        <f>IF(OR(PrvSty[[#This Row],[DsvAbs:SERRA]]="X",PrvSty[[#This Row],[DsvAbs:SERRA]]=""),0,IF(PrvSty[[#This Row],[DesvTyp]]="Abs",PrvSty[[#This Row],[DsvAbs:SERRA]],PrvSty[[#This Row],[DsvAbs:SERRA]]*PrvSty[[#This Row],[Ppto]]))</f>
        <v>0</v>
      </c>
      <c r="P159" s="358">
        <f>IF(OR(PrvSty[[#This Row],[DsvAbs:EXT.]]="X",PrvSty[[#This Row],[DsvAbs:EXT.]]=""),0,IF(PrvSty[[#This Row],[DesvTyp]]="Abs",PrvSty[[#This Row],[DsvAbs:EXT.]],PrvSty[[#This Row],[DsvAbs:EXT.]]*PrvSty[[#This Row],[Ppto]]))</f>
        <v>0</v>
      </c>
      <c r="Q159" s="358" t="str" cm="1">
        <f t="array" aca="1" ref="Q159"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59" s="363" cm="1">
        <f t="array" aca="1" ref="R159"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59" s="363" cm="1">
        <f t="array" aca="1" ref="S159"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159" s="367" t="str" cm="1">
        <f t="array" ref="T159">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X</v>
      </c>
      <c r="U159" s="367" t="str" cm="1">
        <f t="array" ref="U159">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X</v>
      </c>
      <c r="V159" s="395"/>
    </row>
    <row r="160" spans="3:22">
      <c r="D160" s="357"/>
      <c r="E160" s="395"/>
      <c r="H160" s="358" cm="1">
        <f t="array" ref="H160">IFERROR(SUM(_xlfn._xlws.FILTER(IF(MeSel="Ppto",PptoSty[CurPpto],PptoSty[CurInt]+PptoSty[CurExt]),(PptoSty[Project]=TEXT(PrvSty[[#This Row],[Project]],"@"))*(PptoSty[PptoVsRow]=PrvSty[[#This Row],[Row]])*(PptoSty[PptoVsColumn]=PrvSty[[#This Row],[Column]]),0)),"X")</f>
        <v>0</v>
      </c>
      <c r="I160" s="358" cm="1">
        <f t="array" ref="I160">IFERROR(SUM(_xlfn._xlws.FILTER(FrmBB1[Cur],(FrmBB1[PrjId]=TEXT($E160,"@"))*(FrmBB1[Cia]=$D160)*(FrmBB1[Row]=$F160)*(FrmBB1[Column]=_xlfn.LET(_xlpm.x,_xlfn.TEXTBEFORE($G160," ("),IFERROR(_xlpm.x,$G160))&amp;" SERRA"),0)),"X")</f>
        <v>0</v>
      </c>
      <c r="J160" s="358" cm="1">
        <f t="array" ref="J160">IFERROR(SUM(_xlfn._xlws.FILTER(FrmBB1[Cur],(FrmBB1[PrjId]=TEXT($E160,"@"))*(FrmBB1[Cia]=$D160)*(FrmBB1[Row]=$F160)*(FrmBB1[Column]=_xlfn.LET(_xlpm.x,_xlfn.TEXTBEFORE($G160," ("),IFERROR(_xlpm.x,$G160))&amp;" EXT."),0)),"X")</f>
        <v>0</v>
      </c>
      <c r="K160" s="360"/>
      <c r="L160" s="360"/>
      <c r="M160" s="361">
        <f>IF(SUM(H160,K160,L160)=0,IF(SUM(I160,J160)&gt;0,1,0),1-SUM(PrvSty[[#This Row],[Real:SERRA]:[Real:EXT.]])/SUM(PrvSty[[#This Row],[AcumInt]:[AcumExt]]))</f>
        <v>0</v>
      </c>
      <c r="N160" s="360" t="s">
        <v>1739</v>
      </c>
      <c r="O160" s="358">
        <f>IF(OR(PrvSty[[#This Row],[DsvAbs:SERRA]]="X",PrvSty[[#This Row],[DsvAbs:SERRA]]=""),0,IF(PrvSty[[#This Row],[DesvTyp]]="Abs",PrvSty[[#This Row],[DsvAbs:SERRA]],PrvSty[[#This Row],[DsvAbs:SERRA]]*PrvSty[[#This Row],[Ppto]]))</f>
        <v>0</v>
      </c>
      <c r="P160" s="358">
        <f>IF(OR(PrvSty[[#This Row],[DsvAbs:EXT.]]="X",PrvSty[[#This Row],[DsvAbs:EXT.]]=""),0,IF(PrvSty[[#This Row],[DesvTyp]]="Abs",PrvSty[[#This Row],[DsvAbs:EXT.]],PrvSty[[#This Row],[DsvAbs:EXT.]]*PrvSty[[#This Row],[Ppto]]))</f>
        <v>0</v>
      </c>
      <c r="Q160" s="358" t="str" cm="1">
        <f t="array" aca="1" ref="Q160"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60" s="363" cm="1">
        <f t="array" aca="1" ref="R160"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60" s="363" cm="1">
        <f t="array" aca="1" ref="S160"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160" s="367" t="str" cm="1">
        <f t="array" ref="T160">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X</v>
      </c>
      <c r="U160" s="367" t="str" cm="1">
        <f t="array" ref="U160">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X</v>
      </c>
      <c r="V160" s="395"/>
    </row>
    <row r="161" spans="1:22">
      <c r="D161" s="357"/>
      <c r="E161" s="395"/>
      <c r="H161" s="358" cm="1">
        <f t="array" ref="H161">IFERROR(SUM(_xlfn._xlws.FILTER(IF(MeSel="Ppto",PptoSty[CurPpto],PptoSty[CurInt]+PptoSty[CurExt]),(PptoSty[Project]=TEXT(PrvSty[[#This Row],[Project]],"@"))*(PptoSty[PptoVsRow]=PrvSty[[#This Row],[Row]])*(PptoSty[PptoVsColumn]=PrvSty[[#This Row],[Column]]),0)),"X")</f>
        <v>0</v>
      </c>
      <c r="I161" s="358" cm="1">
        <f t="array" ref="I161">IFERROR(SUM(_xlfn._xlws.FILTER(FrmBB1[Cur],(FrmBB1[PrjId]=TEXT($E161,"@"))*(FrmBB1[Cia]=$D161)*(FrmBB1[Row]=$F161)*(FrmBB1[Column]=_xlfn.LET(_xlpm.x,_xlfn.TEXTBEFORE($G161," ("),IFERROR(_xlpm.x,$G161))&amp;" SERRA"),0)),"X")</f>
        <v>0</v>
      </c>
      <c r="J161" s="358" cm="1">
        <f t="array" ref="J161">IFERROR(SUM(_xlfn._xlws.FILTER(FrmBB1[Cur],(FrmBB1[PrjId]=TEXT($E161,"@"))*(FrmBB1[Cia]=$D161)*(FrmBB1[Row]=$F161)*(FrmBB1[Column]=_xlfn.LET(_xlpm.x,_xlfn.TEXTBEFORE($G161," ("),IFERROR(_xlpm.x,$G161))&amp;" EXT."),0)),"X")</f>
        <v>0</v>
      </c>
      <c r="K161" s="360"/>
      <c r="L161" s="360"/>
      <c r="M161" s="361">
        <f>IF(SUM(H161,K161,L161)=0,IF(SUM(I161,J161)&gt;0,1,0),1-SUM(PrvSty[[#This Row],[Real:SERRA]:[Real:EXT.]])/SUM(PrvSty[[#This Row],[AcumInt]:[AcumExt]]))</f>
        <v>0</v>
      </c>
      <c r="N161" s="360" t="s">
        <v>1739</v>
      </c>
      <c r="O161" s="358">
        <f>IF(OR(PrvSty[[#This Row],[DsvAbs:SERRA]]="X",PrvSty[[#This Row],[DsvAbs:SERRA]]=""),0,IF(PrvSty[[#This Row],[DesvTyp]]="Abs",PrvSty[[#This Row],[DsvAbs:SERRA]],PrvSty[[#This Row],[DsvAbs:SERRA]]*PrvSty[[#This Row],[Ppto]]))</f>
        <v>0</v>
      </c>
      <c r="P161" s="358">
        <f>IF(OR(PrvSty[[#This Row],[DsvAbs:EXT.]]="X",PrvSty[[#This Row],[DsvAbs:EXT.]]=""),0,IF(PrvSty[[#This Row],[DesvTyp]]="Abs",PrvSty[[#This Row],[DsvAbs:EXT.]],PrvSty[[#This Row],[DsvAbs:EXT.]]*PrvSty[[#This Row],[Ppto]]))</f>
        <v>0</v>
      </c>
      <c r="Q161" s="358" t="str" cm="1">
        <f t="array" aca="1" ref="Q161"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61" s="363" cm="1">
        <f t="array" aca="1" ref="R161"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61" s="363" cm="1">
        <f t="array" aca="1" ref="S161"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161" s="367" t="str" cm="1">
        <f t="array" ref="T16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X</v>
      </c>
      <c r="U161" s="367" t="str" cm="1">
        <f t="array" ref="U161">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X</v>
      </c>
      <c r="V161" s="395"/>
    </row>
    <row r="162" spans="1:22">
      <c r="D162" s="357"/>
      <c r="E162" s="395"/>
      <c r="H162" s="358" cm="1">
        <f t="array" ref="H162">IFERROR(SUM(_xlfn._xlws.FILTER(IF(MeSel="Ppto",PptoSty[CurPpto],PptoSty[CurInt]+PptoSty[CurExt]),(PptoSty[Project]=TEXT(PrvSty[[#This Row],[Project]],"@"))*(PptoSty[PptoVsRow]=PrvSty[[#This Row],[Row]])*(PptoSty[PptoVsColumn]=PrvSty[[#This Row],[Column]]),0)),"X")</f>
        <v>0</v>
      </c>
      <c r="I162" s="358" cm="1">
        <f t="array" ref="I162">IFERROR(SUM(_xlfn._xlws.FILTER(FrmBB1[Cur],(FrmBB1[PrjId]=TEXT($E162,"@"))*(FrmBB1[Cia]=$D162)*(FrmBB1[Row]=$F162)*(FrmBB1[Column]=_xlfn.LET(_xlpm.x,_xlfn.TEXTBEFORE($G162," ("),IFERROR(_xlpm.x,$G162))&amp;" SERRA"),0)),"X")</f>
        <v>0</v>
      </c>
      <c r="J162" s="358" cm="1">
        <f t="array" ref="J162">IFERROR(SUM(_xlfn._xlws.FILTER(FrmBB1[Cur],(FrmBB1[PrjId]=TEXT($E162,"@"))*(FrmBB1[Cia]=$D162)*(FrmBB1[Row]=$F162)*(FrmBB1[Column]=_xlfn.LET(_xlpm.x,_xlfn.TEXTBEFORE($G162," ("),IFERROR(_xlpm.x,$G162))&amp;" EXT."),0)),"X")</f>
        <v>0</v>
      </c>
      <c r="K162" s="360"/>
      <c r="L162" s="360"/>
      <c r="M162" s="361">
        <f>IF(SUM(H162,K162,L162)=0,IF(SUM(I162,J162)&gt;0,1,0),1-SUM(PrvSty[[#This Row],[Real:SERRA]:[Real:EXT.]])/SUM(PrvSty[[#This Row],[AcumInt]:[AcumExt]]))</f>
        <v>0</v>
      </c>
      <c r="N162" s="360" t="s">
        <v>1739</v>
      </c>
      <c r="O162" s="358">
        <f>IF(OR(PrvSty[[#This Row],[DsvAbs:SERRA]]="X",PrvSty[[#This Row],[DsvAbs:SERRA]]=""),0,IF(PrvSty[[#This Row],[DesvTyp]]="Abs",PrvSty[[#This Row],[DsvAbs:SERRA]],PrvSty[[#This Row],[DsvAbs:SERRA]]*PrvSty[[#This Row],[Ppto]]))</f>
        <v>0</v>
      </c>
      <c r="P162" s="358">
        <f>IF(OR(PrvSty[[#This Row],[DsvAbs:EXT.]]="X",PrvSty[[#This Row],[DsvAbs:EXT.]]=""),0,IF(PrvSty[[#This Row],[DesvTyp]]="Abs",PrvSty[[#This Row],[DsvAbs:EXT.]],PrvSty[[#This Row],[DsvAbs:EXT.]]*PrvSty[[#This Row],[Ppto]]))</f>
        <v>0</v>
      </c>
      <c r="Q162" s="358" t="str" cm="1">
        <f t="array" aca="1" ref="Q162"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62" s="363" cm="1">
        <f t="array" aca="1" ref="R162"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62" s="363" cm="1">
        <f t="array" aca="1" ref="S162"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162" s="367" t="str" cm="1">
        <f t="array" ref="T162">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X</v>
      </c>
      <c r="U162" s="367" t="str" cm="1">
        <f t="array" ref="U162">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X</v>
      </c>
      <c r="V162" s="395"/>
    </row>
    <row r="163" spans="1:22">
      <c r="D163" s="357"/>
      <c r="E163" s="395"/>
      <c r="H163" s="358" cm="1">
        <f t="array" ref="H163">IFERROR(SUM(_xlfn._xlws.FILTER(IF(MeSel="Ppto",PptoSty[CurPpto],PptoSty[CurInt]+PptoSty[CurExt]),(PptoSty[Project]=TEXT(PrvSty[[#This Row],[Project]],"@"))*(PptoSty[PptoVsRow]=PrvSty[[#This Row],[Row]])*(PptoSty[PptoVsColumn]=PrvSty[[#This Row],[Column]]),0)),"X")</f>
        <v>0</v>
      </c>
      <c r="I163" s="358" cm="1">
        <f t="array" ref="I163">IFERROR(SUM(_xlfn._xlws.FILTER(FrmBB1[Cur],(FrmBB1[PrjId]=TEXT($E163,"@"))*(FrmBB1[Cia]=$D163)*(FrmBB1[Row]=$F163)*(FrmBB1[Column]=_xlfn.LET(_xlpm.x,_xlfn.TEXTBEFORE($G163," ("),IFERROR(_xlpm.x,$G163))&amp;" SERRA"),0)),"X")</f>
        <v>0</v>
      </c>
      <c r="J163" s="358" cm="1">
        <f t="array" ref="J163">IFERROR(SUM(_xlfn._xlws.FILTER(FrmBB1[Cur],(FrmBB1[PrjId]=TEXT($E163,"@"))*(FrmBB1[Cia]=$D163)*(FrmBB1[Row]=$F163)*(FrmBB1[Column]=_xlfn.LET(_xlpm.x,_xlfn.TEXTBEFORE($G163," ("),IFERROR(_xlpm.x,$G163))&amp;" EXT."),0)),"X")</f>
        <v>0</v>
      </c>
      <c r="K163" s="360"/>
      <c r="L163" s="360"/>
      <c r="M163" s="361">
        <f>IF(SUM(H163,K163,L163)=0,IF(SUM(I163,J163)&gt;0,1,0),1-SUM(PrvSty[[#This Row],[Real:SERRA]:[Real:EXT.]])/SUM(PrvSty[[#This Row],[AcumInt]:[AcumExt]]))</f>
        <v>0</v>
      </c>
      <c r="N163" s="360" t="s">
        <v>1739</v>
      </c>
      <c r="O163" s="358">
        <f>IF(OR(PrvSty[[#This Row],[DsvAbs:SERRA]]="X",PrvSty[[#This Row],[DsvAbs:SERRA]]=""),0,IF(PrvSty[[#This Row],[DesvTyp]]="Abs",PrvSty[[#This Row],[DsvAbs:SERRA]],PrvSty[[#This Row],[DsvAbs:SERRA]]*PrvSty[[#This Row],[Ppto]]))</f>
        <v>0</v>
      </c>
      <c r="P163" s="358">
        <f>IF(OR(PrvSty[[#This Row],[DsvAbs:EXT.]]="X",PrvSty[[#This Row],[DsvAbs:EXT.]]=""),0,IF(PrvSty[[#This Row],[DesvTyp]]="Abs",PrvSty[[#This Row],[DsvAbs:EXT.]],PrvSty[[#This Row],[DsvAbs:EXT.]]*PrvSty[[#This Row],[Ppto]]))</f>
        <v>0</v>
      </c>
      <c r="Q163" s="358" t="str" cm="1">
        <f t="array" aca="1" ref="Q163"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63" s="363" cm="1">
        <f t="array" aca="1" ref="R163"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63" s="363" cm="1">
        <f t="array" aca="1" ref="S163"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163" s="367" t="str" cm="1">
        <f t="array" ref="T163">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X</v>
      </c>
      <c r="U163" s="367" t="str" cm="1">
        <f t="array" ref="U163">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X</v>
      </c>
      <c r="V163" s="395"/>
    </row>
    <row r="164" spans="1:22">
      <c r="D164" s="357"/>
      <c r="E164" s="395"/>
      <c r="H164" s="358" cm="1">
        <f t="array" ref="H164">IFERROR(SUM(_xlfn._xlws.FILTER(IF(MeSel="Ppto",PptoSty[CurPpto],PptoSty[CurInt]+PptoSty[CurExt]),(PptoSty[Project]=TEXT(PrvSty[[#This Row],[Project]],"@"))*(PptoSty[PptoVsRow]=PrvSty[[#This Row],[Row]])*(PptoSty[PptoVsColumn]=PrvSty[[#This Row],[Column]]),0)),"X")</f>
        <v>0</v>
      </c>
      <c r="I164" s="358" cm="1">
        <f t="array" ref="I164">IFERROR(SUM(_xlfn._xlws.FILTER(FrmBB1[Cur],(FrmBB1[PrjId]=TEXT($E164,"@"))*(FrmBB1[Cia]=$D164)*(FrmBB1[Row]=$F164)*(FrmBB1[Column]=_xlfn.LET(_xlpm.x,_xlfn.TEXTBEFORE($G164," ("),IFERROR(_xlpm.x,$G164))&amp;" SERRA"),0)),"X")</f>
        <v>0</v>
      </c>
      <c r="J164" s="358" cm="1">
        <f t="array" ref="J164">IFERROR(SUM(_xlfn._xlws.FILTER(FrmBB1[Cur],(FrmBB1[PrjId]=TEXT($E164,"@"))*(FrmBB1[Cia]=$D164)*(FrmBB1[Row]=$F164)*(FrmBB1[Column]=_xlfn.LET(_xlpm.x,_xlfn.TEXTBEFORE($G164," ("),IFERROR(_xlpm.x,$G164))&amp;" EXT."),0)),"X")</f>
        <v>0</v>
      </c>
      <c r="K164" s="360"/>
      <c r="L164" s="360"/>
      <c r="M164" s="361">
        <f>IF(SUM(H164,K164,L164)=0,IF(SUM(I164,J164)&gt;0,1,0),1-SUM(PrvSty[[#This Row],[Real:SERRA]:[Real:EXT.]])/SUM(PrvSty[[#This Row],[AcumInt]:[AcumExt]]))</f>
        <v>0</v>
      </c>
      <c r="N164" s="360" t="s">
        <v>1739</v>
      </c>
      <c r="O164" s="358">
        <f>IF(OR(PrvSty[[#This Row],[DsvAbs:SERRA]]="X",PrvSty[[#This Row],[DsvAbs:SERRA]]=""),0,IF(PrvSty[[#This Row],[DesvTyp]]="Abs",PrvSty[[#This Row],[DsvAbs:SERRA]],PrvSty[[#This Row],[DsvAbs:SERRA]]*PrvSty[[#This Row],[Ppto]]))</f>
        <v>0</v>
      </c>
      <c r="P164" s="358">
        <f>IF(OR(PrvSty[[#This Row],[DsvAbs:EXT.]]="X",PrvSty[[#This Row],[DsvAbs:EXT.]]=""),0,IF(PrvSty[[#This Row],[DesvTyp]]="Abs",PrvSty[[#This Row],[DsvAbs:EXT.]],PrvSty[[#This Row],[DsvAbs:EXT.]]*PrvSty[[#This Row],[Ppto]]))</f>
        <v>0</v>
      </c>
      <c r="Q164" s="358" t="str" cm="1">
        <f t="array" aca="1" ref="Q164"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64" s="363" cm="1">
        <f t="array" aca="1" ref="R164"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64" s="363" cm="1">
        <f t="array" aca="1" ref="S164"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164" s="367" t="str" cm="1">
        <f t="array" ref="T164">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X</v>
      </c>
      <c r="U164" s="367" t="str" cm="1">
        <f t="array" ref="U164">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X</v>
      </c>
      <c r="V164" s="395"/>
    </row>
    <row r="165" spans="1:22">
      <c r="D165" s="357"/>
      <c r="E165" s="395"/>
      <c r="H165" s="358" cm="1">
        <f t="array" ref="H165">IFERROR(SUM(_xlfn._xlws.FILTER(IF(MeSel="Ppto",PptoSty[CurPpto],PptoSty[CurInt]+PptoSty[CurExt]),(PptoSty[Project]=TEXT(PrvSty[[#This Row],[Project]],"@"))*(PptoSty[PptoVsRow]=PrvSty[[#This Row],[Row]])*(PptoSty[PptoVsColumn]=PrvSty[[#This Row],[Column]]),0)),"X")</f>
        <v>0</v>
      </c>
      <c r="I165" s="358" cm="1">
        <f t="array" ref="I165">IFERROR(SUM(_xlfn._xlws.FILTER(FrmBB1[Cur],(FrmBB1[PrjId]=TEXT($E165,"@"))*(FrmBB1[Cia]=$D165)*(FrmBB1[Row]=$F165)*(FrmBB1[Column]=_xlfn.LET(_xlpm.x,_xlfn.TEXTBEFORE($G165," ("),IFERROR(_xlpm.x,$G165))&amp;" SERRA"),0)),"X")</f>
        <v>0</v>
      </c>
      <c r="J165" s="358" cm="1">
        <f t="array" ref="J165">IFERROR(SUM(_xlfn._xlws.FILTER(FrmBB1[Cur],(FrmBB1[PrjId]=TEXT($E165,"@"))*(FrmBB1[Cia]=$D165)*(FrmBB1[Row]=$F165)*(FrmBB1[Column]=_xlfn.LET(_xlpm.x,_xlfn.TEXTBEFORE($G165," ("),IFERROR(_xlpm.x,$G165))&amp;" EXT."),0)),"X")</f>
        <v>0</v>
      </c>
      <c r="K165" s="360"/>
      <c r="L165" s="360"/>
      <c r="M165" s="361">
        <f>IF(SUM(H165,K165,L165)=0,IF(SUM(I165,J165)&gt;0,1,0),1-SUM(PrvSty[[#This Row],[Real:SERRA]:[Real:EXT.]])/SUM(PrvSty[[#This Row],[AcumInt]:[AcumExt]]))</f>
        <v>0</v>
      </c>
      <c r="N165" s="360" t="s">
        <v>1739</v>
      </c>
      <c r="O165" s="358">
        <f>IF(OR(PrvSty[[#This Row],[DsvAbs:SERRA]]="X",PrvSty[[#This Row],[DsvAbs:SERRA]]=""),0,IF(PrvSty[[#This Row],[DesvTyp]]="Abs",PrvSty[[#This Row],[DsvAbs:SERRA]],PrvSty[[#This Row],[DsvAbs:SERRA]]*PrvSty[[#This Row],[Ppto]]))</f>
        <v>0</v>
      </c>
      <c r="P165" s="358">
        <f>IF(OR(PrvSty[[#This Row],[DsvAbs:EXT.]]="X",PrvSty[[#This Row],[DsvAbs:EXT.]]=""),0,IF(PrvSty[[#This Row],[DesvTyp]]="Abs",PrvSty[[#This Row],[DsvAbs:EXT.]],PrvSty[[#This Row],[DsvAbs:EXT.]]*PrvSty[[#This Row],[Ppto]]))</f>
        <v>0</v>
      </c>
      <c r="Q165" s="358" t="str" cm="1">
        <f t="array" aca="1" ref="Q165"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65" s="363" cm="1">
        <f t="array" aca="1" ref="R165"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65" s="363" cm="1">
        <f t="array" aca="1" ref="S165"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165" s="367" t="str" cm="1">
        <f t="array" ref="T165">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X</v>
      </c>
      <c r="U165" s="367" t="str" cm="1">
        <f t="array" ref="U165">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X</v>
      </c>
      <c r="V165" s="395"/>
    </row>
    <row r="166" spans="1:22">
      <c r="D166" s="357"/>
      <c r="E166" s="395"/>
      <c r="H166" s="358" cm="1">
        <f t="array" ref="H166">IFERROR(SUM(_xlfn._xlws.FILTER(IF(MeSel="Ppto",PptoSty[CurPpto],PptoSty[CurInt]+PptoSty[CurExt]),(PptoSty[Project]=TEXT(PrvSty[[#This Row],[Project]],"@"))*(PptoSty[PptoVsRow]=PrvSty[[#This Row],[Row]])*(PptoSty[PptoVsColumn]=PrvSty[[#This Row],[Column]]),0)),"X")</f>
        <v>0</v>
      </c>
      <c r="I166" s="358" cm="1">
        <f t="array" ref="I166">IFERROR(SUM(_xlfn._xlws.FILTER(FrmBB1[Cur],(FrmBB1[PrjId]=TEXT($E166,"@"))*(FrmBB1[Cia]=$D166)*(FrmBB1[Row]=$F166)*(FrmBB1[Column]=_xlfn.LET(_xlpm.x,_xlfn.TEXTBEFORE($G166," ("),IFERROR(_xlpm.x,$G166))&amp;" SERRA"),0)),"X")</f>
        <v>0</v>
      </c>
      <c r="J166" s="358" cm="1">
        <f t="array" ref="J166">IFERROR(SUM(_xlfn._xlws.FILTER(FrmBB1[Cur],(FrmBB1[PrjId]=TEXT($E166,"@"))*(FrmBB1[Cia]=$D166)*(FrmBB1[Row]=$F166)*(FrmBB1[Column]=_xlfn.LET(_xlpm.x,_xlfn.TEXTBEFORE($G166," ("),IFERROR(_xlpm.x,$G166))&amp;" EXT."),0)),"X")</f>
        <v>0</v>
      </c>
      <c r="K166" s="360"/>
      <c r="L166" s="360"/>
      <c r="M166" s="361">
        <f>IF(SUM(H166,K166,L166)=0,IF(SUM(I166,J166)&gt;0,1,0),1-SUM(PrvSty[[#This Row],[Real:SERRA]:[Real:EXT.]])/SUM(PrvSty[[#This Row],[AcumInt]:[AcumExt]]))</f>
        <v>0</v>
      </c>
      <c r="N166" s="360" t="s">
        <v>1739</v>
      </c>
      <c r="O166" s="358">
        <f>IF(OR(PrvSty[[#This Row],[DsvAbs:SERRA]]="X",PrvSty[[#This Row],[DsvAbs:SERRA]]=""),0,IF(PrvSty[[#This Row],[DesvTyp]]="Abs",PrvSty[[#This Row],[DsvAbs:SERRA]],PrvSty[[#This Row],[DsvAbs:SERRA]]*PrvSty[[#This Row],[Ppto]]))</f>
        <v>0</v>
      </c>
      <c r="P166" s="358">
        <f>IF(OR(PrvSty[[#This Row],[DsvAbs:EXT.]]="X",PrvSty[[#This Row],[DsvAbs:EXT.]]=""),0,IF(PrvSty[[#This Row],[DesvTyp]]="Abs",PrvSty[[#This Row],[DsvAbs:EXT.]],PrvSty[[#This Row],[DsvAbs:EXT.]]*PrvSty[[#This Row],[Ppto]]))</f>
        <v>0</v>
      </c>
      <c r="Q166" s="358" t="str" cm="1">
        <f t="array" aca="1" ref="Q166" ca="1">IFERROR(_xlfn._xlws.FILTER(#REF!,(#REF!=PrvSty[[#This Row],[Project]])*(#REF!=VALUE(_xlfn._xlws.FILTER(FilPrj4[Vrs],FilPrj4[PrjNam]=PrvSty[[#This Row],[Project]],"X"))),"X")-SUM(IF(INDIRECT(ADDRESS(MATCH("SOR",$A:$A,0),MATCH("PRJ",$1:$1,0),4)&amp;":"&amp;ADDRESS(SUM(ROW()-1),MATCH("PRJ",$1:$1,0),4))=PrvSty[[#This Row],[Project]],INDIRECT(ADDRESS(MATCH("SOR",$A:$A,0),MATCH("DSS",$1:$1,0),4)&amp;":"&amp;ADDRESS(SUM(ROW()-1),MATCH("DSE",$1:$1,0),4)))),"X")</f>
        <v>X</v>
      </c>
      <c r="R166" s="363" cm="1">
        <f t="array" aca="1" ref="R166" ca="1">SUM(IFERROR(SUM(_xlfn._xlws.FILTER(PptoSty[CurInt],(PptoSty[Project]=TEXT(PrvSty[[#This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D,INDIRECT(INDEX(INDIRECT($W$3),MATCH("DSS",INDIRECT($W$2),0))),SUM(IF((_xlfn.TAKE(_xlpm.yA,_xlpm.x)=PrvSty[[#This Row],[Project]])*(_xlfn.TAKE(_xlpm.yB,_xlpm.x)=PrvSty[[#This Row],[Row]])*(_xlfn.TAKE(_xlpm.yC,_xlpm.x)=PrvSty[[#This Row],[Column]]),_xlfn.TAKE(_xlpm.yD,_xlpm.x)))))</f>
        <v>0</v>
      </c>
      <c r="S166" s="363" cm="1">
        <f t="array" aca="1" ref="S166" ca="1">SUM(IFERROR(SUM(_xlfn._xlws.FILTER(PptoSty[CurExt],(PptoSty[Project]=TEXT(PrvSty[[#This Row],[Project]],"@"))*(PptoSty[PptoVsRow]=PrvSty[[#This Row],[Row]])*(PptoSty[PptoVsColumn]=PrvSty[[#This Row],[Column]]),0)),0),_xlfn.LET(_xlpm.x,SUM(ROW()-MATCH("SOR",$A:$A,0)),_xlpm.yA,INDIRECT(INDEX(INDIRECT($W$3),MATCH("PRJ",INDIRECT($W$2),0))),_xlpm.yB,INDIRECT(INDEX(INDIRECT($W$3),MATCH("ROW",INDIRECT($W$2),0))),_xlpm.yC,INDIRECT(INDEX(INDIRECT($W$3),MATCH("COL",INDIRECT($W$2),0))),_xlpm.yE,INDIRECT(INDEX(INDIRECT($W$3),MATCH("DSE",INDIRECT($W$2),0))),SUM(IF((_xlfn.TAKE(_xlpm.yA,_xlpm.x)=PrvSty[[#This Row],[Project]])*(_xlfn.TAKE(_xlpm.yB,_xlpm.x)=PrvSty[[#This Row],[Row]])*(_xlfn.TAKE(_xlpm.yC,_xlpm.x)=PrvSty[[#This Row],[Column]]),_xlfn.TAKE(_xlpm.yE,_xlpm.x)))))</f>
        <v>0</v>
      </c>
      <c r="T166" s="367" t="str" cm="1">
        <f t="array" ref="T166">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Row],[DsvValue:SERRA]]/_xlpm.x)),"X")</f>
        <v>X</v>
      </c>
      <c r="U166" s="367" t="str" cm="1">
        <f t="array" ref="U166">IFERROR(_xlfn.LET(_xlpm.x,_xlfn._xlws.FILTER(F_RT13[AvgPpto],(SUBSTITUTE(F_RT13[Merged]," +%","")=SUBSTITUTE(SUBSTITUTE(SUBSTITUTE(SUBSTITUTE(IFERROR(_xlfn.TEXTBEFORE(PrvSty[[#This Row],[Column]]," ("),PrvSty[[#This Row],[Column]]),"DE ",""),"DISEÑO ELÉCTRICO","AUTOMATISMOS"),"E.N.R.","ENR"),"GESTIÓN MECÁNICA","DEFINICIÓN"))*(F_RT13[PrjId]=PrvSty[[#This Row],[Project]])*(F_RT13[Vrs]=VALUE(_xlfn._xlws.FILTER(FilPrj4[Vrs],FilPrj4[PrjNam]=PrvSty[[#This Row],[Project]],"X"))),"X"),IF(_xlpm.x=0,0,PrvSty[[#This Row],[DsvValue:EXT.]]/_xlpm.x)),"X")</f>
        <v>X</v>
      </c>
      <c r="V166" s="395"/>
    </row>
    <row r="167" spans="1:22">
      <c r="A167" s="218" t="s">
        <v>406</v>
      </c>
    </row>
  </sheetData>
  <dataValidations count="4">
    <dataValidation type="list" allowBlank="1" showInputMessage="1" showErrorMessage="1" sqref="N5:N166" xr:uid="{18674BFC-FF30-41ED-8698-DBD8081932BE}">
      <formula1>"Abs,Rel"</formula1>
    </dataValidation>
    <dataValidation type="list" allowBlank="1" showInputMessage="1" showErrorMessage="1" sqref="G5:G166" xr:uid="{1A45F3D9-C9D3-4A83-85AC-6214228DA007}">
      <formula1>INDIRECT($X$5)</formula1>
    </dataValidation>
    <dataValidation type="list" showInputMessage="1" showErrorMessage="1" sqref="F5:F166" xr:uid="{3EAD534E-65DE-42B2-BF6D-88CB49E1CB6A}">
      <formula1>INDIRECT(INDEX(_xlfn._xlws.FILTER(INDIRECT($AA$4),(INDIRECT($Z$4)=TEXT($E5,"@")),"X"),1))</formula1>
    </dataValidation>
    <dataValidation type="list" allowBlank="1" showInputMessage="1" showErrorMessage="1" sqref="D5:D129" xr:uid="{5CF0D23C-33A9-4D06-8A6D-82084D4B7782}">
      <formula1>"Sp,Mx"</formula1>
    </dataValidation>
  </dataValidations>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87F56E-FEB8-4BDA-9F02-58E4D782DE8E}">
          <x14:formula1>
            <xm:f>_xlfn.ANCHORARRAY(InData!$G$3)</xm:f>
          </x14:formula1>
          <xm:sqref>E5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
    <outlinePr summaryBelow="0" summaryRight="0"/>
    <pageSetUpPr fitToPage="1"/>
  </sheetPr>
  <dimension ref="A1:AD295"/>
  <sheetViews>
    <sheetView topLeftCell="G247" zoomScale="150" workbookViewId="0">
      <selection activeCell="I261" sqref="I261"/>
    </sheetView>
  </sheetViews>
  <sheetFormatPr baseColWidth="10" defaultColWidth="12.6640625" defaultRowHeight="12" outlineLevelRow="1"/>
  <cols>
    <col min="1" max="1" width="1.83203125" style="127" bestFit="1" customWidth="1"/>
    <col min="2" max="2" width="6.6640625" style="37" bestFit="1" customWidth="1"/>
    <col min="3" max="5" width="5.5" style="37" customWidth="1"/>
    <col min="6" max="6" width="10.33203125" style="36" customWidth="1"/>
    <col min="7" max="7" width="13.83203125" style="36" customWidth="1"/>
    <col min="8" max="8" width="42.1640625" style="36" customWidth="1"/>
    <col min="9" max="9" width="8.6640625" style="40" customWidth="1"/>
    <col min="10" max="11" width="8.6640625" style="39" customWidth="1"/>
    <col min="12" max="12" width="8.6640625" style="40" customWidth="1"/>
    <col min="13" max="15" width="8.6640625" style="39" customWidth="1"/>
    <col min="16" max="16" width="8.6640625" style="40" customWidth="1"/>
    <col min="17" max="18" width="8.6640625" style="39" customWidth="1"/>
    <col min="19" max="20" width="8.6640625" style="40" customWidth="1"/>
    <col min="21" max="25" width="8.6640625" style="39" customWidth="1"/>
    <col min="26" max="26" width="6.5" style="39" bestFit="1" customWidth="1"/>
    <col min="27" max="30" width="11.33203125" style="39" customWidth="1"/>
    <col min="31" max="16384" width="12.6640625" style="37"/>
  </cols>
  <sheetData>
    <row r="1" spans="1:26" s="123" customFormat="1" ht="13">
      <c r="A1" s="123" t="s">
        <v>1314</v>
      </c>
      <c r="F1" s="124"/>
      <c r="G1" s="124"/>
      <c r="H1" s="124"/>
      <c r="I1" s="125"/>
      <c r="J1" s="125"/>
      <c r="K1" s="125"/>
      <c r="L1" s="125"/>
      <c r="M1" s="125"/>
      <c r="N1" s="125"/>
      <c r="O1" s="125"/>
      <c r="P1" s="125"/>
      <c r="Q1" s="125"/>
      <c r="R1" s="125"/>
      <c r="S1" s="125"/>
      <c r="T1" s="125"/>
      <c r="U1" s="125"/>
      <c r="V1" s="125"/>
      <c r="W1" s="125"/>
      <c r="X1" s="125"/>
      <c r="Y1" s="125"/>
      <c r="Z1" s="125" t="s">
        <v>1315</v>
      </c>
    </row>
    <row r="2" spans="1:26" s="33" customFormat="1" ht="17.25" customHeight="1">
      <c r="A2" s="123"/>
      <c r="B2" s="33" t="str" cm="1">
        <f t="array" aca="1" ref="B2" ca="1">_xlfn.TEXTAFTER(CELL("filename",INDIRECT("A1")),"]")</f>
        <v>Fback</v>
      </c>
      <c r="E2" s="33" t="str">
        <f>AsgnPpto!$B$4</f>
        <v>PptoSty</v>
      </c>
      <c r="F2" s="31" t="s">
        <v>1843</v>
      </c>
      <c r="G2" s="31"/>
      <c r="H2" s="31"/>
      <c r="I2" s="74"/>
      <c r="J2" s="74"/>
      <c r="K2" s="74"/>
      <c r="L2" s="74"/>
      <c r="M2" s="29"/>
      <c r="N2" s="29"/>
      <c r="O2" s="29"/>
      <c r="P2" s="29"/>
      <c r="Q2" s="29"/>
      <c r="R2" s="29"/>
      <c r="S2" s="29"/>
      <c r="T2" s="30"/>
      <c r="U2" s="31"/>
      <c r="V2" s="31"/>
      <c r="W2" s="31"/>
      <c r="X2" s="32"/>
      <c r="Y2" s="32"/>
      <c r="Z2" s="32"/>
    </row>
    <row r="3" spans="1:26" s="33" customFormat="1" ht="17.25" customHeight="1">
      <c r="A3" s="123" t="s">
        <v>1652</v>
      </c>
      <c r="B3" s="198" t="str">
        <f>ADDRESS(MATCH("SO"&amp;RIGHT($A3,1),$A:$A,0)+1,SUM(COLUMN()),4)&amp;":"&amp;ADDRESS(MATCH("EO"&amp;RIGHT($A3,1),$A:$A,0)-1,SUM(COLUMN()),4)</f>
        <v>B5:B50</v>
      </c>
      <c r="C3" s="198" t="str">
        <f>ADDRESS(MATCH("SO"&amp;RIGHT($A3,1),$A:$A,0)+1,SUM(COLUMN()),4)&amp;":"&amp;ADDRESS(MATCH("EO"&amp;RIGHT($A3,1),$A:$A,0)-1,SUM(COLUMN()),4)</f>
        <v>C5:C50</v>
      </c>
      <c r="D3" s="198" t="str">
        <f>ADDRESS(MATCH("SO"&amp;RIGHT($A3,1),$A:$A,0)+1,SUM(COLUMN()),4)&amp;":"&amp;ADDRESS(MATCH("EO"&amp;RIGHT($A3,1),$A:$A,0)-1,SUM(COLUMN()),4)</f>
        <v>D5:D50</v>
      </c>
      <c r="E3" s="198" t="str">
        <f>ADDRESS(MATCH("SO"&amp;RIGHT($A3,1),$A:$A,0)+1,SUM(COLUMN()),4)&amp;":"&amp;ADDRESS(MATCH("EO"&amp;RIGHT($A3,1),$A:$A,0)-1,SUM(COLUMN()),4)</f>
        <v>E5:E50</v>
      </c>
      <c r="F3" s="198" t="str">
        <f>ADDRESS(MATCH("SO"&amp;RIGHT($A3,1),$A:$A,0)+1,SUM(COLUMN()),4)&amp;":"&amp;ADDRESS(MATCH("EO"&amp;RIGHT($A3,1),$A:$A,0)-1,SUM(COLUMN()),4)</f>
        <v>F5:F50</v>
      </c>
      <c r="G3" s="198"/>
      <c r="H3" s="198"/>
      <c r="I3" s="198" t="str">
        <f t="shared" ref="I3:Y3" si="0">ADDRESS(MATCH("SO"&amp;RIGHT($A3,1),$A:$A,0)+1,SUM(COLUMN()),4)&amp;":"&amp;ADDRESS(MATCH("EO"&amp;RIGHT($A3,1),$A:$A,0)-1,SUM(COLUMN()),4)</f>
        <v>I5:I50</v>
      </c>
      <c r="J3" s="198" t="str">
        <f t="shared" si="0"/>
        <v>J5:J50</v>
      </c>
      <c r="K3" s="198" t="str">
        <f t="shared" si="0"/>
        <v>K5:K50</v>
      </c>
      <c r="L3" s="198" t="str">
        <f t="shared" si="0"/>
        <v>L5:L50</v>
      </c>
      <c r="M3" s="198" t="str">
        <f t="shared" si="0"/>
        <v>M5:M50</v>
      </c>
      <c r="N3" s="198" t="str">
        <f t="shared" si="0"/>
        <v>N5:N50</v>
      </c>
      <c r="O3" s="198" t="str">
        <f t="shared" si="0"/>
        <v>O5:O50</v>
      </c>
      <c r="P3" s="198" t="str">
        <f t="shared" si="0"/>
        <v>P5:P50</v>
      </c>
      <c r="Q3" s="198" t="str">
        <f t="shared" si="0"/>
        <v>Q5:Q50</v>
      </c>
      <c r="R3" s="198" t="str">
        <f t="shared" si="0"/>
        <v>R5:R50</v>
      </c>
      <c r="S3" s="198" t="str">
        <f t="shared" si="0"/>
        <v>S5:S50</v>
      </c>
      <c r="T3" s="198" t="str">
        <f t="shared" si="0"/>
        <v>T5:T50</v>
      </c>
      <c r="U3" s="198" t="str">
        <f t="shared" si="0"/>
        <v>U5:U50</v>
      </c>
      <c r="V3" s="198" t="str">
        <f t="shared" si="0"/>
        <v>V5:V50</v>
      </c>
      <c r="W3" s="198" t="str">
        <f t="shared" si="0"/>
        <v>W5:W50</v>
      </c>
      <c r="X3" s="198" t="str">
        <f t="shared" si="0"/>
        <v>X5:X50</v>
      </c>
      <c r="Y3" s="198" t="str">
        <f t="shared" si="0"/>
        <v>Y5:Y50</v>
      </c>
      <c r="Z3" s="32"/>
    </row>
    <row r="4" spans="1:26" s="34" customFormat="1" ht="40.5" customHeight="1">
      <c r="A4" s="126" t="s">
        <v>371</v>
      </c>
      <c r="B4" s="192" t="s">
        <v>444</v>
      </c>
      <c r="C4" s="192" t="s">
        <v>2129</v>
      </c>
      <c r="D4" s="192" t="s">
        <v>1565</v>
      </c>
      <c r="E4" s="192" t="s">
        <v>1569</v>
      </c>
      <c r="F4" s="192" t="s">
        <v>1495</v>
      </c>
      <c r="G4" s="192" t="s">
        <v>1981</v>
      </c>
      <c r="H4" s="192" t="s">
        <v>11</v>
      </c>
      <c r="I4" s="195" t="s">
        <v>1641</v>
      </c>
      <c r="J4" s="196" t="s">
        <v>1642</v>
      </c>
      <c r="K4" s="196" t="s">
        <v>1274</v>
      </c>
      <c r="L4" s="195" t="s">
        <v>360</v>
      </c>
      <c r="M4" s="196" t="s">
        <v>1643</v>
      </c>
      <c r="N4" s="196" t="s">
        <v>1644</v>
      </c>
      <c r="O4" s="195" t="s">
        <v>372</v>
      </c>
      <c r="P4" s="196" t="s">
        <v>379</v>
      </c>
      <c r="Q4" s="196" t="s">
        <v>380</v>
      </c>
      <c r="R4" s="196" t="s">
        <v>373</v>
      </c>
      <c r="S4" s="196" t="s">
        <v>381</v>
      </c>
      <c r="T4" s="196" t="s">
        <v>1645</v>
      </c>
      <c r="U4" s="195" t="s">
        <v>384</v>
      </c>
      <c r="V4" s="195" t="s">
        <v>1639</v>
      </c>
      <c r="W4" s="195" t="s">
        <v>1646</v>
      </c>
      <c r="X4" s="195" t="s">
        <v>1647</v>
      </c>
      <c r="Y4" s="195" t="s">
        <v>386</v>
      </c>
      <c r="Z4" s="35"/>
    </row>
    <row r="5" spans="1:26" s="33" customFormat="1" ht="17.25" customHeight="1" outlineLevel="1">
      <c r="A5" s="123"/>
      <c r="B5" s="140" t="str" cm="1">
        <f t="array" ref="B5:H40">_xlfn.TAKE(_xlfn._xlws.FILTER(F_RT14[],(F_RT14[Measure]=$F$2)*(LEFT(F_RT14[ActGrp],1)="X"),"X"),,7)</f>
        <v>31199</v>
      </c>
      <c r="C5" s="128" t="str">
        <v>Sp</v>
      </c>
      <c r="D5" s="128">
        <v>0</v>
      </c>
      <c r="E5" s="128" t="str">
        <v>TOOL</v>
      </c>
      <c r="F5" s="139" t="str">
        <v>SERRA</v>
      </c>
      <c r="G5" s="139" t="str">
        <v>CurPpto</v>
      </c>
      <c r="H5" s="139" t="str">
        <v>X001:SUBGROUP TOOL</v>
      </c>
      <c r="I5" s="197" cm="1">
        <f t="array" ref="I5">IF(OR($B5="",$B5="X",$D5="",$D5="X",$E5="",$E5="X",$F5="",$F5="X",$G5="",$G5="X",$H5="",$H5="X"),0,SUM(_xlfn._xlws.FILTER(VALUE(PptoSty[Sign]&amp;"1")*1/PptoSty[Division],(PptoSty[Division]&lt;&gt;0)*(PptoSty[Division]&lt;&gt;"")*(PptoSty[Division]&lt;&gt;"X")*(PptoSty[Project]=$B5)*(PptoSty[Vrs]=$D5)*(PptoSty[Site]=$F5)*(PptoSty[PiRow]=_xlfn.TEXTAFTER($H5,":"))*(PptoSty[PiColumn]=I$54),0)))</f>
        <v>0</v>
      </c>
      <c r="J5" s="197" cm="1">
        <f t="array" ref="J5">IF(OR($B5="",$B5="X",$D5="",$D5="X",$E5="",$E5="X",$F5="",$F5="X",$G5="",$G5="X",$H5="",$H5="X"),0,SUM(_xlfn._xlws.FILTER(VALUE(PptoSty[Sign]&amp;"1")*1/PptoSty[Division],(PptoSty[Division]&lt;&gt;0)*(PptoSty[Division]&lt;&gt;"")*(PptoSty[Division]&lt;&gt;"X")*(PptoSty[Project]=$B5)*(PptoSty[Vrs]=$D5)*(PptoSty[Site]=$F5)*(PptoSty[PiRow]=_xlfn.TEXTAFTER($H5,":"))*(PptoSty[PiColumn]=J$54),0)))</f>
        <v>0</v>
      </c>
      <c r="K5" s="197" cm="1">
        <f t="array" ref="K5">IF(OR($B5="",$B5="X",$D5="",$D5="X",$E5="",$E5="X",$F5="",$F5="X",$G5="",$G5="X",$H5="",$H5="X"),0,SUM(_xlfn._xlws.FILTER(VALUE(PptoSty[Sign]&amp;"1")*1/PptoSty[Division],(PptoSty[Division]&lt;&gt;0)*(PptoSty[Division]&lt;&gt;"")*(PptoSty[Division]&lt;&gt;"X")*(PptoSty[Project]=$B5)*(PptoSty[Vrs]=$D5)*(PptoSty[Site]=$F5)*(PptoSty[PiRow]=_xlfn.TEXTAFTER($H5,":"))*(PptoSty[PiColumn]=K$54),0)))</f>
        <v>1</v>
      </c>
      <c r="L5" s="197" cm="1">
        <f t="array" ref="L5">IF(OR($B5="",$B5="X",$D5="",$D5="X",$E5="",$E5="X",$F5="",$F5="X",$G5="",$G5="X",$H5="",$H5="X"),0,SUM(_xlfn._xlws.FILTER(VALUE(PptoSty[Sign]&amp;"1")*1/PptoSty[Division],(PptoSty[Division]&lt;&gt;0)*(PptoSty[Division]&lt;&gt;"")*(PptoSty[Division]&lt;&gt;"X")*(PptoSty[Project]=$B5)*(PptoSty[Vrs]=$D5)*(PptoSty[Site]=$F5)*(PptoSty[PiRow]=_xlfn.TEXTAFTER($H5,":"))*(PptoSty[PiColumn]=L$54),0)))</f>
        <v>0</v>
      </c>
      <c r="M5" s="197" cm="1">
        <f t="array" ref="M5">IF(OR($B5="",$B5="X",$D5="",$D5="X",$E5="",$E5="X",$F5="",$F5="X",$G5="",$G5="X",$H5="",$H5="X"),0,SUM(_xlfn._xlws.FILTER(VALUE(PptoSty[Sign]&amp;"1")*1/PptoSty[Division],(PptoSty[Division]&lt;&gt;0)*(PptoSty[Division]&lt;&gt;"")*(PptoSty[Division]&lt;&gt;"X")*(PptoSty[Project]=$B5)*(PptoSty[Vrs]=$D5)*(PptoSty[Site]=$F5)*(PptoSty[PiRow]=_xlfn.TEXTAFTER($H5,":"))*(PptoSty[PiColumn]=M$54),0)))</f>
        <v>0</v>
      </c>
      <c r="N5" s="197" cm="1">
        <f t="array" ref="N5">IF(OR($B5="",$B5="X",$D5="",$D5="X",$E5="",$E5="X",$F5="",$F5="X",$G5="",$G5="X",$H5="",$H5="X"),0,SUM(_xlfn._xlws.FILTER(VALUE(PptoSty[Sign]&amp;"1")*1/PptoSty[Division],(PptoSty[Division]&lt;&gt;0)*(PptoSty[Division]&lt;&gt;"")*(PptoSty[Division]&lt;&gt;"X")*(PptoSty[Project]=$B5)*(PptoSty[Vrs]=$D5)*(PptoSty[Site]=$F5)*(PptoSty[PiRow]=_xlfn.TEXTAFTER($H5,":"))*(PptoSty[PiColumn]=N$54),0)))</f>
        <v>0</v>
      </c>
      <c r="O5" s="197" cm="1">
        <f t="array" ref="O5">IF(OR($B5="",$B5="X",$D5="",$D5="X",$E5="",$E5="X",$F5="",$F5="X",$G5="",$G5="X",$H5="",$H5="X"),0,SUM(_xlfn._xlws.FILTER(VALUE(PptoSty[Sign]&amp;"1")*1/PptoSty[Division],(PptoSty[Division]&lt;&gt;0)*(PptoSty[Division]&lt;&gt;"")*(PptoSty[Division]&lt;&gt;"X")*(PptoSty[Project]=$B5)*(PptoSty[Vrs]=$D5)*(PptoSty[Site]=$F5)*(PptoSty[PiRow]=_xlfn.TEXTAFTER($H5,":"))*(PptoSty[PiColumn]=O$54),0)))</f>
        <v>0</v>
      </c>
      <c r="P5" s="197" cm="1">
        <f t="array" ref="P5">IF(OR($B5="",$B5="X",$D5="",$D5="X",$E5="",$E5="X",$F5="",$F5="X",$G5="",$G5="X",$H5="",$H5="X"),0,SUM(_xlfn._xlws.FILTER(VALUE(PptoSty[Sign]&amp;"1")*1/PptoSty[Division],(PptoSty[Division]&lt;&gt;0)*(PptoSty[Division]&lt;&gt;"")*(PptoSty[Division]&lt;&gt;"X")*(PptoSty[Project]=$B5)*(PptoSty[Vrs]=$D5)*(PptoSty[Site]=$F5)*(PptoSty[PiRow]=_xlfn.TEXTAFTER($H5,":"))*(PptoSty[PiColumn]=P$54),0)))</f>
        <v>1</v>
      </c>
      <c r="Q5" s="197" cm="1">
        <f t="array" ref="Q5">IF(OR($B5="",$B5="X",$D5="",$D5="X",$E5="",$E5="X",$F5="",$F5="X",$G5="",$G5="X",$H5="",$H5="X"),0,SUM(_xlfn._xlws.FILTER(VALUE(PptoSty[Sign]&amp;"1")*1/PptoSty[Division],(PptoSty[Division]&lt;&gt;0)*(PptoSty[Division]&lt;&gt;"")*(PptoSty[Division]&lt;&gt;"X")*(PptoSty[Project]=$B5)*(PptoSty[Vrs]=$D5)*(PptoSty[Site]=$F5)*(PptoSty[PiRow]=_xlfn.TEXTAFTER($H5,":"))*(PptoSty[PiColumn]=Q$54),0)))</f>
        <v>1</v>
      </c>
      <c r="R5" s="197" cm="1">
        <f t="array" ref="R5">IF(OR($B5="",$B5="X",$D5="",$D5="X",$E5="",$E5="X",$F5="",$F5="X",$G5="",$G5="X",$H5="",$H5="X"),0,SUM(_xlfn._xlws.FILTER(VALUE(PptoSty[Sign]&amp;"1")*1/PptoSty[Division],(PptoSty[Division]&lt;&gt;0)*(PptoSty[Division]&lt;&gt;"")*(PptoSty[Division]&lt;&gt;"X")*(PptoSty[Project]=$B5)*(PptoSty[Vrs]=$D5)*(PptoSty[Site]=$F5)*(PptoSty[PiRow]=_xlfn.TEXTAFTER($H5,":"))*(PptoSty[PiColumn]=R$54),0)))</f>
        <v>1</v>
      </c>
      <c r="S5" s="197" cm="1">
        <f t="array" ref="S5">IF(OR($B5="",$B5="X",$D5="",$D5="X",$E5="",$E5="X",$F5="",$F5="X",$G5="",$G5="X",$H5="",$H5="X"),0,SUM(_xlfn._xlws.FILTER(VALUE(PptoSty[Sign]&amp;"1")*1/PptoSty[Division],(PptoSty[Division]&lt;&gt;0)*(PptoSty[Division]&lt;&gt;"")*(PptoSty[Division]&lt;&gt;"X")*(PptoSty[Project]=$B5)*(PptoSty[Vrs]=$D5)*(PptoSty[Site]=$F5)*(PptoSty[PiRow]=_xlfn.TEXTAFTER($H5,":"))*(PptoSty[PiColumn]=S$54),0)))</f>
        <v>1</v>
      </c>
      <c r="T5" s="197" cm="1">
        <f t="array" ref="T5">IF(OR($B5="",$B5="X",$D5="",$D5="X",$E5="",$E5="X",$F5="",$F5="X",$G5="",$G5="X",$H5="",$H5="X"),0,SUM(_xlfn._xlws.FILTER(VALUE(PptoSty[Sign]&amp;"1")*1/PptoSty[Division],(PptoSty[Division]&lt;&gt;0)*(PptoSty[Division]&lt;&gt;"")*(PptoSty[Division]&lt;&gt;"X")*(PptoSty[Project]=$B5)*(PptoSty[Vrs]=$D5)*(PptoSty[Site]=$F5)*(PptoSty[PiRow]=_xlfn.TEXTAFTER($H5,":"))*(PptoSty[PiColumn]=T$54),0)))</f>
        <v>1</v>
      </c>
      <c r="U5" s="197" cm="1">
        <f t="array" ref="U5">IF(OR($B5="",$B5="X",$D5="",$D5="X",$E5="",$E5="X",$F5="",$F5="X",$G5="",$G5="X",$H5="",$H5="X"),0,SUM(_xlfn._xlws.FILTER(VALUE(PptoSty[Sign]&amp;"1")*1/PptoSty[Division],(PptoSty[Division]&lt;&gt;0)*(PptoSty[Division]&lt;&gt;"")*(PptoSty[Division]&lt;&gt;"X")*(PptoSty[Project]=$B5)*(PptoSty[Vrs]=$D5)*(PptoSty[Site]=$F5)*(PptoSty[PiRow]=_xlfn.TEXTAFTER($H5,":"))*(PptoSty[PiColumn]=U$54),0)))</f>
        <v>0</v>
      </c>
      <c r="V5" s="197" cm="1">
        <f t="array" ref="V5">IF(OR($B5="",$B5="X",$D5="",$D5="X",$E5="",$E5="X",$F5="",$F5="X",$G5="",$G5="X",$H5="",$H5="X"),0,SUM(_xlfn._xlws.FILTER(VALUE(PptoSty[Sign]&amp;"1")*1/PptoSty[Division],(PptoSty[Division]&lt;&gt;0)*(PptoSty[Division]&lt;&gt;"")*(PptoSty[Division]&lt;&gt;"X")*(PptoSty[Project]=$B5)*(PptoSty[Vrs]=$D5)*(PptoSty[Site]=$F5)*(PptoSty[PiRow]=_xlfn.TEXTAFTER($H5,":"))*(PptoSty[PiColumn]=V$54),0)))</f>
        <v>1</v>
      </c>
      <c r="W5" s="197" cm="1">
        <f t="array" ref="W5">IF(OR($B5="",$B5="X",$D5="",$D5="X",$E5="",$E5="X",$F5="",$F5="X",$G5="",$G5="X",$H5="",$H5="X"),0,SUM(_xlfn._xlws.FILTER(VALUE(PptoSty[Sign]&amp;"1")*1/PptoSty[Division],(PptoSty[Division]&lt;&gt;0)*(PptoSty[Division]&lt;&gt;"")*(PptoSty[Division]&lt;&gt;"X")*(PptoSty[Project]=$B5)*(PptoSty[Vrs]=$D5)*(PptoSty[Site]=$F5)*(PptoSty[PiRow]=_xlfn.TEXTAFTER($H5,":"))*(PptoSty[PiColumn]=W$54),0)))</f>
        <v>1</v>
      </c>
      <c r="X5" s="197" cm="1">
        <f t="array" ref="X5">IF(OR($B5="",$B5="X",$D5="",$D5="X",$E5="",$E5="X",$F5="",$F5="X",$G5="",$G5="X",$H5="",$H5="X"),0,SUM(_xlfn._xlws.FILTER(VALUE(PptoSty[Sign]&amp;"1")*1/PptoSty[Division],(PptoSty[Division]&lt;&gt;0)*(PptoSty[Division]&lt;&gt;"")*(PptoSty[Division]&lt;&gt;"X")*(PptoSty[Project]=$B5)*(PptoSty[Vrs]=$D5)*(PptoSty[Site]=$F5)*(PptoSty[PiRow]=_xlfn.TEXTAFTER($H5,":"))*(PptoSty[PiColumn]=X$54),0)))</f>
        <v>1</v>
      </c>
      <c r="Y5" s="197" cm="1">
        <f t="array" ref="Y5">IF(OR($B5="",$B5="X",$D5="",$D5="X",$E5="",$E5="X",$F5="",$F5="X",$G5="",$G5="X",$H5="",$H5="X"),0,SUM(_xlfn._xlws.FILTER(VALUE(PptoSty[Sign]&amp;"1")*1/PptoSty[Division],(PptoSty[Division]&lt;&gt;0)*(PptoSty[Division]&lt;&gt;"")*(PptoSty[Division]&lt;&gt;"X")*(PptoSty[Project]=$B5)*(PptoSty[Vrs]=$D5)*(PptoSty[Site]=$F5)*(PptoSty[PiRow]=_xlfn.TEXTAFTER($H5,":"))*(PptoSty[PiColumn]=Y$54),0)))</f>
        <v>0</v>
      </c>
      <c r="Z5" s="32"/>
    </row>
    <row r="6" spans="1:26" s="33" customFormat="1" ht="17.25" customHeight="1" outlineLevel="1">
      <c r="A6" s="123"/>
      <c r="B6" s="140" t="str">
        <v>31200</v>
      </c>
      <c r="C6" s="128" t="str">
        <v>Sp</v>
      </c>
      <c r="D6" s="128">
        <v>15</v>
      </c>
      <c r="E6" s="128" t="str">
        <v>TOOL</v>
      </c>
      <c r="F6" s="139" t="str">
        <v>SERRA</v>
      </c>
      <c r="G6" s="139" t="str">
        <v>CurPpto</v>
      </c>
      <c r="H6" s="139" t="str">
        <v>X001:SUBGROUP TOOL</v>
      </c>
      <c r="I6" s="197" cm="1">
        <f t="array" ref="I6">IF(OR($B6="",$B6="X",$D6="",$D6="X",$E6="",$E6="X",$F6="",$F6="X",$G6="",$G6="X",$H6="",$H6="X"),0,SUM(_xlfn._xlws.FILTER(VALUE(PptoSty[Sign]&amp;"1")*1/PptoSty[Division],(PptoSty[Division]&lt;&gt;0)*(PptoSty[Division]&lt;&gt;"")*(PptoSty[Division]&lt;&gt;"X")*(PptoSty[Project]=$B6)*(PptoSty[Vrs]=$D6)*(PptoSty[Site]=$F6)*(PptoSty[PiRow]=_xlfn.TEXTAFTER($H6,":"))*(PptoSty[PiColumn]=I$54),0)))</f>
        <v>0</v>
      </c>
      <c r="J6" s="197" cm="1">
        <f t="array" ref="J6">IF(OR($B6="",$B6="X",$D6="",$D6="X",$E6="",$E6="X",$F6="",$F6="X",$G6="",$G6="X",$H6="",$H6="X"),0,SUM(_xlfn._xlws.FILTER(VALUE(PptoSty[Sign]&amp;"1")*1/PptoSty[Division],(PptoSty[Division]&lt;&gt;0)*(PptoSty[Division]&lt;&gt;"")*(PptoSty[Division]&lt;&gt;"X")*(PptoSty[Project]=$B6)*(PptoSty[Vrs]=$D6)*(PptoSty[Site]=$F6)*(PptoSty[PiRow]=_xlfn.TEXTAFTER($H6,":"))*(PptoSty[PiColumn]=J$54),0)))</f>
        <v>0</v>
      </c>
      <c r="K6" s="197" cm="1">
        <f t="array" ref="K6">IF(OR($B6="",$B6="X",$D6="",$D6="X",$E6="",$E6="X",$F6="",$F6="X",$G6="",$G6="X",$H6="",$H6="X"),0,SUM(_xlfn._xlws.FILTER(VALUE(PptoSty[Sign]&amp;"1")*1/PptoSty[Division],(PptoSty[Division]&lt;&gt;0)*(PptoSty[Division]&lt;&gt;"")*(PptoSty[Division]&lt;&gt;"X")*(PptoSty[Project]=$B6)*(PptoSty[Vrs]=$D6)*(PptoSty[Site]=$F6)*(PptoSty[PiRow]=_xlfn.TEXTAFTER($H6,":"))*(PptoSty[PiColumn]=K$54),0)))</f>
        <v>1</v>
      </c>
      <c r="L6" s="197" cm="1">
        <f t="array" ref="L6">IF(OR($B6="",$B6="X",$D6="",$D6="X",$E6="",$E6="X",$F6="",$F6="X",$G6="",$G6="X",$H6="",$H6="X"),0,SUM(_xlfn._xlws.FILTER(VALUE(PptoSty[Sign]&amp;"1")*1/PptoSty[Division],(PptoSty[Division]&lt;&gt;0)*(PptoSty[Division]&lt;&gt;"")*(PptoSty[Division]&lt;&gt;"X")*(PptoSty[Project]=$B6)*(PptoSty[Vrs]=$D6)*(PptoSty[Site]=$F6)*(PptoSty[PiRow]=_xlfn.TEXTAFTER($H6,":"))*(PptoSty[PiColumn]=L$54),0)))</f>
        <v>0</v>
      </c>
      <c r="M6" s="197" cm="1">
        <f t="array" ref="M6">IF(OR($B6="",$B6="X",$D6="",$D6="X",$E6="",$E6="X",$F6="",$F6="X",$G6="",$G6="X",$H6="",$H6="X"),0,SUM(_xlfn._xlws.FILTER(VALUE(PptoSty[Sign]&amp;"1")*1/PptoSty[Division],(PptoSty[Division]&lt;&gt;0)*(PptoSty[Division]&lt;&gt;"")*(PptoSty[Division]&lt;&gt;"X")*(PptoSty[Project]=$B6)*(PptoSty[Vrs]=$D6)*(PptoSty[Site]=$F6)*(PptoSty[PiRow]=_xlfn.TEXTAFTER($H6,":"))*(PptoSty[PiColumn]=M$54),0)))</f>
        <v>0</v>
      </c>
      <c r="N6" s="197" cm="1">
        <f t="array" ref="N6">IF(OR($B6="",$B6="X",$D6="",$D6="X",$E6="",$E6="X",$F6="",$F6="X",$G6="",$G6="X",$H6="",$H6="X"),0,SUM(_xlfn._xlws.FILTER(VALUE(PptoSty[Sign]&amp;"1")*1/PptoSty[Division],(PptoSty[Division]&lt;&gt;0)*(PptoSty[Division]&lt;&gt;"")*(PptoSty[Division]&lt;&gt;"X")*(PptoSty[Project]=$B6)*(PptoSty[Vrs]=$D6)*(PptoSty[Site]=$F6)*(PptoSty[PiRow]=_xlfn.TEXTAFTER($H6,":"))*(PptoSty[PiColumn]=N$54),0)))</f>
        <v>0</v>
      </c>
      <c r="O6" s="197" cm="1">
        <f t="array" ref="O6">IF(OR($B6="",$B6="X",$D6="",$D6="X",$E6="",$E6="X",$F6="",$F6="X",$G6="",$G6="X",$H6="",$H6="X"),0,SUM(_xlfn._xlws.FILTER(VALUE(PptoSty[Sign]&amp;"1")*1/PptoSty[Division],(PptoSty[Division]&lt;&gt;0)*(PptoSty[Division]&lt;&gt;"")*(PptoSty[Division]&lt;&gt;"X")*(PptoSty[Project]=$B6)*(PptoSty[Vrs]=$D6)*(PptoSty[Site]=$F6)*(PptoSty[PiRow]=_xlfn.TEXTAFTER($H6,":"))*(PptoSty[PiColumn]=O$54),0)))</f>
        <v>0</v>
      </c>
      <c r="P6" s="197" cm="1">
        <f t="array" ref="P6">IF(OR($B6="",$B6="X",$D6="",$D6="X",$E6="",$E6="X",$F6="",$F6="X",$G6="",$G6="X",$H6="",$H6="X"),0,SUM(_xlfn._xlws.FILTER(VALUE(PptoSty[Sign]&amp;"1")*1/PptoSty[Division],(PptoSty[Division]&lt;&gt;0)*(PptoSty[Division]&lt;&gt;"")*(PptoSty[Division]&lt;&gt;"X")*(PptoSty[Project]=$B6)*(PptoSty[Vrs]=$D6)*(PptoSty[Site]=$F6)*(PptoSty[PiRow]=_xlfn.TEXTAFTER($H6,":"))*(PptoSty[PiColumn]=P$54),0)))</f>
        <v>1</v>
      </c>
      <c r="Q6" s="197" cm="1">
        <f t="array" ref="Q6">IF(OR($B6="",$B6="X",$D6="",$D6="X",$E6="",$E6="X",$F6="",$F6="X",$G6="",$G6="X",$H6="",$H6="X"),0,SUM(_xlfn._xlws.FILTER(VALUE(PptoSty[Sign]&amp;"1")*1/PptoSty[Division],(PptoSty[Division]&lt;&gt;0)*(PptoSty[Division]&lt;&gt;"")*(PptoSty[Division]&lt;&gt;"X")*(PptoSty[Project]=$B6)*(PptoSty[Vrs]=$D6)*(PptoSty[Site]=$F6)*(PptoSty[PiRow]=_xlfn.TEXTAFTER($H6,":"))*(PptoSty[PiColumn]=Q$54),0)))</f>
        <v>1</v>
      </c>
      <c r="R6" s="197" cm="1">
        <f t="array" ref="R6">IF(OR($B6="",$B6="X",$D6="",$D6="X",$E6="",$E6="X",$F6="",$F6="X",$G6="",$G6="X",$H6="",$H6="X"),0,SUM(_xlfn._xlws.FILTER(VALUE(PptoSty[Sign]&amp;"1")*1/PptoSty[Division],(PptoSty[Division]&lt;&gt;0)*(PptoSty[Division]&lt;&gt;"")*(PptoSty[Division]&lt;&gt;"X")*(PptoSty[Project]=$B6)*(PptoSty[Vrs]=$D6)*(PptoSty[Site]=$F6)*(PptoSty[PiRow]=_xlfn.TEXTAFTER($H6,":"))*(PptoSty[PiColumn]=R$54),0)))</f>
        <v>1</v>
      </c>
      <c r="S6" s="197" cm="1">
        <f t="array" ref="S6">IF(OR($B6="",$B6="X",$D6="",$D6="X",$E6="",$E6="X",$F6="",$F6="X",$G6="",$G6="X",$H6="",$H6="X"),0,SUM(_xlfn._xlws.FILTER(VALUE(PptoSty[Sign]&amp;"1")*1/PptoSty[Division],(PptoSty[Division]&lt;&gt;0)*(PptoSty[Division]&lt;&gt;"")*(PptoSty[Division]&lt;&gt;"X")*(PptoSty[Project]=$B6)*(PptoSty[Vrs]=$D6)*(PptoSty[Site]=$F6)*(PptoSty[PiRow]=_xlfn.TEXTAFTER($H6,":"))*(PptoSty[PiColumn]=S$54),0)))</f>
        <v>1</v>
      </c>
      <c r="T6" s="197" cm="1">
        <f t="array" ref="T6">IF(OR($B6="",$B6="X",$D6="",$D6="X",$E6="",$E6="X",$F6="",$F6="X",$G6="",$G6="X",$H6="",$H6="X"),0,SUM(_xlfn._xlws.FILTER(VALUE(PptoSty[Sign]&amp;"1")*1/PptoSty[Division],(PptoSty[Division]&lt;&gt;0)*(PptoSty[Division]&lt;&gt;"")*(PptoSty[Division]&lt;&gt;"X")*(PptoSty[Project]=$B6)*(PptoSty[Vrs]=$D6)*(PptoSty[Site]=$F6)*(PptoSty[PiRow]=_xlfn.TEXTAFTER($H6,":"))*(PptoSty[PiColumn]=T$54),0)))</f>
        <v>1</v>
      </c>
      <c r="U6" s="197" cm="1">
        <f t="array" ref="U6">IF(OR($B6="",$B6="X",$D6="",$D6="X",$E6="",$E6="X",$F6="",$F6="X",$G6="",$G6="X",$H6="",$H6="X"),0,SUM(_xlfn._xlws.FILTER(VALUE(PptoSty[Sign]&amp;"1")*1/PptoSty[Division],(PptoSty[Division]&lt;&gt;0)*(PptoSty[Division]&lt;&gt;"")*(PptoSty[Division]&lt;&gt;"X")*(PptoSty[Project]=$B6)*(PptoSty[Vrs]=$D6)*(PptoSty[Site]=$F6)*(PptoSty[PiRow]=_xlfn.TEXTAFTER($H6,":"))*(PptoSty[PiColumn]=U$54),0)))</f>
        <v>0</v>
      </c>
      <c r="V6" s="197" cm="1">
        <f t="array" ref="V6">IF(OR($B6="",$B6="X",$D6="",$D6="X",$E6="",$E6="X",$F6="",$F6="X",$G6="",$G6="X",$H6="",$H6="X"),0,SUM(_xlfn._xlws.FILTER(VALUE(PptoSty[Sign]&amp;"1")*1/PptoSty[Division],(PptoSty[Division]&lt;&gt;0)*(PptoSty[Division]&lt;&gt;"")*(PptoSty[Division]&lt;&gt;"X")*(PptoSty[Project]=$B6)*(PptoSty[Vrs]=$D6)*(PptoSty[Site]=$F6)*(PptoSty[PiRow]=_xlfn.TEXTAFTER($H6,":"))*(PptoSty[PiColumn]=V$54),0)))</f>
        <v>1</v>
      </c>
      <c r="W6" s="197" cm="1">
        <f t="array" ref="W6">IF(OR($B6="",$B6="X",$D6="",$D6="X",$E6="",$E6="X",$F6="",$F6="X",$G6="",$G6="X",$H6="",$H6="X"),0,SUM(_xlfn._xlws.FILTER(VALUE(PptoSty[Sign]&amp;"1")*1/PptoSty[Division],(PptoSty[Division]&lt;&gt;0)*(PptoSty[Division]&lt;&gt;"")*(PptoSty[Division]&lt;&gt;"X")*(PptoSty[Project]=$B6)*(PptoSty[Vrs]=$D6)*(PptoSty[Site]=$F6)*(PptoSty[PiRow]=_xlfn.TEXTAFTER($H6,":"))*(PptoSty[PiColumn]=W$54),0)))</f>
        <v>1</v>
      </c>
      <c r="X6" s="197" cm="1">
        <f t="array" ref="X6">IF(OR($B6="",$B6="X",$D6="",$D6="X",$E6="",$E6="X",$F6="",$F6="X",$G6="",$G6="X",$H6="",$H6="X"),0,SUM(_xlfn._xlws.FILTER(VALUE(PptoSty[Sign]&amp;"1")*1/PptoSty[Division],(PptoSty[Division]&lt;&gt;0)*(PptoSty[Division]&lt;&gt;"")*(PptoSty[Division]&lt;&gt;"X")*(PptoSty[Project]=$B6)*(PptoSty[Vrs]=$D6)*(PptoSty[Site]=$F6)*(PptoSty[PiRow]=_xlfn.TEXTAFTER($H6,":"))*(PptoSty[PiColumn]=X$54),0)))</f>
        <v>1</v>
      </c>
      <c r="Y6" s="197" cm="1">
        <f t="array" ref="Y6">IF(OR($B6="",$B6="X",$D6="",$D6="X",$E6="",$E6="X",$F6="",$F6="X",$G6="",$G6="X",$H6="",$H6="X"),0,SUM(_xlfn._xlws.FILTER(VALUE(PptoSty[Sign]&amp;"1")*1/PptoSty[Division],(PptoSty[Division]&lt;&gt;0)*(PptoSty[Division]&lt;&gt;"")*(PptoSty[Division]&lt;&gt;"X")*(PptoSty[Project]=$B6)*(PptoSty[Vrs]=$D6)*(PptoSty[Site]=$F6)*(PptoSty[PiRow]=_xlfn.TEXTAFTER($H6,":"))*(PptoSty[PiColumn]=Y$54),0)))</f>
        <v>0</v>
      </c>
      <c r="Z6" s="32"/>
    </row>
    <row r="7" spans="1:26" s="33" customFormat="1" ht="17.25" customHeight="1" outlineLevel="1">
      <c r="A7" s="123"/>
      <c r="B7" s="140" t="str">
        <v>31199</v>
      </c>
      <c r="C7" s="128" t="str">
        <v>Sp</v>
      </c>
      <c r="D7" s="128">
        <v>0</v>
      </c>
      <c r="E7" s="128" t="str">
        <v>CELL</v>
      </c>
      <c r="F7" s="139" t="str">
        <v>SERRA</v>
      </c>
      <c r="G7" s="139" t="str">
        <v>CurPpto</v>
      </c>
      <c r="H7" s="139" t="str">
        <v>X002:SUBGROUP CELL</v>
      </c>
      <c r="I7" s="197" cm="1">
        <f t="array" ref="I7">IF(OR($B7="",$B7="X",$D7="",$D7="X",$E7="",$E7="X",$F7="",$F7="X",$G7="",$G7="X",$H7="",$H7="X"),0,SUM(_xlfn._xlws.FILTER(VALUE(PptoSty[Sign]&amp;"1")*1/PptoSty[Division],(PptoSty[Division]&lt;&gt;0)*(PptoSty[Division]&lt;&gt;"")*(PptoSty[Division]&lt;&gt;"X")*(PptoSty[Project]=$B7)*(PptoSty[Vrs]=$D7)*(PptoSty[Site]=$F7)*(PptoSty[PiRow]=_xlfn.TEXTAFTER($H7,":"))*(PptoSty[PiColumn]=I$54),0)))</f>
        <v>0</v>
      </c>
      <c r="J7" s="197" cm="1">
        <f t="array" ref="J7">IF(OR($B7="",$B7="X",$D7="",$D7="X",$E7="",$E7="X",$F7="",$F7="X",$G7="",$G7="X",$H7="",$H7="X"),0,SUM(_xlfn._xlws.FILTER(VALUE(PptoSty[Sign]&amp;"1")*1/PptoSty[Division],(PptoSty[Division]&lt;&gt;0)*(PptoSty[Division]&lt;&gt;"")*(PptoSty[Division]&lt;&gt;"X")*(PptoSty[Project]=$B7)*(PptoSty[Vrs]=$D7)*(PptoSty[Site]=$F7)*(PptoSty[PiRow]=_xlfn.TEXTAFTER($H7,":"))*(PptoSty[PiColumn]=J$54),0)))</f>
        <v>0</v>
      </c>
      <c r="K7" s="197" cm="1">
        <f t="array" ref="K7">IF(OR($B7="",$B7="X",$D7="",$D7="X",$E7="",$E7="X",$F7="",$F7="X",$G7="",$G7="X",$H7="",$H7="X"),0,SUM(_xlfn._xlws.FILTER(VALUE(PptoSty[Sign]&amp;"1")*1/PptoSty[Division],(PptoSty[Division]&lt;&gt;0)*(PptoSty[Division]&lt;&gt;"")*(PptoSty[Division]&lt;&gt;"X")*(PptoSty[Project]=$B7)*(PptoSty[Vrs]=$D7)*(PptoSty[Site]=$F7)*(PptoSty[PiRow]=_xlfn.TEXTAFTER($H7,":"))*(PptoSty[PiColumn]=K$54),0)))</f>
        <v>1</v>
      </c>
      <c r="L7" s="197" cm="1">
        <f t="array" ref="L7">IF(OR($B7="",$B7="X",$D7="",$D7="X",$E7="",$E7="X",$F7="",$F7="X",$G7="",$G7="X",$H7="",$H7="X"),0,SUM(_xlfn._xlws.FILTER(VALUE(PptoSty[Sign]&amp;"1")*1/PptoSty[Division],(PptoSty[Division]&lt;&gt;0)*(PptoSty[Division]&lt;&gt;"")*(PptoSty[Division]&lt;&gt;"X")*(PptoSty[Project]=$B7)*(PptoSty[Vrs]=$D7)*(PptoSty[Site]=$F7)*(PptoSty[PiRow]=_xlfn.TEXTAFTER($H7,":"))*(PptoSty[PiColumn]=L$54),0)))</f>
        <v>0</v>
      </c>
      <c r="M7" s="197" cm="1">
        <f t="array" ref="M7">IF(OR($B7="",$B7="X",$D7="",$D7="X",$E7="",$E7="X",$F7="",$F7="X",$G7="",$G7="X",$H7="",$H7="X"),0,SUM(_xlfn._xlws.FILTER(VALUE(PptoSty[Sign]&amp;"1")*1/PptoSty[Division],(PptoSty[Division]&lt;&gt;0)*(PptoSty[Division]&lt;&gt;"")*(PptoSty[Division]&lt;&gt;"X")*(PptoSty[Project]=$B7)*(PptoSty[Vrs]=$D7)*(PptoSty[Site]=$F7)*(PptoSty[PiRow]=_xlfn.TEXTAFTER($H7,":"))*(PptoSty[PiColumn]=M$54),0)))</f>
        <v>0</v>
      </c>
      <c r="N7" s="197" cm="1">
        <f t="array" ref="N7">IF(OR($B7="",$B7="X",$D7="",$D7="X",$E7="",$E7="X",$F7="",$F7="X",$G7="",$G7="X",$H7="",$H7="X"),0,SUM(_xlfn._xlws.FILTER(VALUE(PptoSty[Sign]&amp;"1")*1/PptoSty[Division],(PptoSty[Division]&lt;&gt;0)*(PptoSty[Division]&lt;&gt;"")*(PptoSty[Division]&lt;&gt;"X")*(PptoSty[Project]=$B7)*(PptoSty[Vrs]=$D7)*(PptoSty[Site]=$F7)*(PptoSty[PiRow]=_xlfn.TEXTAFTER($H7,":"))*(PptoSty[PiColumn]=N$54),0)))</f>
        <v>0</v>
      </c>
      <c r="O7" s="197" cm="1">
        <f t="array" ref="O7">IF(OR($B7="",$B7="X",$D7="",$D7="X",$E7="",$E7="X",$F7="",$F7="X",$G7="",$G7="X",$H7="",$H7="X"),0,SUM(_xlfn._xlws.FILTER(VALUE(PptoSty[Sign]&amp;"1")*1/PptoSty[Division],(PptoSty[Division]&lt;&gt;0)*(PptoSty[Division]&lt;&gt;"")*(PptoSty[Division]&lt;&gt;"X")*(PptoSty[Project]=$B7)*(PptoSty[Vrs]=$D7)*(PptoSty[Site]=$F7)*(PptoSty[PiRow]=_xlfn.TEXTAFTER($H7,":"))*(PptoSty[PiColumn]=O$54),0)))</f>
        <v>0</v>
      </c>
      <c r="P7" s="197" cm="1">
        <f t="array" ref="P7">IF(OR($B7="",$B7="X",$D7="",$D7="X",$E7="",$E7="X",$F7="",$F7="X",$G7="",$G7="X",$H7="",$H7="X"),0,SUM(_xlfn._xlws.FILTER(VALUE(PptoSty[Sign]&amp;"1")*1/PptoSty[Division],(PptoSty[Division]&lt;&gt;0)*(PptoSty[Division]&lt;&gt;"")*(PptoSty[Division]&lt;&gt;"X")*(PptoSty[Project]=$B7)*(PptoSty[Vrs]=$D7)*(PptoSty[Site]=$F7)*(PptoSty[PiRow]=_xlfn.TEXTAFTER($H7,":"))*(PptoSty[PiColumn]=P$54),0)))</f>
        <v>1</v>
      </c>
      <c r="Q7" s="197" cm="1">
        <f t="array" ref="Q7">IF(OR($B7="",$B7="X",$D7="",$D7="X",$E7="",$E7="X",$F7="",$F7="X",$G7="",$G7="X",$H7="",$H7="X"),0,SUM(_xlfn._xlws.FILTER(VALUE(PptoSty[Sign]&amp;"1")*1/PptoSty[Division],(PptoSty[Division]&lt;&gt;0)*(PptoSty[Division]&lt;&gt;"")*(PptoSty[Division]&lt;&gt;"X")*(PptoSty[Project]=$B7)*(PptoSty[Vrs]=$D7)*(PptoSty[Site]=$F7)*(PptoSty[PiRow]=_xlfn.TEXTAFTER($H7,":"))*(PptoSty[PiColumn]=Q$54),0)))</f>
        <v>1</v>
      </c>
      <c r="R7" s="197" cm="1">
        <f t="array" ref="R7">IF(OR($B7="",$B7="X",$D7="",$D7="X",$E7="",$E7="X",$F7="",$F7="X",$G7="",$G7="X",$H7="",$H7="X"),0,SUM(_xlfn._xlws.FILTER(VALUE(PptoSty[Sign]&amp;"1")*1/PptoSty[Division],(PptoSty[Division]&lt;&gt;0)*(PptoSty[Division]&lt;&gt;"")*(PptoSty[Division]&lt;&gt;"X")*(PptoSty[Project]=$B7)*(PptoSty[Vrs]=$D7)*(PptoSty[Site]=$F7)*(PptoSty[PiRow]=_xlfn.TEXTAFTER($H7,":"))*(PptoSty[PiColumn]=R$54),0)))</f>
        <v>0</v>
      </c>
      <c r="S7" s="197" cm="1">
        <f t="array" ref="S7">IF(OR($B7="",$B7="X",$D7="",$D7="X",$E7="",$E7="X",$F7="",$F7="X",$G7="",$G7="X",$H7="",$H7="X"),0,SUM(_xlfn._xlws.FILTER(VALUE(PptoSty[Sign]&amp;"1")*1/PptoSty[Division],(PptoSty[Division]&lt;&gt;0)*(PptoSty[Division]&lt;&gt;"")*(PptoSty[Division]&lt;&gt;"X")*(PptoSty[Project]=$B7)*(PptoSty[Vrs]=$D7)*(PptoSty[Site]=$F7)*(PptoSty[PiRow]=_xlfn.TEXTAFTER($H7,":"))*(PptoSty[PiColumn]=S$54),0)))</f>
        <v>1</v>
      </c>
      <c r="T7" s="197" cm="1">
        <f t="array" ref="T7">IF(OR($B7="",$B7="X",$D7="",$D7="X",$E7="",$E7="X",$F7="",$F7="X",$G7="",$G7="X",$H7="",$H7="X"),0,SUM(_xlfn._xlws.FILTER(VALUE(PptoSty[Sign]&amp;"1")*1/PptoSty[Division],(PptoSty[Division]&lt;&gt;0)*(PptoSty[Division]&lt;&gt;"")*(PptoSty[Division]&lt;&gt;"X")*(PptoSty[Project]=$B7)*(PptoSty[Vrs]=$D7)*(PptoSty[Site]=$F7)*(PptoSty[PiRow]=_xlfn.TEXTAFTER($H7,":"))*(PptoSty[PiColumn]=T$54),0)))</f>
        <v>1</v>
      </c>
      <c r="U7" s="197" cm="1">
        <f t="array" ref="U7">IF(OR($B7="",$B7="X",$D7="",$D7="X",$E7="",$E7="X",$F7="",$F7="X",$G7="",$G7="X",$H7="",$H7="X"),0,SUM(_xlfn._xlws.FILTER(VALUE(PptoSty[Sign]&amp;"1")*1/PptoSty[Division],(PptoSty[Division]&lt;&gt;0)*(PptoSty[Division]&lt;&gt;"")*(PptoSty[Division]&lt;&gt;"X")*(PptoSty[Project]=$B7)*(PptoSty[Vrs]=$D7)*(PptoSty[Site]=$F7)*(PptoSty[PiRow]=_xlfn.TEXTAFTER($H7,":"))*(PptoSty[PiColumn]=U$54),0)))</f>
        <v>0</v>
      </c>
      <c r="V7" s="197" cm="1">
        <f t="array" ref="V7">IF(OR($B7="",$B7="X",$D7="",$D7="X",$E7="",$E7="X",$F7="",$F7="X",$G7="",$G7="X",$H7="",$H7="X"),0,SUM(_xlfn._xlws.FILTER(VALUE(PptoSty[Sign]&amp;"1")*1/PptoSty[Division],(PptoSty[Division]&lt;&gt;0)*(PptoSty[Division]&lt;&gt;"")*(PptoSty[Division]&lt;&gt;"X")*(PptoSty[Project]=$B7)*(PptoSty[Vrs]=$D7)*(PptoSty[Site]=$F7)*(PptoSty[PiRow]=_xlfn.TEXTAFTER($H7,":"))*(PptoSty[PiColumn]=V$54),0)))</f>
        <v>0</v>
      </c>
      <c r="W7" s="197" cm="1">
        <f t="array" ref="W7">IF(OR($B7="",$B7="X",$D7="",$D7="X",$E7="",$E7="X",$F7="",$F7="X",$G7="",$G7="X",$H7="",$H7="X"),0,SUM(_xlfn._xlws.FILTER(VALUE(PptoSty[Sign]&amp;"1")*1/PptoSty[Division],(PptoSty[Division]&lt;&gt;0)*(PptoSty[Division]&lt;&gt;"")*(PptoSty[Division]&lt;&gt;"X")*(PptoSty[Project]=$B7)*(PptoSty[Vrs]=$D7)*(PptoSty[Site]=$F7)*(PptoSty[PiRow]=_xlfn.TEXTAFTER($H7,":"))*(PptoSty[PiColumn]=W$54),0)))</f>
        <v>1</v>
      </c>
      <c r="X7" s="197" cm="1">
        <f t="array" ref="X7">IF(OR($B7="",$B7="X",$D7="",$D7="X",$E7="",$E7="X",$F7="",$F7="X",$G7="",$G7="X",$H7="",$H7="X"),0,SUM(_xlfn._xlws.FILTER(VALUE(PptoSty[Sign]&amp;"1")*1/PptoSty[Division],(PptoSty[Division]&lt;&gt;0)*(PptoSty[Division]&lt;&gt;"")*(PptoSty[Division]&lt;&gt;"X")*(PptoSty[Project]=$B7)*(PptoSty[Vrs]=$D7)*(PptoSty[Site]=$F7)*(PptoSty[PiRow]=_xlfn.TEXTAFTER($H7,":"))*(PptoSty[PiColumn]=X$54),0)))</f>
        <v>1</v>
      </c>
      <c r="Y7" s="197" cm="1">
        <f t="array" ref="Y7">IF(OR($B7="",$B7="X",$D7="",$D7="X",$E7="",$E7="X",$F7="",$F7="X",$G7="",$G7="X",$H7="",$H7="X"),0,SUM(_xlfn._xlws.FILTER(VALUE(PptoSty[Sign]&amp;"1")*1/PptoSty[Division],(PptoSty[Division]&lt;&gt;0)*(PptoSty[Division]&lt;&gt;"")*(PptoSty[Division]&lt;&gt;"X")*(PptoSty[Project]=$B7)*(PptoSty[Vrs]=$D7)*(PptoSty[Site]=$F7)*(PptoSty[PiRow]=_xlfn.TEXTAFTER($H7,":"))*(PptoSty[PiColumn]=Y$54),0)))</f>
        <v>0</v>
      </c>
      <c r="Z7" s="32"/>
    </row>
    <row r="8" spans="1:26" s="33" customFormat="1" ht="17.25" customHeight="1" outlineLevel="1">
      <c r="A8" s="123"/>
      <c r="B8" s="140" t="str">
        <v>31200</v>
      </c>
      <c r="C8" s="128" t="str">
        <v>Sp</v>
      </c>
      <c r="D8" s="128">
        <v>15</v>
      </c>
      <c r="E8" s="128" t="str">
        <v>CELL</v>
      </c>
      <c r="F8" s="139" t="str">
        <v>SERRA</v>
      </c>
      <c r="G8" s="139" t="str">
        <v>CurPpto</v>
      </c>
      <c r="H8" s="139" t="str">
        <v>X002:SUBGROUP CELL</v>
      </c>
      <c r="I8" s="197" cm="1">
        <f t="array" ref="I8">IF(OR($B8="",$B8="X",$D8="",$D8="X",$E8="",$E8="X",$F8="",$F8="X",$G8="",$G8="X",$H8="",$H8="X"),0,SUM(_xlfn._xlws.FILTER(VALUE(PptoSty[Sign]&amp;"1")*1/PptoSty[Division],(PptoSty[Division]&lt;&gt;0)*(PptoSty[Division]&lt;&gt;"")*(PptoSty[Division]&lt;&gt;"X")*(PptoSty[Project]=$B8)*(PptoSty[Vrs]=$D8)*(PptoSty[Site]=$F8)*(PptoSty[PiRow]=_xlfn.TEXTAFTER($H8,":"))*(PptoSty[PiColumn]=I$54),0)))</f>
        <v>0</v>
      </c>
      <c r="J8" s="197" cm="1">
        <f t="array" ref="J8">IF(OR($B8="",$B8="X",$D8="",$D8="X",$E8="",$E8="X",$F8="",$F8="X",$G8="",$G8="X",$H8="",$H8="X"),0,SUM(_xlfn._xlws.FILTER(VALUE(PptoSty[Sign]&amp;"1")*1/PptoSty[Division],(PptoSty[Division]&lt;&gt;0)*(PptoSty[Division]&lt;&gt;"")*(PptoSty[Division]&lt;&gt;"X")*(PptoSty[Project]=$B8)*(PptoSty[Vrs]=$D8)*(PptoSty[Site]=$F8)*(PptoSty[PiRow]=_xlfn.TEXTAFTER($H8,":"))*(PptoSty[PiColumn]=J$54),0)))</f>
        <v>0</v>
      </c>
      <c r="K8" s="197" cm="1">
        <f t="array" ref="K8">IF(OR($B8="",$B8="X",$D8="",$D8="X",$E8="",$E8="X",$F8="",$F8="X",$G8="",$G8="X",$H8="",$H8="X"),0,SUM(_xlfn._xlws.FILTER(VALUE(PptoSty[Sign]&amp;"1")*1/PptoSty[Division],(PptoSty[Division]&lt;&gt;0)*(PptoSty[Division]&lt;&gt;"")*(PptoSty[Division]&lt;&gt;"X")*(PptoSty[Project]=$B8)*(PptoSty[Vrs]=$D8)*(PptoSty[Site]=$F8)*(PptoSty[PiRow]=_xlfn.TEXTAFTER($H8,":"))*(PptoSty[PiColumn]=K$54),0)))</f>
        <v>1</v>
      </c>
      <c r="L8" s="197" cm="1">
        <f t="array" ref="L8">IF(OR($B8="",$B8="X",$D8="",$D8="X",$E8="",$E8="X",$F8="",$F8="X",$G8="",$G8="X",$H8="",$H8="X"),0,SUM(_xlfn._xlws.FILTER(VALUE(PptoSty[Sign]&amp;"1")*1/PptoSty[Division],(PptoSty[Division]&lt;&gt;0)*(PptoSty[Division]&lt;&gt;"")*(PptoSty[Division]&lt;&gt;"X")*(PptoSty[Project]=$B8)*(PptoSty[Vrs]=$D8)*(PptoSty[Site]=$F8)*(PptoSty[PiRow]=_xlfn.TEXTAFTER($H8,":"))*(PptoSty[PiColumn]=L$54),0)))</f>
        <v>0</v>
      </c>
      <c r="M8" s="197" cm="1">
        <f t="array" ref="M8">IF(OR($B8="",$B8="X",$D8="",$D8="X",$E8="",$E8="X",$F8="",$F8="X",$G8="",$G8="X",$H8="",$H8="X"),0,SUM(_xlfn._xlws.FILTER(VALUE(PptoSty[Sign]&amp;"1")*1/PptoSty[Division],(PptoSty[Division]&lt;&gt;0)*(PptoSty[Division]&lt;&gt;"")*(PptoSty[Division]&lt;&gt;"X")*(PptoSty[Project]=$B8)*(PptoSty[Vrs]=$D8)*(PptoSty[Site]=$F8)*(PptoSty[PiRow]=_xlfn.TEXTAFTER($H8,":"))*(PptoSty[PiColumn]=M$54),0)))</f>
        <v>0</v>
      </c>
      <c r="N8" s="197" cm="1">
        <f t="array" ref="N8">IF(OR($B8="",$B8="X",$D8="",$D8="X",$E8="",$E8="X",$F8="",$F8="X",$G8="",$G8="X",$H8="",$H8="X"),0,SUM(_xlfn._xlws.FILTER(VALUE(PptoSty[Sign]&amp;"1")*1/PptoSty[Division],(PptoSty[Division]&lt;&gt;0)*(PptoSty[Division]&lt;&gt;"")*(PptoSty[Division]&lt;&gt;"X")*(PptoSty[Project]=$B8)*(PptoSty[Vrs]=$D8)*(PptoSty[Site]=$F8)*(PptoSty[PiRow]=_xlfn.TEXTAFTER($H8,":"))*(PptoSty[PiColumn]=N$54),0)))</f>
        <v>0</v>
      </c>
      <c r="O8" s="197" cm="1">
        <f t="array" ref="O8">IF(OR($B8="",$B8="X",$D8="",$D8="X",$E8="",$E8="X",$F8="",$F8="X",$G8="",$G8="X",$H8="",$H8="X"),0,SUM(_xlfn._xlws.FILTER(VALUE(PptoSty[Sign]&amp;"1")*1/PptoSty[Division],(PptoSty[Division]&lt;&gt;0)*(PptoSty[Division]&lt;&gt;"")*(PptoSty[Division]&lt;&gt;"X")*(PptoSty[Project]=$B8)*(PptoSty[Vrs]=$D8)*(PptoSty[Site]=$F8)*(PptoSty[PiRow]=_xlfn.TEXTAFTER($H8,":"))*(PptoSty[PiColumn]=O$54),0)))</f>
        <v>0</v>
      </c>
      <c r="P8" s="197" cm="1">
        <f t="array" ref="P8">IF(OR($B8="",$B8="X",$D8="",$D8="X",$E8="",$E8="X",$F8="",$F8="X",$G8="",$G8="X",$H8="",$H8="X"),0,SUM(_xlfn._xlws.FILTER(VALUE(PptoSty[Sign]&amp;"1")*1/PptoSty[Division],(PptoSty[Division]&lt;&gt;0)*(PptoSty[Division]&lt;&gt;"")*(PptoSty[Division]&lt;&gt;"X")*(PptoSty[Project]=$B8)*(PptoSty[Vrs]=$D8)*(PptoSty[Site]=$F8)*(PptoSty[PiRow]=_xlfn.TEXTAFTER($H8,":"))*(PptoSty[PiColumn]=P$54),0)))</f>
        <v>1</v>
      </c>
      <c r="Q8" s="197" cm="1">
        <f t="array" ref="Q8">IF(OR($B8="",$B8="X",$D8="",$D8="X",$E8="",$E8="X",$F8="",$F8="X",$G8="",$G8="X",$H8="",$H8="X"),0,SUM(_xlfn._xlws.FILTER(VALUE(PptoSty[Sign]&amp;"1")*1/PptoSty[Division],(PptoSty[Division]&lt;&gt;0)*(PptoSty[Division]&lt;&gt;"")*(PptoSty[Division]&lt;&gt;"X")*(PptoSty[Project]=$B8)*(PptoSty[Vrs]=$D8)*(PptoSty[Site]=$F8)*(PptoSty[PiRow]=_xlfn.TEXTAFTER($H8,":"))*(PptoSty[PiColumn]=Q$54),0)))</f>
        <v>1</v>
      </c>
      <c r="R8" s="197" cm="1">
        <f t="array" ref="R8">IF(OR($B8="",$B8="X",$D8="",$D8="X",$E8="",$E8="X",$F8="",$F8="X",$G8="",$G8="X",$H8="",$H8="X"),0,SUM(_xlfn._xlws.FILTER(VALUE(PptoSty[Sign]&amp;"1")*1/PptoSty[Division],(PptoSty[Division]&lt;&gt;0)*(PptoSty[Division]&lt;&gt;"")*(PptoSty[Division]&lt;&gt;"X")*(PptoSty[Project]=$B8)*(PptoSty[Vrs]=$D8)*(PptoSty[Site]=$F8)*(PptoSty[PiRow]=_xlfn.TEXTAFTER($H8,":"))*(PptoSty[PiColumn]=R$54),0)))</f>
        <v>1</v>
      </c>
      <c r="S8" s="197" cm="1">
        <f t="array" ref="S8">IF(OR($B8="",$B8="X",$D8="",$D8="X",$E8="",$E8="X",$F8="",$F8="X",$G8="",$G8="X",$H8="",$H8="X"),0,SUM(_xlfn._xlws.FILTER(VALUE(PptoSty[Sign]&amp;"1")*1/PptoSty[Division],(PptoSty[Division]&lt;&gt;0)*(PptoSty[Division]&lt;&gt;"")*(PptoSty[Division]&lt;&gt;"X")*(PptoSty[Project]=$B8)*(PptoSty[Vrs]=$D8)*(PptoSty[Site]=$F8)*(PptoSty[PiRow]=_xlfn.TEXTAFTER($H8,":"))*(PptoSty[PiColumn]=S$54),0)))</f>
        <v>1</v>
      </c>
      <c r="T8" s="197" cm="1">
        <f t="array" ref="T8">IF(OR($B8="",$B8="X",$D8="",$D8="X",$E8="",$E8="X",$F8="",$F8="X",$G8="",$G8="X",$H8="",$H8="X"),0,SUM(_xlfn._xlws.FILTER(VALUE(PptoSty[Sign]&amp;"1")*1/PptoSty[Division],(PptoSty[Division]&lt;&gt;0)*(PptoSty[Division]&lt;&gt;"")*(PptoSty[Division]&lt;&gt;"X")*(PptoSty[Project]=$B8)*(PptoSty[Vrs]=$D8)*(PptoSty[Site]=$F8)*(PptoSty[PiRow]=_xlfn.TEXTAFTER($H8,":"))*(PptoSty[PiColumn]=T$54),0)))</f>
        <v>1</v>
      </c>
      <c r="U8" s="197" cm="1">
        <f t="array" ref="U8">IF(OR($B8="",$B8="X",$D8="",$D8="X",$E8="",$E8="X",$F8="",$F8="X",$G8="",$G8="X",$H8="",$H8="X"),0,SUM(_xlfn._xlws.FILTER(VALUE(PptoSty[Sign]&amp;"1")*1/PptoSty[Division],(PptoSty[Division]&lt;&gt;0)*(PptoSty[Division]&lt;&gt;"")*(PptoSty[Division]&lt;&gt;"X")*(PptoSty[Project]=$B8)*(PptoSty[Vrs]=$D8)*(PptoSty[Site]=$F8)*(PptoSty[PiRow]=_xlfn.TEXTAFTER($H8,":"))*(PptoSty[PiColumn]=U$54),0)))</f>
        <v>0</v>
      </c>
      <c r="V8" s="197" cm="1">
        <f t="array" ref="V8">IF(OR($B8="",$B8="X",$D8="",$D8="X",$E8="",$E8="X",$F8="",$F8="X",$G8="",$G8="X",$H8="",$H8="X"),0,SUM(_xlfn._xlws.FILTER(VALUE(PptoSty[Sign]&amp;"1")*1/PptoSty[Division],(PptoSty[Division]&lt;&gt;0)*(PptoSty[Division]&lt;&gt;"")*(PptoSty[Division]&lt;&gt;"X")*(PptoSty[Project]=$B8)*(PptoSty[Vrs]=$D8)*(PptoSty[Site]=$F8)*(PptoSty[PiRow]=_xlfn.TEXTAFTER($H8,":"))*(PptoSty[PiColumn]=V$54),0)))</f>
        <v>1</v>
      </c>
      <c r="W8" s="197" cm="1">
        <f t="array" ref="W8">IF(OR($B8="",$B8="X",$D8="",$D8="X",$E8="",$E8="X",$F8="",$F8="X",$G8="",$G8="X",$H8="",$H8="X"),0,SUM(_xlfn._xlws.FILTER(VALUE(PptoSty[Sign]&amp;"1")*1/PptoSty[Division],(PptoSty[Division]&lt;&gt;0)*(PptoSty[Division]&lt;&gt;"")*(PptoSty[Division]&lt;&gt;"X")*(PptoSty[Project]=$B8)*(PptoSty[Vrs]=$D8)*(PptoSty[Site]=$F8)*(PptoSty[PiRow]=_xlfn.TEXTAFTER($H8,":"))*(PptoSty[PiColumn]=W$54),0)))</f>
        <v>1</v>
      </c>
      <c r="X8" s="197" cm="1">
        <f t="array" ref="X8">IF(OR($B8="",$B8="X",$D8="",$D8="X",$E8="",$E8="X",$F8="",$F8="X",$G8="",$G8="X",$H8="",$H8="X"),0,SUM(_xlfn._xlws.FILTER(VALUE(PptoSty[Sign]&amp;"1")*1/PptoSty[Division],(PptoSty[Division]&lt;&gt;0)*(PptoSty[Division]&lt;&gt;"")*(PptoSty[Division]&lt;&gt;"X")*(PptoSty[Project]=$B8)*(PptoSty[Vrs]=$D8)*(PptoSty[Site]=$F8)*(PptoSty[PiRow]=_xlfn.TEXTAFTER($H8,":"))*(PptoSty[PiColumn]=X$54),0)))</f>
        <v>1</v>
      </c>
      <c r="Y8" s="197" cm="1">
        <f t="array" ref="Y8">IF(OR($B8="",$B8="X",$D8="",$D8="X",$E8="",$E8="X",$F8="",$F8="X",$G8="",$G8="X",$H8="",$H8="X"),0,SUM(_xlfn._xlws.FILTER(VALUE(PptoSty[Sign]&amp;"1")*1/PptoSty[Division],(PptoSty[Division]&lt;&gt;0)*(PptoSty[Division]&lt;&gt;"")*(PptoSty[Division]&lt;&gt;"X")*(PptoSty[Project]=$B8)*(PptoSty[Vrs]=$D8)*(PptoSty[Site]=$F8)*(PptoSty[PiRow]=_xlfn.TEXTAFTER($H8,":"))*(PptoSty[PiColumn]=Y$54),0)))</f>
        <v>0</v>
      </c>
      <c r="Z8" s="32"/>
    </row>
    <row r="9" spans="1:26" s="33" customFormat="1" ht="17.25" customHeight="1" outlineLevel="1">
      <c r="A9" s="123"/>
      <c r="B9" s="140" t="str">
        <v>31200</v>
      </c>
      <c r="C9" s="128" t="str">
        <v>Sp</v>
      </c>
      <c r="D9" s="128">
        <v>15</v>
      </c>
      <c r="E9" s="128" t="str">
        <v>TRSL</v>
      </c>
      <c r="F9" s="139" t="str">
        <v>PLANT</v>
      </c>
      <c r="G9" s="139" t="str">
        <v>CurPpto</v>
      </c>
      <c r="H9" s="139" t="str">
        <v>X003:SUBGROUP TRSL</v>
      </c>
      <c r="I9" s="197" cm="1">
        <f t="array" ref="I9">IF(OR($B9="",$B9="X",$D9="",$D9="X",$E9="",$E9="X",$F9="",$F9="X",$G9="",$G9="X",$H9="",$H9="X"),0,SUM(_xlfn._xlws.FILTER(VALUE(PptoSty[Sign]&amp;"1")*1/PptoSty[Division],(PptoSty[Division]&lt;&gt;0)*(PptoSty[Division]&lt;&gt;"")*(PptoSty[Division]&lt;&gt;"X")*(PptoSty[Project]=$B9)*(PptoSty[Vrs]=$D9)*(PptoSty[Site]=$F9)*(PptoSty[PiRow]=_xlfn.TEXTAFTER($H9,":"))*(PptoSty[PiColumn]=I$54),0)))</f>
        <v>0</v>
      </c>
      <c r="J9" s="197" cm="1">
        <f t="array" ref="J9">IF(OR($B9="",$B9="X",$D9="",$D9="X",$E9="",$E9="X",$F9="",$F9="X",$G9="",$G9="X",$H9="",$H9="X"),0,SUM(_xlfn._xlws.FILTER(VALUE(PptoSty[Sign]&amp;"1")*1/PptoSty[Division],(PptoSty[Division]&lt;&gt;0)*(PptoSty[Division]&lt;&gt;"")*(PptoSty[Division]&lt;&gt;"X")*(PptoSty[Project]=$B9)*(PptoSty[Vrs]=$D9)*(PptoSty[Site]=$F9)*(PptoSty[PiRow]=_xlfn.TEXTAFTER($H9,":"))*(PptoSty[PiColumn]=J$54),0)))</f>
        <v>0</v>
      </c>
      <c r="K9" s="197" cm="1">
        <f t="array" ref="K9">IF(OR($B9="",$B9="X",$D9="",$D9="X",$E9="",$E9="X",$F9="",$F9="X",$G9="",$G9="X",$H9="",$H9="X"),0,SUM(_xlfn._xlws.FILTER(VALUE(PptoSty[Sign]&amp;"1")*1/PptoSty[Division],(PptoSty[Division]&lt;&gt;0)*(PptoSty[Division]&lt;&gt;"")*(PptoSty[Division]&lt;&gt;"X")*(PptoSty[Project]=$B9)*(PptoSty[Vrs]=$D9)*(PptoSty[Site]=$F9)*(PptoSty[PiRow]=_xlfn.TEXTAFTER($H9,":"))*(PptoSty[PiColumn]=K$54),0)))</f>
        <v>0</v>
      </c>
      <c r="L9" s="197" cm="1">
        <f t="array" ref="L9">IF(OR($B9="",$B9="X",$D9="",$D9="X",$E9="",$E9="X",$F9="",$F9="X",$G9="",$G9="X",$H9="",$H9="X"),0,SUM(_xlfn._xlws.FILTER(VALUE(PptoSty[Sign]&amp;"1")*1/PptoSty[Division],(PptoSty[Division]&lt;&gt;0)*(PptoSty[Division]&lt;&gt;"")*(PptoSty[Division]&lt;&gt;"X")*(PptoSty[Project]=$B9)*(PptoSty[Vrs]=$D9)*(PptoSty[Site]=$F9)*(PptoSty[PiRow]=_xlfn.TEXTAFTER($H9,":"))*(PptoSty[PiColumn]=L$54),0)))</f>
        <v>0</v>
      </c>
      <c r="M9" s="197" cm="1">
        <f t="array" ref="M9">IF(OR($B9="",$B9="X",$D9="",$D9="X",$E9="",$E9="X",$F9="",$F9="X",$G9="",$G9="X",$H9="",$H9="X"),0,SUM(_xlfn._xlws.FILTER(VALUE(PptoSty[Sign]&amp;"1")*1/PptoSty[Division],(PptoSty[Division]&lt;&gt;0)*(PptoSty[Division]&lt;&gt;"")*(PptoSty[Division]&lt;&gt;"X")*(PptoSty[Project]=$B9)*(PptoSty[Vrs]=$D9)*(PptoSty[Site]=$F9)*(PptoSty[PiRow]=_xlfn.TEXTAFTER($H9,":"))*(PptoSty[PiColumn]=M$54),0)))</f>
        <v>0</v>
      </c>
      <c r="N9" s="197" cm="1">
        <f t="array" ref="N9">IF(OR($B9="",$B9="X",$D9="",$D9="X",$E9="",$E9="X",$F9="",$F9="X",$G9="",$G9="X",$H9="",$H9="X"),0,SUM(_xlfn._xlws.FILTER(VALUE(PptoSty[Sign]&amp;"1")*1/PptoSty[Division],(PptoSty[Division]&lt;&gt;0)*(PptoSty[Division]&lt;&gt;"")*(PptoSty[Division]&lt;&gt;"X")*(PptoSty[Project]=$B9)*(PptoSty[Vrs]=$D9)*(PptoSty[Site]=$F9)*(PptoSty[PiRow]=_xlfn.TEXTAFTER($H9,":"))*(PptoSty[PiColumn]=N$54),0)))</f>
        <v>0</v>
      </c>
      <c r="O9" s="197" cm="1">
        <f t="array" ref="O9">IF(OR($B9="",$B9="X",$D9="",$D9="X",$E9="",$E9="X",$F9="",$F9="X",$G9="",$G9="X",$H9="",$H9="X"),0,SUM(_xlfn._xlws.FILTER(VALUE(PptoSty[Sign]&amp;"1")*1/PptoSty[Division],(PptoSty[Division]&lt;&gt;0)*(PptoSty[Division]&lt;&gt;"")*(PptoSty[Division]&lt;&gt;"X")*(PptoSty[Project]=$B9)*(PptoSty[Vrs]=$D9)*(PptoSty[Site]=$F9)*(PptoSty[PiRow]=_xlfn.TEXTAFTER($H9,":"))*(PptoSty[PiColumn]=O$54),0)))</f>
        <v>0</v>
      </c>
      <c r="P9" s="197" cm="1">
        <f t="array" ref="P9">IF(OR($B9="",$B9="X",$D9="",$D9="X",$E9="",$E9="X",$F9="",$F9="X",$G9="",$G9="X",$H9="",$H9="X"),0,SUM(_xlfn._xlws.FILTER(VALUE(PptoSty[Sign]&amp;"1")*1/PptoSty[Division],(PptoSty[Division]&lt;&gt;0)*(PptoSty[Division]&lt;&gt;"")*(PptoSty[Division]&lt;&gt;"X")*(PptoSty[Project]=$B9)*(PptoSty[Vrs]=$D9)*(PptoSty[Site]=$F9)*(PptoSty[PiRow]=_xlfn.TEXTAFTER($H9,":"))*(PptoSty[PiColumn]=P$54),0)))</f>
        <v>0</v>
      </c>
      <c r="Q9" s="197" cm="1">
        <f t="array" ref="Q9">IF(OR($B9="",$B9="X",$D9="",$D9="X",$E9="",$E9="X",$F9="",$F9="X",$G9="",$G9="X",$H9="",$H9="X"),0,SUM(_xlfn._xlws.FILTER(VALUE(PptoSty[Sign]&amp;"1")*1/PptoSty[Division],(PptoSty[Division]&lt;&gt;0)*(PptoSty[Division]&lt;&gt;"")*(PptoSty[Division]&lt;&gt;"X")*(PptoSty[Project]=$B9)*(PptoSty[Vrs]=$D9)*(PptoSty[Site]=$F9)*(PptoSty[PiRow]=_xlfn.TEXTAFTER($H9,":"))*(PptoSty[PiColumn]=Q$54),0)))</f>
        <v>0</v>
      </c>
      <c r="R9" s="197" cm="1">
        <f t="array" ref="R9">IF(OR($B9="",$B9="X",$D9="",$D9="X",$E9="",$E9="X",$F9="",$F9="X",$G9="",$G9="X",$H9="",$H9="X"),0,SUM(_xlfn._xlws.FILTER(VALUE(PptoSty[Sign]&amp;"1")*1/PptoSty[Division],(PptoSty[Division]&lt;&gt;0)*(PptoSty[Division]&lt;&gt;"")*(PptoSty[Division]&lt;&gt;"X")*(PptoSty[Project]=$B9)*(PptoSty[Vrs]=$D9)*(PptoSty[Site]=$F9)*(PptoSty[PiRow]=_xlfn.TEXTAFTER($H9,":"))*(PptoSty[PiColumn]=R$54),0)))</f>
        <v>0</v>
      </c>
      <c r="S9" s="197" cm="1">
        <f t="array" ref="S9">IF(OR($B9="",$B9="X",$D9="",$D9="X",$E9="",$E9="X",$F9="",$F9="X",$G9="",$G9="X",$H9="",$H9="X"),0,SUM(_xlfn._xlws.FILTER(VALUE(PptoSty[Sign]&amp;"1")*1/PptoSty[Division],(PptoSty[Division]&lt;&gt;0)*(PptoSty[Division]&lt;&gt;"")*(PptoSty[Division]&lt;&gt;"X")*(PptoSty[Project]=$B9)*(PptoSty[Vrs]=$D9)*(PptoSty[Site]=$F9)*(PptoSty[PiRow]=_xlfn.TEXTAFTER($H9,":"))*(PptoSty[PiColumn]=S$54),0)))</f>
        <v>0</v>
      </c>
      <c r="T9" s="197" cm="1">
        <f t="array" ref="T9">IF(OR($B9="",$B9="X",$D9="",$D9="X",$E9="",$E9="X",$F9="",$F9="X",$G9="",$G9="X",$H9="",$H9="X"),0,SUM(_xlfn._xlws.FILTER(VALUE(PptoSty[Sign]&amp;"1")*1/PptoSty[Division],(PptoSty[Division]&lt;&gt;0)*(PptoSty[Division]&lt;&gt;"")*(PptoSty[Division]&lt;&gt;"X")*(PptoSty[Project]=$B9)*(PptoSty[Vrs]=$D9)*(PptoSty[Site]=$F9)*(PptoSty[PiRow]=_xlfn.TEXTAFTER($H9,":"))*(PptoSty[PiColumn]=T$54),0)))</f>
        <v>0</v>
      </c>
      <c r="U9" s="197" cm="1">
        <f t="array" ref="U9">IF(OR($B9="",$B9="X",$D9="",$D9="X",$E9="",$E9="X",$F9="",$F9="X",$G9="",$G9="X",$H9="",$H9="X"),0,SUM(_xlfn._xlws.FILTER(VALUE(PptoSty[Sign]&amp;"1")*1/PptoSty[Division],(PptoSty[Division]&lt;&gt;0)*(PptoSty[Division]&lt;&gt;"")*(PptoSty[Division]&lt;&gt;"X")*(PptoSty[Project]=$B9)*(PptoSty[Vrs]=$D9)*(PptoSty[Site]=$F9)*(PptoSty[PiRow]=_xlfn.TEXTAFTER($H9,":"))*(PptoSty[PiColumn]=U$54),0)))</f>
        <v>0</v>
      </c>
      <c r="V9" s="197" cm="1">
        <f t="array" ref="V9">IF(OR($B9="",$B9="X",$D9="",$D9="X",$E9="",$E9="X",$F9="",$F9="X",$G9="",$G9="X",$H9="",$H9="X"),0,SUM(_xlfn._xlws.FILTER(VALUE(PptoSty[Sign]&amp;"1")*1/PptoSty[Division],(PptoSty[Division]&lt;&gt;0)*(PptoSty[Division]&lt;&gt;"")*(PptoSty[Division]&lt;&gt;"X")*(PptoSty[Project]=$B9)*(PptoSty[Vrs]=$D9)*(PptoSty[Site]=$F9)*(PptoSty[PiRow]=_xlfn.TEXTAFTER($H9,":"))*(PptoSty[PiColumn]=V$54),0)))</f>
        <v>0</v>
      </c>
      <c r="W9" s="197" cm="1">
        <f t="array" ref="W9">IF(OR($B9="",$B9="X",$D9="",$D9="X",$E9="",$E9="X",$F9="",$F9="X",$G9="",$G9="X",$H9="",$H9="X"),0,SUM(_xlfn._xlws.FILTER(VALUE(PptoSty[Sign]&amp;"1")*1/PptoSty[Division],(PptoSty[Division]&lt;&gt;0)*(PptoSty[Division]&lt;&gt;"")*(PptoSty[Division]&lt;&gt;"X")*(PptoSty[Project]=$B9)*(PptoSty[Vrs]=$D9)*(PptoSty[Site]=$F9)*(PptoSty[PiRow]=_xlfn.TEXTAFTER($H9,":"))*(PptoSty[PiColumn]=W$54),0)))</f>
        <v>0</v>
      </c>
      <c r="X9" s="197" cm="1">
        <f t="array" ref="X9">IF(OR($B9="",$B9="X",$D9="",$D9="X",$E9="",$E9="X",$F9="",$F9="X",$G9="",$G9="X",$H9="",$H9="X"),0,SUM(_xlfn._xlws.FILTER(VALUE(PptoSty[Sign]&amp;"1")*1/PptoSty[Division],(PptoSty[Division]&lt;&gt;0)*(PptoSty[Division]&lt;&gt;"")*(PptoSty[Division]&lt;&gt;"X")*(PptoSty[Project]=$B9)*(PptoSty[Vrs]=$D9)*(PptoSty[Site]=$F9)*(PptoSty[PiRow]=_xlfn.TEXTAFTER($H9,":"))*(PptoSty[PiColumn]=X$54),0)))</f>
        <v>0</v>
      </c>
      <c r="Y9" s="197" cm="1">
        <f t="array" ref="Y9">IF(OR($B9="",$B9="X",$D9="",$D9="X",$E9="",$E9="X",$F9="",$F9="X",$G9="",$G9="X",$H9="",$H9="X"),0,SUM(_xlfn._xlws.FILTER(VALUE(PptoSty[Sign]&amp;"1")*1/PptoSty[Division],(PptoSty[Division]&lt;&gt;0)*(PptoSty[Division]&lt;&gt;"")*(PptoSty[Division]&lt;&gt;"X")*(PptoSty[Project]=$B9)*(PptoSty[Vrs]=$D9)*(PptoSty[Site]=$F9)*(PptoSty[PiRow]=_xlfn.TEXTAFTER($H9,":"))*(PptoSty[PiColumn]=Y$54),0)))</f>
        <v>0</v>
      </c>
      <c r="Z9" s="32"/>
    </row>
    <row r="10" spans="1:26" s="33" customFormat="1" ht="17.25" customHeight="1" outlineLevel="1">
      <c r="A10" s="123"/>
      <c r="B10" s="140" t="str">
        <v>31199</v>
      </c>
      <c r="C10" s="128" t="str">
        <v>Sp</v>
      </c>
      <c r="D10" s="128">
        <v>0</v>
      </c>
      <c r="E10" s="128" t="str">
        <v>TRSL</v>
      </c>
      <c r="F10" s="139" t="str">
        <v>SERRA</v>
      </c>
      <c r="G10" s="139" t="str">
        <v>CurPpto</v>
      </c>
      <c r="H10" s="139" t="str">
        <v>X003:SUBGROUP TRSL</v>
      </c>
      <c r="I10" s="197" cm="1">
        <f t="array" ref="I10">IF(OR($B10="",$B10="X",$D10="",$D10="X",$E10="",$E10="X",$F10="",$F10="X",$G10="",$G10="X",$H10="",$H10="X"),0,SUM(_xlfn._xlws.FILTER(VALUE(PptoSty[Sign]&amp;"1")*1/PptoSty[Division],(PptoSty[Division]&lt;&gt;0)*(PptoSty[Division]&lt;&gt;"")*(PptoSty[Division]&lt;&gt;"X")*(PptoSty[Project]=$B10)*(PptoSty[Vrs]=$D10)*(PptoSty[Site]=$F10)*(PptoSty[PiRow]=_xlfn.TEXTAFTER($H10,":"))*(PptoSty[PiColumn]=I$54),0)))</f>
        <v>0</v>
      </c>
      <c r="J10" s="197" cm="1">
        <f t="array" ref="J10">IF(OR($B10="",$B10="X",$D10="",$D10="X",$E10="",$E10="X",$F10="",$F10="X",$G10="",$G10="X",$H10="",$H10="X"),0,SUM(_xlfn._xlws.FILTER(VALUE(PptoSty[Sign]&amp;"1")*1/PptoSty[Division],(PptoSty[Division]&lt;&gt;0)*(PptoSty[Division]&lt;&gt;"")*(PptoSty[Division]&lt;&gt;"X")*(PptoSty[Project]=$B10)*(PptoSty[Vrs]=$D10)*(PptoSty[Site]=$F10)*(PptoSty[PiRow]=_xlfn.TEXTAFTER($H10,":"))*(PptoSty[PiColumn]=J$54),0)))</f>
        <v>0</v>
      </c>
      <c r="K10" s="197" cm="1">
        <f t="array" ref="K10">IF(OR($B10="",$B10="X",$D10="",$D10="X",$E10="",$E10="X",$F10="",$F10="X",$G10="",$G10="X",$H10="",$H10="X"),0,SUM(_xlfn._xlws.FILTER(VALUE(PptoSty[Sign]&amp;"1")*1/PptoSty[Division],(PptoSty[Division]&lt;&gt;0)*(PptoSty[Division]&lt;&gt;"")*(PptoSty[Division]&lt;&gt;"X")*(PptoSty[Project]=$B10)*(PptoSty[Vrs]=$D10)*(PptoSty[Site]=$F10)*(PptoSty[PiRow]=_xlfn.TEXTAFTER($H10,":"))*(PptoSty[PiColumn]=K$54),0)))</f>
        <v>0</v>
      </c>
      <c r="L10" s="197" cm="1">
        <f t="array" ref="L10">IF(OR($B10="",$B10="X",$D10="",$D10="X",$E10="",$E10="X",$F10="",$F10="X",$G10="",$G10="X",$H10="",$H10="X"),0,SUM(_xlfn._xlws.FILTER(VALUE(PptoSty[Sign]&amp;"1")*1/PptoSty[Division],(PptoSty[Division]&lt;&gt;0)*(PptoSty[Division]&lt;&gt;"")*(PptoSty[Division]&lt;&gt;"X")*(PptoSty[Project]=$B10)*(PptoSty[Vrs]=$D10)*(PptoSty[Site]=$F10)*(PptoSty[PiRow]=_xlfn.TEXTAFTER($H10,":"))*(PptoSty[PiColumn]=L$54),0)))</f>
        <v>0</v>
      </c>
      <c r="M10" s="197" cm="1">
        <f t="array" ref="M10">IF(OR($B10="",$B10="X",$D10="",$D10="X",$E10="",$E10="X",$F10="",$F10="X",$G10="",$G10="X",$H10="",$H10="X"),0,SUM(_xlfn._xlws.FILTER(VALUE(PptoSty[Sign]&amp;"1")*1/PptoSty[Division],(PptoSty[Division]&lt;&gt;0)*(PptoSty[Division]&lt;&gt;"")*(PptoSty[Division]&lt;&gt;"X")*(PptoSty[Project]=$B10)*(PptoSty[Vrs]=$D10)*(PptoSty[Site]=$F10)*(PptoSty[PiRow]=_xlfn.TEXTAFTER($H10,":"))*(PptoSty[PiColumn]=M$54),0)))</f>
        <v>0</v>
      </c>
      <c r="N10" s="197" cm="1">
        <f t="array" ref="N10">IF(OR($B10="",$B10="X",$D10="",$D10="X",$E10="",$E10="X",$F10="",$F10="X",$G10="",$G10="X",$H10="",$H10="X"),0,SUM(_xlfn._xlws.FILTER(VALUE(PptoSty[Sign]&amp;"1")*1/PptoSty[Division],(PptoSty[Division]&lt;&gt;0)*(PptoSty[Division]&lt;&gt;"")*(PptoSty[Division]&lt;&gt;"X")*(PptoSty[Project]=$B10)*(PptoSty[Vrs]=$D10)*(PptoSty[Site]=$F10)*(PptoSty[PiRow]=_xlfn.TEXTAFTER($H10,":"))*(PptoSty[PiColumn]=N$54),0)))</f>
        <v>0</v>
      </c>
      <c r="O10" s="197" cm="1">
        <f t="array" ref="O10">IF(OR($B10="",$B10="X",$D10="",$D10="X",$E10="",$E10="X",$F10="",$F10="X",$G10="",$G10="X",$H10="",$H10="X"),0,SUM(_xlfn._xlws.FILTER(VALUE(PptoSty[Sign]&amp;"1")*1/PptoSty[Division],(PptoSty[Division]&lt;&gt;0)*(PptoSty[Division]&lt;&gt;"")*(PptoSty[Division]&lt;&gt;"X")*(PptoSty[Project]=$B10)*(PptoSty[Vrs]=$D10)*(PptoSty[Site]=$F10)*(PptoSty[PiRow]=_xlfn.TEXTAFTER($H10,":"))*(PptoSty[PiColumn]=O$54),0)))</f>
        <v>0</v>
      </c>
      <c r="P10" s="197" cm="1">
        <f t="array" ref="P10">IF(OR($B10="",$B10="X",$D10="",$D10="X",$E10="",$E10="X",$F10="",$F10="X",$G10="",$G10="X",$H10="",$H10="X"),0,SUM(_xlfn._xlws.FILTER(VALUE(PptoSty[Sign]&amp;"1")*1/PptoSty[Division],(PptoSty[Division]&lt;&gt;0)*(PptoSty[Division]&lt;&gt;"")*(PptoSty[Division]&lt;&gt;"X")*(PptoSty[Project]=$B10)*(PptoSty[Vrs]=$D10)*(PptoSty[Site]=$F10)*(PptoSty[PiRow]=_xlfn.TEXTAFTER($H10,":"))*(PptoSty[PiColumn]=P$54),0)))</f>
        <v>0</v>
      </c>
      <c r="Q10" s="197" cm="1">
        <f t="array" ref="Q10">IF(OR($B10="",$B10="X",$D10="",$D10="X",$E10="",$E10="X",$F10="",$F10="X",$G10="",$G10="X",$H10="",$H10="X"),0,SUM(_xlfn._xlws.FILTER(VALUE(PptoSty[Sign]&amp;"1")*1/PptoSty[Division],(PptoSty[Division]&lt;&gt;0)*(PptoSty[Division]&lt;&gt;"")*(PptoSty[Division]&lt;&gt;"X")*(PptoSty[Project]=$B10)*(PptoSty[Vrs]=$D10)*(PptoSty[Site]=$F10)*(PptoSty[PiRow]=_xlfn.TEXTAFTER($H10,":"))*(PptoSty[PiColumn]=Q$54),0)))</f>
        <v>0</v>
      </c>
      <c r="R10" s="197" cm="1">
        <f t="array" ref="R10">IF(OR($B10="",$B10="X",$D10="",$D10="X",$E10="",$E10="X",$F10="",$F10="X",$G10="",$G10="X",$H10="",$H10="X"),0,SUM(_xlfn._xlws.FILTER(VALUE(PptoSty[Sign]&amp;"1")*1/PptoSty[Division],(PptoSty[Division]&lt;&gt;0)*(PptoSty[Division]&lt;&gt;"")*(PptoSty[Division]&lt;&gt;"X")*(PptoSty[Project]=$B10)*(PptoSty[Vrs]=$D10)*(PptoSty[Site]=$F10)*(PptoSty[PiRow]=_xlfn.TEXTAFTER($H10,":"))*(PptoSty[PiColumn]=R$54),0)))</f>
        <v>0</v>
      </c>
      <c r="S10" s="197" cm="1">
        <f t="array" ref="S10">IF(OR($B10="",$B10="X",$D10="",$D10="X",$E10="",$E10="X",$F10="",$F10="X",$G10="",$G10="X",$H10="",$H10="X"),0,SUM(_xlfn._xlws.FILTER(VALUE(PptoSty[Sign]&amp;"1")*1/PptoSty[Division],(PptoSty[Division]&lt;&gt;0)*(PptoSty[Division]&lt;&gt;"")*(PptoSty[Division]&lt;&gt;"X")*(PptoSty[Project]=$B10)*(PptoSty[Vrs]=$D10)*(PptoSty[Site]=$F10)*(PptoSty[PiRow]=_xlfn.TEXTAFTER($H10,":"))*(PptoSty[PiColumn]=S$54),0)))</f>
        <v>0</v>
      </c>
      <c r="T10" s="197" cm="1">
        <f t="array" ref="T10">IF(OR($B10="",$B10="X",$D10="",$D10="X",$E10="",$E10="X",$F10="",$F10="X",$G10="",$G10="X",$H10="",$H10="X"),0,SUM(_xlfn._xlws.FILTER(VALUE(PptoSty[Sign]&amp;"1")*1/PptoSty[Division],(PptoSty[Division]&lt;&gt;0)*(PptoSty[Division]&lt;&gt;"")*(PptoSty[Division]&lt;&gt;"X")*(PptoSty[Project]=$B10)*(PptoSty[Vrs]=$D10)*(PptoSty[Site]=$F10)*(PptoSty[PiRow]=_xlfn.TEXTAFTER($H10,":"))*(PptoSty[PiColumn]=T$54),0)))</f>
        <v>0</v>
      </c>
      <c r="U10" s="197" cm="1">
        <f t="array" ref="U10">IF(OR($B10="",$B10="X",$D10="",$D10="X",$E10="",$E10="X",$F10="",$F10="X",$G10="",$G10="X",$H10="",$H10="X"),0,SUM(_xlfn._xlws.FILTER(VALUE(PptoSty[Sign]&amp;"1")*1/PptoSty[Division],(PptoSty[Division]&lt;&gt;0)*(PptoSty[Division]&lt;&gt;"")*(PptoSty[Division]&lt;&gt;"X")*(PptoSty[Project]=$B10)*(PptoSty[Vrs]=$D10)*(PptoSty[Site]=$F10)*(PptoSty[PiRow]=_xlfn.TEXTAFTER($H10,":"))*(PptoSty[PiColumn]=U$54),0)))</f>
        <v>0</v>
      </c>
      <c r="V10" s="197" cm="1">
        <f t="array" ref="V10">IF(OR($B10="",$B10="X",$D10="",$D10="X",$E10="",$E10="X",$F10="",$F10="X",$G10="",$G10="X",$H10="",$H10="X"),0,SUM(_xlfn._xlws.FILTER(VALUE(PptoSty[Sign]&amp;"1")*1/PptoSty[Division],(PptoSty[Division]&lt;&gt;0)*(PptoSty[Division]&lt;&gt;"")*(PptoSty[Division]&lt;&gt;"X")*(PptoSty[Project]=$B10)*(PptoSty[Vrs]=$D10)*(PptoSty[Site]=$F10)*(PptoSty[PiRow]=_xlfn.TEXTAFTER($H10,":"))*(PptoSty[PiColumn]=V$54),0)))</f>
        <v>0</v>
      </c>
      <c r="W10" s="197" cm="1">
        <f t="array" ref="W10">IF(OR($B10="",$B10="X",$D10="",$D10="X",$E10="",$E10="X",$F10="",$F10="X",$G10="",$G10="X",$H10="",$H10="X"),0,SUM(_xlfn._xlws.FILTER(VALUE(PptoSty[Sign]&amp;"1")*1/PptoSty[Division],(PptoSty[Division]&lt;&gt;0)*(PptoSty[Division]&lt;&gt;"")*(PptoSty[Division]&lt;&gt;"X")*(PptoSty[Project]=$B10)*(PptoSty[Vrs]=$D10)*(PptoSty[Site]=$F10)*(PptoSty[PiRow]=_xlfn.TEXTAFTER($H10,":"))*(PptoSty[PiColumn]=W$54),0)))</f>
        <v>0</v>
      </c>
      <c r="X10" s="197" cm="1">
        <f t="array" ref="X10">IF(OR($B10="",$B10="X",$D10="",$D10="X",$E10="",$E10="X",$F10="",$F10="X",$G10="",$G10="X",$H10="",$H10="X"),0,SUM(_xlfn._xlws.FILTER(VALUE(PptoSty[Sign]&amp;"1")*1/PptoSty[Division],(PptoSty[Division]&lt;&gt;0)*(PptoSty[Division]&lt;&gt;"")*(PptoSty[Division]&lt;&gt;"X")*(PptoSty[Project]=$B10)*(PptoSty[Vrs]=$D10)*(PptoSty[Site]=$F10)*(PptoSty[PiRow]=_xlfn.TEXTAFTER($H10,":"))*(PptoSty[PiColumn]=X$54),0)))</f>
        <v>0</v>
      </c>
      <c r="Y10" s="197" cm="1">
        <f t="array" ref="Y10">IF(OR($B10="",$B10="X",$D10="",$D10="X",$E10="",$E10="X",$F10="",$F10="X",$G10="",$G10="X",$H10="",$H10="X"),0,SUM(_xlfn._xlws.FILTER(VALUE(PptoSty[Sign]&amp;"1")*1/PptoSty[Division],(PptoSty[Division]&lt;&gt;0)*(PptoSty[Division]&lt;&gt;"")*(PptoSty[Division]&lt;&gt;"X")*(PptoSty[Project]=$B10)*(PptoSty[Vrs]=$D10)*(PptoSty[Site]=$F10)*(PptoSty[PiRow]=_xlfn.TEXTAFTER($H10,":"))*(PptoSty[PiColumn]=Y$54),0)))</f>
        <v>0</v>
      </c>
      <c r="Z10" s="32"/>
    </row>
    <row r="11" spans="1:26" s="33" customFormat="1" ht="17.25" customHeight="1" outlineLevel="1">
      <c r="A11" s="123"/>
      <c r="B11" s="140" t="str">
        <v>31199</v>
      </c>
      <c r="C11" s="128" t="str">
        <v>Sp</v>
      </c>
      <c r="D11" s="128">
        <v>0</v>
      </c>
      <c r="E11" s="128" t="str">
        <v>TRSL</v>
      </c>
      <c r="F11" s="139" t="str">
        <v>PLANT</v>
      </c>
      <c r="G11" s="139" t="str">
        <v>CurPpto</v>
      </c>
      <c r="H11" s="139" t="str">
        <v>X003:SUBGROUP TRSL</v>
      </c>
      <c r="I11" s="197" cm="1">
        <f t="array" ref="I11">IF(OR($B11="",$B11="X",$D11="",$D11="X",$E11="",$E11="X",$F11="",$F11="X",$G11="",$G11="X",$H11="",$H11="X"),0,SUM(_xlfn._xlws.FILTER(VALUE(PptoSty[Sign]&amp;"1")*1/PptoSty[Division],(PptoSty[Division]&lt;&gt;0)*(PptoSty[Division]&lt;&gt;"")*(PptoSty[Division]&lt;&gt;"X")*(PptoSty[Project]=$B11)*(PptoSty[Vrs]=$D11)*(PptoSty[Site]=$F11)*(PptoSty[PiRow]=_xlfn.TEXTAFTER($H11,":"))*(PptoSty[PiColumn]=I$54),0)))</f>
        <v>0</v>
      </c>
      <c r="J11" s="197" cm="1">
        <f t="array" ref="J11">IF(OR($B11="",$B11="X",$D11="",$D11="X",$E11="",$E11="X",$F11="",$F11="X",$G11="",$G11="X",$H11="",$H11="X"),0,SUM(_xlfn._xlws.FILTER(VALUE(PptoSty[Sign]&amp;"1")*1/PptoSty[Division],(PptoSty[Division]&lt;&gt;0)*(PptoSty[Division]&lt;&gt;"")*(PptoSty[Division]&lt;&gt;"X")*(PptoSty[Project]=$B11)*(PptoSty[Vrs]=$D11)*(PptoSty[Site]=$F11)*(PptoSty[PiRow]=_xlfn.TEXTAFTER($H11,":"))*(PptoSty[PiColumn]=J$54),0)))</f>
        <v>0</v>
      </c>
      <c r="K11" s="197" cm="1">
        <f t="array" ref="K11">IF(OR($B11="",$B11="X",$D11="",$D11="X",$E11="",$E11="X",$F11="",$F11="X",$G11="",$G11="X",$H11="",$H11="X"),0,SUM(_xlfn._xlws.FILTER(VALUE(PptoSty[Sign]&amp;"1")*1/PptoSty[Division],(PptoSty[Division]&lt;&gt;0)*(PptoSty[Division]&lt;&gt;"")*(PptoSty[Division]&lt;&gt;"X")*(PptoSty[Project]=$B11)*(PptoSty[Vrs]=$D11)*(PptoSty[Site]=$F11)*(PptoSty[PiRow]=_xlfn.TEXTAFTER($H11,":"))*(PptoSty[PiColumn]=K$54),0)))</f>
        <v>0</v>
      </c>
      <c r="L11" s="197" cm="1">
        <f t="array" ref="L11">IF(OR($B11="",$B11="X",$D11="",$D11="X",$E11="",$E11="X",$F11="",$F11="X",$G11="",$G11="X",$H11="",$H11="X"),0,SUM(_xlfn._xlws.FILTER(VALUE(PptoSty[Sign]&amp;"1")*1/PptoSty[Division],(PptoSty[Division]&lt;&gt;0)*(PptoSty[Division]&lt;&gt;"")*(PptoSty[Division]&lt;&gt;"X")*(PptoSty[Project]=$B11)*(PptoSty[Vrs]=$D11)*(PptoSty[Site]=$F11)*(PptoSty[PiRow]=_xlfn.TEXTAFTER($H11,":"))*(PptoSty[PiColumn]=L$54),0)))</f>
        <v>0</v>
      </c>
      <c r="M11" s="197" cm="1">
        <f t="array" ref="M11">IF(OR($B11="",$B11="X",$D11="",$D11="X",$E11="",$E11="X",$F11="",$F11="X",$G11="",$G11="X",$H11="",$H11="X"),0,SUM(_xlfn._xlws.FILTER(VALUE(PptoSty[Sign]&amp;"1")*1/PptoSty[Division],(PptoSty[Division]&lt;&gt;0)*(PptoSty[Division]&lt;&gt;"")*(PptoSty[Division]&lt;&gt;"X")*(PptoSty[Project]=$B11)*(PptoSty[Vrs]=$D11)*(PptoSty[Site]=$F11)*(PptoSty[PiRow]=_xlfn.TEXTAFTER($H11,":"))*(PptoSty[PiColumn]=M$54),0)))</f>
        <v>0</v>
      </c>
      <c r="N11" s="197" cm="1">
        <f t="array" ref="N11">IF(OR($B11="",$B11="X",$D11="",$D11="X",$E11="",$E11="X",$F11="",$F11="X",$G11="",$G11="X",$H11="",$H11="X"),0,SUM(_xlfn._xlws.FILTER(VALUE(PptoSty[Sign]&amp;"1")*1/PptoSty[Division],(PptoSty[Division]&lt;&gt;0)*(PptoSty[Division]&lt;&gt;"")*(PptoSty[Division]&lt;&gt;"X")*(PptoSty[Project]=$B11)*(PptoSty[Vrs]=$D11)*(PptoSty[Site]=$F11)*(PptoSty[PiRow]=_xlfn.TEXTAFTER($H11,":"))*(PptoSty[PiColumn]=N$54),0)))</f>
        <v>0</v>
      </c>
      <c r="O11" s="197" cm="1">
        <f t="array" ref="O11">IF(OR($B11="",$B11="X",$D11="",$D11="X",$E11="",$E11="X",$F11="",$F11="X",$G11="",$G11="X",$H11="",$H11="X"),0,SUM(_xlfn._xlws.FILTER(VALUE(PptoSty[Sign]&amp;"1")*1/PptoSty[Division],(PptoSty[Division]&lt;&gt;0)*(PptoSty[Division]&lt;&gt;"")*(PptoSty[Division]&lt;&gt;"X")*(PptoSty[Project]=$B11)*(PptoSty[Vrs]=$D11)*(PptoSty[Site]=$F11)*(PptoSty[PiRow]=_xlfn.TEXTAFTER($H11,":"))*(PptoSty[PiColumn]=O$54),0)))</f>
        <v>0</v>
      </c>
      <c r="P11" s="197" cm="1">
        <f t="array" ref="P11">IF(OR($B11="",$B11="X",$D11="",$D11="X",$E11="",$E11="X",$F11="",$F11="X",$G11="",$G11="X",$H11="",$H11="X"),0,SUM(_xlfn._xlws.FILTER(VALUE(PptoSty[Sign]&amp;"1")*1/PptoSty[Division],(PptoSty[Division]&lt;&gt;0)*(PptoSty[Division]&lt;&gt;"")*(PptoSty[Division]&lt;&gt;"X")*(PptoSty[Project]=$B11)*(PptoSty[Vrs]=$D11)*(PptoSty[Site]=$F11)*(PptoSty[PiRow]=_xlfn.TEXTAFTER($H11,":"))*(PptoSty[PiColumn]=P$54),0)))</f>
        <v>0</v>
      </c>
      <c r="Q11" s="197" cm="1">
        <f t="array" ref="Q11">IF(OR($B11="",$B11="X",$D11="",$D11="X",$E11="",$E11="X",$F11="",$F11="X",$G11="",$G11="X",$H11="",$H11="X"),0,SUM(_xlfn._xlws.FILTER(VALUE(PptoSty[Sign]&amp;"1")*1/PptoSty[Division],(PptoSty[Division]&lt;&gt;0)*(PptoSty[Division]&lt;&gt;"")*(PptoSty[Division]&lt;&gt;"X")*(PptoSty[Project]=$B11)*(PptoSty[Vrs]=$D11)*(PptoSty[Site]=$F11)*(PptoSty[PiRow]=_xlfn.TEXTAFTER($H11,":"))*(PptoSty[PiColumn]=Q$54),0)))</f>
        <v>0</v>
      </c>
      <c r="R11" s="197" cm="1">
        <f t="array" ref="R11">IF(OR($B11="",$B11="X",$D11="",$D11="X",$E11="",$E11="X",$F11="",$F11="X",$G11="",$G11="X",$H11="",$H11="X"),0,SUM(_xlfn._xlws.FILTER(VALUE(PptoSty[Sign]&amp;"1")*1/PptoSty[Division],(PptoSty[Division]&lt;&gt;0)*(PptoSty[Division]&lt;&gt;"")*(PptoSty[Division]&lt;&gt;"X")*(PptoSty[Project]=$B11)*(PptoSty[Vrs]=$D11)*(PptoSty[Site]=$F11)*(PptoSty[PiRow]=_xlfn.TEXTAFTER($H11,":"))*(PptoSty[PiColumn]=R$54),0)))</f>
        <v>0</v>
      </c>
      <c r="S11" s="197" cm="1">
        <f t="array" ref="S11">IF(OR($B11="",$B11="X",$D11="",$D11="X",$E11="",$E11="X",$F11="",$F11="X",$G11="",$G11="X",$H11="",$H11="X"),0,SUM(_xlfn._xlws.FILTER(VALUE(PptoSty[Sign]&amp;"1")*1/PptoSty[Division],(PptoSty[Division]&lt;&gt;0)*(PptoSty[Division]&lt;&gt;"")*(PptoSty[Division]&lt;&gt;"X")*(PptoSty[Project]=$B11)*(PptoSty[Vrs]=$D11)*(PptoSty[Site]=$F11)*(PptoSty[PiRow]=_xlfn.TEXTAFTER($H11,":"))*(PptoSty[PiColumn]=S$54),0)))</f>
        <v>0</v>
      </c>
      <c r="T11" s="197" cm="1">
        <f t="array" ref="T11">IF(OR($B11="",$B11="X",$D11="",$D11="X",$E11="",$E11="X",$F11="",$F11="X",$G11="",$G11="X",$H11="",$H11="X"),0,SUM(_xlfn._xlws.FILTER(VALUE(PptoSty[Sign]&amp;"1")*1/PptoSty[Division],(PptoSty[Division]&lt;&gt;0)*(PptoSty[Division]&lt;&gt;"")*(PptoSty[Division]&lt;&gt;"X")*(PptoSty[Project]=$B11)*(PptoSty[Vrs]=$D11)*(PptoSty[Site]=$F11)*(PptoSty[PiRow]=_xlfn.TEXTAFTER($H11,":"))*(PptoSty[PiColumn]=T$54),0)))</f>
        <v>0</v>
      </c>
      <c r="U11" s="197" cm="1">
        <f t="array" ref="U11">IF(OR($B11="",$B11="X",$D11="",$D11="X",$E11="",$E11="X",$F11="",$F11="X",$G11="",$G11="X",$H11="",$H11="X"),0,SUM(_xlfn._xlws.FILTER(VALUE(PptoSty[Sign]&amp;"1")*1/PptoSty[Division],(PptoSty[Division]&lt;&gt;0)*(PptoSty[Division]&lt;&gt;"")*(PptoSty[Division]&lt;&gt;"X")*(PptoSty[Project]=$B11)*(PptoSty[Vrs]=$D11)*(PptoSty[Site]=$F11)*(PptoSty[PiRow]=_xlfn.TEXTAFTER($H11,":"))*(PptoSty[PiColumn]=U$54),0)))</f>
        <v>0</v>
      </c>
      <c r="V11" s="197" cm="1">
        <f t="array" ref="V11">IF(OR($B11="",$B11="X",$D11="",$D11="X",$E11="",$E11="X",$F11="",$F11="X",$G11="",$G11="X",$H11="",$H11="X"),0,SUM(_xlfn._xlws.FILTER(VALUE(PptoSty[Sign]&amp;"1")*1/PptoSty[Division],(PptoSty[Division]&lt;&gt;0)*(PptoSty[Division]&lt;&gt;"")*(PptoSty[Division]&lt;&gt;"X")*(PptoSty[Project]=$B11)*(PptoSty[Vrs]=$D11)*(PptoSty[Site]=$F11)*(PptoSty[PiRow]=_xlfn.TEXTAFTER($H11,":"))*(PptoSty[PiColumn]=V$54),0)))</f>
        <v>0</v>
      </c>
      <c r="W11" s="197" cm="1">
        <f t="array" ref="W11">IF(OR($B11="",$B11="X",$D11="",$D11="X",$E11="",$E11="X",$F11="",$F11="X",$G11="",$G11="X",$H11="",$H11="X"),0,SUM(_xlfn._xlws.FILTER(VALUE(PptoSty[Sign]&amp;"1")*1/PptoSty[Division],(PptoSty[Division]&lt;&gt;0)*(PptoSty[Division]&lt;&gt;"")*(PptoSty[Division]&lt;&gt;"X")*(PptoSty[Project]=$B11)*(PptoSty[Vrs]=$D11)*(PptoSty[Site]=$F11)*(PptoSty[PiRow]=_xlfn.TEXTAFTER($H11,":"))*(PptoSty[PiColumn]=W$54),0)))</f>
        <v>0</v>
      </c>
      <c r="X11" s="197" cm="1">
        <f t="array" ref="X11">IF(OR($B11="",$B11="X",$D11="",$D11="X",$E11="",$E11="X",$F11="",$F11="X",$G11="",$G11="X",$H11="",$H11="X"),0,SUM(_xlfn._xlws.FILTER(VALUE(PptoSty[Sign]&amp;"1")*1/PptoSty[Division],(PptoSty[Division]&lt;&gt;0)*(PptoSty[Division]&lt;&gt;"")*(PptoSty[Division]&lt;&gt;"X")*(PptoSty[Project]=$B11)*(PptoSty[Vrs]=$D11)*(PptoSty[Site]=$F11)*(PptoSty[PiRow]=_xlfn.TEXTAFTER($H11,":"))*(PptoSty[PiColumn]=X$54),0)))</f>
        <v>0</v>
      </c>
      <c r="Y11" s="197" cm="1">
        <f t="array" ref="Y11">IF(OR($B11="",$B11="X",$D11="",$D11="X",$E11="",$E11="X",$F11="",$F11="X",$G11="",$G11="X",$H11="",$H11="X"),0,SUM(_xlfn._xlws.FILTER(VALUE(PptoSty[Sign]&amp;"1")*1/PptoSty[Division],(PptoSty[Division]&lt;&gt;0)*(PptoSty[Division]&lt;&gt;"")*(PptoSty[Division]&lt;&gt;"X")*(PptoSty[Project]=$B11)*(PptoSty[Vrs]=$D11)*(PptoSty[Site]=$F11)*(PptoSty[PiRow]=_xlfn.TEXTAFTER($H11,":"))*(PptoSty[PiColumn]=Y$54),0)))</f>
        <v>0</v>
      </c>
      <c r="Z11" s="32"/>
    </row>
    <row r="12" spans="1:26" s="33" customFormat="1" ht="17.25" customHeight="1" outlineLevel="1">
      <c r="A12" s="123"/>
      <c r="B12" s="140" t="str">
        <v>31200</v>
      </c>
      <c r="C12" s="128" t="str">
        <v>Sp</v>
      </c>
      <c r="D12" s="128">
        <v>15</v>
      </c>
      <c r="E12" s="128" t="str">
        <v>TRSL</v>
      </c>
      <c r="F12" s="139" t="str">
        <v>SERRA</v>
      </c>
      <c r="G12" s="139" t="str">
        <v>CurPpto</v>
      </c>
      <c r="H12" s="139" t="str">
        <v>X003:SUBGROUP TRSL</v>
      </c>
      <c r="I12" s="197" cm="1">
        <f t="array" ref="I12">IF(OR($B12="",$B12="X",$D12="",$D12="X",$E12="",$E12="X",$F12="",$F12="X",$G12="",$G12="X",$H12="",$H12="X"),0,SUM(_xlfn._xlws.FILTER(VALUE(PptoSty[Sign]&amp;"1")*1/PptoSty[Division],(PptoSty[Division]&lt;&gt;0)*(PptoSty[Division]&lt;&gt;"")*(PptoSty[Division]&lt;&gt;"X")*(PptoSty[Project]=$B12)*(PptoSty[Vrs]=$D12)*(PptoSty[Site]=$F12)*(PptoSty[PiRow]=_xlfn.TEXTAFTER($H12,":"))*(PptoSty[PiColumn]=I$54),0)))</f>
        <v>0</v>
      </c>
      <c r="J12" s="197" cm="1">
        <f t="array" ref="J12">IF(OR($B12="",$B12="X",$D12="",$D12="X",$E12="",$E12="X",$F12="",$F12="X",$G12="",$G12="X",$H12="",$H12="X"),0,SUM(_xlfn._xlws.FILTER(VALUE(PptoSty[Sign]&amp;"1")*1/PptoSty[Division],(PptoSty[Division]&lt;&gt;0)*(PptoSty[Division]&lt;&gt;"")*(PptoSty[Division]&lt;&gt;"X")*(PptoSty[Project]=$B12)*(PptoSty[Vrs]=$D12)*(PptoSty[Site]=$F12)*(PptoSty[PiRow]=_xlfn.TEXTAFTER($H12,":"))*(PptoSty[PiColumn]=J$54),0)))</f>
        <v>0</v>
      </c>
      <c r="K12" s="197" cm="1">
        <f t="array" ref="K12">IF(OR($B12="",$B12="X",$D12="",$D12="X",$E12="",$E12="X",$F12="",$F12="X",$G12="",$G12="X",$H12="",$H12="X"),0,SUM(_xlfn._xlws.FILTER(VALUE(PptoSty[Sign]&amp;"1")*1/PptoSty[Division],(PptoSty[Division]&lt;&gt;0)*(PptoSty[Division]&lt;&gt;"")*(PptoSty[Division]&lt;&gt;"X")*(PptoSty[Project]=$B12)*(PptoSty[Vrs]=$D12)*(PptoSty[Site]=$F12)*(PptoSty[PiRow]=_xlfn.TEXTAFTER($H12,":"))*(PptoSty[PiColumn]=K$54),0)))</f>
        <v>0</v>
      </c>
      <c r="L12" s="197" cm="1">
        <f t="array" ref="L12">IF(OR($B12="",$B12="X",$D12="",$D12="X",$E12="",$E12="X",$F12="",$F12="X",$G12="",$G12="X",$H12="",$H12="X"),0,SUM(_xlfn._xlws.FILTER(VALUE(PptoSty[Sign]&amp;"1")*1/PptoSty[Division],(PptoSty[Division]&lt;&gt;0)*(PptoSty[Division]&lt;&gt;"")*(PptoSty[Division]&lt;&gt;"X")*(PptoSty[Project]=$B12)*(PptoSty[Vrs]=$D12)*(PptoSty[Site]=$F12)*(PptoSty[PiRow]=_xlfn.TEXTAFTER($H12,":"))*(PptoSty[PiColumn]=L$54),0)))</f>
        <v>0</v>
      </c>
      <c r="M12" s="197" cm="1">
        <f t="array" ref="M12">IF(OR($B12="",$B12="X",$D12="",$D12="X",$E12="",$E12="X",$F12="",$F12="X",$G12="",$G12="X",$H12="",$H12="X"),0,SUM(_xlfn._xlws.FILTER(VALUE(PptoSty[Sign]&amp;"1")*1/PptoSty[Division],(PptoSty[Division]&lt;&gt;0)*(PptoSty[Division]&lt;&gt;"")*(PptoSty[Division]&lt;&gt;"X")*(PptoSty[Project]=$B12)*(PptoSty[Vrs]=$D12)*(PptoSty[Site]=$F12)*(PptoSty[PiRow]=_xlfn.TEXTAFTER($H12,":"))*(PptoSty[PiColumn]=M$54),0)))</f>
        <v>0</v>
      </c>
      <c r="N12" s="197" cm="1">
        <f t="array" ref="N12">IF(OR($B12="",$B12="X",$D12="",$D12="X",$E12="",$E12="X",$F12="",$F12="X",$G12="",$G12="X",$H12="",$H12="X"),0,SUM(_xlfn._xlws.FILTER(VALUE(PptoSty[Sign]&amp;"1")*1/PptoSty[Division],(PptoSty[Division]&lt;&gt;0)*(PptoSty[Division]&lt;&gt;"")*(PptoSty[Division]&lt;&gt;"X")*(PptoSty[Project]=$B12)*(PptoSty[Vrs]=$D12)*(PptoSty[Site]=$F12)*(PptoSty[PiRow]=_xlfn.TEXTAFTER($H12,":"))*(PptoSty[PiColumn]=N$54),0)))</f>
        <v>0</v>
      </c>
      <c r="O12" s="197" cm="1">
        <f t="array" ref="O12">IF(OR($B12="",$B12="X",$D12="",$D12="X",$E12="",$E12="X",$F12="",$F12="X",$G12="",$G12="X",$H12="",$H12="X"),0,SUM(_xlfn._xlws.FILTER(VALUE(PptoSty[Sign]&amp;"1")*1/PptoSty[Division],(PptoSty[Division]&lt;&gt;0)*(PptoSty[Division]&lt;&gt;"")*(PptoSty[Division]&lt;&gt;"X")*(PptoSty[Project]=$B12)*(PptoSty[Vrs]=$D12)*(PptoSty[Site]=$F12)*(PptoSty[PiRow]=_xlfn.TEXTAFTER($H12,":"))*(PptoSty[PiColumn]=O$54),0)))</f>
        <v>0</v>
      </c>
      <c r="P12" s="197" cm="1">
        <f t="array" ref="P12">IF(OR($B12="",$B12="X",$D12="",$D12="X",$E12="",$E12="X",$F12="",$F12="X",$G12="",$G12="X",$H12="",$H12="X"),0,SUM(_xlfn._xlws.FILTER(VALUE(PptoSty[Sign]&amp;"1")*1/PptoSty[Division],(PptoSty[Division]&lt;&gt;0)*(PptoSty[Division]&lt;&gt;"")*(PptoSty[Division]&lt;&gt;"X")*(PptoSty[Project]=$B12)*(PptoSty[Vrs]=$D12)*(PptoSty[Site]=$F12)*(PptoSty[PiRow]=_xlfn.TEXTAFTER($H12,":"))*(PptoSty[PiColumn]=P$54),0)))</f>
        <v>0</v>
      </c>
      <c r="Q12" s="197" cm="1">
        <f t="array" ref="Q12">IF(OR($B12="",$B12="X",$D12="",$D12="X",$E12="",$E12="X",$F12="",$F12="X",$G12="",$G12="X",$H12="",$H12="X"),0,SUM(_xlfn._xlws.FILTER(VALUE(PptoSty[Sign]&amp;"1")*1/PptoSty[Division],(PptoSty[Division]&lt;&gt;0)*(PptoSty[Division]&lt;&gt;"")*(PptoSty[Division]&lt;&gt;"X")*(PptoSty[Project]=$B12)*(PptoSty[Vrs]=$D12)*(PptoSty[Site]=$F12)*(PptoSty[PiRow]=_xlfn.TEXTAFTER($H12,":"))*(PptoSty[PiColumn]=Q$54),0)))</f>
        <v>0</v>
      </c>
      <c r="R12" s="197" cm="1">
        <f t="array" ref="R12">IF(OR($B12="",$B12="X",$D12="",$D12="X",$E12="",$E12="X",$F12="",$F12="X",$G12="",$G12="X",$H12="",$H12="X"),0,SUM(_xlfn._xlws.FILTER(VALUE(PptoSty[Sign]&amp;"1")*1/PptoSty[Division],(PptoSty[Division]&lt;&gt;0)*(PptoSty[Division]&lt;&gt;"")*(PptoSty[Division]&lt;&gt;"X")*(PptoSty[Project]=$B12)*(PptoSty[Vrs]=$D12)*(PptoSty[Site]=$F12)*(PptoSty[PiRow]=_xlfn.TEXTAFTER($H12,":"))*(PptoSty[PiColumn]=R$54),0)))</f>
        <v>0</v>
      </c>
      <c r="S12" s="197" cm="1">
        <f t="array" ref="S12">IF(OR($B12="",$B12="X",$D12="",$D12="X",$E12="",$E12="X",$F12="",$F12="X",$G12="",$G12="X",$H12="",$H12="X"),0,SUM(_xlfn._xlws.FILTER(VALUE(PptoSty[Sign]&amp;"1")*1/PptoSty[Division],(PptoSty[Division]&lt;&gt;0)*(PptoSty[Division]&lt;&gt;"")*(PptoSty[Division]&lt;&gt;"X")*(PptoSty[Project]=$B12)*(PptoSty[Vrs]=$D12)*(PptoSty[Site]=$F12)*(PptoSty[PiRow]=_xlfn.TEXTAFTER($H12,":"))*(PptoSty[PiColumn]=S$54),0)))</f>
        <v>0</v>
      </c>
      <c r="T12" s="197" cm="1">
        <f t="array" ref="T12">IF(OR($B12="",$B12="X",$D12="",$D12="X",$E12="",$E12="X",$F12="",$F12="X",$G12="",$G12="X",$H12="",$H12="X"),0,SUM(_xlfn._xlws.FILTER(VALUE(PptoSty[Sign]&amp;"1")*1/PptoSty[Division],(PptoSty[Division]&lt;&gt;0)*(PptoSty[Division]&lt;&gt;"")*(PptoSty[Division]&lt;&gt;"X")*(PptoSty[Project]=$B12)*(PptoSty[Vrs]=$D12)*(PptoSty[Site]=$F12)*(PptoSty[PiRow]=_xlfn.TEXTAFTER($H12,":"))*(PptoSty[PiColumn]=T$54),0)))</f>
        <v>0</v>
      </c>
      <c r="U12" s="197" cm="1">
        <f t="array" ref="U12">IF(OR($B12="",$B12="X",$D12="",$D12="X",$E12="",$E12="X",$F12="",$F12="X",$G12="",$G12="X",$H12="",$H12="X"),0,SUM(_xlfn._xlws.FILTER(VALUE(PptoSty[Sign]&amp;"1")*1/PptoSty[Division],(PptoSty[Division]&lt;&gt;0)*(PptoSty[Division]&lt;&gt;"")*(PptoSty[Division]&lt;&gt;"X")*(PptoSty[Project]=$B12)*(PptoSty[Vrs]=$D12)*(PptoSty[Site]=$F12)*(PptoSty[PiRow]=_xlfn.TEXTAFTER($H12,":"))*(PptoSty[PiColumn]=U$54),0)))</f>
        <v>0</v>
      </c>
      <c r="V12" s="197" cm="1">
        <f t="array" ref="V12">IF(OR($B12="",$B12="X",$D12="",$D12="X",$E12="",$E12="X",$F12="",$F12="X",$G12="",$G12="X",$H12="",$H12="X"),0,SUM(_xlfn._xlws.FILTER(VALUE(PptoSty[Sign]&amp;"1")*1/PptoSty[Division],(PptoSty[Division]&lt;&gt;0)*(PptoSty[Division]&lt;&gt;"")*(PptoSty[Division]&lt;&gt;"X")*(PptoSty[Project]=$B12)*(PptoSty[Vrs]=$D12)*(PptoSty[Site]=$F12)*(PptoSty[PiRow]=_xlfn.TEXTAFTER($H12,":"))*(PptoSty[PiColumn]=V$54),0)))</f>
        <v>0</v>
      </c>
      <c r="W12" s="197" cm="1">
        <f t="array" ref="W12">IF(OR($B12="",$B12="X",$D12="",$D12="X",$E12="",$E12="X",$F12="",$F12="X",$G12="",$G12="X",$H12="",$H12="X"),0,SUM(_xlfn._xlws.FILTER(VALUE(PptoSty[Sign]&amp;"1")*1/PptoSty[Division],(PptoSty[Division]&lt;&gt;0)*(PptoSty[Division]&lt;&gt;"")*(PptoSty[Division]&lt;&gt;"X")*(PptoSty[Project]=$B12)*(PptoSty[Vrs]=$D12)*(PptoSty[Site]=$F12)*(PptoSty[PiRow]=_xlfn.TEXTAFTER($H12,":"))*(PptoSty[PiColumn]=W$54),0)))</f>
        <v>0</v>
      </c>
      <c r="X12" s="197" cm="1">
        <f t="array" ref="X12">IF(OR($B12="",$B12="X",$D12="",$D12="X",$E12="",$E12="X",$F12="",$F12="X",$G12="",$G12="X",$H12="",$H12="X"),0,SUM(_xlfn._xlws.FILTER(VALUE(PptoSty[Sign]&amp;"1")*1/PptoSty[Division],(PptoSty[Division]&lt;&gt;0)*(PptoSty[Division]&lt;&gt;"")*(PptoSty[Division]&lt;&gt;"X")*(PptoSty[Project]=$B12)*(PptoSty[Vrs]=$D12)*(PptoSty[Site]=$F12)*(PptoSty[PiRow]=_xlfn.TEXTAFTER($H12,":"))*(PptoSty[PiColumn]=X$54),0)))</f>
        <v>0</v>
      </c>
      <c r="Y12" s="197" cm="1">
        <f t="array" ref="Y12">IF(OR($B12="",$B12="X",$D12="",$D12="X",$E12="",$E12="X",$F12="",$F12="X",$G12="",$G12="X",$H12="",$H12="X"),0,SUM(_xlfn._xlws.FILTER(VALUE(PptoSty[Sign]&amp;"1")*1/PptoSty[Division],(PptoSty[Division]&lt;&gt;0)*(PptoSty[Division]&lt;&gt;"")*(PptoSty[Division]&lt;&gt;"X")*(PptoSty[Project]=$B12)*(PptoSty[Vrs]=$D12)*(PptoSty[Site]=$F12)*(PptoSty[PiRow]=_xlfn.TEXTAFTER($H12,":"))*(PptoSty[PiColumn]=Y$54),0)))</f>
        <v>0</v>
      </c>
      <c r="Z12" s="32"/>
    </row>
    <row r="13" spans="1:26" s="33" customFormat="1" ht="17.25" customHeight="1" outlineLevel="1">
      <c r="A13" s="123"/>
      <c r="B13" s="140" t="str">
        <v>31199</v>
      </c>
      <c r="C13" s="128" t="str">
        <v>Sp</v>
      </c>
      <c r="D13" s="128">
        <v>0</v>
      </c>
      <c r="E13" s="128" t="str">
        <v>GSDF</v>
      </c>
      <c r="F13" s="139" t="str">
        <v>SERRA</v>
      </c>
      <c r="G13" s="139" t="str">
        <v>CurPpto</v>
      </c>
      <c r="H13" s="139" t="str">
        <v>X004:SUBGROUP GSDF</v>
      </c>
      <c r="I13" s="197" cm="1">
        <f t="array" ref="I13">IF(OR($B13="",$B13="X",$D13="",$D13="X",$E13="",$E13="X",$F13="",$F13="X",$G13="",$G13="X",$H13="",$H13="X"),0,SUM(_xlfn._xlws.FILTER(VALUE(PptoSty[Sign]&amp;"1")*1/PptoSty[Division],(PptoSty[Division]&lt;&gt;0)*(PptoSty[Division]&lt;&gt;"")*(PptoSty[Division]&lt;&gt;"X")*(PptoSty[Project]=$B13)*(PptoSty[Vrs]=$D13)*(PptoSty[Site]=$F13)*(PptoSty[PiRow]=_xlfn.TEXTAFTER($H13,":"))*(PptoSty[PiColumn]=I$54),0)))</f>
        <v>0</v>
      </c>
      <c r="J13" s="197" cm="1">
        <f t="array" ref="J13">IF(OR($B13="",$B13="X",$D13="",$D13="X",$E13="",$E13="X",$F13="",$F13="X",$G13="",$G13="X",$H13="",$H13="X"),0,SUM(_xlfn._xlws.FILTER(VALUE(PptoSty[Sign]&amp;"1")*1/PptoSty[Division],(PptoSty[Division]&lt;&gt;0)*(PptoSty[Division]&lt;&gt;"")*(PptoSty[Division]&lt;&gt;"X")*(PptoSty[Project]=$B13)*(PptoSty[Vrs]=$D13)*(PptoSty[Site]=$F13)*(PptoSty[PiRow]=_xlfn.TEXTAFTER($H13,":"))*(PptoSty[PiColumn]=J$54),0)))</f>
        <v>0</v>
      </c>
      <c r="K13" s="197" cm="1">
        <f t="array" ref="K13">IF(OR($B13="",$B13="X",$D13="",$D13="X",$E13="",$E13="X",$F13="",$F13="X",$G13="",$G13="X",$H13="",$H13="X"),0,SUM(_xlfn._xlws.FILTER(VALUE(PptoSty[Sign]&amp;"1")*1/PptoSty[Division],(PptoSty[Division]&lt;&gt;0)*(PptoSty[Division]&lt;&gt;"")*(PptoSty[Division]&lt;&gt;"X")*(PptoSty[Project]=$B13)*(PptoSty[Vrs]=$D13)*(PptoSty[Site]=$F13)*(PptoSty[PiRow]=_xlfn.TEXTAFTER($H13,":"))*(PptoSty[PiColumn]=K$54),0)))</f>
        <v>0</v>
      </c>
      <c r="L13" s="197" cm="1">
        <f t="array" ref="L13">IF(OR($B13="",$B13="X",$D13="",$D13="X",$E13="",$E13="X",$F13="",$F13="X",$G13="",$G13="X",$H13="",$H13="X"),0,SUM(_xlfn._xlws.FILTER(VALUE(PptoSty[Sign]&amp;"1")*1/PptoSty[Division],(PptoSty[Division]&lt;&gt;0)*(PptoSty[Division]&lt;&gt;"")*(PptoSty[Division]&lt;&gt;"X")*(PptoSty[Project]=$B13)*(PptoSty[Vrs]=$D13)*(PptoSty[Site]=$F13)*(PptoSty[PiRow]=_xlfn.TEXTAFTER($H13,":"))*(PptoSty[PiColumn]=L$54),0)))</f>
        <v>0</v>
      </c>
      <c r="M13" s="197" cm="1">
        <f t="array" ref="M13">IF(OR($B13="",$B13="X",$D13="",$D13="X",$E13="",$E13="X",$F13="",$F13="X",$G13="",$G13="X",$H13="",$H13="X"),0,SUM(_xlfn._xlws.FILTER(VALUE(PptoSty[Sign]&amp;"1")*1/PptoSty[Division],(PptoSty[Division]&lt;&gt;0)*(PptoSty[Division]&lt;&gt;"")*(PptoSty[Division]&lt;&gt;"X")*(PptoSty[Project]=$B13)*(PptoSty[Vrs]=$D13)*(PptoSty[Site]=$F13)*(PptoSty[PiRow]=_xlfn.TEXTAFTER($H13,":"))*(PptoSty[PiColumn]=M$54),0)))</f>
        <v>0</v>
      </c>
      <c r="N13" s="197" cm="1">
        <f t="array" ref="N13">IF(OR($B13="",$B13="X",$D13="",$D13="X",$E13="",$E13="X",$F13="",$F13="X",$G13="",$G13="X",$H13="",$H13="X"),0,SUM(_xlfn._xlws.FILTER(VALUE(PptoSty[Sign]&amp;"1")*1/PptoSty[Division],(PptoSty[Division]&lt;&gt;0)*(PptoSty[Division]&lt;&gt;"")*(PptoSty[Division]&lt;&gt;"X")*(PptoSty[Project]=$B13)*(PptoSty[Vrs]=$D13)*(PptoSty[Site]=$F13)*(PptoSty[PiRow]=_xlfn.TEXTAFTER($H13,":"))*(PptoSty[PiColumn]=N$54),0)))</f>
        <v>0</v>
      </c>
      <c r="O13" s="197" cm="1">
        <f t="array" ref="O13">IF(OR($B13="",$B13="X",$D13="",$D13="X",$E13="",$E13="X",$F13="",$F13="X",$G13="",$G13="X",$H13="",$H13="X"),0,SUM(_xlfn._xlws.FILTER(VALUE(PptoSty[Sign]&amp;"1")*1/PptoSty[Division],(PptoSty[Division]&lt;&gt;0)*(PptoSty[Division]&lt;&gt;"")*(PptoSty[Division]&lt;&gt;"X")*(PptoSty[Project]=$B13)*(PptoSty[Vrs]=$D13)*(PptoSty[Site]=$F13)*(PptoSty[PiRow]=_xlfn.TEXTAFTER($H13,":"))*(PptoSty[PiColumn]=O$54),0)))</f>
        <v>0</v>
      </c>
      <c r="P13" s="197" cm="1">
        <f t="array" ref="P13">IF(OR($B13="",$B13="X",$D13="",$D13="X",$E13="",$E13="X",$F13="",$F13="X",$G13="",$G13="X",$H13="",$H13="X"),0,SUM(_xlfn._xlws.FILTER(VALUE(PptoSty[Sign]&amp;"1")*1/PptoSty[Division],(PptoSty[Division]&lt;&gt;0)*(PptoSty[Division]&lt;&gt;"")*(PptoSty[Division]&lt;&gt;"X")*(PptoSty[Project]=$B13)*(PptoSty[Vrs]=$D13)*(PptoSty[Site]=$F13)*(PptoSty[PiRow]=_xlfn.TEXTAFTER($H13,":"))*(PptoSty[PiColumn]=P$54),0)))</f>
        <v>0</v>
      </c>
      <c r="Q13" s="197" cm="1">
        <f t="array" ref="Q13">IF(OR($B13="",$B13="X",$D13="",$D13="X",$E13="",$E13="X",$F13="",$F13="X",$G13="",$G13="X",$H13="",$H13="X"),0,SUM(_xlfn._xlws.FILTER(VALUE(PptoSty[Sign]&amp;"1")*1/PptoSty[Division],(PptoSty[Division]&lt;&gt;0)*(PptoSty[Division]&lt;&gt;"")*(PptoSty[Division]&lt;&gt;"X")*(PptoSty[Project]=$B13)*(PptoSty[Vrs]=$D13)*(PptoSty[Site]=$F13)*(PptoSty[PiRow]=_xlfn.TEXTAFTER($H13,":"))*(PptoSty[PiColumn]=Q$54),0)))</f>
        <v>0</v>
      </c>
      <c r="R13" s="197" cm="1">
        <f t="array" ref="R13">IF(OR($B13="",$B13="X",$D13="",$D13="X",$E13="",$E13="X",$F13="",$F13="X",$G13="",$G13="X",$H13="",$H13="X"),0,SUM(_xlfn._xlws.FILTER(VALUE(PptoSty[Sign]&amp;"1")*1/PptoSty[Division],(PptoSty[Division]&lt;&gt;0)*(PptoSty[Division]&lt;&gt;"")*(PptoSty[Division]&lt;&gt;"X")*(PptoSty[Project]=$B13)*(PptoSty[Vrs]=$D13)*(PptoSty[Site]=$F13)*(PptoSty[PiRow]=_xlfn.TEXTAFTER($H13,":"))*(PptoSty[PiColumn]=R$54),0)))</f>
        <v>0</v>
      </c>
      <c r="S13" s="197" cm="1">
        <f t="array" ref="S13">IF(OR($B13="",$B13="X",$D13="",$D13="X",$E13="",$E13="X",$F13="",$F13="X",$G13="",$G13="X",$H13="",$H13="X"),0,SUM(_xlfn._xlws.FILTER(VALUE(PptoSty[Sign]&amp;"1")*1/PptoSty[Division],(PptoSty[Division]&lt;&gt;0)*(PptoSty[Division]&lt;&gt;"")*(PptoSty[Division]&lt;&gt;"X")*(PptoSty[Project]=$B13)*(PptoSty[Vrs]=$D13)*(PptoSty[Site]=$F13)*(PptoSty[PiRow]=_xlfn.TEXTAFTER($H13,":"))*(PptoSty[PiColumn]=S$54),0)))</f>
        <v>0</v>
      </c>
      <c r="T13" s="197" cm="1">
        <f t="array" ref="T13">IF(OR($B13="",$B13="X",$D13="",$D13="X",$E13="",$E13="X",$F13="",$F13="X",$G13="",$G13="X",$H13="",$H13="X"),0,SUM(_xlfn._xlws.FILTER(VALUE(PptoSty[Sign]&amp;"1")*1/PptoSty[Division],(PptoSty[Division]&lt;&gt;0)*(PptoSty[Division]&lt;&gt;"")*(PptoSty[Division]&lt;&gt;"X")*(PptoSty[Project]=$B13)*(PptoSty[Vrs]=$D13)*(PptoSty[Site]=$F13)*(PptoSty[PiRow]=_xlfn.TEXTAFTER($H13,":"))*(PptoSty[PiColumn]=T$54),0)))</f>
        <v>0</v>
      </c>
      <c r="U13" s="197" cm="1">
        <f t="array" ref="U13">IF(OR($B13="",$B13="X",$D13="",$D13="X",$E13="",$E13="X",$F13="",$F13="X",$G13="",$G13="X",$H13="",$H13="X"),0,SUM(_xlfn._xlws.FILTER(VALUE(PptoSty[Sign]&amp;"1")*1/PptoSty[Division],(PptoSty[Division]&lt;&gt;0)*(PptoSty[Division]&lt;&gt;"")*(PptoSty[Division]&lt;&gt;"X")*(PptoSty[Project]=$B13)*(PptoSty[Vrs]=$D13)*(PptoSty[Site]=$F13)*(PptoSty[PiRow]=_xlfn.TEXTAFTER($H13,":"))*(PptoSty[PiColumn]=U$54),0)))</f>
        <v>0</v>
      </c>
      <c r="V13" s="197" cm="1">
        <f t="array" ref="V13">IF(OR($B13="",$B13="X",$D13="",$D13="X",$E13="",$E13="X",$F13="",$F13="X",$G13="",$G13="X",$H13="",$H13="X"),0,SUM(_xlfn._xlws.FILTER(VALUE(PptoSty[Sign]&amp;"1")*1/PptoSty[Division],(PptoSty[Division]&lt;&gt;0)*(PptoSty[Division]&lt;&gt;"")*(PptoSty[Division]&lt;&gt;"X")*(PptoSty[Project]=$B13)*(PptoSty[Vrs]=$D13)*(PptoSty[Site]=$F13)*(PptoSty[PiRow]=_xlfn.TEXTAFTER($H13,":"))*(PptoSty[PiColumn]=V$54),0)))</f>
        <v>0</v>
      </c>
      <c r="W13" s="197" cm="1">
        <f t="array" ref="W13">IF(OR($B13="",$B13="X",$D13="",$D13="X",$E13="",$E13="X",$F13="",$F13="X",$G13="",$G13="X",$H13="",$H13="X"),0,SUM(_xlfn._xlws.FILTER(VALUE(PptoSty[Sign]&amp;"1")*1/PptoSty[Division],(PptoSty[Division]&lt;&gt;0)*(PptoSty[Division]&lt;&gt;"")*(PptoSty[Division]&lt;&gt;"X")*(PptoSty[Project]=$B13)*(PptoSty[Vrs]=$D13)*(PptoSty[Site]=$F13)*(PptoSty[PiRow]=_xlfn.TEXTAFTER($H13,":"))*(PptoSty[PiColumn]=W$54),0)))</f>
        <v>0</v>
      </c>
      <c r="X13" s="197" cm="1">
        <f t="array" ref="X13">IF(OR($B13="",$B13="X",$D13="",$D13="X",$E13="",$E13="X",$F13="",$F13="X",$G13="",$G13="X",$H13="",$H13="X"),0,SUM(_xlfn._xlws.FILTER(VALUE(PptoSty[Sign]&amp;"1")*1/PptoSty[Division],(PptoSty[Division]&lt;&gt;0)*(PptoSty[Division]&lt;&gt;"")*(PptoSty[Division]&lt;&gt;"X")*(PptoSty[Project]=$B13)*(PptoSty[Vrs]=$D13)*(PptoSty[Site]=$F13)*(PptoSty[PiRow]=_xlfn.TEXTAFTER($H13,":"))*(PptoSty[PiColumn]=X$54),0)))</f>
        <v>0</v>
      </c>
      <c r="Y13" s="197" cm="1">
        <f t="array" ref="Y13">IF(OR($B13="",$B13="X",$D13="",$D13="X",$E13="",$E13="X",$F13="",$F13="X",$G13="",$G13="X",$H13="",$H13="X"),0,SUM(_xlfn._xlws.FILTER(VALUE(PptoSty[Sign]&amp;"1")*1/PptoSty[Division],(PptoSty[Division]&lt;&gt;0)*(PptoSty[Division]&lt;&gt;"")*(PptoSty[Division]&lt;&gt;"X")*(PptoSty[Project]=$B13)*(PptoSty[Vrs]=$D13)*(PptoSty[Site]=$F13)*(PptoSty[PiRow]=_xlfn.TEXTAFTER($H13,":"))*(PptoSty[PiColumn]=Y$54),0)))</f>
        <v>0</v>
      </c>
      <c r="Z13" s="32"/>
    </row>
    <row r="14" spans="1:26" s="33" customFormat="1" ht="17.25" customHeight="1" outlineLevel="1">
      <c r="A14" s="123"/>
      <c r="B14" s="140" t="str">
        <v>31200</v>
      </c>
      <c r="C14" s="128" t="str">
        <v>Sp</v>
      </c>
      <c r="D14" s="128">
        <v>15</v>
      </c>
      <c r="E14" s="128" t="str">
        <v>GSDF</v>
      </c>
      <c r="F14" s="139" t="str">
        <v>SERRA</v>
      </c>
      <c r="G14" s="139" t="str">
        <v>CurPpto</v>
      </c>
      <c r="H14" s="139" t="str">
        <v>X004:SUBGROUP GSDF</v>
      </c>
      <c r="I14" s="197" cm="1">
        <f t="array" ref="I14">IF(OR($B14="",$B14="X",$D14="",$D14="X",$E14="",$E14="X",$F14="",$F14="X",$G14="",$G14="X",$H14="",$H14="X"),0,SUM(_xlfn._xlws.FILTER(VALUE(PptoSty[Sign]&amp;"1")*1/PptoSty[Division],(PptoSty[Division]&lt;&gt;0)*(PptoSty[Division]&lt;&gt;"")*(PptoSty[Division]&lt;&gt;"X")*(PptoSty[Project]=$B14)*(PptoSty[Vrs]=$D14)*(PptoSty[Site]=$F14)*(PptoSty[PiRow]=_xlfn.TEXTAFTER($H14,":"))*(PptoSty[PiColumn]=I$54),0)))</f>
        <v>0</v>
      </c>
      <c r="J14" s="197" cm="1">
        <f t="array" ref="J14">IF(OR($B14="",$B14="X",$D14="",$D14="X",$E14="",$E14="X",$F14="",$F14="X",$G14="",$G14="X",$H14="",$H14="X"),0,SUM(_xlfn._xlws.FILTER(VALUE(PptoSty[Sign]&amp;"1")*1/PptoSty[Division],(PptoSty[Division]&lt;&gt;0)*(PptoSty[Division]&lt;&gt;"")*(PptoSty[Division]&lt;&gt;"X")*(PptoSty[Project]=$B14)*(PptoSty[Vrs]=$D14)*(PptoSty[Site]=$F14)*(PptoSty[PiRow]=_xlfn.TEXTAFTER($H14,":"))*(PptoSty[PiColumn]=J$54),0)))</f>
        <v>0</v>
      </c>
      <c r="K14" s="197" cm="1">
        <f t="array" ref="K14">IF(OR($B14="",$B14="X",$D14="",$D14="X",$E14="",$E14="X",$F14="",$F14="X",$G14="",$G14="X",$H14="",$H14="X"),0,SUM(_xlfn._xlws.FILTER(VALUE(PptoSty[Sign]&amp;"1")*1/PptoSty[Division],(PptoSty[Division]&lt;&gt;0)*(PptoSty[Division]&lt;&gt;"")*(PptoSty[Division]&lt;&gt;"X")*(PptoSty[Project]=$B14)*(PptoSty[Vrs]=$D14)*(PptoSty[Site]=$F14)*(PptoSty[PiRow]=_xlfn.TEXTAFTER($H14,":"))*(PptoSty[PiColumn]=K$54),0)))</f>
        <v>0</v>
      </c>
      <c r="L14" s="197" cm="1">
        <f t="array" ref="L14">IF(OR($B14="",$B14="X",$D14="",$D14="X",$E14="",$E14="X",$F14="",$F14="X",$G14="",$G14="X",$H14="",$H14="X"),0,SUM(_xlfn._xlws.FILTER(VALUE(PptoSty[Sign]&amp;"1")*1/PptoSty[Division],(PptoSty[Division]&lt;&gt;0)*(PptoSty[Division]&lt;&gt;"")*(PptoSty[Division]&lt;&gt;"X")*(PptoSty[Project]=$B14)*(PptoSty[Vrs]=$D14)*(PptoSty[Site]=$F14)*(PptoSty[PiRow]=_xlfn.TEXTAFTER($H14,":"))*(PptoSty[PiColumn]=L$54),0)))</f>
        <v>0</v>
      </c>
      <c r="M14" s="197" cm="1">
        <f t="array" ref="M14">IF(OR($B14="",$B14="X",$D14="",$D14="X",$E14="",$E14="X",$F14="",$F14="X",$G14="",$G14="X",$H14="",$H14="X"),0,SUM(_xlfn._xlws.FILTER(VALUE(PptoSty[Sign]&amp;"1")*1/PptoSty[Division],(PptoSty[Division]&lt;&gt;0)*(PptoSty[Division]&lt;&gt;"")*(PptoSty[Division]&lt;&gt;"X")*(PptoSty[Project]=$B14)*(PptoSty[Vrs]=$D14)*(PptoSty[Site]=$F14)*(PptoSty[PiRow]=_xlfn.TEXTAFTER($H14,":"))*(PptoSty[PiColumn]=M$54),0)))</f>
        <v>0</v>
      </c>
      <c r="N14" s="197" cm="1">
        <f t="array" ref="N14">IF(OR($B14="",$B14="X",$D14="",$D14="X",$E14="",$E14="X",$F14="",$F14="X",$G14="",$G14="X",$H14="",$H14="X"),0,SUM(_xlfn._xlws.FILTER(VALUE(PptoSty[Sign]&amp;"1")*1/PptoSty[Division],(PptoSty[Division]&lt;&gt;0)*(PptoSty[Division]&lt;&gt;"")*(PptoSty[Division]&lt;&gt;"X")*(PptoSty[Project]=$B14)*(PptoSty[Vrs]=$D14)*(PptoSty[Site]=$F14)*(PptoSty[PiRow]=_xlfn.TEXTAFTER($H14,":"))*(PptoSty[PiColumn]=N$54),0)))</f>
        <v>0</v>
      </c>
      <c r="O14" s="197" cm="1">
        <f t="array" ref="O14">IF(OR($B14="",$B14="X",$D14="",$D14="X",$E14="",$E14="X",$F14="",$F14="X",$G14="",$G14="X",$H14="",$H14="X"),0,SUM(_xlfn._xlws.FILTER(VALUE(PptoSty[Sign]&amp;"1")*1/PptoSty[Division],(PptoSty[Division]&lt;&gt;0)*(PptoSty[Division]&lt;&gt;"")*(PptoSty[Division]&lt;&gt;"X")*(PptoSty[Project]=$B14)*(PptoSty[Vrs]=$D14)*(PptoSty[Site]=$F14)*(PptoSty[PiRow]=_xlfn.TEXTAFTER($H14,":"))*(PptoSty[PiColumn]=O$54),0)))</f>
        <v>0</v>
      </c>
      <c r="P14" s="197" cm="1">
        <f t="array" ref="P14">IF(OR($B14="",$B14="X",$D14="",$D14="X",$E14="",$E14="X",$F14="",$F14="X",$G14="",$G14="X",$H14="",$H14="X"),0,SUM(_xlfn._xlws.FILTER(VALUE(PptoSty[Sign]&amp;"1")*1/PptoSty[Division],(PptoSty[Division]&lt;&gt;0)*(PptoSty[Division]&lt;&gt;"")*(PptoSty[Division]&lt;&gt;"X")*(PptoSty[Project]=$B14)*(PptoSty[Vrs]=$D14)*(PptoSty[Site]=$F14)*(PptoSty[PiRow]=_xlfn.TEXTAFTER($H14,":"))*(PptoSty[PiColumn]=P$54),0)))</f>
        <v>0</v>
      </c>
      <c r="Q14" s="197" cm="1">
        <f t="array" ref="Q14">IF(OR($B14="",$B14="X",$D14="",$D14="X",$E14="",$E14="X",$F14="",$F14="X",$G14="",$G14="X",$H14="",$H14="X"),0,SUM(_xlfn._xlws.FILTER(VALUE(PptoSty[Sign]&amp;"1")*1/PptoSty[Division],(PptoSty[Division]&lt;&gt;0)*(PptoSty[Division]&lt;&gt;"")*(PptoSty[Division]&lt;&gt;"X")*(PptoSty[Project]=$B14)*(PptoSty[Vrs]=$D14)*(PptoSty[Site]=$F14)*(PptoSty[PiRow]=_xlfn.TEXTAFTER($H14,":"))*(PptoSty[PiColumn]=Q$54),0)))</f>
        <v>0</v>
      </c>
      <c r="R14" s="197" cm="1">
        <f t="array" ref="R14">IF(OR($B14="",$B14="X",$D14="",$D14="X",$E14="",$E14="X",$F14="",$F14="X",$G14="",$G14="X",$H14="",$H14="X"),0,SUM(_xlfn._xlws.FILTER(VALUE(PptoSty[Sign]&amp;"1")*1/PptoSty[Division],(PptoSty[Division]&lt;&gt;0)*(PptoSty[Division]&lt;&gt;"")*(PptoSty[Division]&lt;&gt;"X")*(PptoSty[Project]=$B14)*(PptoSty[Vrs]=$D14)*(PptoSty[Site]=$F14)*(PptoSty[PiRow]=_xlfn.TEXTAFTER($H14,":"))*(PptoSty[PiColumn]=R$54),0)))</f>
        <v>0</v>
      </c>
      <c r="S14" s="197" cm="1">
        <f t="array" ref="S14">IF(OR($B14="",$B14="X",$D14="",$D14="X",$E14="",$E14="X",$F14="",$F14="X",$G14="",$G14="X",$H14="",$H14="X"),0,SUM(_xlfn._xlws.FILTER(VALUE(PptoSty[Sign]&amp;"1")*1/PptoSty[Division],(PptoSty[Division]&lt;&gt;0)*(PptoSty[Division]&lt;&gt;"")*(PptoSty[Division]&lt;&gt;"X")*(PptoSty[Project]=$B14)*(PptoSty[Vrs]=$D14)*(PptoSty[Site]=$F14)*(PptoSty[PiRow]=_xlfn.TEXTAFTER($H14,":"))*(PptoSty[PiColumn]=S$54),0)))</f>
        <v>0</v>
      </c>
      <c r="T14" s="197" cm="1">
        <f t="array" ref="T14">IF(OR($B14="",$B14="X",$D14="",$D14="X",$E14="",$E14="X",$F14="",$F14="X",$G14="",$G14="X",$H14="",$H14="X"),0,SUM(_xlfn._xlws.FILTER(VALUE(PptoSty[Sign]&amp;"1")*1/PptoSty[Division],(PptoSty[Division]&lt;&gt;0)*(PptoSty[Division]&lt;&gt;"")*(PptoSty[Division]&lt;&gt;"X")*(PptoSty[Project]=$B14)*(PptoSty[Vrs]=$D14)*(PptoSty[Site]=$F14)*(PptoSty[PiRow]=_xlfn.TEXTAFTER($H14,":"))*(PptoSty[PiColumn]=T$54),0)))</f>
        <v>0</v>
      </c>
      <c r="U14" s="197" cm="1">
        <f t="array" ref="U14">IF(OR($B14="",$B14="X",$D14="",$D14="X",$E14="",$E14="X",$F14="",$F14="X",$G14="",$G14="X",$H14="",$H14="X"),0,SUM(_xlfn._xlws.FILTER(VALUE(PptoSty[Sign]&amp;"1")*1/PptoSty[Division],(PptoSty[Division]&lt;&gt;0)*(PptoSty[Division]&lt;&gt;"")*(PptoSty[Division]&lt;&gt;"X")*(PptoSty[Project]=$B14)*(PptoSty[Vrs]=$D14)*(PptoSty[Site]=$F14)*(PptoSty[PiRow]=_xlfn.TEXTAFTER($H14,":"))*(PptoSty[PiColumn]=U$54),0)))</f>
        <v>0</v>
      </c>
      <c r="V14" s="197" cm="1">
        <f t="array" ref="V14">IF(OR($B14="",$B14="X",$D14="",$D14="X",$E14="",$E14="X",$F14="",$F14="X",$G14="",$G14="X",$H14="",$H14="X"),0,SUM(_xlfn._xlws.FILTER(VALUE(PptoSty[Sign]&amp;"1")*1/PptoSty[Division],(PptoSty[Division]&lt;&gt;0)*(PptoSty[Division]&lt;&gt;"")*(PptoSty[Division]&lt;&gt;"X")*(PptoSty[Project]=$B14)*(PptoSty[Vrs]=$D14)*(PptoSty[Site]=$F14)*(PptoSty[PiRow]=_xlfn.TEXTAFTER($H14,":"))*(PptoSty[PiColumn]=V$54),0)))</f>
        <v>0</v>
      </c>
      <c r="W14" s="197" cm="1">
        <f t="array" ref="W14">IF(OR($B14="",$B14="X",$D14="",$D14="X",$E14="",$E14="X",$F14="",$F14="X",$G14="",$G14="X",$H14="",$H14="X"),0,SUM(_xlfn._xlws.FILTER(VALUE(PptoSty[Sign]&amp;"1")*1/PptoSty[Division],(PptoSty[Division]&lt;&gt;0)*(PptoSty[Division]&lt;&gt;"")*(PptoSty[Division]&lt;&gt;"X")*(PptoSty[Project]=$B14)*(PptoSty[Vrs]=$D14)*(PptoSty[Site]=$F14)*(PptoSty[PiRow]=_xlfn.TEXTAFTER($H14,":"))*(PptoSty[PiColumn]=W$54),0)))</f>
        <v>0</v>
      </c>
      <c r="X14" s="197" cm="1">
        <f t="array" ref="X14">IF(OR($B14="",$B14="X",$D14="",$D14="X",$E14="",$E14="X",$F14="",$F14="X",$G14="",$G14="X",$H14="",$H14="X"),0,SUM(_xlfn._xlws.FILTER(VALUE(PptoSty[Sign]&amp;"1")*1/PptoSty[Division],(PptoSty[Division]&lt;&gt;0)*(PptoSty[Division]&lt;&gt;"")*(PptoSty[Division]&lt;&gt;"X")*(PptoSty[Project]=$B14)*(PptoSty[Vrs]=$D14)*(PptoSty[Site]=$F14)*(PptoSty[PiRow]=_xlfn.TEXTAFTER($H14,":"))*(PptoSty[PiColumn]=X$54),0)))</f>
        <v>0</v>
      </c>
      <c r="Y14" s="197" cm="1">
        <f t="array" ref="Y14">IF(OR($B14="",$B14="X",$D14="",$D14="X",$E14="",$E14="X",$F14="",$F14="X",$G14="",$G14="X",$H14="",$H14="X"),0,SUM(_xlfn._xlws.FILTER(VALUE(PptoSty[Sign]&amp;"1")*1/PptoSty[Division],(PptoSty[Division]&lt;&gt;0)*(PptoSty[Division]&lt;&gt;"")*(PptoSty[Division]&lt;&gt;"X")*(PptoSty[Project]=$B14)*(PptoSty[Vrs]=$D14)*(PptoSty[Site]=$F14)*(PptoSty[PiRow]=_xlfn.TEXTAFTER($H14,":"))*(PptoSty[PiColumn]=Y$54),0)))</f>
        <v>0</v>
      </c>
      <c r="Z14" s="32"/>
    </row>
    <row r="15" spans="1:26" s="33" customFormat="1" ht="17.25" customHeight="1" outlineLevel="1">
      <c r="A15" s="123"/>
      <c r="B15" s="140" t="str">
        <v>31200</v>
      </c>
      <c r="C15" s="128" t="str">
        <v>Sp</v>
      </c>
      <c r="D15" s="128">
        <v>15</v>
      </c>
      <c r="E15" s="128" t="str">
        <v>PEMX</v>
      </c>
      <c r="F15" s="139" t="str">
        <v>PLANT</v>
      </c>
      <c r="G15" s="139" t="str">
        <v>CurPpto</v>
      </c>
      <c r="H15" s="139" t="str">
        <v>X005:SUBGROUP PEMX</v>
      </c>
      <c r="I15" s="197" cm="1">
        <f t="array" ref="I15">IF(OR($B15="",$B15="X",$D15="",$D15="X",$E15="",$E15="X",$F15="",$F15="X",$G15="",$G15="X",$H15="",$H15="X"),0,SUM(_xlfn._xlws.FILTER(VALUE(PptoSty[Sign]&amp;"1")*1/PptoSty[Division],(PptoSty[Division]&lt;&gt;0)*(PptoSty[Division]&lt;&gt;"")*(PptoSty[Division]&lt;&gt;"X")*(PptoSty[Project]=$B15)*(PptoSty[Vrs]=$D15)*(PptoSty[Site]=$F15)*(PptoSty[PiRow]=_xlfn.TEXTAFTER($H15,":"))*(PptoSty[PiColumn]=I$54),0)))</f>
        <v>0</v>
      </c>
      <c r="J15" s="197" cm="1">
        <f t="array" ref="J15">IF(OR($B15="",$B15="X",$D15="",$D15="X",$E15="",$E15="X",$F15="",$F15="X",$G15="",$G15="X",$H15="",$H15="X"),0,SUM(_xlfn._xlws.FILTER(VALUE(PptoSty[Sign]&amp;"1")*1/PptoSty[Division],(PptoSty[Division]&lt;&gt;0)*(PptoSty[Division]&lt;&gt;"")*(PptoSty[Division]&lt;&gt;"X")*(PptoSty[Project]=$B15)*(PptoSty[Vrs]=$D15)*(PptoSty[Site]=$F15)*(PptoSty[PiRow]=_xlfn.TEXTAFTER($H15,":"))*(PptoSty[PiColumn]=J$54),0)))</f>
        <v>0</v>
      </c>
      <c r="K15" s="197" cm="1">
        <f t="array" ref="K15">IF(OR($B15="",$B15="X",$D15="",$D15="X",$E15="",$E15="X",$F15="",$F15="X",$G15="",$G15="X",$H15="",$H15="X"),0,SUM(_xlfn._xlws.FILTER(VALUE(PptoSty[Sign]&amp;"1")*1/PptoSty[Division],(PptoSty[Division]&lt;&gt;0)*(PptoSty[Division]&lt;&gt;"")*(PptoSty[Division]&lt;&gt;"X")*(PptoSty[Project]=$B15)*(PptoSty[Vrs]=$D15)*(PptoSty[Site]=$F15)*(PptoSty[PiRow]=_xlfn.TEXTAFTER($H15,":"))*(PptoSty[PiColumn]=K$54),0)))</f>
        <v>0</v>
      </c>
      <c r="L15" s="197" cm="1">
        <f t="array" ref="L15">IF(OR($B15="",$B15="X",$D15="",$D15="X",$E15="",$E15="X",$F15="",$F15="X",$G15="",$G15="X",$H15="",$H15="X"),0,SUM(_xlfn._xlws.FILTER(VALUE(PptoSty[Sign]&amp;"1")*1/PptoSty[Division],(PptoSty[Division]&lt;&gt;0)*(PptoSty[Division]&lt;&gt;"")*(PptoSty[Division]&lt;&gt;"X")*(PptoSty[Project]=$B15)*(PptoSty[Vrs]=$D15)*(PptoSty[Site]=$F15)*(PptoSty[PiRow]=_xlfn.TEXTAFTER($H15,":"))*(PptoSty[PiColumn]=L$54),0)))</f>
        <v>0</v>
      </c>
      <c r="M15" s="197" cm="1">
        <f t="array" ref="M15">IF(OR($B15="",$B15="X",$D15="",$D15="X",$E15="",$E15="X",$F15="",$F15="X",$G15="",$G15="X",$H15="",$H15="X"),0,SUM(_xlfn._xlws.FILTER(VALUE(PptoSty[Sign]&amp;"1")*1/PptoSty[Division],(PptoSty[Division]&lt;&gt;0)*(PptoSty[Division]&lt;&gt;"")*(PptoSty[Division]&lt;&gt;"X")*(PptoSty[Project]=$B15)*(PptoSty[Vrs]=$D15)*(PptoSty[Site]=$F15)*(PptoSty[PiRow]=_xlfn.TEXTAFTER($H15,":"))*(PptoSty[PiColumn]=M$54),0)))</f>
        <v>0</v>
      </c>
      <c r="N15" s="197" cm="1">
        <f t="array" ref="N15">IF(OR($B15="",$B15="X",$D15="",$D15="X",$E15="",$E15="X",$F15="",$F15="X",$G15="",$G15="X",$H15="",$H15="X"),0,SUM(_xlfn._xlws.FILTER(VALUE(PptoSty[Sign]&amp;"1")*1/PptoSty[Division],(PptoSty[Division]&lt;&gt;0)*(PptoSty[Division]&lt;&gt;"")*(PptoSty[Division]&lt;&gt;"X")*(PptoSty[Project]=$B15)*(PptoSty[Vrs]=$D15)*(PptoSty[Site]=$F15)*(PptoSty[PiRow]=_xlfn.TEXTAFTER($H15,":"))*(PptoSty[PiColumn]=N$54),0)))</f>
        <v>0</v>
      </c>
      <c r="O15" s="197" cm="1">
        <f t="array" ref="O15">IF(OR($B15="",$B15="X",$D15="",$D15="X",$E15="",$E15="X",$F15="",$F15="X",$G15="",$G15="X",$H15="",$H15="X"),0,SUM(_xlfn._xlws.FILTER(VALUE(PptoSty[Sign]&amp;"1")*1/PptoSty[Division],(PptoSty[Division]&lt;&gt;0)*(PptoSty[Division]&lt;&gt;"")*(PptoSty[Division]&lt;&gt;"X")*(PptoSty[Project]=$B15)*(PptoSty[Vrs]=$D15)*(PptoSty[Site]=$F15)*(PptoSty[PiRow]=_xlfn.TEXTAFTER($H15,":"))*(PptoSty[PiColumn]=O$54),0)))</f>
        <v>0</v>
      </c>
      <c r="P15" s="197" cm="1">
        <f t="array" ref="P15">IF(OR($B15="",$B15="X",$D15="",$D15="X",$E15="",$E15="X",$F15="",$F15="X",$G15="",$G15="X",$H15="",$H15="X"),0,SUM(_xlfn._xlws.FILTER(VALUE(PptoSty[Sign]&amp;"1")*1/PptoSty[Division],(PptoSty[Division]&lt;&gt;0)*(PptoSty[Division]&lt;&gt;"")*(PptoSty[Division]&lt;&gt;"X")*(PptoSty[Project]=$B15)*(PptoSty[Vrs]=$D15)*(PptoSty[Site]=$F15)*(PptoSty[PiRow]=_xlfn.TEXTAFTER($H15,":"))*(PptoSty[PiColumn]=P$54),0)))</f>
        <v>0</v>
      </c>
      <c r="Q15" s="197" cm="1">
        <f t="array" ref="Q15">IF(OR($B15="",$B15="X",$D15="",$D15="X",$E15="",$E15="X",$F15="",$F15="X",$G15="",$G15="X",$H15="",$H15="X"),0,SUM(_xlfn._xlws.FILTER(VALUE(PptoSty[Sign]&amp;"1")*1/PptoSty[Division],(PptoSty[Division]&lt;&gt;0)*(PptoSty[Division]&lt;&gt;"")*(PptoSty[Division]&lt;&gt;"X")*(PptoSty[Project]=$B15)*(PptoSty[Vrs]=$D15)*(PptoSty[Site]=$F15)*(PptoSty[PiRow]=_xlfn.TEXTAFTER($H15,":"))*(PptoSty[PiColumn]=Q$54),0)))</f>
        <v>0</v>
      </c>
      <c r="R15" s="197" cm="1">
        <f t="array" ref="R15">IF(OR($B15="",$B15="X",$D15="",$D15="X",$E15="",$E15="X",$F15="",$F15="X",$G15="",$G15="X",$H15="",$H15="X"),0,SUM(_xlfn._xlws.FILTER(VALUE(PptoSty[Sign]&amp;"1")*1/PptoSty[Division],(PptoSty[Division]&lt;&gt;0)*(PptoSty[Division]&lt;&gt;"")*(PptoSty[Division]&lt;&gt;"X")*(PptoSty[Project]=$B15)*(PptoSty[Vrs]=$D15)*(PptoSty[Site]=$F15)*(PptoSty[PiRow]=_xlfn.TEXTAFTER($H15,":"))*(PptoSty[PiColumn]=R$54),0)))</f>
        <v>0</v>
      </c>
      <c r="S15" s="197" cm="1">
        <f t="array" ref="S15">IF(OR($B15="",$B15="X",$D15="",$D15="X",$E15="",$E15="X",$F15="",$F15="X",$G15="",$G15="X",$H15="",$H15="X"),0,SUM(_xlfn._xlws.FILTER(VALUE(PptoSty[Sign]&amp;"1")*1/PptoSty[Division],(PptoSty[Division]&lt;&gt;0)*(PptoSty[Division]&lt;&gt;"")*(PptoSty[Division]&lt;&gt;"X")*(PptoSty[Project]=$B15)*(PptoSty[Vrs]=$D15)*(PptoSty[Site]=$F15)*(PptoSty[PiRow]=_xlfn.TEXTAFTER($H15,":"))*(PptoSty[PiColumn]=S$54),0)))</f>
        <v>0</v>
      </c>
      <c r="T15" s="197" cm="1">
        <f t="array" ref="T15">IF(OR($B15="",$B15="X",$D15="",$D15="X",$E15="",$E15="X",$F15="",$F15="X",$G15="",$G15="X",$H15="",$H15="X"),0,SUM(_xlfn._xlws.FILTER(VALUE(PptoSty[Sign]&amp;"1")*1/PptoSty[Division],(PptoSty[Division]&lt;&gt;0)*(PptoSty[Division]&lt;&gt;"")*(PptoSty[Division]&lt;&gt;"X")*(PptoSty[Project]=$B15)*(PptoSty[Vrs]=$D15)*(PptoSty[Site]=$F15)*(PptoSty[PiRow]=_xlfn.TEXTAFTER($H15,":"))*(PptoSty[PiColumn]=T$54),0)))</f>
        <v>0</v>
      </c>
      <c r="U15" s="197" cm="1">
        <f t="array" ref="U15">IF(OR($B15="",$B15="X",$D15="",$D15="X",$E15="",$E15="X",$F15="",$F15="X",$G15="",$G15="X",$H15="",$H15="X"),0,SUM(_xlfn._xlws.FILTER(VALUE(PptoSty[Sign]&amp;"1")*1/PptoSty[Division],(PptoSty[Division]&lt;&gt;0)*(PptoSty[Division]&lt;&gt;"")*(PptoSty[Division]&lt;&gt;"X")*(PptoSty[Project]=$B15)*(PptoSty[Vrs]=$D15)*(PptoSty[Site]=$F15)*(PptoSty[PiRow]=_xlfn.TEXTAFTER($H15,":"))*(PptoSty[PiColumn]=U$54),0)))</f>
        <v>0</v>
      </c>
      <c r="V15" s="197" cm="1">
        <f t="array" ref="V15">IF(OR($B15="",$B15="X",$D15="",$D15="X",$E15="",$E15="X",$F15="",$F15="X",$G15="",$G15="X",$H15="",$H15="X"),0,SUM(_xlfn._xlws.FILTER(VALUE(PptoSty[Sign]&amp;"1")*1/PptoSty[Division],(PptoSty[Division]&lt;&gt;0)*(PptoSty[Division]&lt;&gt;"")*(PptoSty[Division]&lt;&gt;"X")*(PptoSty[Project]=$B15)*(PptoSty[Vrs]=$D15)*(PptoSty[Site]=$F15)*(PptoSty[PiRow]=_xlfn.TEXTAFTER($H15,":"))*(PptoSty[PiColumn]=V$54),0)))</f>
        <v>0</v>
      </c>
      <c r="W15" s="197" cm="1">
        <f t="array" ref="W15">IF(OR($B15="",$B15="X",$D15="",$D15="X",$E15="",$E15="X",$F15="",$F15="X",$G15="",$G15="X",$H15="",$H15="X"),0,SUM(_xlfn._xlws.FILTER(VALUE(PptoSty[Sign]&amp;"1")*1/PptoSty[Division],(PptoSty[Division]&lt;&gt;0)*(PptoSty[Division]&lt;&gt;"")*(PptoSty[Division]&lt;&gt;"X")*(PptoSty[Project]=$B15)*(PptoSty[Vrs]=$D15)*(PptoSty[Site]=$F15)*(PptoSty[PiRow]=_xlfn.TEXTAFTER($H15,":"))*(PptoSty[PiColumn]=W$54),0)))</f>
        <v>0</v>
      </c>
      <c r="X15" s="197" cm="1">
        <f t="array" ref="X15">IF(OR($B15="",$B15="X",$D15="",$D15="X",$E15="",$E15="X",$F15="",$F15="X",$G15="",$G15="X",$H15="",$H15="X"),0,SUM(_xlfn._xlws.FILTER(VALUE(PptoSty[Sign]&amp;"1")*1/PptoSty[Division],(PptoSty[Division]&lt;&gt;0)*(PptoSty[Division]&lt;&gt;"")*(PptoSty[Division]&lt;&gt;"X")*(PptoSty[Project]=$B15)*(PptoSty[Vrs]=$D15)*(PptoSty[Site]=$F15)*(PptoSty[PiRow]=_xlfn.TEXTAFTER($H15,":"))*(PptoSty[PiColumn]=X$54),0)))</f>
        <v>0</v>
      </c>
      <c r="Y15" s="197" cm="1">
        <f t="array" ref="Y15">IF(OR($B15="",$B15="X",$D15="",$D15="X",$E15="",$E15="X",$F15="",$F15="X",$G15="",$G15="X",$H15="",$H15="X"),0,SUM(_xlfn._xlws.FILTER(VALUE(PptoSty[Sign]&amp;"1")*1/PptoSty[Division],(PptoSty[Division]&lt;&gt;0)*(PptoSty[Division]&lt;&gt;"")*(PptoSty[Division]&lt;&gt;"X")*(PptoSty[Project]=$B15)*(PptoSty[Vrs]=$D15)*(PptoSty[Site]=$F15)*(PptoSty[PiRow]=_xlfn.TEXTAFTER($H15,":"))*(PptoSty[PiColumn]=Y$54),0)))</f>
        <v>0</v>
      </c>
      <c r="Z15" s="32"/>
    </row>
    <row r="16" spans="1:26" s="33" customFormat="1" ht="17.25" customHeight="1" outlineLevel="1">
      <c r="A16" s="123"/>
      <c r="B16" s="140" t="str">
        <v>31199</v>
      </c>
      <c r="C16" s="128" t="str">
        <v>Sp</v>
      </c>
      <c r="D16" s="128">
        <v>0</v>
      </c>
      <c r="E16" s="128" t="str">
        <v>PEMX</v>
      </c>
      <c r="F16" s="139" t="str">
        <v>SERRA</v>
      </c>
      <c r="G16" s="139" t="str">
        <v>CurPpto</v>
      </c>
      <c r="H16" s="139" t="str">
        <v>X005:SUBGROUP PEMX</v>
      </c>
      <c r="I16" s="197" cm="1">
        <f t="array" ref="I16">IF(OR($B16="",$B16="X",$D16="",$D16="X",$E16="",$E16="X",$F16="",$F16="X",$G16="",$G16="X",$H16="",$H16="X"),0,SUM(_xlfn._xlws.FILTER(VALUE(PptoSty[Sign]&amp;"1")*1/PptoSty[Division],(PptoSty[Division]&lt;&gt;0)*(PptoSty[Division]&lt;&gt;"")*(PptoSty[Division]&lt;&gt;"X")*(PptoSty[Project]=$B16)*(PptoSty[Vrs]=$D16)*(PptoSty[Site]=$F16)*(PptoSty[PiRow]=_xlfn.TEXTAFTER($H16,":"))*(PptoSty[PiColumn]=I$54),0)))</f>
        <v>0</v>
      </c>
      <c r="J16" s="197" cm="1">
        <f t="array" ref="J16">IF(OR($B16="",$B16="X",$D16="",$D16="X",$E16="",$E16="X",$F16="",$F16="X",$G16="",$G16="X",$H16="",$H16="X"),0,SUM(_xlfn._xlws.FILTER(VALUE(PptoSty[Sign]&amp;"1")*1/PptoSty[Division],(PptoSty[Division]&lt;&gt;0)*(PptoSty[Division]&lt;&gt;"")*(PptoSty[Division]&lt;&gt;"X")*(PptoSty[Project]=$B16)*(PptoSty[Vrs]=$D16)*(PptoSty[Site]=$F16)*(PptoSty[PiRow]=_xlfn.TEXTAFTER($H16,":"))*(PptoSty[PiColumn]=J$54),0)))</f>
        <v>0</v>
      </c>
      <c r="K16" s="197" cm="1">
        <f t="array" ref="K16">IF(OR($B16="",$B16="X",$D16="",$D16="X",$E16="",$E16="X",$F16="",$F16="X",$G16="",$G16="X",$H16="",$H16="X"),0,SUM(_xlfn._xlws.FILTER(VALUE(PptoSty[Sign]&amp;"1")*1/PptoSty[Division],(PptoSty[Division]&lt;&gt;0)*(PptoSty[Division]&lt;&gt;"")*(PptoSty[Division]&lt;&gt;"X")*(PptoSty[Project]=$B16)*(PptoSty[Vrs]=$D16)*(PptoSty[Site]=$F16)*(PptoSty[PiRow]=_xlfn.TEXTAFTER($H16,":"))*(PptoSty[PiColumn]=K$54),0)))</f>
        <v>0</v>
      </c>
      <c r="L16" s="197" cm="1">
        <f t="array" ref="L16">IF(OR($B16="",$B16="X",$D16="",$D16="X",$E16="",$E16="X",$F16="",$F16="X",$G16="",$G16="X",$H16="",$H16="X"),0,SUM(_xlfn._xlws.FILTER(VALUE(PptoSty[Sign]&amp;"1")*1/PptoSty[Division],(PptoSty[Division]&lt;&gt;0)*(PptoSty[Division]&lt;&gt;"")*(PptoSty[Division]&lt;&gt;"X")*(PptoSty[Project]=$B16)*(PptoSty[Vrs]=$D16)*(PptoSty[Site]=$F16)*(PptoSty[PiRow]=_xlfn.TEXTAFTER($H16,":"))*(PptoSty[PiColumn]=L$54),0)))</f>
        <v>0</v>
      </c>
      <c r="M16" s="197" cm="1">
        <f t="array" ref="M16">IF(OR($B16="",$B16="X",$D16="",$D16="X",$E16="",$E16="X",$F16="",$F16="X",$G16="",$G16="X",$H16="",$H16="X"),0,SUM(_xlfn._xlws.FILTER(VALUE(PptoSty[Sign]&amp;"1")*1/PptoSty[Division],(PptoSty[Division]&lt;&gt;0)*(PptoSty[Division]&lt;&gt;"")*(PptoSty[Division]&lt;&gt;"X")*(PptoSty[Project]=$B16)*(PptoSty[Vrs]=$D16)*(PptoSty[Site]=$F16)*(PptoSty[PiRow]=_xlfn.TEXTAFTER($H16,":"))*(PptoSty[PiColumn]=M$54),0)))</f>
        <v>0</v>
      </c>
      <c r="N16" s="197" cm="1">
        <f t="array" ref="N16">IF(OR($B16="",$B16="X",$D16="",$D16="X",$E16="",$E16="X",$F16="",$F16="X",$G16="",$G16="X",$H16="",$H16="X"),0,SUM(_xlfn._xlws.FILTER(VALUE(PptoSty[Sign]&amp;"1")*1/PptoSty[Division],(PptoSty[Division]&lt;&gt;0)*(PptoSty[Division]&lt;&gt;"")*(PptoSty[Division]&lt;&gt;"X")*(PptoSty[Project]=$B16)*(PptoSty[Vrs]=$D16)*(PptoSty[Site]=$F16)*(PptoSty[PiRow]=_xlfn.TEXTAFTER($H16,":"))*(PptoSty[PiColumn]=N$54),0)))</f>
        <v>0</v>
      </c>
      <c r="O16" s="197" cm="1">
        <f t="array" ref="O16">IF(OR($B16="",$B16="X",$D16="",$D16="X",$E16="",$E16="X",$F16="",$F16="X",$G16="",$G16="X",$H16="",$H16="X"),0,SUM(_xlfn._xlws.FILTER(VALUE(PptoSty[Sign]&amp;"1")*1/PptoSty[Division],(PptoSty[Division]&lt;&gt;0)*(PptoSty[Division]&lt;&gt;"")*(PptoSty[Division]&lt;&gt;"X")*(PptoSty[Project]=$B16)*(PptoSty[Vrs]=$D16)*(PptoSty[Site]=$F16)*(PptoSty[PiRow]=_xlfn.TEXTAFTER($H16,":"))*(PptoSty[PiColumn]=O$54),0)))</f>
        <v>0</v>
      </c>
      <c r="P16" s="197" cm="1">
        <f t="array" ref="P16">IF(OR($B16="",$B16="X",$D16="",$D16="X",$E16="",$E16="X",$F16="",$F16="X",$G16="",$G16="X",$H16="",$H16="X"),0,SUM(_xlfn._xlws.FILTER(VALUE(PptoSty[Sign]&amp;"1")*1/PptoSty[Division],(PptoSty[Division]&lt;&gt;0)*(PptoSty[Division]&lt;&gt;"")*(PptoSty[Division]&lt;&gt;"X")*(PptoSty[Project]=$B16)*(PptoSty[Vrs]=$D16)*(PptoSty[Site]=$F16)*(PptoSty[PiRow]=_xlfn.TEXTAFTER($H16,":"))*(PptoSty[PiColumn]=P$54),0)))</f>
        <v>0</v>
      </c>
      <c r="Q16" s="197" cm="1">
        <f t="array" ref="Q16">IF(OR($B16="",$B16="X",$D16="",$D16="X",$E16="",$E16="X",$F16="",$F16="X",$G16="",$G16="X",$H16="",$H16="X"),0,SUM(_xlfn._xlws.FILTER(VALUE(PptoSty[Sign]&amp;"1")*1/PptoSty[Division],(PptoSty[Division]&lt;&gt;0)*(PptoSty[Division]&lt;&gt;"")*(PptoSty[Division]&lt;&gt;"X")*(PptoSty[Project]=$B16)*(PptoSty[Vrs]=$D16)*(PptoSty[Site]=$F16)*(PptoSty[PiRow]=_xlfn.TEXTAFTER($H16,":"))*(PptoSty[PiColumn]=Q$54),0)))</f>
        <v>0</v>
      </c>
      <c r="R16" s="197" cm="1">
        <f t="array" ref="R16">IF(OR($B16="",$B16="X",$D16="",$D16="X",$E16="",$E16="X",$F16="",$F16="X",$G16="",$G16="X",$H16="",$H16="X"),0,SUM(_xlfn._xlws.FILTER(VALUE(PptoSty[Sign]&amp;"1")*1/PptoSty[Division],(PptoSty[Division]&lt;&gt;0)*(PptoSty[Division]&lt;&gt;"")*(PptoSty[Division]&lt;&gt;"X")*(PptoSty[Project]=$B16)*(PptoSty[Vrs]=$D16)*(PptoSty[Site]=$F16)*(PptoSty[PiRow]=_xlfn.TEXTAFTER($H16,":"))*(PptoSty[PiColumn]=R$54),0)))</f>
        <v>0</v>
      </c>
      <c r="S16" s="197" cm="1">
        <f t="array" ref="S16">IF(OR($B16="",$B16="X",$D16="",$D16="X",$E16="",$E16="X",$F16="",$F16="X",$G16="",$G16="X",$H16="",$H16="X"),0,SUM(_xlfn._xlws.FILTER(VALUE(PptoSty[Sign]&amp;"1")*1/PptoSty[Division],(PptoSty[Division]&lt;&gt;0)*(PptoSty[Division]&lt;&gt;"")*(PptoSty[Division]&lt;&gt;"X")*(PptoSty[Project]=$B16)*(PptoSty[Vrs]=$D16)*(PptoSty[Site]=$F16)*(PptoSty[PiRow]=_xlfn.TEXTAFTER($H16,":"))*(PptoSty[PiColumn]=S$54),0)))</f>
        <v>0</v>
      </c>
      <c r="T16" s="197" cm="1">
        <f t="array" ref="T16">IF(OR($B16="",$B16="X",$D16="",$D16="X",$E16="",$E16="X",$F16="",$F16="X",$G16="",$G16="X",$H16="",$H16="X"),0,SUM(_xlfn._xlws.FILTER(VALUE(PptoSty[Sign]&amp;"1")*1/PptoSty[Division],(PptoSty[Division]&lt;&gt;0)*(PptoSty[Division]&lt;&gt;"")*(PptoSty[Division]&lt;&gt;"X")*(PptoSty[Project]=$B16)*(PptoSty[Vrs]=$D16)*(PptoSty[Site]=$F16)*(PptoSty[PiRow]=_xlfn.TEXTAFTER($H16,":"))*(PptoSty[PiColumn]=T$54),0)))</f>
        <v>0</v>
      </c>
      <c r="U16" s="197" cm="1">
        <f t="array" ref="U16">IF(OR($B16="",$B16="X",$D16="",$D16="X",$E16="",$E16="X",$F16="",$F16="X",$G16="",$G16="X",$H16="",$H16="X"),0,SUM(_xlfn._xlws.FILTER(VALUE(PptoSty[Sign]&amp;"1")*1/PptoSty[Division],(PptoSty[Division]&lt;&gt;0)*(PptoSty[Division]&lt;&gt;"")*(PptoSty[Division]&lt;&gt;"X")*(PptoSty[Project]=$B16)*(PptoSty[Vrs]=$D16)*(PptoSty[Site]=$F16)*(PptoSty[PiRow]=_xlfn.TEXTAFTER($H16,":"))*(PptoSty[PiColumn]=U$54),0)))</f>
        <v>0</v>
      </c>
      <c r="V16" s="197" cm="1">
        <f t="array" ref="V16">IF(OR($B16="",$B16="X",$D16="",$D16="X",$E16="",$E16="X",$F16="",$F16="X",$G16="",$G16="X",$H16="",$H16="X"),0,SUM(_xlfn._xlws.FILTER(VALUE(PptoSty[Sign]&amp;"1")*1/PptoSty[Division],(PptoSty[Division]&lt;&gt;0)*(PptoSty[Division]&lt;&gt;"")*(PptoSty[Division]&lt;&gt;"X")*(PptoSty[Project]=$B16)*(PptoSty[Vrs]=$D16)*(PptoSty[Site]=$F16)*(PptoSty[PiRow]=_xlfn.TEXTAFTER($H16,":"))*(PptoSty[PiColumn]=V$54),0)))</f>
        <v>0</v>
      </c>
      <c r="W16" s="197" cm="1">
        <f t="array" ref="W16">IF(OR($B16="",$B16="X",$D16="",$D16="X",$E16="",$E16="X",$F16="",$F16="X",$G16="",$G16="X",$H16="",$H16="X"),0,SUM(_xlfn._xlws.FILTER(VALUE(PptoSty[Sign]&amp;"1")*1/PptoSty[Division],(PptoSty[Division]&lt;&gt;0)*(PptoSty[Division]&lt;&gt;"")*(PptoSty[Division]&lt;&gt;"X")*(PptoSty[Project]=$B16)*(PptoSty[Vrs]=$D16)*(PptoSty[Site]=$F16)*(PptoSty[PiRow]=_xlfn.TEXTAFTER($H16,":"))*(PptoSty[PiColumn]=W$54),0)))</f>
        <v>0</v>
      </c>
      <c r="X16" s="197" cm="1">
        <f t="array" ref="X16">IF(OR($B16="",$B16="X",$D16="",$D16="X",$E16="",$E16="X",$F16="",$F16="X",$G16="",$G16="X",$H16="",$H16="X"),0,SUM(_xlfn._xlws.FILTER(VALUE(PptoSty[Sign]&amp;"1")*1/PptoSty[Division],(PptoSty[Division]&lt;&gt;0)*(PptoSty[Division]&lt;&gt;"")*(PptoSty[Division]&lt;&gt;"X")*(PptoSty[Project]=$B16)*(PptoSty[Vrs]=$D16)*(PptoSty[Site]=$F16)*(PptoSty[PiRow]=_xlfn.TEXTAFTER($H16,":"))*(PptoSty[PiColumn]=X$54),0)))</f>
        <v>0</v>
      </c>
      <c r="Y16" s="197" cm="1">
        <f t="array" ref="Y16">IF(OR($B16="",$B16="X",$D16="",$D16="X",$E16="",$E16="X",$F16="",$F16="X",$G16="",$G16="X",$H16="",$H16="X"),0,SUM(_xlfn._xlws.FILTER(VALUE(PptoSty[Sign]&amp;"1")*1/PptoSty[Division],(PptoSty[Division]&lt;&gt;0)*(PptoSty[Division]&lt;&gt;"")*(PptoSty[Division]&lt;&gt;"X")*(PptoSty[Project]=$B16)*(PptoSty[Vrs]=$D16)*(PptoSty[Site]=$F16)*(PptoSty[PiRow]=_xlfn.TEXTAFTER($H16,":"))*(PptoSty[PiColumn]=Y$54),0)))</f>
        <v>0</v>
      </c>
      <c r="Z16" s="32"/>
    </row>
    <row r="17" spans="1:26" s="33" customFormat="1" ht="17.25" customHeight="1" outlineLevel="1">
      <c r="A17" s="123"/>
      <c r="B17" s="140" t="str">
        <v>31200</v>
      </c>
      <c r="C17" s="128" t="str">
        <v>Sp</v>
      </c>
      <c r="D17" s="128">
        <v>15</v>
      </c>
      <c r="E17" s="128" t="str">
        <v>PEMX</v>
      </c>
      <c r="F17" s="139" t="str">
        <v>SERRA</v>
      </c>
      <c r="G17" s="139" t="str">
        <v>CurPpto</v>
      </c>
      <c r="H17" s="139" t="str">
        <v>X005:SUBGROUP PEMX</v>
      </c>
      <c r="I17" s="197" cm="1">
        <f t="array" ref="I17">IF(OR($B17="",$B17="X",$D17="",$D17="X",$E17="",$E17="X",$F17="",$F17="X",$G17="",$G17="X",$H17="",$H17="X"),0,SUM(_xlfn._xlws.FILTER(VALUE(PptoSty[Sign]&amp;"1")*1/PptoSty[Division],(PptoSty[Division]&lt;&gt;0)*(PptoSty[Division]&lt;&gt;"")*(PptoSty[Division]&lt;&gt;"X")*(PptoSty[Project]=$B17)*(PptoSty[Vrs]=$D17)*(PptoSty[Site]=$F17)*(PptoSty[PiRow]=_xlfn.TEXTAFTER($H17,":"))*(PptoSty[PiColumn]=I$54),0)))</f>
        <v>0</v>
      </c>
      <c r="J17" s="197" cm="1">
        <f t="array" ref="J17">IF(OR($B17="",$B17="X",$D17="",$D17="X",$E17="",$E17="X",$F17="",$F17="X",$G17="",$G17="X",$H17="",$H17="X"),0,SUM(_xlfn._xlws.FILTER(VALUE(PptoSty[Sign]&amp;"1")*1/PptoSty[Division],(PptoSty[Division]&lt;&gt;0)*(PptoSty[Division]&lt;&gt;"")*(PptoSty[Division]&lt;&gt;"X")*(PptoSty[Project]=$B17)*(PptoSty[Vrs]=$D17)*(PptoSty[Site]=$F17)*(PptoSty[PiRow]=_xlfn.TEXTAFTER($H17,":"))*(PptoSty[PiColumn]=J$54),0)))</f>
        <v>0</v>
      </c>
      <c r="K17" s="197" cm="1">
        <f t="array" ref="K17">IF(OR($B17="",$B17="X",$D17="",$D17="X",$E17="",$E17="X",$F17="",$F17="X",$G17="",$G17="X",$H17="",$H17="X"),0,SUM(_xlfn._xlws.FILTER(VALUE(PptoSty[Sign]&amp;"1")*1/PptoSty[Division],(PptoSty[Division]&lt;&gt;0)*(PptoSty[Division]&lt;&gt;"")*(PptoSty[Division]&lt;&gt;"X")*(PptoSty[Project]=$B17)*(PptoSty[Vrs]=$D17)*(PptoSty[Site]=$F17)*(PptoSty[PiRow]=_xlfn.TEXTAFTER($H17,":"))*(PptoSty[PiColumn]=K$54),0)))</f>
        <v>0</v>
      </c>
      <c r="L17" s="197" cm="1">
        <f t="array" ref="L17">IF(OR($B17="",$B17="X",$D17="",$D17="X",$E17="",$E17="X",$F17="",$F17="X",$G17="",$G17="X",$H17="",$H17="X"),0,SUM(_xlfn._xlws.FILTER(VALUE(PptoSty[Sign]&amp;"1")*1/PptoSty[Division],(PptoSty[Division]&lt;&gt;0)*(PptoSty[Division]&lt;&gt;"")*(PptoSty[Division]&lt;&gt;"X")*(PptoSty[Project]=$B17)*(PptoSty[Vrs]=$D17)*(PptoSty[Site]=$F17)*(PptoSty[PiRow]=_xlfn.TEXTAFTER($H17,":"))*(PptoSty[PiColumn]=L$54),0)))</f>
        <v>0</v>
      </c>
      <c r="M17" s="197" cm="1">
        <f t="array" ref="M17">IF(OR($B17="",$B17="X",$D17="",$D17="X",$E17="",$E17="X",$F17="",$F17="X",$G17="",$G17="X",$H17="",$H17="X"),0,SUM(_xlfn._xlws.FILTER(VALUE(PptoSty[Sign]&amp;"1")*1/PptoSty[Division],(PptoSty[Division]&lt;&gt;0)*(PptoSty[Division]&lt;&gt;"")*(PptoSty[Division]&lt;&gt;"X")*(PptoSty[Project]=$B17)*(PptoSty[Vrs]=$D17)*(PptoSty[Site]=$F17)*(PptoSty[PiRow]=_xlfn.TEXTAFTER($H17,":"))*(PptoSty[PiColumn]=M$54),0)))</f>
        <v>0</v>
      </c>
      <c r="N17" s="197" cm="1">
        <f t="array" ref="N17">IF(OR($B17="",$B17="X",$D17="",$D17="X",$E17="",$E17="X",$F17="",$F17="X",$G17="",$G17="X",$H17="",$H17="X"),0,SUM(_xlfn._xlws.FILTER(VALUE(PptoSty[Sign]&amp;"1")*1/PptoSty[Division],(PptoSty[Division]&lt;&gt;0)*(PptoSty[Division]&lt;&gt;"")*(PptoSty[Division]&lt;&gt;"X")*(PptoSty[Project]=$B17)*(PptoSty[Vrs]=$D17)*(PptoSty[Site]=$F17)*(PptoSty[PiRow]=_xlfn.TEXTAFTER($H17,":"))*(PptoSty[PiColumn]=N$54),0)))</f>
        <v>0</v>
      </c>
      <c r="O17" s="197" cm="1">
        <f t="array" ref="O17">IF(OR($B17="",$B17="X",$D17="",$D17="X",$E17="",$E17="X",$F17="",$F17="X",$G17="",$G17="X",$H17="",$H17="X"),0,SUM(_xlfn._xlws.FILTER(VALUE(PptoSty[Sign]&amp;"1")*1/PptoSty[Division],(PptoSty[Division]&lt;&gt;0)*(PptoSty[Division]&lt;&gt;"")*(PptoSty[Division]&lt;&gt;"X")*(PptoSty[Project]=$B17)*(PptoSty[Vrs]=$D17)*(PptoSty[Site]=$F17)*(PptoSty[PiRow]=_xlfn.TEXTAFTER($H17,":"))*(PptoSty[PiColumn]=O$54),0)))</f>
        <v>0</v>
      </c>
      <c r="P17" s="197" cm="1">
        <f t="array" ref="P17">IF(OR($B17="",$B17="X",$D17="",$D17="X",$E17="",$E17="X",$F17="",$F17="X",$G17="",$G17="X",$H17="",$H17="X"),0,SUM(_xlfn._xlws.FILTER(VALUE(PptoSty[Sign]&amp;"1")*1/PptoSty[Division],(PptoSty[Division]&lt;&gt;0)*(PptoSty[Division]&lt;&gt;"")*(PptoSty[Division]&lt;&gt;"X")*(PptoSty[Project]=$B17)*(PptoSty[Vrs]=$D17)*(PptoSty[Site]=$F17)*(PptoSty[PiRow]=_xlfn.TEXTAFTER($H17,":"))*(PptoSty[PiColumn]=P$54),0)))</f>
        <v>0</v>
      </c>
      <c r="Q17" s="197" cm="1">
        <f t="array" ref="Q17">IF(OR($B17="",$B17="X",$D17="",$D17="X",$E17="",$E17="X",$F17="",$F17="X",$G17="",$G17="X",$H17="",$H17="X"),0,SUM(_xlfn._xlws.FILTER(VALUE(PptoSty[Sign]&amp;"1")*1/PptoSty[Division],(PptoSty[Division]&lt;&gt;0)*(PptoSty[Division]&lt;&gt;"")*(PptoSty[Division]&lt;&gt;"X")*(PptoSty[Project]=$B17)*(PptoSty[Vrs]=$D17)*(PptoSty[Site]=$F17)*(PptoSty[PiRow]=_xlfn.TEXTAFTER($H17,":"))*(PptoSty[PiColumn]=Q$54),0)))</f>
        <v>0</v>
      </c>
      <c r="R17" s="197" cm="1">
        <f t="array" ref="R17">IF(OR($B17="",$B17="X",$D17="",$D17="X",$E17="",$E17="X",$F17="",$F17="X",$G17="",$G17="X",$H17="",$H17="X"),0,SUM(_xlfn._xlws.FILTER(VALUE(PptoSty[Sign]&amp;"1")*1/PptoSty[Division],(PptoSty[Division]&lt;&gt;0)*(PptoSty[Division]&lt;&gt;"")*(PptoSty[Division]&lt;&gt;"X")*(PptoSty[Project]=$B17)*(PptoSty[Vrs]=$D17)*(PptoSty[Site]=$F17)*(PptoSty[PiRow]=_xlfn.TEXTAFTER($H17,":"))*(PptoSty[PiColumn]=R$54),0)))</f>
        <v>0</v>
      </c>
      <c r="S17" s="197" cm="1">
        <f t="array" ref="S17">IF(OR($B17="",$B17="X",$D17="",$D17="X",$E17="",$E17="X",$F17="",$F17="X",$G17="",$G17="X",$H17="",$H17="X"),0,SUM(_xlfn._xlws.FILTER(VALUE(PptoSty[Sign]&amp;"1")*1/PptoSty[Division],(PptoSty[Division]&lt;&gt;0)*(PptoSty[Division]&lt;&gt;"")*(PptoSty[Division]&lt;&gt;"X")*(PptoSty[Project]=$B17)*(PptoSty[Vrs]=$D17)*(PptoSty[Site]=$F17)*(PptoSty[PiRow]=_xlfn.TEXTAFTER($H17,":"))*(PptoSty[PiColumn]=S$54),0)))</f>
        <v>0</v>
      </c>
      <c r="T17" s="197" cm="1">
        <f t="array" ref="T17">IF(OR($B17="",$B17="X",$D17="",$D17="X",$E17="",$E17="X",$F17="",$F17="X",$G17="",$G17="X",$H17="",$H17="X"),0,SUM(_xlfn._xlws.FILTER(VALUE(PptoSty[Sign]&amp;"1")*1/PptoSty[Division],(PptoSty[Division]&lt;&gt;0)*(PptoSty[Division]&lt;&gt;"")*(PptoSty[Division]&lt;&gt;"X")*(PptoSty[Project]=$B17)*(PptoSty[Vrs]=$D17)*(PptoSty[Site]=$F17)*(PptoSty[PiRow]=_xlfn.TEXTAFTER($H17,":"))*(PptoSty[PiColumn]=T$54),0)))</f>
        <v>0</v>
      </c>
      <c r="U17" s="197" cm="1">
        <f t="array" ref="U17">IF(OR($B17="",$B17="X",$D17="",$D17="X",$E17="",$E17="X",$F17="",$F17="X",$G17="",$G17="X",$H17="",$H17="X"),0,SUM(_xlfn._xlws.FILTER(VALUE(PptoSty[Sign]&amp;"1")*1/PptoSty[Division],(PptoSty[Division]&lt;&gt;0)*(PptoSty[Division]&lt;&gt;"")*(PptoSty[Division]&lt;&gt;"X")*(PptoSty[Project]=$B17)*(PptoSty[Vrs]=$D17)*(PptoSty[Site]=$F17)*(PptoSty[PiRow]=_xlfn.TEXTAFTER($H17,":"))*(PptoSty[PiColumn]=U$54),0)))</f>
        <v>0</v>
      </c>
      <c r="V17" s="197" cm="1">
        <f t="array" ref="V17">IF(OR($B17="",$B17="X",$D17="",$D17="X",$E17="",$E17="X",$F17="",$F17="X",$G17="",$G17="X",$H17="",$H17="X"),0,SUM(_xlfn._xlws.FILTER(VALUE(PptoSty[Sign]&amp;"1")*1/PptoSty[Division],(PptoSty[Division]&lt;&gt;0)*(PptoSty[Division]&lt;&gt;"")*(PptoSty[Division]&lt;&gt;"X")*(PptoSty[Project]=$B17)*(PptoSty[Vrs]=$D17)*(PptoSty[Site]=$F17)*(PptoSty[PiRow]=_xlfn.TEXTAFTER($H17,":"))*(PptoSty[PiColumn]=V$54),0)))</f>
        <v>0</v>
      </c>
      <c r="W17" s="197" cm="1">
        <f t="array" ref="W17">IF(OR($B17="",$B17="X",$D17="",$D17="X",$E17="",$E17="X",$F17="",$F17="X",$G17="",$G17="X",$H17="",$H17="X"),0,SUM(_xlfn._xlws.FILTER(VALUE(PptoSty[Sign]&amp;"1")*1/PptoSty[Division],(PptoSty[Division]&lt;&gt;0)*(PptoSty[Division]&lt;&gt;"")*(PptoSty[Division]&lt;&gt;"X")*(PptoSty[Project]=$B17)*(PptoSty[Vrs]=$D17)*(PptoSty[Site]=$F17)*(PptoSty[PiRow]=_xlfn.TEXTAFTER($H17,":"))*(PptoSty[PiColumn]=W$54),0)))</f>
        <v>0</v>
      </c>
      <c r="X17" s="197" cm="1">
        <f t="array" ref="X17">IF(OR($B17="",$B17="X",$D17="",$D17="X",$E17="",$E17="X",$F17="",$F17="X",$G17="",$G17="X",$H17="",$H17="X"),0,SUM(_xlfn._xlws.FILTER(VALUE(PptoSty[Sign]&amp;"1")*1/PptoSty[Division],(PptoSty[Division]&lt;&gt;0)*(PptoSty[Division]&lt;&gt;"")*(PptoSty[Division]&lt;&gt;"X")*(PptoSty[Project]=$B17)*(PptoSty[Vrs]=$D17)*(PptoSty[Site]=$F17)*(PptoSty[PiRow]=_xlfn.TEXTAFTER($H17,":"))*(PptoSty[PiColumn]=X$54),0)))</f>
        <v>0</v>
      </c>
      <c r="Y17" s="197" cm="1">
        <f t="array" ref="Y17">IF(OR($B17="",$B17="X",$D17="",$D17="X",$E17="",$E17="X",$F17="",$F17="X",$G17="",$G17="X",$H17="",$H17="X"),0,SUM(_xlfn._xlws.FILTER(VALUE(PptoSty[Sign]&amp;"1")*1/PptoSty[Division],(PptoSty[Division]&lt;&gt;0)*(PptoSty[Division]&lt;&gt;"")*(PptoSty[Division]&lt;&gt;"X")*(PptoSty[Project]=$B17)*(PptoSty[Vrs]=$D17)*(PptoSty[Site]=$F17)*(PptoSty[PiRow]=_xlfn.TEXTAFTER($H17,":"))*(PptoSty[PiColumn]=Y$54),0)))</f>
        <v>0</v>
      </c>
      <c r="Z17" s="32"/>
    </row>
    <row r="18" spans="1:26" s="33" customFormat="1" ht="17.25" customHeight="1" outlineLevel="1">
      <c r="A18" s="123"/>
      <c r="B18" s="140" t="str">
        <v>31199</v>
      </c>
      <c r="C18" s="128" t="str">
        <v>Sp</v>
      </c>
      <c r="D18" s="128">
        <v>0</v>
      </c>
      <c r="E18" s="128" t="str">
        <v>PEMX</v>
      </c>
      <c r="F18" s="139" t="str">
        <v>PLANT</v>
      </c>
      <c r="G18" s="139" t="str">
        <v>CurPpto</v>
      </c>
      <c r="H18" s="139" t="str">
        <v>X005:SUBGROUP PEMX</v>
      </c>
      <c r="I18" s="197" cm="1">
        <f t="array" ref="I18">IF(OR($B18="",$B18="X",$D18="",$D18="X",$E18="",$E18="X",$F18="",$F18="X",$G18="",$G18="X",$H18="",$H18="X"),0,SUM(_xlfn._xlws.FILTER(VALUE(PptoSty[Sign]&amp;"1")*1/PptoSty[Division],(PptoSty[Division]&lt;&gt;0)*(PptoSty[Division]&lt;&gt;"")*(PptoSty[Division]&lt;&gt;"X")*(PptoSty[Project]=$B18)*(PptoSty[Vrs]=$D18)*(PptoSty[Site]=$F18)*(PptoSty[PiRow]=_xlfn.TEXTAFTER($H18,":"))*(PptoSty[PiColumn]=I$54),0)))</f>
        <v>0</v>
      </c>
      <c r="J18" s="197" cm="1">
        <f t="array" ref="J18">IF(OR($B18="",$B18="X",$D18="",$D18="X",$E18="",$E18="X",$F18="",$F18="X",$G18="",$G18="X",$H18="",$H18="X"),0,SUM(_xlfn._xlws.FILTER(VALUE(PptoSty[Sign]&amp;"1")*1/PptoSty[Division],(PptoSty[Division]&lt;&gt;0)*(PptoSty[Division]&lt;&gt;"")*(PptoSty[Division]&lt;&gt;"X")*(PptoSty[Project]=$B18)*(PptoSty[Vrs]=$D18)*(PptoSty[Site]=$F18)*(PptoSty[PiRow]=_xlfn.TEXTAFTER($H18,":"))*(PptoSty[PiColumn]=J$54),0)))</f>
        <v>0</v>
      </c>
      <c r="K18" s="197" cm="1">
        <f t="array" ref="K18">IF(OR($B18="",$B18="X",$D18="",$D18="X",$E18="",$E18="X",$F18="",$F18="X",$G18="",$G18="X",$H18="",$H18="X"),0,SUM(_xlfn._xlws.FILTER(VALUE(PptoSty[Sign]&amp;"1")*1/PptoSty[Division],(PptoSty[Division]&lt;&gt;0)*(PptoSty[Division]&lt;&gt;"")*(PptoSty[Division]&lt;&gt;"X")*(PptoSty[Project]=$B18)*(PptoSty[Vrs]=$D18)*(PptoSty[Site]=$F18)*(PptoSty[PiRow]=_xlfn.TEXTAFTER($H18,":"))*(PptoSty[PiColumn]=K$54),0)))</f>
        <v>0</v>
      </c>
      <c r="L18" s="197" cm="1">
        <f t="array" ref="L18">IF(OR($B18="",$B18="X",$D18="",$D18="X",$E18="",$E18="X",$F18="",$F18="X",$G18="",$G18="X",$H18="",$H18="X"),0,SUM(_xlfn._xlws.FILTER(VALUE(PptoSty[Sign]&amp;"1")*1/PptoSty[Division],(PptoSty[Division]&lt;&gt;0)*(PptoSty[Division]&lt;&gt;"")*(PptoSty[Division]&lt;&gt;"X")*(PptoSty[Project]=$B18)*(PptoSty[Vrs]=$D18)*(PptoSty[Site]=$F18)*(PptoSty[PiRow]=_xlfn.TEXTAFTER($H18,":"))*(PptoSty[PiColumn]=L$54),0)))</f>
        <v>0</v>
      </c>
      <c r="M18" s="197" cm="1">
        <f t="array" ref="M18">IF(OR($B18="",$B18="X",$D18="",$D18="X",$E18="",$E18="X",$F18="",$F18="X",$G18="",$G18="X",$H18="",$H18="X"),0,SUM(_xlfn._xlws.FILTER(VALUE(PptoSty[Sign]&amp;"1")*1/PptoSty[Division],(PptoSty[Division]&lt;&gt;0)*(PptoSty[Division]&lt;&gt;"")*(PptoSty[Division]&lt;&gt;"X")*(PptoSty[Project]=$B18)*(PptoSty[Vrs]=$D18)*(PptoSty[Site]=$F18)*(PptoSty[PiRow]=_xlfn.TEXTAFTER($H18,":"))*(PptoSty[PiColumn]=M$54),0)))</f>
        <v>0</v>
      </c>
      <c r="N18" s="197" cm="1">
        <f t="array" ref="N18">IF(OR($B18="",$B18="X",$D18="",$D18="X",$E18="",$E18="X",$F18="",$F18="X",$G18="",$G18="X",$H18="",$H18="X"),0,SUM(_xlfn._xlws.FILTER(VALUE(PptoSty[Sign]&amp;"1")*1/PptoSty[Division],(PptoSty[Division]&lt;&gt;0)*(PptoSty[Division]&lt;&gt;"")*(PptoSty[Division]&lt;&gt;"X")*(PptoSty[Project]=$B18)*(PptoSty[Vrs]=$D18)*(PptoSty[Site]=$F18)*(PptoSty[PiRow]=_xlfn.TEXTAFTER($H18,":"))*(PptoSty[PiColumn]=N$54),0)))</f>
        <v>0</v>
      </c>
      <c r="O18" s="197" cm="1">
        <f t="array" ref="O18">IF(OR($B18="",$B18="X",$D18="",$D18="X",$E18="",$E18="X",$F18="",$F18="X",$G18="",$G18="X",$H18="",$H18="X"),0,SUM(_xlfn._xlws.FILTER(VALUE(PptoSty[Sign]&amp;"1")*1/PptoSty[Division],(PptoSty[Division]&lt;&gt;0)*(PptoSty[Division]&lt;&gt;"")*(PptoSty[Division]&lt;&gt;"X")*(PptoSty[Project]=$B18)*(PptoSty[Vrs]=$D18)*(PptoSty[Site]=$F18)*(PptoSty[PiRow]=_xlfn.TEXTAFTER($H18,":"))*(PptoSty[PiColumn]=O$54),0)))</f>
        <v>0</v>
      </c>
      <c r="P18" s="197" cm="1">
        <f t="array" ref="P18">IF(OR($B18="",$B18="X",$D18="",$D18="X",$E18="",$E18="X",$F18="",$F18="X",$G18="",$G18="X",$H18="",$H18="X"),0,SUM(_xlfn._xlws.FILTER(VALUE(PptoSty[Sign]&amp;"1")*1/PptoSty[Division],(PptoSty[Division]&lt;&gt;0)*(PptoSty[Division]&lt;&gt;"")*(PptoSty[Division]&lt;&gt;"X")*(PptoSty[Project]=$B18)*(PptoSty[Vrs]=$D18)*(PptoSty[Site]=$F18)*(PptoSty[PiRow]=_xlfn.TEXTAFTER($H18,":"))*(PptoSty[PiColumn]=P$54),0)))</f>
        <v>0</v>
      </c>
      <c r="Q18" s="197" cm="1">
        <f t="array" ref="Q18">IF(OR($B18="",$B18="X",$D18="",$D18="X",$E18="",$E18="X",$F18="",$F18="X",$G18="",$G18="X",$H18="",$H18="X"),0,SUM(_xlfn._xlws.FILTER(VALUE(PptoSty[Sign]&amp;"1")*1/PptoSty[Division],(PptoSty[Division]&lt;&gt;0)*(PptoSty[Division]&lt;&gt;"")*(PptoSty[Division]&lt;&gt;"X")*(PptoSty[Project]=$B18)*(PptoSty[Vrs]=$D18)*(PptoSty[Site]=$F18)*(PptoSty[PiRow]=_xlfn.TEXTAFTER($H18,":"))*(PptoSty[PiColumn]=Q$54),0)))</f>
        <v>0</v>
      </c>
      <c r="R18" s="197" cm="1">
        <f t="array" ref="R18">IF(OR($B18="",$B18="X",$D18="",$D18="X",$E18="",$E18="X",$F18="",$F18="X",$G18="",$G18="X",$H18="",$H18="X"),0,SUM(_xlfn._xlws.FILTER(VALUE(PptoSty[Sign]&amp;"1")*1/PptoSty[Division],(PptoSty[Division]&lt;&gt;0)*(PptoSty[Division]&lt;&gt;"")*(PptoSty[Division]&lt;&gt;"X")*(PptoSty[Project]=$B18)*(PptoSty[Vrs]=$D18)*(PptoSty[Site]=$F18)*(PptoSty[PiRow]=_xlfn.TEXTAFTER($H18,":"))*(PptoSty[PiColumn]=R$54),0)))</f>
        <v>0</v>
      </c>
      <c r="S18" s="197" cm="1">
        <f t="array" ref="S18">IF(OR($B18="",$B18="X",$D18="",$D18="X",$E18="",$E18="X",$F18="",$F18="X",$G18="",$G18="X",$H18="",$H18="X"),0,SUM(_xlfn._xlws.FILTER(VALUE(PptoSty[Sign]&amp;"1")*1/PptoSty[Division],(PptoSty[Division]&lt;&gt;0)*(PptoSty[Division]&lt;&gt;"")*(PptoSty[Division]&lt;&gt;"X")*(PptoSty[Project]=$B18)*(PptoSty[Vrs]=$D18)*(PptoSty[Site]=$F18)*(PptoSty[PiRow]=_xlfn.TEXTAFTER($H18,":"))*(PptoSty[PiColumn]=S$54),0)))</f>
        <v>0</v>
      </c>
      <c r="T18" s="197" cm="1">
        <f t="array" ref="T18">IF(OR($B18="",$B18="X",$D18="",$D18="X",$E18="",$E18="X",$F18="",$F18="X",$G18="",$G18="X",$H18="",$H18="X"),0,SUM(_xlfn._xlws.FILTER(VALUE(PptoSty[Sign]&amp;"1")*1/PptoSty[Division],(PptoSty[Division]&lt;&gt;0)*(PptoSty[Division]&lt;&gt;"")*(PptoSty[Division]&lt;&gt;"X")*(PptoSty[Project]=$B18)*(PptoSty[Vrs]=$D18)*(PptoSty[Site]=$F18)*(PptoSty[PiRow]=_xlfn.TEXTAFTER($H18,":"))*(PptoSty[PiColumn]=T$54),0)))</f>
        <v>0</v>
      </c>
      <c r="U18" s="197" cm="1">
        <f t="array" ref="U18">IF(OR($B18="",$B18="X",$D18="",$D18="X",$E18="",$E18="X",$F18="",$F18="X",$G18="",$G18="X",$H18="",$H18="X"),0,SUM(_xlfn._xlws.FILTER(VALUE(PptoSty[Sign]&amp;"1")*1/PptoSty[Division],(PptoSty[Division]&lt;&gt;0)*(PptoSty[Division]&lt;&gt;"")*(PptoSty[Division]&lt;&gt;"X")*(PptoSty[Project]=$B18)*(PptoSty[Vrs]=$D18)*(PptoSty[Site]=$F18)*(PptoSty[PiRow]=_xlfn.TEXTAFTER($H18,":"))*(PptoSty[PiColumn]=U$54),0)))</f>
        <v>0</v>
      </c>
      <c r="V18" s="197" cm="1">
        <f t="array" ref="V18">IF(OR($B18="",$B18="X",$D18="",$D18="X",$E18="",$E18="X",$F18="",$F18="X",$G18="",$G18="X",$H18="",$H18="X"),0,SUM(_xlfn._xlws.FILTER(VALUE(PptoSty[Sign]&amp;"1")*1/PptoSty[Division],(PptoSty[Division]&lt;&gt;0)*(PptoSty[Division]&lt;&gt;"")*(PptoSty[Division]&lt;&gt;"X")*(PptoSty[Project]=$B18)*(PptoSty[Vrs]=$D18)*(PptoSty[Site]=$F18)*(PptoSty[PiRow]=_xlfn.TEXTAFTER($H18,":"))*(PptoSty[PiColumn]=V$54),0)))</f>
        <v>0</v>
      </c>
      <c r="W18" s="197" cm="1">
        <f t="array" ref="W18">IF(OR($B18="",$B18="X",$D18="",$D18="X",$E18="",$E18="X",$F18="",$F18="X",$G18="",$G18="X",$H18="",$H18="X"),0,SUM(_xlfn._xlws.FILTER(VALUE(PptoSty[Sign]&amp;"1")*1/PptoSty[Division],(PptoSty[Division]&lt;&gt;0)*(PptoSty[Division]&lt;&gt;"")*(PptoSty[Division]&lt;&gt;"X")*(PptoSty[Project]=$B18)*(PptoSty[Vrs]=$D18)*(PptoSty[Site]=$F18)*(PptoSty[PiRow]=_xlfn.TEXTAFTER($H18,":"))*(PptoSty[PiColumn]=W$54),0)))</f>
        <v>0</v>
      </c>
      <c r="X18" s="197" cm="1">
        <f t="array" ref="X18">IF(OR($B18="",$B18="X",$D18="",$D18="X",$E18="",$E18="X",$F18="",$F18="X",$G18="",$G18="X",$H18="",$H18="X"),0,SUM(_xlfn._xlws.FILTER(VALUE(PptoSty[Sign]&amp;"1")*1/PptoSty[Division],(PptoSty[Division]&lt;&gt;0)*(PptoSty[Division]&lt;&gt;"")*(PptoSty[Division]&lt;&gt;"X")*(PptoSty[Project]=$B18)*(PptoSty[Vrs]=$D18)*(PptoSty[Site]=$F18)*(PptoSty[PiRow]=_xlfn.TEXTAFTER($H18,":"))*(PptoSty[PiColumn]=X$54),0)))</f>
        <v>0</v>
      </c>
      <c r="Y18" s="197" cm="1">
        <f t="array" ref="Y18">IF(OR($B18="",$B18="X",$D18="",$D18="X",$E18="",$E18="X",$F18="",$F18="X",$G18="",$G18="X",$H18="",$H18="X"),0,SUM(_xlfn._xlws.FILTER(VALUE(PptoSty[Sign]&amp;"1")*1/PptoSty[Division],(PptoSty[Division]&lt;&gt;0)*(PptoSty[Division]&lt;&gt;"")*(PptoSty[Division]&lt;&gt;"X")*(PptoSty[Project]=$B18)*(PptoSty[Vrs]=$D18)*(PptoSty[Site]=$F18)*(PptoSty[PiRow]=_xlfn.TEXTAFTER($H18,":"))*(PptoSty[PiColumn]=Y$54),0)))</f>
        <v>0</v>
      </c>
    </row>
    <row r="19" spans="1:26" s="33" customFormat="1" ht="17.25" customHeight="1" outlineLevel="1">
      <c r="A19" s="123"/>
      <c r="B19" s="140" t="str">
        <v>31200</v>
      </c>
      <c r="C19" s="128" t="str">
        <v>Sp</v>
      </c>
      <c r="D19" s="128">
        <v>15</v>
      </c>
      <c r="E19" s="128" t="str">
        <v>DISI</v>
      </c>
      <c r="F19" s="139" t="str">
        <v>SERRA</v>
      </c>
      <c r="G19" s="139" t="str">
        <v>CurPpto</v>
      </c>
      <c r="H19" s="139" t="str">
        <v>X006:SUBGROUP DISI</v>
      </c>
      <c r="I19" s="197" cm="1">
        <f t="array" ref="I19">IF(OR($B19="",$B19="X",$D19="",$D19="X",$E19="",$E19="X",$F19="",$F19="X",$G19="",$G19="X",$H19="",$H19="X"),0,SUM(_xlfn._xlws.FILTER(VALUE(PptoSty[Sign]&amp;"1")*1/PptoSty[Division],(PptoSty[Division]&lt;&gt;0)*(PptoSty[Division]&lt;&gt;"")*(PptoSty[Division]&lt;&gt;"X")*(PptoSty[Project]=$B19)*(PptoSty[Vrs]=$D19)*(PptoSty[Site]=$F19)*(PptoSty[PiRow]=_xlfn.TEXTAFTER($H19,":"))*(PptoSty[PiColumn]=I$54),0)))</f>
        <v>0</v>
      </c>
      <c r="J19" s="197" cm="1">
        <f t="array" ref="J19">IF(OR($B19="",$B19="X",$D19="",$D19="X",$E19="",$E19="X",$F19="",$F19="X",$G19="",$G19="X",$H19="",$H19="X"),0,SUM(_xlfn._xlws.FILTER(VALUE(PptoSty[Sign]&amp;"1")*1/PptoSty[Division],(PptoSty[Division]&lt;&gt;0)*(PptoSty[Division]&lt;&gt;"")*(PptoSty[Division]&lt;&gt;"X")*(PptoSty[Project]=$B19)*(PptoSty[Vrs]=$D19)*(PptoSty[Site]=$F19)*(PptoSty[PiRow]=_xlfn.TEXTAFTER($H19,":"))*(PptoSty[PiColumn]=J$54),0)))</f>
        <v>0</v>
      </c>
      <c r="K19" s="197" cm="1">
        <f t="array" ref="K19">IF(OR($B19="",$B19="X",$D19="",$D19="X",$E19="",$E19="X",$F19="",$F19="X",$G19="",$G19="X",$H19="",$H19="X"),0,SUM(_xlfn._xlws.FILTER(VALUE(PptoSty[Sign]&amp;"1")*1/PptoSty[Division],(PptoSty[Division]&lt;&gt;0)*(PptoSty[Division]&lt;&gt;"")*(PptoSty[Division]&lt;&gt;"X")*(PptoSty[Project]=$B19)*(PptoSty[Vrs]=$D19)*(PptoSty[Site]=$F19)*(PptoSty[PiRow]=_xlfn.TEXTAFTER($H19,":"))*(PptoSty[PiColumn]=K$54),0)))</f>
        <v>0</v>
      </c>
      <c r="L19" s="197" cm="1">
        <f t="array" ref="L19">IF(OR($B19="",$B19="X",$D19="",$D19="X",$E19="",$E19="X",$F19="",$F19="X",$G19="",$G19="X",$H19="",$H19="X"),0,SUM(_xlfn._xlws.FILTER(VALUE(PptoSty[Sign]&amp;"1")*1/PptoSty[Division],(PptoSty[Division]&lt;&gt;0)*(PptoSty[Division]&lt;&gt;"")*(PptoSty[Division]&lt;&gt;"X")*(PptoSty[Project]=$B19)*(PptoSty[Vrs]=$D19)*(PptoSty[Site]=$F19)*(PptoSty[PiRow]=_xlfn.TEXTAFTER($H19,":"))*(PptoSty[PiColumn]=L$54),0)))</f>
        <v>1</v>
      </c>
      <c r="M19" s="197" cm="1">
        <f t="array" ref="M19">IF(OR($B19="",$B19="X",$D19="",$D19="X",$E19="",$E19="X",$F19="",$F19="X",$G19="",$G19="X",$H19="",$H19="X"),0,SUM(_xlfn._xlws.FILTER(VALUE(PptoSty[Sign]&amp;"1")*1/PptoSty[Division],(PptoSty[Division]&lt;&gt;0)*(PptoSty[Division]&lt;&gt;"")*(PptoSty[Division]&lt;&gt;"X")*(PptoSty[Project]=$B19)*(PptoSty[Vrs]=$D19)*(PptoSty[Site]=$F19)*(PptoSty[PiRow]=_xlfn.TEXTAFTER($H19,":"))*(PptoSty[PiColumn]=M$54),0)))</f>
        <v>0</v>
      </c>
      <c r="N19" s="197" cm="1">
        <f t="array" ref="N19">IF(OR($B19="",$B19="X",$D19="",$D19="X",$E19="",$E19="X",$F19="",$F19="X",$G19="",$G19="X",$H19="",$H19="X"),0,SUM(_xlfn._xlws.FILTER(VALUE(PptoSty[Sign]&amp;"1")*1/PptoSty[Division],(PptoSty[Division]&lt;&gt;0)*(PptoSty[Division]&lt;&gt;"")*(PptoSty[Division]&lt;&gt;"X")*(PptoSty[Project]=$B19)*(PptoSty[Vrs]=$D19)*(PptoSty[Site]=$F19)*(PptoSty[PiRow]=_xlfn.TEXTAFTER($H19,":"))*(PptoSty[PiColumn]=N$54),0)))</f>
        <v>0</v>
      </c>
      <c r="O19" s="197" cm="1">
        <f t="array" ref="O19">IF(OR($B19="",$B19="X",$D19="",$D19="X",$E19="",$E19="X",$F19="",$F19="X",$G19="",$G19="X",$H19="",$H19="X"),0,SUM(_xlfn._xlws.FILTER(VALUE(PptoSty[Sign]&amp;"1")*1/PptoSty[Division],(PptoSty[Division]&lt;&gt;0)*(PptoSty[Division]&lt;&gt;"")*(PptoSty[Division]&lt;&gt;"X")*(PptoSty[Project]=$B19)*(PptoSty[Vrs]=$D19)*(PptoSty[Site]=$F19)*(PptoSty[PiRow]=_xlfn.TEXTAFTER($H19,":"))*(PptoSty[PiColumn]=O$54),0)))</f>
        <v>0</v>
      </c>
      <c r="P19" s="197" cm="1">
        <f t="array" ref="P19">IF(OR($B19="",$B19="X",$D19="",$D19="X",$E19="",$E19="X",$F19="",$F19="X",$G19="",$G19="X",$H19="",$H19="X"),0,SUM(_xlfn._xlws.FILTER(VALUE(PptoSty[Sign]&amp;"1")*1/PptoSty[Division],(PptoSty[Division]&lt;&gt;0)*(PptoSty[Division]&lt;&gt;"")*(PptoSty[Division]&lt;&gt;"X")*(PptoSty[Project]=$B19)*(PptoSty[Vrs]=$D19)*(PptoSty[Site]=$F19)*(PptoSty[PiRow]=_xlfn.TEXTAFTER($H19,":"))*(PptoSty[PiColumn]=P$54),0)))</f>
        <v>0</v>
      </c>
      <c r="Q19" s="197" cm="1">
        <f t="array" ref="Q19">IF(OR($B19="",$B19="X",$D19="",$D19="X",$E19="",$E19="X",$F19="",$F19="X",$G19="",$G19="X",$H19="",$H19="X"),0,SUM(_xlfn._xlws.FILTER(VALUE(PptoSty[Sign]&amp;"1")*1/PptoSty[Division],(PptoSty[Division]&lt;&gt;0)*(PptoSty[Division]&lt;&gt;"")*(PptoSty[Division]&lt;&gt;"X")*(PptoSty[Project]=$B19)*(PptoSty[Vrs]=$D19)*(PptoSty[Site]=$F19)*(PptoSty[PiRow]=_xlfn.TEXTAFTER($H19,":"))*(PptoSty[PiColumn]=Q$54),0)))</f>
        <v>0</v>
      </c>
      <c r="R19" s="197" cm="1">
        <f t="array" ref="R19">IF(OR($B19="",$B19="X",$D19="",$D19="X",$E19="",$E19="X",$F19="",$F19="X",$G19="",$G19="X",$H19="",$H19="X"),0,SUM(_xlfn._xlws.FILTER(VALUE(PptoSty[Sign]&amp;"1")*1/PptoSty[Division],(PptoSty[Division]&lt;&gt;0)*(PptoSty[Division]&lt;&gt;"")*(PptoSty[Division]&lt;&gt;"X")*(PptoSty[Project]=$B19)*(PptoSty[Vrs]=$D19)*(PptoSty[Site]=$F19)*(PptoSty[PiRow]=_xlfn.TEXTAFTER($H19,":"))*(PptoSty[PiColumn]=R$54),0)))</f>
        <v>0</v>
      </c>
      <c r="S19" s="197" cm="1">
        <f t="array" ref="S19">IF(OR($B19="",$B19="X",$D19="",$D19="X",$E19="",$E19="X",$F19="",$F19="X",$G19="",$G19="X",$H19="",$H19="X"),0,SUM(_xlfn._xlws.FILTER(VALUE(PptoSty[Sign]&amp;"1")*1/PptoSty[Division],(PptoSty[Division]&lt;&gt;0)*(PptoSty[Division]&lt;&gt;"")*(PptoSty[Division]&lt;&gt;"X")*(PptoSty[Project]=$B19)*(PptoSty[Vrs]=$D19)*(PptoSty[Site]=$F19)*(PptoSty[PiRow]=_xlfn.TEXTAFTER($H19,":"))*(PptoSty[PiColumn]=S$54),0)))</f>
        <v>0</v>
      </c>
      <c r="T19" s="197" cm="1">
        <f t="array" ref="T19">IF(OR($B19="",$B19="X",$D19="",$D19="X",$E19="",$E19="X",$F19="",$F19="X",$G19="",$G19="X",$H19="",$H19="X"),0,SUM(_xlfn._xlws.FILTER(VALUE(PptoSty[Sign]&amp;"1")*1/PptoSty[Division],(PptoSty[Division]&lt;&gt;0)*(PptoSty[Division]&lt;&gt;"")*(PptoSty[Division]&lt;&gt;"X")*(PptoSty[Project]=$B19)*(PptoSty[Vrs]=$D19)*(PptoSty[Site]=$F19)*(PptoSty[PiRow]=_xlfn.TEXTAFTER($H19,":"))*(PptoSty[PiColumn]=T$54),0)))</f>
        <v>0</v>
      </c>
      <c r="U19" s="197" cm="1">
        <f t="array" ref="U19">IF(OR($B19="",$B19="X",$D19="",$D19="X",$E19="",$E19="X",$F19="",$F19="X",$G19="",$G19="X",$H19="",$H19="X"),0,SUM(_xlfn._xlws.FILTER(VALUE(PptoSty[Sign]&amp;"1")*1/PptoSty[Division],(PptoSty[Division]&lt;&gt;0)*(PptoSty[Division]&lt;&gt;"")*(PptoSty[Division]&lt;&gt;"X")*(PptoSty[Project]=$B19)*(PptoSty[Vrs]=$D19)*(PptoSty[Site]=$F19)*(PptoSty[PiRow]=_xlfn.TEXTAFTER($H19,":"))*(PptoSty[PiColumn]=U$54),0)))</f>
        <v>0</v>
      </c>
      <c r="V19" s="197" cm="1">
        <f t="array" ref="V19">IF(OR($B19="",$B19="X",$D19="",$D19="X",$E19="",$E19="X",$F19="",$F19="X",$G19="",$G19="X",$H19="",$H19="X"),0,SUM(_xlfn._xlws.FILTER(VALUE(PptoSty[Sign]&amp;"1")*1/PptoSty[Division],(PptoSty[Division]&lt;&gt;0)*(PptoSty[Division]&lt;&gt;"")*(PptoSty[Division]&lt;&gt;"X")*(PptoSty[Project]=$B19)*(PptoSty[Vrs]=$D19)*(PptoSty[Site]=$F19)*(PptoSty[PiRow]=_xlfn.TEXTAFTER($H19,":"))*(PptoSty[PiColumn]=V$54),0)))</f>
        <v>0</v>
      </c>
      <c r="W19" s="197" cm="1">
        <f t="array" ref="W19">IF(OR($B19="",$B19="X",$D19="",$D19="X",$E19="",$E19="X",$F19="",$F19="X",$G19="",$G19="X",$H19="",$H19="X"),0,SUM(_xlfn._xlws.FILTER(VALUE(PptoSty[Sign]&amp;"1")*1/PptoSty[Division],(PptoSty[Division]&lt;&gt;0)*(PptoSty[Division]&lt;&gt;"")*(PptoSty[Division]&lt;&gt;"X")*(PptoSty[Project]=$B19)*(PptoSty[Vrs]=$D19)*(PptoSty[Site]=$F19)*(PptoSty[PiRow]=_xlfn.TEXTAFTER($H19,":"))*(PptoSty[PiColumn]=W$54),0)))</f>
        <v>0</v>
      </c>
      <c r="X19" s="197" cm="1">
        <f t="array" ref="X19">IF(OR($B19="",$B19="X",$D19="",$D19="X",$E19="",$E19="X",$F19="",$F19="X",$G19="",$G19="X",$H19="",$H19="X"),0,SUM(_xlfn._xlws.FILTER(VALUE(PptoSty[Sign]&amp;"1")*1/PptoSty[Division],(PptoSty[Division]&lt;&gt;0)*(PptoSty[Division]&lt;&gt;"")*(PptoSty[Division]&lt;&gt;"X")*(PptoSty[Project]=$B19)*(PptoSty[Vrs]=$D19)*(PptoSty[Site]=$F19)*(PptoSty[PiRow]=_xlfn.TEXTAFTER($H19,":"))*(PptoSty[PiColumn]=X$54),0)))</f>
        <v>0</v>
      </c>
      <c r="Y19" s="197" cm="1">
        <f t="array" ref="Y19">IF(OR($B19="",$B19="X",$D19="",$D19="X",$E19="",$E19="X",$F19="",$F19="X",$G19="",$G19="X",$H19="",$H19="X"),0,SUM(_xlfn._xlws.FILTER(VALUE(PptoSty[Sign]&amp;"1")*1/PptoSty[Division],(PptoSty[Division]&lt;&gt;0)*(PptoSty[Division]&lt;&gt;"")*(PptoSty[Division]&lt;&gt;"X")*(PptoSty[Project]=$B19)*(PptoSty[Vrs]=$D19)*(PptoSty[Site]=$F19)*(PptoSty[PiRow]=_xlfn.TEXTAFTER($H19,":"))*(PptoSty[PiColumn]=Y$54),0)))</f>
        <v>0</v>
      </c>
    </row>
    <row r="20" spans="1:26" s="33" customFormat="1" ht="17.25" customHeight="1" outlineLevel="1">
      <c r="A20" s="123"/>
      <c r="B20" s="140" t="str">
        <v>31199</v>
      </c>
      <c r="C20" s="128" t="str">
        <v>Sp</v>
      </c>
      <c r="D20" s="128">
        <v>0</v>
      </c>
      <c r="E20" s="128" t="str">
        <v>DISI</v>
      </c>
      <c r="F20" s="139" t="str">
        <v>SERRA</v>
      </c>
      <c r="G20" s="139" t="str">
        <v>CurPpto</v>
      </c>
      <c r="H20" s="139" t="str">
        <v>X006:SUBGROUP DISI</v>
      </c>
      <c r="I20" s="197" cm="1">
        <f t="array" ref="I20">IF(OR($B20="",$B20="X",$D20="",$D20="X",$E20="",$E20="X",$F20="",$F20="X",$G20="",$G20="X",$H20="",$H20="X"),0,SUM(_xlfn._xlws.FILTER(VALUE(PptoSty[Sign]&amp;"1")*1/PptoSty[Division],(PptoSty[Division]&lt;&gt;0)*(PptoSty[Division]&lt;&gt;"")*(PptoSty[Division]&lt;&gt;"X")*(PptoSty[Project]=$B20)*(PptoSty[Vrs]=$D20)*(PptoSty[Site]=$F20)*(PptoSty[PiRow]=_xlfn.TEXTAFTER($H20,":"))*(PptoSty[PiColumn]=I$54),0)))</f>
        <v>0</v>
      </c>
      <c r="J20" s="197" cm="1">
        <f t="array" ref="J20">IF(OR($B20="",$B20="X",$D20="",$D20="X",$E20="",$E20="X",$F20="",$F20="X",$G20="",$G20="X",$H20="",$H20="X"),0,SUM(_xlfn._xlws.FILTER(VALUE(PptoSty[Sign]&amp;"1")*1/PptoSty[Division],(PptoSty[Division]&lt;&gt;0)*(PptoSty[Division]&lt;&gt;"")*(PptoSty[Division]&lt;&gt;"X")*(PptoSty[Project]=$B20)*(PptoSty[Vrs]=$D20)*(PptoSty[Site]=$F20)*(PptoSty[PiRow]=_xlfn.TEXTAFTER($H20,":"))*(PptoSty[PiColumn]=J$54),0)))</f>
        <v>0</v>
      </c>
      <c r="K20" s="197" cm="1">
        <f t="array" ref="K20">IF(OR($B20="",$B20="X",$D20="",$D20="X",$E20="",$E20="X",$F20="",$F20="X",$G20="",$G20="X",$H20="",$H20="X"),0,SUM(_xlfn._xlws.FILTER(VALUE(PptoSty[Sign]&amp;"1")*1/PptoSty[Division],(PptoSty[Division]&lt;&gt;0)*(PptoSty[Division]&lt;&gt;"")*(PptoSty[Division]&lt;&gt;"X")*(PptoSty[Project]=$B20)*(PptoSty[Vrs]=$D20)*(PptoSty[Site]=$F20)*(PptoSty[PiRow]=_xlfn.TEXTAFTER($H20,":"))*(PptoSty[PiColumn]=K$54),0)))</f>
        <v>0</v>
      </c>
      <c r="L20" s="197" cm="1">
        <f t="array" ref="L20">IF(OR($B20="",$B20="X",$D20="",$D20="X",$E20="",$E20="X",$F20="",$F20="X",$G20="",$G20="X",$H20="",$H20="X"),0,SUM(_xlfn._xlws.FILTER(VALUE(PptoSty[Sign]&amp;"1")*1/PptoSty[Division],(PptoSty[Division]&lt;&gt;0)*(PptoSty[Division]&lt;&gt;"")*(PptoSty[Division]&lt;&gt;"X")*(PptoSty[Project]=$B20)*(PptoSty[Vrs]=$D20)*(PptoSty[Site]=$F20)*(PptoSty[PiRow]=_xlfn.TEXTAFTER($H20,":"))*(PptoSty[PiColumn]=L$54),0)))</f>
        <v>1</v>
      </c>
      <c r="M20" s="197" cm="1">
        <f t="array" ref="M20">IF(OR($B20="",$B20="X",$D20="",$D20="X",$E20="",$E20="X",$F20="",$F20="X",$G20="",$G20="X",$H20="",$H20="X"),0,SUM(_xlfn._xlws.FILTER(VALUE(PptoSty[Sign]&amp;"1")*1/PptoSty[Division],(PptoSty[Division]&lt;&gt;0)*(PptoSty[Division]&lt;&gt;"")*(PptoSty[Division]&lt;&gt;"X")*(PptoSty[Project]=$B20)*(PptoSty[Vrs]=$D20)*(PptoSty[Site]=$F20)*(PptoSty[PiRow]=_xlfn.TEXTAFTER($H20,":"))*(PptoSty[PiColumn]=M$54),0)))</f>
        <v>0</v>
      </c>
      <c r="N20" s="197" cm="1">
        <f t="array" ref="N20">IF(OR($B20="",$B20="X",$D20="",$D20="X",$E20="",$E20="X",$F20="",$F20="X",$G20="",$G20="X",$H20="",$H20="X"),0,SUM(_xlfn._xlws.FILTER(VALUE(PptoSty[Sign]&amp;"1")*1/PptoSty[Division],(PptoSty[Division]&lt;&gt;0)*(PptoSty[Division]&lt;&gt;"")*(PptoSty[Division]&lt;&gt;"X")*(PptoSty[Project]=$B20)*(PptoSty[Vrs]=$D20)*(PptoSty[Site]=$F20)*(PptoSty[PiRow]=_xlfn.TEXTAFTER($H20,":"))*(PptoSty[PiColumn]=N$54),0)))</f>
        <v>0</v>
      </c>
      <c r="O20" s="197" cm="1">
        <f t="array" ref="O20">IF(OR($B20="",$B20="X",$D20="",$D20="X",$E20="",$E20="X",$F20="",$F20="X",$G20="",$G20="X",$H20="",$H20="X"),0,SUM(_xlfn._xlws.FILTER(VALUE(PptoSty[Sign]&amp;"1")*1/PptoSty[Division],(PptoSty[Division]&lt;&gt;0)*(PptoSty[Division]&lt;&gt;"")*(PptoSty[Division]&lt;&gt;"X")*(PptoSty[Project]=$B20)*(PptoSty[Vrs]=$D20)*(PptoSty[Site]=$F20)*(PptoSty[PiRow]=_xlfn.TEXTAFTER($H20,":"))*(PptoSty[PiColumn]=O$54),0)))</f>
        <v>0</v>
      </c>
      <c r="P20" s="197" cm="1">
        <f t="array" ref="P20">IF(OR($B20="",$B20="X",$D20="",$D20="X",$E20="",$E20="X",$F20="",$F20="X",$G20="",$G20="X",$H20="",$H20="X"),0,SUM(_xlfn._xlws.FILTER(VALUE(PptoSty[Sign]&amp;"1")*1/PptoSty[Division],(PptoSty[Division]&lt;&gt;0)*(PptoSty[Division]&lt;&gt;"")*(PptoSty[Division]&lt;&gt;"X")*(PptoSty[Project]=$B20)*(PptoSty[Vrs]=$D20)*(PptoSty[Site]=$F20)*(PptoSty[PiRow]=_xlfn.TEXTAFTER($H20,":"))*(PptoSty[PiColumn]=P$54),0)))</f>
        <v>0</v>
      </c>
      <c r="Q20" s="197" cm="1">
        <f t="array" ref="Q20">IF(OR($B20="",$B20="X",$D20="",$D20="X",$E20="",$E20="X",$F20="",$F20="X",$G20="",$G20="X",$H20="",$H20="X"),0,SUM(_xlfn._xlws.FILTER(VALUE(PptoSty[Sign]&amp;"1")*1/PptoSty[Division],(PptoSty[Division]&lt;&gt;0)*(PptoSty[Division]&lt;&gt;"")*(PptoSty[Division]&lt;&gt;"X")*(PptoSty[Project]=$B20)*(PptoSty[Vrs]=$D20)*(PptoSty[Site]=$F20)*(PptoSty[PiRow]=_xlfn.TEXTAFTER($H20,":"))*(PptoSty[PiColumn]=Q$54),0)))</f>
        <v>0</v>
      </c>
      <c r="R20" s="197" cm="1">
        <f t="array" ref="R20">IF(OR($B20="",$B20="X",$D20="",$D20="X",$E20="",$E20="X",$F20="",$F20="X",$G20="",$G20="X",$H20="",$H20="X"),0,SUM(_xlfn._xlws.FILTER(VALUE(PptoSty[Sign]&amp;"1")*1/PptoSty[Division],(PptoSty[Division]&lt;&gt;0)*(PptoSty[Division]&lt;&gt;"")*(PptoSty[Division]&lt;&gt;"X")*(PptoSty[Project]=$B20)*(PptoSty[Vrs]=$D20)*(PptoSty[Site]=$F20)*(PptoSty[PiRow]=_xlfn.TEXTAFTER($H20,":"))*(PptoSty[PiColumn]=R$54),0)))</f>
        <v>0</v>
      </c>
      <c r="S20" s="197" cm="1">
        <f t="array" ref="S20">IF(OR($B20="",$B20="X",$D20="",$D20="X",$E20="",$E20="X",$F20="",$F20="X",$G20="",$G20="X",$H20="",$H20="X"),0,SUM(_xlfn._xlws.FILTER(VALUE(PptoSty[Sign]&amp;"1")*1/PptoSty[Division],(PptoSty[Division]&lt;&gt;0)*(PptoSty[Division]&lt;&gt;"")*(PptoSty[Division]&lt;&gt;"X")*(PptoSty[Project]=$B20)*(PptoSty[Vrs]=$D20)*(PptoSty[Site]=$F20)*(PptoSty[PiRow]=_xlfn.TEXTAFTER($H20,":"))*(PptoSty[PiColumn]=S$54),0)))</f>
        <v>0</v>
      </c>
      <c r="T20" s="197" cm="1">
        <f t="array" ref="T20">IF(OR($B20="",$B20="X",$D20="",$D20="X",$E20="",$E20="X",$F20="",$F20="X",$G20="",$G20="X",$H20="",$H20="X"),0,SUM(_xlfn._xlws.FILTER(VALUE(PptoSty[Sign]&amp;"1")*1/PptoSty[Division],(PptoSty[Division]&lt;&gt;0)*(PptoSty[Division]&lt;&gt;"")*(PptoSty[Division]&lt;&gt;"X")*(PptoSty[Project]=$B20)*(PptoSty[Vrs]=$D20)*(PptoSty[Site]=$F20)*(PptoSty[PiRow]=_xlfn.TEXTAFTER($H20,":"))*(PptoSty[PiColumn]=T$54),0)))</f>
        <v>0</v>
      </c>
      <c r="U20" s="197" cm="1">
        <f t="array" ref="U20">IF(OR($B20="",$B20="X",$D20="",$D20="X",$E20="",$E20="X",$F20="",$F20="X",$G20="",$G20="X",$H20="",$H20="X"),0,SUM(_xlfn._xlws.FILTER(VALUE(PptoSty[Sign]&amp;"1")*1/PptoSty[Division],(PptoSty[Division]&lt;&gt;0)*(PptoSty[Division]&lt;&gt;"")*(PptoSty[Division]&lt;&gt;"X")*(PptoSty[Project]=$B20)*(PptoSty[Vrs]=$D20)*(PptoSty[Site]=$F20)*(PptoSty[PiRow]=_xlfn.TEXTAFTER($H20,":"))*(PptoSty[PiColumn]=U$54),0)))</f>
        <v>0</v>
      </c>
      <c r="V20" s="197" cm="1">
        <f t="array" ref="V20">IF(OR($B20="",$B20="X",$D20="",$D20="X",$E20="",$E20="X",$F20="",$F20="X",$G20="",$G20="X",$H20="",$H20="X"),0,SUM(_xlfn._xlws.FILTER(VALUE(PptoSty[Sign]&amp;"1")*1/PptoSty[Division],(PptoSty[Division]&lt;&gt;0)*(PptoSty[Division]&lt;&gt;"")*(PptoSty[Division]&lt;&gt;"X")*(PptoSty[Project]=$B20)*(PptoSty[Vrs]=$D20)*(PptoSty[Site]=$F20)*(PptoSty[PiRow]=_xlfn.TEXTAFTER($H20,":"))*(PptoSty[PiColumn]=V$54),0)))</f>
        <v>0</v>
      </c>
      <c r="W20" s="197" cm="1">
        <f t="array" ref="W20">IF(OR($B20="",$B20="X",$D20="",$D20="X",$E20="",$E20="X",$F20="",$F20="X",$G20="",$G20="X",$H20="",$H20="X"),0,SUM(_xlfn._xlws.FILTER(VALUE(PptoSty[Sign]&amp;"1")*1/PptoSty[Division],(PptoSty[Division]&lt;&gt;0)*(PptoSty[Division]&lt;&gt;"")*(PptoSty[Division]&lt;&gt;"X")*(PptoSty[Project]=$B20)*(PptoSty[Vrs]=$D20)*(PptoSty[Site]=$F20)*(PptoSty[PiRow]=_xlfn.TEXTAFTER($H20,":"))*(PptoSty[PiColumn]=W$54),0)))</f>
        <v>0</v>
      </c>
      <c r="X20" s="197" cm="1">
        <f t="array" ref="X20">IF(OR($B20="",$B20="X",$D20="",$D20="X",$E20="",$E20="X",$F20="",$F20="X",$G20="",$G20="X",$H20="",$H20="X"),0,SUM(_xlfn._xlws.FILTER(VALUE(PptoSty[Sign]&amp;"1")*1/PptoSty[Division],(PptoSty[Division]&lt;&gt;0)*(PptoSty[Division]&lt;&gt;"")*(PptoSty[Division]&lt;&gt;"X")*(PptoSty[Project]=$B20)*(PptoSty[Vrs]=$D20)*(PptoSty[Site]=$F20)*(PptoSty[PiRow]=_xlfn.TEXTAFTER($H20,":"))*(PptoSty[PiColumn]=X$54),0)))</f>
        <v>0</v>
      </c>
      <c r="Y20" s="197" cm="1">
        <f t="array" ref="Y20">IF(OR($B20="",$B20="X",$D20="",$D20="X",$E20="",$E20="X",$F20="",$F20="X",$G20="",$G20="X",$H20="",$H20="X"),0,SUM(_xlfn._xlws.FILTER(VALUE(PptoSty[Sign]&amp;"1")*1/PptoSty[Division],(PptoSty[Division]&lt;&gt;0)*(PptoSty[Division]&lt;&gt;"")*(PptoSty[Division]&lt;&gt;"X")*(PptoSty[Project]=$B20)*(PptoSty[Vrs]=$D20)*(PptoSty[Site]=$F20)*(PptoSty[PiRow]=_xlfn.TEXTAFTER($H20,":"))*(PptoSty[PiColumn]=Y$54),0)))</f>
        <v>0</v>
      </c>
    </row>
    <row r="21" spans="1:26" s="33" customFormat="1" ht="17.25" customHeight="1" outlineLevel="1">
      <c r="A21" s="123"/>
      <c r="B21" s="140" t="str">
        <v>31200</v>
      </c>
      <c r="C21" s="128" t="str">
        <v>Sp</v>
      </c>
      <c r="D21" s="128">
        <v>15</v>
      </c>
      <c r="E21" s="128" t="str">
        <v>TOTS</v>
      </c>
      <c r="F21" s="139" t="str">
        <v>PLANT</v>
      </c>
      <c r="G21" s="139" t="str">
        <v>CurPpto</v>
      </c>
      <c r="H21" s="139" t="str">
        <v>X100:SUBGROUP TOTS</v>
      </c>
      <c r="I21" s="197" cm="1">
        <f t="array" ref="I21">IF(OR($B21="",$B21="X",$D21="",$D21="X",$E21="",$E21="X",$F21="",$F21="X",$G21="",$G21="X",$H21="",$H21="X"),0,SUM(_xlfn._xlws.FILTER(VALUE(PptoSty[Sign]&amp;"1")*1/PptoSty[Division],(PptoSty[Division]&lt;&gt;0)*(PptoSty[Division]&lt;&gt;"")*(PptoSty[Division]&lt;&gt;"X")*(PptoSty[Project]=$B21)*(PptoSty[Vrs]=$D21)*(PptoSty[Site]=$F21)*(PptoSty[PiRow]=_xlfn.TEXTAFTER($H21,":"))*(PptoSty[PiColumn]=I$54),0)))</f>
        <v>0</v>
      </c>
      <c r="J21" s="197" cm="1">
        <f t="array" ref="J21">IF(OR($B21="",$B21="X",$D21="",$D21="X",$E21="",$E21="X",$F21="",$F21="X",$G21="",$G21="X",$H21="",$H21="X"),0,SUM(_xlfn._xlws.FILTER(VALUE(PptoSty[Sign]&amp;"1")*1/PptoSty[Division],(PptoSty[Division]&lt;&gt;0)*(PptoSty[Division]&lt;&gt;"")*(PptoSty[Division]&lt;&gt;"X")*(PptoSty[Project]=$B21)*(PptoSty[Vrs]=$D21)*(PptoSty[Site]=$F21)*(PptoSty[PiRow]=_xlfn.TEXTAFTER($H21,":"))*(PptoSty[PiColumn]=J$54),0)))</f>
        <v>0</v>
      </c>
      <c r="K21" s="197" cm="1">
        <f t="array" ref="K21">IF(OR($B21="",$B21="X",$D21="",$D21="X",$E21="",$E21="X",$F21="",$F21="X",$G21="",$G21="X",$H21="",$H21="X"),0,SUM(_xlfn._xlws.FILTER(VALUE(PptoSty[Sign]&amp;"1")*1/PptoSty[Division],(PptoSty[Division]&lt;&gt;0)*(PptoSty[Division]&lt;&gt;"")*(PptoSty[Division]&lt;&gt;"X")*(PptoSty[Project]=$B21)*(PptoSty[Vrs]=$D21)*(PptoSty[Site]=$F21)*(PptoSty[PiRow]=_xlfn.TEXTAFTER($H21,":"))*(PptoSty[PiColumn]=K$54),0)))</f>
        <v>0</v>
      </c>
      <c r="L21" s="197" cm="1">
        <f t="array" ref="L21">IF(OR($B21="",$B21="X",$D21="",$D21="X",$E21="",$E21="X",$F21="",$F21="X",$G21="",$G21="X",$H21="",$H21="X"),0,SUM(_xlfn._xlws.FILTER(VALUE(PptoSty[Sign]&amp;"1")*1/PptoSty[Division],(PptoSty[Division]&lt;&gt;0)*(PptoSty[Division]&lt;&gt;"")*(PptoSty[Division]&lt;&gt;"X")*(PptoSty[Project]=$B21)*(PptoSty[Vrs]=$D21)*(PptoSty[Site]=$F21)*(PptoSty[PiRow]=_xlfn.TEXTAFTER($H21,":"))*(PptoSty[PiColumn]=L$54),0)))</f>
        <v>0</v>
      </c>
      <c r="M21" s="197" cm="1">
        <f t="array" ref="M21">IF(OR($B21="",$B21="X",$D21="",$D21="X",$E21="",$E21="X",$F21="",$F21="X",$G21="",$G21="X",$H21="",$H21="X"),0,SUM(_xlfn._xlws.FILTER(VALUE(PptoSty[Sign]&amp;"1")*1/PptoSty[Division],(PptoSty[Division]&lt;&gt;0)*(PptoSty[Division]&lt;&gt;"")*(PptoSty[Division]&lt;&gt;"X")*(PptoSty[Project]=$B21)*(PptoSty[Vrs]=$D21)*(PptoSty[Site]=$F21)*(PptoSty[PiRow]=_xlfn.TEXTAFTER($H21,":"))*(PptoSty[PiColumn]=M$54),0)))</f>
        <v>0</v>
      </c>
      <c r="N21" s="197" cm="1">
        <f t="array" ref="N21">IF(OR($B21="",$B21="X",$D21="",$D21="X",$E21="",$E21="X",$F21="",$F21="X",$G21="",$G21="X",$H21="",$H21="X"),0,SUM(_xlfn._xlws.FILTER(VALUE(PptoSty[Sign]&amp;"1")*1/PptoSty[Division],(PptoSty[Division]&lt;&gt;0)*(PptoSty[Division]&lt;&gt;"")*(PptoSty[Division]&lt;&gt;"X")*(PptoSty[Project]=$B21)*(PptoSty[Vrs]=$D21)*(PptoSty[Site]=$F21)*(PptoSty[PiRow]=_xlfn.TEXTAFTER($H21,":"))*(PptoSty[PiColumn]=N$54),0)))</f>
        <v>0</v>
      </c>
      <c r="O21" s="197" cm="1">
        <f t="array" ref="O21">IF(OR($B21="",$B21="X",$D21="",$D21="X",$E21="",$E21="X",$F21="",$F21="X",$G21="",$G21="X",$H21="",$H21="X"),0,SUM(_xlfn._xlws.FILTER(VALUE(PptoSty[Sign]&amp;"1")*1/PptoSty[Division],(PptoSty[Division]&lt;&gt;0)*(PptoSty[Division]&lt;&gt;"")*(PptoSty[Division]&lt;&gt;"X")*(PptoSty[Project]=$B21)*(PptoSty[Vrs]=$D21)*(PptoSty[Site]=$F21)*(PptoSty[PiRow]=_xlfn.TEXTAFTER($H21,":"))*(PptoSty[PiColumn]=O$54),0)))</f>
        <v>0</v>
      </c>
      <c r="P21" s="197" cm="1">
        <f t="array" ref="P21">IF(OR($B21="",$B21="X",$D21="",$D21="X",$E21="",$E21="X",$F21="",$F21="X",$G21="",$G21="X",$H21="",$H21="X"),0,SUM(_xlfn._xlws.FILTER(VALUE(PptoSty[Sign]&amp;"1")*1/PptoSty[Division],(PptoSty[Division]&lt;&gt;0)*(PptoSty[Division]&lt;&gt;"")*(PptoSty[Division]&lt;&gt;"X")*(PptoSty[Project]=$B21)*(PptoSty[Vrs]=$D21)*(PptoSty[Site]=$F21)*(PptoSty[PiRow]=_xlfn.TEXTAFTER($H21,":"))*(PptoSty[PiColumn]=P$54),0)))</f>
        <v>0</v>
      </c>
      <c r="Q21" s="197" cm="1">
        <f t="array" ref="Q21">IF(OR($B21="",$B21="X",$D21="",$D21="X",$E21="",$E21="X",$F21="",$F21="X",$G21="",$G21="X",$H21="",$H21="X"),0,SUM(_xlfn._xlws.FILTER(VALUE(PptoSty[Sign]&amp;"1")*1/PptoSty[Division],(PptoSty[Division]&lt;&gt;0)*(PptoSty[Division]&lt;&gt;"")*(PptoSty[Division]&lt;&gt;"X")*(PptoSty[Project]=$B21)*(PptoSty[Vrs]=$D21)*(PptoSty[Site]=$F21)*(PptoSty[PiRow]=_xlfn.TEXTAFTER($H21,":"))*(PptoSty[PiColumn]=Q$54),0)))</f>
        <v>0</v>
      </c>
      <c r="R21" s="197" cm="1">
        <f t="array" ref="R21">IF(OR($B21="",$B21="X",$D21="",$D21="X",$E21="",$E21="X",$F21="",$F21="X",$G21="",$G21="X",$H21="",$H21="X"),0,SUM(_xlfn._xlws.FILTER(VALUE(PptoSty[Sign]&amp;"1")*1/PptoSty[Division],(PptoSty[Division]&lt;&gt;0)*(PptoSty[Division]&lt;&gt;"")*(PptoSty[Division]&lt;&gt;"X")*(PptoSty[Project]=$B21)*(PptoSty[Vrs]=$D21)*(PptoSty[Site]=$F21)*(PptoSty[PiRow]=_xlfn.TEXTAFTER($H21,":"))*(PptoSty[PiColumn]=R$54),0)))</f>
        <v>0</v>
      </c>
      <c r="S21" s="197" cm="1">
        <f t="array" ref="S21">IF(OR($B21="",$B21="X",$D21="",$D21="X",$E21="",$E21="X",$F21="",$F21="X",$G21="",$G21="X",$H21="",$H21="X"),0,SUM(_xlfn._xlws.FILTER(VALUE(PptoSty[Sign]&amp;"1")*1/PptoSty[Division],(PptoSty[Division]&lt;&gt;0)*(PptoSty[Division]&lt;&gt;"")*(PptoSty[Division]&lt;&gt;"X")*(PptoSty[Project]=$B21)*(PptoSty[Vrs]=$D21)*(PptoSty[Site]=$F21)*(PptoSty[PiRow]=_xlfn.TEXTAFTER($H21,":"))*(PptoSty[PiColumn]=S$54),0)))</f>
        <v>0</v>
      </c>
      <c r="T21" s="197" cm="1">
        <f t="array" ref="T21">IF(OR($B21="",$B21="X",$D21="",$D21="X",$E21="",$E21="X",$F21="",$F21="X",$G21="",$G21="X",$H21="",$H21="X"),0,SUM(_xlfn._xlws.FILTER(VALUE(PptoSty[Sign]&amp;"1")*1/PptoSty[Division],(PptoSty[Division]&lt;&gt;0)*(PptoSty[Division]&lt;&gt;"")*(PptoSty[Division]&lt;&gt;"X")*(PptoSty[Project]=$B21)*(PptoSty[Vrs]=$D21)*(PptoSty[Site]=$F21)*(PptoSty[PiRow]=_xlfn.TEXTAFTER($H21,":"))*(PptoSty[PiColumn]=T$54),0)))</f>
        <v>0</v>
      </c>
      <c r="U21" s="197" cm="1">
        <f t="array" ref="U21">IF(OR($B21="",$B21="X",$D21="",$D21="X",$E21="",$E21="X",$F21="",$F21="X",$G21="",$G21="X",$H21="",$H21="X"),0,SUM(_xlfn._xlws.FILTER(VALUE(PptoSty[Sign]&amp;"1")*1/PptoSty[Division],(PptoSty[Division]&lt;&gt;0)*(PptoSty[Division]&lt;&gt;"")*(PptoSty[Division]&lt;&gt;"X")*(PptoSty[Project]=$B21)*(PptoSty[Vrs]=$D21)*(PptoSty[Site]=$F21)*(PptoSty[PiRow]=_xlfn.TEXTAFTER($H21,":"))*(PptoSty[PiColumn]=U$54),0)))</f>
        <v>0</v>
      </c>
      <c r="V21" s="197" cm="1">
        <f t="array" ref="V21">IF(OR($B21="",$B21="X",$D21="",$D21="X",$E21="",$E21="X",$F21="",$F21="X",$G21="",$G21="X",$H21="",$H21="X"),0,SUM(_xlfn._xlws.FILTER(VALUE(PptoSty[Sign]&amp;"1")*1/PptoSty[Division],(PptoSty[Division]&lt;&gt;0)*(PptoSty[Division]&lt;&gt;"")*(PptoSty[Division]&lt;&gt;"X")*(PptoSty[Project]=$B21)*(PptoSty[Vrs]=$D21)*(PptoSty[Site]=$F21)*(PptoSty[PiRow]=_xlfn.TEXTAFTER($H21,":"))*(PptoSty[PiColumn]=V$54),0)))</f>
        <v>0</v>
      </c>
      <c r="W21" s="197" cm="1">
        <f t="array" ref="W21">IF(OR($B21="",$B21="X",$D21="",$D21="X",$E21="",$E21="X",$F21="",$F21="X",$G21="",$G21="X",$H21="",$H21="X"),0,SUM(_xlfn._xlws.FILTER(VALUE(PptoSty[Sign]&amp;"1")*1/PptoSty[Division],(PptoSty[Division]&lt;&gt;0)*(PptoSty[Division]&lt;&gt;"")*(PptoSty[Division]&lt;&gt;"X")*(PptoSty[Project]=$B21)*(PptoSty[Vrs]=$D21)*(PptoSty[Site]=$F21)*(PptoSty[PiRow]=_xlfn.TEXTAFTER($H21,":"))*(PptoSty[PiColumn]=W$54),0)))</f>
        <v>0</v>
      </c>
      <c r="X21" s="197" cm="1">
        <f t="array" ref="X21">IF(OR($B21="",$B21="X",$D21="",$D21="X",$E21="",$E21="X",$F21="",$F21="X",$G21="",$G21="X",$H21="",$H21="X"),0,SUM(_xlfn._xlws.FILTER(VALUE(PptoSty[Sign]&amp;"1")*1/PptoSty[Division],(PptoSty[Division]&lt;&gt;0)*(PptoSty[Division]&lt;&gt;"")*(PptoSty[Division]&lt;&gt;"X")*(PptoSty[Project]=$B21)*(PptoSty[Vrs]=$D21)*(PptoSty[Site]=$F21)*(PptoSty[PiRow]=_xlfn.TEXTAFTER($H21,":"))*(PptoSty[PiColumn]=X$54),0)))</f>
        <v>0</v>
      </c>
      <c r="Y21" s="197" cm="1">
        <f t="array" ref="Y21">IF(OR($B21="",$B21="X",$D21="",$D21="X",$E21="",$E21="X",$F21="",$F21="X",$G21="",$G21="X",$H21="",$H21="X"),0,SUM(_xlfn._xlws.FILTER(VALUE(PptoSty[Sign]&amp;"1")*1/PptoSty[Division],(PptoSty[Division]&lt;&gt;0)*(PptoSty[Division]&lt;&gt;"")*(PptoSty[Division]&lt;&gt;"X")*(PptoSty[Project]=$B21)*(PptoSty[Vrs]=$D21)*(PptoSty[Site]=$F21)*(PptoSty[PiRow]=_xlfn.TEXTAFTER($H21,":"))*(PptoSty[PiColumn]=Y$54),0)))</f>
        <v>0</v>
      </c>
    </row>
    <row r="22" spans="1:26" s="33" customFormat="1" ht="17.25" customHeight="1" outlineLevel="1">
      <c r="A22" s="123"/>
      <c r="B22" s="140" t="str">
        <v>31199</v>
      </c>
      <c r="C22" s="128" t="str">
        <v>Sp</v>
      </c>
      <c r="D22" s="128">
        <v>0</v>
      </c>
      <c r="E22" s="128" t="str">
        <v>TOTS</v>
      </c>
      <c r="F22" s="139" t="str">
        <v>PLANT</v>
      </c>
      <c r="G22" s="139" t="str">
        <v>CurPpto</v>
      </c>
      <c r="H22" s="139" t="str">
        <v>X100:SUBGROUP TOTS</v>
      </c>
      <c r="I22" s="197" cm="1">
        <f t="array" ref="I22">IF(OR($B22="",$B22="X",$D22="",$D22="X",$E22="",$E22="X",$F22="",$F22="X",$G22="",$G22="X",$H22="",$H22="X"),0,SUM(_xlfn._xlws.FILTER(VALUE(PptoSty[Sign]&amp;"1")*1/PptoSty[Division],(PptoSty[Division]&lt;&gt;0)*(PptoSty[Division]&lt;&gt;"")*(PptoSty[Division]&lt;&gt;"X")*(PptoSty[Project]=$B22)*(PptoSty[Vrs]=$D22)*(PptoSty[Site]=$F22)*(PptoSty[PiRow]=_xlfn.TEXTAFTER($H22,":"))*(PptoSty[PiColumn]=I$54),0)))</f>
        <v>0</v>
      </c>
      <c r="J22" s="197" cm="1">
        <f t="array" ref="J22">IF(OR($B22="",$B22="X",$D22="",$D22="X",$E22="",$E22="X",$F22="",$F22="X",$G22="",$G22="X",$H22="",$H22="X"),0,SUM(_xlfn._xlws.FILTER(VALUE(PptoSty[Sign]&amp;"1")*1/PptoSty[Division],(PptoSty[Division]&lt;&gt;0)*(PptoSty[Division]&lt;&gt;"")*(PptoSty[Division]&lt;&gt;"X")*(PptoSty[Project]=$B22)*(PptoSty[Vrs]=$D22)*(PptoSty[Site]=$F22)*(PptoSty[PiRow]=_xlfn.TEXTAFTER($H22,":"))*(PptoSty[PiColumn]=J$54),0)))</f>
        <v>0</v>
      </c>
      <c r="K22" s="197" cm="1">
        <f t="array" ref="K22">IF(OR($B22="",$B22="X",$D22="",$D22="X",$E22="",$E22="X",$F22="",$F22="X",$G22="",$G22="X",$H22="",$H22="X"),0,SUM(_xlfn._xlws.FILTER(VALUE(PptoSty[Sign]&amp;"1")*1/PptoSty[Division],(PptoSty[Division]&lt;&gt;0)*(PptoSty[Division]&lt;&gt;"")*(PptoSty[Division]&lt;&gt;"X")*(PptoSty[Project]=$B22)*(PptoSty[Vrs]=$D22)*(PptoSty[Site]=$F22)*(PptoSty[PiRow]=_xlfn.TEXTAFTER($H22,":"))*(PptoSty[PiColumn]=K$54),0)))</f>
        <v>0</v>
      </c>
      <c r="L22" s="197" cm="1">
        <f t="array" ref="L22">IF(OR($B22="",$B22="X",$D22="",$D22="X",$E22="",$E22="X",$F22="",$F22="X",$G22="",$G22="X",$H22="",$H22="X"),0,SUM(_xlfn._xlws.FILTER(VALUE(PptoSty[Sign]&amp;"1")*1/PptoSty[Division],(PptoSty[Division]&lt;&gt;0)*(PptoSty[Division]&lt;&gt;"")*(PptoSty[Division]&lt;&gt;"X")*(PptoSty[Project]=$B22)*(PptoSty[Vrs]=$D22)*(PptoSty[Site]=$F22)*(PptoSty[PiRow]=_xlfn.TEXTAFTER($H22,":"))*(PptoSty[PiColumn]=L$54),0)))</f>
        <v>0</v>
      </c>
      <c r="M22" s="197" cm="1">
        <f t="array" ref="M22">IF(OR($B22="",$B22="X",$D22="",$D22="X",$E22="",$E22="X",$F22="",$F22="X",$G22="",$G22="X",$H22="",$H22="X"),0,SUM(_xlfn._xlws.FILTER(VALUE(PptoSty[Sign]&amp;"1")*1/PptoSty[Division],(PptoSty[Division]&lt;&gt;0)*(PptoSty[Division]&lt;&gt;"")*(PptoSty[Division]&lt;&gt;"X")*(PptoSty[Project]=$B22)*(PptoSty[Vrs]=$D22)*(PptoSty[Site]=$F22)*(PptoSty[PiRow]=_xlfn.TEXTAFTER($H22,":"))*(PptoSty[PiColumn]=M$54),0)))</f>
        <v>0</v>
      </c>
      <c r="N22" s="197" cm="1">
        <f t="array" ref="N22">IF(OR($B22="",$B22="X",$D22="",$D22="X",$E22="",$E22="X",$F22="",$F22="X",$G22="",$G22="X",$H22="",$H22="X"),0,SUM(_xlfn._xlws.FILTER(VALUE(PptoSty[Sign]&amp;"1")*1/PptoSty[Division],(PptoSty[Division]&lt;&gt;0)*(PptoSty[Division]&lt;&gt;"")*(PptoSty[Division]&lt;&gt;"X")*(PptoSty[Project]=$B22)*(PptoSty[Vrs]=$D22)*(PptoSty[Site]=$F22)*(PptoSty[PiRow]=_xlfn.TEXTAFTER($H22,":"))*(PptoSty[PiColumn]=N$54),0)))</f>
        <v>0</v>
      </c>
      <c r="O22" s="197" cm="1">
        <f t="array" ref="O22">IF(OR($B22="",$B22="X",$D22="",$D22="X",$E22="",$E22="X",$F22="",$F22="X",$G22="",$G22="X",$H22="",$H22="X"),0,SUM(_xlfn._xlws.FILTER(VALUE(PptoSty[Sign]&amp;"1")*1/PptoSty[Division],(PptoSty[Division]&lt;&gt;0)*(PptoSty[Division]&lt;&gt;"")*(PptoSty[Division]&lt;&gt;"X")*(PptoSty[Project]=$B22)*(PptoSty[Vrs]=$D22)*(PptoSty[Site]=$F22)*(PptoSty[PiRow]=_xlfn.TEXTAFTER($H22,":"))*(PptoSty[PiColumn]=O$54),0)))</f>
        <v>0</v>
      </c>
      <c r="P22" s="197" cm="1">
        <f t="array" ref="P22">IF(OR($B22="",$B22="X",$D22="",$D22="X",$E22="",$E22="X",$F22="",$F22="X",$G22="",$G22="X",$H22="",$H22="X"),0,SUM(_xlfn._xlws.FILTER(VALUE(PptoSty[Sign]&amp;"1")*1/PptoSty[Division],(PptoSty[Division]&lt;&gt;0)*(PptoSty[Division]&lt;&gt;"")*(PptoSty[Division]&lt;&gt;"X")*(PptoSty[Project]=$B22)*(PptoSty[Vrs]=$D22)*(PptoSty[Site]=$F22)*(PptoSty[PiRow]=_xlfn.TEXTAFTER($H22,":"))*(PptoSty[PiColumn]=P$54),0)))</f>
        <v>0</v>
      </c>
      <c r="Q22" s="197" cm="1">
        <f t="array" ref="Q22">IF(OR($B22="",$B22="X",$D22="",$D22="X",$E22="",$E22="X",$F22="",$F22="X",$G22="",$G22="X",$H22="",$H22="X"),0,SUM(_xlfn._xlws.FILTER(VALUE(PptoSty[Sign]&amp;"1")*1/PptoSty[Division],(PptoSty[Division]&lt;&gt;0)*(PptoSty[Division]&lt;&gt;"")*(PptoSty[Division]&lt;&gt;"X")*(PptoSty[Project]=$B22)*(PptoSty[Vrs]=$D22)*(PptoSty[Site]=$F22)*(PptoSty[PiRow]=_xlfn.TEXTAFTER($H22,":"))*(PptoSty[PiColumn]=Q$54),0)))</f>
        <v>0</v>
      </c>
      <c r="R22" s="197" cm="1">
        <f t="array" ref="R22">IF(OR($B22="",$B22="X",$D22="",$D22="X",$E22="",$E22="X",$F22="",$F22="X",$G22="",$G22="X",$H22="",$H22="X"),0,SUM(_xlfn._xlws.FILTER(VALUE(PptoSty[Sign]&amp;"1")*1/PptoSty[Division],(PptoSty[Division]&lt;&gt;0)*(PptoSty[Division]&lt;&gt;"")*(PptoSty[Division]&lt;&gt;"X")*(PptoSty[Project]=$B22)*(PptoSty[Vrs]=$D22)*(PptoSty[Site]=$F22)*(PptoSty[PiRow]=_xlfn.TEXTAFTER($H22,":"))*(PptoSty[PiColumn]=R$54),0)))</f>
        <v>0</v>
      </c>
      <c r="S22" s="197" cm="1">
        <f t="array" ref="S22">IF(OR($B22="",$B22="X",$D22="",$D22="X",$E22="",$E22="X",$F22="",$F22="X",$G22="",$G22="X",$H22="",$H22="X"),0,SUM(_xlfn._xlws.FILTER(VALUE(PptoSty[Sign]&amp;"1")*1/PptoSty[Division],(PptoSty[Division]&lt;&gt;0)*(PptoSty[Division]&lt;&gt;"")*(PptoSty[Division]&lt;&gt;"X")*(PptoSty[Project]=$B22)*(PptoSty[Vrs]=$D22)*(PptoSty[Site]=$F22)*(PptoSty[PiRow]=_xlfn.TEXTAFTER($H22,":"))*(PptoSty[PiColumn]=S$54),0)))</f>
        <v>0</v>
      </c>
      <c r="T22" s="197" cm="1">
        <f t="array" ref="T22">IF(OR($B22="",$B22="X",$D22="",$D22="X",$E22="",$E22="X",$F22="",$F22="X",$G22="",$G22="X",$H22="",$H22="X"),0,SUM(_xlfn._xlws.FILTER(VALUE(PptoSty[Sign]&amp;"1")*1/PptoSty[Division],(PptoSty[Division]&lt;&gt;0)*(PptoSty[Division]&lt;&gt;"")*(PptoSty[Division]&lt;&gt;"X")*(PptoSty[Project]=$B22)*(PptoSty[Vrs]=$D22)*(PptoSty[Site]=$F22)*(PptoSty[PiRow]=_xlfn.TEXTAFTER($H22,":"))*(PptoSty[PiColumn]=T$54),0)))</f>
        <v>0</v>
      </c>
      <c r="U22" s="197" cm="1">
        <f t="array" ref="U22">IF(OR($B22="",$B22="X",$D22="",$D22="X",$E22="",$E22="X",$F22="",$F22="X",$G22="",$G22="X",$H22="",$H22="X"),0,SUM(_xlfn._xlws.FILTER(VALUE(PptoSty[Sign]&amp;"1")*1/PptoSty[Division],(PptoSty[Division]&lt;&gt;0)*(PptoSty[Division]&lt;&gt;"")*(PptoSty[Division]&lt;&gt;"X")*(PptoSty[Project]=$B22)*(PptoSty[Vrs]=$D22)*(PptoSty[Site]=$F22)*(PptoSty[PiRow]=_xlfn.TEXTAFTER($H22,":"))*(PptoSty[PiColumn]=U$54),0)))</f>
        <v>0</v>
      </c>
      <c r="V22" s="197" cm="1">
        <f t="array" ref="V22">IF(OR($B22="",$B22="X",$D22="",$D22="X",$E22="",$E22="X",$F22="",$F22="X",$G22="",$G22="X",$H22="",$H22="X"),0,SUM(_xlfn._xlws.FILTER(VALUE(PptoSty[Sign]&amp;"1")*1/PptoSty[Division],(PptoSty[Division]&lt;&gt;0)*(PptoSty[Division]&lt;&gt;"")*(PptoSty[Division]&lt;&gt;"X")*(PptoSty[Project]=$B22)*(PptoSty[Vrs]=$D22)*(PptoSty[Site]=$F22)*(PptoSty[PiRow]=_xlfn.TEXTAFTER($H22,":"))*(PptoSty[PiColumn]=V$54),0)))</f>
        <v>0</v>
      </c>
      <c r="W22" s="197" cm="1">
        <f t="array" ref="W22">IF(OR($B22="",$B22="X",$D22="",$D22="X",$E22="",$E22="X",$F22="",$F22="X",$G22="",$G22="X",$H22="",$H22="X"),0,SUM(_xlfn._xlws.FILTER(VALUE(PptoSty[Sign]&amp;"1")*1/PptoSty[Division],(PptoSty[Division]&lt;&gt;0)*(PptoSty[Division]&lt;&gt;"")*(PptoSty[Division]&lt;&gt;"X")*(PptoSty[Project]=$B22)*(PptoSty[Vrs]=$D22)*(PptoSty[Site]=$F22)*(PptoSty[PiRow]=_xlfn.TEXTAFTER($H22,":"))*(PptoSty[PiColumn]=W$54),0)))</f>
        <v>0</v>
      </c>
      <c r="X22" s="197" cm="1">
        <f t="array" ref="X22">IF(OR($B22="",$B22="X",$D22="",$D22="X",$E22="",$E22="X",$F22="",$F22="X",$G22="",$G22="X",$H22="",$H22="X"),0,SUM(_xlfn._xlws.FILTER(VALUE(PptoSty[Sign]&amp;"1")*1/PptoSty[Division],(PptoSty[Division]&lt;&gt;0)*(PptoSty[Division]&lt;&gt;"")*(PptoSty[Division]&lt;&gt;"X")*(PptoSty[Project]=$B22)*(PptoSty[Vrs]=$D22)*(PptoSty[Site]=$F22)*(PptoSty[PiRow]=_xlfn.TEXTAFTER($H22,":"))*(PptoSty[PiColumn]=X$54),0)))</f>
        <v>0</v>
      </c>
      <c r="Y22" s="197" cm="1">
        <f t="array" ref="Y22">IF(OR($B22="",$B22="X",$D22="",$D22="X",$E22="",$E22="X",$F22="",$F22="X",$G22="",$G22="X",$H22="",$H22="X"),0,SUM(_xlfn._xlws.FILTER(VALUE(PptoSty[Sign]&amp;"1")*1/PptoSty[Division],(PptoSty[Division]&lt;&gt;0)*(PptoSty[Division]&lt;&gt;"")*(PptoSty[Division]&lt;&gt;"X")*(PptoSty[Project]=$B22)*(PptoSty[Vrs]=$D22)*(PptoSty[Site]=$F22)*(PptoSty[PiRow]=_xlfn.TEXTAFTER($H22,":"))*(PptoSty[PiColumn]=Y$54),0)))</f>
        <v>0</v>
      </c>
    </row>
    <row r="23" spans="1:26" s="33" customFormat="1" ht="17.25" customHeight="1" outlineLevel="1">
      <c r="A23" s="123"/>
      <c r="B23" s="140" t="str">
        <v>31199</v>
      </c>
      <c r="C23" s="128" t="str">
        <v>Sp</v>
      </c>
      <c r="D23" s="128">
        <v>0</v>
      </c>
      <c r="E23" s="128" t="str">
        <v>TOTS</v>
      </c>
      <c r="F23" s="139" t="str">
        <v>SERRA</v>
      </c>
      <c r="G23" s="139" t="str">
        <v>CurPpto</v>
      </c>
      <c r="H23" s="139" t="str">
        <v>X100:SUBGROUP TOTS</v>
      </c>
      <c r="I23" s="197" cm="1">
        <f t="array" ref="I23">IF(OR($B23="",$B23="X",$D23="",$D23="X",$E23="",$E23="X",$F23="",$F23="X",$G23="",$G23="X",$H23="",$H23="X"),0,SUM(_xlfn._xlws.FILTER(VALUE(PptoSty[Sign]&amp;"1")*1/PptoSty[Division],(PptoSty[Division]&lt;&gt;0)*(PptoSty[Division]&lt;&gt;"")*(PptoSty[Division]&lt;&gt;"X")*(PptoSty[Project]=$B23)*(PptoSty[Vrs]=$D23)*(PptoSty[Site]=$F23)*(PptoSty[PiRow]=_xlfn.TEXTAFTER($H23,":"))*(PptoSty[PiColumn]=I$54),0)))</f>
        <v>0</v>
      </c>
      <c r="J23" s="197" cm="1">
        <f t="array" ref="J23">IF(OR($B23="",$B23="X",$D23="",$D23="X",$E23="",$E23="X",$F23="",$F23="X",$G23="",$G23="X",$H23="",$H23="X"),0,SUM(_xlfn._xlws.FILTER(VALUE(PptoSty[Sign]&amp;"1")*1/PptoSty[Division],(PptoSty[Division]&lt;&gt;0)*(PptoSty[Division]&lt;&gt;"")*(PptoSty[Division]&lt;&gt;"X")*(PptoSty[Project]=$B23)*(PptoSty[Vrs]=$D23)*(PptoSty[Site]=$F23)*(PptoSty[PiRow]=_xlfn.TEXTAFTER($H23,":"))*(PptoSty[PiColumn]=J$54),0)))</f>
        <v>0</v>
      </c>
      <c r="K23" s="197" cm="1">
        <f t="array" ref="K23">IF(OR($B23="",$B23="X",$D23="",$D23="X",$E23="",$E23="X",$F23="",$F23="X",$G23="",$G23="X",$H23="",$H23="X"),0,SUM(_xlfn._xlws.FILTER(VALUE(PptoSty[Sign]&amp;"1")*1/PptoSty[Division],(PptoSty[Division]&lt;&gt;0)*(PptoSty[Division]&lt;&gt;"")*(PptoSty[Division]&lt;&gt;"X")*(PptoSty[Project]=$B23)*(PptoSty[Vrs]=$D23)*(PptoSty[Site]=$F23)*(PptoSty[PiRow]=_xlfn.TEXTAFTER($H23,":"))*(PptoSty[PiColumn]=K$54),0)))</f>
        <v>0</v>
      </c>
      <c r="L23" s="197" cm="1">
        <f t="array" ref="L23">IF(OR($B23="",$B23="X",$D23="",$D23="X",$E23="",$E23="X",$F23="",$F23="X",$G23="",$G23="X",$H23="",$H23="X"),0,SUM(_xlfn._xlws.FILTER(VALUE(PptoSty[Sign]&amp;"1")*1/PptoSty[Division],(PptoSty[Division]&lt;&gt;0)*(PptoSty[Division]&lt;&gt;"")*(PptoSty[Division]&lt;&gt;"X")*(PptoSty[Project]=$B23)*(PptoSty[Vrs]=$D23)*(PptoSty[Site]=$F23)*(PptoSty[PiRow]=_xlfn.TEXTAFTER($H23,":"))*(PptoSty[PiColumn]=L$54),0)))</f>
        <v>0</v>
      </c>
      <c r="M23" s="197" cm="1">
        <f t="array" ref="M23">IF(OR($B23="",$B23="X",$D23="",$D23="X",$E23="",$E23="X",$F23="",$F23="X",$G23="",$G23="X",$H23="",$H23="X"),0,SUM(_xlfn._xlws.FILTER(VALUE(PptoSty[Sign]&amp;"1")*1/PptoSty[Division],(PptoSty[Division]&lt;&gt;0)*(PptoSty[Division]&lt;&gt;"")*(PptoSty[Division]&lt;&gt;"X")*(PptoSty[Project]=$B23)*(PptoSty[Vrs]=$D23)*(PptoSty[Site]=$F23)*(PptoSty[PiRow]=_xlfn.TEXTAFTER($H23,":"))*(PptoSty[PiColumn]=M$54),0)))</f>
        <v>0</v>
      </c>
      <c r="N23" s="197" cm="1">
        <f t="array" ref="N23">IF(OR($B23="",$B23="X",$D23="",$D23="X",$E23="",$E23="X",$F23="",$F23="X",$G23="",$G23="X",$H23="",$H23="X"),0,SUM(_xlfn._xlws.FILTER(VALUE(PptoSty[Sign]&amp;"1")*1/PptoSty[Division],(PptoSty[Division]&lt;&gt;0)*(PptoSty[Division]&lt;&gt;"")*(PptoSty[Division]&lt;&gt;"X")*(PptoSty[Project]=$B23)*(PptoSty[Vrs]=$D23)*(PptoSty[Site]=$F23)*(PptoSty[PiRow]=_xlfn.TEXTAFTER($H23,":"))*(PptoSty[PiColumn]=N$54),0)))</f>
        <v>1</v>
      </c>
      <c r="O23" s="197" cm="1">
        <f t="array" ref="O23">IF(OR($B23="",$B23="X",$D23="",$D23="X",$E23="",$E23="X",$F23="",$F23="X",$G23="",$G23="X",$H23="",$H23="X"),0,SUM(_xlfn._xlws.FILTER(VALUE(PptoSty[Sign]&amp;"1")*1/PptoSty[Division],(PptoSty[Division]&lt;&gt;0)*(PptoSty[Division]&lt;&gt;"")*(PptoSty[Division]&lt;&gt;"X")*(PptoSty[Project]=$B23)*(PptoSty[Vrs]=$D23)*(PptoSty[Site]=$F23)*(PptoSty[PiRow]=_xlfn.TEXTAFTER($H23,":"))*(PptoSty[PiColumn]=O$54),0)))</f>
        <v>0</v>
      </c>
      <c r="P23" s="197" cm="1">
        <f t="array" ref="P23">IF(OR($B23="",$B23="X",$D23="",$D23="X",$E23="",$E23="X",$F23="",$F23="X",$G23="",$G23="X",$H23="",$H23="X"),0,SUM(_xlfn._xlws.FILTER(VALUE(PptoSty[Sign]&amp;"1")*1/PptoSty[Division],(PptoSty[Division]&lt;&gt;0)*(PptoSty[Division]&lt;&gt;"")*(PptoSty[Division]&lt;&gt;"X")*(PptoSty[Project]=$B23)*(PptoSty[Vrs]=$D23)*(PptoSty[Site]=$F23)*(PptoSty[PiRow]=_xlfn.TEXTAFTER($H23,":"))*(PptoSty[PiColumn]=P$54),0)))</f>
        <v>0</v>
      </c>
      <c r="Q23" s="197" cm="1">
        <f t="array" ref="Q23">IF(OR($B23="",$B23="X",$D23="",$D23="X",$E23="",$E23="X",$F23="",$F23="X",$G23="",$G23="X",$H23="",$H23="X"),0,SUM(_xlfn._xlws.FILTER(VALUE(PptoSty[Sign]&amp;"1")*1/PptoSty[Division],(PptoSty[Division]&lt;&gt;0)*(PptoSty[Division]&lt;&gt;"")*(PptoSty[Division]&lt;&gt;"X")*(PptoSty[Project]=$B23)*(PptoSty[Vrs]=$D23)*(PptoSty[Site]=$F23)*(PptoSty[PiRow]=_xlfn.TEXTAFTER($H23,":"))*(PptoSty[PiColumn]=Q$54),0)))</f>
        <v>0</v>
      </c>
      <c r="R23" s="197" cm="1">
        <f t="array" ref="R23">IF(OR($B23="",$B23="X",$D23="",$D23="X",$E23="",$E23="X",$F23="",$F23="X",$G23="",$G23="X",$H23="",$H23="X"),0,SUM(_xlfn._xlws.FILTER(VALUE(PptoSty[Sign]&amp;"1")*1/PptoSty[Division],(PptoSty[Division]&lt;&gt;0)*(PptoSty[Division]&lt;&gt;"")*(PptoSty[Division]&lt;&gt;"X")*(PptoSty[Project]=$B23)*(PptoSty[Vrs]=$D23)*(PptoSty[Site]=$F23)*(PptoSty[PiRow]=_xlfn.TEXTAFTER($H23,":"))*(PptoSty[PiColumn]=R$54),0)))</f>
        <v>0</v>
      </c>
      <c r="S23" s="197" cm="1">
        <f t="array" ref="S23">IF(OR($B23="",$B23="X",$D23="",$D23="X",$E23="",$E23="X",$F23="",$F23="X",$G23="",$G23="X",$H23="",$H23="X"),0,SUM(_xlfn._xlws.FILTER(VALUE(PptoSty[Sign]&amp;"1")*1/PptoSty[Division],(PptoSty[Division]&lt;&gt;0)*(PptoSty[Division]&lt;&gt;"")*(PptoSty[Division]&lt;&gt;"X")*(PptoSty[Project]=$B23)*(PptoSty[Vrs]=$D23)*(PptoSty[Site]=$F23)*(PptoSty[PiRow]=_xlfn.TEXTAFTER($H23,":"))*(PptoSty[PiColumn]=S$54),0)))</f>
        <v>0</v>
      </c>
      <c r="T23" s="197" cm="1">
        <f t="array" ref="T23">IF(OR($B23="",$B23="X",$D23="",$D23="X",$E23="",$E23="X",$F23="",$F23="X",$G23="",$G23="X",$H23="",$H23="X"),0,SUM(_xlfn._xlws.FILTER(VALUE(PptoSty[Sign]&amp;"1")*1/PptoSty[Division],(PptoSty[Division]&lt;&gt;0)*(PptoSty[Division]&lt;&gt;"")*(PptoSty[Division]&lt;&gt;"X")*(PptoSty[Project]=$B23)*(PptoSty[Vrs]=$D23)*(PptoSty[Site]=$F23)*(PptoSty[PiRow]=_xlfn.TEXTAFTER($H23,":"))*(PptoSty[PiColumn]=T$54),0)))</f>
        <v>0</v>
      </c>
      <c r="U23" s="197" cm="1">
        <f t="array" ref="U23">IF(OR($B23="",$B23="X",$D23="",$D23="X",$E23="",$E23="X",$F23="",$F23="X",$G23="",$G23="X",$H23="",$H23="X"),0,SUM(_xlfn._xlws.FILTER(VALUE(PptoSty[Sign]&amp;"1")*1/PptoSty[Division],(PptoSty[Division]&lt;&gt;0)*(PptoSty[Division]&lt;&gt;"")*(PptoSty[Division]&lt;&gt;"X")*(PptoSty[Project]=$B23)*(PptoSty[Vrs]=$D23)*(PptoSty[Site]=$F23)*(PptoSty[PiRow]=_xlfn.TEXTAFTER($H23,":"))*(PptoSty[PiColumn]=U$54),0)))</f>
        <v>0</v>
      </c>
      <c r="V23" s="197" cm="1">
        <f t="array" ref="V23">IF(OR($B23="",$B23="X",$D23="",$D23="X",$E23="",$E23="X",$F23="",$F23="X",$G23="",$G23="X",$H23="",$H23="X"),0,SUM(_xlfn._xlws.FILTER(VALUE(PptoSty[Sign]&amp;"1")*1/PptoSty[Division],(PptoSty[Division]&lt;&gt;0)*(PptoSty[Division]&lt;&gt;"")*(PptoSty[Division]&lt;&gt;"X")*(PptoSty[Project]=$B23)*(PptoSty[Vrs]=$D23)*(PptoSty[Site]=$F23)*(PptoSty[PiRow]=_xlfn.TEXTAFTER($H23,":"))*(PptoSty[PiColumn]=V$54),0)))</f>
        <v>0</v>
      </c>
      <c r="W23" s="197" cm="1">
        <f t="array" ref="W23">IF(OR($B23="",$B23="X",$D23="",$D23="X",$E23="",$E23="X",$F23="",$F23="X",$G23="",$G23="X",$H23="",$H23="X"),0,SUM(_xlfn._xlws.FILTER(VALUE(PptoSty[Sign]&amp;"1")*1/PptoSty[Division],(PptoSty[Division]&lt;&gt;0)*(PptoSty[Division]&lt;&gt;"")*(PptoSty[Division]&lt;&gt;"X")*(PptoSty[Project]=$B23)*(PptoSty[Vrs]=$D23)*(PptoSty[Site]=$F23)*(PptoSty[PiRow]=_xlfn.TEXTAFTER($H23,":"))*(PptoSty[PiColumn]=W$54),0)))</f>
        <v>0</v>
      </c>
      <c r="X23" s="197" cm="1">
        <f t="array" ref="X23">IF(OR($B23="",$B23="X",$D23="",$D23="X",$E23="",$E23="X",$F23="",$F23="X",$G23="",$G23="X",$H23="",$H23="X"),0,SUM(_xlfn._xlws.FILTER(VALUE(PptoSty[Sign]&amp;"1")*1/PptoSty[Division],(PptoSty[Division]&lt;&gt;0)*(PptoSty[Division]&lt;&gt;"")*(PptoSty[Division]&lt;&gt;"X")*(PptoSty[Project]=$B23)*(PptoSty[Vrs]=$D23)*(PptoSty[Site]=$F23)*(PptoSty[PiRow]=_xlfn.TEXTAFTER($H23,":"))*(PptoSty[PiColumn]=X$54),0)))</f>
        <v>0</v>
      </c>
      <c r="Y23" s="197" cm="1">
        <f t="array" ref="Y23">IF(OR($B23="",$B23="X",$D23="",$D23="X",$E23="",$E23="X",$F23="",$F23="X",$G23="",$G23="X",$H23="",$H23="X"),0,SUM(_xlfn._xlws.FILTER(VALUE(PptoSty[Sign]&amp;"1")*1/PptoSty[Division],(PptoSty[Division]&lt;&gt;0)*(PptoSty[Division]&lt;&gt;"")*(PptoSty[Division]&lt;&gt;"X")*(PptoSty[Project]=$B23)*(PptoSty[Vrs]=$D23)*(PptoSty[Site]=$F23)*(PptoSty[PiRow]=_xlfn.TEXTAFTER($H23,":"))*(PptoSty[PiColumn]=Y$54),0)))</f>
        <v>0</v>
      </c>
    </row>
    <row r="24" spans="1:26" s="33" customFormat="1" ht="17.25" customHeight="1" outlineLevel="1">
      <c r="A24" s="123"/>
      <c r="B24" s="140" t="str">
        <v>31200</v>
      </c>
      <c r="C24" s="128" t="str">
        <v>Sp</v>
      </c>
      <c r="D24" s="128">
        <v>15</v>
      </c>
      <c r="E24" s="128" t="str">
        <v>TOTS</v>
      </c>
      <c r="F24" s="139" t="str">
        <v>SERRA</v>
      </c>
      <c r="G24" s="139" t="str">
        <v>CurPpto</v>
      </c>
      <c r="H24" s="139" t="str">
        <v>X100:SUBGROUP TOTS</v>
      </c>
      <c r="I24" s="197" cm="1">
        <f t="array" ref="I24">IF(OR($B24="",$B24="X",$D24="",$D24="X",$E24="",$E24="X",$F24="",$F24="X",$G24="",$G24="X",$H24="",$H24="X"),0,SUM(_xlfn._xlws.FILTER(VALUE(PptoSty[Sign]&amp;"1")*1/PptoSty[Division],(PptoSty[Division]&lt;&gt;0)*(PptoSty[Division]&lt;&gt;"")*(PptoSty[Division]&lt;&gt;"X")*(PptoSty[Project]=$B24)*(PptoSty[Vrs]=$D24)*(PptoSty[Site]=$F24)*(PptoSty[PiRow]=_xlfn.TEXTAFTER($H24,":"))*(PptoSty[PiColumn]=I$54),0)))</f>
        <v>0</v>
      </c>
      <c r="J24" s="197" cm="1">
        <f t="array" ref="J24">IF(OR($B24="",$B24="X",$D24="",$D24="X",$E24="",$E24="X",$F24="",$F24="X",$G24="",$G24="X",$H24="",$H24="X"),0,SUM(_xlfn._xlws.FILTER(VALUE(PptoSty[Sign]&amp;"1")*1/PptoSty[Division],(PptoSty[Division]&lt;&gt;0)*(PptoSty[Division]&lt;&gt;"")*(PptoSty[Division]&lt;&gt;"X")*(PptoSty[Project]=$B24)*(PptoSty[Vrs]=$D24)*(PptoSty[Site]=$F24)*(PptoSty[PiRow]=_xlfn.TEXTAFTER($H24,":"))*(PptoSty[PiColumn]=J$54),0)))</f>
        <v>0</v>
      </c>
      <c r="K24" s="197" cm="1">
        <f t="array" ref="K24">IF(OR($B24="",$B24="X",$D24="",$D24="X",$E24="",$E24="X",$F24="",$F24="X",$G24="",$G24="X",$H24="",$H24="X"),0,SUM(_xlfn._xlws.FILTER(VALUE(PptoSty[Sign]&amp;"1")*1/PptoSty[Division],(PptoSty[Division]&lt;&gt;0)*(PptoSty[Division]&lt;&gt;"")*(PptoSty[Division]&lt;&gt;"X")*(PptoSty[Project]=$B24)*(PptoSty[Vrs]=$D24)*(PptoSty[Site]=$F24)*(PptoSty[PiRow]=_xlfn.TEXTAFTER($H24,":"))*(PptoSty[PiColumn]=K$54),0)))</f>
        <v>0</v>
      </c>
      <c r="L24" s="197" cm="1">
        <f t="array" ref="L24">IF(OR($B24="",$B24="X",$D24="",$D24="X",$E24="",$E24="X",$F24="",$F24="X",$G24="",$G24="X",$H24="",$H24="X"),0,SUM(_xlfn._xlws.FILTER(VALUE(PptoSty[Sign]&amp;"1")*1/PptoSty[Division],(PptoSty[Division]&lt;&gt;0)*(PptoSty[Division]&lt;&gt;"")*(PptoSty[Division]&lt;&gt;"X")*(PptoSty[Project]=$B24)*(PptoSty[Vrs]=$D24)*(PptoSty[Site]=$F24)*(PptoSty[PiRow]=_xlfn.TEXTAFTER($H24,":"))*(PptoSty[PiColumn]=L$54),0)))</f>
        <v>0</v>
      </c>
      <c r="M24" s="197" cm="1">
        <f t="array" ref="M24">IF(OR($B24="",$B24="X",$D24="",$D24="X",$E24="",$E24="X",$F24="",$F24="X",$G24="",$G24="X",$H24="",$H24="X"),0,SUM(_xlfn._xlws.FILTER(VALUE(PptoSty[Sign]&amp;"1")*1/PptoSty[Division],(PptoSty[Division]&lt;&gt;0)*(PptoSty[Division]&lt;&gt;"")*(PptoSty[Division]&lt;&gt;"X")*(PptoSty[Project]=$B24)*(PptoSty[Vrs]=$D24)*(PptoSty[Site]=$F24)*(PptoSty[PiRow]=_xlfn.TEXTAFTER($H24,":"))*(PptoSty[PiColumn]=M$54),0)))</f>
        <v>0</v>
      </c>
      <c r="N24" s="197" cm="1">
        <f t="array" ref="N24">IF(OR($B24="",$B24="X",$D24="",$D24="X",$E24="",$E24="X",$F24="",$F24="X",$G24="",$G24="X",$H24="",$H24="X"),0,SUM(_xlfn._xlws.FILTER(VALUE(PptoSty[Sign]&amp;"1")*1/PptoSty[Division],(PptoSty[Division]&lt;&gt;0)*(PptoSty[Division]&lt;&gt;"")*(PptoSty[Division]&lt;&gt;"X")*(PptoSty[Project]=$B24)*(PptoSty[Vrs]=$D24)*(PptoSty[Site]=$F24)*(PptoSty[PiRow]=_xlfn.TEXTAFTER($H24,":"))*(PptoSty[PiColumn]=N$54),0)))</f>
        <v>1</v>
      </c>
      <c r="O24" s="197" cm="1">
        <f t="array" ref="O24">IF(OR($B24="",$B24="X",$D24="",$D24="X",$E24="",$E24="X",$F24="",$F24="X",$G24="",$G24="X",$H24="",$H24="X"),0,SUM(_xlfn._xlws.FILTER(VALUE(PptoSty[Sign]&amp;"1")*1/PptoSty[Division],(PptoSty[Division]&lt;&gt;0)*(PptoSty[Division]&lt;&gt;"")*(PptoSty[Division]&lt;&gt;"X")*(PptoSty[Project]=$B24)*(PptoSty[Vrs]=$D24)*(PptoSty[Site]=$F24)*(PptoSty[PiRow]=_xlfn.TEXTAFTER($H24,":"))*(PptoSty[PiColumn]=O$54),0)))</f>
        <v>0</v>
      </c>
      <c r="P24" s="197" cm="1">
        <f t="array" ref="P24">IF(OR($B24="",$B24="X",$D24="",$D24="X",$E24="",$E24="X",$F24="",$F24="X",$G24="",$G24="X",$H24="",$H24="X"),0,SUM(_xlfn._xlws.FILTER(VALUE(PptoSty[Sign]&amp;"1")*1/PptoSty[Division],(PptoSty[Division]&lt;&gt;0)*(PptoSty[Division]&lt;&gt;"")*(PptoSty[Division]&lt;&gt;"X")*(PptoSty[Project]=$B24)*(PptoSty[Vrs]=$D24)*(PptoSty[Site]=$F24)*(PptoSty[PiRow]=_xlfn.TEXTAFTER($H24,":"))*(PptoSty[PiColumn]=P$54),0)))</f>
        <v>0</v>
      </c>
      <c r="Q24" s="197" cm="1">
        <f t="array" ref="Q24">IF(OR($B24="",$B24="X",$D24="",$D24="X",$E24="",$E24="X",$F24="",$F24="X",$G24="",$G24="X",$H24="",$H24="X"),0,SUM(_xlfn._xlws.FILTER(VALUE(PptoSty[Sign]&amp;"1")*1/PptoSty[Division],(PptoSty[Division]&lt;&gt;0)*(PptoSty[Division]&lt;&gt;"")*(PptoSty[Division]&lt;&gt;"X")*(PptoSty[Project]=$B24)*(PptoSty[Vrs]=$D24)*(PptoSty[Site]=$F24)*(PptoSty[PiRow]=_xlfn.TEXTAFTER($H24,":"))*(PptoSty[PiColumn]=Q$54),0)))</f>
        <v>0</v>
      </c>
      <c r="R24" s="197" cm="1">
        <f t="array" ref="R24">IF(OR($B24="",$B24="X",$D24="",$D24="X",$E24="",$E24="X",$F24="",$F24="X",$G24="",$G24="X",$H24="",$H24="X"),0,SUM(_xlfn._xlws.FILTER(VALUE(PptoSty[Sign]&amp;"1")*1/PptoSty[Division],(PptoSty[Division]&lt;&gt;0)*(PptoSty[Division]&lt;&gt;"")*(PptoSty[Division]&lt;&gt;"X")*(PptoSty[Project]=$B24)*(PptoSty[Vrs]=$D24)*(PptoSty[Site]=$F24)*(PptoSty[PiRow]=_xlfn.TEXTAFTER($H24,":"))*(PptoSty[PiColumn]=R$54),0)))</f>
        <v>0</v>
      </c>
      <c r="S24" s="197" cm="1">
        <f t="array" ref="S24">IF(OR($B24="",$B24="X",$D24="",$D24="X",$E24="",$E24="X",$F24="",$F24="X",$G24="",$G24="X",$H24="",$H24="X"),0,SUM(_xlfn._xlws.FILTER(VALUE(PptoSty[Sign]&amp;"1")*1/PptoSty[Division],(PptoSty[Division]&lt;&gt;0)*(PptoSty[Division]&lt;&gt;"")*(PptoSty[Division]&lt;&gt;"X")*(PptoSty[Project]=$B24)*(PptoSty[Vrs]=$D24)*(PptoSty[Site]=$F24)*(PptoSty[PiRow]=_xlfn.TEXTAFTER($H24,":"))*(PptoSty[PiColumn]=S$54),0)))</f>
        <v>0</v>
      </c>
      <c r="T24" s="197" cm="1">
        <f t="array" ref="T24">IF(OR($B24="",$B24="X",$D24="",$D24="X",$E24="",$E24="X",$F24="",$F24="X",$G24="",$G24="X",$H24="",$H24="X"),0,SUM(_xlfn._xlws.FILTER(VALUE(PptoSty[Sign]&amp;"1")*1/PptoSty[Division],(PptoSty[Division]&lt;&gt;0)*(PptoSty[Division]&lt;&gt;"")*(PptoSty[Division]&lt;&gt;"X")*(PptoSty[Project]=$B24)*(PptoSty[Vrs]=$D24)*(PptoSty[Site]=$F24)*(PptoSty[PiRow]=_xlfn.TEXTAFTER($H24,":"))*(PptoSty[PiColumn]=T$54),0)))</f>
        <v>0</v>
      </c>
      <c r="U24" s="197" cm="1">
        <f t="array" ref="U24">IF(OR($B24="",$B24="X",$D24="",$D24="X",$E24="",$E24="X",$F24="",$F24="X",$G24="",$G24="X",$H24="",$H24="X"),0,SUM(_xlfn._xlws.FILTER(VALUE(PptoSty[Sign]&amp;"1")*1/PptoSty[Division],(PptoSty[Division]&lt;&gt;0)*(PptoSty[Division]&lt;&gt;"")*(PptoSty[Division]&lt;&gt;"X")*(PptoSty[Project]=$B24)*(PptoSty[Vrs]=$D24)*(PptoSty[Site]=$F24)*(PptoSty[PiRow]=_xlfn.TEXTAFTER($H24,":"))*(PptoSty[PiColumn]=U$54),0)))</f>
        <v>0</v>
      </c>
      <c r="V24" s="197" cm="1">
        <f t="array" ref="V24">IF(OR($B24="",$B24="X",$D24="",$D24="X",$E24="",$E24="X",$F24="",$F24="X",$G24="",$G24="X",$H24="",$H24="X"),0,SUM(_xlfn._xlws.FILTER(VALUE(PptoSty[Sign]&amp;"1")*1/PptoSty[Division],(PptoSty[Division]&lt;&gt;0)*(PptoSty[Division]&lt;&gt;"")*(PptoSty[Division]&lt;&gt;"X")*(PptoSty[Project]=$B24)*(PptoSty[Vrs]=$D24)*(PptoSty[Site]=$F24)*(PptoSty[PiRow]=_xlfn.TEXTAFTER($H24,":"))*(PptoSty[PiColumn]=V$54),0)))</f>
        <v>0</v>
      </c>
      <c r="W24" s="197" cm="1">
        <f t="array" ref="W24">IF(OR($B24="",$B24="X",$D24="",$D24="X",$E24="",$E24="X",$F24="",$F24="X",$G24="",$G24="X",$H24="",$H24="X"),0,SUM(_xlfn._xlws.FILTER(VALUE(PptoSty[Sign]&amp;"1")*1/PptoSty[Division],(PptoSty[Division]&lt;&gt;0)*(PptoSty[Division]&lt;&gt;"")*(PptoSty[Division]&lt;&gt;"X")*(PptoSty[Project]=$B24)*(PptoSty[Vrs]=$D24)*(PptoSty[Site]=$F24)*(PptoSty[PiRow]=_xlfn.TEXTAFTER($H24,":"))*(PptoSty[PiColumn]=W$54),0)))</f>
        <v>0</v>
      </c>
      <c r="X24" s="197" cm="1">
        <f t="array" ref="X24">IF(OR($B24="",$B24="X",$D24="",$D24="X",$E24="",$E24="X",$F24="",$F24="X",$G24="",$G24="X",$H24="",$H24="X"),0,SUM(_xlfn._xlws.FILTER(VALUE(PptoSty[Sign]&amp;"1")*1/PptoSty[Division],(PptoSty[Division]&lt;&gt;0)*(PptoSty[Division]&lt;&gt;"")*(PptoSty[Division]&lt;&gt;"X")*(PptoSty[Project]=$B24)*(PptoSty[Vrs]=$D24)*(PptoSty[Site]=$F24)*(PptoSty[PiRow]=_xlfn.TEXTAFTER($H24,":"))*(PptoSty[PiColumn]=X$54),0)))</f>
        <v>0</v>
      </c>
      <c r="Y24" s="197" cm="1">
        <f t="array" ref="Y24">IF(OR($B24="",$B24="X",$D24="",$D24="X",$E24="",$E24="X",$F24="",$F24="X",$G24="",$G24="X",$H24="",$H24="X"),0,SUM(_xlfn._xlws.FILTER(VALUE(PptoSty[Sign]&amp;"1")*1/PptoSty[Division],(PptoSty[Division]&lt;&gt;0)*(PptoSty[Division]&lt;&gt;"")*(PptoSty[Division]&lt;&gt;"X")*(PptoSty[Project]=$B24)*(PptoSty[Vrs]=$D24)*(PptoSty[Site]=$F24)*(PptoSty[PiRow]=_xlfn.TEXTAFTER($H24,":"))*(PptoSty[PiColumn]=Y$54),0)))</f>
        <v>0</v>
      </c>
    </row>
    <row r="25" spans="1:26" s="33" customFormat="1" ht="17.25" customHeight="1" outlineLevel="1">
      <c r="A25" s="123"/>
      <c r="B25" s="140" t="str">
        <v>31200</v>
      </c>
      <c r="C25" s="128" t="str">
        <v>Sp</v>
      </c>
      <c r="D25" s="128">
        <v>16</v>
      </c>
      <c r="E25" s="128" t="str">
        <v>TOOL</v>
      </c>
      <c r="F25" s="139" t="str">
        <v>SERRA</v>
      </c>
      <c r="G25" s="139" t="str">
        <v>CurPpto</v>
      </c>
      <c r="H25" s="139" t="str">
        <v>X001:SUBGROUP TOOL</v>
      </c>
      <c r="I25" s="197" cm="1">
        <f t="array" ref="I25">IF(OR($B25="",$B25="X",$D25="",$D25="X",$E25="",$E25="X",$F25="",$F25="X",$G25="",$G25="X",$H25="",$H25="X"),0,SUM(_xlfn._xlws.FILTER(VALUE(PptoSty[Sign]&amp;"1")*1/PptoSty[Division],(PptoSty[Division]&lt;&gt;0)*(PptoSty[Division]&lt;&gt;"")*(PptoSty[Division]&lt;&gt;"X")*(PptoSty[Project]=$B25)*(PptoSty[Vrs]=$D25)*(PptoSty[Site]=$F25)*(PptoSty[PiRow]=_xlfn.TEXTAFTER($H25,":"))*(PptoSty[PiColumn]=I$54),0)))</f>
        <v>0</v>
      </c>
      <c r="J25" s="197" cm="1">
        <f t="array" ref="J25">IF(OR($B25="",$B25="X",$D25="",$D25="X",$E25="",$E25="X",$F25="",$F25="X",$G25="",$G25="X",$H25="",$H25="X"),0,SUM(_xlfn._xlws.FILTER(VALUE(PptoSty[Sign]&amp;"1")*1/PptoSty[Division],(PptoSty[Division]&lt;&gt;0)*(PptoSty[Division]&lt;&gt;"")*(PptoSty[Division]&lt;&gt;"X")*(PptoSty[Project]=$B25)*(PptoSty[Vrs]=$D25)*(PptoSty[Site]=$F25)*(PptoSty[PiRow]=_xlfn.TEXTAFTER($H25,":"))*(PptoSty[PiColumn]=J$54),0)))</f>
        <v>0</v>
      </c>
      <c r="K25" s="197" cm="1">
        <f t="array" ref="K25">IF(OR($B25="",$B25="X",$D25="",$D25="X",$E25="",$E25="X",$F25="",$F25="X",$G25="",$G25="X",$H25="",$H25="X"),0,SUM(_xlfn._xlws.FILTER(VALUE(PptoSty[Sign]&amp;"1")*1/PptoSty[Division],(PptoSty[Division]&lt;&gt;0)*(PptoSty[Division]&lt;&gt;"")*(PptoSty[Division]&lt;&gt;"X")*(PptoSty[Project]=$B25)*(PptoSty[Vrs]=$D25)*(PptoSty[Site]=$F25)*(PptoSty[PiRow]=_xlfn.TEXTAFTER($H25,":"))*(PptoSty[PiColumn]=K$54),0)))</f>
        <v>1</v>
      </c>
      <c r="L25" s="197" cm="1">
        <f t="array" ref="L25">IF(OR($B25="",$B25="X",$D25="",$D25="X",$E25="",$E25="X",$F25="",$F25="X",$G25="",$G25="X",$H25="",$H25="X"),0,SUM(_xlfn._xlws.FILTER(VALUE(PptoSty[Sign]&amp;"1")*1/PptoSty[Division],(PptoSty[Division]&lt;&gt;0)*(PptoSty[Division]&lt;&gt;"")*(PptoSty[Division]&lt;&gt;"X")*(PptoSty[Project]=$B25)*(PptoSty[Vrs]=$D25)*(PptoSty[Site]=$F25)*(PptoSty[PiRow]=_xlfn.TEXTAFTER($H25,":"))*(PptoSty[PiColumn]=L$54),0)))</f>
        <v>0</v>
      </c>
      <c r="M25" s="197" cm="1">
        <f t="array" ref="M25">IF(OR($B25="",$B25="X",$D25="",$D25="X",$E25="",$E25="X",$F25="",$F25="X",$G25="",$G25="X",$H25="",$H25="X"),0,SUM(_xlfn._xlws.FILTER(VALUE(PptoSty[Sign]&amp;"1")*1/PptoSty[Division],(PptoSty[Division]&lt;&gt;0)*(PptoSty[Division]&lt;&gt;"")*(PptoSty[Division]&lt;&gt;"X")*(PptoSty[Project]=$B25)*(PptoSty[Vrs]=$D25)*(PptoSty[Site]=$F25)*(PptoSty[PiRow]=_xlfn.TEXTAFTER($H25,":"))*(PptoSty[PiColumn]=M$54),0)))</f>
        <v>0</v>
      </c>
      <c r="N25" s="197" cm="1">
        <f t="array" ref="N25">IF(OR($B25="",$B25="X",$D25="",$D25="X",$E25="",$E25="X",$F25="",$F25="X",$G25="",$G25="X",$H25="",$H25="X"),0,SUM(_xlfn._xlws.FILTER(VALUE(PptoSty[Sign]&amp;"1")*1/PptoSty[Division],(PptoSty[Division]&lt;&gt;0)*(PptoSty[Division]&lt;&gt;"")*(PptoSty[Division]&lt;&gt;"X")*(PptoSty[Project]=$B25)*(PptoSty[Vrs]=$D25)*(PptoSty[Site]=$F25)*(PptoSty[PiRow]=_xlfn.TEXTAFTER($H25,":"))*(PptoSty[PiColumn]=N$54),0)))</f>
        <v>0</v>
      </c>
      <c r="O25" s="197" cm="1">
        <f t="array" ref="O25">IF(OR($B25="",$B25="X",$D25="",$D25="X",$E25="",$E25="X",$F25="",$F25="X",$G25="",$G25="X",$H25="",$H25="X"),0,SUM(_xlfn._xlws.FILTER(VALUE(PptoSty[Sign]&amp;"1")*1/PptoSty[Division],(PptoSty[Division]&lt;&gt;0)*(PptoSty[Division]&lt;&gt;"")*(PptoSty[Division]&lt;&gt;"X")*(PptoSty[Project]=$B25)*(PptoSty[Vrs]=$D25)*(PptoSty[Site]=$F25)*(PptoSty[PiRow]=_xlfn.TEXTAFTER($H25,":"))*(PptoSty[PiColumn]=O$54),0)))</f>
        <v>0</v>
      </c>
      <c r="P25" s="197" cm="1">
        <f t="array" ref="P25">IF(OR($B25="",$B25="X",$D25="",$D25="X",$E25="",$E25="X",$F25="",$F25="X",$G25="",$G25="X",$H25="",$H25="X"),0,SUM(_xlfn._xlws.FILTER(VALUE(PptoSty[Sign]&amp;"1")*1/PptoSty[Division],(PptoSty[Division]&lt;&gt;0)*(PptoSty[Division]&lt;&gt;"")*(PptoSty[Division]&lt;&gt;"X")*(PptoSty[Project]=$B25)*(PptoSty[Vrs]=$D25)*(PptoSty[Site]=$F25)*(PptoSty[PiRow]=_xlfn.TEXTAFTER($H25,":"))*(PptoSty[PiColumn]=P$54),0)))</f>
        <v>1</v>
      </c>
      <c r="Q25" s="197" cm="1">
        <f t="array" ref="Q25">IF(OR($B25="",$B25="X",$D25="",$D25="X",$E25="",$E25="X",$F25="",$F25="X",$G25="",$G25="X",$H25="",$H25="X"),0,SUM(_xlfn._xlws.FILTER(VALUE(PptoSty[Sign]&amp;"1")*1/PptoSty[Division],(PptoSty[Division]&lt;&gt;0)*(PptoSty[Division]&lt;&gt;"")*(PptoSty[Division]&lt;&gt;"X")*(PptoSty[Project]=$B25)*(PptoSty[Vrs]=$D25)*(PptoSty[Site]=$F25)*(PptoSty[PiRow]=_xlfn.TEXTAFTER($H25,":"))*(PptoSty[PiColumn]=Q$54),0)))</f>
        <v>1</v>
      </c>
      <c r="R25" s="197" cm="1">
        <f t="array" ref="R25">IF(OR($B25="",$B25="X",$D25="",$D25="X",$E25="",$E25="X",$F25="",$F25="X",$G25="",$G25="X",$H25="",$H25="X"),0,SUM(_xlfn._xlws.FILTER(VALUE(PptoSty[Sign]&amp;"1")*1/PptoSty[Division],(PptoSty[Division]&lt;&gt;0)*(PptoSty[Division]&lt;&gt;"")*(PptoSty[Division]&lt;&gt;"X")*(PptoSty[Project]=$B25)*(PptoSty[Vrs]=$D25)*(PptoSty[Site]=$F25)*(PptoSty[PiRow]=_xlfn.TEXTAFTER($H25,":"))*(PptoSty[PiColumn]=R$54),0)))</f>
        <v>1</v>
      </c>
      <c r="S25" s="197" cm="1">
        <f t="array" ref="S25">IF(OR($B25="",$B25="X",$D25="",$D25="X",$E25="",$E25="X",$F25="",$F25="X",$G25="",$G25="X",$H25="",$H25="X"),0,SUM(_xlfn._xlws.FILTER(VALUE(PptoSty[Sign]&amp;"1")*1/PptoSty[Division],(PptoSty[Division]&lt;&gt;0)*(PptoSty[Division]&lt;&gt;"")*(PptoSty[Division]&lt;&gt;"X")*(PptoSty[Project]=$B25)*(PptoSty[Vrs]=$D25)*(PptoSty[Site]=$F25)*(PptoSty[PiRow]=_xlfn.TEXTAFTER($H25,":"))*(PptoSty[PiColumn]=S$54),0)))</f>
        <v>0</v>
      </c>
      <c r="T25" s="197" cm="1">
        <f t="array" ref="T25">IF(OR($B25="",$B25="X",$D25="",$D25="X",$E25="",$E25="X",$F25="",$F25="X",$G25="",$G25="X",$H25="",$H25="X"),0,SUM(_xlfn._xlws.FILTER(VALUE(PptoSty[Sign]&amp;"1")*1/PptoSty[Division],(PptoSty[Division]&lt;&gt;0)*(PptoSty[Division]&lt;&gt;"")*(PptoSty[Division]&lt;&gt;"X")*(PptoSty[Project]=$B25)*(PptoSty[Vrs]=$D25)*(PptoSty[Site]=$F25)*(PptoSty[PiRow]=_xlfn.TEXTAFTER($H25,":"))*(PptoSty[PiColumn]=T$54),0)))</f>
        <v>0</v>
      </c>
      <c r="U25" s="197" cm="1">
        <f t="array" ref="U25">IF(OR($B25="",$B25="X",$D25="",$D25="X",$E25="",$E25="X",$F25="",$F25="X",$G25="",$G25="X",$H25="",$H25="X"),0,SUM(_xlfn._xlws.FILTER(VALUE(PptoSty[Sign]&amp;"1")*1/PptoSty[Division],(PptoSty[Division]&lt;&gt;0)*(PptoSty[Division]&lt;&gt;"")*(PptoSty[Division]&lt;&gt;"X")*(PptoSty[Project]=$B25)*(PptoSty[Vrs]=$D25)*(PptoSty[Site]=$F25)*(PptoSty[PiRow]=_xlfn.TEXTAFTER($H25,":"))*(PptoSty[PiColumn]=U$54),0)))</f>
        <v>0</v>
      </c>
      <c r="V25" s="197" cm="1">
        <f t="array" ref="V25">IF(OR($B25="",$B25="X",$D25="",$D25="X",$E25="",$E25="X",$F25="",$F25="X",$G25="",$G25="X",$H25="",$H25="X"),0,SUM(_xlfn._xlws.FILTER(VALUE(PptoSty[Sign]&amp;"1")*1/PptoSty[Division],(PptoSty[Division]&lt;&gt;0)*(PptoSty[Division]&lt;&gt;"")*(PptoSty[Division]&lt;&gt;"X")*(PptoSty[Project]=$B25)*(PptoSty[Vrs]=$D25)*(PptoSty[Site]=$F25)*(PptoSty[PiRow]=_xlfn.TEXTAFTER($H25,":"))*(PptoSty[PiColumn]=V$54),0)))</f>
        <v>1</v>
      </c>
      <c r="W25" s="197" cm="1">
        <f t="array" ref="W25">IF(OR($B25="",$B25="X",$D25="",$D25="X",$E25="",$E25="X",$F25="",$F25="X",$G25="",$G25="X",$H25="",$H25="X"),0,SUM(_xlfn._xlws.FILTER(VALUE(PptoSty[Sign]&amp;"1")*1/PptoSty[Division],(PptoSty[Division]&lt;&gt;0)*(PptoSty[Division]&lt;&gt;"")*(PptoSty[Division]&lt;&gt;"X")*(PptoSty[Project]=$B25)*(PptoSty[Vrs]=$D25)*(PptoSty[Site]=$F25)*(PptoSty[PiRow]=_xlfn.TEXTAFTER($H25,":"))*(PptoSty[PiColumn]=W$54),0)))</f>
        <v>1</v>
      </c>
      <c r="X25" s="197" cm="1">
        <f t="array" ref="X25">IF(OR($B25="",$B25="X",$D25="",$D25="X",$E25="",$E25="X",$F25="",$F25="X",$G25="",$G25="X",$H25="",$H25="X"),0,SUM(_xlfn._xlws.FILTER(VALUE(PptoSty[Sign]&amp;"1")*1/PptoSty[Division],(PptoSty[Division]&lt;&gt;0)*(PptoSty[Division]&lt;&gt;"")*(PptoSty[Division]&lt;&gt;"X")*(PptoSty[Project]=$B25)*(PptoSty[Vrs]=$D25)*(PptoSty[Site]=$F25)*(PptoSty[PiRow]=_xlfn.TEXTAFTER($H25,":"))*(PptoSty[PiColumn]=X$54),0)))</f>
        <v>1</v>
      </c>
      <c r="Y25" s="197" cm="1">
        <f t="array" ref="Y25">IF(OR($B25="",$B25="X",$D25="",$D25="X",$E25="",$E25="X",$F25="",$F25="X",$G25="",$G25="X",$H25="",$H25="X"),0,SUM(_xlfn._xlws.FILTER(VALUE(PptoSty[Sign]&amp;"1")*1/PptoSty[Division],(PptoSty[Division]&lt;&gt;0)*(PptoSty[Division]&lt;&gt;"")*(PptoSty[Division]&lt;&gt;"X")*(PptoSty[Project]=$B25)*(PptoSty[Vrs]=$D25)*(PptoSty[Site]=$F25)*(PptoSty[PiRow]=_xlfn.TEXTAFTER($H25,":"))*(PptoSty[PiColumn]=Y$54),0)))</f>
        <v>0</v>
      </c>
    </row>
    <row r="26" spans="1:26" s="33" customFormat="1" ht="17.25" customHeight="1" outlineLevel="1">
      <c r="A26" s="123"/>
      <c r="B26" s="140" t="str">
        <v>31200</v>
      </c>
      <c r="C26" s="128" t="str">
        <v>Sp</v>
      </c>
      <c r="D26" s="128">
        <v>16</v>
      </c>
      <c r="E26" s="128" t="str">
        <v>CELL</v>
      </c>
      <c r="F26" s="139" t="str">
        <v>SERRA</v>
      </c>
      <c r="G26" s="139" t="str">
        <v>CurPpto</v>
      </c>
      <c r="H26" s="139" t="str">
        <v>X002:SUBGROUP CELL</v>
      </c>
      <c r="I26" s="197" cm="1">
        <f t="array" ref="I26">IF(OR($B26="",$B26="X",$D26="",$D26="X",$E26="",$E26="X",$F26="",$F26="X",$G26="",$G26="X",$H26="",$H26="X"),0,SUM(_xlfn._xlws.FILTER(VALUE(PptoSty[Sign]&amp;"1")*1/PptoSty[Division],(PptoSty[Division]&lt;&gt;0)*(PptoSty[Division]&lt;&gt;"")*(PptoSty[Division]&lt;&gt;"X")*(PptoSty[Project]=$B26)*(PptoSty[Vrs]=$D26)*(PptoSty[Site]=$F26)*(PptoSty[PiRow]=_xlfn.TEXTAFTER($H26,":"))*(PptoSty[PiColumn]=I$54),0)))</f>
        <v>0</v>
      </c>
      <c r="J26" s="197" cm="1">
        <f t="array" ref="J26">IF(OR($B26="",$B26="X",$D26="",$D26="X",$E26="",$E26="X",$F26="",$F26="X",$G26="",$G26="X",$H26="",$H26="X"),0,SUM(_xlfn._xlws.FILTER(VALUE(PptoSty[Sign]&amp;"1")*1/PptoSty[Division],(PptoSty[Division]&lt;&gt;0)*(PptoSty[Division]&lt;&gt;"")*(PptoSty[Division]&lt;&gt;"X")*(PptoSty[Project]=$B26)*(PptoSty[Vrs]=$D26)*(PptoSty[Site]=$F26)*(PptoSty[PiRow]=_xlfn.TEXTAFTER($H26,":"))*(PptoSty[PiColumn]=J$54),0)))</f>
        <v>0</v>
      </c>
      <c r="K26" s="197" cm="1">
        <f t="array" ref="K26">IF(OR($B26="",$B26="X",$D26="",$D26="X",$E26="",$E26="X",$F26="",$F26="X",$G26="",$G26="X",$H26="",$H26="X"),0,SUM(_xlfn._xlws.FILTER(VALUE(PptoSty[Sign]&amp;"1")*1/PptoSty[Division],(PptoSty[Division]&lt;&gt;0)*(PptoSty[Division]&lt;&gt;"")*(PptoSty[Division]&lt;&gt;"X")*(PptoSty[Project]=$B26)*(PptoSty[Vrs]=$D26)*(PptoSty[Site]=$F26)*(PptoSty[PiRow]=_xlfn.TEXTAFTER($H26,":"))*(PptoSty[PiColumn]=K$54),0)))</f>
        <v>1</v>
      </c>
      <c r="L26" s="197" cm="1">
        <f t="array" ref="L26">IF(OR($B26="",$B26="X",$D26="",$D26="X",$E26="",$E26="X",$F26="",$F26="X",$G26="",$G26="X",$H26="",$H26="X"),0,SUM(_xlfn._xlws.FILTER(VALUE(PptoSty[Sign]&amp;"1")*1/PptoSty[Division],(PptoSty[Division]&lt;&gt;0)*(PptoSty[Division]&lt;&gt;"")*(PptoSty[Division]&lt;&gt;"X")*(PptoSty[Project]=$B26)*(PptoSty[Vrs]=$D26)*(PptoSty[Site]=$F26)*(PptoSty[PiRow]=_xlfn.TEXTAFTER($H26,":"))*(PptoSty[PiColumn]=L$54),0)))</f>
        <v>0</v>
      </c>
      <c r="M26" s="197" cm="1">
        <f t="array" ref="M26">IF(OR($B26="",$B26="X",$D26="",$D26="X",$E26="",$E26="X",$F26="",$F26="X",$G26="",$G26="X",$H26="",$H26="X"),0,SUM(_xlfn._xlws.FILTER(VALUE(PptoSty[Sign]&amp;"1")*1/PptoSty[Division],(PptoSty[Division]&lt;&gt;0)*(PptoSty[Division]&lt;&gt;"")*(PptoSty[Division]&lt;&gt;"X")*(PptoSty[Project]=$B26)*(PptoSty[Vrs]=$D26)*(PptoSty[Site]=$F26)*(PptoSty[PiRow]=_xlfn.TEXTAFTER($H26,":"))*(PptoSty[PiColumn]=M$54),0)))</f>
        <v>0</v>
      </c>
      <c r="N26" s="197" cm="1">
        <f t="array" ref="N26">IF(OR($B26="",$B26="X",$D26="",$D26="X",$E26="",$E26="X",$F26="",$F26="X",$G26="",$G26="X",$H26="",$H26="X"),0,SUM(_xlfn._xlws.FILTER(VALUE(PptoSty[Sign]&amp;"1")*1/PptoSty[Division],(PptoSty[Division]&lt;&gt;0)*(PptoSty[Division]&lt;&gt;"")*(PptoSty[Division]&lt;&gt;"X")*(PptoSty[Project]=$B26)*(PptoSty[Vrs]=$D26)*(PptoSty[Site]=$F26)*(PptoSty[PiRow]=_xlfn.TEXTAFTER($H26,":"))*(PptoSty[PiColumn]=N$54),0)))</f>
        <v>0</v>
      </c>
      <c r="O26" s="197" cm="1">
        <f t="array" ref="O26">IF(OR($B26="",$B26="X",$D26="",$D26="X",$E26="",$E26="X",$F26="",$F26="X",$G26="",$G26="X",$H26="",$H26="X"),0,SUM(_xlfn._xlws.FILTER(VALUE(PptoSty[Sign]&amp;"1")*1/PptoSty[Division],(PptoSty[Division]&lt;&gt;0)*(PptoSty[Division]&lt;&gt;"")*(PptoSty[Division]&lt;&gt;"X")*(PptoSty[Project]=$B26)*(PptoSty[Vrs]=$D26)*(PptoSty[Site]=$F26)*(PptoSty[PiRow]=_xlfn.TEXTAFTER($H26,":"))*(PptoSty[PiColumn]=O$54),0)))</f>
        <v>0</v>
      </c>
      <c r="P26" s="197" cm="1">
        <f t="array" ref="P26">IF(OR($B26="",$B26="X",$D26="",$D26="X",$E26="",$E26="X",$F26="",$F26="X",$G26="",$G26="X",$H26="",$H26="X"),0,SUM(_xlfn._xlws.FILTER(VALUE(PptoSty[Sign]&amp;"1")*1/PptoSty[Division],(PptoSty[Division]&lt;&gt;0)*(PptoSty[Division]&lt;&gt;"")*(PptoSty[Division]&lt;&gt;"X")*(PptoSty[Project]=$B26)*(PptoSty[Vrs]=$D26)*(PptoSty[Site]=$F26)*(PptoSty[PiRow]=_xlfn.TEXTAFTER($H26,":"))*(PptoSty[PiColumn]=P$54),0)))</f>
        <v>1</v>
      </c>
      <c r="Q26" s="197" cm="1">
        <f t="array" ref="Q26">IF(OR($B26="",$B26="X",$D26="",$D26="X",$E26="",$E26="X",$F26="",$F26="X",$G26="",$G26="X",$H26="",$H26="X"),0,SUM(_xlfn._xlws.FILTER(VALUE(PptoSty[Sign]&amp;"1")*1/PptoSty[Division],(PptoSty[Division]&lt;&gt;0)*(PptoSty[Division]&lt;&gt;"")*(PptoSty[Division]&lt;&gt;"X")*(PptoSty[Project]=$B26)*(PptoSty[Vrs]=$D26)*(PptoSty[Site]=$F26)*(PptoSty[PiRow]=_xlfn.TEXTAFTER($H26,":"))*(PptoSty[PiColumn]=Q$54),0)))</f>
        <v>1</v>
      </c>
      <c r="R26" s="197" cm="1">
        <f t="array" ref="R26">IF(OR($B26="",$B26="X",$D26="",$D26="X",$E26="",$E26="X",$F26="",$F26="X",$G26="",$G26="X",$H26="",$H26="X"),0,SUM(_xlfn._xlws.FILTER(VALUE(PptoSty[Sign]&amp;"1")*1/PptoSty[Division],(PptoSty[Division]&lt;&gt;0)*(PptoSty[Division]&lt;&gt;"")*(PptoSty[Division]&lt;&gt;"X")*(PptoSty[Project]=$B26)*(PptoSty[Vrs]=$D26)*(PptoSty[Site]=$F26)*(PptoSty[PiRow]=_xlfn.TEXTAFTER($H26,":"))*(PptoSty[PiColumn]=R$54),0)))</f>
        <v>0</v>
      </c>
      <c r="S26" s="197" cm="1">
        <f t="array" ref="S26">IF(OR($B26="",$B26="X",$D26="",$D26="X",$E26="",$E26="X",$F26="",$F26="X",$G26="",$G26="X",$H26="",$H26="X"),0,SUM(_xlfn._xlws.FILTER(VALUE(PptoSty[Sign]&amp;"1")*1/PptoSty[Division],(PptoSty[Division]&lt;&gt;0)*(PptoSty[Division]&lt;&gt;"")*(PptoSty[Division]&lt;&gt;"X")*(PptoSty[Project]=$B26)*(PptoSty[Vrs]=$D26)*(PptoSty[Site]=$F26)*(PptoSty[PiRow]=_xlfn.TEXTAFTER($H26,":"))*(PptoSty[PiColumn]=S$54),0)))</f>
        <v>1</v>
      </c>
      <c r="T26" s="197" cm="1">
        <f t="array" ref="T26">IF(OR($B26="",$B26="X",$D26="",$D26="X",$E26="",$E26="X",$F26="",$F26="X",$G26="",$G26="X",$H26="",$H26="X"),0,SUM(_xlfn._xlws.FILTER(VALUE(PptoSty[Sign]&amp;"1")*1/PptoSty[Division],(PptoSty[Division]&lt;&gt;0)*(PptoSty[Division]&lt;&gt;"")*(PptoSty[Division]&lt;&gt;"X")*(PptoSty[Project]=$B26)*(PptoSty[Vrs]=$D26)*(PptoSty[Site]=$F26)*(PptoSty[PiRow]=_xlfn.TEXTAFTER($H26,":"))*(PptoSty[PiColumn]=T$54),0)))</f>
        <v>1</v>
      </c>
      <c r="U26" s="197" cm="1">
        <f t="array" ref="U26">IF(OR($B26="",$B26="X",$D26="",$D26="X",$E26="",$E26="X",$F26="",$F26="X",$G26="",$G26="X",$H26="",$H26="X"),0,SUM(_xlfn._xlws.FILTER(VALUE(PptoSty[Sign]&amp;"1")*1/PptoSty[Division],(PptoSty[Division]&lt;&gt;0)*(PptoSty[Division]&lt;&gt;"")*(PptoSty[Division]&lt;&gt;"X")*(PptoSty[Project]=$B26)*(PptoSty[Vrs]=$D26)*(PptoSty[Site]=$F26)*(PptoSty[PiRow]=_xlfn.TEXTAFTER($H26,":"))*(PptoSty[PiColumn]=U$54),0)))</f>
        <v>0</v>
      </c>
      <c r="V26" s="197" cm="1">
        <f t="array" ref="V26">IF(OR($B26="",$B26="X",$D26="",$D26="X",$E26="",$E26="X",$F26="",$F26="X",$G26="",$G26="X",$H26="",$H26="X"),0,SUM(_xlfn._xlws.FILTER(VALUE(PptoSty[Sign]&amp;"1")*1/PptoSty[Division],(PptoSty[Division]&lt;&gt;0)*(PptoSty[Division]&lt;&gt;"")*(PptoSty[Division]&lt;&gt;"X")*(PptoSty[Project]=$B26)*(PptoSty[Vrs]=$D26)*(PptoSty[Site]=$F26)*(PptoSty[PiRow]=_xlfn.TEXTAFTER($H26,":"))*(PptoSty[PiColumn]=V$54),0)))</f>
        <v>1</v>
      </c>
      <c r="W26" s="197" cm="1">
        <f t="array" ref="W26">IF(OR($B26="",$B26="X",$D26="",$D26="X",$E26="",$E26="X",$F26="",$F26="X",$G26="",$G26="X",$H26="",$H26="X"),0,SUM(_xlfn._xlws.FILTER(VALUE(PptoSty[Sign]&amp;"1")*1/PptoSty[Division],(PptoSty[Division]&lt;&gt;0)*(PptoSty[Division]&lt;&gt;"")*(PptoSty[Division]&lt;&gt;"X")*(PptoSty[Project]=$B26)*(PptoSty[Vrs]=$D26)*(PptoSty[Site]=$F26)*(PptoSty[PiRow]=_xlfn.TEXTAFTER($H26,":"))*(PptoSty[PiColumn]=W$54),0)))</f>
        <v>1</v>
      </c>
      <c r="X26" s="197" cm="1">
        <f t="array" ref="X26">IF(OR($B26="",$B26="X",$D26="",$D26="X",$E26="",$E26="X",$F26="",$F26="X",$G26="",$G26="X",$H26="",$H26="X"),0,SUM(_xlfn._xlws.FILTER(VALUE(PptoSty[Sign]&amp;"1")*1/PptoSty[Division],(PptoSty[Division]&lt;&gt;0)*(PptoSty[Division]&lt;&gt;"")*(PptoSty[Division]&lt;&gt;"X")*(PptoSty[Project]=$B26)*(PptoSty[Vrs]=$D26)*(PptoSty[Site]=$F26)*(PptoSty[PiRow]=_xlfn.TEXTAFTER($H26,":"))*(PptoSty[PiColumn]=X$54),0)))</f>
        <v>1</v>
      </c>
      <c r="Y26" s="197" cm="1">
        <f t="array" ref="Y26">IF(OR($B26="",$B26="X",$D26="",$D26="X",$E26="",$E26="X",$F26="",$F26="X",$G26="",$G26="X",$H26="",$H26="X"),0,SUM(_xlfn._xlws.FILTER(VALUE(PptoSty[Sign]&amp;"1")*1/PptoSty[Division],(PptoSty[Division]&lt;&gt;0)*(PptoSty[Division]&lt;&gt;"")*(PptoSty[Division]&lt;&gt;"X")*(PptoSty[Project]=$B26)*(PptoSty[Vrs]=$D26)*(PptoSty[Site]=$F26)*(PptoSty[PiRow]=_xlfn.TEXTAFTER($H26,":"))*(PptoSty[PiColumn]=Y$54),0)))</f>
        <v>0</v>
      </c>
    </row>
    <row r="27" spans="1:26" s="33" customFormat="1" ht="17.25" customHeight="1" outlineLevel="1">
      <c r="A27" s="123"/>
      <c r="B27" s="140" t="str">
        <v>31200</v>
      </c>
      <c r="C27" s="128" t="str">
        <v>Sp</v>
      </c>
      <c r="D27" s="128">
        <v>16</v>
      </c>
      <c r="E27" s="128" t="str">
        <v>GSDF</v>
      </c>
      <c r="F27" s="139" t="str">
        <v>SERRA</v>
      </c>
      <c r="G27" s="139" t="str">
        <v>CurPpto</v>
      </c>
      <c r="H27" s="139" t="str">
        <v>X004:SUBGROUP GSDF</v>
      </c>
      <c r="I27" s="197" cm="1">
        <f t="array" ref="I27">IF(OR($B27="",$B27="X",$D27="",$D27="X",$E27="",$E27="X",$F27="",$F27="X",$G27="",$G27="X",$H27="",$H27="X"),0,SUM(_xlfn._xlws.FILTER(VALUE(PptoSty[Sign]&amp;"1")*1/PptoSty[Division],(PptoSty[Division]&lt;&gt;0)*(PptoSty[Division]&lt;&gt;"")*(PptoSty[Division]&lt;&gt;"X")*(PptoSty[Project]=$B27)*(PptoSty[Vrs]=$D27)*(PptoSty[Site]=$F27)*(PptoSty[PiRow]=_xlfn.TEXTAFTER($H27,":"))*(PptoSty[PiColumn]=I$54),0)))</f>
        <v>0</v>
      </c>
      <c r="J27" s="197" cm="1">
        <f t="array" ref="J27">IF(OR($B27="",$B27="X",$D27="",$D27="X",$E27="",$E27="X",$F27="",$F27="X",$G27="",$G27="X",$H27="",$H27="X"),0,SUM(_xlfn._xlws.FILTER(VALUE(PptoSty[Sign]&amp;"1")*1/PptoSty[Division],(PptoSty[Division]&lt;&gt;0)*(PptoSty[Division]&lt;&gt;"")*(PptoSty[Division]&lt;&gt;"X")*(PptoSty[Project]=$B27)*(PptoSty[Vrs]=$D27)*(PptoSty[Site]=$F27)*(PptoSty[PiRow]=_xlfn.TEXTAFTER($H27,":"))*(PptoSty[PiColumn]=J$54),0)))</f>
        <v>0</v>
      </c>
      <c r="K27" s="197" cm="1">
        <f t="array" ref="K27">IF(OR($B27="",$B27="X",$D27="",$D27="X",$E27="",$E27="X",$F27="",$F27="X",$G27="",$G27="X",$H27="",$H27="X"),0,SUM(_xlfn._xlws.FILTER(VALUE(PptoSty[Sign]&amp;"1")*1/PptoSty[Division],(PptoSty[Division]&lt;&gt;0)*(PptoSty[Division]&lt;&gt;"")*(PptoSty[Division]&lt;&gt;"X")*(PptoSty[Project]=$B27)*(PptoSty[Vrs]=$D27)*(PptoSty[Site]=$F27)*(PptoSty[PiRow]=_xlfn.TEXTAFTER($H27,":"))*(PptoSty[PiColumn]=K$54),0)))</f>
        <v>0</v>
      </c>
      <c r="L27" s="197" cm="1">
        <f t="array" ref="L27">IF(OR($B27="",$B27="X",$D27="",$D27="X",$E27="",$E27="X",$F27="",$F27="X",$G27="",$G27="X",$H27="",$H27="X"),0,SUM(_xlfn._xlws.FILTER(VALUE(PptoSty[Sign]&amp;"1")*1/PptoSty[Division],(PptoSty[Division]&lt;&gt;0)*(PptoSty[Division]&lt;&gt;"")*(PptoSty[Division]&lt;&gt;"X")*(PptoSty[Project]=$B27)*(PptoSty[Vrs]=$D27)*(PptoSty[Site]=$F27)*(PptoSty[PiRow]=_xlfn.TEXTAFTER($H27,":"))*(PptoSty[PiColumn]=L$54),0)))</f>
        <v>0</v>
      </c>
      <c r="M27" s="197" cm="1">
        <f t="array" ref="M27">IF(OR($B27="",$B27="X",$D27="",$D27="X",$E27="",$E27="X",$F27="",$F27="X",$G27="",$G27="X",$H27="",$H27="X"),0,SUM(_xlfn._xlws.FILTER(VALUE(PptoSty[Sign]&amp;"1")*1/PptoSty[Division],(PptoSty[Division]&lt;&gt;0)*(PptoSty[Division]&lt;&gt;"")*(PptoSty[Division]&lt;&gt;"X")*(PptoSty[Project]=$B27)*(PptoSty[Vrs]=$D27)*(PptoSty[Site]=$F27)*(PptoSty[PiRow]=_xlfn.TEXTAFTER($H27,":"))*(PptoSty[PiColumn]=M$54),0)))</f>
        <v>0</v>
      </c>
      <c r="N27" s="197" cm="1">
        <f t="array" ref="N27">IF(OR($B27="",$B27="X",$D27="",$D27="X",$E27="",$E27="X",$F27="",$F27="X",$G27="",$G27="X",$H27="",$H27="X"),0,SUM(_xlfn._xlws.FILTER(VALUE(PptoSty[Sign]&amp;"1")*1/PptoSty[Division],(PptoSty[Division]&lt;&gt;0)*(PptoSty[Division]&lt;&gt;"")*(PptoSty[Division]&lt;&gt;"X")*(PptoSty[Project]=$B27)*(PptoSty[Vrs]=$D27)*(PptoSty[Site]=$F27)*(PptoSty[PiRow]=_xlfn.TEXTAFTER($H27,":"))*(PptoSty[PiColumn]=N$54),0)))</f>
        <v>0</v>
      </c>
      <c r="O27" s="197" cm="1">
        <f t="array" ref="O27">IF(OR($B27="",$B27="X",$D27="",$D27="X",$E27="",$E27="X",$F27="",$F27="X",$G27="",$G27="X",$H27="",$H27="X"),0,SUM(_xlfn._xlws.FILTER(VALUE(PptoSty[Sign]&amp;"1")*1/PptoSty[Division],(PptoSty[Division]&lt;&gt;0)*(PptoSty[Division]&lt;&gt;"")*(PptoSty[Division]&lt;&gt;"X")*(PptoSty[Project]=$B27)*(PptoSty[Vrs]=$D27)*(PptoSty[Site]=$F27)*(PptoSty[PiRow]=_xlfn.TEXTAFTER($H27,":"))*(PptoSty[PiColumn]=O$54),0)))</f>
        <v>0</v>
      </c>
      <c r="P27" s="197" cm="1">
        <f t="array" ref="P27">IF(OR($B27="",$B27="X",$D27="",$D27="X",$E27="",$E27="X",$F27="",$F27="X",$G27="",$G27="X",$H27="",$H27="X"),0,SUM(_xlfn._xlws.FILTER(VALUE(PptoSty[Sign]&amp;"1")*1/PptoSty[Division],(PptoSty[Division]&lt;&gt;0)*(PptoSty[Division]&lt;&gt;"")*(PptoSty[Division]&lt;&gt;"X")*(PptoSty[Project]=$B27)*(PptoSty[Vrs]=$D27)*(PptoSty[Site]=$F27)*(PptoSty[PiRow]=_xlfn.TEXTAFTER($H27,":"))*(PptoSty[PiColumn]=P$54),0)))</f>
        <v>0</v>
      </c>
      <c r="Q27" s="197" cm="1">
        <f t="array" ref="Q27">IF(OR($B27="",$B27="X",$D27="",$D27="X",$E27="",$E27="X",$F27="",$F27="X",$G27="",$G27="X",$H27="",$H27="X"),0,SUM(_xlfn._xlws.FILTER(VALUE(PptoSty[Sign]&amp;"1")*1/PptoSty[Division],(PptoSty[Division]&lt;&gt;0)*(PptoSty[Division]&lt;&gt;"")*(PptoSty[Division]&lt;&gt;"X")*(PptoSty[Project]=$B27)*(PptoSty[Vrs]=$D27)*(PptoSty[Site]=$F27)*(PptoSty[PiRow]=_xlfn.TEXTAFTER($H27,":"))*(PptoSty[PiColumn]=Q$54),0)))</f>
        <v>0</v>
      </c>
      <c r="R27" s="197" cm="1">
        <f t="array" ref="R27">IF(OR($B27="",$B27="X",$D27="",$D27="X",$E27="",$E27="X",$F27="",$F27="X",$G27="",$G27="X",$H27="",$H27="X"),0,SUM(_xlfn._xlws.FILTER(VALUE(PptoSty[Sign]&amp;"1")*1/PptoSty[Division],(PptoSty[Division]&lt;&gt;0)*(PptoSty[Division]&lt;&gt;"")*(PptoSty[Division]&lt;&gt;"X")*(PptoSty[Project]=$B27)*(PptoSty[Vrs]=$D27)*(PptoSty[Site]=$F27)*(PptoSty[PiRow]=_xlfn.TEXTAFTER($H27,":"))*(PptoSty[PiColumn]=R$54),0)))</f>
        <v>0</v>
      </c>
      <c r="S27" s="197" cm="1">
        <f t="array" ref="S27">IF(OR($B27="",$B27="X",$D27="",$D27="X",$E27="",$E27="X",$F27="",$F27="X",$G27="",$G27="X",$H27="",$H27="X"),0,SUM(_xlfn._xlws.FILTER(VALUE(PptoSty[Sign]&amp;"1")*1/PptoSty[Division],(PptoSty[Division]&lt;&gt;0)*(PptoSty[Division]&lt;&gt;"")*(PptoSty[Division]&lt;&gt;"X")*(PptoSty[Project]=$B27)*(PptoSty[Vrs]=$D27)*(PptoSty[Site]=$F27)*(PptoSty[PiRow]=_xlfn.TEXTAFTER($H27,":"))*(PptoSty[PiColumn]=S$54),0)))</f>
        <v>0</v>
      </c>
      <c r="T27" s="197" cm="1">
        <f t="array" ref="T27">IF(OR($B27="",$B27="X",$D27="",$D27="X",$E27="",$E27="X",$F27="",$F27="X",$G27="",$G27="X",$H27="",$H27="X"),0,SUM(_xlfn._xlws.FILTER(VALUE(PptoSty[Sign]&amp;"1")*1/PptoSty[Division],(PptoSty[Division]&lt;&gt;0)*(PptoSty[Division]&lt;&gt;"")*(PptoSty[Division]&lt;&gt;"X")*(PptoSty[Project]=$B27)*(PptoSty[Vrs]=$D27)*(PptoSty[Site]=$F27)*(PptoSty[PiRow]=_xlfn.TEXTAFTER($H27,":"))*(PptoSty[PiColumn]=T$54),0)))</f>
        <v>0</v>
      </c>
      <c r="U27" s="197" cm="1">
        <f t="array" ref="U27">IF(OR($B27="",$B27="X",$D27="",$D27="X",$E27="",$E27="X",$F27="",$F27="X",$G27="",$G27="X",$H27="",$H27="X"),0,SUM(_xlfn._xlws.FILTER(VALUE(PptoSty[Sign]&amp;"1")*1/PptoSty[Division],(PptoSty[Division]&lt;&gt;0)*(PptoSty[Division]&lt;&gt;"")*(PptoSty[Division]&lt;&gt;"X")*(PptoSty[Project]=$B27)*(PptoSty[Vrs]=$D27)*(PptoSty[Site]=$F27)*(PptoSty[PiRow]=_xlfn.TEXTAFTER($H27,":"))*(PptoSty[PiColumn]=U$54),0)))</f>
        <v>0</v>
      </c>
      <c r="V27" s="197" cm="1">
        <f t="array" ref="V27">IF(OR($B27="",$B27="X",$D27="",$D27="X",$E27="",$E27="X",$F27="",$F27="X",$G27="",$G27="X",$H27="",$H27="X"),0,SUM(_xlfn._xlws.FILTER(VALUE(PptoSty[Sign]&amp;"1")*1/PptoSty[Division],(PptoSty[Division]&lt;&gt;0)*(PptoSty[Division]&lt;&gt;"")*(PptoSty[Division]&lt;&gt;"X")*(PptoSty[Project]=$B27)*(PptoSty[Vrs]=$D27)*(PptoSty[Site]=$F27)*(PptoSty[PiRow]=_xlfn.TEXTAFTER($H27,":"))*(PptoSty[PiColumn]=V$54),0)))</f>
        <v>0</v>
      </c>
      <c r="W27" s="197" cm="1">
        <f t="array" ref="W27">IF(OR($B27="",$B27="X",$D27="",$D27="X",$E27="",$E27="X",$F27="",$F27="X",$G27="",$G27="X",$H27="",$H27="X"),0,SUM(_xlfn._xlws.FILTER(VALUE(PptoSty[Sign]&amp;"1")*1/PptoSty[Division],(PptoSty[Division]&lt;&gt;0)*(PptoSty[Division]&lt;&gt;"")*(PptoSty[Division]&lt;&gt;"X")*(PptoSty[Project]=$B27)*(PptoSty[Vrs]=$D27)*(PptoSty[Site]=$F27)*(PptoSty[PiRow]=_xlfn.TEXTAFTER($H27,":"))*(PptoSty[PiColumn]=W$54),0)))</f>
        <v>0</v>
      </c>
      <c r="X27" s="197" cm="1">
        <f t="array" ref="X27">IF(OR($B27="",$B27="X",$D27="",$D27="X",$E27="",$E27="X",$F27="",$F27="X",$G27="",$G27="X",$H27="",$H27="X"),0,SUM(_xlfn._xlws.FILTER(VALUE(PptoSty[Sign]&amp;"1")*1/PptoSty[Division],(PptoSty[Division]&lt;&gt;0)*(PptoSty[Division]&lt;&gt;"")*(PptoSty[Division]&lt;&gt;"X")*(PptoSty[Project]=$B27)*(PptoSty[Vrs]=$D27)*(PptoSty[Site]=$F27)*(PptoSty[PiRow]=_xlfn.TEXTAFTER($H27,":"))*(PptoSty[PiColumn]=X$54),0)))</f>
        <v>0</v>
      </c>
      <c r="Y27" s="197" cm="1">
        <f t="array" ref="Y27">IF(OR($B27="",$B27="X",$D27="",$D27="X",$E27="",$E27="X",$F27="",$F27="X",$G27="",$G27="X",$H27="",$H27="X"),0,SUM(_xlfn._xlws.FILTER(VALUE(PptoSty[Sign]&amp;"1")*1/PptoSty[Division],(PptoSty[Division]&lt;&gt;0)*(PptoSty[Division]&lt;&gt;"")*(PptoSty[Division]&lt;&gt;"X")*(PptoSty[Project]=$B27)*(PptoSty[Vrs]=$D27)*(PptoSty[Site]=$F27)*(PptoSty[PiRow]=_xlfn.TEXTAFTER($H27,":"))*(PptoSty[PiColumn]=Y$54),0)))</f>
        <v>0</v>
      </c>
    </row>
    <row r="28" spans="1:26" s="33" customFormat="1" ht="17.25" customHeight="1" outlineLevel="1">
      <c r="A28" s="123"/>
      <c r="B28" s="140" t="str">
        <v>31200</v>
      </c>
      <c r="C28" s="128" t="str">
        <v>Sp</v>
      </c>
      <c r="D28" s="128">
        <v>16</v>
      </c>
      <c r="E28" s="128" t="str">
        <v>PEMX</v>
      </c>
      <c r="F28" s="139" t="str">
        <v>SERRA</v>
      </c>
      <c r="G28" s="139" t="str">
        <v>CurPpto</v>
      </c>
      <c r="H28" s="139" t="str">
        <v>X005:SUBGROUP PEMX</v>
      </c>
      <c r="I28" s="197" cm="1">
        <f t="array" ref="I28">IF(OR($B28="",$B28="X",$D28="",$D28="X",$E28="",$E28="X",$F28="",$F28="X",$G28="",$G28="X",$H28="",$H28="X"),0,SUM(_xlfn._xlws.FILTER(VALUE(PptoSty[Sign]&amp;"1")*1/PptoSty[Division],(PptoSty[Division]&lt;&gt;0)*(PptoSty[Division]&lt;&gt;"")*(PptoSty[Division]&lt;&gt;"X")*(PptoSty[Project]=$B28)*(PptoSty[Vrs]=$D28)*(PptoSty[Site]=$F28)*(PptoSty[PiRow]=_xlfn.TEXTAFTER($H28,":"))*(PptoSty[PiColumn]=I$54),0)))</f>
        <v>0</v>
      </c>
      <c r="J28" s="197" cm="1">
        <f t="array" ref="J28">IF(OR($B28="",$B28="X",$D28="",$D28="X",$E28="",$E28="X",$F28="",$F28="X",$G28="",$G28="X",$H28="",$H28="X"),0,SUM(_xlfn._xlws.FILTER(VALUE(PptoSty[Sign]&amp;"1")*1/PptoSty[Division],(PptoSty[Division]&lt;&gt;0)*(PptoSty[Division]&lt;&gt;"")*(PptoSty[Division]&lt;&gt;"X")*(PptoSty[Project]=$B28)*(PptoSty[Vrs]=$D28)*(PptoSty[Site]=$F28)*(PptoSty[PiRow]=_xlfn.TEXTAFTER($H28,":"))*(PptoSty[PiColumn]=J$54),0)))</f>
        <v>0</v>
      </c>
      <c r="K28" s="197" cm="1">
        <f t="array" ref="K28">IF(OR($B28="",$B28="X",$D28="",$D28="X",$E28="",$E28="X",$F28="",$F28="X",$G28="",$G28="X",$H28="",$H28="X"),0,SUM(_xlfn._xlws.FILTER(VALUE(PptoSty[Sign]&amp;"1")*1/PptoSty[Division],(PptoSty[Division]&lt;&gt;0)*(PptoSty[Division]&lt;&gt;"")*(PptoSty[Division]&lt;&gt;"X")*(PptoSty[Project]=$B28)*(PptoSty[Vrs]=$D28)*(PptoSty[Site]=$F28)*(PptoSty[PiRow]=_xlfn.TEXTAFTER($H28,":"))*(PptoSty[PiColumn]=K$54),0)))</f>
        <v>0</v>
      </c>
      <c r="L28" s="197" cm="1">
        <f t="array" ref="L28">IF(OR($B28="",$B28="X",$D28="",$D28="X",$E28="",$E28="X",$F28="",$F28="X",$G28="",$G28="X",$H28="",$H28="X"),0,SUM(_xlfn._xlws.FILTER(VALUE(PptoSty[Sign]&amp;"1")*1/PptoSty[Division],(PptoSty[Division]&lt;&gt;0)*(PptoSty[Division]&lt;&gt;"")*(PptoSty[Division]&lt;&gt;"X")*(PptoSty[Project]=$B28)*(PptoSty[Vrs]=$D28)*(PptoSty[Site]=$F28)*(PptoSty[PiRow]=_xlfn.TEXTAFTER($H28,":"))*(PptoSty[PiColumn]=L$54),0)))</f>
        <v>0</v>
      </c>
      <c r="M28" s="197" cm="1">
        <f t="array" ref="M28">IF(OR($B28="",$B28="X",$D28="",$D28="X",$E28="",$E28="X",$F28="",$F28="X",$G28="",$G28="X",$H28="",$H28="X"),0,SUM(_xlfn._xlws.FILTER(VALUE(PptoSty[Sign]&amp;"1")*1/PptoSty[Division],(PptoSty[Division]&lt;&gt;0)*(PptoSty[Division]&lt;&gt;"")*(PptoSty[Division]&lt;&gt;"X")*(PptoSty[Project]=$B28)*(PptoSty[Vrs]=$D28)*(PptoSty[Site]=$F28)*(PptoSty[PiRow]=_xlfn.TEXTAFTER($H28,":"))*(PptoSty[PiColumn]=M$54),0)))</f>
        <v>0</v>
      </c>
      <c r="N28" s="197" cm="1">
        <f t="array" ref="N28">IF(OR($B28="",$B28="X",$D28="",$D28="X",$E28="",$E28="X",$F28="",$F28="X",$G28="",$G28="X",$H28="",$H28="X"),0,SUM(_xlfn._xlws.FILTER(VALUE(PptoSty[Sign]&amp;"1")*1/PptoSty[Division],(PptoSty[Division]&lt;&gt;0)*(PptoSty[Division]&lt;&gt;"")*(PptoSty[Division]&lt;&gt;"X")*(PptoSty[Project]=$B28)*(PptoSty[Vrs]=$D28)*(PptoSty[Site]=$F28)*(PptoSty[PiRow]=_xlfn.TEXTAFTER($H28,":"))*(PptoSty[PiColumn]=N$54),0)))</f>
        <v>0</v>
      </c>
      <c r="O28" s="197" cm="1">
        <f t="array" ref="O28">IF(OR($B28="",$B28="X",$D28="",$D28="X",$E28="",$E28="X",$F28="",$F28="X",$G28="",$G28="X",$H28="",$H28="X"),0,SUM(_xlfn._xlws.FILTER(VALUE(PptoSty[Sign]&amp;"1")*1/PptoSty[Division],(PptoSty[Division]&lt;&gt;0)*(PptoSty[Division]&lt;&gt;"")*(PptoSty[Division]&lt;&gt;"X")*(PptoSty[Project]=$B28)*(PptoSty[Vrs]=$D28)*(PptoSty[Site]=$F28)*(PptoSty[PiRow]=_xlfn.TEXTAFTER($H28,":"))*(PptoSty[PiColumn]=O$54),0)))</f>
        <v>0</v>
      </c>
      <c r="P28" s="197" cm="1">
        <f t="array" ref="P28">IF(OR($B28="",$B28="X",$D28="",$D28="X",$E28="",$E28="X",$F28="",$F28="X",$G28="",$G28="X",$H28="",$H28="X"),0,SUM(_xlfn._xlws.FILTER(VALUE(PptoSty[Sign]&amp;"1")*1/PptoSty[Division],(PptoSty[Division]&lt;&gt;0)*(PptoSty[Division]&lt;&gt;"")*(PptoSty[Division]&lt;&gt;"X")*(PptoSty[Project]=$B28)*(PptoSty[Vrs]=$D28)*(PptoSty[Site]=$F28)*(PptoSty[PiRow]=_xlfn.TEXTAFTER($H28,":"))*(PptoSty[PiColumn]=P$54),0)))</f>
        <v>0</v>
      </c>
      <c r="Q28" s="197" cm="1">
        <f t="array" ref="Q28">IF(OR($B28="",$B28="X",$D28="",$D28="X",$E28="",$E28="X",$F28="",$F28="X",$G28="",$G28="X",$H28="",$H28="X"),0,SUM(_xlfn._xlws.FILTER(VALUE(PptoSty[Sign]&amp;"1")*1/PptoSty[Division],(PptoSty[Division]&lt;&gt;0)*(PptoSty[Division]&lt;&gt;"")*(PptoSty[Division]&lt;&gt;"X")*(PptoSty[Project]=$B28)*(PptoSty[Vrs]=$D28)*(PptoSty[Site]=$F28)*(PptoSty[PiRow]=_xlfn.TEXTAFTER($H28,":"))*(PptoSty[PiColumn]=Q$54),0)))</f>
        <v>0</v>
      </c>
      <c r="R28" s="197" cm="1">
        <f t="array" ref="R28">IF(OR($B28="",$B28="X",$D28="",$D28="X",$E28="",$E28="X",$F28="",$F28="X",$G28="",$G28="X",$H28="",$H28="X"),0,SUM(_xlfn._xlws.FILTER(VALUE(PptoSty[Sign]&amp;"1")*1/PptoSty[Division],(PptoSty[Division]&lt;&gt;0)*(PptoSty[Division]&lt;&gt;"")*(PptoSty[Division]&lt;&gt;"X")*(PptoSty[Project]=$B28)*(PptoSty[Vrs]=$D28)*(PptoSty[Site]=$F28)*(PptoSty[PiRow]=_xlfn.TEXTAFTER($H28,":"))*(PptoSty[PiColumn]=R$54),0)))</f>
        <v>0</v>
      </c>
      <c r="S28" s="197" cm="1">
        <f t="array" ref="S28">IF(OR($B28="",$B28="X",$D28="",$D28="X",$E28="",$E28="X",$F28="",$F28="X",$G28="",$G28="X",$H28="",$H28="X"),0,SUM(_xlfn._xlws.FILTER(VALUE(PptoSty[Sign]&amp;"1")*1/PptoSty[Division],(PptoSty[Division]&lt;&gt;0)*(PptoSty[Division]&lt;&gt;"")*(PptoSty[Division]&lt;&gt;"X")*(PptoSty[Project]=$B28)*(PptoSty[Vrs]=$D28)*(PptoSty[Site]=$F28)*(PptoSty[PiRow]=_xlfn.TEXTAFTER($H28,":"))*(PptoSty[PiColumn]=S$54),0)))</f>
        <v>0</v>
      </c>
      <c r="T28" s="197" cm="1">
        <f t="array" ref="T28">IF(OR($B28="",$B28="X",$D28="",$D28="X",$E28="",$E28="X",$F28="",$F28="X",$G28="",$G28="X",$H28="",$H28="X"),0,SUM(_xlfn._xlws.FILTER(VALUE(PptoSty[Sign]&amp;"1")*1/PptoSty[Division],(PptoSty[Division]&lt;&gt;0)*(PptoSty[Division]&lt;&gt;"")*(PptoSty[Division]&lt;&gt;"X")*(PptoSty[Project]=$B28)*(PptoSty[Vrs]=$D28)*(PptoSty[Site]=$F28)*(PptoSty[PiRow]=_xlfn.TEXTAFTER($H28,":"))*(PptoSty[PiColumn]=T$54),0)))</f>
        <v>0</v>
      </c>
      <c r="U28" s="197" cm="1">
        <f t="array" ref="U28">IF(OR($B28="",$B28="X",$D28="",$D28="X",$E28="",$E28="X",$F28="",$F28="X",$G28="",$G28="X",$H28="",$H28="X"),0,SUM(_xlfn._xlws.FILTER(VALUE(PptoSty[Sign]&amp;"1")*1/PptoSty[Division],(PptoSty[Division]&lt;&gt;0)*(PptoSty[Division]&lt;&gt;"")*(PptoSty[Division]&lt;&gt;"X")*(PptoSty[Project]=$B28)*(PptoSty[Vrs]=$D28)*(PptoSty[Site]=$F28)*(PptoSty[PiRow]=_xlfn.TEXTAFTER($H28,":"))*(PptoSty[PiColumn]=U$54),0)))</f>
        <v>0</v>
      </c>
      <c r="V28" s="197" cm="1">
        <f t="array" ref="V28">IF(OR($B28="",$B28="X",$D28="",$D28="X",$E28="",$E28="X",$F28="",$F28="X",$G28="",$G28="X",$H28="",$H28="X"),0,SUM(_xlfn._xlws.FILTER(VALUE(PptoSty[Sign]&amp;"1")*1/PptoSty[Division],(PptoSty[Division]&lt;&gt;0)*(PptoSty[Division]&lt;&gt;"")*(PptoSty[Division]&lt;&gt;"X")*(PptoSty[Project]=$B28)*(PptoSty[Vrs]=$D28)*(PptoSty[Site]=$F28)*(PptoSty[PiRow]=_xlfn.TEXTAFTER($H28,":"))*(PptoSty[PiColumn]=V$54),0)))</f>
        <v>0</v>
      </c>
      <c r="W28" s="197" cm="1">
        <f t="array" ref="W28">IF(OR($B28="",$B28="X",$D28="",$D28="X",$E28="",$E28="X",$F28="",$F28="X",$G28="",$G28="X",$H28="",$H28="X"),0,SUM(_xlfn._xlws.FILTER(VALUE(PptoSty[Sign]&amp;"1")*1/PptoSty[Division],(PptoSty[Division]&lt;&gt;0)*(PptoSty[Division]&lt;&gt;"")*(PptoSty[Division]&lt;&gt;"X")*(PptoSty[Project]=$B28)*(PptoSty[Vrs]=$D28)*(PptoSty[Site]=$F28)*(PptoSty[PiRow]=_xlfn.TEXTAFTER($H28,":"))*(PptoSty[PiColumn]=W$54),0)))</f>
        <v>0</v>
      </c>
      <c r="X28" s="197" cm="1">
        <f t="array" ref="X28">IF(OR($B28="",$B28="X",$D28="",$D28="X",$E28="",$E28="X",$F28="",$F28="X",$G28="",$G28="X",$H28="",$H28="X"),0,SUM(_xlfn._xlws.FILTER(VALUE(PptoSty[Sign]&amp;"1")*1/PptoSty[Division],(PptoSty[Division]&lt;&gt;0)*(PptoSty[Division]&lt;&gt;"")*(PptoSty[Division]&lt;&gt;"X")*(PptoSty[Project]=$B28)*(PptoSty[Vrs]=$D28)*(PptoSty[Site]=$F28)*(PptoSty[PiRow]=_xlfn.TEXTAFTER($H28,":"))*(PptoSty[PiColumn]=X$54),0)))</f>
        <v>0</v>
      </c>
      <c r="Y28" s="197" cm="1">
        <f t="array" ref="Y28">IF(OR($B28="",$B28="X",$D28="",$D28="X",$E28="",$E28="X",$F28="",$F28="X",$G28="",$G28="X",$H28="",$H28="X"),0,SUM(_xlfn._xlws.FILTER(VALUE(PptoSty[Sign]&amp;"1")*1/PptoSty[Division],(PptoSty[Division]&lt;&gt;0)*(PptoSty[Division]&lt;&gt;"")*(PptoSty[Division]&lt;&gt;"X")*(PptoSty[Project]=$B28)*(PptoSty[Vrs]=$D28)*(PptoSty[Site]=$F28)*(PptoSty[PiRow]=_xlfn.TEXTAFTER($H28,":"))*(PptoSty[PiColumn]=Y$54),0)))</f>
        <v>0</v>
      </c>
    </row>
    <row r="29" spans="1:26" s="33" customFormat="1" ht="17.25" customHeight="1" outlineLevel="1">
      <c r="A29" s="123"/>
      <c r="B29" s="140" t="str">
        <v>31200</v>
      </c>
      <c r="C29" s="128" t="str">
        <v>Sp</v>
      </c>
      <c r="D29" s="128">
        <v>16</v>
      </c>
      <c r="E29" s="128" t="str">
        <v>DISI</v>
      </c>
      <c r="F29" s="139" t="str">
        <v>SERRA</v>
      </c>
      <c r="G29" s="139" t="str">
        <v>CurPpto</v>
      </c>
      <c r="H29" s="139" t="str">
        <v>X006:SUBGROUP DISI</v>
      </c>
      <c r="I29" s="197" cm="1">
        <f t="array" ref="I29">IF(OR($B29="",$B29="X",$D29="",$D29="X",$E29="",$E29="X",$F29="",$F29="X",$G29="",$G29="X",$H29="",$H29="X"),0,SUM(_xlfn._xlws.FILTER(VALUE(PptoSty[Sign]&amp;"1")*1/PptoSty[Division],(PptoSty[Division]&lt;&gt;0)*(PptoSty[Division]&lt;&gt;"")*(PptoSty[Division]&lt;&gt;"X")*(PptoSty[Project]=$B29)*(PptoSty[Vrs]=$D29)*(PptoSty[Site]=$F29)*(PptoSty[PiRow]=_xlfn.TEXTAFTER($H29,":"))*(PptoSty[PiColumn]=I$54),0)))</f>
        <v>0</v>
      </c>
      <c r="J29" s="197" cm="1">
        <f t="array" ref="J29">IF(OR($B29="",$B29="X",$D29="",$D29="X",$E29="",$E29="X",$F29="",$F29="X",$G29="",$G29="X",$H29="",$H29="X"),0,SUM(_xlfn._xlws.FILTER(VALUE(PptoSty[Sign]&amp;"1")*1/PptoSty[Division],(PptoSty[Division]&lt;&gt;0)*(PptoSty[Division]&lt;&gt;"")*(PptoSty[Division]&lt;&gt;"X")*(PptoSty[Project]=$B29)*(PptoSty[Vrs]=$D29)*(PptoSty[Site]=$F29)*(PptoSty[PiRow]=_xlfn.TEXTAFTER($H29,":"))*(PptoSty[PiColumn]=J$54),0)))</f>
        <v>0</v>
      </c>
      <c r="K29" s="197" cm="1">
        <f t="array" ref="K29">IF(OR($B29="",$B29="X",$D29="",$D29="X",$E29="",$E29="X",$F29="",$F29="X",$G29="",$G29="X",$H29="",$H29="X"),0,SUM(_xlfn._xlws.FILTER(VALUE(PptoSty[Sign]&amp;"1")*1/PptoSty[Division],(PptoSty[Division]&lt;&gt;0)*(PptoSty[Division]&lt;&gt;"")*(PptoSty[Division]&lt;&gt;"X")*(PptoSty[Project]=$B29)*(PptoSty[Vrs]=$D29)*(PptoSty[Site]=$F29)*(PptoSty[PiRow]=_xlfn.TEXTAFTER($H29,":"))*(PptoSty[PiColumn]=K$54),0)))</f>
        <v>0</v>
      </c>
      <c r="L29" s="197" cm="1">
        <f t="array" ref="L29">IF(OR($B29="",$B29="X",$D29="",$D29="X",$E29="",$E29="X",$F29="",$F29="X",$G29="",$G29="X",$H29="",$H29="X"),0,SUM(_xlfn._xlws.FILTER(VALUE(PptoSty[Sign]&amp;"1")*1/PptoSty[Division],(PptoSty[Division]&lt;&gt;0)*(PptoSty[Division]&lt;&gt;"")*(PptoSty[Division]&lt;&gt;"X")*(PptoSty[Project]=$B29)*(PptoSty[Vrs]=$D29)*(PptoSty[Site]=$F29)*(PptoSty[PiRow]=_xlfn.TEXTAFTER($H29,":"))*(PptoSty[PiColumn]=L$54),0)))</f>
        <v>0</v>
      </c>
      <c r="M29" s="197" cm="1">
        <f t="array" ref="M29">IF(OR($B29="",$B29="X",$D29="",$D29="X",$E29="",$E29="X",$F29="",$F29="X",$G29="",$G29="X",$H29="",$H29="X"),0,SUM(_xlfn._xlws.FILTER(VALUE(PptoSty[Sign]&amp;"1")*1/PptoSty[Division],(PptoSty[Division]&lt;&gt;0)*(PptoSty[Division]&lt;&gt;"")*(PptoSty[Division]&lt;&gt;"X")*(PptoSty[Project]=$B29)*(PptoSty[Vrs]=$D29)*(PptoSty[Site]=$F29)*(PptoSty[PiRow]=_xlfn.TEXTAFTER($H29,":"))*(PptoSty[PiColumn]=M$54),0)))</f>
        <v>0</v>
      </c>
      <c r="N29" s="197" cm="1">
        <f t="array" ref="N29">IF(OR($B29="",$B29="X",$D29="",$D29="X",$E29="",$E29="X",$F29="",$F29="X",$G29="",$G29="X",$H29="",$H29="X"),0,SUM(_xlfn._xlws.FILTER(VALUE(PptoSty[Sign]&amp;"1")*1/PptoSty[Division],(PptoSty[Division]&lt;&gt;0)*(PptoSty[Division]&lt;&gt;"")*(PptoSty[Division]&lt;&gt;"X")*(PptoSty[Project]=$B29)*(PptoSty[Vrs]=$D29)*(PptoSty[Site]=$F29)*(PptoSty[PiRow]=_xlfn.TEXTAFTER($H29,":"))*(PptoSty[PiColumn]=N$54),0)))</f>
        <v>0</v>
      </c>
      <c r="O29" s="197" cm="1">
        <f t="array" ref="O29">IF(OR($B29="",$B29="X",$D29="",$D29="X",$E29="",$E29="X",$F29="",$F29="X",$G29="",$G29="X",$H29="",$H29="X"),0,SUM(_xlfn._xlws.FILTER(VALUE(PptoSty[Sign]&amp;"1")*1/PptoSty[Division],(PptoSty[Division]&lt;&gt;0)*(PptoSty[Division]&lt;&gt;"")*(PptoSty[Division]&lt;&gt;"X")*(PptoSty[Project]=$B29)*(PptoSty[Vrs]=$D29)*(PptoSty[Site]=$F29)*(PptoSty[PiRow]=_xlfn.TEXTAFTER($H29,":"))*(PptoSty[PiColumn]=O$54),0)))</f>
        <v>0</v>
      </c>
      <c r="P29" s="197" cm="1">
        <f t="array" ref="P29">IF(OR($B29="",$B29="X",$D29="",$D29="X",$E29="",$E29="X",$F29="",$F29="X",$G29="",$G29="X",$H29="",$H29="X"),0,SUM(_xlfn._xlws.FILTER(VALUE(PptoSty[Sign]&amp;"1")*1/PptoSty[Division],(PptoSty[Division]&lt;&gt;0)*(PptoSty[Division]&lt;&gt;"")*(PptoSty[Division]&lt;&gt;"X")*(PptoSty[Project]=$B29)*(PptoSty[Vrs]=$D29)*(PptoSty[Site]=$F29)*(PptoSty[PiRow]=_xlfn.TEXTAFTER($H29,":"))*(PptoSty[PiColumn]=P$54),0)))</f>
        <v>0</v>
      </c>
      <c r="Q29" s="197" cm="1">
        <f t="array" ref="Q29">IF(OR($B29="",$B29="X",$D29="",$D29="X",$E29="",$E29="X",$F29="",$F29="X",$G29="",$G29="X",$H29="",$H29="X"),0,SUM(_xlfn._xlws.FILTER(VALUE(PptoSty[Sign]&amp;"1")*1/PptoSty[Division],(PptoSty[Division]&lt;&gt;0)*(PptoSty[Division]&lt;&gt;"")*(PptoSty[Division]&lt;&gt;"X")*(PptoSty[Project]=$B29)*(PptoSty[Vrs]=$D29)*(PptoSty[Site]=$F29)*(PptoSty[PiRow]=_xlfn.TEXTAFTER($H29,":"))*(PptoSty[PiColumn]=Q$54),0)))</f>
        <v>0</v>
      </c>
      <c r="R29" s="197" cm="1">
        <f t="array" ref="R29">IF(OR($B29="",$B29="X",$D29="",$D29="X",$E29="",$E29="X",$F29="",$F29="X",$G29="",$G29="X",$H29="",$H29="X"),0,SUM(_xlfn._xlws.FILTER(VALUE(PptoSty[Sign]&amp;"1")*1/PptoSty[Division],(PptoSty[Division]&lt;&gt;0)*(PptoSty[Division]&lt;&gt;"")*(PptoSty[Division]&lt;&gt;"X")*(PptoSty[Project]=$B29)*(PptoSty[Vrs]=$D29)*(PptoSty[Site]=$F29)*(PptoSty[PiRow]=_xlfn.TEXTAFTER($H29,":"))*(PptoSty[PiColumn]=R$54),0)))</f>
        <v>0</v>
      </c>
      <c r="S29" s="197" cm="1">
        <f t="array" ref="S29">IF(OR($B29="",$B29="X",$D29="",$D29="X",$E29="",$E29="X",$F29="",$F29="X",$G29="",$G29="X",$H29="",$H29="X"),0,SUM(_xlfn._xlws.FILTER(VALUE(PptoSty[Sign]&amp;"1")*1/PptoSty[Division],(PptoSty[Division]&lt;&gt;0)*(PptoSty[Division]&lt;&gt;"")*(PptoSty[Division]&lt;&gt;"X")*(PptoSty[Project]=$B29)*(PptoSty[Vrs]=$D29)*(PptoSty[Site]=$F29)*(PptoSty[PiRow]=_xlfn.TEXTAFTER($H29,":"))*(PptoSty[PiColumn]=S$54),0)))</f>
        <v>0</v>
      </c>
      <c r="T29" s="197" cm="1">
        <f t="array" ref="T29">IF(OR($B29="",$B29="X",$D29="",$D29="X",$E29="",$E29="X",$F29="",$F29="X",$G29="",$G29="X",$H29="",$H29="X"),0,SUM(_xlfn._xlws.FILTER(VALUE(PptoSty[Sign]&amp;"1")*1/PptoSty[Division],(PptoSty[Division]&lt;&gt;0)*(PptoSty[Division]&lt;&gt;"")*(PptoSty[Division]&lt;&gt;"X")*(PptoSty[Project]=$B29)*(PptoSty[Vrs]=$D29)*(PptoSty[Site]=$F29)*(PptoSty[PiRow]=_xlfn.TEXTAFTER($H29,":"))*(PptoSty[PiColumn]=T$54),0)))</f>
        <v>0</v>
      </c>
      <c r="U29" s="197" cm="1">
        <f t="array" ref="U29">IF(OR($B29="",$B29="X",$D29="",$D29="X",$E29="",$E29="X",$F29="",$F29="X",$G29="",$G29="X",$H29="",$H29="X"),0,SUM(_xlfn._xlws.FILTER(VALUE(PptoSty[Sign]&amp;"1")*1/PptoSty[Division],(PptoSty[Division]&lt;&gt;0)*(PptoSty[Division]&lt;&gt;"")*(PptoSty[Division]&lt;&gt;"X")*(PptoSty[Project]=$B29)*(PptoSty[Vrs]=$D29)*(PptoSty[Site]=$F29)*(PptoSty[PiRow]=_xlfn.TEXTAFTER($H29,":"))*(PptoSty[PiColumn]=U$54),0)))</f>
        <v>0</v>
      </c>
      <c r="V29" s="197" cm="1">
        <f t="array" ref="V29">IF(OR($B29="",$B29="X",$D29="",$D29="X",$E29="",$E29="X",$F29="",$F29="X",$G29="",$G29="X",$H29="",$H29="X"),0,SUM(_xlfn._xlws.FILTER(VALUE(PptoSty[Sign]&amp;"1")*1/PptoSty[Division],(PptoSty[Division]&lt;&gt;0)*(PptoSty[Division]&lt;&gt;"")*(PptoSty[Division]&lt;&gt;"X")*(PptoSty[Project]=$B29)*(PptoSty[Vrs]=$D29)*(PptoSty[Site]=$F29)*(PptoSty[PiRow]=_xlfn.TEXTAFTER($H29,":"))*(PptoSty[PiColumn]=V$54),0)))</f>
        <v>0</v>
      </c>
      <c r="W29" s="197" cm="1">
        <f t="array" ref="W29">IF(OR($B29="",$B29="X",$D29="",$D29="X",$E29="",$E29="X",$F29="",$F29="X",$G29="",$G29="X",$H29="",$H29="X"),0,SUM(_xlfn._xlws.FILTER(VALUE(PptoSty[Sign]&amp;"1")*1/PptoSty[Division],(PptoSty[Division]&lt;&gt;0)*(PptoSty[Division]&lt;&gt;"")*(PptoSty[Division]&lt;&gt;"X")*(PptoSty[Project]=$B29)*(PptoSty[Vrs]=$D29)*(PptoSty[Site]=$F29)*(PptoSty[PiRow]=_xlfn.TEXTAFTER($H29,":"))*(PptoSty[PiColumn]=W$54),0)))</f>
        <v>0</v>
      </c>
      <c r="X29" s="197" cm="1">
        <f t="array" ref="X29">IF(OR($B29="",$B29="X",$D29="",$D29="X",$E29="",$E29="X",$F29="",$F29="X",$G29="",$G29="X",$H29="",$H29="X"),0,SUM(_xlfn._xlws.FILTER(VALUE(PptoSty[Sign]&amp;"1")*1/PptoSty[Division],(PptoSty[Division]&lt;&gt;0)*(PptoSty[Division]&lt;&gt;"")*(PptoSty[Division]&lt;&gt;"X")*(PptoSty[Project]=$B29)*(PptoSty[Vrs]=$D29)*(PptoSty[Site]=$F29)*(PptoSty[PiRow]=_xlfn.TEXTAFTER($H29,":"))*(PptoSty[PiColumn]=X$54),0)))</f>
        <v>0</v>
      </c>
      <c r="Y29" s="197" cm="1">
        <f t="array" ref="Y29">IF(OR($B29="",$B29="X",$D29="",$D29="X",$E29="",$E29="X",$F29="",$F29="X",$G29="",$G29="X",$H29="",$H29="X"),0,SUM(_xlfn._xlws.FILTER(VALUE(PptoSty[Sign]&amp;"1")*1/PptoSty[Division],(PptoSty[Division]&lt;&gt;0)*(PptoSty[Division]&lt;&gt;"")*(PptoSty[Division]&lt;&gt;"X")*(PptoSty[Project]=$B29)*(PptoSty[Vrs]=$D29)*(PptoSty[Site]=$F29)*(PptoSty[PiRow]=_xlfn.TEXTAFTER($H29,":"))*(PptoSty[PiColumn]=Y$54),0)))</f>
        <v>0</v>
      </c>
    </row>
    <row r="30" spans="1:26" s="33" customFormat="1" ht="17.25" customHeight="1" outlineLevel="1">
      <c r="A30" s="123"/>
      <c r="B30" s="140" t="str">
        <v>31200</v>
      </c>
      <c r="C30" s="128" t="str">
        <v>Sp</v>
      </c>
      <c r="D30" s="128">
        <v>16</v>
      </c>
      <c r="E30" s="128" t="str">
        <v>TOTS</v>
      </c>
      <c r="F30" s="139" t="str">
        <v>SERRA</v>
      </c>
      <c r="G30" s="139" t="str">
        <v>CurPpto</v>
      </c>
      <c r="H30" s="139" t="str">
        <v>X100:SUBGROUP TOTS</v>
      </c>
      <c r="I30" s="197" cm="1">
        <f t="array" ref="I30">IF(OR($B30="",$B30="X",$D30="",$D30="X",$E30="",$E30="X",$F30="",$F30="X",$G30="",$G30="X",$H30="",$H30="X"),0,SUM(_xlfn._xlws.FILTER(VALUE(PptoSty[Sign]&amp;"1")*1/PptoSty[Division],(PptoSty[Division]&lt;&gt;0)*(PptoSty[Division]&lt;&gt;"")*(PptoSty[Division]&lt;&gt;"X")*(PptoSty[Project]=$B30)*(PptoSty[Vrs]=$D30)*(PptoSty[Site]=$F30)*(PptoSty[PiRow]=_xlfn.TEXTAFTER($H30,":"))*(PptoSty[PiColumn]=I$54),0)))</f>
        <v>0</v>
      </c>
      <c r="J30" s="197" cm="1">
        <f t="array" ref="J30">IF(OR($B30="",$B30="X",$D30="",$D30="X",$E30="",$E30="X",$F30="",$F30="X",$G30="",$G30="X",$H30="",$H30="X"),0,SUM(_xlfn._xlws.FILTER(VALUE(PptoSty[Sign]&amp;"1")*1/PptoSty[Division],(PptoSty[Division]&lt;&gt;0)*(PptoSty[Division]&lt;&gt;"")*(PptoSty[Division]&lt;&gt;"X")*(PptoSty[Project]=$B30)*(PptoSty[Vrs]=$D30)*(PptoSty[Site]=$F30)*(PptoSty[PiRow]=_xlfn.TEXTAFTER($H30,":"))*(PptoSty[PiColumn]=J$54),0)))</f>
        <v>0</v>
      </c>
      <c r="K30" s="197" cm="1">
        <f t="array" ref="K30">IF(OR($B30="",$B30="X",$D30="",$D30="X",$E30="",$E30="X",$F30="",$F30="X",$G30="",$G30="X",$H30="",$H30="X"),0,SUM(_xlfn._xlws.FILTER(VALUE(PptoSty[Sign]&amp;"1")*1/PptoSty[Division],(PptoSty[Division]&lt;&gt;0)*(PptoSty[Division]&lt;&gt;"")*(PptoSty[Division]&lt;&gt;"X")*(PptoSty[Project]=$B30)*(PptoSty[Vrs]=$D30)*(PptoSty[Site]=$F30)*(PptoSty[PiRow]=_xlfn.TEXTAFTER($H30,":"))*(PptoSty[PiColumn]=K$54),0)))</f>
        <v>0</v>
      </c>
      <c r="L30" s="197" cm="1">
        <f t="array" ref="L30">IF(OR($B30="",$B30="X",$D30="",$D30="X",$E30="",$E30="X",$F30="",$F30="X",$G30="",$G30="X",$H30="",$H30="X"),0,SUM(_xlfn._xlws.FILTER(VALUE(PptoSty[Sign]&amp;"1")*1/PptoSty[Division],(PptoSty[Division]&lt;&gt;0)*(PptoSty[Division]&lt;&gt;"")*(PptoSty[Division]&lt;&gt;"X")*(PptoSty[Project]=$B30)*(PptoSty[Vrs]=$D30)*(PptoSty[Site]=$F30)*(PptoSty[PiRow]=_xlfn.TEXTAFTER($H30,":"))*(PptoSty[PiColumn]=L$54),0)))</f>
        <v>0</v>
      </c>
      <c r="M30" s="197" cm="1">
        <f t="array" ref="M30">IF(OR($B30="",$B30="X",$D30="",$D30="X",$E30="",$E30="X",$F30="",$F30="X",$G30="",$G30="X",$H30="",$H30="X"),0,SUM(_xlfn._xlws.FILTER(VALUE(PptoSty[Sign]&amp;"1")*1/PptoSty[Division],(PptoSty[Division]&lt;&gt;0)*(PptoSty[Division]&lt;&gt;"")*(PptoSty[Division]&lt;&gt;"X")*(PptoSty[Project]=$B30)*(PptoSty[Vrs]=$D30)*(PptoSty[Site]=$F30)*(PptoSty[PiRow]=_xlfn.TEXTAFTER($H30,":"))*(PptoSty[PiColumn]=M$54),0)))</f>
        <v>0</v>
      </c>
      <c r="N30" s="197" cm="1">
        <f t="array" ref="N30">IF(OR($B30="",$B30="X",$D30="",$D30="X",$E30="",$E30="X",$F30="",$F30="X",$G30="",$G30="X",$H30="",$H30="X"),0,SUM(_xlfn._xlws.FILTER(VALUE(PptoSty[Sign]&amp;"1")*1/PptoSty[Division],(PptoSty[Division]&lt;&gt;0)*(PptoSty[Division]&lt;&gt;"")*(PptoSty[Division]&lt;&gt;"X")*(PptoSty[Project]=$B30)*(PptoSty[Vrs]=$D30)*(PptoSty[Site]=$F30)*(PptoSty[PiRow]=_xlfn.TEXTAFTER($H30,":"))*(PptoSty[PiColumn]=N$54),0)))</f>
        <v>1</v>
      </c>
      <c r="O30" s="197" cm="1">
        <f t="array" ref="O30">IF(OR($B30="",$B30="X",$D30="",$D30="X",$E30="",$E30="X",$F30="",$F30="X",$G30="",$G30="X",$H30="",$H30="X"),0,SUM(_xlfn._xlws.FILTER(VALUE(PptoSty[Sign]&amp;"1")*1/PptoSty[Division],(PptoSty[Division]&lt;&gt;0)*(PptoSty[Division]&lt;&gt;"")*(PptoSty[Division]&lt;&gt;"X")*(PptoSty[Project]=$B30)*(PptoSty[Vrs]=$D30)*(PptoSty[Site]=$F30)*(PptoSty[PiRow]=_xlfn.TEXTAFTER($H30,":"))*(PptoSty[PiColumn]=O$54),0)))</f>
        <v>0</v>
      </c>
      <c r="P30" s="197" cm="1">
        <f t="array" ref="P30">IF(OR($B30="",$B30="X",$D30="",$D30="X",$E30="",$E30="X",$F30="",$F30="X",$G30="",$G30="X",$H30="",$H30="X"),0,SUM(_xlfn._xlws.FILTER(VALUE(PptoSty[Sign]&amp;"1")*1/PptoSty[Division],(PptoSty[Division]&lt;&gt;0)*(PptoSty[Division]&lt;&gt;"")*(PptoSty[Division]&lt;&gt;"X")*(PptoSty[Project]=$B30)*(PptoSty[Vrs]=$D30)*(PptoSty[Site]=$F30)*(PptoSty[PiRow]=_xlfn.TEXTAFTER($H30,":"))*(PptoSty[PiColumn]=P$54),0)))</f>
        <v>0</v>
      </c>
      <c r="Q30" s="197" cm="1">
        <f t="array" ref="Q30">IF(OR($B30="",$B30="X",$D30="",$D30="X",$E30="",$E30="X",$F30="",$F30="X",$G30="",$G30="X",$H30="",$H30="X"),0,SUM(_xlfn._xlws.FILTER(VALUE(PptoSty[Sign]&amp;"1")*1/PptoSty[Division],(PptoSty[Division]&lt;&gt;0)*(PptoSty[Division]&lt;&gt;"")*(PptoSty[Division]&lt;&gt;"X")*(PptoSty[Project]=$B30)*(PptoSty[Vrs]=$D30)*(PptoSty[Site]=$F30)*(PptoSty[PiRow]=_xlfn.TEXTAFTER($H30,":"))*(PptoSty[PiColumn]=Q$54),0)))</f>
        <v>0</v>
      </c>
      <c r="R30" s="197" cm="1">
        <f t="array" ref="R30">IF(OR($B30="",$B30="X",$D30="",$D30="X",$E30="",$E30="X",$F30="",$F30="X",$G30="",$G30="X",$H30="",$H30="X"),0,SUM(_xlfn._xlws.FILTER(VALUE(PptoSty[Sign]&amp;"1")*1/PptoSty[Division],(PptoSty[Division]&lt;&gt;0)*(PptoSty[Division]&lt;&gt;"")*(PptoSty[Division]&lt;&gt;"X")*(PptoSty[Project]=$B30)*(PptoSty[Vrs]=$D30)*(PptoSty[Site]=$F30)*(PptoSty[PiRow]=_xlfn.TEXTAFTER($H30,":"))*(PptoSty[PiColumn]=R$54),0)))</f>
        <v>0</v>
      </c>
      <c r="S30" s="197" cm="1">
        <f t="array" ref="S30">IF(OR($B30="",$B30="X",$D30="",$D30="X",$E30="",$E30="X",$F30="",$F30="X",$G30="",$G30="X",$H30="",$H30="X"),0,SUM(_xlfn._xlws.FILTER(VALUE(PptoSty[Sign]&amp;"1")*1/PptoSty[Division],(PptoSty[Division]&lt;&gt;0)*(PptoSty[Division]&lt;&gt;"")*(PptoSty[Division]&lt;&gt;"X")*(PptoSty[Project]=$B30)*(PptoSty[Vrs]=$D30)*(PptoSty[Site]=$F30)*(PptoSty[PiRow]=_xlfn.TEXTAFTER($H30,":"))*(PptoSty[PiColumn]=S$54),0)))</f>
        <v>0</v>
      </c>
      <c r="T30" s="197" cm="1">
        <f t="array" ref="T30">IF(OR($B30="",$B30="X",$D30="",$D30="X",$E30="",$E30="X",$F30="",$F30="X",$G30="",$G30="X",$H30="",$H30="X"),0,SUM(_xlfn._xlws.FILTER(VALUE(PptoSty[Sign]&amp;"1")*1/PptoSty[Division],(PptoSty[Division]&lt;&gt;0)*(PptoSty[Division]&lt;&gt;"")*(PptoSty[Division]&lt;&gt;"X")*(PptoSty[Project]=$B30)*(PptoSty[Vrs]=$D30)*(PptoSty[Site]=$F30)*(PptoSty[PiRow]=_xlfn.TEXTAFTER($H30,":"))*(PptoSty[PiColumn]=T$54),0)))</f>
        <v>0</v>
      </c>
      <c r="U30" s="197" cm="1">
        <f t="array" ref="U30">IF(OR($B30="",$B30="X",$D30="",$D30="X",$E30="",$E30="X",$F30="",$F30="X",$G30="",$G30="X",$H30="",$H30="X"),0,SUM(_xlfn._xlws.FILTER(VALUE(PptoSty[Sign]&amp;"1")*1/PptoSty[Division],(PptoSty[Division]&lt;&gt;0)*(PptoSty[Division]&lt;&gt;"")*(PptoSty[Division]&lt;&gt;"X")*(PptoSty[Project]=$B30)*(PptoSty[Vrs]=$D30)*(PptoSty[Site]=$F30)*(PptoSty[PiRow]=_xlfn.TEXTAFTER($H30,":"))*(PptoSty[PiColumn]=U$54),0)))</f>
        <v>0</v>
      </c>
      <c r="V30" s="197" cm="1">
        <f t="array" ref="V30">IF(OR($B30="",$B30="X",$D30="",$D30="X",$E30="",$E30="X",$F30="",$F30="X",$G30="",$G30="X",$H30="",$H30="X"),0,SUM(_xlfn._xlws.FILTER(VALUE(PptoSty[Sign]&amp;"1")*1/PptoSty[Division],(PptoSty[Division]&lt;&gt;0)*(PptoSty[Division]&lt;&gt;"")*(PptoSty[Division]&lt;&gt;"X")*(PptoSty[Project]=$B30)*(PptoSty[Vrs]=$D30)*(PptoSty[Site]=$F30)*(PptoSty[PiRow]=_xlfn.TEXTAFTER($H30,":"))*(PptoSty[PiColumn]=V$54),0)))</f>
        <v>0</v>
      </c>
      <c r="W30" s="197" cm="1">
        <f t="array" ref="W30">IF(OR($B30="",$B30="X",$D30="",$D30="X",$E30="",$E30="X",$F30="",$F30="X",$G30="",$G30="X",$H30="",$H30="X"),0,SUM(_xlfn._xlws.FILTER(VALUE(PptoSty[Sign]&amp;"1")*1/PptoSty[Division],(PptoSty[Division]&lt;&gt;0)*(PptoSty[Division]&lt;&gt;"")*(PptoSty[Division]&lt;&gt;"X")*(PptoSty[Project]=$B30)*(PptoSty[Vrs]=$D30)*(PptoSty[Site]=$F30)*(PptoSty[PiRow]=_xlfn.TEXTAFTER($H30,":"))*(PptoSty[PiColumn]=W$54),0)))</f>
        <v>0</v>
      </c>
      <c r="X30" s="197" cm="1">
        <f t="array" ref="X30">IF(OR($B30="",$B30="X",$D30="",$D30="X",$E30="",$E30="X",$F30="",$F30="X",$G30="",$G30="X",$H30="",$H30="X"),0,SUM(_xlfn._xlws.FILTER(VALUE(PptoSty[Sign]&amp;"1")*1/PptoSty[Division],(PptoSty[Division]&lt;&gt;0)*(PptoSty[Division]&lt;&gt;"")*(PptoSty[Division]&lt;&gt;"X")*(PptoSty[Project]=$B30)*(PptoSty[Vrs]=$D30)*(PptoSty[Site]=$F30)*(PptoSty[PiRow]=_xlfn.TEXTAFTER($H30,":"))*(PptoSty[PiColumn]=X$54),0)))</f>
        <v>0</v>
      </c>
      <c r="Y30" s="197" cm="1">
        <f t="array" ref="Y30">IF(OR($B30="",$B30="X",$D30="",$D30="X",$E30="",$E30="X",$F30="",$F30="X",$G30="",$G30="X",$H30="",$H30="X"),0,SUM(_xlfn._xlws.FILTER(VALUE(PptoSty[Sign]&amp;"1")*1/PptoSty[Division],(PptoSty[Division]&lt;&gt;0)*(PptoSty[Division]&lt;&gt;"")*(PptoSty[Division]&lt;&gt;"X")*(PptoSty[Project]=$B30)*(PptoSty[Vrs]=$D30)*(PptoSty[Site]=$F30)*(PptoSty[PiRow]=_xlfn.TEXTAFTER($H30,":"))*(PptoSty[PiColumn]=Y$54),0)))</f>
        <v>0</v>
      </c>
    </row>
    <row r="31" spans="1:26" s="33" customFormat="1" ht="17.25" customHeight="1" outlineLevel="1">
      <c r="A31" s="123"/>
      <c r="B31" s="140" t="str">
        <v>31200</v>
      </c>
      <c r="C31" s="128" t="str">
        <v>Sp</v>
      </c>
      <c r="D31" s="128">
        <v>0</v>
      </c>
      <c r="E31" s="128" t="str">
        <v>TOOL</v>
      </c>
      <c r="F31" s="139" t="str">
        <v>SERRA</v>
      </c>
      <c r="G31" s="139" t="str">
        <v>CurPpto</v>
      </c>
      <c r="H31" s="139" t="str">
        <v>X001:SUBGROUP TOOL</v>
      </c>
      <c r="I31" s="197" cm="1">
        <f t="array" ref="I31">IF(OR($B31="",$B31="X",$D31="",$D31="X",$E31="",$E31="X",$F31="",$F31="X",$G31="",$G31="X",$H31="",$H31="X"),0,SUM(_xlfn._xlws.FILTER(VALUE(PptoSty[Sign]&amp;"1")*1/PptoSty[Division],(PptoSty[Division]&lt;&gt;0)*(PptoSty[Division]&lt;&gt;"")*(PptoSty[Division]&lt;&gt;"X")*(PptoSty[Project]=$B31)*(PptoSty[Vrs]=$D31)*(PptoSty[Site]=$F31)*(PptoSty[PiRow]=_xlfn.TEXTAFTER($H31,":"))*(PptoSty[PiColumn]=I$54),0)))</f>
        <v>0</v>
      </c>
      <c r="J31" s="197" cm="1">
        <f t="array" ref="J31">IF(OR($B31="",$B31="X",$D31="",$D31="X",$E31="",$E31="X",$F31="",$F31="X",$G31="",$G31="X",$H31="",$H31="X"),0,SUM(_xlfn._xlws.FILTER(VALUE(PptoSty[Sign]&amp;"1")*1/PptoSty[Division],(PptoSty[Division]&lt;&gt;0)*(PptoSty[Division]&lt;&gt;"")*(PptoSty[Division]&lt;&gt;"X")*(PptoSty[Project]=$B31)*(PptoSty[Vrs]=$D31)*(PptoSty[Site]=$F31)*(PptoSty[PiRow]=_xlfn.TEXTAFTER($H31,":"))*(PptoSty[PiColumn]=J$54),0)))</f>
        <v>0</v>
      </c>
      <c r="K31" s="197" cm="1">
        <f t="array" ref="K31">IF(OR($B31="",$B31="X",$D31="",$D31="X",$E31="",$E31="X",$F31="",$F31="X",$G31="",$G31="X",$H31="",$H31="X"),0,SUM(_xlfn._xlws.FILTER(VALUE(PptoSty[Sign]&amp;"1")*1/PptoSty[Division],(PptoSty[Division]&lt;&gt;0)*(PptoSty[Division]&lt;&gt;"")*(PptoSty[Division]&lt;&gt;"X")*(PptoSty[Project]=$B31)*(PptoSty[Vrs]=$D31)*(PptoSty[Site]=$F31)*(PptoSty[PiRow]=_xlfn.TEXTAFTER($H31,":"))*(PptoSty[PiColumn]=K$54),0)))</f>
        <v>0</v>
      </c>
      <c r="L31" s="197" cm="1">
        <f t="array" ref="L31">IF(OR($B31="",$B31="X",$D31="",$D31="X",$E31="",$E31="X",$F31="",$F31="X",$G31="",$G31="X",$H31="",$H31="X"),0,SUM(_xlfn._xlws.FILTER(VALUE(PptoSty[Sign]&amp;"1")*1/PptoSty[Division],(PptoSty[Division]&lt;&gt;0)*(PptoSty[Division]&lt;&gt;"")*(PptoSty[Division]&lt;&gt;"X")*(PptoSty[Project]=$B31)*(PptoSty[Vrs]=$D31)*(PptoSty[Site]=$F31)*(PptoSty[PiRow]=_xlfn.TEXTAFTER($H31,":"))*(PptoSty[PiColumn]=L$54),0)))</f>
        <v>0</v>
      </c>
      <c r="M31" s="197" cm="1">
        <f t="array" ref="M31">IF(OR($B31="",$B31="X",$D31="",$D31="X",$E31="",$E31="X",$F31="",$F31="X",$G31="",$G31="X",$H31="",$H31="X"),0,SUM(_xlfn._xlws.FILTER(VALUE(PptoSty[Sign]&amp;"1")*1/PptoSty[Division],(PptoSty[Division]&lt;&gt;0)*(PptoSty[Division]&lt;&gt;"")*(PptoSty[Division]&lt;&gt;"X")*(PptoSty[Project]=$B31)*(PptoSty[Vrs]=$D31)*(PptoSty[Site]=$F31)*(PptoSty[PiRow]=_xlfn.TEXTAFTER($H31,":"))*(PptoSty[PiColumn]=M$54),0)))</f>
        <v>0</v>
      </c>
      <c r="N31" s="197" cm="1">
        <f t="array" ref="N31">IF(OR($B31="",$B31="X",$D31="",$D31="X",$E31="",$E31="X",$F31="",$F31="X",$G31="",$G31="X",$H31="",$H31="X"),0,SUM(_xlfn._xlws.FILTER(VALUE(PptoSty[Sign]&amp;"1")*1/PptoSty[Division],(PptoSty[Division]&lt;&gt;0)*(PptoSty[Division]&lt;&gt;"")*(PptoSty[Division]&lt;&gt;"X")*(PptoSty[Project]=$B31)*(PptoSty[Vrs]=$D31)*(PptoSty[Site]=$F31)*(PptoSty[PiRow]=_xlfn.TEXTAFTER($H31,":"))*(PptoSty[PiColumn]=N$54),0)))</f>
        <v>0</v>
      </c>
      <c r="O31" s="197" cm="1">
        <f t="array" ref="O31">IF(OR($B31="",$B31="X",$D31="",$D31="X",$E31="",$E31="X",$F31="",$F31="X",$G31="",$G31="X",$H31="",$H31="X"),0,SUM(_xlfn._xlws.FILTER(VALUE(PptoSty[Sign]&amp;"1")*1/PptoSty[Division],(PptoSty[Division]&lt;&gt;0)*(PptoSty[Division]&lt;&gt;"")*(PptoSty[Division]&lt;&gt;"X")*(PptoSty[Project]=$B31)*(PptoSty[Vrs]=$D31)*(PptoSty[Site]=$F31)*(PptoSty[PiRow]=_xlfn.TEXTAFTER($H31,":"))*(PptoSty[PiColumn]=O$54),0)))</f>
        <v>0</v>
      </c>
      <c r="P31" s="197" cm="1">
        <f t="array" ref="P31">IF(OR($B31="",$B31="X",$D31="",$D31="X",$E31="",$E31="X",$F31="",$F31="X",$G31="",$G31="X",$H31="",$H31="X"),0,SUM(_xlfn._xlws.FILTER(VALUE(PptoSty[Sign]&amp;"1")*1/PptoSty[Division],(PptoSty[Division]&lt;&gt;0)*(PptoSty[Division]&lt;&gt;"")*(PptoSty[Division]&lt;&gt;"X")*(PptoSty[Project]=$B31)*(PptoSty[Vrs]=$D31)*(PptoSty[Site]=$F31)*(PptoSty[PiRow]=_xlfn.TEXTAFTER($H31,":"))*(PptoSty[PiColumn]=P$54),0)))</f>
        <v>0</v>
      </c>
      <c r="Q31" s="197" cm="1">
        <f t="array" ref="Q31">IF(OR($B31="",$B31="X",$D31="",$D31="X",$E31="",$E31="X",$F31="",$F31="X",$G31="",$G31="X",$H31="",$H31="X"),0,SUM(_xlfn._xlws.FILTER(VALUE(PptoSty[Sign]&amp;"1")*1/PptoSty[Division],(PptoSty[Division]&lt;&gt;0)*(PptoSty[Division]&lt;&gt;"")*(PptoSty[Division]&lt;&gt;"X")*(PptoSty[Project]=$B31)*(PptoSty[Vrs]=$D31)*(PptoSty[Site]=$F31)*(PptoSty[PiRow]=_xlfn.TEXTAFTER($H31,":"))*(PptoSty[PiColumn]=Q$54),0)))</f>
        <v>0</v>
      </c>
      <c r="R31" s="197" cm="1">
        <f t="array" ref="R31">IF(OR($B31="",$B31="X",$D31="",$D31="X",$E31="",$E31="X",$F31="",$F31="X",$G31="",$G31="X",$H31="",$H31="X"),0,SUM(_xlfn._xlws.FILTER(VALUE(PptoSty[Sign]&amp;"1")*1/PptoSty[Division],(PptoSty[Division]&lt;&gt;0)*(PptoSty[Division]&lt;&gt;"")*(PptoSty[Division]&lt;&gt;"X")*(PptoSty[Project]=$B31)*(PptoSty[Vrs]=$D31)*(PptoSty[Site]=$F31)*(PptoSty[PiRow]=_xlfn.TEXTAFTER($H31,":"))*(PptoSty[PiColumn]=R$54),0)))</f>
        <v>0</v>
      </c>
      <c r="S31" s="197" cm="1">
        <f t="array" ref="S31">IF(OR($B31="",$B31="X",$D31="",$D31="X",$E31="",$E31="X",$F31="",$F31="X",$G31="",$G31="X",$H31="",$H31="X"),0,SUM(_xlfn._xlws.FILTER(VALUE(PptoSty[Sign]&amp;"1")*1/PptoSty[Division],(PptoSty[Division]&lt;&gt;0)*(PptoSty[Division]&lt;&gt;"")*(PptoSty[Division]&lt;&gt;"X")*(PptoSty[Project]=$B31)*(PptoSty[Vrs]=$D31)*(PptoSty[Site]=$F31)*(PptoSty[PiRow]=_xlfn.TEXTAFTER($H31,":"))*(PptoSty[PiColumn]=S$54),0)))</f>
        <v>0</v>
      </c>
      <c r="T31" s="197" cm="1">
        <f t="array" ref="T31">IF(OR($B31="",$B31="X",$D31="",$D31="X",$E31="",$E31="X",$F31="",$F31="X",$G31="",$G31="X",$H31="",$H31="X"),0,SUM(_xlfn._xlws.FILTER(VALUE(PptoSty[Sign]&amp;"1")*1/PptoSty[Division],(PptoSty[Division]&lt;&gt;0)*(PptoSty[Division]&lt;&gt;"")*(PptoSty[Division]&lt;&gt;"X")*(PptoSty[Project]=$B31)*(PptoSty[Vrs]=$D31)*(PptoSty[Site]=$F31)*(PptoSty[PiRow]=_xlfn.TEXTAFTER($H31,":"))*(PptoSty[PiColumn]=T$54),0)))</f>
        <v>0</v>
      </c>
      <c r="U31" s="197" cm="1">
        <f t="array" ref="U31">IF(OR($B31="",$B31="X",$D31="",$D31="X",$E31="",$E31="X",$F31="",$F31="X",$G31="",$G31="X",$H31="",$H31="X"),0,SUM(_xlfn._xlws.FILTER(VALUE(PptoSty[Sign]&amp;"1")*1/PptoSty[Division],(PptoSty[Division]&lt;&gt;0)*(PptoSty[Division]&lt;&gt;"")*(PptoSty[Division]&lt;&gt;"X")*(PptoSty[Project]=$B31)*(PptoSty[Vrs]=$D31)*(PptoSty[Site]=$F31)*(PptoSty[PiRow]=_xlfn.TEXTAFTER($H31,":"))*(PptoSty[PiColumn]=U$54),0)))</f>
        <v>0</v>
      </c>
      <c r="V31" s="197" cm="1">
        <f t="array" ref="V31">IF(OR($B31="",$B31="X",$D31="",$D31="X",$E31="",$E31="X",$F31="",$F31="X",$G31="",$G31="X",$H31="",$H31="X"),0,SUM(_xlfn._xlws.FILTER(VALUE(PptoSty[Sign]&amp;"1")*1/PptoSty[Division],(PptoSty[Division]&lt;&gt;0)*(PptoSty[Division]&lt;&gt;"")*(PptoSty[Division]&lt;&gt;"X")*(PptoSty[Project]=$B31)*(PptoSty[Vrs]=$D31)*(PptoSty[Site]=$F31)*(PptoSty[PiRow]=_xlfn.TEXTAFTER($H31,":"))*(PptoSty[PiColumn]=V$54),0)))</f>
        <v>0</v>
      </c>
      <c r="W31" s="197" cm="1">
        <f t="array" ref="W31">IF(OR($B31="",$B31="X",$D31="",$D31="X",$E31="",$E31="X",$F31="",$F31="X",$G31="",$G31="X",$H31="",$H31="X"),0,SUM(_xlfn._xlws.FILTER(VALUE(PptoSty[Sign]&amp;"1")*1/PptoSty[Division],(PptoSty[Division]&lt;&gt;0)*(PptoSty[Division]&lt;&gt;"")*(PptoSty[Division]&lt;&gt;"X")*(PptoSty[Project]=$B31)*(PptoSty[Vrs]=$D31)*(PptoSty[Site]=$F31)*(PptoSty[PiRow]=_xlfn.TEXTAFTER($H31,":"))*(PptoSty[PiColumn]=W$54),0)))</f>
        <v>0</v>
      </c>
      <c r="X31" s="197" cm="1">
        <f t="array" ref="X31">IF(OR($B31="",$B31="X",$D31="",$D31="X",$E31="",$E31="X",$F31="",$F31="X",$G31="",$G31="X",$H31="",$H31="X"),0,SUM(_xlfn._xlws.FILTER(VALUE(PptoSty[Sign]&amp;"1")*1/PptoSty[Division],(PptoSty[Division]&lt;&gt;0)*(PptoSty[Division]&lt;&gt;"")*(PptoSty[Division]&lt;&gt;"X")*(PptoSty[Project]=$B31)*(PptoSty[Vrs]=$D31)*(PptoSty[Site]=$F31)*(PptoSty[PiRow]=_xlfn.TEXTAFTER($H31,":"))*(PptoSty[PiColumn]=X$54),0)))</f>
        <v>0</v>
      </c>
      <c r="Y31" s="197" cm="1">
        <f t="array" ref="Y31">IF(OR($B31="",$B31="X",$D31="",$D31="X",$E31="",$E31="X",$F31="",$F31="X",$G31="",$G31="X",$H31="",$H31="X"),0,SUM(_xlfn._xlws.FILTER(VALUE(PptoSty[Sign]&amp;"1")*1/PptoSty[Division],(PptoSty[Division]&lt;&gt;0)*(PptoSty[Division]&lt;&gt;"")*(PptoSty[Division]&lt;&gt;"X")*(PptoSty[Project]=$B31)*(PptoSty[Vrs]=$D31)*(PptoSty[Site]=$F31)*(PptoSty[PiRow]=_xlfn.TEXTAFTER($H31,":"))*(PptoSty[PiColumn]=Y$54),0)))</f>
        <v>0</v>
      </c>
    </row>
    <row r="32" spans="1:26" s="33" customFormat="1" ht="17.25" customHeight="1" outlineLevel="1">
      <c r="A32" s="123"/>
      <c r="B32" s="140" t="str">
        <v>31200</v>
      </c>
      <c r="C32" s="128" t="str">
        <v>Sp</v>
      </c>
      <c r="D32" s="128">
        <v>0</v>
      </c>
      <c r="E32" s="128" t="str">
        <v>CELL</v>
      </c>
      <c r="F32" s="139" t="str">
        <v>SERRA</v>
      </c>
      <c r="G32" s="139" t="str">
        <v>CurPpto</v>
      </c>
      <c r="H32" s="139" t="str">
        <v>X002:SUBGROUP CELL</v>
      </c>
      <c r="I32" s="197" cm="1">
        <f t="array" ref="I32">IF(OR($B32="",$B32="X",$D32="",$D32="X",$E32="",$E32="X",$F32="",$F32="X",$G32="",$G32="X",$H32="",$H32="X"),0,SUM(_xlfn._xlws.FILTER(VALUE(PptoSty[Sign]&amp;"1")*1/PptoSty[Division],(PptoSty[Division]&lt;&gt;0)*(PptoSty[Division]&lt;&gt;"")*(PptoSty[Division]&lt;&gt;"X")*(PptoSty[Project]=$B32)*(PptoSty[Vrs]=$D32)*(PptoSty[Site]=$F32)*(PptoSty[PiRow]=_xlfn.TEXTAFTER($H32,":"))*(PptoSty[PiColumn]=I$54),0)))</f>
        <v>0</v>
      </c>
      <c r="J32" s="197" cm="1">
        <f t="array" ref="J32">IF(OR($B32="",$B32="X",$D32="",$D32="X",$E32="",$E32="X",$F32="",$F32="X",$G32="",$G32="X",$H32="",$H32="X"),0,SUM(_xlfn._xlws.FILTER(VALUE(PptoSty[Sign]&amp;"1")*1/PptoSty[Division],(PptoSty[Division]&lt;&gt;0)*(PptoSty[Division]&lt;&gt;"")*(PptoSty[Division]&lt;&gt;"X")*(PptoSty[Project]=$B32)*(PptoSty[Vrs]=$D32)*(PptoSty[Site]=$F32)*(PptoSty[PiRow]=_xlfn.TEXTAFTER($H32,":"))*(PptoSty[PiColumn]=J$54),0)))</f>
        <v>0</v>
      </c>
      <c r="K32" s="197" cm="1">
        <f t="array" ref="K32">IF(OR($B32="",$B32="X",$D32="",$D32="X",$E32="",$E32="X",$F32="",$F32="X",$G32="",$G32="X",$H32="",$H32="X"),0,SUM(_xlfn._xlws.FILTER(VALUE(PptoSty[Sign]&amp;"1")*1/PptoSty[Division],(PptoSty[Division]&lt;&gt;0)*(PptoSty[Division]&lt;&gt;"")*(PptoSty[Division]&lt;&gt;"X")*(PptoSty[Project]=$B32)*(PptoSty[Vrs]=$D32)*(PptoSty[Site]=$F32)*(PptoSty[PiRow]=_xlfn.TEXTAFTER($H32,":"))*(PptoSty[PiColumn]=K$54),0)))</f>
        <v>0</v>
      </c>
      <c r="L32" s="197" cm="1">
        <f t="array" ref="L32">IF(OR($B32="",$B32="X",$D32="",$D32="X",$E32="",$E32="X",$F32="",$F32="X",$G32="",$G32="X",$H32="",$H32="X"),0,SUM(_xlfn._xlws.FILTER(VALUE(PptoSty[Sign]&amp;"1")*1/PptoSty[Division],(PptoSty[Division]&lt;&gt;0)*(PptoSty[Division]&lt;&gt;"")*(PptoSty[Division]&lt;&gt;"X")*(PptoSty[Project]=$B32)*(PptoSty[Vrs]=$D32)*(PptoSty[Site]=$F32)*(PptoSty[PiRow]=_xlfn.TEXTAFTER($H32,":"))*(PptoSty[PiColumn]=L$54),0)))</f>
        <v>0</v>
      </c>
      <c r="M32" s="197" cm="1">
        <f t="array" ref="M32">IF(OR($B32="",$B32="X",$D32="",$D32="X",$E32="",$E32="X",$F32="",$F32="X",$G32="",$G32="X",$H32="",$H32="X"),0,SUM(_xlfn._xlws.FILTER(VALUE(PptoSty[Sign]&amp;"1")*1/PptoSty[Division],(PptoSty[Division]&lt;&gt;0)*(PptoSty[Division]&lt;&gt;"")*(PptoSty[Division]&lt;&gt;"X")*(PptoSty[Project]=$B32)*(PptoSty[Vrs]=$D32)*(PptoSty[Site]=$F32)*(PptoSty[PiRow]=_xlfn.TEXTAFTER($H32,":"))*(PptoSty[PiColumn]=M$54),0)))</f>
        <v>0</v>
      </c>
      <c r="N32" s="197" cm="1">
        <f t="array" ref="N32">IF(OR($B32="",$B32="X",$D32="",$D32="X",$E32="",$E32="X",$F32="",$F32="X",$G32="",$G32="X",$H32="",$H32="X"),0,SUM(_xlfn._xlws.FILTER(VALUE(PptoSty[Sign]&amp;"1")*1/PptoSty[Division],(PptoSty[Division]&lt;&gt;0)*(PptoSty[Division]&lt;&gt;"")*(PptoSty[Division]&lt;&gt;"X")*(PptoSty[Project]=$B32)*(PptoSty[Vrs]=$D32)*(PptoSty[Site]=$F32)*(PptoSty[PiRow]=_xlfn.TEXTAFTER($H32,":"))*(PptoSty[PiColumn]=N$54),0)))</f>
        <v>0</v>
      </c>
      <c r="O32" s="197" cm="1">
        <f t="array" ref="O32">IF(OR($B32="",$B32="X",$D32="",$D32="X",$E32="",$E32="X",$F32="",$F32="X",$G32="",$G32="X",$H32="",$H32="X"),0,SUM(_xlfn._xlws.FILTER(VALUE(PptoSty[Sign]&amp;"1")*1/PptoSty[Division],(PptoSty[Division]&lt;&gt;0)*(PptoSty[Division]&lt;&gt;"")*(PptoSty[Division]&lt;&gt;"X")*(PptoSty[Project]=$B32)*(PptoSty[Vrs]=$D32)*(PptoSty[Site]=$F32)*(PptoSty[PiRow]=_xlfn.TEXTAFTER($H32,":"))*(PptoSty[PiColumn]=O$54),0)))</f>
        <v>0</v>
      </c>
      <c r="P32" s="197" cm="1">
        <f t="array" ref="P32">IF(OR($B32="",$B32="X",$D32="",$D32="X",$E32="",$E32="X",$F32="",$F32="X",$G32="",$G32="X",$H32="",$H32="X"),0,SUM(_xlfn._xlws.FILTER(VALUE(PptoSty[Sign]&amp;"1")*1/PptoSty[Division],(PptoSty[Division]&lt;&gt;0)*(PptoSty[Division]&lt;&gt;"")*(PptoSty[Division]&lt;&gt;"X")*(PptoSty[Project]=$B32)*(PptoSty[Vrs]=$D32)*(PptoSty[Site]=$F32)*(PptoSty[PiRow]=_xlfn.TEXTAFTER($H32,":"))*(PptoSty[PiColumn]=P$54),0)))</f>
        <v>0</v>
      </c>
      <c r="Q32" s="197" cm="1">
        <f t="array" ref="Q32">IF(OR($B32="",$B32="X",$D32="",$D32="X",$E32="",$E32="X",$F32="",$F32="X",$G32="",$G32="X",$H32="",$H32="X"),0,SUM(_xlfn._xlws.FILTER(VALUE(PptoSty[Sign]&amp;"1")*1/PptoSty[Division],(PptoSty[Division]&lt;&gt;0)*(PptoSty[Division]&lt;&gt;"")*(PptoSty[Division]&lt;&gt;"X")*(PptoSty[Project]=$B32)*(PptoSty[Vrs]=$D32)*(PptoSty[Site]=$F32)*(PptoSty[PiRow]=_xlfn.TEXTAFTER($H32,":"))*(PptoSty[PiColumn]=Q$54),0)))</f>
        <v>0</v>
      </c>
      <c r="R32" s="197" cm="1">
        <f t="array" ref="R32">IF(OR($B32="",$B32="X",$D32="",$D32="X",$E32="",$E32="X",$F32="",$F32="X",$G32="",$G32="X",$H32="",$H32="X"),0,SUM(_xlfn._xlws.FILTER(VALUE(PptoSty[Sign]&amp;"1")*1/PptoSty[Division],(PptoSty[Division]&lt;&gt;0)*(PptoSty[Division]&lt;&gt;"")*(PptoSty[Division]&lt;&gt;"X")*(PptoSty[Project]=$B32)*(PptoSty[Vrs]=$D32)*(PptoSty[Site]=$F32)*(PptoSty[PiRow]=_xlfn.TEXTAFTER($H32,":"))*(PptoSty[PiColumn]=R$54),0)))</f>
        <v>0</v>
      </c>
      <c r="S32" s="197" cm="1">
        <f t="array" ref="S32">IF(OR($B32="",$B32="X",$D32="",$D32="X",$E32="",$E32="X",$F32="",$F32="X",$G32="",$G32="X",$H32="",$H32="X"),0,SUM(_xlfn._xlws.FILTER(VALUE(PptoSty[Sign]&amp;"1")*1/PptoSty[Division],(PptoSty[Division]&lt;&gt;0)*(PptoSty[Division]&lt;&gt;"")*(PptoSty[Division]&lt;&gt;"X")*(PptoSty[Project]=$B32)*(PptoSty[Vrs]=$D32)*(PptoSty[Site]=$F32)*(PptoSty[PiRow]=_xlfn.TEXTAFTER($H32,":"))*(PptoSty[PiColumn]=S$54),0)))</f>
        <v>0</v>
      </c>
      <c r="T32" s="197" cm="1">
        <f t="array" ref="T32">IF(OR($B32="",$B32="X",$D32="",$D32="X",$E32="",$E32="X",$F32="",$F32="X",$G32="",$G32="X",$H32="",$H32="X"),0,SUM(_xlfn._xlws.FILTER(VALUE(PptoSty[Sign]&amp;"1")*1/PptoSty[Division],(PptoSty[Division]&lt;&gt;0)*(PptoSty[Division]&lt;&gt;"")*(PptoSty[Division]&lt;&gt;"X")*(PptoSty[Project]=$B32)*(PptoSty[Vrs]=$D32)*(PptoSty[Site]=$F32)*(PptoSty[PiRow]=_xlfn.TEXTAFTER($H32,":"))*(PptoSty[PiColumn]=T$54),0)))</f>
        <v>0</v>
      </c>
      <c r="U32" s="197" cm="1">
        <f t="array" ref="U32">IF(OR($B32="",$B32="X",$D32="",$D32="X",$E32="",$E32="X",$F32="",$F32="X",$G32="",$G32="X",$H32="",$H32="X"),0,SUM(_xlfn._xlws.FILTER(VALUE(PptoSty[Sign]&amp;"1")*1/PptoSty[Division],(PptoSty[Division]&lt;&gt;0)*(PptoSty[Division]&lt;&gt;"")*(PptoSty[Division]&lt;&gt;"X")*(PptoSty[Project]=$B32)*(PptoSty[Vrs]=$D32)*(PptoSty[Site]=$F32)*(PptoSty[PiRow]=_xlfn.TEXTAFTER($H32,":"))*(PptoSty[PiColumn]=U$54),0)))</f>
        <v>0</v>
      </c>
      <c r="V32" s="197" cm="1">
        <f t="array" ref="V32">IF(OR($B32="",$B32="X",$D32="",$D32="X",$E32="",$E32="X",$F32="",$F32="X",$G32="",$G32="X",$H32="",$H32="X"),0,SUM(_xlfn._xlws.FILTER(VALUE(PptoSty[Sign]&amp;"1")*1/PptoSty[Division],(PptoSty[Division]&lt;&gt;0)*(PptoSty[Division]&lt;&gt;"")*(PptoSty[Division]&lt;&gt;"X")*(PptoSty[Project]=$B32)*(PptoSty[Vrs]=$D32)*(PptoSty[Site]=$F32)*(PptoSty[PiRow]=_xlfn.TEXTAFTER($H32,":"))*(PptoSty[PiColumn]=V$54),0)))</f>
        <v>0</v>
      </c>
      <c r="W32" s="197" cm="1">
        <f t="array" ref="W32">IF(OR($B32="",$B32="X",$D32="",$D32="X",$E32="",$E32="X",$F32="",$F32="X",$G32="",$G32="X",$H32="",$H32="X"),0,SUM(_xlfn._xlws.FILTER(VALUE(PptoSty[Sign]&amp;"1")*1/PptoSty[Division],(PptoSty[Division]&lt;&gt;0)*(PptoSty[Division]&lt;&gt;"")*(PptoSty[Division]&lt;&gt;"X")*(PptoSty[Project]=$B32)*(PptoSty[Vrs]=$D32)*(PptoSty[Site]=$F32)*(PptoSty[PiRow]=_xlfn.TEXTAFTER($H32,":"))*(PptoSty[PiColumn]=W$54),0)))</f>
        <v>0</v>
      </c>
      <c r="X32" s="197" cm="1">
        <f t="array" ref="X32">IF(OR($B32="",$B32="X",$D32="",$D32="X",$E32="",$E32="X",$F32="",$F32="X",$G32="",$G32="X",$H32="",$H32="X"),0,SUM(_xlfn._xlws.FILTER(VALUE(PptoSty[Sign]&amp;"1")*1/PptoSty[Division],(PptoSty[Division]&lt;&gt;0)*(PptoSty[Division]&lt;&gt;"")*(PptoSty[Division]&lt;&gt;"X")*(PptoSty[Project]=$B32)*(PptoSty[Vrs]=$D32)*(PptoSty[Site]=$F32)*(PptoSty[PiRow]=_xlfn.TEXTAFTER($H32,":"))*(PptoSty[PiColumn]=X$54),0)))</f>
        <v>0</v>
      </c>
      <c r="Y32" s="197" cm="1">
        <f t="array" ref="Y32">IF(OR($B32="",$B32="X",$D32="",$D32="X",$E32="",$E32="X",$F32="",$F32="X",$G32="",$G32="X",$H32="",$H32="X"),0,SUM(_xlfn._xlws.FILTER(VALUE(PptoSty[Sign]&amp;"1")*1/PptoSty[Division],(PptoSty[Division]&lt;&gt;0)*(PptoSty[Division]&lt;&gt;"")*(PptoSty[Division]&lt;&gt;"X")*(PptoSty[Project]=$B32)*(PptoSty[Vrs]=$D32)*(PptoSty[Site]=$F32)*(PptoSty[PiRow]=_xlfn.TEXTAFTER($H32,":"))*(PptoSty[PiColumn]=Y$54),0)))</f>
        <v>0</v>
      </c>
    </row>
    <row r="33" spans="1:25" s="33" customFormat="1" ht="17.25" customHeight="1" outlineLevel="1">
      <c r="A33" s="123"/>
      <c r="B33" s="140" t="str">
        <v>31200</v>
      </c>
      <c r="C33" s="128" t="str">
        <v>Sp</v>
      </c>
      <c r="D33" s="128">
        <v>0</v>
      </c>
      <c r="E33" s="128" t="str">
        <v>TRSL</v>
      </c>
      <c r="F33" s="139" t="str">
        <v>PLANT</v>
      </c>
      <c r="G33" s="139" t="str">
        <v>CurPpto</v>
      </c>
      <c r="H33" s="139" t="str">
        <v>X003:SUBGROUP TRSL</v>
      </c>
      <c r="I33" s="197" cm="1">
        <f t="array" ref="I33">IF(OR($B33="",$B33="X",$D33="",$D33="X",$E33="",$E33="X",$F33="",$F33="X",$G33="",$G33="X",$H33="",$H33="X"),0,SUM(_xlfn._xlws.FILTER(VALUE(PptoSty[Sign]&amp;"1")*1/PptoSty[Division],(PptoSty[Division]&lt;&gt;0)*(PptoSty[Division]&lt;&gt;"")*(PptoSty[Division]&lt;&gt;"X")*(PptoSty[Project]=$B33)*(PptoSty[Vrs]=$D33)*(PptoSty[Site]=$F33)*(PptoSty[PiRow]=_xlfn.TEXTAFTER($H33,":"))*(PptoSty[PiColumn]=I$54),0)))</f>
        <v>0</v>
      </c>
      <c r="J33" s="197" cm="1">
        <f t="array" ref="J33">IF(OR($B33="",$B33="X",$D33="",$D33="X",$E33="",$E33="X",$F33="",$F33="X",$G33="",$G33="X",$H33="",$H33="X"),0,SUM(_xlfn._xlws.FILTER(VALUE(PptoSty[Sign]&amp;"1")*1/PptoSty[Division],(PptoSty[Division]&lt;&gt;0)*(PptoSty[Division]&lt;&gt;"")*(PptoSty[Division]&lt;&gt;"X")*(PptoSty[Project]=$B33)*(PptoSty[Vrs]=$D33)*(PptoSty[Site]=$F33)*(PptoSty[PiRow]=_xlfn.TEXTAFTER($H33,":"))*(PptoSty[PiColumn]=J$54),0)))</f>
        <v>0</v>
      </c>
      <c r="K33" s="197" cm="1">
        <f t="array" ref="K33">IF(OR($B33="",$B33="X",$D33="",$D33="X",$E33="",$E33="X",$F33="",$F33="X",$G33="",$G33="X",$H33="",$H33="X"),0,SUM(_xlfn._xlws.FILTER(VALUE(PptoSty[Sign]&amp;"1")*1/PptoSty[Division],(PptoSty[Division]&lt;&gt;0)*(PptoSty[Division]&lt;&gt;"")*(PptoSty[Division]&lt;&gt;"X")*(PptoSty[Project]=$B33)*(PptoSty[Vrs]=$D33)*(PptoSty[Site]=$F33)*(PptoSty[PiRow]=_xlfn.TEXTAFTER($H33,":"))*(PptoSty[PiColumn]=K$54),0)))</f>
        <v>0</v>
      </c>
      <c r="L33" s="197" cm="1">
        <f t="array" ref="L33">IF(OR($B33="",$B33="X",$D33="",$D33="X",$E33="",$E33="X",$F33="",$F33="X",$G33="",$G33="X",$H33="",$H33="X"),0,SUM(_xlfn._xlws.FILTER(VALUE(PptoSty[Sign]&amp;"1")*1/PptoSty[Division],(PptoSty[Division]&lt;&gt;0)*(PptoSty[Division]&lt;&gt;"")*(PptoSty[Division]&lt;&gt;"X")*(PptoSty[Project]=$B33)*(PptoSty[Vrs]=$D33)*(PptoSty[Site]=$F33)*(PptoSty[PiRow]=_xlfn.TEXTAFTER($H33,":"))*(PptoSty[PiColumn]=L$54),0)))</f>
        <v>0</v>
      </c>
      <c r="M33" s="197" cm="1">
        <f t="array" ref="M33">IF(OR($B33="",$B33="X",$D33="",$D33="X",$E33="",$E33="X",$F33="",$F33="X",$G33="",$G33="X",$H33="",$H33="X"),0,SUM(_xlfn._xlws.FILTER(VALUE(PptoSty[Sign]&amp;"1")*1/PptoSty[Division],(PptoSty[Division]&lt;&gt;0)*(PptoSty[Division]&lt;&gt;"")*(PptoSty[Division]&lt;&gt;"X")*(PptoSty[Project]=$B33)*(PptoSty[Vrs]=$D33)*(PptoSty[Site]=$F33)*(PptoSty[PiRow]=_xlfn.TEXTAFTER($H33,":"))*(PptoSty[PiColumn]=M$54),0)))</f>
        <v>0</v>
      </c>
      <c r="N33" s="197" cm="1">
        <f t="array" ref="N33">IF(OR($B33="",$B33="X",$D33="",$D33="X",$E33="",$E33="X",$F33="",$F33="X",$G33="",$G33="X",$H33="",$H33="X"),0,SUM(_xlfn._xlws.FILTER(VALUE(PptoSty[Sign]&amp;"1")*1/PptoSty[Division],(PptoSty[Division]&lt;&gt;0)*(PptoSty[Division]&lt;&gt;"")*(PptoSty[Division]&lt;&gt;"X")*(PptoSty[Project]=$B33)*(PptoSty[Vrs]=$D33)*(PptoSty[Site]=$F33)*(PptoSty[PiRow]=_xlfn.TEXTAFTER($H33,":"))*(PptoSty[PiColumn]=N$54),0)))</f>
        <v>0</v>
      </c>
      <c r="O33" s="197" cm="1">
        <f t="array" ref="O33">IF(OR($B33="",$B33="X",$D33="",$D33="X",$E33="",$E33="X",$F33="",$F33="X",$G33="",$G33="X",$H33="",$H33="X"),0,SUM(_xlfn._xlws.FILTER(VALUE(PptoSty[Sign]&amp;"1")*1/PptoSty[Division],(PptoSty[Division]&lt;&gt;0)*(PptoSty[Division]&lt;&gt;"")*(PptoSty[Division]&lt;&gt;"X")*(PptoSty[Project]=$B33)*(PptoSty[Vrs]=$D33)*(PptoSty[Site]=$F33)*(PptoSty[PiRow]=_xlfn.TEXTAFTER($H33,":"))*(PptoSty[PiColumn]=O$54),0)))</f>
        <v>0</v>
      </c>
      <c r="P33" s="197" cm="1">
        <f t="array" ref="P33">IF(OR($B33="",$B33="X",$D33="",$D33="X",$E33="",$E33="X",$F33="",$F33="X",$G33="",$G33="X",$H33="",$H33="X"),0,SUM(_xlfn._xlws.FILTER(VALUE(PptoSty[Sign]&amp;"1")*1/PptoSty[Division],(PptoSty[Division]&lt;&gt;0)*(PptoSty[Division]&lt;&gt;"")*(PptoSty[Division]&lt;&gt;"X")*(PptoSty[Project]=$B33)*(PptoSty[Vrs]=$D33)*(PptoSty[Site]=$F33)*(PptoSty[PiRow]=_xlfn.TEXTAFTER($H33,":"))*(PptoSty[PiColumn]=P$54),0)))</f>
        <v>0</v>
      </c>
      <c r="Q33" s="197" cm="1">
        <f t="array" ref="Q33">IF(OR($B33="",$B33="X",$D33="",$D33="X",$E33="",$E33="X",$F33="",$F33="X",$G33="",$G33="X",$H33="",$H33="X"),0,SUM(_xlfn._xlws.FILTER(VALUE(PptoSty[Sign]&amp;"1")*1/PptoSty[Division],(PptoSty[Division]&lt;&gt;0)*(PptoSty[Division]&lt;&gt;"")*(PptoSty[Division]&lt;&gt;"X")*(PptoSty[Project]=$B33)*(PptoSty[Vrs]=$D33)*(PptoSty[Site]=$F33)*(PptoSty[PiRow]=_xlfn.TEXTAFTER($H33,":"))*(PptoSty[PiColumn]=Q$54),0)))</f>
        <v>0</v>
      </c>
      <c r="R33" s="197" cm="1">
        <f t="array" ref="R33">IF(OR($B33="",$B33="X",$D33="",$D33="X",$E33="",$E33="X",$F33="",$F33="X",$G33="",$G33="X",$H33="",$H33="X"),0,SUM(_xlfn._xlws.FILTER(VALUE(PptoSty[Sign]&amp;"1")*1/PptoSty[Division],(PptoSty[Division]&lt;&gt;0)*(PptoSty[Division]&lt;&gt;"")*(PptoSty[Division]&lt;&gt;"X")*(PptoSty[Project]=$B33)*(PptoSty[Vrs]=$D33)*(PptoSty[Site]=$F33)*(PptoSty[PiRow]=_xlfn.TEXTAFTER($H33,":"))*(PptoSty[PiColumn]=R$54),0)))</f>
        <v>0</v>
      </c>
      <c r="S33" s="197" cm="1">
        <f t="array" ref="S33">IF(OR($B33="",$B33="X",$D33="",$D33="X",$E33="",$E33="X",$F33="",$F33="X",$G33="",$G33="X",$H33="",$H33="X"),0,SUM(_xlfn._xlws.FILTER(VALUE(PptoSty[Sign]&amp;"1")*1/PptoSty[Division],(PptoSty[Division]&lt;&gt;0)*(PptoSty[Division]&lt;&gt;"")*(PptoSty[Division]&lt;&gt;"X")*(PptoSty[Project]=$B33)*(PptoSty[Vrs]=$D33)*(PptoSty[Site]=$F33)*(PptoSty[PiRow]=_xlfn.TEXTAFTER($H33,":"))*(PptoSty[PiColumn]=S$54),0)))</f>
        <v>0</v>
      </c>
      <c r="T33" s="197" cm="1">
        <f t="array" ref="T33">IF(OR($B33="",$B33="X",$D33="",$D33="X",$E33="",$E33="X",$F33="",$F33="X",$G33="",$G33="X",$H33="",$H33="X"),0,SUM(_xlfn._xlws.FILTER(VALUE(PptoSty[Sign]&amp;"1")*1/PptoSty[Division],(PptoSty[Division]&lt;&gt;0)*(PptoSty[Division]&lt;&gt;"")*(PptoSty[Division]&lt;&gt;"X")*(PptoSty[Project]=$B33)*(PptoSty[Vrs]=$D33)*(PptoSty[Site]=$F33)*(PptoSty[PiRow]=_xlfn.TEXTAFTER($H33,":"))*(PptoSty[PiColumn]=T$54),0)))</f>
        <v>0</v>
      </c>
      <c r="U33" s="197" cm="1">
        <f t="array" ref="U33">IF(OR($B33="",$B33="X",$D33="",$D33="X",$E33="",$E33="X",$F33="",$F33="X",$G33="",$G33="X",$H33="",$H33="X"),0,SUM(_xlfn._xlws.FILTER(VALUE(PptoSty[Sign]&amp;"1")*1/PptoSty[Division],(PptoSty[Division]&lt;&gt;0)*(PptoSty[Division]&lt;&gt;"")*(PptoSty[Division]&lt;&gt;"X")*(PptoSty[Project]=$B33)*(PptoSty[Vrs]=$D33)*(PptoSty[Site]=$F33)*(PptoSty[PiRow]=_xlfn.TEXTAFTER($H33,":"))*(PptoSty[PiColumn]=U$54),0)))</f>
        <v>0</v>
      </c>
      <c r="V33" s="197" cm="1">
        <f t="array" ref="V33">IF(OR($B33="",$B33="X",$D33="",$D33="X",$E33="",$E33="X",$F33="",$F33="X",$G33="",$G33="X",$H33="",$H33="X"),0,SUM(_xlfn._xlws.FILTER(VALUE(PptoSty[Sign]&amp;"1")*1/PptoSty[Division],(PptoSty[Division]&lt;&gt;0)*(PptoSty[Division]&lt;&gt;"")*(PptoSty[Division]&lt;&gt;"X")*(PptoSty[Project]=$B33)*(PptoSty[Vrs]=$D33)*(PptoSty[Site]=$F33)*(PptoSty[PiRow]=_xlfn.TEXTAFTER($H33,":"))*(PptoSty[PiColumn]=V$54),0)))</f>
        <v>0</v>
      </c>
      <c r="W33" s="197" cm="1">
        <f t="array" ref="W33">IF(OR($B33="",$B33="X",$D33="",$D33="X",$E33="",$E33="X",$F33="",$F33="X",$G33="",$G33="X",$H33="",$H33="X"),0,SUM(_xlfn._xlws.FILTER(VALUE(PptoSty[Sign]&amp;"1")*1/PptoSty[Division],(PptoSty[Division]&lt;&gt;0)*(PptoSty[Division]&lt;&gt;"")*(PptoSty[Division]&lt;&gt;"X")*(PptoSty[Project]=$B33)*(PptoSty[Vrs]=$D33)*(PptoSty[Site]=$F33)*(PptoSty[PiRow]=_xlfn.TEXTAFTER($H33,":"))*(PptoSty[PiColumn]=W$54),0)))</f>
        <v>0</v>
      </c>
      <c r="X33" s="197" cm="1">
        <f t="array" ref="X33">IF(OR($B33="",$B33="X",$D33="",$D33="X",$E33="",$E33="X",$F33="",$F33="X",$G33="",$G33="X",$H33="",$H33="X"),0,SUM(_xlfn._xlws.FILTER(VALUE(PptoSty[Sign]&amp;"1")*1/PptoSty[Division],(PptoSty[Division]&lt;&gt;0)*(PptoSty[Division]&lt;&gt;"")*(PptoSty[Division]&lt;&gt;"X")*(PptoSty[Project]=$B33)*(PptoSty[Vrs]=$D33)*(PptoSty[Site]=$F33)*(PptoSty[PiRow]=_xlfn.TEXTAFTER($H33,":"))*(PptoSty[PiColumn]=X$54),0)))</f>
        <v>0</v>
      </c>
      <c r="Y33" s="197" cm="1">
        <f t="array" ref="Y33">IF(OR($B33="",$B33="X",$D33="",$D33="X",$E33="",$E33="X",$F33="",$F33="X",$G33="",$G33="X",$H33="",$H33="X"),0,SUM(_xlfn._xlws.FILTER(VALUE(PptoSty[Sign]&amp;"1")*1/PptoSty[Division],(PptoSty[Division]&lt;&gt;0)*(PptoSty[Division]&lt;&gt;"")*(PptoSty[Division]&lt;&gt;"X")*(PptoSty[Project]=$B33)*(PptoSty[Vrs]=$D33)*(PptoSty[Site]=$F33)*(PptoSty[PiRow]=_xlfn.TEXTAFTER($H33,":"))*(PptoSty[PiColumn]=Y$54),0)))</f>
        <v>0</v>
      </c>
    </row>
    <row r="34" spans="1:25" s="33" customFormat="1" ht="17.25" customHeight="1" outlineLevel="1">
      <c r="A34" s="123"/>
      <c r="B34" s="140" t="str">
        <v>31200</v>
      </c>
      <c r="C34" s="128" t="str">
        <v>Sp</v>
      </c>
      <c r="D34" s="128">
        <v>0</v>
      </c>
      <c r="E34" s="128" t="str">
        <v>TRSL</v>
      </c>
      <c r="F34" s="139" t="str">
        <v>SERRA</v>
      </c>
      <c r="G34" s="139" t="str">
        <v>CurPpto</v>
      </c>
      <c r="H34" s="139" t="str">
        <v>X003:SUBGROUP TRSL</v>
      </c>
      <c r="I34" s="197" cm="1">
        <f t="array" ref="I34">IF(OR($B34="",$B34="X",$D34="",$D34="X",$E34="",$E34="X",$F34="",$F34="X",$G34="",$G34="X",$H34="",$H34="X"),0,SUM(_xlfn._xlws.FILTER(VALUE(PptoSty[Sign]&amp;"1")*1/PptoSty[Division],(PptoSty[Division]&lt;&gt;0)*(PptoSty[Division]&lt;&gt;"")*(PptoSty[Division]&lt;&gt;"X")*(PptoSty[Project]=$B34)*(PptoSty[Vrs]=$D34)*(PptoSty[Site]=$F34)*(PptoSty[PiRow]=_xlfn.TEXTAFTER($H34,":"))*(PptoSty[PiColumn]=I$54),0)))</f>
        <v>0</v>
      </c>
      <c r="J34" s="197" cm="1">
        <f t="array" ref="J34">IF(OR($B34="",$B34="X",$D34="",$D34="X",$E34="",$E34="X",$F34="",$F34="X",$G34="",$G34="X",$H34="",$H34="X"),0,SUM(_xlfn._xlws.FILTER(VALUE(PptoSty[Sign]&amp;"1")*1/PptoSty[Division],(PptoSty[Division]&lt;&gt;0)*(PptoSty[Division]&lt;&gt;"")*(PptoSty[Division]&lt;&gt;"X")*(PptoSty[Project]=$B34)*(PptoSty[Vrs]=$D34)*(PptoSty[Site]=$F34)*(PptoSty[PiRow]=_xlfn.TEXTAFTER($H34,":"))*(PptoSty[PiColumn]=J$54),0)))</f>
        <v>0</v>
      </c>
      <c r="K34" s="197" cm="1">
        <f t="array" ref="K34">IF(OR($B34="",$B34="X",$D34="",$D34="X",$E34="",$E34="X",$F34="",$F34="X",$G34="",$G34="X",$H34="",$H34="X"),0,SUM(_xlfn._xlws.FILTER(VALUE(PptoSty[Sign]&amp;"1")*1/PptoSty[Division],(PptoSty[Division]&lt;&gt;0)*(PptoSty[Division]&lt;&gt;"")*(PptoSty[Division]&lt;&gt;"X")*(PptoSty[Project]=$B34)*(PptoSty[Vrs]=$D34)*(PptoSty[Site]=$F34)*(PptoSty[PiRow]=_xlfn.TEXTAFTER($H34,":"))*(PptoSty[PiColumn]=K$54),0)))</f>
        <v>0</v>
      </c>
      <c r="L34" s="197" cm="1">
        <f t="array" ref="L34">IF(OR($B34="",$B34="X",$D34="",$D34="X",$E34="",$E34="X",$F34="",$F34="X",$G34="",$G34="X",$H34="",$H34="X"),0,SUM(_xlfn._xlws.FILTER(VALUE(PptoSty[Sign]&amp;"1")*1/PptoSty[Division],(PptoSty[Division]&lt;&gt;0)*(PptoSty[Division]&lt;&gt;"")*(PptoSty[Division]&lt;&gt;"X")*(PptoSty[Project]=$B34)*(PptoSty[Vrs]=$D34)*(PptoSty[Site]=$F34)*(PptoSty[PiRow]=_xlfn.TEXTAFTER($H34,":"))*(PptoSty[PiColumn]=L$54),0)))</f>
        <v>0</v>
      </c>
      <c r="M34" s="197" cm="1">
        <f t="array" ref="M34">IF(OR($B34="",$B34="X",$D34="",$D34="X",$E34="",$E34="X",$F34="",$F34="X",$G34="",$G34="X",$H34="",$H34="X"),0,SUM(_xlfn._xlws.FILTER(VALUE(PptoSty[Sign]&amp;"1")*1/PptoSty[Division],(PptoSty[Division]&lt;&gt;0)*(PptoSty[Division]&lt;&gt;"")*(PptoSty[Division]&lt;&gt;"X")*(PptoSty[Project]=$B34)*(PptoSty[Vrs]=$D34)*(PptoSty[Site]=$F34)*(PptoSty[PiRow]=_xlfn.TEXTAFTER($H34,":"))*(PptoSty[PiColumn]=M$54),0)))</f>
        <v>0</v>
      </c>
      <c r="N34" s="197" cm="1">
        <f t="array" ref="N34">IF(OR($B34="",$B34="X",$D34="",$D34="X",$E34="",$E34="X",$F34="",$F34="X",$G34="",$G34="X",$H34="",$H34="X"),0,SUM(_xlfn._xlws.FILTER(VALUE(PptoSty[Sign]&amp;"1")*1/PptoSty[Division],(PptoSty[Division]&lt;&gt;0)*(PptoSty[Division]&lt;&gt;"")*(PptoSty[Division]&lt;&gt;"X")*(PptoSty[Project]=$B34)*(PptoSty[Vrs]=$D34)*(PptoSty[Site]=$F34)*(PptoSty[PiRow]=_xlfn.TEXTAFTER($H34,":"))*(PptoSty[PiColumn]=N$54),0)))</f>
        <v>0</v>
      </c>
      <c r="O34" s="197" cm="1">
        <f t="array" ref="O34">IF(OR($B34="",$B34="X",$D34="",$D34="X",$E34="",$E34="X",$F34="",$F34="X",$G34="",$G34="X",$H34="",$H34="X"),0,SUM(_xlfn._xlws.FILTER(VALUE(PptoSty[Sign]&amp;"1")*1/PptoSty[Division],(PptoSty[Division]&lt;&gt;0)*(PptoSty[Division]&lt;&gt;"")*(PptoSty[Division]&lt;&gt;"X")*(PptoSty[Project]=$B34)*(PptoSty[Vrs]=$D34)*(PptoSty[Site]=$F34)*(PptoSty[PiRow]=_xlfn.TEXTAFTER($H34,":"))*(PptoSty[PiColumn]=O$54),0)))</f>
        <v>0</v>
      </c>
      <c r="P34" s="197" cm="1">
        <f t="array" ref="P34">IF(OR($B34="",$B34="X",$D34="",$D34="X",$E34="",$E34="X",$F34="",$F34="X",$G34="",$G34="X",$H34="",$H34="X"),0,SUM(_xlfn._xlws.FILTER(VALUE(PptoSty[Sign]&amp;"1")*1/PptoSty[Division],(PptoSty[Division]&lt;&gt;0)*(PptoSty[Division]&lt;&gt;"")*(PptoSty[Division]&lt;&gt;"X")*(PptoSty[Project]=$B34)*(PptoSty[Vrs]=$D34)*(PptoSty[Site]=$F34)*(PptoSty[PiRow]=_xlfn.TEXTAFTER($H34,":"))*(PptoSty[PiColumn]=P$54),0)))</f>
        <v>0</v>
      </c>
      <c r="Q34" s="197" cm="1">
        <f t="array" ref="Q34">IF(OR($B34="",$B34="X",$D34="",$D34="X",$E34="",$E34="X",$F34="",$F34="X",$G34="",$G34="X",$H34="",$H34="X"),0,SUM(_xlfn._xlws.FILTER(VALUE(PptoSty[Sign]&amp;"1")*1/PptoSty[Division],(PptoSty[Division]&lt;&gt;0)*(PptoSty[Division]&lt;&gt;"")*(PptoSty[Division]&lt;&gt;"X")*(PptoSty[Project]=$B34)*(PptoSty[Vrs]=$D34)*(PptoSty[Site]=$F34)*(PptoSty[PiRow]=_xlfn.TEXTAFTER($H34,":"))*(PptoSty[PiColumn]=Q$54),0)))</f>
        <v>0</v>
      </c>
      <c r="R34" s="197" cm="1">
        <f t="array" ref="R34">IF(OR($B34="",$B34="X",$D34="",$D34="X",$E34="",$E34="X",$F34="",$F34="X",$G34="",$G34="X",$H34="",$H34="X"),0,SUM(_xlfn._xlws.FILTER(VALUE(PptoSty[Sign]&amp;"1")*1/PptoSty[Division],(PptoSty[Division]&lt;&gt;0)*(PptoSty[Division]&lt;&gt;"")*(PptoSty[Division]&lt;&gt;"X")*(PptoSty[Project]=$B34)*(PptoSty[Vrs]=$D34)*(PptoSty[Site]=$F34)*(PptoSty[PiRow]=_xlfn.TEXTAFTER($H34,":"))*(PptoSty[PiColumn]=R$54),0)))</f>
        <v>0</v>
      </c>
      <c r="S34" s="197" cm="1">
        <f t="array" ref="S34">IF(OR($B34="",$B34="X",$D34="",$D34="X",$E34="",$E34="X",$F34="",$F34="X",$G34="",$G34="X",$H34="",$H34="X"),0,SUM(_xlfn._xlws.FILTER(VALUE(PptoSty[Sign]&amp;"1")*1/PptoSty[Division],(PptoSty[Division]&lt;&gt;0)*(PptoSty[Division]&lt;&gt;"")*(PptoSty[Division]&lt;&gt;"X")*(PptoSty[Project]=$B34)*(PptoSty[Vrs]=$D34)*(PptoSty[Site]=$F34)*(PptoSty[PiRow]=_xlfn.TEXTAFTER($H34,":"))*(PptoSty[PiColumn]=S$54),0)))</f>
        <v>0</v>
      </c>
      <c r="T34" s="197" cm="1">
        <f t="array" ref="T34">IF(OR($B34="",$B34="X",$D34="",$D34="X",$E34="",$E34="X",$F34="",$F34="X",$G34="",$G34="X",$H34="",$H34="X"),0,SUM(_xlfn._xlws.FILTER(VALUE(PptoSty[Sign]&amp;"1")*1/PptoSty[Division],(PptoSty[Division]&lt;&gt;0)*(PptoSty[Division]&lt;&gt;"")*(PptoSty[Division]&lt;&gt;"X")*(PptoSty[Project]=$B34)*(PptoSty[Vrs]=$D34)*(PptoSty[Site]=$F34)*(PptoSty[PiRow]=_xlfn.TEXTAFTER($H34,":"))*(PptoSty[PiColumn]=T$54),0)))</f>
        <v>0</v>
      </c>
      <c r="U34" s="197" cm="1">
        <f t="array" ref="U34">IF(OR($B34="",$B34="X",$D34="",$D34="X",$E34="",$E34="X",$F34="",$F34="X",$G34="",$G34="X",$H34="",$H34="X"),0,SUM(_xlfn._xlws.FILTER(VALUE(PptoSty[Sign]&amp;"1")*1/PptoSty[Division],(PptoSty[Division]&lt;&gt;0)*(PptoSty[Division]&lt;&gt;"")*(PptoSty[Division]&lt;&gt;"X")*(PptoSty[Project]=$B34)*(PptoSty[Vrs]=$D34)*(PptoSty[Site]=$F34)*(PptoSty[PiRow]=_xlfn.TEXTAFTER($H34,":"))*(PptoSty[PiColumn]=U$54),0)))</f>
        <v>0</v>
      </c>
      <c r="V34" s="197" cm="1">
        <f t="array" ref="V34">IF(OR($B34="",$B34="X",$D34="",$D34="X",$E34="",$E34="X",$F34="",$F34="X",$G34="",$G34="X",$H34="",$H34="X"),0,SUM(_xlfn._xlws.FILTER(VALUE(PptoSty[Sign]&amp;"1")*1/PptoSty[Division],(PptoSty[Division]&lt;&gt;0)*(PptoSty[Division]&lt;&gt;"")*(PptoSty[Division]&lt;&gt;"X")*(PptoSty[Project]=$B34)*(PptoSty[Vrs]=$D34)*(PptoSty[Site]=$F34)*(PptoSty[PiRow]=_xlfn.TEXTAFTER($H34,":"))*(PptoSty[PiColumn]=V$54),0)))</f>
        <v>0</v>
      </c>
      <c r="W34" s="197" cm="1">
        <f t="array" ref="W34">IF(OR($B34="",$B34="X",$D34="",$D34="X",$E34="",$E34="X",$F34="",$F34="X",$G34="",$G34="X",$H34="",$H34="X"),0,SUM(_xlfn._xlws.FILTER(VALUE(PptoSty[Sign]&amp;"1")*1/PptoSty[Division],(PptoSty[Division]&lt;&gt;0)*(PptoSty[Division]&lt;&gt;"")*(PptoSty[Division]&lt;&gt;"X")*(PptoSty[Project]=$B34)*(PptoSty[Vrs]=$D34)*(PptoSty[Site]=$F34)*(PptoSty[PiRow]=_xlfn.TEXTAFTER($H34,":"))*(PptoSty[PiColumn]=W$54),0)))</f>
        <v>0</v>
      </c>
      <c r="X34" s="197" cm="1">
        <f t="array" ref="X34">IF(OR($B34="",$B34="X",$D34="",$D34="X",$E34="",$E34="X",$F34="",$F34="X",$G34="",$G34="X",$H34="",$H34="X"),0,SUM(_xlfn._xlws.FILTER(VALUE(PptoSty[Sign]&amp;"1")*1/PptoSty[Division],(PptoSty[Division]&lt;&gt;0)*(PptoSty[Division]&lt;&gt;"")*(PptoSty[Division]&lt;&gt;"X")*(PptoSty[Project]=$B34)*(PptoSty[Vrs]=$D34)*(PptoSty[Site]=$F34)*(PptoSty[PiRow]=_xlfn.TEXTAFTER($H34,":"))*(PptoSty[PiColumn]=X$54),0)))</f>
        <v>0</v>
      </c>
      <c r="Y34" s="197" cm="1">
        <f t="array" ref="Y34">IF(OR($B34="",$B34="X",$D34="",$D34="X",$E34="",$E34="X",$F34="",$F34="X",$G34="",$G34="X",$H34="",$H34="X"),0,SUM(_xlfn._xlws.FILTER(VALUE(PptoSty[Sign]&amp;"1")*1/PptoSty[Division],(PptoSty[Division]&lt;&gt;0)*(PptoSty[Division]&lt;&gt;"")*(PptoSty[Division]&lt;&gt;"X")*(PptoSty[Project]=$B34)*(PptoSty[Vrs]=$D34)*(PptoSty[Site]=$F34)*(PptoSty[PiRow]=_xlfn.TEXTAFTER($H34,":"))*(PptoSty[PiColumn]=Y$54),0)))</f>
        <v>0</v>
      </c>
    </row>
    <row r="35" spans="1:25" s="33" customFormat="1" ht="17.25" customHeight="1" outlineLevel="1">
      <c r="A35" s="123"/>
      <c r="B35" s="140" t="str">
        <v>31200</v>
      </c>
      <c r="C35" s="128" t="str">
        <v>Sp</v>
      </c>
      <c r="D35" s="128">
        <v>0</v>
      </c>
      <c r="E35" s="128" t="str">
        <v>GSDF</v>
      </c>
      <c r="F35" s="139" t="str">
        <v>SERRA</v>
      </c>
      <c r="G35" s="139" t="str">
        <v>CurPpto</v>
      </c>
      <c r="H35" s="139" t="str">
        <v>X004:SUBGROUP GSDF</v>
      </c>
      <c r="I35" s="197" cm="1">
        <f t="array" ref="I35">IF(OR($B35="",$B35="X",$D35="",$D35="X",$E35="",$E35="X",$F35="",$F35="X",$G35="",$G35="X",$H35="",$H35="X"),0,SUM(_xlfn._xlws.FILTER(VALUE(PptoSty[Sign]&amp;"1")*1/PptoSty[Division],(PptoSty[Division]&lt;&gt;0)*(PptoSty[Division]&lt;&gt;"")*(PptoSty[Division]&lt;&gt;"X")*(PptoSty[Project]=$B35)*(PptoSty[Vrs]=$D35)*(PptoSty[Site]=$F35)*(PptoSty[PiRow]=_xlfn.TEXTAFTER($H35,":"))*(PptoSty[PiColumn]=I$54),0)))</f>
        <v>0</v>
      </c>
      <c r="J35" s="197" cm="1">
        <f t="array" ref="J35">IF(OR($B35="",$B35="X",$D35="",$D35="X",$E35="",$E35="X",$F35="",$F35="X",$G35="",$G35="X",$H35="",$H35="X"),0,SUM(_xlfn._xlws.FILTER(VALUE(PptoSty[Sign]&amp;"1")*1/PptoSty[Division],(PptoSty[Division]&lt;&gt;0)*(PptoSty[Division]&lt;&gt;"")*(PptoSty[Division]&lt;&gt;"X")*(PptoSty[Project]=$B35)*(PptoSty[Vrs]=$D35)*(PptoSty[Site]=$F35)*(PptoSty[PiRow]=_xlfn.TEXTAFTER($H35,":"))*(PptoSty[PiColumn]=J$54),0)))</f>
        <v>0</v>
      </c>
      <c r="K35" s="197" cm="1">
        <f t="array" ref="K35">IF(OR($B35="",$B35="X",$D35="",$D35="X",$E35="",$E35="X",$F35="",$F35="X",$G35="",$G35="X",$H35="",$H35="X"),0,SUM(_xlfn._xlws.FILTER(VALUE(PptoSty[Sign]&amp;"1")*1/PptoSty[Division],(PptoSty[Division]&lt;&gt;0)*(PptoSty[Division]&lt;&gt;"")*(PptoSty[Division]&lt;&gt;"X")*(PptoSty[Project]=$B35)*(PptoSty[Vrs]=$D35)*(PptoSty[Site]=$F35)*(PptoSty[PiRow]=_xlfn.TEXTAFTER($H35,":"))*(PptoSty[PiColumn]=K$54),0)))</f>
        <v>0</v>
      </c>
      <c r="L35" s="197" cm="1">
        <f t="array" ref="L35">IF(OR($B35="",$B35="X",$D35="",$D35="X",$E35="",$E35="X",$F35="",$F35="X",$G35="",$G35="X",$H35="",$H35="X"),0,SUM(_xlfn._xlws.FILTER(VALUE(PptoSty[Sign]&amp;"1")*1/PptoSty[Division],(PptoSty[Division]&lt;&gt;0)*(PptoSty[Division]&lt;&gt;"")*(PptoSty[Division]&lt;&gt;"X")*(PptoSty[Project]=$B35)*(PptoSty[Vrs]=$D35)*(PptoSty[Site]=$F35)*(PptoSty[PiRow]=_xlfn.TEXTAFTER($H35,":"))*(PptoSty[PiColumn]=L$54),0)))</f>
        <v>0</v>
      </c>
      <c r="M35" s="197" cm="1">
        <f t="array" ref="M35">IF(OR($B35="",$B35="X",$D35="",$D35="X",$E35="",$E35="X",$F35="",$F35="X",$G35="",$G35="X",$H35="",$H35="X"),0,SUM(_xlfn._xlws.FILTER(VALUE(PptoSty[Sign]&amp;"1")*1/PptoSty[Division],(PptoSty[Division]&lt;&gt;0)*(PptoSty[Division]&lt;&gt;"")*(PptoSty[Division]&lt;&gt;"X")*(PptoSty[Project]=$B35)*(PptoSty[Vrs]=$D35)*(PptoSty[Site]=$F35)*(PptoSty[PiRow]=_xlfn.TEXTAFTER($H35,":"))*(PptoSty[PiColumn]=M$54),0)))</f>
        <v>0</v>
      </c>
      <c r="N35" s="197" cm="1">
        <f t="array" ref="N35">IF(OR($B35="",$B35="X",$D35="",$D35="X",$E35="",$E35="X",$F35="",$F35="X",$G35="",$G35="X",$H35="",$H35="X"),0,SUM(_xlfn._xlws.FILTER(VALUE(PptoSty[Sign]&amp;"1")*1/PptoSty[Division],(PptoSty[Division]&lt;&gt;0)*(PptoSty[Division]&lt;&gt;"")*(PptoSty[Division]&lt;&gt;"X")*(PptoSty[Project]=$B35)*(PptoSty[Vrs]=$D35)*(PptoSty[Site]=$F35)*(PptoSty[PiRow]=_xlfn.TEXTAFTER($H35,":"))*(PptoSty[PiColumn]=N$54),0)))</f>
        <v>0</v>
      </c>
      <c r="O35" s="197" cm="1">
        <f t="array" ref="O35">IF(OR($B35="",$B35="X",$D35="",$D35="X",$E35="",$E35="X",$F35="",$F35="X",$G35="",$G35="X",$H35="",$H35="X"),0,SUM(_xlfn._xlws.FILTER(VALUE(PptoSty[Sign]&amp;"1")*1/PptoSty[Division],(PptoSty[Division]&lt;&gt;0)*(PptoSty[Division]&lt;&gt;"")*(PptoSty[Division]&lt;&gt;"X")*(PptoSty[Project]=$B35)*(PptoSty[Vrs]=$D35)*(PptoSty[Site]=$F35)*(PptoSty[PiRow]=_xlfn.TEXTAFTER($H35,":"))*(PptoSty[PiColumn]=O$54),0)))</f>
        <v>0</v>
      </c>
      <c r="P35" s="197" cm="1">
        <f t="array" ref="P35">IF(OR($B35="",$B35="X",$D35="",$D35="X",$E35="",$E35="X",$F35="",$F35="X",$G35="",$G35="X",$H35="",$H35="X"),0,SUM(_xlfn._xlws.FILTER(VALUE(PptoSty[Sign]&amp;"1")*1/PptoSty[Division],(PptoSty[Division]&lt;&gt;0)*(PptoSty[Division]&lt;&gt;"")*(PptoSty[Division]&lt;&gt;"X")*(PptoSty[Project]=$B35)*(PptoSty[Vrs]=$D35)*(PptoSty[Site]=$F35)*(PptoSty[PiRow]=_xlfn.TEXTAFTER($H35,":"))*(PptoSty[PiColumn]=P$54),0)))</f>
        <v>0</v>
      </c>
      <c r="Q35" s="197" cm="1">
        <f t="array" ref="Q35">IF(OR($B35="",$B35="X",$D35="",$D35="X",$E35="",$E35="X",$F35="",$F35="X",$G35="",$G35="X",$H35="",$H35="X"),0,SUM(_xlfn._xlws.FILTER(VALUE(PptoSty[Sign]&amp;"1")*1/PptoSty[Division],(PptoSty[Division]&lt;&gt;0)*(PptoSty[Division]&lt;&gt;"")*(PptoSty[Division]&lt;&gt;"X")*(PptoSty[Project]=$B35)*(PptoSty[Vrs]=$D35)*(PptoSty[Site]=$F35)*(PptoSty[PiRow]=_xlfn.TEXTAFTER($H35,":"))*(PptoSty[PiColumn]=Q$54),0)))</f>
        <v>0</v>
      </c>
      <c r="R35" s="197" cm="1">
        <f t="array" ref="R35">IF(OR($B35="",$B35="X",$D35="",$D35="X",$E35="",$E35="X",$F35="",$F35="X",$G35="",$G35="X",$H35="",$H35="X"),0,SUM(_xlfn._xlws.FILTER(VALUE(PptoSty[Sign]&amp;"1")*1/PptoSty[Division],(PptoSty[Division]&lt;&gt;0)*(PptoSty[Division]&lt;&gt;"")*(PptoSty[Division]&lt;&gt;"X")*(PptoSty[Project]=$B35)*(PptoSty[Vrs]=$D35)*(PptoSty[Site]=$F35)*(PptoSty[PiRow]=_xlfn.TEXTAFTER($H35,":"))*(PptoSty[PiColumn]=R$54),0)))</f>
        <v>0</v>
      </c>
      <c r="S35" s="197" cm="1">
        <f t="array" ref="S35">IF(OR($B35="",$B35="X",$D35="",$D35="X",$E35="",$E35="X",$F35="",$F35="X",$G35="",$G35="X",$H35="",$H35="X"),0,SUM(_xlfn._xlws.FILTER(VALUE(PptoSty[Sign]&amp;"1")*1/PptoSty[Division],(PptoSty[Division]&lt;&gt;0)*(PptoSty[Division]&lt;&gt;"")*(PptoSty[Division]&lt;&gt;"X")*(PptoSty[Project]=$B35)*(PptoSty[Vrs]=$D35)*(PptoSty[Site]=$F35)*(PptoSty[PiRow]=_xlfn.TEXTAFTER($H35,":"))*(PptoSty[PiColumn]=S$54),0)))</f>
        <v>0</v>
      </c>
      <c r="T35" s="197" cm="1">
        <f t="array" ref="T35">IF(OR($B35="",$B35="X",$D35="",$D35="X",$E35="",$E35="X",$F35="",$F35="X",$G35="",$G35="X",$H35="",$H35="X"),0,SUM(_xlfn._xlws.FILTER(VALUE(PptoSty[Sign]&amp;"1")*1/PptoSty[Division],(PptoSty[Division]&lt;&gt;0)*(PptoSty[Division]&lt;&gt;"")*(PptoSty[Division]&lt;&gt;"X")*(PptoSty[Project]=$B35)*(PptoSty[Vrs]=$D35)*(PptoSty[Site]=$F35)*(PptoSty[PiRow]=_xlfn.TEXTAFTER($H35,":"))*(PptoSty[PiColumn]=T$54),0)))</f>
        <v>0</v>
      </c>
      <c r="U35" s="197" cm="1">
        <f t="array" ref="U35">IF(OR($B35="",$B35="X",$D35="",$D35="X",$E35="",$E35="X",$F35="",$F35="X",$G35="",$G35="X",$H35="",$H35="X"),0,SUM(_xlfn._xlws.FILTER(VALUE(PptoSty[Sign]&amp;"1")*1/PptoSty[Division],(PptoSty[Division]&lt;&gt;0)*(PptoSty[Division]&lt;&gt;"")*(PptoSty[Division]&lt;&gt;"X")*(PptoSty[Project]=$B35)*(PptoSty[Vrs]=$D35)*(PptoSty[Site]=$F35)*(PptoSty[PiRow]=_xlfn.TEXTAFTER($H35,":"))*(PptoSty[PiColumn]=U$54),0)))</f>
        <v>0</v>
      </c>
      <c r="V35" s="197" cm="1">
        <f t="array" ref="V35">IF(OR($B35="",$B35="X",$D35="",$D35="X",$E35="",$E35="X",$F35="",$F35="X",$G35="",$G35="X",$H35="",$H35="X"),0,SUM(_xlfn._xlws.FILTER(VALUE(PptoSty[Sign]&amp;"1")*1/PptoSty[Division],(PptoSty[Division]&lt;&gt;0)*(PptoSty[Division]&lt;&gt;"")*(PptoSty[Division]&lt;&gt;"X")*(PptoSty[Project]=$B35)*(PptoSty[Vrs]=$D35)*(PptoSty[Site]=$F35)*(PptoSty[PiRow]=_xlfn.TEXTAFTER($H35,":"))*(PptoSty[PiColumn]=V$54),0)))</f>
        <v>0</v>
      </c>
      <c r="W35" s="197" cm="1">
        <f t="array" ref="W35">IF(OR($B35="",$B35="X",$D35="",$D35="X",$E35="",$E35="X",$F35="",$F35="X",$G35="",$G35="X",$H35="",$H35="X"),0,SUM(_xlfn._xlws.FILTER(VALUE(PptoSty[Sign]&amp;"1")*1/PptoSty[Division],(PptoSty[Division]&lt;&gt;0)*(PptoSty[Division]&lt;&gt;"")*(PptoSty[Division]&lt;&gt;"X")*(PptoSty[Project]=$B35)*(PptoSty[Vrs]=$D35)*(PptoSty[Site]=$F35)*(PptoSty[PiRow]=_xlfn.TEXTAFTER($H35,":"))*(PptoSty[PiColumn]=W$54),0)))</f>
        <v>0</v>
      </c>
      <c r="X35" s="197" cm="1">
        <f t="array" ref="X35">IF(OR($B35="",$B35="X",$D35="",$D35="X",$E35="",$E35="X",$F35="",$F35="X",$G35="",$G35="X",$H35="",$H35="X"),0,SUM(_xlfn._xlws.FILTER(VALUE(PptoSty[Sign]&amp;"1")*1/PptoSty[Division],(PptoSty[Division]&lt;&gt;0)*(PptoSty[Division]&lt;&gt;"")*(PptoSty[Division]&lt;&gt;"X")*(PptoSty[Project]=$B35)*(PptoSty[Vrs]=$D35)*(PptoSty[Site]=$F35)*(PptoSty[PiRow]=_xlfn.TEXTAFTER($H35,":"))*(PptoSty[PiColumn]=X$54),0)))</f>
        <v>0</v>
      </c>
      <c r="Y35" s="197" cm="1">
        <f t="array" ref="Y35">IF(OR($B35="",$B35="X",$D35="",$D35="X",$E35="",$E35="X",$F35="",$F35="X",$G35="",$G35="X",$H35="",$H35="X"),0,SUM(_xlfn._xlws.FILTER(VALUE(PptoSty[Sign]&amp;"1")*1/PptoSty[Division],(PptoSty[Division]&lt;&gt;0)*(PptoSty[Division]&lt;&gt;"")*(PptoSty[Division]&lt;&gt;"X")*(PptoSty[Project]=$B35)*(PptoSty[Vrs]=$D35)*(PptoSty[Site]=$F35)*(PptoSty[PiRow]=_xlfn.TEXTAFTER($H35,":"))*(PptoSty[PiColumn]=Y$54),0)))</f>
        <v>0</v>
      </c>
    </row>
    <row r="36" spans="1:25" s="33" customFormat="1" ht="17.25" customHeight="1" outlineLevel="1">
      <c r="A36" s="123"/>
      <c r="B36" s="140" t="str">
        <v>31200</v>
      </c>
      <c r="C36" s="128" t="str">
        <v>Sp</v>
      </c>
      <c r="D36" s="128">
        <v>0</v>
      </c>
      <c r="E36" s="128" t="str">
        <v>PEMX</v>
      </c>
      <c r="F36" s="139" t="str">
        <v>PLANT</v>
      </c>
      <c r="G36" s="139" t="str">
        <v>CurPpto</v>
      </c>
      <c r="H36" s="139" t="str">
        <v>X005:SUBGROUP PEMX</v>
      </c>
      <c r="I36" s="197" cm="1">
        <f t="array" ref="I36">IF(OR($B36="",$B36="X",$D36="",$D36="X",$E36="",$E36="X",$F36="",$F36="X",$G36="",$G36="X",$H36="",$H36="X"),0,SUM(_xlfn._xlws.FILTER(VALUE(PptoSty[Sign]&amp;"1")*1/PptoSty[Division],(PptoSty[Division]&lt;&gt;0)*(PptoSty[Division]&lt;&gt;"")*(PptoSty[Division]&lt;&gt;"X")*(PptoSty[Project]=$B36)*(PptoSty[Vrs]=$D36)*(PptoSty[Site]=$F36)*(PptoSty[PiRow]=_xlfn.TEXTAFTER($H36,":"))*(PptoSty[PiColumn]=I$54),0)))</f>
        <v>0</v>
      </c>
      <c r="J36" s="197" cm="1">
        <f t="array" ref="J36">IF(OR($B36="",$B36="X",$D36="",$D36="X",$E36="",$E36="X",$F36="",$F36="X",$G36="",$G36="X",$H36="",$H36="X"),0,SUM(_xlfn._xlws.FILTER(VALUE(PptoSty[Sign]&amp;"1")*1/PptoSty[Division],(PptoSty[Division]&lt;&gt;0)*(PptoSty[Division]&lt;&gt;"")*(PptoSty[Division]&lt;&gt;"X")*(PptoSty[Project]=$B36)*(PptoSty[Vrs]=$D36)*(PptoSty[Site]=$F36)*(PptoSty[PiRow]=_xlfn.TEXTAFTER($H36,":"))*(PptoSty[PiColumn]=J$54),0)))</f>
        <v>0</v>
      </c>
      <c r="K36" s="197" cm="1">
        <f t="array" ref="K36">IF(OR($B36="",$B36="X",$D36="",$D36="X",$E36="",$E36="X",$F36="",$F36="X",$G36="",$G36="X",$H36="",$H36="X"),0,SUM(_xlfn._xlws.FILTER(VALUE(PptoSty[Sign]&amp;"1")*1/PptoSty[Division],(PptoSty[Division]&lt;&gt;0)*(PptoSty[Division]&lt;&gt;"")*(PptoSty[Division]&lt;&gt;"X")*(PptoSty[Project]=$B36)*(PptoSty[Vrs]=$D36)*(PptoSty[Site]=$F36)*(PptoSty[PiRow]=_xlfn.TEXTAFTER($H36,":"))*(PptoSty[PiColumn]=K$54),0)))</f>
        <v>0</v>
      </c>
      <c r="L36" s="197" cm="1">
        <f t="array" ref="L36">IF(OR($B36="",$B36="X",$D36="",$D36="X",$E36="",$E36="X",$F36="",$F36="X",$G36="",$G36="X",$H36="",$H36="X"),0,SUM(_xlfn._xlws.FILTER(VALUE(PptoSty[Sign]&amp;"1")*1/PptoSty[Division],(PptoSty[Division]&lt;&gt;0)*(PptoSty[Division]&lt;&gt;"")*(PptoSty[Division]&lt;&gt;"X")*(PptoSty[Project]=$B36)*(PptoSty[Vrs]=$D36)*(PptoSty[Site]=$F36)*(PptoSty[PiRow]=_xlfn.TEXTAFTER($H36,":"))*(PptoSty[PiColumn]=L$54),0)))</f>
        <v>0</v>
      </c>
      <c r="M36" s="197" cm="1">
        <f t="array" ref="M36">IF(OR($B36="",$B36="X",$D36="",$D36="X",$E36="",$E36="X",$F36="",$F36="X",$G36="",$G36="X",$H36="",$H36="X"),0,SUM(_xlfn._xlws.FILTER(VALUE(PptoSty[Sign]&amp;"1")*1/PptoSty[Division],(PptoSty[Division]&lt;&gt;0)*(PptoSty[Division]&lt;&gt;"")*(PptoSty[Division]&lt;&gt;"X")*(PptoSty[Project]=$B36)*(PptoSty[Vrs]=$D36)*(PptoSty[Site]=$F36)*(PptoSty[PiRow]=_xlfn.TEXTAFTER($H36,":"))*(PptoSty[PiColumn]=M$54),0)))</f>
        <v>0</v>
      </c>
      <c r="N36" s="197" cm="1">
        <f t="array" ref="N36">IF(OR($B36="",$B36="X",$D36="",$D36="X",$E36="",$E36="X",$F36="",$F36="X",$G36="",$G36="X",$H36="",$H36="X"),0,SUM(_xlfn._xlws.FILTER(VALUE(PptoSty[Sign]&amp;"1")*1/PptoSty[Division],(PptoSty[Division]&lt;&gt;0)*(PptoSty[Division]&lt;&gt;"")*(PptoSty[Division]&lt;&gt;"X")*(PptoSty[Project]=$B36)*(PptoSty[Vrs]=$D36)*(PptoSty[Site]=$F36)*(PptoSty[PiRow]=_xlfn.TEXTAFTER($H36,":"))*(PptoSty[PiColumn]=N$54),0)))</f>
        <v>0</v>
      </c>
      <c r="O36" s="197" cm="1">
        <f t="array" ref="O36">IF(OR($B36="",$B36="X",$D36="",$D36="X",$E36="",$E36="X",$F36="",$F36="X",$G36="",$G36="X",$H36="",$H36="X"),0,SUM(_xlfn._xlws.FILTER(VALUE(PptoSty[Sign]&amp;"1")*1/PptoSty[Division],(PptoSty[Division]&lt;&gt;0)*(PptoSty[Division]&lt;&gt;"")*(PptoSty[Division]&lt;&gt;"X")*(PptoSty[Project]=$B36)*(PptoSty[Vrs]=$D36)*(PptoSty[Site]=$F36)*(PptoSty[PiRow]=_xlfn.TEXTAFTER($H36,":"))*(PptoSty[PiColumn]=O$54),0)))</f>
        <v>0</v>
      </c>
      <c r="P36" s="197" cm="1">
        <f t="array" ref="P36">IF(OR($B36="",$B36="X",$D36="",$D36="X",$E36="",$E36="X",$F36="",$F36="X",$G36="",$G36="X",$H36="",$H36="X"),0,SUM(_xlfn._xlws.FILTER(VALUE(PptoSty[Sign]&amp;"1")*1/PptoSty[Division],(PptoSty[Division]&lt;&gt;0)*(PptoSty[Division]&lt;&gt;"")*(PptoSty[Division]&lt;&gt;"X")*(PptoSty[Project]=$B36)*(PptoSty[Vrs]=$D36)*(PptoSty[Site]=$F36)*(PptoSty[PiRow]=_xlfn.TEXTAFTER($H36,":"))*(PptoSty[PiColumn]=P$54),0)))</f>
        <v>0</v>
      </c>
      <c r="Q36" s="197" cm="1">
        <f t="array" ref="Q36">IF(OR($B36="",$B36="X",$D36="",$D36="X",$E36="",$E36="X",$F36="",$F36="X",$G36="",$G36="X",$H36="",$H36="X"),0,SUM(_xlfn._xlws.FILTER(VALUE(PptoSty[Sign]&amp;"1")*1/PptoSty[Division],(PptoSty[Division]&lt;&gt;0)*(PptoSty[Division]&lt;&gt;"")*(PptoSty[Division]&lt;&gt;"X")*(PptoSty[Project]=$B36)*(PptoSty[Vrs]=$D36)*(PptoSty[Site]=$F36)*(PptoSty[PiRow]=_xlfn.TEXTAFTER($H36,":"))*(PptoSty[PiColumn]=Q$54),0)))</f>
        <v>0</v>
      </c>
      <c r="R36" s="197" cm="1">
        <f t="array" ref="R36">IF(OR($B36="",$B36="X",$D36="",$D36="X",$E36="",$E36="X",$F36="",$F36="X",$G36="",$G36="X",$H36="",$H36="X"),0,SUM(_xlfn._xlws.FILTER(VALUE(PptoSty[Sign]&amp;"1")*1/PptoSty[Division],(PptoSty[Division]&lt;&gt;0)*(PptoSty[Division]&lt;&gt;"")*(PptoSty[Division]&lt;&gt;"X")*(PptoSty[Project]=$B36)*(PptoSty[Vrs]=$D36)*(PptoSty[Site]=$F36)*(PptoSty[PiRow]=_xlfn.TEXTAFTER($H36,":"))*(PptoSty[PiColumn]=R$54),0)))</f>
        <v>0</v>
      </c>
      <c r="S36" s="197" cm="1">
        <f t="array" ref="S36">IF(OR($B36="",$B36="X",$D36="",$D36="X",$E36="",$E36="X",$F36="",$F36="X",$G36="",$G36="X",$H36="",$H36="X"),0,SUM(_xlfn._xlws.FILTER(VALUE(PptoSty[Sign]&amp;"1")*1/PptoSty[Division],(PptoSty[Division]&lt;&gt;0)*(PptoSty[Division]&lt;&gt;"")*(PptoSty[Division]&lt;&gt;"X")*(PptoSty[Project]=$B36)*(PptoSty[Vrs]=$D36)*(PptoSty[Site]=$F36)*(PptoSty[PiRow]=_xlfn.TEXTAFTER($H36,":"))*(PptoSty[PiColumn]=S$54),0)))</f>
        <v>0</v>
      </c>
      <c r="T36" s="197" cm="1">
        <f t="array" ref="T36">IF(OR($B36="",$B36="X",$D36="",$D36="X",$E36="",$E36="X",$F36="",$F36="X",$G36="",$G36="X",$H36="",$H36="X"),0,SUM(_xlfn._xlws.FILTER(VALUE(PptoSty[Sign]&amp;"1")*1/PptoSty[Division],(PptoSty[Division]&lt;&gt;0)*(PptoSty[Division]&lt;&gt;"")*(PptoSty[Division]&lt;&gt;"X")*(PptoSty[Project]=$B36)*(PptoSty[Vrs]=$D36)*(PptoSty[Site]=$F36)*(PptoSty[PiRow]=_xlfn.TEXTAFTER($H36,":"))*(PptoSty[PiColumn]=T$54),0)))</f>
        <v>0</v>
      </c>
      <c r="U36" s="197" cm="1">
        <f t="array" ref="U36">IF(OR($B36="",$B36="X",$D36="",$D36="X",$E36="",$E36="X",$F36="",$F36="X",$G36="",$G36="X",$H36="",$H36="X"),0,SUM(_xlfn._xlws.FILTER(VALUE(PptoSty[Sign]&amp;"1")*1/PptoSty[Division],(PptoSty[Division]&lt;&gt;0)*(PptoSty[Division]&lt;&gt;"")*(PptoSty[Division]&lt;&gt;"X")*(PptoSty[Project]=$B36)*(PptoSty[Vrs]=$D36)*(PptoSty[Site]=$F36)*(PptoSty[PiRow]=_xlfn.TEXTAFTER($H36,":"))*(PptoSty[PiColumn]=U$54),0)))</f>
        <v>0</v>
      </c>
      <c r="V36" s="197" cm="1">
        <f t="array" ref="V36">IF(OR($B36="",$B36="X",$D36="",$D36="X",$E36="",$E36="X",$F36="",$F36="X",$G36="",$G36="X",$H36="",$H36="X"),0,SUM(_xlfn._xlws.FILTER(VALUE(PptoSty[Sign]&amp;"1")*1/PptoSty[Division],(PptoSty[Division]&lt;&gt;0)*(PptoSty[Division]&lt;&gt;"")*(PptoSty[Division]&lt;&gt;"X")*(PptoSty[Project]=$B36)*(PptoSty[Vrs]=$D36)*(PptoSty[Site]=$F36)*(PptoSty[PiRow]=_xlfn.TEXTAFTER($H36,":"))*(PptoSty[PiColumn]=V$54),0)))</f>
        <v>0</v>
      </c>
      <c r="W36" s="197" cm="1">
        <f t="array" ref="W36">IF(OR($B36="",$B36="X",$D36="",$D36="X",$E36="",$E36="X",$F36="",$F36="X",$G36="",$G36="X",$H36="",$H36="X"),0,SUM(_xlfn._xlws.FILTER(VALUE(PptoSty[Sign]&amp;"1")*1/PptoSty[Division],(PptoSty[Division]&lt;&gt;0)*(PptoSty[Division]&lt;&gt;"")*(PptoSty[Division]&lt;&gt;"X")*(PptoSty[Project]=$B36)*(PptoSty[Vrs]=$D36)*(PptoSty[Site]=$F36)*(PptoSty[PiRow]=_xlfn.TEXTAFTER($H36,":"))*(PptoSty[PiColumn]=W$54),0)))</f>
        <v>0</v>
      </c>
      <c r="X36" s="197" cm="1">
        <f t="array" ref="X36">IF(OR($B36="",$B36="X",$D36="",$D36="X",$E36="",$E36="X",$F36="",$F36="X",$G36="",$G36="X",$H36="",$H36="X"),0,SUM(_xlfn._xlws.FILTER(VALUE(PptoSty[Sign]&amp;"1")*1/PptoSty[Division],(PptoSty[Division]&lt;&gt;0)*(PptoSty[Division]&lt;&gt;"")*(PptoSty[Division]&lt;&gt;"X")*(PptoSty[Project]=$B36)*(PptoSty[Vrs]=$D36)*(PptoSty[Site]=$F36)*(PptoSty[PiRow]=_xlfn.TEXTAFTER($H36,":"))*(PptoSty[PiColumn]=X$54),0)))</f>
        <v>0</v>
      </c>
      <c r="Y36" s="197" cm="1">
        <f t="array" ref="Y36">IF(OR($B36="",$B36="X",$D36="",$D36="X",$E36="",$E36="X",$F36="",$F36="X",$G36="",$G36="X",$H36="",$H36="X"),0,SUM(_xlfn._xlws.FILTER(VALUE(PptoSty[Sign]&amp;"1")*1/PptoSty[Division],(PptoSty[Division]&lt;&gt;0)*(PptoSty[Division]&lt;&gt;"")*(PptoSty[Division]&lt;&gt;"X")*(PptoSty[Project]=$B36)*(PptoSty[Vrs]=$D36)*(PptoSty[Site]=$F36)*(PptoSty[PiRow]=_xlfn.TEXTAFTER($H36,":"))*(PptoSty[PiColumn]=Y$54),0)))</f>
        <v>0</v>
      </c>
    </row>
    <row r="37" spans="1:25" s="33" customFormat="1" ht="17.25" customHeight="1" outlineLevel="1">
      <c r="A37" s="123"/>
      <c r="B37" s="140" t="str">
        <v>31200</v>
      </c>
      <c r="C37" s="128" t="str">
        <v>Sp</v>
      </c>
      <c r="D37" s="128">
        <v>0</v>
      </c>
      <c r="E37" s="128" t="str">
        <v>PEMX</v>
      </c>
      <c r="F37" s="139" t="str">
        <v>SERRA</v>
      </c>
      <c r="G37" s="139" t="str">
        <v>CurPpto</v>
      </c>
      <c r="H37" s="139" t="str">
        <v>X005:SUBGROUP PEMX</v>
      </c>
      <c r="I37" s="197" cm="1">
        <f t="array" ref="I37">IF(OR($B37="",$B37="X",$D37="",$D37="X",$E37="",$E37="X",$F37="",$F37="X",$G37="",$G37="X",$H37="",$H37="X"),0,SUM(_xlfn._xlws.FILTER(VALUE(PptoSty[Sign]&amp;"1")*1/PptoSty[Division],(PptoSty[Division]&lt;&gt;0)*(PptoSty[Division]&lt;&gt;"")*(PptoSty[Division]&lt;&gt;"X")*(PptoSty[Project]=$B37)*(PptoSty[Vrs]=$D37)*(PptoSty[Site]=$F37)*(PptoSty[PiRow]=_xlfn.TEXTAFTER($H37,":"))*(PptoSty[PiColumn]=I$54),0)))</f>
        <v>0</v>
      </c>
      <c r="J37" s="197" cm="1">
        <f t="array" ref="J37">IF(OR($B37="",$B37="X",$D37="",$D37="X",$E37="",$E37="X",$F37="",$F37="X",$G37="",$G37="X",$H37="",$H37="X"),0,SUM(_xlfn._xlws.FILTER(VALUE(PptoSty[Sign]&amp;"1")*1/PptoSty[Division],(PptoSty[Division]&lt;&gt;0)*(PptoSty[Division]&lt;&gt;"")*(PptoSty[Division]&lt;&gt;"X")*(PptoSty[Project]=$B37)*(PptoSty[Vrs]=$D37)*(PptoSty[Site]=$F37)*(PptoSty[PiRow]=_xlfn.TEXTAFTER($H37,":"))*(PptoSty[PiColumn]=J$54),0)))</f>
        <v>0</v>
      </c>
      <c r="K37" s="197" cm="1">
        <f t="array" ref="K37">IF(OR($B37="",$B37="X",$D37="",$D37="X",$E37="",$E37="X",$F37="",$F37="X",$G37="",$G37="X",$H37="",$H37="X"),0,SUM(_xlfn._xlws.FILTER(VALUE(PptoSty[Sign]&amp;"1")*1/PptoSty[Division],(PptoSty[Division]&lt;&gt;0)*(PptoSty[Division]&lt;&gt;"")*(PptoSty[Division]&lt;&gt;"X")*(PptoSty[Project]=$B37)*(PptoSty[Vrs]=$D37)*(PptoSty[Site]=$F37)*(PptoSty[PiRow]=_xlfn.TEXTAFTER($H37,":"))*(PptoSty[PiColumn]=K$54),0)))</f>
        <v>0</v>
      </c>
      <c r="L37" s="197" cm="1">
        <f t="array" ref="L37">IF(OR($B37="",$B37="X",$D37="",$D37="X",$E37="",$E37="X",$F37="",$F37="X",$G37="",$G37="X",$H37="",$H37="X"),0,SUM(_xlfn._xlws.FILTER(VALUE(PptoSty[Sign]&amp;"1")*1/PptoSty[Division],(PptoSty[Division]&lt;&gt;0)*(PptoSty[Division]&lt;&gt;"")*(PptoSty[Division]&lt;&gt;"X")*(PptoSty[Project]=$B37)*(PptoSty[Vrs]=$D37)*(PptoSty[Site]=$F37)*(PptoSty[PiRow]=_xlfn.TEXTAFTER($H37,":"))*(PptoSty[PiColumn]=L$54),0)))</f>
        <v>0</v>
      </c>
      <c r="M37" s="197" cm="1">
        <f t="array" ref="M37">IF(OR($B37="",$B37="X",$D37="",$D37="X",$E37="",$E37="X",$F37="",$F37="X",$G37="",$G37="X",$H37="",$H37="X"),0,SUM(_xlfn._xlws.FILTER(VALUE(PptoSty[Sign]&amp;"1")*1/PptoSty[Division],(PptoSty[Division]&lt;&gt;0)*(PptoSty[Division]&lt;&gt;"")*(PptoSty[Division]&lt;&gt;"X")*(PptoSty[Project]=$B37)*(PptoSty[Vrs]=$D37)*(PptoSty[Site]=$F37)*(PptoSty[PiRow]=_xlfn.TEXTAFTER($H37,":"))*(PptoSty[PiColumn]=M$54),0)))</f>
        <v>0</v>
      </c>
      <c r="N37" s="197" cm="1">
        <f t="array" ref="N37">IF(OR($B37="",$B37="X",$D37="",$D37="X",$E37="",$E37="X",$F37="",$F37="X",$G37="",$G37="X",$H37="",$H37="X"),0,SUM(_xlfn._xlws.FILTER(VALUE(PptoSty[Sign]&amp;"1")*1/PptoSty[Division],(PptoSty[Division]&lt;&gt;0)*(PptoSty[Division]&lt;&gt;"")*(PptoSty[Division]&lt;&gt;"X")*(PptoSty[Project]=$B37)*(PptoSty[Vrs]=$D37)*(PptoSty[Site]=$F37)*(PptoSty[PiRow]=_xlfn.TEXTAFTER($H37,":"))*(PptoSty[PiColumn]=N$54),0)))</f>
        <v>0</v>
      </c>
      <c r="O37" s="197" cm="1">
        <f t="array" ref="O37">IF(OR($B37="",$B37="X",$D37="",$D37="X",$E37="",$E37="X",$F37="",$F37="X",$G37="",$G37="X",$H37="",$H37="X"),0,SUM(_xlfn._xlws.FILTER(VALUE(PptoSty[Sign]&amp;"1")*1/PptoSty[Division],(PptoSty[Division]&lt;&gt;0)*(PptoSty[Division]&lt;&gt;"")*(PptoSty[Division]&lt;&gt;"X")*(PptoSty[Project]=$B37)*(PptoSty[Vrs]=$D37)*(PptoSty[Site]=$F37)*(PptoSty[PiRow]=_xlfn.TEXTAFTER($H37,":"))*(PptoSty[PiColumn]=O$54),0)))</f>
        <v>0</v>
      </c>
      <c r="P37" s="197" cm="1">
        <f t="array" ref="P37">IF(OR($B37="",$B37="X",$D37="",$D37="X",$E37="",$E37="X",$F37="",$F37="X",$G37="",$G37="X",$H37="",$H37="X"),0,SUM(_xlfn._xlws.FILTER(VALUE(PptoSty[Sign]&amp;"1")*1/PptoSty[Division],(PptoSty[Division]&lt;&gt;0)*(PptoSty[Division]&lt;&gt;"")*(PptoSty[Division]&lt;&gt;"X")*(PptoSty[Project]=$B37)*(PptoSty[Vrs]=$D37)*(PptoSty[Site]=$F37)*(PptoSty[PiRow]=_xlfn.TEXTAFTER($H37,":"))*(PptoSty[PiColumn]=P$54),0)))</f>
        <v>0</v>
      </c>
      <c r="Q37" s="197" cm="1">
        <f t="array" ref="Q37">IF(OR($B37="",$B37="X",$D37="",$D37="X",$E37="",$E37="X",$F37="",$F37="X",$G37="",$G37="X",$H37="",$H37="X"),0,SUM(_xlfn._xlws.FILTER(VALUE(PptoSty[Sign]&amp;"1")*1/PptoSty[Division],(PptoSty[Division]&lt;&gt;0)*(PptoSty[Division]&lt;&gt;"")*(PptoSty[Division]&lt;&gt;"X")*(PptoSty[Project]=$B37)*(PptoSty[Vrs]=$D37)*(PptoSty[Site]=$F37)*(PptoSty[PiRow]=_xlfn.TEXTAFTER($H37,":"))*(PptoSty[PiColumn]=Q$54),0)))</f>
        <v>0</v>
      </c>
      <c r="R37" s="197" cm="1">
        <f t="array" ref="R37">IF(OR($B37="",$B37="X",$D37="",$D37="X",$E37="",$E37="X",$F37="",$F37="X",$G37="",$G37="X",$H37="",$H37="X"),0,SUM(_xlfn._xlws.FILTER(VALUE(PptoSty[Sign]&amp;"1")*1/PptoSty[Division],(PptoSty[Division]&lt;&gt;0)*(PptoSty[Division]&lt;&gt;"")*(PptoSty[Division]&lt;&gt;"X")*(PptoSty[Project]=$B37)*(PptoSty[Vrs]=$D37)*(PptoSty[Site]=$F37)*(PptoSty[PiRow]=_xlfn.TEXTAFTER($H37,":"))*(PptoSty[PiColumn]=R$54),0)))</f>
        <v>0</v>
      </c>
      <c r="S37" s="197" cm="1">
        <f t="array" ref="S37">IF(OR($B37="",$B37="X",$D37="",$D37="X",$E37="",$E37="X",$F37="",$F37="X",$G37="",$G37="X",$H37="",$H37="X"),0,SUM(_xlfn._xlws.FILTER(VALUE(PptoSty[Sign]&amp;"1")*1/PptoSty[Division],(PptoSty[Division]&lt;&gt;0)*(PptoSty[Division]&lt;&gt;"")*(PptoSty[Division]&lt;&gt;"X")*(PptoSty[Project]=$B37)*(PptoSty[Vrs]=$D37)*(PptoSty[Site]=$F37)*(PptoSty[PiRow]=_xlfn.TEXTAFTER($H37,":"))*(PptoSty[PiColumn]=S$54),0)))</f>
        <v>0</v>
      </c>
      <c r="T37" s="197" cm="1">
        <f t="array" ref="T37">IF(OR($B37="",$B37="X",$D37="",$D37="X",$E37="",$E37="X",$F37="",$F37="X",$G37="",$G37="X",$H37="",$H37="X"),0,SUM(_xlfn._xlws.FILTER(VALUE(PptoSty[Sign]&amp;"1")*1/PptoSty[Division],(PptoSty[Division]&lt;&gt;0)*(PptoSty[Division]&lt;&gt;"")*(PptoSty[Division]&lt;&gt;"X")*(PptoSty[Project]=$B37)*(PptoSty[Vrs]=$D37)*(PptoSty[Site]=$F37)*(PptoSty[PiRow]=_xlfn.TEXTAFTER($H37,":"))*(PptoSty[PiColumn]=T$54),0)))</f>
        <v>0</v>
      </c>
      <c r="U37" s="197" cm="1">
        <f t="array" ref="U37">IF(OR($B37="",$B37="X",$D37="",$D37="X",$E37="",$E37="X",$F37="",$F37="X",$G37="",$G37="X",$H37="",$H37="X"),0,SUM(_xlfn._xlws.FILTER(VALUE(PptoSty[Sign]&amp;"1")*1/PptoSty[Division],(PptoSty[Division]&lt;&gt;0)*(PptoSty[Division]&lt;&gt;"")*(PptoSty[Division]&lt;&gt;"X")*(PptoSty[Project]=$B37)*(PptoSty[Vrs]=$D37)*(PptoSty[Site]=$F37)*(PptoSty[PiRow]=_xlfn.TEXTAFTER($H37,":"))*(PptoSty[PiColumn]=U$54),0)))</f>
        <v>0</v>
      </c>
      <c r="V37" s="197" cm="1">
        <f t="array" ref="V37">IF(OR($B37="",$B37="X",$D37="",$D37="X",$E37="",$E37="X",$F37="",$F37="X",$G37="",$G37="X",$H37="",$H37="X"),0,SUM(_xlfn._xlws.FILTER(VALUE(PptoSty[Sign]&amp;"1")*1/PptoSty[Division],(PptoSty[Division]&lt;&gt;0)*(PptoSty[Division]&lt;&gt;"")*(PptoSty[Division]&lt;&gt;"X")*(PptoSty[Project]=$B37)*(PptoSty[Vrs]=$D37)*(PptoSty[Site]=$F37)*(PptoSty[PiRow]=_xlfn.TEXTAFTER($H37,":"))*(PptoSty[PiColumn]=V$54),0)))</f>
        <v>0</v>
      </c>
      <c r="W37" s="197" cm="1">
        <f t="array" ref="W37">IF(OR($B37="",$B37="X",$D37="",$D37="X",$E37="",$E37="X",$F37="",$F37="X",$G37="",$G37="X",$H37="",$H37="X"),0,SUM(_xlfn._xlws.FILTER(VALUE(PptoSty[Sign]&amp;"1")*1/PptoSty[Division],(PptoSty[Division]&lt;&gt;0)*(PptoSty[Division]&lt;&gt;"")*(PptoSty[Division]&lt;&gt;"X")*(PptoSty[Project]=$B37)*(PptoSty[Vrs]=$D37)*(PptoSty[Site]=$F37)*(PptoSty[PiRow]=_xlfn.TEXTAFTER($H37,":"))*(PptoSty[PiColumn]=W$54),0)))</f>
        <v>0</v>
      </c>
      <c r="X37" s="197" cm="1">
        <f t="array" ref="X37">IF(OR($B37="",$B37="X",$D37="",$D37="X",$E37="",$E37="X",$F37="",$F37="X",$G37="",$G37="X",$H37="",$H37="X"),0,SUM(_xlfn._xlws.FILTER(VALUE(PptoSty[Sign]&amp;"1")*1/PptoSty[Division],(PptoSty[Division]&lt;&gt;0)*(PptoSty[Division]&lt;&gt;"")*(PptoSty[Division]&lt;&gt;"X")*(PptoSty[Project]=$B37)*(PptoSty[Vrs]=$D37)*(PptoSty[Site]=$F37)*(PptoSty[PiRow]=_xlfn.TEXTAFTER($H37,":"))*(PptoSty[PiColumn]=X$54),0)))</f>
        <v>0</v>
      </c>
      <c r="Y37" s="197" cm="1">
        <f t="array" ref="Y37">IF(OR($B37="",$B37="X",$D37="",$D37="X",$E37="",$E37="X",$F37="",$F37="X",$G37="",$G37="X",$H37="",$H37="X"),0,SUM(_xlfn._xlws.FILTER(VALUE(PptoSty[Sign]&amp;"1")*1/PptoSty[Division],(PptoSty[Division]&lt;&gt;0)*(PptoSty[Division]&lt;&gt;"")*(PptoSty[Division]&lt;&gt;"X")*(PptoSty[Project]=$B37)*(PptoSty[Vrs]=$D37)*(PptoSty[Site]=$F37)*(PptoSty[PiRow]=_xlfn.TEXTAFTER($H37,":"))*(PptoSty[PiColumn]=Y$54),0)))</f>
        <v>0</v>
      </c>
    </row>
    <row r="38" spans="1:25" s="33" customFormat="1" ht="17.25" customHeight="1" outlineLevel="1">
      <c r="A38" s="123"/>
      <c r="B38" s="140" t="str">
        <v>31200</v>
      </c>
      <c r="C38" s="128" t="str">
        <v>Sp</v>
      </c>
      <c r="D38" s="128">
        <v>0</v>
      </c>
      <c r="E38" s="128" t="str">
        <v>DISI</v>
      </c>
      <c r="F38" s="139" t="str">
        <v>SERRA</v>
      </c>
      <c r="G38" s="139" t="str">
        <v>CurPpto</v>
      </c>
      <c r="H38" s="139" t="str">
        <v>X006:SUBGROUP DISI</v>
      </c>
      <c r="I38" s="197" cm="1">
        <f t="array" ref="I38">IF(OR($B38="",$B38="X",$D38="",$D38="X",$E38="",$E38="X",$F38="",$F38="X",$G38="",$G38="X",$H38="",$H38="X"),0,SUM(_xlfn._xlws.FILTER(VALUE(PptoSty[Sign]&amp;"1")*1/PptoSty[Division],(PptoSty[Division]&lt;&gt;0)*(PptoSty[Division]&lt;&gt;"")*(PptoSty[Division]&lt;&gt;"X")*(PptoSty[Project]=$B38)*(PptoSty[Vrs]=$D38)*(PptoSty[Site]=$F38)*(PptoSty[PiRow]=_xlfn.TEXTAFTER($H38,":"))*(PptoSty[PiColumn]=I$54),0)))</f>
        <v>0</v>
      </c>
      <c r="J38" s="197" cm="1">
        <f t="array" ref="J38">IF(OR($B38="",$B38="X",$D38="",$D38="X",$E38="",$E38="X",$F38="",$F38="X",$G38="",$G38="X",$H38="",$H38="X"),0,SUM(_xlfn._xlws.FILTER(VALUE(PptoSty[Sign]&amp;"1")*1/PptoSty[Division],(PptoSty[Division]&lt;&gt;0)*(PptoSty[Division]&lt;&gt;"")*(PptoSty[Division]&lt;&gt;"X")*(PptoSty[Project]=$B38)*(PptoSty[Vrs]=$D38)*(PptoSty[Site]=$F38)*(PptoSty[PiRow]=_xlfn.TEXTAFTER($H38,":"))*(PptoSty[PiColumn]=J$54),0)))</f>
        <v>0</v>
      </c>
      <c r="K38" s="197" cm="1">
        <f t="array" ref="K38">IF(OR($B38="",$B38="X",$D38="",$D38="X",$E38="",$E38="X",$F38="",$F38="X",$G38="",$G38="X",$H38="",$H38="X"),0,SUM(_xlfn._xlws.FILTER(VALUE(PptoSty[Sign]&amp;"1")*1/PptoSty[Division],(PptoSty[Division]&lt;&gt;0)*(PptoSty[Division]&lt;&gt;"")*(PptoSty[Division]&lt;&gt;"X")*(PptoSty[Project]=$B38)*(PptoSty[Vrs]=$D38)*(PptoSty[Site]=$F38)*(PptoSty[PiRow]=_xlfn.TEXTAFTER($H38,":"))*(PptoSty[PiColumn]=K$54),0)))</f>
        <v>0</v>
      </c>
      <c r="L38" s="197" cm="1">
        <f t="array" ref="L38">IF(OR($B38="",$B38="X",$D38="",$D38="X",$E38="",$E38="X",$F38="",$F38="X",$G38="",$G38="X",$H38="",$H38="X"),0,SUM(_xlfn._xlws.FILTER(VALUE(PptoSty[Sign]&amp;"1")*1/PptoSty[Division],(PptoSty[Division]&lt;&gt;0)*(PptoSty[Division]&lt;&gt;"")*(PptoSty[Division]&lt;&gt;"X")*(PptoSty[Project]=$B38)*(PptoSty[Vrs]=$D38)*(PptoSty[Site]=$F38)*(PptoSty[PiRow]=_xlfn.TEXTAFTER($H38,":"))*(PptoSty[PiColumn]=L$54),0)))</f>
        <v>0</v>
      </c>
      <c r="M38" s="197" cm="1">
        <f t="array" ref="M38">IF(OR($B38="",$B38="X",$D38="",$D38="X",$E38="",$E38="X",$F38="",$F38="X",$G38="",$G38="X",$H38="",$H38="X"),0,SUM(_xlfn._xlws.FILTER(VALUE(PptoSty[Sign]&amp;"1")*1/PptoSty[Division],(PptoSty[Division]&lt;&gt;0)*(PptoSty[Division]&lt;&gt;"")*(PptoSty[Division]&lt;&gt;"X")*(PptoSty[Project]=$B38)*(PptoSty[Vrs]=$D38)*(PptoSty[Site]=$F38)*(PptoSty[PiRow]=_xlfn.TEXTAFTER($H38,":"))*(PptoSty[PiColumn]=M$54),0)))</f>
        <v>0</v>
      </c>
      <c r="N38" s="197" cm="1">
        <f t="array" ref="N38">IF(OR($B38="",$B38="X",$D38="",$D38="X",$E38="",$E38="X",$F38="",$F38="X",$G38="",$G38="X",$H38="",$H38="X"),0,SUM(_xlfn._xlws.FILTER(VALUE(PptoSty[Sign]&amp;"1")*1/PptoSty[Division],(PptoSty[Division]&lt;&gt;0)*(PptoSty[Division]&lt;&gt;"")*(PptoSty[Division]&lt;&gt;"X")*(PptoSty[Project]=$B38)*(PptoSty[Vrs]=$D38)*(PptoSty[Site]=$F38)*(PptoSty[PiRow]=_xlfn.TEXTAFTER($H38,":"))*(PptoSty[PiColumn]=N$54),0)))</f>
        <v>0</v>
      </c>
      <c r="O38" s="197" cm="1">
        <f t="array" ref="O38">IF(OR($B38="",$B38="X",$D38="",$D38="X",$E38="",$E38="X",$F38="",$F38="X",$G38="",$G38="X",$H38="",$H38="X"),0,SUM(_xlfn._xlws.FILTER(VALUE(PptoSty[Sign]&amp;"1")*1/PptoSty[Division],(PptoSty[Division]&lt;&gt;0)*(PptoSty[Division]&lt;&gt;"")*(PptoSty[Division]&lt;&gt;"X")*(PptoSty[Project]=$B38)*(PptoSty[Vrs]=$D38)*(PptoSty[Site]=$F38)*(PptoSty[PiRow]=_xlfn.TEXTAFTER($H38,":"))*(PptoSty[PiColumn]=O$54),0)))</f>
        <v>0</v>
      </c>
      <c r="P38" s="197" cm="1">
        <f t="array" ref="P38">IF(OR($B38="",$B38="X",$D38="",$D38="X",$E38="",$E38="X",$F38="",$F38="X",$G38="",$G38="X",$H38="",$H38="X"),0,SUM(_xlfn._xlws.FILTER(VALUE(PptoSty[Sign]&amp;"1")*1/PptoSty[Division],(PptoSty[Division]&lt;&gt;0)*(PptoSty[Division]&lt;&gt;"")*(PptoSty[Division]&lt;&gt;"X")*(PptoSty[Project]=$B38)*(PptoSty[Vrs]=$D38)*(PptoSty[Site]=$F38)*(PptoSty[PiRow]=_xlfn.TEXTAFTER($H38,":"))*(PptoSty[PiColumn]=P$54),0)))</f>
        <v>0</v>
      </c>
      <c r="Q38" s="197" cm="1">
        <f t="array" ref="Q38">IF(OR($B38="",$B38="X",$D38="",$D38="X",$E38="",$E38="X",$F38="",$F38="X",$G38="",$G38="X",$H38="",$H38="X"),0,SUM(_xlfn._xlws.FILTER(VALUE(PptoSty[Sign]&amp;"1")*1/PptoSty[Division],(PptoSty[Division]&lt;&gt;0)*(PptoSty[Division]&lt;&gt;"")*(PptoSty[Division]&lt;&gt;"X")*(PptoSty[Project]=$B38)*(PptoSty[Vrs]=$D38)*(PptoSty[Site]=$F38)*(PptoSty[PiRow]=_xlfn.TEXTAFTER($H38,":"))*(PptoSty[PiColumn]=Q$54),0)))</f>
        <v>0</v>
      </c>
      <c r="R38" s="197" cm="1">
        <f t="array" ref="R38">IF(OR($B38="",$B38="X",$D38="",$D38="X",$E38="",$E38="X",$F38="",$F38="X",$G38="",$G38="X",$H38="",$H38="X"),0,SUM(_xlfn._xlws.FILTER(VALUE(PptoSty[Sign]&amp;"1")*1/PptoSty[Division],(PptoSty[Division]&lt;&gt;0)*(PptoSty[Division]&lt;&gt;"")*(PptoSty[Division]&lt;&gt;"X")*(PptoSty[Project]=$B38)*(PptoSty[Vrs]=$D38)*(PptoSty[Site]=$F38)*(PptoSty[PiRow]=_xlfn.TEXTAFTER($H38,":"))*(PptoSty[PiColumn]=R$54),0)))</f>
        <v>0</v>
      </c>
      <c r="S38" s="197" cm="1">
        <f t="array" ref="S38">IF(OR($B38="",$B38="X",$D38="",$D38="X",$E38="",$E38="X",$F38="",$F38="X",$G38="",$G38="X",$H38="",$H38="X"),0,SUM(_xlfn._xlws.FILTER(VALUE(PptoSty[Sign]&amp;"1")*1/PptoSty[Division],(PptoSty[Division]&lt;&gt;0)*(PptoSty[Division]&lt;&gt;"")*(PptoSty[Division]&lt;&gt;"X")*(PptoSty[Project]=$B38)*(PptoSty[Vrs]=$D38)*(PptoSty[Site]=$F38)*(PptoSty[PiRow]=_xlfn.TEXTAFTER($H38,":"))*(PptoSty[PiColumn]=S$54),0)))</f>
        <v>0</v>
      </c>
      <c r="T38" s="197" cm="1">
        <f t="array" ref="T38">IF(OR($B38="",$B38="X",$D38="",$D38="X",$E38="",$E38="X",$F38="",$F38="X",$G38="",$G38="X",$H38="",$H38="X"),0,SUM(_xlfn._xlws.FILTER(VALUE(PptoSty[Sign]&amp;"1")*1/PptoSty[Division],(PptoSty[Division]&lt;&gt;0)*(PptoSty[Division]&lt;&gt;"")*(PptoSty[Division]&lt;&gt;"X")*(PptoSty[Project]=$B38)*(PptoSty[Vrs]=$D38)*(PptoSty[Site]=$F38)*(PptoSty[PiRow]=_xlfn.TEXTAFTER($H38,":"))*(PptoSty[PiColumn]=T$54),0)))</f>
        <v>0</v>
      </c>
      <c r="U38" s="197" cm="1">
        <f t="array" ref="U38">IF(OR($B38="",$B38="X",$D38="",$D38="X",$E38="",$E38="X",$F38="",$F38="X",$G38="",$G38="X",$H38="",$H38="X"),0,SUM(_xlfn._xlws.FILTER(VALUE(PptoSty[Sign]&amp;"1")*1/PptoSty[Division],(PptoSty[Division]&lt;&gt;0)*(PptoSty[Division]&lt;&gt;"")*(PptoSty[Division]&lt;&gt;"X")*(PptoSty[Project]=$B38)*(PptoSty[Vrs]=$D38)*(PptoSty[Site]=$F38)*(PptoSty[PiRow]=_xlfn.TEXTAFTER($H38,":"))*(PptoSty[PiColumn]=U$54),0)))</f>
        <v>0</v>
      </c>
      <c r="V38" s="197" cm="1">
        <f t="array" ref="V38">IF(OR($B38="",$B38="X",$D38="",$D38="X",$E38="",$E38="X",$F38="",$F38="X",$G38="",$G38="X",$H38="",$H38="X"),0,SUM(_xlfn._xlws.FILTER(VALUE(PptoSty[Sign]&amp;"1")*1/PptoSty[Division],(PptoSty[Division]&lt;&gt;0)*(PptoSty[Division]&lt;&gt;"")*(PptoSty[Division]&lt;&gt;"X")*(PptoSty[Project]=$B38)*(PptoSty[Vrs]=$D38)*(PptoSty[Site]=$F38)*(PptoSty[PiRow]=_xlfn.TEXTAFTER($H38,":"))*(PptoSty[PiColumn]=V$54),0)))</f>
        <v>0</v>
      </c>
      <c r="W38" s="197" cm="1">
        <f t="array" ref="W38">IF(OR($B38="",$B38="X",$D38="",$D38="X",$E38="",$E38="X",$F38="",$F38="X",$G38="",$G38="X",$H38="",$H38="X"),0,SUM(_xlfn._xlws.FILTER(VALUE(PptoSty[Sign]&amp;"1")*1/PptoSty[Division],(PptoSty[Division]&lt;&gt;0)*(PptoSty[Division]&lt;&gt;"")*(PptoSty[Division]&lt;&gt;"X")*(PptoSty[Project]=$B38)*(PptoSty[Vrs]=$D38)*(PptoSty[Site]=$F38)*(PptoSty[PiRow]=_xlfn.TEXTAFTER($H38,":"))*(PptoSty[PiColumn]=W$54),0)))</f>
        <v>0</v>
      </c>
      <c r="X38" s="197" cm="1">
        <f t="array" ref="X38">IF(OR($B38="",$B38="X",$D38="",$D38="X",$E38="",$E38="X",$F38="",$F38="X",$G38="",$G38="X",$H38="",$H38="X"),0,SUM(_xlfn._xlws.FILTER(VALUE(PptoSty[Sign]&amp;"1")*1/PptoSty[Division],(PptoSty[Division]&lt;&gt;0)*(PptoSty[Division]&lt;&gt;"")*(PptoSty[Division]&lt;&gt;"X")*(PptoSty[Project]=$B38)*(PptoSty[Vrs]=$D38)*(PptoSty[Site]=$F38)*(PptoSty[PiRow]=_xlfn.TEXTAFTER($H38,":"))*(PptoSty[PiColumn]=X$54),0)))</f>
        <v>0</v>
      </c>
      <c r="Y38" s="197" cm="1">
        <f t="array" ref="Y38">IF(OR($B38="",$B38="X",$D38="",$D38="X",$E38="",$E38="X",$F38="",$F38="X",$G38="",$G38="X",$H38="",$H38="X"),0,SUM(_xlfn._xlws.FILTER(VALUE(PptoSty[Sign]&amp;"1")*1/PptoSty[Division],(PptoSty[Division]&lt;&gt;0)*(PptoSty[Division]&lt;&gt;"")*(PptoSty[Division]&lt;&gt;"X")*(PptoSty[Project]=$B38)*(PptoSty[Vrs]=$D38)*(PptoSty[Site]=$F38)*(PptoSty[PiRow]=_xlfn.TEXTAFTER($H38,":"))*(PptoSty[PiColumn]=Y$54),0)))</f>
        <v>0</v>
      </c>
    </row>
    <row r="39" spans="1:25" s="33" customFormat="1" ht="17.25" customHeight="1" outlineLevel="1">
      <c r="A39" s="123"/>
      <c r="B39" s="140" t="str">
        <v>31200</v>
      </c>
      <c r="C39" s="128" t="str">
        <v>Sp</v>
      </c>
      <c r="D39" s="128">
        <v>0</v>
      </c>
      <c r="E39" s="128" t="str">
        <v>TOTS</v>
      </c>
      <c r="F39" s="139" t="str">
        <v>SERRA</v>
      </c>
      <c r="G39" s="139" t="str">
        <v>CurPpto</v>
      </c>
      <c r="H39" s="139" t="str">
        <v>X100:SUBGROUP TOTS</v>
      </c>
      <c r="I39" s="197" cm="1">
        <f t="array" ref="I39">IF(OR($B39="",$B39="X",$D39="",$D39="X",$E39="",$E39="X",$F39="",$F39="X",$G39="",$G39="X",$H39="",$H39="X"),0,SUM(_xlfn._xlws.FILTER(VALUE(PptoSty[Sign]&amp;"1")*1/PptoSty[Division],(PptoSty[Division]&lt;&gt;0)*(PptoSty[Division]&lt;&gt;"")*(PptoSty[Division]&lt;&gt;"X")*(PptoSty[Project]=$B39)*(PptoSty[Vrs]=$D39)*(PptoSty[Site]=$F39)*(PptoSty[PiRow]=_xlfn.TEXTAFTER($H39,":"))*(PptoSty[PiColumn]=I$54),0)))</f>
        <v>0</v>
      </c>
      <c r="J39" s="197" cm="1">
        <f t="array" ref="J39">IF(OR($B39="",$B39="X",$D39="",$D39="X",$E39="",$E39="X",$F39="",$F39="X",$G39="",$G39="X",$H39="",$H39="X"),0,SUM(_xlfn._xlws.FILTER(VALUE(PptoSty[Sign]&amp;"1")*1/PptoSty[Division],(PptoSty[Division]&lt;&gt;0)*(PptoSty[Division]&lt;&gt;"")*(PptoSty[Division]&lt;&gt;"X")*(PptoSty[Project]=$B39)*(PptoSty[Vrs]=$D39)*(PptoSty[Site]=$F39)*(PptoSty[PiRow]=_xlfn.TEXTAFTER($H39,":"))*(PptoSty[PiColumn]=J$54),0)))</f>
        <v>0</v>
      </c>
      <c r="K39" s="197" cm="1">
        <f t="array" ref="K39">IF(OR($B39="",$B39="X",$D39="",$D39="X",$E39="",$E39="X",$F39="",$F39="X",$G39="",$G39="X",$H39="",$H39="X"),0,SUM(_xlfn._xlws.FILTER(VALUE(PptoSty[Sign]&amp;"1")*1/PptoSty[Division],(PptoSty[Division]&lt;&gt;0)*(PptoSty[Division]&lt;&gt;"")*(PptoSty[Division]&lt;&gt;"X")*(PptoSty[Project]=$B39)*(PptoSty[Vrs]=$D39)*(PptoSty[Site]=$F39)*(PptoSty[PiRow]=_xlfn.TEXTAFTER($H39,":"))*(PptoSty[PiColumn]=K$54),0)))</f>
        <v>0</v>
      </c>
      <c r="L39" s="197" cm="1">
        <f t="array" ref="L39">IF(OR($B39="",$B39="X",$D39="",$D39="X",$E39="",$E39="X",$F39="",$F39="X",$G39="",$G39="X",$H39="",$H39="X"),0,SUM(_xlfn._xlws.FILTER(VALUE(PptoSty[Sign]&amp;"1")*1/PptoSty[Division],(PptoSty[Division]&lt;&gt;0)*(PptoSty[Division]&lt;&gt;"")*(PptoSty[Division]&lt;&gt;"X")*(PptoSty[Project]=$B39)*(PptoSty[Vrs]=$D39)*(PptoSty[Site]=$F39)*(PptoSty[PiRow]=_xlfn.TEXTAFTER($H39,":"))*(PptoSty[PiColumn]=L$54),0)))</f>
        <v>0</v>
      </c>
      <c r="M39" s="197" cm="1">
        <f t="array" ref="M39">IF(OR($B39="",$B39="X",$D39="",$D39="X",$E39="",$E39="X",$F39="",$F39="X",$G39="",$G39="X",$H39="",$H39="X"),0,SUM(_xlfn._xlws.FILTER(VALUE(PptoSty[Sign]&amp;"1")*1/PptoSty[Division],(PptoSty[Division]&lt;&gt;0)*(PptoSty[Division]&lt;&gt;"")*(PptoSty[Division]&lt;&gt;"X")*(PptoSty[Project]=$B39)*(PptoSty[Vrs]=$D39)*(PptoSty[Site]=$F39)*(PptoSty[PiRow]=_xlfn.TEXTAFTER($H39,":"))*(PptoSty[PiColumn]=M$54),0)))</f>
        <v>0</v>
      </c>
      <c r="N39" s="197" cm="1">
        <f t="array" ref="N39">IF(OR($B39="",$B39="X",$D39="",$D39="X",$E39="",$E39="X",$F39="",$F39="X",$G39="",$G39="X",$H39="",$H39="X"),0,SUM(_xlfn._xlws.FILTER(VALUE(PptoSty[Sign]&amp;"1")*1/PptoSty[Division],(PptoSty[Division]&lt;&gt;0)*(PptoSty[Division]&lt;&gt;"")*(PptoSty[Division]&lt;&gt;"X")*(PptoSty[Project]=$B39)*(PptoSty[Vrs]=$D39)*(PptoSty[Site]=$F39)*(PptoSty[PiRow]=_xlfn.TEXTAFTER($H39,":"))*(PptoSty[PiColumn]=N$54),0)))</f>
        <v>0</v>
      </c>
      <c r="O39" s="197" cm="1">
        <f t="array" ref="O39">IF(OR($B39="",$B39="X",$D39="",$D39="X",$E39="",$E39="X",$F39="",$F39="X",$G39="",$G39="X",$H39="",$H39="X"),0,SUM(_xlfn._xlws.FILTER(VALUE(PptoSty[Sign]&amp;"1")*1/PptoSty[Division],(PptoSty[Division]&lt;&gt;0)*(PptoSty[Division]&lt;&gt;"")*(PptoSty[Division]&lt;&gt;"X")*(PptoSty[Project]=$B39)*(PptoSty[Vrs]=$D39)*(PptoSty[Site]=$F39)*(PptoSty[PiRow]=_xlfn.TEXTAFTER($H39,":"))*(PptoSty[PiColumn]=O$54),0)))</f>
        <v>0</v>
      </c>
      <c r="P39" s="197" cm="1">
        <f t="array" ref="P39">IF(OR($B39="",$B39="X",$D39="",$D39="X",$E39="",$E39="X",$F39="",$F39="X",$G39="",$G39="X",$H39="",$H39="X"),0,SUM(_xlfn._xlws.FILTER(VALUE(PptoSty[Sign]&amp;"1")*1/PptoSty[Division],(PptoSty[Division]&lt;&gt;0)*(PptoSty[Division]&lt;&gt;"")*(PptoSty[Division]&lt;&gt;"X")*(PptoSty[Project]=$B39)*(PptoSty[Vrs]=$D39)*(PptoSty[Site]=$F39)*(PptoSty[PiRow]=_xlfn.TEXTAFTER($H39,":"))*(PptoSty[PiColumn]=P$54),0)))</f>
        <v>0</v>
      </c>
      <c r="Q39" s="197" cm="1">
        <f t="array" ref="Q39">IF(OR($B39="",$B39="X",$D39="",$D39="X",$E39="",$E39="X",$F39="",$F39="X",$G39="",$G39="X",$H39="",$H39="X"),0,SUM(_xlfn._xlws.FILTER(VALUE(PptoSty[Sign]&amp;"1")*1/PptoSty[Division],(PptoSty[Division]&lt;&gt;0)*(PptoSty[Division]&lt;&gt;"")*(PptoSty[Division]&lt;&gt;"X")*(PptoSty[Project]=$B39)*(PptoSty[Vrs]=$D39)*(PptoSty[Site]=$F39)*(PptoSty[PiRow]=_xlfn.TEXTAFTER($H39,":"))*(PptoSty[PiColumn]=Q$54),0)))</f>
        <v>0</v>
      </c>
      <c r="R39" s="197" cm="1">
        <f t="array" ref="R39">IF(OR($B39="",$B39="X",$D39="",$D39="X",$E39="",$E39="X",$F39="",$F39="X",$G39="",$G39="X",$H39="",$H39="X"),0,SUM(_xlfn._xlws.FILTER(VALUE(PptoSty[Sign]&amp;"1")*1/PptoSty[Division],(PptoSty[Division]&lt;&gt;0)*(PptoSty[Division]&lt;&gt;"")*(PptoSty[Division]&lt;&gt;"X")*(PptoSty[Project]=$B39)*(PptoSty[Vrs]=$D39)*(PptoSty[Site]=$F39)*(PptoSty[PiRow]=_xlfn.TEXTAFTER($H39,":"))*(PptoSty[PiColumn]=R$54),0)))</f>
        <v>0</v>
      </c>
      <c r="S39" s="197" cm="1">
        <f t="array" ref="S39">IF(OR($B39="",$B39="X",$D39="",$D39="X",$E39="",$E39="X",$F39="",$F39="X",$G39="",$G39="X",$H39="",$H39="X"),0,SUM(_xlfn._xlws.FILTER(VALUE(PptoSty[Sign]&amp;"1")*1/PptoSty[Division],(PptoSty[Division]&lt;&gt;0)*(PptoSty[Division]&lt;&gt;"")*(PptoSty[Division]&lt;&gt;"X")*(PptoSty[Project]=$B39)*(PptoSty[Vrs]=$D39)*(PptoSty[Site]=$F39)*(PptoSty[PiRow]=_xlfn.TEXTAFTER($H39,":"))*(PptoSty[PiColumn]=S$54),0)))</f>
        <v>0</v>
      </c>
      <c r="T39" s="197" cm="1">
        <f t="array" ref="T39">IF(OR($B39="",$B39="X",$D39="",$D39="X",$E39="",$E39="X",$F39="",$F39="X",$G39="",$G39="X",$H39="",$H39="X"),0,SUM(_xlfn._xlws.FILTER(VALUE(PptoSty[Sign]&amp;"1")*1/PptoSty[Division],(PptoSty[Division]&lt;&gt;0)*(PptoSty[Division]&lt;&gt;"")*(PptoSty[Division]&lt;&gt;"X")*(PptoSty[Project]=$B39)*(PptoSty[Vrs]=$D39)*(PptoSty[Site]=$F39)*(PptoSty[PiRow]=_xlfn.TEXTAFTER($H39,":"))*(PptoSty[PiColumn]=T$54),0)))</f>
        <v>0</v>
      </c>
      <c r="U39" s="197" cm="1">
        <f t="array" ref="U39">IF(OR($B39="",$B39="X",$D39="",$D39="X",$E39="",$E39="X",$F39="",$F39="X",$G39="",$G39="X",$H39="",$H39="X"),0,SUM(_xlfn._xlws.FILTER(VALUE(PptoSty[Sign]&amp;"1")*1/PptoSty[Division],(PptoSty[Division]&lt;&gt;0)*(PptoSty[Division]&lt;&gt;"")*(PptoSty[Division]&lt;&gt;"X")*(PptoSty[Project]=$B39)*(PptoSty[Vrs]=$D39)*(PptoSty[Site]=$F39)*(PptoSty[PiRow]=_xlfn.TEXTAFTER($H39,":"))*(PptoSty[PiColumn]=U$54),0)))</f>
        <v>0</v>
      </c>
      <c r="V39" s="197" cm="1">
        <f t="array" ref="V39">IF(OR($B39="",$B39="X",$D39="",$D39="X",$E39="",$E39="X",$F39="",$F39="X",$G39="",$G39="X",$H39="",$H39="X"),0,SUM(_xlfn._xlws.FILTER(VALUE(PptoSty[Sign]&amp;"1")*1/PptoSty[Division],(PptoSty[Division]&lt;&gt;0)*(PptoSty[Division]&lt;&gt;"")*(PptoSty[Division]&lt;&gt;"X")*(PptoSty[Project]=$B39)*(PptoSty[Vrs]=$D39)*(PptoSty[Site]=$F39)*(PptoSty[PiRow]=_xlfn.TEXTAFTER($H39,":"))*(PptoSty[PiColumn]=V$54),0)))</f>
        <v>0</v>
      </c>
      <c r="W39" s="197" cm="1">
        <f t="array" ref="W39">IF(OR($B39="",$B39="X",$D39="",$D39="X",$E39="",$E39="X",$F39="",$F39="X",$G39="",$G39="X",$H39="",$H39="X"),0,SUM(_xlfn._xlws.FILTER(VALUE(PptoSty[Sign]&amp;"1")*1/PptoSty[Division],(PptoSty[Division]&lt;&gt;0)*(PptoSty[Division]&lt;&gt;"")*(PptoSty[Division]&lt;&gt;"X")*(PptoSty[Project]=$B39)*(PptoSty[Vrs]=$D39)*(PptoSty[Site]=$F39)*(PptoSty[PiRow]=_xlfn.TEXTAFTER($H39,":"))*(PptoSty[PiColumn]=W$54),0)))</f>
        <v>0</v>
      </c>
      <c r="X39" s="197" cm="1">
        <f t="array" ref="X39">IF(OR($B39="",$B39="X",$D39="",$D39="X",$E39="",$E39="X",$F39="",$F39="X",$G39="",$G39="X",$H39="",$H39="X"),0,SUM(_xlfn._xlws.FILTER(VALUE(PptoSty[Sign]&amp;"1")*1/PptoSty[Division],(PptoSty[Division]&lt;&gt;0)*(PptoSty[Division]&lt;&gt;"")*(PptoSty[Division]&lt;&gt;"X")*(PptoSty[Project]=$B39)*(PptoSty[Vrs]=$D39)*(PptoSty[Site]=$F39)*(PptoSty[PiRow]=_xlfn.TEXTAFTER($H39,":"))*(PptoSty[PiColumn]=X$54),0)))</f>
        <v>0</v>
      </c>
      <c r="Y39" s="197" cm="1">
        <f t="array" ref="Y39">IF(OR($B39="",$B39="X",$D39="",$D39="X",$E39="",$E39="X",$F39="",$F39="X",$G39="",$G39="X",$H39="",$H39="X"),0,SUM(_xlfn._xlws.FILTER(VALUE(PptoSty[Sign]&amp;"1")*1/PptoSty[Division],(PptoSty[Division]&lt;&gt;0)*(PptoSty[Division]&lt;&gt;"")*(PptoSty[Division]&lt;&gt;"X")*(PptoSty[Project]=$B39)*(PptoSty[Vrs]=$D39)*(PptoSty[Site]=$F39)*(PptoSty[PiRow]=_xlfn.TEXTAFTER($H39,":"))*(PptoSty[PiColumn]=Y$54),0)))</f>
        <v>0</v>
      </c>
    </row>
    <row r="40" spans="1:25" s="33" customFormat="1" ht="17.25" customHeight="1" outlineLevel="1">
      <c r="A40" s="123"/>
      <c r="B40" s="140" t="str">
        <v>31200</v>
      </c>
      <c r="C40" s="128" t="str">
        <v>Sp</v>
      </c>
      <c r="D40" s="128">
        <v>0</v>
      </c>
      <c r="E40" s="128" t="str">
        <v>TOTS</v>
      </c>
      <c r="F40" s="139" t="str">
        <v>PLANT</v>
      </c>
      <c r="G40" s="139" t="str">
        <v>CurPpto</v>
      </c>
      <c r="H40" s="139" t="str">
        <v>X100:SUBGROUP TOTS</v>
      </c>
      <c r="I40" s="197" cm="1">
        <f t="array" ref="I40">IF(OR($B40="",$B40="X",$D40="",$D40="X",$E40="",$E40="X",$F40="",$F40="X",$G40="",$G40="X",$H40="",$H40="X"),0,SUM(_xlfn._xlws.FILTER(VALUE(PptoSty[Sign]&amp;"1")*1/PptoSty[Division],(PptoSty[Division]&lt;&gt;0)*(PptoSty[Division]&lt;&gt;"")*(PptoSty[Division]&lt;&gt;"X")*(PptoSty[Project]=$B40)*(PptoSty[Vrs]=$D40)*(PptoSty[Site]=$F40)*(PptoSty[PiRow]=_xlfn.TEXTAFTER($H40,":"))*(PptoSty[PiColumn]=I$54),0)))</f>
        <v>0</v>
      </c>
      <c r="J40" s="197" cm="1">
        <f t="array" ref="J40">IF(OR($B40="",$B40="X",$D40="",$D40="X",$E40="",$E40="X",$F40="",$F40="X",$G40="",$G40="X",$H40="",$H40="X"),0,SUM(_xlfn._xlws.FILTER(VALUE(PptoSty[Sign]&amp;"1")*1/PptoSty[Division],(PptoSty[Division]&lt;&gt;0)*(PptoSty[Division]&lt;&gt;"")*(PptoSty[Division]&lt;&gt;"X")*(PptoSty[Project]=$B40)*(PptoSty[Vrs]=$D40)*(PptoSty[Site]=$F40)*(PptoSty[PiRow]=_xlfn.TEXTAFTER($H40,":"))*(PptoSty[PiColumn]=J$54),0)))</f>
        <v>0</v>
      </c>
      <c r="K40" s="197" cm="1">
        <f t="array" ref="K40">IF(OR($B40="",$B40="X",$D40="",$D40="X",$E40="",$E40="X",$F40="",$F40="X",$G40="",$G40="X",$H40="",$H40="X"),0,SUM(_xlfn._xlws.FILTER(VALUE(PptoSty[Sign]&amp;"1")*1/PptoSty[Division],(PptoSty[Division]&lt;&gt;0)*(PptoSty[Division]&lt;&gt;"")*(PptoSty[Division]&lt;&gt;"X")*(PptoSty[Project]=$B40)*(PptoSty[Vrs]=$D40)*(PptoSty[Site]=$F40)*(PptoSty[PiRow]=_xlfn.TEXTAFTER($H40,":"))*(PptoSty[PiColumn]=K$54),0)))</f>
        <v>0</v>
      </c>
      <c r="L40" s="197" cm="1">
        <f t="array" ref="L40">IF(OR($B40="",$B40="X",$D40="",$D40="X",$E40="",$E40="X",$F40="",$F40="X",$G40="",$G40="X",$H40="",$H40="X"),0,SUM(_xlfn._xlws.FILTER(VALUE(PptoSty[Sign]&amp;"1")*1/PptoSty[Division],(PptoSty[Division]&lt;&gt;0)*(PptoSty[Division]&lt;&gt;"")*(PptoSty[Division]&lt;&gt;"X")*(PptoSty[Project]=$B40)*(PptoSty[Vrs]=$D40)*(PptoSty[Site]=$F40)*(PptoSty[PiRow]=_xlfn.TEXTAFTER($H40,":"))*(PptoSty[PiColumn]=L$54),0)))</f>
        <v>0</v>
      </c>
      <c r="M40" s="197" cm="1">
        <f t="array" ref="M40">IF(OR($B40="",$B40="X",$D40="",$D40="X",$E40="",$E40="X",$F40="",$F40="X",$G40="",$G40="X",$H40="",$H40="X"),0,SUM(_xlfn._xlws.FILTER(VALUE(PptoSty[Sign]&amp;"1")*1/PptoSty[Division],(PptoSty[Division]&lt;&gt;0)*(PptoSty[Division]&lt;&gt;"")*(PptoSty[Division]&lt;&gt;"X")*(PptoSty[Project]=$B40)*(PptoSty[Vrs]=$D40)*(PptoSty[Site]=$F40)*(PptoSty[PiRow]=_xlfn.TEXTAFTER($H40,":"))*(PptoSty[PiColumn]=M$54),0)))</f>
        <v>0</v>
      </c>
      <c r="N40" s="197" cm="1">
        <f t="array" ref="N40">IF(OR($B40="",$B40="X",$D40="",$D40="X",$E40="",$E40="X",$F40="",$F40="X",$G40="",$G40="X",$H40="",$H40="X"),0,SUM(_xlfn._xlws.FILTER(VALUE(PptoSty[Sign]&amp;"1")*1/PptoSty[Division],(PptoSty[Division]&lt;&gt;0)*(PptoSty[Division]&lt;&gt;"")*(PptoSty[Division]&lt;&gt;"X")*(PptoSty[Project]=$B40)*(PptoSty[Vrs]=$D40)*(PptoSty[Site]=$F40)*(PptoSty[PiRow]=_xlfn.TEXTAFTER($H40,":"))*(PptoSty[PiColumn]=N$54),0)))</f>
        <v>0</v>
      </c>
      <c r="O40" s="197" cm="1">
        <f t="array" ref="O40">IF(OR($B40="",$B40="X",$D40="",$D40="X",$E40="",$E40="X",$F40="",$F40="X",$G40="",$G40="X",$H40="",$H40="X"),0,SUM(_xlfn._xlws.FILTER(VALUE(PptoSty[Sign]&amp;"1")*1/PptoSty[Division],(PptoSty[Division]&lt;&gt;0)*(PptoSty[Division]&lt;&gt;"")*(PptoSty[Division]&lt;&gt;"X")*(PptoSty[Project]=$B40)*(PptoSty[Vrs]=$D40)*(PptoSty[Site]=$F40)*(PptoSty[PiRow]=_xlfn.TEXTAFTER($H40,":"))*(PptoSty[PiColumn]=O$54),0)))</f>
        <v>0</v>
      </c>
      <c r="P40" s="197" cm="1">
        <f t="array" ref="P40">IF(OR($B40="",$B40="X",$D40="",$D40="X",$E40="",$E40="X",$F40="",$F40="X",$G40="",$G40="X",$H40="",$H40="X"),0,SUM(_xlfn._xlws.FILTER(VALUE(PptoSty[Sign]&amp;"1")*1/PptoSty[Division],(PptoSty[Division]&lt;&gt;0)*(PptoSty[Division]&lt;&gt;"")*(PptoSty[Division]&lt;&gt;"X")*(PptoSty[Project]=$B40)*(PptoSty[Vrs]=$D40)*(PptoSty[Site]=$F40)*(PptoSty[PiRow]=_xlfn.TEXTAFTER($H40,":"))*(PptoSty[PiColumn]=P$54),0)))</f>
        <v>0</v>
      </c>
      <c r="Q40" s="197" cm="1">
        <f t="array" ref="Q40">IF(OR($B40="",$B40="X",$D40="",$D40="X",$E40="",$E40="X",$F40="",$F40="X",$G40="",$G40="X",$H40="",$H40="X"),0,SUM(_xlfn._xlws.FILTER(VALUE(PptoSty[Sign]&amp;"1")*1/PptoSty[Division],(PptoSty[Division]&lt;&gt;0)*(PptoSty[Division]&lt;&gt;"")*(PptoSty[Division]&lt;&gt;"X")*(PptoSty[Project]=$B40)*(PptoSty[Vrs]=$D40)*(PptoSty[Site]=$F40)*(PptoSty[PiRow]=_xlfn.TEXTAFTER($H40,":"))*(PptoSty[PiColumn]=Q$54),0)))</f>
        <v>0</v>
      </c>
      <c r="R40" s="197" cm="1">
        <f t="array" ref="R40">IF(OR($B40="",$B40="X",$D40="",$D40="X",$E40="",$E40="X",$F40="",$F40="X",$G40="",$G40="X",$H40="",$H40="X"),0,SUM(_xlfn._xlws.FILTER(VALUE(PptoSty[Sign]&amp;"1")*1/PptoSty[Division],(PptoSty[Division]&lt;&gt;0)*(PptoSty[Division]&lt;&gt;"")*(PptoSty[Division]&lt;&gt;"X")*(PptoSty[Project]=$B40)*(PptoSty[Vrs]=$D40)*(PptoSty[Site]=$F40)*(PptoSty[PiRow]=_xlfn.TEXTAFTER($H40,":"))*(PptoSty[PiColumn]=R$54),0)))</f>
        <v>0</v>
      </c>
      <c r="S40" s="197" cm="1">
        <f t="array" ref="S40">IF(OR($B40="",$B40="X",$D40="",$D40="X",$E40="",$E40="X",$F40="",$F40="X",$G40="",$G40="X",$H40="",$H40="X"),0,SUM(_xlfn._xlws.FILTER(VALUE(PptoSty[Sign]&amp;"1")*1/PptoSty[Division],(PptoSty[Division]&lt;&gt;0)*(PptoSty[Division]&lt;&gt;"")*(PptoSty[Division]&lt;&gt;"X")*(PptoSty[Project]=$B40)*(PptoSty[Vrs]=$D40)*(PptoSty[Site]=$F40)*(PptoSty[PiRow]=_xlfn.TEXTAFTER($H40,":"))*(PptoSty[PiColumn]=S$54),0)))</f>
        <v>0</v>
      </c>
      <c r="T40" s="197" cm="1">
        <f t="array" ref="T40">IF(OR($B40="",$B40="X",$D40="",$D40="X",$E40="",$E40="X",$F40="",$F40="X",$G40="",$G40="X",$H40="",$H40="X"),0,SUM(_xlfn._xlws.FILTER(VALUE(PptoSty[Sign]&amp;"1")*1/PptoSty[Division],(PptoSty[Division]&lt;&gt;0)*(PptoSty[Division]&lt;&gt;"")*(PptoSty[Division]&lt;&gt;"X")*(PptoSty[Project]=$B40)*(PptoSty[Vrs]=$D40)*(PptoSty[Site]=$F40)*(PptoSty[PiRow]=_xlfn.TEXTAFTER($H40,":"))*(PptoSty[PiColumn]=T$54),0)))</f>
        <v>0</v>
      </c>
      <c r="U40" s="197" cm="1">
        <f t="array" ref="U40">IF(OR($B40="",$B40="X",$D40="",$D40="X",$E40="",$E40="X",$F40="",$F40="X",$G40="",$G40="X",$H40="",$H40="X"),0,SUM(_xlfn._xlws.FILTER(VALUE(PptoSty[Sign]&amp;"1")*1/PptoSty[Division],(PptoSty[Division]&lt;&gt;0)*(PptoSty[Division]&lt;&gt;"")*(PptoSty[Division]&lt;&gt;"X")*(PptoSty[Project]=$B40)*(PptoSty[Vrs]=$D40)*(PptoSty[Site]=$F40)*(PptoSty[PiRow]=_xlfn.TEXTAFTER($H40,":"))*(PptoSty[PiColumn]=U$54),0)))</f>
        <v>0</v>
      </c>
      <c r="V40" s="197" cm="1">
        <f t="array" ref="V40">IF(OR($B40="",$B40="X",$D40="",$D40="X",$E40="",$E40="X",$F40="",$F40="X",$G40="",$G40="X",$H40="",$H40="X"),0,SUM(_xlfn._xlws.FILTER(VALUE(PptoSty[Sign]&amp;"1")*1/PptoSty[Division],(PptoSty[Division]&lt;&gt;0)*(PptoSty[Division]&lt;&gt;"")*(PptoSty[Division]&lt;&gt;"X")*(PptoSty[Project]=$B40)*(PptoSty[Vrs]=$D40)*(PptoSty[Site]=$F40)*(PptoSty[PiRow]=_xlfn.TEXTAFTER($H40,":"))*(PptoSty[PiColumn]=V$54),0)))</f>
        <v>0</v>
      </c>
      <c r="W40" s="197" cm="1">
        <f t="array" ref="W40">IF(OR($B40="",$B40="X",$D40="",$D40="X",$E40="",$E40="X",$F40="",$F40="X",$G40="",$G40="X",$H40="",$H40="X"),0,SUM(_xlfn._xlws.FILTER(VALUE(PptoSty[Sign]&amp;"1")*1/PptoSty[Division],(PptoSty[Division]&lt;&gt;0)*(PptoSty[Division]&lt;&gt;"")*(PptoSty[Division]&lt;&gt;"X")*(PptoSty[Project]=$B40)*(PptoSty[Vrs]=$D40)*(PptoSty[Site]=$F40)*(PptoSty[PiRow]=_xlfn.TEXTAFTER($H40,":"))*(PptoSty[PiColumn]=W$54),0)))</f>
        <v>0</v>
      </c>
      <c r="X40" s="197" cm="1">
        <f t="array" ref="X40">IF(OR($B40="",$B40="X",$D40="",$D40="X",$E40="",$E40="X",$F40="",$F40="X",$G40="",$G40="X",$H40="",$H40="X"),0,SUM(_xlfn._xlws.FILTER(VALUE(PptoSty[Sign]&amp;"1")*1/PptoSty[Division],(PptoSty[Division]&lt;&gt;0)*(PptoSty[Division]&lt;&gt;"")*(PptoSty[Division]&lt;&gt;"X")*(PptoSty[Project]=$B40)*(PptoSty[Vrs]=$D40)*(PptoSty[Site]=$F40)*(PptoSty[PiRow]=_xlfn.TEXTAFTER($H40,":"))*(PptoSty[PiColumn]=X$54),0)))</f>
        <v>0</v>
      </c>
      <c r="Y40" s="197" cm="1">
        <f t="array" ref="Y40">IF(OR($B40="",$B40="X",$D40="",$D40="X",$E40="",$E40="X",$F40="",$F40="X",$G40="",$G40="X",$H40="",$H40="X"),0,SUM(_xlfn._xlws.FILTER(VALUE(PptoSty[Sign]&amp;"1")*1/PptoSty[Division],(PptoSty[Division]&lt;&gt;0)*(PptoSty[Division]&lt;&gt;"")*(PptoSty[Division]&lt;&gt;"X")*(PptoSty[Project]=$B40)*(PptoSty[Vrs]=$D40)*(PptoSty[Site]=$F40)*(PptoSty[PiRow]=_xlfn.TEXTAFTER($H40,":"))*(PptoSty[PiColumn]=Y$54),0)))</f>
        <v>0</v>
      </c>
    </row>
    <row r="41" spans="1:25" s="33" customFormat="1" ht="17.25" customHeight="1" outlineLevel="1">
      <c r="A41" s="123"/>
      <c r="B41" s="140"/>
      <c r="C41" s="128"/>
      <c r="D41" s="128"/>
      <c r="E41" s="128"/>
      <c r="F41" s="139"/>
      <c r="G41" s="139"/>
      <c r="H41" s="139"/>
      <c r="I41" s="197" cm="1">
        <f t="array" ref="I41">IF(OR($B41="",$B41="X",$D41="",$D41="X",$E41="",$E41="X",$F41="",$F41="X",$G41="",$G41="X",$H41="",$H41="X"),0,SUM(_xlfn._xlws.FILTER(VALUE(PptoSty[Sign]&amp;"1")*1/PptoSty[Division],(PptoSty[Division]&lt;&gt;0)*(PptoSty[Division]&lt;&gt;"")*(PptoSty[Division]&lt;&gt;"X")*(PptoSty[Project]=$B41)*(PptoSty[Vrs]=$D41)*(PptoSty[Site]=$F41)*(PptoSty[PiRow]=_xlfn.TEXTAFTER($H41,":"))*(PptoSty[PiColumn]=I$54),0)))</f>
        <v>0</v>
      </c>
      <c r="J41" s="197" cm="1">
        <f t="array" ref="J41">IF(OR($B41="",$B41="X",$D41="",$D41="X",$E41="",$E41="X",$F41="",$F41="X",$G41="",$G41="X",$H41="",$H41="X"),0,SUM(_xlfn._xlws.FILTER(VALUE(PptoSty[Sign]&amp;"1")*1/PptoSty[Division],(PptoSty[Division]&lt;&gt;0)*(PptoSty[Division]&lt;&gt;"")*(PptoSty[Division]&lt;&gt;"X")*(PptoSty[Project]=$B41)*(PptoSty[Vrs]=$D41)*(PptoSty[Site]=$F41)*(PptoSty[PiRow]=_xlfn.TEXTAFTER($H41,":"))*(PptoSty[PiColumn]=J$54),0)))</f>
        <v>0</v>
      </c>
      <c r="K41" s="197" cm="1">
        <f t="array" ref="K41">IF(OR($B41="",$B41="X",$D41="",$D41="X",$E41="",$E41="X",$F41="",$F41="X",$G41="",$G41="X",$H41="",$H41="X"),0,SUM(_xlfn._xlws.FILTER(VALUE(PptoSty[Sign]&amp;"1")*1/PptoSty[Division],(PptoSty[Division]&lt;&gt;0)*(PptoSty[Division]&lt;&gt;"")*(PptoSty[Division]&lt;&gt;"X")*(PptoSty[Project]=$B41)*(PptoSty[Vrs]=$D41)*(PptoSty[Site]=$F41)*(PptoSty[PiRow]=_xlfn.TEXTAFTER($H41,":"))*(PptoSty[PiColumn]=K$54),0)))</f>
        <v>0</v>
      </c>
      <c r="L41" s="197" cm="1">
        <f t="array" ref="L41">IF(OR($B41="",$B41="X",$D41="",$D41="X",$E41="",$E41="X",$F41="",$F41="X",$G41="",$G41="X",$H41="",$H41="X"),0,SUM(_xlfn._xlws.FILTER(VALUE(PptoSty[Sign]&amp;"1")*1/PptoSty[Division],(PptoSty[Division]&lt;&gt;0)*(PptoSty[Division]&lt;&gt;"")*(PptoSty[Division]&lt;&gt;"X")*(PptoSty[Project]=$B41)*(PptoSty[Vrs]=$D41)*(PptoSty[Site]=$F41)*(PptoSty[PiRow]=_xlfn.TEXTAFTER($H41,":"))*(PptoSty[PiColumn]=L$54),0)))</f>
        <v>0</v>
      </c>
      <c r="M41" s="197" cm="1">
        <f t="array" ref="M41">IF(OR($B41="",$B41="X",$D41="",$D41="X",$E41="",$E41="X",$F41="",$F41="X",$G41="",$G41="X",$H41="",$H41="X"),0,SUM(_xlfn._xlws.FILTER(VALUE(PptoSty[Sign]&amp;"1")*1/PptoSty[Division],(PptoSty[Division]&lt;&gt;0)*(PptoSty[Division]&lt;&gt;"")*(PptoSty[Division]&lt;&gt;"X")*(PptoSty[Project]=$B41)*(PptoSty[Vrs]=$D41)*(PptoSty[Site]=$F41)*(PptoSty[PiRow]=_xlfn.TEXTAFTER($H41,":"))*(PptoSty[PiColumn]=M$54),0)))</f>
        <v>0</v>
      </c>
      <c r="N41" s="197" cm="1">
        <f t="array" ref="N41">IF(OR($B41="",$B41="X",$D41="",$D41="X",$E41="",$E41="X",$F41="",$F41="X",$G41="",$G41="X",$H41="",$H41="X"),0,SUM(_xlfn._xlws.FILTER(VALUE(PptoSty[Sign]&amp;"1")*1/PptoSty[Division],(PptoSty[Division]&lt;&gt;0)*(PptoSty[Division]&lt;&gt;"")*(PptoSty[Division]&lt;&gt;"X")*(PptoSty[Project]=$B41)*(PptoSty[Vrs]=$D41)*(PptoSty[Site]=$F41)*(PptoSty[PiRow]=_xlfn.TEXTAFTER($H41,":"))*(PptoSty[PiColumn]=N$54),0)))</f>
        <v>0</v>
      </c>
      <c r="O41" s="197" cm="1">
        <f t="array" ref="O41">IF(OR($B41="",$B41="X",$D41="",$D41="X",$E41="",$E41="X",$F41="",$F41="X",$G41="",$G41="X",$H41="",$H41="X"),0,SUM(_xlfn._xlws.FILTER(VALUE(PptoSty[Sign]&amp;"1")*1/PptoSty[Division],(PptoSty[Division]&lt;&gt;0)*(PptoSty[Division]&lt;&gt;"")*(PptoSty[Division]&lt;&gt;"X")*(PptoSty[Project]=$B41)*(PptoSty[Vrs]=$D41)*(PptoSty[Site]=$F41)*(PptoSty[PiRow]=_xlfn.TEXTAFTER($H41,":"))*(PptoSty[PiColumn]=O$54),0)))</f>
        <v>0</v>
      </c>
      <c r="P41" s="197" cm="1">
        <f t="array" ref="P41">IF(OR($B41="",$B41="X",$D41="",$D41="X",$E41="",$E41="X",$F41="",$F41="X",$G41="",$G41="X",$H41="",$H41="X"),0,SUM(_xlfn._xlws.FILTER(VALUE(PptoSty[Sign]&amp;"1")*1/PptoSty[Division],(PptoSty[Division]&lt;&gt;0)*(PptoSty[Division]&lt;&gt;"")*(PptoSty[Division]&lt;&gt;"X")*(PptoSty[Project]=$B41)*(PptoSty[Vrs]=$D41)*(PptoSty[Site]=$F41)*(PptoSty[PiRow]=_xlfn.TEXTAFTER($H41,":"))*(PptoSty[PiColumn]=P$54),0)))</f>
        <v>0</v>
      </c>
      <c r="Q41" s="197" cm="1">
        <f t="array" ref="Q41">IF(OR($B41="",$B41="X",$D41="",$D41="X",$E41="",$E41="X",$F41="",$F41="X",$G41="",$G41="X",$H41="",$H41="X"),0,SUM(_xlfn._xlws.FILTER(VALUE(PptoSty[Sign]&amp;"1")*1/PptoSty[Division],(PptoSty[Division]&lt;&gt;0)*(PptoSty[Division]&lt;&gt;"")*(PptoSty[Division]&lt;&gt;"X")*(PptoSty[Project]=$B41)*(PptoSty[Vrs]=$D41)*(PptoSty[Site]=$F41)*(PptoSty[PiRow]=_xlfn.TEXTAFTER($H41,":"))*(PptoSty[PiColumn]=Q$54),0)))</f>
        <v>0</v>
      </c>
      <c r="R41" s="197" cm="1">
        <f t="array" ref="R41">IF(OR($B41="",$B41="X",$D41="",$D41="X",$E41="",$E41="X",$F41="",$F41="X",$G41="",$G41="X",$H41="",$H41="X"),0,SUM(_xlfn._xlws.FILTER(VALUE(PptoSty[Sign]&amp;"1")*1/PptoSty[Division],(PptoSty[Division]&lt;&gt;0)*(PptoSty[Division]&lt;&gt;"")*(PptoSty[Division]&lt;&gt;"X")*(PptoSty[Project]=$B41)*(PptoSty[Vrs]=$D41)*(PptoSty[Site]=$F41)*(PptoSty[PiRow]=_xlfn.TEXTAFTER($H41,":"))*(PptoSty[PiColumn]=R$54),0)))</f>
        <v>0</v>
      </c>
      <c r="S41" s="197" cm="1">
        <f t="array" ref="S41">IF(OR($B41="",$B41="X",$D41="",$D41="X",$E41="",$E41="X",$F41="",$F41="X",$G41="",$G41="X",$H41="",$H41="X"),0,SUM(_xlfn._xlws.FILTER(VALUE(PptoSty[Sign]&amp;"1")*1/PptoSty[Division],(PptoSty[Division]&lt;&gt;0)*(PptoSty[Division]&lt;&gt;"")*(PptoSty[Division]&lt;&gt;"X")*(PptoSty[Project]=$B41)*(PptoSty[Vrs]=$D41)*(PptoSty[Site]=$F41)*(PptoSty[PiRow]=_xlfn.TEXTAFTER($H41,":"))*(PptoSty[PiColumn]=S$54),0)))</f>
        <v>0</v>
      </c>
      <c r="T41" s="197" cm="1">
        <f t="array" ref="T41">IF(OR($B41="",$B41="X",$D41="",$D41="X",$E41="",$E41="X",$F41="",$F41="X",$G41="",$G41="X",$H41="",$H41="X"),0,SUM(_xlfn._xlws.FILTER(VALUE(PptoSty[Sign]&amp;"1")*1/PptoSty[Division],(PptoSty[Division]&lt;&gt;0)*(PptoSty[Division]&lt;&gt;"")*(PptoSty[Division]&lt;&gt;"X")*(PptoSty[Project]=$B41)*(PptoSty[Vrs]=$D41)*(PptoSty[Site]=$F41)*(PptoSty[PiRow]=_xlfn.TEXTAFTER($H41,":"))*(PptoSty[PiColumn]=T$54),0)))</f>
        <v>0</v>
      </c>
      <c r="U41" s="197" cm="1">
        <f t="array" ref="U41">IF(OR($B41="",$B41="X",$D41="",$D41="X",$E41="",$E41="X",$F41="",$F41="X",$G41="",$G41="X",$H41="",$H41="X"),0,SUM(_xlfn._xlws.FILTER(VALUE(PptoSty[Sign]&amp;"1")*1/PptoSty[Division],(PptoSty[Division]&lt;&gt;0)*(PptoSty[Division]&lt;&gt;"")*(PptoSty[Division]&lt;&gt;"X")*(PptoSty[Project]=$B41)*(PptoSty[Vrs]=$D41)*(PptoSty[Site]=$F41)*(PptoSty[PiRow]=_xlfn.TEXTAFTER($H41,":"))*(PptoSty[PiColumn]=U$54),0)))</f>
        <v>0</v>
      </c>
      <c r="V41" s="197" cm="1">
        <f t="array" ref="V41">IF(OR($B41="",$B41="X",$D41="",$D41="X",$E41="",$E41="X",$F41="",$F41="X",$G41="",$G41="X",$H41="",$H41="X"),0,SUM(_xlfn._xlws.FILTER(VALUE(PptoSty[Sign]&amp;"1")*1/PptoSty[Division],(PptoSty[Division]&lt;&gt;0)*(PptoSty[Division]&lt;&gt;"")*(PptoSty[Division]&lt;&gt;"X")*(PptoSty[Project]=$B41)*(PptoSty[Vrs]=$D41)*(PptoSty[Site]=$F41)*(PptoSty[PiRow]=_xlfn.TEXTAFTER($H41,":"))*(PptoSty[PiColumn]=V$54),0)))</f>
        <v>0</v>
      </c>
      <c r="W41" s="197" cm="1">
        <f t="array" ref="W41">IF(OR($B41="",$B41="X",$D41="",$D41="X",$E41="",$E41="X",$F41="",$F41="X",$G41="",$G41="X",$H41="",$H41="X"),0,SUM(_xlfn._xlws.FILTER(VALUE(PptoSty[Sign]&amp;"1")*1/PptoSty[Division],(PptoSty[Division]&lt;&gt;0)*(PptoSty[Division]&lt;&gt;"")*(PptoSty[Division]&lt;&gt;"X")*(PptoSty[Project]=$B41)*(PptoSty[Vrs]=$D41)*(PptoSty[Site]=$F41)*(PptoSty[PiRow]=_xlfn.TEXTAFTER($H41,":"))*(PptoSty[PiColumn]=W$54),0)))</f>
        <v>0</v>
      </c>
      <c r="X41" s="197" cm="1">
        <f t="array" ref="X41">IF(OR($B41="",$B41="X",$D41="",$D41="X",$E41="",$E41="X",$F41="",$F41="X",$G41="",$G41="X",$H41="",$H41="X"),0,SUM(_xlfn._xlws.FILTER(VALUE(PptoSty[Sign]&amp;"1")*1/PptoSty[Division],(PptoSty[Division]&lt;&gt;0)*(PptoSty[Division]&lt;&gt;"")*(PptoSty[Division]&lt;&gt;"X")*(PptoSty[Project]=$B41)*(PptoSty[Vrs]=$D41)*(PptoSty[Site]=$F41)*(PptoSty[PiRow]=_xlfn.TEXTAFTER($H41,":"))*(PptoSty[PiColumn]=X$54),0)))</f>
        <v>0</v>
      </c>
      <c r="Y41" s="197" cm="1">
        <f t="array" ref="Y41">IF(OR($B41="",$B41="X",$D41="",$D41="X",$E41="",$E41="X",$F41="",$F41="X",$G41="",$G41="X",$H41="",$H41="X"),0,SUM(_xlfn._xlws.FILTER(VALUE(PptoSty[Sign]&amp;"1")*1/PptoSty[Division],(PptoSty[Division]&lt;&gt;0)*(PptoSty[Division]&lt;&gt;"")*(PptoSty[Division]&lt;&gt;"X")*(PptoSty[Project]=$B41)*(PptoSty[Vrs]=$D41)*(PptoSty[Site]=$F41)*(PptoSty[PiRow]=_xlfn.TEXTAFTER($H41,":"))*(PptoSty[PiColumn]=Y$54),0)))</f>
        <v>0</v>
      </c>
    </row>
    <row r="42" spans="1:25" s="33" customFormat="1" ht="17.25" customHeight="1" outlineLevel="1">
      <c r="A42" s="123"/>
      <c r="B42" s="140"/>
      <c r="C42" s="128"/>
      <c r="D42" s="128"/>
      <c r="E42" s="128"/>
      <c r="F42" s="139"/>
      <c r="G42" s="139"/>
      <c r="H42" s="139"/>
      <c r="I42" s="197" cm="1">
        <f t="array" ref="I42">IF(OR($B42="",$B42="X",$D42="",$D42="X",$E42="",$E42="X",$F42="",$F42="X",$G42="",$G42="X",$H42="",$H42="X"),0,SUM(_xlfn._xlws.FILTER(VALUE(PptoSty[Sign]&amp;"1")*1/PptoSty[Division],(PptoSty[Division]&lt;&gt;0)*(PptoSty[Division]&lt;&gt;"")*(PptoSty[Division]&lt;&gt;"X")*(PptoSty[Project]=$B42)*(PptoSty[Vrs]=$D42)*(PptoSty[Site]=$F42)*(PptoSty[PiRow]=_xlfn.TEXTAFTER($H42,":"))*(PptoSty[PiColumn]=I$54),0)))</f>
        <v>0</v>
      </c>
      <c r="J42" s="197" cm="1">
        <f t="array" ref="J42">IF(OR($B42="",$B42="X",$D42="",$D42="X",$E42="",$E42="X",$F42="",$F42="X",$G42="",$G42="X",$H42="",$H42="X"),0,SUM(_xlfn._xlws.FILTER(VALUE(PptoSty[Sign]&amp;"1")*1/PptoSty[Division],(PptoSty[Division]&lt;&gt;0)*(PptoSty[Division]&lt;&gt;"")*(PptoSty[Division]&lt;&gt;"X")*(PptoSty[Project]=$B42)*(PptoSty[Vrs]=$D42)*(PptoSty[Site]=$F42)*(PptoSty[PiRow]=_xlfn.TEXTAFTER($H42,":"))*(PptoSty[PiColumn]=J$54),0)))</f>
        <v>0</v>
      </c>
      <c r="K42" s="197" cm="1">
        <f t="array" ref="K42">IF(OR($B42="",$B42="X",$D42="",$D42="X",$E42="",$E42="X",$F42="",$F42="X",$G42="",$G42="X",$H42="",$H42="X"),0,SUM(_xlfn._xlws.FILTER(VALUE(PptoSty[Sign]&amp;"1")*1/PptoSty[Division],(PptoSty[Division]&lt;&gt;0)*(PptoSty[Division]&lt;&gt;"")*(PptoSty[Division]&lt;&gt;"X")*(PptoSty[Project]=$B42)*(PptoSty[Vrs]=$D42)*(PptoSty[Site]=$F42)*(PptoSty[PiRow]=_xlfn.TEXTAFTER($H42,":"))*(PptoSty[PiColumn]=K$54),0)))</f>
        <v>0</v>
      </c>
      <c r="L42" s="197" cm="1">
        <f t="array" ref="L42">IF(OR($B42="",$B42="X",$D42="",$D42="X",$E42="",$E42="X",$F42="",$F42="X",$G42="",$G42="X",$H42="",$H42="X"),0,SUM(_xlfn._xlws.FILTER(VALUE(PptoSty[Sign]&amp;"1")*1/PptoSty[Division],(PptoSty[Division]&lt;&gt;0)*(PptoSty[Division]&lt;&gt;"")*(PptoSty[Division]&lt;&gt;"X")*(PptoSty[Project]=$B42)*(PptoSty[Vrs]=$D42)*(PptoSty[Site]=$F42)*(PptoSty[PiRow]=_xlfn.TEXTAFTER($H42,":"))*(PptoSty[PiColumn]=L$54),0)))</f>
        <v>0</v>
      </c>
      <c r="M42" s="197" cm="1">
        <f t="array" ref="M42">IF(OR($B42="",$B42="X",$D42="",$D42="X",$E42="",$E42="X",$F42="",$F42="X",$G42="",$G42="X",$H42="",$H42="X"),0,SUM(_xlfn._xlws.FILTER(VALUE(PptoSty[Sign]&amp;"1")*1/PptoSty[Division],(PptoSty[Division]&lt;&gt;0)*(PptoSty[Division]&lt;&gt;"")*(PptoSty[Division]&lt;&gt;"X")*(PptoSty[Project]=$B42)*(PptoSty[Vrs]=$D42)*(PptoSty[Site]=$F42)*(PptoSty[PiRow]=_xlfn.TEXTAFTER($H42,":"))*(PptoSty[PiColumn]=M$54),0)))</f>
        <v>0</v>
      </c>
      <c r="N42" s="197" cm="1">
        <f t="array" ref="N42">IF(OR($B42="",$B42="X",$D42="",$D42="X",$E42="",$E42="X",$F42="",$F42="X",$G42="",$G42="X",$H42="",$H42="X"),0,SUM(_xlfn._xlws.FILTER(VALUE(PptoSty[Sign]&amp;"1")*1/PptoSty[Division],(PptoSty[Division]&lt;&gt;0)*(PptoSty[Division]&lt;&gt;"")*(PptoSty[Division]&lt;&gt;"X")*(PptoSty[Project]=$B42)*(PptoSty[Vrs]=$D42)*(PptoSty[Site]=$F42)*(PptoSty[PiRow]=_xlfn.TEXTAFTER($H42,":"))*(PptoSty[PiColumn]=N$54),0)))</f>
        <v>0</v>
      </c>
      <c r="O42" s="197" cm="1">
        <f t="array" ref="O42">IF(OR($B42="",$B42="X",$D42="",$D42="X",$E42="",$E42="X",$F42="",$F42="X",$G42="",$G42="X",$H42="",$H42="X"),0,SUM(_xlfn._xlws.FILTER(VALUE(PptoSty[Sign]&amp;"1")*1/PptoSty[Division],(PptoSty[Division]&lt;&gt;0)*(PptoSty[Division]&lt;&gt;"")*(PptoSty[Division]&lt;&gt;"X")*(PptoSty[Project]=$B42)*(PptoSty[Vrs]=$D42)*(PptoSty[Site]=$F42)*(PptoSty[PiRow]=_xlfn.TEXTAFTER($H42,":"))*(PptoSty[PiColumn]=O$54),0)))</f>
        <v>0</v>
      </c>
      <c r="P42" s="197" cm="1">
        <f t="array" ref="P42">IF(OR($B42="",$B42="X",$D42="",$D42="X",$E42="",$E42="X",$F42="",$F42="X",$G42="",$G42="X",$H42="",$H42="X"),0,SUM(_xlfn._xlws.FILTER(VALUE(PptoSty[Sign]&amp;"1")*1/PptoSty[Division],(PptoSty[Division]&lt;&gt;0)*(PptoSty[Division]&lt;&gt;"")*(PptoSty[Division]&lt;&gt;"X")*(PptoSty[Project]=$B42)*(PptoSty[Vrs]=$D42)*(PptoSty[Site]=$F42)*(PptoSty[PiRow]=_xlfn.TEXTAFTER($H42,":"))*(PptoSty[PiColumn]=P$54),0)))</f>
        <v>0</v>
      </c>
      <c r="Q42" s="197" cm="1">
        <f t="array" ref="Q42">IF(OR($B42="",$B42="X",$D42="",$D42="X",$E42="",$E42="X",$F42="",$F42="X",$G42="",$G42="X",$H42="",$H42="X"),0,SUM(_xlfn._xlws.FILTER(VALUE(PptoSty[Sign]&amp;"1")*1/PptoSty[Division],(PptoSty[Division]&lt;&gt;0)*(PptoSty[Division]&lt;&gt;"")*(PptoSty[Division]&lt;&gt;"X")*(PptoSty[Project]=$B42)*(PptoSty[Vrs]=$D42)*(PptoSty[Site]=$F42)*(PptoSty[PiRow]=_xlfn.TEXTAFTER($H42,":"))*(PptoSty[PiColumn]=Q$54),0)))</f>
        <v>0</v>
      </c>
      <c r="R42" s="197" cm="1">
        <f t="array" ref="R42">IF(OR($B42="",$B42="X",$D42="",$D42="X",$E42="",$E42="X",$F42="",$F42="X",$G42="",$G42="X",$H42="",$H42="X"),0,SUM(_xlfn._xlws.FILTER(VALUE(PptoSty[Sign]&amp;"1")*1/PptoSty[Division],(PptoSty[Division]&lt;&gt;0)*(PptoSty[Division]&lt;&gt;"")*(PptoSty[Division]&lt;&gt;"X")*(PptoSty[Project]=$B42)*(PptoSty[Vrs]=$D42)*(PptoSty[Site]=$F42)*(PptoSty[PiRow]=_xlfn.TEXTAFTER($H42,":"))*(PptoSty[PiColumn]=R$54),0)))</f>
        <v>0</v>
      </c>
      <c r="S42" s="197" cm="1">
        <f t="array" ref="S42">IF(OR($B42="",$B42="X",$D42="",$D42="X",$E42="",$E42="X",$F42="",$F42="X",$G42="",$G42="X",$H42="",$H42="X"),0,SUM(_xlfn._xlws.FILTER(VALUE(PptoSty[Sign]&amp;"1")*1/PptoSty[Division],(PptoSty[Division]&lt;&gt;0)*(PptoSty[Division]&lt;&gt;"")*(PptoSty[Division]&lt;&gt;"X")*(PptoSty[Project]=$B42)*(PptoSty[Vrs]=$D42)*(PptoSty[Site]=$F42)*(PptoSty[PiRow]=_xlfn.TEXTAFTER($H42,":"))*(PptoSty[PiColumn]=S$54),0)))</f>
        <v>0</v>
      </c>
      <c r="T42" s="197" cm="1">
        <f t="array" ref="T42">IF(OR($B42="",$B42="X",$D42="",$D42="X",$E42="",$E42="X",$F42="",$F42="X",$G42="",$G42="X",$H42="",$H42="X"),0,SUM(_xlfn._xlws.FILTER(VALUE(PptoSty[Sign]&amp;"1")*1/PptoSty[Division],(PptoSty[Division]&lt;&gt;0)*(PptoSty[Division]&lt;&gt;"")*(PptoSty[Division]&lt;&gt;"X")*(PptoSty[Project]=$B42)*(PptoSty[Vrs]=$D42)*(PptoSty[Site]=$F42)*(PptoSty[PiRow]=_xlfn.TEXTAFTER($H42,":"))*(PptoSty[PiColumn]=T$54),0)))</f>
        <v>0</v>
      </c>
      <c r="U42" s="197" cm="1">
        <f t="array" ref="U42">IF(OR($B42="",$B42="X",$D42="",$D42="X",$E42="",$E42="X",$F42="",$F42="X",$G42="",$G42="X",$H42="",$H42="X"),0,SUM(_xlfn._xlws.FILTER(VALUE(PptoSty[Sign]&amp;"1")*1/PptoSty[Division],(PptoSty[Division]&lt;&gt;0)*(PptoSty[Division]&lt;&gt;"")*(PptoSty[Division]&lt;&gt;"X")*(PptoSty[Project]=$B42)*(PptoSty[Vrs]=$D42)*(PptoSty[Site]=$F42)*(PptoSty[PiRow]=_xlfn.TEXTAFTER($H42,":"))*(PptoSty[PiColumn]=U$54),0)))</f>
        <v>0</v>
      </c>
      <c r="V42" s="197" cm="1">
        <f t="array" ref="V42">IF(OR($B42="",$B42="X",$D42="",$D42="X",$E42="",$E42="X",$F42="",$F42="X",$G42="",$G42="X",$H42="",$H42="X"),0,SUM(_xlfn._xlws.FILTER(VALUE(PptoSty[Sign]&amp;"1")*1/PptoSty[Division],(PptoSty[Division]&lt;&gt;0)*(PptoSty[Division]&lt;&gt;"")*(PptoSty[Division]&lt;&gt;"X")*(PptoSty[Project]=$B42)*(PptoSty[Vrs]=$D42)*(PptoSty[Site]=$F42)*(PptoSty[PiRow]=_xlfn.TEXTAFTER($H42,":"))*(PptoSty[PiColumn]=V$54),0)))</f>
        <v>0</v>
      </c>
      <c r="W42" s="197" cm="1">
        <f t="array" ref="W42">IF(OR($B42="",$B42="X",$D42="",$D42="X",$E42="",$E42="X",$F42="",$F42="X",$G42="",$G42="X",$H42="",$H42="X"),0,SUM(_xlfn._xlws.FILTER(VALUE(PptoSty[Sign]&amp;"1")*1/PptoSty[Division],(PptoSty[Division]&lt;&gt;0)*(PptoSty[Division]&lt;&gt;"")*(PptoSty[Division]&lt;&gt;"X")*(PptoSty[Project]=$B42)*(PptoSty[Vrs]=$D42)*(PptoSty[Site]=$F42)*(PptoSty[PiRow]=_xlfn.TEXTAFTER($H42,":"))*(PptoSty[PiColumn]=W$54),0)))</f>
        <v>0</v>
      </c>
      <c r="X42" s="197" cm="1">
        <f t="array" ref="X42">IF(OR($B42="",$B42="X",$D42="",$D42="X",$E42="",$E42="X",$F42="",$F42="X",$G42="",$G42="X",$H42="",$H42="X"),0,SUM(_xlfn._xlws.FILTER(VALUE(PptoSty[Sign]&amp;"1")*1/PptoSty[Division],(PptoSty[Division]&lt;&gt;0)*(PptoSty[Division]&lt;&gt;"")*(PptoSty[Division]&lt;&gt;"X")*(PptoSty[Project]=$B42)*(PptoSty[Vrs]=$D42)*(PptoSty[Site]=$F42)*(PptoSty[PiRow]=_xlfn.TEXTAFTER($H42,":"))*(PptoSty[PiColumn]=X$54),0)))</f>
        <v>0</v>
      </c>
      <c r="Y42" s="197" cm="1">
        <f t="array" ref="Y42">IF(OR($B42="",$B42="X",$D42="",$D42="X",$E42="",$E42="X",$F42="",$F42="X",$G42="",$G42="X",$H42="",$H42="X"),0,SUM(_xlfn._xlws.FILTER(VALUE(PptoSty[Sign]&amp;"1")*1/PptoSty[Division],(PptoSty[Division]&lt;&gt;0)*(PptoSty[Division]&lt;&gt;"")*(PptoSty[Division]&lt;&gt;"X")*(PptoSty[Project]=$B42)*(PptoSty[Vrs]=$D42)*(PptoSty[Site]=$F42)*(PptoSty[PiRow]=_xlfn.TEXTAFTER($H42,":"))*(PptoSty[PiColumn]=Y$54),0)))</f>
        <v>0</v>
      </c>
    </row>
    <row r="43" spans="1:25" s="33" customFormat="1" ht="17.25" customHeight="1" outlineLevel="1">
      <c r="A43" s="123"/>
      <c r="B43" s="140"/>
      <c r="C43" s="128"/>
      <c r="D43" s="128"/>
      <c r="E43" s="128"/>
      <c r="F43" s="139"/>
      <c r="G43" s="139"/>
      <c r="H43" s="139"/>
      <c r="I43" s="197" cm="1">
        <f t="array" ref="I43">IF(OR($B43="",$B43="X",$D43="",$D43="X",$E43="",$E43="X",$F43="",$F43="X",$G43="",$G43="X",$H43="",$H43="X"),0,SUM(_xlfn._xlws.FILTER(VALUE(PptoSty[Sign]&amp;"1")*1/PptoSty[Division],(PptoSty[Division]&lt;&gt;0)*(PptoSty[Division]&lt;&gt;"")*(PptoSty[Division]&lt;&gt;"X")*(PptoSty[Project]=$B43)*(PptoSty[Vrs]=$D43)*(PptoSty[Site]=$F43)*(PptoSty[PiRow]=_xlfn.TEXTAFTER($H43,":"))*(PptoSty[PiColumn]=I$54),0)))</f>
        <v>0</v>
      </c>
      <c r="J43" s="197" cm="1">
        <f t="array" ref="J43">IF(OR($B43="",$B43="X",$D43="",$D43="X",$E43="",$E43="X",$F43="",$F43="X",$G43="",$G43="X",$H43="",$H43="X"),0,SUM(_xlfn._xlws.FILTER(VALUE(PptoSty[Sign]&amp;"1")*1/PptoSty[Division],(PptoSty[Division]&lt;&gt;0)*(PptoSty[Division]&lt;&gt;"")*(PptoSty[Division]&lt;&gt;"X")*(PptoSty[Project]=$B43)*(PptoSty[Vrs]=$D43)*(PptoSty[Site]=$F43)*(PptoSty[PiRow]=_xlfn.TEXTAFTER($H43,":"))*(PptoSty[PiColumn]=J$54),0)))</f>
        <v>0</v>
      </c>
      <c r="K43" s="197" cm="1">
        <f t="array" ref="K43">IF(OR($B43="",$B43="X",$D43="",$D43="X",$E43="",$E43="X",$F43="",$F43="X",$G43="",$G43="X",$H43="",$H43="X"),0,SUM(_xlfn._xlws.FILTER(VALUE(PptoSty[Sign]&amp;"1")*1/PptoSty[Division],(PptoSty[Division]&lt;&gt;0)*(PptoSty[Division]&lt;&gt;"")*(PptoSty[Division]&lt;&gt;"X")*(PptoSty[Project]=$B43)*(PptoSty[Vrs]=$D43)*(PptoSty[Site]=$F43)*(PptoSty[PiRow]=_xlfn.TEXTAFTER($H43,":"))*(PptoSty[PiColumn]=K$54),0)))</f>
        <v>0</v>
      </c>
      <c r="L43" s="197" cm="1">
        <f t="array" ref="L43">IF(OR($B43="",$B43="X",$D43="",$D43="X",$E43="",$E43="X",$F43="",$F43="X",$G43="",$G43="X",$H43="",$H43="X"),0,SUM(_xlfn._xlws.FILTER(VALUE(PptoSty[Sign]&amp;"1")*1/PptoSty[Division],(PptoSty[Division]&lt;&gt;0)*(PptoSty[Division]&lt;&gt;"")*(PptoSty[Division]&lt;&gt;"X")*(PptoSty[Project]=$B43)*(PptoSty[Vrs]=$D43)*(PptoSty[Site]=$F43)*(PptoSty[PiRow]=_xlfn.TEXTAFTER($H43,":"))*(PptoSty[PiColumn]=L$54),0)))</f>
        <v>0</v>
      </c>
      <c r="M43" s="197" cm="1">
        <f t="array" ref="M43">IF(OR($B43="",$B43="X",$D43="",$D43="X",$E43="",$E43="X",$F43="",$F43="X",$G43="",$G43="X",$H43="",$H43="X"),0,SUM(_xlfn._xlws.FILTER(VALUE(PptoSty[Sign]&amp;"1")*1/PptoSty[Division],(PptoSty[Division]&lt;&gt;0)*(PptoSty[Division]&lt;&gt;"")*(PptoSty[Division]&lt;&gt;"X")*(PptoSty[Project]=$B43)*(PptoSty[Vrs]=$D43)*(PptoSty[Site]=$F43)*(PptoSty[PiRow]=_xlfn.TEXTAFTER($H43,":"))*(PptoSty[PiColumn]=M$54),0)))</f>
        <v>0</v>
      </c>
      <c r="N43" s="197" cm="1">
        <f t="array" ref="N43">IF(OR($B43="",$B43="X",$D43="",$D43="X",$E43="",$E43="X",$F43="",$F43="X",$G43="",$G43="X",$H43="",$H43="X"),0,SUM(_xlfn._xlws.FILTER(VALUE(PptoSty[Sign]&amp;"1")*1/PptoSty[Division],(PptoSty[Division]&lt;&gt;0)*(PptoSty[Division]&lt;&gt;"")*(PptoSty[Division]&lt;&gt;"X")*(PptoSty[Project]=$B43)*(PptoSty[Vrs]=$D43)*(PptoSty[Site]=$F43)*(PptoSty[PiRow]=_xlfn.TEXTAFTER($H43,":"))*(PptoSty[PiColumn]=N$54),0)))</f>
        <v>0</v>
      </c>
      <c r="O43" s="197" cm="1">
        <f t="array" ref="O43">IF(OR($B43="",$B43="X",$D43="",$D43="X",$E43="",$E43="X",$F43="",$F43="X",$G43="",$G43="X",$H43="",$H43="X"),0,SUM(_xlfn._xlws.FILTER(VALUE(PptoSty[Sign]&amp;"1")*1/PptoSty[Division],(PptoSty[Division]&lt;&gt;0)*(PptoSty[Division]&lt;&gt;"")*(PptoSty[Division]&lt;&gt;"X")*(PptoSty[Project]=$B43)*(PptoSty[Vrs]=$D43)*(PptoSty[Site]=$F43)*(PptoSty[PiRow]=_xlfn.TEXTAFTER($H43,":"))*(PptoSty[PiColumn]=O$54),0)))</f>
        <v>0</v>
      </c>
      <c r="P43" s="197" cm="1">
        <f t="array" ref="P43">IF(OR($B43="",$B43="X",$D43="",$D43="X",$E43="",$E43="X",$F43="",$F43="X",$G43="",$G43="X",$H43="",$H43="X"),0,SUM(_xlfn._xlws.FILTER(VALUE(PptoSty[Sign]&amp;"1")*1/PptoSty[Division],(PptoSty[Division]&lt;&gt;0)*(PptoSty[Division]&lt;&gt;"")*(PptoSty[Division]&lt;&gt;"X")*(PptoSty[Project]=$B43)*(PptoSty[Vrs]=$D43)*(PptoSty[Site]=$F43)*(PptoSty[PiRow]=_xlfn.TEXTAFTER($H43,":"))*(PptoSty[PiColumn]=P$54),0)))</f>
        <v>0</v>
      </c>
      <c r="Q43" s="197" cm="1">
        <f t="array" ref="Q43">IF(OR($B43="",$B43="X",$D43="",$D43="X",$E43="",$E43="X",$F43="",$F43="X",$G43="",$G43="X",$H43="",$H43="X"),0,SUM(_xlfn._xlws.FILTER(VALUE(PptoSty[Sign]&amp;"1")*1/PptoSty[Division],(PptoSty[Division]&lt;&gt;0)*(PptoSty[Division]&lt;&gt;"")*(PptoSty[Division]&lt;&gt;"X")*(PptoSty[Project]=$B43)*(PptoSty[Vrs]=$D43)*(PptoSty[Site]=$F43)*(PptoSty[PiRow]=_xlfn.TEXTAFTER($H43,":"))*(PptoSty[PiColumn]=Q$54),0)))</f>
        <v>0</v>
      </c>
      <c r="R43" s="197" cm="1">
        <f t="array" ref="R43">IF(OR($B43="",$B43="X",$D43="",$D43="X",$E43="",$E43="X",$F43="",$F43="X",$G43="",$G43="X",$H43="",$H43="X"),0,SUM(_xlfn._xlws.FILTER(VALUE(PptoSty[Sign]&amp;"1")*1/PptoSty[Division],(PptoSty[Division]&lt;&gt;0)*(PptoSty[Division]&lt;&gt;"")*(PptoSty[Division]&lt;&gt;"X")*(PptoSty[Project]=$B43)*(PptoSty[Vrs]=$D43)*(PptoSty[Site]=$F43)*(PptoSty[PiRow]=_xlfn.TEXTAFTER($H43,":"))*(PptoSty[PiColumn]=R$54),0)))</f>
        <v>0</v>
      </c>
      <c r="S43" s="197" cm="1">
        <f t="array" ref="S43">IF(OR($B43="",$B43="X",$D43="",$D43="X",$E43="",$E43="X",$F43="",$F43="X",$G43="",$G43="X",$H43="",$H43="X"),0,SUM(_xlfn._xlws.FILTER(VALUE(PptoSty[Sign]&amp;"1")*1/PptoSty[Division],(PptoSty[Division]&lt;&gt;0)*(PptoSty[Division]&lt;&gt;"")*(PptoSty[Division]&lt;&gt;"X")*(PptoSty[Project]=$B43)*(PptoSty[Vrs]=$D43)*(PptoSty[Site]=$F43)*(PptoSty[PiRow]=_xlfn.TEXTAFTER($H43,":"))*(PptoSty[PiColumn]=S$54),0)))</f>
        <v>0</v>
      </c>
      <c r="T43" s="197" cm="1">
        <f t="array" ref="T43">IF(OR($B43="",$B43="X",$D43="",$D43="X",$E43="",$E43="X",$F43="",$F43="X",$G43="",$G43="X",$H43="",$H43="X"),0,SUM(_xlfn._xlws.FILTER(VALUE(PptoSty[Sign]&amp;"1")*1/PptoSty[Division],(PptoSty[Division]&lt;&gt;0)*(PptoSty[Division]&lt;&gt;"")*(PptoSty[Division]&lt;&gt;"X")*(PptoSty[Project]=$B43)*(PptoSty[Vrs]=$D43)*(PptoSty[Site]=$F43)*(PptoSty[PiRow]=_xlfn.TEXTAFTER($H43,":"))*(PptoSty[PiColumn]=T$54),0)))</f>
        <v>0</v>
      </c>
      <c r="U43" s="197" cm="1">
        <f t="array" ref="U43">IF(OR($B43="",$B43="X",$D43="",$D43="X",$E43="",$E43="X",$F43="",$F43="X",$G43="",$G43="X",$H43="",$H43="X"),0,SUM(_xlfn._xlws.FILTER(VALUE(PptoSty[Sign]&amp;"1")*1/PptoSty[Division],(PptoSty[Division]&lt;&gt;0)*(PptoSty[Division]&lt;&gt;"")*(PptoSty[Division]&lt;&gt;"X")*(PptoSty[Project]=$B43)*(PptoSty[Vrs]=$D43)*(PptoSty[Site]=$F43)*(PptoSty[PiRow]=_xlfn.TEXTAFTER($H43,":"))*(PptoSty[PiColumn]=U$54),0)))</f>
        <v>0</v>
      </c>
      <c r="V43" s="197" cm="1">
        <f t="array" ref="V43">IF(OR($B43="",$B43="X",$D43="",$D43="X",$E43="",$E43="X",$F43="",$F43="X",$G43="",$G43="X",$H43="",$H43="X"),0,SUM(_xlfn._xlws.FILTER(VALUE(PptoSty[Sign]&amp;"1")*1/PptoSty[Division],(PptoSty[Division]&lt;&gt;0)*(PptoSty[Division]&lt;&gt;"")*(PptoSty[Division]&lt;&gt;"X")*(PptoSty[Project]=$B43)*(PptoSty[Vrs]=$D43)*(PptoSty[Site]=$F43)*(PptoSty[PiRow]=_xlfn.TEXTAFTER($H43,":"))*(PptoSty[PiColumn]=V$54),0)))</f>
        <v>0</v>
      </c>
      <c r="W43" s="197" cm="1">
        <f t="array" ref="W43">IF(OR($B43="",$B43="X",$D43="",$D43="X",$E43="",$E43="X",$F43="",$F43="X",$G43="",$G43="X",$H43="",$H43="X"),0,SUM(_xlfn._xlws.FILTER(VALUE(PptoSty[Sign]&amp;"1")*1/PptoSty[Division],(PptoSty[Division]&lt;&gt;0)*(PptoSty[Division]&lt;&gt;"")*(PptoSty[Division]&lt;&gt;"X")*(PptoSty[Project]=$B43)*(PptoSty[Vrs]=$D43)*(PptoSty[Site]=$F43)*(PptoSty[PiRow]=_xlfn.TEXTAFTER($H43,":"))*(PptoSty[PiColumn]=W$54),0)))</f>
        <v>0</v>
      </c>
      <c r="X43" s="197" cm="1">
        <f t="array" ref="X43">IF(OR($B43="",$B43="X",$D43="",$D43="X",$E43="",$E43="X",$F43="",$F43="X",$G43="",$G43="X",$H43="",$H43="X"),0,SUM(_xlfn._xlws.FILTER(VALUE(PptoSty[Sign]&amp;"1")*1/PptoSty[Division],(PptoSty[Division]&lt;&gt;0)*(PptoSty[Division]&lt;&gt;"")*(PptoSty[Division]&lt;&gt;"X")*(PptoSty[Project]=$B43)*(PptoSty[Vrs]=$D43)*(PptoSty[Site]=$F43)*(PptoSty[PiRow]=_xlfn.TEXTAFTER($H43,":"))*(PptoSty[PiColumn]=X$54),0)))</f>
        <v>0</v>
      </c>
      <c r="Y43" s="197" cm="1">
        <f t="array" ref="Y43">IF(OR($B43="",$B43="X",$D43="",$D43="X",$E43="",$E43="X",$F43="",$F43="X",$G43="",$G43="X",$H43="",$H43="X"),0,SUM(_xlfn._xlws.FILTER(VALUE(PptoSty[Sign]&amp;"1")*1/PptoSty[Division],(PptoSty[Division]&lt;&gt;0)*(PptoSty[Division]&lt;&gt;"")*(PptoSty[Division]&lt;&gt;"X")*(PptoSty[Project]=$B43)*(PptoSty[Vrs]=$D43)*(PptoSty[Site]=$F43)*(PptoSty[PiRow]=_xlfn.TEXTAFTER($H43,":"))*(PptoSty[PiColumn]=Y$54),0)))</f>
        <v>0</v>
      </c>
    </row>
    <row r="44" spans="1:25" s="33" customFormat="1" ht="17.25" customHeight="1" outlineLevel="1">
      <c r="A44" s="123"/>
      <c r="B44" s="140"/>
      <c r="C44" s="128"/>
      <c r="D44" s="128"/>
      <c r="E44" s="128"/>
      <c r="F44" s="139"/>
      <c r="G44" s="139"/>
      <c r="H44" s="139"/>
      <c r="I44" s="197" cm="1">
        <f t="array" ref="I44">IF(OR($B44="",$B44="X",$D44="",$D44="X",$E44="",$E44="X",$F44="",$F44="X",$G44="",$G44="X",$H44="",$H44="X"),0,SUM(_xlfn._xlws.FILTER(VALUE(PptoSty[Sign]&amp;"1")*1/PptoSty[Division],(PptoSty[Division]&lt;&gt;0)*(PptoSty[Division]&lt;&gt;"")*(PptoSty[Division]&lt;&gt;"X")*(PptoSty[Project]=$B44)*(PptoSty[Vrs]=$D44)*(PptoSty[Site]=$F44)*(PptoSty[PiRow]=_xlfn.TEXTAFTER($H44,":"))*(PptoSty[PiColumn]=I$54),0)))</f>
        <v>0</v>
      </c>
      <c r="J44" s="197" cm="1">
        <f t="array" ref="J44">IF(OR($B44="",$B44="X",$D44="",$D44="X",$E44="",$E44="X",$F44="",$F44="X",$G44="",$G44="X",$H44="",$H44="X"),0,SUM(_xlfn._xlws.FILTER(VALUE(PptoSty[Sign]&amp;"1")*1/PptoSty[Division],(PptoSty[Division]&lt;&gt;0)*(PptoSty[Division]&lt;&gt;"")*(PptoSty[Division]&lt;&gt;"X")*(PptoSty[Project]=$B44)*(PptoSty[Vrs]=$D44)*(PptoSty[Site]=$F44)*(PptoSty[PiRow]=_xlfn.TEXTAFTER($H44,":"))*(PptoSty[PiColumn]=J$54),0)))</f>
        <v>0</v>
      </c>
      <c r="K44" s="197" cm="1">
        <f t="array" ref="K44">IF(OR($B44="",$B44="X",$D44="",$D44="X",$E44="",$E44="X",$F44="",$F44="X",$G44="",$G44="X",$H44="",$H44="X"),0,SUM(_xlfn._xlws.FILTER(VALUE(PptoSty[Sign]&amp;"1")*1/PptoSty[Division],(PptoSty[Division]&lt;&gt;0)*(PptoSty[Division]&lt;&gt;"")*(PptoSty[Division]&lt;&gt;"X")*(PptoSty[Project]=$B44)*(PptoSty[Vrs]=$D44)*(PptoSty[Site]=$F44)*(PptoSty[PiRow]=_xlfn.TEXTAFTER($H44,":"))*(PptoSty[PiColumn]=K$54),0)))</f>
        <v>0</v>
      </c>
      <c r="L44" s="197" cm="1">
        <f t="array" ref="L44">IF(OR($B44="",$B44="X",$D44="",$D44="X",$E44="",$E44="X",$F44="",$F44="X",$G44="",$G44="X",$H44="",$H44="X"),0,SUM(_xlfn._xlws.FILTER(VALUE(PptoSty[Sign]&amp;"1")*1/PptoSty[Division],(PptoSty[Division]&lt;&gt;0)*(PptoSty[Division]&lt;&gt;"")*(PptoSty[Division]&lt;&gt;"X")*(PptoSty[Project]=$B44)*(PptoSty[Vrs]=$D44)*(PptoSty[Site]=$F44)*(PptoSty[PiRow]=_xlfn.TEXTAFTER($H44,":"))*(PptoSty[PiColumn]=L$54),0)))</f>
        <v>0</v>
      </c>
      <c r="M44" s="197" cm="1">
        <f t="array" ref="M44">IF(OR($B44="",$B44="X",$D44="",$D44="X",$E44="",$E44="X",$F44="",$F44="X",$G44="",$G44="X",$H44="",$H44="X"),0,SUM(_xlfn._xlws.FILTER(VALUE(PptoSty[Sign]&amp;"1")*1/PptoSty[Division],(PptoSty[Division]&lt;&gt;0)*(PptoSty[Division]&lt;&gt;"")*(PptoSty[Division]&lt;&gt;"X")*(PptoSty[Project]=$B44)*(PptoSty[Vrs]=$D44)*(PptoSty[Site]=$F44)*(PptoSty[PiRow]=_xlfn.TEXTAFTER($H44,":"))*(PptoSty[PiColumn]=M$54),0)))</f>
        <v>0</v>
      </c>
      <c r="N44" s="197" cm="1">
        <f t="array" ref="N44">IF(OR($B44="",$B44="X",$D44="",$D44="X",$E44="",$E44="X",$F44="",$F44="X",$G44="",$G44="X",$H44="",$H44="X"),0,SUM(_xlfn._xlws.FILTER(VALUE(PptoSty[Sign]&amp;"1")*1/PptoSty[Division],(PptoSty[Division]&lt;&gt;0)*(PptoSty[Division]&lt;&gt;"")*(PptoSty[Division]&lt;&gt;"X")*(PptoSty[Project]=$B44)*(PptoSty[Vrs]=$D44)*(PptoSty[Site]=$F44)*(PptoSty[PiRow]=_xlfn.TEXTAFTER($H44,":"))*(PptoSty[PiColumn]=N$54),0)))</f>
        <v>0</v>
      </c>
      <c r="O44" s="197" cm="1">
        <f t="array" ref="O44">IF(OR($B44="",$B44="X",$D44="",$D44="X",$E44="",$E44="X",$F44="",$F44="X",$G44="",$G44="X",$H44="",$H44="X"),0,SUM(_xlfn._xlws.FILTER(VALUE(PptoSty[Sign]&amp;"1")*1/PptoSty[Division],(PptoSty[Division]&lt;&gt;0)*(PptoSty[Division]&lt;&gt;"")*(PptoSty[Division]&lt;&gt;"X")*(PptoSty[Project]=$B44)*(PptoSty[Vrs]=$D44)*(PptoSty[Site]=$F44)*(PptoSty[PiRow]=_xlfn.TEXTAFTER($H44,":"))*(PptoSty[PiColumn]=O$54),0)))</f>
        <v>0</v>
      </c>
      <c r="P44" s="197" cm="1">
        <f t="array" ref="P44">IF(OR($B44="",$B44="X",$D44="",$D44="X",$E44="",$E44="X",$F44="",$F44="X",$G44="",$G44="X",$H44="",$H44="X"),0,SUM(_xlfn._xlws.FILTER(VALUE(PptoSty[Sign]&amp;"1")*1/PptoSty[Division],(PptoSty[Division]&lt;&gt;0)*(PptoSty[Division]&lt;&gt;"")*(PptoSty[Division]&lt;&gt;"X")*(PptoSty[Project]=$B44)*(PptoSty[Vrs]=$D44)*(PptoSty[Site]=$F44)*(PptoSty[PiRow]=_xlfn.TEXTAFTER($H44,":"))*(PptoSty[PiColumn]=P$54),0)))</f>
        <v>0</v>
      </c>
      <c r="Q44" s="197" cm="1">
        <f t="array" ref="Q44">IF(OR($B44="",$B44="X",$D44="",$D44="X",$E44="",$E44="X",$F44="",$F44="X",$G44="",$G44="X",$H44="",$H44="X"),0,SUM(_xlfn._xlws.FILTER(VALUE(PptoSty[Sign]&amp;"1")*1/PptoSty[Division],(PptoSty[Division]&lt;&gt;0)*(PptoSty[Division]&lt;&gt;"")*(PptoSty[Division]&lt;&gt;"X")*(PptoSty[Project]=$B44)*(PptoSty[Vrs]=$D44)*(PptoSty[Site]=$F44)*(PptoSty[PiRow]=_xlfn.TEXTAFTER($H44,":"))*(PptoSty[PiColumn]=Q$54),0)))</f>
        <v>0</v>
      </c>
      <c r="R44" s="197" cm="1">
        <f t="array" ref="R44">IF(OR($B44="",$B44="X",$D44="",$D44="X",$E44="",$E44="X",$F44="",$F44="X",$G44="",$G44="X",$H44="",$H44="X"),0,SUM(_xlfn._xlws.FILTER(VALUE(PptoSty[Sign]&amp;"1")*1/PptoSty[Division],(PptoSty[Division]&lt;&gt;0)*(PptoSty[Division]&lt;&gt;"")*(PptoSty[Division]&lt;&gt;"X")*(PptoSty[Project]=$B44)*(PptoSty[Vrs]=$D44)*(PptoSty[Site]=$F44)*(PptoSty[PiRow]=_xlfn.TEXTAFTER($H44,":"))*(PptoSty[PiColumn]=R$54),0)))</f>
        <v>0</v>
      </c>
      <c r="S44" s="197" cm="1">
        <f t="array" ref="S44">IF(OR($B44="",$B44="X",$D44="",$D44="X",$E44="",$E44="X",$F44="",$F44="X",$G44="",$G44="X",$H44="",$H44="X"),0,SUM(_xlfn._xlws.FILTER(VALUE(PptoSty[Sign]&amp;"1")*1/PptoSty[Division],(PptoSty[Division]&lt;&gt;0)*(PptoSty[Division]&lt;&gt;"")*(PptoSty[Division]&lt;&gt;"X")*(PptoSty[Project]=$B44)*(PptoSty[Vrs]=$D44)*(PptoSty[Site]=$F44)*(PptoSty[PiRow]=_xlfn.TEXTAFTER($H44,":"))*(PptoSty[PiColumn]=S$54),0)))</f>
        <v>0</v>
      </c>
      <c r="T44" s="197" cm="1">
        <f t="array" ref="T44">IF(OR($B44="",$B44="X",$D44="",$D44="X",$E44="",$E44="X",$F44="",$F44="X",$G44="",$G44="X",$H44="",$H44="X"),0,SUM(_xlfn._xlws.FILTER(VALUE(PptoSty[Sign]&amp;"1")*1/PptoSty[Division],(PptoSty[Division]&lt;&gt;0)*(PptoSty[Division]&lt;&gt;"")*(PptoSty[Division]&lt;&gt;"X")*(PptoSty[Project]=$B44)*(PptoSty[Vrs]=$D44)*(PptoSty[Site]=$F44)*(PptoSty[PiRow]=_xlfn.TEXTAFTER($H44,":"))*(PptoSty[PiColumn]=T$54),0)))</f>
        <v>0</v>
      </c>
      <c r="U44" s="197" cm="1">
        <f t="array" ref="U44">IF(OR($B44="",$B44="X",$D44="",$D44="X",$E44="",$E44="X",$F44="",$F44="X",$G44="",$G44="X",$H44="",$H44="X"),0,SUM(_xlfn._xlws.FILTER(VALUE(PptoSty[Sign]&amp;"1")*1/PptoSty[Division],(PptoSty[Division]&lt;&gt;0)*(PptoSty[Division]&lt;&gt;"")*(PptoSty[Division]&lt;&gt;"X")*(PptoSty[Project]=$B44)*(PptoSty[Vrs]=$D44)*(PptoSty[Site]=$F44)*(PptoSty[PiRow]=_xlfn.TEXTAFTER($H44,":"))*(PptoSty[PiColumn]=U$54),0)))</f>
        <v>0</v>
      </c>
      <c r="V44" s="197" cm="1">
        <f t="array" ref="V44">IF(OR($B44="",$B44="X",$D44="",$D44="X",$E44="",$E44="X",$F44="",$F44="X",$G44="",$G44="X",$H44="",$H44="X"),0,SUM(_xlfn._xlws.FILTER(VALUE(PptoSty[Sign]&amp;"1")*1/PptoSty[Division],(PptoSty[Division]&lt;&gt;0)*(PptoSty[Division]&lt;&gt;"")*(PptoSty[Division]&lt;&gt;"X")*(PptoSty[Project]=$B44)*(PptoSty[Vrs]=$D44)*(PptoSty[Site]=$F44)*(PptoSty[PiRow]=_xlfn.TEXTAFTER($H44,":"))*(PptoSty[PiColumn]=V$54),0)))</f>
        <v>0</v>
      </c>
      <c r="W44" s="197" cm="1">
        <f t="array" ref="W44">IF(OR($B44="",$B44="X",$D44="",$D44="X",$E44="",$E44="X",$F44="",$F44="X",$G44="",$G44="X",$H44="",$H44="X"),0,SUM(_xlfn._xlws.FILTER(VALUE(PptoSty[Sign]&amp;"1")*1/PptoSty[Division],(PptoSty[Division]&lt;&gt;0)*(PptoSty[Division]&lt;&gt;"")*(PptoSty[Division]&lt;&gt;"X")*(PptoSty[Project]=$B44)*(PptoSty[Vrs]=$D44)*(PptoSty[Site]=$F44)*(PptoSty[PiRow]=_xlfn.TEXTAFTER($H44,":"))*(PptoSty[PiColumn]=W$54),0)))</f>
        <v>0</v>
      </c>
      <c r="X44" s="197" cm="1">
        <f t="array" ref="X44">IF(OR($B44="",$B44="X",$D44="",$D44="X",$E44="",$E44="X",$F44="",$F44="X",$G44="",$G44="X",$H44="",$H44="X"),0,SUM(_xlfn._xlws.FILTER(VALUE(PptoSty[Sign]&amp;"1")*1/PptoSty[Division],(PptoSty[Division]&lt;&gt;0)*(PptoSty[Division]&lt;&gt;"")*(PptoSty[Division]&lt;&gt;"X")*(PptoSty[Project]=$B44)*(PptoSty[Vrs]=$D44)*(PptoSty[Site]=$F44)*(PptoSty[PiRow]=_xlfn.TEXTAFTER($H44,":"))*(PptoSty[PiColumn]=X$54),0)))</f>
        <v>0</v>
      </c>
      <c r="Y44" s="197" cm="1">
        <f t="array" ref="Y44">IF(OR($B44="",$B44="X",$D44="",$D44="X",$E44="",$E44="X",$F44="",$F44="X",$G44="",$G44="X",$H44="",$H44="X"),0,SUM(_xlfn._xlws.FILTER(VALUE(PptoSty[Sign]&amp;"1")*1/PptoSty[Division],(PptoSty[Division]&lt;&gt;0)*(PptoSty[Division]&lt;&gt;"")*(PptoSty[Division]&lt;&gt;"X")*(PptoSty[Project]=$B44)*(PptoSty[Vrs]=$D44)*(PptoSty[Site]=$F44)*(PptoSty[PiRow]=_xlfn.TEXTAFTER($H44,":"))*(PptoSty[PiColumn]=Y$54),0)))</f>
        <v>0</v>
      </c>
    </row>
    <row r="45" spans="1:25" s="33" customFormat="1" ht="17.25" customHeight="1" outlineLevel="1">
      <c r="A45" s="123"/>
      <c r="B45" s="140"/>
      <c r="C45" s="128"/>
      <c r="D45" s="128"/>
      <c r="E45" s="128"/>
      <c r="F45" s="139"/>
      <c r="G45" s="139"/>
      <c r="H45" s="139"/>
      <c r="I45" s="197" cm="1">
        <f t="array" ref="I45">IF(OR($B45="",$B45="X",$D45="",$D45="X",$E45="",$E45="X",$F45="",$F45="X",$G45="",$G45="X",$H45="",$H45="X"),0,SUM(_xlfn._xlws.FILTER(VALUE(PptoSty[Sign]&amp;"1")*1/PptoSty[Division],(PptoSty[Division]&lt;&gt;0)*(PptoSty[Division]&lt;&gt;"")*(PptoSty[Division]&lt;&gt;"X")*(PptoSty[Project]=$B45)*(PptoSty[Vrs]=$D45)*(PptoSty[Site]=$F45)*(PptoSty[PiRow]=_xlfn.TEXTAFTER($H45,":"))*(PptoSty[PiColumn]=I$54),0)))</f>
        <v>0</v>
      </c>
      <c r="J45" s="197" cm="1">
        <f t="array" ref="J45">IF(OR($B45="",$B45="X",$D45="",$D45="X",$E45="",$E45="X",$F45="",$F45="X",$G45="",$G45="X",$H45="",$H45="X"),0,SUM(_xlfn._xlws.FILTER(VALUE(PptoSty[Sign]&amp;"1")*1/PptoSty[Division],(PptoSty[Division]&lt;&gt;0)*(PptoSty[Division]&lt;&gt;"")*(PptoSty[Division]&lt;&gt;"X")*(PptoSty[Project]=$B45)*(PptoSty[Vrs]=$D45)*(PptoSty[Site]=$F45)*(PptoSty[PiRow]=_xlfn.TEXTAFTER($H45,":"))*(PptoSty[PiColumn]=J$54),0)))</f>
        <v>0</v>
      </c>
      <c r="K45" s="197" cm="1">
        <f t="array" ref="K45">IF(OR($B45="",$B45="X",$D45="",$D45="X",$E45="",$E45="X",$F45="",$F45="X",$G45="",$G45="X",$H45="",$H45="X"),0,SUM(_xlfn._xlws.FILTER(VALUE(PptoSty[Sign]&amp;"1")*1/PptoSty[Division],(PptoSty[Division]&lt;&gt;0)*(PptoSty[Division]&lt;&gt;"")*(PptoSty[Division]&lt;&gt;"X")*(PptoSty[Project]=$B45)*(PptoSty[Vrs]=$D45)*(PptoSty[Site]=$F45)*(PptoSty[PiRow]=_xlfn.TEXTAFTER($H45,":"))*(PptoSty[PiColumn]=K$54),0)))</f>
        <v>0</v>
      </c>
      <c r="L45" s="197" cm="1">
        <f t="array" ref="L45">IF(OR($B45="",$B45="X",$D45="",$D45="X",$E45="",$E45="X",$F45="",$F45="X",$G45="",$G45="X",$H45="",$H45="X"),0,SUM(_xlfn._xlws.FILTER(VALUE(PptoSty[Sign]&amp;"1")*1/PptoSty[Division],(PptoSty[Division]&lt;&gt;0)*(PptoSty[Division]&lt;&gt;"")*(PptoSty[Division]&lt;&gt;"X")*(PptoSty[Project]=$B45)*(PptoSty[Vrs]=$D45)*(PptoSty[Site]=$F45)*(PptoSty[PiRow]=_xlfn.TEXTAFTER($H45,":"))*(PptoSty[PiColumn]=L$54),0)))</f>
        <v>0</v>
      </c>
      <c r="M45" s="197" cm="1">
        <f t="array" ref="M45">IF(OR($B45="",$B45="X",$D45="",$D45="X",$E45="",$E45="X",$F45="",$F45="X",$G45="",$G45="X",$H45="",$H45="X"),0,SUM(_xlfn._xlws.FILTER(VALUE(PptoSty[Sign]&amp;"1")*1/PptoSty[Division],(PptoSty[Division]&lt;&gt;0)*(PptoSty[Division]&lt;&gt;"")*(PptoSty[Division]&lt;&gt;"X")*(PptoSty[Project]=$B45)*(PptoSty[Vrs]=$D45)*(PptoSty[Site]=$F45)*(PptoSty[PiRow]=_xlfn.TEXTAFTER($H45,":"))*(PptoSty[PiColumn]=M$54),0)))</f>
        <v>0</v>
      </c>
      <c r="N45" s="197" cm="1">
        <f t="array" ref="N45">IF(OR($B45="",$B45="X",$D45="",$D45="X",$E45="",$E45="X",$F45="",$F45="X",$G45="",$G45="X",$H45="",$H45="X"),0,SUM(_xlfn._xlws.FILTER(VALUE(PptoSty[Sign]&amp;"1")*1/PptoSty[Division],(PptoSty[Division]&lt;&gt;0)*(PptoSty[Division]&lt;&gt;"")*(PptoSty[Division]&lt;&gt;"X")*(PptoSty[Project]=$B45)*(PptoSty[Vrs]=$D45)*(PptoSty[Site]=$F45)*(PptoSty[PiRow]=_xlfn.TEXTAFTER($H45,":"))*(PptoSty[PiColumn]=N$54),0)))</f>
        <v>0</v>
      </c>
      <c r="O45" s="197" cm="1">
        <f t="array" ref="O45">IF(OR($B45="",$B45="X",$D45="",$D45="X",$E45="",$E45="X",$F45="",$F45="X",$G45="",$G45="X",$H45="",$H45="X"),0,SUM(_xlfn._xlws.FILTER(VALUE(PptoSty[Sign]&amp;"1")*1/PptoSty[Division],(PptoSty[Division]&lt;&gt;0)*(PptoSty[Division]&lt;&gt;"")*(PptoSty[Division]&lt;&gt;"X")*(PptoSty[Project]=$B45)*(PptoSty[Vrs]=$D45)*(PptoSty[Site]=$F45)*(PptoSty[PiRow]=_xlfn.TEXTAFTER($H45,":"))*(PptoSty[PiColumn]=O$54),0)))</f>
        <v>0</v>
      </c>
      <c r="P45" s="197" cm="1">
        <f t="array" ref="P45">IF(OR($B45="",$B45="X",$D45="",$D45="X",$E45="",$E45="X",$F45="",$F45="X",$G45="",$G45="X",$H45="",$H45="X"),0,SUM(_xlfn._xlws.FILTER(VALUE(PptoSty[Sign]&amp;"1")*1/PptoSty[Division],(PptoSty[Division]&lt;&gt;0)*(PptoSty[Division]&lt;&gt;"")*(PptoSty[Division]&lt;&gt;"X")*(PptoSty[Project]=$B45)*(PptoSty[Vrs]=$D45)*(PptoSty[Site]=$F45)*(PptoSty[PiRow]=_xlfn.TEXTAFTER($H45,":"))*(PptoSty[PiColumn]=P$54),0)))</f>
        <v>0</v>
      </c>
      <c r="Q45" s="197" cm="1">
        <f t="array" ref="Q45">IF(OR($B45="",$B45="X",$D45="",$D45="X",$E45="",$E45="X",$F45="",$F45="X",$G45="",$G45="X",$H45="",$H45="X"),0,SUM(_xlfn._xlws.FILTER(VALUE(PptoSty[Sign]&amp;"1")*1/PptoSty[Division],(PptoSty[Division]&lt;&gt;0)*(PptoSty[Division]&lt;&gt;"")*(PptoSty[Division]&lt;&gt;"X")*(PptoSty[Project]=$B45)*(PptoSty[Vrs]=$D45)*(PptoSty[Site]=$F45)*(PptoSty[PiRow]=_xlfn.TEXTAFTER($H45,":"))*(PptoSty[PiColumn]=Q$54),0)))</f>
        <v>0</v>
      </c>
      <c r="R45" s="197" cm="1">
        <f t="array" ref="R45">IF(OR($B45="",$B45="X",$D45="",$D45="X",$E45="",$E45="X",$F45="",$F45="X",$G45="",$G45="X",$H45="",$H45="X"),0,SUM(_xlfn._xlws.FILTER(VALUE(PptoSty[Sign]&amp;"1")*1/PptoSty[Division],(PptoSty[Division]&lt;&gt;0)*(PptoSty[Division]&lt;&gt;"")*(PptoSty[Division]&lt;&gt;"X")*(PptoSty[Project]=$B45)*(PptoSty[Vrs]=$D45)*(PptoSty[Site]=$F45)*(PptoSty[PiRow]=_xlfn.TEXTAFTER($H45,":"))*(PptoSty[PiColumn]=R$54),0)))</f>
        <v>0</v>
      </c>
      <c r="S45" s="197" cm="1">
        <f t="array" ref="S45">IF(OR($B45="",$B45="X",$D45="",$D45="X",$E45="",$E45="X",$F45="",$F45="X",$G45="",$G45="X",$H45="",$H45="X"),0,SUM(_xlfn._xlws.FILTER(VALUE(PptoSty[Sign]&amp;"1")*1/PptoSty[Division],(PptoSty[Division]&lt;&gt;0)*(PptoSty[Division]&lt;&gt;"")*(PptoSty[Division]&lt;&gt;"X")*(PptoSty[Project]=$B45)*(PptoSty[Vrs]=$D45)*(PptoSty[Site]=$F45)*(PptoSty[PiRow]=_xlfn.TEXTAFTER($H45,":"))*(PptoSty[PiColumn]=S$54),0)))</f>
        <v>0</v>
      </c>
      <c r="T45" s="197" cm="1">
        <f t="array" ref="T45">IF(OR($B45="",$B45="X",$D45="",$D45="X",$E45="",$E45="X",$F45="",$F45="X",$G45="",$G45="X",$H45="",$H45="X"),0,SUM(_xlfn._xlws.FILTER(VALUE(PptoSty[Sign]&amp;"1")*1/PptoSty[Division],(PptoSty[Division]&lt;&gt;0)*(PptoSty[Division]&lt;&gt;"")*(PptoSty[Division]&lt;&gt;"X")*(PptoSty[Project]=$B45)*(PptoSty[Vrs]=$D45)*(PptoSty[Site]=$F45)*(PptoSty[PiRow]=_xlfn.TEXTAFTER($H45,":"))*(PptoSty[PiColumn]=T$54),0)))</f>
        <v>0</v>
      </c>
      <c r="U45" s="197" cm="1">
        <f t="array" ref="U45">IF(OR($B45="",$B45="X",$D45="",$D45="X",$E45="",$E45="X",$F45="",$F45="X",$G45="",$G45="X",$H45="",$H45="X"),0,SUM(_xlfn._xlws.FILTER(VALUE(PptoSty[Sign]&amp;"1")*1/PptoSty[Division],(PptoSty[Division]&lt;&gt;0)*(PptoSty[Division]&lt;&gt;"")*(PptoSty[Division]&lt;&gt;"X")*(PptoSty[Project]=$B45)*(PptoSty[Vrs]=$D45)*(PptoSty[Site]=$F45)*(PptoSty[PiRow]=_xlfn.TEXTAFTER($H45,":"))*(PptoSty[PiColumn]=U$54),0)))</f>
        <v>0</v>
      </c>
      <c r="V45" s="197" cm="1">
        <f t="array" ref="V45">IF(OR($B45="",$B45="X",$D45="",$D45="X",$E45="",$E45="X",$F45="",$F45="X",$G45="",$G45="X",$H45="",$H45="X"),0,SUM(_xlfn._xlws.FILTER(VALUE(PptoSty[Sign]&amp;"1")*1/PptoSty[Division],(PptoSty[Division]&lt;&gt;0)*(PptoSty[Division]&lt;&gt;"")*(PptoSty[Division]&lt;&gt;"X")*(PptoSty[Project]=$B45)*(PptoSty[Vrs]=$D45)*(PptoSty[Site]=$F45)*(PptoSty[PiRow]=_xlfn.TEXTAFTER($H45,":"))*(PptoSty[PiColumn]=V$54),0)))</f>
        <v>0</v>
      </c>
      <c r="W45" s="197" cm="1">
        <f t="array" ref="W45">IF(OR($B45="",$B45="X",$D45="",$D45="X",$E45="",$E45="X",$F45="",$F45="X",$G45="",$G45="X",$H45="",$H45="X"),0,SUM(_xlfn._xlws.FILTER(VALUE(PptoSty[Sign]&amp;"1")*1/PptoSty[Division],(PptoSty[Division]&lt;&gt;0)*(PptoSty[Division]&lt;&gt;"")*(PptoSty[Division]&lt;&gt;"X")*(PptoSty[Project]=$B45)*(PptoSty[Vrs]=$D45)*(PptoSty[Site]=$F45)*(PptoSty[PiRow]=_xlfn.TEXTAFTER($H45,":"))*(PptoSty[PiColumn]=W$54),0)))</f>
        <v>0</v>
      </c>
      <c r="X45" s="197" cm="1">
        <f t="array" ref="X45">IF(OR($B45="",$B45="X",$D45="",$D45="X",$E45="",$E45="X",$F45="",$F45="X",$G45="",$G45="X",$H45="",$H45="X"),0,SUM(_xlfn._xlws.FILTER(VALUE(PptoSty[Sign]&amp;"1")*1/PptoSty[Division],(PptoSty[Division]&lt;&gt;0)*(PptoSty[Division]&lt;&gt;"")*(PptoSty[Division]&lt;&gt;"X")*(PptoSty[Project]=$B45)*(PptoSty[Vrs]=$D45)*(PptoSty[Site]=$F45)*(PptoSty[PiRow]=_xlfn.TEXTAFTER($H45,":"))*(PptoSty[PiColumn]=X$54),0)))</f>
        <v>0</v>
      </c>
      <c r="Y45" s="197" cm="1">
        <f t="array" ref="Y45">IF(OR($B45="",$B45="X",$D45="",$D45="X",$E45="",$E45="X",$F45="",$F45="X",$G45="",$G45="X",$H45="",$H45="X"),0,SUM(_xlfn._xlws.FILTER(VALUE(PptoSty[Sign]&amp;"1")*1/PptoSty[Division],(PptoSty[Division]&lt;&gt;0)*(PptoSty[Division]&lt;&gt;"")*(PptoSty[Division]&lt;&gt;"X")*(PptoSty[Project]=$B45)*(PptoSty[Vrs]=$D45)*(PptoSty[Site]=$F45)*(PptoSty[PiRow]=_xlfn.TEXTAFTER($H45,":"))*(PptoSty[PiColumn]=Y$54),0)))</f>
        <v>0</v>
      </c>
    </row>
    <row r="46" spans="1:25" s="33" customFormat="1" ht="17.25" customHeight="1" outlineLevel="1">
      <c r="A46" s="123"/>
      <c r="B46" s="140"/>
      <c r="C46" s="128"/>
      <c r="D46" s="128"/>
      <c r="E46" s="128"/>
      <c r="F46" s="139"/>
      <c r="G46" s="139"/>
      <c r="H46" s="139"/>
      <c r="I46" s="197" cm="1">
        <f t="array" ref="I46">IF(OR($B46="",$B46="X",$D46="",$D46="X",$E46="",$E46="X",$F46="",$F46="X",$G46="",$G46="X",$H46="",$H46="X"),0,SUM(_xlfn._xlws.FILTER(VALUE(PptoSty[Sign]&amp;"1")*1/PptoSty[Division],(PptoSty[Division]&lt;&gt;0)*(PptoSty[Division]&lt;&gt;"")*(PptoSty[Division]&lt;&gt;"X")*(PptoSty[Project]=$B46)*(PptoSty[Vrs]=$D46)*(PptoSty[Site]=$F46)*(PptoSty[PiRow]=_xlfn.TEXTAFTER($H46,":"))*(PptoSty[PiColumn]=I$54),0)))</f>
        <v>0</v>
      </c>
      <c r="J46" s="197" cm="1">
        <f t="array" ref="J46">IF(OR($B46="",$B46="X",$D46="",$D46="X",$E46="",$E46="X",$F46="",$F46="X",$G46="",$G46="X",$H46="",$H46="X"),0,SUM(_xlfn._xlws.FILTER(VALUE(PptoSty[Sign]&amp;"1")*1/PptoSty[Division],(PptoSty[Division]&lt;&gt;0)*(PptoSty[Division]&lt;&gt;"")*(PptoSty[Division]&lt;&gt;"X")*(PptoSty[Project]=$B46)*(PptoSty[Vrs]=$D46)*(PptoSty[Site]=$F46)*(PptoSty[PiRow]=_xlfn.TEXTAFTER($H46,":"))*(PptoSty[PiColumn]=J$54),0)))</f>
        <v>0</v>
      </c>
      <c r="K46" s="197" cm="1">
        <f t="array" ref="K46">IF(OR($B46="",$B46="X",$D46="",$D46="X",$E46="",$E46="X",$F46="",$F46="X",$G46="",$G46="X",$H46="",$H46="X"),0,SUM(_xlfn._xlws.FILTER(VALUE(PptoSty[Sign]&amp;"1")*1/PptoSty[Division],(PptoSty[Division]&lt;&gt;0)*(PptoSty[Division]&lt;&gt;"")*(PptoSty[Division]&lt;&gt;"X")*(PptoSty[Project]=$B46)*(PptoSty[Vrs]=$D46)*(PptoSty[Site]=$F46)*(PptoSty[PiRow]=_xlfn.TEXTAFTER($H46,":"))*(PptoSty[PiColumn]=K$54),0)))</f>
        <v>0</v>
      </c>
      <c r="L46" s="197" cm="1">
        <f t="array" ref="L46">IF(OR($B46="",$B46="X",$D46="",$D46="X",$E46="",$E46="X",$F46="",$F46="X",$G46="",$G46="X",$H46="",$H46="X"),0,SUM(_xlfn._xlws.FILTER(VALUE(PptoSty[Sign]&amp;"1")*1/PptoSty[Division],(PptoSty[Division]&lt;&gt;0)*(PptoSty[Division]&lt;&gt;"")*(PptoSty[Division]&lt;&gt;"X")*(PptoSty[Project]=$B46)*(PptoSty[Vrs]=$D46)*(PptoSty[Site]=$F46)*(PptoSty[PiRow]=_xlfn.TEXTAFTER($H46,":"))*(PptoSty[PiColumn]=L$54),0)))</f>
        <v>0</v>
      </c>
      <c r="M46" s="197" cm="1">
        <f t="array" ref="M46">IF(OR($B46="",$B46="X",$D46="",$D46="X",$E46="",$E46="X",$F46="",$F46="X",$G46="",$G46="X",$H46="",$H46="X"),0,SUM(_xlfn._xlws.FILTER(VALUE(PptoSty[Sign]&amp;"1")*1/PptoSty[Division],(PptoSty[Division]&lt;&gt;0)*(PptoSty[Division]&lt;&gt;"")*(PptoSty[Division]&lt;&gt;"X")*(PptoSty[Project]=$B46)*(PptoSty[Vrs]=$D46)*(PptoSty[Site]=$F46)*(PptoSty[PiRow]=_xlfn.TEXTAFTER($H46,":"))*(PptoSty[PiColumn]=M$54),0)))</f>
        <v>0</v>
      </c>
      <c r="N46" s="197" cm="1">
        <f t="array" ref="N46">IF(OR($B46="",$B46="X",$D46="",$D46="X",$E46="",$E46="X",$F46="",$F46="X",$G46="",$G46="X",$H46="",$H46="X"),0,SUM(_xlfn._xlws.FILTER(VALUE(PptoSty[Sign]&amp;"1")*1/PptoSty[Division],(PptoSty[Division]&lt;&gt;0)*(PptoSty[Division]&lt;&gt;"")*(PptoSty[Division]&lt;&gt;"X")*(PptoSty[Project]=$B46)*(PptoSty[Vrs]=$D46)*(PptoSty[Site]=$F46)*(PptoSty[PiRow]=_xlfn.TEXTAFTER($H46,":"))*(PptoSty[PiColumn]=N$54),0)))</f>
        <v>0</v>
      </c>
      <c r="O46" s="197" cm="1">
        <f t="array" ref="O46">IF(OR($B46="",$B46="X",$D46="",$D46="X",$E46="",$E46="X",$F46="",$F46="X",$G46="",$G46="X",$H46="",$H46="X"),0,SUM(_xlfn._xlws.FILTER(VALUE(PptoSty[Sign]&amp;"1")*1/PptoSty[Division],(PptoSty[Division]&lt;&gt;0)*(PptoSty[Division]&lt;&gt;"")*(PptoSty[Division]&lt;&gt;"X")*(PptoSty[Project]=$B46)*(PptoSty[Vrs]=$D46)*(PptoSty[Site]=$F46)*(PptoSty[PiRow]=_xlfn.TEXTAFTER($H46,":"))*(PptoSty[PiColumn]=O$54),0)))</f>
        <v>0</v>
      </c>
      <c r="P46" s="197" cm="1">
        <f t="array" ref="P46">IF(OR($B46="",$B46="X",$D46="",$D46="X",$E46="",$E46="X",$F46="",$F46="X",$G46="",$G46="X",$H46="",$H46="X"),0,SUM(_xlfn._xlws.FILTER(VALUE(PptoSty[Sign]&amp;"1")*1/PptoSty[Division],(PptoSty[Division]&lt;&gt;0)*(PptoSty[Division]&lt;&gt;"")*(PptoSty[Division]&lt;&gt;"X")*(PptoSty[Project]=$B46)*(PptoSty[Vrs]=$D46)*(PptoSty[Site]=$F46)*(PptoSty[PiRow]=_xlfn.TEXTAFTER($H46,":"))*(PptoSty[PiColumn]=P$54),0)))</f>
        <v>0</v>
      </c>
      <c r="Q46" s="197" cm="1">
        <f t="array" ref="Q46">IF(OR($B46="",$B46="X",$D46="",$D46="X",$E46="",$E46="X",$F46="",$F46="X",$G46="",$G46="X",$H46="",$H46="X"),0,SUM(_xlfn._xlws.FILTER(VALUE(PptoSty[Sign]&amp;"1")*1/PptoSty[Division],(PptoSty[Division]&lt;&gt;0)*(PptoSty[Division]&lt;&gt;"")*(PptoSty[Division]&lt;&gt;"X")*(PptoSty[Project]=$B46)*(PptoSty[Vrs]=$D46)*(PptoSty[Site]=$F46)*(PptoSty[PiRow]=_xlfn.TEXTAFTER($H46,":"))*(PptoSty[PiColumn]=Q$54),0)))</f>
        <v>0</v>
      </c>
      <c r="R46" s="197" cm="1">
        <f t="array" ref="R46">IF(OR($B46="",$B46="X",$D46="",$D46="X",$E46="",$E46="X",$F46="",$F46="X",$G46="",$G46="X",$H46="",$H46="X"),0,SUM(_xlfn._xlws.FILTER(VALUE(PptoSty[Sign]&amp;"1")*1/PptoSty[Division],(PptoSty[Division]&lt;&gt;0)*(PptoSty[Division]&lt;&gt;"")*(PptoSty[Division]&lt;&gt;"X")*(PptoSty[Project]=$B46)*(PptoSty[Vrs]=$D46)*(PptoSty[Site]=$F46)*(PptoSty[PiRow]=_xlfn.TEXTAFTER($H46,":"))*(PptoSty[PiColumn]=R$54),0)))</f>
        <v>0</v>
      </c>
      <c r="S46" s="197" cm="1">
        <f t="array" ref="S46">IF(OR($B46="",$B46="X",$D46="",$D46="X",$E46="",$E46="X",$F46="",$F46="X",$G46="",$G46="X",$H46="",$H46="X"),0,SUM(_xlfn._xlws.FILTER(VALUE(PptoSty[Sign]&amp;"1")*1/PptoSty[Division],(PptoSty[Division]&lt;&gt;0)*(PptoSty[Division]&lt;&gt;"")*(PptoSty[Division]&lt;&gt;"X")*(PptoSty[Project]=$B46)*(PptoSty[Vrs]=$D46)*(PptoSty[Site]=$F46)*(PptoSty[PiRow]=_xlfn.TEXTAFTER($H46,":"))*(PptoSty[PiColumn]=S$54),0)))</f>
        <v>0</v>
      </c>
      <c r="T46" s="197" cm="1">
        <f t="array" ref="T46">IF(OR($B46="",$B46="X",$D46="",$D46="X",$E46="",$E46="X",$F46="",$F46="X",$G46="",$G46="X",$H46="",$H46="X"),0,SUM(_xlfn._xlws.FILTER(VALUE(PptoSty[Sign]&amp;"1")*1/PptoSty[Division],(PptoSty[Division]&lt;&gt;0)*(PptoSty[Division]&lt;&gt;"")*(PptoSty[Division]&lt;&gt;"X")*(PptoSty[Project]=$B46)*(PptoSty[Vrs]=$D46)*(PptoSty[Site]=$F46)*(PptoSty[PiRow]=_xlfn.TEXTAFTER($H46,":"))*(PptoSty[PiColumn]=T$54),0)))</f>
        <v>0</v>
      </c>
      <c r="U46" s="197" cm="1">
        <f t="array" ref="U46">IF(OR($B46="",$B46="X",$D46="",$D46="X",$E46="",$E46="X",$F46="",$F46="X",$G46="",$G46="X",$H46="",$H46="X"),0,SUM(_xlfn._xlws.FILTER(VALUE(PptoSty[Sign]&amp;"1")*1/PptoSty[Division],(PptoSty[Division]&lt;&gt;0)*(PptoSty[Division]&lt;&gt;"")*(PptoSty[Division]&lt;&gt;"X")*(PptoSty[Project]=$B46)*(PptoSty[Vrs]=$D46)*(PptoSty[Site]=$F46)*(PptoSty[PiRow]=_xlfn.TEXTAFTER($H46,":"))*(PptoSty[PiColumn]=U$54),0)))</f>
        <v>0</v>
      </c>
      <c r="V46" s="197" cm="1">
        <f t="array" ref="V46">IF(OR($B46="",$B46="X",$D46="",$D46="X",$E46="",$E46="X",$F46="",$F46="X",$G46="",$G46="X",$H46="",$H46="X"),0,SUM(_xlfn._xlws.FILTER(VALUE(PptoSty[Sign]&amp;"1")*1/PptoSty[Division],(PptoSty[Division]&lt;&gt;0)*(PptoSty[Division]&lt;&gt;"")*(PptoSty[Division]&lt;&gt;"X")*(PptoSty[Project]=$B46)*(PptoSty[Vrs]=$D46)*(PptoSty[Site]=$F46)*(PptoSty[PiRow]=_xlfn.TEXTAFTER($H46,":"))*(PptoSty[PiColumn]=V$54),0)))</f>
        <v>0</v>
      </c>
      <c r="W46" s="197" cm="1">
        <f t="array" ref="W46">IF(OR($B46="",$B46="X",$D46="",$D46="X",$E46="",$E46="X",$F46="",$F46="X",$G46="",$G46="X",$H46="",$H46="X"),0,SUM(_xlfn._xlws.FILTER(VALUE(PptoSty[Sign]&amp;"1")*1/PptoSty[Division],(PptoSty[Division]&lt;&gt;0)*(PptoSty[Division]&lt;&gt;"")*(PptoSty[Division]&lt;&gt;"X")*(PptoSty[Project]=$B46)*(PptoSty[Vrs]=$D46)*(PptoSty[Site]=$F46)*(PptoSty[PiRow]=_xlfn.TEXTAFTER($H46,":"))*(PptoSty[PiColumn]=W$54),0)))</f>
        <v>0</v>
      </c>
      <c r="X46" s="197" cm="1">
        <f t="array" ref="X46">IF(OR($B46="",$B46="X",$D46="",$D46="X",$E46="",$E46="X",$F46="",$F46="X",$G46="",$G46="X",$H46="",$H46="X"),0,SUM(_xlfn._xlws.FILTER(VALUE(PptoSty[Sign]&amp;"1")*1/PptoSty[Division],(PptoSty[Division]&lt;&gt;0)*(PptoSty[Division]&lt;&gt;"")*(PptoSty[Division]&lt;&gt;"X")*(PptoSty[Project]=$B46)*(PptoSty[Vrs]=$D46)*(PptoSty[Site]=$F46)*(PptoSty[PiRow]=_xlfn.TEXTAFTER($H46,":"))*(PptoSty[PiColumn]=X$54),0)))</f>
        <v>0</v>
      </c>
      <c r="Y46" s="197" cm="1">
        <f t="array" ref="Y46">IF(OR($B46="",$B46="X",$D46="",$D46="X",$E46="",$E46="X",$F46="",$F46="X",$G46="",$G46="X",$H46="",$H46="X"),0,SUM(_xlfn._xlws.FILTER(VALUE(PptoSty[Sign]&amp;"1")*1/PptoSty[Division],(PptoSty[Division]&lt;&gt;0)*(PptoSty[Division]&lt;&gt;"")*(PptoSty[Division]&lt;&gt;"X")*(PptoSty[Project]=$B46)*(PptoSty[Vrs]=$D46)*(PptoSty[Site]=$F46)*(PptoSty[PiRow]=_xlfn.TEXTAFTER($H46,":"))*(PptoSty[PiColumn]=Y$54),0)))</f>
        <v>0</v>
      </c>
    </row>
    <row r="47" spans="1:25" s="33" customFormat="1" ht="17.25" customHeight="1" outlineLevel="1">
      <c r="A47" s="123"/>
      <c r="B47" s="140"/>
      <c r="C47" s="128"/>
      <c r="D47" s="128"/>
      <c r="E47" s="128"/>
      <c r="F47" s="139"/>
      <c r="G47" s="139"/>
      <c r="H47" s="139"/>
      <c r="I47" s="197" cm="1">
        <f t="array" ref="I47">IF(OR($B47="",$B47="X",$D47="",$D47="X",$E47="",$E47="X",$F47="",$F47="X",$G47="",$G47="X",$H47="",$H47="X"),0,SUM(_xlfn._xlws.FILTER(VALUE(PptoSty[Sign]&amp;"1")*1/PptoSty[Division],(PptoSty[Division]&lt;&gt;0)*(PptoSty[Division]&lt;&gt;"")*(PptoSty[Division]&lt;&gt;"X")*(PptoSty[Project]=$B47)*(PptoSty[Vrs]=$D47)*(PptoSty[Site]=$F47)*(PptoSty[PiRow]=_xlfn.TEXTAFTER($H47,":"))*(PptoSty[PiColumn]=I$54),0)))</f>
        <v>0</v>
      </c>
      <c r="J47" s="197" cm="1">
        <f t="array" ref="J47">IF(OR($B47="",$B47="X",$D47="",$D47="X",$E47="",$E47="X",$F47="",$F47="X",$G47="",$G47="X",$H47="",$H47="X"),0,SUM(_xlfn._xlws.FILTER(VALUE(PptoSty[Sign]&amp;"1")*1/PptoSty[Division],(PptoSty[Division]&lt;&gt;0)*(PptoSty[Division]&lt;&gt;"")*(PptoSty[Division]&lt;&gt;"X")*(PptoSty[Project]=$B47)*(PptoSty[Vrs]=$D47)*(PptoSty[Site]=$F47)*(PptoSty[PiRow]=_xlfn.TEXTAFTER($H47,":"))*(PptoSty[PiColumn]=J$54),0)))</f>
        <v>0</v>
      </c>
      <c r="K47" s="197" cm="1">
        <f t="array" ref="K47">IF(OR($B47="",$B47="X",$D47="",$D47="X",$E47="",$E47="X",$F47="",$F47="X",$G47="",$G47="X",$H47="",$H47="X"),0,SUM(_xlfn._xlws.FILTER(VALUE(PptoSty[Sign]&amp;"1")*1/PptoSty[Division],(PptoSty[Division]&lt;&gt;0)*(PptoSty[Division]&lt;&gt;"")*(PptoSty[Division]&lt;&gt;"X")*(PptoSty[Project]=$B47)*(PptoSty[Vrs]=$D47)*(PptoSty[Site]=$F47)*(PptoSty[PiRow]=_xlfn.TEXTAFTER($H47,":"))*(PptoSty[PiColumn]=K$54),0)))</f>
        <v>0</v>
      </c>
      <c r="L47" s="197" cm="1">
        <f t="array" ref="L47">IF(OR($B47="",$B47="X",$D47="",$D47="X",$E47="",$E47="X",$F47="",$F47="X",$G47="",$G47="X",$H47="",$H47="X"),0,SUM(_xlfn._xlws.FILTER(VALUE(PptoSty[Sign]&amp;"1")*1/PptoSty[Division],(PptoSty[Division]&lt;&gt;0)*(PptoSty[Division]&lt;&gt;"")*(PptoSty[Division]&lt;&gt;"X")*(PptoSty[Project]=$B47)*(PptoSty[Vrs]=$D47)*(PptoSty[Site]=$F47)*(PptoSty[PiRow]=_xlfn.TEXTAFTER($H47,":"))*(PptoSty[PiColumn]=L$54),0)))</f>
        <v>0</v>
      </c>
      <c r="M47" s="197" cm="1">
        <f t="array" ref="M47">IF(OR($B47="",$B47="X",$D47="",$D47="X",$E47="",$E47="X",$F47="",$F47="X",$G47="",$G47="X",$H47="",$H47="X"),0,SUM(_xlfn._xlws.FILTER(VALUE(PptoSty[Sign]&amp;"1")*1/PptoSty[Division],(PptoSty[Division]&lt;&gt;0)*(PptoSty[Division]&lt;&gt;"")*(PptoSty[Division]&lt;&gt;"X")*(PptoSty[Project]=$B47)*(PptoSty[Vrs]=$D47)*(PptoSty[Site]=$F47)*(PptoSty[PiRow]=_xlfn.TEXTAFTER($H47,":"))*(PptoSty[PiColumn]=M$54),0)))</f>
        <v>0</v>
      </c>
      <c r="N47" s="197" cm="1">
        <f t="array" ref="N47">IF(OR($B47="",$B47="X",$D47="",$D47="X",$E47="",$E47="X",$F47="",$F47="X",$G47="",$G47="X",$H47="",$H47="X"),0,SUM(_xlfn._xlws.FILTER(VALUE(PptoSty[Sign]&amp;"1")*1/PptoSty[Division],(PptoSty[Division]&lt;&gt;0)*(PptoSty[Division]&lt;&gt;"")*(PptoSty[Division]&lt;&gt;"X")*(PptoSty[Project]=$B47)*(PptoSty[Vrs]=$D47)*(PptoSty[Site]=$F47)*(PptoSty[PiRow]=_xlfn.TEXTAFTER($H47,":"))*(PptoSty[PiColumn]=N$54),0)))</f>
        <v>0</v>
      </c>
      <c r="O47" s="197" cm="1">
        <f t="array" ref="O47">IF(OR($B47="",$B47="X",$D47="",$D47="X",$E47="",$E47="X",$F47="",$F47="X",$G47="",$G47="X",$H47="",$H47="X"),0,SUM(_xlfn._xlws.FILTER(VALUE(PptoSty[Sign]&amp;"1")*1/PptoSty[Division],(PptoSty[Division]&lt;&gt;0)*(PptoSty[Division]&lt;&gt;"")*(PptoSty[Division]&lt;&gt;"X")*(PptoSty[Project]=$B47)*(PptoSty[Vrs]=$D47)*(PptoSty[Site]=$F47)*(PptoSty[PiRow]=_xlfn.TEXTAFTER($H47,":"))*(PptoSty[PiColumn]=O$54),0)))</f>
        <v>0</v>
      </c>
      <c r="P47" s="197" cm="1">
        <f t="array" ref="P47">IF(OR($B47="",$B47="X",$D47="",$D47="X",$E47="",$E47="X",$F47="",$F47="X",$G47="",$G47="X",$H47="",$H47="X"),0,SUM(_xlfn._xlws.FILTER(VALUE(PptoSty[Sign]&amp;"1")*1/PptoSty[Division],(PptoSty[Division]&lt;&gt;0)*(PptoSty[Division]&lt;&gt;"")*(PptoSty[Division]&lt;&gt;"X")*(PptoSty[Project]=$B47)*(PptoSty[Vrs]=$D47)*(PptoSty[Site]=$F47)*(PptoSty[PiRow]=_xlfn.TEXTAFTER($H47,":"))*(PptoSty[PiColumn]=P$54),0)))</f>
        <v>0</v>
      </c>
      <c r="Q47" s="197" cm="1">
        <f t="array" ref="Q47">IF(OR($B47="",$B47="X",$D47="",$D47="X",$E47="",$E47="X",$F47="",$F47="X",$G47="",$G47="X",$H47="",$H47="X"),0,SUM(_xlfn._xlws.FILTER(VALUE(PptoSty[Sign]&amp;"1")*1/PptoSty[Division],(PptoSty[Division]&lt;&gt;0)*(PptoSty[Division]&lt;&gt;"")*(PptoSty[Division]&lt;&gt;"X")*(PptoSty[Project]=$B47)*(PptoSty[Vrs]=$D47)*(PptoSty[Site]=$F47)*(PptoSty[PiRow]=_xlfn.TEXTAFTER($H47,":"))*(PptoSty[PiColumn]=Q$54),0)))</f>
        <v>0</v>
      </c>
      <c r="R47" s="197" cm="1">
        <f t="array" ref="R47">IF(OR($B47="",$B47="X",$D47="",$D47="X",$E47="",$E47="X",$F47="",$F47="X",$G47="",$G47="X",$H47="",$H47="X"),0,SUM(_xlfn._xlws.FILTER(VALUE(PptoSty[Sign]&amp;"1")*1/PptoSty[Division],(PptoSty[Division]&lt;&gt;0)*(PptoSty[Division]&lt;&gt;"")*(PptoSty[Division]&lt;&gt;"X")*(PptoSty[Project]=$B47)*(PptoSty[Vrs]=$D47)*(PptoSty[Site]=$F47)*(PptoSty[PiRow]=_xlfn.TEXTAFTER($H47,":"))*(PptoSty[PiColumn]=R$54),0)))</f>
        <v>0</v>
      </c>
      <c r="S47" s="197" cm="1">
        <f t="array" ref="S47">IF(OR($B47="",$B47="X",$D47="",$D47="X",$E47="",$E47="X",$F47="",$F47="X",$G47="",$G47="X",$H47="",$H47="X"),0,SUM(_xlfn._xlws.FILTER(VALUE(PptoSty[Sign]&amp;"1")*1/PptoSty[Division],(PptoSty[Division]&lt;&gt;0)*(PptoSty[Division]&lt;&gt;"")*(PptoSty[Division]&lt;&gt;"X")*(PptoSty[Project]=$B47)*(PptoSty[Vrs]=$D47)*(PptoSty[Site]=$F47)*(PptoSty[PiRow]=_xlfn.TEXTAFTER($H47,":"))*(PptoSty[PiColumn]=S$54),0)))</f>
        <v>0</v>
      </c>
      <c r="T47" s="197" cm="1">
        <f t="array" ref="T47">IF(OR($B47="",$B47="X",$D47="",$D47="X",$E47="",$E47="X",$F47="",$F47="X",$G47="",$G47="X",$H47="",$H47="X"),0,SUM(_xlfn._xlws.FILTER(VALUE(PptoSty[Sign]&amp;"1")*1/PptoSty[Division],(PptoSty[Division]&lt;&gt;0)*(PptoSty[Division]&lt;&gt;"")*(PptoSty[Division]&lt;&gt;"X")*(PptoSty[Project]=$B47)*(PptoSty[Vrs]=$D47)*(PptoSty[Site]=$F47)*(PptoSty[PiRow]=_xlfn.TEXTAFTER($H47,":"))*(PptoSty[PiColumn]=T$54),0)))</f>
        <v>0</v>
      </c>
      <c r="U47" s="197" cm="1">
        <f t="array" ref="U47">IF(OR($B47="",$B47="X",$D47="",$D47="X",$E47="",$E47="X",$F47="",$F47="X",$G47="",$G47="X",$H47="",$H47="X"),0,SUM(_xlfn._xlws.FILTER(VALUE(PptoSty[Sign]&amp;"1")*1/PptoSty[Division],(PptoSty[Division]&lt;&gt;0)*(PptoSty[Division]&lt;&gt;"")*(PptoSty[Division]&lt;&gt;"X")*(PptoSty[Project]=$B47)*(PptoSty[Vrs]=$D47)*(PptoSty[Site]=$F47)*(PptoSty[PiRow]=_xlfn.TEXTAFTER($H47,":"))*(PptoSty[PiColumn]=U$54),0)))</f>
        <v>0</v>
      </c>
      <c r="V47" s="197" cm="1">
        <f t="array" ref="V47">IF(OR($B47="",$B47="X",$D47="",$D47="X",$E47="",$E47="X",$F47="",$F47="X",$G47="",$G47="X",$H47="",$H47="X"),0,SUM(_xlfn._xlws.FILTER(VALUE(PptoSty[Sign]&amp;"1")*1/PptoSty[Division],(PptoSty[Division]&lt;&gt;0)*(PptoSty[Division]&lt;&gt;"")*(PptoSty[Division]&lt;&gt;"X")*(PptoSty[Project]=$B47)*(PptoSty[Vrs]=$D47)*(PptoSty[Site]=$F47)*(PptoSty[PiRow]=_xlfn.TEXTAFTER($H47,":"))*(PptoSty[PiColumn]=V$54),0)))</f>
        <v>0</v>
      </c>
      <c r="W47" s="197" cm="1">
        <f t="array" ref="W47">IF(OR($B47="",$B47="X",$D47="",$D47="X",$E47="",$E47="X",$F47="",$F47="X",$G47="",$G47="X",$H47="",$H47="X"),0,SUM(_xlfn._xlws.FILTER(VALUE(PptoSty[Sign]&amp;"1")*1/PptoSty[Division],(PptoSty[Division]&lt;&gt;0)*(PptoSty[Division]&lt;&gt;"")*(PptoSty[Division]&lt;&gt;"X")*(PptoSty[Project]=$B47)*(PptoSty[Vrs]=$D47)*(PptoSty[Site]=$F47)*(PptoSty[PiRow]=_xlfn.TEXTAFTER($H47,":"))*(PptoSty[PiColumn]=W$54),0)))</f>
        <v>0</v>
      </c>
      <c r="X47" s="197" cm="1">
        <f t="array" ref="X47">IF(OR($B47="",$B47="X",$D47="",$D47="X",$E47="",$E47="X",$F47="",$F47="X",$G47="",$G47="X",$H47="",$H47="X"),0,SUM(_xlfn._xlws.FILTER(VALUE(PptoSty[Sign]&amp;"1")*1/PptoSty[Division],(PptoSty[Division]&lt;&gt;0)*(PptoSty[Division]&lt;&gt;"")*(PptoSty[Division]&lt;&gt;"X")*(PptoSty[Project]=$B47)*(PptoSty[Vrs]=$D47)*(PptoSty[Site]=$F47)*(PptoSty[PiRow]=_xlfn.TEXTAFTER($H47,":"))*(PptoSty[PiColumn]=X$54),0)))</f>
        <v>0</v>
      </c>
      <c r="Y47" s="197" cm="1">
        <f t="array" ref="Y47">IF(OR($B47="",$B47="X",$D47="",$D47="X",$E47="",$E47="X",$F47="",$F47="X",$G47="",$G47="X",$H47="",$H47="X"),0,SUM(_xlfn._xlws.FILTER(VALUE(PptoSty[Sign]&amp;"1")*1/PptoSty[Division],(PptoSty[Division]&lt;&gt;0)*(PptoSty[Division]&lt;&gt;"")*(PptoSty[Division]&lt;&gt;"X")*(PptoSty[Project]=$B47)*(PptoSty[Vrs]=$D47)*(PptoSty[Site]=$F47)*(PptoSty[PiRow]=_xlfn.TEXTAFTER($H47,":"))*(PptoSty[PiColumn]=Y$54),0)))</f>
        <v>0</v>
      </c>
    </row>
    <row r="48" spans="1:25" s="33" customFormat="1" ht="17.25" customHeight="1" outlineLevel="1">
      <c r="A48" s="123"/>
      <c r="B48" s="140"/>
      <c r="C48" s="128"/>
      <c r="D48" s="128"/>
      <c r="E48" s="128"/>
      <c r="F48" s="139"/>
      <c r="G48" s="139"/>
      <c r="H48" s="139"/>
      <c r="I48" s="197" cm="1">
        <f t="array" ref="I48">IF(OR($B48="",$B48="X",$D48="",$D48="X",$E48="",$E48="X",$F48="",$F48="X",$G48="",$G48="X",$H48="",$H48="X"),0,SUM(_xlfn._xlws.FILTER(VALUE(PptoSty[Sign]&amp;"1")*1/PptoSty[Division],(PptoSty[Division]&lt;&gt;0)*(PptoSty[Division]&lt;&gt;"")*(PptoSty[Division]&lt;&gt;"X")*(PptoSty[Project]=$B48)*(PptoSty[Vrs]=$D48)*(PptoSty[Site]=$F48)*(PptoSty[PiRow]=_xlfn.TEXTAFTER($H48,":"))*(PptoSty[PiColumn]=I$54),0)))</f>
        <v>0</v>
      </c>
      <c r="J48" s="197" cm="1">
        <f t="array" ref="J48">IF(OR($B48="",$B48="X",$D48="",$D48="X",$E48="",$E48="X",$F48="",$F48="X",$G48="",$G48="X",$H48="",$H48="X"),0,SUM(_xlfn._xlws.FILTER(VALUE(PptoSty[Sign]&amp;"1")*1/PptoSty[Division],(PptoSty[Division]&lt;&gt;0)*(PptoSty[Division]&lt;&gt;"")*(PptoSty[Division]&lt;&gt;"X")*(PptoSty[Project]=$B48)*(PptoSty[Vrs]=$D48)*(PptoSty[Site]=$F48)*(PptoSty[PiRow]=_xlfn.TEXTAFTER($H48,":"))*(PptoSty[PiColumn]=J$54),0)))</f>
        <v>0</v>
      </c>
      <c r="K48" s="197" cm="1">
        <f t="array" ref="K48">IF(OR($B48="",$B48="X",$D48="",$D48="X",$E48="",$E48="X",$F48="",$F48="X",$G48="",$G48="X",$H48="",$H48="X"),0,SUM(_xlfn._xlws.FILTER(VALUE(PptoSty[Sign]&amp;"1")*1/PptoSty[Division],(PptoSty[Division]&lt;&gt;0)*(PptoSty[Division]&lt;&gt;"")*(PptoSty[Division]&lt;&gt;"X")*(PptoSty[Project]=$B48)*(PptoSty[Vrs]=$D48)*(PptoSty[Site]=$F48)*(PptoSty[PiRow]=_xlfn.TEXTAFTER($H48,":"))*(PptoSty[PiColumn]=K$54),0)))</f>
        <v>0</v>
      </c>
      <c r="L48" s="197" cm="1">
        <f t="array" ref="L48">IF(OR($B48="",$B48="X",$D48="",$D48="X",$E48="",$E48="X",$F48="",$F48="X",$G48="",$G48="X",$H48="",$H48="X"),0,SUM(_xlfn._xlws.FILTER(VALUE(PptoSty[Sign]&amp;"1")*1/PptoSty[Division],(PptoSty[Division]&lt;&gt;0)*(PptoSty[Division]&lt;&gt;"")*(PptoSty[Division]&lt;&gt;"X")*(PptoSty[Project]=$B48)*(PptoSty[Vrs]=$D48)*(PptoSty[Site]=$F48)*(PptoSty[PiRow]=_xlfn.TEXTAFTER($H48,":"))*(PptoSty[PiColumn]=L$54),0)))</f>
        <v>0</v>
      </c>
      <c r="M48" s="197" cm="1">
        <f t="array" ref="M48">IF(OR($B48="",$B48="X",$D48="",$D48="X",$E48="",$E48="X",$F48="",$F48="X",$G48="",$G48="X",$H48="",$H48="X"),0,SUM(_xlfn._xlws.FILTER(VALUE(PptoSty[Sign]&amp;"1")*1/PptoSty[Division],(PptoSty[Division]&lt;&gt;0)*(PptoSty[Division]&lt;&gt;"")*(PptoSty[Division]&lt;&gt;"X")*(PptoSty[Project]=$B48)*(PptoSty[Vrs]=$D48)*(PptoSty[Site]=$F48)*(PptoSty[PiRow]=_xlfn.TEXTAFTER($H48,":"))*(PptoSty[PiColumn]=M$54),0)))</f>
        <v>0</v>
      </c>
      <c r="N48" s="197" cm="1">
        <f t="array" ref="N48">IF(OR($B48="",$B48="X",$D48="",$D48="X",$E48="",$E48="X",$F48="",$F48="X",$G48="",$G48="X",$H48="",$H48="X"),0,SUM(_xlfn._xlws.FILTER(VALUE(PptoSty[Sign]&amp;"1")*1/PptoSty[Division],(PptoSty[Division]&lt;&gt;0)*(PptoSty[Division]&lt;&gt;"")*(PptoSty[Division]&lt;&gt;"X")*(PptoSty[Project]=$B48)*(PptoSty[Vrs]=$D48)*(PptoSty[Site]=$F48)*(PptoSty[PiRow]=_xlfn.TEXTAFTER($H48,":"))*(PptoSty[PiColumn]=N$54),0)))</f>
        <v>0</v>
      </c>
      <c r="O48" s="197" cm="1">
        <f t="array" ref="O48">IF(OR($B48="",$B48="X",$D48="",$D48="X",$E48="",$E48="X",$F48="",$F48="X",$G48="",$G48="X",$H48="",$H48="X"),0,SUM(_xlfn._xlws.FILTER(VALUE(PptoSty[Sign]&amp;"1")*1/PptoSty[Division],(PptoSty[Division]&lt;&gt;0)*(PptoSty[Division]&lt;&gt;"")*(PptoSty[Division]&lt;&gt;"X")*(PptoSty[Project]=$B48)*(PptoSty[Vrs]=$D48)*(PptoSty[Site]=$F48)*(PptoSty[PiRow]=_xlfn.TEXTAFTER($H48,":"))*(PptoSty[PiColumn]=O$54),0)))</f>
        <v>0</v>
      </c>
      <c r="P48" s="197" cm="1">
        <f t="array" ref="P48">IF(OR($B48="",$B48="X",$D48="",$D48="X",$E48="",$E48="X",$F48="",$F48="X",$G48="",$G48="X",$H48="",$H48="X"),0,SUM(_xlfn._xlws.FILTER(VALUE(PptoSty[Sign]&amp;"1")*1/PptoSty[Division],(PptoSty[Division]&lt;&gt;0)*(PptoSty[Division]&lt;&gt;"")*(PptoSty[Division]&lt;&gt;"X")*(PptoSty[Project]=$B48)*(PptoSty[Vrs]=$D48)*(PptoSty[Site]=$F48)*(PptoSty[PiRow]=_xlfn.TEXTAFTER($H48,":"))*(PptoSty[PiColumn]=P$54),0)))</f>
        <v>0</v>
      </c>
      <c r="Q48" s="197" cm="1">
        <f t="array" ref="Q48">IF(OR($B48="",$B48="X",$D48="",$D48="X",$E48="",$E48="X",$F48="",$F48="X",$G48="",$G48="X",$H48="",$H48="X"),0,SUM(_xlfn._xlws.FILTER(VALUE(PptoSty[Sign]&amp;"1")*1/PptoSty[Division],(PptoSty[Division]&lt;&gt;0)*(PptoSty[Division]&lt;&gt;"")*(PptoSty[Division]&lt;&gt;"X")*(PptoSty[Project]=$B48)*(PptoSty[Vrs]=$D48)*(PptoSty[Site]=$F48)*(PptoSty[PiRow]=_xlfn.TEXTAFTER($H48,":"))*(PptoSty[PiColumn]=Q$54),0)))</f>
        <v>0</v>
      </c>
      <c r="R48" s="197" cm="1">
        <f t="array" ref="R48">IF(OR($B48="",$B48="X",$D48="",$D48="X",$E48="",$E48="X",$F48="",$F48="X",$G48="",$G48="X",$H48="",$H48="X"),0,SUM(_xlfn._xlws.FILTER(VALUE(PptoSty[Sign]&amp;"1")*1/PptoSty[Division],(PptoSty[Division]&lt;&gt;0)*(PptoSty[Division]&lt;&gt;"")*(PptoSty[Division]&lt;&gt;"X")*(PptoSty[Project]=$B48)*(PptoSty[Vrs]=$D48)*(PptoSty[Site]=$F48)*(PptoSty[PiRow]=_xlfn.TEXTAFTER($H48,":"))*(PptoSty[PiColumn]=R$54),0)))</f>
        <v>0</v>
      </c>
      <c r="S48" s="197" cm="1">
        <f t="array" ref="S48">IF(OR($B48="",$B48="X",$D48="",$D48="X",$E48="",$E48="X",$F48="",$F48="X",$G48="",$G48="X",$H48="",$H48="X"),0,SUM(_xlfn._xlws.FILTER(VALUE(PptoSty[Sign]&amp;"1")*1/PptoSty[Division],(PptoSty[Division]&lt;&gt;0)*(PptoSty[Division]&lt;&gt;"")*(PptoSty[Division]&lt;&gt;"X")*(PptoSty[Project]=$B48)*(PptoSty[Vrs]=$D48)*(PptoSty[Site]=$F48)*(PptoSty[PiRow]=_xlfn.TEXTAFTER($H48,":"))*(PptoSty[PiColumn]=S$54),0)))</f>
        <v>0</v>
      </c>
      <c r="T48" s="197" cm="1">
        <f t="array" ref="T48">IF(OR($B48="",$B48="X",$D48="",$D48="X",$E48="",$E48="X",$F48="",$F48="X",$G48="",$G48="X",$H48="",$H48="X"),0,SUM(_xlfn._xlws.FILTER(VALUE(PptoSty[Sign]&amp;"1")*1/PptoSty[Division],(PptoSty[Division]&lt;&gt;0)*(PptoSty[Division]&lt;&gt;"")*(PptoSty[Division]&lt;&gt;"X")*(PptoSty[Project]=$B48)*(PptoSty[Vrs]=$D48)*(PptoSty[Site]=$F48)*(PptoSty[PiRow]=_xlfn.TEXTAFTER($H48,":"))*(PptoSty[PiColumn]=T$54),0)))</f>
        <v>0</v>
      </c>
      <c r="U48" s="197" cm="1">
        <f t="array" ref="U48">IF(OR($B48="",$B48="X",$D48="",$D48="X",$E48="",$E48="X",$F48="",$F48="X",$G48="",$G48="X",$H48="",$H48="X"),0,SUM(_xlfn._xlws.FILTER(VALUE(PptoSty[Sign]&amp;"1")*1/PptoSty[Division],(PptoSty[Division]&lt;&gt;0)*(PptoSty[Division]&lt;&gt;"")*(PptoSty[Division]&lt;&gt;"X")*(PptoSty[Project]=$B48)*(PptoSty[Vrs]=$D48)*(PptoSty[Site]=$F48)*(PptoSty[PiRow]=_xlfn.TEXTAFTER($H48,":"))*(PptoSty[PiColumn]=U$54),0)))</f>
        <v>0</v>
      </c>
      <c r="V48" s="197" cm="1">
        <f t="array" ref="V48">IF(OR($B48="",$B48="X",$D48="",$D48="X",$E48="",$E48="X",$F48="",$F48="X",$G48="",$G48="X",$H48="",$H48="X"),0,SUM(_xlfn._xlws.FILTER(VALUE(PptoSty[Sign]&amp;"1")*1/PptoSty[Division],(PptoSty[Division]&lt;&gt;0)*(PptoSty[Division]&lt;&gt;"")*(PptoSty[Division]&lt;&gt;"X")*(PptoSty[Project]=$B48)*(PptoSty[Vrs]=$D48)*(PptoSty[Site]=$F48)*(PptoSty[PiRow]=_xlfn.TEXTAFTER($H48,":"))*(PptoSty[PiColumn]=V$54),0)))</f>
        <v>0</v>
      </c>
      <c r="W48" s="197" cm="1">
        <f t="array" ref="W48">IF(OR($B48="",$B48="X",$D48="",$D48="X",$E48="",$E48="X",$F48="",$F48="X",$G48="",$G48="X",$H48="",$H48="X"),0,SUM(_xlfn._xlws.FILTER(VALUE(PptoSty[Sign]&amp;"1")*1/PptoSty[Division],(PptoSty[Division]&lt;&gt;0)*(PptoSty[Division]&lt;&gt;"")*(PptoSty[Division]&lt;&gt;"X")*(PptoSty[Project]=$B48)*(PptoSty[Vrs]=$D48)*(PptoSty[Site]=$F48)*(PptoSty[PiRow]=_xlfn.TEXTAFTER($H48,":"))*(PptoSty[PiColumn]=W$54),0)))</f>
        <v>0</v>
      </c>
      <c r="X48" s="197" cm="1">
        <f t="array" ref="X48">IF(OR($B48="",$B48="X",$D48="",$D48="X",$E48="",$E48="X",$F48="",$F48="X",$G48="",$G48="X",$H48="",$H48="X"),0,SUM(_xlfn._xlws.FILTER(VALUE(PptoSty[Sign]&amp;"1")*1/PptoSty[Division],(PptoSty[Division]&lt;&gt;0)*(PptoSty[Division]&lt;&gt;"")*(PptoSty[Division]&lt;&gt;"X")*(PptoSty[Project]=$B48)*(PptoSty[Vrs]=$D48)*(PptoSty[Site]=$F48)*(PptoSty[PiRow]=_xlfn.TEXTAFTER($H48,":"))*(PptoSty[PiColumn]=X$54),0)))</f>
        <v>0</v>
      </c>
      <c r="Y48" s="197" cm="1">
        <f t="array" ref="Y48">IF(OR($B48="",$B48="X",$D48="",$D48="X",$E48="",$E48="X",$F48="",$F48="X",$G48="",$G48="X",$H48="",$H48="X"),0,SUM(_xlfn._xlws.FILTER(VALUE(PptoSty[Sign]&amp;"1")*1/PptoSty[Division],(PptoSty[Division]&lt;&gt;0)*(PptoSty[Division]&lt;&gt;"")*(PptoSty[Division]&lt;&gt;"X")*(PptoSty[Project]=$B48)*(PptoSty[Vrs]=$D48)*(PptoSty[Site]=$F48)*(PptoSty[PiRow]=_xlfn.TEXTAFTER($H48,":"))*(PptoSty[PiColumn]=Y$54),0)))</f>
        <v>0</v>
      </c>
    </row>
    <row r="49" spans="1:26" s="33" customFormat="1" ht="17.25" customHeight="1" outlineLevel="1">
      <c r="A49" s="123"/>
      <c r="B49" s="140"/>
      <c r="C49" s="128"/>
      <c r="D49" s="128"/>
      <c r="E49" s="128"/>
      <c r="F49" s="139"/>
      <c r="G49" s="139"/>
      <c r="H49" s="139"/>
      <c r="I49" s="197" cm="1">
        <f t="array" ref="I49">IF(OR($B49="",$B49="X",$D49="",$D49="X",$E49="",$E49="X",$F49="",$F49="X",$G49="",$G49="X",$H49="",$H49="X"),0,SUM(_xlfn._xlws.FILTER(VALUE(PptoSty[Sign]&amp;"1")*1/PptoSty[Division],(PptoSty[Division]&lt;&gt;0)*(PptoSty[Division]&lt;&gt;"")*(PptoSty[Division]&lt;&gt;"X")*(PptoSty[Project]=$B49)*(PptoSty[Vrs]=$D49)*(PptoSty[Site]=$F49)*(PptoSty[PiRow]=_xlfn.TEXTAFTER($H49,":"))*(PptoSty[PiColumn]=I$54),0)))</f>
        <v>0</v>
      </c>
      <c r="J49" s="197" cm="1">
        <f t="array" ref="J49">IF(OR($B49="",$B49="X",$D49="",$D49="X",$E49="",$E49="X",$F49="",$F49="X",$G49="",$G49="X",$H49="",$H49="X"),0,SUM(_xlfn._xlws.FILTER(VALUE(PptoSty[Sign]&amp;"1")*1/PptoSty[Division],(PptoSty[Division]&lt;&gt;0)*(PptoSty[Division]&lt;&gt;"")*(PptoSty[Division]&lt;&gt;"X")*(PptoSty[Project]=$B49)*(PptoSty[Vrs]=$D49)*(PptoSty[Site]=$F49)*(PptoSty[PiRow]=_xlfn.TEXTAFTER($H49,":"))*(PptoSty[PiColumn]=J$54),0)))</f>
        <v>0</v>
      </c>
      <c r="K49" s="197" cm="1">
        <f t="array" ref="K49">IF(OR($B49="",$B49="X",$D49="",$D49="X",$E49="",$E49="X",$F49="",$F49="X",$G49="",$G49="X",$H49="",$H49="X"),0,SUM(_xlfn._xlws.FILTER(VALUE(PptoSty[Sign]&amp;"1")*1/PptoSty[Division],(PptoSty[Division]&lt;&gt;0)*(PptoSty[Division]&lt;&gt;"")*(PptoSty[Division]&lt;&gt;"X")*(PptoSty[Project]=$B49)*(PptoSty[Vrs]=$D49)*(PptoSty[Site]=$F49)*(PptoSty[PiRow]=_xlfn.TEXTAFTER($H49,":"))*(PptoSty[PiColumn]=K$54),0)))</f>
        <v>0</v>
      </c>
      <c r="L49" s="197" cm="1">
        <f t="array" ref="L49">IF(OR($B49="",$B49="X",$D49="",$D49="X",$E49="",$E49="X",$F49="",$F49="X",$G49="",$G49="X",$H49="",$H49="X"),0,SUM(_xlfn._xlws.FILTER(VALUE(PptoSty[Sign]&amp;"1")*1/PptoSty[Division],(PptoSty[Division]&lt;&gt;0)*(PptoSty[Division]&lt;&gt;"")*(PptoSty[Division]&lt;&gt;"X")*(PptoSty[Project]=$B49)*(PptoSty[Vrs]=$D49)*(PptoSty[Site]=$F49)*(PptoSty[PiRow]=_xlfn.TEXTAFTER($H49,":"))*(PptoSty[PiColumn]=L$54),0)))</f>
        <v>0</v>
      </c>
      <c r="M49" s="197" cm="1">
        <f t="array" ref="M49">IF(OR($B49="",$B49="X",$D49="",$D49="X",$E49="",$E49="X",$F49="",$F49="X",$G49="",$G49="X",$H49="",$H49="X"),0,SUM(_xlfn._xlws.FILTER(VALUE(PptoSty[Sign]&amp;"1")*1/PptoSty[Division],(PptoSty[Division]&lt;&gt;0)*(PptoSty[Division]&lt;&gt;"")*(PptoSty[Division]&lt;&gt;"X")*(PptoSty[Project]=$B49)*(PptoSty[Vrs]=$D49)*(PptoSty[Site]=$F49)*(PptoSty[PiRow]=_xlfn.TEXTAFTER($H49,":"))*(PptoSty[PiColumn]=M$54),0)))</f>
        <v>0</v>
      </c>
      <c r="N49" s="197" cm="1">
        <f t="array" ref="N49">IF(OR($B49="",$B49="X",$D49="",$D49="X",$E49="",$E49="X",$F49="",$F49="X",$G49="",$G49="X",$H49="",$H49="X"),0,SUM(_xlfn._xlws.FILTER(VALUE(PptoSty[Sign]&amp;"1")*1/PptoSty[Division],(PptoSty[Division]&lt;&gt;0)*(PptoSty[Division]&lt;&gt;"")*(PptoSty[Division]&lt;&gt;"X")*(PptoSty[Project]=$B49)*(PptoSty[Vrs]=$D49)*(PptoSty[Site]=$F49)*(PptoSty[PiRow]=_xlfn.TEXTAFTER($H49,":"))*(PptoSty[PiColumn]=N$54),0)))</f>
        <v>0</v>
      </c>
      <c r="O49" s="197" cm="1">
        <f t="array" ref="O49">IF(OR($B49="",$B49="X",$D49="",$D49="X",$E49="",$E49="X",$F49="",$F49="X",$G49="",$G49="X",$H49="",$H49="X"),0,SUM(_xlfn._xlws.FILTER(VALUE(PptoSty[Sign]&amp;"1")*1/PptoSty[Division],(PptoSty[Division]&lt;&gt;0)*(PptoSty[Division]&lt;&gt;"")*(PptoSty[Division]&lt;&gt;"X")*(PptoSty[Project]=$B49)*(PptoSty[Vrs]=$D49)*(PptoSty[Site]=$F49)*(PptoSty[PiRow]=_xlfn.TEXTAFTER($H49,":"))*(PptoSty[PiColumn]=O$54),0)))</f>
        <v>0</v>
      </c>
      <c r="P49" s="197" cm="1">
        <f t="array" ref="P49">IF(OR($B49="",$B49="X",$D49="",$D49="X",$E49="",$E49="X",$F49="",$F49="X",$G49="",$G49="X",$H49="",$H49="X"),0,SUM(_xlfn._xlws.FILTER(VALUE(PptoSty[Sign]&amp;"1")*1/PptoSty[Division],(PptoSty[Division]&lt;&gt;0)*(PptoSty[Division]&lt;&gt;"")*(PptoSty[Division]&lt;&gt;"X")*(PptoSty[Project]=$B49)*(PptoSty[Vrs]=$D49)*(PptoSty[Site]=$F49)*(PptoSty[PiRow]=_xlfn.TEXTAFTER($H49,":"))*(PptoSty[PiColumn]=P$54),0)))</f>
        <v>0</v>
      </c>
      <c r="Q49" s="197" cm="1">
        <f t="array" ref="Q49">IF(OR($B49="",$B49="X",$D49="",$D49="X",$E49="",$E49="X",$F49="",$F49="X",$G49="",$G49="X",$H49="",$H49="X"),0,SUM(_xlfn._xlws.FILTER(VALUE(PptoSty[Sign]&amp;"1")*1/PptoSty[Division],(PptoSty[Division]&lt;&gt;0)*(PptoSty[Division]&lt;&gt;"")*(PptoSty[Division]&lt;&gt;"X")*(PptoSty[Project]=$B49)*(PptoSty[Vrs]=$D49)*(PptoSty[Site]=$F49)*(PptoSty[PiRow]=_xlfn.TEXTAFTER($H49,":"))*(PptoSty[PiColumn]=Q$54),0)))</f>
        <v>0</v>
      </c>
      <c r="R49" s="197" cm="1">
        <f t="array" ref="R49">IF(OR($B49="",$B49="X",$D49="",$D49="X",$E49="",$E49="X",$F49="",$F49="X",$G49="",$G49="X",$H49="",$H49="X"),0,SUM(_xlfn._xlws.FILTER(VALUE(PptoSty[Sign]&amp;"1")*1/PptoSty[Division],(PptoSty[Division]&lt;&gt;0)*(PptoSty[Division]&lt;&gt;"")*(PptoSty[Division]&lt;&gt;"X")*(PptoSty[Project]=$B49)*(PptoSty[Vrs]=$D49)*(PptoSty[Site]=$F49)*(PptoSty[PiRow]=_xlfn.TEXTAFTER($H49,":"))*(PptoSty[PiColumn]=R$54),0)))</f>
        <v>0</v>
      </c>
      <c r="S49" s="197" cm="1">
        <f t="array" ref="S49">IF(OR($B49="",$B49="X",$D49="",$D49="X",$E49="",$E49="X",$F49="",$F49="X",$G49="",$G49="X",$H49="",$H49="X"),0,SUM(_xlfn._xlws.FILTER(VALUE(PptoSty[Sign]&amp;"1")*1/PptoSty[Division],(PptoSty[Division]&lt;&gt;0)*(PptoSty[Division]&lt;&gt;"")*(PptoSty[Division]&lt;&gt;"X")*(PptoSty[Project]=$B49)*(PptoSty[Vrs]=$D49)*(PptoSty[Site]=$F49)*(PptoSty[PiRow]=_xlfn.TEXTAFTER($H49,":"))*(PptoSty[PiColumn]=S$54),0)))</f>
        <v>0</v>
      </c>
      <c r="T49" s="197" cm="1">
        <f t="array" ref="T49">IF(OR($B49="",$B49="X",$D49="",$D49="X",$E49="",$E49="X",$F49="",$F49="X",$G49="",$G49="X",$H49="",$H49="X"),0,SUM(_xlfn._xlws.FILTER(VALUE(PptoSty[Sign]&amp;"1")*1/PptoSty[Division],(PptoSty[Division]&lt;&gt;0)*(PptoSty[Division]&lt;&gt;"")*(PptoSty[Division]&lt;&gt;"X")*(PptoSty[Project]=$B49)*(PptoSty[Vrs]=$D49)*(PptoSty[Site]=$F49)*(PptoSty[PiRow]=_xlfn.TEXTAFTER($H49,":"))*(PptoSty[PiColumn]=T$54),0)))</f>
        <v>0</v>
      </c>
      <c r="U49" s="197" cm="1">
        <f t="array" ref="U49">IF(OR($B49="",$B49="X",$D49="",$D49="X",$E49="",$E49="X",$F49="",$F49="X",$G49="",$G49="X",$H49="",$H49="X"),0,SUM(_xlfn._xlws.FILTER(VALUE(PptoSty[Sign]&amp;"1")*1/PptoSty[Division],(PptoSty[Division]&lt;&gt;0)*(PptoSty[Division]&lt;&gt;"")*(PptoSty[Division]&lt;&gt;"X")*(PptoSty[Project]=$B49)*(PptoSty[Vrs]=$D49)*(PptoSty[Site]=$F49)*(PptoSty[PiRow]=_xlfn.TEXTAFTER($H49,":"))*(PptoSty[PiColumn]=U$54),0)))</f>
        <v>0</v>
      </c>
      <c r="V49" s="197" cm="1">
        <f t="array" ref="V49">IF(OR($B49="",$B49="X",$D49="",$D49="X",$E49="",$E49="X",$F49="",$F49="X",$G49="",$G49="X",$H49="",$H49="X"),0,SUM(_xlfn._xlws.FILTER(VALUE(PptoSty[Sign]&amp;"1")*1/PptoSty[Division],(PptoSty[Division]&lt;&gt;0)*(PptoSty[Division]&lt;&gt;"")*(PptoSty[Division]&lt;&gt;"X")*(PptoSty[Project]=$B49)*(PptoSty[Vrs]=$D49)*(PptoSty[Site]=$F49)*(PptoSty[PiRow]=_xlfn.TEXTAFTER($H49,":"))*(PptoSty[PiColumn]=V$54),0)))</f>
        <v>0</v>
      </c>
      <c r="W49" s="197" cm="1">
        <f t="array" ref="W49">IF(OR($B49="",$B49="X",$D49="",$D49="X",$E49="",$E49="X",$F49="",$F49="X",$G49="",$G49="X",$H49="",$H49="X"),0,SUM(_xlfn._xlws.FILTER(VALUE(PptoSty[Sign]&amp;"1")*1/PptoSty[Division],(PptoSty[Division]&lt;&gt;0)*(PptoSty[Division]&lt;&gt;"")*(PptoSty[Division]&lt;&gt;"X")*(PptoSty[Project]=$B49)*(PptoSty[Vrs]=$D49)*(PptoSty[Site]=$F49)*(PptoSty[PiRow]=_xlfn.TEXTAFTER($H49,":"))*(PptoSty[PiColumn]=W$54),0)))</f>
        <v>0</v>
      </c>
      <c r="X49" s="197" cm="1">
        <f t="array" ref="X49">IF(OR($B49="",$B49="X",$D49="",$D49="X",$E49="",$E49="X",$F49="",$F49="X",$G49="",$G49="X",$H49="",$H49="X"),0,SUM(_xlfn._xlws.FILTER(VALUE(PptoSty[Sign]&amp;"1")*1/PptoSty[Division],(PptoSty[Division]&lt;&gt;0)*(PptoSty[Division]&lt;&gt;"")*(PptoSty[Division]&lt;&gt;"X")*(PptoSty[Project]=$B49)*(PptoSty[Vrs]=$D49)*(PptoSty[Site]=$F49)*(PptoSty[PiRow]=_xlfn.TEXTAFTER($H49,":"))*(PptoSty[PiColumn]=X$54),0)))</f>
        <v>0</v>
      </c>
      <c r="Y49" s="197" cm="1">
        <f t="array" ref="Y49">IF(OR($B49="",$B49="X",$D49="",$D49="X",$E49="",$E49="X",$F49="",$F49="X",$G49="",$G49="X",$H49="",$H49="X"),0,SUM(_xlfn._xlws.FILTER(VALUE(PptoSty[Sign]&amp;"1")*1/PptoSty[Division],(PptoSty[Division]&lt;&gt;0)*(PptoSty[Division]&lt;&gt;"")*(PptoSty[Division]&lt;&gt;"X")*(PptoSty[Project]=$B49)*(PptoSty[Vrs]=$D49)*(PptoSty[Site]=$F49)*(PptoSty[PiRow]=_xlfn.TEXTAFTER($H49,":"))*(PptoSty[PiColumn]=Y$54),0)))</f>
        <v>0</v>
      </c>
    </row>
    <row r="50" spans="1:26" s="33" customFormat="1" ht="17.25" customHeight="1" outlineLevel="1">
      <c r="A50" s="123"/>
      <c r="B50" s="140"/>
      <c r="C50" s="128"/>
      <c r="D50" s="128"/>
      <c r="E50" s="128"/>
      <c r="F50" s="139"/>
      <c r="G50" s="139"/>
      <c r="H50" s="139"/>
      <c r="I50" s="197" cm="1">
        <f t="array" ref="I50">IF(OR($B50="",$B50="X",$D50="",$D50="X",$E50="",$E50="X",$F50="",$F50="X",$G50="",$G50="X",$H50="",$H50="X"),0,SUM(_xlfn._xlws.FILTER(VALUE(PptoSty[Sign]&amp;"1")*1/PptoSty[Division],(PptoSty[Division]&lt;&gt;0)*(PptoSty[Division]&lt;&gt;"")*(PptoSty[Division]&lt;&gt;"X")*(PptoSty[Project]=$B50)*(PptoSty[Vrs]=$D50)*(PptoSty[Site]=$F50)*(PptoSty[PiRow]=_xlfn.TEXTAFTER($H50,":"))*(PptoSty[PiColumn]=I$54),0)))</f>
        <v>0</v>
      </c>
      <c r="J50" s="197" cm="1">
        <f t="array" ref="J50">IF(OR($B50="",$B50="X",$D50="",$D50="X",$E50="",$E50="X",$F50="",$F50="X",$G50="",$G50="X",$H50="",$H50="X"),0,SUM(_xlfn._xlws.FILTER(VALUE(PptoSty[Sign]&amp;"1")*1/PptoSty[Division],(PptoSty[Division]&lt;&gt;0)*(PptoSty[Division]&lt;&gt;"")*(PptoSty[Division]&lt;&gt;"X")*(PptoSty[Project]=$B50)*(PptoSty[Vrs]=$D50)*(PptoSty[Site]=$F50)*(PptoSty[PiRow]=_xlfn.TEXTAFTER($H50,":"))*(PptoSty[PiColumn]=J$54),0)))</f>
        <v>0</v>
      </c>
      <c r="K50" s="197" cm="1">
        <f t="array" ref="K50">IF(OR($B50="",$B50="X",$D50="",$D50="X",$E50="",$E50="X",$F50="",$F50="X",$G50="",$G50="X",$H50="",$H50="X"),0,SUM(_xlfn._xlws.FILTER(VALUE(PptoSty[Sign]&amp;"1")*1/PptoSty[Division],(PptoSty[Division]&lt;&gt;0)*(PptoSty[Division]&lt;&gt;"")*(PptoSty[Division]&lt;&gt;"X")*(PptoSty[Project]=$B50)*(PptoSty[Vrs]=$D50)*(PptoSty[Site]=$F50)*(PptoSty[PiRow]=_xlfn.TEXTAFTER($H50,":"))*(PptoSty[PiColumn]=K$54),0)))</f>
        <v>0</v>
      </c>
      <c r="L50" s="197" cm="1">
        <f t="array" ref="L50">IF(OR($B50="",$B50="X",$D50="",$D50="X",$E50="",$E50="X",$F50="",$F50="X",$G50="",$G50="X",$H50="",$H50="X"),0,SUM(_xlfn._xlws.FILTER(VALUE(PptoSty[Sign]&amp;"1")*1/PptoSty[Division],(PptoSty[Division]&lt;&gt;0)*(PptoSty[Division]&lt;&gt;"")*(PptoSty[Division]&lt;&gt;"X")*(PptoSty[Project]=$B50)*(PptoSty[Vrs]=$D50)*(PptoSty[Site]=$F50)*(PptoSty[PiRow]=_xlfn.TEXTAFTER($H50,":"))*(PptoSty[PiColumn]=L$54),0)))</f>
        <v>0</v>
      </c>
      <c r="M50" s="197" cm="1">
        <f t="array" ref="M50">IF(OR($B50="",$B50="X",$D50="",$D50="X",$E50="",$E50="X",$F50="",$F50="X",$G50="",$G50="X",$H50="",$H50="X"),0,SUM(_xlfn._xlws.FILTER(VALUE(PptoSty[Sign]&amp;"1")*1/PptoSty[Division],(PptoSty[Division]&lt;&gt;0)*(PptoSty[Division]&lt;&gt;"")*(PptoSty[Division]&lt;&gt;"X")*(PptoSty[Project]=$B50)*(PptoSty[Vrs]=$D50)*(PptoSty[Site]=$F50)*(PptoSty[PiRow]=_xlfn.TEXTAFTER($H50,":"))*(PptoSty[PiColumn]=M$54),0)))</f>
        <v>0</v>
      </c>
      <c r="N50" s="197" cm="1">
        <f t="array" ref="N50">IF(OR($B50="",$B50="X",$D50="",$D50="X",$E50="",$E50="X",$F50="",$F50="X",$G50="",$G50="X",$H50="",$H50="X"),0,SUM(_xlfn._xlws.FILTER(VALUE(PptoSty[Sign]&amp;"1")*1/PptoSty[Division],(PptoSty[Division]&lt;&gt;0)*(PptoSty[Division]&lt;&gt;"")*(PptoSty[Division]&lt;&gt;"X")*(PptoSty[Project]=$B50)*(PptoSty[Vrs]=$D50)*(PptoSty[Site]=$F50)*(PptoSty[PiRow]=_xlfn.TEXTAFTER($H50,":"))*(PptoSty[PiColumn]=N$54),0)))</f>
        <v>0</v>
      </c>
      <c r="O50" s="197" cm="1">
        <f t="array" ref="O50">IF(OR($B50="",$B50="X",$D50="",$D50="X",$E50="",$E50="X",$F50="",$F50="X",$G50="",$G50="X",$H50="",$H50="X"),0,SUM(_xlfn._xlws.FILTER(VALUE(PptoSty[Sign]&amp;"1")*1/PptoSty[Division],(PptoSty[Division]&lt;&gt;0)*(PptoSty[Division]&lt;&gt;"")*(PptoSty[Division]&lt;&gt;"X")*(PptoSty[Project]=$B50)*(PptoSty[Vrs]=$D50)*(PptoSty[Site]=$F50)*(PptoSty[PiRow]=_xlfn.TEXTAFTER($H50,":"))*(PptoSty[PiColumn]=O$54),0)))</f>
        <v>0</v>
      </c>
      <c r="P50" s="197" cm="1">
        <f t="array" ref="P50">IF(OR($B50="",$B50="X",$D50="",$D50="X",$E50="",$E50="X",$F50="",$F50="X",$G50="",$G50="X",$H50="",$H50="X"),0,SUM(_xlfn._xlws.FILTER(VALUE(PptoSty[Sign]&amp;"1")*1/PptoSty[Division],(PptoSty[Division]&lt;&gt;0)*(PptoSty[Division]&lt;&gt;"")*(PptoSty[Division]&lt;&gt;"X")*(PptoSty[Project]=$B50)*(PptoSty[Vrs]=$D50)*(PptoSty[Site]=$F50)*(PptoSty[PiRow]=_xlfn.TEXTAFTER($H50,":"))*(PptoSty[PiColumn]=P$54),0)))</f>
        <v>0</v>
      </c>
      <c r="Q50" s="197" cm="1">
        <f t="array" ref="Q50">IF(OR($B50="",$B50="X",$D50="",$D50="X",$E50="",$E50="X",$F50="",$F50="X",$G50="",$G50="X",$H50="",$H50="X"),0,SUM(_xlfn._xlws.FILTER(VALUE(PptoSty[Sign]&amp;"1")*1/PptoSty[Division],(PptoSty[Division]&lt;&gt;0)*(PptoSty[Division]&lt;&gt;"")*(PptoSty[Division]&lt;&gt;"X")*(PptoSty[Project]=$B50)*(PptoSty[Vrs]=$D50)*(PptoSty[Site]=$F50)*(PptoSty[PiRow]=_xlfn.TEXTAFTER($H50,":"))*(PptoSty[PiColumn]=Q$54),0)))</f>
        <v>0</v>
      </c>
      <c r="R50" s="197" cm="1">
        <f t="array" ref="R50">IF(OR($B50="",$B50="X",$D50="",$D50="X",$E50="",$E50="X",$F50="",$F50="X",$G50="",$G50="X",$H50="",$H50="X"),0,SUM(_xlfn._xlws.FILTER(VALUE(PptoSty[Sign]&amp;"1")*1/PptoSty[Division],(PptoSty[Division]&lt;&gt;0)*(PptoSty[Division]&lt;&gt;"")*(PptoSty[Division]&lt;&gt;"X")*(PptoSty[Project]=$B50)*(PptoSty[Vrs]=$D50)*(PptoSty[Site]=$F50)*(PptoSty[PiRow]=_xlfn.TEXTAFTER($H50,":"))*(PptoSty[PiColumn]=R$54),0)))</f>
        <v>0</v>
      </c>
      <c r="S50" s="197" cm="1">
        <f t="array" ref="S50">IF(OR($B50="",$B50="X",$D50="",$D50="X",$E50="",$E50="X",$F50="",$F50="X",$G50="",$G50="X",$H50="",$H50="X"),0,SUM(_xlfn._xlws.FILTER(VALUE(PptoSty[Sign]&amp;"1")*1/PptoSty[Division],(PptoSty[Division]&lt;&gt;0)*(PptoSty[Division]&lt;&gt;"")*(PptoSty[Division]&lt;&gt;"X")*(PptoSty[Project]=$B50)*(PptoSty[Vrs]=$D50)*(PptoSty[Site]=$F50)*(PptoSty[PiRow]=_xlfn.TEXTAFTER($H50,":"))*(PptoSty[PiColumn]=S$54),0)))</f>
        <v>0</v>
      </c>
      <c r="T50" s="197" cm="1">
        <f t="array" ref="T50">IF(OR($B50="",$B50="X",$D50="",$D50="X",$E50="",$E50="X",$F50="",$F50="X",$G50="",$G50="X",$H50="",$H50="X"),0,SUM(_xlfn._xlws.FILTER(VALUE(PptoSty[Sign]&amp;"1")*1/PptoSty[Division],(PptoSty[Division]&lt;&gt;0)*(PptoSty[Division]&lt;&gt;"")*(PptoSty[Division]&lt;&gt;"X")*(PptoSty[Project]=$B50)*(PptoSty[Vrs]=$D50)*(PptoSty[Site]=$F50)*(PptoSty[PiRow]=_xlfn.TEXTAFTER($H50,":"))*(PptoSty[PiColumn]=T$54),0)))</f>
        <v>0</v>
      </c>
      <c r="U50" s="197" cm="1">
        <f t="array" ref="U50">IF(OR($B50="",$B50="X",$D50="",$D50="X",$E50="",$E50="X",$F50="",$F50="X",$G50="",$G50="X",$H50="",$H50="X"),0,SUM(_xlfn._xlws.FILTER(VALUE(PptoSty[Sign]&amp;"1")*1/PptoSty[Division],(PptoSty[Division]&lt;&gt;0)*(PptoSty[Division]&lt;&gt;"")*(PptoSty[Division]&lt;&gt;"X")*(PptoSty[Project]=$B50)*(PptoSty[Vrs]=$D50)*(PptoSty[Site]=$F50)*(PptoSty[PiRow]=_xlfn.TEXTAFTER($H50,":"))*(PptoSty[PiColumn]=U$54),0)))</f>
        <v>0</v>
      </c>
      <c r="V50" s="197" cm="1">
        <f t="array" ref="V50">IF(OR($B50="",$B50="X",$D50="",$D50="X",$E50="",$E50="X",$F50="",$F50="X",$G50="",$G50="X",$H50="",$H50="X"),0,SUM(_xlfn._xlws.FILTER(VALUE(PptoSty[Sign]&amp;"1")*1/PptoSty[Division],(PptoSty[Division]&lt;&gt;0)*(PptoSty[Division]&lt;&gt;"")*(PptoSty[Division]&lt;&gt;"X")*(PptoSty[Project]=$B50)*(PptoSty[Vrs]=$D50)*(PptoSty[Site]=$F50)*(PptoSty[PiRow]=_xlfn.TEXTAFTER($H50,":"))*(PptoSty[PiColumn]=V$54),0)))</f>
        <v>0</v>
      </c>
      <c r="W50" s="197" cm="1">
        <f t="array" ref="W50">IF(OR($B50="",$B50="X",$D50="",$D50="X",$E50="",$E50="X",$F50="",$F50="X",$G50="",$G50="X",$H50="",$H50="X"),0,SUM(_xlfn._xlws.FILTER(VALUE(PptoSty[Sign]&amp;"1")*1/PptoSty[Division],(PptoSty[Division]&lt;&gt;0)*(PptoSty[Division]&lt;&gt;"")*(PptoSty[Division]&lt;&gt;"X")*(PptoSty[Project]=$B50)*(PptoSty[Vrs]=$D50)*(PptoSty[Site]=$F50)*(PptoSty[PiRow]=_xlfn.TEXTAFTER($H50,":"))*(PptoSty[PiColumn]=W$54),0)))</f>
        <v>0</v>
      </c>
      <c r="X50" s="197" cm="1">
        <f t="array" ref="X50">IF(OR($B50="",$B50="X",$D50="",$D50="X",$E50="",$E50="X",$F50="",$F50="X",$G50="",$G50="X",$H50="",$H50="X"),0,SUM(_xlfn._xlws.FILTER(VALUE(PptoSty[Sign]&amp;"1")*1/PptoSty[Division],(PptoSty[Division]&lt;&gt;0)*(PptoSty[Division]&lt;&gt;"")*(PptoSty[Division]&lt;&gt;"X")*(PptoSty[Project]=$B50)*(PptoSty[Vrs]=$D50)*(PptoSty[Site]=$F50)*(PptoSty[PiRow]=_xlfn.TEXTAFTER($H50,":"))*(PptoSty[PiColumn]=X$54),0)))</f>
        <v>0</v>
      </c>
      <c r="Y50" s="197" cm="1">
        <f t="array" ref="Y50">IF(OR($B50="",$B50="X",$D50="",$D50="X",$E50="",$E50="X",$F50="",$F50="X",$G50="",$G50="X",$H50="",$H50="X"),0,SUM(_xlfn._xlws.FILTER(VALUE(PptoSty[Sign]&amp;"1")*1/PptoSty[Division],(PptoSty[Division]&lt;&gt;0)*(PptoSty[Division]&lt;&gt;"")*(PptoSty[Division]&lt;&gt;"X")*(PptoSty[Project]=$B50)*(PptoSty[Vrs]=$D50)*(PptoSty[Site]=$F50)*(PptoSty[PiRow]=_xlfn.TEXTAFTER($H50,":"))*(PptoSty[PiColumn]=Y$54),0)))</f>
        <v>0</v>
      </c>
    </row>
    <row r="51" spans="1:26" s="33" customFormat="1" ht="17.25" customHeight="1" outlineLevel="1">
      <c r="A51" s="126" t="s">
        <v>1329</v>
      </c>
      <c r="F51" s="31"/>
      <c r="G51" s="31"/>
      <c r="H51" s="31"/>
      <c r="L51" s="74"/>
      <c r="M51" s="29"/>
      <c r="N51" s="29"/>
      <c r="O51" s="29"/>
      <c r="P51" s="29"/>
      <c r="Q51" s="29"/>
      <c r="R51" s="29"/>
      <c r="S51" s="29"/>
    </row>
    <row r="52" spans="1:26" s="33" customFormat="1" ht="17.25" customHeight="1">
      <c r="A52" s="126"/>
      <c r="B52" s="33" t="str">
        <f ca="1">ADDRESS(MATCH("SO"&amp;RIGHT($A53,1),$A:$A,0)+1,MATCH("SOC",$1:$1,0)+1,4,1,$B$2)&amp;":"&amp;ADDRESS(MATCH("EO"&amp;RIGHT($A53,1),$A:$A,0)-1,MATCH("EOC",$1:$1,0)-1,4)</f>
        <v>Fback!B55:Y255</v>
      </c>
      <c r="F52" s="31"/>
      <c r="G52" s="31"/>
      <c r="H52" s="31"/>
      <c r="L52" s="74"/>
      <c r="M52" s="29"/>
      <c r="N52" s="29"/>
      <c r="O52" s="29"/>
      <c r="P52" s="29"/>
      <c r="Q52" s="29"/>
      <c r="R52" s="29"/>
      <c r="S52" s="29"/>
    </row>
    <row r="53" spans="1:26" s="33" customFormat="1" ht="17.25" customHeight="1">
      <c r="A53" s="123" t="s">
        <v>407</v>
      </c>
      <c r="B53" s="198" t="str">
        <f ca="1">ADDRESS(MATCH("SO"&amp;RIGHT($A53,1),$A:$A,0)+1,SUM(COLUMN()),4,1,$B$2)&amp;":"&amp;ADDRESS(MATCH("EO"&amp;RIGHT($A53,1),$A:$A,0)-1,SUM(COLUMN()),4)</f>
        <v>Fback!B55:B255</v>
      </c>
      <c r="C53" s="198" t="str">
        <f ca="1">ADDRESS(MATCH("SO"&amp;RIGHT($A53,1),$A:$A,0)+1,SUM(COLUMN()),4,1,$B$2)&amp;":"&amp;ADDRESS(MATCH("EO"&amp;RIGHT($A53,1),$A:$A,0)-1,SUM(COLUMN()),4)</f>
        <v>Fback!C55:C255</v>
      </c>
      <c r="D53" s="198" t="str">
        <f ca="1">ADDRESS(MATCH("SO"&amp;RIGHT($A53,1),$A:$A,0)+1,SUM(COLUMN()),4,1,$B$2)&amp;":"&amp;ADDRESS(MATCH("EO"&amp;RIGHT($A53,1),$A:$A,0)-1,SUM(COLUMN()),4)</f>
        <v>Fback!D55:D255</v>
      </c>
      <c r="E53" s="198" t="str">
        <f ca="1">ADDRESS(MATCH("SO"&amp;RIGHT($A53,1),$A:$A,0)+1,SUM(COLUMN()),4,1,$B$2)&amp;":"&amp;ADDRESS(MATCH("EO"&amp;RIGHT($A53,1),$A:$A,0)-1,SUM(COLUMN()),4)</f>
        <v>Fback!E55:E255</v>
      </c>
      <c r="F53" s="198" t="str">
        <f ca="1">ADDRESS(MATCH("SO"&amp;RIGHT($A53,1),$A:$A,0)+1,SUM(COLUMN()),4,1,$B$2)&amp;":"&amp;ADDRESS(MATCH("EO"&amp;RIGHT($A53,1),$A:$A,0)-1,SUM(COLUMN()),4)</f>
        <v>Fback!F55:F255</v>
      </c>
      <c r="G53" s="198" t="str">
        <f t="shared" ref="G53:Y53" ca="1" si="1">ADDRESS(MATCH("SO"&amp;RIGHT($A53,1),$A:$A,0)+1,SUM(COLUMN()),4,1,$B$2)&amp;":"&amp;ADDRESS(MATCH("EO"&amp;RIGHT($A53,1),$A:$A,0)-1,SUM(COLUMN()),4)</f>
        <v>Fback!G55:G255</v>
      </c>
      <c r="H53" s="198" t="str">
        <f t="shared" ca="1" si="1"/>
        <v>Fback!H55:H255</v>
      </c>
      <c r="I53" s="198" t="str">
        <f t="shared" ca="1" si="1"/>
        <v>Fback!I55:I255</v>
      </c>
      <c r="J53" s="198" t="str">
        <f t="shared" ca="1" si="1"/>
        <v>Fback!J55:J255</v>
      </c>
      <c r="K53" s="198" t="str">
        <f t="shared" ca="1" si="1"/>
        <v>Fback!K55:K255</v>
      </c>
      <c r="L53" s="198" t="str">
        <f t="shared" ca="1" si="1"/>
        <v>Fback!L55:L255</v>
      </c>
      <c r="M53" s="198" t="str">
        <f t="shared" ca="1" si="1"/>
        <v>Fback!M55:M255</v>
      </c>
      <c r="N53" s="198" t="str">
        <f t="shared" ca="1" si="1"/>
        <v>Fback!N55:N255</v>
      </c>
      <c r="O53" s="198" t="str">
        <f t="shared" ca="1" si="1"/>
        <v>Fback!O55:O255</v>
      </c>
      <c r="P53" s="198" t="str">
        <f t="shared" ca="1" si="1"/>
        <v>Fback!P55:P255</v>
      </c>
      <c r="Q53" s="198" t="str">
        <f t="shared" ca="1" si="1"/>
        <v>Fback!Q55:Q255</v>
      </c>
      <c r="R53" s="198" t="str">
        <f t="shared" ca="1" si="1"/>
        <v>Fback!R55:R255</v>
      </c>
      <c r="S53" s="198" t="str">
        <f t="shared" ca="1" si="1"/>
        <v>Fback!S55:S255</v>
      </c>
      <c r="T53" s="198" t="str">
        <f t="shared" ca="1" si="1"/>
        <v>Fback!T55:T255</v>
      </c>
      <c r="U53" s="198" t="str">
        <f t="shared" ca="1" si="1"/>
        <v>Fback!U55:U255</v>
      </c>
      <c r="V53" s="198" t="str">
        <f t="shared" ca="1" si="1"/>
        <v>Fback!V55:V255</v>
      </c>
      <c r="W53" s="198" t="str">
        <f t="shared" ca="1" si="1"/>
        <v>Fback!W55:W255</v>
      </c>
      <c r="X53" s="198" t="str">
        <f t="shared" ca="1" si="1"/>
        <v>Fback!X55:X255</v>
      </c>
      <c r="Y53" s="198" t="str">
        <f t="shared" ca="1" si="1"/>
        <v>Fback!Y55:Y255</v>
      </c>
      <c r="Z53" s="198" t="str">
        <f t="shared" ref="Z53:Z116" ca="1" si="2">ADDRESS(SUM(ROW()),MATCH("SOC",$1:$1,0)+1,4,1,$B$2)&amp;":"&amp;ADDRESS(SUM(ROW()),MATCH("EOC",$1:$1,0)-1,4)</f>
        <v>Fback!B53:Y53</v>
      </c>
    </row>
    <row r="54" spans="1:26" s="34" customFormat="1" ht="40.5" customHeight="1">
      <c r="A54" s="126" t="s">
        <v>390</v>
      </c>
      <c r="B54" s="192" t="s">
        <v>444</v>
      </c>
      <c r="C54" s="192" t="s">
        <v>2129</v>
      </c>
      <c r="D54" s="192" t="s">
        <v>1565</v>
      </c>
      <c r="E54" s="192" t="s">
        <v>1569</v>
      </c>
      <c r="F54" s="192" t="s">
        <v>11</v>
      </c>
      <c r="G54" s="192" t="s">
        <v>1841</v>
      </c>
      <c r="H54" s="192" t="s">
        <v>1979</v>
      </c>
      <c r="I54" s="193" t="s">
        <v>1641</v>
      </c>
      <c r="J54" s="194" t="s">
        <v>1642</v>
      </c>
      <c r="K54" s="194" t="s">
        <v>1274</v>
      </c>
      <c r="L54" s="193" t="s">
        <v>360</v>
      </c>
      <c r="M54" s="194" t="s">
        <v>1643</v>
      </c>
      <c r="N54" s="194" t="s">
        <v>1644</v>
      </c>
      <c r="O54" s="193" t="s">
        <v>372</v>
      </c>
      <c r="P54" s="194" t="s">
        <v>379</v>
      </c>
      <c r="Q54" s="194" t="s">
        <v>380</v>
      </c>
      <c r="R54" s="194" t="s">
        <v>373</v>
      </c>
      <c r="S54" s="194" t="s">
        <v>381</v>
      </c>
      <c r="T54" s="194" t="s">
        <v>1645</v>
      </c>
      <c r="U54" s="193" t="s">
        <v>384</v>
      </c>
      <c r="V54" s="193" t="s">
        <v>1639</v>
      </c>
      <c r="W54" s="193" t="s">
        <v>1646</v>
      </c>
      <c r="X54" s="193" t="s">
        <v>1647</v>
      </c>
      <c r="Y54" s="193" t="s">
        <v>386</v>
      </c>
      <c r="Z54" s="198" t="str">
        <f t="shared" ca="1" si="2"/>
        <v>Fback!B54:Y54</v>
      </c>
    </row>
    <row r="55" spans="1:26" ht="21" customHeight="1" outlineLevel="1">
      <c r="B55" s="140" t="str" cm="1">
        <f t="array" ref="B55:H194">_xlfn.TAKE(_xlfn._xlws.FILTER(F_RT14[],(F_RT14[Measure]=$F$2)*(LEFT(F_RT14[ActGrp],1)&lt;&gt;"X"),"X"),,7)</f>
        <v>31200</v>
      </c>
      <c r="C55" s="128" t="str">
        <v>Sp</v>
      </c>
      <c r="D55" s="128">
        <v>15</v>
      </c>
      <c r="E55" s="128" t="str">
        <v>TRSL</v>
      </c>
      <c r="F55" s="139" t="str">
        <v>SERRA</v>
      </c>
      <c r="G55" s="139" t="str">
        <v>CurPpto</v>
      </c>
      <c r="H55" s="139" t="str">
        <v>G001:TRANSPORTES &amp; EMBALAJES</v>
      </c>
      <c r="I55" s="199" cm="1">
        <f t="array" aca="1" ref="I55" ca="1">IF(OR($B55="",$B55="X",$D55="",$D55="X",$E55="",$E55="X"),0,IFERROR(_xlfn.LET(_xlpm.x,SUM(SUM(_xlfn._xlws.FILTER(VALUE(PptoSty[Sign]&amp;1)*(1/PptoSty[Division]),(PptoSty[Division]&lt;&gt;0)*(PptoSty[Division]&lt;&gt;"")*(PptoSty[Division]&lt;&gt;"X")*(PptoSty[Project]=$B55)*(PptoSty[Vrs]=$D55)*(PptoSty[PiRow]=_xlfn.TEXTAFTER($H55,":"))*(PptoSty[PiColumn]=I$54),0)),SUM(IF((INDIRECT($B$3)=$B55)*(INDIRECT($C$3)=$D55)*((INDIRECT($E$3)="TOTS")+(INDIRECT($E$3)=$E55)),INDIRECT(I$3)))),_xlpm.y,SUM(_xlfn.CHOOSECOLS(_xlfn._xlws.FILTER(F_RT14[],(F_RT14[PrjId]=$B55)*(F_RT14[Vrs]=$D55)*(_xlfn.TEXTAFTER(F_RT14[ActGrp],":")=_xlfn.TEXTAFTER($H55,":")),"X"),MATCH("*"&amp;I$54,F_RT14[#Headers],0))),IF(AND(_xlpm.x=0,_xlpm.y&lt;&gt;0),-1,IF(AND(_xlpm.x&lt;&gt;0,_xlpm.y&lt;&gt;0),_xlpm.x,IF(AND(_xlpm.x-SUM(IF((INDIRECT($B$3)=$B55)*(INDIRECT($C$3)=$D55)*((INDIRECT($E$3)="TOTS")+(INDIRECT($E$3)=$E55)),INDIRECT(I$3)))&lt;&gt;0,_xlpm.y=0),-2,_xlpm.x)))),0))</f>
        <v>0</v>
      </c>
      <c r="J55" s="199" cm="1">
        <f t="array" aca="1" ref="J55" ca="1">IF(OR($B55="",$B55="X",$D55="",$D55="X",$E55="",$E55="X"),0,IFERROR(_xlfn.LET(_xlpm.x,SUM(SUM(_xlfn._xlws.FILTER(VALUE(PptoSty[Sign]&amp;1)*(1/PptoSty[Division]),(PptoSty[Division]&lt;&gt;0)*(PptoSty[Division]&lt;&gt;"")*(PptoSty[Division]&lt;&gt;"X")*(PptoSty[Project]=$B55)*(PptoSty[Vrs]=$D55)*(PptoSty[PiRow]=_xlfn.TEXTAFTER($H55,":"))*(PptoSty[PiColumn]=J$54),0)),SUM(IF((INDIRECT($B$3)=$B55)*(INDIRECT($C$3)=$D55)*((INDIRECT($E$3)="TOTS")+(INDIRECT($E$3)=$E55)),INDIRECT(J$3)))),_xlpm.y,SUM(_xlfn.CHOOSECOLS(_xlfn._xlws.FILTER(F_RT14[],(F_RT14[PrjId]=$B55)*(F_RT14[Vrs]=$D55)*(_xlfn.TEXTAFTER(F_RT14[ActGrp],":")=_xlfn.TEXTAFTER($H55,":")),"X"),MATCH("*"&amp;J$54,F_RT14[#Headers],0))),IF(AND(_xlpm.x=0,_xlpm.y&lt;&gt;0),-1,IF(AND(_xlpm.x&lt;&gt;0,_xlpm.y&lt;&gt;0),_xlpm.x,IF(AND(_xlpm.x-SUM(IF((INDIRECT($B$3)=$B55)*(INDIRECT($C$3)=$D55)*((INDIRECT($E$3)="TOTS")+(INDIRECT($E$3)=$E55)),INDIRECT(J$3)))&lt;&gt;0,_xlpm.y=0),-2,_xlpm.x)))),0))</f>
        <v>0</v>
      </c>
      <c r="K55" s="199" cm="1">
        <f t="array" aca="1" ref="K55" ca="1">IF(OR($B55="",$B55="X",$D55="",$D55="X",$E55="",$E55="X"),0,IFERROR(_xlfn.LET(_xlpm.x,SUM(SUM(_xlfn._xlws.FILTER(VALUE(PptoSty[Sign]&amp;1)*(1/PptoSty[Division]),(PptoSty[Division]&lt;&gt;0)*(PptoSty[Division]&lt;&gt;"")*(PptoSty[Division]&lt;&gt;"X")*(PptoSty[Project]=$B55)*(PptoSty[Vrs]=$D55)*(PptoSty[PiRow]=_xlfn.TEXTAFTER($H55,":"))*(PptoSty[PiColumn]=K$54),0)),SUM(IF((INDIRECT($B$3)=$B55)*(INDIRECT($C$3)=$D55)*((INDIRECT($E$3)="TOTS")+(INDIRECT($E$3)=$E55)),INDIRECT(K$3)))),_xlpm.y,SUM(_xlfn.CHOOSECOLS(_xlfn._xlws.FILTER(F_RT14[],(F_RT14[PrjId]=$B55)*(F_RT14[Vrs]=$D55)*(_xlfn.TEXTAFTER(F_RT14[ActGrp],":")=_xlfn.TEXTAFTER($H55,":")),"X"),MATCH("*"&amp;K$54,F_RT14[#Headers],0))),IF(AND(_xlpm.x=0,_xlpm.y&lt;&gt;0),-1,IF(AND(_xlpm.x&lt;&gt;0,_xlpm.y&lt;&gt;0),_xlpm.x,IF(AND(_xlpm.x-SUM(IF((INDIRECT($B$3)=$B55)*(INDIRECT($C$3)=$D55)*((INDIRECT($E$3)="TOTS")+(INDIRECT($E$3)=$E55)),INDIRECT(K$3)))&lt;&gt;0,_xlpm.y=0),-2,_xlpm.x)))),0))</f>
        <v>0</v>
      </c>
      <c r="L55" s="199" cm="1">
        <f t="array" aca="1" ref="L55" ca="1">IF(OR($B55="",$B55="X",$D55="",$D55="X",$E55="",$E55="X"),0,IFERROR(_xlfn.LET(_xlpm.x,SUM(SUM(_xlfn._xlws.FILTER(VALUE(PptoSty[Sign]&amp;1)*(1/PptoSty[Division]),(PptoSty[Division]&lt;&gt;0)*(PptoSty[Division]&lt;&gt;"")*(PptoSty[Division]&lt;&gt;"X")*(PptoSty[Project]=$B55)*(PptoSty[Vrs]=$D55)*(PptoSty[PiRow]=_xlfn.TEXTAFTER($H55,":"))*(PptoSty[PiColumn]=L$54),0)),SUM(IF((INDIRECT($B$3)=$B55)*(INDIRECT($C$3)=$D55)*((INDIRECT($E$3)="TOTS")+(INDIRECT($E$3)=$E55)),INDIRECT(L$3)))),_xlpm.y,SUM(_xlfn.CHOOSECOLS(_xlfn._xlws.FILTER(F_RT14[],(F_RT14[PrjId]=$B55)*(F_RT14[Vrs]=$D55)*(_xlfn.TEXTAFTER(F_RT14[ActGrp],":")=_xlfn.TEXTAFTER($H55,":")),"X"),MATCH("*"&amp;L$54,F_RT14[#Headers],0))),IF(AND(_xlpm.x=0,_xlpm.y&lt;&gt;0),-1,IF(AND(_xlpm.x&lt;&gt;0,_xlpm.y&lt;&gt;0),_xlpm.x,IF(AND(_xlpm.x-SUM(IF((INDIRECT($B$3)=$B55)*(INDIRECT($C$3)=$D55)*((INDIRECT($E$3)="TOTS")+(INDIRECT($E$3)=$E55)),INDIRECT(L$3)))&lt;&gt;0,_xlpm.y=0),-2,_xlpm.x)))),0))</f>
        <v>0</v>
      </c>
      <c r="M55" s="199" cm="1">
        <f t="array" aca="1" ref="M55" ca="1">IF(OR($B55="",$B55="X",$D55="",$D55="X",$E55="",$E55="X"),0,IFERROR(_xlfn.LET(_xlpm.x,SUM(SUM(_xlfn._xlws.FILTER(VALUE(PptoSty[Sign]&amp;1)*(1/PptoSty[Division]),(PptoSty[Division]&lt;&gt;0)*(PptoSty[Division]&lt;&gt;"")*(PptoSty[Division]&lt;&gt;"X")*(PptoSty[Project]=$B55)*(PptoSty[Vrs]=$D55)*(PptoSty[PiRow]=_xlfn.TEXTAFTER($H55,":"))*(PptoSty[PiColumn]=M$54),0)),SUM(IF((INDIRECT($B$3)=$B55)*(INDIRECT($C$3)=$D55)*((INDIRECT($E$3)="TOTS")+(INDIRECT($E$3)=$E55)),INDIRECT(M$3)))),_xlpm.y,SUM(_xlfn.CHOOSECOLS(_xlfn._xlws.FILTER(F_RT14[],(F_RT14[PrjId]=$B55)*(F_RT14[Vrs]=$D55)*(_xlfn.TEXTAFTER(F_RT14[ActGrp],":")=_xlfn.TEXTAFTER($H55,":")),"X"),MATCH("*"&amp;M$54,F_RT14[#Headers],0))),IF(AND(_xlpm.x=0,_xlpm.y&lt;&gt;0),-1,IF(AND(_xlpm.x&lt;&gt;0,_xlpm.y&lt;&gt;0),_xlpm.x,IF(AND(_xlpm.x-SUM(IF((INDIRECT($B$3)=$B55)*(INDIRECT($C$3)=$D55)*((INDIRECT($E$3)="TOTS")+(INDIRECT($E$3)=$E55)),INDIRECT(M$3)))&lt;&gt;0,_xlpm.y=0),-2,_xlpm.x)))),0))</f>
        <v>0</v>
      </c>
      <c r="N55" s="199" cm="1">
        <f t="array" aca="1" ref="N55" ca="1">IF(OR($B55="",$B55="X",$D55="",$D55="X",$E55="",$E55="X"),0,IFERROR(_xlfn.LET(_xlpm.x,SUM(SUM(_xlfn._xlws.FILTER(VALUE(PptoSty[Sign]&amp;1)*(1/PptoSty[Division]),(PptoSty[Division]&lt;&gt;0)*(PptoSty[Division]&lt;&gt;"")*(PptoSty[Division]&lt;&gt;"X")*(PptoSty[Project]=$B55)*(PptoSty[Vrs]=$D55)*(PptoSty[PiRow]=_xlfn.TEXTAFTER($H55,":"))*(PptoSty[PiColumn]=N$54),0)),SUM(IF((INDIRECT($B$3)=$B55)*(INDIRECT($C$3)=$D55)*((INDIRECT($E$3)="TOTS")+(INDIRECT($E$3)=$E55)),INDIRECT(N$3)))),_xlpm.y,SUM(_xlfn.CHOOSECOLS(_xlfn._xlws.FILTER(F_RT14[],(F_RT14[PrjId]=$B55)*(F_RT14[Vrs]=$D55)*(_xlfn.TEXTAFTER(F_RT14[ActGrp],":")=_xlfn.TEXTAFTER($H55,":")),"X"),MATCH("*"&amp;N$54,F_RT14[#Headers],0))),IF(AND(_xlpm.x=0,_xlpm.y&lt;&gt;0),-1,IF(AND(_xlpm.x&lt;&gt;0,_xlpm.y&lt;&gt;0),_xlpm.x,IF(AND(_xlpm.x-SUM(IF((INDIRECT($B$3)=$B55)*(INDIRECT($C$3)=$D55)*((INDIRECT($E$3)="TOTS")+(INDIRECT($E$3)=$E55)),INDIRECT(N$3)))&lt;&gt;0,_xlpm.y=0),-2,_xlpm.x)))),0))</f>
        <v>0</v>
      </c>
      <c r="O55" s="199" cm="1">
        <f t="array" aca="1" ref="O55" ca="1">IF(OR($B55="",$B55="X",$D55="",$D55="X",$E55="",$E55="X"),0,IFERROR(_xlfn.LET(_xlpm.x,SUM(SUM(_xlfn._xlws.FILTER(VALUE(PptoSty[Sign]&amp;1)*(1/PptoSty[Division]),(PptoSty[Division]&lt;&gt;0)*(PptoSty[Division]&lt;&gt;"")*(PptoSty[Division]&lt;&gt;"X")*(PptoSty[Project]=$B55)*(PptoSty[Vrs]=$D55)*(PptoSty[PiRow]=_xlfn.TEXTAFTER($H55,":"))*(PptoSty[PiColumn]=O$54),0)),SUM(IF((INDIRECT($B$3)=$B55)*(INDIRECT($C$3)=$D55)*((INDIRECT($E$3)="TOTS")+(INDIRECT($E$3)=$E55)),INDIRECT(O$3)))),_xlpm.y,SUM(_xlfn.CHOOSECOLS(_xlfn._xlws.FILTER(F_RT14[],(F_RT14[PrjId]=$B55)*(F_RT14[Vrs]=$D55)*(_xlfn.TEXTAFTER(F_RT14[ActGrp],":")=_xlfn.TEXTAFTER($H55,":")),"X"),MATCH("*"&amp;O$54,F_RT14[#Headers],0))),IF(AND(_xlpm.x=0,_xlpm.y&lt;&gt;0),-1,IF(AND(_xlpm.x&lt;&gt;0,_xlpm.y&lt;&gt;0),_xlpm.x,IF(AND(_xlpm.x-SUM(IF((INDIRECT($B$3)=$B55)*(INDIRECT($C$3)=$D55)*((INDIRECT($E$3)="TOTS")+(INDIRECT($E$3)=$E55)),INDIRECT(O$3)))&lt;&gt;0,_xlpm.y=0),-2,_xlpm.x)))),0))</f>
        <v>0</v>
      </c>
      <c r="P55" s="199" cm="1">
        <f t="array" aca="1" ref="P55" ca="1">IF(OR($B55="",$B55="X",$D55="",$D55="X",$E55="",$E55="X"),0,IFERROR(_xlfn.LET(_xlpm.x,SUM(SUM(_xlfn._xlws.FILTER(VALUE(PptoSty[Sign]&amp;1)*(1/PptoSty[Division]),(PptoSty[Division]&lt;&gt;0)*(PptoSty[Division]&lt;&gt;"")*(PptoSty[Division]&lt;&gt;"X")*(PptoSty[Project]=$B55)*(PptoSty[Vrs]=$D55)*(PptoSty[PiRow]=_xlfn.TEXTAFTER($H55,":"))*(PptoSty[PiColumn]=P$54),0)),SUM(IF((INDIRECT($B$3)=$B55)*(INDIRECT($C$3)=$D55)*((INDIRECT($E$3)="TOTS")+(INDIRECT($E$3)=$E55)),INDIRECT(P$3)))),_xlpm.y,SUM(_xlfn.CHOOSECOLS(_xlfn._xlws.FILTER(F_RT14[],(F_RT14[PrjId]=$B55)*(F_RT14[Vrs]=$D55)*(_xlfn.TEXTAFTER(F_RT14[ActGrp],":")=_xlfn.TEXTAFTER($H55,":")),"X"),MATCH("*"&amp;P$54,F_RT14[#Headers],0))),IF(AND(_xlpm.x=0,_xlpm.y&lt;&gt;0),-1,IF(AND(_xlpm.x&lt;&gt;0,_xlpm.y&lt;&gt;0),_xlpm.x,IF(AND(_xlpm.x-SUM(IF((INDIRECT($B$3)=$B55)*(INDIRECT($C$3)=$D55)*((INDIRECT($E$3)="TOTS")+(INDIRECT($E$3)=$E55)),INDIRECT(P$3)))&lt;&gt;0,_xlpm.y=0),-2,_xlpm.x)))),0))</f>
        <v>0</v>
      </c>
      <c r="Q55" s="199" cm="1">
        <f t="array" aca="1" ref="Q55" ca="1">IF(OR($B55="",$B55="X",$D55="",$D55="X",$E55="",$E55="X"),0,IFERROR(_xlfn.LET(_xlpm.x,SUM(SUM(_xlfn._xlws.FILTER(VALUE(PptoSty[Sign]&amp;1)*(1/PptoSty[Division]),(PptoSty[Division]&lt;&gt;0)*(PptoSty[Division]&lt;&gt;"")*(PptoSty[Division]&lt;&gt;"X")*(PptoSty[Project]=$B55)*(PptoSty[Vrs]=$D55)*(PptoSty[PiRow]=_xlfn.TEXTAFTER($H55,":"))*(PptoSty[PiColumn]=Q$54),0)),SUM(IF((INDIRECT($B$3)=$B55)*(INDIRECT($C$3)=$D55)*((INDIRECT($E$3)="TOTS")+(INDIRECT($E$3)=$E55)),INDIRECT(Q$3)))),_xlpm.y,SUM(_xlfn.CHOOSECOLS(_xlfn._xlws.FILTER(F_RT14[],(F_RT14[PrjId]=$B55)*(F_RT14[Vrs]=$D55)*(_xlfn.TEXTAFTER(F_RT14[ActGrp],":")=_xlfn.TEXTAFTER($H55,":")),"X"),MATCH("*"&amp;Q$54,F_RT14[#Headers],0))),IF(AND(_xlpm.x=0,_xlpm.y&lt;&gt;0),-1,IF(AND(_xlpm.x&lt;&gt;0,_xlpm.y&lt;&gt;0),_xlpm.x,IF(AND(_xlpm.x-SUM(IF((INDIRECT($B$3)=$B55)*(INDIRECT($C$3)=$D55)*((INDIRECT($E$3)="TOTS")+(INDIRECT($E$3)=$E55)),INDIRECT(Q$3)))&lt;&gt;0,_xlpm.y=0),-2,_xlpm.x)))),0))</f>
        <v>0</v>
      </c>
      <c r="R55" s="199" cm="1">
        <f t="array" aca="1" ref="R55" ca="1">IF(OR($B55="",$B55="X",$D55="",$D55="X",$E55="",$E55="X"),0,IFERROR(_xlfn.LET(_xlpm.x,SUM(SUM(_xlfn._xlws.FILTER(VALUE(PptoSty[Sign]&amp;1)*(1/PptoSty[Division]),(PptoSty[Division]&lt;&gt;0)*(PptoSty[Division]&lt;&gt;"")*(PptoSty[Division]&lt;&gt;"X")*(PptoSty[Project]=$B55)*(PptoSty[Vrs]=$D55)*(PptoSty[PiRow]=_xlfn.TEXTAFTER($H55,":"))*(PptoSty[PiColumn]=R$54),0)),SUM(IF((INDIRECT($B$3)=$B55)*(INDIRECT($C$3)=$D55)*((INDIRECT($E$3)="TOTS")+(INDIRECT($E$3)=$E55)),INDIRECT(R$3)))),_xlpm.y,SUM(_xlfn.CHOOSECOLS(_xlfn._xlws.FILTER(F_RT14[],(F_RT14[PrjId]=$B55)*(F_RT14[Vrs]=$D55)*(_xlfn.TEXTAFTER(F_RT14[ActGrp],":")=_xlfn.TEXTAFTER($H55,":")),"X"),MATCH("*"&amp;R$54,F_RT14[#Headers],0))),IF(AND(_xlpm.x=0,_xlpm.y&lt;&gt;0),-1,IF(AND(_xlpm.x&lt;&gt;0,_xlpm.y&lt;&gt;0),_xlpm.x,IF(AND(_xlpm.x-SUM(IF((INDIRECT($B$3)=$B55)*(INDIRECT($C$3)=$D55)*((INDIRECT($E$3)="TOTS")+(INDIRECT($E$3)=$E55)),INDIRECT(R$3)))&lt;&gt;0,_xlpm.y=0),-2,_xlpm.x)))),0))</f>
        <v>0</v>
      </c>
      <c r="S55" s="199" cm="1">
        <f t="array" aca="1" ref="S55" ca="1">IF(OR($B55="",$B55="X",$D55="",$D55="X",$E55="",$E55="X"),0,IFERROR(_xlfn.LET(_xlpm.x,SUM(SUM(_xlfn._xlws.FILTER(VALUE(PptoSty[Sign]&amp;1)*(1/PptoSty[Division]),(PptoSty[Division]&lt;&gt;0)*(PptoSty[Division]&lt;&gt;"")*(PptoSty[Division]&lt;&gt;"X")*(PptoSty[Project]=$B55)*(PptoSty[Vrs]=$D55)*(PptoSty[PiRow]=_xlfn.TEXTAFTER($H55,":"))*(PptoSty[PiColumn]=S$54),0)),SUM(IF((INDIRECT($B$3)=$B55)*(INDIRECT($C$3)=$D55)*((INDIRECT($E$3)="TOTS")+(INDIRECT($E$3)=$E55)),INDIRECT(S$3)))),_xlpm.y,SUM(_xlfn.CHOOSECOLS(_xlfn._xlws.FILTER(F_RT14[],(F_RT14[PrjId]=$B55)*(F_RT14[Vrs]=$D55)*(_xlfn.TEXTAFTER(F_RT14[ActGrp],":")=_xlfn.TEXTAFTER($H55,":")),"X"),MATCH("*"&amp;S$54,F_RT14[#Headers],0))),IF(AND(_xlpm.x=0,_xlpm.y&lt;&gt;0),-1,IF(AND(_xlpm.x&lt;&gt;0,_xlpm.y&lt;&gt;0),_xlpm.x,IF(AND(_xlpm.x-SUM(IF((INDIRECT($B$3)=$B55)*(INDIRECT($C$3)=$D55)*((INDIRECT($E$3)="TOTS")+(INDIRECT($E$3)=$E55)),INDIRECT(S$3)))&lt;&gt;0,_xlpm.y=0),-2,_xlpm.x)))),0))</f>
        <v>0</v>
      </c>
      <c r="T55" s="199" cm="1">
        <f t="array" aca="1" ref="T55" ca="1">IF(OR($B55="",$B55="X",$D55="",$D55="X",$E55="",$E55="X"),0,IFERROR(_xlfn.LET(_xlpm.x,SUM(SUM(_xlfn._xlws.FILTER(VALUE(PptoSty[Sign]&amp;1)*(1/PptoSty[Division]),(PptoSty[Division]&lt;&gt;0)*(PptoSty[Division]&lt;&gt;"")*(PptoSty[Division]&lt;&gt;"X")*(PptoSty[Project]=$B55)*(PptoSty[Vrs]=$D55)*(PptoSty[PiRow]=_xlfn.TEXTAFTER($H55,":"))*(PptoSty[PiColumn]=T$54),0)),SUM(IF((INDIRECT($B$3)=$B55)*(INDIRECT($C$3)=$D55)*((INDIRECT($E$3)="TOTS")+(INDIRECT($E$3)=$E55)),INDIRECT(T$3)))),_xlpm.y,SUM(_xlfn.CHOOSECOLS(_xlfn._xlws.FILTER(F_RT14[],(F_RT14[PrjId]=$B55)*(F_RT14[Vrs]=$D55)*(_xlfn.TEXTAFTER(F_RT14[ActGrp],":")=_xlfn.TEXTAFTER($H55,":")),"X"),MATCH("*"&amp;T$54,F_RT14[#Headers],0))),IF(AND(_xlpm.x=0,_xlpm.y&lt;&gt;0),-1,IF(AND(_xlpm.x&lt;&gt;0,_xlpm.y&lt;&gt;0),_xlpm.x,IF(AND(_xlpm.x-SUM(IF((INDIRECT($B$3)=$B55)*(INDIRECT($C$3)=$D55)*((INDIRECT($E$3)="TOTS")+(INDIRECT($E$3)=$E55)),INDIRECT(T$3)))&lt;&gt;0,_xlpm.y=0),-2,_xlpm.x)))),0))</f>
        <v>0</v>
      </c>
      <c r="U55" s="199" cm="1">
        <f t="array" aca="1" ref="U55" ca="1">IF(OR($B55="",$B55="X",$D55="",$D55="X",$E55="",$E55="X"),0,IFERROR(_xlfn.LET(_xlpm.x,SUM(SUM(_xlfn._xlws.FILTER(VALUE(PptoSty[Sign]&amp;1)*(1/PptoSty[Division]),(PptoSty[Division]&lt;&gt;0)*(PptoSty[Division]&lt;&gt;"")*(PptoSty[Division]&lt;&gt;"X")*(PptoSty[Project]=$B55)*(PptoSty[Vrs]=$D55)*(PptoSty[PiRow]=_xlfn.TEXTAFTER($H55,":"))*(PptoSty[PiColumn]=U$54),0)),SUM(IF((INDIRECT($B$3)=$B55)*(INDIRECT($C$3)=$D55)*((INDIRECT($E$3)="TOTS")+(INDIRECT($E$3)=$E55)),INDIRECT(U$3)))),_xlpm.y,SUM(_xlfn.CHOOSECOLS(_xlfn._xlws.FILTER(F_RT14[],(F_RT14[PrjId]=$B55)*(F_RT14[Vrs]=$D55)*(_xlfn.TEXTAFTER(F_RT14[ActGrp],":")=_xlfn.TEXTAFTER($H55,":")),"X"),MATCH("*"&amp;U$54,F_RT14[#Headers],0))),IF(AND(_xlpm.x=0,_xlpm.y&lt;&gt;0),-1,IF(AND(_xlpm.x&lt;&gt;0,_xlpm.y&lt;&gt;0),_xlpm.x,IF(AND(_xlpm.x-SUM(IF((INDIRECT($B$3)=$B55)*(INDIRECT($C$3)=$D55)*((INDIRECT($E$3)="TOTS")+(INDIRECT($E$3)=$E55)),INDIRECT(U$3)))&lt;&gt;0,_xlpm.y=0),-2,_xlpm.x)))),0))</f>
        <v>0</v>
      </c>
      <c r="V55" s="199" cm="1">
        <f t="array" aca="1" ref="V55" ca="1">IF(OR($B55="",$B55="X",$D55="",$D55="X",$E55="",$E55="X"),0,IFERROR(_xlfn.LET(_xlpm.x,SUM(SUM(_xlfn._xlws.FILTER(VALUE(PptoSty[Sign]&amp;1)*(1/PptoSty[Division]),(PptoSty[Division]&lt;&gt;0)*(PptoSty[Division]&lt;&gt;"")*(PptoSty[Division]&lt;&gt;"X")*(PptoSty[Project]=$B55)*(PptoSty[Vrs]=$D55)*(PptoSty[PiRow]=_xlfn.TEXTAFTER($H55,":"))*(PptoSty[PiColumn]=V$54),0)),SUM(IF((INDIRECT($B$3)=$B55)*(INDIRECT($C$3)=$D55)*((INDIRECT($E$3)="TOTS")+(INDIRECT($E$3)=$E55)),INDIRECT(V$3)))),_xlpm.y,SUM(_xlfn.CHOOSECOLS(_xlfn._xlws.FILTER(F_RT14[],(F_RT14[PrjId]=$B55)*(F_RT14[Vrs]=$D55)*(_xlfn.TEXTAFTER(F_RT14[ActGrp],":")=_xlfn.TEXTAFTER($H55,":")),"X"),MATCH("*"&amp;V$54,F_RT14[#Headers],0))),IF(AND(_xlpm.x=0,_xlpm.y&lt;&gt;0),-1,IF(AND(_xlpm.x&lt;&gt;0,_xlpm.y&lt;&gt;0),_xlpm.x,IF(AND(_xlpm.x-SUM(IF((INDIRECT($B$3)=$B55)*(INDIRECT($C$3)=$D55)*((INDIRECT($E$3)="TOTS")+(INDIRECT($E$3)=$E55)),INDIRECT(V$3)))&lt;&gt;0,_xlpm.y=0),-2,_xlpm.x)))),0))</f>
        <v>0</v>
      </c>
      <c r="W55" s="199" cm="1">
        <f t="array" aca="1" ref="W55" ca="1">IF(OR($B55="",$B55="X",$D55="",$D55="X",$E55="",$E55="X"),0,IFERROR(_xlfn.LET(_xlpm.x,SUM(SUM(_xlfn._xlws.FILTER(VALUE(PptoSty[Sign]&amp;1)*(1/PptoSty[Division]),(PptoSty[Division]&lt;&gt;0)*(PptoSty[Division]&lt;&gt;"")*(PptoSty[Division]&lt;&gt;"X")*(PptoSty[Project]=$B55)*(PptoSty[Vrs]=$D55)*(PptoSty[PiRow]=_xlfn.TEXTAFTER($H55,":"))*(PptoSty[PiColumn]=W$54),0)),SUM(IF((INDIRECT($B$3)=$B55)*(INDIRECT($C$3)=$D55)*((INDIRECT($E$3)="TOTS")+(INDIRECT($E$3)=$E55)),INDIRECT(W$3)))),_xlpm.y,SUM(_xlfn.CHOOSECOLS(_xlfn._xlws.FILTER(F_RT14[],(F_RT14[PrjId]=$B55)*(F_RT14[Vrs]=$D55)*(_xlfn.TEXTAFTER(F_RT14[ActGrp],":")=_xlfn.TEXTAFTER($H55,":")),"X"),MATCH("*"&amp;W$54,F_RT14[#Headers],0))),IF(AND(_xlpm.x=0,_xlpm.y&lt;&gt;0),-1,IF(AND(_xlpm.x&lt;&gt;0,_xlpm.y&lt;&gt;0),_xlpm.x,IF(AND(_xlpm.x-SUM(IF((INDIRECT($B$3)=$B55)*(INDIRECT($C$3)=$D55)*((INDIRECT($E$3)="TOTS")+(INDIRECT($E$3)=$E55)),INDIRECT(W$3)))&lt;&gt;0,_xlpm.y=0),-2,_xlpm.x)))),0))</f>
        <v>0</v>
      </c>
      <c r="X55" s="199" cm="1">
        <f t="array" aca="1" ref="X55" ca="1">IF(OR($B55="",$B55="X",$D55="",$D55="X",$E55="",$E55="X"),0,IFERROR(_xlfn.LET(_xlpm.x,SUM(SUM(_xlfn._xlws.FILTER(VALUE(PptoSty[Sign]&amp;1)*(1/PptoSty[Division]),(PptoSty[Division]&lt;&gt;0)*(PptoSty[Division]&lt;&gt;"")*(PptoSty[Division]&lt;&gt;"X")*(PptoSty[Project]=$B55)*(PptoSty[Vrs]=$D55)*(PptoSty[PiRow]=_xlfn.TEXTAFTER($H55,":"))*(PptoSty[PiColumn]=X$54),0)),SUM(IF((INDIRECT($B$3)=$B55)*(INDIRECT($C$3)=$D55)*((INDIRECT($E$3)="TOTS")+(INDIRECT($E$3)=$E55)),INDIRECT(X$3)))),_xlpm.y,SUM(_xlfn.CHOOSECOLS(_xlfn._xlws.FILTER(F_RT14[],(F_RT14[PrjId]=$B55)*(F_RT14[Vrs]=$D55)*(_xlfn.TEXTAFTER(F_RT14[ActGrp],":")=_xlfn.TEXTAFTER($H55,":")),"X"),MATCH("*"&amp;X$54,F_RT14[#Headers],0))),IF(AND(_xlpm.x=0,_xlpm.y&lt;&gt;0),-1,IF(AND(_xlpm.x&lt;&gt;0,_xlpm.y&lt;&gt;0),_xlpm.x,IF(AND(_xlpm.x-SUM(IF((INDIRECT($B$3)=$B55)*(INDIRECT($C$3)=$D55)*((INDIRECT($E$3)="TOTS")+(INDIRECT($E$3)=$E55)),INDIRECT(X$3)))&lt;&gt;0,_xlpm.y=0),-2,_xlpm.x)))),0))</f>
        <v>0</v>
      </c>
      <c r="Y55" s="199" cm="1">
        <f t="array" aca="1" ref="Y55" ca="1">IF(OR($B55="",$B55="X",$D55="",$D55="X",$E55="",$E55="X"),0,IFERROR(_xlfn.LET(_xlpm.x,SUM(SUM(_xlfn._xlws.FILTER(VALUE(PptoSty[Sign]&amp;1)*(1/PptoSty[Division]),(PptoSty[Division]&lt;&gt;0)*(PptoSty[Division]&lt;&gt;"")*(PptoSty[Division]&lt;&gt;"X")*(PptoSty[Project]=$B55)*(PptoSty[Vrs]=$D55)*(PptoSty[PiRow]=_xlfn.TEXTAFTER($H55,":"))*(PptoSty[PiColumn]=Y$54),0)),SUM(IF((INDIRECT($B$3)=$B55)*(INDIRECT($C$3)=$D55)*((INDIRECT($E$3)="TOTS")+(INDIRECT($E$3)=$E55)),INDIRECT(Y$3)))),_xlpm.y,SUM(_xlfn.CHOOSECOLS(_xlfn._xlws.FILTER(F_RT14[],(F_RT14[PrjId]=$B55)*(F_RT14[Vrs]=$D55)*(_xlfn.TEXTAFTER(F_RT14[ActGrp],":")=_xlfn.TEXTAFTER($H55,":")),"X"),MATCH("*"&amp;Y$54,F_RT14[#Headers],0))),IF(AND(_xlpm.x=0,_xlpm.y&lt;&gt;0),-1,IF(AND(_xlpm.x&lt;&gt;0,_xlpm.y&lt;&gt;0),_xlpm.x,IF(AND(_xlpm.x-SUM(IF((INDIRECT($B$3)=$B55)*(INDIRECT($C$3)=$D55)*((INDIRECT($E$3)="TOTS")+(INDIRECT($E$3)=$E55)),INDIRECT(Y$3)))&lt;&gt;0,_xlpm.y=0),-2,_xlpm.x)))),0))</f>
        <v>1</v>
      </c>
      <c r="Z55" s="198" t="str">
        <f t="shared" ca="1" si="2"/>
        <v>Fback!B55:Y55</v>
      </c>
    </row>
    <row r="56" spans="1:26" ht="21" customHeight="1" outlineLevel="1">
      <c r="B56" s="128" t="str">
        <v>31199</v>
      </c>
      <c r="C56" s="128" t="str">
        <v>Sp</v>
      </c>
      <c r="D56" s="128">
        <v>0</v>
      </c>
      <c r="E56" s="128" t="str">
        <v>TRSL</v>
      </c>
      <c r="F56" s="139" t="str">
        <v>SERRA</v>
      </c>
      <c r="G56" s="139" t="str">
        <v>CurPpto</v>
      </c>
      <c r="H56" s="139" t="str">
        <v>G001:TRANSPORTES &amp; EMBALAJES</v>
      </c>
      <c r="I56" s="199" cm="1">
        <f t="array" aca="1" ref="I56" ca="1">IF(OR($B56="",$B56="X",$D56="",$D56="X",$E56="",$E56="X"),0,IFERROR(_xlfn.LET(_xlpm.x,SUM(SUM(_xlfn._xlws.FILTER(VALUE(PptoSty[Sign]&amp;1)*(1/PptoSty[Division]),(PptoSty[Division]&lt;&gt;0)*(PptoSty[Division]&lt;&gt;"")*(PptoSty[Division]&lt;&gt;"X")*(PptoSty[Project]=$B56)*(PptoSty[Vrs]=$D56)*(PptoSty[PiRow]=_xlfn.TEXTAFTER($H56,":"))*(PptoSty[PiColumn]=I$54),0)),SUM(IF((INDIRECT($B$3)=$B56)*(INDIRECT($C$3)=$D56)*((INDIRECT($E$3)="TOTS")+(INDIRECT($E$3)=$E56)),INDIRECT(I$3)))),_xlpm.y,SUM(_xlfn.CHOOSECOLS(_xlfn._xlws.FILTER(F_RT14[],(F_RT14[PrjId]=$B56)*(F_RT14[Vrs]=$D56)*(_xlfn.TEXTAFTER(F_RT14[ActGrp],":")=_xlfn.TEXTAFTER($H56,":")),"X"),MATCH("*"&amp;I$54,F_RT14[#Headers],0))),IF(AND(_xlpm.x=0,_xlpm.y&lt;&gt;0),-1,IF(AND(_xlpm.x&lt;&gt;0,_xlpm.y&lt;&gt;0),_xlpm.x,IF(AND(_xlpm.x-SUM(IF((INDIRECT($B$3)=$B56)*(INDIRECT($C$3)=$D56)*((INDIRECT($E$3)="TOTS")+(INDIRECT($E$3)=$E56)),INDIRECT(I$3)))&lt;&gt;0,_xlpm.y=0),-2,_xlpm.x)))),0))</f>
        <v>0</v>
      </c>
      <c r="J56" s="199" cm="1">
        <f t="array" aca="1" ref="J56" ca="1">IF(OR($B56="",$B56="X",$D56="",$D56="X",$E56="",$E56="X"),0,IFERROR(_xlfn.LET(_xlpm.x,SUM(SUM(_xlfn._xlws.FILTER(VALUE(PptoSty[Sign]&amp;1)*(1/PptoSty[Division]),(PptoSty[Division]&lt;&gt;0)*(PptoSty[Division]&lt;&gt;"")*(PptoSty[Division]&lt;&gt;"X")*(PptoSty[Project]=$B56)*(PptoSty[Vrs]=$D56)*(PptoSty[PiRow]=_xlfn.TEXTAFTER($H56,":"))*(PptoSty[PiColumn]=J$54),0)),SUM(IF((INDIRECT($B$3)=$B56)*(INDIRECT($C$3)=$D56)*((INDIRECT($E$3)="TOTS")+(INDIRECT($E$3)=$E56)),INDIRECT(J$3)))),_xlpm.y,SUM(_xlfn.CHOOSECOLS(_xlfn._xlws.FILTER(F_RT14[],(F_RT14[PrjId]=$B56)*(F_RT14[Vrs]=$D56)*(_xlfn.TEXTAFTER(F_RT14[ActGrp],":")=_xlfn.TEXTAFTER($H56,":")),"X"),MATCH("*"&amp;J$54,F_RT14[#Headers],0))),IF(AND(_xlpm.x=0,_xlpm.y&lt;&gt;0),-1,IF(AND(_xlpm.x&lt;&gt;0,_xlpm.y&lt;&gt;0),_xlpm.x,IF(AND(_xlpm.x-SUM(IF((INDIRECT($B$3)=$B56)*(INDIRECT($C$3)=$D56)*((INDIRECT($E$3)="TOTS")+(INDIRECT($E$3)=$E56)),INDIRECT(J$3)))&lt;&gt;0,_xlpm.y=0),-2,_xlpm.x)))),0))</f>
        <v>0</v>
      </c>
      <c r="K56" s="199" cm="1">
        <f t="array" aca="1" ref="K56" ca="1">IF(OR($B56="",$B56="X",$D56="",$D56="X",$E56="",$E56="X"),0,IFERROR(_xlfn.LET(_xlpm.x,SUM(SUM(_xlfn._xlws.FILTER(VALUE(PptoSty[Sign]&amp;1)*(1/PptoSty[Division]),(PptoSty[Division]&lt;&gt;0)*(PptoSty[Division]&lt;&gt;"")*(PptoSty[Division]&lt;&gt;"X")*(PptoSty[Project]=$B56)*(PptoSty[Vrs]=$D56)*(PptoSty[PiRow]=_xlfn.TEXTAFTER($H56,":"))*(PptoSty[PiColumn]=K$54),0)),SUM(IF((INDIRECT($B$3)=$B56)*(INDIRECT($C$3)=$D56)*((INDIRECT($E$3)="TOTS")+(INDIRECT($E$3)=$E56)),INDIRECT(K$3)))),_xlpm.y,SUM(_xlfn.CHOOSECOLS(_xlfn._xlws.FILTER(F_RT14[],(F_RT14[PrjId]=$B56)*(F_RT14[Vrs]=$D56)*(_xlfn.TEXTAFTER(F_RT14[ActGrp],":")=_xlfn.TEXTAFTER($H56,":")),"X"),MATCH("*"&amp;K$54,F_RT14[#Headers],0))),IF(AND(_xlpm.x=0,_xlpm.y&lt;&gt;0),-1,IF(AND(_xlpm.x&lt;&gt;0,_xlpm.y&lt;&gt;0),_xlpm.x,IF(AND(_xlpm.x-SUM(IF((INDIRECT($B$3)=$B56)*(INDIRECT($C$3)=$D56)*((INDIRECT($E$3)="TOTS")+(INDIRECT($E$3)=$E56)),INDIRECT(K$3)))&lt;&gt;0,_xlpm.y=0),-2,_xlpm.x)))),0))</f>
        <v>0</v>
      </c>
      <c r="L56" s="199" cm="1">
        <f t="array" aca="1" ref="L56" ca="1">IF(OR($B56="",$B56="X",$D56="",$D56="X",$E56="",$E56="X"),0,IFERROR(_xlfn.LET(_xlpm.x,SUM(SUM(_xlfn._xlws.FILTER(VALUE(PptoSty[Sign]&amp;1)*(1/PptoSty[Division]),(PptoSty[Division]&lt;&gt;0)*(PptoSty[Division]&lt;&gt;"")*(PptoSty[Division]&lt;&gt;"X")*(PptoSty[Project]=$B56)*(PptoSty[Vrs]=$D56)*(PptoSty[PiRow]=_xlfn.TEXTAFTER($H56,":"))*(PptoSty[PiColumn]=L$54),0)),SUM(IF((INDIRECT($B$3)=$B56)*(INDIRECT($C$3)=$D56)*((INDIRECT($E$3)="TOTS")+(INDIRECT($E$3)=$E56)),INDIRECT(L$3)))),_xlpm.y,SUM(_xlfn.CHOOSECOLS(_xlfn._xlws.FILTER(F_RT14[],(F_RT14[PrjId]=$B56)*(F_RT14[Vrs]=$D56)*(_xlfn.TEXTAFTER(F_RT14[ActGrp],":")=_xlfn.TEXTAFTER($H56,":")),"X"),MATCH("*"&amp;L$54,F_RT14[#Headers],0))),IF(AND(_xlpm.x=0,_xlpm.y&lt;&gt;0),-1,IF(AND(_xlpm.x&lt;&gt;0,_xlpm.y&lt;&gt;0),_xlpm.x,IF(AND(_xlpm.x-SUM(IF((INDIRECT($B$3)=$B56)*(INDIRECT($C$3)=$D56)*((INDIRECT($E$3)="TOTS")+(INDIRECT($E$3)=$E56)),INDIRECT(L$3)))&lt;&gt;0,_xlpm.y=0),-2,_xlpm.x)))),0))</f>
        <v>0</v>
      </c>
      <c r="M56" s="199" cm="1">
        <f t="array" aca="1" ref="M56" ca="1">IF(OR($B56="",$B56="X",$D56="",$D56="X",$E56="",$E56="X"),0,IFERROR(_xlfn.LET(_xlpm.x,SUM(SUM(_xlfn._xlws.FILTER(VALUE(PptoSty[Sign]&amp;1)*(1/PptoSty[Division]),(PptoSty[Division]&lt;&gt;0)*(PptoSty[Division]&lt;&gt;"")*(PptoSty[Division]&lt;&gt;"X")*(PptoSty[Project]=$B56)*(PptoSty[Vrs]=$D56)*(PptoSty[PiRow]=_xlfn.TEXTAFTER($H56,":"))*(PptoSty[PiColumn]=M$54),0)),SUM(IF((INDIRECT($B$3)=$B56)*(INDIRECT($C$3)=$D56)*((INDIRECT($E$3)="TOTS")+(INDIRECT($E$3)=$E56)),INDIRECT(M$3)))),_xlpm.y,SUM(_xlfn.CHOOSECOLS(_xlfn._xlws.FILTER(F_RT14[],(F_RT14[PrjId]=$B56)*(F_RT14[Vrs]=$D56)*(_xlfn.TEXTAFTER(F_RT14[ActGrp],":")=_xlfn.TEXTAFTER($H56,":")),"X"),MATCH("*"&amp;M$54,F_RT14[#Headers],0))),IF(AND(_xlpm.x=0,_xlpm.y&lt;&gt;0),-1,IF(AND(_xlpm.x&lt;&gt;0,_xlpm.y&lt;&gt;0),_xlpm.x,IF(AND(_xlpm.x-SUM(IF((INDIRECT($B$3)=$B56)*(INDIRECT($C$3)=$D56)*((INDIRECT($E$3)="TOTS")+(INDIRECT($E$3)=$E56)),INDIRECT(M$3)))&lt;&gt;0,_xlpm.y=0),-2,_xlpm.x)))),0))</f>
        <v>0</v>
      </c>
      <c r="N56" s="199" cm="1">
        <f t="array" aca="1" ref="N56" ca="1">IF(OR($B56="",$B56="X",$D56="",$D56="X",$E56="",$E56="X"),0,IFERROR(_xlfn.LET(_xlpm.x,SUM(SUM(_xlfn._xlws.FILTER(VALUE(PptoSty[Sign]&amp;1)*(1/PptoSty[Division]),(PptoSty[Division]&lt;&gt;0)*(PptoSty[Division]&lt;&gt;"")*(PptoSty[Division]&lt;&gt;"X")*(PptoSty[Project]=$B56)*(PptoSty[Vrs]=$D56)*(PptoSty[PiRow]=_xlfn.TEXTAFTER($H56,":"))*(PptoSty[PiColumn]=N$54),0)),SUM(IF((INDIRECT($B$3)=$B56)*(INDIRECT($C$3)=$D56)*((INDIRECT($E$3)="TOTS")+(INDIRECT($E$3)=$E56)),INDIRECT(N$3)))),_xlpm.y,SUM(_xlfn.CHOOSECOLS(_xlfn._xlws.FILTER(F_RT14[],(F_RT14[PrjId]=$B56)*(F_RT14[Vrs]=$D56)*(_xlfn.TEXTAFTER(F_RT14[ActGrp],":")=_xlfn.TEXTAFTER($H56,":")),"X"),MATCH("*"&amp;N$54,F_RT14[#Headers],0))),IF(AND(_xlpm.x=0,_xlpm.y&lt;&gt;0),-1,IF(AND(_xlpm.x&lt;&gt;0,_xlpm.y&lt;&gt;0),_xlpm.x,IF(AND(_xlpm.x-SUM(IF((INDIRECT($B$3)=$B56)*(INDIRECT($C$3)=$D56)*((INDIRECT($E$3)="TOTS")+(INDIRECT($E$3)=$E56)),INDIRECT(N$3)))&lt;&gt;0,_xlpm.y=0),-2,_xlpm.x)))),0))</f>
        <v>0</v>
      </c>
      <c r="O56" s="199" cm="1">
        <f t="array" aca="1" ref="O56" ca="1">IF(OR($B56="",$B56="X",$D56="",$D56="X",$E56="",$E56="X"),0,IFERROR(_xlfn.LET(_xlpm.x,SUM(SUM(_xlfn._xlws.FILTER(VALUE(PptoSty[Sign]&amp;1)*(1/PptoSty[Division]),(PptoSty[Division]&lt;&gt;0)*(PptoSty[Division]&lt;&gt;"")*(PptoSty[Division]&lt;&gt;"X")*(PptoSty[Project]=$B56)*(PptoSty[Vrs]=$D56)*(PptoSty[PiRow]=_xlfn.TEXTAFTER($H56,":"))*(PptoSty[PiColumn]=O$54),0)),SUM(IF((INDIRECT($B$3)=$B56)*(INDIRECT($C$3)=$D56)*((INDIRECT($E$3)="TOTS")+(INDIRECT($E$3)=$E56)),INDIRECT(O$3)))),_xlpm.y,SUM(_xlfn.CHOOSECOLS(_xlfn._xlws.FILTER(F_RT14[],(F_RT14[PrjId]=$B56)*(F_RT14[Vrs]=$D56)*(_xlfn.TEXTAFTER(F_RT14[ActGrp],":")=_xlfn.TEXTAFTER($H56,":")),"X"),MATCH("*"&amp;O$54,F_RT14[#Headers],0))),IF(AND(_xlpm.x=0,_xlpm.y&lt;&gt;0),-1,IF(AND(_xlpm.x&lt;&gt;0,_xlpm.y&lt;&gt;0),_xlpm.x,IF(AND(_xlpm.x-SUM(IF((INDIRECT($B$3)=$B56)*(INDIRECT($C$3)=$D56)*((INDIRECT($E$3)="TOTS")+(INDIRECT($E$3)=$E56)),INDIRECT(O$3)))&lt;&gt;0,_xlpm.y=0),-2,_xlpm.x)))),0))</f>
        <v>0</v>
      </c>
      <c r="P56" s="199" cm="1">
        <f t="array" aca="1" ref="P56" ca="1">IF(OR($B56="",$B56="X",$D56="",$D56="X",$E56="",$E56="X"),0,IFERROR(_xlfn.LET(_xlpm.x,SUM(SUM(_xlfn._xlws.FILTER(VALUE(PptoSty[Sign]&amp;1)*(1/PptoSty[Division]),(PptoSty[Division]&lt;&gt;0)*(PptoSty[Division]&lt;&gt;"")*(PptoSty[Division]&lt;&gt;"X")*(PptoSty[Project]=$B56)*(PptoSty[Vrs]=$D56)*(PptoSty[PiRow]=_xlfn.TEXTAFTER($H56,":"))*(PptoSty[PiColumn]=P$54),0)),SUM(IF((INDIRECT($B$3)=$B56)*(INDIRECT($C$3)=$D56)*((INDIRECT($E$3)="TOTS")+(INDIRECT($E$3)=$E56)),INDIRECT(P$3)))),_xlpm.y,SUM(_xlfn.CHOOSECOLS(_xlfn._xlws.FILTER(F_RT14[],(F_RT14[PrjId]=$B56)*(F_RT14[Vrs]=$D56)*(_xlfn.TEXTAFTER(F_RT14[ActGrp],":")=_xlfn.TEXTAFTER($H56,":")),"X"),MATCH("*"&amp;P$54,F_RT14[#Headers],0))),IF(AND(_xlpm.x=0,_xlpm.y&lt;&gt;0),-1,IF(AND(_xlpm.x&lt;&gt;0,_xlpm.y&lt;&gt;0),_xlpm.x,IF(AND(_xlpm.x-SUM(IF((INDIRECT($B$3)=$B56)*(INDIRECT($C$3)=$D56)*((INDIRECT($E$3)="TOTS")+(INDIRECT($E$3)=$E56)),INDIRECT(P$3)))&lt;&gt;0,_xlpm.y=0),-2,_xlpm.x)))),0))</f>
        <v>0</v>
      </c>
      <c r="Q56" s="199" cm="1">
        <f t="array" aca="1" ref="Q56" ca="1">IF(OR($B56="",$B56="X",$D56="",$D56="X",$E56="",$E56="X"),0,IFERROR(_xlfn.LET(_xlpm.x,SUM(SUM(_xlfn._xlws.FILTER(VALUE(PptoSty[Sign]&amp;1)*(1/PptoSty[Division]),(PptoSty[Division]&lt;&gt;0)*(PptoSty[Division]&lt;&gt;"")*(PptoSty[Division]&lt;&gt;"X")*(PptoSty[Project]=$B56)*(PptoSty[Vrs]=$D56)*(PptoSty[PiRow]=_xlfn.TEXTAFTER($H56,":"))*(PptoSty[PiColumn]=Q$54),0)),SUM(IF((INDIRECT($B$3)=$B56)*(INDIRECT($C$3)=$D56)*((INDIRECT($E$3)="TOTS")+(INDIRECT($E$3)=$E56)),INDIRECT(Q$3)))),_xlpm.y,SUM(_xlfn.CHOOSECOLS(_xlfn._xlws.FILTER(F_RT14[],(F_RT14[PrjId]=$B56)*(F_RT14[Vrs]=$D56)*(_xlfn.TEXTAFTER(F_RT14[ActGrp],":")=_xlfn.TEXTAFTER($H56,":")),"X"),MATCH("*"&amp;Q$54,F_RT14[#Headers],0))),IF(AND(_xlpm.x=0,_xlpm.y&lt;&gt;0),-1,IF(AND(_xlpm.x&lt;&gt;0,_xlpm.y&lt;&gt;0),_xlpm.x,IF(AND(_xlpm.x-SUM(IF((INDIRECT($B$3)=$B56)*(INDIRECT($C$3)=$D56)*((INDIRECT($E$3)="TOTS")+(INDIRECT($E$3)=$E56)),INDIRECT(Q$3)))&lt;&gt;0,_xlpm.y=0),-2,_xlpm.x)))),0))</f>
        <v>0</v>
      </c>
      <c r="R56" s="199" cm="1">
        <f t="array" aca="1" ref="R56" ca="1">IF(OR($B56="",$B56="X",$D56="",$D56="X",$E56="",$E56="X"),0,IFERROR(_xlfn.LET(_xlpm.x,SUM(SUM(_xlfn._xlws.FILTER(VALUE(PptoSty[Sign]&amp;1)*(1/PptoSty[Division]),(PptoSty[Division]&lt;&gt;0)*(PptoSty[Division]&lt;&gt;"")*(PptoSty[Division]&lt;&gt;"X")*(PptoSty[Project]=$B56)*(PptoSty[Vrs]=$D56)*(PptoSty[PiRow]=_xlfn.TEXTAFTER($H56,":"))*(PptoSty[PiColumn]=R$54),0)),SUM(IF((INDIRECT($B$3)=$B56)*(INDIRECT($C$3)=$D56)*((INDIRECT($E$3)="TOTS")+(INDIRECT($E$3)=$E56)),INDIRECT(R$3)))),_xlpm.y,SUM(_xlfn.CHOOSECOLS(_xlfn._xlws.FILTER(F_RT14[],(F_RT14[PrjId]=$B56)*(F_RT14[Vrs]=$D56)*(_xlfn.TEXTAFTER(F_RT14[ActGrp],":")=_xlfn.TEXTAFTER($H56,":")),"X"),MATCH("*"&amp;R$54,F_RT14[#Headers],0))),IF(AND(_xlpm.x=0,_xlpm.y&lt;&gt;0),-1,IF(AND(_xlpm.x&lt;&gt;0,_xlpm.y&lt;&gt;0),_xlpm.x,IF(AND(_xlpm.x-SUM(IF((INDIRECT($B$3)=$B56)*(INDIRECT($C$3)=$D56)*((INDIRECT($E$3)="TOTS")+(INDIRECT($E$3)=$E56)),INDIRECT(R$3)))&lt;&gt;0,_xlpm.y=0),-2,_xlpm.x)))),0))</f>
        <v>0</v>
      </c>
      <c r="S56" s="199" cm="1">
        <f t="array" aca="1" ref="S56" ca="1">IF(OR($B56="",$B56="X",$D56="",$D56="X",$E56="",$E56="X"),0,IFERROR(_xlfn.LET(_xlpm.x,SUM(SUM(_xlfn._xlws.FILTER(VALUE(PptoSty[Sign]&amp;1)*(1/PptoSty[Division]),(PptoSty[Division]&lt;&gt;0)*(PptoSty[Division]&lt;&gt;"")*(PptoSty[Division]&lt;&gt;"X")*(PptoSty[Project]=$B56)*(PptoSty[Vrs]=$D56)*(PptoSty[PiRow]=_xlfn.TEXTAFTER($H56,":"))*(PptoSty[PiColumn]=S$54),0)),SUM(IF((INDIRECT($B$3)=$B56)*(INDIRECT($C$3)=$D56)*((INDIRECT($E$3)="TOTS")+(INDIRECT($E$3)=$E56)),INDIRECT(S$3)))),_xlpm.y,SUM(_xlfn.CHOOSECOLS(_xlfn._xlws.FILTER(F_RT14[],(F_RT14[PrjId]=$B56)*(F_RT14[Vrs]=$D56)*(_xlfn.TEXTAFTER(F_RT14[ActGrp],":")=_xlfn.TEXTAFTER($H56,":")),"X"),MATCH("*"&amp;S$54,F_RT14[#Headers],0))),IF(AND(_xlpm.x=0,_xlpm.y&lt;&gt;0),-1,IF(AND(_xlpm.x&lt;&gt;0,_xlpm.y&lt;&gt;0),_xlpm.x,IF(AND(_xlpm.x-SUM(IF((INDIRECT($B$3)=$B56)*(INDIRECT($C$3)=$D56)*((INDIRECT($E$3)="TOTS")+(INDIRECT($E$3)=$E56)),INDIRECT(S$3)))&lt;&gt;0,_xlpm.y=0),-2,_xlpm.x)))),0))</f>
        <v>0</v>
      </c>
      <c r="T56" s="199" cm="1">
        <f t="array" aca="1" ref="T56" ca="1">IF(OR($B56="",$B56="X",$D56="",$D56="X",$E56="",$E56="X"),0,IFERROR(_xlfn.LET(_xlpm.x,SUM(SUM(_xlfn._xlws.FILTER(VALUE(PptoSty[Sign]&amp;1)*(1/PptoSty[Division]),(PptoSty[Division]&lt;&gt;0)*(PptoSty[Division]&lt;&gt;"")*(PptoSty[Division]&lt;&gt;"X")*(PptoSty[Project]=$B56)*(PptoSty[Vrs]=$D56)*(PptoSty[PiRow]=_xlfn.TEXTAFTER($H56,":"))*(PptoSty[PiColumn]=T$54),0)),SUM(IF((INDIRECT($B$3)=$B56)*(INDIRECT($C$3)=$D56)*((INDIRECT($E$3)="TOTS")+(INDIRECT($E$3)=$E56)),INDIRECT(T$3)))),_xlpm.y,SUM(_xlfn.CHOOSECOLS(_xlfn._xlws.FILTER(F_RT14[],(F_RT14[PrjId]=$B56)*(F_RT14[Vrs]=$D56)*(_xlfn.TEXTAFTER(F_RT14[ActGrp],":")=_xlfn.TEXTAFTER($H56,":")),"X"),MATCH("*"&amp;T$54,F_RT14[#Headers],0))),IF(AND(_xlpm.x=0,_xlpm.y&lt;&gt;0),-1,IF(AND(_xlpm.x&lt;&gt;0,_xlpm.y&lt;&gt;0),_xlpm.x,IF(AND(_xlpm.x-SUM(IF((INDIRECT($B$3)=$B56)*(INDIRECT($C$3)=$D56)*((INDIRECT($E$3)="TOTS")+(INDIRECT($E$3)=$E56)),INDIRECT(T$3)))&lt;&gt;0,_xlpm.y=0),-2,_xlpm.x)))),0))</f>
        <v>0</v>
      </c>
      <c r="U56" s="199" cm="1">
        <f t="array" aca="1" ref="U56" ca="1">IF(OR($B56="",$B56="X",$D56="",$D56="X",$E56="",$E56="X"),0,IFERROR(_xlfn.LET(_xlpm.x,SUM(SUM(_xlfn._xlws.FILTER(VALUE(PptoSty[Sign]&amp;1)*(1/PptoSty[Division]),(PptoSty[Division]&lt;&gt;0)*(PptoSty[Division]&lt;&gt;"")*(PptoSty[Division]&lt;&gt;"X")*(PptoSty[Project]=$B56)*(PptoSty[Vrs]=$D56)*(PptoSty[PiRow]=_xlfn.TEXTAFTER($H56,":"))*(PptoSty[PiColumn]=U$54),0)),SUM(IF((INDIRECT($B$3)=$B56)*(INDIRECT($C$3)=$D56)*((INDIRECT($E$3)="TOTS")+(INDIRECT($E$3)=$E56)),INDIRECT(U$3)))),_xlpm.y,SUM(_xlfn.CHOOSECOLS(_xlfn._xlws.FILTER(F_RT14[],(F_RT14[PrjId]=$B56)*(F_RT14[Vrs]=$D56)*(_xlfn.TEXTAFTER(F_RT14[ActGrp],":")=_xlfn.TEXTAFTER($H56,":")),"X"),MATCH("*"&amp;U$54,F_RT14[#Headers],0))),IF(AND(_xlpm.x=0,_xlpm.y&lt;&gt;0),-1,IF(AND(_xlpm.x&lt;&gt;0,_xlpm.y&lt;&gt;0),_xlpm.x,IF(AND(_xlpm.x-SUM(IF((INDIRECT($B$3)=$B56)*(INDIRECT($C$3)=$D56)*((INDIRECT($E$3)="TOTS")+(INDIRECT($E$3)=$E56)),INDIRECT(U$3)))&lt;&gt;0,_xlpm.y=0),-2,_xlpm.x)))),0))</f>
        <v>0</v>
      </c>
      <c r="V56" s="199" cm="1">
        <f t="array" aca="1" ref="V56" ca="1">IF(OR($B56="",$B56="X",$D56="",$D56="X",$E56="",$E56="X"),0,IFERROR(_xlfn.LET(_xlpm.x,SUM(SUM(_xlfn._xlws.FILTER(VALUE(PptoSty[Sign]&amp;1)*(1/PptoSty[Division]),(PptoSty[Division]&lt;&gt;0)*(PptoSty[Division]&lt;&gt;"")*(PptoSty[Division]&lt;&gt;"X")*(PptoSty[Project]=$B56)*(PptoSty[Vrs]=$D56)*(PptoSty[PiRow]=_xlfn.TEXTAFTER($H56,":"))*(PptoSty[PiColumn]=V$54),0)),SUM(IF((INDIRECT($B$3)=$B56)*(INDIRECT($C$3)=$D56)*((INDIRECT($E$3)="TOTS")+(INDIRECT($E$3)=$E56)),INDIRECT(V$3)))),_xlpm.y,SUM(_xlfn.CHOOSECOLS(_xlfn._xlws.FILTER(F_RT14[],(F_RT14[PrjId]=$B56)*(F_RT14[Vrs]=$D56)*(_xlfn.TEXTAFTER(F_RT14[ActGrp],":")=_xlfn.TEXTAFTER($H56,":")),"X"),MATCH("*"&amp;V$54,F_RT14[#Headers],0))),IF(AND(_xlpm.x=0,_xlpm.y&lt;&gt;0),-1,IF(AND(_xlpm.x&lt;&gt;0,_xlpm.y&lt;&gt;0),_xlpm.x,IF(AND(_xlpm.x-SUM(IF((INDIRECT($B$3)=$B56)*(INDIRECT($C$3)=$D56)*((INDIRECT($E$3)="TOTS")+(INDIRECT($E$3)=$E56)),INDIRECT(V$3)))&lt;&gt;0,_xlpm.y=0),-2,_xlpm.x)))),0))</f>
        <v>0</v>
      </c>
      <c r="W56" s="199" cm="1">
        <f t="array" aca="1" ref="W56" ca="1">IF(OR($B56="",$B56="X",$D56="",$D56="X",$E56="",$E56="X"),0,IFERROR(_xlfn.LET(_xlpm.x,SUM(SUM(_xlfn._xlws.FILTER(VALUE(PptoSty[Sign]&amp;1)*(1/PptoSty[Division]),(PptoSty[Division]&lt;&gt;0)*(PptoSty[Division]&lt;&gt;"")*(PptoSty[Division]&lt;&gt;"X")*(PptoSty[Project]=$B56)*(PptoSty[Vrs]=$D56)*(PptoSty[PiRow]=_xlfn.TEXTAFTER($H56,":"))*(PptoSty[PiColumn]=W$54),0)),SUM(IF((INDIRECT($B$3)=$B56)*(INDIRECT($C$3)=$D56)*((INDIRECT($E$3)="TOTS")+(INDIRECT($E$3)=$E56)),INDIRECT(W$3)))),_xlpm.y,SUM(_xlfn.CHOOSECOLS(_xlfn._xlws.FILTER(F_RT14[],(F_RT14[PrjId]=$B56)*(F_RT14[Vrs]=$D56)*(_xlfn.TEXTAFTER(F_RT14[ActGrp],":")=_xlfn.TEXTAFTER($H56,":")),"X"),MATCH("*"&amp;W$54,F_RT14[#Headers],0))),IF(AND(_xlpm.x=0,_xlpm.y&lt;&gt;0),-1,IF(AND(_xlpm.x&lt;&gt;0,_xlpm.y&lt;&gt;0),_xlpm.x,IF(AND(_xlpm.x-SUM(IF((INDIRECT($B$3)=$B56)*(INDIRECT($C$3)=$D56)*((INDIRECT($E$3)="TOTS")+(INDIRECT($E$3)=$E56)),INDIRECT(W$3)))&lt;&gt;0,_xlpm.y=0),-2,_xlpm.x)))),0))</f>
        <v>0</v>
      </c>
      <c r="X56" s="199" cm="1">
        <f t="array" aca="1" ref="X56" ca="1">IF(OR($B56="",$B56="X",$D56="",$D56="X",$E56="",$E56="X"),0,IFERROR(_xlfn.LET(_xlpm.x,SUM(SUM(_xlfn._xlws.FILTER(VALUE(PptoSty[Sign]&amp;1)*(1/PptoSty[Division]),(PptoSty[Division]&lt;&gt;0)*(PptoSty[Division]&lt;&gt;"")*(PptoSty[Division]&lt;&gt;"X")*(PptoSty[Project]=$B56)*(PptoSty[Vrs]=$D56)*(PptoSty[PiRow]=_xlfn.TEXTAFTER($H56,":"))*(PptoSty[PiColumn]=X$54),0)),SUM(IF((INDIRECT($B$3)=$B56)*(INDIRECT($C$3)=$D56)*((INDIRECT($E$3)="TOTS")+(INDIRECT($E$3)=$E56)),INDIRECT(X$3)))),_xlpm.y,SUM(_xlfn.CHOOSECOLS(_xlfn._xlws.FILTER(F_RT14[],(F_RT14[PrjId]=$B56)*(F_RT14[Vrs]=$D56)*(_xlfn.TEXTAFTER(F_RT14[ActGrp],":")=_xlfn.TEXTAFTER($H56,":")),"X"),MATCH("*"&amp;X$54,F_RT14[#Headers],0))),IF(AND(_xlpm.x=0,_xlpm.y&lt;&gt;0),-1,IF(AND(_xlpm.x&lt;&gt;0,_xlpm.y&lt;&gt;0),_xlpm.x,IF(AND(_xlpm.x-SUM(IF((INDIRECT($B$3)=$B56)*(INDIRECT($C$3)=$D56)*((INDIRECT($E$3)="TOTS")+(INDIRECT($E$3)=$E56)),INDIRECT(X$3)))&lt;&gt;0,_xlpm.y=0),-2,_xlpm.x)))),0))</f>
        <v>0</v>
      </c>
      <c r="Y56" s="199" cm="1">
        <f t="array" aca="1" ref="Y56" ca="1">IF(OR($B56="",$B56="X",$D56="",$D56="X",$E56="",$E56="X"),0,IFERROR(_xlfn.LET(_xlpm.x,SUM(SUM(_xlfn._xlws.FILTER(VALUE(PptoSty[Sign]&amp;1)*(1/PptoSty[Division]),(PptoSty[Division]&lt;&gt;0)*(PptoSty[Division]&lt;&gt;"")*(PptoSty[Division]&lt;&gt;"X")*(PptoSty[Project]=$B56)*(PptoSty[Vrs]=$D56)*(PptoSty[PiRow]=_xlfn.TEXTAFTER($H56,":"))*(PptoSty[PiColumn]=Y$54),0)),SUM(IF((INDIRECT($B$3)=$B56)*(INDIRECT($C$3)=$D56)*((INDIRECT($E$3)="TOTS")+(INDIRECT($E$3)=$E56)),INDIRECT(Y$3)))),_xlpm.y,SUM(_xlfn.CHOOSECOLS(_xlfn._xlws.FILTER(F_RT14[],(F_RT14[PrjId]=$B56)*(F_RT14[Vrs]=$D56)*(_xlfn.TEXTAFTER(F_RT14[ActGrp],":")=_xlfn.TEXTAFTER($H56,":")),"X"),MATCH("*"&amp;Y$54,F_RT14[#Headers],0))),IF(AND(_xlpm.x=0,_xlpm.y&lt;&gt;0),-1,IF(AND(_xlpm.x&lt;&gt;0,_xlpm.y&lt;&gt;0),_xlpm.x,IF(AND(_xlpm.x-SUM(IF((INDIRECT($B$3)=$B56)*(INDIRECT($C$3)=$D56)*((INDIRECT($E$3)="TOTS")+(INDIRECT($E$3)=$E56)),INDIRECT(Y$3)))&lt;&gt;0,_xlpm.y=0),-2,_xlpm.x)))),0))</f>
        <v>1</v>
      </c>
      <c r="Z56" s="198" t="str">
        <f t="shared" ca="1" si="2"/>
        <v>Fback!B56:Y56</v>
      </c>
    </row>
    <row r="57" spans="1:26" ht="21" customHeight="1" outlineLevel="1">
      <c r="B57" s="128" t="str">
        <v>31199</v>
      </c>
      <c r="C57" s="128" t="str">
        <v>Sp</v>
      </c>
      <c r="D57" s="128">
        <v>0</v>
      </c>
      <c r="E57" s="128" t="str">
        <v>TRSL</v>
      </c>
      <c r="F57" s="139" t="str">
        <v>PLANT</v>
      </c>
      <c r="G57" s="139" t="str">
        <v>CurPpto</v>
      </c>
      <c r="H57" s="139" t="str">
        <v>G002:DIETAS, DESPLAZAMIENTOS Y HOSPEDAJE</v>
      </c>
      <c r="I57" s="199" cm="1">
        <f t="array" aca="1" ref="I57" ca="1">IF(OR($B57="",$B57="X",$D57="",$D57="X",$E57="",$E57="X"),0,IFERROR(_xlfn.LET(_xlpm.x,SUM(SUM(_xlfn._xlws.FILTER(VALUE(PptoSty[Sign]&amp;1)*(1/PptoSty[Division]),(PptoSty[Division]&lt;&gt;0)*(PptoSty[Division]&lt;&gt;"")*(PptoSty[Division]&lt;&gt;"X")*(PptoSty[Project]=$B57)*(PptoSty[Vrs]=$D57)*(PptoSty[PiRow]=_xlfn.TEXTAFTER($H57,":"))*(PptoSty[PiColumn]=I$54),0)),SUM(IF((INDIRECT($B$3)=$B57)*(INDIRECT($C$3)=$D57)*((INDIRECT($E$3)="TOTS")+(INDIRECT($E$3)=$E57)),INDIRECT(I$3)))),_xlpm.y,SUM(_xlfn.CHOOSECOLS(_xlfn._xlws.FILTER(F_RT14[],(F_RT14[PrjId]=$B57)*(F_RT14[Vrs]=$D57)*(_xlfn.TEXTAFTER(F_RT14[ActGrp],":")=_xlfn.TEXTAFTER($H57,":")),"X"),MATCH("*"&amp;I$54,F_RT14[#Headers],0))),IF(AND(_xlpm.x=0,_xlpm.y&lt;&gt;0),-1,IF(AND(_xlpm.x&lt;&gt;0,_xlpm.y&lt;&gt;0),_xlpm.x,IF(AND(_xlpm.x-SUM(IF((INDIRECT($B$3)=$B57)*(INDIRECT($C$3)=$D57)*((INDIRECT($E$3)="TOTS")+(INDIRECT($E$3)=$E57)),INDIRECT(I$3)))&lt;&gt;0,_xlpm.y=0),-2,_xlpm.x)))),0))</f>
        <v>0</v>
      </c>
      <c r="J57" s="199" cm="1">
        <f t="array" aca="1" ref="J57" ca="1">IF(OR($B57="",$B57="X",$D57="",$D57="X",$E57="",$E57="X"),0,IFERROR(_xlfn.LET(_xlpm.x,SUM(SUM(_xlfn._xlws.FILTER(VALUE(PptoSty[Sign]&amp;1)*(1/PptoSty[Division]),(PptoSty[Division]&lt;&gt;0)*(PptoSty[Division]&lt;&gt;"")*(PptoSty[Division]&lt;&gt;"X")*(PptoSty[Project]=$B57)*(PptoSty[Vrs]=$D57)*(PptoSty[PiRow]=_xlfn.TEXTAFTER($H57,":"))*(PptoSty[PiColumn]=J$54),0)),SUM(IF((INDIRECT($B$3)=$B57)*(INDIRECT($C$3)=$D57)*((INDIRECT($E$3)="TOTS")+(INDIRECT($E$3)=$E57)),INDIRECT(J$3)))),_xlpm.y,SUM(_xlfn.CHOOSECOLS(_xlfn._xlws.FILTER(F_RT14[],(F_RT14[PrjId]=$B57)*(F_RT14[Vrs]=$D57)*(_xlfn.TEXTAFTER(F_RT14[ActGrp],":")=_xlfn.TEXTAFTER($H57,":")),"X"),MATCH("*"&amp;J$54,F_RT14[#Headers],0))),IF(AND(_xlpm.x=0,_xlpm.y&lt;&gt;0),-1,IF(AND(_xlpm.x&lt;&gt;0,_xlpm.y&lt;&gt;0),_xlpm.x,IF(AND(_xlpm.x-SUM(IF((INDIRECT($B$3)=$B57)*(INDIRECT($C$3)=$D57)*((INDIRECT($E$3)="TOTS")+(INDIRECT($E$3)=$E57)),INDIRECT(J$3)))&lt;&gt;0,_xlpm.y=0),-2,_xlpm.x)))),0))</f>
        <v>0</v>
      </c>
      <c r="K57" s="199" cm="1">
        <f t="array" aca="1" ref="K57" ca="1">IF(OR($B57="",$B57="X",$D57="",$D57="X",$E57="",$E57="X"),0,IFERROR(_xlfn.LET(_xlpm.x,SUM(SUM(_xlfn._xlws.FILTER(VALUE(PptoSty[Sign]&amp;1)*(1/PptoSty[Division]),(PptoSty[Division]&lt;&gt;0)*(PptoSty[Division]&lt;&gt;"")*(PptoSty[Division]&lt;&gt;"X")*(PptoSty[Project]=$B57)*(PptoSty[Vrs]=$D57)*(PptoSty[PiRow]=_xlfn.TEXTAFTER($H57,":"))*(PptoSty[PiColumn]=K$54),0)),SUM(IF((INDIRECT($B$3)=$B57)*(INDIRECT($C$3)=$D57)*((INDIRECT($E$3)="TOTS")+(INDIRECT($E$3)=$E57)),INDIRECT(K$3)))),_xlpm.y,SUM(_xlfn.CHOOSECOLS(_xlfn._xlws.FILTER(F_RT14[],(F_RT14[PrjId]=$B57)*(F_RT14[Vrs]=$D57)*(_xlfn.TEXTAFTER(F_RT14[ActGrp],":")=_xlfn.TEXTAFTER($H57,":")),"X"),MATCH("*"&amp;K$54,F_RT14[#Headers],0))),IF(AND(_xlpm.x=0,_xlpm.y&lt;&gt;0),-1,IF(AND(_xlpm.x&lt;&gt;0,_xlpm.y&lt;&gt;0),_xlpm.x,IF(AND(_xlpm.x-SUM(IF((INDIRECT($B$3)=$B57)*(INDIRECT($C$3)=$D57)*((INDIRECT($E$3)="TOTS")+(INDIRECT($E$3)=$E57)),INDIRECT(K$3)))&lt;&gt;0,_xlpm.y=0),-2,_xlpm.x)))),0))</f>
        <v>0</v>
      </c>
      <c r="L57" s="199" cm="1">
        <f t="array" aca="1" ref="L57" ca="1">IF(OR($B57="",$B57="X",$D57="",$D57="X",$E57="",$E57="X"),0,IFERROR(_xlfn.LET(_xlpm.x,SUM(SUM(_xlfn._xlws.FILTER(VALUE(PptoSty[Sign]&amp;1)*(1/PptoSty[Division]),(PptoSty[Division]&lt;&gt;0)*(PptoSty[Division]&lt;&gt;"")*(PptoSty[Division]&lt;&gt;"X")*(PptoSty[Project]=$B57)*(PptoSty[Vrs]=$D57)*(PptoSty[PiRow]=_xlfn.TEXTAFTER($H57,":"))*(PptoSty[PiColumn]=L$54),0)),SUM(IF((INDIRECT($B$3)=$B57)*(INDIRECT($C$3)=$D57)*((INDIRECT($E$3)="TOTS")+(INDIRECT($E$3)=$E57)),INDIRECT(L$3)))),_xlpm.y,SUM(_xlfn.CHOOSECOLS(_xlfn._xlws.FILTER(F_RT14[],(F_RT14[PrjId]=$B57)*(F_RT14[Vrs]=$D57)*(_xlfn.TEXTAFTER(F_RT14[ActGrp],":")=_xlfn.TEXTAFTER($H57,":")),"X"),MATCH("*"&amp;L$54,F_RT14[#Headers],0))),IF(AND(_xlpm.x=0,_xlpm.y&lt;&gt;0),-1,IF(AND(_xlpm.x&lt;&gt;0,_xlpm.y&lt;&gt;0),_xlpm.x,IF(AND(_xlpm.x-SUM(IF((INDIRECT($B$3)=$B57)*(INDIRECT($C$3)=$D57)*((INDIRECT($E$3)="TOTS")+(INDIRECT($E$3)=$E57)),INDIRECT(L$3)))&lt;&gt;0,_xlpm.y=0),-2,_xlpm.x)))),0))</f>
        <v>0</v>
      </c>
      <c r="M57" s="199" cm="1">
        <f t="array" aca="1" ref="M57" ca="1">IF(OR($B57="",$B57="X",$D57="",$D57="X",$E57="",$E57="X"),0,IFERROR(_xlfn.LET(_xlpm.x,SUM(SUM(_xlfn._xlws.FILTER(VALUE(PptoSty[Sign]&amp;1)*(1/PptoSty[Division]),(PptoSty[Division]&lt;&gt;0)*(PptoSty[Division]&lt;&gt;"")*(PptoSty[Division]&lt;&gt;"X")*(PptoSty[Project]=$B57)*(PptoSty[Vrs]=$D57)*(PptoSty[PiRow]=_xlfn.TEXTAFTER($H57,":"))*(PptoSty[PiColumn]=M$54),0)),SUM(IF((INDIRECT($B$3)=$B57)*(INDIRECT($C$3)=$D57)*((INDIRECT($E$3)="TOTS")+(INDIRECT($E$3)=$E57)),INDIRECT(M$3)))),_xlpm.y,SUM(_xlfn.CHOOSECOLS(_xlfn._xlws.FILTER(F_RT14[],(F_RT14[PrjId]=$B57)*(F_RT14[Vrs]=$D57)*(_xlfn.TEXTAFTER(F_RT14[ActGrp],":")=_xlfn.TEXTAFTER($H57,":")),"X"),MATCH("*"&amp;M$54,F_RT14[#Headers],0))),IF(AND(_xlpm.x=0,_xlpm.y&lt;&gt;0),-1,IF(AND(_xlpm.x&lt;&gt;0,_xlpm.y&lt;&gt;0),_xlpm.x,IF(AND(_xlpm.x-SUM(IF((INDIRECT($B$3)=$B57)*(INDIRECT($C$3)=$D57)*((INDIRECT($E$3)="TOTS")+(INDIRECT($E$3)=$E57)),INDIRECT(M$3)))&lt;&gt;0,_xlpm.y=0),-2,_xlpm.x)))),0))</f>
        <v>0</v>
      </c>
      <c r="N57" s="199" cm="1">
        <f t="array" aca="1" ref="N57" ca="1">IF(OR($B57="",$B57="X",$D57="",$D57="X",$E57="",$E57="X"),0,IFERROR(_xlfn.LET(_xlpm.x,SUM(SUM(_xlfn._xlws.FILTER(VALUE(PptoSty[Sign]&amp;1)*(1/PptoSty[Division]),(PptoSty[Division]&lt;&gt;0)*(PptoSty[Division]&lt;&gt;"")*(PptoSty[Division]&lt;&gt;"X")*(PptoSty[Project]=$B57)*(PptoSty[Vrs]=$D57)*(PptoSty[PiRow]=_xlfn.TEXTAFTER($H57,":"))*(PptoSty[PiColumn]=N$54),0)),SUM(IF((INDIRECT($B$3)=$B57)*(INDIRECT($C$3)=$D57)*((INDIRECT($E$3)="TOTS")+(INDIRECT($E$3)=$E57)),INDIRECT(N$3)))),_xlpm.y,SUM(_xlfn.CHOOSECOLS(_xlfn._xlws.FILTER(F_RT14[],(F_RT14[PrjId]=$B57)*(F_RT14[Vrs]=$D57)*(_xlfn.TEXTAFTER(F_RT14[ActGrp],":")=_xlfn.TEXTAFTER($H57,":")),"X"),MATCH("*"&amp;N$54,F_RT14[#Headers],0))),IF(AND(_xlpm.x=0,_xlpm.y&lt;&gt;0),-1,IF(AND(_xlpm.x&lt;&gt;0,_xlpm.y&lt;&gt;0),_xlpm.x,IF(AND(_xlpm.x-SUM(IF((INDIRECT($B$3)=$B57)*(INDIRECT($C$3)=$D57)*((INDIRECT($E$3)="TOTS")+(INDIRECT($E$3)=$E57)),INDIRECT(N$3)))&lt;&gt;0,_xlpm.y=0),-2,_xlpm.x)))),0))</f>
        <v>0</v>
      </c>
      <c r="O57" s="199" cm="1">
        <f t="array" aca="1" ref="O57" ca="1">IF(OR($B57="",$B57="X",$D57="",$D57="X",$E57="",$E57="X"),0,IFERROR(_xlfn.LET(_xlpm.x,SUM(SUM(_xlfn._xlws.FILTER(VALUE(PptoSty[Sign]&amp;1)*(1/PptoSty[Division]),(PptoSty[Division]&lt;&gt;0)*(PptoSty[Division]&lt;&gt;"")*(PptoSty[Division]&lt;&gt;"X")*(PptoSty[Project]=$B57)*(PptoSty[Vrs]=$D57)*(PptoSty[PiRow]=_xlfn.TEXTAFTER($H57,":"))*(PptoSty[PiColumn]=O$54),0)),SUM(IF((INDIRECT($B$3)=$B57)*(INDIRECT($C$3)=$D57)*((INDIRECT($E$3)="TOTS")+(INDIRECT($E$3)=$E57)),INDIRECT(O$3)))),_xlpm.y,SUM(_xlfn.CHOOSECOLS(_xlfn._xlws.FILTER(F_RT14[],(F_RT14[PrjId]=$B57)*(F_RT14[Vrs]=$D57)*(_xlfn.TEXTAFTER(F_RT14[ActGrp],":")=_xlfn.TEXTAFTER($H57,":")),"X"),MATCH("*"&amp;O$54,F_RT14[#Headers],0))),IF(AND(_xlpm.x=0,_xlpm.y&lt;&gt;0),-1,IF(AND(_xlpm.x&lt;&gt;0,_xlpm.y&lt;&gt;0),_xlpm.x,IF(AND(_xlpm.x-SUM(IF((INDIRECT($B$3)=$B57)*(INDIRECT($C$3)=$D57)*((INDIRECT($E$3)="TOTS")+(INDIRECT($E$3)=$E57)),INDIRECT(O$3)))&lt;&gt;0,_xlpm.y=0),-2,_xlpm.x)))),0))</f>
        <v>0</v>
      </c>
      <c r="P57" s="199" cm="1">
        <f t="array" aca="1" ref="P57" ca="1">IF(OR($B57="",$B57="X",$D57="",$D57="X",$E57="",$E57="X"),0,IFERROR(_xlfn.LET(_xlpm.x,SUM(SUM(_xlfn._xlws.FILTER(VALUE(PptoSty[Sign]&amp;1)*(1/PptoSty[Division]),(PptoSty[Division]&lt;&gt;0)*(PptoSty[Division]&lt;&gt;"")*(PptoSty[Division]&lt;&gt;"X")*(PptoSty[Project]=$B57)*(PptoSty[Vrs]=$D57)*(PptoSty[PiRow]=_xlfn.TEXTAFTER($H57,":"))*(PptoSty[PiColumn]=P$54),0)),SUM(IF((INDIRECT($B$3)=$B57)*(INDIRECT($C$3)=$D57)*((INDIRECT($E$3)="TOTS")+(INDIRECT($E$3)=$E57)),INDIRECT(P$3)))),_xlpm.y,SUM(_xlfn.CHOOSECOLS(_xlfn._xlws.FILTER(F_RT14[],(F_RT14[PrjId]=$B57)*(F_RT14[Vrs]=$D57)*(_xlfn.TEXTAFTER(F_RT14[ActGrp],":")=_xlfn.TEXTAFTER($H57,":")),"X"),MATCH("*"&amp;P$54,F_RT14[#Headers],0))),IF(AND(_xlpm.x=0,_xlpm.y&lt;&gt;0),-1,IF(AND(_xlpm.x&lt;&gt;0,_xlpm.y&lt;&gt;0),_xlpm.x,IF(AND(_xlpm.x-SUM(IF((INDIRECT($B$3)=$B57)*(INDIRECT($C$3)=$D57)*((INDIRECT($E$3)="TOTS")+(INDIRECT($E$3)=$E57)),INDIRECT(P$3)))&lt;&gt;0,_xlpm.y=0),-2,_xlpm.x)))),0))</f>
        <v>0</v>
      </c>
      <c r="Q57" s="199" cm="1">
        <f t="array" aca="1" ref="Q57" ca="1">IF(OR($B57="",$B57="X",$D57="",$D57="X",$E57="",$E57="X"),0,IFERROR(_xlfn.LET(_xlpm.x,SUM(SUM(_xlfn._xlws.FILTER(VALUE(PptoSty[Sign]&amp;1)*(1/PptoSty[Division]),(PptoSty[Division]&lt;&gt;0)*(PptoSty[Division]&lt;&gt;"")*(PptoSty[Division]&lt;&gt;"X")*(PptoSty[Project]=$B57)*(PptoSty[Vrs]=$D57)*(PptoSty[PiRow]=_xlfn.TEXTAFTER($H57,":"))*(PptoSty[PiColumn]=Q$54),0)),SUM(IF((INDIRECT($B$3)=$B57)*(INDIRECT($C$3)=$D57)*((INDIRECT($E$3)="TOTS")+(INDIRECT($E$3)=$E57)),INDIRECT(Q$3)))),_xlpm.y,SUM(_xlfn.CHOOSECOLS(_xlfn._xlws.FILTER(F_RT14[],(F_RT14[PrjId]=$B57)*(F_RT14[Vrs]=$D57)*(_xlfn.TEXTAFTER(F_RT14[ActGrp],":")=_xlfn.TEXTAFTER($H57,":")),"X"),MATCH("*"&amp;Q$54,F_RT14[#Headers],0))),IF(AND(_xlpm.x=0,_xlpm.y&lt;&gt;0),-1,IF(AND(_xlpm.x&lt;&gt;0,_xlpm.y&lt;&gt;0),_xlpm.x,IF(AND(_xlpm.x-SUM(IF((INDIRECT($B$3)=$B57)*(INDIRECT($C$3)=$D57)*((INDIRECT($E$3)="TOTS")+(INDIRECT($E$3)=$E57)),INDIRECT(Q$3)))&lt;&gt;0,_xlpm.y=0),-2,_xlpm.x)))),0))</f>
        <v>0</v>
      </c>
      <c r="R57" s="199" cm="1">
        <f t="array" aca="1" ref="R57" ca="1">IF(OR($B57="",$B57="X",$D57="",$D57="X",$E57="",$E57="X"),0,IFERROR(_xlfn.LET(_xlpm.x,SUM(SUM(_xlfn._xlws.FILTER(VALUE(PptoSty[Sign]&amp;1)*(1/PptoSty[Division]),(PptoSty[Division]&lt;&gt;0)*(PptoSty[Division]&lt;&gt;"")*(PptoSty[Division]&lt;&gt;"X")*(PptoSty[Project]=$B57)*(PptoSty[Vrs]=$D57)*(PptoSty[PiRow]=_xlfn.TEXTAFTER($H57,":"))*(PptoSty[PiColumn]=R$54),0)),SUM(IF((INDIRECT($B$3)=$B57)*(INDIRECT($C$3)=$D57)*((INDIRECT($E$3)="TOTS")+(INDIRECT($E$3)=$E57)),INDIRECT(R$3)))),_xlpm.y,SUM(_xlfn.CHOOSECOLS(_xlfn._xlws.FILTER(F_RT14[],(F_RT14[PrjId]=$B57)*(F_RT14[Vrs]=$D57)*(_xlfn.TEXTAFTER(F_RT14[ActGrp],":")=_xlfn.TEXTAFTER($H57,":")),"X"),MATCH("*"&amp;R$54,F_RT14[#Headers],0))),IF(AND(_xlpm.x=0,_xlpm.y&lt;&gt;0),-1,IF(AND(_xlpm.x&lt;&gt;0,_xlpm.y&lt;&gt;0),_xlpm.x,IF(AND(_xlpm.x-SUM(IF((INDIRECT($B$3)=$B57)*(INDIRECT($C$3)=$D57)*((INDIRECT($E$3)="TOTS")+(INDIRECT($E$3)=$E57)),INDIRECT(R$3)))&lt;&gt;0,_xlpm.y=0),-2,_xlpm.x)))),0))</f>
        <v>0</v>
      </c>
      <c r="S57" s="199" cm="1">
        <f t="array" aca="1" ref="S57" ca="1">IF(OR($B57="",$B57="X",$D57="",$D57="X",$E57="",$E57="X"),0,IFERROR(_xlfn.LET(_xlpm.x,SUM(SUM(_xlfn._xlws.FILTER(VALUE(PptoSty[Sign]&amp;1)*(1/PptoSty[Division]),(PptoSty[Division]&lt;&gt;0)*(PptoSty[Division]&lt;&gt;"")*(PptoSty[Division]&lt;&gt;"X")*(PptoSty[Project]=$B57)*(PptoSty[Vrs]=$D57)*(PptoSty[PiRow]=_xlfn.TEXTAFTER($H57,":"))*(PptoSty[PiColumn]=S$54),0)),SUM(IF((INDIRECT($B$3)=$B57)*(INDIRECT($C$3)=$D57)*((INDIRECT($E$3)="TOTS")+(INDIRECT($E$3)=$E57)),INDIRECT(S$3)))),_xlpm.y,SUM(_xlfn.CHOOSECOLS(_xlfn._xlws.FILTER(F_RT14[],(F_RT14[PrjId]=$B57)*(F_RT14[Vrs]=$D57)*(_xlfn.TEXTAFTER(F_RT14[ActGrp],":")=_xlfn.TEXTAFTER($H57,":")),"X"),MATCH("*"&amp;S$54,F_RT14[#Headers],0))),IF(AND(_xlpm.x=0,_xlpm.y&lt;&gt;0),-1,IF(AND(_xlpm.x&lt;&gt;0,_xlpm.y&lt;&gt;0),_xlpm.x,IF(AND(_xlpm.x-SUM(IF((INDIRECT($B$3)=$B57)*(INDIRECT($C$3)=$D57)*((INDIRECT($E$3)="TOTS")+(INDIRECT($E$3)=$E57)),INDIRECT(S$3)))&lt;&gt;0,_xlpm.y=0),-2,_xlpm.x)))),0))</f>
        <v>0</v>
      </c>
      <c r="T57" s="199" cm="1">
        <f t="array" aca="1" ref="T57" ca="1">IF(OR($B57="",$B57="X",$D57="",$D57="X",$E57="",$E57="X"),0,IFERROR(_xlfn.LET(_xlpm.x,SUM(SUM(_xlfn._xlws.FILTER(VALUE(PptoSty[Sign]&amp;1)*(1/PptoSty[Division]),(PptoSty[Division]&lt;&gt;0)*(PptoSty[Division]&lt;&gt;"")*(PptoSty[Division]&lt;&gt;"X")*(PptoSty[Project]=$B57)*(PptoSty[Vrs]=$D57)*(PptoSty[PiRow]=_xlfn.TEXTAFTER($H57,":"))*(PptoSty[PiColumn]=T$54),0)),SUM(IF((INDIRECT($B$3)=$B57)*(INDIRECT($C$3)=$D57)*((INDIRECT($E$3)="TOTS")+(INDIRECT($E$3)=$E57)),INDIRECT(T$3)))),_xlpm.y,SUM(_xlfn.CHOOSECOLS(_xlfn._xlws.FILTER(F_RT14[],(F_RT14[PrjId]=$B57)*(F_RT14[Vrs]=$D57)*(_xlfn.TEXTAFTER(F_RT14[ActGrp],":")=_xlfn.TEXTAFTER($H57,":")),"X"),MATCH("*"&amp;T$54,F_RT14[#Headers],0))),IF(AND(_xlpm.x=0,_xlpm.y&lt;&gt;0),-1,IF(AND(_xlpm.x&lt;&gt;0,_xlpm.y&lt;&gt;0),_xlpm.x,IF(AND(_xlpm.x-SUM(IF((INDIRECT($B$3)=$B57)*(INDIRECT($C$3)=$D57)*((INDIRECT($E$3)="TOTS")+(INDIRECT($E$3)=$E57)),INDIRECT(T$3)))&lt;&gt;0,_xlpm.y=0),-2,_xlpm.x)))),0))</f>
        <v>0</v>
      </c>
      <c r="U57" s="199" cm="1">
        <f t="array" aca="1" ref="U57" ca="1">IF(OR($B57="",$B57="X",$D57="",$D57="X",$E57="",$E57="X"),0,IFERROR(_xlfn.LET(_xlpm.x,SUM(SUM(_xlfn._xlws.FILTER(VALUE(PptoSty[Sign]&amp;1)*(1/PptoSty[Division]),(PptoSty[Division]&lt;&gt;0)*(PptoSty[Division]&lt;&gt;"")*(PptoSty[Division]&lt;&gt;"X")*(PptoSty[Project]=$B57)*(PptoSty[Vrs]=$D57)*(PptoSty[PiRow]=_xlfn.TEXTAFTER($H57,":"))*(PptoSty[PiColumn]=U$54),0)),SUM(IF((INDIRECT($B$3)=$B57)*(INDIRECT($C$3)=$D57)*((INDIRECT($E$3)="TOTS")+(INDIRECT($E$3)=$E57)),INDIRECT(U$3)))),_xlpm.y,SUM(_xlfn.CHOOSECOLS(_xlfn._xlws.FILTER(F_RT14[],(F_RT14[PrjId]=$B57)*(F_RT14[Vrs]=$D57)*(_xlfn.TEXTAFTER(F_RT14[ActGrp],":")=_xlfn.TEXTAFTER($H57,":")),"X"),MATCH("*"&amp;U$54,F_RT14[#Headers],0))),IF(AND(_xlpm.x=0,_xlpm.y&lt;&gt;0),-1,IF(AND(_xlpm.x&lt;&gt;0,_xlpm.y&lt;&gt;0),_xlpm.x,IF(AND(_xlpm.x-SUM(IF((INDIRECT($B$3)=$B57)*(INDIRECT($C$3)=$D57)*((INDIRECT($E$3)="TOTS")+(INDIRECT($E$3)=$E57)),INDIRECT(U$3)))&lt;&gt;0,_xlpm.y=0),-2,_xlpm.x)))),0))</f>
        <v>0</v>
      </c>
      <c r="V57" s="199" cm="1">
        <f t="array" aca="1" ref="V57" ca="1">IF(OR($B57="",$B57="X",$D57="",$D57="X",$E57="",$E57="X"),0,IFERROR(_xlfn.LET(_xlpm.x,SUM(SUM(_xlfn._xlws.FILTER(VALUE(PptoSty[Sign]&amp;1)*(1/PptoSty[Division]),(PptoSty[Division]&lt;&gt;0)*(PptoSty[Division]&lt;&gt;"")*(PptoSty[Division]&lt;&gt;"X")*(PptoSty[Project]=$B57)*(PptoSty[Vrs]=$D57)*(PptoSty[PiRow]=_xlfn.TEXTAFTER($H57,":"))*(PptoSty[PiColumn]=V$54),0)),SUM(IF((INDIRECT($B$3)=$B57)*(INDIRECT($C$3)=$D57)*((INDIRECT($E$3)="TOTS")+(INDIRECT($E$3)=$E57)),INDIRECT(V$3)))),_xlpm.y,SUM(_xlfn.CHOOSECOLS(_xlfn._xlws.FILTER(F_RT14[],(F_RT14[PrjId]=$B57)*(F_RT14[Vrs]=$D57)*(_xlfn.TEXTAFTER(F_RT14[ActGrp],":")=_xlfn.TEXTAFTER($H57,":")),"X"),MATCH("*"&amp;V$54,F_RT14[#Headers],0))),IF(AND(_xlpm.x=0,_xlpm.y&lt;&gt;0),-1,IF(AND(_xlpm.x&lt;&gt;0,_xlpm.y&lt;&gt;0),_xlpm.x,IF(AND(_xlpm.x-SUM(IF((INDIRECT($B$3)=$B57)*(INDIRECT($C$3)=$D57)*((INDIRECT($E$3)="TOTS")+(INDIRECT($E$3)=$E57)),INDIRECT(V$3)))&lt;&gt;0,_xlpm.y=0),-2,_xlpm.x)))),0))</f>
        <v>0</v>
      </c>
      <c r="W57" s="199" cm="1">
        <f t="array" aca="1" ref="W57" ca="1">IF(OR($B57="",$B57="X",$D57="",$D57="X",$E57="",$E57="X"),0,IFERROR(_xlfn.LET(_xlpm.x,SUM(SUM(_xlfn._xlws.FILTER(VALUE(PptoSty[Sign]&amp;1)*(1/PptoSty[Division]),(PptoSty[Division]&lt;&gt;0)*(PptoSty[Division]&lt;&gt;"")*(PptoSty[Division]&lt;&gt;"X")*(PptoSty[Project]=$B57)*(PptoSty[Vrs]=$D57)*(PptoSty[PiRow]=_xlfn.TEXTAFTER($H57,":"))*(PptoSty[PiColumn]=W$54),0)),SUM(IF((INDIRECT($B$3)=$B57)*(INDIRECT($C$3)=$D57)*((INDIRECT($E$3)="TOTS")+(INDIRECT($E$3)=$E57)),INDIRECT(W$3)))),_xlpm.y,SUM(_xlfn.CHOOSECOLS(_xlfn._xlws.FILTER(F_RT14[],(F_RT14[PrjId]=$B57)*(F_RT14[Vrs]=$D57)*(_xlfn.TEXTAFTER(F_RT14[ActGrp],":")=_xlfn.TEXTAFTER($H57,":")),"X"),MATCH("*"&amp;W$54,F_RT14[#Headers],0))),IF(AND(_xlpm.x=0,_xlpm.y&lt;&gt;0),-1,IF(AND(_xlpm.x&lt;&gt;0,_xlpm.y&lt;&gt;0),_xlpm.x,IF(AND(_xlpm.x-SUM(IF((INDIRECT($B$3)=$B57)*(INDIRECT($C$3)=$D57)*((INDIRECT($E$3)="TOTS")+(INDIRECT($E$3)=$E57)),INDIRECT(W$3)))&lt;&gt;0,_xlpm.y=0),-2,_xlpm.x)))),0))</f>
        <v>0</v>
      </c>
      <c r="X57" s="199" cm="1">
        <f t="array" aca="1" ref="X57" ca="1">IF(OR($B57="",$B57="X",$D57="",$D57="X",$E57="",$E57="X"),0,IFERROR(_xlfn.LET(_xlpm.x,SUM(SUM(_xlfn._xlws.FILTER(VALUE(PptoSty[Sign]&amp;1)*(1/PptoSty[Division]),(PptoSty[Division]&lt;&gt;0)*(PptoSty[Division]&lt;&gt;"")*(PptoSty[Division]&lt;&gt;"X")*(PptoSty[Project]=$B57)*(PptoSty[Vrs]=$D57)*(PptoSty[PiRow]=_xlfn.TEXTAFTER($H57,":"))*(PptoSty[PiColumn]=X$54),0)),SUM(IF((INDIRECT($B$3)=$B57)*(INDIRECT($C$3)=$D57)*((INDIRECT($E$3)="TOTS")+(INDIRECT($E$3)=$E57)),INDIRECT(X$3)))),_xlpm.y,SUM(_xlfn.CHOOSECOLS(_xlfn._xlws.FILTER(F_RT14[],(F_RT14[PrjId]=$B57)*(F_RT14[Vrs]=$D57)*(_xlfn.TEXTAFTER(F_RT14[ActGrp],":")=_xlfn.TEXTAFTER($H57,":")),"X"),MATCH("*"&amp;X$54,F_RT14[#Headers],0))),IF(AND(_xlpm.x=0,_xlpm.y&lt;&gt;0),-1,IF(AND(_xlpm.x&lt;&gt;0,_xlpm.y&lt;&gt;0),_xlpm.x,IF(AND(_xlpm.x-SUM(IF((INDIRECT($B$3)=$B57)*(INDIRECT($C$3)=$D57)*((INDIRECT($E$3)="TOTS")+(INDIRECT($E$3)=$E57)),INDIRECT(X$3)))&lt;&gt;0,_xlpm.y=0),-2,_xlpm.x)))),0))</f>
        <v>0</v>
      </c>
      <c r="Y57" s="199" cm="1">
        <f t="array" aca="1" ref="Y57" ca="1">IF(OR($B57="",$B57="X",$D57="",$D57="X",$E57="",$E57="X"),0,IFERROR(_xlfn.LET(_xlpm.x,SUM(SUM(_xlfn._xlws.FILTER(VALUE(PptoSty[Sign]&amp;1)*(1/PptoSty[Division]),(PptoSty[Division]&lt;&gt;0)*(PptoSty[Division]&lt;&gt;"")*(PptoSty[Division]&lt;&gt;"X")*(PptoSty[Project]=$B57)*(PptoSty[Vrs]=$D57)*(PptoSty[PiRow]=_xlfn.TEXTAFTER($H57,":"))*(PptoSty[PiColumn]=Y$54),0)),SUM(IF((INDIRECT($B$3)=$B57)*(INDIRECT($C$3)=$D57)*((INDIRECT($E$3)="TOTS")+(INDIRECT($E$3)=$E57)),INDIRECT(Y$3)))),_xlpm.y,SUM(_xlfn.CHOOSECOLS(_xlfn._xlws.FILTER(F_RT14[],(F_RT14[PrjId]=$B57)*(F_RT14[Vrs]=$D57)*(_xlfn.TEXTAFTER(F_RT14[ActGrp],":")=_xlfn.TEXTAFTER($H57,":")),"X"),MATCH("*"&amp;Y$54,F_RT14[#Headers],0))),IF(AND(_xlpm.x=0,_xlpm.y&lt;&gt;0),-1,IF(AND(_xlpm.x&lt;&gt;0,_xlpm.y&lt;&gt;0),_xlpm.x,IF(AND(_xlpm.x-SUM(IF((INDIRECT($B$3)=$B57)*(INDIRECT($C$3)=$D57)*((INDIRECT($E$3)="TOTS")+(INDIRECT($E$3)=$E57)),INDIRECT(Y$3)))&lt;&gt;0,_xlpm.y=0),-2,_xlpm.x)))),0))</f>
        <v>1</v>
      </c>
      <c r="Z57" s="198" t="str">
        <f t="shared" ca="1" si="2"/>
        <v>Fback!B57:Y57</v>
      </c>
    </row>
    <row r="58" spans="1:26" ht="21" customHeight="1" outlineLevel="1">
      <c r="B58" s="128" t="str">
        <v>31200</v>
      </c>
      <c r="C58" s="128" t="str">
        <v>Sp</v>
      </c>
      <c r="D58" s="128">
        <v>15</v>
      </c>
      <c r="E58" s="128" t="str">
        <v>TRSL</v>
      </c>
      <c r="F58" s="139" t="str">
        <v>PLANT</v>
      </c>
      <c r="G58" s="139" t="str">
        <v>CurPpto</v>
      </c>
      <c r="H58" s="139" t="str">
        <v>G002:DIETAS, DESPLAZAMIENTOS Y HOSPEDAJE</v>
      </c>
      <c r="I58" s="199" cm="1">
        <f t="array" aca="1" ref="I58" ca="1">IF(OR($B58="",$B58="X",$D58="",$D58="X",$E58="",$E58="X"),0,IFERROR(_xlfn.LET(_xlpm.x,SUM(SUM(_xlfn._xlws.FILTER(VALUE(PptoSty[Sign]&amp;1)*(1/PptoSty[Division]),(PptoSty[Division]&lt;&gt;0)*(PptoSty[Division]&lt;&gt;"")*(PptoSty[Division]&lt;&gt;"X")*(PptoSty[Project]=$B58)*(PptoSty[Vrs]=$D58)*(PptoSty[PiRow]=_xlfn.TEXTAFTER($H58,":"))*(PptoSty[PiColumn]=I$54),0)),SUM(IF((INDIRECT($B$3)=$B58)*(INDIRECT($C$3)=$D58)*((INDIRECT($E$3)="TOTS")+(INDIRECT($E$3)=$E58)),INDIRECT(I$3)))),_xlpm.y,SUM(_xlfn.CHOOSECOLS(_xlfn._xlws.FILTER(F_RT14[],(F_RT14[PrjId]=$B58)*(F_RT14[Vrs]=$D58)*(_xlfn.TEXTAFTER(F_RT14[ActGrp],":")=_xlfn.TEXTAFTER($H58,":")),"X"),MATCH("*"&amp;I$54,F_RT14[#Headers],0))),IF(AND(_xlpm.x=0,_xlpm.y&lt;&gt;0),-1,IF(AND(_xlpm.x&lt;&gt;0,_xlpm.y&lt;&gt;0),_xlpm.x,IF(AND(_xlpm.x-SUM(IF((INDIRECT($B$3)=$B58)*(INDIRECT($C$3)=$D58)*((INDIRECT($E$3)="TOTS")+(INDIRECT($E$3)=$E58)),INDIRECT(I$3)))&lt;&gt;0,_xlpm.y=0),-2,_xlpm.x)))),0))</f>
        <v>0</v>
      </c>
      <c r="J58" s="199" cm="1">
        <f t="array" aca="1" ref="J58" ca="1">IF(OR($B58="",$B58="X",$D58="",$D58="X",$E58="",$E58="X"),0,IFERROR(_xlfn.LET(_xlpm.x,SUM(SUM(_xlfn._xlws.FILTER(VALUE(PptoSty[Sign]&amp;1)*(1/PptoSty[Division]),(PptoSty[Division]&lt;&gt;0)*(PptoSty[Division]&lt;&gt;"")*(PptoSty[Division]&lt;&gt;"X")*(PptoSty[Project]=$B58)*(PptoSty[Vrs]=$D58)*(PptoSty[PiRow]=_xlfn.TEXTAFTER($H58,":"))*(PptoSty[PiColumn]=J$54),0)),SUM(IF((INDIRECT($B$3)=$B58)*(INDIRECT($C$3)=$D58)*((INDIRECT($E$3)="TOTS")+(INDIRECT($E$3)=$E58)),INDIRECT(J$3)))),_xlpm.y,SUM(_xlfn.CHOOSECOLS(_xlfn._xlws.FILTER(F_RT14[],(F_RT14[PrjId]=$B58)*(F_RT14[Vrs]=$D58)*(_xlfn.TEXTAFTER(F_RT14[ActGrp],":")=_xlfn.TEXTAFTER($H58,":")),"X"),MATCH("*"&amp;J$54,F_RT14[#Headers],0))),IF(AND(_xlpm.x=0,_xlpm.y&lt;&gt;0),-1,IF(AND(_xlpm.x&lt;&gt;0,_xlpm.y&lt;&gt;0),_xlpm.x,IF(AND(_xlpm.x-SUM(IF((INDIRECT($B$3)=$B58)*(INDIRECT($C$3)=$D58)*((INDIRECT($E$3)="TOTS")+(INDIRECT($E$3)=$E58)),INDIRECT(J$3)))&lt;&gt;0,_xlpm.y=0),-2,_xlpm.x)))),0))</f>
        <v>0</v>
      </c>
      <c r="K58" s="199" cm="1">
        <f t="array" aca="1" ref="K58" ca="1">IF(OR($B58="",$B58="X",$D58="",$D58="X",$E58="",$E58="X"),0,IFERROR(_xlfn.LET(_xlpm.x,SUM(SUM(_xlfn._xlws.FILTER(VALUE(PptoSty[Sign]&amp;1)*(1/PptoSty[Division]),(PptoSty[Division]&lt;&gt;0)*(PptoSty[Division]&lt;&gt;"")*(PptoSty[Division]&lt;&gt;"X")*(PptoSty[Project]=$B58)*(PptoSty[Vrs]=$D58)*(PptoSty[PiRow]=_xlfn.TEXTAFTER($H58,":"))*(PptoSty[PiColumn]=K$54),0)),SUM(IF((INDIRECT($B$3)=$B58)*(INDIRECT($C$3)=$D58)*((INDIRECT($E$3)="TOTS")+(INDIRECT($E$3)=$E58)),INDIRECT(K$3)))),_xlpm.y,SUM(_xlfn.CHOOSECOLS(_xlfn._xlws.FILTER(F_RT14[],(F_RT14[PrjId]=$B58)*(F_RT14[Vrs]=$D58)*(_xlfn.TEXTAFTER(F_RT14[ActGrp],":")=_xlfn.TEXTAFTER($H58,":")),"X"),MATCH("*"&amp;K$54,F_RT14[#Headers],0))),IF(AND(_xlpm.x=0,_xlpm.y&lt;&gt;0),-1,IF(AND(_xlpm.x&lt;&gt;0,_xlpm.y&lt;&gt;0),_xlpm.x,IF(AND(_xlpm.x-SUM(IF((INDIRECT($B$3)=$B58)*(INDIRECT($C$3)=$D58)*((INDIRECT($E$3)="TOTS")+(INDIRECT($E$3)=$E58)),INDIRECT(K$3)))&lt;&gt;0,_xlpm.y=0),-2,_xlpm.x)))),0))</f>
        <v>0</v>
      </c>
      <c r="L58" s="199" cm="1">
        <f t="array" aca="1" ref="L58" ca="1">IF(OR($B58="",$B58="X",$D58="",$D58="X",$E58="",$E58="X"),0,IFERROR(_xlfn.LET(_xlpm.x,SUM(SUM(_xlfn._xlws.FILTER(VALUE(PptoSty[Sign]&amp;1)*(1/PptoSty[Division]),(PptoSty[Division]&lt;&gt;0)*(PptoSty[Division]&lt;&gt;"")*(PptoSty[Division]&lt;&gt;"X")*(PptoSty[Project]=$B58)*(PptoSty[Vrs]=$D58)*(PptoSty[PiRow]=_xlfn.TEXTAFTER($H58,":"))*(PptoSty[PiColumn]=L$54),0)),SUM(IF((INDIRECT($B$3)=$B58)*(INDIRECT($C$3)=$D58)*((INDIRECT($E$3)="TOTS")+(INDIRECT($E$3)=$E58)),INDIRECT(L$3)))),_xlpm.y,SUM(_xlfn.CHOOSECOLS(_xlfn._xlws.FILTER(F_RT14[],(F_RT14[PrjId]=$B58)*(F_RT14[Vrs]=$D58)*(_xlfn.TEXTAFTER(F_RT14[ActGrp],":")=_xlfn.TEXTAFTER($H58,":")),"X"),MATCH("*"&amp;L$54,F_RT14[#Headers],0))),IF(AND(_xlpm.x=0,_xlpm.y&lt;&gt;0),-1,IF(AND(_xlpm.x&lt;&gt;0,_xlpm.y&lt;&gt;0),_xlpm.x,IF(AND(_xlpm.x-SUM(IF((INDIRECT($B$3)=$B58)*(INDIRECT($C$3)=$D58)*((INDIRECT($E$3)="TOTS")+(INDIRECT($E$3)=$E58)),INDIRECT(L$3)))&lt;&gt;0,_xlpm.y=0),-2,_xlpm.x)))),0))</f>
        <v>0</v>
      </c>
      <c r="M58" s="199" cm="1">
        <f t="array" aca="1" ref="M58" ca="1">IF(OR($B58="",$B58="X",$D58="",$D58="X",$E58="",$E58="X"),0,IFERROR(_xlfn.LET(_xlpm.x,SUM(SUM(_xlfn._xlws.FILTER(VALUE(PptoSty[Sign]&amp;1)*(1/PptoSty[Division]),(PptoSty[Division]&lt;&gt;0)*(PptoSty[Division]&lt;&gt;"")*(PptoSty[Division]&lt;&gt;"X")*(PptoSty[Project]=$B58)*(PptoSty[Vrs]=$D58)*(PptoSty[PiRow]=_xlfn.TEXTAFTER($H58,":"))*(PptoSty[PiColumn]=M$54),0)),SUM(IF((INDIRECT($B$3)=$B58)*(INDIRECT($C$3)=$D58)*((INDIRECT($E$3)="TOTS")+(INDIRECT($E$3)=$E58)),INDIRECT(M$3)))),_xlpm.y,SUM(_xlfn.CHOOSECOLS(_xlfn._xlws.FILTER(F_RT14[],(F_RT14[PrjId]=$B58)*(F_RT14[Vrs]=$D58)*(_xlfn.TEXTAFTER(F_RT14[ActGrp],":")=_xlfn.TEXTAFTER($H58,":")),"X"),MATCH("*"&amp;M$54,F_RT14[#Headers],0))),IF(AND(_xlpm.x=0,_xlpm.y&lt;&gt;0),-1,IF(AND(_xlpm.x&lt;&gt;0,_xlpm.y&lt;&gt;0),_xlpm.x,IF(AND(_xlpm.x-SUM(IF((INDIRECT($B$3)=$B58)*(INDIRECT($C$3)=$D58)*((INDIRECT($E$3)="TOTS")+(INDIRECT($E$3)=$E58)),INDIRECT(M$3)))&lt;&gt;0,_xlpm.y=0),-2,_xlpm.x)))),0))</f>
        <v>0</v>
      </c>
      <c r="N58" s="199" cm="1">
        <f t="array" aca="1" ref="N58" ca="1">IF(OR($B58="",$B58="X",$D58="",$D58="X",$E58="",$E58="X"),0,IFERROR(_xlfn.LET(_xlpm.x,SUM(SUM(_xlfn._xlws.FILTER(VALUE(PptoSty[Sign]&amp;1)*(1/PptoSty[Division]),(PptoSty[Division]&lt;&gt;0)*(PptoSty[Division]&lt;&gt;"")*(PptoSty[Division]&lt;&gt;"X")*(PptoSty[Project]=$B58)*(PptoSty[Vrs]=$D58)*(PptoSty[PiRow]=_xlfn.TEXTAFTER($H58,":"))*(PptoSty[PiColumn]=N$54),0)),SUM(IF((INDIRECT($B$3)=$B58)*(INDIRECT($C$3)=$D58)*((INDIRECT($E$3)="TOTS")+(INDIRECT($E$3)=$E58)),INDIRECT(N$3)))),_xlpm.y,SUM(_xlfn.CHOOSECOLS(_xlfn._xlws.FILTER(F_RT14[],(F_RT14[PrjId]=$B58)*(F_RT14[Vrs]=$D58)*(_xlfn.TEXTAFTER(F_RT14[ActGrp],":")=_xlfn.TEXTAFTER($H58,":")),"X"),MATCH("*"&amp;N$54,F_RT14[#Headers],0))),IF(AND(_xlpm.x=0,_xlpm.y&lt;&gt;0),-1,IF(AND(_xlpm.x&lt;&gt;0,_xlpm.y&lt;&gt;0),_xlpm.x,IF(AND(_xlpm.x-SUM(IF((INDIRECT($B$3)=$B58)*(INDIRECT($C$3)=$D58)*((INDIRECT($E$3)="TOTS")+(INDIRECT($E$3)=$E58)),INDIRECT(N$3)))&lt;&gt;0,_xlpm.y=0),-2,_xlpm.x)))),0))</f>
        <v>0</v>
      </c>
      <c r="O58" s="199" cm="1">
        <f t="array" aca="1" ref="O58" ca="1">IF(OR($B58="",$B58="X",$D58="",$D58="X",$E58="",$E58="X"),0,IFERROR(_xlfn.LET(_xlpm.x,SUM(SUM(_xlfn._xlws.FILTER(VALUE(PptoSty[Sign]&amp;1)*(1/PptoSty[Division]),(PptoSty[Division]&lt;&gt;0)*(PptoSty[Division]&lt;&gt;"")*(PptoSty[Division]&lt;&gt;"X")*(PptoSty[Project]=$B58)*(PptoSty[Vrs]=$D58)*(PptoSty[PiRow]=_xlfn.TEXTAFTER($H58,":"))*(PptoSty[PiColumn]=O$54),0)),SUM(IF((INDIRECT($B$3)=$B58)*(INDIRECT($C$3)=$D58)*((INDIRECT($E$3)="TOTS")+(INDIRECT($E$3)=$E58)),INDIRECT(O$3)))),_xlpm.y,SUM(_xlfn.CHOOSECOLS(_xlfn._xlws.FILTER(F_RT14[],(F_RT14[PrjId]=$B58)*(F_RT14[Vrs]=$D58)*(_xlfn.TEXTAFTER(F_RT14[ActGrp],":")=_xlfn.TEXTAFTER($H58,":")),"X"),MATCH("*"&amp;O$54,F_RT14[#Headers],0))),IF(AND(_xlpm.x=0,_xlpm.y&lt;&gt;0),-1,IF(AND(_xlpm.x&lt;&gt;0,_xlpm.y&lt;&gt;0),_xlpm.x,IF(AND(_xlpm.x-SUM(IF((INDIRECT($B$3)=$B58)*(INDIRECT($C$3)=$D58)*((INDIRECT($E$3)="TOTS")+(INDIRECT($E$3)=$E58)),INDIRECT(O$3)))&lt;&gt;0,_xlpm.y=0),-2,_xlpm.x)))),0))</f>
        <v>0</v>
      </c>
      <c r="P58" s="199" cm="1">
        <f t="array" aca="1" ref="P58" ca="1">IF(OR($B58="",$B58="X",$D58="",$D58="X",$E58="",$E58="X"),0,IFERROR(_xlfn.LET(_xlpm.x,SUM(SUM(_xlfn._xlws.FILTER(VALUE(PptoSty[Sign]&amp;1)*(1/PptoSty[Division]),(PptoSty[Division]&lt;&gt;0)*(PptoSty[Division]&lt;&gt;"")*(PptoSty[Division]&lt;&gt;"X")*(PptoSty[Project]=$B58)*(PptoSty[Vrs]=$D58)*(PptoSty[PiRow]=_xlfn.TEXTAFTER($H58,":"))*(PptoSty[PiColumn]=P$54),0)),SUM(IF((INDIRECT($B$3)=$B58)*(INDIRECT($C$3)=$D58)*((INDIRECT($E$3)="TOTS")+(INDIRECT($E$3)=$E58)),INDIRECT(P$3)))),_xlpm.y,SUM(_xlfn.CHOOSECOLS(_xlfn._xlws.FILTER(F_RT14[],(F_RT14[PrjId]=$B58)*(F_RT14[Vrs]=$D58)*(_xlfn.TEXTAFTER(F_RT14[ActGrp],":")=_xlfn.TEXTAFTER($H58,":")),"X"),MATCH("*"&amp;P$54,F_RT14[#Headers],0))),IF(AND(_xlpm.x=0,_xlpm.y&lt;&gt;0),-1,IF(AND(_xlpm.x&lt;&gt;0,_xlpm.y&lt;&gt;0),_xlpm.x,IF(AND(_xlpm.x-SUM(IF((INDIRECT($B$3)=$B58)*(INDIRECT($C$3)=$D58)*((INDIRECT($E$3)="TOTS")+(INDIRECT($E$3)=$E58)),INDIRECT(P$3)))&lt;&gt;0,_xlpm.y=0),-2,_xlpm.x)))),0))</f>
        <v>0</v>
      </c>
      <c r="Q58" s="199" cm="1">
        <f t="array" aca="1" ref="Q58" ca="1">IF(OR($B58="",$B58="X",$D58="",$D58="X",$E58="",$E58="X"),0,IFERROR(_xlfn.LET(_xlpm.x,SUM(SUM(_xlfn._xlws.FILTER(VALUE(PptoSty[Sign]&amp;1)*(1/PptoSty[Division]),(PptoSty[Division]&lt;&gt;0)*(PptoSty[Division]&lt;&gt;"")*(PptoSty[Division]&lt;&gt;"X")*(PptoSty[Project]=$B58)*(PptoSty[Vrs]=$D58)*(PptoSty[PiRow]=_xlfn.TEXTAFTER($H58,":"))*(PptoSty[PiColumn]=Q$54),0)),SUM(IF((INDIRECT($B$3)=$B58)*(INDIRECT($C$3)=$D58)*((INDIRECT($E$3)="TOTS")+(INDIRECT($E$3)=$E58)),INDIRECT(Q$3)))),_xlpm.y,SUM(_xlfn.CHOOSECOLS(_xlfn._xlws.FILTER(F_RT14[],(F_RT14[PrjId]=$B58)*(F_RT14[Vrs]=$D58)*(_xlfn.TEXTAFTER(F_RT14[ActGrp],":")=_xlfn.TEXTAFTER($H58,":")),"X"),MATCH("*"&amp;Q$54,F_RT14[#Headers],0))),IF(AND(_xlpm.x=0,_xlpm.y&lt;&gt;0),-1,IF(AND(_xlpm.x&lt;&gt;0,_xlpm.y&lt;&gt;0),_xlpm.x,IF(AND(_xlpm.x-SUM(IF((INDIRECT($B$3)=$B58)*(INDIRECT($C$3)=$D58)*((INDIRECT($E$3)="TOTS")+(INDIRECT($E$3)=$E58)),INDIRECT(Q$3)))&lt;&gt;0,_xlpm.y=0),-2,_xlpm.x)))),0))</f>
        <v>0</v>
      </c>
      <c r="R58" s="199" cm="1">
        <f t="array" aca="1" ref="R58" ca="1">IF(OR($B58="",$B58="X",$D58="",$D58="X",$E58="",$E58="X"),0,IFERROR(_xlfn.LET(_xlpm.x,SUM(SUM(_xlfn._xlws.FILTER(VALUE(PptoSty[Sign]&amp;1)*(1/PptoSty[Division]),(PptoSty[Division]&lt;&gt;0)*(PptoSty[Division]&lt;&gt;"")*(PptoSty[Division]&lt;&gt;"X")*(PptoSty[Project]=$B58)*(PptoSty[Vrs]=$D58)*(PptoSty[PiRow]=_xlfn.TEXTAFTER($H58,":"))*(PptoSty[PiColumn]=R$54),0)),SUM(IF((INDIRECT($B$3)=$B58)*(INDIRECT($C$3)=$D58)*((INDIRECT($E$3)="TOTS")+(INDIRECT($E$3)=$E58)),INDIRECT(R$3)))),_xlpm.y,SUM(_xlfn.CHOOSECOLS(_xlfn._xlws.FILTER(F_RT14[],(F_RT14[PrjId]=$B58)*(F_RT14[Vrs]=$D58)*(_xlfn.TEXTAFTER(F_RT14[ActGrp],":")=_xlfn.TEXTAFTER($H58,":")),"X"),MATCH("*"&amp;R$54,F_RT14[#Headers],0))),IF(AND(_xlpm.x=0,_xlpm.y&lt;&gt;0),-1,IF(AND(_xlpm.x&lt;&gt;0,_xlpm.y&lt;&gt;0),_xlpm.x,IF(AND(_xlpm.x-SUM(IF((INDIRECT($B$3)=$B58)*(INDIRECT($C$3)=$D58)*((INDIRECT($E$3)="TOTS")+(INDIRECT($E$3)=$E58)),INDIRECT(R$3)))&lt;&gt;0,_xlpm.y=0),-2,_xlpm.x)))),0))</f>
        <v>0</v>
      </c>
      <c r="S58" s="199" cm="1">
        <f t="array" aca="1" ref="S58" ca="1">IF(OR($B58="",$B58="X",$D58="",$D58="X",$E58="",$E58="X"),0,IFERROR(_xlfn.LET(_xlpm.x,SUM(SUM(_xlfn._xlws.FILTER(VALUE(PptoSty[Sign]&amp;1)*(1/PptoSty[Division]),(PptoSty[Division]&lt;&gt;0)*(PptoSty[Division]&lt;&gt;"")*(PptoSty[Division]&lt;&gt;"X")*(PptoSty[Project]=$B58)*(PptoSty[Vrs]=$D58)*(PptoSty[PiRow]=_xlfn.TEXTAFTER($H58,":"))*(PptoSty[PiColumn]=S$54),0)),SUM(IF((INDIRECT($B$3)=$B58)*(INDIRECT($C$3)=$D58)*((INDIRECT($E$3)="TOTS")+(INDIRECT($E$3)=$E58)),INDIRECT(S$3)))),_xlpm.y,SUM(_xlfn.CHOOSECOLS(_xlfn._xlws.FILTER(F_RT14[],(F_RT14[PrjId]=$B58)*(F_RT14[Vrs]=$D58)*(_xlfn.TEXTAFTER(F_RT14[ActGrp],":")=_xlfn.TEXTAFTER($H58,":")),"X"),MATCH("*"&amp;S$54,F_RT14[#Headers],0))),IF(AND(_xlpm.x=0,_xlpm.y&lt;&gt;0),-1,IF(AND(_xlpm.x&lt;&gt;0,_xlpm.y&lt;&gt;0),_xlpm.x,IF(AND(_xlpm.x-SUM(IF((INDIRECT($B$3)=$B58)*(INDIRECT($C$3)=$D58)*((INDIRECT($E$3)="TOTS")+(INDIRECT($E$3)=$E58)),INDIRECT(S$3)))&lt;&gt;0,_xlpm.y=0),-2,_xlpm.x)))),0))</f>
        <v>0</v>
      </c>
      <c r="T58" s="199" cm="1">
        <f t="array" aca="1" ref="T58" ca="1">IF(OR($B58="",$B58="X",$D58="",$D58="X",$E58="",$E58="X"),0,IFERROR(_xlfn.LET(_xlpm.x,SUM(SUM(_xlfn._xlws.FILTER(VALUE(PptoSty[Sign]&amp;1)*(1/PptoSty[Division]),(PptoSty[Division]&lt;&gt;0)*(PptoSty[Division]&lt;&gt;"")*(PptoSty[Division]&lt;&gt;"X")*(PptoSty[Project]=$B58)*(PptoSty[Vrs]=$D58)*(PptoSty[PiRow]=_xlfn.TEXTAFTER($H58,":"))*(PptoSty[PiColumn]=T$54),0)),SUM(IF((INDIRECT($B$3)=$B58)*(INDIRECT($C$3)=$D58)*((INDIRECT($E$3)="TOTS")+(INDIRECT($E$3)=$E58)),INDIRECT(T$3)))),_xlpm.y,SUM(_xlfn.CHOOSECOLS(_xlfn._xlws.FILTER(F_RT14[],(F_RT14[PrjId]=$B58)*(F_RT14[Vrs]=$D58)*(_xlfn.TEXTAFTER(F_RT14[ActGrp],":")=_xlfn.TEXTAFTER($H58,":")),"X"),MATCH("*"&amp;T$54,F_RT14[#Headers],0))),IF(AND(_xlpm.x=0,_xlpm.y&lt;&gt;0),-1,IF(AND(_xlpm.x&lt;&gt;0,_xlpm.y&lt;&gt;0),_xlpm.x,IF(AND(_xlpm.x-SUM(IF((INDIRECT($B$3)=$B58)*(INDIRECT($C$3)=$D58)*((INDIRECT($E$3)="TOTS")+(INDIRECT($E$3)=$E58)),INDIRECT(T$3)))&lt;&gt;0,_xlpm.y=0),-2,_xlpm.x)))),0))</f>
        <v>0</v>
      </c>
      <c r="U58" s="199" cm="1">
        <f t="array" aca="1" ref="U58" ca="1">IF(OR($B58="",$B58="X",$D58="",$D58="X",$E58="",$E58="X"),0,IFERROR(_xlfn.LET(_xlpm.x,SUM(SUM(_xlfn._xlws.FILTER(VALUE(PptoSty[Sign]&amp;1)*(1/PptoSty[Division]),(PptoSty[Division]&lt;&gt;0)*(PptoSty[Division]&lt;&gt;"")*(PptoSty[Division]&lt;&gt;"X")*(PptoSty[Project]=$B58)*(PptoSty[Vrs]=$D58)*(PptoSty[PiRow]=_xlfn.TEXTAFTER($H58,":"))*(PptoSty[PiColumn]=U$54),0)),SUM(IF((INDIRECT($B$3)=$B58)*(INDIRECT($C$3)=$D58)*((INDIRECT($E$3)="TOTS")+(INDIRECT($E$3)=$E58)),INDIRECT(U$3)))),_xlpm.y,SUM(_xlfn.CHOOSECOLS(_xlfn._xlws.FILTER(F_RT14[],(F_RT14[PrjId]=$B58)*(F_RT14[Vrs]=$D58)*(_xlfn.TEXTAFTER(F_RT14[ActGrp],":")=_xlfn.TEXTAFTER($H58,":")),"X"),MATCH("*"&amp;U$54,F_RT14[#Headers],0))),IF(AND(_xlpm.x=0,_xlpm.y&lt;&gt;0),-1,IF(AND(_xlpm.x&lt;&gt;0,_xlpm.y&lt;&gt;0),_xlpm.x,IF(AND(_xlpm.x-SUM(IF((INDIRECT($B$3)=$B58)*(INDIRECT($C$3)=$D58)*((INDIRECT($E$3)="TOTS")+(INDIRECT($E$3)=$E58)),INDIRECT(U$3)))&lt;&gt;0,_xlpm.y=0),-2,_xlpm.x)))),0))</f>
        <v>0</v>
      </c>
      <c r="V58" s="199" cm="1">
        <f t="array" aca="1" ref="V58" ca="1">IF(OR($B58="",$B58="X",$D58="",$D58="X",$E58="",$E58="X"),0,IFERROR(_xlfn.LET(_xlpm.x,SUM(SUM(_xlfn._xlws.FILTER(VALUE(PptoSty[Sign]&amp;1)*(1/PptoSty[Division]),(PptoSty[Division]&lt;&gt;0)*(PptoSty[Division]&lt;&gt;"")*(PptoSty[Division]&lt;&gt;"X")*(PptoSty[Project]=$B58)*(PptoSty[Vrs]=$D58)*(PptoSty[PiRow]=_xlfn.TEXTAFTER($H58,":"))*(PptoSty[PiColumn]=V$54),0)),SUM(IF((INDIRECT($B$3)=$B58)*(INDIRECT($C$3)=$D58)*((INDIRECT($E$3)="TOTS")+(INDIRECT($E$3)=$E58)),INDIRECT(V$3)))),_xlpm.y,SUM(_xlfn.CHOOSECOLS(_xlfn._xlws.FILTER(F_RT14[],(F_RT14[PrjId]=$B58)*(F_RT14[Vrs]=$D58)*(_xlfn.TEXTAFTER(F_RT14[ActGrp],":")=_xlfn.TEXTAFTER($H58,":")),"X"),MATCH("*"&amp;V$54,F_RT14[#Headers],0))),IF(AND(_xlpm.x=0,_xlpm.y&lt;&gt;0),-1,IF(AND(_xlpm.x&lt;&gt;0,_xlpm.y&lt;&gt;0),_xlpm.x,IF(AND(_xlpm.x-SUM(IF((INDIRECT($B$3)=$B58)*(INDIRECT($C$3)=$D58)*((INDIRECT($E$3)="TOTS")+(INDIRECT($E$3)=$E58)),INDIRECT(V$3)))&lt;&gt;0,_xlpm.y=0),-2,_xlpm.x)))),0))</f>
        <v>0</v>
      </c>
      <c r="W58" s="199" cm="1">
        <f t="array" aca="1" ref="W58" ca="1">IF(OR($B58="",$B58="X",$D58="",$D58="X",$E58="",$E58="X"),0,IFERROR(_xlfn.LET(_xlpm.x,SUM(SUM(_xlfn._xlws.FILTER(VALUE(PptoSty[Sign]&amp;1)*(1/PptoSty[Division]),(PptoSty[Division]&lt;&gt;0)*(PptoSty[Division]&lt;&gt;"")*(PptoSty[Division]&lt;&gt;"X")*(PptoSty[Project]=$B58)*(PptoSty[Vrs]=$D58)*(PptoSty[PiRow]=_xlfn.TEXTAFTER($H58,":"))*(PptoSty[PiColumn]=W$54),0)),SUM(IF((INDIRECT($B$3)=$B58)*(INDIRECT($C$3)=$D58)*((INDIRECT($E$3)="TOTS")+(INDIRECT($E$3)=$E58)),INDIRECT(W$3)))),_xlpm.y,SUM(_xlfn.CHOOSECOLS(_xlfn._xlws.FILTER(F_RT14[],(F_RT14[PrjId]=$B58)*(F_RT14[Vrs]=$D58)*(_xlfn.TEXTAFTER(F_RT14[ActGrp],":")=_xlfn.TEXTAFTER($H58,":")),"X"),MATCH("*"&amp;W$54,F_RT14[#Headers],0))),IF(AND(_xlpm.x=0,_xlpm.y&lt;&gt;0),-1,IF(AND(_xlpm.x&lt;&gt;0,_xlpm.y&lt;&gt;0),_xlpm.x,IF(AND(_xlpm.x-SUM(IF((INDIRECT($B$3)=$B58)*(INDIRECT($C$3)=$D58)*((INDIRECT($E$3)="TOTS")+(INDIRECT($E$3)=$E58)),INDIRECT(W$3)))&lt;&gt;0,_xlpm.y=0),-2,_xlpm.x)))),0))</f>
        <v>0</v>
      </c>
      <c r="X58" s="199" cm="1">
        <f t="array" aca="1" ref="X58" ca="1">IF(OR($B58="",$B58="X",$D58="",$D58="X",$E58="",$E58="X"),0,IFERROR(_xlfn.LET(_xlpm.x,SUM(SUM(_xlfn._xlws.FILTER(VALUE(PptoSty[Sign]&amp;1)*(1/PptoSty[Division]),(PptoSty[Division]&lt;&gt;0)*(PptoSty[Division]&lt;&gt;"")*(PptoSty[Division]&lt;&gt;"X")*(PptoSty[Project]=$B58)*(PptoSty[Vrs]=$D58)*(PptoSty[PiRow]=_xlfn.TEXTAFTER($H58,":"))*(PptoSty[PiColumn]=X$54),0)),SUM(IF((INDIRECT($B$3)=$B58)*(INDIRECT($C$3)=$D58)*((INDIRECT($E$3)="TOTS")+(INDIRECT($E$3)=$E58)),INDIRECT(X$3)))),_xlpm.y,SUM(_xlfn.CHOOSECOLS(_xlfn._xlws.FILTER(F_RT14[],(F_RT14[PrjId]=$B58)*(F_RT14[Vrs]=$D58)*(_xlfn.TEXTAFTER(F_RT14[ActGrp],":")=_xlfn.TEXTAFTER($H58,":")),"X"),MATCH("*"&amp;X$54,F_RT14[#Headers],0))),IF(AND(_xlpm.x=0,_xlpm.y&lt;&gt;0),-1,IF(AND(_xlpm.x&lt;&gt;0,_xlpm.y&lt;&gt;0),_xlpm.x,IF(AND(_xlpm.x-SUM(IF((INDIRECT($B$3)=$B58)*(INDIRECT($C$3)=$D58)*((INDIRECT($E$3)="TOTS")+(INDIRECT($E$3)=$E58)),INDIRECT(X$3)))&lt;&gt;0,_xlpm.y=0),-2,_xlpm.x)))),0))</f>
        <v>0</v>
      </c>
      <c r="Y58" s="199" cm="1">
        <f t="array" aca="1" ref="Y58" ca="1">IF(OR($B58="",$B58="X",$D58="",$D58="X",$E58="",$E58="X"),0,IFERROR(_xlfn.LET(_xlpm.x,SUM(SUM(_xlfn._xlws.FILTER(VALUE(PptoSty[Sign]&amp;1)*(1/PptoSty[Division]),(PptoSty[Division]&lt;&gt;0)*(PptoSty[Division]&lt;&gt;"")*(PptoSty[Division]&lt;&gt;"X")*(PptoSty[Project]=$B58)*(PptoSty[Vrs]=$D58)*(PptoSty[PiRow]=_xlfn.TEXTAFTER($H58,":"))*(PptoSty[PiColumn]=Y$54),0)),SUM(IF((INDIRECT($B$3)=$B58)*(INDIRECT($C$3)=$D58)*((INDIRECT($E$3)="TOTS")+(INDIRECT($E$3)=$E58)),INDIRECT(Y$3)))),_xlpm.y,SUM(_xlfn.CHOOSECOLS(_xlfn._xlws.FILTER(F_RT14[],(F_RT14[PrjId]=$B58)*(F_RT14[Vrs]=$D58)*(_xlfn.TEXTAFTER(F_RT14[ActGrp],":")=_xlfn.TEXTAFTER($H58,":")),"X"),MATCH("*"&amp;Y$54,F_RT14[#Headers],0))),IF(AND(_xlpm.x=0,_xlpm.y&lt;&gt;0),-1,IF(AND(_xlpm.x&lt;&gt;0,_xlpm.y&lt;&gt;0),_xlpm.x,IF(AND(_xlpm.x-SUM(IF((INDIRECT($B$3)=$B58)*(INDIRECT($C$3)=$D58)*((INDIRECT($E$3)="TOTS")+(INDIRECT($E$3)=$E58)),INDIRECT(Y$3)))&lt;&gt;0,_xlpm.y=0),-2,_xlpm.x)))),0))</f>
        <v>1</v>
      </c>
      <c r="Z58" s="198" t="str">
        <f t="shared" ca="1" si="2"/>
        <v>Fback!B58:Y58</v>
      </c>
    </row>
    <row r="59" spans="1:26" ht="21" customHeight="1" outlineLevel="1">
      <c r="B59" s="128" t="str">
        <v>31199</v>
      </c>
      <c r="C59" s="128" t="str">
        <v>Sp</v>
      </c>
      <c r="D59" s="128">
        <v>0</v>
      </c>
      <c r="E59" s="128" t="str">
        <v>GSDF</v>
      </c>
      <c r="F59" s="139" t="str">
        <v>SERRA</v>
      </c>
      <c r="G59" s="139" t="str">
        <v>CurPpto</v>
      </c>
      <c r="H59" s="139" t="str">
        <v>G003:COORDINACIÓN DEL PROYECTO</v>
      </c>
      <c r="I59" s="199" cm="1">
        <f t="array" aca="1" ref="I59" ca="1">IF(OR($B59="",$B59="X",$D59="",$D59="X",$E59="",$E59="X"),0,IFERROR(_xlfn.LET(_xlpm.x,SUM(SUM(_xlfn._xlws.FILTER(VALUE(PptoSty[Sign]&amp;1)*(1/PptoSty[Division]),(PptoSty[Division]&lt;&gt;0)*(PptoSty[Division]&lt;&gt;"")*(PptoSty[Division]&lt;&gt;"X")*(PptoSty[Project]=$B59)*(PptoSty[Vrs]=$D59)*(PptoSty[PiRow]=_xlfn.TEXTAFTER($H59,":"))*(PptoSty[PiColumn]=I$54),0)),SUM(IF((INDIRECT($B$3)=$B59)*(INDIRECT($C$3)=$D59)*((INDIRECT($E$3)="TOTS")+(INDIRECT($E$3)=$E59)),INDIRECT(I$3)))),_xlpm.y,SUM(_xlfn.CHOOSECOLS(_xlfn._xlws.FILTER(F_RT14[],(F_RT14[PrjId]=$B59)*(F_RT14[Vrs]=$D59)*(_xlfn.TEXTAFTER(F_RT14[ActGrp],":")=_xlfn.TEXTAFTER($H59,":")),"X"),MATCH("*"&amp;I$54,F_RT14[#Headers],0))),IF(AND(_xlpm.x=0,_xlpm.y&lt;&gt;0),-1,IF(AND(_xlpm.x&lt;&gt;0,_xlpm.y&lt;&gt;0),_xlpm.x,IF(AND(_xlpm.x-SUM(IF((INDIRECT($B$3)=$B59)*(INDIRECT($C$3)=$D59)*((INDIRECT($E$3)="TOTS")+(INDIRECT($E$3)=$E59)),INDIRECT(I$3)))&lt;&gt;0,_xlpm.y=0),-2,_xlpm.x)))),0))</f>
        <v>1</v>
      </c>
      <c r="J59" s="199" cm="1">
        <f t="array" aca="1" ref="J59" ca="1">IF(OR($B59="",$B59="X",$D59="",$D59="X",$E59="",$E59="X"),0,IFERROR(_xlfn.LET(_xlpm.x,SUM(SUM(_xlfn._xlws.FILTER(VALUE(PptoSty[Sign]&amp;1)*(1/PptoSty[Division]),(PptoSty[Division]&lt;&gt;0)*(PptoSty[Division]&lt;&gt;"")*(PptoSty[Division]&lt;&gt;"X")*(PptoSty[Project]=$B59)*(PptoSty[Vrs]=$D59)*(PptoSty[PiRow]=_xlfn.TEXTAFTER($H59,":"))*(PptoSty[PiColumn]=J$54),0)),SUM(IF((INDIRECT($B$3)=$B59)*(INDIRECT($C$3)=$D59)*((INDIRECT($E$3)="TOTS")+(INDIRECT($E$3)=$E59)),INDIRECT(J$3)))),_xlpm.y,SUM(_xlfn.CHOOSECOLS(_xlfn._xlws.FILTER(F_RT14[],(F_RT14[PrjId]=$B59)*(F_RT14[Vrs]=$D59)*(_xlfn.TEXTAFTER(F_RT14[ActGrp],":")=_xlfn.TEXTAFTER($H59,":")),"X"),MATCH("*"&amp;J$54,F_RT14[#Headers],0))),IF(AND(_xlpm.x=0,_xlpm.y&lt;&gt;0),-1,IF(AND(_xlpm.x&lt;&gt;0,_xlpm.y&lt;&gt;0),_xlpm.x,IF(AND(_xlpm.x-SUM(IF((INDIRECT($B$3)=$B59)*(INDIRECT($C$3)=$D59)*((INDIRECT($E$3)="TOTS")+(INDIRECT($E$3)=$E59)),INDIRECT(J$3)))&lt;&gt;0,_xlpm.y=0),-2,_xlpm.x)))),0))</f>
        <v>0</v>
      </c>
      <c r="K59" s="199" cm="1">
        <f t="array" aca="1" ref="K59" ca="1">IF(OR($B59="",$B59="X",$D59="",$D59="X",$E59="",$E59="X"),0,IFERROR(_xlfn.LET(_xlpm.x,SUM(SUM(_xlfn._xlws.FILTER(VALUE(PptoSty[Sign]&amp;1)*(1/PptoSty[Division]),(PptoSty[Division]&lt;&gt;0)*(PptoSty[Division]&lt;&gt;"")*(PptoSty[Division]&lt;&gt;"X")*(PptoSty[Project]=$B59)*(PptoSty[Vrs]=$D59)*(PptoSty[PiRow]=_xlfn.TEXTAFTER($H59,":"))*(PptoSty[PiColumn]=K$54),0)),SUM(IF((INDIRECT($B$3)=$B59)*(INDIRECT($C$3)=$D59)*((INDIRECT($E$3)="TOTS")+(INDIRECT($E$3)=$E59)),INDIRECT(K$3)))),_xlpm.y,SUM(_xlfn.CHOOSECOLS(_xlfn._xlws.FILTER(F_RT14[],(F_RT14[PrjId]=$B59)*(F_RT14[Vrs]=$D59)*(_xlfn.TEXTAFTER(F_RT14[ActGrp],":")=_xlfn.TEXTAFTER($H59,":")),"X"),MATCH("*"&amp;K$54,F_RT14[#Headers],0))),IF(AND(_xlpm.x=0,_xlpm.y&lt;&gt;0),-1,IF(AND(_xlpm.x&lt;&gt;0,_xlpm.y&lt;&gt;0),_xlpm.x,IF(AND(_xlpm.x-SUM(IF((INDIRECT($B$3)=$B59)*(INDIRECT($C$3)=$D59)*((INDIRECT($E$3)="TOTS")+(INDIRECT($E$3)=$E59)),INDIRECT(K$3)))&lt;&gt;0,_xlpm.y=0),-2,_xlpm.x)))),0))</f>
        <v>0</v>
      </c>
      <c r="L59" s="199" cm="1">
        <f t="array" aca="1" ref="L59" ca="1">IF(OR($B59="",$B59="X",$D59="",$D59="X",$E59="",$E59="X"),0,IFERROR(_xlfn.LET(_xlpm.x,SUM(SUM(_xlfn._xlws.FILTER(VALUE(PptoSty[Sign]&amp;1)*(1/PptoSty[Division]),(PptoSty[Division]&lt;&gt;0)*(PptoSty[Division]&lt;&gt;"")*(PptoSty[Division]&lt;&gt;"X")*(PptoSty[Project]=$B59)*(PptoSty[Vrs]=$D59)*(PptoSty[PiRow]=_xlfn.TEXTAFTER($H59,":"))*(PptoSty[PiColumn]=L$54),0)),SUM(IF((INDIRECT($B$3)=$B59)*(INDIRECT($C$3)=$D59)*((INDIRECT($E$3)="TOTS")+(INDIRECT($E$3)=$E59)),INDIRECT(L$3)))),_xlpm.y,SUM(_xlfn.CHOOSECOLS(_xlfn._xlws.FILTER(F_RT14[],(F_RT14[PrjId]=$B59)*(F_RT14[Vrs]=$D59)*(_xlfn.TEXTAFTER(F_RT14[ActGrp],":")=_xlfn.TEXTAFTER($H59,":")),"X"),MATCH("*"&amp;L$54,F_RT14[#Headers],0))),IF(AND(_xlpm.x=0,_xlpm.y&lt;&gt;0),-1,IF(AND(_xlpm.x&lt;&gt;0,_xlpm.y&lt;&gt;0),_xlpm.x,IF(AND(_xlpm.x-SUM(IF((INDIRECT($B$3)=$B59)*(INDIRECT($C$3)=$D59)*((INDIRECT($E$3)="TOTS")+(INDIRECT($E$3)=$E59)),INDIRECT(L$3)))&lt;&gt;0,_xlpm.y=0),-2,_xlpm.x)))),0))</f>
        <v>0</v>
      </c>
      <c r="M59" s="199" cm="1">
        <f t="array" aca="1" ref="M59" ca="1">IF(OR($B59="",$B59="X",$D59="",$D59="X",$E59="",$E59="X"),0,IFERROR(_xlfn.LET(_xlpm.x,SUM(SUM(_xlfn._xlws.FILTER(VALUE(PptoSty[Sign]&amp;1)*(1/PptoSty[Division]),(PptoSty[Division]&lt;&gt;0)*(PptoSty[Division]&lt;&gt;"")*(PptoSty[Division]&lt;&gt;"X")*(PptoSty[Project]=$B59)*(PptoSty[Vrs]=$D59)*(PptoSty[PiRow]=_xlfn.TEXTAFTER($H59,":"))*(PptoSty[PiColumn]=M$54),0)),SUM(IF((INDIRECT($B$3)=$B59)*(INDIRECT($C$3)=$D59)*((INDIRECT($E$3)="TOTS")+(INDIRECT($E$3)=$E59)),INDIRECT(M$3)))),_xlpm.y,SUM(_xlfn.CHOOSECOLS(_xlfn._xlws.FILTER(F_RT14[],(F_RT14[PrjId]=$B59)*(F_RT14[Vrs]=$D59)*(_xlfn.TEXTAFTER(F_RT14[ActGrp],":")=_xlfn.TEXTAFTER($H59,":")),"X"),MATCH("*"&amp;M$54,F_RT14[#Headers],0))),IF(AND(_xlpm.x=0,_xlpm.y&lt;&gt;0),-1,IF(AND(_xlpm.x&lt;&gt;0,_xlpm.y&lt;&gt;0),_xlpm.x,IF(AND(_xlpm.x-SUM(IF((INDIRECT($B$3)=$B59)*(INDIRECT($C$3)=$D59)*((INDIRECT($E$3)="TOTS")+(INDIRECT($E$3)=$E59)),INDIRECT(M$3)))&lt;&gt;0,_xlpm.y=0),-2,_xlpm.x)))),0))</f>
        <v>0</v>
      </c>
      <c r="N59" s="199" cm="1">
        <f t="array" aca="1" ref="N59" ca="1">IF(OR($B59="",$B59="X",$D59="",$D59="X",$E59="",$E59="X"),0,IFERROR(_xlfn.LET(_xlpm.x,SUM(SUM(_xlfn._xlws.FILTER(VALUE(PptoSty[Sign]&amp;1)*(1/PptoSty[Division]),(PptoSty[Division]&lt;&gt;0)*(PptoSty[Division]&lt;&gt;"")*(PptoSty[Division]&lt;&gt;"X")*(PptoSty[Project]=$B59)*(PptoSty[Vrs]=$D59)*(PptoSty[PiRow]=_xlfn.TEXTAFTER($H59,":"))*(PptoSty[PiColumn]=N$54),0)),SUM(IF((INDIRECT($B$3)=$B59)*(INDIRECT($C$3)=$D59)*((INDIRECT($E$3)="TOTS")+(INDIRECT($E$3)=$E59)),INDIRECT(N$3)))),_xlpm.y,SUM(_xlfn.CHOOSECOLS(_xlfn._xlws.FILTER(F_RT14[],(F_RT14[PrjId]=$B59)*(F_RT14[Vrs]=$D59)*(_xlfn.TEXTAFTER(F_RT14[ActGrp],":")=_xlfn.TEXTAFTER($H59,":")),"X"),MATCH("*"&amp;N$54,F_RT14[#Headers],0))),IF(AND(_xlpm.x=0,_xlpm.y&lt;&gt;0),-1,IF(AND(_xlpm.x&lt;&gt;0,_xlpm.y&lt;&gt;0),_xlpm.x,IF(AND(_xlpm.x-SUM(IF((INDIRECT($B$3)=$B59)*(INDIRECT($C$3)=$D59)*((INDIRECT($E$3)="TOTS")+(INDIRECT($E$3)=$E59)),INDIRECT(N$3)))&lt;&gt;0,_xlpm.y=0),-2,_xlpm.x)))),0))</f>
        <v>0</v>
      </c>
      <c r="O59" s="199" cm="1">
        <f t="array" aca="1" ref="O59" ca="1">IF(OR($B59="",$B59="X",$D59="",$D59="X",$E59="",$E59="X"),0,IFERROR(_xlfn.LET(_xlpm.x,SUM(SUM(_xlfn._xlws.FILTER(VALUE(PptoSty[Sign]&amp;1)*(1/PptoSty[Division]),(PptoSty[Division]&lt;&gt;0)*(PptoSty[Division]&lt;&gt;"")*(PptoSty[Division]&lt;&gt;"X")*(PptoSty[Project]=$B59)*(PptoSty[Vrs]=$D59)*(PptoSty[PiRow]=_xlfn.TEXTAFTER($H59,":"))*(PptoSty[PiColumn]=O$54),0)),SUM(IF((INDIRECT($B$3)=$B59)*(INDIRECT($C$3)=$D59)*((INDIRECT($E$3)="TOTS")+(INDIRECT($E$3)=$E59)),INDIRECT(O$3)))),_xlpm.y,SUM(_xlfn.CHOOSECOLS(_xlfn._xlws.FILTER(F_RT14[],(F_RT14[PrjId]=$B59)*(F_RT14[Vrs]=$D59)*(_xlfn.TEXTAFTER(F_RT14[ActGrp],":")=_xlfn.TEXTAFTER($H59,":")),"X"),MATCH("*"&amp;O$54,F_RT14[#Headers],0))),IF(AND(_xlpm.x=0,_xlpm.y&lt;&gt;0),-1,IF(AND(_xlpm.x&lt;&gt;0,_xlpm.y&lt;&gt;0),_xlpm.x,IF(AND(_xlpm.x-SUM(IF((INDIRECT($B$3)=$B59)*(INDIRECT($C$3)=$D59)*((INDIRECT($E$3)="TOTS")+(INDIRECT($E$3)=$E59)),INDIRECT(O$3)))&lt;&gt;0,_xlpm.y=0),-2,_xlpm.x)))),0))</f>
        <v>0</v>
      </c>
      <c r="P59" s="199" cm="1">
        <f t="array" aca="1" ref="P59" ca="1">IF(OR($B59="",$B59="X",$D59="",$D59="X",$E59="",$E59="X"),0,IFERROR(_xlfn.LET(_xlpm.x,SUM(SUM(_xlfn._xlws.FILTER(VALUE(PptoSty[Sign]&amp;1)*(1/PptoSty[Division]),(PptoSty[Division]&lt;&gt;0)*(PptoSty[Division]&lt;&gt;"")*(PptoSty[Division]&lt;&gt;"X")*(PptoSty[Project]=$B59)*(PptoSty[Vrs]=$D59)*(PptoSty[PiRow]=_xlfn.TEXTAFTER($H59,":"))*(PptoSty[PiColumn]=P$54),0)),SUM(IF((INDIRECT($B$3)=$B59)*(INDIRECT($C$3)=$D59)*((INDIRECT($E$3)="TOTS")+(INDIRECT($E$3)=$E59)),INDIRECT(P$3)))),_xlpm.y,SUM(_xlfn.CHOOSECOLS(_xlfn._xlws.FILTER(F_RT14[],(F_RT14[PrjId]=$B59)*(F_RT14[Vrs]=$D59)*(_xlfn.TEXTAFTER(F_RT14[ActGrp],":")=_xlfn.TEXTAFTER($H59,":")),"X"),MATCH("*"&amp;P$54,F_RT14[#Headers],0))),IF(AND(_xlpm.x=0,_xlpm.y&lt;&gt;0),-1,IF(AND(_xlpm.x&lt;&gt;0,_xlpm.y&lt;&gt;0),_xlpm.x,IF(AND(_xlpm.x-SUM(IF((INDIRECT($B$3)=$B59)*(INDIRECT($C$3)=$D59)*((INDIRECT($E$3)="TOTS")+(INDIRECT($E$3)=$E59)),INDIRECT(P$3)))&lt;&gt;0,_xlpm.y=0),-2,_xlpm.x)))),0))</f>
        <v>0</v>
      </c>
      <c r="Q59" s="199" cm="1">
        <f t="array" aca="1" ref="Q59" ca="1">IF(OR($B59="",$B59="X",$D59="",$D59="X",$E59="",$E59="X"),0,IFERROR(_xlfn.LET(_xlpm.x,SUM(SUM(_xlfn._xlws.FILTER(VALUE(PptoSty[Sign]&amp;1)*(1/PptoSty[Division]),(PptoSty[Division]&lt;&gt;0)*(PptoSty[Division]&lt;&gt;"")*(PptoSty[Division]&lt;&gt;"X")*(PptoSty[Project]=$B59)*(PptoSty[Vrs]=$D59)*(PptoSty[PiRow]=_xlfn.TEXTAFTER($H59,":"))*(PptoSty[PiColumn]=Q$54),0)),SUM(IF((INDIRECT($B$3)=$B59)*(INDIRECT($C$3)=$D59)*((INDIRECT($E$3)="TOTS")+(INDIRECT($E$3)=$E59)),INDIRECT(Q$3)))),_xlpm.y,SUM(_xlfn.CHOOSECOLS(_xlfn._xlws.FILTER(F_RT14[],(F_RT14[PrjId]=$B59)*(F_RT14[Vrs]=$D59)*(_xlfn.TEXTAFTER(F_RT14[ActGrp],":")=_xlfn.TEXTAFTER($H59,":")),"X"),MATCH("*"&amp;Q$54,F_RT14[#Headers],0))),IF(AND(_xlpm.x=0,_xlpm.y&lt;&gt;0),-1,IF(AND(_xlpm.x&lt;&gt;0,_xlpm.y&lt;&gt;0),_xlpm.x,IF(AND(_xlpm.x-SUM(IF((INDIRECT($B$3)=$B59)*(INDIRECT($C$3)=$D59)*((INDIRECT($E$3)="TOTS")+(INDIRECT($E$3)=$E59)),INDIRECT(Q$3)))&lt;&gt;0,_xlpm.y=0),-2,_xlpm.x)))),0))</f>
        <v>0</v>
      </c>
      <c r="R59" s="199" cm="1">
        <f t="array" aca="1" ref="R59" ca="1">IF(OR($B59="",$B59="X",$D59="",$D59="X",$E59="",$E59="X"),0,IFERROR(_xlfn.LET(_xlpm.x,SUM(SUM(_xlfn._xlws.FILTER(VALUE(PptoSty[Sign]&amp;1)*(1/PptoSty[Division]),(PptoSty[Division]&lt;&gt;0)*(PptoSty[Division]&lt;&gt;"")*(PptoSty[Division]&lt;&gt;"X")*(PptoSty[Project]=$B59)*(PptoSty[Vrs]=$D59)*(PptoSty[PiRow]=_xlfn.TEXTAFTER($H59,":"))*(PptoSty[PiColumn]=R$54),0)),SUM(IF((INDIRECT($B$3)=$B59)*(INDIRECT($C$3)=$D59)*((INDIRECT($E$3)="TOTS")+(INDIRECT($E$3)=$E59)),INDIRECT(R$3)))),_xlpm.y,SUM(_xlfn.CHOOSECOLS(_xlfn._xlws.FILTER(F_RT14[],(F_RT14[PrjId]=$B59)*(F_RT14[Vrs]=$D59)*(_xlfn.TEXTAFTER(F_RT14[ActGrp],":")=_xlfn.TEXTAFTER($H59,":")),"X"),MATCH("*"&amp;R$54,F_RT14[#Headers],0))),IF(AND(_xlpm.x=0,_xlpm.y&lt;&gt;0),-1,IF(AND(_xlpm.x&lt;&gt;0,_xlpm.y&lt;&gt;0),_xlpm.x,IF(AND(_xlpm.x-SUM(IF((INDIRECT($B$3)=$B59)*(INDIRECT($C$3)=$D59)*((INDIRECT($E$3)="TOTS")+(INDIRECT($E$3)=$E59)),INDIRECT(R$3)))&lt;&gt;0,_xlpm.y=0),-2,_xlpm.x)))),0))</f>
        <v>0</v>
      </c>
      <c r="S59" s="199" cm="1">
        <f t="array" aca="1" ref="S59" ca="1">IF(OR($B59="",$B59="X",$D59="",$D59="X",$E59="",$E59="X"),0,IFERROR(_xlfn.LET(_xlpm.x,SUM(SUM(_xlfn._xlws.FILTER(VALUE(PptoSty[Sign]&amp;1)*(1/PptoSty[Division]),(PptoSty[Division]&lt;&gt;0)*(PptoSty[Division]&lt;&gt;"")*(PptoSty[Division]&lt;&gt;"X")*(PptoSty[Project]=$B59)*(PptoSty[Vrs]=$D59)*(PptoSty[PiRow]=_xlfn.TEXTAFTER($H59,":"))*(PptoSty[PiColumn]=S$54),0)),SUM(IF((INDIRECT($B$3)=$B59)*(INDIRECT($C$3)=$D59)*((INDIRECT($E$3)="TOTS")+(INDIRECT($E$3)=$E59)),INDIRECT(S$3)))),_xlpm.y,SUM(_xlfn.CHOOSECOLS(_xlfn._xlws.FILTER(F_RT14[],(F_RT14[PrjId]=$B59)*(F_RT14[Vrs]=$D59)*(_xlfn.TEXTAFTER(F_RT14[ActGrp],":")=_xlfn.TEXTAFTER($H59,":")),"X"),MATCH("*"&amp;S$54,F_RT14[#Headers],0))),IF(AND(_xlpm.x=0,_xlpm.y&lt;&gt;0),-1,IF(AND(_xlpm.x&lt;&gt;0,_xlpm.y&lt;&gt;0),_xlpm.x,IF(AND(_xlpm.x-SUM(IF((INDIRECT($B$3)=$B59)*(INDIRECT($C$3)=$D59)*((INDIRECT($E$3)="TOTS")+(INDIRECT($E$3)=$E59)),INDIRECT(S$3)))&lt;&gt;0,_xlpm.y=0),-2,_xlpm.x)))),0))</f>
        <v>0</v>
      </c>
      <c r="T59" s="199" cm="1">
        <f t="array" aca="1" ref="T59" ca="1">IF(OR($B59="",$B59="X",$D59="",$D59="X",$E59="",$E59="X"),0,IFERROR(_xlfn.LET(_xlpm.x,SUM(SUM(_xlfn._xlws.FILTER(VALUE(PptoSty[Sign]&amp;1)*(1/PptoSty[Division]),(PptoSty[Division]&lt;&gt;0)*(PptoSty[Division]&lt;&gt;"")*(PptoSty[Division]&lt;&gt;"X")*(PptoSty[Project]=$B59)*(PptoSty[Vrs]=$D59)*(PptoSty[PiRow]=_xlfn.TEXTAFTER($H59,":"))*(PptoSty[PiColumn]=T$54),0)),SUM(IF((INDIRECT($B$3)=$B59)*(INDIRECT($C$3)=$D59)*((INDIRECT($E$3)="TOTS")+(INDIRECT($E$3)=$E59)),INDIRECT(T$3)))),_xlpm.y,SUM(_xlfn.CHOOSECOLS(_xlfn._xlws.FILTER(F_RT14[],(F_RT14[PrjId]=$B59)*(F_RT14[Vrs]=$D59)*(_xlfn.TEXTAFTER(F_RT14[ActGrp],":")=_xlfn.TEXTAFTER($H59,":")),"X"),MATCH("*"&amp;T$54,F_RT14[#Headers],0))),IF(AND(_xlpm.x=0,_xlpm.y&lt;&gt;0),-1,IF(AND(_xlpm.x&lt;&gt;0,_xlpm.y&lt;&gt;0),_xlpm.x,IF(AND(_xlpm.x-SUM(IF((INDIRECT($B$3)=$B59)*(INDIRECT($C$3)=$D59)*((INDIRECT($E$3)="TOTS")+(INDIRECT($E$3)=$E59)),INDIRECT(T$3)))&lt;&gt;0,_xlpm.y=0),-2,_xlpm.x)))),0))</f>
        <v>0</v>
      </c>
      <c r="U59" s="199" cm="1">
        <f t="array" aca="1" ref="U59" ca="1">IF(OR($B59="",$B59="X",$D59="",$D59="X",$E59="",$E59="X"),0,IFERROR(_xlfn.LET(_xlpm.x,SUM(SUM(_xlfn._xlws.FILTER(VALUE(PptoSty[Sign]&amp;1)*(1/PptoSty[Division]),(PptoSty[Division]&lt;&gt;0)*(PptoSty[Division]&lt;&gt;"")*(PptoSty[Division]&lt;&gt;"X")*(PptoSty[Project]=$B59)*(PptoSty[Vrs]=$D59)*(PptoSty[PiRow]=_xlfn.TEXTAFTER($H59,":"))*(PptoSty[PiColumn]=U$54),0)),SUM(IF((INDIRECT($B$3)=$B59)*(INDIRECT($C$3)=$D59)*((INDIRECT($E$3)="TOTS")+(INDIRECT($E$3)=$E59)),INDIRECT(U$3)))),_xlpm.y,SUM(_xlfn.CHOOSECOLS(_xlfn._xlws.FILTER(F_RT14[],(F_RT14[PrjId]=$B59)*(F_RT14[Vrs]=$D59)*(_xlfn.TEXTAFTER(F_RT14[ActGrp],":")=_xlfn.TEXTAFTER($H59,":")),"X"),MATCH("*"&amp;U$54,F_RT14[#Headers],0))),IF(AND(_xlpm.x=0,_xlpm.y&lt;&gt;0),-1,IF(AND(_xlpm.x&lt;&gt;0,_xlpm.y&lt;&gt;0),_xlpm.x,IF(AND(_xlpm.x-SUM(IF((INDIRECT($B$3)=$B59)*(INDIRECT($C$3)=$D59)*((INDIRECT($E$3)="TOTS")+(INDIRECT($E$3)=$E59)),INDIRECT(U$3)))&lt;&gt;0,_xlpm.y=0),-2,_xlpm.x)))),0))</f>
        <v>0</v>
      </c>
      <c r="V59" s="199" cm="1">
        <f t="array" aca="1" ref="V59" ca="1">IF(OR($B59="",$B59="X",$D59="",$D59="X",$E59="",$E59="X"),0,IFERROR(_xlfn.LET(_xlpm.x,SUM(SUM(_xlfn._xlws.FILTER(VALUE(PptoSty[Sign]&amp;1)*(1/PptoSty[Division]),(PptoSty[Division]&lt;&gt;0)*(PptoSty[Division]&lt;&gt;"")*(PptoSty[Division]&lt;&gt;"X")*(PptoSty[Project]=$B59)*(PptoSty[Vrs]=$D59)*(PptoSty[PiRow]=_xlfn.TEXTAFTER($H59,":"))*(PptoSty[PiColumn]=V$54),0)),SUM(IF((INDIRECT($B$3)=$B59)*(INDIRECT($C$3)=$D59)*((INDIRECT($E$3)="TOTS")+(INDIRECT($E$3)=$E59)),INDIRECT(V$3)))),_xlpm.y,SUM(_xlfn.CHOOSECOLS(_xlfn._xlws.FILTER(F_RT14[],(F_RT14[PrjId]=$B59)*(F_RT14[Vrs]=$D59)*(_xlfn.TEXTAFTER(F_RT14[ActGrp],":")=_xlfn.TEXTAFTER($H59,":")),"X"),MATCH("*"&amp;V$54,F_RT14[#Headers],0))),IF(AND(_xlpm.x=0,_xlpm.y&lt;&gt;0),-1,IF(AND(_xlpm.x&lt;&gt;0,_xlpm.y&lt;&gt;0),_xlpm.x,IF(AND(_xlpm.x-SUM(IF((INDIRECT($B$3)=$B59)*(INDIRECT($C$3)=$D59)*((INDIRECT($E$3)="TOTS")+(INDIRECT($E$3)=$E59)),INDIRECT(V$3)))&lt;&gt;0,_xlpm.y=0),-2,_xlpm.x)))),0))</f>
        <v>0</v>
      </c>
      <c r="W59" s="199" cm="1">
        <f t="array" aca="1" ref="W59" ca="1">IF(OR($B59="",$B59="X",$D59="",$D59="X",$E59="",$E59="X"),0,IFERROR(_xlfn.LET(_xlpm.x,SUM(SUM(_xlfn._xlws.FILTER(VALUE(PptoSty[Sign]&amp;1)*(1/PptoSty[Division]),(PptoSty[Division]&lt;&gt;0)*(PptoSty[Division]&lt;&gt;"")*(PptoSty[Division]&lt;&gt;"X")*(PptoSty[Project]=$B59)*(PptoSty[Vrs]=$D59)*(PptoSty[PiRow]=_xlfn.TEXTAFTER($H59,":"))*(PptoSty[PiColumn]=W$54),0)),SUM(IF((INDIRECT($B$3)=$B59)*(INDIRECT($C$3)=$D59)*((INDIRECT($E$3)="TOTS")+(INDIRECT($E$3)=$E59)),INDIRECT(W$3)))),_xlpm.y,SUM(_xlfn.CHOOSECOLS(_xlfn._xlws.FILTER(F_RT14[],(F_RT14[PrjId]=$B59)*(F_RT14[Vrs]=$D59)*(_xlfn.TEXTAFTER(F_RT14[ActGrp],":")=_xlfn.TEXTAFTER($H59,":")),"X"),MATCH("*"&amp;W$54,F_RT14[#Headers],0))),IF(AND(_xlpm.x=0,_xlpm.y&lt;&gt;0),-1,IF(AND(_xlpm.x&lt;&gt;0,_xlpm.y&lt;&gt;0),_xlpm.x,IF(AND(_xlpm.x-SUM(IF((INDIRECT($B$3)=$B59)*(INDIRECT($C$3)=$D59)*((INDIRECT($E$3)="TOTS")+(INDIRECT($E$3)=$E59)),INDIRECT(W$3)))&lt;&gt;0,_xlpm.y=0),-2,_xlpm.x)))),0))</f>
        <v>0</v>
      </c>
      <c r="X59" s="199" cm="1">
        <f t="array" aca="1" ref="X59" ca="1">IF(OR($B59="",$B59="X",$D59="",$D59="X",$E59="",$E59="X"),0,IFERROR(_xlfn.LET(_xlpm.x,SUM(SUM(_xlfn._xlws.FILTER(VALUE(PptoSty[Sign]&amp;1)*(1/PptoSty[Division]),(PptoSty[Division]&lt;&gt;0)*(PptoSty[Division]&lt;&gt;"")*(PptoSty[Division]&lt;&gt;"X")*(PptoSty[Project]=$B59)*(PptoSty[Vrs]=$D59)*(PptoSty[PiRow]=_xlfn.TEXTAFTER($H59,":"))*(PptoSty[PiColumn]=X$54),0)),SUM(IF((INDIRECT($B$3)=$B59)*(INDIRECT($C$3)=$D59)*((INDIRECT($E$3)="TOTS")+(INDIRECT($E$3)=$E59)),INDIRECT(X$3)))),_xlpm.y,SUM(_xlfn.CHOOSECOLS(_xlfn._xlws.FILTER(F_RT14[],(F_RT14[PrjId]=$B59)*(F_RT14[Vrs]=$D59)*(_xlfn.TEXTAFTER(F_RT14[ActGrp],":")=_xlfn.TEXTAFTER($H59,":")),"X"),MATCH("*"&amp;X$54,F_RT14[#Headers],0))),IF(AND(_xlpm.x=0,_xlpm.y&lt;&gt;0),-1,IF(AND(_xlpm.x&lt;&gt;0,_xlpm.y&lt;&gt;0),_xlpm.x,IF(AND(_xlpm.x-SUM(IF((INDIRECT($B$3)=$B59)*(INDIRECT($C$3)=$D59)*((INDIRECT($E$3)="TOTS")+(INDIRECT($E$3)=$E59)),INDIRECT(X$3)))&lt;&gt;0,_xlpm.y=0),-2,_xlpm.x)))),0))</f>
        <v>0</v>
      </c>
      <c r="Y59" s="199" cm="1">
        <f t="array" aca="1" ref="Y59" ca="1">IF(OR($B59="",$B59="X",$D59="",$D59="X",$E59="",$E59="X"),0,IFERROR(_xlfn.LET(_xlpm.x,SUM(SUM(_xlfn._xlws.FILTER(VALUE(PptoSty[Sign]&amp;1)*(1/PptoSty[Division]),(PptoSty[Division]&lt;&gt;0)*(PptoSty[Division]&lt;&gt;"")*(PptoSty[Division]&lt;&gt;"X")*(PptoSty[Project]=$B59)*(PptoSty[Vrs]=$D59)*(PptoSty[PiRow]=_xlfn.TEXTAFTER($H59,":"))*(PptoSty[PiColumn]=Y$54),0)),SUM(IF((INDIRECT($B$3)=$B59)*(INDIRECT($C$3)=$D59)*((INDIRECT($E$3)="TOTS")+(INDIRECT($E$3)=$E59)),INDIRECT(Y$3)))),_xlpm.y,SUM(_xlfn.CHOOSECOLS(_xlfn._xlws.FILTER(F_RT14[],(F_RT14[PrjId]=$B59)*(F_RT14[Vrs]=$D59)*(_xlfn.TEXTAFTER(F_RT14[ActGrp],":")=_xlfn.TEXTAFTER($H59,":")),"X"),MATCH("*"&amp;Y$54,F_RT14[#Headers],0))),IF(AND(_xlpm.x=0,_xlpm.y&lt;&gt;0),-1,IF(AND(_xlpm.x&lt;&gt;0,_xlpm.y&lt;&gt;0),_xlpm.x,IF(AND(_xlpm.x-SUM(IF((INDIRECT($B$3)=$B59)*(INDIRECT($C$3)=$D59)*((INDIRECT($E$3)="TOTS")+(INDIRECT($E$3)=$E59)),INDIRECT(Y$3)))&lt;&gt;0,_xlpm.y=0),-2,_xlpm.x)))),0))</f>
        <v>0</v>
      </c>
      <c r="Z59" s="198" t="str">
        <f t="shared" ca="1" si="2"/>
        <v>Fback!B59:Y59</v>
      </c>
    </row>
    <row r="60" spans="1:26" ht="21" customHeight="1" outlineLevel="1">
      <c r="B60" s="128" t="str">
        <v>31200</v>
      </c>
      <c r="C60" s="128" t="str">
        <v>Sp</v>
      </c>
      <c r="D60" s="128">
        <v>15</v>
      </c>
      <c r="E60" s="128" t="str">
        <v>GSDF</v>
      </c>
      <c r="F60" s="139" t="str">
        <v>SERRA</v>
      </c>
      <c r="G60" s="139" t="str">
        <v>CurPpto</v>
      </c>
      <c r="H60" s="139" t="str">
        <v>G003:COORDINACIÓN DEL PROYECTO</v>
      </c>
      <c r="I60" s="199" cm="1">
        <f t="array" aca="1" ref="I60" ca="1">IF(OR($B60="",$B60="X",$D60="",$D60="X",$E60="",$E60="X"),0,IFERROR(_xlfn.LET(_xlpm.x,SUM(SUM(_xlfn._xlws.FILTER(VALUE(PptoSty[Sign]&amp;1)*(1/PptoSty[Division]),(PptoSty[Division]&lt;&gt;0)*(PptoSty[Division]&lt;&gt;"")*(PptoSty[Division]&lt;&gt;"X")*(PptoSty[Project]=$B60)*(PptoSty[Vrs]=$D60)*(PptoSty[PiRow]=_xlfn.TEXTAFTER($H60,":"))*(PptoSty[PiColumn]=I$54),0)),SUM(IF((INDIRECT($B$3)=$B60)*(INDIRECT($C$3)=$D60)*((INDIRECT($E$3)="TOTS")+(INDIRECT($E$3)=$E60)),INDIRECT(I$3)))),_xlpm.y,SUM(_xlfn.CHOOSECOLS(_xlfn._xlws.FILTER(F_RT14[],(F_RT14[PrjId]=$B60)*(F_RT14[Vrs]=$D60)*(_xlfn.TEXTAFTER(F_RT14[ActGrp],":")=_xlfn.TEXTAFTER($H60,":")),"X"),MATCH("*"&amp;I$54,F_RT14[#Headers],0))),IF(AND(_xlpm.x=0,_xlpm.y&lt;&gt;0),-1,IF(AND(_xlpm.x&lt;&gt;0,_xlpm.y&lt;&gt;0),_xlpm.x,IF(AND(_xlpm.x-SUM(IF((INDIRECT($B$3)=$B60)*(INDIRECT($C$3)=$D60)*((INDIRECT($E$3)="TOTS")+(INDIRECT($E$3)=$E60)),INDIRECT(I$3)))&lt;&gt;0,_xlpm.y=0),-2,_xlpm.x)))),0))</f>
        <v>1</v>
      </c>
      <c r="J60" s="199" cm="1">
        <f t="array" aca="1" ref="J60" ca="1">IF(OR($B60="",$B60="X",$D60="",$D60="X",$E60="",$E60="X"),0,IFERROR(_xlfn.LET(_xlpm.x,SUM(SUM(_xlfn._xlws.FILTER(VALUE(PptoSty[Sign]&amp;1)*(1/PptoSty[Division]),(PptoSty[Division]&lt;&gt;0)*(PptoSty[Division]&lt;&gt;"")*(PptoSty[Division]&lt;&gt;"X")*(PptoSty[Project]=$B60)*(PptoSty[Vrs]=$D60)*(PptoSty[PiRow]=_xlfn.TEXTAFTER($H60,":"))*(PptoSty[PiColumn]=J$54),0)),SUM(IF((INDIRECT($B$3)=$B60)*(INDIRECT($C$3)=$D60)*((INDIRECT($E$3)="TOTS")+(INDIRECT($E$3)=$E60)),INDIRECT(J$3)))),_xlpm.y,SUM(_xlfn.CHOOSECOLS(_xlfn._xlws.FILTER(F_RT14[],(F_RT14[PrjId]=$B60)*(F_RT14[Vrs]=$D60)*(_xlfn.TEXTAFTER(F_RT14[ActGrp],":")=_xlfn.TEXTAFTER($H60,":")),"X"),MATCH("*"&amp;J$54,F_RT14[#Headers],0))),IF(AND(_xlpm.x=0,_xlpm.y&lt;&gt;0),-1,IF(AND(_xlpm.x&lt;&gt;0,_xlpm.y&lt;&gt;0),_xlpm.x,IF(AND(_xlpm.x-SUM(IF((INDIRECT($B$3)=$B60)*(INDIRECT($C$3)=$D60)*((INDIRECT($E$3)="TOTS")+(INDIRECT($E$3)=$E60)),INDIRECT(J$3)))&lt;&gt;0,_xlpm.y=0),-2,_xlpm.x)))),0))</f>
        <v>0</v>
      </c>
      <c r="K60" s="199" cm="1">
        <f t="array" aca="1" ref="K60" ca="1">IF(OR($B60="",$B60="X",$D60="",$D60="X",$E60="",$E60="X"),0,IFERROR(_xlfn.LET(_xlpm.x,SUM(SUM(_xlfn._xlws.FILTER(VALUE(PptoSty[Sign]&amp;1)*(1/PptoSty[Division]),(PptoSty[Division]&lt;&gt;0)*(PptoSty[Division]&lt;&gt;"")*(PptoSty[Division]&lt;&gt;"X")*(PptoSty[Project]=$B60)*(PptoSty[Vrs]=$D60)*(PptoSty[PiRow]=_xlfn.TEXTAFTER($H60,":"))*(PptoSty[PiColumn]=K$54),0)),SUM(IF((INDIRECT($B$3)=$B60)*(INDIRECT($C$3)=$D60)*((INDIRECT($E$3)="TOTS")+(INDIRECT($E$3)=$E60)),INDIRECT(K$3)))),_xlpm.y,SUM(_xlfn.CHOOSECOLS(_xlfn._xlws.FILTER(F_RT14[],(F_RT14[PrjId]=$B60)*(F_RT14[Vrs]=$D60)*(_xlfn.TEXTAFTER(F_RT14[ActGrp],":")=_xlfn.TEXTAFTER($H60,":")),"X"),MATCH("*"&amp;K$54,F_RT14[#Headers],0))),IF(AND(_xlpm.x=0,_xlpm.y&lt;&gt;0),-1,IF(AND(_xlpm.x&lt;&gt;0,_xlpm.y&lt;&gt;0),_xlpm.x,IF(AND(_xlpm.x-SUM(IF((INDIRECT($B$3)=$B60)*(INDIRECT($C$3)=$D60)*((INDIRECT($E$3)="TOTS")+(INDIRECT($E$3)=$E60)),INDIRECT(K$3)))&lt;&gt;0,_xlpm.y=0),-2,_xlpm.x)))),0))</f>
        <v>0</v>
      </c>
      <c r="L60" s="199" cm="1">
        <f t="array" aca="1" ref="L60" ca="1">IF(OR($B60="",$B60="X",$D60="",$D60="X",$E60="",$E60="X"),0,IFERROR(_xlfn.LET(_xlpm.x,SUM(SUM(_xlfn._xlws.FILTER(VALUE(PptoSty[Sign]&amp;1)*(1/PptoSty[Division]),(PptoSty[Division]&lt;&gt;0)*(PptoSty[Division]&lt;&gt;"")*(PptoSty[Division]&lt;&gt;"X")*(PptoSty[Project]=$B60)*(PptoSty[Vrs]=$D60)*(PptoSty[PiRow]=_xlfn.TEXTAFTER($H60,":"))*(PptoSty[PiColumn]=L$54),0)),SUM(IF((INDIRECT($B$3)=$B60)*(INDIRECT($C$3)=$D60)*((INDIRECT($E$3)="TOTS")+(INDIRECT($E$3)=$E60)),INDIRECT(L$3)))),_xlpm.y,SUM(_xlfn.CHOOSECOLS(_xlfn._xlws.FILTER(F_RT14[],(F_RT14[PrjId]=$B60)*(F_RT14[Vrs]=$D60)*(_xlfn.TEXTAFTER(F_RT14[ActGrp],":")=_xlfn.TEXTAFTER($H60,":")),"X"),MATCH("*"&amp;L$54,F_RT14[#Headers],0))),IF(AND(_xlpm.x=0,_xlpm.y&lt;&gt;0),-1,IF(AND(_xlpm.x&lt;&gt;0,_xlpm.y&lt;&gt;0),_xlpm.x,IF(AND(_xlpm.x-SUM(IF((INDIRECT($B$3)=$B60)*(INDIRECT($C$3)=$D60)*((INDIRECT($E$3)="TOTS")+(INDIRECT($E$3)=$E60)),INDIRECT(L$3)))&lt;&gt;0,_xlpm.y=0),-2,_xlpm.x)))),0))</f>
        <v>0</v>
      </c>
      <c r="M60" s="199" cm="1">
        <f t="array" aca="1" ref="M60" ca="1">IF(OR($B60="",$B60="X",$D60="",$D60="X",$E60="",$E60="X"),0,IFERROR(_xlfn.LET(_xlpm.x,SUM(SUM(_xlfn._xlws.FILTER(VALUE(PptoSty[Sign]&amp;1)*(1/PptoSty[Division]),(PptoSty[Division]&lt;&gt;0)*(PptoSty[Division]&lt;&gt;"")*(PptoSty[Division]&lt;&gt;"X")*(PptoSty[Project]=$B60)*(PptoSty[Vrs]=$D60)*(PptoSty[PiRow]=_xlfn.TEXTAFTER($H60,":"))*(PptoSty[PiColumn]=M$54),0)),SUM(IF((INDIRECT($B$3)=$B60)*(INDIRECT($C$3)=$D60)*((INDIRECT($E$3)="TOTS")+(INDIRECT($E$3)=$E60)),INDIRECT(M$3)))),_xlpm.y,SUM(_xlfn.CHOOSECOLS(_xlfn._xlws.FILTER(F_RT14[],(F_RT14[PrjId]=$B60)*(F_RT14[Vrs]=$D60)*(_xlfn.TEXTAFTER(F_RT14[ActGrp],":")=_xlfn.TEXTAFTER($H60,":")),"X"),MATCH("*"&amp;M$54,F_RT14[#Headers],0))),IF(AND(_xlpm.x=0,_xlpm.y&lt;&gt;0),-1,IF(AND(_xlpm.x&lt;&gt;0,_xlpm.y&lt;&gt;0),_xlpm.x,IF(AND(_xlpm.x-SUM(IF((INDIRECT($B$3)=$B60)*(INDIRECT($C$3)=$D60)*((INDIRECT($E$3)="TOTS")+(INDIRECT($E$3)=$E60)),INDIRECT(M$3)))&lt;&gt;0,_xlpm.y=0),-2,_xlpm.x)))),0))</f>
        <v>0</v>
      </c>
      <c r="N60" s="199" cm="1">
        <f t="array" aca="1" ref="N60" ca="1">IF(OR($B60="",$B60="X",$D60="",$D60="X",$E60="",$E60="X"),0,IFERROR(_xlfn.LET(_xlpm.x,SUM(SUM(_xlfn._xlws.FILTER(VALUE(PptoSty[Sign]&amp;1)*(1/PptoSty[Division]),(PptoSty[Division]&lt;&gt;0)*(PptoSty[Division]&lt;&gt;"")*(PptoSty[Division]&lt;&gt;"X")*(PptoSty[Project]=$B60)*(PptoSty[Vrs]=$D60)*(PptoSty[PiRow]=_xlfn.TEXTAFTER($H60,":"))*(PptoSty[PiColumn]=N$54),0)),SUM(IF((INDIRECT($B$3)=$B60)*(INDIRECT($C$3)=$D60)*((INDIRECT($E$3)="TOTS")+(INDIRECT($E$3)=$E60)),INDIRECT(N$3)))),_xlpm.y,SUM(_xlfn.CHOOSECOLS(_xlfn._xlws.FILTER(F_RT14[],(F_RT14[PrjId]=$B60)*(F_RT14[Vrs]=$D60)*(_xlfn.TEXTAFTER(F_RT14[ActGrp],":")=_xlfn.TEXTAFTER($H60,":")),"X"),MATCH("*"&amp;N$54,F_RT14[#Headers],0))),IF(AND(_xlpm.x=0,_xlpm.y&lt;&gt;0),-1,IF(AND(_xlpm.x&lt;&gt;0,_xlpm.y&lt;&gt;0),_xlpm.x,IF(AND(_xlpm.x-SUM(IF((INDIRECT($B$3)=$B60)*(INDIRECT($C$3)=$D60)*((INDIRECT($E$3)="TOTS")+(INDIRECT($E$3)=$E60)),INDIRECT(N$3)))&lt;&gt;0,_xlpm.y=0),-2,_xlpm.x)))),0))</f>
        <v>0</v>
      </c>
      <c r="O60" s="199" cm="1">
        <f t="array" aca="1" ref="O60" ca="1">IF(OR($B60="",$B60="X",$D60="",$D60="X",$E60="",$E60="X"),0,IFERROR(_xlfn.LET(_xlpm.x,SUM(SUM(_xlfn._xlws.FILTER(VALUE(PptoSty[Sign]&amp;1)*(1/PptoSty[Division]),(PptoSty[Division]&lt;&gt;0)*(PptoSty[Division]&lt;&gt;"")*(PptoSty[Division]&lt;&gt;"X")*(PptoSty[Project]=$B60)*(PptoSty[Vrs]=$D60)*(PptoSty[PiRow]=_xlfn.TEXTAFTER($H60,":"))*(PptoSty[PiColumn]=O$54),0)),SUM(IF((INDIRECT($B$3)=$B60)*(INDIRECT($C$3)=$D60)*((INDIRECT($E$3)="TOTS")+(INDIRECT($E$3)=$E60)),INDIRECT(O$3)))),_xlpm.y,SUM(_xlfn.CHOOSECOLS(_xlfn._xlws.FILTER(F_RT14[],(F_RT14[PrjId]=$B60)*(F_RT14[Vrs]=$D60)*(_xlfn.TEXTAFTER(F_RT14[ActGrp],":")=_xlfn.TEXTAFTER($H60,":")),"X"),MATCH("*"&amp;O$54,F_RT14[#Headers],0))),IF(AND(_xlpm.x=0,_xlpm.y&lt;&gt;0),-1,IF(AND(_xlpm.x&lt;&gt;0,_xlpm.y&lt;&gt;0),_xlpm.x,IF(AND(_xlpm.x-SUM(IF((INDIRECT($B$3)=$B60)*(INDIRECT($C$3)=$D60)*((INDIRECT($E$3)="TOTS")+(INDIRECT($E$3)=$E60)),INDIRECT(O$3)))&lt;&gt;0,_xlpm.y=0),-2,_xlpm.x)))),0))</f>
        <v>0</v>
      </c>
      <c r="P60" s="199" cm="1">
        <f t="array" aca="1" ref="P60" ca="1">IF(OR($B60="",$B60="X",$D60="",$D60="X",$E60="",$E60="X"),0,IFERROR(_xlfn.LET(_xlpm.x,SUM(SUM(_xlfn._xlws.FILTER(VALUE(PptoSty[Sign]&amp;1)*(1/PptoSty[Division]),(PptoSty[Division]&lt;&gt;0)*(PptoSty[Division]&lt;&gt;"")*(PptoSty[Division]&lt;&gt;"X")*(PptoSty[Project]=$B60)*(PptoSty[Vrs]=$D60)*(PptoSty[PiRow]=_xlfn.TEXTAFTER($H60,":"))*(PptoSty[PiColumn]=P$54),0)),SUM(IF((INDIRECT($B$3)=$B60)*(INDIRECT($C$3)=$D60)*((INDIRECT($E$3)="TOTS")+(INDIRECT($E$3)=$E60)),INDIRECT(P$3)))),_xlpm.y,SUM(_xlfn.CHOOSECOLS(_xlfn._xlws.FILTER(F_RT14[],(F_RT14[PrjId]=$B60)*(F_RT14[Vrs]=$D60)*(_xlfn.TEXTAFTER(F_RT14[ActGrp],":")=_xlfn.TEXTAFTER($H60,":")),"X"),MATCH("*"&amp;P$54,F_RT14[#Headers],0))),IF(AND(_xlpm.x=0,_xlpm.y&lt;&gt;0),-1,IF(AND(_xlpm.x&lt;&gt;0,_xlpm.y&lt;&gt;0),_xlpm.x,IF(AND(_xlpm.x-SUM(IF((INDIRECT($B$3)=$B60)*(INDIRECT($C$3)=$D60)*((INDIRECT($E$3)="TOTS")+(INDIRECT($E$3)=$E60)),INDIRECT(P$3)))&lt;&gt;0,_xlpm.y=0),-2,_xlpm.x)))),0))</f>
        <v>0</v>
      </c>
      <c r="Q60" s="199" cm="1">
        <f t="array" aca="1" ref="Q60" ca="1">IF(OR($B60="",$B60="X",$D60="",$D60="X",$E60="",$E60="X"),0,IFERROR(_xlfn.LET(_xlpm.x,SUM(SUM(_xlfn._xlws.FILTER(VALUE(PptoSty[Sign]&amp;1)*(1/PptoSty[Division]),(PptoSty[Division]&lt;&gt;0)*(PptoSty[Division]&lt;&gt;"")*(PptoSty[Division]&lt;&gt;"X")*(PptoSty[Project]=$B60)*(PptoSty[Vrs]=$D60)*(PptoSty[PiRow]=_xlfn.TEXTAFTER($H60,":"))*(PptoSty[PiColumn]=Q$54),0)),SUM(IF((INDIRECT($B$3)=$B60)*(INDIRECT($C$3)=$D60)*((INDIRECT($E$3)="TOTS")+(INDIRECT($E$3)=$E60)),INDIRECT(Q$3)))),_xlpm.y,SUM(_xlfn.CHOOSECOLS(_xlfn._xlws.FILTER(F_RT14[],(F_RT14[PrjId]=$B60)*(F_RT14[Vrs]=$D60)*(_xlfn.TEXTAFTER(F_RT14[ActGrp],":")=_xlfn.TEXTAFTER($H60,":")),"X"),MATCH("*"&amp;Q$54,F_RT14[#Headers],0))),IF(AND(_xlpm.x=0,_xlpm.y&lt;&gt;0),-1,IF(AND(_xlpm.x&lt;&gt;0,_xlpm.y&lt;&gt;0),_xlpm.x,IF(AND(_xlpm.x-SUM(IF((INDIRECT($B$3)=$B60)*(INDIRECT($C$3)=$D60)*((INDIRECT($E$3)="TOTS")+(INDIRECT($E$3)=$E60)),INDIRECT(Q$3)))&lt;&gt;0,_xlpm.y=0),-2,_xlpm.x)))),0))</f>
        <v>0</v>
      </c>
      <c r="R60" s="199" cm="1">
        <f t="array" aca="1" ref="R60" ca="1">IF(OR($B60="",$B60="X",$D60="",$D60="X",$E60="",$E60="X"),0,IFERROR(_xlfn.LET(_xlpm.x,SUM(SUM(_xlfn._xlws.FILTER(VALUE(PptoSty[Sign]&amp;1)*(1/PptoSty[Division]),(PptoSty[Division]&lt;&gt;0)*(PptoSty[Division]&lt;&gt;"")*(PptoSty[Division]&lt;&gt;"X")*(PptoSty[Project]=$B60)*(PptoSty[Vrs]=$D60)*(PptoSty[PiRow]=_xlfn.TEXTAFTER($H60,":"))*(PptoSty[PiColumn]=R$54),0)),SUM(IF((INDIRECT($B$3)=$B60)*(INDIRECT($C$3)=$D60)*((INDIRECT($E$3)="TOTS")+(INDIRECT($E$3)=$E60)),INDIRECT(R$3)))),_xlpm.y,SUM(_xlfn.CHOOSECOLS(_xlfn._xlws.FILTER(F_RT14[],(F_RT14[PrjId]=$B60)*(F_RT14[Vrs]=$D60)*(_xlfn.TEXTAFTER(F_RT14[ActGrp],":")=_xlfn.TEXTAFTER($H60,":")),"X"),MATCH("*"&amp;R$54,F_RT14[#Headers],0))),IF(AND(_xlpm.x=0,_xlpm.y&lt;&gt;0),-1,IF(AND(_xlpm.x&lt;&gt;0,_xlpm.y&lt;&gt;0),_xlpm.x,IF(AND(_xlpm.x-SUM(IF((INDIRECT($B$3)=$B60)*(INDIRECT($C$3)=$D60)*((INDIRECT($E$3)="TOTS")+(INDIRECT($E$3)=$E60)),INDIRECT(R$3)))&lt;&gt;0,_xlpm.y=0),-2,_xlpm.x)))),0))</f>
        <v>0</v>
      </c>
      <c r="S60" s="199" cm="1">
        <f t="array" aca="1" ref="S60" ca="1">IF(OR($B60="",$B60="X",$D60="",$D60="X",$E60="",$E60="X"),0,IFERROR(_xlfn.LET(_xlpm.x,SUM(SUM(_xlfn._xlws.FILTER(VALUE(PptoSty[Sign]&amp;1)*(1/PptoSty[Division]),(PptoSty[Division]&lt;&gt;0)*(PptoSty[Division]&lt;&gt;"")*(PptoSty[Division]&lt;&gt;"X")*(PptoSty[Project]=$B60)*(PptoSty[Vrs]=$D60)*(PptoSty[PiRow]=_xlfn.TEXTAFTER($H60,":"))*(PptoSty[PiColumn]=S$54),0)),SUM(IF((INDIRECT($B$3)=$B60)*(INDIRECT($C$3)=$D60)*((INDIRECT($E$3)="TOTS")+(INDIRECT($E$3)=$E60)),INDIRECT(S$3)))),_xlpm.y,SUM(_xlfn.CHOOSECOLS(_xlfn._xlws.FILTER(F_RT14[],(F_RT14[PrjId]=$B60)*(F_RT14[Vrs]=$D60)*(_xlfn.TEXTAFTER(F_RT14[ActGrp],":")=_xlfn.TEXTAFTER($H60,":")),"X"),MATCH("*"&amp;S$54,F_RT14[#Headers],0))),IF(AND(_xlpm.x=0,_xlpm.y&lt;&gt;0),-1,IF(AND(_xlpm.x&lt;&gt;0,_xlpm.y&lt;&gt;0),_xlpm.x,IF(AND(_xlpm.x-SUM(IF((INDIRECT($B$3)=$B60)*(INDIRECT($C$3)=$D60)*((INDIRECT($E$3)="TOTS")+(INDIRECT($E$3)=$E60)),INDIRECT(S$3)))&lt;&gt;0,_xlpm.y=0),-2,_xlpm.x)))),0))</f>
        <v>0</v>
      </c>
      <c r="T60" s="199" cm="1">
        <f t="array" aca="1" ref="T60" ca="1">IF(OR($B60="",$B60="X",$D60="",$D60="X",$E60="",$E60="X"),0,IFERROR(_xlfn.LET(_xlpm.x,SUM(SUM(_xlfn._xlws.FILTER(VALUE(PptoSty[Sign]&amp;1)*(1/PptoSty[Division]),(PptoSty[Division]&lt;&gt;0)*(PptoSty[Division]&lt;&gt;"")*(PptoSty[Division]&lt;&gt;"X")*(PptoSty[Project]=$B60)*(PptoSty[Vrs]=$D60)*(PptoSty[PiRow]=_xlfn.TEXTAFTER($H60,":"))*(PptoSty[PiColumn]=T$54),0)),SUM(IF((INDIRECT($B$3)=$B60)*(INDIRECT($C$3)=$D60)*((INDIRECT($E$3)="TOTS")+(INDIRECT($E$3)=$E60)),INDIRECT(T$3)))),_xlpm.y,SUM(_xlfn.CHOOSECOLS(_xlfn._xlws.FILTER(F_RT14[],(F_RT14[PrjId]=$B60)*(F_RT14[Vrs]=$D60)*(_xlfn.TEXTAFTER(F_RT14[ActGrp],":")=_xlfn.TEXTAFTER($H60,":")),"X"),MATCH("*"&amp;T$54,F_RT14[#Headers],0))),IF(AND(_xlpm.x=0,_xlpm.y&lt;&gt;0),-1,IF(AND(_xlpm.x&lt;&gt;0,_xlpm.y&lt;&gt;0),_xlpm.x,IF(AND(_xlpm.x-SUM(IF((INDIRECT($B$3)=$B60)*(INDIRECT($C$3)=$D60)*((INDIRECT($E$3)="TOTS")+(INDIRECT($E$3)=$E60)),INDIRECT(T$3)))&lt;&gt;0,_xlpm.y=0),-2,_xlpm.x)))),0))</f>
        <v>0</v>
      </c>
      <c r="U60" s="199" cm="1">
        <f t="array" aca="1" ref="U60" ca="1">IF(OR($B60="",$B60="X",$D60="",$D60="X",$E60="",$E60="X"),0,IFERROR(_xlfn.LET(_xlpm.x,SUM(SUM(_xlfn._xlws.FILTER(VALUE(PptoSty[Sign]&amp;1)*(1/PptoSty[Division]),(PptoSty[Division]&lt;&gt;0)*(PptoSty[Division]&lt;&gt;"")*(PptoSty[Division]&lt;&gt;"X")*(PptoSty[Project]=$B60)*(PptoSty[Vrs]=$D60)*(PptoSty[PiRow]=_xlfn.TEXTAFTER($H60,":"))*(PptoSty[PiColumn]=U$54),0)),SUM(IF((INDIRECT($B$3)=$B60)*(INDIRECT($C$3)=$D60)*((INDIRECT($E$3)="TOTS")+(INDIRECT($E$3)=$E60)),INDIRECT(U$3)))),_xlpm.y,SUM(_xlfn.CHOOSECOLS(_xlfn._xlws.FILTER(F_RT14[],(F_RT14[PrjId]=$B60)*(F_RT14[Vrs]=$D60)*(_xlfn.TEXTAFTER(F_RT14[ActGrp],":")=_xlfn.TEXTAFTER($H60,":")),"X"),MATCH("*"&amp;U$54,F_RT14[#Headers],0))),IF(AND(_xlpm.x=0,_xlpm.y&lt;&gt;0),-1,IF(AND(_xlpm.x&lt;&gt;0,_xlpm.y&lt;&gt;0),_xlpm.x,IF(AND(_xlpm.x-SUM(IF((INDIRECT($B$3)=$B60)*(INDIRECT($C$3)=$D60)*((INDIRECT($E$3)="TOTS")+(INDIRECT($E$3)=$E60)),INDIRECT(U$3)))&lt;&gt;0,_xlpm.y=0),-2,_xlpm.x)))),0))</f>
        <v>0</v>
      </c>
      <c r="V60" s="199" cm="1">
        <f t="array" aca="1" ref="V60" ca="1">IF(OR($B60="",$B60="X",$D60="",$D60="X",$E60="",$E60="X"),0,IFERROR(_xlfn.LET(_xlpm.x,SUM(SUM(_xlfn._xlws.FILTER(VALUE(PptoSty[Sign]&amp;1)*(1/PptoSty[Division]),(PptoSty[Division]&lt;&gt;0)*(PptoSty[Division]&lt;&gt;"")*(PptoSty[Division]&lt;&gt;"X")*(PptoSty[Project]=$B60)*(PptoSty[Vrs]=$D60)*(PptoSty[PiRow]=_xlfn.TEXTAFTER($H60,":"))*(PptoSty[PiColumn]=V$54),0)),SUM(IF((INDIRECT($B$3)=$B60)*(INDIRECT($C$3)=$D60)*((INDIRECT($E$3)="TOTS")+(INDIRECT($E$3)=$E60)),INDIRECT(V$3)))),_xlpm.y,SUM(_xlfn.CHOOSECOLS(_xlfn._xlws.FILTER(F_RT14[],(F_RT14[PrjId]=$B60)*(F_RT14[Vrs]=$D60)*(_xlfn.TEXTAFTER(F_RT14[ActGrp],":")=_xlfn.TEXTAFTER($H60,":")),"X"),MATCH("*"&amp;V$54,F_RT14[#Headers],0))),IF(AND(_xlpm.x=0,_xlpm.y&lt;&gt;0),-1,IF(AND(_xlpm.x&lt;&gt;0,_xlpm.y&lt;&gt;0),_xlpm.x,IF(AND(_xlpm.x-SUM(IF((INDIRECT($B$3)=$B60)*(INDIRECT($C$3)=$D60)*((INDIRECT($E$3)="TOTS")+(INDIRECT($E$3)=$E60)),INDIRECT(V$3)))&lt;&gt;0,_xlpm.y=0),-2,_xlpm.x)))),0))</f>
        <v>0</v>
      </c>
      <c r="W60" s="199" cm="1">
        <f t="array" aca="1" ref="W60" ca="1">IF(OR($B60="",$B60="X",$D60="",$D60="X",$E60="",$E60="X"),0,IFERROR(_xlfn.LET(_xlpm.x,SUM(SUM(_xlfn._xlws.FILTER(VALUE(PptoSty[Sign]&amp;1)*(1/PptoSty[Division]),(PptoSty[Division]&lt;&gt;0)*(PptoSty[Division]&lt;&gt;"")*(PptoSty[Division]&lt;&gt;"X")*(PptoSty[Project]=$B60)*(PptoSty[Vrs]=$D60)*(PptoSty[PiRow]=_xlfn.TEXTAFTER($H60,":"))*(PptoSty[PiColumn]=W$54),0)),SUM(IF((INDIRECT($B$3)=$B60)*(INDIRECT($C$3)=$D60)*((INDIRECT($E$3)="TOTS")+(INDIRECT($E$3)=$E60)),INDIRECT(W$3)))),_xlpm.y,SUM(_xlfn.CHOOSECOLS(_xlfn._xlws.FILTER(F_RT14[],(F_RT14[PrjId]=$B60)*(F_RT14[Vrs]=$D60)*(_xlfn.TEXTAFTER(F_RT14[ActGrp],":")=_xlfn.TEXTAFTER($H60,":")),"X"),MATCH("*"&amp;W$54,F_RT14[#Headers],0))),IF(AND(_xlpm.x=0,_xlpm.y&lt;&gt;0),-1,IF(AND(_xlpm.x&lt;&gt;0,_xlpm.y&lt;&gt;0),_xlpm.x,IF(AND(_xlpm.x-SUM(IF((INDIRECT($B$3)=$B60)*(INDIRECT($C$3)=$D60)*((INDIRECT($E$3)="TOTS")+(INDIRECT($E$3)=$E60)),INDIRECT(W$3)))&lt;&gt;0,_xlpm.y=0),-2,_xlpm.x)))),0))</f>
        <v>0</v>
      </c>
      <c r="X60" s="199" cm="1">
        <f t="array" aca="1" ref="X60" ca="1">IF(OR($B60="",$B60="X",$D60="",$D60="X",$E60="",$E60="X"),0,IFERROR(_xlfn.LET(_xlpm.x,SUM(SUM(_xlfn._xlws.FILTER(VALUE(PptoSty[Sign]&amp;1)*(1/PptoSty[Division]),(PptoSty[Division]&lt;&gt;0)*(PptoSty[Division]&lt;&gt;"")*(PptoSty[Division]&lt;&gt;"X")*(PptoSty[Project]=$B60)*(PptoSty[Vrs]=$D60)*(PptoSty[PiRow]=_xlfn.TEXTAFTER($H60,":"))*(PptoSty[PiColumn]=X$54),0)),SUM(IF((INDIRECT($B$3)=$B60)*(INDIRECT($C$3)=$D60)*((INDIRECT($E$3)="TOTS")+(INDIRECT($E$3)=$E60)),INDIRECT(X$3)))),_xlpm.y,SUM(_xlfn.CHOOSECOLS(_xlfn._xlws.FILTER(F_RT14[],(F_RT14[PrjId]=$B60)*(F_RT14[Vrs]=$D60)*(_xlfn.TEXTAFTER(F_RT14[ActGrp],":")=_xlfn.TEXTAFTER($H60,":")),"X"),MATCH("*"&amp;X$54,F_RT14[#Headers],0))),IF(AND(_xlpm.x=0,_xlpm.y&lt;&gt;0),-1,IF(AND(_xlpm.x&lt;&gt;0,_xlpm.y&lt;&gt;0),_xlpm.x,IF(AND(_xlpm.x-SUM(IF((INDIRECT($B$3)=$B60)*(INDIRECT($C$3)=$D60)*((INDIRECT($E$3)="TOTS")+(INDIRECT($E$3)=$E60)),INDIRECT(X$3)))&lt;&gt;0,_xlpm.y=0),-2,_xlpm.x)))),0))</f>
        <v>0</v>
      </c>
      <c r="Y60" s="199" cm="1">
        <f t="array" aca="1" ref="Y60" ca="1">IF(OR($B60="",$B60="X",$D60="",$D60="X",$E60="",$E60="X"),0,IFERROR(_xlfn.LET(_xlpm.x,SUM(SUM(_xlfn._xlws.FILTER(VALUE(PptoSty[Sign]&amp;1)*(1/PptoSty[Division]),(PptoSty[Division]&lt;&gt;0)*(PptoSty[Division]&lt;&gt;"")*(PptoSty[Division]&lt;&gt;"X")*(PptoSty[Project]=$B60)*(PptoSty[Vrs]=$D60)*(PptoSty[PiRow]=_xlfn.TEXTAFTER($H60,":"))*(PptoSty[PiColumn]=Y$54),0)),SUM(IF((INDIRECT($B$3)=$B60)*(INDIRECT($C$3)=$D60)*((INDIRECT($E$3)="TOTS")+(INDIRECT($E$3)=$E60)),INDIRECT(Y$3)))),_xlpm.y,SUM(_xlfn.CHOOSECOLS(_xlfn._xlws.FILTER(F_RT14[],(F_RT14[PrjId]=$B60)*(F_RT14[Vrs]=$D60)*(_xlfn.TEXTAFTER(F_RT14[ActGrp],":")=_xlfn.TEXTAFTER($H60,":")),"X"),MATCH("*"&amp;Y$54,F_RT14[#Headers],0))),IF(AND(_xlpm.x=0,_xlpm.y&lt;&gt;0),-1,IF(AND(_xlpm.x&lt;&gt;0,_xlpm.y&lt;&gt;0),_xlpm.x,IF(AND(_xlpm.x-SUM(IF((INDIRECT($B$3)=$B60)*(INDIRECT($C$3)=$D60)*((INDIRECT($E$3)="TOTS")+(INDIRECT($E$3)=$E60)),INDIRECT(Y$3)))&lt;&gt;0,_xlpm.y=0),-2,_xlpm.x)))),0))</f>
        <v>0</v>
      </c>
      <c r="Z60" s="198" t="str">
        <f t="shared" ca="1" si="2"/>
        <v>Fback!B60:Y60</v>
      </c>
    </row>
    <row r="61" spans="1:26" ht="21" customHeight="1" outlineLevel="1">
      <c r="B61" s="128" t="str">
        <v>31200</v>
      </c>
      <c r="C61" s="128" t="str">
        <v>Sp</v>
      </c>
      <c r="D61" s="128">
        <v>15</v>
      </c>
      <c r="E61" s="128" t="str">
        <v>GSDF</v>
      </c>
      <c r="F61" s="139" t="str">
        <v>SERRA</v>
      </c>
      <c r="G61" s="139" t="str">
        <v>CurPpto</v>
      </c>
      <c r="H61" s="139" t="str">
        <v>G004:INGENIERÍA GESTIÓN DISEÑO</v>
      </c>
      <c r="I61" s="199" cm="1">
        <f t="array" aca="1" ref="I61" ca="1">IF(OR($B61="",$B61="X",$D61="",$D61="X",$E61="",$E61="X"),0,IFERROR(_xlfn.LET(_xlpm.x,SUM(SUM(_xlfn._xlws.FILTER(VALUE(PptoSty[Sign]&amp;1)*(1/PptoSty[Division]),(PptoSty[Division]&lt;&gt;0)*(PptoSty[Division]&lt;&gt;"")*(PptoSty[Division]&lt;&gt;"X")*(PptoSty[Project]=$B61)*(PptoSty[Vrs]=$D61)*(PptoSty[PiRow]=_xlfn.TEXTAFTER($H61,":"))*(PptoSty[PiColumn]=I$54),0)),SUM(IF((INDIRECT($B$3)=$B61)*(INDIRECT($C$3)=$D61)*((INDIRECT($E$3)="TOTS")+(INDIRECT($E$3)=$E61)),INDIRECT(I$3)))),_xlpm.y,SUM(_xlfn.CHOOSECOLS(_xlfn._xlws.FILTER(F_RT14[],(F_RT14[PrjId]=$B61)*(F_RT14[Vrs]=$D61)*(_xlfn.TEXTAFTER(F_RT14[ActGrp],":")=_xlfn.TEXTAFTER($H61,":")),"X"),MATCH("*"&amp;I$54,F_RT14[#Headers],0))),IF(AND(_xlpm.x=0,_xlpm.y&lt;&gt;0),-1,IF(AND(_xlpm.x&lt;&gt;0,_xlpm.y&lt;&gt;0),_xlpm.x,IF(AND(_xlpm.x-SUM(IF((INDIRECT($B$3)=$B61)*(INDIRECT($C$3)=$D61)*((INDIRECT($E$3)="TOTS")+(INDIRECT($E$3)=$E61)),INDIRECT(I$3)))&lt;&gt;0,_xlpm.y=0),-2,_xlpm.x)))),0))</f>
        <v>0</v>
      </c>
      <c r="J61" s="199" cm="1">
        <f t="array" aca="1" ref="J61" ca="1">IF(OR($B61="",$B61="X",$D61="",$D61="X",$E61="",$E61="X"),0,IFERROR(_xlfn.LET(_xlpm.x,SUM(SUM(_xlfn._xlws.FILTER(VALUE(PptoSty[Sign]&amp;1)*(1/PptoSty[Division]),(PptoSty[Division]&lt;&gt;0)*(PptoSty[Division]&lt;&gt;"")*(PptoSty[Division]&lt;&gt;"X")*(PptoSty[Project]=$B61)*(PptoSty[Vrs]=$D61)*(PptoSty[PiRow]=_xlfn.TEXTAFTER($H61,":"))*(PptoSty[PiColumn]=J$54),0)),SUM(IF((INDIRECT($B$3)=$B61)*(INDIRECT($C$3)=$D61)*((INDIRECT($E$3)="TOTS")+(INDIRECT($E$3)=$E61)),INDIRECT(J$3)))),_xlpm.y,SUM(_xlfn.CHOOSECOLS(_xlfn._xlws.FILTER(F_RT14[],(F_RT14[PrjId]=$B61)*(F_RT14[Vrs]=$D61)*(_xlfn.TEXTAFTER(F_RT14[ActGrp],":")=_xlfn.TEXTAFTER($H61,":")),"X"),MATCH("*"&amp;J$54,F_RT14[#Headers],0))),IF(AND(_xlpm.x=0,_xlpm.y&lt;&gt;0),-1,IF(AND(_xlpm.x&lt;&gt;0,_xlpm.y&lt;&gt;0),_xlpm.x,IF(AND(_xlpm.x-SUM(IF((INDIRECT($B$3)=$B61)*(INDIRECT($C$3)=$D61)*((INDIRECT($E$3)="TOTS")+(INDIRECT($E$3)=$E61)),INDIRECT(J$3)))&lt;&gt;0,_xlpm.y=0),-2,_xlpm.x)))),0))</f>
        <v>1</v>
      </c>
      <c r="K61" s="199" cm="1">
        <f t="array" aca="1" ref="K61" ca="1">IF(OR($B61="",$B61="X",$D61="",$D61="X",$E61="",$E61="X"),0,IFERROR(_xlfn.LET(_xlpm.x,SUM(SUM(_xlfn._xlws.FILTER(VALUE(PptoSty[Sign]&amp;1)*(1/PptoSty[Division]),(PptoSty[Division]&lt;&gt;0)*(PptoSty[Division]&lt;&gt;"")*(PptoSty[Division]&lt;&gt;"X")*(PptoSty[Project]=$B61)*(PptoSty[Vrs]=$D61)*(PptoSty[PiRow]=_xlfn.TEXTAFTER($H61,":"))*(PptoSty[PiColumn]=K$54),0)),SUM(IF((INDIRECT($B$3)=$B61)*(INDIRECT($C$3)=$D61)*((INDIRECT($E$3)="TOTS")+(INDIRECT($E$3)=$E61)),INDIRECT(K$3)))),_xlpm.y,SUM(_xlfn.CHOOSECOLS(_xlfn._xlws.FILTER(F_RT14[],(F_RT14[PrjId]=$B61)*(F_RT14[Vrs]=$D61)*(_xlfn.TEXTAFTER(F_RT14[ActGrp],":")=_xlfn.TEXTAFTER($H61,":")),"X"),MATCH("*"&amp;K$54,F_RT14[#Headers],0))),IF(AND(_xlpm.x=0,_xlpm.y&lt;&gt;0),-1,IF(AND(_xlpm.x&lt;&gt;0,_xlpm.y&lt;&gt;0),_xlpm.x,IF(AND(_xlpm.x-SUM(IF((INDIRECT($B$3)=$B61)*(INDIRECT($C$3)=$D61)*((INDIRECT($E$3)="TOTS")+(INDIRECT($E$3)=$E61)),INDIRECT(K$3)))&lt;&gt;0,_xlpm.y=0),-2,_xlpm.x)))),0))</f>
        <v>0</v>
      </c>
      <c r="L61" s="199" cm="1">
        <f t="array" aca="1" ref="L61" ca="1">IF(OR($B61="",$B61="X",$D61="",$D61="X",$E61="",$E61="X"),0,IFERROR(_xlfn.LET(_xlpm.x,SUM(SUM(_xlfn._xlws.FILTER(VALUE(PptoSty[Sign]&amp;1)*(1/PptoSty[Division]),(PptoSty[Division]&lt;&gt;0)*(PptoSty[Division]&lt;&gt;"")*(PptoSty[Division]&lt;&gt;"X")*(PptoSty[Project]=$B61)*(PptoSty[Vrs]=$D61)*(PptoSty[PiRow]=_xlfn.TEXTAFTER($H61,":"))*(PptoSty[PiColumn]=L$54),0)),SUM(IF((INDIRECT($B$3)=$B61)*(INDIRECT($C$3)=$D61)*((INDIRECT($E$3)="TOTS")+(INDIRECT($E$3)=$E61)),INDIRECT(L$3)))),_xlpm.y,SUM(_xlfn.CHOOSECOLS(_xlfn._xlws.FILTER(F_RT14[],(F_RT14[PrjId]=$B61)*(F_RT14[Vrs]=$D61)*(_xlfn.TEXTAFTER(F_RT14[ActGrp],":")=_xlfn.TEXTAFTER($H61,":")),"X"),MATCH("*"&amp;L$54,F_RT14[#Headers],0))),IF(AND(_xlpm.x=0,_xlpm.y&lt;&gt;0),-1,IF(AND(_xlpm.x&lt;&gt;0,_xlpm.y&lt;&gt;0),_xlpm.x,IF(AND(_xlpm.x-SUM(IF((INDIRECT($B$3)=$B61)*(INDIRECT($C$3)=$D61)*((INDIRECT($E$3)="TOTS")+(INDIRECT($E$3)=$E61)),INDIRECT(L$3)))&lt;&gt;0,_xlpm.y=0),-2,_xlpm.x)))),0))</f>
        <v>0</v>
      </c>
      <c r="M61" s="199" cm="1">
        <f t="array" aca="1" ref="M61" ca="1">IF(OR($B61="",$B61="X",$D61="",$D61="X",$E61="",$E61="X"),0,IFERROR(_xlfn.LET(_xlpm.x,SUM(SUM(_xlfn._xlws.FILTER(VALUE(PptoSty[Sign]&amp;1)*(1/PptoSty[Division]),(PptoSty[Division]&lt;&gt;0)*(PptoSty[Division]&lt;&gt;"")*(PptoSty[Division]&lt;&gt;"X")*(PptoSty[Project]=$B61)*(PptoSty[Vrs]=$D61)*(PptoSty[PiRow]=_xlfn.TEXTAFTER($H61,":"))*(PptoSty[PiColumn]=M$54),0)),SUM(IF((INDIRECT($B$3)=$B61)*(INDIRECT($C$3)=$D61)*((INDIRECT($E$3)="TOTS")+(INDIRECT($E$3)=$E61)),INDIRECT(M$3)))),_xlpm.y,SUM(_xlfn.CHOOSECOLS(_xlfn._xlws.FILTER(F_RT14[],(F_RT14[PrjId]=$B61)*(F_RT14[Vrs]=$D61)*(_xlfn.TEXTAFTER(F_RT14[ActGrp],":")=_xlfn.TEXTAFTER($H61,":")),"X"),MATCH("*"&amp;M$54,F_RT14[#Headers],0))),IF(AND(_xlpm.x=0,_xlpm.y&lt;&gt;0),-1,IF(AND(_xlpm.x&lt;&gt;0,_xlpm.y&lt;&gt;0),_xlpm.x,IF(AND(_xlpm.x-SUM(IF((INDIRECT($B$3)=$B61)*(INDIRECT($C$3)=$D61)*((INDIRECT($E$3)="TOTS")+(INDIRECT($E$3)=$E61)),INDIRECT(M$3)))&lt;&gt;0,_xlpm.y=0),-2,_xlpm.x)))),0))</f>
        <v>1</v>
      </c>
      <c r="N61" s="199" cm="1">
        <f t="array" aca="1" ref="N61" ca="1">IF(OR($B61="",$B61="X",$D61="",$D61="X",$E61="",$E61="X"),0,IFERROR(_xlfn.LET(_xlpm.x,SUM(SUM(_xlfn._xlws.FILTER(VALUE(PptoSty[Sign]&amp;1)*(1/PptoSty[Division]),(PptoSty[Division]&lt;&gt;0)*(PptoSty[Division]&lt;&gt;"")*(PptoSty[Division]&lt;&gt;"X")*(PptoSty[Project]=$B61)*(PptoSty[Vrs]=$D61)*(PptoSty[PiRow]=_xlfn.TEXTAFTER($H61,":"))*(PptoSty[PiColumn]=N$54),0)),SUM(IF((INDIRECT($B$3)=$B61)*(INDIRECT($C$3)=$D61)*((INDIRECT($E$3)="TOTS")+(INDIRECT($E$3)=$E61)),INDIRECT(N$3)))),_xlpm.y,SUM(_xlfn.CHOOSECOLS(_xlfn._xlws.FILTER(F_RT14[],(F_RT14[PrjId]=$B61)*(F_RT14[Vrs]=$D61)*(_xlfn.TEXTAFTER(F_RT14[ActGrp],":")=_xlfn.TEXTAFTER($H61,":")),"X"),MATCH("*"&amp;N$54,F_RT14[#Headers],0))),IF(AND(_xlpm.x=0,_xlpm.y&lt;&gt;0),-1,IF(AND(_xlpm.x&lt;&gt;0,_xlpm.y&lt;&gt;0),_xlpm.x,IF(AND(_xlpm.x-SUM(IF((INDIRECT($B$3)=$B61)*(INDIRECT($C$3)=$D61)*((INDIRECT($E$3)="TOTS")+(INDIRECT($E$3)=$E61)),INDIRECT(N$3)))&lt;&gt;0,_xlpm.y=0),-2,_xlpm.x)))),0))</f>
        <v>0</v>
      </c>
      <c r="O61" s="199" cm="1">
        <f t="array" aca="1" ref="O61" ca="1">IF(OR($B61="",$B61="X",$D61="",$D61="X",$E61="",$E61="X"),0,IFERROR(_xlfn.LET(_xlpm.x,SUM(SUM(_xlfn._xlws.FILTER(VALUE(PptoSty[Sign]&amp;1)*(1/PptoSty[Division]),(PptoSty[Division]&lt;&gt;0)*(PptoSty[Division]&lt;&gt;"")*(PptoSty[Division]&lt;&gt;"X")*(PptoSty[Project]=$B61)*(PptoSty[Vrs]=$D61)*(PptoSty[PiRow]=_xlfn.TEXTAFTER($H61,":"))*(PptoSty[PiColumn]=O$54),0)),SUM(IF((INDIRECT($B$3)=$B61)*(INDIRECT($C$3)=$D61)*((INDIRECT($E$3)="TOTS")+(INDIRECT($E$3)=$E61)),INDIRECT(O$3)))),_xlpm.y,SUM(_xlfn.CHOOSECOLS(_xlfn._xlws.FILTER(F_RT14[],(F_RT14[PrjId]=$B61)*(F_RT14[Vrs]=$D61)*(_xlfn.TEXTAFTER(F_RT14[ActGrp],":")=_xlfn.TEXTAFTER($H61,":")),"X"),MATCH("*"&amp;O$54,F_RT14[#Headers],0))),IF(AND(_xlpm.x=0,_xlpm.y&lt;&gt;0),-1,IF(AND(_xlpm.x&lt;&gt;0,_xlpm.y&lt;&gt;0),_xlpm.x,IF(AND(_xlpm.x-SUM(IF((INDIRECT($B$3)=$B61)*(INDIRECT($C$3)=$D61)*((INDIRECT($E$3)="TOTS")+(INDIRECT($E$3)=$E61)),INDIRECT(O$3)))&lt;&gt;0,_xlpm.y=0),-2,_xlpm.x)))),0))</f>
        <v>0</v>
      </c>
      <c r="P61" s="199" cm="1">
        <f t="array" aca="1" ref="P61" ca="1">IF(OR($B61="",$B61="X",$D61="",$D61="X",$E61="",$E61="X"),0,IFERROR(_xlfn.LET(_xlpm.x,SUM(SUM(_xlfn._xlws.FILTER(VALUE(PptoSty[Sign]&amp;1)*(1/PptoSty[Division]),(PptoSty[Division]&lt;&gt;0)*(PptoSty[Division]&lt;&gt;"")*(PptoSty[Division]&lt;&gt;"X")*(PptoSty[Project]=$B61)*(PptoSty[Vrs]=$D61)*(PptoSty[PiRow]=_xlfn.TEXTAFTER($H61,":"))*(PptoSty[PiColumn]=P$54),0)),SUM(IF((INDIRECT($B$3)=$B61)*(INDIRECT($C$3)=$D61)*((INDIRECT($E$3)="TOTS")+(INDIRECT($E$3)=$E61)),INDIRECT(P$3)))),_xlpm.y,SUM(_xlfn.CHOOSECOLS(_xlfn._xlws.FILTER(F_RT14[],(F_RT14[PrjId]=$B61)*(F_RT14[Vrs]=$D61)*(_xlfn.TEXTAFTER(F_RT14[ActGrp],":")=_xlfn.TEXTAFTER($H61,":")),"X"),MATCH("*"&amp;P$54,F_RT14[#Headers],0))),IF(AND(_xlpm.x=0,_xlpm.y&lt;&gt;0),-1,IF(AND(_xlpm.x&lt;&gt;0,_xlpm.y&lt;&gt;0),_xlpm.x,IF(AND(_xlpm.x-SUM(IF((INDIRECT($B$3)=$B61)*(INDIRECT($C$3)=$D61)*((INDIRECT($E$3)="TOTS")+(INDIRECT($E$3)=$E61)),INDIRECT(P$3)))&lt;&gt;0,_xlpm.y=0),-2,_xlpm.x)))),0))</f>
        <v>1</v>
      </c>
      <c r="Q61" s="199" cm="1">
        <f t="array" aca="1" ref="Q61" ca="1">IF(OR($B61="",$B61="X",$D61="",$D61="X",$E61="",$E61="X"),0,IFERROR(_xlfn.LET(_xlpm.x,SUM(SUM(_xlfn._xlws.FILTER(VALUE(PptoSty[Sign]&amp;1)*(1/PptoSty[Division]),(PptoSty[Division]&lt;&gt;0)*(PptoSty[Division]&lt;&gt;"")*(PptoSty[Division]&lt;&gt;"X")*(PptoSty[Project]=$B61)*(PptoSty[Vrs]=$D61)*(PptoSty[PiRow]=_xlfn.TEXTAFTER($H61,":"))*(PptoSty[PiColumn]=Q$54),0)),SUM(IF((INDIRECT($B$3)=$B61)*(INDIRECT($C$3)=$D61)*((INDIRECT($E$3)="TOTS")+(INDIRECT($E$3)=$E61)),INDIRECT(Q$3)))),_xlpm.y,SUM(_xlfn.CHOOSECOLS(_xlfn._xlws.FILTER(F_RT14[],(F_RT14[PrjId]=$B61)*(F_RT14[Vrs]=$D61)*(_xlfn.TEXTAFTER(F_RT14[ActGrp],":")=_xlfn.TEXTAFTER($H61,":")),"X"),MATCH("*"&amp;Q$54,F_RT14[#Headers],0))),IF(AND(_xlpm.x=0,_xlpm.y&lt;&gt;0),-1,IF(AND(_xlpm.x&lt;&gt;0,_xlpm.y&lt;&gt;0),_xlpm.x,IF(AND(_xlpm.x-SUM(IF((INDIRECT($B$3)=$B61)*(INDIRECT($C$3)=$D61)*((INDIRECT($E$3)="TOTS")+(INDIRECT($E$3)=$E61)),INDIRECT(Q$3)))&lt;&gt;0,_xlpm.y=0),-2,_xlpm.x)))),0))</f>
        <v>0</v>
      </c>
      <c r="R61" s="199" cm="1">
        <f t="array" aca="1" ref="R61" ca="1">IF(OR($B61="",$B61="X",$D61="",$D61="X",$E61="",$E61="X"),0,IFERROR(_xlfn.LET(_xlpm.x,SUM(SUM(_xlfn._xlws.FILTER(VALUE(PptoSty[Sign]&amp;1)*(1/PptoSty[Division]),(PptoSty[Division]&lt;&gt;0)*(PptoSty[Division]&lt;&gt;"")*(PptoSty[Division]&lt;&gt;"X")*(PptoSty[Project]=$B61)*(PptoSty[Vrs]=$D61)*(PptoSty[PiRow]=_xlfn.TEXTAFTER($H61,":"))*(PptoSty[PiColumn]=R$54),0)),SUM(IF((INDIRECT($B$3)=$B61)*(INDIRECT($C$3)=$D61)*((INDIRECT($E$3)="TOTS")+(INDIRECT($E$3)=$E61)),INDIRECT(R$3)))),_xlpm.y,SUM(_xlfn.CHOOSECOLS(_xlfn._xlws.FILTER(F_RT14[],(F_RT14[PrjId]=$B61)*(F_RT14[Vrs]=$D61)*(_xlfn.TEXTAFTER(F_RT14[ActGrp],":")=_xlfn.TEXTAFTER($H61,":")),"X"),MATCH("*"&amp;R$54,F_RT14[#Headers],0))),IF(AND(_xlpm.x=0,_xlpm.y&lt;&gt;0),-1,IF(AND(_xlpm.x&lt;&gt;0,_xlpm.y&lt;&gt;0),_xlpm.x,IF(AND(_xlpm.x-SUM(IF((INDIRECT($B$3)=$B61)*(INDIRECT($C$3)=$D61)*((INDIRECT($E$3)="TOTS")+(INDIRECT($E$3)=$E61)),INDIRECT(R$3)))&lt;&gt;0,_xlpm.y=0),-2,_xlpm.x)))),0))</f>
        <v>1</v>
      </c>
      <c r="S61" s="199" cm="1">
        <f t="array" aca="1" ref="S61" ca="1">IF(OR($B61="",$B61="X",$D61="",$D61="X",$E61="",$E61="X"),0,IFERROR(_xlfn.LET(_xlpm.x,SUM(SUM(_xlfn._xlws.FILTER(VALUE(PptoSty[Sign]&amp;1)*(1/PptoSty[Division]),(PptoSty[Division]&lt;&gt;0)*(PptoSty[Division]&lt;&gt;"")*(PptoSty[Division]&lt;&gt;"X")*(PptoSty[Project]=$B61)*(PptoSty[Vrs]=$D61)*(PptoSty[PiRow]=_xlfn.TEXTAFTER($H61,":"))*(PptoSty[PiColumn]=S$54),0)),SUM(IF((INDIRECT($B$3)=$B61)*(INDIRECT($C$3)=$D61)*((INDIRECT($E$3)="TOTS")+(INDIRECT($E$3)=$E61)),INDIRECT(S$3)))),_xlpm.y,SUM(_xlfn.CHOOSECOLS(_xlfn._xlws.FILTER(F_RT14[],(F_RT14[PrjId]=$B61)*(F_RT14[Vrs]=$D61)*(_xlfn.TEXTAFTER(F_RT14[ActGrp],":")=_xlfn.TEXTAFTER($H61,":")),"X"),MATCH("*"&amp;S$54,F_RT14[#Headers],0))),IF(AND(_xlpm.x=0,_xlpm.y&lt;&gt;0),-1,IF(AND(_xlpm.x&lt;&gt;0,_xlpm.y&lt;&gt;0),_xlpm.x,IF(AND(_xlpm.x-SUM(IF((INDIRECT($B$3)=$B61)*(INDIRECT($C$3)=$D61)*((INDIRECT($E$3)="TOTS")+(INDIRECT($E$3)=$E61)),INDIRECT(S$3)))&lt;&gt;0,_xlpm.y=0),-2,_xlpm.x)))),0))</f>
        <v>0</v>
      </c>
      <c r="T61" s="199" cm="1">
        <f t="array" aca="1" ref="T61" ca="1">IF(OR($B61="",$B61="X",$D61="",$D61="X",$E61="",$E61="X"),0,IFERROR(_xlfn.LET(_xlpm.x,SUM(SUM(_xlfn._xlws.FILTER(VALUE(PptoSty[Sign]&amp;1)*(1/PptoSty[Division]),(PptoSty[Division]&lt;&gt;0)*(PptoSty[Division]&lt;&gt;"")*(PptoSty[Division]&lt;&gt;"X")*(PptoSty[Project]=$B61)*(PptoSty[Vrs]=$D61)*(PptoSty[PiRow]=_xlfn.TEXTAFTER($H61,":"))*(PptoSty[PiColumn]=T$54),0)),SUM(IF((INDIRECT($B$3)=$B61)*(INDIRECT($C$3)=$D61)*((INDIRECT($E$3)="TOTS")+(INDIRECT($E$3)=$E61)),INDIRECT(T$3)))),_xlpm.y,SUM(_xlfn.CHOOSECOLS(_xlfn._xlws.FILTER(F_RT14[],(F_RT14[PrjId]=$B61)*(F_RT14[Vrs]=$D61)*(_xlfn.TEXTAFTER(F_RT14[ActGrp],":")=_xlfn.TEXTAFTER($H61,":")),"X"),MATCH("*"&amp;T$54,F_RT14[#Headers],0))),IF(AND(_xlpm.x=0,_xlpm.y&lt;&gt;0),-1,IF(AND(_xlpm.x&lt;&gt;0,_xlpm.y&lt;&gt;0),_xlpm.x,IF(AND(_xlpm.x-SUM(IF((INDIRECT($B$3)=$B61)*(INDIRECT($C$3)=$D61)*((INDIRECT($E$3)="TOTS")+(INDIRECT($E$3)=$E61)),INDIRECT(T$3)))&lt;&gt;0,_xlpm.y=0),-2,_xlpm.x)))),0))</f>
        <v>0</v>
      </c>
      <c r="U61" s="199" cm="1">
        <f t="array" aca="1" ref="U61" ca="1">IF(OR($B61="",$B61="X",$D61="",$D61="X",$E61="",$E61="X"),0,IFERROR(_xlfn.LET(_xlpm.x,SUM(SUM(_xlfn._xlws.FILTER(VALUE(PptoSty[Sign]&amp;1)*(1/PptoSty[Division]),(PptoSty[Division]&lt;&gt;0)*(PptoSty[Division]&lt;&gt;"")*(PptoSty[Division]&lt;&gt;"X")*(PptoSty[Project]=$B61)*(PptoSty[Vrs]=$D61)*(PptoSty[PiRow]=_xlfn.TEXTAFTER($H61,":"))*(PptoSty[PiColumn]=U$54),0)),SUM(IF((INDIRECT($B$3)=$B61)*(INDIRECT($C$3)=$D61)*((INDIRECT($E$3)="TOTS")+(INDIRECT($E$3)=$E61)),INDIRECT(U$3)))),_xlpm.y,SUM(_xlfn.CHOOSECOLS(_xlfn._xlws.FILTER(F_RT14[],(F_RT14[PrjId]=$B61)*(F_RT14[Vrs]=$D61)*(_xlfn.TEXTAFTER(F_RT14[ActGrp],":")=_xlfn.TEXTAFTER($H61,":")),"X"),MATCH("*"&amp;U$54,F_RT14[#Headers],0))),IF(AND(_xlpm.x=0,_xlpm.y&lt;&gt;0),-1,IF(AND(_xlpm.x&lt;&gt;0,_xlpm.y&lt;&gt;0),_xlpm.x,IF(AND(_xlpm.x-SUM(IF((INDIRECT($B$3)=$B61)*(INDIRECT($C$3)=$D61)*((INDIRECT($E$3)="TOTS")+(INDIRECT($E$3)=$E61)),INDIRECT(U$3)))&lt;&gt;0,_xlpm.y=0),-2,_xlpm.x)))),0))</f>
        <v>0</v>
      </c>
      <c r="V61" s="199" cm="1">
        <f t="array" aca="1" ref="V61" ca="1">IF(OR($B61="",$B61="X",$D61="",$D61="X",$E61="",$E61="X"),0,IFERROR(_xlfn.LET(_xlpm.x,SUM(SUM(_xlfn._xlws.FILTER(VALUE(PptoSty[Sign]&amp;1)*(1/PptoSty[Division]),(PptoSty[Division]&lt;&gt;0)*(PptoSty[Division]&lt;&gt;"")*(PptoSty[Division]&lt;&gt;"X")*(PptoSty[Project]=$B61)*(PptoSty[Vrs]=$D61)*(PptoSty[PiRow]=_xlfn.TEXTAFTER($H61,":"))*(PptoSty[PiColumn]=V$54),0)),SUM(IF((INDIRECT($B$3)=$B61)*(INDIRECT($C$3)=$D61)*((INDIRECT($E$3)="TOTS")+(INDIRECT($E$3)=$E61)),INDIRECT(V$3)))),_xlpm.y,SUM(_xlfn.CHOOSECOLS(_xlfn._xlws.FILTER(F_RT14[],(F_RT14[PrjId]=$B61)*(F_RT14[Vrs]=$D61)*(_xlfn.TEXTAFTER(F_RT14[ActGrp],":")=_xlfn.TEXTAFTER($H61,":")),"X"),MATCH("*"&amp;V$54,F_RT14[#Headers],0))),IF(AND(_xlpm.x=0,_xlpm.y&lt;&gt;0),-1,IF(AND(_xlpm.x&lt;&gt;0,_xlpm.y&lt;&gt;0),_xlpm.x,IF(AND(_xlpm.x-SUM(IF((INDIRECT($B$3)=$B61)*(INDIRECT($C$3)=$D61)*((INDIRECT($E$3)="TOTS")+(INDIRECT($E$3)=$E61)),INDIRECT(V$3)))&lt;&gt;0,_xlpm.y=0),-2,_xlpm.x)))),0))</f>
        <v>0</v>
      </c>
      <c r="W61" s="199" cm="1">
        <f t="array" aca="1" ref="W61" ca="1">IF(OR($B61="",$B61="X",$D61="",$D61="X",$E61="",$E61="X"),0,IFERROR(_xlfn.LET(_xlpm.x,SUM(SUM(_xlfn._xlws.FILTER(VALUE(PptoSty[Sign]&amp;1)*(1/PptoSty[Division]),(PptoSty[Division]&lt;&gt;0)*(PptoSty[Division]&lt;&gt;"")*(PptoSty[Division]&lt;&gt;"X")*(PptoSty[Project]=$B61)*(PptoSty[Vrs]=$D61)*(PptoSty[PiRow]=_xlfn.TEXTAFTER($H61,":"))*(PptoSty[PiColumn]=W$54),0)),SUM(IF((INDIRECT($B$3)=$B61)*(INDIRECT($C$3)=$D61)*((INDIRECT($E$3)="TOTS")+(INDIRECT($E$3)=$E61)),INDIRECT(W$3)))),_xlpm.y,SUM(_xlfn.CHOOSECOLS(_xlfn._xlws.FILTER(F_RT14[],(F_RT14[PrjId]=$B61)*(F_RT14[Vrs]=$D61)*(_xlfn.TEXTAFTER(F_RT14[ActGrp],":")=_xlfn.TEXTAFTER($H61,":")),"X"),MATCH("*"&amp;W$54,F_RT14[#Headers],0))),IF(AND(_xlpm.x=0,_xlpm.y&lt;&gt;0),-1,IF(AND(_xlpm.x&lt;&gt;0,_xlpm.y&lt;&gt;0),_xlpm.x,IF(AND(_xlpm.x-SUM(IF((INDIRECT($B$3)=$B61)*(INDIRECT($C$3)=$D61)*((INDIRECT($E$3)="TOTS")+(INDIRECT($E$3)=$E61)),INDIRECT(W$3)))&lt;&gt;0,_xlpm.y=0),-2,_xlpm.x)))),0))</f>
        <v>0</v>
      </c>
      <c r="X61" s="199" cm="1">
        <f t="array" aca="1" ref="X61" ca="1">IF(OR($B61="",$B61="X",$D61="",$D61="X",$E61="",$E61="X"),0,IFERROR(_xlfn.LET(_xlpm.x,SUM(SUM(_xlfn._xlws.FILTER(VALUE(PptoSty[Sign]&amp;1)*(1/PptoSty[Division]),(PptoSty[Division]&lt;&gt;0)*(PptoSty[Division]&lt;&gt;"")*(PptoSty[Division]&lt;&gt;"X")*(PptoSty[Project]=$B61)*(PptoSty[Vrs]=$D61)*(PptoSty[PiRow]=_xlfn.TEXTAFTER($H61,":"))*(PptoSty[PiColumn]=X$54),0)),SUM(IF((INDIRECT($B$3)=$B61)*(INDIRECT($C$3)=$D61)*((INDIRECT($E$3)="TOTS")+(INDIRECT($E$3)=$E61)),INDIRECT(X$3)))),_xlpm.y,SUM(_xlfn.CHOOSECOLS(_xlfn._xlws.FILTER(F_RT14[],(F_RT14[PrjId]=$B61)*(F_RT14[Vrs]=$D61)*(_xlfn.TEXTAFTER(F_RT14[ActGrp],":")=_xlfn.TEXTAFTER($H61,":")),"X"),MATCH("*"&amp;X$54,F_RT14[#Headers],0))),IF(AND(_xlpm.x=0,_xlpm.y&lt;&gt;0),-1,IF(AND(_xlpm.x&lt;&gt;0,_xlpm.y&lt;&gt;0),_xlpm.x,IF(AND(_xlpm.x-SUM(IF((INDIRECT($B$3)=$B61)*(INDIRECT($C$3)=$D61)*((INDIRECT($E$3)="TOTS")+(INDIRECT($E$3)=$E61)),INDIRECT(X$3)))&lt;&gt;0,_xlpm.y=0),-2,_xlpm.x)))),0))</f>
        <v>0</v>
      </c>
      <c r="Y61" s="199" cm="1">
        <f t="array" aca="1" ref="Y61" ca="1">IF(OR($B61="",$B61="X",$D61="",$D61="X",$E61="",$E61="X"),0,IFERROR(_xlfn.LET(_xlpm.x,SUM(SUM(_xlfn._xlws.FILTER(VALUE(PptoSty[Sign]&amp;1)*(1/PptoSty[Division]),(PptoSty[Division]&lt;&gt;0)*(PptoSty[Division]&lt;&gt;"")*(PptoSty[Division]&lt;&gt;"X")*(PptoSty[Project]=$B61)*(PptoSty[Vrs]=$D61)*(PptoSty[PiRow]=_xlfn.TEXTAFTER($H61,":"))*(PptoSty[PiColumn]=Y$54),0)),SUM(IF((INDIRECT($B$3)=$B61)*(INDIRECT($C$3)=$D61)*((INDIRECT($E$3)="TOTS")+(INDIRECT($E$3)=$E61)),INDIRECT(Y$3)))),_xlpm.y,SUM(_xlfn.CHOOSECOLS(_xlfn._xlws.FILTER(F_RT14[],(F_RT14[PrjId]=$B61)*(F_RT14[Vrs]=$D61)*(_xlfn.TEXTAFTER(F_RT14[ActGrp],":")=_xlfn.TEXTAFTER($H61,":")),"X"),MATCH("*"&amp;Y$54,F_RT14[#Headers],0))),IF(AND(_xlpm.x=0,_xlpm.y&lt;&gt;0),-1,IF(AND(_xlpm.x&lt;&gt;0,_xlpm.y&lt;&gt;0),_xlpm.x,IF(AND(_xlpm.x-SUM(IF((INDIRECT($B$3)=$B61)*(INDIRECT($C$3)=$D61)*((INDIRECT($E$3)="TOTS")+(INDIRECT($E$3)=$E61)),INDIRECT(Y$3)))&lt;&gt;0,_xlpm.y=0),-2,_xlpm.x)))),0))</f>
        <v>0</v>
      </c>
      <c r="Z61" s="198" t="str">
        <f t="shared" ca="1" si="2"/>
        <v>Fback!B61:Y61</v>
      </c>
    </row>
    <row r="62" spans="1:26" ht="21" customHeight="1" outlineLevel="1">
      <c r="B62" s="128" t="str">
        <v>31199</v>
      </c>
      <c r="C62" s="128" t="str">
        <v>Sp</v>
      </c>
      <c r="D62" s="128">
        <v>0</v>
      </c>
      <c r="E62" s="128" t="str">
        <v>GSDF</v>
      </c>
      <c r="F62" s="139" t="str">
        <v>SERRA</v>
      </c>
      <c r="G62" s="139" t="str">
        <v>CurPpto</v>
      </c>
      <c r="H62" s="139" t="str">
        <v>G004:INGENIERÍA GESTIÓN DISEÑO</v>
      </c>
      <c r="I62" s="199" cm="1">
        <f t="array" aca="1" ref="I62" ca="1">IF(OR($B62="",$B62="X",$D62="",$D62="X",$E62="",$E62="X"),0,IFERROR(_xlfn.LET(_xlpm.x,SUM(SUM(_xlfn._xlws.FILTER(VALUE(PptoSty[Sign]&amp;1)*(1/PptoSty[Division]),(PptoSty[Division]&lt;&gt;0)*(PptoSty[Division]&lt;&gt;"")*(PptoSty[Division]&lt;&gt;"X")*(PptoSty[Project]=$B62)*(PptoSty[Vrs]=$D62)*(PptoSty[PiRow]=_xlfn.TEXTAFTER($H62,":"))*(PptoSty[PiColumn]=I$54),0)),SUM(IF((INDIRECT($B$3)=$B62)*(INDIRECT($C$3)=$D62)*((INDIRECT($E$3)="TOTS")+(INDIRECT($E$3)=$E62)),INDIRECT(I$3)))),_xlpm.y,SUM(_xlfn.CHOOSECOLS(_xlfn._xlws.FILTER(F_RT14[],(F_RT14[PrjId]=$B62)*(F_RT14[Vrs]=$D62)*(_xlfn.TEXTAFTER(F_RT14[ActGrp],":")=_xlfn.TEXTAFTER($H62,":")),"X"),MATCH("*"&amp;I$54,F_RT14[#Headers],0))),IF(AND(_xlpm.x=0,_xlpm.y&lt;&gt;0),-1,IF(AND(_xlpm.x&lt;&gt;0,_xlpm.y&lt;&gt;0),_xlpm.x,IF(AND(_xlpm.x-SUM(IF((INDIRECT($B$3)=$B62)*(INDIRECT($C$3)=$D62)*((INDIRECT($E$3)="TOTS")+(INDIRECT($E$3)=$E62)),INDIRECT(I$3)))&lt;&gt;0,_xlpm.y=0),-2,_xlpm.x)))),0))</f>
        <v>0</v>
      </c>
      <c r="J62" s="199" cm="1">
        <f t="array" aca="1" ref="J62" ca="1">IF(OR($B62="",$B62="X",$D62="",$D62="X",$E62="",$E62="X"),0,IFERROR(_xlfn.LET(_xlpm.x,SUM(SUM(_xlfn._xlws.FILTER(VALUE(PptoSty[Sign]&amp;1)*(1/PptoSty[Division]),(PptoSty[Division]&lt;&gt;0)*(PptoSty[Division]&lt;&gt;"")*(PptoSty[Division]&lt;&gt;"X")*(PptoSty[Project]=$B62)*(PptoSty[Vrs]=$D62)*(PptoSty[PiRow]=_xlfn.TEXTAFTER($H62,":"))*(PptoSty[PiColumn]=J$54),0)),SUM(IF((INDIRECT($B$3)=$B62)*(INDIRECT($C$3)=$D62)*((INDIRECT($E$3)="TOTS")+(INDIRECT($E$3)=$E62)),INDIRECT(J$3)))),_xlpm.y,SUM(_xlfn.CHOOSECOLS(_xlfn._xlws.FILTER(F_RT14[],(F_RT14[PrjId]=$B62)*(F_RT14[Vrs]=$D62)*(_xlfn.TEXTAFTER(F_RT14[ActGrp],":")=_xlfn.TEXTAFTER($H62,":")),"X"),MATCH("*"&amp;J$54,F_RT14[#Headers],0))),IF(AND(_xlpm.x=0,_xlpm.y&lt;&gt;0),-1,IF(AND(_xlpm.x&lt;&gt;0,_xlpm.y&lt;&gt;0),_xlpm.x,IF(AND(_xlpm.x-SUM(IF((INDIRECT($B$3)=$B62)*(INDIRECT($C$3)=$D62)*((INDIRECT($E$3)="TOTS")+(INDIRECT($E$3)=$E62)),INDIRECT(J$3)))&lt;&gt;0,_xlpm.y=0),-2,_xlpm.x)))),0))</f>
        <v>1</v>
      </c>
      <c r="K62" s="199" cm="1">
        <f t="array" aca="1" ref="K62" ca="1">IF(OR($B62="",$B62="X",$D62="",$D62="X",$E62="",$E62="X"),0,IFERROR(_xlfn.LET(_xlpm.x,SUM(SUM(_xlfn._xlws.FILTER(VALUE(PptoSty[Sign]&amp;1)*(1/PptoSty[Division]),(PptoSty[Division]&lt;&gt;0)*(PptoSty[Division]&lt;&gt;"")*(PptoSty[Division]&lt;&gt;"X")*(PptoSty[Project]=$B62)*(PptoSty[Vrs]=$D62)*(PptoSty[PiRow]=_xlfn.TEXTAFTER($H62,":"))*(PptoSty[PiColumn]=K$54),0)),SUM(IF((INDIRECT($B$3)=$B62)*(INDIRECT($C$3)=$D62)*((INDIRECT($E$3)="TOTS")+(INDIRECT($E$3)=$E62)),INDIRECT(K$3)))),_xlpm.y,SUM(_xlfn.CHOOSECOLS(_xlfn._xlws.FILTER(F_RT14[],(F_RT14[PrjId]=$B62)*(F_RT14[Vrs]=$D62)*(_xlfn.TEXTAFTER(F_RT14[ActGrp],":")=_xlfn.TEXTAFTER($H62,":")),"X"),MATCH("*"&amp;K$54,F_RT14[#Headers],0))),IF(AND(_xlpm.x=0,_xlpm.y&lt;&gt;0),-1,IF(AND(_xlpm.x&lt;&gt;0,_xlpm.y&lt;&gt;0),_xlpm.x,IF(AND(_xlpm.x-SUM(IF((INDIRECT($B$3)=$B62)*(INDIRECT($C$3)=$D62)*((INDIRECT($E$3)="TOTS")+(INDIRECT($E$3)=$E62)),INDIRECT(K$3)))&lt;&gt;0,_xlpm.y=0),-2,_xlpm.x)))),0))</f>
        <v>0</v>
      </c>
      <c r="L62" s="199" cm="1">
        <f t="array" aca="1" ref="L62" ca="1">IF(OR($B62="",$B62="X",$D62="",$D62="X",$E62="",$E62="X"),0,IFERROR(_xlfn.LET(_xlpm.x,SUM(SUM(_xlfn._xlws.FILTER(VALUE(PptoSty[Sign]&amp;1)*(1/PptoSty[Division]),(PptoSty[Division]&lt;&gt;0)*(PptoSty[Division]&lt;&gt;"")*(PptoSty[Division]&lt;&gt;"X")*(PptoSty[Project]=$B62)*(PptoSty[Vrs]=$D62)*(PptoSty[PiRow]=_xlfn.TEXTAFTER($H62,":"))*(PptoSty[PiColumn]=L$54),0)),SUM(IF((INDIRECT($B$3)=$B62)*(INDIRECT($C$3)=$D62)*((INDIRECT($E$3)="TOTS")+(INDIRECT($E$3)=$E62)),INDIRECT(L$3)))),_xlpm.y,SUM(_xlfn.CHOOSECOLS(_xlfn._xlws.FILTER(F_RT14[],(F_RT14[PrjId]=$B62)*(F_RT14[Vrs]=$D62)*(_xlfn.TEXTAFTER(F_RT14[ActGrp],":")=_xlfn.TEXTAFTER($H62,":")),"X"),MATCH("*"&amp;L$54,F_RT14[#Headers],0))),IF(AND(_xlpm.x=0,_xlpm.y&lt;&gt;0),-1,IF(AND(_xlpm.x&lt;&gt;0,_xlpm.y&lt;&gt;0),_xlpm.x,IF(AND(_xlpm.x-SUM(IF((INDIRECT($B$3)=$B62)*(INDIRECT($C$3)=$D62)*((INDIRECT($E$3)="TOTS")+(INDIRECT($E$3)=$E62)),INDIRECT(L$3)))&lt;&gt;0,_xlpm.y=0),-2,_xlpm.x)))),0))</f>
        <v>0</v>
      </c>
      <c r="M62" s="199" cm="1">
        <f t="array" aca="1" ref="M62" ca="1">IF(OR($B62="",$B62="X",$D62="",$D62="X",$E62="",$E62="X"),0,IFERROR(_xlfn.LET(_xlpm.x,SUM(SUM(_xlfn._xlws.FILTER(VALUE(PptoSty[Sign]&amp;1)*(1/PptoSty[Division]),(PptoSty[Division]&lt;&gt;0)*(PptoSty[Division]&lt;&gt;"")*(PptoSty[Division]&lt;&gt;"X")*(PptoSty[Project]=$B62)*(PptoSty[Vrs]=$D62)*(PptoSty[PiRow]=_xlfn.TEXTAFTER($H62,":"))*(PptoSty[PiColumn]=M$54),0)),SUM(IF((INDIRECT($B$3)=$B62)*(INDIRECT($C$3)=$D62)*((INDIRECT($E$3)="TOTS")+(INDIRECT($E$3)=$E62)),INDIRECT(M$3)))),_xlpm.y,SUM(_xlfn.CHOOSECOLS(_xlfn._xlws.FILTER(F_RT14[],(F_RT14[PrjId]=$B62)*(F_RT14[Vrs]=$D62)*(_xlfn.TEXTAFTER(F_RT14[ActGrp],":")=_xlfn.TEXTAFTER($H62,":")),"X"),MATCH("*"&amp;M$54,F_RT14[#Headers],0))),IF(AND(_xlpm.x=0,_xlpm.y&lt;&gt;0),-1,IF(AND(_xlpm.x&lt;&gt;0,_xlpm.y&lt;&gt;0),_xlpm.x,IF(AND(_xlpm.x-SUM(IF((INDIRECT($B$3)=$B62)*(INDIRECT($C$3)=$D62)*((INDIRECT($E$3)="TOTS")+(INDIRECT($E$3)=$E62)),INDIRECT(M$3)))&lt;&gt;0,_xlpm.y=0),-2,_xlpm.x)))),0))</f>
        <v>1</v>
      </c>
      <c r="N62" s="199" cm="1">
        <f t="array" aca="1" ref="N62" ca="1">IF(OR($B62="",$B62="X",$D62="",$D62="X",$E62="",$E62="X"),0,IFERROR(_xlfn.LET(_xlpm.x,SUM(SUM(_xlfn._xlws.FILTER(VALUE(PptoSty[Sign]&amp;1)*(1/PptoSty[Division]),(PptoSty[Division]&lt;&gt;0)*(PptoSty[Division]&lt;&gt;"")*(PptoSty[Division]&lt;&gt;"X")*(PptoSty[Project]=$B62)*(PptoSty[Vrs]=$D62)*(PptoSty[PiRow]=_xlfn.TEXTAFTER($H62,":"))*(PptoSty[PiColumn]=N$54),0)),SUM(IF((INDIRECT($B$3)=$B62)*(INDIRECT($C$3)=$D62)*((INDIRECT($E$3)="TOTS")+(INDIRECT($E$3)=$E62)),INDIRECT(N$3)))),_xlpm.y,SUM(_xlfn.CHOOSECOLS(_xlfn._xlws.FILTER(F_RT14[],(F_RT14[PrjId]=$B62)*(F_RT14[Vrs]=$D62)*(_xlfn.TEXTAFTER(F_RT14[ActGrp],":")=_xlfn.TEXTAFTER($H62,":")),"X"),MATCH("*"&amp;N$54,F_RT14[#Headers],0))),IF(AND(_xlpm.x=0,_xlpm.y&lt;&gt;0),-1,IF(AND(_xlpm.x&lt;&gt;0,_xlpm.y&lt;&gt;0),_xlpm.x,IF(AND(_xlpm.x-SUM(IF((INDIRECT($B$3)=$B62)*(INDIRECT($C$3)=$D62)*((INDIRECT($E$3)="TOTS")+(INDIRECT($E$3)=$E62)),INDIRECT(N$3)))&lt;&gt;0,_xlpm.y=0),-2,_xlpm.x)))),0))</f>
        <v>0</v>
      </c>
      <c r="O62" s="199" cm="1">
        <f t="array" aca="1" ref="O62" ca="1">IF(OR($B62="",$B62="X",$D62="",$D62="X",$E62="",$E62="X"),0,IFERROR(_xlfn.LET(_xlpm.x,SUM(SUM(_xlfn._xlws.FILTER(VALUE(PptoSty[Sign]&amp;1)*(1/PptoSty[Division]),(PptoSty[Division]&lt;&gt;0)*(PptoSty[Division]&lt;&gt;"")*(PptoSty[Division]&lt;&gt;"X")*(PptoSty[Project]=$B62)*(PptoSty[Vrs]=$D62)*(PptoSty[PiRow]=_xlfn.TEXTAFTER($H62,":"))*(PptoSty[PiColumn]=O$54),0)),SUM(IF((INDIRECT($B$3)=$B62)*(INDIRECT($C$3)=$D62)*((INDIRECT($E$3)="TOTS")+(INDIRECT($E$3)=$E62)),INDIRECT(O$3)))),_xlpm.y,SUM(_xlfn.CHOOSECOLS(_xlfn._xlws.FILTER(F_RT14[],(F_RT14[PrjId]=$B62)*(F_RT14[Vrs]=$D62)*(_xlfn.TEXTAFTER(F_RT14[ActGrp],":")=_xlfn.TEXTAFTER($H62,":")),"X"),MATCH("*"&amp;O$54,F_RT14[#Headers],0))),IF(AND(_xlpm.x=0,_xlpm.y&lt;&gt;0),-1,IF(AND(_xlpm.x&lt;&gt;0,_xlpm.y&lt;&gt;0),_xlpm.x,IF(AND(_xlpm.x-SUM(IF((INDIRECT($B$3)=$B62)*(INDIRECT($C$3)=$D62)*((INDIRECT($E$3)="TOTS")+(INDIRECT($E$3)=$E62)),INDIRECT(O$3)))&lt;&gt;0,_xlpm.y=0),-2,_xlpm.x)))),0))</f>
        <v>0</v>
      </c>
      <c r="P62" s="199" cm="1">
        <f t="array" aca="1" ref="P62" ca="1">IF(OR($B62="",$B62="X",$D62="",$D62="X",$E62="",$E62="X"),0,IFERROR(_xlfn.LET(_xlpm.x,SUM(SUM(_xlfn._xlws.FILTER(VALUE(PptoSty[Sign]&amp;1)*(1/PptoSty[Division]),(PptoSty[Division]&lt;&gt;0)*(PptoSty[Division]&lt;&gt;"")*(PptoSty[Division]&lt;&gt;"X")*(PptoSty[Project]=$B62)*(PptoSty[Vrs]=$D62)*(PptoSty[PiRow]=_xlfn.TEXTAFTER($H62,":"))*(PptoSty[PiColumn]=P$54),0)),SUM(IF((INDIRECT($B$3)=$B62)*(INDIRECT($C$3)=$D62)*((INDIRECT($E$3)="TOTS")+(INDIRECT($E$3)=$E62)),INDIRECT(P$3)))),_xlpm.y,SUM(_xlfn.CHOOSECOLS(_xlfn._xlws.FILTER(F_RT14[],(F_RT14[PrjId]=$B62)*(F_RT14[Vrs]=$D62)*(_xlfn.TEXTAFTER(F_RT14[ActGrp],":")=_xlfn.TEXTAFTER($H62,":")),"X"),MATCH("*"&amp;P$54,F_RT14[#Headers],0))),IF(AND(_xlpm.x=0,_xlpm.y&lt;&gt;0),-1,IF(AND(_xlpm.x&lt;&gt;0,_xlpm.y&lt;&gt;0),_xlpm.x,IF(AND(_xlpm.x-SUM(IF((INDIRECT($B$3)=$B62)*(INDIRECT($C$3)=$D62)*((INDIRECT($E$3)="TOTS")+(INDIRECT($E$3)=$E62)),INDIRECT(P$3)))&lt;&gt;0,_xlpm.y=0),-2,_xlpm.x)))),0))</f>
        <v>1</v>
      </c>
      <c r="Q62" s="199" cm="1">
        <f t="array" aca="1" ref="Q62" ca="1">IF(OR($B62="",$B62="X",$D62="",$D62="X",$E62="",$E62="X"),0,IFERROR(_xlfn.LET(_xlpm.x,SUM(SUM(_xlfn._xlws.FILTER(VALUE(PptoSty[Sign]&amp;1)*(1/PptoSty[Division]),(PptoSty[Division]&lt;&gt;0)*(PptoSty[Division]&lt;&gt;"")*(PptoSty[Division]&lt;&gt;"X")*(PptoSty[Project]=$B62)*(PptoSty[Vrs]=$D62)*(PptoSty[PiRow]=_xlfn.TEXTAFTER($H62,":"))*(PptoSty[PiColumn]=Q$54),0)),SUM(IF((INDIRECT($B$3)=$B62)*(INDIRECT($C$3)=$D62)*((INDIRECT($E$3)="TOTS")+(INDIRECT($E$3)=$E62)),INDIRECT(Q$3)))),_xlpm.y,SUM(_xlfn.CHOOSECOLS(_xlfn._xlws.FILTER(F_RT14[],(F_RT14[PrjId]=$B62)*(F_RT14[Vrs]=$D62)*(_xlfn.TEXTAFTER(F_RT14[ActGrp],":")=_xlfn.TEXTAFTER($H62,":")),"X"),MATCH("*"&amp;Q$54,F_RT14[#Headers],0))),IF(AND(_xlpm.x=0,_xlpm.y&lt;&gt;0),-1,IF(AND(_xlpm.x&lt;&gt;0,_xlpm.y&lt;&gt;0),_xlpm.x,IF(AND(_xlpm.x-SUM(IF((INDIRECT($B$3)=$B62)*(INDIRECT($C$3)=$D62)*((INDIRECT($E$3)="TOTS")+(INDIRECT($E$3)=$E62)),INDIRECT(Q$3)))&lt;&gt;0,_xlpm.y=0),-2,_xlpm.x)))),0))</f>
        <v>0</v>
      </c>
      <c r="R62" s="199" cm="1">
        <f t="array" aca="1" ref="R62" ca="1">IF(OR($B62="",$B62="X",$D62="",$D62="X",$E62="",$E62="X"),0,IFERROR(_xlfn.LET(_xlpm.x,SUM(SUM(_xlfn._xlws.FILTER(VALUE(PptoSty[Sign]&amp;1)*(1/PptoSty[Division]),(PptoSty[Division]&lt;&gt;0)*(PptoSty[Division]&lt;&gt;"")*(PptoSty[Division]&lt;&gt;"X")*(PptoSty[Project]=$B62)*(PptoSty[Vrs]=$D62)*(PptoSty[PiRow]=_xlfn.TEXTAFTER($H62,":"))*(PptoSty[PiColumn]=R$54),0)),SUM(IF((INDIRECT($B$3)=$B62)*(INDIRECT($C$3)=$D62)*((INDIRECT($E$3)="TOTS")+(INDIRECT($E$3)=$E62)),INDIRECT(R$3)))),_xlpm.y,SUM(_xlfn.CHOOSECOLS(_xlfn._xlws.FILTER(F_RT14[],(F_RT14[PrjId]=$B62)*(F_RT14[Vrs]=$D62)*(_xlfn.TEXTAFTER(F_RT14[ActGrp],":")=_xlfn.TEXTAFTER($H62,":")),"X"),MATCH("*"&amp;R$54,F_RT14[#Headers],0))),IF(AND(_xlpm.x=0,_xlpm.y&lt;&gt;0),-1,IF(AND(_xlpm.x&lt;&gt;0,_xlpm.y&lt;&gt;0),_xlpm.x,IF(AND(_xlpm.x-SUM(IF((INDIRECT($B$3)=$B62)*(INDIRECT($C$3)=$D62)*((INDIRECT($E$3)="TOTS")+(INDIRECT($E$3)=$E62)),INDIRECT(R$3)))&lt;&gt;0,_xlpm.y=0),-2,_xlpm.x)))),0))</f>
        <v>1</v>
      </c>
      <c r="S62" s="199" cm="1">
        <f t="array" aca="1" ref="S62" ca="1">IF(OR($B62="",$B62="X",$D62="",$D62="X",$E62="",$E62="X"),0,IFERROR(_xlfn.LET(_xlpm.x,SUM(SUM(_xlfn._xlws.FILTER(VALUE(PptoSty[Sign]&amp;1)*(1/PptoSty[Division]),(PptoSty[Division]&lt;&gt;0)*(PptoSty[Division]&lt;&gt;"")*(PptoSty[Division]&lt;&gt;"X")*(PptoSty[Project]=$B62)*(PptoSty[Vrs]=$D62)*(PptoSty[PiRow]=_xlfn.TEXTAFTER($H62,":"))*(PptoSty[PiColumn]=S$54),0)),SUM(IF((INDIRECT($B$3)=$B62)*(INDIRECT($C$3)=$D62)*((INDIRECT($E$3)="TOTS")+(INDIRECT($E$3)=$E62)),INDIRECT(S$3)))),_xlpm.y,SUM(_xlfn.CHOOSECOLS(_xlfn._xlws.FILTER(F_RT14[],(F_RT14[PrjId]=$B62)*(F_RT14[Vrs]=$D62)*(_xlfn.TEXTAFTER(F_RT14[ActGrp],":")=_xlfn.TEXTAFTER($H62,":")),"X"),MATCH("*"&amp;S$54,F_RT14[#Headers],0))),IF(AND(_xlpm.x=0,_xlpm.y&lt;&gt;0),-1,IF(AND(_xlpm.x&lt;&gt;0,_xlpm.y&lt;&gt;0),_xlpm.x,IF(AND(_xlpm.x-SUM(IF((INDIRECT($B$3)=$B62)*(INDIRECT($C$3)=$D62)*((INDIRECT($E$3)="TOTS")+(INDIRECT($E$3)=$E62)),INDIRECT(S$3)))&lt;&gt;0,_xlpm.y=0),-2,_xlpm.x)))),0))</f>
        <v>0</v>
      </c>
      <c r="T62" s="199" cm="1">
        <f t="array" aca="1" ref="T62" ca="1">IF(OR($B62="",$B62="X",$D62="",$D62="X",$E62="",$E62="X"),0,IFERROR(_xlfn.LET(_xlpm.x,SUM(SUM(_xlfn._xlws.FILTER(VALUE(PptoSty[Sign]&amp;1)*(1/PptoSty[Division]),(PptoSty[Division]&lt;&gt;0)*(PptoSty[Division]&lt;&gt;"")*(PptoSty[Division]&lt;&gt;"X")*(PptoSty[Project]=$B62)*(PptoSty[Vrs]=$D62)*(PptoSty[PiRow]=_xlfn.TEXTAFTER($H62,":"))*(PptoSty[PiColumn]=T$54),0)),SUM(IF((INDIRECT($B$3)=$B62)*(INDIRECT($C$3)=$D62)*((INDIRECT($E$3)="TOTS")+(INDIRECT($E$3)=$E62)),INDIRECT(T$3)))),_xlpm.y,SUM(_xlfn.CHOOSECOLS(_xlfn._xlws.FILTER(F_RT14[],(F_RT14[PrjId]=$B62)*(F_RT14[Vrs]=$D62)*(_xlfn.TEXTAFTER(F_RT14[ActGrp],":")=_xlfn.TEXTAFTER($H62,":")),"X"),MATCH("*"&amp;T$54,F_RT14[#Headers],0))),IF(AND(_xlpm.x=0,_xlpm.y&lt;&gt;0),-1,IF(AND(_xlpm.x&lt;&gt;0,_xlpm.y&lt;&gt;0),_xlpm.x,IF(AND(_xlpm.x-SUM(IF((INDIRECT($B$3)=$B62)*(INDIRECT($C$3)=$D62)*((INDIRECT($E$3)="TOTS")+(INDIRECT($E$3)=$E62)),INDIRECT(T$3)))&lt;&gt;0,_xlpm.y=0),-2,_xlpm.x)))),0))</f>
        <v>0</v>
      </c>
      <c r="U62" s="199" cm="1">
        <f t="array" aca="1" ref="U62" ca="1">IF(OR($B62="",$B62="X",$D62="",$D62="X",$E62="",$E62="X"),0,IFERROR(_xlfn.LET(_xlpm.x,SUM(SUM(_xlfn._xlws.FILTER(VALUE(PptoSty[Sign]&amp;1)*(1/PptoSty[Division]),(PptoSty[Division]&lt;&gt;0)*(PptoSty[Division]&lt;&gt;"")*(PptoSty[Division]&lt;&gt;"X")*(PptoSty[Project]=$B62)*(PptoSty[Vrs]=$D62)*(PptoSty[PiRow]=_xlfn.TEXTAFTER($H62,":"))*(PptoSty[PiColumn]=U$54),0)),SUM(IF((INDIRECT($B$3)=$B62)*(INDIRECT($C$3)=$D62)*((INDIRECT($E$3)="TOTS")+(INDIRECT($E$3)=$E62)),INDIRECT(U$3)))),_xlpm.y,SUM(_xlfn.CHOOSECOLS(_xlfn._xlws.FILTER(F_RT14[],(F_RT14[PrjId]=$B62)*(F_RT14[Vrs]=$D62)*(_xlfn.TEXTAFTER(F_RT14[ActGrp],":")=_xlfn.TEXTAFTER($H62,":")),"X"),MATCH("*"&amp;U$54,F_RT14[#Headers],0))),IF(AND(_xlpm.x=0,_xlpm.y&lt;&gt;0),-1,IF(AND(_xlpm.x&lt;&gt;0,_xlpm.y&lt;&gt;0),_xlpm.x,IF(AND(_xlpm.x-SUM(IF((INDIRECT($B$3)=$B62)*(INDIRECT($C$3)=$D62)*((INDIRECT($E$3)="TOTS")+(INDIRECT($E$3)=$E62)),INDIRECT(U$3)))&lt;&gt;0,_xlpm.y=0),-2,_xlpm.x)))),0))</f>
        <v>0</v>
      </c>
      <c r="V62" s="199" cm="1">
        <f t="array" aca="1" ref="V62" ca="1">IF(OR($B62="",$B62="X",$D62="",$D62="X",$E62="",$E62="X"),0,IFERROR(_xlfn.LET(_xlpm.x,SUM(SUM(_xlfn._xlws.FILTER(VALUE(PptoSty[Sign]&amp;1)*(1/PptoSty[Division]),(PptoSty[Division]&lt;&gt;0)*(PptoSty[Division]&lt;&gt;"")*(PptoSty[Division]&lt;&gt;"X")*(PptoSty[Project]=$B62)*(PptoSty[Vrs]=$D62)*(PptoSty[PiRow]=_xlfn.TEXTAFTER($H62,":"))*(PptoSty[PiColumn]=V$54),0)),SUM(IF((INDIRECT($B$3)=$B62)*(INDIRECT($C$3)=$D62)*((INDIRECT($E$3)="TOTS")+(INDIRECT($E$3)=$E62)),INDIRECT(V$3)))),_xlpm.y,SUM(_xlfn.CHOOSECOLS(_xlfn._xlws.FILTER(F_RT14[],(F_RT14[PrjId]=$B62)*(F_RT14[Vrs]=$D62)*(_xlfn.TEXTAFTER(F_RT14[ActGrp],":")=_xlfn.TEXTAFTER($H62,":")),"X"),MATCH("*"&amp;V$54,F_RT14[#Headers],0))),IF(AND(_xlpm.x=0,_xlpm.y&lt;&gt;0),-1,IF(AND(_xlpm.x&lt;&gt;0,_xlpm.y&lt;&gt;0),_xlpm.x,IF(AND(_xlpm.x-SUM(IF((INDIRECT($B$3)=$B62)*(INDIRECT($C$3)=$D62)*((INDIRECT($E$3)="TOTS")+(INDIRECT($E$3)=$E62)),INDIRECT(V$3)))&lt;&gt;0,_xlpm.y=0),-2,_xlpm.x)))),0))</f>
        <v>0</v>
      </c>
      <c r="W62" s="199" cm="1">
        <f t="array" aca="1" ref="W62" ca="1">IF(OR($B62="",$B62="X",$D62="",$D62="X",$E62="",$E62="X"),0,IFERROR(_xlfn.LET(_xlpm.x,SUM(SUM(_xlfn._xlws.FILTER(VALUE(PptoSty[Sign]&amp;1)*(1/PptoSty[Division]),(PptoSty[Division]&lt;&gt;0)*(PptoSty[Division]&lt;&gt;"")*(PptoSty[Division]&lt;&gt;"X")*(PptoSty[Project]=$B62)*(PptoSty[Vrs]=$D62)*(PptoSty[PiRow]=_xlfn.TEXTAFTER($H62,":"))*(PptoSty[PiColumn]=W$54),0)),SUM(IF((INDIRECT($B$3)=$B62)*(INDIRECT($C$3)=$D62)*((INDIRECT($E$3)="TOTS")+(INDIRECT($E$3)=$E62)),INDIRECT(W$3)))),_xlpm.y,SUM(_xlfn.CHOOSECOLS(_xlfn._xlws.FILTER(F_RT14[],(F_RT14[PrjId]=$B62)*(F_RT14[Vrs]=$D62)*(_xlfn.TEXTAFTER(F_RT14[ActGrp],":")=_xlfn.TEXTAFTER($H62,":")),"X"),MATCH("*"&amp;W$54,F_RT14[#Headers],0))),IF(AND(_xlpm.x=0,_xlpm.y&lt;&gt;0),-1,IF(AND(_xlpm.x&lt;&gt;0,_xlpm.y&lt;&gt;0),_xlpm.x,IF(AND(_xlpm.x-SUM(IF((INDIRECT($B$3)=$B62)*(INDIRECT($C$3)=$D62)*((INDIRECT($E$3)="TOTS")+(INDIRECT($E$3)=$E62)),INDIRECT(W$3)))&lt;&gt;0,_xlpm.y=0),-2,_xlpm.x)))),0))</f>
        <v>0</v>
      </c>
      <c r="X62" s="199" cm="1">
        <f t="array" aca="1" ref="X62" ca="1">IF(OR($B62="",$B62="X",$D62="",$D62="X",$E62="",$E62="X"),0,IFERROR(_xlfn.LET(_xlpm.x,SUM(SUM(_xlfn._xlws.FILTER(VALUE(PptoSty[Sign]&amp;1)*(1/PptoSty[Division]),(PptoSty[Division]&lt;&gt;0)*(PptoSty[Division]&lt;&gt;"")*(PptoSty[Division]&lt;&gt;"X")*(PptoSty[Project]=$B62)*(PptoSty[Vrs]=$D62)*(PptoSty[PiRow]=_xlfn.TEXTAFTER($H62,":"))*(PptoSty[PiColumn]=X$54),0)),SUM(IF((INDIRECT($B$3)=$B62)*(INDIRECT($C$3)=$D62)*((INDIRECT($E$3)="TOTS")+(INDIRECT($E$3)=$E62)),INDIRECT(X$3)))),_xlpm.y,SUM(_xlfn.CHOOSECOLS(_xlfn._xlws.FILTER(F_RT14[],(F_RT14[PrjId]=$B62)*(F_RT14[Vrs]=$D62)*(_xlfn.TEXTAFTER(F_RT14[ActGrp],":")=_xlfn.TEXTAFTER($H62,":")),"X"),MATCH("*"&amp;X$54,F_RT14[#Headers],0))),IF(AND(_xlpm.x=0,_xlpm.y&lt;&gt;0),-1,IF(AND(_xlpm.x&lt;&gt;0,_xlpm.y&lt;&gt;0),_xlpm.x,IF(AND(_xlpm.x-SUM(IF((INDIRECT($B$3)=$B62)*(INDIRECT($C$3)=$D62)*((INDIRECT($E$3)="TOTS")+(INDIRECT($E$3)=$E62)),INDIRECT(X$3)))&lt;&gt;0,_xlpm.y=0),-2,_xlpm.x)))),0))</f>
        <v>0</v>
      </c>
      <c r="Y62" s="199" cm="1">
        <f t="array" aca="1" ref="Y62" ca="1">IF(OR($B62="",$B62="X",$D62="",$D62="X",$E62="",$E62="X"),0,IFERROR(_xlfn.LET(_xlpm.x,SUM(SUM(_xlfn._xlws.FILTER(VALUE(PptoSty[Sign]&amp;1)*(1/PptoSty[Division]),(PptoSty[Division]&lt;&gt;0)*(PptoSty[Division]&lt;&gt;"")*(PptoSty[Division]&lt;&gt;"X")*(PptoSty[Project]=$B62)*(PptoSty[Vrs]=$D62)*(PptoSty[PiRow]=_xlfn.TEXTAFTER($H62,":"))*(PptoSty[PiColumn]=Y$54),0)),SUM(IF((INDIRECT($B$3)=$B62)*(INDIRECT($C$3)=$D62)*((INDIRECT($E$3)="TOTS")+(INDIRECT($E$3)=$E62)),INDIRECT(Y$3)))),_xlpm.y,SUM(_xlfn.CHOOSECOLS(_xlfn._xlws.FILTER(F_RT14[],(F_RT14[PrjId]=$B62)*(F_RT14[Vrs]=$D62)*(_xlfn.TEXTAFTER(F_RT14[ActGrp],":")=_xlfn.TEXTAFTER($H62,":")),"X"),MATCH("*"&amp;Y$54,F_RT14[#Headers],0))),IF(AND(_xlpm.x=0,_xlpm.y&lt;&gt;0),-1,IF(AND(_xlpm.x&lt;&gt;0,_xlpm.y&lt;&gt;0),_xlpm.x,IF(AND(_xlpm.x-SUM(IF((INDIRECT($B$3)=$B62)*(INDIRECT($C$3)=$D62)*((INDIRECT($E$3)="TOTS")+(INDIRECT($E$3)=$E62)),INDIRECT(Y$3)))&lt;&gt;0,_xlpm.y=0),-2,_xlpm.x)))),0))</f>
        <v>0</v>
      </c>
      <c r="Z62" s="198" t="str">
        <f t="shared" ca="1" si="2"/>
        <v>Fback!B62:Y62</v>
      </c>
    </row>
    <row r="63" spans="1:26" ht="21" customHeight="1" outlineLevel="1">
      <c r="B63" s="128" t="str">
        <v>31200</v>
      </c>
      <c r="C63" s="128" t="str">
        <v>Sp</v>
      </c>
      <c r="D63" s="128">
        <v>15</v>
      </c>
      <c r="E63" s="128" t="str">
        <v>PEMX</v>
      </c>
      <c r="F63" s="139" t="str">
        <v>SERRA</v>
      </c>
      <c r="G63" s="139" t="str">
        <v>CurPpto</v>
      </c>
      <c r="H63" s="139" t="str">
        <v>G005:PUESTA EN MARCHA EN SERRA</v>
      </c>
      <c r="I63" s="199" cm="1">
        <f t="array" aca="1" ref="I63" ca="1">IF(OR($B63="",$B63="X",$D63="",$D63="X",$E63="",$E63="X"),0,IFERROR(_xlfn.LET(_xlpm.x,SUM(SUM(_xlfn._xlws.FILTER(VALUE(PptoSty[Sign]&amp;1)*(1/PptoSty[Division]),(PptoSty[Division]&lt;&gt;0)*(PptoSty[Division]&lt;&gt;"")*(PptoSty[Division]&lt;&gt;"X")*(PptoSty[Project]=$B63)*(PptoSty[Vrs]=$D63)*(PptoSty[PiRow]=_xlfn.TEXTAFTER($H63,":"))*(PptoSty[PiColumn]=I$54),0)),SUM(IF((INDIRECT($B$3)=$B63)*(INDIRECT($C$3)=$D63)*((INDIRECT($E$3)="TOTS")+(INDIRECT($E$3)=$E63)),INDIRECT(I$3)))),_xlpm.y,SUM(_xlfn.CHOOSECOLS(_xlfn._xlws.FILTER(F_RT14[],(F_RT14[PrjId]=$B63)*(F_RT14[Vrs]=$D63)*(_xlfn.TEXTAFTER(F_RT14[ActGrp],":")=_xlfn.TEXTAFTER($H63,":")),"X"),MATCH("*"&amp;I$54,F_RT14[#Headers],0))),IF(AND(_xlpm.x=0,_xlpm.y&lt;&gt;0),-1,IF(AND(_xlpm.x&lt;&gt;0,_xlpm.y&lt;&gt;0),_xlpm.x,IF(AND(_xlpm.x-SUM(IF((INDIRECT($B$3)=$B63)*(INDIRECT($C$3)=$D63)*((INDIRECT($E$3)="TOTS")+(INDIRECT($E$3)=$E63)),INDIRECT(I$3)))&lt;&gt;0,_xlpm.y=0),-2,_xlpm.x)))),0))</f>
        <v>1</v>
      </c>
      <c r="J63" s="199" cm="1">
        <f t="array" aca="1" ref="J63" ca="1">IF(OR($B63="",$B63="X",$D63="",$D63="X",$E63="",$E63="X"),0,IFERROR(_xlfn.LET(_xlpm.x,SUM(SUM(_xlfn._xlws.FILTER(VALUE(PptoSty[Sign]&amp;1)*(1/PptoSty[Division]),(PptoSty[Division]&lt;&gt;0)*(PptoSty[Division]&lt;&gt;"")*(PptoSty[Division]&lt;&gt;"X")*(PptoSty[Project]=$B63)*(PptoSty[Vrs]=$D63)*(PptoSty[PiRow]=_xlfn.TEXTAFTER($H63,":"))*(PptoSty[PiColumn]=J$54),0)),SUM(IF((INDIRECT($B$3)=$B63)*(INDIRECT($C$3)=$D63)*((INDIRECT($E$3)="TOTS")+(INDIRECT($E$3)=$E63)),INDIRECT(J$3)))),_xlpm.y,SUM(_xlfn.CHOOSECOLS(_xlfn._xlws.FILTER(F_RT14[],(F_RT14[PrjId]=$B63)*(F_RT14[Vrs]=$D63)*(_xlfn.TEXTAFTER(F_RT14[ActGrp],":")=_xlfn.TEXTAFTER($H63,":")),"X"),MATCH("*"&amp;J$54,F_RT14[#Headers],0))),IF(AND(_xlpm.x=0,_xlpm.y&lt;&gt;0),-1,IF(AND(_xlpm.x&lt;&gt;0,_xlpm.y&lt;&gt;0),_xlpm.x,IF(AND(_xlpm.x-SUM(IF((INDIRECT($B$3)=$B63)*(INDIRECT($C$3)=$D63)*((INDIRECT($E$3)="TOTS")+(INDIRECT($E$3)=$E63)),INDIRECT(J$3)))&lt;&gt;0,_xlpm.y=0),-2,_xlpm.x)))),0))</f>
        <v>0</v>
      </c>
      <c r="K63" s="199" cm="1">
        <f t="array" aca="1" ref="K63" ca="1">IF(OR($B63="",$B63="X",$D63="",$D63="X",$E63="",$E63="X"),0,IFERROR(_xlfn.LET(_xlpm.x,SUM(SUM(_xlfn._xlws.FILTER(VALUE(PptoSty[Sign]&amp;1)*(1/PptoSty[Division]),(PptoSty[Division]&lt;&gt;0)*(PptoSty[Division]&lt;&gt;"")*(PptoSty[Division]&lt;&gt;"X")*(PptoSty[Project]=$B63)*(PptoSty[Vrs]=$D63)*(PptoSty[PiRow]=_xlfn.TEXTAFTER($H63,":"))*(PptoSty[PiColumn]=K$54),0)),SUM(IF((INDIRECT($B$3)=$B63)*(INDIRECT($C$3)=$D63)*((INDIRECT($E$3)="TOTS")+(INDIRECT($E$3)=$E63)),INDIRECT(K$3)))),_xlpm.y,SUM(_xlfn.CHOOSECOLS(_xlfn._xlws.FILTER(F_RT14[],(F_RT14[PrjId]=$B63)*(F_RT14[Vrs]=$D63)*(_xlfn.TEXTAFTER(F_RT14[ActGrp],":")=_xlfn.TEXTAFTER($H63,":")),"X"),MATCH("*"&amp;K$54,F_RT14[#Headers],0))),IF(AND(_xlpm.x=0,_xlpm.y&lt;&gt;0),-1,IF(AND(_xlpm.x&lt;&gt;0,_xlpm.y&lt;&gt;0),_xlpm.x,IF(AND(_xlpm.x-SUM(IF((INDIRECT($B$3)=$B63)*(INDIRECT($C$3)=$D63)*((INDIRECT($E$3)="TOTS")+(INDIRECT($E$3)=$E63)),INDIRECT(K$3)))&lt;&gt;0,_xlpm.y=0),-2,_xlpm.x)))),0))</f>
        <v>0</v>
      </c>
      <c r="L63" s="199" cm="1">
        <f t="array" aca="1" ref="L63" ca="1">IF(OR($B63="",$B63="X",$D63="",$D63="X",$E63="",$E63="X"),0,IFERROR(_xlfn.LET(_xlpm.x,SUM(SUM(_xlfn._xlws.FILTER(VALUE(PptoSty[Sign]&amp;1)*(1/PptoSty[Division]),(PptoSty[Division]&lt;&gt;0)*(PptoSty[Division]&lt;&gt;"")*(PptoSty[Division]&lt;&gt;"X")*(PptoSty[Project]=$B63)*(PptoSty[Vrs]=$D63)*(PptoSty[PiRow]=_xlfn.TEXTAFTER($H63,":"))*(PptoSty[PiColumn]=L$54),0)),SUM(IF((INDIRECT($B$3)=$B63)*(INDIRECT($C$3)=$D63)*((INDIRECT($E$3)="TOTS")+(INDIRECT($E$3)=$E63)),INDIRECT(L$3)))),_xlpm.y,SUM(_xlfn.CHOOSECOLS(_xlfn._xlws.FILTER(F_RT14[],(F_RT14[PrjId]=$B63)*(F_RT14[Vrs]=$D63)*(_xlfn.TEXTAFTER(F_RT14[ActGrp],":")=_xlfn.TEXTAFTER($H63,":")),"X"),MATCH("*"&amp;L$54,F_RT14[#Headers],0))),IF(AND(_xlpm.x=0,_xlpm.y&lt;&gt;0),-1,IF(AND(_xlpm.x&lt;&gt;0,_xlpm.y&lt;&gt;0),_xlpm.x,IF(AND(_xlpm.x-SUM(IF((INDIRECT($B$3)=$B63)*(INDIRECT($C$3)=$D63)*((INDIRECT($E$3)="TOTS")+(INDIRECT($E$3)=$E63)),INDIRECT(L$3)))&lt;&gt;0,_xlpm.y=0),-2,_xlpm.x)))),0))</f>
        <v>0</v>
      </c>
      <c r="M63" s="199" cm="1">
        <f t="array" aca="1" ref="M63" ca="1">IF(OR($B63="",$B63="X",$D63="",$D63="X",$E63="",$E63="X"),0,IFERROR(_xlfn.LET(_xlpm.x,SUM(SUM(_xlfn._xlws.FILTER(VALUE(PptoSty[Sign]&amp;1)*(1/PptoSty[Division]),(PptoSty[Division]&lt;&gt;0)*(PptoSty[Division]&lt;&gt;"")*(PptoSty[Division]&lt;&gt;"X")*(PptoSty[Project]=$B63)*(PptoSty[Vrs]=$D63)*(PptoSty[PiRow]=_xlfn.TEXTAFTER($H63,":"))*(PptoSty[PiColumn]=M$54),0)),SUM(IF((INDIRECT($B$3)=$B63)*(INDIRECT($C$3)=$D63)*((INDIRECT($E$3)="TOTS")+(INDIRECT($E$3)=$E63)),INDIRECT(M$3)))),_xlpm.y,SUM(_xlfn.CHOOSECOLS(_xlfn._xlws.FILTER(F_RT14[],(F_RT14[PrjId]=$B63)*(F_RT14[Vrs]=$D63)*(_xlfn.TEXTAFTER(F_RT14[ActGrp],":")=_xlfn.TEXTAFTER($H63,":")),"X"),MATCH("*"&amp;M$54,F_RT14[#Headers],0))),IF(AND(_xlpm.x=0,_xlpm.y&lt;&gt;0),-1,IF(AND(_xlpm.x&lt;&gt;0,_xlpm.y&lt;&gt;0),_xlpm.x,IF(AND(_xlpm.x-SUM(IF((INDIRECT($B$3)=$B63)*(INDIRECT($C$3)=$D63)*((INDIRECT($E$3)="TOTS")+(INDIRECT($E$3)=$E63)),INDIRECT(M$3)))&lt;&gt;0,_xlpm.y=0),-2,_xlpm.x)))),0))</f>
        <v>1</v>
      </c>
      <c r="N63" s="199" cm="1">
        <f t="array" aca="1" ref="N63" ca="1">IF(OR($B63="",$B63="X",$D63="",$D63="X",$E63="",$E63="X"),0,IFERROR(_xlfn.LET(_xlpm.x,SUM(SUM(_xlfn._xlws.FILTER(VALUE(PptoSty[Sign]&amp;1)*(1/PptoSty[Division]),(PptoSty[Division]&lt;&gt;0)*(PptoSty[Division]&lt;&gt;"")*(PptoSty[Division]&lt;&gt;"X")*(PptoSty[Project]=$B63)*(PptoSty[Vrs]=$D63)*(PptoSty[PiRow]=_xlfn.TEXTAFTER($H63,":"))*(PptoSty[PiColumn]=N$54),0)),SUM(IF((INDIRECT($B$3)=$B63)*(INDIRECT($C$3)=$D63)*((INDIRECT($E$3)="TOTS")+(INDIRECT($E$3)=$E63)),INDIRECT(N$3)))),_xlpm.y,SUM(_xlfn.CHOOSECOLS(_xlfn._xlws.FILTER(F_RT14[],(F_RT14[PrjId]=$B63)*(F_RT14[Vrs]=$D63)*(_xlfn.TEXTAFTER(F_RT14[ActGrp],":")=_xlfn.TEXTAFTER($H63,":")),"X"),MATCH("*"&amp;N$54,F_RT14[#Headers],0))),IF(AND(_xlpm.x=0,_xlpm.y&lt;&gt;0),-1,IF(AND(_xlpm.x&lt;&gt;0,_xlpm.y&lt;&gt;0),_xlpm.x,IF(AND(_xlpm.x-SUM(IF((INDIRECT($B$3)=$B63)*(INDIRECT($C$3)=$D63)*((INDIRECT($E$3)="TOTS")+(INDIRECT($E$3)=$E63)),INDIRECT(N$3)))&lt;&gt;0,_xlpm.y=0),-2,_xlpm.x)))),0))</f>
        <v>0</v>
      </c>
      <c r="O63" s="199" cm="1">
        <f t="array" aca="1" ref="O63" ca="1">IF(OR($B63="",$B63="X",$D63="",$D63="X",$E63="",$E63="X"),0,IFERROR(_xlfn.LET(_xlpm.x,SUM(SUM(_xlfn._xlws.FILTER(VALUE(PptoSty[Sign]&amp;1)*(1/PptoSty[Division]),(PptoSty[Division]&lt;&gt;0)*(PptoSty[Division]&lt;&gt;"")*(PptoSty[Division]&lt;&gt;"X")*(PptoSty[Project]=$B63)*(PptoSty[Vrs]=$D63)*(PptoSty[PiRow]=_xlfn.TEXTAFTER($H63,":"))*(PptoSty[PiColumn]=O$54),0)),SUM(IF((INDIRECT($B$3)=$B63)*(INDIRECT($C$3)=$D63)*((INDIRECT($E$3)="TOTS")+(INDIRECT($E$3)=$E63)),INDIRECT(O$3)))),_xlpm.y,SUM(_xlfn.CHOOSECOLS(_xlfn._xlws.FILTER(F_RT14[],(F_RT14[PrjId]=$B63)*(F_RT14[Vrs]=$D63)*(_xlfn.TEXTAFTER(F_RT14[ActGrp],":")=_xlfn.TEXTAFTER($H63,":")),"X"),MATCH("*"&amp;O$54,F_RT14[#Headers],0))),IF(AND(_xlpm.x=0,_xlpm.y&lt;&gt;0),-1,IF(AND(_xlpm.x&lt;&gt;0,_xlpm.y&lt;&gt;0),_xlpm.x,IF(AND(_xlpm.x-SUM(IF((INDIRECT($B$3)=$B63)*(INDIRECT($C$3)=$D63)*((INDIRECT($E$3)="TOTS")+(INDIRECT($E$3)=$E63)),INDIRECT(O$3)))&lt;&gt;0,_xlpm.y=0),-2,_xlpm.x)))),0))</f>
        <v>1</v>
      </c>
      <c r="P63" s="199" cm="1">
        <f t="array" aca="1" ref="P63" ca="1">IF(OR($B63="",$B63="X",$D63="",$D63="X",$E63="",$E63="X"),0,IFERROR(_xlfn.LET(_xlpm.x,SUM(SUM(_xlfn._xlws.FILTER(VALUE(PptoSty[Sign]&amp;1)*(1/PptoSty[Division]),(PptoSty[Division]&lt;&gt;0)*(PptoSty[Division]&lt;&gt;"")*(PptoSty[Division]&lt;&gt;"X")*(PptoSty[Project]=$B63)*(PptoSty[Vrs]=$D63)*(PptoSty[PiRow]=_xlfn.TEXTAFTER($H63,":"))*(PptoSty[PiColumn]=P$54),0)),SUM(IF((INDIRECT($B$3)=$B63)*(INDIRECT($C$3)=$D63)*((INDIRECT($E$3)="TOTS")+(INDIRECT($E$3)=$E63)),INDIRECT(P$3)))),_xlpm.y,SUM(_xlfn.CHOOSECOLS(_xlfn._xlws.FILTER(F_RT14[],(F_RT14[PrjId]=$B63)*(F_RT14[Vrs]=$D63)*(_xlfn.TEXTAFTER(F_RT14[ActGrp],":")=_xlfn.TEXTAFTER($H63,":")),"X"),MATCH("*"&amp;P$54,F_RT14[#Headers],0))),IF(AND(_xlpm.x=0,_xlpm.y&lt;&gt;0),-1,IF(AND(_xlpm.x&lt;&gt;0,_xlpm.y&lt;&gt;0),_xlpm.x,IF(AND(_xlpm.x-SUM(IF((INDIRECT($B$3)=$B63)*(INDIRECT($C$3)=$D63)*((INDIRECT($E$3)="TOTS")+(INDIRECT($E$3)=$E63)),INDIRECT(P$3)))&lt;&gt;0,_xlpm.y=0),-2,_xlpm.x)))),0))</f>
        <v>1</v>
      </c>
      <c r="Q63" s="199" cm="1">
        <f t="array" aca="1" ref="Q63" ca="1">IF(OR($B63="",$B63="X",$D63="",$D63="X",$E63="",$E63="X"),0,IFERROR(_xlfn.LET(_xlpm.x,SUM(SUM(_xlfn._xlws.FILTER(VALUE(PptoSty[Sign]&amp;1)*(1/PptoSty[Division]),(PptoSty[Division]&lt;&gt;0)*(PptoSty[Division]&lt;&gt;"")*(PptoSty[Division]&lt;&gt;"X")*(PptoSty[Project]=$B63)*(PptoSty[Vrs]=$D63)*(PptoSty[PiRow]=_xlfn.TEXTAFTER($H63,":"))*(PptoSty[PiColumn]=Q$54),0)),SUM(IF((INDIRECT($B$3)=$B63)*(INDIRECT($C$3)=$D63)*((INDIRECT($E$3)="TOTS")+(INDIRECT($E$3)=$E63)),INDIRECT(Q$3)))),_xlpm.y,SUM(_xlfn.CHOOSECOLS(_xlfn._xlws.FILTER(F_RT14[],(F_RT14[PrjId]=$B63)*(F_RT14[Vrs]=$D63)*(_xlfn.TEXTAFTER(F_RT14[ActGrp],":")=_xlfn.TEXTAFTER($H63,":")),"X"),MATCH("*"&amp;Q$54,F_RT14[#Headers],0))),IF(AND(_xlpm.x=0,_xlpm.y&lt;&gt;0),-1,IF(AND(_xlpm.x&lt;&gt;0,_xlpm.y&lt;&gt;0),_xlpm.x,IF(AND(_xlpm.x-SUM(IF((INDIRECT($B$3)=$B63)*(INDIRECT($C$3)=$D63)*((INDIRECT($E$3)="TOTS")+(INDIRECT($E$3)=$E63)),INDIRECT(Q$3)))&lt;&gt;0,_xlpm.y=0),-2,_xlpm.x)))),0))</f>
        <v>1</v>
      </c>
      <c r="R63" s="199" cm="1">
        <f t="array" aca="1" ref="R63" ca="1">IF(OR($B63="",$B63="X",$D63="",$D63="X",$E63="",$E63="X"),0,IFERROR(_xlfn.LET(_xlpm.x,SUM(SUM(_xlfn._xlws.FILTER(VALUE(PptoSty[Sign]&amp;1)*(1/PptoSty[Division]),(PptoSty[Division]&lt;&gt;0)*(PptoSty[Division]&lt;&gt;"")*(PptoSty[Division]&lt;&gt;"X")*(PptoSty[Project]=$B63)*(PptoSty[Vrs]=$D63)*(PptoSty[PiRow]=_xlfn.TEXTAFTER($H63,":"))*(PptoSty[PiColumn]=R$54),0)),SUM(IF((INDIRECT($B$3)=$B63)*(INDIRECT($C$3)=$D63)*((INDIRECT($E$3)="TOTS")+(INDIRECT($E$3)=$E63)),INDIRECT(R$3)))),_xlpm.y,SUM(_xlfn.CHOOSECOLS(_xlfn._xlws.FILTER(F_RT14[],(F_RT14[PrjId]=$B63)*(F_RT14[Vrs]=$D63)*(_xlfn.TEXTAFTER(F_RT14[ActGrp],":")=_xlfn.TEXTAFTER($H63,":")),"X"),MATCH("*"&amp;R$54,F_RT14[#Headers],0))),IF(AND(_xlpm.x=0,_xlpm.y&lt;&gt;0),-1,IF(AND(_xlpm.x&lt;&gt;0,_xlpm.y&lt;&gt;0),_xlpm.x,IF(AND(_xlpm.x-SUM(IF((INDIRECT($B$3)=$B63)*(INDIRECT($C$3)=$D63)*((INDIRECT($E$3)="TOTS")+(INDIRECT($E$3)=$E63)),INDIRECT(R$3)))&lt;&gt;0,_xlpm.y=0),-2,_xlpm.x)))),0))</f>
        <v>1</v>
      </c>
      <c r="S63" s="199" cm="1">
        <f t="array" aca="1" ref="S63" ca="1">IF(OR($B63="",$B63="X",$D63="",$D63="X",$E63="",$E63="X"),0,IFERROR(_xlfn.LET(_xlpm.x,SUM(SUM(_xlfn._xlws.FILTER(VALUE(PptoSty[Sign]&amp;1)*(1/PptoSty[Division]),(PptoSty[Division]&lt;&gt;0)*(PptoSty[Division]&lt;&gt;"")*(PptoSty[Division]&lt;&gt;"X")*(PptoSty[Project]=$B63)*(PptoSty[Vrs]=$D63)*(PptoSty[PiRow]=_xlfn.TEXTAFTER($H63,":"))*(PptoSty[PiColumn]=S$54),0)),SUM(IF((INDIRECT($B$3)=$B63)*(INDIRECT($C$3)=$D63)*((INDIRECT($E$3)="TOTS")+(INDIRECT($E$3)=$E63)),INDIRECT(S$3)))),_xlpm.y,SUM(_xlfn.CHOOSECOLS(_xlfn._xlws.FILTER(F_RT14[],(F_RT14[PrjId]=$B63)*(F_RT14[Vrs]=$D63)*(_xlfn.TEXTAFTER(F_RT14[ActGrp],":")=_xlfn.TEXTAFTER($H63,":")),"X"),MATCH("*"&amp;S$54,F_RT14[#Headers],0))),IF(AND(_xlpm.x=0,_xlpm.y&lt;&gt;0),-1,IF(AND(_xlpm.x&lt;&gt;0,_xlpm.y&lt;&gt;0),_xlpm.x,IF(AND(_xlpm.x-SUM(IF((INDIRECT($B$3)=$B63)*(INDIRECT($C$3)=$D63)*((INDIRECT($E$3)="TOTS")+(INDIRECT($E$3)=$E63)),INDIRECT(S$3)))&lt;&gt;0,_xlpm.y=0),-2,_xlpm.x)))),0))</f>
        <v>0</v>
      </c>
      <c r="T63" s="199" cm="1">
        <f t="array" aca="1" ref="T63" ca="1">IF(OR($B63="",$B63="X",$D63="",$D63="X",$E63="",$E63="X"),0,IFERROR(_xlfn.LET(_xlpm.x,SUM(SUM(_xlfn._xlws.FILTER(VALUE(PptoSty[Sign]&amp;1)*(1/PptoSty[Division]),(PptoSty[Division]&lt;&gt;0)*(PptoSty[Division]&lt;&gt;"")*(PptoSty[Division]&lt;&gt;"X")*(PptoSty[Project]=$B63)*(PptoSty[Vrs]=$D63)*(PptoSty[PiRow]=_xlfn.TEXTAFTER($H63,":"))*(PptoSty[PiColumn]=T$54),0)),SUM(IF((INDIRECT($B$3)=$B63)*(INDIRECT($C$3)=$D63)*((INDIRECT($E$3)="TOTS")+(INDIRECT($E$3)=$E63)),INDIRECT(T$3)))),_xlpm.y,SUM(_xlfn.CHOOSECOLS(_xlfn._xlws.FILTER(F_RT14[],(F_RT14[PrjId]=$B63)*(F_RT14[Vrs]=$D63)*(_xlfn.TEXTAFTER(F_RT14[ActGrp],":")=_xlfn.TEXTAFTER($H63,":")),"X"),MATCH("*"&amp;T$54,F_RT14[#Headers],0))),IF(AND(_xlpm.x=0,_xlpm.y&lt;&gt;0),-1,IF(AND(_xlpm.x&lt;&gt;0,_xlpm.y&lt;&gt;0),_xlpm.x,IF(AND(_xlpm.x-SUM(IF((INDIRECT($B$3)=$B63)*(INDIRECT($C$3)=$D63)*((INDIRECT($E$3)="TOTS")+(INDIRECT($E$3)=$E63)),INDIRECT(T$3)))&lt;&gt;0,_xlpm.y=0),-2,_xlpm.x)))),0))</f>
        <v>0</v>
      </c>
      <c r="U63" s="199" cm="1">
        <f t="array" aca="1" ref="U63" ca="1">IF(OR($B63="",$B63="X",$D63="",$D63="X",$E63="",$E63="X"),0,IFERROR(_xlfn.LET(_xlpm.x,SUM(SUM(_xlfn._xlws.FILTER(VALUE(PptoSty[Sign]&amp;1)*(1/PptoSty[Division]),(PptoSty[Division]&lt;&gt;0)*(PptoSty[Division]&lt;&gt;"")*(PptoSty[Division]&lt;&gt;"X")*(PptoSty[Project]=$B63)*(PptoSty[Vrs]=$D63)*(PptoSty[PiRow]=_xlfn.TEXTAFTER($H63,":"))*(PptoSty[PiColumn]=U$54),0)),SUM(IF((INDIRECT($B$3)=$B63)*(INDIRECT($C$3)=$D63)*((INDIRECT($E$3)="TOTS")+(INDIRECT($E$3)=$E63)),INDIRECT(U$3)))),_xlpm.y,SUM(_xlfn.CHOOSECOLS(_xlfn._xlws.FILTER(F_RT14[],(F_RT14[PrjId]=$B63)*(F_RT14[Vrs]=$D63)*(_xlfn.TEXTAFTER(F_RT14[ActGrp],":")=_xlfn.TEXTAFTER($H63,":")),"X"),MATCH("*"&amp;U$54,F_RT14[#Headers],0))),IF(AND(_xlpm.x=0,_xlpm.y&lt;&gt;0),-1,IF(AND(_xlpm.x&lt;&gt;0,_xlpm.y&lt;&gt;0),_xlpm.x,IF(AND(_xlpm.x-SUM(IF((INDIRECT($B$3)=$B63)*(INDIRECT($C$3)=$D63)*((INDIRECT($E$3)="TOTS")+(INDIRECT($E$3)=$E63)),INDIRECT(U$3)))&lt;&gt;0,_xlpm.y=0),-2,_xlpm.x)))),0))</f>
        <v>0</v>
      </c>
      <c r="V63" s="199" cm="1">
        <f t="array" aca="1" ref="V63" ca="1">IF(OR($B63="",$B63="X",$D63="",$D63="X",$E63="",$E63="X"),0,IFERROR(_xlfn.LET(_xlpm.x,SUM(SUM(_xlfn._xlws.FILTER(VALUE(PptoSty[Sign]&amp;1)*(1/PptoSty[Division]),(PptoSty[Division]&lt;&gt;0)*(PptoSty[Division]&lt;&gt;"")*(PptoSty[Division]&lt;&gt;"X")*(PptoSty[Project]=$B63)*(PptoSty[Vrs]=$D63)*(PptoSty[PiRow]=_xlfn.TEXTAFTER($H63,":"))*(PptoSty[PiColumn]=V$54),0)),SUM(IF((INDIRECT($B$3)=$B63)*(INDIRECT($C$3)=$D63)*((INDIRECT($E$3)="TOTS")+(INDIRECT($E$3)=$E63)),INDIRECT(V$3)))),_xlpm.y,SUM(_xlfn.CHOOSECOLS(_xlfn._xlws.FILTER(F_RT14[],(F_RT14[PrjId]=$B63)*(F_RT14[Vrs]=$D63)*(_xlfn.TEXTAFTER(F_RT14[ActGrp],":")=_xlfn.TEXTAFTER($H63,":")),"X"),MATCH("*"&amp;V$54,F_RT14[#Headers],0))),IF(AND(_xlpm.x=0,_xlpm.y&lt;&gt;0),-1,IF(AND(_xlpm.x&lt;&gt;0,_xlpm.y&lt;&gt;0),_xlpm.x,IF(AND(_xlpm.x-SUM(IF((INDIRECT($B$3)=$B63)*(INDIRECT($C$3)=$D63)*((INDIRECT($E$3)="TOTS")+(INDIRECT($E$3)=$E63)),INDIRECT(V$3)))&lt;&gt;0,_xlpm.y=0),-2,_xlpm.x)))),0))</f>
        <v>0</v>
      </c>
      <c r="W63" s="199" cm="1">
        <f t="array" aca="1" ref="W63" ca="1">IF(OR($B63="",$B63="X",$D63="",$D63="X",$E63="",$E63="X"),0,IFERROR(_xlfn.LET(_xlpm.x,SUM(SUM(_xlfn._xlws.FILTER(VALUE(PptoSty[Sign]&amp;1)*(1/PptoSty[Division]),(PptoSty[Division]&lt;&gt;0)*(PptoSty[Division]&lt;&gt;"")*(PptoSty[Division]&lt;&gt;"X")*(PptoSty[Project]=$B63)*(PptoSty[Vrs]=$D63)*(PptoSty[PiRow]=_xlfn.TEXTAFTER($H63,":"))*(PptoSty[PiColumn]=W$54),0)),SUM(IF((INDIRECT($B$3)=$B63)*(INDIRECT($C$3)=$D63)*((INDIRECT($E$3)="TOTS")+(INDIRECT($E$3)=$E63)),INDIRECT(W$3)))),_xlpm.y,SUM(_xlfn.CHOOSECOLS(_xlfn._xlws.FILTER(F_RT14[],(F_RT14[PrjId]=$B63)*(F_RT14[Vrs]=$D63)*(_xlfn.TEXTAFTER(F_RT14[ActGrp],":")=_xlfn.TEXTAFTER($H63,":")),"X"),MATCH("*"&amp;W$54,F_RT14[#Headers],0))),IF(AND(_xlpm.x=0,_xlpm.y&lt;&gt;0),-1,IF(AND(_xlpm.x&lt;&gt;0,_xlpm.y&lt;&gt;0),_xlpm.x,IF(AND(_xlpm.x-SUM(IF((INDIRECT($B$3)=$B63)*(INDIRECT($C$3)=$D63)*((INDIRECT($E$3)="TOTS")+(INDIRECT($E$3)=$E63)),INDIRECT(W$3)))&lt;&gt;0,_xlpm.y=0),-2,_xlpm.x)))),0))</f>
        <v>0</v>
      </c>
      <c r="X63" s="199" cm="1">
        <f t="array" aca="1" ref="X63" ca="1">IF(OR($B63="",$B63="X",$D63="",$D63="X",$E63="",$E63="X"),0,IFERROR(_xlfn.LET(_xlpm.x,SUM(SUM(_xlfn._xlws.FILTER(VALUE(PptoSty[Sign]&amp;1)*(1/PptoSty[Division]),(PptoSty[Division]&lt;&gt;0)*(PptoSty[Division]&lt;&gt;"")*(PptoSty[Division]&lt;&gt;"X")*(PptoSty[Project]=$B63)*(PptoSty[Vrs]=$D63)*(PptoSty[PiRow]=_xlfn.TEXTAFTER($H63,":"))*(PptoSty[PiColumn]=X$54),0)),SUM(IF((INDIRECT($B$3)=$B63)*(INDIRECT($C$3)=$D63)*((INDIRECT($E$3)="TOTS")+(INDIRECT($E$3)=$E63)),INDIRECT(X$3)))),_xlpm.y,SUM(_xlfn.CHOOSECOLS(_xlfn._xlws.FILTER(F_RT14[],(F_RT14[PrjId]=$B63)*(F_RT14[Vrs]=$D63)*(_xlfn.TEXTAFTER(F_RT14[ActGrp],":")=_xlfn.TEXTAFTER($H63,":")),"X"),MATCH("*"&amp;X$54,F_RT14[#Headers],0))),IF(AND(_xlpm.x=0,_xlpm.y&lt;&gt;0),-1,IF(AND(_xlpm.x&lt;&gt;0,_xlpm.y&lt;&gt;0),_xlpm.x,IF(AND(_xlpm.x-SUM(IF((INDIRECT($B$3)=$B63)*(INDIRECT($C$3)=$D63)*((INDIRECT($E$3)="TOTS")+(INDIRECT($E$3)=$E63)),INDIRECT(X$3)))&lt;&gt;0,_xlpm.y=0),-2,_xlpm.x)))),0))</f>
        <v>0</v>
      </c>
      <c r="Y63" s="199" cm="1">
        <f t="array" aca="1" ref="Y63" ca="1">IF(OR($B63="",$B63="X",$D63="",$D63="X",$E63="",$E63="X"),0,IFERROR(_xlfn.LET(_xlpm.x,SUM(SUM(_xlfn._xlws.FILTER(VALUE(PptoSty[Sign]&amp;1)*(1/PptoSty[Division]),(PptoSty[Division]&lt;&gt;0)*(PptoSty[Division]&lt;&gt;"")*(PptoSty[Division]&lt;&gt;"X")*(PptoSty[Project]=$B63)*(PptoSty[Vrs]=$D63)*(PptoSty[PiRow]=_xlfn.TEXTAFTER($H63,":"))*(PptoSty[PiColumn]=Y$54),0)),SUM(IF((INDIRECT($B$3)=$B63)*(INDIRECT($C$3)=$D63)*((INDIRECT($E$3)="TOTS")+(INDIRECT($E$3)=$E63)),INDIRECT(Y$3)))),_xlpm.y,SUM(_xlfn.CHOOSECOLS(_xlfn._xlws.FILTER(F_RT14[],(F_RT14[PrjId]=$B63)*(F_RT14[Vrs]=$D63)*(_xlfn.TEXTAFTER(F_RT14[ActGrp],":")=_xlfn.TEXTAFTER($H63,":")),"X"),MATCH("*"&amp;Y$54,F_RT14[#Headers],0))),IF(AND(_xlpm.x=0,_xlpm.y&lt;&gt;0),-1,IF(AND(_xlpm.x&lt;&gt;0,_xlpm.y&lt;&gt;0),_xlpm.x,IF(AND(_xlpm.x-SUM(IF((INDIRECT($B$3)=$B63)*(INDIRECT($C$3)=$D63)*((INDIRECT($E$3)="TOTS")+(INDIRECT($E$3)=$E63)),INDIRECT(Y$3)))&lt;&gt;0,_xlpm.y=0),-2,_xlpm.x)))),0))</f>
        <v>0</v>
      </c>
      <c r="Z63" s="198" t="str">
        <f t="shared" ca="1" si="2"/>
        <v>Fback!B63:Y63</v>
      </c>
    </row>
    <row r="64" spans="1:26" ht="21" customHeight="1" outlineLevel="1">
      <c r="B64" s="128" t="str">
        <v>31199</v>
      </c>
      <c r="C64" s="128" t="str">
        <v>Sp</v>
      </c>
      <c r="D64" s="128">
        <v>0</v>
      </c>
      <c r="E64" s="128" t="str">
        <v>PEMX</v>
      </c>
      <c r="F64" s="139" t="str">
        <v>SERRA</v>
      </c>
      <c r="G64" s="139" t="str">
        <v>CurPpto</v>
      </c>
      <c r="H64" s="139" t="str">
        <v>G005:PUESTA EN MARCHA EN SERRA</v>
      </c>
      <c r="I64" s="199" cm="1">
        <f t="array" aca="1" ref="I64" ca="1">IF(OR($B64="",$B64="X",$D64="",$D64="X",$E64="",$E64="X"),0,IFERROR(_xlfn.LET(_xlpm.x,SUM(SUM(_xlfn._xlws.FILTER(VALUE(PptoSty[Sign]&amp;1)*(1/PptoSty[Division]),(PptoSty[Division]&lt;&gt;0)*(PptoSty[Division]&lt;&gt;"")*(PptoSty[Division]&lt;&gt;"X")*(PptoSty[Project]=$B64)*(PptoSty[Vrs]=$D64)*(PptoSty[PiRow]=_xlfn.TEXTAFTER($H64,":"))*(PptoSty[PiColumn]=I$54),0)),SUM(IF((INDIRECT($B$3)=$B64)*(INDIRECT($C$3)=$D64)*((INDIRECT($E$3)="TOTS")+(INDIRECT($E$3)=$E64)),INDIRECT(I$3)))),_xlpm.y,SUM(_xlfn.CHOOSECOLS(_xlfn._xlws.FILTER(F_RT14[],(F_RT14[PrjId]=$B64)*(F_RT14[Vrs]=$D64)*(_xlfn.TEXTAFTER(F_RT14[ActGrp],":")=_xlfn.TEXTAFTER($H64,":")),"X"),MATCH("*"&amp;I$54,F_RT14[#Headers],0))),IF(AND(_xlpm.x=0,_xlpm.y&lt;&gt;0),-1,IF(AND(_xlpm.x&lt;&gt;0,_xlpm.y&lt;&gt;0),_xlpm.x,IF(AND(_xlpm.x-SUM(IF((INDIRECT($B$3)=$B64)*(INDIRECT($C$3)=$D64)*((INDIRECT($E$3)="TOTS")+(INDIRECT($E$3)=$E64)),INDIRECT(I$3)))&lt;&gt;0,_xlpm.y=0),-2,_xlpm.x)))),0))</f>
        <v>1</v>
      </c>
      <c r="J64" s="199" cm="1">
        <f t="array" aca="1" ref="J64" ca="1">IF(OR($B64="",$B64="X",$D64="",$D64="X",$E64="",$E64="X"),0,IFERROR(_xlfn.LET(_xlpm.x,SUM(SUM(_xlfn._xlws.FILTER(VALUE(PptoSty[Sign]&amp;1)*(1/PptoSty[Division]),(PptoSty[Division]&lt;&gt;0)*(PptoSty[Division]&lt;&gt;"")*(PptoSty[Division]&lt;&gt;"X")*(PptoSty[Project]=$B64)*(PptoSty[Vrs]=$D64)*(PptoSty[PiRow]=_xlfn.TEXTAFTER($H64,":"))*(PptoSty[PiColumn]=J$54),0)),SUM(IF((INDIRECT($B$3)=$B64)*(INDIRECT($C$3)=$D64)*((INDIRECT($E$3)="TOTS")+(INDIRECT($E$3)=$E64)),INDIRECT(J$3)))),_xlpm.y,SUM(_xlfn.CHOOSECOLS(_xlfn._xlws.FILTER(F_RT14[],(F_RT14[PrjId]=$B64)*(F_RT14[Vrs]=$D64)*(_xlfn.TEXTAFTER(F_RT14[ActGrp],":")=_xlfn.TEXTAFTER($H64,":")),"X"),MATCH("*"&amp;J$54,F_RT14[#Headers],0))),IF(AND(_xlpm.x=0,_xlpm.y&lt;&gt;0),-1,IF(AND(_xlpm.x&lt;&gt;0,_xlpm.y&lt;&gt;0),_xlpm.x,IF(AND(_xlpm.x-SUM(IF((INDIRECT($B$3)=$B64)*(INDIRECT($C$3)=$D64)*((INDIRECT($E$3)="TOTS")+(INDIRECT($E$3)=$E64)),INDIRECT(J$3)))&lt;&gt;0,_xlpm.y=0),-2,_xlpm.x)))),0))</f>
        <v>0</v>
      </c>
      <c r="K64" s="199" cm="1">
        <f t="array" aca="1" ref="K64" ca="1">IF(OR($B64="",$B64="X",$D64="",$D64="X",$E64="",$E64="X"),0,IFERROR(_xlfn.LET(_xlpm.x,SUM(SUM(_xlfn._xlws.FILTER(VALUE(PptoSty[Sign]&amp;1)*(1/PptoSty[Division]),(PptoSty[Division]&lt;&gt;0)*(PptoSty[Division]&lt;&gt;"")*(PptoSty[Division]&lt;&gt;"X")*(PptoSty[Project]=$B64)*(PptoSty[Vrs]=$D64)*(PptoSty[PiRow]=_xlfn.TEXTAFTER($H64,":"))*(PptoSty[PiColumn]=K$54),0)),SUM(IF((INDIRECT($B$3)=$B64)*(INDIRECT($C$3)=$D64)*((INDIRECT($E$3)="TOTS")+(INDIRECT($E$3)=$E64)),INDIRECT(K$3)))),_xlpm.y,SUM(_xlfn.CHOOSECOLS(_xlfn._xlws.FILTER(F_RT14[],(F_RT14[PrjId]=$B64)*(F_RT14[Vrs]=$D64)*(_xlfn.TEXTAFTER(F_RT14[ActGrp],":")=_xlfn.TEXTAFTER($H64,":")),"X"),MATCH("*"&amp;K$54,F_RT14[#Headers],0))),IF(AND(_xlpm.x=0,_xlpm.y&lt;&gt;0),-1,IF(AND(_xlpm.x&lt;&gt;0,_xlpm.y&lt;&gt;0),_xlpm.x,IF(AND(_xlpm.x-SUM(IF((INDIRECT($B$3)=$B64)*(INDIRECT($C$3)=$D64)*((INDIRECT($E$3)="TOTS")+(INDIRECT($E$3)=$E64)),INDIRECT(K$3)))&lt;&gt;0,_xlpm.y=0),-2,_xlpm.x)))),0))</f>
        <v>0</v>
      </c>
      <c r="L64" s="199" cm="1">
        <f t="array" aca="1" ref="L64" ca="1">IF(OR($B64="",$B64="X",$D64="",$D64="X",$E64="",$E64="X"),0,IFERROR(_xlfn.LET(_xlpm.x,SUM(SUM(_xlfn._xlws.FILTER(VALUE(PptoSty[Sign]&amp;1)*(1/PptoSty[Division]),(PptoSty[Division]&lt;&gt;0)*(PptoSty[Division]&lt;&gt;"")*(PptoSty[Division]&lt;&gt;"X")*(PptoSty[Project]=$B64)*(PptoSty[Vrs]=$D64)*(PptoSty[PiRow]=_xlfn.TEXTAFTER($H64,":"))*(PptoSty[PiColumn]=L$54),0)),SUM(IF((INDIRECT($B$3)=$B64)*(INDIRECT($C$3)=$D64)*((INDIRECT($E$3)="TOTS")+(INDIRECT($E$3)=$E64)),INDIRECT(L$3)))),_xlpm.y,SUM(_xlfn.CHOOSECOLS(_xlfn._xlws.FILTER(F_RT14[],(F_RT14[PrjId]=$B64)*(F_RT14[Vrs]=$D64)*(_xlfn.TEXTAFTER(F_RT14[ActGrp],":")=_xlfn.TEXTAFTER($H64,":")),"X"),MATCH("*"&amp;L$54,F_RT14[#Headers],0))),IF(AND(_xlpm.x=0,_xlpm.y&lt;&gt;0),-1,IF(AND(_xlpm.x&lt;&gt;0,_xlpm.y&lt;&gt;0),_xlpm.x,IF(AND(_xlpm.x-SUM(IF((INDIRECT($B$3)=$B64)*(INDIRECT($C$3)=$D64)*((INDIRECT($E$3)="TOTS")+(INDIRECT($E$3)=$E64)),INDIRECT(L$3)))&lt;&gt;0,_xlpm.y=0),-2,_xlpm.x)))),0))</f>
        <v>0</v>
      </c>
      <c r="M64" s="199" cm="1">
        <f t="array" aca="1" ref="M64" ca="1">IF(OR($B64="",$B64="X",$D64="",$D64="X",$E64="",$E64="X"),0,IFERROR(_xlfn.LET(_xlpm.x,SUM(SUM(_xlfn._xlws.FILTER(VALUE(PptoSty[Sign]&amp;1)*(1/PptoSty[Division]),(PptoSty[Division]&lt;&gt;0)*(PptoSty[Division]&lt;&gt;"")*(PptoSty[Division]&lt;&gt;"X")*(PptoSty[Project]=$B64)*(PptoSty[Vrs]=$D64)*(PptoSty[PiRow]=_xlfn.TEXTAFTER($H64,":"))*(PptoSty[PiColumn]=M$54),0)),SUM(IF((INDIRECT($B$3)=$B64)*(INDIRECT($C$3)=$D64)*((INDIRECT($E$3)="TOTS")+(INDIRECT($E$3)=$E64)),INDIRECT(M$3)))),_xlpm.y,SUM(_xlfn.CHOOSECOLS(_xlfn._xlws.FILTER(F_RT14[],(F_RT14[PrjId]=$B64)*(F_RT14[Vrs]=$D64)*(_xlfn.TEXTAFTER(F_RT14[ActGrp],":")=_xlfn.TEXTAFTER($H64,":")),"X"),MATCH("*"&amp;M$54,F_RT14[#Headers],0))),IF(AND(_xlpm.x=0,_xlpm.y&lt;&gt;0),-1,IF(AND(_xlpm.x&lt;&gt;0,_xlpm.y&lt;&gt;0),_xlpm.x,IF(AND(_xlpm.x-SUM(IF((INDIRECT($B$3)=$B64)*(INDIRECT($C$3)=$D64)*((INDIRECT($E$3)="TOTS")+(INDIRECT($E$3)=$E64)),INDIRECT(M$3)))&lt;&gt;0,_xlpm.y=0),-2,_xlpm.x)))),0))</f>
        <v>0</v>
      </c>
      <c r="N64" s="199" cm="1">
        <f t="array" aca="1" ref="N64" ca="1">IF(OR($B64="",$B64="X",$D64="",$D64="X",$E64="",$E64="X"),0,IFERROR(_xlfn.LET(_xlpm.x,SUM(SUM(_xlfn._xlws.FILTER(VALUE(PptoSty[Sign]&amp;1)*(1/PptoSty[Division]),(PptoSty[Division]&lt;&gt;0)*(PptoSty[Division]&lt;&gt;"")*(PptoSty[Division]&lt;&gt;"X")*(PptoSty[Project]=$B64)*(PptoSty[Vrs]=$D64)*(PptoSty[PiRow]=_xlfn.TEXTAFTER($H64,":"))*(PptoSty[PiColumn]=N$54),0)),SUM(IF((INDIRECT($B$3)=$B64)*(INDIRECT($C$3)=$D64)*((INDIRECT($E$3)="TOTS")+(INDIRECT($E$3)=$E64)),INDIRECT(N$3)))),_xlpm.y,SUM(_xlfn.CHOOSECOLS(_xlfn._xlws.FILTER(F_RT14[],(F_RT14[PrjId]=$B64)*(F_RT14[Vrs]=$D64)*(_xlfn.TEXTAFTER(F_RT14[ActGrp],":")=_xlfn.TEXTAFTER($H64,":")),"X"),MATCH("*"&amp;N$54,F_RT14[#Headers],0))),IF(AND(_xlpm.x=0,_xlpm.y&lt;&gt;0),-1,IF(AND(_xlpm.x&lt;&gt;0,_xlpm.y&lt;&gt;0),_xlpm.x,IF(AND(_xlpm.x-SUM(IF((INDIRECT($B$3)=$B64)*(INDIRECT($C$3)=$D64)*((INDIRECT($E$3)="TOTS")+(INDIRECT($E$3)=$E64)),INDIRECT(N$3)))&lt;&gt;0,_xlpm.y=0),-2,_xlpm.x)))),0))</f>
        <v>0</v>
      </c>
      <c r="O64" s="199" cm="1">
        <f t="array" aca="1" ref="O64" ca="1">IF(OR($B64="",$B64="X",$D64="",$D64="X",$E64="",$E64="X"),0,IFERROR(_xlfn.LET(_xlpm.x,SUM(SUM(_xlfn._xlws.FILTER(VALUE(PptoSty[Sign]&amp;1)*(1/PptoSty[Division]),(PptoSty[Division]&lt;&gt;0)*(PptoSty[Division]&lt;&gt;"")*(PptoSty[Division]&lt;&gt;"X")*(PptoSty[Project]=$B64)*(PptoSty[Vrs]=$D64)*(PptoSty[PiRow]=_xlfn.TEXTAFTER($H64,":"))*(PptoSty[PiColumn]=O$54),0)),SUM(IF((INDIRECT($B$3)=$B64)*(INDIRECT($C$3)=$D64)*((INDIRECT($E$3)="TOTS")+(INDIRECT($E$3)=$E64)),INDIRECT(O$3)))),_xlpm.y,SUM(_xlfn.CHOOSECOLS(_xlfn._xlws.FILTER(F_RT14[],(F_RT14[PrjId]=$B64)*(F_RT14[Vrs]=$D64)*(_xlfn.TEXTAFTER(F_RT14[ActGrp],":")=_xlfn.TEXTAFTER($H64,":")),"X"),MATCH("*"&amp;O$54,F_RT14[#Headers],0))),IF(AND(_xlpm.x=0,_xlpm.y&lt;&gt;0),-1,IF(AND(_xlpm.x&lt;&gt;0,_xlpm.y&lt;&gt;0),_xlpm.x,IF(AND(_xlpm.x-SUM(IF((INDIRECT($B$3)=$B64)*(INDIRECT($C$3)=$D64)*((INDIRECT($E$3)="TOTS")+(INDIRECT($E$3)=$E64)),INDIRECT(O$3)))&lt;&gt;0,_xlpm.y=0),-2,_xlpm.x)))),0))</f>
        <v>0</v>
      </c>
      <c r="P64" s="199" cm="1">
        <f t="array" aca="1" ref="P64" ca="1">IF(OR($B64="",$B64="X",$D64="",$D64="X",$E64="",$E64="X"),0,IFERROR(_xlfn.LET(_xlpm.x,SUM(SUM(_xlfn._xlws.FILTER(VALUE(PptoSty[Sign]&amp;1)*(1/PptoSty[Division]),(PptoSty[Division]&lt;&gt;0)*(PptoSty[Division]&lt;&gt;"")*(PptoSty[Division]&lt;&gt;"X")*(PptoSty[Project]=$B64)*(PptoSty[Vrs]=$D64)*(PptoSty[PiRow]=_xlfn.TEXTAFTER($H64,":"))*(PptoSty[PiColumn]=P$54),0)),SUM(IF((INDIRECT($B$3)=$B64)*(INDIRECT($C$3)=$D64)*((INDIRECT($E$3)="TOTS")+(INDIRECT($E$3)=$E64)),INDIRECT(P$3)))),_xlpm.y,SUM(_xlfn.CHOOSECOLS(_xlfn._xlws.FILTER(F_RT14[],(F_RT14[PrjId]=$B64)*(F_RT14[Vrs]=$D64)*(_xlfn.TEXTAFTER(F_RT14[ActGrp],":")=_xlfn.TEXTAFTER($H64,":")),"X"),MATCH("*"&amp;P$54,F_RT14[#Headers],0))),IF(AND(_xlpm.x=0,_xlpm.y&lt;&gt;0),-1,IF(AND(_xlpm.x&lt;&gt;0,_xlpm.y&lt;&gt;0),_xlpm.x,IF(AND(_xlpm.x-SUM(IF((INDIRECT($B$3)=$B64)*(INDIRECT($C$3)=$D64)*((INDIRECT($E$3)="TOTS")+(INDIRECT($E$3)=$E64)),INDIRECT(P$3)))&lt;&gt;0,_xlpm.y=0),-2,_xlpm.x)))),0))</f>
        <v>1</v>
      </c>
      <c r="Q64" s="199" cm="1">
        <f t="array" aca="1" ref="Q64" ca="1">IF(OR($B64="",$B64="X",$D64="",$D64="X",$E64="",$E64="X"),0,IFERROR(_xlfn.LET(_xlpm.x,SUM(SUM(_xlfn._xlws.FILTER(VALUE(PptoSty[Sign]&amp;1)*(1/PptoSty[Division]),(PptoSty[Division]&lt;&gt;0)*(PptoSty[Division]&lt;&gt;"")*(PptoSty[Division]&lt;&gt;"X")*(PptoSty[Project]=$B64)*(PptoSty[Vrs]=$D64)*(PptoSty[PiRow]=_xlfn.TEXTAFTER($H64,":"))*(PptoSty[PiColumn]=Q$54),0)),SUM(IF((INDIRECT($B$3)=$B64)*(INDIRECT($C$3)=$D64)*((INDIRECT($E$3)="TOTS")+(INDIRECT($E$3)=$E64)),INDIRECT(Q$3)))),_xlpm.y,SUM(_xlfn.CHOOSECOLS(_xlfn._xlws.FILTER(F_RT14[],(F_RT14[PrjId]=$B64)*(F_RT14[Vrs]=$D64)*(_xlfn.TEXTAFTER(F_RT14[ActGrp],":")=_xlfn.TEXTAFTER($H64,":")),"X"),MATCH("*"&amp;Q$54,F_RT14[#Headers],0))),IF(AND(_xlpm.x=0,_xlpm.y&lt;&gt;0),-1,IF(AND(_xlpm.x&lt;&gt;0,_xlpm.y&lt;&gt;0),_xlpm.x,IF(AND(_xlpm.x-SUM(IF((INDIRECT($B$3)=$B64)*(INDIRECT($C$3)=$D64)*((INDIRECT($E$3)="TOTS")+(INDIRECT($E$3)=$E64)),INDIRECT(Q$3)))&lt;&gt;0,_xlpm.y=0),-2,_xlpm.x)))),0))</f>
        <v>1</v>
      </c>
      <c r="R64" s="199" cm="1">
        <f t="array" aca="1" ref="R64" ca="1">IF(OR($B64="",$B64="X",$D64="",$D64="X",$E64="",$E64="X"),0,IFERROR(_xlfn.LET(_xlpm.x,SUM(SUM(_xlfn._xlws.FILTER(VALUE(PptoSty[Sign]&amp;1)*(1/PptoSty[Division]),(PptoSty[Division]&lt;&gt;0)*(PptoSty[Division]&lt;&gt;"")*(PptoSty[Division]&lt;&gt;"X")*(PptoSty[Project]=$B64)*(PptoSty[Vrs]=$D64)*(PptoSty[PiRow]=_xlfn.TEXTAFTER($H64,":"))*(PptoSty[PiColumn]=R$54),0)),SUM(IF((INDIRECT($B$3)=$B64)*(INDIRECT($C$3)=$D64)*((INDIRECT($E$3)="TOTS")+(INDIRECT($E$3)=$E64)),INDIRECT(R$3)))),_xlpm.y,SUM(_xlfn.CHOOSECOLS(_xlfn._xlws.FILTER(F_RT14[],(F_RT14[PrjId]=$B64)*(F_RT14[Vrs]=$D64)*(_xlfn.TEXTAFTER(F_RT14[ActGrp],":")=_xlfn.TEXTAFTER($H64,":")),"X"),MATCH("*"&amp;R$54,F_RT14[#Headers],0))),IF(AND(_xlpm.x=0,_xlpm.y&lt;&gt;0),-1,IF(AND(_xlpm.x&lt;&gt;0,_xlpm.y&lt;&gt;0),_xlpm.x,IF(AND(_xlpm.x-SUM(IF((INDIRECT($B$3)=$B64)*(INDIRECT($C$3)=$D64)*((INDIRECT($E$3)="TOTS")+(INDIRECT($E$3)=$E64)),INDIRECT(R$3)))&lt;&gt;0,_xlpm.y=0),-2,_xlpm.x)))),0))</f>
        <v>0</v>
      </c>
      <c r="S64" s="199" cm="1">
        <f t="array" aca="1" ref="S64" ca="1">IF(OR($B64="",$B64="X",$D64="",$D64="X",$E64="",$E64="X"),0,IFERROR(_xlfn.LET(_xlpm.x,SUM(SUM(_xlfn._xlws.FILTER(VALUE(PptoSty[Sign]&amp;1)*(1/PptoSty[Division]),(PptoSty[Division]&lt;&gt;0)*(PptoSty[Division]&lt;&gt;"")*(PptoSty[Division]&lt;&gt;"X")*(PptoSty[Project]=$B64)*(PptoSty[Vrs]=$D64)*(PptoSty[PiRow]=_xlfn.TEXTAFTER($H64,":"))*(PptoSty[PiColumn]=S$54),0)),SUM(IF((INDIRECT($B$3)=$B64)*(INDIRECT($C$3)=$D64)*((INDIRECT($E$3)="TOTS")+(INDIRECT($E$3)=$E64)),INDIRECT(S$3)))),_xlpm.y,SUM(_xlfn.CHOOSECOLS(_xlfn._xlws.FILTER(F_RT14[],(F_RT14[PrjId]=$B64)*(F_RT14[Vrs]=$D64)*(_xlfn.TEXTAFTER(F_RT14[ActGrp],":")=_xlfn.TEXTAFTER($H64,":")),"X"),MATCH("*"&amp;S$54,F_RT14[#Headers],0))),IF(AND(_xlpm.x=0,_xlpm.y&lt;&gt;0),-1,IF(AND(_xlpm.x&lt;&gt;0,_xlpm.y&lt;&gt;0),_xlpm.x,IF(AND(_xlpm.x-SUM(IF((INDIRECT($B$3)=$B64)*(INDIRECT($C$3)=$D64)*((INDIRECT($E$3)="TOTS")+(INDIRECT($E$3)=$E64)),INDIRECT(S$3)))&lt;&gt;0,_xlpm.y=0),-2,_xlpm.x)))),0))</f>
        <v>0</v>
      </c>
      <c r="T64" s="199" cm="1">
        <f t="array" aca="1" ref="T64" ca="1">IF(OR($B64="",$B64="X",$D64="",$D64="X",$E64="",$E64="X"),0,IFERROR(_xlfn.LET(_xlpm.x,SUM(SUM(_xlfn._xlws.FILTER(VALUE(PptoSty[Sign]&amp;1)*(1/PptoSty[Division]),(PptoSty[Division]&lt;&gt;0)*(PptoSty[Division]&lt;&gt;"")*(PptoSty[Division]&lt;&gt;"X")*(PptoSty[Project]=$B64)*(PptoSty[Vrs]=$D64)*(PptoSty[PiRow]=_xlfn.TEXTAFTER($H64,":"))*(PptoSty[PiColumn]=T$54),0)),SUM(IF((INDIRECT($B$3)=$B64)*(INDIRECT($C$3)=$D64)*((INDIRECT($E$3)="TOTS")+(INDIRECT($E$3)=$E64)),INDIRECT(T$3)))),_xlpm.y,SUM(_xlfn.CHOOSECOLS(_xlfn._xlws.FILTER(F_RT14[],(F_RT14[PrjId]=$B64)*(F_RT14[Vrs]=$D64)*(_xlfn.TEXTAFTER(F_RT14[ActGrp],":")=_xlfn.TEXTAFTER($H64,":")),"X"),MATCH("*"&amp;T$54,F_RT14[#Headers],0))),IF(AND(_xlpm.x=0,_xlpm.y&lt;&gt;0),-1,IF(AND(_xlpm.x&lt;&gt;0,_xlpm.y&lt;&gt;0),_xlpm.x,IF(AND(_xlpm.x-SUM(IF((INDIRECT($B$3)=$B64)*(INDIRECT($C$3)=$D64)*((INDIRECT($E$3)="TOTS")+(INDIRECT($E$3)=$E64)),INDIRECT(T$3)))&lt;&gt;0,_xlpm.y=0),-2,_xlpm.x)))),0))</f>
        <v>0</v>
      </c>
      <c r="U64" s="199" cm="1">
        <f t="array" aca="1" ref="U64" ca="1">IF(OR($B64="",$B64="X",$D64="",$D64="X",$E64="",$E64="X"),0,IFERROR(_xlfn.LET(_xlpm.x,SUM(SUM(_xlfn._xlws.FILTER(VALUE(PptoSty[Sign]&amp;1)*(1/PptoSty[Division]),(PptoSty[Division]&lt;&gt;0)*(PptoSty[Division]&lt;&gt;"")*(PptoSty[Division]&lt;&gt;"X")*(PptoSty[Project]=$B64)*(PptoSty[Vrs]=$D64)*(PptoSty[PiRow]=_xlfn.TEXTAFTER($H64,":"))*(PptoSty[PiColumn]=U$54),0)),SUM(IF((INDIRECT($B$3)=$B64)*(INDIRECT($C$3)=$D64)*((INDIRECT($E$3)="TOTS")+(INDIRECT($E$3)=$E64)),INDIRECT(U$3)))),_xlpm.y,SUM(_xlfn.CHOOSECOLS(_xlfn._xlws.FILTER(F_RT14[],(F_RT14[PrjId]=$B64)*(F_RT14[Vrs]=$D64)*(_xlfn.TEXTAFTER(F_RT14[ActGrp],":")=_xlfn.TEXTAFTER($H64,":")),"X"),MATCH("*"&amp;U$54,F_RT14[#Headers],0))),IF(AND(_xlpm.x=0,_xlpm.y&lt;&gt;0),-1,IF(AND(_xlpm.x&lt;&gt;0,_xlpm.y&lt;&gt;0),_xlpm.x,IF(AND(_xlpm.x-SUM(IF((INDIRECT($B$3)=$B64)*(INDIRECT($C$3)=$D64)*((INDIRECT($E$3)="TOTS")+(INDIRECT($E$3)=$E64)),INDIRECT(U$3)))&lt;&gt;0,_xlpm.y=0),-2,_xlpm.x)))),0))</f>
        <v>0</v>
      </c>
      <c r="V64" s="199" cm="1">
        <f t="array" aca="1" ref="V64" ca="1">IF(OR($B64="",$B64="X",$D64="",$D64="X",$E64="",$E64="X"),0,IFERROR(_xlfn.LET(_xlpm.x,SUM(SUM(_xlfn._xlws.FILTER(VALUE(PptoSty[Sign]&amp;1)*(1/PptoSty[Division]),(PptoSty[Division]&lt;&gt;0)*(PptoSty[Division]&lt;&gt;"")*(PptoSty[Division]&lt;&gt;"X")*(PptoSty[Project]=$B64)*(PptoSty[Vrs]=$D64)*(PptoSty[PiRow]=_xlfn.TEXTAFTER($H64,":"))*(PptoSty[PiColumn]=V$54),0)),SUM(IF((INDIRECT($B$3)=$B64)*(INDIRECT($C$3)=$D64)*((INDIRECT($E$3)="TOTS")+(INDIRECT($E$3)=$E64)),INDIRECT(V$3)))),_xlpm.y,SUM(_xlfn.CHOOSECOLS(_xlfn._xlws.FILTER(F_RT14[],(F_RT14[PrjId]=$B64)*(F_RT14[Vrs]=$D64)*(_xlfn.TEXTAFTER(F_RT14[ActGrp],":")=_xlfn.TEXTAFTER($H64,":")),"X"),MATCH("*"&amp;V$54,F_RT14[#Headers],0))),IF(AND(_xlpm.x=0,_xlpm.y&lt;&gt;0),-1,IF(AND(_xlpm.x&lt;&gt;0,_xlpm.y&lt;&gt;0),_xlpm.x,IF(AND(_xlpm.x-SUM(IF((INDIRECT($B$3)=$B64)*(INDIRECT($C$3)=$D64)*((INDIRECT($E$3)="TOTS")+(INDIRECT($E$3)=$E64)),INDIRECT(V$3)))&lt;&gt;0,_xlpm.y=0),-2,_xlpm.x)))),0))</f>
        <v>0</v>
      </c>
      <c r="W64" s="199" cm="1">
        <f t="array" aca="1" ref="W64" ca="1">IF(OR($B64="",$B64="X",$D64="",$D64="X",$E64="",$E64="X"),0,IFERROR(_xlfn.LET(_xlpm.x,SUM(SUM(_xlfn._xlws.FILTER(VALUE(PptoSty[Sign]&amp;1)*(1/PptoSty[Division]),(PptoSty[Division]&lt;&gt;0)*(PptoSty[Division]&lt;&gt;"")*(PptoSty[Division]&lt;&gt;"X")*(PptoSty[Project]=$B64)*(PptoSty[Vrs]=$D64)*(PptoSty[PiRow]=_xlfn.TEXTAFTER($H64,":"))*(PptoSty[PiColumn]=W$54),0)),SUM(IF((INDIRECT($B$3)=$B64)*(INDIRECT($C$3)=$D64)*((INDIRECT($E$3)="TOTS")+(INDIRECT($E$3)=$E64)),INDIRECT(W$3)))),_xlpm.y,SUM(_xlfn.CHOOSECOLS(_xlfn._xlws.FILTER(F_RT14[],(F_RT14[PrjId]=$B64)*(F_RT14[Vrs]=$D64)*(_xlfn.TEXTAFTER(F_RT14[ActGrp],":")=_xlfn.TEXTAFTER($H64,":")),"X"),MATCH("*"&amp;W$54,F_RT14[#Headers],0))),IF(AND(_xlpm.x=0,_xlpm.y&lt;&gt;0),-1,IF(AND(_xlpm.x&lt;&gt;0,_xlpm.y&lt;&gt;0),_xlpm.x,IF(AND(_xlpm.x-SUM(IF((INDIRECT($B$3)=$B64)*(INDIRECT($C$3)=$D64)*((INDIRECT($E$3)="TOTS")+(INDIRECT($E$3)=$E64)),INDIRECT(W$3)))&lt;&gt;0,_xlpm.y=0),-2,_xlpm.x)))),0))</f>
        <v>0</v>
      </c>
      <c r="X64" s="199" cm="1">
        <f t="array" aca="1" ref="X64" ca="1">IF(OR($B64="",$B64="X",$D64="",$D64="X",$E64="",$E64="X"),0,IFERROR(_xlfn.LET(_xlpm.x,SUM(SUM(_xlfn._xlws.FILTER(VALUE(PptoSty[Sign]&amp;1)*(1/PptoSty[Division]),(PptoSty[Division]&lt;&gt;0)*(PptoSty[Division]&lt;&gt;"")*(PptoSty[Division]&lt;&gt;"X")*(PptoSty[Project]=$B64)*(PptoSty[Vrs]=$D64)*(PptoSty[PiRow]=_xlfn.TEXTAFTER($H64,":"))*(PptoSty[PiColumn]=X$54),0)),SUM(IF((INDIRECT($B$3)=$B64)*(INDIRECT($C$3)=$D64)*((INDIRECT($E$3)="TOTS")+(INDIRECT($E$3)=$E64)),INDIRECT(X$3)))),_xlpm.y,SUM(_xlfn.CHOOSECOLS(_xlfn._xlws.FILTER(F_RT14[],(F_RT14[PrjId]=$B64)*(F_RT14[Vrs]=$D64)*(_xlfn.TEXTAFTER(F_RT14[ActGrp],":")=_xlfn.TEXTAFTER($H64,":")),"X"),MATCH("*"&amp;X$54,F_RT14[#Headers],0))),IF(AND(_xlpm.x=0,_xlpm.y&lt;&gt;0),-1,IF(AND(_xlpm.x&lt;&gt;0,_xlpm.y&lt;&gt;0),_xlpm.x,IF(AND(_xlpm.x-SUM(IF((INDIRECT($B$3)=$B64)*(INDIRECT($C$3)=$D64)*((INDIRECT($E$3)="TOTS")+(INDIRECT($E$3)=$E64)),INDIRECT(X$3)))&lt;&gt;0,_xlpm.y=0),-2,_xlpm.x)))),0))</f>
        <v>0</v>
      </c>
      <c r="Y64" s="199" cm="1">
        <f t="array" aca="1" ref="Y64" ca="1">IF(OR($B64="",$B64="X",$D64="",$D64="X",$E64="",$E64="X"),0,IFERROR(_xlfn.LET(_xlpm.x,SUM(SUM(_xlfn._xlws.FILTER(VALUE(PptoSty[Sign]&amp;1)*(1/PptoSty[Division]),(PptoSty[Division]&lt;&gt;0)*(PptoSty[Division]&lt;&gt;"")*(PptoSty[Division]&lt;&gt;"X")*(PptoSty[Project]=$B64)*(PptoSty[Vrs]=$D64)*(PptoSty[PiRow]=_xlfn.TEXTAFTER($H64,":"))*(PptoSty[PiColumn]=Y$54),0)),SUM(IF((INDIRECT($B$3)=$B64)*(INDIRECT($C$3)=$D64)*((INDIRECT($E$3)="TOTS")+(INDIRECT($E$3)=$E64)),INDIRECT(Y$3)))),_xlpm.y,SUM(_xlfn.CHOOSECOLS(_xlfn._xlws.FILTER(F_RT14[],(F_RT14[PrjId]=$B64)*(F_RT14[Vrs]=$D64)*(_xlfn.TEXTAFTER(F_RT14[ActGrp],":")=_xlfn.TEXTAFTER($H64,":")),"X"),MATCH("*"&amp;Y$54,F_RT14[#Headers],0))),IF(AND(_xlpm.x=0,_xlpm.y&lt;&gt;0),-1,IF(AND(_xlpm.x&lt;&gt;0,_xlpm.y&lt;&gt;0),_xlpm.x,IF(AND(_xlpm.x-SUM(IF((INDIRECT($B$3)=$B64)*(INDIRECT($C$3)=$D64)*((INDIRECT($E$3)="TOTS")+(INDIRECT($E$3)=$E64)),INDIRECT(Y$3)))&lt;&gt;0,_xlpm.y=0),-2,_xlpm.x)))),0))</f>
        <v>0</v>
      </c>
      <c r="Z64" s="198" t="str">
        <f t="shared" ca="1" si="2"/>
        <v>Fback!B64:Y64</v>
      </c>
    </row>
    <row r="65" spans="2:26" ht="21" customHeight="1" outlineLevel="1">
      <c r="B65" s="128" t="str">
        <v>31200</v>
      </c>
      <c r="C65" s="128" t="str">
        <v>Sp</v>
      </c>
      <c r="D65" s="128">
        <v>15</v>
      </c>
      <c r="E65" s="128" t="str">
        <v>TRSL</v>
      </c>
      <c r="F65" s="139" t="str">
        <v>SERRA</v>
      </c>
      <c r="G65" s="139" t="str">
        <v>CurPpto</v>
      </c>
      <c r="H65" s="139" t="str">
        <v>G006:DESMONTAJE</v>
      </c>
      <c r="I65" s="199" cm="1">
        <f t="array" aca="1" ref="I65" ca="1">IF(OR($B65="",$B65="X",$D65="",$D65="X",$E65="",$E65="X"),0,IFERROR(_xlfn.LET(_xlpm.x,SUM(SUM(_xlfn._xlws.FILTER(VALUE(PptoSty[Sign]&amp;1)*(1/PptoSty[Division]),(PptoSty[Division]&lt;&gt;0)*(PptoSty[Division]&lt;&gt;"")*(PptoSty[Division]&lt;&gt;"X")*(PptoSty[Project]=$B65)*(PptoSty[Vrs]=$D65)*(PptoSty[PiRow]=_xlfn.TEXTAFTER($H65,":"))*(PptoSty[PiColumn]=I$54),0)),SUM(IF((INDIRECT($B$3)=$B65)*(INDIRECT($C$3)=$D65)*((INDIRECT($E$3)="TOTS")+(INDIRECT($E$3)=$E65)),INDIRECT(I$3)))),_xlpm.y,SUM(_xlfn.CHOOSECOLS(_xlfn._xlws.FILTER(F_RT14[],(F_RT14[PrjId]=$B65)*(F_RT14[Vrs]=$D65)*(_xlfn.TEXTAFTER(F_RT14[ActGrp],":")=_xlfn.TEXTAFTER($H65,":")),"X"),MATCH("*"&amp;I$54,F_RT14[#Headers],0))),IF(AND(_xlpm.x=0,_xlpm.y&lt;&gt;0),-1,IF(AND(_xlpm.x&lt;&gt;0,_xlpm.y&lt;&gt;0),_xlpm.x,IF(AND(_xlpm.x-SUM(IF((INDIRECT($B$3)=$B65)*(INDIRECT($C$3)=$D65)*((INDIRECT($E$3)="TOTS")+(INDIRECT($E$3)=$E65)),INDIRECT(I$3)))&lt;&gt;0,_xlpm.y=0),-2,_xlpm.x)))),0))</f>
        <v>0</v>
      </c>
      <c r="J65" s="199" cm="1">
        <f t="array" aca="1" ref="J65" ca="1">IF(OR($B65="",$B65="X",$D65="",$D65="X",$E65="",$E65="X"),0,IFERROR(_xlfn.LET(_xlpm.x,SUM(SUM(_xlfn._xlws.FILTER(VALUE(PptoSty[Sign]&amp;1)*(1/PptoSty[Division]),(PptoSty[Division]&lt;&gt;0)*(PptoSty[Division]&lt;&gt;"")*(PptoSty[Division]&lt;&gt;"X")*(PptoSty[Project]=$B65)*(PptoSty[Vrs]=$D65)*(PptoSty[PiRow]=_xlfn.TEXTAFTER($H65,":"))*(PptoSty[PiColumn]=J$54),0)),SUM(IF((INDIRECT($B$3)=$B65)*(INDIRECT($C$3)=$D65)*((INDIRECT($E$3)="TOTS")+(INDIRECT($E$3)=$E65)),INDIRECT(J$3)))),_xlpm.y,SUM(_xlfn.CHOOSECOLS(_xlfn._xlws.FILTER(F_RT14[],(F_RT14[PrjId]=$B65)*(F_RT14[Vrs]=$D65)*(_xlfn.TEXTAFTER(F_RT14[ActGrp],":")=_xlfn.TEXTAFTER($H65,":")),"X"),MATCH("*"&amp;J$54,F_RT14[#Headers],0))),IF(AND(_xlpm.x=0,_xlpm.y&lt;&gt;0),-1,IF(AND(_xlpm.x&lt;&gt;0,_xlpm.y&lt;&gt;0),_xlpm.x,IF(AND(_xlpm.x-SUM(IF((INDIRECT($B$3)=$B65)*(INDIRECT($C$3)=$D65)*((INDIRECT($E$3)="TOTS")+(INDIRECT($E$3)=$E65)),INDIRECT(J$3)))&lt;&gt;0,_xlpm.y=0),-2,_xlpm.x)))),0))</f>
        <v>0</v>
      </c>
      <c r="K65" s="199" cm="1">
        <f t="array" aca="1" ref="K65" ca="1">IF(OR($B65="",$B65="X",$D65="",$D65="X",$E65="",$E65="X"),0,IFERROR(_xlfn.LET(_xlpm.x,SUM(SUM(_xlfn._xlws.FILTER(VALUE(PptoSty[Sign]&amp;1)*(1/PptoSty[Division]),(PptoSty[Division]&lt;&gt;0)*(PptoSty[Division]&lt;&gt;"")*(PptoSty[Division]&lt;&gt;"X")*(PptoSty[Project]=$B65)*(PptoSty[Vrs]=$D65)*(PptoSty[PiRow]=_xlfn.TEXTAFTER($H65,":"))*(PptoSty[PiColumn]=K$54),0)),SUM(IF((INDIRECT($B$3)=$B65)*(INDIRECT($C$3)=$D65)*((INDIRECT($E$3)="TOTS")+(INDIRECT($E$3)=$E65)),INDIRECT(K$3)))),_xlpm.y,SUM(_xlfn.CHOOSECOLS(_xlfn._xlws.FILTER(F_RT14[],(F_RT14[PrjId]=$B65)*(F_RT14[Vrs]=$D65)*(_xlfn.TEXTAFTER(F_RT14[ActGrp],":")=_xlfn.TEXTAFTER($H65,":")),"X"),MATCH("*"&amp;K$54,F_RT14[#Headers],0))),IF(AND(_xlpm.x=0,_xlpm.y&lt;&gt;0),-1,IF(AND(_xlpm.x&lt;&gt;0,_xlpm.y&lt;&gt;0),_xlpm.x,IF(AND(_xlpm.x-SUM(IF((INDIRECT($B$3)=$B65)*(INDIRECT($C$3)=$D65)*((INDIRECT($E$3)="TOTS")+(INDIRECT($E$3)=$E65)),INDIRECT(K$3)))&lt;&gt;0,_xlpm.y=0),-2,_xlpm.x)))),0))</f>
        <v>0</v>
      </c>
      <c r="L65" s="199" cm="1">
        <f t="array" aca="1" ref="L65" ca="1">IF(OR($B65="",$B65="X",$D65="",$D65="X",$E65="",$E65="X"),0,IFERROR(_xlfn.LET(_xlpm.x,SUM(SUM(_xlfn._xlws.FILTER(VALUE(PptoSty[Sign]&amp;1)*(1/PptoSty[Division]),(PptoSty[Division]&lt;&gt;0)*(PptoSty[Division]&lt;&gt;"")*(PptoSty[Division]&lt;&gt;"X")*(PptoSty[Project]=$B65)*(PptoSty[Vrs]=$D65)*(PptoSty[PiRow]=_xlfn.TEXTAFTER($H65,":"))*(PptoSty[PiColumn]=L$54),0)),SUM(IF((INDIRECT($B$3)=$B65)*(INDIRECT($C$3)=$D65)*((INDIRECT($E$3)="TOTS")+(INDIRECT($E$3)=$E65)),INDIRECT(L$3)))),_xlpm.y,SUM(_xlfn.CHOOSECOLS(_xlfn._xlws.FILTER(F_RT14[],(F_RT14[PrjId]=$B65)*(F_RT14[Vrs]=$D65)*(_xlfn.TEXTAFTER(F_RT14[ActGrp],":")=_xlfn.TEXTAFTER($H65,":")),"X"),MATCH("*"&amp;L$54,F_RT14[#Headers],0))),IF(AND(_xlpm.x=0,_xlpm.y&lt;&gt;0),-1,IF(AND(_xlpm.x&lt;&gt;0,_xlpm.y&lt;&gt;0),_xlpm.x,IF(AND(_xlpm.x-SUM(IF((INDIRECT($B$3)=$B65)*(INDIRECT($C$3)=$D65)*((INDIRECT($E$3)="TOTS")+(INDIRECT($E$3)=$E65)),INDIRECT(L$3)))&lt;&gt;0,_xlpm.y=0),-2,_xlpm.x)))),0))</f>
        <v>0</v>
      </c>
      <c r="M65" s="199" cm="1">
        <f t="array" aca="1" ref="M65" ca="1">IF(OR($B65="",$B65="X",$D65="",$D65="X",$E65="",$E65="X"),0,IFERROR(_xlfn.LET(_xlpm.x,SUM(SUM(_xlfn._xlws.FILTER(VALUE(PptoSty[Sign]&amp;1)*(1/PptoSty[Division]),(PptoSty[Division]&lt;&gt;0)*(PptoSty[Division]&lt;&gt;"")*(PptoSty[Division]&lt;&gt;"X")*(PptoSty[Project]=$B65)*(PptoSty[Vrs]=$D65)*(PptoSty[PiRow]=_xlfn.TEXTAFTER($H65,":"))*(PptoSty[PiColumn]=M$54),0)),SUM(IF((INDIRECT($B$3)=$B65)*(INDIRECT($C$3)=$D65)*((INDIRECT($E$3)="TOTS")+(INDIRECT($E$3)=$E65)),INDIRECT(M$3)))),_xlpm.y,SUM(_xlfn.CHOOSECOLS(_xlfn._xlws.FILTER(F_RT14[],(F_RT14[PrjId]=$B65)*(F_RT14[Vrs]=$D65)*(_xlfn.TEXTAFTER(F_RT14[ActGrp],":")=_xlfn.TEXTAFTER($H65,":")),"X"),MATCH("*"&amp;M$54,F_RT14[#Headers],0))),IF(AND(_xlpm.x=0,_xlpm.y&lt;&gt;0),-1,IF(AND(_xlpm.x&lt;&gt;0,_xlpm.y&lt;&gt;0),_xlpm.x,IF(AND(_xlpm.x-SUM(IF((INDIRECT($B$3)=$B65)*(INDIRECT($C$3)=$D65)*((INDIRECT($E$3)="TOTS")+(INDIRECT($E$3)=$E65)),INDIRECT(M$3)))&lt;&gt;0,_xlpm.y=0),-2,_xlpm.x)))),0))</f>
        <v>0</v>
      </c>
      <c r="N65" s="199" cm="1">
        <f t="array" aca="1" ref="N65" ca="1">IF(OR($B65="",$B65="X",$D65="",$D65="X",$E65="",$E65="X"),0,IFERROR(_xlfn.LET(_xlpm.x,SUM(SUM(_xlfn._xlws.FILTER(VALUE(PptoSty[Sign]&amp;1)*(1/PptoSty[Division]),(PptoSty[Division]&lt;&gt;0)*(PptoSty[Division]&lt;&gt;"")*(PptoSty[Division]&lt;&gt;"X")*(PptoSty[Project]=$B65)*(PptoSty[Vrs]=$D65)*(PptoSty[PiRow]=_xlfn.TEXTAFTER($H65,":"))*(PptoSty[PiColumn]=N$54),0)),SUM(IF((INDIRECT($B$3)=$B65)*(INDIRECT($C$3)=$D65)*((INDIRECT($E$3)="TOTS")+(INDIRECT($E$3)=$E65)),INDIRECT(N$3)))),_xlpm.y,SUM(_xlfn.CHOOSECOLS(_xlfn._xlws.FILTER(F_RT14[],(F_RT14[PrjId]=$B65)*(F_RT14[Vrs]=$D65)*(_xlfn.TEXTAFTER(F_RT14[ActGrp],":")=_xlfn.TEXTAFTER($H65,":")),"X"),MATCH("*"&amp;N$54,F_RT14[#Headers],0))),IF(AND(_xlpm.x=0,_xlpm.y&lt;&gt;0),-1,IF(AND(_xlpm.x&lt;&gt;0,_xlpm.y&lt;&gt;0),_xlpm.x,IF(AND(_xlpm.x-SUM(IF((INDIRECT($B$3)=$B65)*(INDIRECT($C$3)=$D65)*((INDIRECT($E$3)="TOTS")+(INDIRECT($E$3)=$E65)),INDIRECT(N$3)))&lt;&gt;0,_xlpm.y=0),-2,_xlpm.x)))),0))</f>
        <v>0</v>
      </c>
      <c r="O65" s="199" cm="1">
        <f t="array" aca="1" ref="O65" ca="1">IF(OR($B65="",$B65="X",$D65="",$D65="X",$E65="",$E65="X"),0,IFERROR(_xlfn.LET(_xlpm.x,SUM(SUM(_xlfn._xlws.FILTER(VALUE(PptoSty[Sign]&amp;1)*(1/PptoSty[Division]),(PptoSty[Division]&lt;&gt;0)*(PptoSty[Division]&lt;&gt;"")*(PptoSty[Division]&lt;&gt;"X")*(PptoSty[Project]=$B65)*(PptoSty[Vrs]=$D65)*(PptoSty[PiRow]=_xlfn.TEXTAFTER($H65,":"))*(PptoSty[PiColumn]=O$54),0)),SUM(IF((INDIRECT($B$3)=$B65)*(INDIRECT($C$3)=$D65)*((INDIRECT($E$3)="TOTS")+(INDIRECT($E$3)=$E65)),INDIRECT(O$3)))),_xlpm.y,SUM(_xlfn.CHOOSECOLS(_xlfn._xlws.FILTER(F_RT14[],(F_RT14[PrjId]=$B65)*(F_RT14[Vrs]=$D65)*(_xlfn.TEXTAFTER(F_RT14[ActGrp],":")=_xlfn.TEXTAFTER($H65,":")),"X"),MATCH("*"&amp;O$54,F_RT14[#Headers],0))),IF(AND(_xlpm.x=0,_xlpm.y&lt;&gt;0),-1,IF(AND(_xlpm.x&lt;&gt;0,_xlpm.y&lt;&gt;0),_xlpm.x,IF(AND(_xlpm.x-SUM(IF((INDIRECT($B$3)=$B65)*(INDIRECT($C$3)=$D65)*((INDIRECT($E$3)="TOTS")+(INDIRECT($E$3)=$E65)),INDIRECT(O$3)))&lt;&gt;0,_xlpm.y=0),-2,_xlpm.x)))),0))</f>
        <v>0</v>
      </c>
      <c r="P65" s="199" cm="1">
        <f t="array" aca="1" ref="P65" ca="1">IF(OR($B65="",$B65="X",$D65="",$D65="X",$E65="",$E65="X"),0,IFERROR(_xlfn.LET(_xlpm.x,SUM(SUM(_xlfn._xlws.FILTER(VALUE(PptoSty[Sign]&amp;1)*(1/PptoSty[Division]),(PptoSty[Division]&lt;&gt;0)*(PptoSty[Division]&lt;&gt;"")*(PptoSty[Division]&lt;&gt;"X")*(PptoSty[Project]=$B65)*(PptoSty[Vrs]=$D65)*(PptoSty[PiRow]=_xlfn.TEXTAFTER($H65,":"))*(PptoSty[PiColumn]=P$54),0)),SUM(IF((INDIRECT($B$3)=$B65)*(INDIRECT($C$3)=$D65)*((INDIRECT($E$3)="TOTS")+(INDIRECT($E$3)=$E65)),INDIRECT(P$3)))),_xlpm.y,SUM(_xlfn.CHOOSECOLS(_xlfn._xlws.FILTER(F_RT14[],(F_RT14[PrjId]=$B65)*(F_RT14[Vrs]=$D65)*(_xlfn.TEXTAFTER(F_RT14[ActGrp],":")=_xlfn.TEXTAFTER($H65,":")),"X"),MATCH("*"&amp;P$54,F_RT14[#Headers],0))),IF(AND(_xlpm.x=0,_xlpm.y&lt;&gt;0),-1,IF(AND(_xlpm.x&lt;&gt;0,_xlpm.y&lt;&gt;0),_xlpm.x,IF(AND(_xlpm.x-SUM(IF((INDIRECT($B$3)=$B65)*(INDIRECT($C$3)=$D65)*((INDIRECT($E$3)="TOTS")+(INDIRECT($E$3)=$E65)),INDIRECT(P$3)))&lt;&gt;0,_xlpm.y=0),-2,_xlpm.x)))),0))</f>
        <v>0</v>
      </c>
      <c r="Q65" s="199" cm="1">
        <f t="array" aca="1" ref="Q65" ca="1">IF(OR($B65="",$B65="X",$D65="",$D65="X",$E65="",$E65="X"),0,IFERROR(_xlfn.LET(_xlpm.x,SUM(SUM(_xlfn._xlws.FILTER(VALUE(PptoSty[Sign]&amp;1)*(1/PptoSty[Division]),(PptoSty[Division]&lt;&gt;0)*(PptoSty[Division]&lt;&gt;"")*(PptoSty[Division]&lt;&gt;"X")*(PptoSty[Project]=$B65)*(PptoSty[Vrs]=$D65)*(PptoSty[PiRow]=_xlfn.TEXTAFTER($H65,":"))*(PptoSty[PiColumn]=Q$54),0)),SUM(IF((INDIRECT($B$3)=$B65)*(INDIRECT($C$3)=$D65)*((INDIRECT($E$3)="TOTS")+(INDIRECT($E$3)=$E65)),INDIRECT(Q$3)))),_xlpm.y,SUM(_xlfn.CHOOSECOLS(_xlfn._xlws.FILTER(F_RT14[],(F_RT14[PrjId]=$B65)*(F_RT14[Vrs]=$D65)*(_xlfn.TEXTAFTER(F_RT14[ActGrp],":")=_xlfn.TEXTAFTER($H65,":")),"X"),MATCH("*"&amp;Q$54,F_RT14[#Headers],0))),IF(AND(_xlpm.x=0,_xlpm.y&lt;&gt;0),-1,IF(AND(_xlpm.x&lt;&gt;0,_xlpm.y&lt;&gt;0),_xlpm.x,IF(AND(_xlpm.x-SUM(IF((INDIRECT($B$3)=$B65)*(INDIRECT($C$3)=$D65)*((INDIRECT($E$3)="TOTS")+(INDIRECT($E$3)=$E65)),INDIRECT(Q$3)))&lt;&gt;0,_xlpm.y=0),-2,_xlpm.x)))),0))</f>
        <v>1</v>
      </c>
      <c r="R65" s="199" cm="1">
        <f t="array" aca="1" ref="R65" ca="1">IF(OR($B65="",$B65="X",$D65="",$D65="X",$E65="",$E65="X"),0,IFERROR(_xlfn.LET(_xlpm.x,SUM(SUM(_xlfn._xlws.FILTER(VALUE(PptoSty[Sign]&amp;1)*(1/PptoSty[Division]),(PptoSty[Division]&lt;&gt;0)*(PptoSty[Division]&lt;&gt;"")*(PptoSty[Division]&lt;&gt;"X")*(PptoSty[Project]=$B65)*(PptoSty[Vrs]=$D65)*(PptoSty[PiRow]=_xlfn.TEXTAFTER($H65,":"))*(PptoSty[PiColumn]=R$54),0)),SUM(IF((INDIRECT($B$3)=$B65)*(INDIRECT($C$3)=$D65)*((INDIRECT($E$3)="TOTS")+(INDIRECT($E$3)=$E65)),INDIRECT(R$3)))),_xlpm.y,SUM(_xlfn.CHOOSECOLS(_xlfn._xlws.FILTER(F_RT14[],(F_RT14[PrjId]=$B65)*(F_RT14[Vrs]=$D65)*(_xlfn.TEXTAFTER(F_RT14[ActGrp],":")=_xlfn.TEXTAFTER($H65,":")),"X"),MATCH("*"&amp;R$54,F_RT14[#Headers],0))),IF(AND(_xlpm.x=0,_xlpm.y&lt;&gt;0),-1,IF(AND(_xlpm.x&lt;&gt;0,_xlpm.y&lt;&gt;0),_xlpm.x,IF(AND(_xlpm.x-SUM(IF((INDIRECT($B$3)=$B65)*(INDIRECT($C$3)=$D65)*((INDIRECT($E$3)="TOTS")+(INDIRECT($E$3)=$E65)),INDIRECT(R$3)))&lt;&gt;0,_xlpm.y=0),-2,_xlpm.x)))),0))</f>
        <v>0</v>
      </c>
      <c r="S65" s="199" cm="1">
        <f t="array" aca="1" ref="S65" ca="1">IF(OR($B65="",$B65="X",$D65="",$D65="X",$E65="",$E65="X"),0,IFERROR(_xlfn.LET(_xlpm.x,SUM(SUM(_xlfn._xlws.FILTER(VALUE(PptoSty[Sign]&amp;1)*(1/PptoSty[Division]),(PptoSty[Division]&lt;&gt;0)*(PptoSty[Division]&lt;&gt;"")*(PptoSty[Division]&lt;&gt;"X")*(PptoSty[Project]=$B65)*(PptoSty[Vrs]=$D65)*(PptoSty[PiRow]=_xlfn.TEXTAFTER($H65,":"))*(PptoSty[PiColumn]=S$54),0)),SUM(IF((INDIRECT($B$3)=$B65)*(INDIRECT($C$3)=$D65)*((INDIRECT($E$3)="TOTS")+(INDIRECT($E$3)=$E65)),INDIRECT(S$3)))),_xlpm.y,SUM(_xlfn.CHOOSECOLS(_xlfn._xlws.FILTER(F_RT14[],(F_RT14[PrjId]=$B65)*(F_RT14[Vrs]=$D65)*(_xlfn.TEXTAFTER(F_RT14[ActGrp],":")=_xlfn.TEXTAFTER($H65,":")),"X"),MATCH("*"&amp;S$54,F_RT14[#Headers],0))),IF(AND(_xlpm.x=0,_xlpm.y&lt;&gt;0),-1,IF(AND(_xlpm.x&lt;&gt;0,_xlpm.y&lt;&gt;0),_xlpm.x,IF(AND(_xlpm.x-SUM(IF((INDIRECT($B$3)=$B65)*(INDIRECT($C$3)=$D65)*((INDIRECT($E$3)="TOTS")+(INDIRECT($E$3)=$E65)),INDIRECT(S$3)))&lt;&gt;0,_xlpm.y=0),-2,_xlpm.x)))),0))</f>
        <v>0</v>
      </c>
      <c r="T65" s="199" cm="1">
        <f t="array" aca="1" ref="T65" ca="1">IF(OR($B65="",$B65="X",$D65="",$D65="X",$E65="",$E65="X"),0,IFERROR(_xlfn.LET(_xlpm.x,SUM(SUM(_xlfn._xlws.FILTER(VALUE(PptoSty[Sign]&amp;1)*(1/PptoSty[Division]),(PptoSty[Division]&lt;&gt;0)*(PptoSty[Division]&lt;&gt;"")*(PptoSty[Division]&lt;&gt;"X")*(PptoSty[Project]=$B65)*(PptoSty[Vrs]=$D65)*(PptoSty[PiRow]=_xlfn.TEXTAFTER($H65,":"))*(PptoSty[PiColumn]=T$54),0)),SUM(IF((INDIRECT($B$3)=$B65)*(INDIRECT($C$3)=$D65)*((INDIRECT($E$3)="TOTS")+(INDIRECT($E$3)=$E65)),INDIRECT(T$3)))),_xlpm.y,SUM(_xlfn.CHOOSECOLS(_xlfn._xlws.FILTER(F_RT14[],(F_RT14[PrjId]=$B65)*(F_RT14[Vrs]=$D65)*(_xlfn.TEXTAFTER(F_RT14[ActGrp],":")=_xlfn.TEXTAFTER($H65,":")),"X"),MATCH("*"&amp;T$54,F_RT14[#Headers],0))),IF(AND(_xlpm.x=0,_xlpm.y&lt;&gt;0),-1,IF(AND(_xlpm.x&lt;&gt;0,_xlpm.y&lt;&gt;0),_xlpm.x,IF(AND(_xlpm.x-SUM(IF((INDIRECT($B$3)=$B65)*(INDIRECT($C$3)=$D65)*((INDIRECT($E$3)="TOTS")+(INDIRECT($E$3)=$E65)),INDIRECT(T$3)))&lt;&gt;0,_xlpm.y=0),-2,_xlpm.x)))),0))</f>
        <v>1</v>
      </c>
      <c r="U65" s="199" cm="1">
        <f t="array" aca="1" ref="U65" ca="1">IF(OR($B65="",$B65="X",$D65="",$D65="X",$E65="",$E65="X"),0,IFERROR(_xlfn.LET(_xlpm.x,SUM(SUM(_xlfn._xlws.FILTER(VALUE(PptoSty[Sign]&amp;1)*(1/PptoSty[Division]),(PptoSty[Division]&lt;&gt;0)*(PptoSty[Division]&lt;&gt;"")*(PptoSty[Division]&lt;&gt;"X")*(PptoSty[Project]=$B65)*(PptoSty[Vrs]=$D65)*(PptoSty[PiRow]=_xlfn.TEXTAFTER($H65,":"))*(PptoSty[PiColumn]=U$54),0)),SUM(IF((INDIRECT($B$3)=$B65)*(INDIRECT($C$3)=$D65)*((INDIRECT($E$3)="TOTS")+(INDIRECT($E$3)=$E65)),INDIRECT(U$3)))),_xlpm.y,SUM(_xlfn.CHOOSECOLS(_xlfn._xlws.FILTER(F_RT14[],(F_RT14[PrjId]=$B65)*(F_RT14[Vrs]=$D65)*(_xlfn.TEXTAFTER(F_RT14[ActGrp],":")=_xlfn.TEXTAFTER($H65,":")),"X"),MATCH("*"&amp;U$54,F_RT14[#Headers],0))),IF(AND(_xlpm.x=0,_xlpm.y&lt;&gt;0),-1,IF(AND(_xlpm.x&lt;&gt;0,_xlpm.y&lt;&gt;0),_xlpm.x,IF(AND(_xlpm.x-SUM(IF((INDIRECT($B$3)=$B65)*(INDIRECT($C$3)=$D65)*((INDIRECT($E$3)="TOTS")+(INDIRECT($E$3)=$E65)),INDIRECT(U$3)))&lt;&gt;0,_xlpm.y=0),-2,_xlpm.x)))),0))</f>
        <v>0</v>
      </c>
      <c r="V65" s="199" cm="1">
        <f t="array" aca="1" ref="V65" ca="1">IF(OR($B65="",$B65="X",$D65="",$D65="X",$E65="",$E65="X"),0,IFERROR(_xlfn.LET(_xlpm.x,SUM(SUM(_xlfn._xlws.FILTER(VALUE(PptoSty[Sign]&amp;1)*(1/PptoSty[Division]),(PptoSty[Division]&lt;&gt;0)*(PptoSty[Division]&lt;&gt;"")*(PptoSty[Division]&lt;&gt;"X")*(PptoSty[Project]=$B65)*(PptoSty[Vrs]=$D65)*(PptoSty[PiRow]=_xlfn.TEXTAFTER($H65,":"))*(PptoSty[PiColumn]=V$54),0)),SUM(IF((INDIRECT($B$3)=$B65)*(INDIRECT($C$3)=$D65)*((INDIRECT($E$3)="TOTS")+(INDIRECT($E$3)=$E65)),INDIRECT(V$3)))),_xlpm.y,SUM(_xlfn.CHOOSECOLS(_xlfn._xlws.FILTER(F_RT14[],(F_RT14[PrjId]=$B65)*(F_RT14[Vrs]=$D65)*(_xlfn.TEXTAFTER(F_RT14[ActGrp],":")=_xlfn.TEXTAFTER($H65,":")),"X"),MATCH("*"&amp;V$54,F_RT14[#Headers],0))),IF(AND(_xlpm.x=0,_xlpm.y&lt;&gt;0),-1,IF(AND(_xlpm.x&lt;&gt;0,_xlpm.y&lt;&gt;0),_xlpm.x,IF(AND(_xlpm.x-SUM(IF((INDIRECT($B$3)=$B65)*(INDIRECT($C$3)=$D65)*((INDIRECT($E$3)="TOTS")+(INDIRECT($E$3)=$E65)),INDIRECT(V$3)))&lt;&gt;0,_xlpm.y=0),-2,_xlpm.x)))),0))</f>
        <v>0</v>
      </c>
      <c r="W65" s="199" cm="1">
        <f t="array" aca="1" ref="W65" ca="1">IF(OR($B65="",$B65="X",$D65="",$D65="X",$E65="",$E65="X"),0,IFERROR(_xlfn.LET(_xlpm.x,SUM(SUM(_xlfn._xlws.FILTER(VALUE(PptoSty[Sign]&amp;1)*(1/PptoSty[Division]),(PptoSty[Division]&lt;&gt;0)*(PptoSty[Division]&lt;&gt;"")*(PptoSty[Division]&lt;&gt;"X")*(PptoSty[Project]=$B65)*(PptoSty[Vrs]=$D65)*(PptoSty[PiRow]=_xlfn.TEXTAFTER($H65,":"))*(PptoSty[PiColumn]=W$54),0)),SUM(IF((INDIRECT($B$3)=$B65)*(INDIRECT($C$3)=$D65)*((INDIRECT($E$3)="TOTS")+(INDIRECT($E$3)=$E65)),INDIRECT(W$3)))),_xlpm.y,SUM(_xlfn.CHOOSECOLS(_xlfn._xlws.FILTER(F_RT14[],(F_RT14[PrjId]=$B65)*(F_RT14[Vrs]=$D65)*(_xlfn.TEXTAFTER(F_RT14[ActGrp],":")=_xlfn.TEXTAFTER($H65,":")),"X"),MATCH("*"&amp;W$54,F_RT14[#Headers],0))),IF(AND(_xlpm.x=0,_xlpm.y&lt;&gt;0),-1,IF(AND(_xlpm.x&lt;&gt;0,_xlpm.y&lt;&gt;0),_xlpm.x,IF(AND(_xlpm.x-SUM(IF((INDIRECT($B$3)=$B65)*(INDIRECT($C$3)=$D65)*((INDIRECT($E$3)="TOTS")+(INDIRECT($E$3)=$E65)),INDIRECT(W$3)))&lt;&gt;0,_xlpm.y=0),-2,_xlpm.x)))),0))</f>
        <v>0</v>
      </c>
      <c r="X65" s="199" cm="1">
        <f t="array" aca="1" ref="X65" ca="1">IF(OR($B65="",$B65="X",$D65="",$D65="X",$E65="",$E65="X"),0,IFERROR(_xlfn.LET(_xlpm.x,SUM(SUM(_xlfn._xlws.FILTER(VALUE(PptoSty[Sign]&amp;1)*(1/PptoSty[Division]),(PptoSty[Division]&lt;&gt;0)*(PptoSty[Division]&lt;&gt;"")*(PptoSty[Division]&lt;&gt;"X")*(PptoSty[Project]=$B65)*(PptoSty[Vrs]=$D65)*(PptoSty[PiRow]=_xlfn.TEXTAFTER($H65,":"))*(PptoSty[PiColumn]=X$54),0)),SUM(IF((INDIRECT($B$3)=$B65)*(INDIRECT($C$3)=$D65)*((INDIRECT($E$3)="TOTS")+(INDIRECT($E$3)=$E65)),INDIRECT(X$3)))),_xlpm.y,SUM(_xlfn.CHOOSECOLS(_xlfn._xlws.FILTER(F_RT14[],(F_RT14[PrjId]=$B65)*(F_RT14[Vrs]=$D65)*(_xlfn.TEXTAFTER(F_RT14[ActGrp],":")=_xlfn.TEXTAFTER($H65,":")),"X"),MATCH("*"&amp;X$54,F_RT14[#Headers],0))),IF(AND(_xlpm.x=0,_xlpm.y&lt;&gt;0),-1,IF(AND(_xlpm.x&lt;&gt;0,_xlpm.y&lt;&gt;0),_xlpm.x,IF(AND(_xlpm.x-SUM(IF((INDIRECT($B$3)=$B65)*(INDIRECT($C$3)=$D65)*((INDIRECT($E$3)="TOTS")+(INDIRECT($E$3)=$E65)),INDIRECT(X$3)))&lt;&gt;0,_xlpm.y=0),-2,_xlpm.x)))),0))</f>
        <v>0</v>
      </c>
      <c r="Y65" s="199" cm="1">
        <f t="array" aca="1" ref="Y65" ca="1">IF(OR($B65="",$B65="X",$D65="",$D65="X",$E65="",$E65="X"),0,IFERROR(_xlfn.LET(_xlpm.x,SUM(SUM(_xlfn._xlws.FILTER(VALUE(PptoSty[Sign]&amp;1)*(1/PptoSty[Division]),(PptoSty[Division]&lt;&gt;0)*(PptoSty[Division]&lt;&gt;"")*(PptoSty[Division]&lt;&gt;"X")*(PptoSty[Project]=$B65)*(PptoSty[Vrs]=$D65)*(PptoSty[PiRow]=_xlfn.TEXTAFTER($H65,":"))*(PptoSty[PiColumn]=Y$54),0)),SUM(IF((INDIRECT($B$3)=$B65)*(INDIRECT($C$3)=$D65)*((INDIRECT($E$3)="TOTS")+(INDIRECT($E$3)=$E65)),INDIRECT(Y$3)))),_xlpm.y,SUM(_xlfn.CHOOSECOLS(_xlfn._xlws.FILTER(F_RT14[],(F_RT14[PrjId]=$B65)*(F_RT14[Vrs]=$D65)*(_xlfn.TEXTAFTER(F_RT14[ActGrp],":")=_xlfn.TEXTAFTER($H65,":")),"X"),MATCH("*"&amp;Y$54,F_RT14[#Headers],0))),IF(AND(_xlpm.x=0,_xlpm.y&lt;&gt;0),-1,IF(AND(_xlpm.x&lt;&gt;0,_xlpm.y&lt;&gt;0),_xlpm.x,IF(AND(_xlpm.x-SUM(IF((INDIRECT($B$3)=$B65)*(INDIRECT($C$3)=$D65)*((INDIRECT($E$3)="TOTS")+(INDIRECT($E$3)=$E65)),INDIRECT(Y$3)))&lt;&gt;0,_xlpm.y=0),-2,_xlpm.x)))),0))</f>
        <v>0</v>
      </c>
      <c r="Z65" s="198" t="str">
        <f t="shared" ca="1" si="2"/>
        <v>Fback!B65:Y65</v>
      </c>
    </row>
    <row r="66" spans="2:26" ht="21" customHeight="1" outlineLevel="1">
      <c r="B66" s="128" t="str">
        <v>31200</v>
      </c>
      <c r="C66" s="128" t="str">
        <v>Sp</v>
      </c>
      <c r="D66" s="128">
        <v>15</v>
      </c>
      <c r="E66" s="128" t="str">
        <v>TRSL</v>
      </c>
      <c r="F66" s="139" t="str">
        <v>PLANT</v>
      </c>
      <c r="G66" s="139" t="str">
        <v>CurPpto</v>
      </c>
      <c r="H66" s="139" t="str">
        <v>G007:REMONTAJE</v>
      </c>
      <c r="I66" s="199" cm="1">
        <f t="array" aca="1" ref="I66" ca="1">IF(OR($B66="",$B66="X",$D66="",$D66="X",$E66="",$E66="X"),0,IFERROR(_xlfn.LET(_xlpm.x,SUM(SUM(_xlfn._xlws.FILTER(VALUE(PptoSty[Sign]&amp;1)*(1/PptoSty[Division]),(PptoSty[Division]&lt;&gt;0)*(PptoSty[Division]&lt;&gt;"")*(PptoSty[Division]&lt;&gt;"X")*(PptoSty[Project]=$B66)*(PptoSty[Vrs]=$D66)*(PptoSty[PiRow]=_xlfn.TEXTAFTER($H66,":"))*(PptoSty[PiColumn]=I$54),0)),SUM(IF((INDIRECT($B$3)=$B66)*(INDIRECT($C$3)=$D66)*((INDIRECT($E$3)="TOTS")+(INDIRECT($E$3)=$E66)),INDIRECT(I$3)))),_xlpm.y,SUM(_xlfn.CHOOSECOLS(_xlfn._xlws.FILTER(F_RT14[],(F_RT14[PrjId]=$B66)*(F_RT14[Vrs]=$D66)*(_xlfn.TEXTAFTER(F_RT14[ActGrp],":")=_xlfn.TEXTAFTER($H66,":")),"X"),MATCH("*"&amp;I$54,F_RT14[#Headers],0))),IF(AND(_xlpm.x=0,_xlpm.y&lt;&gt;0),-1,IF(AND(_xlpm.x&lt;&gt;0,_xlpm.y&lt;&gt;0),_xlpm.x,IF(AND(_xlpm.x-SUM(IF((INDIRECT($B$3)=$B66)*(INDIRECT($C$3)=$D66)*((INDIRECT($E$3)="TOTS")+(INDIRECT($E$3)=$E66)),INDIRECT(I$3)))&lt;&gt;0,_xlpm.y=0),-2,_xlpm.x)))),0))</f>
        <v>0</v>
      </c>
      <c r="J66" s="199" cm="1">
        <f t="array" aca="1" ref="J66" ca="1">IF(OR($B66="",$B66="X",$D66="",$D66="X",$E66="",$E66="X"),0,IFERROR(_xlfn.LET(_xlpm.x,SUM(SUM(_xlfn._xlws.FILTER(VALUE(PptoSty[Sign]&amp;1)*(1/PptoSty[Division]),(PptoSty[Division]&lt;&gt;0)*(PptoSty[Division]&lt;&gt;"")*(PptoSty[Division]&lt;&gt;"X")*(PptoSty[Project]=$B66)*(PptoSty[Vrs]=$D66)*(PptoSty[PiRow]=_xlfn.TEXTAFTER($H66,":"))*(PptoSty[PiColumn]=J$54),0)),SUM(IF((INDIRECT($B$3)=$B66)*(INDIRECT($C$3)=$D66)*((INDIRECT($E$3)="TOTS")+(INDIRECT($E$3)=$E66)),INDIRECT(J$3)))),_xlpm.y,SUM(_xlfn.CHOOSECOLS(_xlfn._xlws.FILTER(F_RT14[],(F_RT14[PrjId]=$B66)*(F_RT14[Vrs]=$D66)*(_xlfn.TEXTAFTER(F_RT14[ActGrp],":")=_xlfn.TEXTAFTER($H66,":")),"X"),MATCH("*"&amp;J$54,F_RT14[#Headers],0))),IF(AND(_xlpm.x=0,_xlpm.y&lt;&gt;0),-1,IF(AND(_xlpm.x&lt;&gt;0,_xlpm.y&lt;&gt;0),_xlpm.x,IF(AND(_xlpm.x-SUM(IF((INDIRECT($B$3)=$B66)*(INDIRECT($C$3)=$D66)*((INDIRECT($E$3)="TOTS")+(INDIRECT($E$3)=$E66)),INDIRECT(J$3)))&lt;&gt;0,_xlpm.y=0),-2,_xlpm.x)))),0))</f>
        <v>0</v>
      </c>
      <c r="K66" s="199" cm="1">
        <f t="array" aca="1" ref="K66" ca="1">IF(OR($B66="",$B66="X",$D66="",$D66="X",$E66="",$E66="X"),0,IFERROR(_xlfn.LET(_xlpm.x,SUM(SUM(_xlfn._xlws.FILTER(VALUE(PptoSty[Sign]&amp;1)*(1/PptoSty[Division]),(PptoSty[Division]&lt;&gt;0)*(PptoSty[Division]&lt;&gt;"")*(PptoSty[Division]&lt;&gt;"X")*(PptoSty[Project]=$B66)*(PptoSty[Vrs]=$D66)*(PptoSty[PiRow]=_xlfn.TEXTAFTER($H66,":"))*(PptoSty[PiColumn]=K$54),0)),SUM(IF((INDIRECT($B$3)=$B66)*(INDIRECT($C$3)=$D66)*((INDIRECT($E$3)="TOTS")+(INDIRECT($E$3)=$E66)),INDIRECT(K$3)))),_xlpm.y,SUM(_xlfn.CHOOSECOLS(_xlfn._xlws.FILTER(F_RT14[],(F_RT14[PrjId]=$B66)*(F_RT14[Vrs]=$D66)*(_xlfn.TEXTAFTER(F_RT14[ActGrp],":")=_xlfn.TEXTAFTER($H66,":")),"X"),MATCH("*"&amp;K$54,F_RT14[#Headers],0))),IF(AND(_xlpm.x=0,_xlpm.y&lt;&gt;0),-1,IF(AND(_xlpm.x&lt;&gt;0,_xlpm.y&lt;&gt;0),_xlpm.x,IF(AND(_xlpm.x-SUM(IF((INDIRECT($B$3)=$B66)*(INDIRECT($C$3)=$D66)*((INDIRECT($E$3)="TOTS")+(INDIRECT($E$3)=$E66)),INDIRECT(K$3)))&lt;&gt;0,_xlpm.y=0),-2,_xlpm.x)))),0))</f>
        <v>0</v>
      </c>
      <c r="L66" s="199" cm="1">
        <f t="array" aca="1" ref="L66" ca="1">IF(OR($B66="",$B66="X",$D66="",$D66="X",$E66="",$E66="X"),0,IFERROR(_xlfn.LET(_xlpm.x,SUM(SUM(_xlfn._xlws.FILTER(VALUE(PptoSty[Sign]&amp;1)*(1/PptoSty[Division]),(PptoSty[Division]&lt;&gt;0)*(PptoSty[Division]&lt;&gt;"")*(PptoSty[Division]&lt;&gt;"X")*(PptoSty[Project]=$B66)*(PptoSty[Vrs]=$D66)*(PptoSty[PiRow]=_xlfn.TEXTAFTER($H66,":"))*(PptoSty[PiColumn]=L$54),0)),SUM(IF((INDIRECT($B$3)=$B66)*(INDIRECT($C$3)=$D66)*((INDIRECT($E$3)="TOTS")+(INDIRECT($E$3)=$E66)),INDIRECT(L$3)))),_xlpm.y,SUM(_xlfn.CHOOSECOLS(_xlfn._xlws.FILTER(F_RT14[],(F_RT14[PrjId]=$B66)*(F_RT14[Vrs]=$D66)*(_xlfn.TEXTAFTER(F_RT14[ActGrp],":")=_xlfn.TEXTAFTER($H66,":")),"X"),MATCH("*"&amp;L$54,F_RT14[#Headers],0))),IF(AND(_xlpm.x=0,_xlpm.y&lt;&gt;0),-1,IF(AND(_xlpm.x&lt;&gt;0,_xlpm.y&lt;&gt;0),_xlpm.x,IF(AND(_xlpm.x-SUM(IF((INDIRECT($B$3)=$B66)*(INDIRECT($C$3)=$D66)*((INDIRECT($E$3)="TOTS")+(INDIRECT($E$3)=$E66)),INDIRECT(L$3)))&lt;&gt;0,_xlpm.y=0),-2,_xlpm.x)))),0))</f>
        <v>0</v>
      </c>
      <c r="M66" s="199" cm="1">
        <f t="array" aca="1" ref="M66" ca="1">IF(OR($B66="",$B66="X",$D66="",$D66="X",$E66="",$E66="X"),0,IFERROR(_xlfn.LET(_xlpm.x,SUM(SUM(_xlfn._xlws.FILTER(VALUE(PptoSty[Sign]&amp;1)*(1/PptoSty[Division]),(PptoSty[Division]&lt;&gt;0)*(PptoSty[Division]&lt;&gt;"")*(PptoSty[Division]&lt;&gt;"X")*(PptoSty[Project]=$B66)*(PptoSty[Vrs]=$D66)*(PptoSty[PiRow]=_xlfn.TEXTAFTER($H66,":"))*(PptoSty[PiColumn]=M$54),0)),SUM(IF((INDIRECT($B$3)=$B66)*(INDIRECT($C$3)=$D66)*((INDIRECT($E$3)="TOTS")+(INDIRECT($E$3)=$E66)),INDIRECT(M$3)))),_xlpm.y,SUM(_xlfn.CHOOSECOLS(_xlfn._xlws.FILTER(F_RT14[],(F_RT14[PrjId]=$B66)*(F_RT14[Vrs]=$D66)*(_xlfn.TEXTAFTER(F_RT14[ActGrp],":")=_xlfn.TEXTAFTER($H66,":")),"X"),MATCH("*"&amp;M$54,F_RT14[#Headers],0))),IF(AND(_xlpm.x=0,_xlpm.y&lt;&gt;0),-1,IF(AND(_xlpm.x&lt;&gt;0,_xlpm.y&lt;&gt;0),_xlpm.x,IF(AND(_xlpm.x-SUM(IF((INDIRECT($B$3)=$B66)*(INDIRECT($C$3)=$D66)*((INDIRECT($E$3)="TOTS")+(INDIRECT($E$3)=$E66)),INDIRECT(M$3)))&lt;&gt;0,_xlpm.y=0),-2,_xlpm.x)))),0))</f>
        <v>0</v>
      </c>
      <c r="N66" s="199" cm="1">
        <f t="array" aca="1" ref="N66" ca="1">IF(OR($B66="",$B66="X",$D66="",$D66="X",$E66="",$E66="X"),0,IFERROR(_xlfn.LET(_xlpm.x,SUM(SUM(_xlfn._xlws.FILTER(VALUE(PptoSty[Sign]&amp;1)*(1/PptoSty[Division]),(PptoSty[Division]&lt;&gt;0)*(PptoSty[Division]&lt;&gt;"")*(PptoSty[Division]&lt;&gt;"X")*(PptoSty[Project]=$B66)*(PptoSty[Vrs]=$D66)*(PptoSty[PiRow]=_xlfn.TEXTAFTER($H66,":"))*(PptoSty[PiColumn]=N$54),0)),SUM(IF((INDIRECT($B$3)=$B66)*(INDIRECT($C$3)=$D66)*((INDIRECT($E$3)="TOTS")+(INDIRECT($E$3)=$E66)),INDIRECT(N$3)))),_xlpm.y,SUM(_xlfn.CHOOSECOLS(_xlfn._xlws.FILTER(F_RT14[],(F_RT14[PrjId]=$B66)*(F_RT14[Vrs]=$D66)*(_xlfn.TEXTAFTER(F_RT14[ActGrp],":")=_xlfn.TEXTAFTER($H66,":")),"X"),MATCH("*"&amp;N$54,F_RT14[#Headers],0))),IF(AND(_xlpm.x=0,_xlpm.y&lt;&gt;0),-1,IF(AND(_xlpm.x&lt;&gt;0,_xlpm.y&lt;&gt;0),_xlpm.x,IF(AND(_xlpm.x-SUM(IF((INDIRECT($B$3)=$B66)*(INDIRECT($C$3)=$D66)*((INDIRECT($E$3)="TOTS")+(INDIRECT($E$3)=$E66)),INDIRECT(N$3)))&lt;&gt;0,_xlpm.y=0),-2,_xlpm.x)))),0))</f>
        <v>0</v>
      </c>
      <c r="O66" s="199" cm="1">
        <f t="array" aca="1" ref="O66" ca="1">IF(OR($B66="",$B66="X",$D66="",$D66="X",$E66="",$E66="X"),0,IFERROR(_xlfn.LET(_xlpm.x,SUM(SUM(_xlfn._xlws.FILTER(VALUE(PptoSty[Sign]&amp;1)*(1/PptoSty[Division]),(PptoSty[Division]&lt;&gt;0)*(PptoSty[Division]&lt;&gt;"")*(PptoSty[Division]&lt;&gt;"X")*(PptoSty[Project]=$B66)*(PptoSty[Vrs]=$D66)*(PptoSty[PiRow]=_xlfn.TEXTAFTER($H66,":"))*(PptoSty[PiColumn]=O$54),0)),SUM(IF((INDIRECT($B$3)=$B66)*(INDIRECT($C$3)=$D66)*((INDIRECT($E$3)="TOTS")+(INDIRECT($E$3)=$E66)),INDIRECT(O$3)))),_xlpm.y,SUM(_xlfn.CHOOSECOLS(_xlfn._xlws.FILTER(F_RT14[],(F_RT14[PrjId]=$B66)*(F_RT14[Vrs]=$D66)*(_xlfn.TEXTAFTER(F_RT14[ActGrp],":")=_xlfn.TEXTAFTER($H66,":")),"X"),MATCH("*"&amp;O$54,F_RT14[#Headers],0))),IF(AND(_xlpm.x=0,_xlpm.y&lt;&gt;0),-1,IF(AND(_xlpm.x&lt;&gt;0,_xlpm.y&lt;&gt;0),_xlpm.x,IF(AND(_xlpm.x-SUM(IF((INDIRECT($B$3)=$B66)*(INDIRECT($C$3)=$D66)*((INDIRECT($E$3)="TOTS")+(INDIRECT($E$3)=$E66)),INDIRECT(O$3)))&lt;&gt;0,_xlpm.y=0),-2,_xlpm.x)))),0))</f>
        <v>0</v>
      </c>
      <c r="P66" s="199" cm="1">
        <f t="array" aca="1" ref="P66" ca="1">IF(OR($B66="",$B66="X",$D66="",$D66="X",$E66="",$E66="X"),0,IFERROR(_xlfn.LET(_xlpm.x,SUM(SUM(_xlfn._xlws.FILTER(VALUE(PptoSty[Sign]&amp;1)*(1/PptoSty[Division]),(PptoSty[Division]&lt;&gt;0)*(PptoSty[Division]&lt;&gt;"")*(PptoSty[Division]&lt;&gt;"X")*(PptoSty[Project]=$B66)*(PptoSty[Vrs]=$D66)*(PptoSty[PiRow]=_xlfn.TEXTAFTER($H66,":"))*(PptoSty[PiColumn]=P$54),0)),SUM(IF((INDIRECT($B$3)=$B66)*(INDIRECT($C$3)=$D66)*((INDIRECT($E$3)="TOTS")+(INDIRECT($E$3)=$E66)),INDIRECT(P$3)))),_xlpm.y,SUM(_xlfn.CHOOSECOLS(_xlfn._xlws.FILTER(F_RT14[],(F_RT14[PrjId]=$B66)*(F_RT14[Vrs]=$D66)*(_xlfn.TEXTAFTER(F_RT14[ActGrp],":")=_xlfn.TEXTAFTER($H66,":")),"X"),MATCH("*"&amp;P$54,F_RT14[#Headers],0))),IF(AND(_xlpm.x=0,_xlpm.y&lt;&gt;0),-1,IF(AND(_xlpm.x&lt;&gt;0,_xlpm.y&lt;&gt;0),_xlpm.x,IF(AND(_xlpm.x-SUM(IF((INDIRECT($B$3)=$B66)*(INDIRECT($C$3)=$D66)*((INDIRECT($E$3)="TOTS")+(INDIRECT($E$3)=$E66)),INDIRECT(P$3)))&lt;&gt;0,_xlpm.y=0),-2,_xlpm.x)))),0))</f>
        <v>0</v>
      </c>
      <c r="Q66" s="199" cm="1">
        <f t="array" aca="1" ref="Q66" ca="1">IF(OR($B66="",$B66="X",$D66="",$D66="X",$E66="",$E66="X"),0,IFERROR(_xlfn.LET(_xlpm.x,SUM(SUM(_xlfn._xlws.FILTER(VALUE(PptoSty[Sign]&amp;1)*(1/PptoSty[Division]),(PptoSty[Division]&lt;&gt;0)*(PptoSty[Division]&lt;&gt;"")*(PptoSty[Division]&lt;&gt;"X")*(PptoSty[Project]=$B66)*(PptoSty[Vrs]=$D66)*(PptoSty[PiRow]=_xlfn.TEXTAFTER($H66,":"))*(PptoSty[PiColumn]=Q$54),0)),SUM(IF((INDIRECT($B$3)=$B66)*(INDIRECT($C$3)=$D66)*((INDIRECT($E$3)="TOTS")+(INDIRECT($E$3)=$E66)),INDIRECT(Q$3)))),_xlpm.y,SUM(_xlfn.CHOOSECOLS(_xlfn._xlws.FILTER(F_RT14[],(F_RT14[PrjId]=$B66)*(F_RT14[Vrs]=$D66)*(_xlfn.TEXTAFTER(F_RT14[ActGrp],":")=_xlfn.TEXTAFTER($H66,":")),"X"),MATCH("*"&amp;Q$54,F_RT14[#Headers],0))),IF(AND(_xlpm.x=0,_xlpm.y&lt;&gt;0),-1,IF(AND(_xlpm.x&lt;&gt;0,_xlpm.y&lt;&gt;0),_xlpm.x,IF(AND(_xlpm.x-SUM(IF((INDIRECT($B$3)=$B66)*(INDIRECT($C$3)=$D66)*((INDIRECT($E$3)="TOTS")+(INDIRECT($E$3)=$E66)),INDIRECT(Q$3)))&lt;&gt;0,_xlpm.y=0),-2,_xlpm.x)))),0))</f>
        <v>1</v>
      </c>
      <c r="R66" s="199" cm="1">
        <f t="array" aca="1" ref="R66" ca="1">IF(OR($B66="",$B66="X",$D66="",$D66="X",$E66="",$E66="X"),0,IFERROR(_xlfn.LET(_xlpm.x,SUM(SUM(_xlfn._xlws.FILTER(VALUE(PptoSty[Sign]&amp;1)*(1/PptoSty[Division]),(PptoSty[Division]&lt;&gt;0)*(PptoSty[Division]&lt;&gt;"")*(PptoSty[Division]&lt;&gt;"X")*(PptoSty[Project]=$B66)*(PptoSty[Vrs]=$D66)*(PptoSty[PiRow]=_xlfn.TEXTAFTER($H66,":"))*(PptoSty[PiColumn]=R$54),0)),SUM(IF((INDIRECT($B$3)=$B66)*(INDIRECT($C$3)=$D66)*((INDIRECT($E$3)="TOTS")+(INDIRECT($E$3)=$E66)),INDIRECT(R$3)))),_xlpm.y,SUM(_xlfn.CHOOSECOLS(_xlfn._xlws.FILTER(F_RT14[],(F_RT14[PrjId]=$B66)*(F_RT14[Vrs]=$D66)*(_xlfn.TEXTAFTER(F_RT14[ActGrp],":")=_xlfn.TEXTAFTER($H66,":")),"X"),MATCH("*"&amp;R$54,F_RT14[#Headers],0))),IF(AND(_xlpm.x=0,_xlpm.y&lt;&gt;0),-1,IF(AND(_xlpm.x&lt;&gt;0,_xlpm.y&lt;&gt;0),_xlpm.x,IF(AND(_xlpm.x-SUM(IF((INDIRECT($B$3)=$B66)*(INDIRECT($C$3)=$D66)*((INDIRECT($E$3)="TOTS")+(INDIRECT($E$3)=$E66)),INDIRECT(R$3)))&lt;&gt;0,_xlpm.y=0),-2,_xlpm.x)))),0))</f>
        <v>0</v>
      </c>
      <c r="S66" s="199" cm="1">
        <f t="array" aca="1" ref="S66" ca="1">IF(OR($B66="",$B66="X",$D66="",$D66="X",$E66="",$E66="X"),0,IFERROR(_xlfn.LET(_xlpm.x,SUM(SUM(_xlfn._xlws.FILTER(VALUE(PptoSty[Sign]&amp;1)*(1/PptoSty[Division]),(PptoSty[Division]&lt;&gt;0)*(PptoSty[Division]&lt;&gt;"")*(PptoSty[Division]&lt;&gt;"X")*(PptoSty[Project]=$B66)*(PptoSty[Vrs]=$D66)*(PptoSty[PiRow]=_xlfn.TEXTAFTER($H66,":"))*(PptoSty[PiColumn]=S$54),0)),SUM(IF((INDIRECT($B$3)=$B66)*(INDIRECT($C$3)=$D66)*((INDIRECT($E$3)="TOTS")+(INDIRECT($E$3)=$E66)),INDIRECT(S$3)))),_xlpm.y,SUM(_xlfn.CHOOSECOLS(_xlfn._xlws.FILTER(F_RT14[],(F_RT14[PrjId]=$B66)*(F_RT14[Vrs]=$D66)*(_xlfn.TEXTAFTER(F_RT14[ActGrp],":")=_xlfn.TEXTAFTER($H66,":")),"X"),MATCH("*"&amp;S$54,F_RT14[#Headers],0))),IF(AND(_xlpm.x=0,_xlpm.y&lt;&gt;0),-1,IF(AND(_xlpm.x&lt;&gt;0,_xlpm.y&lt;&gt;0),_xlpm.x,IF(AND(_xlpm.x-SUM(IF((INDIRECT($B$3)=$B66)*(INDIRECT($C$3)=$D66)*((INDIRECT($E$3)="TOTS")+(INDIRECT($E$3)=$E66)),INDIRECT(S$3)))&lt;&gt;0,_xlpm.y=0),-2,_xlpm.x)))),0))</f>
        <v>0</v>
      </c>
      <c r="T66" s="199" cm="1">
        <f t="array" aca="1" ref="T66" ca="1">IF(OR($B66="",$B66="X",$D66="",$D66="X",$E66="",$E66="X"),0,IFERROR(_xlfn.LET(_xlpm.x,SUM(SUM(_xlfn._xlws.FILTER(VALUE(PptoSty[Sign]&amp;1)*(1/PptoSty[Division]),(PptoSty[Division]&lt;&gt;0)*(PptoSty[Division]&lt;&gt;"")*(PptoSty[Division]&lt;&gt;"X")*(PptoSty[Project]=$B66)*(PptoSty[Vrs]=$D66)*(PptoSty[PiRow]=_xlfn.TEXTAFTER($H66,":"))*(PptoSty[PiColumn]=T$54),0)),SUM(IF((INDIRECT($B$3)=$B66)*(INDIRECT($C$3)=$D66)*((INDIRECT($E$3)="TOTS")+(INDIRECT($E$3)=$E66)),INDIRECT(T$3)))),_xlpm.y,SUM(_xlfn.CHOOSECOLS(_xlfn._xlws.FILTER(F_RT14[],(F_RT14[PrjId]=$B66)*(F_RT14[Vrs]=$D66)*(_xlfn.TEXTAFTER(F_RT14[ActGrp],":")=_xlfn.TEXTAFTER($H66,":")),"X"),MATCH("*"&amp;T$54,F_RT14[#Headers],0))),IF(AND(_xlpm.x=0,_xlpm.y&lt;&gt;0),-1,IF(AND(_xlpm.x&lt;&gt;0,_xlpm.y&lt;&gt;0),_xlpm.x,IF(AND(_xlpm.x-SUM(IF((INDIRECT($B$3)=$B66)*(INDIRECT($C$3)=$D66)*((INDIRECT($E$3)="TOTS")+(INDIRECT($E$3)=$E66)),INDIRECT(T$3)))&lt;&gt;0,_xlpm.y=0),-2,_xlpm.x)))),0))</f>
        <v>1</v>
      </c>
      <c r="U66" s="199" cm="1">
        <f t="array" aca="1" ref="U66" ca="1">IF(OR($B66="",$B66="X",$D66="",$D66="X",$E66="",$E66="X"),0,IFERROR(_xlfn.LET(_xlpm.x,SUM(SUM(_xlfn._xlws.FILTER(VALUE(PptoSty[Sign]&amp;1)*(1/PptoSty[Division]),(PptoSty[Division]&lt;&gt;0)*(PptoSty[Division]&lt;&gt;"")*(PptoSty[Division]&lt;&gt;"X")*(PptoSty[Project]=$B66)*(PptoSty[Vrs]=$D66)*(PptoSty[PiRow]=_xlfn.TEXTAFTER($H66,":"))*(PptoSty[PiColumn]=U$54),0)),SUM(IF((INDIRECT($B$3)=$B66)*(INDIRECT($C$3)=$D66)*((INDIRECT($E$3)="TOTS")+(INDIRECT($E$3)=$E66)),INDIRECT(U$3)))),_xlpm.y,SUM(_xlfn.CHOOSECOLS(_xlfn._xlws.FILTER(F_RT14[],(F_RT14[PrjId]=$B66)*(F_RT14[Vrs]=$D66)*(_xlfn.TEXTAFTER(F_RT14[ActGrp],":")=_xlfn.TEXTAFTER($H66,":")),"X"),MATCH("*"&amp;U$54,F_RT14[#Headers],0))),IF(AND(_xlpm.x=0,_xlpm.y&lt;&gt;0),-1,IF(AND(_xlpm.x&lt;&gt;0,_xlpm.y&lt;&gt;0),_xlpm.x,IF(AND(_xlpm.x-SUM(IF((INDIRECT($B$3)=$B66)*(INDIRECT($C$3)=$D66)*((INDIRECT($E$3)="TOTS")+(INDIRECT($E$3)=$E66)),INDIRECT(U$3)))&lt;&gt;0,_xlpm.y=0),-2,_xlpm.x)))),0))</f>
        <v>0</v>
      </c>
      <c r="V66" s="199" cm="1">
        <f t="array" aca="1" ref="V66" ca="1">IF(OR($B66="",$B66="X",$D66="",$D66="X",$E66="",$E66="X"),0,IFERROR(_xlfn.LET(_xlpm.x,SUM(SUM(_xlfn._xlws.FILTER(VALUE(PptoSty[Sign]&amp;1)*(1/PptoSty[Division]),(PptoSty[Division]&lt;&gt;0)*(PptoSty[Division]&lt;&gt;"")*(PptoSty[Division]&lt;&gt;"X")*(PptoSty[Project]=$B66)*(PptoSty[Vrs]=$D66)*(PptoSty[PiRow]=_xlfn.TEXTAFTER($H66,":"))*(PptoSty[PiColumn]=V$54),0)),SUM(IF((INDIRECT($B$3)=$B66)*(INDIRECT($C$3)=$D66)*((INDIRECT($E$3)="TOTS")+(INDIRECT($E$3)=$E66)),INDIRECT(V$3)))),_xlpm.y,SUM(_xlfn.CHOOSECOLS(_xlfn._xlws.FILTER(F_RT14[],(F_RT14[PrjId]=$B66)*(F_RT14[Vrs]=$D66)*(_xlfn.TEXTAFTER(F_RT14[ActGrp],":")=_xlfn.TEXTAFTER($H66,":")),"X"),MATCH("*"&amp;V$54,F_RT14[#Headers],0))),IF(AND(_xlpm.x=0,_xlpm.y&lt;&gt;0),-1,IF(AND(_xlpm.x&lt;&gt;0,_xlpm.y&lt;&gt;0),_xlpm.x,IF(AND(_xlpm.x-SUM(IF((INDIRECT($B$3)=$B66)*(INDIRECT($C$3)=$D66)*((INDIRECT($E$3)="TOTS")+(INDIRECT($E$3)=$E66)),INDIRECT(V$3)))&lt;&gt;0,_xlpm.y=0),-2,_xlpm.x)))),0))</f>
        <v>0</v>
      </c>
      <c r="W66" s="199" cm="1">
        <f t="array" aca="1" ref="W66" ca="1">IF(OR($B66="",$B66="X",$D66="",$D66="X",$E66="",$E66="X"),0,IFERROR(_xlfn.LET(_xlpm.x,SUM(SUM(_xlfn._xlws.FILTER(VALUE(PptoSty[Sign]&amp;1)*(1/PptoSty[Division]),(PptoSty[Division]&lt;&gt;0)*(PptoSty[Division]&lt;&gt;"")*(PptoSty[Division]&lt;&gt;"X")*(PptoSty[Project]=$B66)*(PptoSty[Vrs]=$D66)*(PptoSty[PiRow]=_xlfn.TEXTAFTER($H66,":"))*(PptoSty[PiColumn]=W$54),0)),SUM(IF((INDIRECT($B$3)=$B66)*(INDIRECT($C$3)=$D66)*((INDIRECT($E$3)="TOTS")+(INDIRECT($E$3)=$E66)),INDIRECT(W$3)))),_xlpm.y,SUM(_xlfn.CHOOSECOLS(_xlfn._xlws.FILTER(F_RT14[],(F_RT14[PrjId]=$B66)*(F_RT14[Vrs]=$D66)*(_xlfn.TEXTAFTER(F_RT14[ActGrp],":")=_xlfn.TEXTAFTER($H66,":")),"X"),MATCH("*"&amp;W$54,F_RT14[#Headers],0))),IF(AND(_xlpm.x=0,_xlpm.y&lt;&gt;0),-1,IF(AND(_xlpm.x&lt;&gt;0,_xlpm.y&lt;&gt;0),_xlpm.x,IF(AND(_xlpm.x-SUM(IF((INDIRECT($B$3)=$B66)*(INDIRECT($C$3)=$D66)*((INDIRECT($E$3)="TOTS")+(INDIRECT($E$3)=$E66)),INDIRECT(W$3)))&lt;&gt;0,_xlpm.y=0),-2,_xlpm.x)))),0))</f>
        <v>0</v>
      </c>
      <c r="X66" s="199" cm="1">
        <f t="array" aca="1" ref="X66" ca="1">IF(OR($B66="",$B66="X",$D66="",$D66="X",$E66="",$E66="X"),0,IFERROR(_xlfn.LET(_xlpm.x,SUM(SUM(_xlfn._xlws.FILTER(VALUE(PptoSty[Sign]&amp;1)*(1/PptoSty[Division]),(PptoSty[Division]&lt;&gt;0)*(PptoSty[Division]&lt;&gt;"")*(PptoSty[Division]&lt;&gt;"X")*(PptoSty[Project]=$B66)*(PptoSty[Vrs]=$D66)*(PptoSty[PiRow]=_xlfn.TEXTAFTER($H66,":"))*(PptoSty[PiColumn]=X$54),0)),SUM(IF((INDIRECT($B$3)=$B66)*(INDIRECT($C$3)=$D66)*((INDIRECT($E$3)="TOTS")+(INDIRECT($E$3)=$E66)),INDIRECT(X$3)))),_xlpm.y,SUM(_xlfn.CHOOSECOLS(_xlfn._xlws.FILTER(F_RT14[],(F_RT14[PrjId]=$B66)*(F_RT14[Vrs]=$D66)*(_xlfn.TEXTAFTER(F_RT14[ActGrp],":")=_xlfn.TEXTAFTER($H66,":")),"X"),MATCH("*"&amp;X$54,F_RT14[#Headers],0))),IF(AND(_xlpm.x=0,_xlpm.y&lt;&gt;0),-1,IF(AND(_xlpm.x&lt;&gt;0,_xlpm.y&lt;&gt;0),_xlpm.x,IF(AND(_xlpm.x-SUM(IF((INDIRECT($B$3)=$B66)*(INDIRECT($C$3)=$D66)*((INDIRECT($E$3)="TOTS")+(INDIRECT($E$3)=$E66)),INDIRECT(X$3)))&lt;&gt;0,_xlpm.y=0),-2,_xlpm.x)))),0))</f>
        <v>0</v>
      </c>
      <c r="Y66" s="199" cm="1">
        <f t="array" aca="1" ref="Y66" ca="1">IF(OR($B66="",$B66="X",$D66="",$D66="X",$E66="",$E66="X"),0,IFERROR(_xlfn.LET(_xlpm.x,SUM(SUM(_xlfn._xlws.FILTER(VALUE(PptoSty[Sign]&amp;1)*(1/PptoSty[Division]),(PptoSty[Division]&lt;&gt;0)*(PptoSty[Division]&lt;&gt;"")*(PptoSty[Division]&lt;&gt;"X")*(PptoSty[Project]=$B66)*(PptoSty[Vrs]=$D66)*(PptoSty[PiRow]=_xlfn.TEXTAFTER($H66,":"))*(PptoSty[PiColumn]=Y$54),0)),SUM(IF((INDIRECT($B$3)=$B66)*(INDIRECT($C$3)=$D66)*((INDIRECT($E$3)="TOTS")+(INDIRECT($E$3)=$E66)),INDIRECT(Y$3)))),_xlpm.y,SUM(_xlfn.CHOOSECOLS(_xlfn._xlws.FILTER(F_RT14[],(F_RT14[PrjId]=$B66)*(F_RT14[Vrs]=$D66)*(_xlfn.TEXTAFTER(F_RT14[ActGrp],":")=_xlfn.TEXTAFTER($H66,":")),"X"),MATCH("*"&amp;Y$54,F_RT14[#Headers],0))),IF(AND(_xlpm.x=0,_xlpm.y&lt;&gt;0),-1,IF(AND(_xlpm.x&lt;&gt;0,_xlpm.y&lt;&gt;0),_xlpm.x,IF(AND(_xlpm.x-SUM(IF((INDIRECT($B$3)=$B66)*(INDIRECT($C$3)=$D66)*((INDIRECT($E$3)="TOTS")+(INDIRECT($E$3)=$E66)),INDIRECT(Y$3)))&lt;&gt;0,_xlpm.y=0),-2,_xlpm.x)))),0))</f>
        <v>0</v>
      </c>
      <c r="Z66" s="198" t="str">
        <f t="shared" ca="1" si="2"/>
        <v>Fback!B66:Y66</v>
      </c>
    </row>
    <row r="67" spans="2:26" ht="21" customHeight="1" outlineLevel="1">
      <c r="B67" s="128" t="str">
        <v>31200</v>
      </c>
      <c r="C67" s="128" t="str">
        <v>Sp</v>
      </c>
      <c r="D67" s="128">
        <v>15</v>
      </c>
      <c r="E67" s="128" t="str">
        <v>PEMX</v>
      </c>
      <c r="F67" s="139" t="str">
        <v>PLANT</v>
      </c>
      <c r="G67" s="139" t="str">
        <v>CurPpto</v>
      </c>
      <c r="H67" s="139" t="str">
        <v>G008:PUESTA EN MARCHA EN PLANTA CLIENTE</v>
      </c>
      <c r="I67" s="199" cm="1">
        <f t="array" aca="1" ref="I67" ca="1">IF(OR($B67="",$B67="X",$D67="",$D67="X",$E67="",$E67="X"),0,IFERROR(_xlfn.LET(_xlpm.x,SUM(SUM(_xlfn._xlws.FILTER(VALUE(PptoSty[Sign]&amp;1)*(1/PptoSty[Division]),(PptoSty[Division]&lt;&gt;0)*(PptoSty[Division]&lt;&gt;"")*(PptoSty[Division]&lt;&gt;"X")*(PptoSty[Project]=$B67)*(PptoSty[Vrs]=$D67)*(PptoSty[PiRow]=_xlfn.TEXTAFTER($H67,":"))*(PptoSty[PiColumn]=I$54),0)),SUM(IF((INDIRECT($B$3)=$B67)*(INDIRECT($C$3)=$D67)*((INDIRECT($E$3)="TOTS")+(INDIRECT($E$3)=$E67)),INDIRECT(I$3)))),_xlpm.y,SUM(_xlfn.CHOOSECOLS(_xlfn._xlws.FILTER(F_RT14[],(F_RT14[PrjId]=$B67)*(F_RT14[Vrs]=$D67)*(_xlfn.TEXTAFTER(F_RT14[ActGrp],":")=_xlfn.TEXTAFTER($H67,":")),"X"),MATCH("*"&amp;I$54,F_RT14[#Headers],0))),IF(AND(_xlpm.x=0,_xlpm.y&lt;&gt;0),-1,IF(AND(_xlpm.x&lt;&gt;0,_xlpm.y&lt;&gt;0),_xlpm.x,IF(AND(_xlpm.x-SUM(IF((INDIRECT($B$3)=$B67)*(INDIRECT($C$3)=$D67)*((INDIRECT($E$3)="TOTS")+(INDIRECT($E$3)=$E67)),INDIRECT(I$3)))&lt;&gt;0,_xlpm.y=0),-2,_xlpm.x)))),0))</f>
        <v>1</v>
      </c>
      <c r="J67" s="199" cm="1">
        <f t="array" aca="1" ref="J67" ca="1">IF(OR($B67="",$B67="X",$D67="",$D67="X",$E67="",$E67="X"),0,IFERROR(_xlfn.LET(_xlpm.x,SUM(SUM(_xlfn._xlws.FILTER(VALUE(PptoSty[Sign]&amp;1)*(1/PptoSty[Division]),(PptoSty[Division]&lt;&gt;0)*(PptoSty[Division]&lt;&gt;"")*(PptoSty[Division]&lt;&gt;"X")*(PptoSty[Project]=$B67)*(PptoSty[Vrs]=$D67)*(PptoSty[PiRow]=_xlfn.TEXTAFTER($H67,":"))*(PptoSty[PiColumn]=J$54),0)),SUM(IF((INDIRECT($B$3)=$B67)*(INDIRECT($C$3)=$D67)*((INDIRECT($E$3)="TOTS")+(INDIRECT($E$3)=$E67)),INDIRECT(J$3)))),_xlpm.y,SUM(_xlfn.CHOOSECOLS(_xlfn._xlws.FILTER(F_RT14[],(F_RT14[PrjId]=$B67)*(F_RT14[Vrs]=$D67)*(_xlfn.TEXTAFTER(F_RT14[ActGrp],":")=_xlfn.TEXTAFTER($H67,":")),"X"),MATCH("*"&amp;J$54,F_RT14[#Headers],0))),IF(AND(_xlpm.x=0,_xlpm.y&lt;&gt;0),-1,IF(AND(_xlpm.x&lt;&gt;0,_xlpm.y&lt;&gt;0),_xlpm.x,IF(AND(_xlpm.x-SUM(IF((INDIRECT($B$3)=$B67)*(INDIRECT($C$3)=$D67)*((INDIRECT($E$3)="TOTS")+(INDIRECT($E$3)=$E67)),INDIRECT(J$3)))&lt;&gt;0,_xlpm.y=0),-2,_xlpm.x)))),0))</f>
        <v>0</v>
      </c>
      <c r="K67" s="199" cm="1">
        <f t="array" aca="1" ref="K67" ca="1">IF(OR($B67="",$B67="X",$D67="",$D67="X",$E67="",$E67="X"),0,IFERROR(_xlfn.LET(_xlpm.x,SUM(SUM(_xlfn._xlws.FILTER(VALUE(PptoSty[Sign]&amp;1)*(1/PptoSty[Division]),(PptoSty[Division]&lt;&gt;0)*(PptoSty[Division]&lt;&gt;"")*(PptoSty[Division]&lt;&gt;"X")*(PptoSty[Project]=$B67)*(PptoSty[Vrs]=$D67)*(PptoSty[PiRow]=_xlfn.TEXTAFTER($H67,":"))*(PptoSty[PiColumn]=K$54),0)),SUM(IF((INDIRECT($B$3)=$B67)*(INDIRECT($C$3)=$D67)*((INDIRECT($E$3)="TOTS")+(INDIRECT($E$3)=$E67)),INDIRECT(K$3)))),_xlpm.y,SUM(_xlfn.CHOOSECOLS(_xlfn._xlws.FILTER(F_RT14[],(F_RT14[PrjId]=$B67)*(F_RT14[Vrs]=$D67)*(_xlfn.TEXTAFTER(F_RT14[ActGrp],":")=_xlfn.TEXTAFTER($H67,":")),"X"),MATCH("*"&amp;K$54,F_RT14[#Headers],0))),IF(AND(_xlpm.x=0,_xlpm.y&lt;&gt;0),-1,IF(AND(_xlpm.x&lt;&gt;0,_xlpm.y&lt;&gt;0),_xlpm.x,IF(AND(_xlpm.x-SUM(IF((INDIRECT($B$3)=$B67)*(INDIRECT($C$3)=$D67)*((INDIRECT($E$3)="TOTS")+(INDIRECT($E$3)=$E67)),INDIRECT(K$3)))&lt;&gt;0,_xlpm.y=0),-2,_xlpm.x)))),0))</f>
        <v>0</v>
      </c>
      <c r="L67" s="199" cm="1">
        <f t="array" aca="1" ref="L67" ca="1">IF(OR($B67="",$B67="X",$D67="",$D67="X",$E67="",$E67="X"),0,IFERROR(_xlfn.LET(_xlpm.x,SUM(SUM(_xlfn._xlws.FILTER(VALUE(PptoSty[Sign]&amp;1)*(1/PptoSty[Division]),(PptoSty[Division]&lt;&gt;0)*(PptoSty[Division]&lt;&gt;"")*(PptoSty[Division]&lt;&gt;"X")*(PptoSty[Project]=$B67)*(PptoSty[Vrs]=$D67)*(PptoSty[PiRow]=_xlfn.TEXTAFTER($H67,":"))*(PptoSty[PiColumn]=L$54),0)),SUM(IF((INDIRECT($B$3)=$B67)*(INDIRECT($C$3)=$D67)*((INDIRECT($E$3)="TOTS")+(INDIRECT($E$3)=$E67)),INDIRECT(L$3)))),_xlpm.y,SUM(_xlfn.CHOOSECOLS(_xlfn._xlws.FILTER(F_RT14[],(F_RT14[PrjId]=$B67)*(F_RT14[Vrs]=$D67)*(_xlfn.TEXTAFTER(F_RT14[ActGrp],":")=_xlfn.TEXTAFTER($H67,":")),"X"),MATCH("*"&amp;L$54,F_RT14[#Headers],0))),IF(AND(_xlpm.x=0,_xlpm.y&lt;&gt;0),-1,IF(AND(_xlpm.x&lt;&gt;0,_xlpm.y&lt;&gt;0),_xlpm.x,IF(AND(_xlpm.x-SUM(IF((INDIRECT($B$3)=$B67)*(INDIRECT($C$3)=$D67)*((INDIRECT($E$3)="TOTS")+(INDIRECT($E$3)=$E67)),INDIRECT(L$3)))&lt;&gt;0,_xlpm.y=0),-2,_xlpm.x)))),0))</f>
        <v>0</v>
      </c>
      <c r="M67" s="199" cm="1">
        <f t="array" aca="1" ref="M67" ca="1">IF(OR($B67="",$B67="X",$D67="",$D67="X",$E67="",$E67="X"),0,IFERROR(_xlfn.LET(_xlpm.x,SUM(SUM(_xlfn._xlws.FILTER(VALUE(PptoSty[Sign]&amp;1)*(1/PptoSty[Division]),(PptoSty[Division]&lt;&gt;0)*(PptoSty[Division]&lt;&gt;"")*(PptoSty[Division]&lt;&gt;"X")*(PptoSty[Project]=$B67)*(PptoSty[Vrs]=$D67)*(PptoSty[PiRow]=_xlfn.TEXTAFTER($H67,":"))*(PptoSty[PiColumn]=M$54),0)),SUM(IF((INDIRECT($B$3)=$B67)*(INDIRECT($C$3)=$D67)*((INDIRECT($E$3)="TOTS")+(INDIRECT($E$3)=$E67)),INDIRECT(M$3)))),_xlpm.y,SUM(_xlfn.CHOOSECOLS(_xlfn._xlws.FILTER(F_RT14[],(F_RT14[PrjId]=$B67)*(F_RT14[Vrs]=$D67)*(_xlfn.TEXTAFTER(F_RT14[ActGrp],":")=_xlfn.TEXTAFTER($H67,":")),"X"),MATCH("*"&amp;M$54,F_RT14[#Headers],0))),IF(AND(_xlpm.x=0,_xlpm.y&lt;&gt;0),-1,IF(AND(_xlpm.x&lt;&gt;0,_xlpm.y&lt;&gt;0),_xlpm.x,IF(AND(_xlpm.x-SUM(IF((INDIRECT($B$3)=$B67)*(INDIRECT($C$3)=$D67)*((INDIRECT($E$3)="TOTS")+(INDIRECT($E$3)=$E67)),INDIRECT(M$3)))&lt;&gt;0,_xlpm.y=0),-2,_xlpm.x)))),0))</f>
        <v>1</v>
      </c>
      <c r="N67" s="199" cm="1">
        <f t="array" aca="1" ref="N67" ca="1">IF(OR($B67="",$B67="X",$D67="",$D67="X",$E67="",$E67="X"),0,IFERROR(_xlfn.LET(_xlpm.x,SUM(SUM(_xlfn._xlws.FILTER(VALUE(PptoSty[Sign]&amp;1)*(1/PptoSty[Division]),(PptoSty[Division]&lt;&gt;0)*(PptoSty[Division]&lt;&gt;"")*(PptoSty[Division]&lt;&gt;"X")*(PptoSty[Project]=$B67)*(PptoSty[Vrs]=$D67)*(PptoSty[PiRow]=_xlfn.TEXTAFTER($H67,":"))*(PptoSty[PiColumn]=N$54),0)),SUM(IF((INDIRECT($B$3)=$B67)*(INDIRECT($C$3)=$D67)*((INDIRECT($E$3)="TOTS")+(INDIRECT($E$3)=$E67)),INDIRECT(N$3)))),_xlpm.y,SUM(_xlfn.CHOOSECOLS(_xlfn._xlws.FILTER(F_RT14[],(F_RT14[PrjId]=$B67)*(F_RT14[Vrs]=$D67)*(_xlfn.TEXTAFTER(F_RT14[ActGrp],":")=_xlfn.TEXTAFTER($H67,":")),"X"),MATCH("*"&amp;N$54,F_RT14[#Headers],0))),IF(AND(_xlpm.x=0,_xlpm.y&lt;&gt;0),-1,IF(AND(_xlpm.x&lt;&gt;0,_xlpm.y&lt;&gt;0),_xlpm.x,IF(AND(_xlpm.x-SUM(IF((INDIRECT($B$3)=$B67)*(INDIRECT($C$3)=$D67)*((INDIRECT($E$3)="TOTS")+(INDIRECT($E$3)=$E67)),INDIRECT(N$3)))&lt;&gt;0,_xlpm.y=0),-2,_xlpm.x)))),0))</f>
        <v>0</v>
      </c>
      <c r="O67" s="199" cm="1">
        <f t="array" aca="1" ref="O67" ca="1">IF(OR($B67="",$B67="X",$D67="",$D67="X",$E67="",$E67="X"),0,IFERROR(_xlfn.LET(_xlpm.x,SUM(SUM(_xlfn._xlws.FILTER(VALUE(PptoSty[Sign]&amp;1)*(1/PptoSty[Division]),(PptoSty[Division]&lt;&gt;0)*(PptoSty[Division]&lt;&gt;"")*(PptoSty[Division]&lt;&gt;"X")*(PptoSty[Project]=$B67)*(PptoSty[Vrs]=$D67)*(PptoSty[PiRow]=_xlfn.TEXTAFTER($H67,":"))*(PptoSty[PiColumn]=O$54),0)),SUM(IF((INDIRECT($B$3)=$B67)*(INDIRECT($C$3)=$D67)*((INDIRECT($E$3)="TOTS")+(INDIRECT($E$3)=$E67)),INDIRECT(O$3)))),_xlpm.y,SUM(_xlfn.CHOOSECOLS(_xlfn._xlws.FILTER(F_RT14[],(F_RT14[PrjId]=$B67)*(F_RT14[Vrs]=$D67)*(_xlfn.TEXTAFTER(F_RT14[ActGrp],":")=_xlfn.TEXTAFTER($H67,":")),"X"),MATCH("*"&amp;O$54,F_RT14[#Headers],0))),IF(AND(_xlpm.x=0,_xlpm.y&lt;&gt;0),-1,IF(AND(_xlpm.x&lt;&gt;0,_xlpm.y&lt;&gt;0),_xlpm.x,IF(AND(_xlpm.x-SUM(IF((INDIRECT($B$3)=$B67)*(INDIRECT($C$3)=$D67)*((INDIRECT($E$3)="TOTS")+(INDIRECT($E$3)=$E67)),INDIRECT(O$3)))&lt;&gt;0,_xlpm.y=0),-2,_xlpm.x)))),0))</f>
        <v>1</v>
      </c>
      <c r="P67" s="199" cm="1">
        <f t="array" aca="1" ref="P67" ca="1">IF(OR($B67="",$B67="X",$D67="",$D67="X",$E67="",$E67="X"),0,IFERROR(_xlfn.LET(_xlpm.x,SUM(SUM(_xlfn._xlws.FILTER(VALUE(PptoSty[Sign]&amp;1)*(1/PptoSty[Division]),(PptoSty[Division]&lt;&gt;0)*(PptoSty[Division]&lt;&gt;"")*(PptoSty[Division]&lt;&gt;"X")*(PptoSty[Project]=$B67)*(PptoSty[Vrs]=$D67)*(PptoSty[PiRow]=_xlfn.TEXTAFTER($H67,":"))*(PptoSty[PiColumn]=P$54),0)),SUM(IF((INDIRECT($B$3)=$B67)*(INDIRECT($C$3)=$D67)*((INDIRECT($E$3)="TOTS")+(INDIRECT($E$3)=$E67)),INDIRECT(P$3)))),_xlpm.y,SUM(_xlfn.CHOOSECOLS(_xlfn._xlws.FILTER(F_RT14[],(F_RT14[PrjId]=$B67)*(F_RT14[Vrs]=$D67)*(_xlfn.TEXTAFTER(F_RT14[ActGrp],":")=_xlfn.TEXTAFTER($H67,":")),"X"),MATCH("*"&amp;P$54,F_RT14[#Headers],0))),IF(AND(_xlpm.x=0,_xlpm.y&lt;&gt;0),-1,IF(AND(_xlpm.x&lt;&gt;0,_xlpm.y&lt;&gt;0),_xlpm.x,IF(AND(_xlpm.x-SUM(IF((INDIRECT($B$3)=$B67)*(INDIRECT($C$3)=$D67)*((INDIRECT($E$3)="TOTS")+(INDIRECT($E$3)=$E67)),INDIRECT(P$3)))&lt;&gt;0,_xlpm.y=0),-2,_xlpm.x)))),0))</f>
        <v>0</v>
      </c>
      <c r="Q67" s="199" cm="1">
        <f t="array" aca="1" ref="Q67" ca="1">IF(OR($B67="",$B67="X",$D67="",$D67="X",$E67="",$E67="X"),0,IFERROR(_xlfn.LET(_xlpm.x,SUM(SUM(_xlfn._xlws.FILTER(VALUE(PptoSty[Sign]&amp;1)*(1/PptoSty[Division]),(PptoSty[Division]&lt;&gt;0)*(PptoSty[Division]&lt;&gt;"")*(PptoSty[Division]&lt;&gt;"X")*(PptoSty[Project]=$B67)*(PptoSty[Vrs]=$D67)*(PptoSty[PiRow]=_xlfn.TEXTAFTER($H67,":"))*(PptoSty[PiColumn]=Q$54),0)),SUM(IF((INDIRECT($B$3)=$B67)*(INDIRECT($C$3)=$D67)*((INDIRECT($E$3)="TOTS")+(INDIRECT($E$3)=$E67)),INDIRECT(Q$3)))),_xlpm.y,SUM(_xlfn.CHOOSECOLS(_xlfn._xlws.FILTER(F_RT14[],(F_RT14[PrjId]=$B67)*(F_RT14[Vrs]=$D67)*(_xlfn.TEXTAFTER(F_RT14[ActGrp],":")=_xlfn.TEXTAFTER($H67,":")),"X"),MATCH("*"&amp;Q$54,F_RT14[#Headers],0))),IF(AND(_xlpm.x=0,_xlpm.y&lt;&gt;0),-1,IF(AND(_xlpm.x&lt;&gt;0,_xlpm.y&lt;&gt;0),_xlpm.x,IF(AND(_xlpm.x-SUM(IF((INDIRECT($B$3)=$B67)*(INDIRECT($C$3)=$D67)*((INDIRECT($E$3)="TOTS")+(INDIRECT($E$3)=$E67)),INDIRECT(Q$3)))&lt;&gt;0,_xlpm.y=0),-2,_xlpm.x)))),0))</f>
        <v>1</v>
      </c>
      <c r="R67" s="199" cm="1">
        <f t="array" aca="1" ref="R67" ca="1">IF(OR($B67="",$B67="X",$D67="",$D67="X",$E67="",$E67="X"),0,IFERROR(_xlfn.LET(_xlpm.x,SUM(SUM(_xlfn._xlws.FILTER(VALUE(PptoSty[Sign]&amp;1)*(1/PptoSty[Division]),(PptoSty[Division]&lt;&gt;0)*(PptoSty[Division]&lt;&gt;"")*(PptoSty[Division]&lt;&gt;"X")*(PptoSty[Project]=$B67)*(PptoSty[Vrs]=$D67)*(PptoSty[PiRow]=_xlfn.TEXTAFTER($H67,":"))*(PptoSty[PiColumn]=R$54),0)),SUM(IF((INDIRECT($B$3)=$B67)*(INDIRECT($C$3)=$D67)*((INDIRECT($E$3)="TOTS")+(INDIRECT($E$3)=$E67)),INDIRECT(R$3)))),_xlpm.y,SUM(_xlfn.CHOOSECOLS(_xlfn._xlws.FILTER(F_RT14[],(F_RT14[PrjId]=$B67)*(F_RT14[Vrs]=$D67)*(_xlfn.TEXTAFTER(F_RT14[ActGrp],":")=_xlfn.TEXTAFTER($H67,":")),"X"),MATCH("*"&amp;R$54,F_RT14[#Headers],0))),IF(AND(_xlpm.x=0,_xlpm.y&lt;&gt;0),-1,IF(AND(_xlpm.x&lt;&gt;0,_xlpm.y&lt;&gt;0),_xlpm.x,IF(AND(_xlpm.x-SUM(IF((INDIRECT($B$3)=$B67)*(INDIRECT($C$3)=$D67)*((INDIRECT($E$3)="TOTS")+(INDIRECT($E$3)=$E67)),INDIRECT(R$3)))&lt;&gt;0,_xlpm.y=0),-2,_xlpm.x)))),0))</f>
        <v>0</v>
      </c>
      <c r="S67" s="199" cm="1">
        <f t="array" aca="1" ref="S67" ca="1">IF(OR($B67="",$B67="X",$D67="",$D67="X",$E67="",$E67="X"),0,IFERROR(_xlfn.LET(_xlpm.x,SUM(SUM(_xlfn._xlws.FILTER(VALUE(PptoSty[Sign]&amp;1)*(1/PptoSty[Division]),(PptoSty[Division]&lt;&gt;0)*(PptoSty[Division]&lt;&gt;"")*(PptoSty[Division]&lt;&gt;"X")*(PptoSty[Project]=$B67)*(PptoSty[Vrs]=$D67)*(PptoSty[PiRow]=_xlfn.TEXTAFTER($H67,":"))*(PptoSty[PiColumn]=S$54),0)),SUM(IF((INDIRECT($B$3)=$B67)*(INDIRECT($C$3)=$D67)*((INDIRECT($E$3)="TOTS")+(INDIRECT($E$3)=$E67)),INDIRECT(S$3)))),_xlpm.y,SUM(_xlfn.CHOOSECOLS(_xlfn._xlws.FILTER(F_RT14[],(F_RT14[PrjId]=$B67)*(F_RT14[Vrs]=$D67)*(_xlfn.TEXTAFTER(F_RT14[ActGrp],":")=_xlfn.TEXTAFTER($H67,":")),"X"),MATCH("*"&amp;S$54,F_RT14[#Headers],0))),IF(AND(_xlpm.x=0,_xlpm.y&lt;&gt;0),-1,IF(AND(_xlpm.x&lt;&gt;0,_xlpm.y&lt;&gt;0),_xlpm.x,IF(AND(_xlpm.x-SUM(IF((INDIRECT($B$3)=$B67)*(INDIRECT($C$3)=$D67)*((INDIRECT($E$3)="TOTS")+(INDIRECT($E$3)=$E67)),INDIRECT(S$3)))&lt;&gt;0,_xlpm.y=0),-2,_xlpm.x)))),0))</f>
        <v>0</v>
      </c>
      <c r="T67" s="199" cm="1">
        <f t="array" aca="1" ref="T67" ca="1">IF(OR($B67="",$B67="X",$D67="",$D67="X",$E67="",$E67="X"),0,IFERROR(_xlfn.LET(_xlpm.x,SUM(SUM(_xlfn._xlws.FILTER(VALUE(PptoSty[Sign]&amp;1)*(1/PptoSty[Division]),(PptoSty[Division]&lt;&gt;0)*(PptoSty[Division]&lt;&gt;"")*(PptoSty[Division]&lt;&gt;"X")*(PptoSty[Project]=$B67)*(PptoSty[Vrs]=$D67)*(PptoSty[PiRow]=_xlfn.TEXTAFTER($H67,":"))*(PptoSty[PiColumn]=T$54),0)),SUM(IF((INDIRECT($B$3)=$B67)*(INDIRECT($C$3)=$D67)*((INDIRECT($E$3)="TOTS")+(INDIRECT($E$3)=$E67)),INDIRECT(T$3)))),_xlpm.y,SUM(_xlfn.CHOOSECOLS(_xlfn._xlws.FILTER(F_RT14[],(F_RT14[PrjId]=$B67)*(F_RT14[Vrs]=$D67)*(_xlfn.TEXTAFTER(F_RT14[ActGrp],":")=_xlfn.TEXTAFTER($H67,":")),"X"),MATCH("*"&amp;T$54,F_RT14[#Headers],0))),IF(AND(_xlpm.x=0,_xlpm.y&lt;&gt;0),-1,IF(AND(_xlpm.x&lt;&gt;0,_xlpm.y&lt;&gt;0),_xlpm.x,IF(AND(_xlpm.x-SUM(IF((INDIRECT($B$3)=$B67)*(INDIRECT($C$3)=$D67)*((INDIRECT($E$3)="TOTS")+(INDIRECT($E$3)=$E67)),INDIRECT(T$3)))&lt;&gt;0,_xlpm.y=0),-2,_xlpm.x)))),0))</f>
        <v>0</v>
      </c>
      <c r="U67" s="199" cm="1">
        <f t="array" aca="1" ref="U67" ca="1">IF(OR($B67="",$B67="X",$D67="",$D67="X",$E67="",$E67="X"),0,IFERROR(_xlfn.LET(_xlpm.x,SUM(SUM(_xlfn._xlws.FILTER(VALUE(PptoSty[Sign]&amp;1)*(1/PptoSty[Division]),(PptoSty[Division]&lt;&gt;0)*(PptoSty[Division]&lt;&gt;"")*(PptoSty[Division]&lt;&gt;"X")*(PptoSty[Project]=$B67)*(PptoSty[Vrs]=$D67)*(PptoSty[PiRow]=_xlfn.TEXTAFTER($H67,":"))*(PptoSty[PiColumn]=U$54),0)),SUM(IF((INDIRECT($B$3)=$B67)*(INDIRECT($C$3)=$D67)*((INDIRECT($E$3)="TOTS")+(INDIRECT($E$3)=$E67)),INDIRECT(U$3)))),_xlpm.y,SUM(_xlfn.CHOOSECOLS(_xlfn._xlws.FILTER(F_RT14[],(F_RT14[PrjId]=$B67)*(F_RT14[Vrs]=$D67)*(_xlfn.TEXTAFTER(F_RT14[ActGrp],":")=_xlfn.TEXTAFTER($H67,":")),"X"),MATCH("*"&amp;U$54,F_RT14[#Headers],0))),IF(AND(_xlpm.x=0,_xlpm.y&lt;&gt;0),-1,IF(AND(_xlpm.x&lt;&gt;0,_xlpm.y&lt;&gt;0),_xlpm.x,IF(AND(_xlpm.x-SUM(IF((INDIRECT($B$3)=$B67)*(INDIRECT($C$3)=$D67)*((INDIRECT($E$3)="TOTS")+(INDIRECT($E$3)=$E67)),INDIRECT(U$3)))&lt;&gt;0,_xlpm.y=0),-2,_xlpm.x)))),0))</f>
        <v>0</v>
      </c>
      <c r="V67" s="199" cm="1">
        <f t="array" aca="1" ref="V67" ca="1">IF(OR($B67="",$B67="X",$D67="",$D67="X",$E67="",$E67="X"),0,IFERROR(_xlfn.LET(_xlpm.x,SUM(SUM(_xlfn._xlws.FILTER(VALUE(PptoSty[Sign]&amp;1)*(1/PptoSty[Division]),(PptoSty[Division]&lt;&gt;0)*(PptoSty[Division]&lt;&gt;"")*(PptoSty[Division]&lt;&gt;"X")*(PptoSty[Project]=$B67)*(PptoSty[Vrs]=$D67)*(PptoSty[PiRow]=_xlfn.TEXTAFTER($H67,":"))*(PptoSty[PiColumn]=V$54),0)),SUM(IF((INDIRECT($B$3)=$B67)*(INDIRECT($C$3)=$D67)*((INDIRECT($E$3)="TOTS")+(INDIRECT($E$3)=$E67)),INDIRECT(V$3)))),_xlpm.y,SUM(_xlfn.CHOOSECOLS(_xlfn._xlws.FILTER(F_RT14[],(F_RT14[PrjId]=$B67)*(F_RT14[Vrs]=$D67)*(_xlfn.TEXTAFTER(F_RT14[ActGrp],":")=_xlfn.TEXTAFTER($H67,":")),"X"),MATCH("*"&amp;V$54,F_RT14[#Headers],0))),IF(AND(_xlpm.x=0,_xlpm.y&lt;&gt;0),-1,IF(AND(_xlpm.x&lt;&gt;0,_xlpm.y&lt;&gt;0),_xlpm.x,IF(AND(_xlpm.x-SUM(IF((INDIRECT($B$3)=$B67)*(INDIRECT($C$3)=$D67)*((INDIRECT($E$3)="TOTS")+(INDIRECT($E$3)=$E67)),INDIRECT(V$3)))&lt;&gt;0,_xlpm.y=0),-2,_xlpm.x)))),0))</f>
        <v>0</v>
      </c>
      <c r="W67" s="199" cm="1">
        <f t="array" aca="1" ref="W67" ca="1">IF(OR($B67="",$B67="X",$D67="",$D67="X",$E67="",$E67="X"),0,IFERROR(_xlfn.LET(_xlpm.x,SUM(SUM(_xlfn._xlws.FILTER(VALUE(PptoSty[Sign]&amp;1)*(1/PptoSty[Division]),(PptoSty[Division]&lt;&gt;0)*(PptoSty[Division]&lt;&gt;"")*(PptoSty[Division]&lt;&gt;"X")*(PptoSty[Project]=$B67)*(PptoSty[Vrs]=$D67)*(PptoSty[PiRow]=_xlfn.TEXTAFTER($H67,":"))*(PptoSty[PiColumn]=W$54),0)),SUM(IF((INDIRECT($B$3)=$B67)*(INDIRECT($C$3)=$D67)*((INDIRECT($E$3)="TOTS")+(INDIRECT($E$3)=$E67)),INDIRECT(W$3)))),_xlpm.y,SUM(_xlfn.CHOOSECOLS(_xlfn._xlws.FILTER(F_RT14[],(F_RT14[PrjId]=$B67)*(F_RT14[Vrs]=$D67)*(_xlfn.TEXTAFTER(F_RT14[ActGrp],":")=_xlfn.TEXTAFTER($H67,":")),"X"),MATCH("*"&amp;W$54,F_RT14[#Headers],0))),IF(AND(_xlpm.x=0,_xlpm.y&lt;&gt;0),-1,IF(AND(_xlpm.x&lt;&gt;0,_xlpm.y&lt;&gt;0),_xlpm.x,IF(AND(_xlpm.x-SUM(IF((INDIRECT($B$3)=$B67)*(INDIRECT($C$3)=$D67)*((INDIRECT($E$3)="TOTS")+(INDIRECT($E$3)=$E67)),INDIRECT(W$3)))&lt;&gt;0,_xlpm.y=0),-2,_xlpm.x)))),0))</f>
        <v>0</v>
      </c>
      <c r="X67" s="199" cm="1">
        <f t="array" aca="1" ref="X67" ca="1">IF(OR($B67="",$B67="X",$D67="",$D67="X",$E67="",$E67="X"),0,IFERROR(_xlfn.LET(_xlpm.x,SUM(SUM(_xlfn._xlws.FILTER(VALUE(PptoSty[Sign]&amp;1)*(1/PptoSty[Division]),(PptoSty[Division]&lt;&gt;0)*(PptoSty[Division]&lt;&gt;"")*(PptoSty[Division]&lt;&gt;"X")*(PptoSty[Project]=$B67)*(PptoSty[Vrs]=$D67)*(PptoSty[PiRow]=_xlfn.TEXTAFTER($H67,":"))*(PptoSty[PiColumn]=X$54),0)),SUM(IF((INDIRECT($B$3)=$B67)*(INDIRECT($C$3)=$D67)*((INDIRECT($E$3)="TOTS")+(INDIRECT($E$3)=$E67)),INDIRECT(X$3)))),_xlpm.y,SUM(_xlfn.CHOOSECOLS(_xlfn._xlws.FILTER(F_RT14[],(F_RT14[PrjId]=$B67)*(F_RT14[Vrs]=$D67)*(_xlfn.TEXTAFTER(F_RT14[ActGrp],":")=_xlfn.TEXTAFTER($H67,":")),"X"),MATCH("*"&amp;X$54,F_RT14[#Headers],0))),IF(AND(_xlpm.x=0,_xlpm.y&lt;&gt;0),-1,IF(AND(_xlpm.x&lt;&gt;0,_xlpm.y&lt;&gt;0),_xlpm.x,IF(AND(_xlpm.x-SUM(IF((INDIRECT($B$3)=$B67)*(INDIRECT($C$3)=$D67)*((INDIRECT($E$3)="TOTS")+(INDIRECT($E$3)=$E67)),INDIRECT(X$3)))&lt;&gt;0,_xlpm.y=0),-2,_xlpm.x)))),0))</f>
        <v>0</v>
      </c>
      <c r="Y67" s="199" cm="1">
        <f t="array" aca="1" ref="Y67" ca="1">IF(OR($B67="",$B67="X",$D67="",$D67="X",$E67="",$E67="X"),0,IFERROR(_xlfn.LET(_xlpm.x,SUM(SUM(_xlfn._xlws.FILTER(VALUE(PptoSty[Sign]&amp;1)*(1/PptoSty[Division]),(PptoSty[Division]&lt;&gt;0)*(PptoSty[Division]&lt;&gt;"")*(PptoSty[Division]&lt;&gt;"X")*(PptoSty[Project]=$B67)*(PptoSty[Vrs]=$D67)*(PptoSty[PiRow]=_xlfn.TEXTAFTER($H67,":"))*(PptoSty[PiColumn]=Y$54),0)),SUM(IF((INDIRECT($B$3)=$B67)*(INDIRECT($C$3)=$D67)*((INDIRECT($E$3)="TOTS")+(INDIRECT($E$3)=$E67)),INDIRECT(Y$3)))),_xlpm.y,SUM(_xlfn.CHOOSECOLS(_xlfn._xlws.FILTER(F_RT14[],(F_RT14[PrjId]=$B67)*(F_RT14[Vrs]=$D67)*(_xlfn.TEXTAFTER(F_RT14[ActGrp],":")=_xlfn.TEXTAFTER($H67,":")),"X"),MATCH("*"&amp;Y$54,F_RT14[#Headers],0))),IF(AND(_xlpm.x=0,_xlpm.y&lt;&gt;0),-1,IF(AND(_xlpm.x&lt;&gt;0,_xlpm.y&lt;&gt;0),_xlpm.x,IF(AND(_xlpm.x-SUM(IF((INDIRECT($B$3)=$B67)*(INDIRECT($C$3)=$D67)*((INDIRECT($E$3)="TOTS")+(INDIRECT($E$3)=$E67)),INDIRECT(Y$3)))&lt;&gt;0,_xlpm.y=0),-2,_xlpm.x)))),0))</f>
        <v>0</v>
      </c>
      <c r="Z67" s="198" t="str">
        <f t="shared" ca="1" si="2"/>
        <v>Fback!B67:Y67</v>
      </c>
    </row>
    <row r="68" spans="2:26" ht="21" customHeight="1" outlineLevel="1">
      <c r="B68" s="128" t="str">
        <v>31200</v>
      </c>
      <c r="C68" s="128" t="str">
        <v>Sp</v>
      </c>
      <c r="D68" s="128">
        <v>15</v>
      </c>
      <c r="E68" s="128" t="str">
        <v>PEMX</v>
      </c>
      <c r="F68" s="139" t="str">
        <v>PLANT</v>
      </c>
      <c r="G68" s="139" t="str">
        <v>CurPpto</v>
      </c>
      <c r="H68" s="139" t="str">
        <v>G009:ASISTENCIA EN PLANTA CLIENTE</v>
      </c>
      <c r="I68" s="199" cm="1">
        <f t="array" aca="1" ref="I68" ca="1">IF(OR($B68="",$B68="X",$D68="",$D68="X",$E68="",$E68="X"),0,IFERROR(_xlfn.LET(_xlpm.x,SUM(SUM(_xlfn._xlws.FILTER(VALUE(PptoSty[Sign]&amp;1)*(1/PptoSty[Division]),(PptoSty[Division]&lt;&gt;0)*(PptoSty[Division]&lt;&gt;"")*(PptoSty[Division]&lt;&gt;"X")*(PptoSty[Project]=$B68)*(PptoSty[Vrs]=$D68)*(PptoSty[PiRow]=_xlfn.TEXTAFTER($H68,":"))*(PptoSty[PiColumn]=I$54),0)),SUM(IF((INDIRECT($B$3)=$B68)*(INDIRECT($C$3)=$D68)*((INDIRECT($E$3)="TOTS")+(INDIRECT($E$3)=$E68)),INDIRECT(I$3)))),_xlpm.y,SUM(_xlfn.CHOOSECOLS(_xlfn._xlws.FILTER(F_RT14[],(F_RT14[PrjId]=$B68)*(F_RT14[Vrs]=$D68)*(_xlfn.TEXTAFTER(F_RT14[ActGrp],":")=_xlfn.TEXTAFTER($H68,":")),"X"),MATCH("*"&amp;I$54,F_RT14[#Headers],0))),IF(AND(_xlpm.x=0,_xlpm.y&lt;&gt;0),-1,IF(AND(_xlpm.x&lt;&gt;0,_xlpm.y&lt;&gt;0),_xlpm.x,IF(AND(_xlpm.x-SUM(IF((INDIRECT($B$3)=$B68)*(INDIRECT($C$3)=$D68)*((INDIRECT($E$3)="TOTS")+(INDIRECT($E$3)=$E68)),INDIRECT(I$3)))&lt;&gt;0,_xlpm.y=0),-2,_xlpm.x)))),0))</f>
        <v>0</v>
      </c>
      <c r="J68" s="199" cm="1">
        <f t="array" aca="1" ref="J68" ca="1">IF(OR($B68="",$B68="X",$D68="",$D68="X",$E68="",$E68="X"),0,IFERROR(_xlfn.LET(_xlpm.x,SUM(SUM(_xlfn._xlws.FILTER(VALUE(PptoSty[Sign]&amp;1)*(1/PptoSty[Division]),(PptoSty[Division]&lt;&gt;0)*(PptoSty[Division]&lt;&gt;"")*(PptoSty[Division]&lt;&gt;"X")*(PptoSty[Project]=$B68)*(PptoSty[Vrs]=$D68)*(PptoSty[PiRow]=_xlfn.TEXTAFTER($H68,":"))*(PptoSty[PiColumn]=J$54),0)),SUM(IF((INDIRECT($B$3)=$B68)*(INDIRECT($C$3)=$D68)*((INDIRECT($E$3)="TOTS")+(INDIRECT($E$3)=$E68)),INDIRECT(J$3)))),_xlpm.y,SUM(_xlfn.CHOOSECOLS(_xlfn._xlws.FILTER(F_RT14[],(F_RT14[PrjId]=$B68)*(F_RT14[Vrs]=$D68)*(_xlfn.TEXTAFTER(F_RT14[ActGrp],":")=_xlfn.TEXTAFTER($H68,":")),"X"),MATCH("*"&amp;J$54,F_RT14[#Headers],0))),IF(AND(_xlpm.x=0,_xlpm.y&lt;&gt;0),-1,IF(AND(_xlpm.x&lt;&gt;0,_xlpm.y&lt;&gt;0),_xlpm.x,IF(AND(_xlpm.x-SUM(IF((INDIRECT($B$3)=$B68)*(INDIRECT($C$3)=$D68)*((INDIRECT($E$3)="TOTS")+(INDIRECT($E$3)=$E68)),INDIRECT(J$3)))&lt;&gt;0,_xlpm.y=0),-2,_xlpm.x)))),0))</f>
        <v>0</v>
      </c>
      <c r="K68" s="199" cm="1">
        <f t="array" aca="1" ref="K68" ca="1">IF(OR($B68="",$B68="X",$D68="",$D68="X",$E68="",$E68="X"),0,IFERROR(_xlfn.LET(_xlpm.x,SUM(SUM(_xlfn._xlws.FILTER(VALUE(PptoSty[Sign]&amp;1)*(1/PptoSty[Division]),(PptoSty[Division]&lt;&gt;0)*(PptoSty[Division]&lt;&gt;"")*(PptoSty[Division]&lt;&gt;"X")*(PptoSty[Project]=$B68)*(PptoSty[Vrs]=$D68)*(PptoSty[PiRow]=_xlfn.TEXTAFTER($H68,":"))*(PptoSty[PiColumn]=K$54),0)),SUM(IF((INDIRECT($B$3)=$B68)*(INDIRECT($C$3)=$D68)*((INDIRECT($E$3)="TOTS")+(INDIRECT($E$3)=$E68)),INDIRECT(K$3)))),_xlpm.y,SUM(_xlfn.CHOOSECOLS(_xlfn._xlws.FILTER(F_RT14[],(F_RT14[PrjId]=$B68)*(F_RT14[Vrs]=$D68)*(_xlfn.TEXTAFTER(F_RT14[ActGrp],":")=_xlfn.TEXTAFTER($H68,":")),"X"),MATCH("*"&amp;K$54,F_RT14[#Headers],0))),IF(AND(_xlpm.x=0,_xlpm.y&lt;&gt;0),-1,IF(AND(_xlpm.x&lt;&gt;0,_xlpm.y&lt;&gt;0),_xlpm.x,IF(AND(_xlpm.x-SUM(IF((INDIRECT($B$3)=$B68)*(INDIRECT($C$3)=$D68)*((INDIRECT($E$3)="TOTS")+(INDIRECT($E$3)=$E68)),INDIRECT(K$3)))&lt;&gt;0,_xlpm.y=0),-2,_xlpm.x)))),0))</f>
        <v>0</v>
      </c>
      <c r="L68" s="199" cm="1">
        <f t="array" aca="1" ref="L68" ca="1">IF(OR($B68="",$B68="X",$D68="",$D68="X",$E68="",$E68="X"),0,IFERROR(_xlfn.LET(_xlpm.x,SUM(SUM(_xlfn._xlws.FILTER(VALUE(PptoSty[Sign]&amp;1)*(1/PptoSty[Division]),(PptoSty[Division]&lt;&gt;0)*(PptoSty[Division]&lt;&gt;"")*(PptoSty[Division]&lt;&gt;"X")*(PptoSty[Project]=$B68)*(PptoSty[Vrs]=$D68)*(PptoSty[PiRow]=_xlfn.TEXTAFTER($H68,":"))*(PptoSty[PiColumn]=L$54),0)),SUM(IF((INDIRECT($B$3)=$B68)*(INDIRECT($C$3)=$D68)*((INDIRECT($E$3)="TOTS")+(INDIRECT($E$3)=$E68)),INDIRECT(L$3)))),_xlpm.y,SUM(_xlfn.CHOOSECOLS(_xlfn._xlws.FILTER(F_RT14[],(F_RT14[PrjId]=$B68)*(F_RT14[Vrs]=$D68)*(_xlfn.TEXTAFTER(F_RT14[ActGrp],":")=_xlfn.TEXTAFTER($H68,":")),"X"),MATCH("*"&amp;L$54,F_RT14[#Headers],0))),IF(AND(_xlpm.x=0,_xlpm.y&lt;&gt;0),-1,IF(AND(_xlpm.x&lt;&gt;0,_xlpm.y&lt;&gt;0),_xlpm.x,IF(AND(_xlpm.x-SUM(IF((INDIRECT($B$3)=$B68)*(INDIRECT($C$3)=$D68)*((INDIRECT($E$3)="TOTS")+(INDIRECT($E$3)=$E68)),INDIRECT(L$3)))&lt;&gt;0,_xlpm.y=0),-2,_xlpm.x)))),0))</f>
        <v>0</v>
      </c>
      <c r="M68" s="199" cm="1">
        <f t="array" aca="1" ref="M68" ca="1">IF(OR($B68="",$B68="X",$D68="",$D68="X",$E68="",$E68="X"),0,IFERROR(_xlfn.LET(_xlpm.x,SUM(SUM(_xlfn._xlws.FILTER(VALUE(PptoSty[Sign]&amp;1)*(1/PptoSty[Division]),(PptoSty[Division]&lt;&gt;0)*(PptoSty[Division]&lt;&gt;"")*(PptoSty[Division]&lt;&gt;"X")*(PptoSty[Project]=$B68)*(PptoSty[Vrs]=$D68)*(PptoSty[PiRow]=_xlfn.TEXTAFTER($H68,":"))*(PptoSty[PiColumn]=M$54),0)),SUM(IF((INDIRECT($B$3)=$B68)*(INDIRECT($C$3)=$D68)*((INDIRECT($E$3)="TOTS")+(INDIRECT($E$3)=$E68)),INDIRECT(M$3)))),_xlpm.y,SUM(_xlfn.CHOOSECOLS(_xlfn._xlws.FILTER(F_RT14[],(F_RT14[PrjId]=$B68)*(F_RT14[Vrs]=$D68)*(_xlfn.TEXTAFTER(F_RT14[ActGrp],":")=_xlfn.TEXTAFTER($H68,":")),"X"),MATCH("*"&amp;M$54,F_RT14[#Headers],0))),IF(AND(_xlpm.x=0,_xlpm.y&lt;&gt;0),-1,IF(AND(_xlpm.x&lt;&gt;0,_xlpm.y&lt;&gt;0),_xlpm.x,IF(AND(_xlpm.x-SUM(IF((INDIRECT($B$3)=$B68)*(INDIRECT($C$3)=$D68)*((INDIRECT($E$3)="TOTS")+(INDIRECT($E$3)=$E68)),INDIRECT(M$3)))&lt;&gt;0,_xlpm.y=0),-2,_xlpm.x)))),0))</f>
        <v>1</v>
      </c>
      <c r="N68" s="199" cm="1">
        <f t="array" aca="1" ref="N68" ca="1">IF(OR($B68="",$B68="X",$D68="",$D68="X",$E68="",$E68="X"),0,IFERROR(_xlfn.LET(_xlpm.x,SUM(SUM(_xlfn._xlws.FILTER(VALUE(PptoSty[Sign]&amp;1)*(1/PptoSty[Division]),(PptoSty[Division]&lt;&gt;0)*(PptoSty[Division]&lt;&gt;"")*(PptoSty[Division]&lt;&gt;"X")*(PptoSty[Project]=$B68)*(PptoSty[Vrs]=$D68)*(PptoSty[PiRow]=_xlfn.TEXTAFTER($H68,":"))*(PptoSty[PiColumn]=N$54),0)),SUM(IF((INDIRECT($B$3)=$B68)*(INDIRECT($C$3)=$D68)*((INDIRECT($E$3)="TOTS")+(INDIRECT($E$3)=$E68)),INDIRECT(N$3)))),_xlpm.y,SUM(_xlfn.CHOOSECOLS(_xlfn._xlws.FILTER(F_RT14[],(F_RT14[PrjId]=$B68)*(F_RT14[Vrs]=$D68)*(_xlfn.TEXTAFTER(F_RT14[ActGrp],":")=_xlfn.TEXTAFTER($H68,":")),"X"),MATCH("*"&amp;N$54,F_RT14[#Headers],0))),IF(AND(_xlpm.x=0,_xlpm.y&lt;&gt;0),-1,IF(AND(_xlpm.x&lt;&gt;0,_xlpm.y&lt;&gt;0),_xlpm.x,IF(AND(_xlpm.x-SUM(IF((INDIRECT($B$3)=$B68)*(INDIRECT($C$3)=$D68)*((INDIRECT($E$3)="TOTS")+(INDIRECT($E$3)=$E68)),INDIRECT(N$3)))&lt;&gt;0,_xlpm.y=0),-2,_xlpm.x)))),0))</f>
        <v>0</v>
      </c>
      <c r="O68" s="199" cm="1">
        <f t="array" aca="1" ref="O68" ca="1">IF(OR($B68="",$B68="X",$D68="",$D68="X",$E68="",$E68="X"),0,IFERROR(_xlfn.LET(_xlpm.x,SUM(SUM(_xlfn._xlws.FILTER(VALUE(PptoSty[Sign]&amp;1)*(1/PptoSty[Division]),(PptoSty[Division]&lt;&gt;0)*(PptoSty[Division]&lt;&gt;"")*(PptoSty[Division]&lt;&gt;"X")*(PptoSty[Project]=$B68)*(PptoSty[Vrs]=$D68)*(PptoSty[PiRow]=_xlfn.TEXTAFTER($H68,":"))*(PptoSty[PiColumn]=O$54),0)),SUM(IF((INDIRECT($B$3)=$B68)*(INDIRECT($C$3)=$D68)*((INDIRECT($E$3)="TOTS")+(INDIRECT($E$3)=$E68)),INDIRECT(O$3)))),_xlpm.y,SUM(_xlfn.CHOOSECOLS(_xlfn._xlws.FILTER(F_RT14[],(F_RT14[PrjId]=$B68)*(F_RT14[Vrs]=$D68)*(_xlfn.TEXTAFTER(F_RT14[ActGrp],":")=_xlfn.TEXTAFTER($H68,":")),"X"),MATCH("*"&amp;O$54,F_RT14[#Headers],0))),IF(AND(_xlpm.x=0,_xlpm.y&lt;&gt;0),-1,IF(AND(_xlpm.x&lt;&gt;0,_xlpm.y&lt;&gt;0),_xlpm.x,IF(AND(_xlpm.x-SUM(IF((INDIRECT($B$3)=$B68)*(INDIRECT($C$3)=$D68)*((INDIRECT($E$3)="TOTS")+(INDIRECT($E$3)=$E68)),INDIRECT(O$3)))&lt;&gt;0,_xlpm.y=0),-2,_xlpm.x)))),0))</f>
        <v>0</v>
      </c>
      <c r="P68" s="199" cm="1">
        <f t="array" aca="1" ref="P68" ca="1">IF(OR($B68="",$B68="X",$D68="",$D68="X",$E68="",$E68="X"),0,IFERROR(_xlfn.LET(_xlpm.x,SUM(SUM(_xlfn._xlws.FILTER(VALUE(PptoSty[Sign]&amp;1)*(1/PptoSty[Division]),(PptoSty[Division]&lt;&gt;0)*(PptoSty[Division]&lt;&gt;"")*(PptoSty[Division]&lt;&gt;"X")*(PptoSty[Project]=$B68)*(PptoSty[Vrs]=$D68)*(PptoSty[PiRow]=_xlfn.TEXTAFTER($H68,":"))*(PptoSty[PiColumn]=P$54),0)),SUM(IF((INDIRECT($B$3)=$B68)*(INDIRECT($C$3)=$D68)*((INDIRECT($E$3)="TOTS")+(INDIRECT($E$3)=$E68)),INDIRECT(P$3)))),_xlpm.y,SUM(_xlfn.CHOOSECOLS(_xlfn._xlws.FILTER(F_RT14[],(F_RT14[PrjId]=$B68)*(F_RT14[Vrs]=$D68)*(_xlfn.TEXTAFTER(F_RT14[ActGrp],":")=_xlfn.TEXTAFTER($H68,":")),"X"),MATCH("*"&amp;P$54,F_RT14[#Headers],0))),IF(AND(_xlpm.x=0,_xlpm.y&lt;&gt;0),-1,IF(AND(_xlpm.x&lt;&gt;0,_xlpm.y&lt;&gt;0),_xlpm.x,IF(AND(_xlpm.x-SUM(IF((INDIRECT($B$3)=$B68)*(INDIRECT($C$3)=$D68)*((INDIRECT($E$3)="TOTS")+(INDIRECT($E$3)=$E68)),INDIRECT(P$3)))&lt;&gt;0,_xlpm.y=0),-2,_xlpm.x)))),0))</f>
        <v>0</v>
      </c>
      <c r="Q68" s="199" cm="1">
        <f t="array" aca="1" ref="Q68" ca="1">IF(OR($B68="",$B68="X",$D68="",$D68="X",$E68="",$E68="X"),0,IFERROR(_xlfn.LET(_xlpm.x,SUM(SUM(_xlfn._xlws.FILTER(VALUE(PptoSty[Sign]&amp;1)*(1/PptoSty[Division]),(PptoSty[Division]&lt;&gt;0)*(PptoSty[Division]&lt;&gt;"")*(PptoSty[Division]&lt;&gt;"X")*(PptoSty[Project]=$B68)*(PptoSty[Vrs]=$D68)*(PptoSty[PiRow]=_xlfn.TEXTAFTER($H68,":"))*(PptoSty[PiColumn]=Q$54),0)),SUM(IF((INDIRECT($B$3)=$B68)*(INDIRECT($C$3)=$D68)*((INDIRECT($E$3)="TOTS")+(INDIRECT($E$3)=$E68)),INDIRECT(Q$3)))),_xlpm.y,SUM(_xlfn.CHOOSECOLS(_xlfn._xlws.FILTER(F_RT14[],(F_RT14[PrjId]=$B68)*(F_RT14[Vrs]=$D68)*(_xlfn.TEXTAFTER(F_RT14[ActGrp],":")=_xlfn.TEXTAFTER($H68,":")),"X"),MATCH("*"&amp;Q$54,F_RT14[#Headers],0))),IF(AND(_xlpm.x=0,_xlpm.y&lt;&gt;0),-1,IF(AND(_xlpm.x&lt;&gt;0,_xlpm.y&lt;&gt;0),_xlpm.x,IF(AND(_xlpm.x-SUM(IF((INDIRECT($B$3)=$B68)*(INDIRECT($C$3)=$D68)*((INDIRECT($E$3)="TOTS")+(INDIRECT($E$3)=$E68)),INDIRECT(Q$3)))&lt;&gt;0,_xlpm.y=0),-2,_xlpm.x)))),0))</f>
        <v>-1</v>
      </c>
      <c r="R68" s="199" cm="1">
        <f t="array" aca="1" ref="R68" ca="1">IF(OR($B68="",$B68="X",$D68="",$D68="X",$E68="",$E68="X"),0,IFERROR(_xlfn.LET(_xlpm.x,SUM(SUM(_xlfn._xlws.FILTER(VALUE(PptoSty[Sign]&amp;1)*(1/PptoSty[Division]),(PptoSty[Division]&lt;&gt;0)*(PptoSty[Division]&lt;&gt;"")*(PptoSty[Division]&lt;&gt;"X")*(PptoSty[Project]=$B68)*(PptoSty[Vrs]=$D68)*(PptoSty[PiRow]=_xlfn.TEXTAFTER($H68,":"))*(PptoSty[PiColumn]=R$54),0)),SUM(IF((INDIRECT($B$3)=$B68)*(INDIRECT($C$3)=$D68)*((INDIRECT($E$3)="TOTS")+(INDIRECT($E$3)=$E68)),INDIRECT(R$3)))),_xlpm.y,SUM(_xlfn.CHOOSECOLS(_xlfn._xlws.FILTER(F_RT14[],(F_RT14[PrjId]=$B68)*(F_RT14[Vrs]=$D68)*(_xlfn.TEXTAFTER(F_RT14[ActGrp],":")=_xlfn.TEXTAFTER($H68,":")),"X"),MATCH("*"&amp;R$54,F_RT14[#Headers],0))),IF(AND(_xlpm.x=0,_xlpm.y&lt;&gt;0),-1,IF(AND(_xlpm.x&lt;&gt;0,_xlpm.y&lt;&gt;0),_xlpm.x,IF(AND(_xlpm.x-SUM(IF((INDIRECT($B$3)=$B68)*(INDIRECT($C$3)=$D68)*((INDIRECT($E$3)="TOTS")+(INDIRECT($E$3)=$E68)),INDIRECT(R$3)))&lt;&gt;0,_xlpm.y=0),-2,_xlpm.x)))),0))</f>
        <v>0</v>
      </c>
      <c r="S68" s="199" cm="1">
        <f t="array" aca="1" ref="S68" ca="1">IF(OR($B68="",$B68="X",$D68="",$D68="X",$E68="",$E68="X"),0,IFERROR(_xlfn.LET(_xlpm.x,SUM(SUM(_xlfn._xlws.FILTER(VALUE(PptoSty[Sign]&amp;1)*(1/PptoSty[Division]),(PptoSty[Division]&lt;&gt;0)*(PptoSty[Division]&lt;&gt;"")*(PptoSty[Division]&lt;&gt;"X")*(PptoSty[Project]=$B68)*(PptoSty[Vrs]=$D68)*(PptoSty[PiRow]=_xlfn.TEXTAFTER($H68,":"))*(PptoSty[PiColumn]=S$54),0)),SUM(IF((INDIRECT($B$3)=$B68)*(INDIRECT($C$3)=$D68)*((INDIRECT($E$3)="TOTS")+(INDIRECT($E$3)=$E68)),INDIRECT(S$3)))),_xlpm.y,SUM(_xlfn.CHOOSECOLS(_xlfn._xlws.FILTER(F_RT14[],(F_RT14[PrjId]=$B68)*(F_RT14[Vrs]=$D68)*(_xlfn.TEXTAFTER(F_RT14[ActGrp],":")=_xlfn.TEXTAFTER($H68,":")),"X"),MATCH("*"&amp;S$54,F_RT14[#Headers],0))),IF(AND(_xlpm.x=0,_xlpm.y&lt;&gt;0),-1,IF(AND(_xlpm.x&lt;&gt;0,_xlpm.y&lt;&gt;0),_xlpm.x,IF(AND(_xlpm.x-SUM(IF((INDIRECT($B$3)=$B68)*(INDIRECT($C$3)=$D68)*((INDIRECT($E$3)="TOTS")+(INDIRECT($E$3)=$E68)),INDIRECT(S$3)))&lt;&gt;0,_xlpm.y=0),-2,_xlpm.x)))),0))</f>
        <v>0</v>
      </c>
      <c r="T68" s="199" cm="1">
        <f t="array" aca="1" ref="T68" ca="1">IF(OR($B68="",$B68="X",$D68="",$D68="X",$E68="",$E68="X"),0,IFERROR(_xlfn.LET(_xlpm.x,SUM(SUM(_xlfn._xlws.FILTER(VALUE(PptoSty[Sign]&amp;1)*(1/PptoSty[Division]),(PptoSty[Division]&lt;&gt;0)*(PptoSty[Division]&lt;&gt;"")*(PptoSty[Division]&lt;&gt;"X")*(PptoSty[Project]=$B68)*(PptoSty[Vrs]=$D68)*(PptoSty[PiRow]=_xlfn.TEXTAFTER($H68,":"))*(PptoSty[PiColumn]=T$54),0)),SUM(IF((INDIRECT($B$3)=$B68)*(INDIRECT($C$3)=$D68)*((INDIRECT($E$3)="TOTS")+(INDIRECT($E$3)=$E68)),INDIRECT(T$3)))),_xlpm.y,SUM(_xlfn.CHOOSECOLS(_xlfn._xlws.FILTER(F_RT14[],(F_RT14[PrjId]=$B68)*(F_RT14[Vrs]=$D68)*(_xlfn.TEXTAFTER(F_RT14[ActGrp],":")=_xlfn.TEXTAFTER($H68,":")),"X"),MATCH("*"&amp;T$54,F_RT14[#Headers],0))),IF(AND(_xlpm.x=0,_xlpm.y&lt;&gt;0),-1,IF(AND(_xlpm.x&lt;&gt;0,_xlpm.y&lt;&gt;0),_xlpm.x,IF(AND(_xlpm.x-SUM(IF((INDIRECT($B$3)=$B68)*(INDIRECT($C$3)=$D68)*((INDIRECT($E$3)="TOTS")+(INDIRECT($E$3)=$E68)),INDIRECT(T$3)))&lt;&gt;0,_xlpm.y=0),-2,_xlpm.x)))),0))</f>
        <v>0</v>
      </c>
      <c r="U68" s="199" cm="1">
        <f t="array" aca="1" ref="U68" ca="1">IF(OR($B68="",$B68="X",$D68="",$D68="X",$E68="",$E68="X"),0,IFERROR(_xlfn.LET(_xlpm.x,SUM(SUM(_xlfn._xlws.FILTER(VALUE(PptoSty[Sign]&amp;1)*(1/PptoSty[Division]),(PptoSty[Division]&lt;&gt;0)*(PptoSty[Division]&lt;&gt;"")*(PptoSty[Division]&lt;&gt;"X")*(PptoSty[Project]=$B68)*(PptoSty[Vrs]=$D68)*(PptoSty[PiRow]=_xlfn.TEXTAFTER($H68,":"))*(PptoSty[PiColumn]=U$54),0)),SUM(IF((INDIRECT($B$3)=$B68)*(INDIRECT($C$3)=$D68)*((INDIRECT($E$3)="TOTS")+(INDIRECT($E$3)=$E68)),INDIRECT(U$3)))),_xlpm.y,SUM(_xlfn.CHOOSECOLS(_xlfn._xlws.FILTER(F_RT14[],(F_RT14[PrjId]=$B68)*(F_RT14[Vrs]=$D68)*(_xlfn.TEXTAFTER(F_RT14[ActGrp],":")=_xlfn.TEXTAFTER($H68,":")),"X"),MATCH("*"&amp;U$54,F_RT14[#Headers],0))),IF(AND(_xlpm.x=0,_xlpm.y&lt;&gt;0),-1,IF(AND(_xlpm.x&lt;&gt;0,_xlpm.y&lt;&gt;0),_xlpm.x,IF(AND(_xlpm.x-SUM(IF((INDIRECT($B$3)=$B68)*(INDIRECT($C$3)=$D68)*((INDIRECT($E$3)="TOTS")+(INDIRECT($E$3)=$E68)),INDIRECT(U$3)))&lt;&gt;0,_xlpm.y=0),-2,_xlpm.x)))),0))</f>
        <v>0</v>
      </c>
      <c r="V68" s="199" cm="1">
        <f t="array" aca="1" ref="V68" ca="1">IF(OR($B68="",$B68="X",$D68="",$D68="X",$E68="",$E68="X"),0,IFERROR(_xlfn.LET(_xlpm.x,SUM(SUM(_xlfn._xlws.FILTER(VALUE(PptoSty[Sign]&amp;1)*(1/PptoSty[Division]),(PptoSty[Division]&lt;&gt;0)*(PptoSty[Division]&lt;&gt;"")*(PptoSty[Division]&lt;&gt;"X")*(PptoSty[Project]=$B68)*(PptoSty[Vrs]=$D68)*(PptoSty[PiRow]=_xlfn.TEXTAFTER($H68,":"))*(PptoSty[PiColumn]=V$54),0)),SUM(IF((INDIRECT($B$3)=$B68)*(INDIRECT($C$3)=$D68)*((INDIRECT($E$3)="TOTS")+(INDIRECT($E$3)=$E68)),INDIRECT(V$3)))),_xlpm.y,SUM(_xlfn.CHOOSECOLS(_xlfn._xlws.FILTER(F_RT14[],(F_RT14[PrjId]=$B68)*(F_RT14[Vrs]=$D68)*(_xlfn.TEXTAFTER(F_RT14[ActGrp],":")=_xlfn.TEXTAFTER($H68,":")),"X"),MATCH("*"&amp;V$54,F_RT14[#Headers],0))),IF(AND(_xlpm.x=0,_xlpm.y&lt;&gt;0),-1,IF(AND(_xlpm.x&lt;&gt;0,_xlpm.y&lt;&gt;0),_xlpm.x,IF(AND(_xlpm.x-SUM(IF((INDIRECT($B$3)=$B68)*(INDIRECT($C$3)=$D68)*((INDIRECT($E$3)="TOTS")+(INDIRECT($E$3)=$E68)),INDIRECT(V$3)))&lt;&gt;0,_xlpm.y=0),-2,_xlpm.x)))),0))</f>
        <v>0</v>
      </c>
      <c r="W68" s="199" cm="1">
        <f t="array" aca="1" ref="W68" ca="1">IF(OR($B68="",$B68="X",$D68="",$D68="X",$E68="",$E68="X"),0,IFERROR(_xlfn.LET(_xlpm.x,SUM(SUM(_xlfn._xlws.FILTER(VALUE(PptoSty[Sign]&amp;1)*(1/PptoSty[Division]),(PptoSty[Division]&lt;&gt;0)*(PptoSty[Division]&lt;&gt;"")*(PptoSty[Division]&lt;&gt;"X")*(PptoSty[Project]=$B68)*(PptoSty[Vrs]=$D68)*(PptoSty[PiRow]=_xlfn.TEXTAFTER($H68,":"))*(PptoSty[PiColumn]=W$54),0)),SUM(IF((INDIRECT($B$3)=$B68)*(INDIRECT($C$3)=$D68)*((INDIRECT($E$3)="TOTS")+(INDIRECT($E$3)=$E68)),INDIRECT(W$3)))),_xlpm.y,SUM(_xlfn.CHOOSECOLS(_xlfn._xlws.FILTER(F_RT14[],(F_RT14[PrjId]=$B68)*(F_RT14[Vrs]=$D68)*(_xlfn.TEXTAFTER(F_RT14[ActGrp],":")=_xlfn.TEXTAFTER($H68,":")),"X"),MATCH("*"&amp;W$54,F_RT14[#Headers],0))),IF(AND(_xlpm.x=0,_xlpm.y&lt;&gt;0),-1,IF(AND(_xlpm.x&lt;&gt;0,_xlpm.y&lt;&gt;0),_xlpm.x,IF(AND(_xlpm.x-SUM(IF((INDIRECT($B$3)=$B68)*(INDIRECT($C$3)=$D68)*((INDIRECT($E$3)="TOTS")+(INDIRECT($E$3)=$E68)),INDIRECT(W$3)))&lt;&gt;0,_xlpm.y=0),-2,_xlpm.x)))),0))</f>
        <v>0</v>
      </c>
      <c r="X68" s="199" cm="1">
        <f t="array" aca="1" ref="X68" ca="1">IF(OR($B68="",$B68="X",$D68="",$D68="X",$E68="",$E68="X"),0,IFERROR(_xlfn.LET(_xlpm.x,SUM(SUM(_xlfn._xlws.FILTER(VALUE(PptoSty[Sign]&amp;1)*(1/PptoSty[Division]),(PptoSty[Division]&lt;&gt;0)*(PptoSty[Division]&lt;&gt;"")*(PptoSty[Division]&lt;&gt;"X")*(PptoSty[Project]=$B68)*(PptoSty[Vrs]=$D68)*(PptoSty[PiRow]=_xlfn.TEXTAFTER($H68,":"))*(PptoSty[PiColumn]=X$54),0)),SUM(IF((INDIRECT($B$3)=$B68)*(INDIRECT($C$3)=$D68)*((INDIRECT($E$3)="TOTS")+(INDIRECT($E$3)=$E68)),INDIRECT(X$3)))),_xlpm.y,SUM(_xlfn.CHOOSECOLS(_xlfn._xlws.FILTER(F_RT14[],(F_RT14[PrjId]=$B68)*(F_RT14[Vrs]=$D68)*(_xlfn.TEXTAFTER(F_RT14[ActGrp],":")=_xlfn.TEXTAFTER($H68,":")),"X"),MATCH("*"&amp;X$54,F_RT14[#Headers],0))),IF(AND(_xlpm.x=0,_xlpm.y&lt;&gt;0),-1,IF(AND(_xlpm.x&lt;&gt;0,_xlpm.y&lt;&gt;0),_xlpm.x,IF(AND(_xlpm.x-SUM(IF((INDIRECT($B$3)=$B68)*(INDIRECT($C$3)=$D68)*((INDIRECT($E$3)="TOTS")+(INDIRECT($E$3)=$E68)),INDIRECT(X$3)))&lt;&gt;0,_xlpm.y=0),-2,_xlpm.x)))),0))</f>
        <v>0</v>
      </c>
      <c r="Y68" s="199" cm="1">
        <f t="array" aca="1" ref="Y68" ca="1">IF(OR($B68="",$B68="X",$D68="",$D68="X",$E68="",$E68="X"),0,IFERROR(_xlfn.LET(_xlpm.x,SUM(SUM(_xlfn._xlws.FILTER(VALUE(PptoSty[Sign]&amp;1)*(1/PptoSty[Division]),(PptoSty[Division]&lt;&gt;0)*(PptoSty[Division]&lt;&gt;"")*(PptoSty[Division]&lt;&gt;"X")*(PptoSty[Project]=$B68)*(PptoSty[Vrs]=$D68)*(PptoSty[PiRow]=_xlfn.TEXTAFTER($H68,":"))*(PptoSty[PiColumn]=Y$54),0)),SUM(IF((INDIRECT($B$3)=$B68)*(INDIRECT($C$3)=$D68)*((INDIRECT($E$3)="TOTS")+(INDIRECT($E$3)=$E68)),INDIRECT(Y$3)))),_xlpm.y,SUM(_xlfn.CHOOSECOLS(_xlfn._xlws.FILTER(F_RT14[],(F_RT14[PrjId]=$B68)*(F_RT14[Vrs]=$D68)*(_xlfn.TEXTAFTER(F_RT14[ActGrp],":")=_xlfn.TEXTAFTER($H68,":")),"X"),MATCH("*"&amp;Y$54,F_RT14[#Headers],0))),IF(AND(_xlpm.x=0,_xlpm.y&lt;&gt;0),-1,IF(AND(_xlpm.x&lt;&gt;0,_xlpm.y&lt;&gt;0),_xlpm.x,IF(AND(_xlpm.x-SUM(IF((INDIRECT($B$3)=$B68)*(INDIRECT($C$3)=$D68)*((INDIRECT($E$3)="TOTS")+(INDIRECT($E$3)=$E68)),INDIRECT(Y$3)))&lt;&gt;0,_xlpm.y=0),-2,_xlpm.x)))),0))</f>
        <v>0</v>
      </c>
      <c r="Z68" s="198" t="str">
        <f t="shared" ca="1" si="2"/>
        <v>Fback!B68:Y68</v>
      </c>
    </row>
    <row r="69" spans="2:26" ht="21" customHeight="1" outlineLevel="1">
      <c r="B69" s="128" t="str">
        <v>31199</v>
      </c>
      <c r="C69" s="128" t="str">
        <v>Sp</v>
      </c>
      <c r="D69" s="128">
        <v>0</v>
      </c>
      <c r="E69" s="128" t="str">
        <v>PEMX</v>
      </c>
      <c r="F69" s="139" t="str">
        <v>PLANT</v>
      </c>
      <c r="G69" s="139" t="str">
        <v>CurPpto</v>
      </c>
      <c r="H69" s="139" t="str">
        <v>G009:ASISTENCIA EN PLANTA CLIENTE</v>
      </c>
      <c r="I69" s="199" cm="1">
        <f t="array" aca="1" ref="I69" ca="1">IF(OR($B69="",$B69="X",$D69="",$D69="X",$E69="",$E69="X"),0,IFERROR(_xlfn.LET(_xlpm.x,SUM(SUM(_xlfn._xlws.FILTER(VALUE(PptoSty[Sign]&amp;1)*(1/PptoSty[Division]),(PptoSty[Division]&lt;&gt;0)*(PptoSty[Division]&lt;&gt;"")*(PptoSty[Division]&lt;&gt;"X")*(PptoSty[Project]=$B69)*(PptoSty[Vrs]=$D69)*(PptoSty[PiRow]=_xlfn.TEXTAFTER($H69,":"))*(PptoSty[PiColumn]=I$54),0)),SUM(IF((INDIRECT($B$3)=$B69)*(INDIRECT($C$3)=$D69)*((INDIRECT($E$3)="TOTS")+(INDIRECT($E$3)=$E69)),INDIRECT(I$3)))),_xlpm.y,SUM(_xlfn.CHOOSECOLS(_xlfn._xlws.FILTER(F_RT14[],(F_RT14[PrjId]=$B69)*(F_RT14[Vrs]=$D69)*(_xlfn.TEXTAFTER(F_RT14[ActGrp],":")=_xlfn.TEXTAFTER($H69,":")),"X"),MATCH("*"&amp;I$54,F_RT14[#Headers],0))),IF(AND(_xlpm.x=0,_xlpm.y&lt;&gt;0),-1,IF(AND(_xlpm.x&lt;&gt;0,_xlpm.y&lt;&gt;0),_xlpm.x,IF(AND(_xlpm.x-SUM(IF((INDIRECT($B$3)=$B69)*(INDIRECT($C$3)=$D69)*((INDIRECT($E$3)="TOTS")+(INDIRECT($E$3)=$E69)),INDIRECT(I$3)))&lt;&gt;0,_xlpm.y=0),-2,_xlpm.x)))),0))</f>
        <v>0</v>
      </c>
      <c r="J69" s="199" cm="1">
        <f t="array" aca="1" ref="J69" ca="1">IF(OR($B69="",$B69="X",$D69="",$D69="X",$E69="",$E69="X"),0,IFERROR(_xlfn.LET(_xlpm.x,SUM(SUM(_xlfn._xlws.FILTER(VALUE(PptoSty[Sign]&amp;1)*(1/PptoSty[Division]),(PptoSty[Division]&lt;&gt;0)*(PptoSty[Division]&lt;&gt;"")*(PptoSty[Division]&lt;&gt;"X")*(PptoSty[Project]=$B69)*(PptoSty[Vrs]=$D69)*(PptoSty[PiRow]=_xlfn.TEXTAFTER($H69,":"))*(PptoSty[PiColumn]=J$54),0)),SUM(IF((INDIRECT($B$3)=$B69)*(INDIRECT($C$3)=$D69)*((INDIRECT($E$3)="TOTS")+(INDIRECT($E$3)=$E69)),INDIRECT(J$3)))),_xlpm.y,SUM(_xlfn.CHOOSECOLS(_xlfn._xlws.FILTER(F_RT14[],(F_RT14[PrjId]=$B69)*(F_RT14[Vrs]=$D69)*(_xlfn.TEXTAFTER(F_RT14[ActGrp],":")=_xlfn.TEXTAFTER($H69,":")),"X"),MATCH("*"&amp;J$54,F_RT14[#Headers],0))),IF(AND(_xlpm.x=0,_xlpm.y&lt;&gt;0),-1,IF(AND(_xlpm.x&lt;&gt;0,_xlpm.y&lt;&gt;0),_xlpm.x,IF(AND(_xlpm.x-SUM(IF((INDIRECT($B$3)=$B69)*(INDIRECT($C$3)=$D69)*((INDIRECT($E$3)="TOTS")+(INDIRECT($E$3)=$E69)),INDIRECT(J$3)))&lt;&gt;0,_xlpm.y=0),-2,_xlpm.x)))),0))</f>
        <v>0</v>
      </c>
      <c r="K69" s="199" cm="1">
        <f t="array" aca="1" ref="K69" ca="1">IF(OR($B69="",$B69="X",$D69="",$D69="X",$E69="",$E69="X"),0,IFERROR(_xlfn.LET(_xlpm.x,SUM(SUM(_xlfn._xlws.FILTER(VALUE(PptoSty[Sign]&amp;1)*(1/PptoSty[Division]),(PptoSty[Division]&lt;&gt;0)*(PptoSty[Division]&lt;&gt;"")*(PptoSty[Division]&lt;&gt;"X")*(PptoSty[Project]=$B69)*(PptoSty[Vrs]=$D69)*(PptoSty[PiRow]=_xlfn.TEXTAFTER($H69,":"))*(PptoSty[PiColumn]=K$54),0)),SUM(IF((INDIRECT($B$3)=$B69)*(INDIRECT($C$3)=$D69)*((INDIRECT($E$3)="TOTS")+(INDIRECT($E$3)=$E69)),INDIRECT(K$3)))),_xlpm.y,SUM(_xlfn.CHOOSECOLS(_xlfn._xlws.FILTER(F_RT14[],(F_RT14[PrjId]=$B69)*(F_RT14[Vrs]=$D69)*(_xlfn.TEXTAFTER(F_RT14[ActGrp],":")=_xlfn.TEXTAFTER($H69,":")),"X"),MATCH("*"&amp;K$54,F_RT14[#Headers],0))),IF(AND(_xlpm.x=0,_xlpm.y&lt;&gt;0),-1,IF(AND(_xlpm.x&lt;&gt;0,_xlpm.y&lt;&gt;0),_xlpm.x,IF(AND(_xlpm.x-SUM(IF((INDIRECT($B$3)=$B69)*(INDIRECT($C$3)=$D69)*((INDIRECT($E$3)="TOTS")+(INDIRECT($E$3)=$E69)),INDIRECT(K$3)))&lt;&gt;0,_xlpm.y=0),-2,_xlpm.x)))),0))</f>
        <v>0</v>
      </c>
      <c r="L69" s="199" cm="1">
        <f t="array" aca="1" ref="L69" ca="1">IF(OR($B69="",$B69="X",$D69="",$D69="X",$E69="",$E69="X"),0,IFERROR(_xlfn.LET(_xlpm.x,SUM(SUM(_xlfn._xlws.FILTER(VALUE(PptoSty[Sign]&amp;1)*(1/PptoSty[Division]),(PptoSty[Division]&lt;&gt;0)*(PptoSty[Division]&lt;&gt;"")*(PptoSty[Division]&lt;&gt;"X")*(PptoSty[Project]=$B69)*(PptoSty[Vrs]=$D69)*(PptoSty[PiRow]=_xlfn.TEXTAFTER($H69,":"))*(PptoSty[PiColumn]=L$54),0)),SUM(IF((INDIRECT($B$3)=$B69)*(INDIRECT($C$3)=$D69)*((INDIRECT($E$3)="TOTS")+(INDIRECT($E$3)=$E69)),INDIRECT(L$3)))),_xlpm.y,SUM(_xlfn.CHOOSECOLS(_xlfn._xlws.FILTER(F_RT14[],(F_RT14[PrjId]=$B69)*(F_RT14[Vrs]=$D69)*(_xlfn.TEXTAFTER(F_RT14[ActGrp],":")=_xlfn.TEXTAFTER($H69,":")),"X"),MATCH("*"&amp;L$54,F_RT14[#Headers],0))),IF(AND(_xlpm.x=0,_xlpm.y&lt;&gt;0),-1,IF(AND(_xlpm.x&lt;&gt;0,_xlpm.y&lt;&gt;0),_xlpm.x,IF(AND(_xlpm.x-SUM(IF((INDIRECT($B$3)=$B69)*(INDIRECT($C$3)=$D69)*((INDIRECT($E$3)="TOTS")+(INDIRECT($E$3)=$E69)),INDIRECT(L$3)))&lt;&gt;0,_xlpm.y=0),-2,_xlpm.x)))),0))</f>
        <v>0</v>
      </c>
      <c r="M69" s="199" cm="1">
        <f t="array" aca="1" ref="M69" ca="1">IF(OR($B69="",$B69="X",$D69="",$D69="X",$E69="",$E69="X"),0,IFERROR(_xlfn.LET(_xlpm.x,SUM(SUM(_xlfn._xlws.FILTER(VALUE(PptoSty[Sign]&amp;1)*(1/PptoSty[Division]),(PptoSty[Division]&lt;&gt;0)*(PptoSty[Division]&lt;&gt;"")*(PptoSty[Division]&lt;&gt;"X")*(PptoSty[Project]=$B69)*(PptoSty[Vrs]=$D69)*(PptoSty[PiRow]=_xlfn.TEXTAFTER($H69,":"))*(PptoSty[PiColumn]=M$54),0)),SUM(IF((INDIRECT($B$3)=$B69)*(INDIRECT($C$3)=$D69)*((INDIRECT($E$3)="TOTS")+(INDIRECT($E$3)=$E69)),INDIRECT(M$3)))),_xlpm.y,SUM(_xlfn.CHOOSECOLS(_xlfn._xlws.FILTER(F_RT14[],(F_RT14[PrjId]=$B69)*(F_RT14[Vrs]=$D69)*(_xlfn.TEXTAFTER(F_RT14[ActGrp],":")=_xlfn.TEXTAFTER($H69,":")),"X"),MATCH("*"&amp;M$54,F_RT14[#Headers],0))),IF(AND(_xlpm.x=0,_xlpm.y&lt;&gt;0),-1,IF(AND(_xlpm.x&lt;&gt;0,_xlpm.y&lt;&gt;0),_xlpm.x,IF(AND(_xlpm.x-SUM(IF((INDIRECT($B$3)=$B69)*(INDIRECT($C$3)=$D69)*((INDIRECT($E$3)="TOTS")+(INDIRECT($E$3)=$E69)),INDIRECT(M$3)))&lt;&gt;0,_xlpm.y=0),-2,_xlpm.x)))),0))</f>
        <v>0</v>
      </c>
      <c r="N69" s="199" cm="1">
        <f t="array" aca="1" ref="N69" ca="1">IF(OR($B69="",$B69="X",$D69="",$D69="X",$E69="",$E69="X"),0,IFERROR(_xlfn.LET(_xlpm.x,SUM(SUM(_xlfn._xlws.FILTER(VALUE(PptoSty[Sign]&amp;1)*(1/PptoSty[Division]),(PptoSty[Division]&lt;&gt;0)*(PptoSty[Division]&lt;&gt;"")*(PptoSty[Division]&lt;&gt;"X")*(PptoSty[Project]=$B69)*(PptoSty[Vrs]=$D69)*(PptoSty[PiRow]=_xlfn.TEXTAFTER($H69,":"))*(PptoSty[PiColumn]=N$54),0)),SUM(IF((INDIRECT($B$3)=$B69)*(INDIRECT($C$3)=$D69)*((INDIRECT($E$3)="TOTS")+(INDIRECT($E$3)=$E69)),INDIRECT(N$3)))),_xlpm.y,SUM(_xlfn.CHOOSECOLS(_xlfn._xlws.FILTER(F_RT14[],(F_RT14[PrjId]=$B69)*(F_RT14[Vrs]=$D69)*(_xlfn.TEXTAFTER(F_RT14[ActGrp],":")=_xlfn.TEXTAFTER($H69,":")),"X"),MATCH("*"&amp;N$54,F_RT14[#Headers],0))),IF(AND(_xlpm.x=0,_xlpm.y&lt;&gt;0),-1,IF(AND(_xlpm.x&lt;&gt;0,_xlpm.y&lt;&gt;0),_xlpm.x,IF(AND(_xlpm.x-SUM(IF((INDIRECT($B$3)=$B69)*(INDIRECT($C$3)=$D69)*((INDIRECT($E$3)="TOTS")+(INDIRECT($E$3)=$E69)),INDIRECT(N$3)))&lt;&gt;0,_xlpm.y=0),-2,_xlpm.x)))),0))</f>
        <v>0</v>
      </c>
      <c r="O69" s="199" cm="1">
        <f t="array" aca="1" ref="O69" ca="1">IF(OR($B69="",$B69="X",$D69="",$D69="X",$E69="",$E69="X"),0,IFERROR(_xlfn.LET(_xlpm.x,SUM(SUM(_xlfn._xlws.FILTER(VALUE(PptoSty[Sign]&amp;1)*(1/PptoSty[Division]),(PptoSty[Division]&lt;&gt;0)*(PptoSty[Division]&lt;&gt;"")*(PptoSty[Division]&lt;&gt;"X")*(PptoSty[Project]=$B69)*(PptoSty[Vrs]=$D69)*(PptoSty[PiRow]=_xlfn.TEXTAFTER($H69,":"))*(PptoSty[PiColumn]=O$54),0)),SUM(IF((INDIRECT($B$3)=$B69)*(INDIRECT($C$3)=$D69)*((INDIRECT($E$3)="TOTS")+(INDIRECT($E$3)=$E69)),INDIRECT(O$3)))),_xlpm.y,SUM(_xlfn.CHOOSECOLS(_xlfn._xlws.FILTER(F_RT14[],(F_RT14[PrjId]=$B69)*(F_RT14[Vrs]=$D69)*(_xlfn.TEXTAFTER(F_RT14[ActGrp],":")=_xlfn.TEXTAFTER($H69,":")),"X"),MATCH("*"&amp;O$54,F_RT14[#Headers],0))),IF(AND(_xlpm.x=0,_xlpm.y&lt;&gt;0),-1,IF(AND(_xlpm.x&lt;&gt;0,_xlpm.y&lt;&gt;0),_xlpm.x,IF(AND(_xlpm.x-SUM(IF((INDIRECT($B$3)=$B69)*(INDIRECT($C$3)=$D69)*((INDIRECT($E$3)="TOTS")+(INDIRECT($E$3)=$E69)),INDIRECT(O$3)))&lt;&gt;0,_xlpm.y=0),-2,_xlpm.x)))),0))</f>
        <v>1</v>
      </c>
      <c r="P69" s="199" cm="1">
        <f t="array" aca="1" ref="P69" ca="1">IF(OR($B69="",$B69="X",$D69="",$D69="X",$E69="",$E69="X"),0,IFERROR(_xlfn.LET(_xlpm.x,SUM(SUM(_xlfn._xlws.FILTER(VALUE(PptoSty[Sign]&amp;1)*(1/PptoSty[Division]),(PptoSty[Division]&lt;&gt;0)*(PptoSty[Division]&lt;&gt;"")*(PptoSty[Division]&lt;&gt;"X")*(PptoSty[Project]=$B69)*(PptoSty[Vrs]=$D69)*(PptoSty[PiRow]=_xlfn.TEXTAFTER($H69,":"))*(PptoSty[PiColumn]=P$54),0)),SUM(IF((INDIRECT($B$3)=$B69)*(INDIRECT($C$3)=$D69)*((INDIRECT($E$3)="TOTS")+(INDIRECT($E$3)=$E69)),INDIRECT(P$3)))),_xlpm.y,SUM(_xlfn.CHOOSECOLS(_xlfn._xlws.FILTER(F_RT14[],(F_RT14[PrjId]=$B69)*(F_RT14[Vrs]=$D69)*(_xlfn.TEXTAFTER(F_RT14[ActGrp],":")=_xlfn.TEXTAFTER($H69,":")),"X"),MATCH("*"&amp;P$54,F_RT14[#Headers],0))),IF(AND(_xlpm.x=0,_xlpm.y&lt;&gt;0),-1,IF(AND(_xlpm.x&lt;&gt;0,_xlpm.y&lt;&gt;0),_xlpm.x,IF(AND(_xlpm.x-SUM(IF((INDIRECT($B$3)=$B69)*(INDIRECT($C$3)=$D69)*((INDIRECT($E$3)="TOTS")+(INDIRECT($E$3)=$E69)),INDIRECT(P$3)))&lt;&gt;0,_xlpm.y=0),-2,_xlpm.x)))),0))</f>
        <v>0</v>
      </c>
      <c r="Q69" s="199" cm="1">
        <f t="array" aca="1" ref="Q69" ca="1">IF(OR($B69="",$B69="X",$D69="",$D69="X",$E69="",$E69="X"),0,IFERROR(_xlfn.LET(_xlpm.x,SUM(SUM(_xlfn._xlws.FILTER(VALUE(PptoSty[Sign]&amp;1)*(1/PptoSty[Division]),(PptoSty[Division]&lt;&gt;0)*(PptoSty[Division]&lt;&gt;"")*(PptoSty[Division]&lt;&gt;"X")*(PptoSty[Project]=$B69)*(PptoSty[Vrs]=$D69)*(PptoSty[PiRow]=_xlfn.TEXTAFTER($H69,":"))*(PptoSty[PiColumn]=Q$54),0)),SUM(IF((INDIRECT($B$3)=$B69)*(INDIRECT($C$3)=$D69)*((INDIRECT($E$3)="TOTS")+(INDIRECT($E$3)=$E69)),INDIRECT(Q$3)))),_xlpm.y,SUM(_xlfn.CHOOSECOLS(_xlfn._xlws.FILTER(F_RT14[],(F_RT14[PrjId]=$B69)*(F_RT14[Vrs]=$D69)*(_xlfn.TEXTAFTER(F_RT14[ActGrp],":")=_xlfn.TEXTAFTER($H69,":")),"X"),MATCH("*"&amp;Q$54,F_RT14[#Headers],0))),IF(AND(_xlpm.x=0,_xlpm.y&lt;&gt;0),-1,IF(AND(_xlpm.x&lt;&gt;0,_xlpm.y&lt;&gt;0),_xlpm.x,IF(AND(_xlpm.x-SUM(IF((INDIRECT($B$3)=$B69)*(INDIRECT($C$3)=$D69)*((INDIRECT($E$3)="TOTS")+(INDIRECT($E$3)=$E69)),INDIRECT(Q$3)))&lt;&gt;0,_xlpm.y=0),-2,_xlpm.x)))),0))</f>
        <v>0</v>
      </c>
      <c r="R69" s="199" cm="1">
        <f t="array" aca="1" ref="R69" ca="1">IF(OR($B69="",$B69="X",$D69="",$D69="X",$E69="",$E69="X"),0,IFERROR(_xlfn.LET(_xlpm.x,SUM(SUM(_xlfn._xlws.FILTER(VALUE(PptoSty[Sign]&amp;1)*(1/PptoSty[Division]),(PptoSty[Division]&lt;&gt;0)*(PptoSty[Division]&lt;&gt;"")*(PptoSty[Division]&lt;&gt;"X")*(PptoSty[Project]=$B69)*(PptoSty[Vrs]=$D69)*(PptoSty[PiRow]=_xlfn.TEXTAFTER($H69,":"))*(PptoSty[PiColumn]=R$54),0)),SUM(IF((INDIRECT($B$3)=$B69)*(INDIRECT($C$3)=$D69)*((INDIRECT($E$3)="TOTS")+(INDIRECT($E$3)=$E69)),INDIRECT(R$3)))),_xlpm.y,SUM(_xlfn.CHOOSECOLS(_xlfn._xlws.FILTER(F_RT14[],(F_RT14[PrjId]=$B69)*(F_RT14[Vrs]=$D69)*(_xlfn.TEXTAFTER(F_RT14[ActGrp],":")=_xlfn.TEXTAFTER($H69,":")),"X"),MATCH("*"&amp;R$54,F_RT14[#Headers],0))),IF(AND(_xlpm.x=0,_xlpm.y&lt;&gt;0),-1,IF(AND(_xlpm.x&lt;&gt;0,_xlpm.y&lt;&gt;0),_xlpm.x,IF(AND(_xlpm.x-SUM(IF((INDIRECT($B$3)=$B69)*(INDIRECT($C$3)=$D69)*((INDIRECT($E$3)="TOTS")+(INDIRECT($E$3)=$E69)),INDIRECT(R$3)))&lt;&gt;0,_xlpm.y=0),-2,_xlpm.x)))),0))</f>
        <v>0</v>
      </c>
      <c r="S69" s="199" cm="1">
        <f t="array" aca="1" ref="S69" ca="1">IF(OR($B69="",$B69="X",$D69="",$D69="X",$E69="",$E69="X"),0,IFERROR(_xlfn.LET(_xlpm.x,SUM(SUM(_xlfn._xlws.FILTER(VALUE(PptoSty[Sign]&amp;1)*(1/PptoSty[Division]),(PptoSty[Division]&lt;&gt;0)*(PptoSty[Division]&lt;&gt;"")*(PptoSty[Division]&lt;&gt;"X")*(PptoSty[Project]=$B69)*(PptoSty[Vrs]=$D69)*(PptoSty[PiRow]=_xlfn.TEXTAFTER($H69,":"))*(PptoSty[PiColumn]=S$54),0)),SUM(IF((INDIRECT($B$3)=$B69)*(INDIRECT($C$3)=$D69)*((INDIRECT($E$3)="TOTS")+(INDIRECT($E$3)=$E69)),INDIRECT(S$3)))),_xlpm.y,SUM(_xlfn.CHOOSECOLS(_xlfn._xlws.FILTER(F_RT14[],(F_RT14[PrjId]=$B69)*(F_RT14[Vrs]=$D69)*(_xlfn.TEXTAFTER(F_RT14[ActGrp],":")=_xlfn.TEXTAFTER($H69,":")),"X"),MATCH("*"&amp;S$54,F_RT14[#Headers],0))),IF(AND(_xlpm.x=0,_xlpm.y&lt;&gt;0),-1,IF(AND(_xlpm.x&lt;&gt;0,_xlpm.y&lt;&gt;0),_xlpm.x,IF(AND(_xlpm.x-SUM(IF((INDIRECT($B$3)=$B69)*(INDIRECT($C$3)=$D69)*((INDIRECT($E$3)="TOTS")+(INDIRECT($E$3)=$E69)),INDIRECT(S$3)))&lt;&gt;0,_xlpm.y=0),-2,_xlpm.x)))),0))</f>
        <v>0</v>
      </c>
      <c r="T69" s="199" cm="1">
        <f t="array" aca="1" ref="T69" ca="1">IF(OR($B69="",$B69="X",$D69="",$D69="X",$E69="",$E69="X"),0,IFERROR(_xlfn.LET(_xlpm.x,SUM(SUM(_xlfn._xlws.FILTER(VALUE(PptoSty[Sign]&amp;1)*(1/PptoSty[Division]),(PptoSty[Division]&lt;&gt;0)*(PptoSty[Division]&lt;&gt;"")*(PptoSty[Division]&lt;&gt;"X")*(PptoSty[Project]=$B69)*(PptoSty[Vrs]=$D69)*(PptoSty[PiRow]=_xlfn.TEXTAFTER($H69,":"))*(PptoSty[PiColumn]=T$54),0)),SUM(IF((INDIRECT($B$3)=$B69)*(INDIRECT($C$3)=$D69)*((INDIRECT($E$3)="TOTS")+(INDIRECT($E$3)=$E69)),INDIRECT(T$3)))),_xlpm.y,SUM(_xlfn.CHOOSECOLS(_xlfn._xlws.FILTER(F_RT14[],(F_RT14[PrjId]=$B69)*(F_RT14[Vrs]=$D69)*(_xlfn.TEXTAFTER(F_RT14[ActGrp],":")=_xlfn.TEXTAFTER($H69,":")),"X"),MATCH("*"&amp;T$54,F_RT14[#Headers],0))),IF(AND(_xlpm.x=0,_xlpm.y&lt;&gt;0),-1,IF(AND(_xlpm.x&lt;&gt;0,_xlpm.y&lt;&gt;0),_xlpm.x,IF(AND(_xlpm.x-SUM(IF((INDIRECT($B$3)=$B69)*(INDIRECT($C$3)=$D69)*((INDIRECT($E$3)="TOTS")+(INDIRECT($E$3)=$E69)),INDIRECT(T$3)))&lt;&gt;0,_xlpm.y=0),-2,_xlpm.x)))),0))</f>
        <v>0</v>
      </c>
      <c r="U69" s="199" cm="1">
        <f t="array" aca="1" ref="U69" ca="1">IF(OR($B69="",$B69="X",$D69="",$D69="X",$E69="",$E69="X"),0,IFERROR(_xlfn.LET(_xlpm.x,SUM(SUM(_xlfn._xlws.FILTER(VALUE(PptoSty[Sign]&amp;1)*(1/PptoSty[Division]),(PptoSty[Division]&lt;&gt;0)*(PptoSty[Division]&lt;&gt;"")*(PptoSty[Division]&lt;&gt;"X")*(PptoSty[Project]=$B69)*(PptoSty[Vrs]=$D69)*(PptoSty[PiRow]=_xlfn.TEXTAFTER($H69,":"))*(PptoSty[PiColumn]=U$54),0)),SUM(IF((INDIRECT($B$3)=$B69)*(INDIRECT($C$3)=$D69)*((INDIRECT($E$3)="TOTS")+(INDIRECT($E$3)=$E69)),INDIRECT(U$3)))),_xlpm.y,SUM(_xlfn.CHOOSECOLS(_xlfn._xlws.FILTER(F_RT14[],(F_RT14[PrjId]=$B69)*(F_RT14[Vrs]=$D69)*(_xlfn.TEXTAFTER(F_RT14[ActGrp],":")=_xlfn.TEXTAFTER($H69,":")),"X"),MATCH("*"&amp;U$54,F_RT14[#Headers],0))),IF(AND(_xlpm.x=0,_xlpm.y&lt;&gt;0),-1,IF(AND(_xlpm.x&lt;&gt;0,_xlpm.y&lt;&gt;0),_xlpm.x,IF(AND(_xlpm.x-SUM(IF((INDIRECT($B$3)=$B69)*(INDIRECT($C$3)=$D69)*((INDIRECT($E$3)="TOTS")+(INDIRECT($E$3)=$E69)),INDIRECT(U$3)))&lt;&gt;0,_xlpm.y=0),-2,_xlpm.x)))),0))</f>
        <v>0</v>
      </c>
      <c r="V69" s="199" cm="1">
        <f t="array" aca="1" ref="V69" ca="1">IF(OR($B69="",$B69="X",$D69="",$D69="X",$E69="",$E69="X"),0,IFERROR(_xlfn.LET(_xlpm.x,SUM(SUM(_xlfn._xlws.FILTER(VALUE(PptoSty[Sign]&amp;1)*(1/PptoSty[Division]),(PptoSty[Division]&lt;&gt;0)*(PptoSty[Division]&lt;&gt;"")*(PptoSty[Division]&lt;&gt;"X")*(PptoSty[Project]=$B69)*(PptoSty[Vrs]=$D69)*(PptoSty[PiRow]=_xlfn.TEXTAFTER($H69,":"))*(PptoSty[PiColumn]=V$54),0)),SUM(IF((INDIRECT($B$3)=$B69)*(INDIRECT($C$3)=$D69)*((INDIRECT($E$3)="TOTS")+(INDIRECT($E$3)=$E69)),INDIRECT(V$3)))),_xlpm.y,SUM(_xlfn.CHOOSECOLS(_xlfn._xlws.FILTER(F_RT14[],(F_RT14[PrjId]=$B69)*(F_RT14[Vrs]=$D69)*(_xlfn.TEXTAFTER(F_RT14[ActGrp],":")=_xlfn.TEXTAFTER($H69,":")),"X"),MATCH("*"&amp;V$54,F_RT14[#Headers],0))),IF(AND(_xlpm.x=0,_xlpm.y&lt;&gt;0),-1,IF(AND(_xlpm.x&lt;&gt;0,_xlpm.y&lt;&gt;0),_xlpm.x,IF(AND(_xlpm.x-SUM(IF((INDIRECT($B$3)=$B69)*(INDIRECT($C$3)=$D69)*((INDIRECT($E$3)="TOTS")+(INDIRECT($E$3)=$E69)),INDIRECT(V$3)))&lt;&gt;0,_xlpm.y=0),-2,_xlpm.x)))),0))</f>
        <v>0</v>
      </c>
      <c r="W69" s="199" cm="1">
        <f t="array" aca="1" ref="W69" ca="1">IF(OR($B69="",$B69="X",$D69="",$D69="X",$E69="",$E69="X"),0,IFERROR(_xlfn.LET(_xlpm.x,SUM(SUM(_xlfn._xlws.FILTER(VALUE(PptoSty[Sign]&amp;1)*(1/PptoSty[Division]),(PptoSty[Division]&lt;&gt;0)*(PptoSty[Division]&lt;&gt;"")*(PptoSty[Division]&lt;&gt;"X")*(PptoSty[Project]=$B69)*(PptoSty[Vrs]=$D69)*(PptoSty[PiRow]=_xlfn.TEXTAFTER($H69,":"))*(PptoSty[PiColumn]=W$54),0)),SUM(IF((INDIRECT($B$3)=$B69)*(INDIRECT($C$3)=$D69)*((INDIRECT($E$3)="TOTS")+(INDIRECT($E$3)=$E69)),INDIRECT(W$3)))),_xlpm.y,SUM(_xlfn.CHOOSECOLS(_xlfn._xlws.FILTER(F_RT14[],(F_RT14[PrjId]=$B69)*(F_RT14[Vrs]=$D69)*(_xlfn.TEXTAFTER(F_RT14[ActGrp],":")=_xlfn.TEXTAFTER($H69,":")),"X"),MATCH("*"&amp;W$54,F_RT14[#Headers],0))),IF(AND(_xlpm.x=0,_xlpm.y&lt;&gt;0),-1,IF(AND(_xlpm.x&lt;&gt;0,_xlpm.y&lt;&gt;0),_xlpm.x,IF(AND(_xlpm.x-SUM(IF((INDIRECT($B$3)=$B69)*(INDIRECT($C$3)=$D69)*((INDIRECT($E$3)="TOTS")+(INDIRECT($E$3)=$E69)),INDIRECT(W$3)))&lt;&gt;0,_xlpm.y=0),-2,_xlpm.x)))),0))</f>
        <v>0</v>
      </c>
      <c r="X69" s="199" cm="1">
        <f t="array" aca="1" ref="X69" ca="1">IF(OR($B69="",$B69="X",$D69="",$D69="X",$E69="",$E69="X"),0,IFERROR(_xlfn.LET(_xlpm.x,SUM(SUM(_xlfn._xlws.FILTER(VALUE(PptoSty[Sign]&amp;1)*(1/PptoSty[Division]),(PptoSty[Division]&lt;&gt;0)*(PptoSty[Division]&lt;&gt;"")*(PptoSty[Division]&lt;&gt;"X")*(PptoSty[Project]=$B69)*(PptoSty[Vrs]=$D69)*(PptoSty[PiRow]=_xlfn.TEXTAFTER($H69,":"))*(PptoSty[PiColumn]=X$54),0)),SUM(IF((INDIRECT($B$3)=$B69)*(INDIRECT($C$3)=$D69)*((INDIRECT($E$3)="TOTS")+(INDIRECT($E$3)=$E69)),INDIRECT(X$3)))),_xlpm.y,SUM(_xlfn.CHOOSECOLS(_xlfn._xlws.FILTER(F_RT14[],(F_RT14[PrjId]=$B69)*(F_RT14[Vrs]=$D69)*(_xlfn.TEXTAFTER(F_RT14[ActGrp],":")=_xlfn.TEXTAFTER($H69,":")),"X"),MATCH("*"&amp;X$54,F_RT14[#Headers],0))),IF(AND(_xlpm.x=0,_xlpm.y&lt;&gt;0),-1,IF(AND(_xlpm.x&lt;&gt;0,_xlpm.y&lt;&gt;0),_xlpm.x,IF(AND(_xlpm.x-SUM(IF((INDIRECT($B$3)=$B69)*(INDIRECT($C$3)=$D69)*((INDIRECT($E$3)="TOTS")+(INDIRECT($E$3)=$E69)),INDIRECT(X$3)))&lt;&gt;0,_xlpm.y=0),-2,_xlpm.x)))),0))</f>
        <v>0</v>
      </c>
      <c r="Y69" s="199" cm="1">
        <f t="array" aca="1" ref="Y69" ca="1">IF(OR($B69="",$B69="X",$D69="",$D69="X",$E69="",$E69="X"),0,IFERROR(_xlfn.LET(_xlpm.x,SUM(SUM(_xlfn._xlws.FILTER(VALUE(PptoSty[Sign]&amp;1)*(1/PptoSty[Division]),(PptoSty[Division]&lt;&gt;0)*(PptoSty[Division]&lt;&gt;"")*(PptoSty[Division]&lt;&gt;"X")*(PptoSty[Project]=$B69)*(PptoSty[Vrs]=$D69)*(PptoSty[PiRow]=_xlfn.TEXTAFTER($H69,":"))*(PptoSty[PiColumn]=Y$54),0)),SUM(IF((INDIRECT($B$3)=$B69)*(INDIRECT($C$3)=$D69)*((INDIRECT($E$3)="TOTS")+(INDIRECT($E$3)=$E69)),INDIRECT(Y$3)))),_xlpm.y,SUM(_xlfn.CHOOSECOLS(_xlfn._xlws.FILTER(F_RT14[],(F_RT14[PrjId]=$B69)*(F_RT14[Vrs]=$D69)*(_xlfn.TEXTAFTER(F_RT14[ActGrp],":")=_xlfn.TEXTAFTER($H69,":")),"X"),MATCH("*"&amp;Y$54,F_RT14[#Headers],0))),IF(AND(_xlpm.x=0,_xlpm.y&lt;&gt;0),-1,IF(AND(_xlpm.x&lt;&gt;0,_xlpm.y&lt;&gt;0),_xlpm.x,IF(AND(_xlpm.x-SUM(IF((INDIRECT($B$3)=$B69)*(INDIRECT($C$3)=$D69)*((INDIRECT($E$3)="TOTS")+(INDIRECT($E$3)=$E69)),INDIRECT(Y$3)))&lt;&gt;0,_xlpm.y=0),-2,_xlpm.x)))),0))</f>
        <v>0</v>
      </c>
      <c r="Z69" s="198" t="str">
        <f t="shared" ca="1" si="2"/>
        <v>Fback!B69:Y69</v>
      </c>
    </row>
    <row r="70" spans="2:26" ht="21" customHeight="1" outlineLevel="1">
      <c r="B70" s="128" t="str">
        <v>31199</v>
      </c>
      <c r="C70" s="128" t="str">
        <v>Sp</v>
      </c>
      <c r="D70" s="128">
        <v>0</v>
      </c>
      <c r="E70" s="128" t="str">
        <v>DISI</v>
      </c>
      <c r="F70" s="139" t="str">
        <v>SERRA</v>
      </c>
      <c r="G70" s="139" t="str">
        <v>CurPpto</v>
      </c>
      <c r="H70" s="139" t="str">
        <v>G010:ROBCAD</v>
      </c>
      <c r="I70" s="199" cm="1">
        <f t="array" aca="1" ref="I70" ca="1">IF(OR($B70="",$B70="X",$D70="",$D70="X",$E70="",$E70="X"),0,IFERROR(_xlfn.LET(_xlpm.x,SUM(SUM(_xlfn._xlws.FILTER(VALUE(PptoSty[Sign]&amp;1)*(1/PptoSty[Division]),(PptoSty[Division]&lt;&gt;0)*(PptoSty[Division]&lt;&gt;"")*(PptoSty[Division]&lt;&gt;"X")*(PptoSty[Project]=$B70)*(PptoSty[Vrs]=$D70)*(PptoSty[PiRow]=_xlfn.TEXTAFTER($H70,":"))*(PptoSty[PiColumn]=I$54),0)),SUM(IF((INDIRECT($B$3)=$B70)*(INDIRECT($C$3)=$D70)*((INDIRECT($E$3)="TOTS")+(INDIRECT($E$3)=$E70)),INDIRECT(I$3)))),_xlpm.y,SUM(_xlfn.CHOOSECOLS(_xlfn._xlws.FILTER(F_RT14[],(F_RT14[PrjId]=$B70)*(F_RT14[Vrs]=$D70)*(_xlfn.TEXTAFTER(F_RT14[ActGrp],":")=_xlfn.TEXTAFTER($H70,":")),"X"),MATCH("*"&amp;I$54,F_RT14[#Headers],0))),IF(AND(_xlpm.x=0,_xlpm.y&lt;&gt;0),-1,IF(AND(_xlpm.x&lt;&gt;0,_xlpm.y&lt;&gt;0),_xlpm.x,IF(AND(_xlpm.x-SUM(IF((INDIRECT($B$3)=$B70)*(INDIRECT($C$3)=$D70)*((INDIRECT($E$3)="TOTS")+(INDIRECT($E$3)=$E70)),INDIRECT(I$3)))&lt;&gt;0,_xlpm.y=0),-2,_xlpm.x)))),0))</f>
        <v>0</v>
      </c>
      <c r="J70" s="199" cm="1">
        <f t="array" aca="1" ref="J70" ca="1">IF(OR($B70="",$B70="X",$D70="",$D70="X",$E70="",$E70="X"),0,IFERROR(_xlfn.LET(_xlpm.x,SUM(SUM(_xlfn._xlws.FILTER(VALUE(PptoSty[Sign]&amp;1)*(1/PptoSty[Division]),(PptoSty[Division]&lt;&gt;0)*(PptoSty[Division]&lt;&gt;"")*(PptoSty[Division]&lt;&gt;"X")*(PptoSty[Project]=$B70)*(PptoSty[Vrs]=$D70)*(PptoSty[PiRow]=_xlfn.TEXTAFTER($H70,":"))*(PptoSty[PiColumn]=J$54),0)),SUM(IF((INDIRECT($B$3)=$B70)*(INDIRECT($C$3)=$D70)*((INDIRECT($E$3)="TOTS")+(INDIRECT($E$3)=$E70)),INDIRECT(J$3)))),_xlpm.y,SUM(_xlfn.CHOOSECOLS(_xlfn._xlws.FILTER(F_RT14[],(F_RT14[PrjId]=$B70)*(F_RT14[Vrs]=$D70)*(_xlfn.TEXTAFTER(F_RT14[ActGrp],":")=_xlfn.TEXTAFTER($H70,":")),"X"),MATCH("*"&amp;J$54,F_RT14[#Headers],0))),IF(AND(_xlpm.x=0,_xlpm.y&lt;&gt;0),-1,IF(AND(_xlpm.x&lt;&gt;0,_xlpm.y&lt;&gt;0),_xlpm.x,IF(AND(_xlpm.x-SUM(IF((INDIRECT($B$3)=$B70)*(INDIRECT($C$3)=$D70)*((INDIRECT($E$3)="TOTS")+(INDIRECT($E$3)=$E70)),INDIRECT(J$3)))&lt;&gt;0,_xlpm.y=0),-2,_xlpm.x)))),0))</f>
        <v>0</v>
      </c>
      <c r="K70" s="199" cm="1">
        <f t="array" aca="1" ref="K70" ca="1">IF(OR($B70="",$B70="X",$D70="",$D70="X",$E70="",$E70="X"),0,IFERROR(_xlfn.LET(_xlpm.x,SUM(SUM(_xlfn._xlws.FILTER(VALUE(PptoSty[Sign]&amp;1)*(1/PptoSty[Division]),(PptoSty[Division]&lt;&gt;0)*(PptoSty[Division]&lt;&gt;"")*(PptoSty[Division]&lt;&gt;"X")*(PptoSty[Project]=$B70)*(PptoSty[Vrs]=$D70)*(PptoSty[PiRow]=_xlfn.TEXTAFTER($H70,":"))*(PptoSty[PiColumn]=K$54),0)),SUM(IF((INDIRECT($B$3)=$B70)*(INDIRECT($C$3)=$D70)*((INDIRECT($E$3)="TOTS")+(INDIRECT($E$3)=$E70)),INDIRECT(K$3)))),_xlpm.y,SUM(_xlfn.CHOOSECOLS(_xlfn._xlws.FILTER(F_RT14[],(F_RT14[PrjId]=$B70)*(F_RT14[Vrs]=$D70)*(_xlfn.TEXTAFTER(F_RT14[ActGrp],":")=_xlfn.TEXTAFTER($H70,":")),"X"),MATCH("*"&amp;K$54,F_RT14[#Headers],0))),IF(AND(_xlpm.x=0,_xlpm.y&lt;&gt;0),-1,IF(AND(_xlpm.x&lt;&gt;0,_xlpm.y&lt;&gt;0),_xlpm.x,IF(AND(_xlpm.x-SUM(IF((INDIRECT($B$3)=$B70)*(INDIRECT($C$3)=$D70)*((INDIRECT($E$3)="TOTS")+(INDIRECT($E$3)=$E70)),INDIRECT(K$3)))&lt;&gt;0,_xlpm.y=0),-2,_xlpm.x)))),0))</f>
        <v>0</v>
      </c>
      <c r="L70" s="199" cm="1">
        <f t="array" aca="1" ref="L70" ca="1">IF(OR($B70="",$B70="X",$D70="",$D70="X",$E70="",$E70="X"),0,IFERROR(_xlfn.LET(_xlpm.x,SUM(SUM(_xlfn._xlws.FILTER(VALUE(PptoSty[Sign]&amp;1)*(1/PptoSty[Division]),(PptoSty[Division]&lt;&gt;0)*(PptoSty[Division]&lt;&gt;"")*(PptoSty[Division]&lt;&gt;"X")*(PptoSty[Project]=$B70)*(PptoSty[Vrs]=$D70)*(PptoSty[PiRow]=_xlfn.TEXTAFTER($H70,":"))*(PptoSty[PiColumn]=L$54),0)),SUM(IF((INDIRECT($B$3)=$B70)*(INDIRECT($C$3)=$D70)*((INDIRECT($E$3)="TOTS")+(INDIRECT($E$3)=$E70)),INDIRECT(L$3)))),_xlpm.y,SUM(_xlfn.CHOOSECOLS(_xlfn._xlws.FILTER(F_RT14[],(F_RT14[PrjId]=$B70)*(F_RT14[Vrs]=$D70)*(_xlfn.TEXTAFTER(F_RT14[ActGrp],":")=_xlfn.TEXTAFTER($H70,":")),"X"),MATCH("*"&amp;L$54,F_RT14[#Headers],0))),IF(AND(_xlpm.x=0,_xlpm.y&lt;&gt;0),-1,IF(AND(_xlpm.x&lt;&gt;0,_xlpm.y&lt;&gt;0),_xlpm.x,IF(AND(_xlpm.x-SUM(IF((INDIRECT($B$3)=$B70)*(INDIRECT($C$3)=$D70)*((INDIRECT($E$3)="TOTS")+(INDIRECT($E$3)=$E70)),INDIRECT(L$3)))&lt;&gt;0,_xlpm.y=0),-2,_xlpm.x)))),0))</f>
        <v>-1</v>
      </c>
      <c r="M70" s="199" cm="1">
        <f t="array" aca="1" ref="M70" ca="1">IF(OR($B70="",$B70="X",$D70="",$D70="X",$E70="",$E70="X"),0,IFERROR(_xlfn.LET(_xlpm.x,SUM(SUM(_xlfn._xlws.FILTER(VALUE(PptoSty[Sign]&amp;1)*(1/PptoSty[Division]),(PptoSty[Division]&lt;&gt;0)*(PptoSty[Division]&lt;&gt;"")*(PptoSty[Division]&lt;&gt;"X")*(PptoSty[Project]=$B70)*(PptoSty[Vrs]=$D70)*(PptoSty[PiRow]=_xlfn.TEXTAFTER($H70,":"))*(PptoSty[PiColumn]=M$54),0)),SUM(IF((INDIRECT($B$3)=$B70)*(INDIRECT($C$3)=$D70)*((INDIRECT($E$3)="TOTS")+(INDIRECT($E$3)=$E70)),INDIRECT(M$3)))),_xlpm.y,SUM(_xlfn.CHOOSECOLS(_xlfn._xlws.FILTER(F_RT14[],(F_RT14[PrjId]=$B70)*(F_RT14[Vrs]=$D70)*(_xlfn.TEXTAFTER(F_RT14[ActGrp],":")=_xlfn.TEXTAFTER($H70,":")),"X"),MATCH("*"&amp;M$54,F_RT14[#Headers],0))),IF(AND(_xlpm.x=0,_xlpm.y&lt;&gt;0),-1,IF(AND(_xlpm.x&lt;&gt;0,_xlpm.y&lt;&gt;0),_xlpm.x,IF(AND(_xlpm.x-SUM(IF((INDIRECT($B$3)=$B70)*(INDIRECT($C$3)=$D70)*((INDIRECT($E$3)="TOTS")+(INDIRECT($E$3)=$E70)),INDIRECT(M$3)))&lt;&gt;0,_xlpm.y=0),-2,_xlpm.x)))),0))</f>
        <v>0</v>
      </c>
      <c r="N70" s="199" cm="1">
        <f t="array" aca="1" ref="N70" ca="1">IF(OR($B70="",$B70="X",$D70="",$D70="X",$E70="",$E70="X"),0,IFERROR(_xlfn.LET(_xlpm.x,SUM(SUM(_xlfn._xlws.FILTER(VALUE(PptoSty[Sign]&amp;1)*(1/PptoSty[Division]),(PptoSty[Division]&lt;&gt;0)*(PptoSty[Division]&lt;&gt;"")*(PptoSty[Division]&lt;&gt;"X")*(PptoSty[Project]=$B70)*(PptoSty[Vrs]=$D70)*(PptoSty[PiRow]=_xlfn.TEXTAFTER($H70,":"))*(PptoSty[PiColumn]=N$54),0)),SUM(IF((INDIRECT($B$3)=$B70)*(INDIRECT($C$3)=$D70)*((INDIRECT($E$3)="TOTS")+(INDIRECT($E$3)=$E70)),INDIRECT(N$3)))),_xlpm.y,SUM(_xlfn.CHOOSECOLS(_xlfn._xlws.FILTER(F_RT14[],(F_RT14[PrjId]=$B70)*(F_RT14[Vrs]=$D70)*(_xlfn.TEXTAFTER(F_RT14[ActGrp],":")=_xlfn.TEXTAFTER($H70,":")),"X"),MATCH("*"&amp;N$54,F_RT14[#Headers],0))),IF(AND(_xlpm.x=0,_xlpm.y&lt;&gt;0),-1,IF(AND(_xlpm.x&lt;&gt;0,_xlpm.y&lt;&gt;0),_xlpm.x,IF(AND(_xlpm.x-SUM(IF((INDIRECT($B$3)=$B70)*(INDIRECT($C$3)=$D70)*((INDIRECT($E$3)="TOTS")+(INDIRECT($E$3)=$E70)),INDIRECT(N$3)))&lt;&gt;0,_xlpm.y=0),-2,_xlpm.x)))),0))</f>
        <v>0</v>
      </c>
      <c r="O70" s="199" cm="1">
        <f t="array" aca="1" ref="O70" ca="1">IF(OR($B70="",$B70="X",$D70="",$D70="X",$E70="",$E70="X"),0,IFERROR(_xlfn.LET(_xlpm.x,SUM(SUM(_xlfn._xlws.FILTER(VALUE(PptoSty[Sign]&amp;1)*(1/PptoSty[Division]),(PptoSty[Division]&lt;&gt;0)*(PptoSty[Division]&lt;&gt;"")*(PptoSty[Division]&lt;&gt;"X")*(PptoSty[Project]=$B70)*(PptoSty[Vrs]=$D70)*(PptoSty[PiRow]=_xlfn.TEXTAFTER($H70,":"))*(PptoSty[PiColumn]=O$54),0)),SUM(IF((INDIRECT($B$3)=$B70)*(INDIRECT($C$3)=$D70)*((INDIRECT($E$3)="TOTS")+(INDIRECT($E$3)=$E70)),INDIRECT(O$3)))),_xlpm.y,SUM(_xlfn.CHOOSECOLS(_xlfn._xlws.FILTER(F_RT14[],(F_RT14[PrjId]=$B70)*(F_RT14[Vrs]=$D70)*(_xlfn.TEXTAFTER(F_RT14[ActGrp],":")=_xlfn.TEXTAFTER($H70,":")),"X"),MATCH("*"&amp;O$54,F_RT14[#Headers],0))),IF(AND(_xlpm.x=0,_xlpm.y&lt;&gt;0),-1,IF(AND(_xlpm.x&lt;&gt;0,_xlpm.y&lt;&gt;0),_xlpm.x,IF(AND(_xlpm.x-SUM(IF((INDIRECT($B$3)=$B70)*(INDIRECT($C$3)=$D70)*((INDIRECT($E$3)="TOTS")+(INDIRECT($E$3)=$E70)),INDIRECT(O$3)))&lt;&gt;0,_xlpm.y=0),-2,_xlpm.x)))),0))</f>
        <v>0</v>
      </c>
      <c r="P70" s="199" cm="1">
        <f t="array" aca="1" ref="P70" ca="1">IF(OR($B70="",$B70="X",$D70="",$D70="X",$E70="",$E70="X"),0,IFERROR(_xlfn.LET(_xlpm.x,SUM(SUM(_xlfn._xlws.FILTER(VALUE(PptoSty[Sign]&amp;1)*(1/PptoSty[Division]),(PptoSty[Division]&lt;&gt;0)*(PptoSty[Division]&lt;&gt;"")*(PptoSty[Division]&lt;&gt;"X")*(PptoSty[Project]=$B70)*(PptoSty[Vrs]=$D70)*(PptoSty[PiRow]=_xlfn.TEXTAFTER($H70,":"))*(PptoSty[PiColumn]=P$54),0)),SUM(IF((INDIRECT($B$3)=$B70)*(INDIRECT($C$3)=$D70)*((INDIRECT($E$3)="TOTS")+(INDIRECT($E$3)=$E70)),INDIRECT(P$3)))),_xlpm.y,SUM(_xlfn.CHOOSECOLS(_xlfn._xlws.FILTER(F_RT14[],(F_RT14[PrjId]=$B70)*(F_RT14[Vrs]=$D70)*(_xlfn.TEXTAFTER(F_RT14[ActGrp],":")=_xlfn.TEXTAFTER($H70,":")),"X"),MATCH("*"&amp;P$54,F_RT14[#Headers],0))),IF(AND(_xlpm.x=0,_xlpm.y&lt;&gt;0),-1,IF(AND(_xlpm.x&lt;&gt;0,_xlpm.y&lt;&gt;0),_xlpm.x,IF(AND(_xlpm.x-SUM(IF((INDIRECT($B$3)=$B70)*(INDIRECT($C$3)=$D70)*((INDIRECT($E$3)="TOTS")+(INDIRECT($E$3)=$E70)),INDIRECT(P$3)))&lt;&gt;0,_xlpm.y=0),-2,_xlpm.x)))),0))</f>
        <v>0</v>
      </c>
      <c r="Q70" s="199" cm="1">
        <f t="array" aca="1" ref="Q70" ca="1">IF(OR($B70="",$B70="X",$D70="",$D70="X",$E70="",$E70="X"),0,IFERROR(_xlfn.LET(_xlpm.x,SUM(SUM(_xlfn._xlws.FILTER(VALUE(PptoSty[Sign]&amp;1)*(1/PptoSty[Division]),(PptoSty[Division]&lt;&gt;0)*(PptoSty[Division]&lt;&gt;"")*(PptoSty[Division]&lt;&gt;"X")*(PptoSty[Project]=$B70)*(PptoSty[Vrs]=$D70)*(PptoSty[PiRow]=_xlfn.TEXTAFTER($H70,":"))*(PptoSty[PiColumn]=Q$54),0)),SUM(IF((INDIRECT($B$3)=$B70)*(INDIRECT($C$3)=$D70)*((INDIRECT($E$3)="TOTS")+(INDIRECT($E$3)=$E70)),INDIRECT(Q$3)))),_xlpm.y,SUM(_xlfn.CHOOSECOLS(_xlfn._xlws.FILTER(F_RT14[],(F_RT14[PrjId]=$B70)*(F_RT14[Vrs]=$D70)*(_xlfn.TEXTAFTER(F_RT14[ActGrp],":")=_xlfn.TEXTAFTER($H70,":")),"X"),MATCH("*"&amp;Q$54,F_RT14[#Headers],0))),IF(AND(_xlpm.x=0,_xlpm.y&lt;&gt;0),-1,IF(AND(_xlpm.x&lt;&gt;0,_xlpm.y&lt;&gt;0),_xlpm.x,IF(AND(_xlpm.x-SUM(IF((INDIRECT($B$3)=$B70)*(INDIRECT($C$3)=$D70)*((INDIRECT($E$3)="TOTS")+(INDIRECT($E$3)=$E70)),INDIRECT(Q$3)))&lt;&gt;0,_xlpm.y=0),-2,_xlpm.x)))),0))</f>
        <v>0</v>
      </c>
      <c r="R70" s="199" cm="1">
        <f t="array" aca="1" ref="R70" ca="1">IF(OR($B70="",$B70="X",$D70="",$D70="X",$E70="",$E70="X"),0,IFERROR(_xlfn.LET(_xlpm.x,SUM(SUM(_xlfn._xlws.FILTER(VALUE(PptoSty[Sign]&amp;1)*(1/PptoSty[Division]),(PptoSty[Division]&lt;&gt;0)*(PptoSty[Division]&lt;&gt;"")*(PptoSty[Division]&lt;&gt;"X")*(PptoSty[Project]=$B70)*(PptoSty[Vrs]=$D70)*(PptoSty[PiRow]=_xlfn.TEXTAFTER($H70,":"))*(PptoSty[PiColumn]=R$54),0)),SUM(IF((INDIRECT($B$3)=$B70)*(INDIRECT($C$3)=$D70)*((INDIRECT($E$3)="TOTS")+(INDIRECT($E$3)=$E70)),INDIRECT(R$3)))),_xlpm.y,SUM(_xlfn.CHOOSECOLS(_xlfn._xlws.FILTER(F_RT14[],(F_RT14[PrjId]=$B70)*(F_RT14[Vrs]=$D70)*(_xlfn.TEXTAFTER(F_RT14[ActGrp],":")=_xlfn.TEXTAFTER($H70,":")),"X"),MATCH("*"&amp;R$54,F_RT14[#Headers],0))),IF(AND(_xlpm.x=0,_xlpm.y&lt;&gt;0),-1,IF(AND(_xlpm.x&lt;&gt;0,_xlpm.y&lt;&gt;0),_xlpm.x,IF(AND(_xlpm.x-SUM(IF((INDIRECT($B$3)=$B70)*(INDIRECT($C$3)=$D70)*((INDIRECT($E$3)="TOTS")+(INDIRECT($E$3)=$E70)),INDIRECT(R$3)))&lt;&gt;0,_xlpm.y=0),-2,_xlpm.x)))),0))</f>
        <v>0</v>
      </c>
      <c r="S70" s="199" cm="1">
        <f t="array" aca="1" ref="S70" ca="1">IF(OR($B70="",$B70="X",$D70="",$D70="X",$E70="",$E70="X"),0,IFERROR(_xlfn.LET(_xlpm.x,SUM(SUM(_xlfn._xlws.FILTER(VALUE(PptoSty[Sign]&amp;1)*(1/PptoSty[Division]),(PptoSty[Division]&lt;&gt;0)*(PptoSty[Division]&lt;&gt;"")*(PptoSty[Division]&lt;&gt;"X")*(PptoSty[Project]=$B70)*(PptoSty[Vrs]=$D70)*(PptoSty[PiRow]=_xlfn.TEXTAFTER($H70,":"))*(PptoSty[PiColumn]=S$54),0)),SUM(IF((INDIRECT($B$3)=$B70)*(INDIRECT($C$3)=$D70)*((INDIRECT($E$3)="TOTS")+(INDIRECT($E$3)=$E70)),INDIRECT(S$3)))),_xlpm.y,SUM(_xlfn.CHOOSECOLS(_xlfn._xlws.FILTER(F_RT14[],(F_RT14[PrjId]=$B70)*(F_RT14[Vrs]=$D70)*(_xlfn.TEXTAFTER(F_RT14[ActGrp],":")=_xlfn.TEXTAFTER($H70,":")),"X"),MATCH("*"&amp;S$54,F_RT14[#Headers],0))),IF(AND(_xlpm.x=0,_xlpm.y&lt;&gt;0),-1,IF(AND(_xlpm.x&lt;&gt;0,_xlpm.y&lt;&gt;0),_xlpm.x,IF(AND(_xlpm.x-SUM(IF((INDIRECT($B$3)=$B70)*(INDIRECT($C$3)=$D70)*((INDIRECT($E$3)="TOTS")+(INDIRECT($E$3)=$E70)),INDIRECT(S$3)))&lt;&gt;0,_xlpm.y=0),-2,_xlpm.x)))),0))</f>
        <v>0</v>
      </c>
      <c r="T70" s="199" cm="1">
        <f t="array" aca="1" ref="T70" ca="1">IF(OR($B70="",$B70="X",$D70="",$D70="X",$E70="",$E70="X"),0,IFERROR(_xlfn.LET(_xlpm.x,SUM(SUM(_xlfn._xlws.FILTER(VALUE(PptoSty[Sign]&amp;1)*(1/PptoSty[Division]),(PptoSty[Division]&lt;&gt;0)*(PptoSty[Division]&lt;&gt;"")*(PptoSty[Division]&lt;&gt;"X")*(PptoSty[Project]=$B70)*(PptoSty[Vrs]=$D70)*(PptoSty[PiRow]=_xlfn.TEXTAFTER($H70,":"))*(PptoSty[PiColumn]=T$54),0)),SUM(IF((INDIRECT($B$3)=$B70)*(INDIRECT($C$3)=$D70)*((INDIRECT($E$3)="TOTS")+(INDIRECT($E$3)=$E70)),INDIRECT(T$3)))),_xlpm.y,SUM(_xlfn.CHOOSECOLS(_xlfn._xlws.FILTER(F_RT14[],(F_RT14[PrjId]=$B70)*(F_RT14[Vrs]=$D70)*(_xlfn.TEXTAFTER(F_RT14[ActGrp],":")=_xlfn.TEXTAFTER($H70,":")),"X"),MATCH("*"&amp;T$54,F_RT14[#Headers],0))),IF(AND(_xlpm.x=0,_xlpm.y&lt;&gt;0),-1,IF(AND(_xlpm.x&lt;&gt;0,_xlpm.y&lt;&gt;0),_xlpm.x,IF(AND(_xlpm.x-SUM(IF((INDIRECT($B$3)=$B70)*(INDIRECT($C$3)=$D70)*((INDIRECT($E$3)="TOTS")+(INDIRECT($E$3)=$E70)),INDIRECT(T$3)))&lt;&gt;0,_xlpm.y=0),-2,_xlpm.x)))),0))</f>
        <v>0</v>
      </c>
      <c r="U70" s="199" cm="1">
        <f t="array" aca="1" ref="U70" ca="1">IF(OR($B70="",$B70="X",$D70="",$D70="X",$E70="",$E70="X"),0,IFERROR(_xlfn.LET(_xlpm.x,SUM(SUM(_xlfn._xlws.FILTER(VALUE(PptoSty[Sign]&amp;1)*(1/PptoSty[Division]),(PptoSty[Division]&lt;&gt;0)*(PptoSty[Division]&lt;&gt;"")*(PptoSty[Division]&lt;&gt;"X")*(PptoSty[Project]=$B70)*(PptoSty[Vrs]=$D70)*(PptoSty[PiRow]=_xlfn.TEXTAFTER($H70,":"))*(PptoSty[PiColumn]=U$54),0)),SUM(IF((INDIRECT($B$3)=$B70)*(INDIRECT($C$3)=$D70)*((INDIRECT($E$3)="TOTS")+(INDIRECT($E$3)=$E70)),INDIRECT(U$3)))),_xlpm.y,SUM(_xlfn.CHOOSECOLS(_xlfn._xlws.FILTER(F_RT14[],(F_RT14[PrjId]=$B70)*(F_RT14[Vrs]=$D70)*(_xlfn.TEXTAFTER(F_RT14[ActGrp],":")=_xlfn.TEXTAFTER($H70,":")),"X"),MATCH("*"&amp;U$54,F_RT14[#Headers],0))),IF(AND(_xlpm.x=0,_xlpm.y&lt;&gt;0),-1,IF(AND(_xlpm.x&lt;&gt;0,_xlpm.y&lt;&gt;0),_xlpm.x,IF(AND(_xlpm.x-SUM(IF((INDIRECT($B$3)=$B70)*(INDIRECT($C$3)=$D70)*((INDIRECT($E$3)="TOTS")+(INDIRECT($E$3)=$E70)),INDIRECT(U$3)))&lt;&gt;0,_xlpm.y=0),-2,_xlpm.x)))),0))</f>
        <v>0</v>
      </c>
      <c r="V70" s="199" cm="1">
        <f t="array" aca="1" ref="V70" ca="1">IF(OR($B70="",$B70="X",$D70="",$D70="X",$E70="",$E70="X"),0,IFERROR(_xlfn.LET(_xlpm.x,SUM(SUM(_xlfn._xlws.FILTER(VALUE(PptoSty[Sign]&amp;1)*(1/PptoSty[Division]),(PptoSty[Division]&lt;&gt;0)*(PptoSty[Division]&lt;&gt;"")*(PptoSty[Division]&lt;&gt;"X")*(PptoSty[Project]=$B70)*(PptoSty[Vrs]=$D70)*(PptoSty[PiRow]=_xlfn.TEXTAFTER($H70,":"))*(PptoSty[PiColumn]=V$54),0)),SUM(IF((INDIRECT($B$3)=$B70)*(INDIRECT($C$3)=$D70)*((INDIRECT($E$3)="TOTS")+(INDIRECT($E$3)=$E70)),INDIRECT(V$3)))),_xlpm.y,SUM(_xlfn.CHOOSECOLS(_xlfn._xlws.FILTER(F_RT14[],(F_RT14[PrjId]=$B70)*(F_RT14[Vrs]=$D70)*(_xlfn.TEXTAFTER(F_RT14[ActGrp],":")=_xlfn.TEXTAFTER($H70,":")),"X"),MATCH("*"&amp;V$54,F_RT14[#Headers],0))),IF(AND(_xlpm.x=0,_xlpm.y&lt;&gt;0),-1,IF(AND(_xlpm.x&lt;&gt;0,_xlpm.y&lt;&gt;0),_xlpm.x,IF(AND(_xlpm.x-SUM(IF((INDIRECT($B$3)=$B70)*(INDIRECT($C$3)=$D70)*((INDIRECT($E$3)="TOTS")+(INDIRECT($E$3)=$E70)),INDIRECT(V$3)))&lt;&gt;0,_xlpm.y=0),-2,_xlpm.x)))),0))</f>
        <v>0</v>
      </c>
      <c r="W70" s="199" cm="1">
        <f t="array" aca="1" ref="W70" ca="1">IF(OR($B70="",$B70="X",$D70="",$D70="X",$E70="",$E70="X"),0,IFERROR(_xlfn.LET(_xlpm.x,SUM(SUM(_xlfn._xlws.FILTER(VALUE(PptoSty[Sign]&amp;1)*(1/PptoSty[Division]),(PptoSty[Division]&lt;&gt;0)*(PptoSty[Division]&lt;&gt;"")*(PptoSty[Division]&lt;&gt;"X")*(PptoSty[Project]=$B70)*(PptoSty[Vrs]=$D70)*(PptoSty[PiRow]=_xlfn.TEXTAFTER($H70,":"))*(PptoSty[PiColumn]=W$54),0)),SUM(IF((INDIRECT($B$3)=$B70)*(INDIRECT($C$3)=$D70)*((INDIRECT($E$3)="TOTS")+(INDIRECT($E$3)=$E70)),INDIRECT(W$3)))),_xlpm.y,SUM(_xlfn.CHOOSECOLS(_xlfn._xlws.FILTER(F_RT14[],(F_RT14[PrjId]=$B70)*(F_RT14[Vrs]=$D70)*(_xlfn.TEXTAFTER(F_RT14[ActGrp],":")=_xlfn.TEXTAFTER($H70,":")),"X"),MATCH("*"&amp;W$54,F_RT14[#Headers],0))),IF(AND(_xlpm.x=0,_xlpm.y&lt;&gt;0),-1,IF(AND(_xlpm.x&lt;&gt;0,_xlpm.y&lt;&gt;0),_xlpm.x,IF(AND(_xlpm.x-SUM(IF((INDIRECT($B$3)=$B70)*(INDIRECT($C$3)=$D70)*((INDIRECT($E$3)="TOTS")+(INDIRECT($E$3)=$E70)),INDIRECT(W$3)))&lt;&gt;0,_xlpm.y=0),-2,_xlpm.x)))),0))</f>
        <v>0</v>
      </c>
      <c r="X70" s="199" cm="1">
        <f t="array" aca="1" ref="X70" ca="1">IF(OR($B70="",$B70="X",$D70="",$D70="X",$E70="",$E70="X"),0,IFERROR(_xlfn.LET(_xlpm.x,SUM(SUM(_xlfn._xlws.FILTER(VALUE(PptoSty[Sign]&amp;1)*(1/PptoSty[Division]),(PptoSty[Division]&lt;&gt;0)*(PptoSty[Division]&lt;&gt;"")*(PptoSty[Division]&lt;&gt;"X")*(PptoSty[Project]=$B70)*(PptoSty[Vrs]=$D70)*(PptoSty[PiRow]=_xlfn.TEXTAFTER($H70,":"))*(PptoSty[PiColumn]=X$54),0)),SUM(IF((INDIRECT($B$3)=$B70)*(INDIRECT($C$3)=$D70)*((INDIRECT($E$3)="TOTS")+(INDIRECT($E$3)=$E70)),INDIRECT(X$3)))),_xlpm.y,SUM(_xlfn.CHOOSECOLS(_xlfn._xlws.FILTER(F_RT14[],(F_RT14[PrjId]=$B70)*(F_RT14[Vrs]=$D70)*(_xlfn.TEXTAFTER(F_RT14[ActGrp],":")=_xlfn.TEXTAFTER($H70,":")),"X"),MATCH("*"&amp;X$54,F_RT14[#Headers],0))),IF(AND(_xlpm.x=0,_xlpm.y&lt;&gt;0),-1,IF(AND(_xlpm.x&lt;&gt;0,_xlpm.y&lt;&gt;0),_xlpm.x,IF(AND(_xlpm.x-SUM(IF((INDIRECT($B$3)=$B70)*(INDIRECT($C$3)=$D70)*((INDIRECT($E$3)="TOTS")+(INDIRECT($E$3)=$E70)),INDIRECT(X$3)))&lt;&gt;0,_xlpm.y=0),-2,_xlpm.x)))),0))</f>
        <v>0</v>
      </c>
      <c r="Y70" s="199" cm="1">
        <f t="array" aca="1" ref="Y70" ca="1">IF(OR($B70="",$B70="X",$D70="",$D70="X",$E70="",$E70="X"),0,IFERROR(_xlfn.LET(_xlpm.x,SUM(SUM(_xlfn._xlws.FILTER(VALUE(PptoSty[Sign]&amp;1)*(1/PptoSty[Division]),(PptoSty[Division]&lt;&gt;0)*(PptoSty[Division]&lt;&gt;"")*(PptoSty[Division]&lt;&gt;"X")*(PptoSty[Project]=$B70)*(PptoSty[Vrs]=$D70)*(PptoSty[PiRow]=_xlfn.TEXTAFTER($H70,":"))*(PptoSty[PiColumn]=Y$54),0)),SUM(IF((INDIRECT($B$3)=$B70)*(INDIRECT($C$3)=$D70)*((INDIRECT($E$3)="TOTS")+(INDIRECT($E$3)=$E70)),INDIRECT(Y$3)))),_xlpm.y,SUM(_xlfn.CHOOSECOLS(_xlfn._xlws.FILTER(F_RT14[],(F_RT14[PrjId]=$B70)*(F_RT14[Vrs]=$D70)*(_xlfn.TEXTAFTER(F_RT14[ActGrp],":")=_xlfn.TEXTAFTER($H70,":")),"X"),MATCH("*"&amp;Y$54,F_RT14[#Headers],0))),IF(AND(_xlpm.x=0,_xlpm.y&lt;&gt;0),-1,IF(AND(_xlpm.x&lt;&gt;0,_xlpm.y&lt;&gt;0),_xlpm.x,IF(AND(_xlpm.x-SUM(IF((INDIRECT($B$3)=$B70)*(INDIRECT($C$3)=$D70)*((INDIRECT($E$3)="TOTS")+(INDIRECT($E$3)=$E70)),INDIRECT(Y$3)))&lt;&gt;0,_xlpm.y=0),-2,_xlpm.x)))),0))</f>
        <v>0</v>
      </c>
      <c r="Z70" s="198" t="str">
        <f t="shared" ca="1" si="2"/>
        <v>Fback!B70:Y70</v>
      </c>
    </row>
    <row r="71" spans="2:26" ht="21" customHeight="1" outlineLevel="1">
      <c r="B71" s="128" t="str">
        <v>31200</v>
      </c>
      <c r="C71" s="128" t="str">
        <v>Sp</v>
      </c>
      <c r="D71" s="128">
        <v>15</v>
      </c>
      <c r="E71" s="128" t="str">
        <v>DISI</v>
      </c>
      <c r="F71" s="139" t="str">
        <v>SERRA</v>
      </c>
      <c r="G71" s="139" t="str">
        <v>CurPpto</v>
      </c>
      <c r="H71" s="139" t="str">
        <v>G010:ROBCAD</v>
      </c>
      <c r="I71" s="199" cm="1">
        <f t="array" aca="1" ref="I71" ca="1">IF(OR($B71="",$B71="X",$D71="",$D71="X",$E71="",$E71="X"),0,IFERROR(_xlfn.LET(_xlpm.x,SUM(SUM(_xlfn._xlws.FILTER(VALUE(PptoSty[Sign]&amp;1)*(1/PptoSty[Division]),(PptoSty[Division]&lt;&gt;0)*(PptoSty[Division]&lt;&gt;"")*(PptoSty[Division]&lt;&gt;"X")*(PptoSty[Project]=$B71)*(PptoSty[Vrs]=$D71)*(PptoSty[PiRow]=_xlfn.TEXTAFTER($H71,":"))*(PptoSty[PiColumn]=I$54),0)),SUM(IF((INDIRECT($B$3)=$B71)*(INDIRECT($C$3)=$D71)*((INDIRECT($E$3)="TOTS")+(INDIRECT($E$3)=$E71)),INDIRECT(I$3)))),_xlpm.y,SUM(_xlfn.CHOOSECOLS(_xlfn._xlws.FILTER(F_RT14[],(F_RT14[PrjId]=$B71)*(F_RT14[Vrs]=$D71)*(_xlfn.TEXTAFTER(F_RT14[ActGrp],":")=_xlfn.TEXTAFTER($H71,":")),"X"),MATCH("*"&amp;I$54,F_RT14[#Headers],0))),IF(AND(_xlpm.x=0,_xlpm.y&lt;&gt;0),-1,IF(AND(_xlpm.x&lt;&gt;0,_xlpm.y&lt;&gt;0),_xlpm.x,IF(AND(_xlpm.x-SUM(IF((INDIRECT($B$3)=$B71)*(INDIRECT($C$3)=$D71)*((INDIRECT($E$3)="TOTS")+(INDIRECT($E$3)=$E71)),INDIRECT(I$3)))&lt;&gt;0,_xlpm.y=0),-2,_xlpm.x)))),0))</f>
        <v>0</v>
      </c>
      <c r="J71" s="199" cm="1">
        <f t="array" aca="1" ref="J71" ca="1">IF(OR($B71="",$B71="X",$D71="",$D71="X",$E71="",$E71="X"),0,IFERROR(_xlfn.LET(_xlpm.x,SUM(SUM(_xlfn._xlws.FILTER(VALUE(PptoSty[Sign]&amp;1)*(1/PptoSty[Division]),(PptoSty[Division]&lt;&gt;0)*(PptoSty[Division]&lt;&gt;"")*(PptoSty[Division]&lt;&gt;"X")*(PptoSty[Project]=$B71)*(PptoSty[Vrs]=$D71)*(PptoSty[PiRow]=_xlfn.TEXTAFTER($H71,":"))*(PptoSty[PiColumn]=J$54),0)),SUM(IF((INDIRECT($B$3)=$B71)*(INDIRECT($C$3)=$D71)*((INDIRECT($E$3)="TOTS")+(INDIRECT($E$3)=$E71)),INDIRECT(J$3)))),_xlpm.y,SUM(_xlfn.CHOOSECOLS(_xlfn._xlws.FILTER(F_RT14[],(F_RT14[PrjId]=$B71)*(F_RT14[Vrs]=$D71)*(_xlfn.TEXTAFTER(F_RT14[ActGrp],":")=_xlfn.TEXTAFTER($H71,":")),"X"),MATCH("*"&amp;J$54,F_RT14[#Headers],0))),IF(AND(_xlpm.x=0,_xlpm.y&lt;&gt;0),-1,IF(AND(_xlpm.x&lt;&gt;0,_xlpm.y&lt;&gt;0),_xlpm.x,IF(AND(_xlpm.x-SUM(IF((INDIRECT($B$3)=$B71)*(INDIRECT($C$3)=$D71)*((INDIRECT($E$3)="TOTS")+(INDIRECT($E$3)=$E71)),INDIRECT(J$3)))&lt;&gt;0,_xlpm.y=0),-2,_xlpm.x)))),0))</f>
        <v>0</v>
      </c>
      <c r="K71" s="199" cm="1">
        <f t="array" aca="1" ref="K71" ca="1">IF(OR($B71="",$B71="X",$D71="",$D71="X",$E71="",$E71="X"),0,IFERROR(_xlfn.LET(_xlpm.x,SUM(SUM(_xlfn._xlws.FILTER(VALUE(PptoSty[Sign]&amp;1)*(1/PptoSty[Division]),(PptoSty[Division]&lt;&gt;0)*(PptoSty[Division]&lt;&gt;"")*(PptoSty[Division]&lt;&gt;"X")*(PptoSty[Project]=$B71)*(PptoSty[Vrs]=$D71)*(PptoSty[PiRow]=_xlfn.TEXTAFTER($H71,":"))*(PptoSty[PiColumn]=K$54),0)),SUM(IF((INDIRECT($B$3)=$B71)*(INDIRECT($C$3)=$D71)*((INDIRECT($E$3)="TOTS")+(INDIRECT($E$3)=$E71)),INDIRECT(K$3)))),_xlpm.y,SUM(_xlfn.CHOOSECOLS(_xlfn._xlws.FILTER(F_RT14[],(F_RT14[PrjId]=$B71)*(F_RT14[Vrs]=$D71)*(_xlfn.TEXTAFTER(F_RT14[ActGrp],":")=_xlfn.TEXTAFTER($H71,":")),"X"),MATCH("*"&amp;K$54,F_RT14[#Headers],0))),IF(AND(_xlpm.x=0,_xlpm.y&lt;&gt;0),-1,IF(AND(_xlpm.x&lt;&gt;0,_xlpm.y&lt;&gt;0),_xlpm.x,IF(AND(_xlpm.x-SUM(IF((INDIRECT($B$3)=$B71)*(INDIRECT($C$3)=$D71)*((INDIRECT($E$3)="TOTS")+(INDIRECT($E$3)=$E71)),INDIRECT(K$3)))&lt;&gt;0,_xlpm.y=0),-2,_xlpm.x)))),0))</f>
        <v>0</v>
      </c>
      <c r="L71" s="199" cm="1">
        <f t="array" aca="1" ref="L71" ca="1">IF(OR($B71="",$B71="X",$D71="",$D71="X",$E71="",$E71="X"),0,IFERROR(_xlfn.LET(_xlpm.x,SUM(SUM(_xlfn._xlws.FILTER(VALUE(PptoSty[Sign]&amp;1)*(1/PptoSty[Division]),(PptoSty[Division]&lt;&gt;0)*(PptoSty[Division]&lt;&gt;"")*(PptoSty[Division]&lt;&gt;"X")*(PptoSty[Project]=$B71)*(PptoSty[Vrs]=$D71)*(PptoSty[PiRow]=_xlfn.TEXTAFTER($H71,":"))*(PptoSty[PiColumn]=L$54),0)),SUM(IF((INDIRECT($B$3)=$B71)*(INDIRECT($C$3)=$D71)*((INDIRECT($E$3)="TOTS")+(INDIRECT($E$3)=$E71)),INDIRECT(L$3)))),_xlpm.y,SUM(_xlfn.CHOOSECOLS(_xlfn._xlws.FILTER(F_RT14[],(F_RT14[PrjId]=$B71)*(F_RT14[Vrs]=$D71)*(_xlfn.TEXTAFTER(F_RT14[ActGrp],":")=_xlfn.TEXTAFTER($H71,":")),"X"),MATCH("*"&amp;L$54,F_RT14[#Headers],0))),IF(AND(_xlpm.x=0,_xlpm.y&lt;&gt;0),-1,IF(AND(_xlpm.x&lt;&gt;0,_xlpm.y&lt;&gt;0),_xlpm.x,IF(AND(_xlpm.x-SUM(IF((INDIRECT($B$3)=$B71)*(INDIRECT($C$3)=$D71)*((INDIRECT($E$3)="TOTS")+(INDIRECT($E$3)=$E71)),INDIRECT(L$3)))&lt;&gt;0,_xlpm.y=0),-2,_xlpm.x)))),0))</f>
        <v>-1</v>
      </c>
      <c r="M71" s="199" cm="1">
        <f t="array" aca="1" ref="M71" ca="1">IF(OR($B71="",$B71="X",$D71="",$D71="X",$E71="",$E71="X"),0,IFERROR(_xlfn.LET(_xlpm.x,SUM(SUM(_xlfn._xlws.FILTER(VALUE(PptoSty[Sign]&amp;1)*(1/PptoSty[Division]),(PptoSty[Division]&lt;&gt;0)*(PptoSty[Division]&lt;&gt;"")*(PptoSty[Division]&lt;&gt;"X")*(PptoSty[Project]=$B71)*(PptoSty[Vrs]=$D71)*(PptoSty[PiRow]=_xlfn.TEXTAFTER($H71,":"))*(PptoSty[PiColumn]=M$54),0)),SUM(IF((INDIRECT($B$3)=$B71)*(INDIRECT($C$3)=$D71)*((INDIRECT($E$3)="TOTS")+(INDIRECT($E$3)=$E71)),INDIRECT(M$3)))),_xlpm.y,SUM(_xlfn.CHOOSECOLS(_xlfn._xlws.FILTER(F_RT14[],(F_RT14[PrjId]=$B71)*(F_RT14[Vrs]=$D71)*(_xlfn.TEXTAFTER(F_RT14[ActGrp],":")=_xlfn.TEXTAFTER($H71,":")),"X"),MATCH("*"&amp;M$54,F_RT14[#Headers],0))),IF(AND(_xlpm.x=0,_xlpm.y&lt;&gt;0),-1,IF(AND(_xlpm.x&lt;&gt;0,_xlpm.y&lt;&gt;0),_xlpm.x,IF(AND(_xlpm.x-SUM(IF((INDIRECT($B$3)=$B71)*(INDIRECT($C$3)=$D71)*((INDIRECT($E$3)="TOTS")+(INDIRECT($E$3)=$E71)),INDIRECT(M$3)))&lt;&gt;0,_xlpm.y=0),-2,_xlpm.x)))),0))</f>
        <v>0</v>
      </c>
      <c r="N71" s="199" cm="1">
        <f t="array" aca="1" ref="N71" ca="1">IF(OR($B71="",$B71="X",$D71="",$D71="X",$E71="",$E71="X"),0,IFERROR(_xlfn.LET(_xlpm.x,SUM(SUM(_xlfn._xlws.FILTER(VALUE(PptoSty[Sign]&amp;1)*(1/PptoSty[Division]),(PptoSty[Division]&lt;&gt;0)*(PptoSty[Division]&lt;&gt;"")*(PptoSty[Division]&lt;&gt;"X")*(PptoSty[Project]=$B71)*(PptoSty[Vrs]=$D71)*(PptoSty[PiRow]=_xlfn.TEXTAFTER($H71,":"))*(PptoSty[PiColumn]=N$54),0)),SUM(IF((INDIRECT($B$3)=$B71)*(INDIRECT($C$3)=$D71)*((INDIRECT($E$3)="TOTS")+(INDIRECT($E$3)=$E71)),INDIRECT(N$3)))),_xlpm.y,SUM(_xlfn.CHOOSECOLS(_xlfn._xlws.FILTER(F_RT14[],(F_RT14[PrjId]=$B71)*(F_RT14[Vrs]=$D71)*(_xlfn.TEXTAFTER(F_RT14[ActGrp],":")=_xlfn.TEXTAFTER($H71,":")),"X"),MATCH("*"&amp;N$54,F_RT14[#Headers],0))),IF(AND(_xlpm.x=0,_xlpm.y&lt;&gt;0),-1,IF(AND(_xlpm.x&lt;&gt;0,_xlpm.y&lt;&gt;0),_xlpm.x,IF(AND(_xlpm.x-SUM(IF((INDIRECT($B$3)=$B71)*(INDIRECT($C$3)=$D71)*((INDIRECT($E$3)="TOTS")+(INDIRECT($E$3)=$E71)),INDIRECT(N$3)))&lt;&gt;0,_xlpm.y=0),-2,_xlpm.x)))),0))</f>
        <v>0</v>
      </c>
      <c r="O71" s="199" cm="1">
        <f t="array" aca="1" ref="O71" ca="1">IF(OR($B71="",$B71="X",$D71="",$D71="X",$E71="",$E71="X"),0,IFERROR(_xlfn.LET(_xlpm.x,SUM(SUM(_xlfn._xlws.FILTER(VALUE(PptoSty[Sign]&amp;1)*(1/PptoSty[Division]),(PptoSty[Division]&lt;&gt;0)*(PptoSty[Division]&lt;&gt;"")*(PptoSty[Division]&lt;&gt;"X")*(PptoSty[Project]=$B71)*(PptoSty[Vrs]=$D71)*(PptoSty[PiRow]=_xlfn.TEXTAFTER($H71,":"))*(PptoSty[PiColumn]=O$54),0)),SUM(IF((INDIRECT($B$3)=$B71)*(INDIRECT($C$3)=$D71)*((INDIRECT($E$3)="TOTS")+(INDIRECT($E$3)=$E71)),INDIRECT(O$3)))),_xlpm.y,SUM(_xlfn.CHOOSECOLS(_xlfn._xlws.FILTER(F_RT14[],(F_RT14[PrjId]=$B71)*(F_RT14[Vrs]=$D71)*(_xlfn.TEXTAFTER(F_RT14[ActGrp],":")=_xlfn.TEXTAFTER($H71,":")),"X"),MATCH("*"&amp;O$54,F_RT14[#Headers],0))),IF(AND(_xlpm.x=0,_xlpm.y&lt;&gt;0),-1,IF(AND(_xlpm.x&lt;&gt;0,_xlpm.y&lt;&gt;0),_xlpm.x,IF(AND(_xlpm.x-SUM(IF((INDIRECT($B$3)=$B71)*(INDIRECT($C$3)=$D71)*((INDIRECT($E$3)="TOTS")+(INDIRECT($E$3)=$E71)),INDIRECT(O$3)))&lt;&gt;0,_xlpm.y=0),-2,_xlpm.x)))),0))</f>
        <v>0</v>
      </c>
      <c r="P71" s="199" cm="1">
        <f t="array" aca="1" ref="P71" ca="1">IF(OR($B71="",$B71="X",$D71="",$D71="X",$E71="",$E71="X"),0,IFERROR(_xlfn.LET(_xlpm.x,SUM(SUM(_xlfn._xlws.FILTER(VALUE(PptoSty[Sign]&amp;1)*(1/PptoSty[Division]),(PptoSty[Division]&lt;&gt;0)*(PptoSty[Division]&lt;&gt;"")*(PptoSty[Division]&lt;&gt;"X")*(PptoSty[Project]=$B71)*(PptoSty[Vrs]=$D71)*(PptoSty[PiRow]=_xlfn.TEXTAFTER($H71,":"))*(PptoSty[PiColumn]=P$54),0)),SUM(IF((INDIRECT($B$3)=$B71)*(INDIRECT($C$3)=$D71)*((INDIRECT($E$3)="TOTS")+(INDIRECT($E$3)=$E71)),INDIRECT(P$3)))),_xlpm.y,SUM(_xlfn.CHOOSECOLS(_xlfn._xlws.FILTER(F_RT14[],(F_RT14[PrjId]=$B71)*(F_RT14[Vrs]=$D71)*(_xlfn.TEXTAFTER(F_RT14[ActGrp],":")=_xlfn.TEXTAFTER($H71,":")),"X"),MATCH("*"&amp;P$54,F_RT14[#Headers],0))),IF(AND(_xlpm.x=0,_xlpm.y&lt;&gt;0),-1,IF(AND(_xlpm.x&lt;&gt;0,_xlpm.y&lt;&gt;0),_xlpm.x,IF(AND(_xlpm.x-SUM(IF((INDIRECT($B$3)=$B71)*(INDIRECT($C$3)=$D71)*((INDIRECT($E$3)="TOTS")+(INDIRECT($E$3)=$E71)),INDIRECT(P$3)))&lt;&gt;0,_xlpm.y=0),-2,_xlpm.x)))),0))</f>
        <v>0</v>
      </c>
      <c r="Q71" s="199" cm="1">
        <f t="array" aca="1" ref="Q71" ca="1">IF(OR($B71="",$B71="X",$D71="",$D71="X",$E71="",$E71="X"),0,IFERROR(_xlfn.LET(_xlpm.x,SUM(SUM(_xlfn._xlws.FILTER(VALUE(PptoSty[Sign]&amp;1)*(1/PptoSty[Division]),(PptoSty[Division]&lt;&gt;0)*(PptoSty[Division]&lt;&gt;"")*(PptoSty[Division]&lt;&gt;"X")*(PptoSty[Project]=$B71)*(PptoSty[Vrs]=$D71)*(PptoSty[PiRow]=_xlfn.TEXTAFTER($H71,":"))*(PptoSty[PiColumn]=Q$54),0)),SUM(IF((INDIRECT($B$3)=$B71)*(INDIRECT($C$3)=$D71)*((INDIRECT($E$3)="TOTS")+(INDIRECT($E$3)=$E71)),INDIRECT(Q$3)))),_xlpm.y,SUM(_xlfn.CHOOSECOLS(_xlfn._xlws.FILTER(F_RT14[],(F_RT14[PrjId]=$B71)*(F_RT14[Vrs]=$D71)*(_xlfn.TEXTAFTER(F_RT14[ActGrp],":")=_xlfn.TEXTAFTER($H71,":")),"X"),MATCH("*"&amp;Q$54,F_RT14[#Headers],0))),IF(AND(_xlpm.x=0,_xlpm.y&lt;&gt;0),-1,IF(AND(_xlpm.x&lt;&gt;0,_xlpm.y&lt;&gt;0),_xlpm.x,IF(AND(_xlpm.x-SUM(IF((INDIRECT($B$3)=$B71)*(INDIRECT($C$3)=$D71)*((INDIRECT($E$3)="TOTS")+(INDIRECT($E$3)=$E71)),INDIRECT(Q$3)))&lt;&gt;0,_xlpm.y=0),-2,_xlpm.x)))),0))</f>
        <v>0</v>
      </c>
      <c r="R71" s="199" cm="1">
        <f t="array" aca="1" ref="R71" ca="1">IF(OR($B71="",$B71="X",$D71="",$D71="X",$E71="",$E71="X"),0,IFERROR(_xlfn.LET(_xlpm.x,SUM(SUM(_xlfn._xlws.FILTER(VALUE(PptoSty[Sign]&amp;1)*(1/PptoSty[Division]),(PptoSty[Division]&lt;&gt;0)*(PptoSty[Division]&lt;&gt;"")*(PptoSty[Division]&lt;&gt;"X")*(PptoSty[Project]=$B71)*(PptoSty[Vrs]=$D71)*(PptoSty[PiRow]=_xlfn.TEXTAFTER($H71,":"))*(PptoSty[PiColumn]=R$54),0)),SUM(IF((INDIRECT($B$3)=$B71)*(INDIRECT($C$3)=$D71)*((INDIRECT($E$3)="TOTS")+(INDIRECT($E$3)=$E71)),INDIRECT(R$3)))),_xlpm.y,SUM(_xlfn.CHOOSECOLS(_xlfn._xlws.FILTER(F_RT14[],(F_RT14[PrjId]=$B71)*(F_RT14[Vrs]=$D71)*(_xlfn.TEXTAFTER(F_RT14[ActGrp],":")=_xlfn.TEXTAFTER($H71,":")),"X"),MATCH("*"&amp;R$54,F_RT14[#Headers],0))),IF(AND(_xlpm.x=0,_xlpm.y&lt;&gt;0),-1,IF(AND(_xlpm.x&lt;&gt;0,_xlpm.y&lt;&gt;0),_xlpm.x,IF(AND(_xlpm.x-SUM(IF((INDIRECT($B$3)=$B71)*(INDIRECT($C$3)=$D71)*((INDIRECT($E$3)="TOTS")+(INDIRECT($E$3)=$E71)),INDIRECT(R$3)))&lt;&gt;0,_xlpm.y=0),-2,_xlpm.x)))),0))</f>
        <v>0</v>
      </c>
      <c r="S71" s="199" cm="1">
        <f t="array" aca="1" ref="S71" ca="1">IF(OR($B71="",$B71="X",$D71="",$D71="X",$E71="",$E71="X"),0,IFERROR(_xlfn.LET(_xlpm.x,SUM(SUM(_xlfn._xlws.FILTER(VALUE(PptoSty[Sign]&amp;1)*(1/PptoSty[Division]),(PptoSty[Division]&lt;&gt;0)*(PptoSty[Division]&lt;&gt;"")*(PptoSty[Division]&lt;&gt;"X")*(PptoSty[Project]=$B71)*(PptoSty[Vrs]=$D71)*(PptoSty[PiRow]=_xlfn.TEXTAFTER($H71,":"))*(PptoSty[PiColumn]=S$54),0)),SUM(IF((INDIRECT($B$3)=$B71)*(INDIRECT($C$3)=$D71)*((INDIRECT($E$3)="TOTS")+(INDIRECT($E$3)=$E71)),INDIRECT(S$3)))),_xlpm.y,SUM(_xlfn.CHOOSECOLS(_xlfn._xlws.FILTER(F_RT14[],(F_RT14[PrjId]=$B71)*(F_RT14[Vrs]=$D71)*(_xlfn.TEXTAFTER(F_RT14[ActGrp],":")=_xlfn.TEXTAFTER($H71,":")),"X"),MATCH("*"&amp;S$54,F_RT14[#Headers],0))),IF(AND(_xlpm.x=0,_xlpm.y&lt;&gt;0),-1,IF(AND(_xlpm.x&lt;&gt;0,_xlpm.y&lt;&gt;0),_xlpm.x,IF(AND(_xlpm.x-SUM(IF((INDIRECT($B$3)=$B71)*(INDIRECT($C$3)=$D71)*((INDIRECT($E$3)="TOTS")+(INDIRECT($E$3)=$E71)),INDIRECT(S$3)))&lt;&gt;0,_xlpm.y=0),-2,_xlpm.x)))),0))</f>
        <v>0</v>
      </c>
      <c r="T71" s="199" cm="1">
        <f t="array" aca="1" ref="T71" ca="1">IF(OR($B71="",$B71="X",$D71="",$D71="X",$E71="",$E71="X"),0,IFERROR(_xlfn.LET(_xlpm.x,SUM(SUM(_xlfn._xlws.FILTER(VALUE(PptoSty[Sign]&amp;1)*(1/PptoSty[Division]),(PptoSty[Division]&lt;&gt;0)*(PptoSty[Division]&lt;&gt;"")*(PptoSty[Division]&lt;&gt;"X")*(PptoSty[Project]=$B71)*(PptoSty[Vrs]=$D71)*(PptoSty[PiRow]=_xlfn.TEXTAFTER($H71,":"))*(PptoSty[PiColumn]=T$54),0)),SUM(IF((INDIRECT($B$3)=$B71)*(INDIRECT($C$3)=$D71)*((INDIRECT($E$3)="TOTS")+(INDIRECT($E$3)=$E71)),INDIRECT(T$3)))),_xlpm.y,SUM(_xlfn.CHOOSECOLS(_xlfn._xlws.FILTER(F_RT14[],(F_RT14[PrjId]=$B71)*(F_RT14[Vrs]=$D71)*(_xlfn.TEXTAFTER(F_RT14[ActGrp],":")=_xlfn.TEXTAFTER($H71,":")),"X"),MATCH("*"&amp;T$54,F_RT14[#Headers],0))),IF(AND(_xlpm.x=0,_xlpm.y&lt;&gt;0),-1,IF(AND(_xlpm.x&lt;&gt;0,_xlpm.y&lt;&gt;0),_xlpm.x,IF(AND(_xlpm.x-SUM(IF((INDIRECT($B$3)=$B71)*(INDIRECT($C$3)=$D71)*((INDIRECT($E$3)="TOTS")+(INDIRECT($E$3)=$E71)),INDIRECT(T$3)))&lt;&gt;0,_xlpm.y=0),-2,_xlpm.x)))),0))</f>
        <v>0</v>
      </c>
      <c r="U71" s="199" cm="1">
        <f t="array" aca="1" ref="U71" ca="1">IF(OR($B71="",$B71="X",$D71="",$D71="X",$E71="",$E71="X"),0,IFERROR(_xlfn.LET(_xlpm.x,SUM(SUM(_xlfn._xlws.FILTER(VALUE(PptoSty[Sign]&amp;1)*(1/PptoSty[Division]),(PptoSty[Division]&lt;&gt;0)*(PptoSty[Division]&lt;&gt;"")*(PptoSty[Division]&lt;&gt;"X")*(PptoSty[Project]=$B71)*(PptoSty[Vrs]=$D71)*(PptoSty[PiRow]=_xlfn.TEXTAFTER($H71,":"))*(PptoSty[PiColumn]=U$54),0)),SUM(IF((INDIRECT($B$3)=$B71)*(INDIRECT($C$3)=$D71)*((INDIRECT($E$3)="TOTS")+(INDIRECT($E$3)=$E71)),INDIRECT(U$3)))),_xlpm.y,SUM(_xlfn.CHOOSECOLS(_xlfn._xlws.FILTER(F_RT14[],(F_RT14[PrjId]=$B71)*(F_RT14[Vrs]=$D71)*(_xlfn.TEXTAFTER(F_RT14[ActGrp],":")=_xlfn.TEXTAFTER($H71,":")),"X"),MATCH("*"&amp;U$54,F_RT14[#Headers],0))),IF(AND(_xlpm.x=0,_xlpm.y&lt;&gt;0),-1,IF(AND(_xlpm.x&lt;&gt;0,_xlpm.y&lt;&gt;0),_xlpm.x,IF(AND(_xlpm.x-SUM(IF((INDIRECT($B$3)=$B71)*(INDIRECT($C$3)=$D71)*((INDIRECT($E$3)="TOTS")+(INDIRECT($E$3)=$E71)),INDIRECT(U$3)))&lt;&gt;0,_xlpm.y=0),-2,_xlpm.x)))),0))</f>
        <v>0</v>
      </c>
      <c r="V71" s="199" cm="1">
        <f t="array" aca="1" ref="V71" ca="1">IF(OR($B71="",$B71="X",$D71="",$D71="X",$E71="",$E71="X"),0,IFERROR(_xlfn.LET(_xlpm.x,SUM(SUM(_xlfn._xlws.FILTER(VALUE(PptoSty[Sign]&amp;1)*(1/PptoSty[Division]),(PptoSty[Division]&lt;&gt;0)*(PptoSty[Division]&lt;&gt;"")*(PptoSty[Division]&lt;&gt;"X")*(PptoSty[Project]=$B71)*(PptoSty[Vrs]=$D71)*(PptoSty[PiRow]=_xlfn.TEXTAFTER($H71,":"))*(PptoSty[PiColumn]=V$54),0)),SUM(IF((INDIRECT($B$3)=$B71)*(INDIRECT($C$3)=$D71)*((INDIRECT($E$3)="TOTS")+(INDIRECT($E$3)=$E71)),INDIRECT(V$3)))),_xlpm.y,SUM(_xlfn.CHOOSECOLS(_xlfn._xlws.FILTER(F_RT14[],(F_RT14[PrjId]=$B71)*(F_RT14[Vrs]=$D71)*(_xlfn.TEXTAFTER(F_RT14[ActGrp],":")=_xlfn.TEXTAFTER($H71,":")),"X"),MATCH("*"&amp;V$54,F_RT14[#Headers],0))),IF(AND(_xlpm.x=0,_xlpm.y&lt;&gt;0),-1,IF(AND(_xlpm.x&lt;&gt;0,_xlpm.y&lt;&gt;0),_xlpm.x,IF(AND(_xlpm.x-SUM(IF((INDIRECT($B$3)=$B71)*(INDIRECT($C$3)=$D71)*((INDIRECT($E$3)="TOTS")+(INDIRECT($E$3)=$E71)),INDIRECT(V$3)))&lt;&gt;0,_xlpm.y=0),-2,_xlpm.x)))),0))</f>
        <v>0</v>
      </c>
      <c r="W71" s="199" cm="1">
        <f t="array" aca="1" ref="W71" ca="1">IF(OR($B71="",$B71="X",$D71="",$D71="X",$E71="",$E71="X"),0,IFERROR(_xlfn.LET(_xlpm.x,SUM(SUM(_xlfn._xlws.FILTER(VALUE(PptoSty[Sign]&amp;1)*(1/PptoSty[Division]),(PptoSty[Division]&lt;&gt;0)*(PptoSty[Division]&lt;&gt;"")*(PptoSty[Division]&lt;&gt;"X")*(PptoSty[Project]=$B71)*(PptoSty[Vrs]=$D71)*(PptoSty[PiRow]=_xlfn.TEXTAFTER($H71,":"))*(PptoSty[PiColumn]=W$54),0)),SUM(IF((INDIRECT($B$3)=$B71)*(INDIRECT($C$3)=$D71)*((INDIRECT($E$3)="TOTS")+(INDIRECT($E$3)=$E71)),INDIRECT(W$3)))),_xlpm.y,SUM(_xlfn.CHOOSECOLS(_xlfn._xlws.FILTER(F_RT14[],(F_RT14[PrjId]=$B71)*(F_RT14[Vrs]=$D71)*(_xlfn.TEXTAFTER(F_RT14[ActGrp],":")=_xlfn.TEXTAFTER($H71,":")),"X"),MATCH("*"&amp;W$54,F_RT14[#Headers],0))),IF(AND(_xlpm.x=0,_xlpm.y&lt;&gt;0),-1,IF(AND(_xlpm.x&lt;&gt;0,_xlpm.y&lt;&gt;0),_xlpm.x,IF(AND(_xlpm.x-SUM(IF((INDIRECT($B$3)=$B71)*(INDIRECT($C$3)=$D71)*((INDIRECT($E$3)="TOTS")+(INDIRECT($E$3)=$E71)),INDIRECT(W$3)))&lt;&gt;0,_xlpm.y=0),-2,_xlpm.x)))),0))</f>
        <v>0</v>
      </c>
      <c r="X71" s="199" cm="1">
        <f t="array" aca="1" ref="X71" ca="1">IF(OR($B71="",$B71="X",$D71="",$D71="X",$E71="",$E71="X"),0,IFERROR(_xlfn.LET(_xlpm.x,SUM(SUM(_xlfn._xlws.FILTER(VALUE(PptoSty[Sign]&amp;1)*(1/PptoSty[Division]),(PptoSty[Division]&lt;&gt;0)*(PptoSty[Division]&lt;&gt;"")*(PptoSty[Division]&lt;&gt;"X")*(PptoSty[Project]=$B71)*(PptoSty[Vrs]=$D71)*(PptoSty[PiRow]=_xlfn.TEXTAFTER($H71,":"))*(PptoSty[PiColumn]=X$54),0)),SUM(IF((INDIRECT($B$3)=$B71)*(INDIRECT($C$3)=$D71)*((INDIRECT($E$3)="TOTS")+(INDIRECT($E$3)=$E71)),INDIRECT(X$3)))),_xlpm.y,SUM(_xlfn.CHOOSECOLS(_xlfn._xlws.FILTER(F_RT14[],(F_RT14[PrjId]=$B71)*(F_RT14[Vrs]=$D71)*(_xlfn.TEXTAFTER(F_RT14[ActGrp],":")=_xlfn.TEXTAFTER($H71,":")),"X"),MATCH("*"&amp;X$54,F_RT14[#Headers],0))),IF(AND(_xlpm.x=0,_xlpm.y&lt;&gt;0),-1,IF(AND(_xlpm.x&lt;&gt;0,_xlpm.y&lt;&gt;0),_xlpm.x,IF(AND(_xlpm.x-SUM(IF((INDIRECT($B$3)=$B71)*(INDIRECT($C$3)=$D71)*((INDIRECT($E$3)="TOTS")+(INDIRECT($E$3)=$E71)),INDIRECT(X$3)))&lt;&gt;0,_xlpm.y=0),-2,_xlpm.x)))),0))</f>
        <v>0</v>
      </c>
      <c r="Y71" s="199" cm="1">
        <f t="array" aca="1" ref="Y71" ca="1">IF(OR($B71="",$B71="X",$D71="",$D71="X",$E71="",$E71="X"),0,IFERROR(_xlfn.LET(_xlpm.x,SUM(SUM(_xlfn._xlws.FILTER(VALUE(PptoSty[Sign]&amp;1)*(1/PptoSty[Division]),(PptoSty[Division]&lt;&gt;0)*(PptoSty[Division]&lt;&gt;"")*(PptoSty[Division]&lt;&gt;"X")*(PptoSty[Project]=$B71)*(PptoSty[Vrs]=$D71)*(PptoSty[PiRow]=_xlfn.TEXTAFTER($H71,":"))*(PptoSty[PiColumn]=Y$54),0)),SUM(IF((INDIRECT($B$3)=$B71)*(INDIRECT($C$3)=$D71)*((INDIRECT($E$3)="TOTS")+(INDIRECT($E$3)=$E71)),INDIRECT(Y$3)))),_xlpm.y,SUM(_xlfn.CHOOSECOLS(_xlfn._xlws.FILTER(F_RT14[],(F_RT14[PrjId]=$B71)*(F_RT14[Vrs]=$D71)*(_xlfn.TEXTAFTER(F_RT14[ActGrp],":")=_xlfn.TEXTAFTER($H71,":")),"X"),MATCH("*"&amp;Y$54,F_RT14[#Headers],0))),IF(AND(_xlpm.x=0,_xlpm.y&lt;&gt;0),-1,IF(AND(_xlpm.x&lt;&gt;0,_xlpm.y&lt;&gt;0),_xlpm.x,IF(AND(_xlpm.x-SUM(IF((INDIRECT($B$3)=$B71)*(INDIRECT($C$3)=$D71)*((INDIRECT($E$3)="TOTS")+(INDIRECT($E$3)=$E71)),INDIRECT(Y$3)))&lt;&gt;0,_xlpm.y=0),-2,_xlpm.x)))),0))</f>
        <v>0</v>
      </c>
      <c r="Z71" s="198" t="str">
        <f t="shared" ca="1" si="2"/>
        <v>Fback!B71:Y71</v>
      </c>
    </row>
    <row r="72" spans="2:26" ht="21" customHeight="1" outlineLevel="1">
      <c r="B72" s="128" t="str">
        <v>31199</v>
      </c>
      <c r="C72" s="128" t="str">
        <v>Sp</v>
      </c>
      <c r="D72" s="128">
        <v>0</v>
      </c>
      <c r="E72" s="128" t="str">
        <v>DISI</v>
      </c>
      <c r="F72" s="139" t="str">
        <v>SERRA</v>
      </c>
      <c r="G72" s="139" t="str">
        <v>CurPpto</v>
      </c>
      <c r="H72" s="139" t="str">
        <v>G011:PROYECTO ELÉCTRICO HARD</v>
      </c>
      <c r="I72" s="199" cm="1">
        <f t="array" aca="1" ref="I72" ca="1">IF(OR($B72="",$B72="X",$D72="",$D72="X",$E72="",$E72="X"),0,IFERROR(_xlfn.LET(_xlpm.x,SUM(SUM(_xlfn._xlws.FILTER(VALUE(PptoSty[Sign]&amp;1)*(1/PptoSty[Division]),(PptoSty[Division]&lt;&gt;0)*(PptoSty[Division]&lt;&gt;"")*(PptoSty[Division]&lt;&gt;"X")*(PptoSty[Project]=$B72)*(PptoSty[Vrs]=$D72)*(PptoSty[PiRow]=_xlfn.TEXTAFTER($H72,":"))*(PptoSty[PiColumn]=I$54),0)),SUM(IF((INDIRECT($B$3)=$B72)*(INDIRECT($C$3)=$D72)*((INDIRECT($E$3)="TOTS")+(INDIRECT($E$3)=$E72)),INDIRECT(I$3)))),_xlpm.y,SUM(_xlfn.CHOOSECOLS(_xlfn._xlws.FILTER(F_RT14[],(F_RT14[PrjId]=$B72)*(F_RT14[Vrs]=$D72)*(_xlfn.TEXTAFTER(F_RT14[ActGrp],":")=_xlfn.TEXTAFTER($H72,":")),"X"),MATCH("*"&amp;I$54,F_RT14[#Headers],0))),IF(AND(_xlpm.x=0,_xlpm.y&lt;&gt;0),-1,IF(AND(_xlpm.x&lt;&gt;0,_xlpm.y&lt;&gt;0),_xlpm.x,IF(AND(_xlpm.x-SUM(IF((INDIRECT($B$3)=$B72)*(INDIRECT($C$3)=$D72)*((INDIRECT($E$3)="TOTS")+(INDIRECT($E$3)=$E72)),INDIRECT(I$3)))&lt;&gt;0,_xlpm.y=0),-2,_xlpm.x)))),0))</f>
        <v>0</v>
      </c>
      <c r="J72" s="199" cm="1">
        <f t="array" aca="1" ref="J72" ca="1">IF(OR($B72="",$B72="X",$D72="",$D72="X",$E72="",$E72="X"),0,IFERROR(_xlfn.LET(_xlpm.x,SUM(SUM(_xlfn._xlws.FILTER(VALUE(PptoSty[Sign]&amp;1)*(1/PptoSty[Division]),(PptoSty[Division]&lt;&gt;0)*(PptoSty[Division]&lt;&gt;"")*(PptoSty[Division]&lt;&gt;"X")*(PptoSty[Project]=$B72)*(PptoSty[Vrs]=$D72)*(PptoSty[PiRow]=_xlfn.TEXTAFTER($H72,":"))*(PptoSty[PiColumn]=J$54),0)),SUM(IF((INDIRECT($B$3)=$B72)*(INDIRECT($C$3)=$D72)*((INDIRECT($E$3)="TOTS")+(INDIRECT($E$3)=$E72)),INDIRECT(J$3)))),_xlpm.y,SUM(_xlfn.CHOOSECOLS(_xlfn._xlws.FILTER(F_RT14[],(F_RT14[PrjId]=$B72)*(F_RT14[Vrs]=$D72)*(_xlfn.TEXTAFTER(F_RT14[ActGrp],":")=_xlfn.TEXTAFTER($H72,":")),"X"),MATCH("*"&amp;J$54,F_RT14[#Headers],0))),IF(AND(_xlpm.x=0,_xlpm.y&lt;&gt;0),-1,IF(AND(_xlpm.x&lt;&gt;0,_xlpm.y&lt;&gt;0),_xlpm.x,IF(AND(_xlpm.x-SUM(IF((INDIRECT($B$3)=$B72)*(INDIRECT($C$3)=$D72)*((INDIRECT($E$3)="TOTS")+(INDIRECT($E$3)=$E72)),INDIRECT(J$3)))&lt;&gt;0,_xlpm.y=0),-2,_xlpm.x)))),0))</f>
        <v>0</v>
      </c>
      <c r="K72" s="199" cm="1">
        <f t="array" aca="1" ref="K72" ca="1">IF(OR($B72="",$B72="X",$D72="",$D72="X",$E72="",$E72="X"),0,IFERROR(_xlfn.LET(_xlpm.x,SUM(SUM(_xlfn._xlws.FILTER(VALUE(PptoSty[Sign]&amp;1)*(1/PptoSty[Division]),(PptoSty[Division]&lt;&gt;0)*(PptoSty[Division]&lt;&gt;"")*(PptoSty[Division]&lt;&gt;"X")*(PptoSty[Project]=$B72)*(PptoSty[Vrs]=$D72)*(PptoSty[PiRow]=_xlfn.TEXTAFTER($H72,":"))*(PptoSty[PiColumn]=K$54),0)),SUM(IF((INDIRECT($B$3)=$B72)*(INDIRECT($C$3)=$D72)*((INDIRECT($E$3)="TOTS")+(INDIRECT($E$3)=$E72)),INDIRECT(K$3)))),_xlpm.y,SUM(_xlfn.CHOOSECOLS(_xlfn._xlws.FILTER(F_RT14[],(F_RT14[PrjId]=$B72)*(F_RT14[Vrs]=$D72)*(_xlfn.TEXTAFTER(F_RT14[ActGrp],":")=_xlfn.TEXTAFTER($H72,":")),"X"),MATCH("*"&amp;K$54,F_RT14[#Headers],0))),IF(AND(_xlpm.x=0,_xlpm.y&lt;&gt;0),-1,IF(AND(_xlpm.x&lt;&gt;0,_xlpm.y&lt;&gt;0),_xlpm.x,IF(AND(_xlpm.x-SUM(IF((INDIRECT($B$3)=$B72)*(INDIRECT($C$3)=$D72)*((INDIRECT($E$3)="TOTS")+(INDIRECT($E$3)=$E72)),INDIRECT(K$3)))&lt;&gt;0,_xlpm.y=0),-2,_xlpm.x)))),0))</f>
        <v>0</v>
      </c>
      <c r="L72" s="199" cm="1">
        <f t="array" aca="1" ref="L72" ca="1">IF(OR($B72="",$B72="X",$D72="",$D72="X",$E72="",$E72="X"),0,IFERROR(_xlfn.LET(_xlpm.x,SUM(SUM(_xlfn._xlws.FILTER(VALUE(PptoSty[Sign]&amp;1)*(1/PptoSty[Division]),(PptoSty[Division]&lt;&gt;0)*(PptoSty[Division]&lt;&gt;"")*(PptoSty[Division]&lt;&gt;"X")*(PptoSty[Project]=$B72)*(PptoSty[Vrs]=$D72)*(PptoSty[PiRow]=_xlfn.TEXTAFTER($H72,":"))*(PptoSty[PiColumn]=L$54),0)),SUM(IF((INDIRECT($B$3)=$B72)*(INDIRECT($C$3)=$D72)*((INDIRECT($E$3)="TOTS")+(INDIRECT($E$3)=$E72)),INDIRECT(L$3)))),_xlpm.y,SUM(_xlfn.CHOOSECOLS(_xlfn._xlws.FILTER(F_RT14[],(F_RT14[PrjId]=$B72)*(F_RT14[Vrs]=$D72)*(_xlfn.TEXTAFTER(F_RT14[ActGrp],":")=_xlfn.TEXTAFTER($H72,":")),"X"),MATCH("*"&amp;L$54,F_RT14[#Headers],0))),IF(AND(_xlpm.x=0,_xlpm.y&lt;&gt;0),-1,IF(AND(_xlpm.x&lt;&gt;0,_xlpm.y&lt;&gt;0),_xlpm.x,IF(AND(_xlpm.x-SUM(IF((INDIRECT($B$3)=$B72)*(INDIRECT($C$3)=$D72)*((INDIRECT($E$3)="TOTS")+(INDIRECT($E$3)=$E72)),INDIRECT(L$3)))&lt;&gt;0,_xlpm.y=0),-2,_xlpm.x)))),0))</f>
        <v>0</v>
      </c>
      <c r="M72" s="199" cm="1">
        <f t="array" aca="1" ref="M72" ca="1">IF(OR($B72="",$B72="X",$D72="",$D72="X",$E72="",$E72="X"),0,IFERROR(_xlfn.LET(_xlpm.x,SUM(SUM(_xlfn._xlws.FILTER(VALUE(PptoSty[Sign]&amp;1)*(1/PptoSty[Division]),(PptoSty[Division]&lt;&gt;0)*(PptoSty[Division]&lt;&gt;"")*(PptoSty[Division]&lt;&gt;"X")*(PptoSty[Project]=$B72)*(PptoSty[Vrs]=$D72)*(PptoSty[PiRow]=_xlfn.TEXTAFTER($H72,":"))*(PptoSty[PiColumn]=M$54),0)),SUM(IF((INDIRECT($B$3)=$B72)*(INDIRECT($C$3)=$D72)*((INDIRECT($E$3)="TOTS")+(INDIRECT($E$3)=$E72)),INDIRECT(M$3)))),_xlpm.y,SUM(_xlfn.CHOOSECOLS(_xlfn._xlws.FILTER(F_RT14[],(F_RT14[PrjId]=$B72)*(F_RT14[Vrs]=$D72)*(_xlfn.TEXTAFTER(F_RT14[ActGrp],":")=_xlfn.TEXTAFTER($H72,":")),"X"),MATCH("*"&amp;M$54,F_RT14[#Headers],0))),IF(AND(_xlpm.x=0,_xlpm.y&lt;&gt;0),-1,IF(AND(_xlpm.x&lt;&gt;0,_xlpm.y&lt;&gt;0),_xlpm.x,IF(AND(_xlpm.x-SUM(IF((INDIRECT($B$3)=$B72)*(INDIRECT($C$3)=$D72)*((INDIRECT($E$3)="TOTS")+(INDIRECT($E$3)=$E72)),INDIRECT(M$3)))&lt;&gt;0,_xlpm.y=0),-2,_xlpm.x)))),0))</f>
        <v>1</v>
      </c>
      <c r="N72" s="199" cm="1">
        <f t="array" aca="1" ref="N72" ca="1">IF(OR($B72="",$B72="X",$D72="",$D72="X",$E72="",$E72="X"),0,IFERROR(_xlfn.LET(_xlpm.x,SUM(SUM(_xlfn._xlws.FILTER(VALUE(PptoSty[Sign]&amp;1)*(1/PptoSty[Division]),(PptoSty[Division]&lt;&gt;0)*(PptoSty[Division]&lt;&gt;"")*(PptoSty[Division]&lt;&gt;"X")*(PptoSty[Project]=$B72)*(PptoSty[Vrs]=$D72)*(PptoSty[PiRow]=_xlfn.TEXTAFTER($H72,":"))*(PptoSty[PiColumn]=N$54),0)),SUM(IF((INDIRECT($B$3)=$B72)*(INDIRECT($C$3)=$D72)*((INDIRECT($E$3)="TOTS")+(INDIRECT($E$3)=$E72)),INDIRECT(N$3)))),_xlpm.y,SUM(_xlfn.CHOOSECOLS(_xlfn._xlws.FILTER(F_RT14[],(F_RT14[PrjId]=$B72)*(F_RT14[Vrs]=$D72)*(_xlfn.TEXTAFTER(F_RT14[ActGrp],":")=_xlfn.TEXTAFTER($H72,":")),"X"),MATCH("*"&amp;N$54,F_RT14[#Headers],0))),IF(AND(_xlpm.x=0,_xlpm.y&lt;&gt;0),-1,IF(AND(_xlpm.x&lt;&gt;0,_xlpm.y&lt;&gt;0),_xlpm.x,IF(AND(_xlpm.x-SUM(IF((INDIRECT($B$3)=$B72)*(INDIRECT($C$3)=$D72)*((INDIRECT($E$3)="TOTS")+(INDIRECT($E$3)=$E72)),INDIRECT(N$3)))&lt;&gt;0,_xlpm.y=0),-2,_xlpm.x)))),0))</f>
        <v>0</v>
      </c>
      <c r="O72" s="199" cm="1">
        <f t="array" aca="1" ref="O72" ca="1">IF(OR($B72="",$B72="X",$D72="",$D72="X",$E72="",$E72="X"),0,IFERROR(_xlfn.LET(_xlpm.x,SUM(SUM(_xlfn._xlws.FILTER(VALUE(PptoSty[Sign]&amp;1)*(1/PptoSty[Division]),(PptoSty[Division]&lt;&gt;0)*(PptoSty[Division]&lt;&gt;"")*(PptoSty[Division]&lt;&gt;"X")*(PptoSty[Project]=$B72)*(PptoSty[Vrs]=$D72)*(PptoSty[PiRow]=_xlfn.TEXTAFTER($H72,":"))*(PptoSty[PiColumn]=O$54),0)),SUM(IF((INDIRECT($B$3)=$B72)*(INDIRECT($C$3)=$D72)*((INDIRECT($E$3)="TOTS")+(INDIRECT($E$3)=$E72)),INDIRECT(O$3)))),_xlpm.y,SUM(_xlfn.CHOOSECOLS(_xlfn._xlws.FILTER(F_RT14[],(F_RT14[PrjId]=$B72)*(F_RT14[Vrs]=$D72)*(_xlfn.TEXTAFTER(F_RT14[ActGrp],":")=_xlfn.TEXTAFTER($H72,":")),"X"),MATCH("*"&amp;O$54,F_RT14[#Headers],0))),IF(AND(_xlpm.x=0,_xlpm.y&lt;&gt;0),-1,IF(AND(_xlpm.x&lt;&gt;0,_xlpm.y&lt;&gt;0),_xlpm.x,IF(AND(_xlpm.x-SUM(IF((INDIRECT($B$3)=$B72)*(INDIRECT($C$3)=$D72)*((INDIRECT($E$3)="TOTS")+(INDIRECT($E$3)=$E72)),INDIRECT(O$3)))&lt;&gt;0,_xlpm.y=0),-2,_xlpm.x)))),0))</f>
        <v>0</v>
      </c>
      <c r="P72" s="199" cm="1">
        <f t="array" aca="1" ref="P72" ca="1">IF(OR($B72="",$B72="X",$D72="",$D72="X",$E72="",$E72="X"),0,IFERROR(_xlfn.LET(_xlpm.x,SUM(SUM(_xlfn._xlws.FILTER(VALUE(PptoSty[Sign]&amp;1)*(1/PptoSty[Division]),(PptoSty[Division]&lt;&gt;0)*(PptoSty[Division]&lt;&gt;"")*(PptoSty[Division]&lt;&gt;"X")*(PptoSty[Project]=$B72)*(PptoSty[Vrs]=$D72)*(PptoSty[PiRow]=_xlfn.TEXTAFTER($H72,":"))*(PptoSty[PiColumn]=P$54),0)),SUM(IF((INDIRECT($B$3)=$B72)*(INDIRECT($C$3)=$D72)*((INDIRECT($E$3)="TOTS")+(INDIRECT($E$3)=$E72)),INDIRECT(P$3)))),_xlpm.y,SUM(_xlfn.CHOOSECOLS(_xlfn._xlws.FILTER(F_RT14[],(F_RT14[PrjId]=$B72)*(F_RT14[Vrs]=$D72)*(_xlfn.TEXTAFTER(F_RT14[ActGrp],":")=_xlfn.TEXTAFTER($H72,":")),"X"),MATCH("*"&amp;P$54,F_RT14[#Headers],0))),IF(AND(_xlpm.x=0,_xlpm.y&lt;&gt;0),-1,IF(AND(_xlpm.x&lt;&gt;0,_xlpm.y&lt;&gt;0),_xlpm.x,IF(AND(_xlpm.x-SUM(IF((INDIRECT($B$3)=$B72)*(INDIRECT($C$3)=$D72)*((INDIRECT($E$3)="TOTS")+(INDIRECT($E$3)=$E72)),INDIRECT(P$3)))&lt;&gt;0,_xlpm.y=0),-2,_xlpm.x)))),0))</f>
        <v>0</v>
      </c>
      <c r="Q72" s="199" cm="1">
        <f t="array" aca="1" ref="Q72" ca="1">IF(OR($B72="",$B72="X",$D72="",$D72="X",$E72="",$E72="X"),0,IFERROR(_xlfn.LET(_xlpm.x,SUM(SUM(_xlfn._xlws.FILTER(VALUE(PptoSty[Sign]&amp;1)*(1/PptoSty[Division]),(PptoSty[Division]&lt;&gt;0)*(PptoSty[Division]&lt;&gt;"")*(PptoSty[Division]&lt;&gt;"X")*(PptoSty[Project]=$B72)*(PptoSty[Vrs]=$D72)*(PptoSty[PiRow]=_xlfn.TEXTAFTER($H72,":"))*(PptoSty[PiColumn]=Q$54),0)),SUM(IF((INDIRECT($B$3)=$B72)*(INDIRECT($C$3)=$D72)*((INDIRECT($E$3)="TOTS")+(INDIRECT($E$3)=$E72)),INDIRECT(Q$3)))),_xlpm.y,SUM(_xlfn.CHOOSECOLS(_xlfn._xlws.FILTER(F_RT14[],(F_RT14[PrjId]=$B72)*(F_RT14[Vrs]=$D72)*(_xlfn.TEXTAFTER(F_RT14[ActGrp],":")=_xlfn.TEXTAFTER($H72,":")),"X"),MATCH("*"&amp;Q$54,F_RT14[#Headers],0))),IF(AND(_xlpm.x=0,_xlpm.y&lt;&gt;0),-1,IF(AND(_xlpm.x&lt;&gt;0,_xlpm.y&lt;&gt;0),_xlpm.x,IF(AND(_xlpm.x-SUM(IF((INDIRECT($B$3)=$B72)*(INDIRECT($C$3)=$D72)*((INDIRECT($E$3)="TOTS")+(INDIRECT($E$3)=$E72)),INDIRECT(Q$3)))&lt;&gt;0,_xlpm.y=0),-2,_xlpm.x)))),0))</f>
        <v>0</v>
      </c>
      <c r="R72" s="199" cm="1">
        <f t="array" aca="1" ref="R72" ca="1">IF(OR($B72="",$B72="X",$D72="",$D72="X",$E72="",$E72="X"),0,IFERROR(_xlfn.LET(_xlpm.x,SUM(SUM(_xlfn._xlws.FILTER(VALUE(PptoSty[Sign]&amp;1)*(1/PptoSty[Division]),(PptoSty[Division]&lt;&gt;0)*(PptoSty[Division]&lt;&gt;"")*(PptoSty[Division]&lt;&gt;"X")*(PptoSty[Project]=$B72)*(PptoSty[Vrs]=$D72)*(PptoSty[PiRow]=_xlfn.TEXTAFTER($H72,":"))*(PptoSty[PiColumn]=R$54),0)),SUM(IF((INDIRECT($B$3)=$B72)*(INDIRECT($C$3)=$D72)*((INDIRECT($E$3)="TOTS")+(INDIRECT($E$3)=$E72)),INDIRECT(R$3)))),_xlpm.y,SUM(_xlfn.CHOOSECOLS(_xlfn._xlws.FILTER(F_RT14[],(F_RT14[PrjId]=$B72)*(F_RT14[Vrs]=$D72)*(_xlfn.TEXTAFTER(F_RT14[ActGrp],":")=_xlfn.TEXTAFTER($H72,":")),"X"),MATCH("*"&amp;R$54,F_RT14[#Headers],0))),IF(AND(_xlpm.x=0,_xlpm.y&lt;&gt;0),-1,IF(AND(_xlpm.x&lt;&gt;0,_xlpm.y&lt;&gt;0),_xlpm.x,IF(AND(_xlpm.x-SUM(IF((INDIRECT($B$3)=$B72)*(INDIRECT($C$3)=$D72)*((INDIRECT($E$3)="TOTS")+(INDIRECT($E$3)=$E72)),INDIRECT(R$3)))&lt;&gt;0,_xlpm.y=0),-2,_xlpm.x)))),0))</f>
        <v>0</v>
      </c>
      <c r="S72" s="199" cm="1">
        <f t="array" aca="1" ref="S72" ca="1">IF(OR($B72="",$B72="X",$D72="",$D72="X",$E72="",$E72="X"),0,IFERROR(_xlfn.LET(_xlpm.x,SUM(SUM(_xlfn._xlws.FILTER(VALUE(PptoSty[Sign]&amp;1)*(1/PptoSty[Division]),(PptoSty[Division]&lt;&gt;0)*(PptoSty[Division]&lt;&gt;"")*(PptoSty[Division]&lt;&gt;"X")*(PptoSty[Project]=$B72)*(PptoSty[Vrs]=$D72)*(PptoSty[PiRow]=_xlfn.TEXTAFTER($H72,":"))*(PptoSty[PiColumn]=S$54),0)),SUM(IF((INDIRECT($B$3)=$B72)*(INDIRECT($C$3)=$D72)*((INDIRECT($E$3)="TOTS")+(INDIRECT($E$3)=$E72)),INDIRECT(S$3)))),_xlpm.y,SUM(_xlfn.CHOOSECOLS(_xlfn._xlws.FILTER(F_RT14[],(F_RT14[PrjId]=$B72)*(F_RT14[Vrs]=$D72)*(_xlfn.TEXTAFTER(F_RT14[ActGrp],":")=_xlfn.TEXTAFTER($H72,":")),"X"),MATCH("*"&amp;S$54,F_RT14[#Headers],0))),IF(AND(_xlpm.x=0,_xlpm.y&lt;&gt;0),-1,IF(AND(_xlpm.x&lt;&gt;0,_xlpm.y&lt;&gt;0),_xlpm.x,IF(AND(_xlpm.x-SUM(IF((INDIRECT($B$3)=$B72)*(INDIRECT($C$3)=$D72)*((INDIRECT($E$3)="TOTS")+(INDIRECT($E$3)=$E72)),INDIRECT(S$3)))&lt;&gt;0,_xlpm.y=0),-2,_xlpm.x)))),0))</f>
        <v>0</v>
      </c>
      <c r="T72" s="199" cm="1">
        <f t="array" aca="1" ref="T72" ca="1">IF(OR($B72="",$B72="X",$D72="",$D72="X",$E72="",$E72="X"),0,IFERROR(_xlfn.LET(_xlpm.x,SUM(SUM(_xlfn._xlws.FILTER(VALUE(PptoSty[Sign]&amp;1)*(1/PptoSty[Division]),(PptoSty[Division]&lt;&gt;0)*(PptoSty[Division]&lt;&gt;"")*(PptoSty[Division]&lt;&gt;"X")*(PptoSty[Project]=$B72)*(PptoSty[Vrs]=$D72)*(PptoSty[PiRow]=_xlfn.TEXTAFTER($H72,":"))*(PptoSty[PiColumn]=T$54),0)),SUM(IF((INDIRECT($B$3)=$B72)*(INDIRECT($C$3)=$D72)*((INDIRECT($E$3)="TOTS")+(INDIRECT($E$3)=$E72)),INDIRECT(T$3)))),_xlpm.y,SUM(_xlfn.CHOOSECOLS(_xlfn._xlws.FILTER(F_RT14[],(F_RT14[PrjId]=$B72)*(F_RT14[Vrs]=$D72)*(_xlfn.TEXTAFTER(F_RT14[ActGrp],":")=_xlfn.TEXTAFTER($H72,":")),"X"),MATCH("*"&amp;T$54,F_RT14[#Headers],0))),IF(AND(_xlpm.x=0,_xlpm.y&lt;&gt;0),-1,IF(AND(_xlpm.x&lt;&gt;0,_xlpm.y&lt;&gt;0),_xlpm.x,IF(AND(_xlpm.x-SUM(IF((INDIRECT($B$3)=$B72)*(INDIRECT($C$3)=$D72)*((INDIRECT($E$3)="TOTS")+(INDIRECT($E$3)=$E72)),INDIRECT(T$3)))&lt;&gt;0,_xlpm.y=0),-2,_xlpm.x)))),0))</f>
        <v>0</v>
      </c>
      <c r="U72" s="199" cm="1">
        <f t="array" aca="1" ref="U72" ca="1">IF(OR($B72="",$B72="X",$D72="",$D72="X",$E72="",$E72="X"),0,IFERROR(_xlfn.LET(_xlpm.x,SUM(SUM(_xlfn._xlws.FILTER(VALUE(PptoSty[Sign]&amp;1)*(1/PptoSty[Division]),(PptoSty[Division]&lt;&gt;0)*(PptoSty[Division]&lt;&gt;"")*(PptoSty[Division]&lt;&gt;"X")*(PptoSty[Project]=$B72)*(PptoSty[Vrs]=$D72)*(PptoSty[PiRow]=_xlfn.TEXTAFTER($H72,":"))*(PptoSty[PiColumn]=U$54),0)),SUM(IF((INDIRECT($B$3)=$B72)*(INDIRECT($C$3)=$D72)*((INDIRECT($E$3)="TOTS")+(INDIRECT($E$3)=$E72)),INDIRECT(U$3)))),_xlpm.y,SUM(_xlfn.CHOOSECOLS(_xlfn._xlws.FILTER(F_RT14[],(F_RT14[PrjId]=$B72)*(F_RT14[Vrs]=$D72)*(_xlfn.TEXTAFTER(F_RT14[ActGrp],":")=_xlfn.TEXTAFTER($H72,":")),"X"),MATCH("*"&amp;U$54,F_RT14[#Headers],0))),IF(AND(_xlpm.x=0,_xlpm.y&lt;&gt;0),-1,IF(AND(_xlpm.x&lt;&gt;0,_xlpm.y&lt;&gt;0),_xlpm.x,IF(AND(_xlpm.x-SUM(IF((INDIRECT($B$3)=$B72)*(INDIRECT($C$3)=$D72)*((INDIRECT($E$3)="TOTS")+(INDIRECT($E$3)=$E72)),INDIRECT(U$3)))&lt;&gt;0,_xlpm.y=0),-2,_xlpm.x)))),0))</f>
        <v>0</v>
      </c>
      <c r="V72" s="199" cm="1">
        <f t="array" aca="1" ref="V72" ca="1">IF(OR($B72="",$B72="X",$D72="",$D72="X",$E72="",$E72="X"),0,IFERROR(_xlfn.LET(_xlpm.x,SUM(SUM(_xlfn._xlws.FILTER(VALUE(PptoSty[Sign]&amp;1)*(1/PptoSty[Division]),(PptoSty[Division]&lt;&gt;0)*(PptoSty[Division]&lt;&gt;"")*(PptoSty[Division]&lt;&gt;"X")*(PptoSty[Project]=$B72)*(PptoSty[Vrs]=$D72)*(PptoSty[PiRow]=_xlfn.TEXTAFTER($H72,":"))*(PptoSty[PiColumn]=V$54),0)),SUM(IF((INDIRECT($B$3)=$B72)*(INDIRECT($C$3)=$D72)*((INDIRECT($E$3)="TOTS")+(INDIRECT($E$3)=$E72)),INDIRECT(V$3)))),_xlpm.y,SUM(_xlfn.CHOOSECOLS(_xlfn._xlws.FILTER(F_RT14[],(F_RT14[PrjId]=$B72)*(F_RT14[Vrs]=$D72)*(_xlfn.TEXTAFTER(F_RT14[ActGrp],":")=_xlfn.TEXTAFTER($H72,":")),"X"),MATCH("*"&amp;V$54,F_RT14[#Headers],0))),IF(AND(_xlpm.x=0,_xlpm.y&lt;&gt;0),-1,IF(AND(_xlpm.x&lt;&gt;0,_xlpm.y&lt;&gt;0),_xlpm.x,IF(AND(_xlpm.x-SUM(IF((INDIRECT($B$3)=$B72)*(INDIRECT($C$3)=$D72)*((INDIRECT($E$3)="TOTS")+(INDIRECT($E$3)=$E72)),INDIRECT(V$3)))&lt;&gt;0,_xlpm.y=0),-2,_xlpm.x)))),0))</f>
        <v>0</v>
      </c>
      <c r="W72" s="199" cm="1">
        <f t="array" aca="1" ref="W72" ca="1">IF(OR($B72="",$B72="X",$D72="",$D72="X",$E72="",$E72="X"),0,IFERROR(_xlfn.LET(_xlpm.x,SUM(SUM(_xlfn._xlws.FILTER(VALUE(PptoSty[Sign]&amp;1)*(1/PptoSty[Division]),(PptoSty[Division]&lt;&gt;0)*(PptoSty[Division]&lt;&gt;"")*(PptoSty[Division]&lt;&gt;"X")*(PptoSty[Project]=$B72)*(PptoSty[Vrs]=$D72)*(PptoSty[PiRow]=_xlfn.TEXTAFTER($H72,":"))*(PptoSty[PiColumn]=W$54),0)),SUM(IF((INDIRECT($B$3)=$B72)*(INDIRECT($C$3)=$D72)*((INDIRECT($E$3)="TOTS")+(INDIRECT($E$3)=$E72)),INDIRECT(W$3)))),_xlpm.y,SUM(_xlfn.CHOOSECOLS(_xlfn._xlws.FILTER(F_RT14[],(F_RT14[PrjId]=$B72)*(F_RT14[Vrs]=$D72)*(_xlfn.TEXTAFTER(F_RT14[ActGrp],":")=_xlfn.TEXTAFTER($H72,":")),"X"),MATCH("*"&amp;W$54,F_RT14[#Headers],0))),IF(AND(_xlpm.x=0,_xlpm.y&lt;&gt;0),-1,IF(AND(_xlpm.x&lt;&gt;0,_xlpm.y&lt;&gt;0),_xlpm.x,IF(AND(_xlpm.x-SUM(IF((INDIRECT($B$3)=$B72)*(INDIRECT($C$3)=$D72)*((INDIRECT($E$3)="TOTS")+(INDIRECT($E$3)=$E72)),INDIRECT(W$3)))&lt;&gt;0,_xlpm.y=0),-2,_xlpm.x)))),0))</f>
        <v>0</v>
      </c>
      <c r="X72" s="199" cm="1">
        <f t="array" aca="1" ref="X72" ca="1">IF(OR($B72="",$B72="X",$D72="",$D72="X",$E72="",$E72="X"),0,IFERROR(_xlfn.LET(_xlpm.x,SUM(SUM(_xlfn._xlws.FILTER(VALUE(PptoSty[Sign]&amp;1)*(1/PptoSty[Division]),(PptoSty[Division]&lt;&gt;0)*(PptoSty[Division]&lt;&gt;"")*(PptoSty[Division]&lt;&gt;"X")*(PptoSty[Project]=$B72)*(PptoSty[Vrs]=$D72)*(PptoSty[PiRow]=_xlfn.TEXTAFTER($H72,":"))*(PptoSty[PiColumn]=X$54),0)),SUM(IF((INDIRECT($B$3)=$B72)*(INDIRECT($C$3)=$D72)*((INDIRECT($E$3)="TOTS")+(INDIRECT($E$3)=$E72)),INDIRECT(X$3)))),_xlpm.y,SUM(_xlfn.CHOOSECOLS(_xlfn._xlws.FILTER(F_RT14[],(F_RT14[PrjId]=$B72)*(F_RT14[Vrs]=$D72)*(_xlfn.TEXTAFTER(F_RT14[ActGrp],":")=_xlfn.TEXTAFTER($H72,":")),"X"),MATCH("*"&amp;X$54,F_RT14[#Headers],0))),IF(AND(_xlpm.x=0,_xlpm.y&lt;&gt;0),-1,IF(AND(_xlpm.x&lt;&gt;0,_xlpm.y&lt;&gt;0),_xlpm.x,IF(AND(_xlpm.x-SUM(IF((INDIRECT($B$3)=$B72)*(INDIRECT($C$3)=$D72)*((INDIRECT($E$3)="TOTS")+(INDIRECT($E$3)=$E72)),INDIRECT(X$3)))&lt;&gt;0,_xlpm.y=0),-2,_xlpm.x)))),0))</f>
        <v>0</v>
      </c>
      <c r="Y72" s="199" cm="1">
        <f t="array" aca="1" ref="Y72" ca="1">IF(OR($B72="",$B72="X",$D72="",$D72="X",$E72="",$E72="X"),0,IFERROR(_xlfn.LET(_xlpm.x,SUM(SUM(_xlfn._xlws.FILTER(VALUE(PptoSty[Sign]&amp;1)*(1/PptoSty[Division]),(PptoSty[Division]&lt;&gt;0)*(PptoSty[Division]&lt;&gt;"")*(PptoSty[Division]&lt;&gt;"X")*(PptoSty[Project]=$B72)*(PptoSty[Vrs]=$D72)*(PptoSty[PiRow]=_xlfn.TEXTAFTER($H72,":"))*(PptoSty[PiColumn]=Y$54),0)),SUM(IF((INDIRECT($B$3)=$B72)*(INDIRECT($C$3)=$D72)*((INDIRECT($E$3)="TOTS")+(INDIRECT($E$3)=$E72)),INDIRECT(Y$3)))),_xlpm.y,SUM(_xlfn.CHOOSECOLS(_xlfn._xlws.FILTER(F_RT14[],(F_RT14[PrjId]=$B72)*(F_RT14[Vrs]=$D72)*(_xlfn.TEXTAFTER(F_RT14[ActGrp],":")=_xlfn.TEXTAFTER($H72,":")),"X"),MATCH("*"&amp;Y$54,F_RT14[#Headers],0))),IF(AND(_xlpm.x=0,_xlpm.y&lt;&gt;0),-1,IF(AND(_xlpm.x&lt;&gt;0,_xlpm.y&lt;&gt;0),_xlpm.x,IF(AND(_xlpm.x-SUM(IF((INDIRECT($B$3)=$B72)*(INDIRECT($C$3)=$D72)*((INDIRECT($E$3)="TOTS")+(INDIRECT($E$3)=$E72)),INDIRECT(Y$3)))&lt;&gt;0,_xlpm.y=0),-2,_xlpm.x)))),0))</f>
        <v>0</v>
      </c>
      <c r="Z72" s="198" t="str">
        <f t="shared" ca="1" si="2"/>
        <v>Fback!B72:Y72</v>
      </c>
    </row>
    <row r="73" spans="2:26" ht="21" customHeight="1" outlineLevel="1">
      <c r="B73" s="128" t="str">
        <v>31200</v>
      </c>
      <c r="C73" s="128" t="str">
        <v>Sp</v>
      </c>
      <c r="D73" s="128">
        <v>15</v>
      </c>
      <c r="E73" s="128" t="str">
        <v>DISI</v>
      </c>
      <c r="F73" s="139" t="str">
        <v>SERRA</v>
      </c>
      <c r="G73" s="139" t="str">
        <v>CurPpto</v>
      </c>
      <c r="H73" s="139" t="str">
        <v>G011:PROYECTO ELÉCTRICO HARD</v>
      </c>
      <c r="I73" s="199" cm="1">
        <f t="array" aca="1" ref="I73" ca="1">IF(OR($B73="",$B73="X",$D73="",$D73="X",$E73="",$E73="X"),0,IFERROR(_xlfn.LET(_xlpm.x,SUM(SUM(_xlfn._xlws.FILTER(VALUE(PptoSty[Sign]&amp;1)*(1/PptoSty[Division]),(PptoSty[Division]&lt;&gt;0)*(PptoSty[Division]&lt;&gt;"")*(PptoSty[Division]&lt;&gt;"X")*(PptoSty[Project]=$B73)*(PptoSty[Vrs]=$D73)*(PptoSty[PiRow]=_xlfn.TEXTAFTER($H73,":"))*(PptoSty[PiColumn]=I$54),0)),SUM(IF((INDIRECT($B$3)=$B73)*(INDIRECT($C$3)=$D73)*((INDIRECT($E$3)="TOTS")+(INDIRECT($E$3)=$E73)),INDIRECT(I$3)))),_xlpm.y,SUM(_xlfn.CHOOSECOLS(_xlfn._xlws.FILTER(F_RT14[],(F_RT14[PrjId]=$B73)*(F_RT14[Vrs]=$D73)*(_xlfn.TEXTAFTER(F_RT14[ActGrp],":")=_xlfn.TEXTAFTER($H73,":")),"X"),MATCH("*"&amp;I$54,F_RT14[#Headers],0))),IF(AND(_xlpm.x=0,_xlpm.y&lt;&gt;0),-1,IF(AND(_xlpm.x&lt;&gt;0,_xlpm.y&lt;&gt;0),_xlpm.x,IF(AND(_xlpm.x-SUM(IF((INDIRECT($B$3)=$B73)*(INDIRECT($C$3)=$D73)*((INDIRECT($E$3)="TOTS")+(INDIRECT($E$3)=$E73)),INDIRECT(I$3)))&lt;&gt;0,_xlpm.y=0),-2,_xlpm.x)))),0))</f>
        <v>0</v>
      </c>
      <c r="J73" s="199" cm="1">
        <f t="array" aca="1" ref="J73" ca="1">IF(OR($B73="",$B73="X",$D73="",$D73="X",$E73="",$E73="X"),0,IFERROR(_xlfn.LET(_xlpm.x,SUM(SUM(_xlfn._xlws.FILTER(VALUE(PptoSty[Sign]&amp;1)*(1/PptoSty[Division]),(PptoSty[Division]&lt;&gt;0)*(PptoSty[Division]&lt;&gt;"")*(PptoSty[Division]&lt;&gt;"X")*(PptoSty[Project]=$B73)*(PptoSty[Vrs]=$D73)*(PptoSty[PiRow]=_xlfn.TEXTAFTER($H73,":"))*(PptoSty[PiColumn]=J$54),0)),SUM(IF((INDIRECT($B$3)=$B73)*(INDIRECT($C$3)=$D73)*((INDIRECT($E$3)="TOTS")+(INDIRECT($E$3)=$E73)),INDIRECT(J$3)))),_xlpm.y,SUM(_xlfn.CHOOSECOLS(_xlfn._xlws.FILTER(F_RT14[],(F_RT14[PrjId]=$B73)*(F_RT14[Vrs]=$D73)*(_xlfn.TEXTAFTER(F_RT14[ActGrp],":")=_xlfn.TEXTAFTER($H73,":")),"X"),MATCH("*"&amp;J$54,F_RT14[#Headers],0))),IF(AND(_xlpm.x=0,_xlpm.y&lt;&gt;0),-1,IF(AND(_xlpm.x&lt;&gt;0,_xlpm.y&lt;&gt;0),_xlpm.x,IF(AND(_xlpm.x-SUM(IF((INDIRECT($B$3)=$B73)*(INDIRECT($C$3)=$D73)*((INDIRECT($E$3)="TOTS")+(INDIRECT($E$3)=$E73)),INDIRECT(J$3)))&lt;&gt;0,_xlpm.y=0),-2,_xlpm.x)))),0))</f>
        <v>0</v>
      </c>
      <c r="K73" s="199" cm="1">
        <f t="array" aca="1" ref="K73" ca="1">IF(OR($B73="",$B73="X",$D73="",$D73="X",$E73="",$E73="X"),0,IFERROR(_xlfn.LET(_xlpm.x,SUM(SUM(_xlfn._xlws.FILTER(VALUE(PptoSty[Sign]&amp;1)*(1/PptoSty[Division]),(PptoSty[Division]&lt;&gt;0)*(PptoSty[Division]&lt;&gt;"")*(PptoSty[Division]&lt;&gt;"X")*(PptoSty[Project]=$B73)*(PptoSty[Vrs]=$D73)*(PptoSty[PiRow]=_xlfn.TEXTAFTER($H73,":"))*(PptoSty[PiColumn]=K$54),0)),SUM(IF((INDIRECT($B$3)=$B73)*(INDIRECT($C$3)=$D73)*((INDIRECT($E$3)="TOTS")+(INDIRECT($E$3)=$E73)),INDIRECT(K$3)))),_xlpm.y,SUM(_xlfn.CHOOSECOLS(_xlfn._xlws.FILTER(F_RT14[],(F_RT14[PrjId]=$B73)*(F_RT14[Vrs]=$D73)*(_xlfn.TEXTAFTER(F_RT14[ActGrp],":")=_xlfn.TEXTAFTER($H73,":")),"X"),MATCH("*"&amp;K$54,F_RT14[#Headers],0))),IF(AND(_xlpm.x=0,_xlpm.y&lt;&gt;0),-1,IF(AND(_xlpm.x&lt;&gt;0,_xlpm.y&lt;&gt;0),_xlpm.x,IF(AND(_xlpm.x-SUM(IF((INDIRECT($B$3)=$B73)*(INDIRECT($C$3)=$D73)*((INDIRECT($E$3)="TOTS")+(INDIRECT($E$3)=$E73)),INDIRECT(K$3)))&lt;&gt;0,_xlpm.y=0),-2,_xlpm.x)))),0))</f>
        <v>0</v>
      </c>
      <c r="L73" s="199" cm="1">
        <f t="array" aca="1" ref="L73" ca="1">IF(OR($B73="",$B73="X",$D73="",$D73="X",$E73="",$E73="X"),0,IFERROR(_xlfn.LET(_xlpm.x,SUM(SUM(_xlfn._xlws.FILTER(VALUE(PptoSty[Sign]&amp;1)*(1/PptoSty[Division]),(PptoSty[Division]&lt;&gt;0)*(PptoSty[Division]&lt;&gt;"")*(PptoSty[Division]&lt;&gt;"X")*(PptoSty[Project]=$B73)*(PptoSty[Vrs]=$D73)*(PptoSty[PiRow]=_xlfn.TEXTAFTER($H73,":"))*(PptoSty[PiColumn]=L$54),0)),SUM(IF((INDIRECT($B$3)=$B73)*(INDIRECT($C$3)=$D73)*((INDIRECT($E$3)="TOTS")+(INDIRECT($E$3)=$E73)),INDIRECT(L$3)))),_xlpm.y,SUM(_xlfn.CHOOSECOLS(_xlfn._xlws.FILTER(F_RT14[],(F_RT14[PrjId]=$B73)*(F_RT14[Vrs]=$D73)*(_xlfn.TEXTAFTER(F_RT14[ActGrp],":")=_xlfn.TEXTAFTER($H73,":")),"X"),MATCH("*"&amp;L$54,F_RT14[#Headers],0))),IF(AND(_xlpm.x=0,_xlpm.y&lt;&gt;0),-1,IF(AND(_xlpm.x&lt;&gt;0,_xlpm.y&lt;&gt;0),_xlpm.x,IF(AND(_xlpm.x-SUM(IF((INDIRECT($B$3)=$B73)*(INDIRECT($C$3)=$D73)*((INDIRECT($E$3)="TOTS")+(INDIRECT($E$3)=$E73)),INDIRECT(L$3)))&lt;&gt;0,_xlpm.y=0),-2,_xlpm.x)))),0))</f>
        <v>0</v>
      </c>
      <c r="M73" s="199" cm="1">
        <f t="array" aca="1" ref="M73" ca="1">IF(OR($B73="",$B73="X",$D73="",$D73="X",$E73="",$E73="X"),0,IFERROR(_xlfn.LET(_xlpm.x,SUM(SUM(_xlfn._xlws.FILTER(VALUE(PptoSty[Sign]&amp;1)*(1/PptoSty[Division]),(PptoSty[Division]&lt;&gt;0)*(PptoSty[Division]&lt;&gt;"")*(PptoSty[Division]&lt;&gt;"X")*(PptoSty[Project]=$B73)*(PptoSty[Vrs]=$D73)*(PptoSty[PiRow]=_xlfn.TEXTAFTER($H73,":"))*(PptoSty[PiColumn]=M$54),0)),SUM(IF((INDIRECT($B$3)=$B73)*(INDIRECT($C$3)=$D73)*((INDIRECT($E$3)="TOTS")+(INDIRECT($E$3)=$E73)),INDIRECT(M$3)))),_xlpm.y,SUM(_xlfn.CHOOSECOLS(_xlfn._xlws.FILTER(F_RT14[],(F_RT14[PrjId]=$B73)*(F_RT14[Vrs]=$D73)*(_xlfn.TEXTAFTER(F_RT14[ActGrp],":")=_xlfn.TEXTAFTER($H73,":")),"X"),MATCH("*"&amp;M$54,F_RT14[#Headers],0))),IF(AND(_xlpm.x=0,_xlpm.y&lt;&gt;0),-1,IF(AND(_xlpm.x&lt;&gt;0,_xlpm.y&lt;&gt;0),_xlpm.x,IF(AND(_xlpm.x-SUM(IF((INDIRECT($B$3)=$B73)*(INDIRECT($C$3)=$D73)*((INDIRECT($E$3)="TOTS")+(INDIRECT($E$3)=$E73)),INDIRECT(M$3)))&lt;&gt;0,_xlpm.y=0),-2,_xlpm.x)))),0))</f>
        <v>1</v>
      </c>
      <c r="N73" s="199" cm="1">
        <f t="array" aca="1" ref="N73" ca="1">IF(OR($B73="",$B73="X",$D73="",$D73="X",$E73="",$E73="X"),0,IFERROR(_xlfn.LET(_xlpm.x,SUM(SUM(_xlfn._xlws.FILTER(VALUE(PptoSty[Sign]&amp;1)*(1/PptoSty[Division]),(PptoSty[Division]&lt;&gt;0)*(PptoSty[Division]&lt;&gt;"")*(PptoSty[Division]&lt;&gt;"X")*(PptoSty[Project]=$B73)*(PptoSty[Vrs]=$D73)*(PptoSty[PiRow]=_xlfn.TEXTAFTER($H73,":"))*(PptoSty[PiColumn]=N$54),0)),SUM(IF((INDIRECT($B$3)=$B73)*(INDIRECT($C$3)=$D73)*((INDIRECT($E$3)="TOTS")+(INDIRECT($E$3)=$E73)),INDIRECT(N$3)))),_xlpm.y,SUM(_xlfn.CHOOSECOLS(_xlfn._xlws.FILTER(F_RT14[],(F_RT14[PrjId]=$B73)*(F_RT14[Vrs]=$D73)*(_xlfn.TEXTAFTER(F_RT14[ActGrp],":")=_xlfn.TEXTAFTER($H73,":")),"X"),MATCH("*"&amp;N$54,F_RT14[#Headers],0))),IF(AND(_xlpm.x=0,_xlpm.y&lt;&gt;0),-1,IF(AND(_xlpm.x&lt;&gt;0,_xlpm.y&lt;&gt;0),_xlpm.x,IF(AND(_xlpm.x-SUM(IF((INDIRECT($B$3)=$B73)*(INDIRECT($C$3)=$D73)*((INDIRECT($E$3)="TOTS")+(INDIRECT($E$3)=$E73)),INDIRECT(N$3)))&lt;&gt;0,_xlpm.y=0),-2,_xlpm.x)))),0))</f>
        <v>0</v>
      </c>
      <c r="O73" s="199" cm="1">
        <f t="array" aca="1" ref="O73" ca="1">IF(OR($B73="",$B73="X",$D73="",$D73="X",$E73="",$E73="X"),0,IFERROR(_xlfn.LET(_xlpm.x,SUM(SUM(_xlfn._xlws.FILTER(VALUE(PptoSty[Sign]&amp;1)*(1/PptoSty[Division]),(PptoSty[Division]&lt;&gt;0)*(PptoSty[Division]&lt;&gt;"")*(PptoSty[Division]&lt;&gt;"X")*(PptoSty[Project]=$B73)*(PptoSty[Vrs]=$D73)*(PptoSty[PiRow]=_xlfn.TEXTAFTER($H73,":"))*(PptoSty[PiColumn]=O$54),0)),SUM(IF((INDIRECT($B$3)=$B73)*(INDIRECT($C$3)=$D73)*((INDIRECT($E$3)="TOTS")+(INDIRECT($E$3)=$E73)),INDIRECT(O$3)))),_xlpm.y,SUM(_xlfn.CHOOSECOLS(_xlfn._xlws.FILTER(F_RT14[],(F_RT14[PrjId]=$B73)*(F_RT14[Vrs]=$D73)*(_xlfn.TEXTAFTER(F_RT14[ActGrp],":")=_xlfn.TEXTAFTER($H73,":")),"X"),MATCH("*"&amp;O$54,F_RT14[#Headers],0))),IF(AND(_xlpm.x=0,_xlpm.y&lt;&gt;0),-1,IF(AND(_xlpm.x&lt;&gt;0,_xlpm.y&lt;&gt;0),_xlpm.x,IF(AND(_xlpm.x-SUM(IF((INDIRECT($B$3)=$B73)*(INDIRECT($C$3)=$D73)*((INDIRECT($E$3)="TOTS")+(INDIRECT($E$3)=$E73)),INDIRECT(O$3)))&lt;&gt;0,_xlpm.y=0),-2,_xlpm.x)))),0))</f>
        <v>0</v>
      </c>
      <c r="P73" s="199" cm="1">
        <f t="array" aca="1" ref="P73" ca="1">IF(OR($B73="",$B73="X",$D73="",$D73="X",$E73="",$E73="X"),0,IFERROR(_xlfn.LET(_xlpm.x,SUM(SUM(_xlfn._xlws.FILTER(VALUE(PptoSty[Sign]&amp;1)*(1/PptoSty[Division]),(PptoSty[Division]&lt;&gt;0)*(PptoSty[Division]&lt;&gt;"")*(PptoSty[Division]&lt;&gt;"X")*(PptoSty[Project]=$B73)*(PptoSty[Vrs]=$D73)*(PptoSty[PiRow]=_xlfn.TEXTAFTER($H73,":"))*(PptoSty[PiColumn]=P$54),0)),SUM(IF((INDIRECT($B$3)=$B73)*(INDIRECT($C$3)=$D73)*((INDIRECT($E$3)="TOTS")+(INDIRECT($E$3)=$E73)),INDIRECT(P$3)))),_xlpm.y,SUM(_xlfn.CHOOSECOLS(_xlfn._xlws.FILTER(F_RT14[],(F_RT14[PrjId]=$B73)*(F_RT14[Vrs]=$D73)*(_xlfn.TEXTAFTER(F_RT14[ActGrp],":")=_xlfn.TEXTAFTER($H73,":")),"X"),MATCH("*"&amp;P$54,F_RT14[#Headers],0))),IF(AND(_xlpm.x=0,_xlpm.y&lt;&gt;0),-1,IF(AND(_xlpm.x&lt;&gt;0,_xlpm.y&lt;&gt;0),_xlpm.x,IF(AND(_xlpm.x-SUM(IF((INDIRECT($B$3)=$B73)*(INDIRECT($C$3)=$D73)*((INDIRECT($E$3)="TOTS")+(INDIRECT($E$3)=$E73)),INDIRECT(P$3)))&lt;&gt;0,_xlpm.y=0),-2,_xlpm.x)))),0))</f>
        <v>0</v>
      </c>
      <c r="Q73" s="199" cm="1">
        <f t="array" aca="1" ref="Q73" ca="1">IF(OR($B73="",$B73="X",$D73="",$D73="X",$E73="",$E73="X"),0,IFERROR(_xlfn.LET(_xlpm.x,SUM(SUM(_xlfn._xlws.FILTER(VALUE(PptoSty[Sign]&amp;1)*(1/PptoSty[Division]),(PptoSty[Division]&lt;&gt;0)*(PptoSty[Division]&lt;&gt;"")*(PptoSty[Division]&lt;&gt;"X")*(PptoSty[Project]=$B73)*(PptoSty[Vrs]=$D73)*(PptoSty[PiRow]=_xlfn.TEXTAFTER($H73,":"))*(PptoSty[PiColumn]=Q$54),0)),SUM(IF((INDIRECT($B$3)=$B73)*(INDIRECT($C$3)=$D73)*((INDIRECT($E$3)="TOTS")+(INDIRECT($E$3)=$E73)),INDIRECT(Q$3)))),_xlpm.y,SUM(_xlfn.CHOOSECOLS(_xlfn._xlws.FILTER(F_RT14[],(F_RT14[PrjId]=$B73)*(F_RT14[Vrs]=$D73)*(_xlfn.TEXTAFTER(F_RT14[ActGrp],":")=_xlfn.TEXTAFTER($H73,":")),"X"),MATCH("*"&amp;Q$54,F_RT14[#Headers],0))),IF(AND(_xlpm.x=0,_xlpm.y&lt;&gt;0),-1,IF(AND(_xlpm.x&lt;&gt;0,_xlpm.y&lt;&gt;0),_xlpm.x,IF(AND(_xlpm.x-SUM(IF((INDIRECT($B$3)=$B73)*(INDIRECT($C$3)=$D73)*((INDIRECT($E$3)="TOTS")+(INDIRECT($E$3)=$E73)),INDIRECT(Q$3)))&lt;&gt;0,_xlpm.y=0),-2,_xlpm.x)))),0))</f>
        <v>0</v>
      </c>
      <c r="R73" s="199" cm="1">
        <f t="array" aca="1" ref="R73" ca="1">IF(OR($B73="",$B73="X",$D73="",$D73="X",$E73="",$E73="X"),0,IFERROR(_xlfn.LET(_xlpm.x,SUM(SUM(_xlfn._xlws.FILTER(VALUE(PptoSty[Sign]&amp;1)*(1/PptoSty[Division]),(PptoSty[Division]&lt;&gt;0)*(PptoSty[Division]&lt;&gt;"")*(PptoSty[Division]&lt;&gt;"X")*(PptoSty[Project]=$B73)*(PptoSty[Vrs]=$D73)*(PptoSty[PiRow]=_xlfn.TEXTAFTER($H73,":"))*(PptoSty[PiColumn]=R$54),0)),SUM(IF((INDIRECT($B$3)=$B73)*(INDIRECT($C$3)=$D73)*((INDIRECT($E$3)="TOTS")+(INDIRECT($E$3)=$E73)),INDIRECT(R$3)))),_xlpm.y,SUM(_xlfn.CHOOSECOLS(_xlfn._xlws.FILTER(F_RT14[],(F_RT14[PrjId]=$B73)*(F_RT14[Vrs]=$D73)*(_xlfn.TEXTAFTER(F_RT14[ActGrp],":")=_xlfn.TEXTAFTER($H73,":")),"X"),MATCH("*"&amp;R$54,F_RT14[#Headers],0))),IF(AND(_xlpm.x=0,_xlpm.y&lt;&gt;0),-1,IF(AND(_xlpm.x&lt;&gt;0,_xlpm.y&lt;&gt;0),_xlpm.x,IF(AND(_xlpm.x-SUM(IF((INDIRECT($B$3)=$B73)*(INDIRECT($C$3)=$D73)*((INDIRECT($E$3)="TOTS")+(INDIRECT($E$3)=$E73)),INDIRECT(R$3)))&lt;&gt;0,_xlpm.y=0),-2,_xlpm.x)))),0))</f>
        <v>0</v>
      </c>
      <c r="S73" s="199" cm="1">
        <f t="array" aca="1" ref="S73" ca="1">IF(OR($B73="",$B73="X",$D73="",$D73="X",$E73="",$E73="X"),0,IFERROR(_xlfn.LET(_xlpm.x,SUM(SUM(_xlfn._xlws.FILTER(VALUE(PptoSty[Sign]&amp;1)*(1/PptoSty[Division]),(PptoSty[Division]&lt;&gt;0)*(PptoSty[Division]&lt;&gt;"")*(PptoSty[Division]&lt;&gt;"X")*(PptoSty[Project]=$B73)*(PptoSty[Vrs]=$D73)*(PptoSty[PiRow]=_xlfn.TEXTAFTER($H73,":"))*(PptoSty[PiColumn]=S$54),0)),SUM(IF((INDIRECT($B$3)=$B73)*(INDIRECT($C$3)=$D73)*((INDIRECT($E$3)="TOTS")+(INDIRECT($E$3)=$E73)),INDIRECT(S$3)))),_xlpm.y,SUM(_xlfn.CHOOSECOLS(_xlfn._xlws.FILTER(F_RT14[],(F_RT14[PrjId]=$B73)*(F_RT14[Vrs]=$D73)*(_xlfn.TEXTAFTER(F_RT14[ActGrp],":")=_xlfn.TEXTAFTER($H73,":")),"X"),MATCH("*"&amp;S$54,F_RT14[#Headers],0))),IF(AND(_xlpm.x=0,_xlpm.y&lt;&gt;0),-1,IF(AND(_xlpm.x&lt;&gt;0,_xlpm.y&lt;&gt;0),_xlpm.x,IF(AND(_xlpm.x-SUM(IF((INDIRECT($B$3)=$B73)*(INDIRECT($C$3)=$D73)*((INDIRECT($E$3)="TOTS")+(INDIRECT($E$3)=$E73)),INDIRECT(S$3)))&lt;&gt;0,_xlpm.y=0),-2,_xlpm.x)))),0))</f>
        <v>0</v>
      </c>
      <c r="T73" s="199" cm="1">
        <f t="array" aca="1" ref="T73" ca="1">IF(OR($B73="",$B73="X",$D73="",$D73="X",$E73="",$E73="X"),0,IFERROR(_xlfn.LET(_xlpm.x,SUM(SUM(_xlfn._xlws.FILTER(VALUE(PptoSty[Sign]&amp;1)*(1/PptoSty[Division]),(PptoSty[Division]&lt;&gt;0)*(PptoSty[Division]&lt;&gt;"")*(PptoSty[Division]&lt;&gt;"X")*(PptoSty[Project]=$B73)*(PptoSty[Vrs]=$D73)*(PptoSty[PiRow]=_xlfn.TEXTAFTER($H73,":"))*(PptoSty[PiColumn]=T$54),0)),SUM(IF((INDIRECT($B$3)=$B73)*(INDIRECT($C$3)=$D73)*((INDIRECT($E$3)="TOTS")+(INDIRECT($E$3)=$E73)),INDIRECT(T$3)))),_xlpm.y,SUM(_xlfn.CHOOSECOLS(_xlfn._xlws.FILTER(F_RT14[],(F_RT14[PrjId]=$B73)*(F_RT14[Vrs]=$D73)*(_xlfn.TEXTAFTER(F_RT14[ActGrp],":")=_xlfn.TEXTAFTER($H73,":")),"X"),MATCH("*"&amp;T$54,F_RT14[#Headers],0))),IF(AND(_xlpm.x=0,_xlpm.y&lt;&gt;0),-1,IF(AND(_xlpm.x&lt;&gt;0,_xlpm.y&lt;&gt;0),_xlpm.x,IF(AND(_xlpm.x-SUM(IF((INDIRECT($B$3)=$B73)*(INDIRECT($C$3)=$D73)*((INDIRECT($E$3)="TOTS")+(INDIRECT($E$3)=$E73)),INDIRECT(T$3)))&lt;&gt;0,_xlpm.y=0),-2,_xlpm.x)))),0))</f>
        <v>0</v>
      </c>
      <c r="U73" s="199" cm="1">
        <f t="array" aca="1" ref="U73" ca="1">IF(OR($B73="",$B73="X",$D73="",$D73="X",$E73="",$E73="X"),0,IFERROR(_xlfn.LET(_xlpm.x,SUM(SUM(_xlfn._xlws.FILTER(VALUE(PptoSty[Sign]&amp;1)*(1/PptoSty[Division]),(PptoSty[Division]&lt;&gt;0)*(PptoSty[Division]&lt;&gt;"")*(PptoSty[Division]&lt;&gt;"X")*(PptoSty[Project]=$B73)*(PptoSty[Vrs]=$D73)*(PptoSty[PiRow]=_xlfn.TEXTAFTER($H73,":"))*(PptoSty[PiColumn]=U$54),0)),SUM(IF((INDIRECT($B$3)=$B73)*(INDIRECT($C$3)=$D73)*((INDIRECT($E$3)="TOTS")+(INDIRECT($E$3)=$E73)),INDIRECT(U$3)))),_xlpm.y,SUM(_xlfn.CHOOSECOLS(_xlfn._xlws.FILTER(F_RT14[],(F_RT14[PrjId]=$B73)*(F_RT14[Vrs]=$D73)*(_xlfn.TEXTAFTER(F_RT14[ActGrp],":")=_xlfn.TEXTAFTER($H73,":")),"X"),MATCH("*"&amp;U$54,F_RT14[#Headers],0))),IF(AND(_xlpm.x=0,_xlpm.y&lt;&gt;0),-1,IF(AND(_xlpm.x&lt;&gt;0,_xlpm.y&lt;&gt;0),_xlpm.x,IF(AND(_xlpm.x-SUM(IF((INDIRECT($B$3)=$B73)*(INDIRECT($C$3)=$D73)*((INDIRECT($E$3)="TOTS")+(INDIRECT($E$3)=$E73)),INDIRECT(U$3)))&lt;&gt;0,_xlpm.y=0),-2,_xlpm.x)))),0))</f>
        <v>0</v>
      </c>
      <c r="V73" s="199" cm="1">
        <f t="array" aca="1" ref="V73" ca="1">IF(OR($B73="",$B73="X",$D73="",$D73="X",$E73="",$E73="X"),0,IFERROR(_xlfn.LET(_xlpm.x,SUM(SUM(_xlfn._xlws.FILTER(VALUE(PptoSty[Sign]&amp;1)*(1/PptoSty[Division]),(PptoSty[Division]&lt;&gt;0)*(PptoSty[Division]&lt;&gt;"")*(PptoSty[Division]&lt;&gt;"X")*(PptoSty[Project]=$B73)*(PptoSty[Vrs]=$D73)*(PptoSty[PiRow]=_xlfn.TEXTAFTER($H73,":"))*(PptoSty[PiColumn]=V$54),0)),SUM(IF((INDIRECT($B$3)=$B73)*(INDIRECT($C$3)=$D73)*((INDIRECT($E$3)="TOTS")+(INDIRECT($E$3)=$E73)),INDIRECT(V$3)))),_xlpm.y,SUM(_xlfn.CHOOSECOLS(_xlfn._xlws.FILTER(F_RT14[],(F_RT14[PrjId]=$B73)*(F_RT14[Vrs]=$D73)*(_xlfn.TEXTAFTER(F_RT14[ActGrp],":")=_xlfn.TEXTAFTER($H73,":")),"X"),MATCH("*"&amp;V$54,F_RT14[#Headers],0))),IF(AND(_xlpm.x=0,_xlpm.y&lt;&gt;0),-1,IF(AND(_xlpm.x&lt;&gt;0,_xlpm.y&lt;&gt;0),_xlpm.x,IF(AND(_xlpm.x-SUM(IF((INDIRECT($B$3)=$B73)*(INDIRECT($C$3)=$D73)*((INDIRECT($E$3)="TOTS")+(INDIRECT($E$3)=$E73)),INDIRECT(V$3)))&lt;&gt;0,_xlpm.y=0),-2,_xlpm.x)))),0))</f>
        <v>0</v>
      </c>
      <c r="W73" s="199" cm="1">
        <f t="array" aca="1" ref="W73" ca="1">IF(OR($B73="",$B73="X",$D73="",$D73="X",$E73="",$E73="X"),0,IFERROR(_xlfn.LET(_xlpm.x,SUM(SUM(_xlfn._xlws.FILTER(VALUE(PptoSty[Sign]&amp;1)*(1/PptoSty[Division]),(PptoSty[Division]&lt;&gt;0)*(PptoSty[Division]&lt;&gt;"")*(PptoSty[Division]&lt;&gt;"X")*(PptoSty[Project]=$B73)*(PptoSty[Vrs]=$D73)*(PptoSty[PiRow]=_xlfn.TEXTAFTER($H73,":"))*(PptoSty[PiColumn]=W$54),0)),SUM(IF((INDIRECT($B$3)=$B73)*(INDIRECT($C$3)=$D73)*((INDIRECT($E$3)="TOTS")+(INDIRECT($E$3)=$E73)),INDIRECT(W$3)))),_xlpm.y,SUM(_xlfn.CHOOSECOLS(_xlfn._xlws.FILTER(F_RT14[],(F_RT14[PrjId]=$B73)*(F_RT14[Vrs]=$D73)*(_xlfn.TEXTAFTER(F_RT14[ActGrp],":")=_xlfn.TEXTAFTER($H73,":")),"X"),MATCH("*"&amp;W$54,F_RT14[#Headers],0))),IF(AND(_xlpm.x=0,_xlpm.y&lt;&gt;0),-1,IF(AND(_xlpm.x&lt;&gt;0,_xlpm.y&lt;&gt;0),_xlpm.x,IF(AND(_xlpm.x-SUM(IF((INDIRECT($B$3)=$B73)*(INDIRECT($C$3)=$D73)*((INDIRECT($E$3)="TOTS")+(INDIRECT($E$3)=$E73)),INDIRECT(W$3)))&lt;&gt;0,_xlpm.y=0),-2,_xlpm.x)))),0))</f>
        <v>0</v>
      </c>
      <c r="X73" s="199" cm="1">
        <f t="array" aca="1" ref="X73" ca="1">IF(OR($B73="",$B73="X",$D73="",$D73="X",$E73="",$E73="X"),0,IFERROR(_xlfn.LET(_xlpm.x,SUM(SUM(_xlfn._xlws.FILTER(VALUE(PptoSty[Sign]&amp;1)*(1/PptoSty[Division]),(PptoSty[Division]&lt;&gt;0)*(PptoSty[Division]&lt;&gt;"")*(PptoSty[Division]&lt;&gt;"X")*(PptoSty[Project]=$B73)*(PptoSty[Vrs]=$D73)*(PptoSty[PiRow]=_xlfn.TEXTAFTER($H73,":"))*(PptoSty[PiColumn]=X$54),0)),SUM(IF((INDIRECT($B$3)=$B73)*(INDIRECT($C$3)=$D73)*((INDIRECT($E$3)="TOTS")+(INDIRECT($E$3)=$E73)),INDIRECT(X$3)))),_xlpm.y,SUM(_xlfn.CHOOSECOLS(_xlfn._xlws.FILTER(F_RT14[],(F_RT14[PrjId]=$B73)*(F_RT14[Vrs]=$D73)*(_xlfn.TEXTAFTER(F_RT14[ActGrp],":")=_xlfn.TEXTAFTER($H73,":")),"X"),MATCH("*"&amp;X$54,F_RT14[#Headers],0))),IF(AND(_xlpm.x=0,_xlpm.y&lt;&gt;0),-1,IF(AND(_xlpm.x&lt;&gt;0,_xlpm.y&lt;&gt;0),_xlpm.x,IF(AND(_xlpm.x-SUM(IF((INDIRECT($B$3)=$B73)*(INDIRECT($C$3)=$D73)*((INDIRECT($E$3)="TOTS")+(INDIRECT($E$3)=$E73)),INDIRECT(X$3)))&lt;&gt;0,_xlpm.y=0),-2,_xlpm.x)))),0))</f>
        <v>0</v>
      </c>
      <c r="Y73" s="199" cm="1">
        <f t="array" aca="1" ref="Y73" ca="1">IF(OR($B73="",$B73="X",$D73="",$D73="X",$E73="",$E73="X"),0,IFERROR(_xlfn.LET(_xlpm.x,SUM(SUM(_xlfn._xlws.FILTER(VALUE(PptoSty[Sign]&amp;1)*(1/PptoSty[Division]),(PptoSty[Division]&lt;&gt;0)*(PptoSty[Division]&lt;&gt;"")*(PptoSty[Division]&lt;&gt;"X")*(PptoSty[Project]=$B73)*(PptoSty[Vrs]=$D73)*(PptoSty[PiRow]=_xlfn.TEXTAFTER($H73,":"))*(PptoSty[PiColumn]=Y$54),0)),SUM(IF((INDIRECT($B$3)=$B73)*(INDIRECT($C$3)=$D73)*((INDIRECT($E$3)="TOTS")+(INDIRECT($E$3)=$E73)),INDIRECT(Y$3)))),_xlpm.y,SUM(_xlfn.CHOOSECOLS(_xlfn._xlws.FILTER(F_RT14[],(F_RT14[PrjId]=$B73)*(F_RT14[Vrs]=$D73)*(_xlfn.TEXTAFTER(F_RT14[ActGrp],":")=_xlfn.TEXTAFTER($H73,":")),"X"),MATCH("*"&amp;Y$54,F_RT14[#Headers],0))),IF(AND(_xlpm.x=0,_xlpm.y&lt;&gt;0),-1,IF(AND(_xlpm.x&lt;&gt;0,_xlpm.y&lt;&gt;0),_xlpm.x,IF(AND(_xlpm.x-SUM(IF((INDIRECT($B$3)=$B73)*(INDIRECT($C$3)=$D73)*((INDIRECT($E$3)="TOTS")+(INDIRECT($E$3)=$E73)),INDIRECT(Y$3)))&lt;&gt;0,_xlpm.y=0),-2,_xlpm.x)))),0))</f>
        <v>0</v>
      </c>
      <c r="Z73" s="198" t="str">
        <f t="shared" ca="1" si="2"/>
        <v>Fback!B73:Y73</v>
      </c>
    </row>
    <row r="74" spans="2:26" ht="21" customHeight="1" outlineLevel="1">
      <c r="B74" s="128" t="str">
        <v>31199</v>
      </c>
      <c r="C74" s="128" t="str">
        <v>Sp</v>
      </c>
      <c r="D74" s="128">
        <v>0</v>
      </c>
      <c r="E74" s="128" t="str">
        <v>DISI</v>
      </c>
      <c r="F74" s="139" t="str">
        <v>SERRA</v>
      </c>
      <c r="G74" s="139" t="str">
        <v>CurPpto</v>
      </c>
      <c r="H74" s="139" t="str">
        <v>G012:OFF LINE PLC &amp; ROBOTICA</v>
      </c>
      <c r="I74" s="199" cm="1">
        <f t="array" aca="1" ref="I74" ca="1">IF(OR($B74="",$B74="X",$D74="",$D74="X",$E74="",$E74="X"),0,IFERROR(_xlfn.LET(_xlpm.x,SUM(SUM(_xlfn._xlws.FILTER(VALUE(PptoSty[Sign]&amp;1)*(1/PptoSty[Division]),(PptoSty[Division]&lt;&gt;0)*(PptoSty[Division]&lt;&gt;"")*(PptoSty[Division]&lt;&gt;"X")*(PptoSty[Project]=$B74)*(PptoSty[Vrs]=$D74)*(PptoSty[PiRow]=_xlfn.TEXTAFTER($H74,":"))*(PptoSty[PiColumn]=I$54),0)),SUM(IF((INDIRECT($B$3)=$B74)*(INDIRECT($C$3)=$D74)*((INDIRECT($E$3)="TOTS")+(INDIRECT($E$3)=$E74)),INDIRECT(I$3)))),_xlpm.y,SUM(_xlfn.CHOOSECOLS(_xlfn._xlws.FILTER(F_RT14[],(F_RT14[PrjId]=$B74)*(F_RT14[Vrs]=$D74)*(_xlfn.TEXTAFTER(F_RT14[ActGrp],":")=_xlfn.TEXTAFTER($H74,":")),"X"),MATCH("*"&amp;I$54,F_RT14[#Headers],0))),IF(AND(_xlpm.x=0,_xlpm.y&lt;&gt;0),-1,IF(AND(_xlpm.x&lt;&gt;0,_xlpm.y&lt;&gt;0),_xlpm.x,IF(AND(_xlpm.x-SUM(IF((INDIRECT($B$3)=$B74)*(INDIRECT($C$3)=$D74)*((INDIRECT($E$3)="TOTS")+(INDIRECT($E$3)=$E74)),INDIRECT(I$3)))&lt;&gt;0,_xlpm.y=0),-2,_xlpm.x)))),0))</f>
        <v>0</v>
      </c>
      <c r="J74" s="199" cm="1">
        <f t="array" aca="1" ref="J74" ca="1">IF(OR($B74="",$B74="X",$D74="",$D74="X",$E74="",$E74="X"),0,IFERROR(_xlfn.LET(_xlpm.x,SUM(SUM(_xlfn._xlws.FILTER(VALUE(PptoSty[Sign]&amp;1)*(1/PptoSty[Division]),(PptoSty[Division]&lt;&gt;0)*(PptoSty[Division]&lt;&gt;"")*(PptoSty[Division]&lt;&gt;"X")*(PptoSty[Project]=$B74)*(PptoSty[Vrs]=$D74)*(PptoSty[PiRow]=_xlfn.TEXTAFTER($H74,":"))*(PptoSty[PiColumn]=J$54),0)),SUM(IF((INDIRECT($B$3)=$B74)*(INDIRECT($C$3)=$D74)*((INDIRECT($E$3)="TOTS")+(INDIRECT($E$3)=$E74)),INDIRECT(J$3)))),_xlpm.y,SUM(_xlfn.CHOOSECOLS(_xlfn._xlws.FILTER(F_RT14[],(F_RT14[PrjId]=$B74)*(F_RT14[Vrs]=$D74)*(_xlfn.TEXTAFTER(F_RT14[ActGrp],":")=_xlfn.TEXTAFTER($H74,":")),"X"),MATCH("*"&amp;J$54,F_RT14[#Headers],0))),IF(AND(_xlpm.x=0,_xlpm.y&lt;&gt;0),-1,IF(AND(_xlpm.x&lt;&gt;0,_xlpm.y&lt;&gt;0),_xlpm.x,IF(AND(_xlpm.x-SUM(IF((INDIRECT($B$3)=$B74)*(INDIRECT($C$3)=$D74)*((INDIRECT($E$3)="TOTS")+(INDIRECT($E$3)=$E74)),INDIRECT(J$3)))&lt;&gt;0,_xlpm.y=0),-2,_xlpm.x)))),0))</f>
        <v>0</v>
      </c>
      <c r="K74" s="199" cm="1">
        <f t="array" aca="1" ref="K74" ca="1">IF(OR($B74="",$B74="X",$D74="",$D74="X",$E74="",$E74="X"),0,IFERROR(_xlfn.LET(_xlpm.x,SUM(SUM(_xlfn._xlws.FILTER(VALUE(PptoSty[Sign]&amp;1)*(1/PptoSty[Division]),(PptoSty[Division]&lt;&gt;0)*(PptoSty[Division]&lt;&gt;"")*(PptoSty[Division]&lt;&gt;"X")*(PptoSty[Project]=$B74)*(PptoSty[Vrs]=$D74)*(PptoSty[PiRow]=_xlfn.TEXTAFTER($H74,":"))*(PptoSty[PiColumn]=K$54),0)),SUM(IF((INDIRECT($B$3)=$B74)*(INDIRECT($C$3)=$D74)*((INDIRECT($E$3)="TOTS")+(INDIRECT($E$3)=$E74)),INDIRECT(K$3)))),_xlpm.y,SUM(_xlfn.CHOOSECOLS(_xlfn._xlws.FILTER(F_RT14[],(F_RT14[PrjId]=$B74)*(F_RT14[Vrs]=$D74)*(_xlfn.TEXTAFTER(F_RT14[ActGrp],":")=_xlfn.TEXTAFTER($H74,":")),"X"),MATCH("*"&amp;K$54,F_RT14[#Headers],0))),IF(AND(_xlpm.x=0,_xlpm.y&lt;&gt;0),-1,IF(AND(_xlpm.x&lt;&gt;0,_xlpm.y&lt;&gt;0),_xlpm.x,IF(AND(_xlpm.x-SUM(IF((INDIRECT($B$3)=$B74)*(INDIRECT($C$3)=$D74)*((INDIRECT($E$3)="TOTS")+(INDIRECT($E$3)=$E74)),INDIRECT(K$3)))&lt;&gt;0,_xlpm.y=0),-2,_xlpm.x)))),0))</f>
        <v>0</v>
      </c>
      <c r="L74" s="199" cm="1">
        <f t="array" aca="1" ref="L74" ca="1">IF(OR($B74="",$B74="X",$D74="",$D74="X",$E74="",$E74="X"),0,IFERROR(_xlfn.LET(_xlpm.x,SUM(SUM(_xlfn._xlws.FILTER(VALUE(PptoSty[Sign]&amp;1)*(1/PptoSty[Division]),(PptoSty[Division]&lt;&gt;0)*(PptoSty[Division]&lt;&gt;"")*(PptoSty[Division]&lt;&gt;"X")*(PptoSty[Project]=$B74)*(PptoSty[Vrs]=$D74)*(PptoSty[PiRow]=_xlfn.TEXTAFTER($H74,":"))*(PptoSty[PiColumn]=L$54),0)),SUM(IF((INDIRECT($B$3)=$B74)*(INDIRECT($C$3)=$D74)*((INDIRECT($E$3)="TOTS")+(INDIRECT($E$3)=$E74)),INDIRECT(L$3)))),_xlpm.y,SUM(_xlfn.CHOOSECOLS(_xlfn._xlws.FILTER(F_RT14[],(F_RT14[PrjId]=$B74)*(F_RT14[Vrs]=$D74)*(_xlfn.TEXTAFTER(F_RT14[ActGrp],":")=_xlfn.TEXTAFTER($H74,":")),"X"),MATCH("*"&amp;L$54,F_RT14[#Headers],0))),IF(AND(_xlpm.x=0,_xlpm.y&lt;&gt;0),-1,IF(AND(_xlpm.x&lt;&gt;0,_xlpm.y&lt;&gt;0),_xlpm.x,IF(AND(_xlpm.x-SUM(IF((INDIRECT($B$3)=$B74)*(INDIRECT($C$3)=$D74)*((INDIRECT($E$3)="TOTS")+(INDIRECT($E$3)=$E74)),INDIRECT(L$3)))&lt;&gt;0,_xlpm.y=0),-2,_xlpm.x)))),0))</f>
        <v>0</v>
      </c>
      <c r="M74" s="199" cm="1">
        <f t="array" aca="1" ref="M74" ca="1">IF(OR($B74="",$B74="X",$D74="",$D74="X",$E74="",$E74="X"),0,IFERROR(_xlfn.LET(_xlpm.x,SUM(SUM(_xlfn._xlws.FILTER(VALUE(PptoSty[Sign]&amp;1)*(1/PptoSty[Division]),(PptoSty[Division]&lt;&gt;0)*(PptoSty[Division]&lt;&gt;"")*(PptoSty[Division]&lt;&gt;"X")*(PptoSty[Project]=$B74)*(PptoSty[Vrs]=$D74)*(PptoSty[PiRow]=_xlfn.TEXTAFTER($H74,":"))*(PptoSty[PiColumn]=M$54),0)),SUM(IF((INDIRECT($B$3)=$B74)*(INDIRECT($C$3)=$D74)*((INDIRECT($E$3)="TOTS")+(INDIRECT($E$3)=$E74)),INDIRECT(M$3)))),_xlpm.y,SUM(_xlfn.CHOOSECOLS(_xlfn._xlws.FILTER(F_RT14[],(F_RT14[PrjId]=$B74)*(F_RT14[Vrs]=$D74)*(_xlfn.TEXTAFTER(F_RT14[ActGrp],":")=_xlfn.TEXTAFTER($H74,":")),"X"),MATCH("*"&amp;M$54,F_RT14[#Headers],0))),IF(AND(_xlpm.x=0,_xlpm.y&lt;&gt;0),-1,IF(AND(_xlpm.x&lt;&gt;0,_xlpm.y&lt;&gt;0),_xlpm.x,IF(AND(_xlpm.x-SUM(IF((INDIRECT($B$3)=$B74)*(INDIRECT($C$3)=$D74)*((INDIRECT($E$3)="TOTS")+(INDIRECT($E$3)=$E74)),INDIRECT(M$3)))&lt;&gt;0,_xlpm.y=0),-2,_xlpm.x)))),0))</f>
        <v>1</v>
      </c>
      <c r="N74" s="199" cm="1">
        <f t="array" aca="1" ref="N74" ca="1">IF(OR($B74="",$B74="X",$D74="",$D74="X",$E74="",$E74="X"),0,IFERROR(_xlfn.LET(_xlpm.x,SUM(SUM(_xlfn._xlws.FILTER(VALUE(PptoSty[Sign]&amp;1)*(1/PptoSty[Division]),(PptoSty[Division]&lt;&gt;0)*(PptoSty[Division]&lt;&gt;"")*(PptoSty[Division]&lt;&gt;"X")*(PptoSty[Project]=$B74)*(PptoSty[Vrs]=$D74)*(PptoSty[PiRow]=_xlfn.TEXTAFTER($H74,":"))*(PptoSty[PiColumn]=N$54),0)),SUM(IF((INDIRECT($B$3)=$B74)*(INDIRECT($C$3)=$D74)*((INDIRECT($E$3)="TOTS")+(INDIRECT($E$3)=$E74)),INDIRECT(N$3)))),_xlpm.y,SUM(_xlfn.CHOOSECOLS(_xlfn._xlws.FILTER(F_RT14[],(F_RT14[PrjId]=$B74)*(F_RT14[Vrs]=$D74)*(_xlfn.TEXTAFTER(F_RT14[ActGrp],":")=_xlfn.TEXTAFTER($H74,":")),"X"),MATCH("*"&amp;N$54,F_RT14[#Headers],0))),IF(AND(_xlpm.x=0,_xlpm.y&lt;&gt;0),-1,IF(AND(_xlpm.x&lt;&gt;0,_xlpm.y&lt;&gt;0),_xlpm.x,IF(AND(_xlpm.x-SUM(IF((INDIRECT($B$3)=$B74)*(INDIRECT($C$3)=$D74)*((INDIRECT($E$3)="TOTS")+(INDIRECT($E$3)=$E74)),INDIRECT(N$3)))&lt;&gt;0,_xlpm.y=0),-2,_xlpm.x)))),0))</f>
        <v>0</v>
      </c>
      <c r="O74" s="199" cm="1">
        <f t="array" aca="1" ref="O74" ca="1">IF(OR($B74="",$B74="X",$D74="",$D74="X",$E74="",$E74="X"),0,IFERROR(_xlfn.LET(_xlpm.x,SUM(SUM(_xlfn._xlws.FILTER(VALUE(PptoSty[Sign]&amp;1)*(1/PptoSty[Division]),(PptoSty[Division]&lt;&gt;0)*(PptoSty[Division]&lt;&gt;"")*(PptoSty[Division]&lt;&gt;"X")*(PptoSty[Project]=$B74)*(PptoSty[Vrs]=$D74)*(PptoSty[PiRow]=_xlfn.TEXTAFTER($H74,":"))*(PptoSty[PiColumn]=O$54),0)),SUM(IF((INDIRECT($B$3)=$B74)*(INDIRECT($C$3)=$D74)*((INDIRECT($E$3)="TOTS")+(INDIRECT($E$3)=$E74)),INDIRECT(O$3)))),_xlpm.y,SUM(_xlfn.CHOOSECOLS(_xlfn._xlws.FILTER(F_RT14[],(F_RT14[PrjId]=$B74)*(F_RT14[Vrs]=$D74)*(_xlfn.TEXTAFTER(F_RT14[ActGrp],":")=_xlfn.TEXTAFTER($H74,":")),"X"),MATCH("*"&amp;O$54,F_RT14[#Headers],0))),IF(AND(_xlpm.x=0,_xlpm.y&lt;&gt;0),-1,IF(AND(_xlpm.x&lt;&gt;0,_xlpm.y&lt;&gt;0),_xlpm.x,IF(AND(_xlpm.x-SUM(IF((INDIRECT($B$3)=$B74)*(INDIRECT($C$3)=$D74)*((INDIRECT($E$3)="TOTS")+(INDIRECT($E$3)=$E74)),INDIRECT(O$3)))&lt;&gt;0,_xlpm.y=0),-2,_xlpm.x)))),0))</f>
        <v>1</v>
      </c>
      <c r="P74" s="199" cm="1">
        <f t="array" aca="1" ref="P74" ca="1">IF(OR($B74="",$B74="X",$D74="",$D74="X",$E74="",$E74="X"),0,IFERROR(_xlfn.LET(_xlpm.x,SUM(SUM(_xlfn._xlws.FILTER(VALUE(PptoSty[Sign]&amp;1)*(1/PptoSty[Division]),(PptoSty[Division]&lt;&gt;0)*(PptoSty[Division]&lt;&gt;"")*(PptoSty[Division]&lt;&gt;"X")*(PptoSty[Project]=$B74)*(PptoSty[Vrs]=$D74)*(PptoSty[PiRow]=_xlfn.TEXTAFTER($H74,":"))*(PptoSty[PiColumn]=P$54),0)),SUM(IF((INDIRECT($B$3)=$B74)*(INDIRECT($C$3)=$D74)*((INDIRECT($E$3)="TOTS")+(INDIRECT($E$3)=$E74)),INDIRECT(P$3)))),_xlpm.y,SUM(_xlfn.CHOOSECOLS(_xlfn._xlws.FILTER(F_RT14[],(F_RT14[PrjId]=$B74)*(F_RT14[Vrs]=$D74)*(_xlfn.TEXTAFTER(F_RT14[ActGrp],":")=_xlfn.TEXTAFTER($H74,":")),"X"),MATCH("*"&amp;P$54,F_RT14[#Headers],0))),IF(AND(_xlpm.x=0,_xlpm.y&lt;&gt;0),-1,IF(AND(_xlpm.x&lt;&gt;0,_xlpm.y&lt;&gt;0),_xlpm.x,IF(AND(_xlpm.x-SUM(IF((INDIRECT($B$3)=$B74)*(INDIRECT($C$3)=$D74)*((INDIRECT($E$3)="TOTS")+(INDIRECT($E$3)=$E74)),INDIRECT(P$3)))&lt;&gt;0,_xlpm.y=0),-2,_xlpm.x)))),0))</f>
        <v>0</v>
      </c>
      <c r="Q74" s="199" cm="1">
        <f t="array" aca="1" ref="Q74" ca="1">IF(OR($B74="",$B74="X",$D74="",$D74="X",$E74="",$E74="X"),0,IFERROR(_xlfn.LET(_xlpm.x,SUM(SUM(_xlfn._xlws.FILTER(VALUE(PptoSty[Sign]&amp;1)*(1/PptoSty[Division]),(PptoSty[Division]&lt;&gt;0)*(PptoSty[Division]&lt;&gt;"")*(PptoSty[Division]&lt;&gt;"X")*(PptoSty[Project]=$B74)*(PptoSty[Vrs]=$D74)*(PptoSty[PiRow]=_xlfn.TEXTAFTER($H74,":"))*(PptoSty[PiColumn]=Q$54),0)),SUM(IF((INDIRECT($B$3)=$B74)*(INDIRECT($C$3)=$D74)*((INDIRECT($E$3)="TOTS")+(INDIRECT($E$3)=$E74)),INDIRECT(Q$3)))),_xlpm.y,SUM(_xlfn.CHOOSECOLS(_xlfn._xlws.FILTER(F_RT14[],(F_RT14[PrjId]=$B74)*(F_RT14[Vrs]=$D74)*(_xlfn.TEXTAFTER(F_RT14[ActGrp],":")=_xlfn.TEXTAFTER($H74,":")),"X"),MATCH("*"&amp;Q$54,F_RT14[#Headers],0))),IF(AND(_xlpm.x=0,_xlpm.y&lt;&gt;0),-1,IF(AND(_xlpm.x&lt;&gt;0,_xlpm.y&lt;&gt;0),_xlpm.x,IF(AND(_xlpm.x-SUM(IF((INDIRECT($B$3)=$B74)*(INDIRECT($C$3)=$D74)*((INDIRECT($E$3)="TOTS")+(INDIRECT($E$3)=$E74)),INDIRECT(Q$3)))&lt;&gt;0,_xlpm.y=0),-2,_xlpm.x)))),0))</f>
        <v>0</v>
      </c>
      <c r="R74" s="199" cm="1">
        <f t="array" aca="1" ref="R74" ca="1">IF(OR($B74="",$B74="X",$D74="",$D74="X",$E74="",$E74="X"),0,IFERROR(_xlfn.LET(_xlpm.x,SUM(SUM(_xlfn._xlws.FILTER(VALUE(PptoSty[Sign]&amp;1)*(1/PptoSty[Division]),(PptoSty[Division]&lt;&gt;0)*(PptoSty[Division]&lt;&gt;"")*(PptoSty[Division]&lt;&gt;"X")*(PptoSty[Project]=$B74)*(PptoSty[Vrs]=$D74)*(PptoSty[PiRow]=_xlfn.TEXTAFTER($H74,":"))*(PptoSty[PiColumn]=R$54),0)),SUM(IF((INDIRECT($B$3)=$B74)*(INDIRECT($C$3)=$D74)*((INDIRECT($E$3)="TOTS")+(INDIRECT($E$3)=$E74)),INDIRECT(R$3)))),_xlpm.y,SUM(_xlfn.CHOOSECOLS(_xlfn._xlws.FILTER(F_RT14[],(F_RT14[PrjId]=$B74)*(F_RT14[Vrs]=$D74)*(_xlfn.TEXTAFTER(F_RT14[ActGrp],":")=_xlfn.TEXTAFTER($H74,":")),"X"),MATCH("*"&amp;R$54,F_RT14[#Headers],0))),IF(AND(_xlpm.x=0,_xlpm.y&lt;&gt;0),-1,IF(AND(_xlpm.x&lt;&gt;0,_xlpm.y&lt;&gt;0),_xlpm.x,IF(AND(_xlpm.x-SUM(IF((INDIRECT($B$3)=$B74)*(INDIRECT($C$3)=$D74)*((INDIRECT($E$3)="TOTS")+(INDIRECT($E$3)=$E74)),INDIRECT(R$3)))&lt;&gt;0,_xlpm.y=0),-2,_xlpm.x)))),0))</f>
        <v>0</v>
      </c>
      <c r="S74" s="199" cm="1">
        <f t="array" aca="1" ref="S74" ca="1">IF(OR($B74="",$B74="X",$D74="",$D74="X",$E74="",$E74="X"),0,IFERROR(_xlfn.LET(_xlpm.x,SUM(SUM(_xlfn._xlws.FILTER(VALUE(PptoSty[Sign]&amp;1)*(1/PptoSty[Division]),(PptoSty[Division]&lt;&gt;0)*(PptoSty[Division]&lt;&gt;"")*(PptoSty[Division]&lt;&gt;"X")*(PptoSty[Project]=$B74)*(PptoSty[Vrs]=$D74)*(PptoSty[PiRow]=_xlfn.TEXTAFTER($H74,":"))*(PptoSty[PiColumn]=S$54),0)),SUM(IF((INDIRECT($B$3)=$B74)*(INDIRECT($C$3)=$D74)*((INDIRECT($E$3)="TOTS")+(INDIRECT($E$3)=$E74)),INDIRECT(S$3)))),_xlpm.y,SUM(_xlfn.CHOOSECOLS(_xlfn._xlws.FILTER(F_RT14[],(F_RT14[PrjId]=$B74)*(F_RT14[Vrs]=$D74)*(_xlfn.TEXTAFTER(F_RT14[ActGrp],":")=_xlfn.TEXTAFTER($H74,":")),"X"),MATCH("*"&amp;S$54,F_RT14[#Headers],0))),IF(AND(_xlpm.x=0,_xlpm.y&lt;&gt;0),-1,IF(AND(_xlpm.x&lt;&gt;0,_xlpm.y&lt;&gt;0),_xlpm.x,IF(AND(_xlpm.x-SUM(IF((INDIRECT($B$3)=$B74)*(INDIRECT($C$3)=$D74)*((INDIRECT($E$3)="TOTS")+(INDIRECT($E$3)=$E74)),INDIRECT(S$3)))&lt;&gt;0,_xlpm.y=0),-2,_xlpm.x)))),0))</f>
        <v>0</v>
      </c>
      <c r="T74" s="199" cm="1">
        <f t="array" aca="1" ref="T74" ca="1">IF(OR($B74="",$B74="X",$D74="",$D74="X",$E74="",$E74="X"),0,IFERROR(_xlfn.LET(_xlpm.x,SUM(SUM(_xlfn._xlws.FILTER(VALUE(PptoSty[Sign]&amp;1)*(1/PptoSty[Division]),(PptoSty[Division]&lt;&gt;0)*(PptoSty[Division]&lt;&gt;"")*(PptoSty[Division]&lt;&gt;"X")*(PptoSty[Project]=$B74)*(PptoSty[Vrs]=$D74)*(PptoSty[PiRow]=_xlfn.TEXTAFTER($H74,":"))*(PptoSty[PiColumn]=T$54),0)),SUM(IF((INDIRECT($B$3)=$B74)*(INDIRECT($C$3)=$D74)*((INDIRECT($E$3)="TOTS")+(INDIRECT($E$3)=$E74)),INDIRECT(T$3)))),_xlpm.y,SUM(_xlfn.CHOOSECOLS(_xlfn._xlws.FILTER(F_RT14[],(F_RT14[PrjId]=$B74)*(F_RT14[Vrs]=$D74)*(_xlfn.TEXTAFTER(F_RT14[ActGrp],":")=_xlfn.TEXTAFTER($H74,":")),"X"),MATCH("*"&amp;T$54,F_RT14[#Headers],0))),IF(AND(_xlpm.x=0,_xlpm.y&lt;&gt;0),-1,IF(AND(_xlpm.x&lt;&gt;0,_xlpm.y&lt;&gt;0),_xlpm.x,IF(AND(_xlpm.x-SUM(IF((INDIRECT($B$3)=$B74)*(INDIRECT($C$3)=$D74)*((INDIRECT($E$3)="TOTS")+(INDIRECT($E$3)=$E74)),INDIRECT(T$3)))&lt;&gt;0,_xlpm.y=0),-2,_xlpm.x)))),0))</f>
        <v>0</v>
      </c>
      <c r="U74" s="199" cm="1">
        <f t="array" aca="1" ref="U74" ca="1">IF(OR($B74="",$B74="X",$D74="",$D74="X",$E74="",$E74="X"),0,IFERROR(_xlfn.LET(_xlpm.x,SUM(SUM(_xlfn._xlws.FILTER(VALUE(PptoSty[Sign]&amp;1)*(1/PptoSty[Division]),(PptoSty[Division]&lt;&gt;0)*(PptoSty[Division]&lt;&gt;"")*(PptoSty[Division]&lt;&gt;"X")*(PptoSty[Project]=$B74)*(PptoSty[Vrs]=$D74)*(PptoSty[PiRow]=_xlfn.TEXTAFTER($H74,":"))*(PptoSty[PiColumn]=U$54),0)),SUM(IF((INDIRECT($B$3)=$B74)*(INDIRECT($C$3)=$D74)*((INDIRECT($E$3)="TOTS")+(INDIRECT($E$3)=$E74)),INDIRECT(U$3)))),_xlpm.y,SUM(_xlfn.CHOOSECOLS(_xlfn._xlws.FILTER(F_RT14[],(F_RT14[PrjId]=$B74)*(F_RT14[Vrs]=$D74)*(_xlfn.TEXTAFTER(F_RT14[ActGrp],":")=_xlfn.TEXTAFTER($H74,":")),"X"),MATCH("*"&amp;U$54,F_RT14[#Headers],0))),IF(AND(_xlpm.x=0,_xlpm.y&lt;&gt;0),-1,IF(AND(_xlpm.x&lt;&gt;0,_xlpm.y&lt;&gt;0),_xlpm.x,IF(AND(_xlpm.x-SUM(IF((INDIRECT($B$3)=$B74)*(INDIRECT($C$3)=$D74)*((INDIRECT($E$3)="TOTS")+(INDIRECT($E$3)=$E74)),INDIRECT(U$3)))&lt;&gt;0,_xlpm.y=0),-2,_xlpm.x)))),0))</f>
        <v>0</v>
      </c>
      <c r="V74" s="199" cm="1">
        <f t="array" aca="1" ref="V74" ca="1">IF(OR($B74="",$B74="X",$D74="",$D74="X",$E74="",$E74="X"),0,IFERROR(_xlfn.LET(_xlpm.x,SUM(SUM(_xlfn._xlws.FILTER(VALUE(PptoSty[Sign]&amp;1)*(1/PptoSty[Division]),(PptoSty[Division]&lt;&gt;0)*(PptoSty[Division]&lt;&gt;"")*(PptoSty[Division]&lt;&gt;"X")*(PptoSty[Project]=$B74)*(PptoSty[Vrs]=$D74)*(PptoSty[PiRow]=_xlfn.TEXTAFTER($H74,":"))*(PptoSty[PiColumn]=V$54),0)),SUM(IF((INDIRECT($B$3)=$B74)*(INDIRECT($C$3)=$D74)*((INDIRECT($E$3)="TOTS")+(INDIRECT($E$3)=$E74)),INDIRECT(V$3)))),_xlpm.y,SUM(_xlfn.CHOOSECOLS(_xlfn._xlws.FILTER(F_RT14[],(F_RT14[PrjId]=$B74)*(F_RT14[Vrs]=$D74)*(_xlfn.TEXTAFTER(F_RT14[ActGrp],":")=_xlfn.TEXTAFTER($H74,":")),"X"),MATCH("*"&amp;V$54,F_RT14[#Headers],0))),IF(AND(_xlpm.x=0,_xlpm.y&lt;&gt;0),-1,IF(AND(_xlpm.x&lt;&gt;0,_xlpm.y&lt;&gt;0),_xlpm.x,IF(AND(_xlpm.x-SUM(IF((INDIRECT($B$3)=$B74)*(INDIRECT($C$3)=$D74)*((INDIRECT($E$3)="TOTS")+(INDIRECT($E$3)=$E74)),INDIRECT(V$3)))&lt;&gt;0,_xlpm.y=0),-2,_xlpm.x)))),0))</f>
        <v>0</v>
      </c>
      <c r="W74" s="199" cm="1">
        <f t="array" aca="1" ref="W74" ca="1">IF(OR($B74="",$B74="X",$D74="",$D74="X",$E74="",$E74="X"),0,IFERROR(_xlfn.LET(_xlpm.x,SUM(SUM(_xlfn._xlws.FILTER(VALUE(PptoSty[Sign]&amp;1)*(1/PptoSty[Division]),(PptoSty[Division]&lt;&gt;0)*(PptoSty[Division]&lt;&gt;"")*(PptoSty[Division]&lt;&gt;"X")*(PptoSty[Project]=$B74)*(PptoSty[Vrs]=$D74)*(PptoSty[PiRow]=_xlfn.TEXTAFTER($H74,":"))*(PptoSty[PiColumn]=W$54),0)),SUM(IF((INDIRECT($B$3)=$B74)*(INDIRECT($C$3)=$D74)*((INDIRECT($E$3)="TOTS")+(INDIRECT($E$3)=$E74)),INDIRECT(W$3)))),_xlpm.y,SUM(_xlfn.CHOOSECOLS(_xlfn._xlws.FILTER(F_RT14[],(F_RT14[PrjId]=$B74)*(F_RT14[Vrs]=$D74)*(_xlfn.TEXTAFTER(F_RT14[ActGrp],":")=_xlfn.TEXTAFTER($H74,":")),"X"),MATCH("*"&amp;W$54,F_RT14[#Headers],0))),IF(AND(_xlpm.x=0,_xlpm.y&lt;&gt;0),-1,IF(AND(_xlpm.x&lt;&gt;0,_xlpm.y&lt;&gt;0),_xlpm.x,IF(AND(_xlpm.x-SUM(IF((INDIRECT($B$3)=$B74)*(INDIRECT($C$3)=$D74)*((INDIRECT($E$3)="TOTS")+(INDIRECT($E$3)=$E74)),INDIRECT(W$3)))&lt;&gt;0,_xlpm.y=0),-2,_xlpm.x)))),0))</f>
        <v>0</v>
      </c>
      <c r="X74" s="199" cm="1">
        <f t="array" aca="1" ref="X74" ca="1">IF(OR($B74="",$B74="X",$D74="",$D74="X",$E74="",$E74="X"),0,IFERROR(_xlfn.LET(_xlpm.x,SUM(SUM(_xlfn._xlws.FILTER(VALUE(PptoSty[Sign]&amp;1)*(1/PptoSty[Division]),(PptoSty[Division]&lt;&gt;0)*(PptoSty[Division]&lt;&gt;"")*(PptoSty[Division]&lt;&gt;"X")*(PptoSty[Project]=$B74)*(PptoSty[Vrs]=$D74)*(PptoSty[PiRow]=_xlfn.TEXTAFTER($H74,":"))*(PptoSty[PiColumn]=X$54),0)),SUM(IF((INDIRECT($B$3)=$B74)*(INDIRECT($C$3)=$D74)*((INDIRECT($E$3)="TOTS")+(INDIRECT($E$3)=$E74)),INDIRECT(X$3)))),_xlpm.y,SUM(_xlfn.CHOOSECOLS(_xlfn._xlws.FILTER(F_RT14[],(F_RT14[PrjId]=$B74)*(F_RT14[Vrs]=$D74)*(_xlfn.TEXTAFTER(F_RT14[ActGrp],":")=_xlfn.TEXTAFTER($H74,":")),"X"),MATCH("*"&amp;X$54,F_RT14[#Headers],0))),IF(AND(_xlpm.x=0,_xlpm.y&lt;&gt;0),-1,IF(AND(_xlpm.x&lt;&gt;0,_xlpm.y&lt;&gt;0),_xlpm.x,IF(AND(_xlpm.x-SUM(IF((INDIRECT($B$3)=$B74)*(INDIRECT($C$3)=$D74)*((INDIRECT($E$3)="TOTS")+(INDIRECT($E$3)=$E74)),INDIRECT(X$3)))&lt;&gt;0,_xlpm.y=0),-2,_xlpm.x)))),0))</f>
        <v>0</v>
      </c>
      <c r="Y74" s="199" cm="1">
        <f t="array" aca="1" ref="Y74" ca="1">IF(OR($B74="",$B74="X",$D74="",$D74="X",$E74="",$E74="X"),0,IFERROR(_xlfn.LET(_xlpm.x,SUM(SUM(_xlfn._xlws.FILTER(VALUE(PptoSty[Sign]&amp;1)*(1/PptoSty[Division]),(PptoSty[Division]&lt;&gt;0)*(PptoSty[Division]&lt;&gt;"")*(PptoSty[Division]&lt;&gt;"X")*(PptoSty[Project]=$B74)*(PptoSty[Vrs]=$D74)*(PptoSty[PiRow]=_xlfn.TEXTAFTER($H74,":"))*(PptoSty[PiColumn]=Y$54),0)),SUM(IF((INDIRECT($B$3)=$B74)*(INDIRECT($C$3)=$D74)*((INDIRECT($E$3)="TOTS")+(INDIRECT($E$3)=$E74)),INDIRECT(Y$3)))),_xlpm.y,SUM(_xlfn.CHOOSECOLS(_xlfn._xlws.FILTER(F_RT14[],(F_RT14[PrjId]=$B74)*(F_RT14[Vrs]=$D74)*(_xlfn.TEXTAFTER(F_RT14[ActGrp],":")=_xlfn.TEXTAFTER($H74,":")),"X"),MATCH("*"&amp;Y$54,F_RT14[#Headers],0))),IF(AND(_xlpm.x=0,_xlpm.y&lt;&gt;0),-1,IF(AND(_xlpm.x&lt;&gt;0,_xlpm.y&lt;&gt;0),_xlpm.x,IF(AND(_xlpm.x-SUM(IF((INDIRECT($B$3)=$B74)*(INDIRECT($C$3)=$D74)*((INDIRECT($E$3)="TOTS")+(INDIRECT($E$3)=$E74)),INDIRECT(Y$3)))&lt;&gt;0,_xlpm.y=0),-2,_xlpm.x)))),0))</f>
        <v>0</v>
      </c>
      <c r="Z74" s="198" t="str">
        <f t="shared" ca="1" si="2"/>
        <v>Fback!B74:Y74</v>
      </c>
    </row>
    <row r="75" spans="2:26" ht="21" customHeight="1" outlineLevel="1">
      <c r="B75" s="128" t="str">
        <v>31200</v>
      </c>
      <c r="C75" s="128" t="str">
        <v>Sp</v>
      </c>
      <c r="D75" s="128">
        <v>15</v>
      </c>
      <c r="E75" s="128" t="str">
        <v>DISI</v>
      </c>
      <c r="F75" s="139" t="str">
        <v>SERRA</v>
      </c>
      <c r="G75" s="139" t="str">
        <v>CurPpto</v>
      </c>
      <c r="H75" s="139" t="str">
        <v>G012:OFF LINE PLC &amp; ROBOTICA</v>
      </c>
      <c r="I75" s="199" cm="1">
        <f t="array" aca="1" ref="I75" ca="1">IF(OR($B75="",$B75="X",$D75="",$D75="X",$E75="",$E75="X"),0,IFERROR(_xlfn.LET(_xlpm.x,SUM(SUM(_xlfn._xlws.FILTER(VALUE(PptoSty[Sign]&amp;1)*(1/PptoSty[Division]),(PptoSty[Division]&lt;&gt;0)*(PptoSty[Division]&lt;&gt;"")*(PptoSty[Division]&lt;&gt;"X")*(PptoSty[Project]=$B75)*(PptoSty[Vrs]=$D75)*(PptoSty[PiRow]=_xlfn.TEXTAFTER($H75,":"))*(PptoSty[PiColumn]=I$54),0)),SUM(IF((INDIRECT($B$3)=$B75)*(INDIRECT($C$3)=$D75)*((INDIRECT($E$3)="TOTS")+(INDIRECT($E$3)=$E75)),INDIRECT(I$3)))),_xlpm.y,SUM(_xlfn.CHOOSECOLS(_xlfn._xlws.FILTER(F_RT14[],(F_RT14[PrjId]=$B75)*(F_RT14[Vrs]=$D75)*(_xlfn.TEXTAFTER(F_RT14[ActGrp],":")=_xlfn.TEXTAFTER($H75,":")),"X"),MATCH("*"&amp;I$54,F_RT14[#Headers],0))),IF(AND(_xlpm.x=0,_xlpm.y&lt;&gt;0),-1,IF(AND(_xlpm.x&lt;&gt;0,_xlpm.y&lt;&gt;0),_xlpm.x,IF(AND(_xlpm.x-SUM(IF((INDIRECT($B$3)=$B75)*(INDIRECT($C$3)=$D75)*((INDIRECT($E$3)="TOTS")+(INDIRECT($E$3)=$E75)),INDIRECT(I$3)))&lt;&gt;0,_xlpm.y=0),-2,_xlpm.x)))),0))</f>
        <v>0</v>
      </c>
      <c r="J75" s="199" cm="1">
        <f t="array" aca="1" ref="J75" ca="1">IF(OR($B75="",$B75="X",$D75="",$D75="X",$E75="",$E75="X"),0,IFERROR(_xlfn.LET(_xlpm.x,SUM(SUM(_xlfn._xlws.FILTER(VALUE(PptoSty[Sign]&amp;1)*(1/PptoSty[Division]),(PptoSty[Division]&lt;&gt;0)*(PptoSty[Division]&lt;&gt;"")*(PptoSty[Division]&lt;&gt;"X")*(PptoSty[Project]=$B75)*(PptoSty[Vrs]=$D75)*(PptoSty[PiRow]=_xlfn.TEXTAFTER($H75,":"))*(PptoSty[PiColumn]=J$54),0)),SUM(IF((INDIRECT($B$3)=$B75)*(INDIRECT($C$3)=$D75)*((INDIRECT($E$3)="TOTS")+(INDIRECT($E$3)=$E75)),INDIRECT(J$3)))),_xlpm.y,SUM(_xlfn.CHOOSECOLS(_xlfn._xlws.FILTER(F_RT14[],(F_RT14[PrjId]=$B75)*(F_RT14[Vrs]=$D75)*(_xlfn.TEXTAFTER(F_RT14[ActGrp],":")=_xlfn.TEXTAFTER($H75,":")),"X"),MATCH("*"&amp;J$54,F_RT14[#Headers],0))),IF(AND(_xlpm.x=0,_xlpm.y&lt;&gt;0),-1,IF(AND(_xlpm.x&lt;&gt;0,_xlpm.y&lt;&gt;0),_xlpm.x,IF(AND(_xlpm.x-SUM(IF((INDIRECT($B$3)=$B75)*(INDIRECT($C$3)=$D75)*((INDIRECT($E$3)="TOTS")+(INDIRECT($E$3)=$E75)),INDIRECT(J$3)))&lt;&gt;0,_xlpm.y=0),-2,_xlpm.x)))),0))</f>
        <v>0</v>
      </c>
      <c r="K75" s="199" cm="1">
        <f t="array" aca="1" ref="K75" ca="1">IF(OR($B75="",$B75="X",$D75="",$D75="X",$E75="",$E75="X"),0,IFERROR(_xlfn.LET(_xlpm.x,SUM(SUM(_xlfn._xlws.FILTER(VALUE(PptoSty[Sign]&amp;1)*(1/PptoSty[Division]),(PptoSty[Division]&lt;&gt;0)*(PptoSty[Division]&lt;&gt;"")*(PptoSty[Division]&lt;&gt;"X")*(PptoSty[Project]=$B75)*(PptoSty[Vrs]=$D75)*(PptoSty[PiRow]=_xlfn.TEXTAFTER($H75,":"))*(PptoSty[PiColumn]=K$54),0)),SUM(IF((INDIRECT($B$3)=$B75)*(INDIRECT($C$3)=$D75)*((INDIRECT($E$3)="TOTS")+(INDIRECT($E$3)=$E75)),INDIRECT(K$3)))),_xlpm.y,SUM(_xlfn.CHOOSECOLS(_xlfn._xlws.FILTER(F_RT14[],(F_RT14[PrjId]=$B75)*(F_RT14[Vrs]=$D75)*(_xlfn.TEXTAFTER(F_RT14[ActGrp],":")=_xlfn.TEXTAFTER($H75,":")),"X"),MATCH("*"&amp;K$54,F_RT14[#Headers],0))),IF(AND(_xlpm.x=0,_xlpm.y&lt;&gt;0),-1,IF(AND(_xlpm.x&lt;&gt;0,_xlpm.y&lt;&gt;0),_xlpm.x,IF(AND(_xlpm.x-SUM(IF((INDIRECT($B$3)=$B75)*(INDIRECT($C$3)=$D75)*((INDIRECT($E$3)="TOTS")+(INDIRECT($E$3)=$E75)),INDIRECT(K$3)))&lt;&gt;0,_xlpm.y=0),-2,_xlpm.x)))),0))</f>
        <v>0</v>
      </c>
      <c r="L75" s="199" cm="1">
        <f t="array" aca="1" ref="L75" ca="1">IF(OR($B75="",$B75="X",$D75="",$D75="X",$E75="",$E75="X"),0,IFERROR(_xlfn.LET(_xlpm.x,SUM(SUM(_xlfn._xlws.FILTER(VALUE(PptoSty[Sign]&amp;1)*(1/PptoSty[Division]),(PptoSty[Division]&lt;&gt;0)*(PptoSty[Division]&lt;&gt;"")*(PptoSty[Division]&lt;&gt;"X")*(PptoSty[Project]=$B75)*(PptoSty[Vrs]=$D75)*(PptoSty[PiRow]=_xlfn.TEXTAFTER($H75,":"))*(PptoSty[PiColumn]=L$54),0)),SUM(IF((INDIRECT($B$3)=$B75)*(INDIRECT($C$3)=$D75)*((INDIRECT($E$3)="TOTS")+(INDIRECT($E$3)=$E75)),INDIRECT(L$3)))),_xlpm.y,SUM(_xlfn.CHOOSECOLS(_xlfn._xlws.FILTER(F_RT14[],(F_RT14[PrjId]=$B75)*(F_RT14[Vrs]=$D75)*(_xlfn.TEXTAFTER(F_RT14[ActGrp],":")=_xlfn.TEXTAFTER($H75,":")),"X"),MATCH("*"&amp;L$54,F_RT14[#Headers],0))),IF(AND(_xlpm.x=0,_xlpm.y&lt;&gt;0),-1,IF(AND(_xlpm.x&lt;&gt;0,_xlpm.y&lt;&gt;0),_xlpm.x,IF(AND(_xlpm.x-SUM(IF((INDIRECT($B$3)=$B75)*(INDIRECT($C$3)=$D75)*((INDIRECT($E$3)="TOTS")+(INDIRECT($E$3)=$E75)),INDIRECT(L$3)))&lt;&gt;0,_xlpm.y=0),-2,_xlpm.x)))),0))</f>
        <v>0</v>
      </c>
      <c r="M75" s="199" cm="1">
        <f t="array" aca="1" ref="M75" ca="1">IF(OR($B75="",$B75="X",$D75="",$D75="X",$E75="",$E75="X"),0,IFERROR(_xlfn.LET(_xlpm.x,SUM(SUM(_xlfn._xlws.FILTER(VALUE(PptoSty[Sign]&amp;1)*(1/PptoSty[Division]),(PptoSty[Division]&lt;&gt;0)*(PptoSty[Division]&lt;&gt;"")*(PptoSty[Division]&lt;&gt;"X")*(PptoSty[Project]=$B75)*(PptoSty[Vrs]=$D75)*(PptoSty[PiRow]=_xlfn.TEXTAFTER($H75,":"))*(PptoSty[PiColumn]=M$54),0)),SUM(IF((INDIRECT($B$3)=$B75)*(INDIRECT($C$3)=$D75)*((INDIRECT($E$3)="TOTS")+(INDIRECT($E$3)=$E75)),INDIRECT(M$3)))),_xlpm.y,SUM(_xlfn.CHOOSECOLS(_xlfn._xlws.FILTER(F_RT14[],(F_RT14[PrjId]=$B75)*(F_RT14[Vrs]=$D75)*(_xlfn.TEXTAFTER(F_RT14[ActGrp],":")=_xlfn.TEXTAFTER($H75,":")),"X"),MATCH("*"&amp;M$54,F_RT14[#Headers],0))),IF(AND(_xlpm.x=0,_xlpm.y&lt;&gt;0),-1,IF(AND(_xlpm.x&lt;&gt;0,_xlpm.y&lt;&gt;0),_xlpm.x,IF(AND(_xlpm.x-SUM(IF((INDIRECT($B$3)=$B75)*(INDIRECT($C$3)=$D75)*((INDIRECT($E$3)="TOTS")+(INDIRECT($E$3)=$E75)),INDIRECT(M$3)))&lt;&gt;0,_xlpm.y=0),-2,_xlpm.x)))),0))</f>
        <v>1</v>
      </c>
      <c r="N75" s="199" cm="1">
        <f t="array" aca="1" ref="N75" ca="1">IF(OR($B75="",$B75="X",$D75="",$D75="X",$E75="",$E75="X"),0,IFERROR(_xlfn.LET(_xlpm.x,SUM(SUM(_xlfn._xlws.FILTER(VALUE(PptoSty[Sign]&amp;1)*(1/PptoSty[Division]),(PptoSty[Division]&lt;&gt;0)*(PptoSty[Division]&lt;&gt;"")*(PptoSty[Division]&lt;&gt;"X")*(PptoSty[Project]=$B75)*(PptoSty[Vrs]=$D75)*(PptoSty[PiRow]=_xlfn.TEXTAFTER($H75,":"))*(PptoSty[PiColumn]=N$54),0)),SUM(IF((INDIRECT($B$3)=$B75)*(INDIRECT($C$3)=$D75)*((INDIRECT($E$3)="TOTS")+(INDIRECT($E$3)=$E75)),INDIRECT(N$3)))),_xlpm.y,SUM(_xlfn.CHOOSECOLS(_xlfn._xlws.FILTER(F_RT14[],(F_RT14[PrjId]=$B75)*(F_RT14[Vrs]=$D75)*(_xlfn.TEXTAFTER(F_RT14[ActGrp],":")=_xlfn.TEXTAFTER($H75,":")),"X"),MATCH("*"&amp;N$54,F_RT14[#Headers],0))),IF(AND(_xlpm.x=0,_xlpm.y&lt;&gt;0),-1,IF(AND(_xlpm.x&lt;&gt;0,_xlpm.y&lt;&gt;0),_xlpm.x,IF(AND(_xlpm.x-SUM(IF((INDIRECT($B$3)=$B75)*(INDIRECT($C$3)=$D75)*((INDIRECT($E$3)="TOTS")+(INDIRECT($E$3)=$E75)),INDIRECT(N$3)))&lt;&gt;0,_xlpm.y=0),-2,_xlpm.x)))),0))</f>
        <v>0</v>
      </c>
      <c r="O75" s="199" cm="1">
        <f t="array" aca="1" ref="O75" ca="1">IF(OR($B75="",$B75="X",$D75="",$D75="X",$E75="",$E75="X"),0,IFERROR(_xlfn.LET(_xlpm.x,SUM(SUM(_xlfn._xlws.FILTER(VALUE(PptoSty[Sign]&amp;1)*(1/PptoSty[Division]),(PptoSty[Division]&lt;&gt;0)*(PptoSty[Division]&lt;&gt;"")*(PptoSty[Division]&lt;&gt;"X")*(PptoSty[Project]=$B75)*(PptoSty[Vrs]=$D75)*(PptoSty[PiRow]=_xlfn.TEXTAFTER($H75,":"))*(PptoSty[PiColumn]=O$54),0)),SUM(IF((INDIRECT($B$3)=$B75)*(INDIRECT($C$3)=$D75)*((INDIRECT($E$3)="TOTS")+(INDIRECT($E$3)=$E75)),INDIRECT(O$3)))),_xlpm.y,SUM(_xlfn.CHOOSECOLS(_xlfn._xlws.FILTER(F_RT14[],(F_RT14[PrjId]=$B75)*(F_RT14[Vrs]=$D75)*(_xlfn.TEXTAFTER(F_RT14[ActGrp],":")=_xlfn.TEXTAFTER($H75,":")),"X"),MATCH("*"&amp;O$54,F_RT14[#Headers],0))),IF(AND(_xlpm.x=0,_xlpm.y&lt;&gt;0),-1,IF(AND(_xlpm.x&lt;&gt;0,_xlpm.y&lt;&gt;0),_xlpm.x,IF(AND(_xlpm.x-SUM(IF((INDIRECT($B$3)=$B75)*(INDIRECT($C$3)=$D75)*((INDIRECT($E$3)="TOTS")+(INDIRECT($E$3)=$E75)),INDIRECT(O$3)))&lt;&gt;0,_xlpm.y=0),-2,_xlpm.x)))),0))</f>
        <v>1</v>
      </c>
      <c r="P75" s="199" cm="1">
        <f t="array" aca="1" ref="P75" ca="1">IF(OR($B75="",$B75="X",$D75="",$D75="X",$E75="",$E75="X"),0,IFERROR(_xlfn.LET(_xlpm.x,SUM(SUM(_xlfn._xlws.FILTER(VALUE(PptoSty[Sign]&amp;1)*(1/PptoSty[Division]),(PptoSty[Division]&lt;&gt;0)*(PptoSty[Division]&lt;&gt;"")*(PptoSty[Division]&lt;&gt;"X")*(PptoSty[Project]=$B75)*(PptoSty[Vrs]=$D75)*(PptoSty[PiRow]=_xlfn.TEXTAFTER($H75,":"))*(PptoSty[PiColumn]=P$54),0)),SUM(IF((INDIRECT($B$3)=$B75)*(INDIRECT($C$3)=$D75)*((INDIRECT($E$3)="TOTS")+(INDIRECT($E$3)=$E75)),INDIRECT(P$3)))),_xlpm.y,SUM(_xlfn.CHOOSECOLS(_xlfn._xlws.FILTER(F_RT14[],(F_RT14[PrjId]=$B75)*(F_RT14[Vrs]=$D75)*(_xlfn.TEXTAFTER(F_RT14[ActGrp],":")=_xlfn.TEXTAFTER($H75,":")),"X"),MATCH("*"&amp;P$54,F_RT14[#Headers],0))),IF(AND(_xlpm.x=0,_xlpm.y&lt;&gt;0),-1,IF(AND(_xlpm.x&lt;&gt;0,_xlpm.y&lt;&gt;0),_xlpm.x,IF(AND(_xlpm.x-SUM(IF((INDIRECT($B$3)=$B75)*(INDIRECT($C$3)=$D75)*((INDIRECT($E$3)="TOTS")+(INDIRECT($E$3)=$E75)),INDIRECT(P$3)))&lt;&gt;0,_xlpm.y=0),-2,_xlpm.x)))),0))</f>
        <v>0</v>
      </c>
      <c r="Q75" s="199" cm="1">
        <f t="array" aca="1" ref="Q75" ca="1">IF(OR($B75="",$B75="X",$D75="",$D75="X",$E75="",$E75="X"),0,IFERROR(_xlfn.LET(_xlpm.x,SUM(SUM(_xlfn._xlws.FILTER(VALUE(PptoSty[Sign]&amp;1)*(1/PptoSty[Division]),(PptoSty[Division]&lt;&gt;0)*(PptoSty[Division]&lt;&gt;"")*(PptoSty[Division]&lt;&gt;"X")*(PptoSty[Project]=$B75)*(PptoSty[Vrs]=$D75)*(PptoSty[PiRow]=_xlfn.TEXTAFTER($H75,":"))*(PptoSty[PiColumn]=Q$54),0)),SUM(IF((INDIRECT($B$3)=$B75)*(INDIRECT($C$3)=$D75)*((INDIRECT($E$3)="TOTS")+(INDIRECT($E$3)=$E75)),INDIRECT(Q$3)))),_xlpm.y,SUM(_xlfn.CHOOSECOLS(_xlfn._xlws.FILTER(F_RT14[],(F_RT14[PrjId]=$B75)*(F_RT14[Vrs]=$D75)*(_xlfn.TEXTAFTER(F_RT14[ActGrp],":")=_xlfn.TEXTAFTER($H75,":")),"X"),MATCH("*"&amp;Q$54,F_RT14[#Headers],0))),IF(AND(_xlpm.x=0,_xlpm.y&lt;&gt;0),-1,IF(AND(_xlpm.x&lt;&gt;0,_xlpm.y&lt;&gt;0),_xlpm.x,IF(AND(_xlpm.x-SUM(IF((INDIRECT($B$3)=$B75)*(INDIRECT($C$3)=$D75)*((INDIRECT($E$3)="TOTS")+(INDIRECT($E$3)=$E75)),INDIRECT(Q$3)))&lt;&gt;0,_xlpm.y=0),-2,_xlpm.x)))),0))</f>
        <v>0</v>
      </c>
      <c r="R75" s="199" cm="1">
        <f t="array" aca="1" ref="R75" ca="1">IF(OR($B75="",$B75="X",$D75="",$D75="X",$E75="",$E75="X"),0,IFERROR(_xlfn.LET(_xlpm.x,SUM(SUM(_xlfn._xlws.FILTER(VALUE(PptoSty[Sign]&amp;1)*(1/PptoSty[Division]),(PptoSty[Division]&lt;&gt;0)*(PptoSty[Division]&lt;&gt;"")*(PptoSty[Division]&lt;&gt;"X")*(PptoSty[Project]=$B75)*(PptoSty[Vrs]=$D75)*(PptoSty[PiRow]=_xlfn.TEXTAFTER($H75,":"))*(PptoSty[PiColumn]=R$54),0)),SUM(IF((INDIRECT($B$3)=$B75)*(INDIRECT($C$3)=$D75)*((INDIRECT($E$3)="TOTS")+(INDIRECT($E$3)=$E75)),INDIRECT(R$3)))),_xlpm.y,SUM(_xlfn.CHOOSECOLS(_xlfn._xlws.FILTER(F_RT14[],(F_RT14[PrjId]=$B75)*(F_RT14[Vrs]=$D75)*(_xlfn.TEXTAFTER(F_RT14[ActGrp],":")=_xlfn.TEXTAFTER($H75,":")),"X"),MATCH("*"&amp;R$54,F_RT14[#Headers],0))),IF(AND(_xlpm.x=0,_xlpm.y&lt;&gt;0),-1,IF(AND(_xlpm.x&lt;&gt;0,_xlpm.y&lt;&gt;0),_xlpm.x,IF(AND(_xlpm.x-SUM(IF((INDIRECT($B$3)=$B75)*(INDIRECT($C$3)=$D75)*((INDIRECT($E$3)="TOTS")+(INDIRECT($E$3)=$E75)),INDIRECT(R$3)))&lt;&gt;0,_xlpm.y=0),-2,_xlpm.x)))),0))</f>
        <v>0</v>
      </c>
      <c r="S75" s="199" cm="1">
        <f t="array" aca="1" ref="S75" ca="1">IF(OR($B75="",$B75="X",$D75="",$D75="X",$E75="",$E75="X"),0,IFERROR(_xlfn.LET(_xlpm.x,SUM(SUM(_xlfn._xlws.FILTER(VALUE(PptoSty[Sign]&amp;1)*(1/PptoSty[Division]),(PptoSty[Division]&lt;&gt;0)*(PptoSty[Division]&lt;&gt;"")*(PptoSty[Division]&lt;&gt;"X")*(PptoSty[Project]=$B75)*(PptoSty[Vrs]=$D75)*(PptoSty[PiRow]=_xlfn.TEXTAFTER($H75,":"))*(PptoSty[PiColumn]=S$54),0)),SUM(IF((INDIRECT($B$3)=$B75)*(INDIRECT($C$3)=$D75)*((INDIRECT($E$3)="TOTS")+(INDIRECT($E$3)=$E75)),INDIRECT(S$3)))),_xlpm.y,SUM(_xlfn.CHOOSECOLS(_xlfn._xlws.FILTER(F_RT14[],(F_RT14[PrjId]=$B75)*(F_RT14[Vrs]=$D75)*(_xlfn.TEXTAFTER(F_RT14[ActGrp],":")=_xlfn.TEXTAFTER($H75,":")),"X"),MATCH("*"&amp;S$54,F_RT14[#Headers],0))),IF(AND(_xlpm.x=0,_xlpm.y&lt;&gt;0),-1,IF(AND(_xlpm.x&lt;&gt;0,_xlpm.y&lt;&gt;0),_xlpm.x,IF(AND(_xlpm.x-SUM(IF((INDIRECT($B$3)=$B75)*(INDIRECT($C$3)=$D75)*((INDIRECT($E$3)="TOTS")+(INDIRECT($E$3)=$E75)),INDIRECT(S$3)))&lt;&gt;0,_xlpm.y=0),-2,_xlpm.x)))),0))</f>
        <v>0</v>
      </c>
      <c r="T75" s="199" cm="1">
        <f t="array" aca="1" ref="T75" ca="1">IF(OR($B75="",$B75="X",$D75="",$D75="X",$E75="",$E75="X"),0,IFERROR(_xlfn.LET(_xlpm.x,SUM(SUM(_xlfn._xlws.FILTER(VALUE(PptoSty[Sign]&amp;1)*(1/PptoSty[Division]),(PptoSty[Division]&lt;&gt;0)*(PptoSty[Division]&lt;&gt;"")*(PptoSty[Division]&lt;&gt;"X")*(PptoSty[Project]=$B75)*(PptoSty[Vrs]=$D75)*(PptoSty[PiRow]=_xlfn.TEXTAFTER($H75,":"))*(PptoSty[PiColumn]=T$54),0)),SUM(IF((INDIRECT($B$3)=$B75)*(INDIRECT($C$3)=$D75)*((INDIRECT($E$3)="TOTS")+(INDIRECT($E$3)=$E75)),INDIRECT(T$3)))),_xlpm.y,SUM(_xlfn.CHOOSECOLS(_xlfn._xlws.FILTER(F_RT14[],(F_RT14[PrjId]=$B75)*(F_RT14[Vrs]=$D75)*(_xlfn.TEXTAFTER(F_RT14[ActGrp],":")=_xlfn.TEXTAFTER($H75,":")),"X"),MATCH("*"&amp;T$54,F_RT14[#Headers],0))),IF(AND(_xlpm.x=0,_xlpm.y&lt;&gt;0),-1,IF(AND(_xlpm.x&lt;&gt;0,_xlpm.y&lt;&gt;0),_xlpm.x,IF(AND(_xlpm.x-SUM(IF((INDIRECT($B$3)=$B75)*(INDIRECT($C$3)=$D75)*((INDIRECT($E$3)="TOTS")+(INDIRECT($E$3)=$E75)),INDIRECT(T$3)))&lt;&gt;0,_xlpm.y=0),-2,_xlpm.x)))),0))</f>
        <v>0</v>
      </c>
      <c r="U75" s="199" cm="1">
        <f t="array" aca="1" ref="U75" ca="1">IF(OR($B75="",$B75="X",$D75="",$D75="X",$E75="",$E75="X"),0,IFERROR(_xlfn.LET(_xlpm.x,SUM(SUM(_xlfn._xlws.FILTER(VALUE(PptoSty[Sign]&amp;1)*(1/PptoSty[Division]),(PptoSty[Division]&lt;&gt;0)*(PptoSty[Division]&lt;&gt;"")*(PptoSty[Division]&lt;&gt;"X")*(PptoSty[Project]=$B75)*(PptoSty[Vrs]=$D75)*(PptoSty[PiRow]=_xlfn.TEXTAFTER($H75,":"))*(PptoSty[PiColumn]=U$54),0)),SUM(IF((INDIRECT($B$3)=$B75)*(INDIRECT($C$3)=$D75)*((INDIRECT($E$3)="TOTS")+(INDIRECT($E$3)=$E75)),INDIRECT(U$3)))),_xlpm.y,SUM(_xlfn.CHOOSECOLS(_xlfn._xlws.FILTER(F_RT14[],(F_RT14[PrjId]=$B75)*(F_RT14[Vrs]=$D75)*(_xlfn.TEXTAFTER(F_RT14[ActGrp],":")=_xlfn.TEXTAFTER($H75,":")),"X"),MATCH("*"&amp;U$54,F_RT14[#Headers],0))),IF(AND(_xlpm.x=0,_xlpm.y&lt;&gt;0),-1,IF(AND(_xlpm.x&lt;&gt;0,_xlpm.y&lt;&gt;0),_xlpm.x,IF(AND(_xlpm.x-SUM(IF((INDIRECT($B$3)=$B75)*(INDIRECT($C$3)=$D75)*((INDIRECT($E$3)="TOTS")+(INDIRECT($E$3)=$E75)),INDIRECT(U$3)))&lt;&gt;0,_xlpm.y=0),-2,_xlpm.x)))),0))</f>
        <v>0</v>
      </c>
      <c r="V75" s="199" cm="1">
        <f t="array" aca="1" ref="V75" ca="1">IF(OR($B75="",$B75="X",$D75="",$D75="X",$E75="",$E75="X"),0,IFERROR(_xlfn.LET(_xlpm.x,SUM(SUM(_xlfn._xlws.FILTER(VALUE(PptoSty[Sign]&amp;1)*(1/PptoSty[Division]),(PptoSty[Division]&lt;&gt;0)*(PptoSty[Division]&lt;&gt;"")*(PptoSty[Division]&lt;&gt;"X")*(PptoSty[Project]=$B75)*(PptoSty[Vrs]=$D75)*(PptoSty[PiRow]=_xlfn.TEXTAFTER($H75,":"))*(PptoSty[PiColumn]=V$54),0)),SUM(IF((INDIRECT($B$3)=$B75)*(INDIRECT($C$3)=$D75)*((INDIRECT($E$3)="TOTS")+(INDIRECT($E$3)=$E75)),INDIRECT(V$3)))),_xlpm.y,SUM(_xlfn.CHOOSECOLS(_xlfn._xlws.FILTER(F_RT14[],(F_RT14[PrjId]=$B75)*(F_RT14[Vrs]=$D75)*(_xlfn.TEXTAFTER(F_RT14[ActGrp],":")=_xlfn.TEXTAFTER($H75,":")),"X"),MATCH("*"&amp;V$54,F_RT14[#Headers],0))),IF(AND(_xlpm.x=0,_xlpm.y&lt;&gt;0),-1,IF(AND(_xlpm.x&lt;&gt;0,_xlpm.y&lt;&gt;0),_xlpm.x,IF(AND(_xlpm.x-SUM(IF((INDIRECT($B$3)=$B75)*(INDIRECT($C$3)=$D75)*((INDIRECT($E$3)="TOTS")+(INDIRECT($E$3)=$E75)),INDIRECT(V$3)))&lt;&gt;0,_xlpm.y=0),-2,_xlpm.x)))),0))</f>
        <v>0</v>
      </c>
      <c r="W75" s="199" cm="1">
        <f t="array" aca="1" ref="W75" ca="1">IF(OR($B75="",$B75="X",$D75="",$D75="X",$E75="",$E75="X"),0,IFERROR(_xlfn.LET(_xlpm.x,SUM(SUM(_xlfn._xlws.FILTER(VALUE(PptoSty[Sign]&amp;1)*(1/PptoSty[Division]),(PptoSty[Division]&lt;&gt;0)*(PptoSty[Division]&lt;&gt;"")*(PptoSty[Division]&lt;&gt;"X")*(PptoSty[Project]=$B75)*(PptoSty[Vrs]=$D75)*(PptoSty[PiRow]=_xlfn.TEXTAFTER($H75,":"))*(PptoSty[PiColumn]=W$54),0)),SUM(IF((INDIRECT($B$3)=$B75)*(INDIRECT($C$3)=$D75)*((INDIRECT($E$3)="TOTS")+(INDIRECT($E$3)=$E75)),INDIRECT(W$3)))),_xlpm.y,SUM(_xlfn.CHOOSECOLS(_xlfn._xlws.FILTER(F_RT14[],(F_RT14[PrjId]=$B75)*(F_RT14[Vrs]=$D75)*(_xlfn.TEXTAFTER(F_RT14[ActGrp],":")=_xlfn.TEXTAFTER($H75,":")),"X"),MATCH("*"&amp;W$54,F_RT14[#Headers],0))),IF(AND(_xlpm.x=0,_xlpm.y&lt;&gt;0),-1,IF(AND(_xlpm.x&lt;&gt;0,_xlpm.y&lt;&gt;0),_xlpm.x,IF(AND(_xlpm.x-SUM(IF((INDIRECT($B$3)=$B75)*(INDIRECT($C$3)=$D75)*((INDIRECT($E$3)="TOTS")+(INDIRECT($E$3)=$E75)),INDIRECT(W$3)))&lt;&gt;0,_xlpm.y=0),-2,_xlpm.x)))),0))</f>
        <v>0</v>
      </c>
      <c r="X75" s="199" cm="1">
        <f t="array" aca="1" ref="X75" ca="1">IF(OR($B75="",$B75="X",$D75="",$D75="X",$E75="",$E75="X"),0,IFERROR(_xlfn.LET(_xlpm.x,SUM(SUM(_xlfn._xlws.FILTER(VALUE(PptoSty[Sign]&amp;1)*(1/PptoSty[Division]),(PptoSty[Division]&lt;&gt;0)*(PptoSty[Division]&lt;&gt;"")*(PptoSty[Division]&lt;&gt;"X")*(PptoSty[Project]=$B75)*(PptoSty[Vrs]=$D75)*(PptoSty[PiRow]=_xlfn.TEXTAFTER($H75,":"))*(PptoSty[PiColumn]=X$54),0)),SUM(IF((INDIRECT($B$3)=$B75)*(INDIRECT($C$3)=$D75)*((INDIRECT($E$3)="TOTS")+(INDIRECT($E$3)=$E75)),INDIRECT(X$3)))),_xlpm.y,SUM(_xlfn.CHOOSECOLS(_xlfn._xlws.FILTER(F_RT14[],(F_RT14[PrjId]=$B75)*(F_RT14[Vrs]=$D75)*(_xlfn.TEXTAFTER(F_RT14[ActGrp],":")=_xlfn.TEXTAFTER($H75,":")),"X"),MATCH("*"&amp;X$54,F_RT14[#Headers],0))),IF(AND(_xlpm.x=0,_xlpm.y&lt;&gt;0),-1,IF(AND(_xlpm.x&lt;&gt;0,_xlpm.y&lt;&gt;0),_xlpm.x,IF(AND(_xlpm.x-SUM(IF((INDIRECT($B$3)=$B75)*(INDIRECT($C$3)=$D75)*((INDIRECT($E$3)="TOTS")+(INDIRECT($E$3)=$E75)),INDIRECT(X$3)))&lt;&gt;0,_xlpm.y=0),-2,_xlpm.x)))),0))</f>
        <v>0</v>
      </c>
      <c r="Y75" s="199" cm="1">
        <f t="array" aca="1" ref="Y75" ca="1">IF(OR($B75="",$B75="X",$D75="",$D75="X",$E75="",$E75="X"),0,IFERROR(_xlfn.LET(_xlpm.x,SUM(SUM(_xlfn._xlws.FILTER(VALUE(PptoSty[Sign]&amp;1)*(1/PptoSty[Division]),(PptoSty[Division]&lt;&gt;0)*(PptoSty[Division]&lt;&gt;"")*(PptoSty[Division]&lt;&gt;"X")*(PptoSty[Project]=$B75)*(PptoSty[Vrs]=$D75)*(PptoSty[PiRow]=_xlfn.TEXTAFTER($H75,":"))*(PptoSty[PiColumn]=Y$54),0)),SUM(IF((INDIRECT($B$3)=$B75)*(INDIRECT($C$3)=$D75)*((INDIRECT($E$3)="TOTS")+(INDIRECT($E$3)=$E75)),INDIRECT(Y$3)))),_xlpm.y,SUM(_xlfn.CHOOSECOLS(_xlfn._xlws.FILTER(F_RT14[],(F_RT14[PrjId]=$B75)*(F_RT14[Vrs]=$D75)*(_xlfn.TEXTAFTER(F_RT14[ActGrp],":")=_xlfn.TEXTAFTER($H75,":")),"X"),MATCH("*"&amp;Y$54,F_RT14[#Headers],0))),IF(AND(_xlpm.x=0,_xlpm.y&lt;&gt;0),-1,IF(AND(_xlpm.x&lt;&gt;0,_xlpm.y&lt;&gt;0),_xlpm.x,IF(AND(_xlpm.x-SUM(IF((INDIRECT($B$3)=$B75)*(INDIRECT($C$3)=$D75)*((INDIRECT($E$3)="TOTS")+(INDIRECT($E$3)=$E75)),INDIRECT(Y$3)))&lt;&gt;0,_xlpm.y=0),-2,_xlpm.x)))),0))</f>
        <v>0</v>
      </c>
      <c r="Z75" s="198" t="str">
        <f t="shared" ca="1" si="2"/>
        <v>Fback!B75:Y75</v>
      </c>
    </row>
    <row r="76" spans="2:26" ht="21" customHeight="1" outlineLevel="1">
      <c r="B76" s="128" t="str">
        <v>31200</v>
      </c>
      <c r="C76" s="128" t="str">
        <v>Sp</v>
      </c>
      <c r="D76" s="128">
        <v>15</v>
      </c>
      <c r="E76" s="128" t="str">
        <v>CELL</v>
      </c>
      <c r="F76" s="139" t="str">
        <v>SERRA</v>
      </c>
      <c r="G76" s="139" t="str">
        <v>CurPpto</v>
      </c>
      <c r="H76" s="139" t="str">
        <v>E001:ARMARIOS ELECTRICOS</v>
      </c>
      <c r="I76" s="199" cm="1">
        <f t="array" aca="1" ref="I76" ca="1">IF(OR($B76="",$B76="X",$D76="",$D76="X",$E76="",$E76="X"),0,IFERROR(_xlfn.LET(_xlpm.x,SUM(SUM(_xlfn._xlws.FILTER(VALUE(PptoSty[Sign]&amp;1)*(1/PptoSty[Division]),(PptoSty[Division]&lt;&gt;0)*(PptoSty[Division]&lt;&gt;"")*(PptoSty[Division]&lt;&gt;"X")*(PptoSty[Project]=$B76)*(PptoSty[Vrs]=$D76)*(PptoSty[PiRow]=_xlfn.TEXTAFTER($H76,":"))*(PptoSty[PiColumn]=I$54),0)),SUM(IF((INDIRECT($B$3)=$B76)*(INDIRECT($C$3)=$D76)*((INDIRECT($E$3)="TOTS")+(INDIRECT($E$3)=$E76)),INDIRECT(I$3)))),_xlpm.y,SUM(_xlfn.CHOOSECOLS(_xlfn._xlws.FILTER(F_RT14[],(F_RT14[PrjId]=$B76)*(F_RT14[Vrs]=$D76)*(_xlfn.TEXTAFTER(F_RT14[ActGrp],":")=_xlfn.TEXTAFTER($H76,":")),"X"),MATCH("*"&amp;I$54,F_RT14[#Headers],0))),IF(AND(_xlpm.x=0,_xlpm.y&lt;&gt;0),-1,IF(AND(_xlpm.x&lt;&gt;0,_xlpm.y&lt;&gt;0),_xlpm.x,IF(AND(_xlpm.x-SUM(IF((INDIRECT($B$3)=$B76)*(INDIRECT($C$3)=$D76)*((INDIRECT($E$3)="TOTS")+(INDIRECT($E$3)=$E76)),INDIRECT(I$3)))&lt;&gt;0,_xlpm.y=0),-2,_xlpm.x)))),0))</f>
        <v>0</v>
      </c>
      <c r="J76" s="199" cm="1">
        <f t="array" aca="1" ref="J76" ca="1">IF(OR($B76="",$B76="X",$D76="",$D76="X",$E76="",$E76="X"),0,IFERROR(_xlfn.LET(_xlpm.x,SUM(SUM(_xlfn._xlws.FILTER(VALUE(PptoSty[Sign]&amp;1)*(1/PptoSty[Division]),(PptoSty[Division]&lt;&gt;0)*(PptoSty[Division]&lt;&gt;"")*(PptoSty[Division]&lt;&gt;"X")*(PptoSty[Project]=$B76)*(PptoSty[Vrs]=$D76)*(PptoSty[PiRow]=_xlfn.TEXTAFTER($H76,":"))*(PptoSty[PiColumn]=J$54),0)),SUM(IF((INDIRECT($B$3)=$B76)*(INDIRECT($C$3)=$D76)*((INDIRECT($E$3)="TOTS")+(INDIRECT($E$3)=$E76)),INDIRECT(J$3)))),_xlpm.y,SUM(_xlfn.CHOOSECOLS(_xlfn._xlws.FILTER(F_RT14[],(F_RT14[PrjId]=$B76)*(F_RT14[Vrs]=$D76)*(_xlfn.TEXTAFTER(F_RT14[ActGrp],":")=_xlfn.TEXTAFTER($H76,":")),"X"),MATCH("*"&amp;J$54,F_RT14[#Headers],0))),IF(AND(_xlpm.x=0,_xlpm.y&lt;&gt;0),-1,IF(AND(_xlpm.x&lt;&gt;0,_xlpm.y&lt;&gt;0),_xlpm.x,IF(AND(_xlpm.x-SUM(IF((INDIRECT($B$3)=$B76)*(INDIRECT($C$3)=$D76)*((INDIRECT($E$3)="TOTS")+(INDIRECT($E$3)=$E76)),INDIRECT(J$3)))&lt;&gt;0,_xlpm.y=0),-2,_xlpm.x)))),0))</f>
        <v>0</v>
      </c>
      <c r="K76" s="199" cm="1">
        <f t="array" aca="1" ref="K76" ca="1">IF(OR($B76="",$B76="X",$D76="",$D76="X",$E76="",$E76="X"),0,IFERROR(_xlfn.LET(_xlpm.x,SUM(SUM(_xlfn._xlws.FILTER(VALUE(PptoSty[Sign]&amp;1)*(1/PptoSty[Division]),(PptoSty[Division]&lt;&gt;0)*(PptoSty[Division]&lt;&gt;"")*(PptoSty[Division]&lt;&gt;"X")*(PptoSty[Project]=$B76)*(PptoSty[Vrs]=$D76)*(PptoSty[PiRow]=_xlfn.TEXTAFTER($H76,":"))*(PptoSty[PiColumn]=K$54),0)),SUM(IF((INDIRECT($B$3)=$B76)*(INDIRECT($C$3)=$D76)*((INDIRECT($E$3)="TOTS")+(INDIRECT($E$3)=$E76)),INDIRECT(K$3)))),_xlpm.y,SUM(_xlfn.CHOOSECOLS(_xlfn._xlws.FILTER(F_RT14[],(F_RT14[PrjId]=$B76)*(F_RT14[Vrs]=$D76)*(_xlfn.TEXTAFTER(F_RT14[ActGrp],":")=_xlfn.TEXTAFTER($H76,":")),"X"),MATCH("*"&amp;K$54,F_RT14[#Headers],0))),IF(AND(_xlpm.x=0,_xlpm.y&lt;&gt;0),-1,IF(AND(_xlpm.x&lt;&gt;0,_xlpm.y&lt;&gt;0),_xlpm.x,IF(AND(_xlpm.x-SUM(IF((INDIRECT($B$3)=$B76)*(INDIRECT($C$3)=$D76)*((INDIRECT($E$3)="TOTS")+(INDIRECT($E$3)=$E76)),INDIRECT(K$3)))&lt;&gt;0,_xlpm.y=0),-2,_xlpm.x)))),0))</f>
        <v>0</v>
      </c>
      <c r="L76" s="199" cm="1">
        <f t="array" aca="1" ref="L76" ca="1">IF(OR($B76="",$B76="X",$D76="",$D76="X",$E76="",$E76="X"),0,IFERROR(_xlfn.LET(_xlpm.x,SUM(SUM(_xlfn._xlws.FILTER(VALUE(PptoSty[Sign]&amp;1)*(1/PptoSty[Division]),(PptoSty[Division]&lt;&gt;0)*(PptoSty[Division]&lt;&gt;"")*(PptoSty[Division]&lt;&gt;"X")*(PptoSty[Project]=$B76)*(PptoSty[Vrs]=$D76)*(PptoSty[PiRow]=_xlfn.TEXTAFTER($H76,":"))*(PptoSty[PiColumn]=L$54),0)),SUM(IF((INDIRECT($B$3)=$B76)*(INDIRECT($C$3)=$D76)*((INDIRECT($E$3)="TOTS")+(INDIRECT($E$3)=$E76)),INDIRECT(L$3)))),_xlpm.y,SUM(_xlfn.CHOOSECOLS(_xlfn._xlws.FILTER(F_RT14[],(F_RT14[PrjId]=$B76)*(F_RT14[Vrs]=$D76)*(_xlfn.TEXTAFTER(F_RT14[ActGrp],":")=_xlfn.TEXTAFTER($H76,":")),"X"),MATCH("*"&amp;L$54,F_RT14[#Headers],0))),IF(AND(_xlpm.x=0,_xlpm.y&lt;&gt;0),-1,IF(AND(_xlpm.x&lt;&gt;0,_xlpm.y&lt;&gt;0),_xlpm.x,IF(AND(_xlpm.x-SUM(IF((INDIRECT($B$3)=$B76)*(INDIRECT($C$3)=$D76)*((INDIRECT($E$3)="TOTS")+(INDIRECT($E$3)=$E76)),INDIRECT(L$3)))&lt;&gt;0,_xlpm.y=0),-2,_xlpm.x)))),0))</f>
        <v>0</v>
      </c>
      <c r="M76" s="199" cm="1">
        <f t="array" aca="1" ref="M76" ca="1">IF(OR($B76="",$B76="X",$D76="",$D76="X",$E76="",$E76="X"),0,IFERROR(_xlfn.LET(_xlpm.x,SUM(SUM(_xlfn._xlws.FILTER(VALUE(PptoSty[Sign]&amp;1)*(1/PptoSty[Division]),(PptoSty[Division]&lt;&gt;0)*(PptoSty[Division]&lt;&gt;"")*(PptoSty[Division]&lt;&gt;"X")*(PptoSty[Project]=$B76)*(PptoSty[Vrs]=$D76)*(PptoSty[PiRow]=_xlfn.TEXTAFTER($H76,":"))*(PptoSty[PiColumn]=M$54),0)),SUM(IF((INDIRECT($B$3)=$B76)*(INDIRECT($C$3)=$D76)*((INDIRECT($E$3)="TOTS")+(INDIRECT($E$3)=$E76)),INDIRECT(M$3)))),_xlpm.y,SUM(_xlfn.CHOOSECOLS(_xlfn._xlws.FILTER(F_RT14[],(F_RT14[PrjId]=$B76)*(F_RT14[Vrs]=$D76)*(_xlfn.TEXTAFTER(F_RT14[ActGrp],":")=_xlfn.TEXTAFTER($H76,":")),"X"),MATCH("*"&amp;M$54,F_RT14[#Headers],0))),IF(AND(_xlpm.x=0,_xlpm.y&lt;&gt;0),-1,IF(AND(_xlpm.x&lt;&gt;0,_xlpm.y&lt;&gt;0),_xlpm.x,IF(AND(_xlpm.x-SUM(IF((INDIRECT($B$3)=$B76)*(INDIRECT($C$3)=$D76)*((INDIRECT($E$3)="TOTS")+(INDIRECT($E$3)=$E76)),INDIRECT(M$3)))&lt;&gt;0,_xlpm.y=0),-2,_xlpm.x)))),0))</f>
        <v>0</v>
      </c>
      <c r="N76" s="199" cm="1">
        <f t="array" aca="1" ref="N76" ca="1">IF(OR($B76="",$B76="X",$D76="",$D76="X",$E76="",$E76="X"),0,IFERROR(_xlfn.LET(_xlpm.x,SUM(SUM(_xlfn._xlws.FILTER(VALUE(PptoSty[Sign]&amp;1)*(1/PptoSty[Division]),(PptoSty[Division]&lt;&gt;0)*(PptoSty[Division]&lt;&gt;"")*(PptoSty[Division]&lt;&gt;"X")*(PptoSty[Project]=$B76)*(PptoSty[Vrs]=$D76)*(PptoSty[PiRow]=_xlfn.TEXTAFTER($H76,":"))*(PptoSty[PiColumn]=N$54),0)),SUM(IF((INDIRECT($B$3)=$B76)*(INDIRECT($C$3)=$D76)*((INDIRECT($E$3)="TOTS")+(INDIRECT($E$3)=$E76)),INDIRECT(N$3)))),_xlpm.y,SUM(_xlfn.CHOOSECOLS(_xlfn._xlws.FILTER(F_RT14[],(F_RT14[PrjId]=$B76)*(F_RT14[Vrs]=$D76)*(_xlfn.TEXTAFTER(F_RT14[ActGrp],":")=_xlfn.TEXTAFTER($H76,":")),"X"),MATCH("*"&amp;N$54,F_RT14[#Headers],0))),IF(AND(_xlpm.x=0,_xlpm.y&lt;&gt;0),-1,IF(AND(_xlpm.x&lt;&gt;0,_xlpm.y&lt;&gt;0),_xlpm.x,IF(AND(_xlpm.x-SUM(IF((INDIRECT($B$3)=$B76)*(INDIRECT($C$3)=$D76)*((INDIRECT($E$3)="TOTS")+(INDIRECT($E$3)=$E76)),INDIRECT(N$3)))&lt;&gt;0,_xlpm.y=0),-2,_xlpm.x)))),0))</f>
        <v>0</v>
      </c>
      <c r="O76" s="199" cm="1">
        <f t="array" aca="1" ref="O76" ca="1">IF(OR($B76="",$B76="X",$D76="",$D76="X",$E76="",$E76="X"),0,IFERROR(_xlfn.LET(_xlpm.x,SUM(SUM(_xlfn._xlws.FILTER(VALUE(PptoSty[Sign]&amp;1)*(1/PptoSty[Division]),(PptoSty[Division]&lt;&gt;0)*(PptoSty[Division]&lt;&gt;"")*(PptoSty[Division]&lt;&gt;"X")*(PptoSty[Project]=$B76)*(PptoSty[Vrs]=$D76)*(PptoSty[PiRow]=_xlfn.TEXTAFTER($H76,":"))*(PptoSty[PiColumn]=O$54),0)),SUM(IF((INDIRECT($B$3)=$B76)*(INDIRECT($C$3)=$D76)*((INDIRECT($E$3)="TOTS")+(INDIRECT($E$3)=$E76)),INDIRECT(O$3)))),_xlpm.y,SUM(_xlfn.CHOOSECOLS(_xlfn._xlws.FILTER(F_RT14[],(F_RT14[PrjId]=$B76)*(F_RT14[Vrs]=$D76)*(_xlfn.TEXTAFTER(F_RT14[ActGrp],":")=_xlfn.TEXTAFTER($H76,":")),"X"),MATCH("*"&amp;O$54,F_RT14[#Headers],0))),IF(AND(_xlpm.x=0,_xlpm.y&lt;&gt;0),-1,IF(AND(_xlpm.x&lt;&gt;0,_xlpm.y&lt;&gt;0),_xlpm.x,IF(AND(_xlpm.x-SUM(IF((INDIRECT($B$3)=$B76)*(INDIRECT($C$3)=$D76)*((INDIRECT($E$3)="TOTS")+(INDIRECT($E$3)=$E76)),INDIRECT(O$3)))&lt;&gt;0,_xlpm.y=0),-2,_xlpm.x)))),0))</f>
        <v>0</v>
      </c>
      <c r="P76" s="199" cm="1">
        <f t="array" aca="1" ref="P76" ca="1">IF(OR($B76="",$B76="X",$D76="",$D76="X",$E76="",$E76="X"),0,IFERROR(_xlfn.LET(_xlpm.x,SUM(SUM(_xlfn._xlws.FILTER(VALUE(PptoSty[Sign]&amp;1)*(1/PptoSty[Division]),(PptoSty[Division]&lt;&gt;0)*(PptoSty[Division]&lt;&gt;"")*(PptoSty[Division]&lt;&gt;"X")*(PptoSty[Project]=$B76)*(PptoSty[Vrs]=$D76)*(PptoSty[PiRow]=_xlfn.TEXTAFTER($H76,":"))*(PptoSty[PiColumn]=P$54),0)),SUM(IF((INDIRECT($B$3)=$B76)*(INDIRECT($C$3)=$D76)*((INDIRECT($E$3)="TOTS")+(INDIRECT($E$3)=$E76)),INDIRECT(P$3)))),_xlpm.y,SUM(_xlfn.CHOOSECOLS(_xlfn._xlws.FILTER(F_RT14[],(F_RT14[PrjId]=$B76)*(F_RT14[Vrs]=$D76)*(_xlfn.TEXTAFTER(F_RT14[ActGrp],":")=_xlfn.TEXTAFTER($H76,":")),"X"),MATCH("*"&amp;P$54,F_RT14[#Headers],0))),IF(AND(_xlpm.x=0,_xlpm.y&lt;&gt;0),-1,IF(AND(_xlpm.x&lt;&gt;0,_xlpm.y&lt;&gt;0),_xlpm.x,IF(AND(_xlpm.x-SUM(IF((INDIRECT($B$3)=$B76)*(INDIRECT($C$3)=$D76)*((INDIRECT($E$3)="TOTS")+(INDIRECT($E$3)=$E76)),INDIRECT(P$3)))&lt;&gt;0,_xlpm.y=0),-2,_xlpm.x)))),0))</f>
        <v>0</v>
      </c>
      <c r="Q76" s="199" cm="1">
        <f t="array" aca="1" ref="Q76" ca="1">IF(OR($B76="",$B76="X",$D76="",$D76="X",$E76="",$E76="X"),0,IFERROR(_xlfn.LET(_xlpm.x,SUM(SUM(_xlfn._xlws.FILTER(VALUE(PptoSty[Sign]&amp;1)*(1/PptoSty[Division]),(PptoSty[Division]&lt;&gt;0)*(PptoSty[Division]&lt;&gt;"")*(PptoSty[Division]&lt;&gt;"X")*(PptoSty[Project]=$B76)*(PptoSty[Vrs]=$D76)*(PptoSty[PiRow]=_xlfn.TEXTAFTER($H76,":"))*(PptoSty[PiColumn]=Q$54),0)),SUM(IF((INDIRECT($B$3)=$B76)*(INDIRECT($C$3)=$D76)*((INDIRECT($E$3)="TOTS")+(INDIRECT($E$3)=$E76)),INDIRECT(Q$3)))),_xlpm.y,SUM(_xlfn.CHOOSECOLS(_xlfn._xlws.FILTER(F_RT14[],(F_RT14[PrjId]=$B76)*(F_RT14[Vrs]=$D76)*(_xlfn.TEXTAFTER(F_RT14[ActGrp],":")=_xlfn.TEXTAFTER($H76,":")),"X"),MATCH("*"&amp;Q$54,F_RT14[#Headers],0))),IF(AND(_xlpm.x=0,_xlpm.y&lt;&gt;0),-1,IF(AND(_xlpm.x&lt;&gt;0,_xlpm.y&lt;&gt;0),_xlpm.x,IF(AND(_xlpm.x-SUM(IF((INDIRECT($B$3)=$B76)*(INDIRECT($C$3)=$D76)*((INDIRECT($E$3)="TOTS")+(INDIRECT($E$3)=$E76)),INDIRECT(Q$3)))&lt;&gt;0,_xlpm.y=0),-2,_xlpm.x)))),0))</f>
        <v>0</v>
      </c>
      <c r="R76" s="199" cm="1">
        <f t="array" aca="1" ref="R76" ca="1">IF(OR($B76="",$B76="X",$D76="",$D76="X",$E76="",$E76="X"),0,IFERROR(_xlfn.LET(_xlpm.x,SUM(SUM(_xlfn._xlws.FILTER(VALUE(PptoSty[Sign]&amp;1)*(1/PptoSty[Division]),(PptoSty[Division]&lt;&gt;0)*(PptoSty[Division]&lt;&gt;"")*(PptoSty[Division]&lt;&gt;"X")*(PptoSty[Project]=$B76)*(PptoSty[Vrs]=$D76)*(PptoSty[PiRow]=_xlfn.TEXTAFTER($H76,":"))*(PptoSty[PiColumn]=R$54),0)),SUM(IF((INDIRECT($B$3)=$B76)*(INDIRECT($C$3)=$D76)*((INDIRECT($E$3)="TOTS")+(INDIRECT($E$3)=$E76)),INDIRECT(R$3)))),_xlpm.y,SUM(_xlfn.CHOOSECOLS(_xlfn._xlws.FILTER(F_RT14[],(F_RT14[PrjId]=$B76)*(F_RT14[Vrs]=$D76)*(_xlfn.TEXTAFTER(F_RT14[ActGrp],":")=_xlfn.TEXTAFTER($H76,":")),"X"),MATCH("*"&amp;R$54,F_RT14[#Headers],0))),IF(AND(_xlpm.x=0,_xlpm.y&lt;&gt;0),-1,IF(AND(_xlpm.x&lt;&gt;0,_xlpm.y&lt;&gt;0),_xlpm.x,IF(AND(_xlpm.x-SUM(IF((INDIRECT($B$3)=$B76)*(INDIRECT($C$3)=$D76)*((INDIRECT($E$3)="TOTS")+(INDIRECT($E$3)=$E76)),INDIRECT(R$3)))&lt;&gt;0,_xlpm.y=0),-2,_xlpm.x)))),0))</f>
        <v>0</v>
      </c>
      <c r="S76" s="199" cm="1">
        <f t="array" aca="1" ref="S76" ca="1">IF(OR($B76="",$B76="X",$D76="",$D76="X",$E76="",$E76="X"),0,IFERROR(_xlfn.LET(_xlpm.x,SUM(SUM(_xlfn._xlws.FILTER(VALUE(PptoSty[Sign]&amp;1)*(1/PptoSty[Division]),(PptoSty[Division]&lt;&gt;0)*(PptoSty[Division]&lt;&gt;"")*(PptoSty[Division]&lt;&gt;"X")*(PptoSty[Project]=$B76)*(PptoSty[Vrs]=$D76)*(PptoSty[PiRow]=_xlfn.TEXTAFTER($H76,":"))*(PptoSty[PiColumn]=S$54),0)),SUM(IF((INDIRECT($B$3)=$B76)*(INDIRECT($C$3)=$D76)*((INDIRECT($E$3)="TOTS")+(INDIRECT($E$3)=$E76)),INDIRECT(S$3)))),_xlpm.y,SUM(_xlfn.CHOOSECOLS(_xlfn._xlws.FILTER(F_RT14[],(F_RT14[PrjId]=$B76)*(F_RT14[Vrs]=$D76)*(_xlfn.TEXTAFTER(F_RT14[ActGrp],":")=_xlfn.TEXTAFTER($H76,":")),"X"),MATCH("*"&amp;S$54,F_RT14[#Headers],0))),IF(AND(_xlpm.x=0,_xlpm.y&lt;&gt;0),-1,IF(AND(_xlpm.x&lt;&gt;0,_xlpm.y&lt;&gt;0),_xlpm.x,IF(AND(_xlpm.x-SUM(IF((INDIRECT($B$3)=$B76)*(INDIRECT($C$3)=$D76)*((INDIRECT($E$3)="TOTS")+(INDIRECT($E$3)=$E76)),INDIRECT(S$3)))&lt;&gt;0,_xlpm.y=0),-2,_xlpm.x)))),0))</f>
        <v>-1</v>
      </c>
      <c r="T76" s="199" cm="1">
        <f t="array" aca="1" ref="T76" ca="1">IF(OR($B76="",$B76="X",$D76="",$D76="X",$E76="",$E76="X"),0,IFERROR(_xlfn.LET(_xlpm.x,SUM(SUM(_xlfn._xlws.FILTER(VALUE(PptoSty[Sign]&amp;1)*(1/PptoSty[Division]),(PptoSty[Division]&lt;&gt;0)*(PptoSty[Division]&lt;&gt;"")*(PptoSty[Division]&lt;&gt;"X")*(PptoSty[Project]=$B76)*(PptoSty[Vrs]=$D76)*(PptoSty[PiRow]=_xlfn.TEXTAFTER($H76,":"))*(PptoSty[PiColumn]=T$54),0)),SUM(IF((INDIRECT($B$3)=$B76)*(INDIRECT($C$3)=$D76)*((INDIRECT($E$3)="TOTS")+(INDIRECT($E$3)=$E76)),INDIRECT(T$3)))),_xlpm.y,SUM(_xlfn.CHOOSECOLS(_xlfn._xlws.FILTER(F_RT14[],(F_RT14[PrjId]=$B76)*(F_RT14[Vrs]=$D76)*(_xlfn.TEXTAFTER(F_RT14[ActGrp],":")=_xlfn.TEXTAFTER($H76,":")),"X"),MATCH("*"&amp;T$54,F_RT14[#Headers],0))),IF(AND(_xlpm.x=0,_xlpm.y&lt;&gt;0),-1,IF(AND(_xlpm.x&lt;&gt;0,_xlpm.y&lt;&gt;0),_xlpm.x,IF(AND(_xlpm.x-SUM(IF((INDIRECT($B$3)=$B76)*(INDIRECT($C$3)=$D76)*((INDIRECT($E$3)="TOTS")+(INDIRECT($E$3)=$E76)),INDIRECT(T$3)))&lt;&gt;0,_xlpm.y=0),-2,_xlpm.x)))),0))</f>
        <v>0</v>
      </c>
      <c r="U76" s="199" cm="1">
        <f t="array" aca="1" ref="U76" ca="1">IF(OR($B76="",$B76="X",$D76="",$D76="X",$E76="",$E76="X"),0,IFERROR(_xlfn.LET(_xlpm.x,SUM(SUM(_xlfn._xlws.FILTER(VALUE(PptoSty[Sign]&amp;1)*(1/PptoSty[Division]),(PptoSty[Division]&lt;&gt;0)*(PptoSty[Division]&lt;&gt;"")*(PptoSty[Division]&lt;&gt;"X")*(PptoSty[Project]=$B76)*(PptoSty[Vrs]=$D76)*(PptoSty[PiRow]=_xlfn.TEXTAFTER($H76,":"))*(PptoSty[PiColumn]=U$54),0)),SUM(IF((INDIRECT($B$3)=$B76)*(INDIRECT($C$3)=$D76)*((INDIRECT($E$3)="TOTS")+(INDIRECT($E$3)=$E76)),INDIRECT(U$3)))),_xlpm.y,SUM(_xlfn.CHOOSECOLS(_xlfn._xlws.FILTER(F_RT14[],(F_RT14[PrjId]=$B76)*(F_RT14[Vrs]=$D76)*(_xlfn.TEXTAFTER(F_RT14[ActGrp],":")=_xlfn.TEXTAFTER($H76,":")),"X"),MATCH("*"&amp;U$54,F_RT14[#Headers],0))),IF(AND(_xlpm.x=0,_xlpm.y&lt;&gt;0),-1,IF(AND(_xlpm.x&lt;&gt;0,_xlpm.y&lt;&gt;0),_xlpm.x,IF(AND(_xlpm.x-SUM(IF((INDIRECT($B$3)=$B76)*(INDIRECT($C$3)=$D76)*((INDIRECT($E$3)="TOTS")+(INDIRECT($E$3)=$E76)),INDIRECT(U$3)))&lt;&gt;0,_xlpm.y=0),-2,_xlpm.x)))),0))</f>
        <v>0</v>
      </c>
      <c r="V76" s="199" cm="1">
        <f t="array" aca="1" ref="V76" ca="1">IF(OR($B76="",$B76="X",$D76="",$D76="X",$E76="",$E76="X"),0,IFERROR(_xlfn.LET(_xlpm.x,SUM(SUM(_xlfn._xlws.FILTER(VALUE(PptoSty[Sign]&amp;1)*(1/PptoSty[Division]),(PptoSty[Division]&lt;&gt;0)*(PptoSty[Division]&lt;&gt;"")*(PptoSty[Division]&lt;&gt;"X")*(PptoSty[Project]=$B76)*(PptoSty[Vrs]=$D76)*(PptoSty[PiRow]=_xlfn.TEXTAFTER($H76,":"))*(PptoSty[PiColumn]=V$54),0)),SUM(IF((INDIRECT($B$3)=$B76)*(INDIRECT($C$3)=$D76)*((INDIRECT($E$3)="TOTS")+(INDIRECT($E$3)=$E76)),INDIRECT(V$3)))),_xlpm.y,SUM(_xlfn.CHOOSECOLS(_xlfn._xlws.FILTER(F_RT14[],(F_RT14[PrjId]=$B76)*(F_RT14[Vrs]=$D76)*(_xlfn.TEXTAFTER(F_RT14[ActGrp],":")=_xlfn.TEXTAFTER($H76,":")),"X"),MATCH("*"&amp;V$54,F_RT14[#Headers],0))),IF(AND(_xlpm.x=0,_xlpm.y&lt;&gt;0),-1,IF(AND(_xlpm.x&lt;&gt;0,_xlpm.y&lt;&gt;0),_xlpm.x,IF(AND(_xlpm.x-SUM(IF((INDIRECT($B$3)=$B76)*(INDIRECT($C$3)=$D76)*((INDIRECT($E$3)="TOTS")+(INDIRECT($E$3)=$E76)),INDIRECT(V$3)))&lt;&gt;0,_xlpm.y=0),-2,_xlpm.x)))),0))</f>
        <v>0</v>
      </c>
      <c r="W76" s="199" cm="1">
        <f t="array" aca="1" ref="W76" ca="1">IF(OR($B76="",$B76="X",$D76="",$D76="X",$E76="",$E76="X"),0,IFERROR(_xlfn.LET(_xlpm.x,SUM(SUM(_xlfn._xlws.FILTER(VALUE(PptoSty[Sign]&amp;1)*(1/PptoSty[Division]),(PptoSty[Division]&lt;&gt;0)*(PptoSty[Division]&lt;&gt;"")*(PptoSty[Division]&lt;&gt;"X")*(PptoSty[Project]=$B76)*(PptoSty[Vrs]=$D76)*(PptoSty[PiRow]=_xlfn.TEXTAFTER($H76,":"))*(PptoSty[PiColumn]=W$54),0)),SUM(IF((INDIRECT($B$3)=$B76)*(INDIRECT($C$3)=$D76)*((INDIRECT($E$3)="TOTS")+(INDIRECT($E$3)=$E76)),INDIRECT(W$3)))),_xlpm.y,SUM(_xlfn.CHOOSECOLS(_xlfn._xlws.FILTER(F_RT14[],(F_RT14[PrjId]=$B76)*(F_RT14[Vrs]=$D76)*(_xlfn.TEXTAFTER(F_RT14[ActGrp],":")=_xlfn.TEXTAFTER($H76,":")),"X"),MATCH("*"&amp;W$54,F_RT14[#Headers],0))),IF(AND(_xlpm.x=0,_xlpm.y&lt;&gt;0),-1,IF(AND(_xlpm.x&lt;&gt;0,_xlpm.y&lt;&gt;0),_xlpm.x,IF(AND(_xlpm.x-SUM(IF((INDIRECT($B$3)=$B76)*(INDIRECT($C$3)=$D76)*((INDIRECT($E$3)="TOTS")+(INDIRECT($E$3)=$E76)),INDIRECT(W$3)))&lt;&gt;0,_xlpm.y=0),-2,_xlpm.x)))),0))</f>
        <v>-1</v>
      </c>
      <c r="X76" s="199" cm="1">
        <f t="array" aca="1" ref="X76" ca="1">IF(OR($B76="",$B76="X",$D76="",$D76="X",$E76="",$E76="X"),0,IFERROR(_xlfn.LET(_xlpm.x,SUM(SUM(_xlfn._xlws.FILTER(VALUE(PptoSty[Sign]&amp;1)*(1/PptoSty[Division]),(PptoSty[Division]&lt;&gt;0)*(PptoSty[Division]&lt;&gt;"")*(PptoSty[Division]&lt;&gt;"X")*(PptoSty[Project]=$B76)*(PptoSty[Vrs]=$D76)*(PptoSty[PiRow]=_xlfn.TEXTAFTER($H76,":"))*(PptoSty[PiColumn]=X$54),0)),SUM(IF((INDIRECT($B$3)=$B76)*(INDIRECT($C$3)=$D76)*((INDIRECT($E$3)="TOTS")+(INDIRECT($E$3)=$E76)),INDIRECT(X$3)))),_xlpm.y,SUM(_xlfn.CHOOSECOLS(_xlfn._xlws.FILTER(F_RT14[],(F_RT14[PrjId]=$B76)*(F_RT14[Vrs]=$D76)*(_xlfn.TEXTAFTER(F_RT14[ActGrp],":")=_xlfn.TEXTAFTER($H76,":")),"X"),MATCH("*"&amp;X$54,F_RT14[#Headers],0))),IF(AND(_xlpm.x=0,_xlpm.y&lt;&gt;0),-1,IF(AND(_xlpm.x&lt;&gt;0,_xlpm.y&lt;&gt;0),_xlpm.x,IF(AND(_xlpm.x-SUM(IF((INDIRECT($B$3)=$B76)*(INDIRECT($C$3)=$D76)*((INDIRECT($E$3)="TOTS")+(INDIRECT($E$3)=$E76)),INDIRECT(X$3)))&lt;&gt;0,_xlpm.y=0),-2,_xlpm.x)))),0))</f>
        <v>0</v>
      </c>
      <c r="Y76" s="199" cm="1">
        <f t="array" aca="1" ref="Y76" ca="1">IF(OR($B76="",$B76="X",$D76="",$D76="X",$E76="",$E76="X"),0,IFERROR(_xlfn.LET(_xlpm.x,SUM(SUM(_xlfn._xlws.FILTER(VALUE(PptoSty[Sign]&amp;1)*(1/PptoSty[Division]),(PptoSty[Division]&lt;&gt;0)*(PptoSty[Division]&lt;&gt;"")*(PptoSty[Division]&lt;&gt;"X")*(PptoSty[Project]=$B76)*(PptoSty[Vrs]=$D76)*(PptoSty[PiRow]=_xlfn.TEXTAFTER($H76,":"))*(PptoSty[PiColumn]=Y$54),0)),SUM(IF((INDIRECT($B$3)=$B76)*(INDIRECT($C$3)=$D76)*((INDIRECT($E$3)="TOTS")+(INDIRECT($E$3)=$E76)),INDIRECT(Y$3)))),_xlpm.y,SUM(_xlfn.CHOOSECOLS(_xlfn._xlws.FILTER(F_RT14[],(F_RT14[PrjId]=$B76)*(F_RT14[Vrs]=$D76)*(_xlfn.TEXTAFTER(F_RT14[ActGrp],":")=_xlfn.TEXTAFTER($H76,":")),"X"),MATCH("*"&amp;Y$54,F_RT14[#Headers],0))),IF(AND(_xlpm.x=0,_xlpm.y&lt;&gt;0),-1,IF(AND(_xlpm.x&lt;&gt;0,_xlpm.y&lt;&gt;0),_xlpm.x,IF(AND(_xlpm.x-SUM(IF((INDIRECT($B$3)=$B76)*(INDIRECT($C$3)=$D76)*((INDIRECT($E$3)="TOTS")+(INDIRECT($E$3)=$E76)),INDIRECT(Y$3)))&lt;&gt;0,_xlpm.y=0),-2,_xlpm.x)))),0))</f>
        <v>0</v>
      </c>
      <c r="Z76" s="198" t="str">
        <f t="shared" ca="1" si="2"/>
        <v>Fback!B76:Y76</v>
      </c>
    </row>
    <row r="77" spans="2:26" ht="21" customHeight="1" outlineLevel="1">
      <c r="B77" s="128" t="str">
        <v>31200</v>
      </c>
      <c r="C77" s="128" t="str">
        <v>Sp</v>
      </c>
      <c r="D77" s="128">
        <v>15</v>
      </c>
      <c r="E77" s="128" t="str">
        <v>CELL</v>
      </c>
      <c r="F77" s="139" t="str">
        <v>SERRA</v>
      </c>
      <c r="G77" s="139" t="str">
        <v>CurPpto</v>
      </c>
      <c r="H77" s="139" t="str">
        <v>E002:VALLADOS &amp; SEGURIDADES</v>
      </c>
      <c r="I77" s="199" cm="1">
        <f t="array" aca="1" ref="I77" ca="1">IF(OR($B77="",$B77="X",$D77="",$D77="X",$E77="",$E77="X"),0,IFERROR(_xlfn.LET(_xlpm.x,SUM(SUM(_xlfn._xlws.FILTER(VALUE(PptoSty[Sign]&amp;1)*(1/PptoSty[Division]),(PptoSty[Division]&lt;&gt;0)*(PptoSty[Division]&lt;&gt;"")*(PptoSty[Division]&lt;&gt;"X")*(PptoSty[Project]=$B77)*(PptoSty[Vrs]=$D77)*(PptoSty[PiRow]=_xlfn.TEXTAFTER($H77,":"))*(PptoSty[PiColumn]=I$54),0)),SUM(IF((INDIRECT($B$3)=$B77)*(INDIRECT($C$3)=$D77)*((INDIRECT($E$3)="TOTS")+(INDIRECT($E$3)=$E77)),INDIRECT(I$3)))),_xlpm.y,SUM(_xlfn.CHOOSECOLS(_xlfn._xlws.FILTER(F_RT14[],(F_RT14[PrjId]=$B77)*(F_RT14[Vrs]=$D77)*(_xlfn.TEXTAFTER(F_RT14[ActGrp],":")=_xlfn.TEXTAFTER($H77,":")),"X"),MATCH("*"&amp;I$54,F_RT14[#Headers],0))),IF(AND(_xlpm.x=0,_xlpm.y&lt;&gt;0),-1,IF(AND(_xlpm.x&lt;&gt;0,_xlpm.y&lt;&gt;0),_xlpm.x,IF(AND(_xlpm.x-SUM(IF((INDIRECT($B$3)=$B77)*(INDIRECT($C$3)=$D77)*((INDIRECT($E$3)="TOTS")+(INDIRECT($E$3)=$E77)),INDIRECT(I$3)))&lt;&gt;0,_xlpm.y=0),-2,_xlpm.x)))),0))</f>
        <v>0</v>
      </c>
      <c r="J77" s="199" cm="1">
        <f t="array" aca="1" ref="J77" ca="1">IF(OR($B77="",$B77="X",$D77="",$D77="X",$E77="",$E77="X"),0,IFERROR(_xlfn.LET(_xlpm.x,SUM(SUM(_xlfn._xlws.FILTER(VALUE(PptoSty[Sign]&amp;1)*(1/PptoSty[Division]),(PptoSty[Division]&lt;&gt;0)*(PptoSty[Division]&lt;&gt;"")*(PptoSty[Division]&lt;&gt;"X")*(PptoSty[Project]=$B77)*(PptoSty[Vrs]=$D77)*(PptoSty[PiRow]=_xlfn.TEXTAFTER($H77,":"))*(PptoSty[PiColumn]=J$54),0)),SUM(IF((INDIRECT($B$3)=$B77)*(INDIRECT($C$3)=$D77)*((INDIRECT($E$3)="TOTS")+(INDIRECT($E$3)=$E77)),INDIRECT(J$3)))),_xlpm.y,SUM(_xlfn.CHOOSECOLS(_xlfn._xlws.FILTER(F_RT14[],(F_RT14[PrjId]=$B77)*(F_RT14[Vrs]=$D77)*(_xlfn.TEXTAFTER(F_RT14[ActGrp],":")=_xlfn.TEXTAFTER($H77,":")),"X"),MATCH("*"&amp;J$54,F_RT14[#Headers],0))),IF(AND(_xlpm.x=0,_xlpm.y&lt;&gt;0),-1,IF(AND(_xlpm.x&lt;&gt;0,_xlpm.y&lt;&gt;0),_xlpm.x,IF(AND(_xlpm.x-SUM(IF((INDIRECT($B$3)=$B77)*(INDIRECT($C$3)=$D77)*((INDIRECT($E$3)="TOTS")+(INDIRECT($E$3)=$E77)),INDIRECT(J$3)))&lt;&gt;0,_xlpm.y=0),-2,_xlpm.x)))),0))</f>
        <v>0</v>
      </c>
      <c r="K77" s="199" cm="1">
        <f t="array" aca="1" ref="K77" ca="1">IF(OR($B77="",$B77="X",$D77="",$D77="X",$E77="",$E77="X"),0,IFERROR(_xlfn.LET(_xlpm.x,SUM(SUM(_xlfn._xlws.FILTER(VALUE(PptoSty[Sign]&amp;1)*(1/PptoSty[Division]),(PptoSty[Division]&lt;&gt;0)*(PptoSty[Division]&lt;&gt;"")*(PptoSty[Division]&lt;&gt;"X")*(PptoSty[Project]=$B77)*(PptoSty[Vrs]=$D77)*(PptoSty[PiRow]=_xlfn.TEXTAFTER($H77,":"))*(PptoSty[PiColumn]=K$54),0)),SUM(IF((INDIRECT($B$3)=$B77)*(INDIRECT($C$3)=$D77)*((INDIRECT($E$3)="TOTS")+(INDIRECT($E$3)=$E77)),INDIRECT(K$3)))),_xlpm.y,SUM(_xlfn.CHOOSECOLS(_xlfn._xlws.FILTER(F_RT14[],(F_RT14[PrjId]=$B77)*(F_RT14[Vrs]=$D77)*(_xlfn.TEXTAFTER(F_RT14[ActGrp],":")=_xlfn.TEXTAFTER($H77,":")),"X"),MATCH("*"&amp;K$54,F_RT14[#Headers],0))),IF(AND(_xlpm.x=0,_xlpm.y&lt;&gt;0),-1,IF(AND(_xlpm.x&lt;&gt;0,_xlpm.y&lt;&gt;0),_xlpm.x,IF(AND(_xlpm.x-SUM(IF((INDIRECT($B$3)=$B77)*(INDIRECT($C$3)=$D77)*((INDIRECT($E$3)="TOTS")+(INDIRECT($E$3)=$E77)),INDIRECT(K$3)))&lt;&gt;0,_xlpm.y=0),-2,_xlpm.x)))),0))</f>
        <v>-1</v>
      </c>
      <c r="L77" s="199" cm="1">
        <f t="array" aca="1" ref="L77" ca="1">IF(OR($B77="",$B77="X",$D77="",$D77="X",$E77="",$E77="X"),0,IFERROR(_xlfn.LET(_xlpm.x,SUM(SUM(_xlfn._xlws.FILTER(VALUE(PptoSty[Sign]&amp;1)*(1/PptoSty[Division]),(PptoSty[Division]&lt;&gt;0)*(PptoSty[Division]&lt;&gt;"")*(PptoSty[Division]&lt;&gt;"X")*(PptoSty[Project]=$B77)*(PptoSty[Vrs]=$D77)*(PptoSty[PiRow]=_xlfn.TEXTAFTER($H77,":"))*(PptoSty[PiColumn]=L$54),0)),SUM(IF((INDIRECT($B$3)=$B77)*(INDIRECT($C$3)=$D77)*((INDIRECT($E$3)="TOTS")+(INDIRECT($E$3)=$E77)),INDIRECT(L$3)))),_xlpm.y,SUM(_xlfn.CHOOSECOLS(_xlfn._xlws.FILTER(F_RT14[],(F_RT14[PrjId]=$B77)*(F_RT14[Vrs]=$D77)*(_xlfn.TEXTAFTER(F_RT14[ActGrp],":")=_xlfn.TEXTAFTER($H77,":")),"X"),MATCH("*"&amp;L$54,F_RT14[#Headers],0))),IF(AND(_xlpm.x=0,_xlpm.y&lt;&gt;0),-1,IF(AND(_xlpm.x&lt;&gt;0,_xlpm.y&lt;&gt;0),_xlpm.x,IF(AND(_xlpm.x-SUM(IF((INDIRECT($B$3)=$B77)*(INDIRECT($C$3)=$D77)*((INDIRECT($E$3)="TOTS")+(INDIRECT($E$3)=$E77)),INDIRECT(L$3)))&lt;&gt;0,_xlpm.y=0),-2,_xlpm.x)))),0))</f>
        <v>0</v>
      </c>
      <c r="M77" s="199" cm="1">
        <f t="array" aca="1" ref="M77" ca="1">IF(OR($B77="",$B77="X",$D77="",$D77="X",$E77="",$E77="X"),0,IFERROR(_xlfn.LET(_xlpm.x,SUM(SUM(_xlfn._xlws.FILTER(VALUE(PptoSty[Sign]&amp;1)*(1/PptoSty[Division]),(PptoSty[Division]&lt;&gt;0)*(PptoSty[Division]&lt;&gt;"")*(PptoSty[Division]&lt;&gt;"X")*(PptoSty[Project]=$B77)*(PptoSty[Vrs]=$D77)*(PptoSty[PiRow]=_xlfn.TEXTAFTER($H77,":"))*(PptoSty[PiColumn]=M$54),0)),SUM(IF((INDIRECT($B$3)=$B77)*(INDIRECT($C$3)=$D77)*((INDIRECT($E$3)="TOTS")+(INDIRECT($E$3)=$E77)),INDIRECT(M$3)))),_xlpm.y,SUM(_xlfn.CHOOSECOLS(_xlfn._xlws.FILTER(F_RT14[],(F_RT14[PrjId]=$B77)*(F_RT14[Vrs]=$D77)*(_xlfn.TEXTAFTER(F_RT14[ActGrp],":")=_xlfn.TEXTAFTER($H77,":")),"X"),MATCH("*"&amp;M$54,F_RT14[#Headers],0))),IF(AND(_xlpm.x=0,_xlpm.y&lt;&gt;0),-1,IF(AND(_xlpm.x&lt;&gt;0,_xlpm.y&lt;&gt;0),_xlpm.x,IF(AND(_xlpm.x-SUM(IF((INDIRECT($B$3)=$B77)*(INDIRECT($C$3)=$D77)*((INDIRECT($E$3)="TOTS")+(INDIRECT($E$3)=$E77)),INDIRECT(M$3)))&lt;&gt;0,_xlpm.y=0),-2,_xlpm.x)))),0))</f>
        <v>0</v>
      </c>
      <c r="N77" s="199" cm="1">
        <f t="array" aca="1" ref="N77" ca="1">IF(OR($B77="",$B77="X",$D77="",$D77="X",$E77="",$E77="X"),0,IFERROR(_xlfn.LET(_xlpm.x,SUM(SUM(_xlfn._xlws.FILTER(VALUE(PptoSty[Sign]&amp;1)*(1/PptoSty[Division]),(PptoSty[Division]&lt;&gt;0)*(PptoSty[Division]&lt;&gt;"")*(PptoSty[Division]&lt;&gt;"X")*(PptoSty[Project]=$B77)*(PptoSty[Vrs]=$D77)*(PptoSty[PiRow]=_xlfn.TEXTAFTER($H77,":"))*(PptoSty[PiColumn]=N$54),0)),SUM(IF((INDIRECT($B$3)=$B77)*(INDIRECT($C$3)=$D77)*((INDIRECT($E$3)="TOTS")+(INDIRECT($E$3)=$E77)),INDIRECT(N$3)))),_xlpm.y,SUM(_xlfn.CHOOSECOLS(_xlfn._xlws.FILTER(F_RT14[],(F_RT14[PrjId]=$B77)*(F_RT14[Vrs]=$D77)*(_xlfn.TEXTAFTER(F_RT14[ActGrp],":")=_xlfn.TEXTAFTER($H77,":")),"X"),MATCH("*"&amp;N$54,F_RT14[#Headers],0))),IF(AND(_xlpm.x=0,_xlpm.y&lt;&gt;0),-1,IF(AND(_xlpm.x&lt;&gt;0,_xlpm.y&lt;&gt;0),_xlpm.x,IF(AND(_xlpm.x-SUM(IF((INDIRECT($B$3)=$B77)*(INDIRECT($C$3)=$D77)*((INDIRECT($E$3)="TOTS")+(INDIRECT($E$3)=$E77)),INDIRECT(N$3)))&lt;&gt;0,_xlpm.y=0),-2,_xlpm.x)))),0))</f>
        <v>0</v>
      </c>
      <c r="O77" s="199" cm="1">
        <f t="array" aca="1" ref="O77" ca="1">IF(OR($B77="",$B77="X",$D77="",$D77="X",$E77="",$E77="X"),0,IFERROR(_xlfn.LET(_xlpm.x,SUM(SUM(_xlfn._xlws.FILTER(VALUE(PptoSty[Sign]&amp;1)*(1/PptoSty[Division]),(PptoSty[Division]&lt;&gt;0)*(PptoSty[Division]&lt;&gt;"")*(PptoSty[Division]&lt;&gt;"X")*(PptoSty[Project]=$B77)*(PptoSty[Vrs]=$D77)*(PptoSty[PiRow]=_xlfn.TEXTAFTER($H77,":"))*(PptoSty[PiColumn]=O$54),0)),SUM(IF((INDIRECT($B$3)=$B77)*(INDIRECT($C$3)=$D77)*((INDIRECT($E$3)="TOTS")+(INDIRECT($E$3)=$E77)),INDIRECT(O$3)))),_xlpm.y,SUM(_xlfn.CHOOSECOLS(_xlfn._xlws.FILTER(F_RT14[],(F_RT14[PrjId]=$B77)*(F_RT14[Vrs]=$D77)*(_xlfn.TEXTAFTER(F_RT14[ActGrp],":")=_xlfn.TEXTAFTER($H77,":")),"X"),MATCH("*"&amp;O$54,F_RT14[#Headers],0))),IF(AND(_xlpm.x=0,_xlpm.y&lt;&gt;0),-1,IF(AND(_xlpm.x&lt;&gt;0,_xlpm.y&lt;&gt;0),_xlpm.x,IF(AND(_xlpm.x-SUM(IF((INDIRECT($B$3)=$B77)*(INDIRECT($C$3)=$D77)*((INDIRECT($E$3)="TOTS")+(INDIRECT($E$3)=$E77)),INDIRECT(O$3)))&lt;&gt;0,_xlpm.y=0),-2,_xlpm.x)))),0))</f>
        <v>0</v>
      </c>
      <c r="P77" s="199" cm="1">
        <f t="array" aca="1" ref="P77" ca="1">IF(OR($B77="",$B77="X",$D77="",$D77="X",$E77="",$E77="X"),0,IFERROR(_xlfn.LET(_xlpm.x,SUM(SUM(_xlfn._xlws.FILTER(VALUE(PptoSty[Sign]&amp;1)*(1/PptoSty[Division]),(PptoSty[Division]&lt;&gt;0)*(PptoSty[Division]&lt;&gt;"")*(PptoSty[Division]&lt;&gt;"X")*(PptoSty[Project]=$B77)*(PptoSty[Vrs]=$D77)*(PptoSty[PiRow]=_xlfn.TEXTAFTER($H77,":"))*(PptoSty[PiColumn]=P$54),0)),SUM(IF((INDIRECT($B$3)=$B77)*(INDIRECT($C$3)=$D77)*((INDIRECT($E$3)="TOTS")+(INDIRECT($E$3)=$E77)),INDIRECT(P$3)))),_xlpm.y,SUM(_xlfn.CHOOSECOLS(_xlfn._xlws.FILTER(F_RT14[],(F_RT14[PrjId]=$B77)*(F_RT14[Vrs]=$D77)*(_xlfn.TEXTAFTER(F_RT14[ActGrp],":")=_xlfn.TEXTAFTER($H77,":")),"X"),MATCH("*"&amp;P$54,F_RT14[#Headers],0))),IF(AND(_xlpm.x=0,_xlpm.y&lt;&gt;0),-1,IF(AND(_xlpm.x&lt;&gt;0,_xlpm.y&lt;&gt;0),_xlpm.x,IF(AND(_xlpm.x-SUM(IF((INDIRECT($B$3)=$B77)*(INDIRECT($C$3)=$D77)*((INDIRECT($E$3)="TOTS")+(INDIRECT($E$3)=$E77)),INDIRECT(P$3)))&lt;&gt;0,_xlpm.y=0),-2,_xlpm.x)))),0))</f>
        <v>-1</v>
      </c>
      <c r="Q77" s="199" cm="1">
        <f t="array" aca="1" ref="Q77" ca="1">IF(OR($B77="",$B77="X",$D77="",$D77="X",$E77="",$E77="X"),0,IFERROR(_xlfn.LET(_xlpm.x,SUM(SUM(_xlfn._xlws.FILTER(VALUE(PptoSty[Sign]&amp;1)*(1/PptoSty[Division]),(PptoSty[Division]&lt;&gt;0)*(PptoSty[Division]&lt;&gt;"")*(PptoSty[Division]&lt;&gt;"X")*(PptoSty[Project]=$B77)*(PptoSty[Vrs]=$D77)*(PptoSty[PiRow]=_xlfn.TEXTAFTER($H77,":"))*(PptoSty[PiColumn]=Q$54),0)),SUM(IF((INDIRECT($B$3)=$B77)*(INDIRECT($C$3)=$D77)*((INDIRECT($E$3)="TOTS")+(INDIRECT($E$3)=$E77)),INDIRECT(Q$3)))),_xlpm.y,SUM(_xlfn.CHOOSECOLS(_xlfn._xlws.FILTER(F_RT14[],(F_RT14[PrjId]=$B77)*(F_RT14[Vrs]=$D77)*(_xlfn.TEXTAFTER(F_RT14[ActGrp],":")=_xlfn.TEXTAFTER($H77,":")),"X"),MATCH("*"&amp;Q$54,F_RT14[#Headers],0))),IF(AND(_xlpm.x=0,_xlpm.y&lt;&gt;0),-1,IF(AND(_xlpm.x&lt;&gt;0,_xlpm.y&lt;&gt;0),_xlpm.x,IF(AND(_xlpm.x-SUM(IF((INDIRECT($B$3)=$B77)*(INDIRECT($C$3)=$D77)*((INDIRECT($E$3)="TOTS")+(INDIRECT($E$3)=$E77)),INDIRECT(Q$3)))&lt;&gt;0,_xlpm.y=0),-2,_xlpm.x)))),0))</f>
        <v>-1</v>
      </c>
      <c r="R77" s="199" cm="1">
        <f t="array" aca="1" ref="R77" ca="1">IF(OR($B77="",$B77="X",$D77="",$D77="X",$E77="",$E77="X"),0,IFERROR(_xlfn.LET(_xlpm.x,SUM(SUM(_xlfn._xlws.FILTER(VALUE(PptoSty[Sign]&amp;1)*(1/PptoSty[Division]),(PptoSty[Division]&lt;&gt;0)*(PptoSty[Division]&lt;&gt;"")*(PptoSty[Division]&lt;&gt;"X")*(PptoSty[Project]=$B77)*(PptoSty[Vrs]=$D77)*(PptoSty[PiRow]=_xlfn.TEXTAFTER($H77,":"))*(PptoSty[PiColumn]=R$54),0)),SUM(IF((INDIRECT($B$3)=$B77)*(INDIRECT($C$3)=$D77)*((INDIRECT($E$3)="TOTS")+(INDIRECT($E$3)=$E77)),INDIRECT(R$3)))),_xlpm.y,SUM(_xlfn.CHOOSECOLS(_xlfn._xlws.FILTER(F_RT14[],(F_RT14[PrjId]=$B77)*(F_RT14[Vrs]=$D77)*(_xlfn.TEXTAFTER(F_RT14[ActGrp],":")=_xlfn.TEXTAFTER($H77,":")),"X"),MATCH("*"&amp;R$54,F_RT14[#Headers],0))),IF(AND(_xlpm.x=0,_xlpm.y&lt;&gt;0),-1,IF(AND(_xlpm.x&lt;&gt;0,_xlpm.y&lt;&gt;0),_xlpm.x,IF(AND(_xlpm.x-SUM(IF((INDIRECT($B$3)=$B77)*(INDIRECT($C$3)=$D77)*((INDIRECT($E$3)="TOTS")+(INDIRECT($E$3)=$E77)),INDIRECT(R$3)))&lt;&gt;0,_xlpm.y=0),-2,_xlpm.x)))),0))</f>
        <v>0</v>
      </c>
      <c r="S77" s="199" cm="1">
        <f t="array" aca="1" ref="S77" ca="1">IF(OR($B77="",$B77="X",$D77="",$D77="X",$E77="",$E77="X"),0,IFERROR(_xlfn.LET(_xlpm.x,SUM(SUM(_xlfn._xlws.FILTER(VALUE(PptoSty[Sign]&amp;1)*(1/PptoSty[Division]),(PptoSty[Division]&lt;&gt;0)*(PptoSty[Division]&lt;&gt;"")*(PptoSty[Division]&lt;&gt;"X")*(PptoSty[Project]=$B77)*(PptoSty[Vrs]=$D77)*(PptoSty[PiRow]=_xlfn.TEXTAFTER($H77,":"))*(PptoSty[PiColumn]=S$54),0)),SUM(IF((INDIRECT($B$3)=$B77)*(INDIRECT($C$3)=$D77)*((INDIRECT($E$3)="TOTS")+(INDIRECT($E$3)=$E77)),INDIRECT(S$3)))),_xlpm.y,SUM(_xlfn.CHOOSECOLS(_xlfn._xlws.FILTER(F_RT14[],(F_RT14[PrjId]=$B77)*(F_RT14[Vrs]=$D77)*(_xlfn.TEXTAFTER(F_RT14[ActGrp],":")=_xlfn.TEXTAFTER($H77,":")),"X"),MATCH("*"&amp;S$54,F_RT14[#Headers],0))),IF(AND(_xlpm.x=0,_xlpm.y&lt;&gt;0),-1,IF(AND(_xlpm.x&lt;&gt;0,_xlpm.y&lt;&gt;0),_xlpm.x,IF(AND(_xlpm.x-SUM(IF((INDIRECT($B$3)=$B77)*(INDIRECT($C$3)=$D77)*((INDIRECT($E$3)="TOTS")+(INDIRECT($E$3)=$E77)),INDIRECT(S$3)))&lt;&gt;0,_xlpm.y=0),-2,_xlpm.x)))),0))</f>
        <v>-1</v>
      </c>
      <c r="T77" s="199" cm="1">
        <f t="array" aca="1" ref="T77" ca="1">IF(OR($B77="",$B77="X",$D77="",$D77="X",$E77="",$E77="X"),0,IFERROR(_xlfn.LET(_xlpm.x,SUM(SUM(_xlfn._xlws.FILTER(VALUE(PptoSty[Sign]&amp;1)*(1/PptoSty[Division]),(PptoSty[Division]&lt;&gt;0)*(PptoSty[Division]&lt;&gt;"")*(PptoSty[Division]&lt;&gt;"X")*(PptoSty[Project]=$B77)*(PptoSty[Vrs]=$D77)*(PptoSty[PiRow]=_xlfn.TEXTAFTER($H77,":"))*(PptoSty[PiColumn]=T$54),0)),SUM(IF((INDIRECT($B$3)=$B77)*(INDIRECT($C$3)=$D77)*((INDIRECT($E$3)="TOTS")+(INDIRECT($E$3)=$E77)),INDIRECT(T$3)))),_xlpm.y,SUM(_xlfn.CHOOSECOLS(_xlfn._xlws.FILTER(F_RT14[],(F_RT14[PrjId]=$B77)*(F_RT14[Vrs]=$D77)*(_xlfn.TEXTAFTER(F_RT14[ActGrp],":")=_xlfn.TEXTAFTER($H77,":")),"X"),MATCH("*"&amp;T$54,F_RT14[#Headers],0))),IF(AND(_xlpm.x=0,_xlpm.y&lt;&gt;0),-1,IF(AND(_xlpm.x&lt;&gt;0,_xlpm.y&lt;&gt;0),_xlpm.x,IF(AND(_xlpm.x-SUM(IF((INDIRECT($B$3)=$B77)*(INDIRECT($C$3)=$D77)*((INDIRECT($E$3)="TOTS")+(INDIRECT($E$3)=$E77)),INDIRECT(T$3)))&lt;&gt;0,_xlpm.y=0),-2,_xlpm.x)))),0))</f>
        <v>-1</v>
      </c>
      <c r="U77" s="199" cm="1">
        <f t="array" aca="1" ref="U77" ca="1">IF(OR($B77="",$B77="X",$D77="",$D77="X",$E77="",$E77="X"),0,IFERROR(_xlfn.LET(_xlpm.x,SUM(SUM(_xlfn._xlws.FILTER(VALUE(PptoSty[Sign]&amp;1)*(1/PptoSty[Division]),(PptoSty[Division]&lt;&gt;0)*(PptoSty[Division]&lt;&gt;"")*(PptoSty[Division]&lt;&gt;"X")*(PptoSty[Project]=$B77)*(PptoSty[Vrs]=$D77)*(PptoSty[PiRow]=_xlfn.TEXTAFTER($H77,":"))*(PptoSty[PiColumn]=U$54),0)),SUM(IF((INDIRECT($B$3)=$B77)*(INDIRECT($C$3)=$D77)*((INDIRECT($E$3)="TOTS")+(INDIRECT($E$3)=$E77)),INDIRECT(U$3)))),_xlpm.y,SUM(_xlfn.CHOOSECOLS(_xlfn._xlws.FILTER(F_RT14[],(F_RT14[PrjId]=$B77)*(F_RT14[Vrs]=$D77)*(_xlfn.TEXTAFTER(F_RT14[ActGrp],":")=_xlfn.TEXTAFTER($H77,":")),"X"),MATCH("*"&amp;U$54,F_RT14[#Headers],0))),IF(AND(_xlpm.x=0,_xlpm.y&lt;&gt;0),-1,IF(AND(_xlpm.x&lt;&gt;0,_xlpm.y&lt;&gt;0),_xlpm.x,IF(AND(_xlpm.x-SUM(IF((INDIRECT($B$3)=$B77)*(INDIRECT($C$3)=$D77)*((INDIRECT($E$3)="TOTS")+(INDIRECT($E$3)=$E77)),INDIRECT(U$3)))&lt;&gt;0,_xlpm.y=0),-2,_xlpm.x)))),0))</f>
        <v>0</v>
      </c>
      <c r="V77" s="199" cm="1">
        <f t="array" aca="1" ref="V77" ca="1">IF(OR($B77="",$B77="X",$D77="",$D77="X",$E77="",$E77="X"),0,IFERROR(_xlfn.LET(_xlpm.x,SUM(SUM(_xlfn._xlws.FILTER(VALUE(PptoSty[Sign]&amp;1)*(1/PptoSty[Division]),(PptoSty[Division]&lt;&gt;0)*(PptoSty[Division]&lt;&gt;"")*(PptoSty[Division]&lt;&gt;"X")*(PptoSty[Project]=$B77)*(PptoSty[Vrs]=$D77)*(PptoSty[PiRow]=_xlfn.TEXTAFTER($H77,":"))*(PptoSty[PiColumn]=V$54),0)),SUM(IF((INDIRECT($B$3)=$B77)*(INDIRECT($C$3)=$D77)*((INDIRECT($E$3)="TOTS")+(INDIRECT($E$3)=$E77)),INDIRECT(V$3)))),_xlpm.y,SUM(_xlfn.CHOOSECOLS(_xlfn._xlws.FILTER(F_RT14[],(F_RT14[PrjId]=$B77)*(F_RT14[Vrs]=$D77)*(_xlfn.TEXTAFTER(F_RT14[ActGrp],":")=_xlfn.TEXTAFTER($H77,":")),"X"),MATCH("*"&amp;V$54,F_RT14[#Headers],0))),IF(AND(_xlpm.x=0,_xlpm.y&lt;&gt;0),-1,IF(AND(_xlpm.x&lt;&gt;0,_xlpm.y&lt;&gt;0),_xlpm.x,IF(AND(_xlpm.x-SUM(IF((INDIRECT($B$3)=$B77)*(INDIRECT($C$3)=$D77)*((INDIRECT($E$3)="TOTS")+(INDIRECT($E$3)=$E77)),INDIRECT(V$3)))&lt;&gt;0,_xlpm.y=0),-2,_xlpm.x)))),0))</f>
        <v>-1</v>
      </c>
      <c r="W77" s="199" cm="1">
        <f t="array" aca="1" ref="W77" ca="1">IF(OR($B77="",$B77="X",$D77="",$D77="X",$E77="",$E77="X"),0,IFERROR(_xlfn.LET(_xlpm.x,SUM(SUM(_xlfn._xlws.FILTER(VALUE(PptoSty[Sign]&amp;1)*(1/PptoSty[Division]),(PptoSty[Division]&lt;&gt;0)*(PptoSty[Division]&lt;&gt;"")*(PptoSty[Division]&lt;&gt;"X")*(PptoSty[Project]=$B77)*(PptoSty[Vrs]=$D77)*(PptoSty[PiRow]=_xlfn.TEXTAFTER($H77,":"))*(PptoSty[PiColumn]=W$54),0)),SUM(IF((INDIRECT($B$3)=$B77)*(INDIRECT($C$3)=$D77)*((INDIRECT($E$3)="TOTS")+(INDIRECT($E$3)=$E77)),INDIRECT(W$3)))),_xlpm.y,SUM(_xlfn.CHOOSECOLS(_xlfn._xlws.FILTER(F_RT14[],(F_RT14[PrjId]=$B77)*(F_RT14[Vrs]=$D77)*(_xlfn.TEXTAFTER(F_RT14[ActGrp],":")=_xlfn.TEXTAFTER($H77,":")),"X"),MATCH("*"&amp;W$54,F_RT14[#Headers],0))),IF(AND(_xlpm.x=0,_xlpm.y&lt;&gt;0),-1,IF(AND(_xlpm.x&lt;&gt;0,_xlpm.y&lt;&gt;0),_xlpm.x,IF(AND(_xlpm.x-SUM(IF((INDIRECT($B$3)=$B77)*(INDIRECT($C$3)=$D77)*((INDIRECT($E$3)="TOTS")+(INDIRECT($E$3)=$E77)),INDIRECT(W$3)))&lt;&gt;0,_xlpm.y=0),-2,_xlpm.x)))),0))</f>
        <v>-1</v>
      </c>
      <c r="X77" s="199" cm="1">
        <f t="array" aca="1" ref="X77" ca="1">IF(OR($B77="",$B77="X",$D77="",$D77="X",$E77="",$E77="X"),0,IFERROR(_xlfn.LET(_xlpm.x,SUM(SUM(_xlfn._xlws.FILTER(VALUE(PptoSty[Sign]&amp;1)*(1/PptoSty[Division]),(PptoSty[Division]&lt;&gt;0)*(PptoSty[Division]&lt;&gt;"")*(PptoSty[Division]&lt;&gt;"X")*(PptoSty[Project]=$B77)*(PptoSty[Vrs]=$D77)*(PptoSty[PiRow]=_xlfn.TEXTAFTER($H77,":"))*(PptoSty[PiColumn]=X$54),0)),SUM(IF((INDIRECT($B$3)=$B77)*(INDIRECT($C$3)=$D77)*((INDIRECT($E$3)="TOTS")+(INDIRECT($E$3)=$E77)),INDIRECT(X$3)))),_xlpm.y,SUM(_xlfn.CHOOSECOLS(_xlfn._xlws.FILTER(F_RT14[],(F_RT14[PrjId]=$B77)*(F_RT14[Vrs]=$D77)*(_xlfn.TEXTAFTER(F_RT14[ActGrp],":")=_xlfn.TEXTAFTER($H77,":")),"X"),MATCH("*"&amp;X$54,F_RT14[#Headers],0))),IF(AND(_xlpm.x=0,_xlpm.y&lt;&gt;0),-1,IF(AND(_xlpm.x&lt;&gt;0,_xlpm.y&lt;&gt;0),_xlpm.x,IF(AND(_xlpm.x-SUM(IF((INDIRECT($B$3)=$B77)*(INDIRECT($C$3)=$D77)*((INDIRECT($E$3)="TOTS")+(INDIRECT($E$3)=$E77)),INDIRECT(X$3)))&lt;&gt;0,_xlpm.y=0),-2,_xlpm.x)))),0))</f>
        <v>0</v>
      </c>
      <c r="Y77" s="199" cm="1">
        <f t="array" aca="1" ref="Y77" ca="1">IF(OR($B77="",$B77="X",$D77="",$D77="X",$E77="",$E77="X"),0,IFERROR(_xlfn.LET(_xlpm.x,SUM(SUM(_xlfn._xlws.FILTER(VALUE(PptoSty[Sign]&amp;1)*(1/PptoSty[Division]),(PptoSty[Division]&lt;&gt;0)*(PptoSty[Division]&lt;&gt;"")*(PptoSty[Division]&lt;&gt;"X")*(PptoSty[Project]=$B77)*(PptoSty[Vrs]=$D77)*(PptoSty[PiRow]=_xlfn.TEXTAFTER($H77,":"))*(PptoSty[PiColumn]=Y$54),0)),SUM(IF((INDIRECT($B$3)=$B77)*(INDIRECT($C$3)=$D77)*((INDIRECT($E$3)="TOTS")+(INDIRECT($E$3)=$E77)),INDIRECT(Y$3)))),_xlpm.y,SUM(_xlfn.CHOOSECOLS(_xlfn._xlws.FILTER(F_RT14[],(F_RT14[PrjId]=$B77)*(F_RT14[Vrs]=$D77)*(_xlfn.TEXTAFTER(F_RT14[ActGrp],":")=_xlfn.TEXTAFTER($H77,":")),"X"),MATCH("*"&amp;Y$54,F_RT14[#Headers],0))),IF(AND(_xlpm.x=0,_xlpm.y&lt;&gt;0),-1,IF(AND(_xlpm.x&lt;&gt;0,_xlpm.y&lt;&gt;0),_xlpm.x,IF(AND(_xlpm.x-SUM(IF((INDIRECT($B$3)=$B77)*(INDIRECT($C$3)=$D77)*((INDIRECT($E$3)="TOTS")+(INDIRECT($E$3)=$E77)),INDIRECT(Y$3)))&lt;&gt;0,_xlpm.y=0),-2,_xlpm.x)))),0))</f>
        <v>0</v>
      </c>
      <c r="Z77" s="198" t="str">
        <f t="shared" ca="1" si="2"/>
        <v>Fback!B77:Y77</v>
      </c>
    </row>
    <row r="78" spans="2:26" ht="21" customHeight="1" outlineLevel="1">
      <c r="B78" s="128" t="str">
        <v>31200</v>
      </c>
      <c r="C78" s="128" t="str">
        <v>Sp</v>
      </c>
      <c r="D78" s="128">
        <v>15</v>
      </c>
      <c r="E78" s="128" t="str">
        <v>CELL</v>
      </c>
      <c r="F78" s="139" t="str">
        <v>SERRA</v>
      </c>
      <c r="G78" s="139" t="str">
        <v>CurPpto</v>
      </c>
      <c r="H78" s="139" t="str">
        <v>E003:IMPLANTACIÓN GENERAL</v>
      </c>
      <c r="I78" s="199" cm="1">
        <f t="array" aca="1" ref="I78" ca="1">IF(OR($B78="",$B78="X",$D78="",$D78="X",$E78="",$E78="X"),0,IFERROR(_xlfn.LET(_xlpm.x,SUM(SUM(_xlfn._xlws.FILTER(VALUE(PptoSty[Sign]&amp;1)*(1/PptoSty[Division]),(PptoSty[Division]&lt;&gt;0)*(PptoSty[Division]&lt;&gt;"")*(PptoSty[Division]&lt;&gt;"X")*(PptoSty[Project]=$B78)*(PptoSty[Vrs]=$D78)*(PptoSty[PiRow]=_xlfn.TEXTAFTER($H78,":"))*(PptoSty[PiColumn]=I$54),0)),SUM(IF((INDIRECT($B$3)=$B78)*(INDIRECT($C$3)=$D78)*((INDIRECT($E$3)="TOTS")+(INDIRECT($E$3)=$E78)),INDIRECT(I$3)))),_xlpm.y,SUM(_xlfn.CHOOSECOLS(_xlfn._xlws.FILTER(F_RT14[],(F_RT14[PrjId]=$B78)*(F_RT14[Vrs]=$D78)*(_xlfn.TEXTAFTER(F_RT14[ActGrp],":")=_xlfn.TEXTAFTER($H78,":")),"X"),MATCH("*"&amp;I$54,F_RT14[#Headers],0))),IF(AND(_xlpm.x=0,_xlpm.y&lt;&gt;0),-1,IF(AND(_xlpm.x&lt;&gt;0,_xlpm.y&lt;&gt;0),_xlpm.x,IF(AND(_xlpm.x-SUM(IF((INDIRECT($B$3)=$B78)*(INDIRECT($C$3)=$D78)*((INDIRECT($E$3)="TOTS")+(INDIRECT($E$3)=$E78)),INDIRECT(I$3)))&lt;&gt;0,_xlpm.y=0),-2,_xlpm.x)))),0))</f>
        <v>0</v>
      </c>
      <c r="J78" s="199" cm="1">
        <f t="array" aca="1" ref="J78" ca="1">IF(OR($B78="",$B78="X",$D78="",$D78="X",$E78="",$E78="X"),0,IFERROR(_xlfn.LET(_xlpm.x,SUM(SUM(_xlfn._xlws.FILTER(VALUE(PptoSty[Sign]&amp;1)*(1/PptoSty[Division]),(PptoSty[Division]&lt;&gt;0)*(PptoSty[Division]&lt;&gt;"")*(PptoSty[Division]&lt;&gt;"X")*(PptoSty[Project]=$B78)*(PptoSty[Vrs]=$D78)*(PptoSty[PiRow]=_xlfn.TEXTAFTER($H78,":"))*(PptoSty[PiColumn]=J$54),0)),SUM(IF((INDIRECT($B$3)=$B78)*(INDIRECT($C$3)=$D78)*((INDIRECT($E$3)="TOTS")+(INDIRECT($E$3)=$E78)),INDIRECT(J$3)))),_xlpm.y,SUM(_xlfn.CHOOSECOLS(_xlfn._xlws.FILTER(F_RT14[],(F_RT14[PrjId]=$B78)*(F_RT14[Vrs]=$D78)*(_xlfn.TEXTAFTER(F_RT14[ActGrp],":")=_xlfn.TEXTAFTER($H78,":")),"X"),MATCH("*"&amp;J$54,F_RT14[#Headers],0))),IF(AND(_xlpm.x=0,_xlpm.y&lt;&gt;0),-1,IF(AND(_xlpm.x&lt;&gt;0,_xlpm.y&lt;&gt;0),_xlpm.x,IF(AND(_xlpm.x-SUM(IF((INDIRECT($B$3)=$B78)*(INDIRECT($C$3)=$D78)*((INDIRECT($E$3)="TOTS")+(INDIRECT($E$3)=$E78)),INDIRECT(J$3)))&lt;&gt;0,_xlpm.y=0),-2,_xlpm.x)))),0))</f>
        <v>0</v>
      </c>
      <c r="K78" s="199" cm="1">
        <f t="array" aca="1" ref="K78" ca="1">IF(OR($B78="",$B78="X",$D78="",$D78="X",$E78="",$E78="X"),0,IFERROR(_xlfn.LET(_xlpm.x,SUM(SUM(_xlfn._xlws.FILTER(VALUE(PptoSty[Sign]&amp;1)*(1/PptoSty[Division]),(PptoSty[Division]&lt;&gt;0)*(PptoSty[Division]&lt;&gt;"")*(PptoSty[Division]&lt;&gt;"X")*(PptoSty[Project]=$B78)*(PptoSty[Vrs]=$D78)*(PptoSty[PiRow]=_xlfn.TEXTAFTER($H78,":"))*(PptoSty[PiColumn]=K$54),0)),SUM(IF((INDIRECT($B$3)=$B78)*(INDIRECT($C$3)=$D78)*((INDIRECT($E$3)="TOTS")+(INDIRECT($E$3)=$E78)),INDIRECT(K$3)))),_xlpm.y,SUM(_xlfn.CHOOSECOLS(_xlfn._xlws.FILTER(F_RT14[],(F_RT14[PrjId]=$B78)*(F_RT14[Vrs]=$D78)*(_xlfn.TEXTAFTER(F_RT14[ActGrp],":")=_xlfn.TEXTAFTER($H78,":")),"X"),MATCH("*"&amp;K$54,F_RT14[#Headers],0))),IF(AND(_xlpm.x=0,_xlpm.y&lt;&gt;0),-1,IF(AND(_xlpm.x&lt;&gt;0,_xlpm.y&lt;&gt;0),_xlpm.x,IF(AND(_xlpm.x-SUM(IF((INDIRECT($B$3)=$B78)*(INDIRECT($C$3)=$D78)*((INDIRECT($E$3)="TOTS")+(INDIRECT($E$3)=$E78)),INDIRECT(K$3)))&lt;&gt;0,_xlpm.y=0),-2,_xlpm.x)))),0))</f>
        <v>0</v>
      </c>
      <c r="L78" s="199" cm="1">
        <f t="array" aca="1" ref="L78" ca="1">IF(OR($B78="",$B78="X",$D78="",$D78="X",$E78="",$E78="X"),0,IFERROR(_xlfn.LET(_xlpm.x,SUM(SUM(_xlfn._xlws.FILTER(VALUE(PptoSty[Sign]&amp;1)*(1/PptoSty[Division]),(PptoSty[Division]&lt;&gt;0)*(PptoSty[Division]&lt;&gt;"")*(PptoSty[Division]&lt;&gt;"X")*(PptoSty[Project]=$B78)*(PptoSty[Vrs]=$D78)*(PptoSty[PiRow]=_xlfn.TEXTAFTER($H78,":"))*(PptoSty[PiColumn]=L$54),0)),SUM(IF((INDIRECT($B$3)=$B78)*(INDIRECT($C$3)=$D78)*((INDIRECT($E$3)="TOTS")+(INDIRECT($E$3)=$E78)),INDIRECT(L$3)))),_xlpm.y,SUM(_xlfn.CHOOSECOLS(_xlfn._xlws.FILTER(F_RT14[],(F_RT14[PrjId]=$B78)*(F_RT14[Vrs]=$D78)*(_xlfn.TEXTAFTER(F_RT14[ActGrp],":")=_xlfn.TEXTAFTER($H78,":")),"X"),MATCH("*"&amp;L$54,F_RT14[#Headers],0))),IF(AND(_xlpm.x=0,_xlpm.y&lt;&gt;0),-1,IF(AND(_xlpm.x&lt;&gt;0,_xlpm.y&lt;&gt;0),_xlpm.x,IF(AND(_xlpm.x-SUM(IF((INDIRECT($B$3)=$B78)*(INDIRECT($C$3)=$D78)*((INDIRECT($E$3)="TOTS")+(INDIRECT($E$3)=$E78)),INDIRECT(L$3)))&lt;&gt;0,_xlpm.y=0),-2,_xlpm.x)))),0))</f>
        <v>0</v>
      </c>
      <c r="M78" s="199" cm="1">
        <f t="array" aca="1" ref="M78" ca="1">IF(OR($B78="",$B78="X",$D78="",$D78="X",$E78="",$E78="X"),0,IFERROR(_xlfn.LET(_xlpm.x,SUM(SUM(_xlfn._xlws.FILTER(VALUE(PptoSty[Sign]&amp;1)*(1/PptoSty[Division]),(PptoSty[Division]&lt;&gt;0)*(PptoSty[Division]&lt;&gt;"")*(PptoSty[Division]&lt;&gt;"X")*(PptoSty[Project]=$B78)*(PptoSty[Vrs]=$D78)*(PptoSty[PiRow]=_xlfn.TEXTAFTER($H78,":"))*(PptoSty[PiColumn]=M$54),0)),SUM(IF((INDIRECT($B$3)=$B78)*(INDIRECT($C$3)=$D78)*((INDIRECT($E$3)="TOTS")+(INDIRECT($E$3)=$E78)),INDIRECT(M$3)))),_xlpm.y,SUM(_xlfn.CHOOSECOLS(_xlfn._xlws.FILTER(F_RT14[],(F_RT14[PrjId]=$B78)*(F_RT14[Vrs]=$D78)*(_xlfn.TEXTAFTER(F_RT14[ActGrp],":")=_xlfn.TEXTAFTER($H78,":")),"X"),MATCH("*"&amp;M$54,F_RT14[#Headers],0))),IF(AND(_xlpm.x=0,_xlpm.y&lt;&gt;0),-1,IF(AND(_xlpm.x&lt;&gt;0,_xlpm.y&lt;&gt;0),_xlpm.x,IF(AND(_xlpm.x-SUM(IF((INDIRECT($B$3)=$B78)*(INDIRECT($C$3)=$D78)*((INDIRECT($E$3)="TOTS")+(INDIRECT($E$3)=$E78)),INDIRECT(M$3)))&lt;&gt;0,_xlpm.y=0),-2,_xlpm.x)))),0))</f>
        <v>0</v>
      </c>
      <c r="N78" s="199" cm="1">
        <f t="array" aca="1" ref="N78" ca="1">IF(OR($B78="",$B78="X",$D78="",$D78="X",$E78="",$E78="X"),0,IFERROR(_xlfn.LET(_xlpm.x,SUM(SUM(_xlfn._xlws.FILTER(VALUE(PptoSty[Sign]&amp;1)*(1/PptoSty[Division]),(PptoSty[Division]&lt;&gt;0)*(PptoSty[Division]&lt;&gt;"")*(PptoSty[Division]&lt;&gt;"X")*(PptoSty[Project]=$B78)*(PptoSty[Vrs]=$D78)*(PptoSty[PiRow]=_xlfn.TEXTAFTER($H78,":"))*(PptoSty[PiColumn]=N$54),0)),SUM(IF((INDIRECT($B$3)=$B78)*(INDIRECT($C$3)=$D78)*((INDIRECT($E$3)="TOTS")+(INDIRECT($E$3)=$E78)),INDIRECT(N$3)))),_xlpm.y,SUM(_xlfn.CHOOSECOLS(_xlfn._xlws.FILTER(F_RT14[],(F_RT14[PrjId]=$B78)*(F_RT14[Vrs]=$D78)*(_xlfn.TEXTAFTER(F_RT14[ActGrp],":")=_xlfn.TEXTAFTER($H78,":")),"X"),MATCH("*"&amp;N$54,F_RT14[#Headers],0))),IF(AND(_xlpm.x=0,_xlpm.y&lt;&gt;0),-1,IF(AND(_xlpm.x&lt;&gt;0,_xlpm.y&lt;&gt;0),_xlpm.x,IF(AND(_xlpm.x-SUM(IF((INDIRECT($B$3)=$B78)*(INDIRECT($C$3)=$D78)*((INDIRECT($E$3)="TOTS")+(INDIRECT($E$3)=$E78)),INDIRECT(N$3)))&lt;&gt;0,_xlpm.y=0),-2,_xlpm.x)))),0))</f>
        <v>-1</v>
      </c>
      <c r="O78" s="199" cm="1">
        <f t="array" aca="1" ref="O78" ca="1">IF(OR($B78="",$B78="X",$D78="",$D78="X",$E78="",$E78="X"),0,IFERROR(_xlfn.LET(_xlpm.x,SUM(SUM(_xlfn._xlws.FILTER(VALUE(PptoSty[Sign]&amp;1)*(1/PptoSty[Division]),(PptoSty[Division]&lt;&gt;0)*(PptoSty[Division]&lt;&gt;"")*(PptoSty[Division]&lt;&gt;"X")*(PptoSty[Project]=$B78)*(PptoSty[Vrs]=$D78)*(PptoSty[PiRow]=_xlfn.TEXTAFTER($H78,":"))*(PptoSty[PiColumn]=O$54),0)),SUM(IF((INDIRECT($B$3)=$B78)*(INDIRECT($C$3)=$D78)*((INDIRECT($E$3)="TOTS")+(INDIRECT($E$3)=$E78)),INDIRECT(O$3)))),_xlpm.y,SUM(_xlfn.CHOOSECOLS(_xlfn._xlws.FILTER(F_RT14[],(F_RT14[PrjId]=$B78)*(F_RT14[Vrs]=$D78)*(_xlfn.TEXTAFTER(F_RT14[ActGrp],":")=_xlfn.TEXTAFTER($H78,":")),"X"),MATCH("*"&amp;O$54,F_RT14[#Headers],0))),IF(AND(_xlpm.x=0,_xlpm.y&lt;&gt;0),-1,IF(AND(_xlpm.x&lt;&gt;0,_xlpm.y&lt;&gt;0),_xlpm.x,IF(AND(_xlpm.x-SUM(IF((INDIRECT($B$3)=$B78)*(INDIRECT($C$3)=$D78)*((INDIRECT($E$3)="TOTS")+(INDIRECT($E$3)=$E78)),INDIRECT(O$3)))&lt;&gt;0,_xlpm.y=0),-2,_xlpm.x)))),0))</f>
        <v>0</v>
      </c>
      <c r="P78" s="199" cm="1">
        <f t="array" aca="1" ref="P78" ca="1">IF(OR($B78="",$B78="X",$D78="",$D78="X",$E78="",$E78="X"),0,IFERROR(_xlfn.LET(_xlpm.x,SUM(SUM(_xlfn._xlws.FILTER(VALUE(PptoSty[Sign]&amp;1)*(1/PptoSty[Division]),(PptoSty[Division]&lt;&gt;0)*(PptoSty[Division]&lt;&gt;"")*(PptoSty[Division]&lt;&gt;"X")*(PptoSty[Project]=$B78)*(PptoSty[Vrs]=$D78)*(PptoSty[PiRow]=_xlfn.TEXTAFTER($H78,":"))*(PptoSty[PiColumn]=P$54),0)),SUM(IF((INDIRECT($B$3)=$B78)*(INDIRECT($C$3)=$D78)*((INDIRECT($E$3)="TOTS")+(INDIRECT($E$3)=$E78)),INDIRECT(P$3)))),_xlpm.y,SUM(_xlfn.CHOOSECOLS(_xlfn._xlws.FILTER(F_RT14[],(F_RT14[PrjId]=$B78)*(F_RT14[Vrs]=$D78)*(_xlfn.TEXTAFTER(F_RT14[ActGrp],":")=_xlfn.TEXTAFTER($H78,":")),"X"),MATCH("*"&amp;P$54,F_RT14[#Headers],0))),IF(AND(_xlpm.x=0,_xlpm.y&lt;&gt;0),-1,IF(AND(_xlpm.x&lt;&gt;0,_xlpm.y&lt;&gt;0),_xlpm.x,IF(AND(_xlpm.x-SUM(IF((INDIRECT($B$3)=$B78)*(INDIRECT($C$3)=$D78)*((INDIRECT($E$3)="TOTS")+(INDIRECT($E$3)=$E78)),INDIRECT(P$3)))&lt;&gt;0,_xlpm.y=0),-2,_xlpm.x)))),0))</f>
        <v>0</v>
      </c>
      <c r="Q78" s="199" cm="1">
        <f t="array" aca="1" ref="Q78" ca="1">IF(OR($B78="",$B78="X",$D78="",$D78="X",$E78="",$E78="X"),0,IFERROR(_xlfn.LET(_xlpm.x,SUM(SUM(_xlfn._xlws.FILTER(VALUE(PptoSty[Sign]&amp;1)*(1/PptoSty[Division]),(PptoSty[Division]&lt;&gt;0)*(PptoSty[Division]&lt;&gt;"")*(PptoSty[Division]&lt;&gt;"X")*(PptoSty[Project]=$B78)*(PptoSty[Vrs]=$D78)*(PptoSty[PiRow]=_xlfn.TEXTAFTER($H78,":"))*(PptoSty[PiColumn]=Q$54),0)),SUM(IF((INDIRECT($B$3)=$B78)*(INDIRECT($C$3)=$D78)*((INDIRECT($E$3)="TOTS")+(INDIRECT($E$3)=$E78)),INDIRECT(Q$3)))),_xlpm.y,SUM(_xlfn.CHOOSECOLS(_xlfn._xlws.FILTER(F_RT14[],(F_RT14[PrjId]=$B78)*(F_RT14[Vrs]=$D78)*(_xlfn.TEXTAFTER(F_RT14[ActGrp],":")=_xlfn.TEXTAFTER($H78,":")),"X"),MATCH("*"&amp;Q$54,F_RT14[#Headers],0))),IF(AND(_xlpm.x=0,_xlpm.y&lt;&gt;0),-1,IF(AND(_xlpm.x&lt;&gt;0,_xlpm.y&lt;&gt;0),_xlpm.x,IF(AND(_xlpm.x-SUM(IF((INDIRECT($B$3)=$B78)*(INDIRECT($C$3)=$D78)*((INDIRECT($E$3)="TOTS")+(INDIRECT($E$3)=$E78)),INDIRECT(Q$3)))&lt;&gt;0,_xlpm.y=0),-2,_xlpm.x)))),0))</f>
        <v>-1</v>
      </c>
      <c r="R78" s="199" cm="1">
        <f t="array" aca="1" ref="R78" ca="1">IF(OR($B78="",$B78="X",$D78="",$D78="X",$E78="",$E78="X"),0,IFERROR(_xlfn.LET(_xlpm.x,SUM(SUM(_xlfn._xlws.FILTER(VALUE(PptoSty[Sign]&amp;1)*(1/PptoSty[Division]),(PptoSty[Division]&lt;&gt;0)*(PptoSty[Division]&lt;&gt;"")*(PptoSty[Division]&lt;&gt;"X")*(PptoSty[Project]=$B78)*(PptoSty[Vrs]=$D78)*(PptoSty[PiRow]=_xlfn.TEXTAFTER($H78,":"))*(PptoSty[PiColumn]=R$54),0)),SUM(IF((INDIRECT($B$3)=$B78)*(INDIRECT($C$3)=$D78)*((INDIRECT($E$3)="TOTS")+(INDIRECT($E$3)=$E78)),INDIRECT(R$3)))),_xlpm.y,SUM(_xlfn.CHOOSECOLS(_xlfn._xlws.FILTER(F_RT14[],(F_RT14[PrjId]=$B78)*(F_RT14[Vrs]=$D78)*(_xlfn.TEXTAFTER(F_RT14[ActGrp],":")=_xlfn.TEXTAFTER($H78,":")),"X"),MATCH("*"&amp;R$54,F_RT14[#Headers],0))),IF(AND(_xlpm.x=0,_xlpm.y&lt;&gt;0),-1,IF(AND(_xlpm.x&lt;&gt;0,_xlpm.y&lt;&gt;0),_xlpm.x,IF(AND(_xlpm.x-SUM(IF((INDIRECT($B$3)=$B78)*(INDIRECT($C$3)=$D78)*((INDIRECT($E$3)="TOTS")+(INDIRECT($E$3)=$E78)),INDIRECT(R$3)))&lt;&gt;0,_xlpm.y=0),-2,_xlpm.x)))),0))</f>
        <v>0</v>
      </c>
      <c r="S78" s="199" cm="1">
        <f t="array" aca="1" ref="S78" ca="1">IF(OR($B78="",$B78="X",$D78="",$D78="X",$E78="",$E78="X"),0,IFERROR(_xlfn.LET(_xlpm.x,SUM(SUM(_xlfn._xlws.FILTER(VALUE(PptoSty[Sign]&amp;1)*(1/PptoSty[Division]),(PptoSty[Division]&lt;&gt;0)*(PptoSty[Division]&lt;&gt;"")*(PptoSty[Division]&lt;&gt;"X")*(PptoSty[Project]=$B78)*(PptoSty[Vrs]=$D78)*(PptoSty[PiRow]=_xlfn.TEXTAFTER($H78,":"))*(PptoSty[PiColumn]=S$54),0)),SUM(IF((INDIRECT($B$3)=$B78)*(INDIRECT($C$3)=$D78)*((INDIRECT($E$3)="TOTS")+(INDIRECT($E$3)=$E78)),INDIRECT(S$3)))),_xlpm.y,SUM(_xlfn.CHOOSECOLS(_xlfn._xlws.FILTER(F_RT14[],(F_RT14[PrjId]=$B78)*(F_RT14[Vrs]=$D78)*(_xlfn.TEXTAFTER(F_RT14[ActGrp],":")=_xlfn.TEXTAFTER($H78,":")),"X"),MATCH("*"&amp;S$54,F_RT14[#Headers],0))),IF(AND(_xlpm.x=0,_xlpm.y&lt;&gt;0),-1,IF(AND(_xlpm.x&lt;&gt;0,_xlpm.y&lt;&gt;0),_xlpm.x,IF(AND(_xlpm.x-SUM(IF((INDIRECT($B$3)=$B78)*(INDIRECT($C$3)=$D78)*((INDIRECT($E$3)="TOTS")+(INDIRECT($E$3)=$E78)),INDIRECT(S$3)))&lt;&gt;0,_xlpm.y=0),-2,_xlpm.x)))),0))</f>
        <v>0</v>
      </c>
      <c r="T78" s="199" cm="1">
        <f t="array" aca="1" ref="T78" ca="1">IF(OR($B78="",$B78="X",$D78="",$D78="X",$E78="",$E78="X"),0,IFERROR(_xlfn.LET(_xlpm.x,SUM(SUM(_xlfn._xlws.FILTER(VALUE(PptoSty[Sign]&amp;1)*(1/PptoSty[Division]),(PptoSty[Division]&lt;&gt;0)*(PptoSty[Division]&lt;&gt;"")*(PptoSty[Division]&lt;&gt;"X")*(PptoSty[Project]=$B78)*(PptoSty[Vrs]=$D78)*(PptoSty[PiRow]=_xlfn.TEXTAFTER($H78,":"))*(PptoSty[PiColumn]=T$54),0)),SUM(IF((INDIRECT($B$3)=$B78)*(INDIRECT($C$3)=$D78)*((INDIRECT($E$3)="TOTS")+(INDIRECT($E$3)=$E78)),INDIRECT(T$3)))),_xlpm.y,SUM(_xlfn.CHOOSECOLS(_xlfn._xlws.FILTER(F_RT14[],(F_RT14[PrjId]=$B78)*(F_RT14[Vrs]=$D78)*(_xlfn.TEXTAFTER(F_RT14[ActGrp],":")=_xlfn.TEXTAFTER($H78,":")),"X"),MATCH("*"&amp;T$54,F_RT14[#Headers],0))),IF(AND(_xlpm.x=0,_xlpm.y&lt;&gt;0),-1,IF(AND(_xlpm.x&lt;&gt;0,_xlpm.y&lt;&gt;0),_xlpm.x,IF(AND(_xlpm.x-SUM(IF((INDIRECT($B$3)=$B78)*(INDIRECT($C$3)=$D78)*((INDIRECT($E$3)="TOTS")+(INDIRECT($E$3)=$E78)),INDIRECT(T$3)))&lt;&gt;0,_xlpm.y=0),-2,_xlpm.x)))),0))</f>
        <v>-1</v>
      </c>
      <c r="U78" s="199" cm="1">
        <f t="array" aca="1" ref="U78" ca="1">IF(OR($B78="",$B78="X",$D78="",$D78="X",$E78="",$E78="X"),0,IFERROR(_xlfn.LET(_xlpm.x,SUM(SUM(_xlfn._xlws.FILTER(VALUE(PptoSty[Sign]&amp;1)*(1/PptoSty[Division]),(PptoSty[Division]&lt;&gt;0)*(PptoSty[Division]&lt;&gt;"")*(PptoSty[Division]&lt;&gt;"X")*(PptoSty[Project]=$B78)*(PptoSty[Vrs]=$D78)*(PptoSty[PiRow]=_xlfn.TEXTAFTER($H78,":"))*(PptoSty[PiColumn]=U$54),0)),SUM(IF((INDIRECT($B$3)=$B78)*(INDIRECT($C$3)=$D78)*((INDIRECT($E$3)="TOTS")+(INDIRECT($E$3)=$E78)),INDIRECT(U$3)))),_xlpm.y,SUM(_xlfn.CHOOSECOLS(_xlfn._xlws.FILTER(F_RT14[],(F_RT14[PrjId]=$B78)*(F_RT14[Vrs]=$D78)*(_xlfn.TEXTAFTER(F_RT14[ActGrp],":")=_xlfn.TEXTAFTER($H78,":")),"X"),MATCH("*"&amp;U$54,F_RT14[#Headers],0))),IF(AND(_xlpm.x=0,_xlpm.y&lt;&gt;0),-1,IF(AND(_xlpm.x&lt;&gt;0,_xlpm.y&lt;&gt;0),_xlpm.x,IF(AND(_xlpm.x-SUM(IF((INDIRECT($B$3)=$B78)*(INDIRECT($C$3)=$D78)*((INDIRECT($E$3)="TOTS")+(INDIRECT($E$3)=$E78)),INDIRECT(U$3)))&lt;&gt;0,_xlpm.y=0),-2,_xlpm.x)))),0))</f>
        <v>0</v>
      </c>
      <c r="V78" s="199" cm="1">
        <f t="array" aca="1" ref="V78" ca="1">IF(OR($B78="",$B78="X",$D78="",$D78="X",$E78="",$E78="X"),0,IFERROR(_xlfn.LET(_xlpm.x,SUM(SUM(_xlfn._xlws.FILTER(VALUE(PptoSty[Sign]&amp;1)*(1/PptoSty[Division]),(PptoSty[Division]&lt;&gt;0)*(PptoSty[Division]&lt;&gt;"")*(PptoSty[Division]&lt;&gt;"X")*(PptoSty[Project]=$B78)*(PptoSty[Vrs]=$D78)*(PptoSty[PiRow]=_xlfn.TEXTAFTER($H78,":"))*(PptoSty[PiColumn]=V$54),0)),SUM(IF((INDIRECT($B$3)=$B78)*(INDIRECT($C$3)=$D78)*((INDIRECT($E$3)="TOTS")+(INDIRECT($E$3)=$E78)),INDIRECT(V$3)))),_xlpm.y,SUM(_xlfn.CHOOSECOLS(_xlfn._xlws.FILTER(F_RT14[],(F_RT14[PrjId]=$B78)*(F_RT14[Vrs]=$D78)*(_xlfn.TEXTAFTER(F_RT14[ActGrp],":")=_xlfn.TEXTAFTER($H78,":")),"X"),MATCH("*"&amp;V$54,F_RT14[#Headers],0))),IF(AND(_xlpm.x=0,_xlpm.y&lt;&gt;0),-1,IF(AND(_xlpm.x&lt;&gt;0,_xlpm.y&lt;&gt;0),_xlpm.x,IF(AND(_xlpm.x-SUM(IF((INDIRECT($B$3)=$B78)*(INDIRECT($C$3)=$D78)*((INDIRECT($E$3)="TOTS")+(INDIRECT($E$3)=$E78)),INDIRECT(V$3)))&lt;&gt;0,_xlpm.y=0),-2,_xlpm.x)))),0))</f>
        <v>-1</v>
      </c>
      <c r="W78" s="199" cm="1">
        <f t="array" aca="1" ref="W78" ca="1">IF(OR($B78="",$B78="X",$D78="",$D78="X",$E78="",$E78="X"),0,IFERROR(_xlfn.LET(_xlpm.x,SUM(SUM(_xlfn._xlws.FILTER(VALUE(PptoSty[Sign]&amp;1)*(1/PptoSty[Division]),(PptoSty[Division]&lt;&gt;0)*(PptoSty[Division]&lt;&gt;"")*(PptoSty[Division]&lt;&gt;"X")*(PptoSty[Project]=$B78)*(PptoSty[Vrs]=$D78)*(PptoSty[PiRow]=_xlfn.TEXTAFTER($H78,":"))*(PptoSty[PiColumn]=W$54),0)),SUM(IF((INDIRECT($B$3)=$B78)*(INDIRECT($C$3)=$D78)*((INDIRECT($E$3)="TOTS")+(INDIRECT($E$3)=$E78)),INDIRECT(W$3)))),_xlpm.y,SUM(_xlfn.CHOOSECOLS(_xlfn._xlws.FILTER(F_RT14[],(F_RT14[PrjId]=$B78)*(F_RT14[Vrs]=$D78)*(_xlfn.TEXTAFTER(F_RT14[ActGrp],":")=_xlfn.TEXTAFTER($H78,":")),"X"),MATCH("*"&amp;W$54,F_RT14[#Headers],0))),IF(AND(_xlpm.x=0,_xlpm.y&lt;&gt;0),-1,IF(AND(_xlpm.x&lt;&gt;0,_xlpm.y&lt;&gt;0),_xlpm.x,IF(AND(_xlpm.x-SUM(IF((INDIRECT($B$3)=$B78)*(INDIRECT($C$3)=$D78)*((INDIRECT($E$3)="TOTS")+(INDIRECT($E$3)=$E78)),INDIRECT(W$3)))&lt;&gt;0,_xlpm.y=0),-2,_xlpm.x)))),0))</f>
        <v>-1</v>
      </c>
      <c r="X78" s="199" cm="1">
        <f t="array" aca="1" ref="X78" ca="1">IF(OR($B78="",$B78="X",$D78="",$D78="X",$E78="",$E78="X"),0,IFERROR(_xlfn.LET(_xlpm.x,SUM(SUM(_xlfn._xlws.FILTER(VALUE(PptoSty[Sign]&amp;1)*(1/PptoSty[Division]),(PptoSty[Division]&lt;&gt;0)*(PptoSty[Division]&lt;&gt;"")*(PptoSty[Division]&lt;&gt;"X")*(PptoSty[Project]=$B78)*(PptoSty[Vrs]=$D78)*(PptoSty[PiRow]=_xlfn.TEXTAFTER($H78,":"))*(PptoSty[PiColumn]=X$54),0)),SUM(IF((INDIRECT($B$3)=$B78)*(INDIRECT($C$3)=$D78)*((INDIRECT($E$3)="TOTS")+(INDIRECT($E$3)=$E78)),INDIRECT(X$3)))),_xlpm.y,SUM(_xlfn.CHOOSECOLS(_xlfn._xlws.FILTER(F_RT14[],(F_RT14[PrjId]=$B78)*(F_RT14[Vrs]=$D78)*(_xlfn.TEXTAFTER(F_RT14[ActGrp],":")=_xlfn.TEXTAFTER($H78,":")),"X"),MATCH("*"&amp;X$54,F_RT14[#Headers],0))),IF(AND(_xlpm.x=0,_xlpm.y&lt;&gt;0),-1,IF(AND(_xlpm.x&lt;&gt;0,_xlpm.y&lt;&gt;0),_xlpm.x,IF(AND(_xlpm.x-SUM(IF((INDIRECT($B$3)=$B78)*(INDIRECT($C$3)=$D78)*((INDIRECT($E$3)="TOTS")+(INDIRECT($E$3)=$E78)),INDIRECT(X$3)))&lt;&gt;0,_xlpm.y=0),-2,_xlpm.x)))),0))</f>
        <v>-1</v>
      </c>
      <c r="Y78" s="199" cm="1">
        <f t="array" aca="1" ref="Y78" ca="1">IF(OR($B78="",$B78="X",$D78="",$D78="X",$E78="",$E78="X"),0,IFERROR(_xlfn.LET(_xlpm.x,SUM(SUM(_xlfn._xlws.FILTER(VALUE(PptoSty[Sign]&amp;1)*(1/PptoSty[Division]),(PptoSty[Division]&lt;&gt;0)*(PptoSty[Division]&lt;&gt;"")*(PptoSty[Division]&lt;&gt;"X")*(PptoSty[Project]=$B78)*(PptoSty[Vrs]=$D78)*(PptoSty[PiRow]=_xlfn.TEXTAFTER($H78,":"))*(PptoSty[PiColumn]=Y$54),0)),SUM(IF((INDIRECT($B$3)=$B78)*(INDIRECT($C$3)=$D78)*((INDIRECT($E$3)="TOTS")+(INDIRECT($E$3)=$E78)),INDIRECT(Y$3)))),_xlpm.y,SUM(_xlfn.CHOOSECOLS(_xlfn._xlws.FILTER(F_RT14[],(F_RT14[PrjId]=$B78)*(F_RT14[Vrs]=$D78)*(_xlfn.TEXTAFTER(F_RT14[ActGrp],":")=_xlfn.TEXTAFTER($H78,":")),"X"),MATCH("*"&amp;Y$54,F_RT14[#Headers],0))),IF(AND(_xlpm.x=0,_xlpm.y&lt;&gt;0),-1,IF(AND(_xlpm.x&lt;&gt;0,_xlpm.y&lt;&gt;0),_xlpm.x,IF(AND(_xlpm.x-SUM(IF((INDIRECT($B$3)=$B78)*(INDIRECT($C$3)=$D78)*((INDIRECT($E$3)="TOTS")+(INDIRECT($E$3)=$E78)),INDIRECT(Y$3)))&lt;&gt;0,_xlpm.y=0),-2,_xlpm.x)))),0))</f>
        <v>0</v>
      </c>
      <c r="Z78" s="198" t="str">
        <f t="shared" ca="1" si="2"/>
        <v>Fback!B78:Y78</v>
      </c>
    </row>
    <row r="79" spans="2:26" ht="21" customHeight="1" outlineLevel="1">
      <c r="B79" s="128" t="str">
        <v>31200</v>
      </c>
      <c r="C79" s="128" t="str">
        <v>Sp</v>
      </c>
      <c r="D79" s="128">
        <v>15</v>
      </c>
      <c r="E79" s="128" t="str">
        <v>CELL</v>
      </c>
      <c r="F79" s="139" t="str">
        <v>SERRA</v>
      </c>
      <c r="G79" s="139" t="str">
        <v>CurPpto</v>
      </c>
      <c r="H79" s="139" t="str">
        <v>E004:ROBOTS</v>
      </c>
      <c r="I79" s="199" cm="1">
        <f t="array" aca="1" ref="I79" ca="1">IF(OR($B79="",$B79="X",$D79="",$D79="X",$E79="",$E79="X"),0,IFERROR(_xlfn.LET(_xlpm.x,SUM(SUM(_xlfn._xlws.FILTER(VALUE(PptoSty[Sign]&amp;1)*(1/PptoSty[Division]),(PptoSty[Division]&lt;&gt;0)*(PptoSty[Division]&lt;&gt;"")*(PptoSty[Division]&lt;&gt;"X")*(PptoSty[Project]=$B79)*(PptoSty[Vrs]=$D79)*(PptoSty[PiRow]=_xlfn.TEXTAFTER($H79,":"))*(PptoSty[PiColumn]=I$54),0)),SUM(IF((INDIRECT($B$3)=$B79)*(INDIRECT($C$3)=$D79)*((INDIRECT($E$3)="TOTS")+(INDIRECT($E$3)=$E79)),INDIRECT(I$3)))),_xlpm.y,SUM(_xlfn.CHOOSECOLS(_xlfn._xlws.FILTER(F_RT14[],(F_RT14[PrjId]=$B79)*(F_RT14[Vrs]=$D79)*(_xlfn.TEXTAFTER(F_RT14[ActGrp],":")=_xlfn.TEXTAFTER($H79,":")),"X"),MATCH("*"&amp;I$54,F_RT14[#Headers],0))),IF(AND(_xlpm.x=0,_xlpm.y&lt;&gt;0),-1,IF(AND(_xlpm.x&lt;&gt;0,_xlpm.y&lt;&gt;0),_xlpm.x,IF(AND(_xlpm.x-SUM(IF((INDIRECT($B$3)=$B79)*(INDIRECT($C$3)=$D79)*((INDIRECT($E$3)="TOTS")+(INDIRECT($E$3)=$E79)),INDIRECT(I$3)))&lt;&gt;0,_xlpm.y=0),-2,_xlpm.x)))),0))</f>
        <v>0</v>
      </c>
      <c r="J79" s="199" cm="1">
        <f t="array" aca="1" ref="J79" ca="1">IF(OR($B79="",$B79="X",$D79="",$D79="X",$E79="",$E79="X"),0,IFERROR(_xlfn.LET(_xlpm.x,SUM(SUM(_xlfn._xlws.FILTER(VALUE(PptoSty[Sign]&amp;1)*(1/PptoSty[Division]),(PptoSty[Division]&lt;&gt;0)*(PptoSty[Division]&lt;&gt;"")*(PptoSty[Division]&lt;&gt;"X")*(PptoSty[Project]=$B79)*(PptoSty[Vrs]=$D79)*(PptoSty[PiRow]=_xlfn.TEXTAFTER($H79,":"))*(PptoSty[PiColumn]=J$54),0)),SUM(IF((INDIRECT($B$3)=$B79)*(INDIRECT($C$3)=$D79)*((INDIRECT($E$3)="TOTS")+(INDIRECT($E$3)=$E79)),INDIRECT(J$3)))),_xlpm.y,SUM(_xlfn.CHOOSECOLS(_xlfn._xlws.FILTER(F_RT14[],(F_RT14[PrjId]=$B79)*(F_RT14[Vrs]=$D79)*(_xlfn.TEXTAFTER(F_RT14[ActGrp],":")=_xlfn.TEXTAFTER($H79,":")),"X"),MATCH("*"&amp;J$54,F_RT14[#Headers],0))),IF(AND(_xlpm.x=0,_xlpm.y&lt;&gt;0),-1,IF(AND(_xlpm.x&lt;&gt;0,_xlpm.y&lt;&gt;0),_xlpm.x,IF(AND(_xlpm.x-SUM(IF((INDIRECT($B$3)=$B79)*(INDIRECT($C$3)=$D79)*((INDIRECT($E$3)="TOTS")+(INDIRECT($E$3)=$E79)),INDIRECT(J$3)))&lt;&gt;0,_xlpm.y=0),-2,_xlpm.x)))),0))</f>
        <v>0</v>
      </c>
      <c r="K79" s="199" cm="1">
        <f t="array" aca="1" ref="K79" ca="1">IF(OR($B79="",$B79="X",$D79="",$D79="X",$E79="",$E79="X"),0,IFERROR(_xlfn.LET(_xlpm.x,SUM(SUM(_xlfn._xlws.FILTER(VALUE(PptoSty[Sign]&amp;1)*(1/PptoSty[Division]),(PptoSty[Division]&lt;&gt;0)*(PptoSty[Division]&lt;&gt;"")*(PptoSty[Division]&lt;&gt;"X")*(PptoSty[Project]=$B79)*(PptoSty[Vrs]=$D79)*(PptoSty[PiRow]=_xlfn.TEXTAFTER($H79,":"))*(PptoSty[PiColumn]=K$54),0)),SUM(IF((INDIRECT($B$3)=$B79)*(INDIRECT($C$3)=$D79)*((INDIRECT($E$3)="TOTS")+(INDIRECT($E$3)=$E79)),INDIRECT(K$3)))),_xlpm.y,SUM(_xlfn.CHOOSECOLS(_xlfn._xlws.FILTER(F_RT14[],(F_RT14[PrjId]=$B79)*(F_RT14[Vrs]=$D79)*(_xlfn.TEXTAFTER(F_RT14[ActGrp],":")=_xlfn.TEXTAFTER($H79,":")),"X"),MATCH("*"&amp;K$54,F_RT14[#Headers],0))),IF(AND(_xlpm.x=0,_xlpm.y&lt;&gt;0),-1,IF(AND(_xlpm.x&lt;&gt;0,_xlpm.y&lt;&gt;0),_xlpm.x,IF(AND(_xlpm.x-SUM(IF((INDIRECT($B$3)=$B79)*(INDIRECT($C$3)=$D79)*((INDIRECT($E$3)="TOTS")+(INDIRECT($E$3)=$E79)),INDIRECT(K$3)))&lt;&gt;0,_xlpm.y=0),-2,_xlpm.x)))),0))</f>
        <v>-1</v>
      </c>
      <c r="L79" s="199" cm="1">
        <f t="array" aca="1" ref="L79" ca="1">IF(OR($B79="",$B79="X",$D79="",$D79="X",$E79="",$E79="X"),0,IFERROR(_xlfn.LET(_xlpm.x,SUM(SUM(_xlfn._xlws.FILTER(VALUE(PptoSty[Sign]&amp;1)*(1/PptoSty[Division]),(PptoSty[Division]&lt;&gt;0)*(PptoSty[Division]&lt;&gt;"")*(PptoSty[Division]&lt;&gt;"X")*(PptoSty[Project]=$B79)*(PptoSty[Vrs]=$D79)*(PptoSty[PiRow]=_xlfn.TEXTAFTER($H79,":"))*(PptoSty[PiColumn]=L$54),0)),SUM(IF((INDIRECT($B$3)=$B79)*(INDIRECT($C$3)=$D79)*((INDIRECT($E$3)="TOTS")+(INDIRECT($E$3)=$E79)),INDIRECT(L$3)))),_xlpm.y,SUM(_xlfn.CHOOSECOLS(_xlfn._xlws.FILTER(F_RT14[],(F_RT14[PrjId]=$B79)*(F_RT14[Vrs]=$D79)*(_xlfn.TEXTAFTER(F_RT14[ActGrp],":")=_xlfn.TEXTAFTER($H79,":")),"X"),MATCH("*"&amp;L$54,F_RT14[#Headers],0))),IF(AND(_xlpm.x=0,_xlpm.y&lt;&gt;0),-1,IF(AND(_xlpm.x&lt;&gt;0,_xlpm.y&lt;&gt;0),_xlpm.x,IF(AND(_xlpm.x-SUM(IF((INDIRECT($B$3)=$B79)*(INDIRECT($C$3)=$D79)*((INDIRECT($E$3)="TOTS")+(INDIRECT($E$3)=$E79)),INDIRECT(L$3)))&lt;&gt;0,_xlpm.y=0),-2,_xlpm.x)))),0))</f>
        <v>0</v>
      </c>
      <c r="M79" s="199" cm="1">
        <f t="array" aca="1" ref="M79" ca="1">IF(OR($B79="",$B79="X",$D79="",$D79="X",$E79="",$E79="X"),0,IFERROR(_xlfn.LET(_xlpm.x,SUM(SUM(_xlfn._xlws.FILTER(VALUE(PptoSty[Sign]&amp;1)*(1/PptoSty[Division]),(PptoSty[Division]&lt;&gt;0)*(PptoSty[Division]&lt;&gt;"")*(PptoSty[Division]&lt;&gt;"X")*(PptoSty[Project]=$B79)*(PptoSty[Vrs]=$D79)*(PptoSty[PiRow]=_xlfn.TEXTAFTER($H79,":"))*(PptoSty[PiColumn]=M$54),0)),SUM(IF((INDIRECT($B$3)=$B79)*(INDIRECT($C$3)=$D79)*((INDIRECT($E$3)="TOTS")+(INDIRECT($E$3)=$E79)),INDIRECT(M$3)))),_xlpm.y,SUM(_xlfn.CHOOSECOLS(_xlfn._xlws.FILTER(F_RT14[],(F_RT14[PrjId]=$B79)*(F_RT14[Vrs]=$D79)*(_xlfn.TEXTAFTER(F_RT14[ActGrp],":")=_xlfn.TEXTAFTER($H79,":")),"X"),MATCH("*"&amp;M$54,F_RT14[#Headers],0))),IF(AND(_xlpm.x=0,_xlpm.y&lt;&gt;0),-1,IF(AND(_xlpm.x&lt;&gt;0,_xlpm.y&lt;&gt;0),_xlpm.x,IF(AND(_xlpm.x-SUM(IF((INDIRECT($B$3)=$B79)*(INDIRECT($C$3)=$D79)*((INDIRECT($E$3)="TOTS")+(INDIRECT($E$3)=$E79)),INDIRECT(M$3)))&lt;&gt;0,_xlpm.y=0),-2,_xlpm.x)))),0))</f>
        <v>0</v>
      </c>
      <c r="N79" s="199" cm="1">
        <f t="array" aca="1" ref="N79" ca="1">IF(OR($B79="",$B79="X",$D79="",$D79="X",$E79="",$E79="X"),0,IFERROR(_xlfn.LET(_xlpm.x,SUM(SUM(_xlfn._xlws.FILTER(VALUE(PptoSty[Sign]&amp;1)*(1/PptoSty[Division]),(PptoSty[Division]&lt;&gt;0)*(PptoSty[Division]&lt;&gt;"")*(PptoSty[Division]&lt;&gt;"X")*(PptoSty[Project]=$B79)*(PptoSty[Vrs]=$D79)*(PptoSty[PiRow]=_xlfn.TEXTAFTER($H79,":"))*(PptoSty[PiColumn]=N$54),0)),SUM(IF((INDIRECT($B$3)=$B79)*(INDIRECT($C$3)=$D79)*((INDIRECT($E$3)="TOTS")+(INDIRECT($E$3)=$E79)),INDIRECT(N$3)))),_xlpm.y,SUM(_xlfn.CHOOSECOLS(_xlfn._xlws.FILTER(F_RT14[],(F_RT14[PrjId]=$B79)*(F_RT14[Vrs]=$D79)*(_xlfn.TEXTAFTER(F_RT14[ActGrp],":")=_xlfn.TEXTAFTER($H79,":")),"X"),MATCH("*"&amp;N$54,F_RT14[#Headers],0))),IF(AND(_xlpm.x=0,_xlpm.y&lt;&gt;0),-1,IF(AND(_xlpm.x&lt;&gt;0,_xlpm.y&lt;&gt;0),_xlpm.x,IF(AND(_xlpm.x-SUM(IF((INDIRECT($B$3)=$B79)*(INDIRECT($C$3)=$D79)*((INDIRECT($E$3)="TOTS")+(INDIRECT($E$3)=$E79)),INDIRECT(N$3)))&lt;&gt;0,_xlpm.y=0),-2,_xlpm.x)))),0))</f>
        <v>-1</v>
      </c>
      <c r="O79" s="199" cm="1">
        <f t="array" aca="1" ref="O79" ca="1">IF(OR($B79="",$B79="X",$D79="",$D79="X",$E79="",$E79="X"),0,IFERROR(_xlfn.LET(_xlpm.x,SUM(SUM(_xlfn._xlws.FILTER(VALUE(PptoSty[Sign]&amp;1)*(1/PptoSty[Division]),(PptoSty[Division]&lt;&gt;0)*(PptoSty[Division]&lt;&gt;"")*(PptoSty[Division]&lt;&gt;"X")*(PptoSty[Project]=$B79)*(PptoSty[Vrs]=$D79)*(PptoSty[PiRow]=_xlfn.TEXTAFTER($H79,":"))*(PptoSty[PiColumn]=O$54),0)),SUM(IF((INDIRECT($B$3)=$B79)*(INDIRECT($C$3)=$D79)*((INDIRECT($E$3)="TOTS")+(INDIRECT($E$3)=$E79)),INDIRECT(O$3)))),_xlpm.y,SUM(_xlfn.CHOOSECOLS(_xlfn._xlws.FILTER(F_RT14[],(F_RT14[PrjId]=$B79)*(F_RT14[Vrs]=$D79)*(_xlfn.TEXTAFTER(F_RT14[ActGrp],":")=_xlfn.TEXTAFTER($H79,":")),"X"),MATCH("*"&amp;O$54,F_RT14[#Headers],0))),IF(AND(_xlpm.x=0,_xlpm.y&lt;&gt;0),-1,IF(AND(_xlpm.x&lt;&gt;0,_xlpm.y&lt;&gt;0),_xlpm.x,IF(AND(_xlpm.x-SUM(IF((INDIRECT($B$3)=$B79)*(INDIRECT($C$3)=$D79)*((INDIRECT($E$3)="TOTS")+(INDIRECT($E$3)=$E79)),INDIRECT(O$3)))&lt;&gt;0,_xlpm.y=0),-2,_xlpm.x)))),0))</f>
        <v>0</v>
      </c>
      <c r="P79" s="199" cm="1">
        <f t="array" aca="1" ref="P79" ca="1">IF(OR($B79="",$B79="X",$D79="",$D79="X",$E79="",$E79="X"),0,IFERROR(_xlfn.LET(_xlpm.x,SUM(SUM(_xlfn._xlws.FILTER(VALUE(PptoSty[Sign]&amp;1)*(1/PptoSty[Division]),(PptoSty[Division]&lt;&gt;0)*(PptoSty[Division]&lt;&gt;"")*(PptoSty[Division]&lt;&gt;"X")*(PptoSty[Project]=$B79)*(PptoSty[Vrs]=$D79)*(PptoSty[PiRow]=_xlfn.TEXTAFTER($H79,":"))*(PptoSty[PiColumn]=P$54),0)),SUM(IF((INDIRECT($B$3)=$B79)*(INDIRECT($C$3)=$D79)*((INDIRECT($E$3)="TOTS")+(INDIRECT($E$3)=$E79)),INDIRECT(P$3)))),_xlpm.y,SUM(_xlfn.CHOOSECOLS(_xlfn._xlws.FILTER(F_RT14[],(F_RT14[PrjId]=$B79)*(F_RT14[Vrs]=$D79)*(_xlfn.TEXTAFTER(F_RT14[ActGrp],":")=_xlfn.TEXTAFTER($H79,":")),"X"),MATCH("*"&amp;P$54,F_RT14[#Headers],0))),IF(AND(_xlpm.x=0,_xlpm.y&lt;&gt;0),-1,IF(AND(_xlpm.x&lt;&gt;0,_xlpm.y&lt;&gt;0),_xlpm.x,IF(AND(_xlpm.x-SUM(IF((INDIRECT($B$3)=$B79)*(INDIRECT($C$3)=$D79)*((INDIRECT($E$3)="TOTS")+(INDIRECT($E$3)=$E79)),INDIRECT(P$3)))&lt;&gt;0,_xlpm.y=0),-2,_xlpm.x)))),0))</f>
        <v>-1</v>
      </c>
      <c r="Q79" s="199" cm="1">
        <f t="array" aca="1" ref="Q79" ca="1">IF(OR($B79="",$B79="X",$D79="",$D79="X",$E79="",$E79="X"),0,IFERROR(_xlfn.LET(_xlpm.x,SUM(SUM(_xlfn._xlws.FILTER(VALUE(PptoSty[Sign]&amp;1)*(1/PptoSty[Division]),(PptoSty[Division]&lt;&gt;0)*(PptoSty[Division]&lt;&gt;"")*(PptoSty[Division]&lt;&gt;"X")*(PptoSty[Project]=$B79)*(PptoSty[Vrs]=$D79)*(PptoSty[PiRow]=_xlfn.TEXTAFTER($H79,":"))*(PptoSty[PiColumn]=Q$54),0)),SUM(IF((INDIRECT($B$3)=$B79)*(INDIRECT($C$3)=$D79)*((INDIRECT($E$3)="TOTS")+(INDIRECT($E$3)=$E79)),INDIRECT(Q$3)))),_xlpm.y,SUM(_xlfn.CHOOSECOLS(_xlfn._xlws.FILTER(F_RT14[],(F_RT14[PrjId]=$B79)*(F_RT14[Vrs]=$D79)*(_xlfn.TEXTAFTER(F_RT14[ActGrp],":")=_xlfn.TEXTAFTER($H79,":")),"X"),MATCH("*"&amp;Q$54,F_RT14[#Headers],0))),IF(AND(_xlpm.x=0,_xlpm.y&lt;&gt;0),-1,IF(AND(_xlpm.x&lt;&gt;0,_xlpm.y&lt;&gt;0),_xlpm.x,IF(AND(_xlpm.x-SUM(IF((INDIRECT($B$3)=$B79)*(INDIRECT($C$3)=$D79)*((INDIRECT($E$3)="TOTS")+(INDIRECT($E$3)=$E79)),INDIRECT(Q$3)))&lt;&gt;0,_xlpm.y=0),-2,_xlpm.x)))),0))</f>
        <v>-1</v>
      </c>
      <c r="R79" s="199" cm="1">
        <f t="array" aca="1" ref="R79" ca="1">IF(OR($B79="",$B79="X",$D79="",$D79="X",$E79="",$E79="X"),0,IFERROR(_xlfn.LET(_xlpm.x,SUM(SUM(_xlfn._xlws.FILTER(VALUE(PptoSty[Sign]&amp;1)*(1/PptoSty[Division]),(PptoSty[Division]&lt;&gt;0)*(PptoSty[Division]&lt;&gt;"")*(PptoSty[Division]&lt;&gt;"X")*(PptoSty[Project]=$B79)*(PptoSty[Vrs]=$D79)*(PptoSty[PiRow]=_xlfn.TEXTAFTER($H79,":"))*(PptoSty[PiColumn]=R$54),0)),SUM(IF((INDIRECT($B$3)=$B79)*(INDIRECT($C$3)=$D79)*((INDIRECT($E$3)="TOTS")+(INDIRECT($E$3)=$E79)),INDIRECT(R$3)))),_xlpm.y,SUM(_xlfn.CHOOSECOLS(_xlfn._xlws.FILTER(F_RT14[],(F_RT14[PrjId]=$B79)*(F_RT14[Vrs]=$D79)*(_xlfn.TEXTAFTER(F_RT14[ActGrp],":")=_xlfn.TEXTAFTER($H79,":")),"X"),MATCH("*"&amp;R$54,F_RT14[#Headers],0))),IF(AND(_xlpm.x=0,_xlpm.y&lt;&gt;0),-1,IF(AND(_xlpm.x&lt;&gt;0,_xlpm.y&lt;&gt;0),_xlpm.x,IF(AND(_xlpm.x-SUM(IF((INDIRECT($B$3)=$B79)*(INDIRECT($C$3)=$D79)*((INDIRECT($E$3)="TOTS")+(INDIRECT($E$3)=$E79)),INDIRECT(R$3)))&lt;&gt;0,_xlpm.y=0),-2,_xlpm.x)))),0))</f>
        <v>0</v>
      </c>
      <c r="S79" s="199" cm="1">
        <f t="array" aca="1" ref="S79" ca="1">IF(OR($B79="",$B79="X",$D79="",$D79="X",$E79="",$E79="X"),0,IFERROR(_xlfn.LET(_xlpm.x,SUM(SUM(_xlfn._xlws.FILTER(VALUE(PptoSty[Sign]&amp;1)*(1/PptoSty[Division]),(PptoSty[Division]&lt;&gt;0)*(PptoSty[Division]&lt;&gt;"")*(PptoSty[Division]&lt;&gt;"X")*(PptoSty[Project]=$B79)*(PptoSty[Vrs]=$D79)*(PptoSty[PiRow]=_xlfn.TEXTAFTER($H79,":"))*(PptoSty[PiColumn]=S$54),0)),SUM(IF((INDIRECT($B$3)=$B79)*(INDIRECT($C$3)=$D79)*((INDIRECT($E$3)="TOTS")+(INDIRECT($E$3)=$E79)),INDIRECT(S$3)))),_xlpm.y,SUM(_xlfn.CHOOSECOLS(_xlfn._xlws.FILTER(F_RT14[],(F_RT14[PrjId]=$B79)*(F_RT14[Vrs]=$D79)*(_xlfn.TEXTAFTER(F_RT14[ActGrp],":")=_xlfn.TEXTAFTER($H79,":")),"X"),MATCH("*"&amp;S$54,F_RT14[#Headers],0))),IF(AND(_xlpm.x=0,_xlpm.y&lt;&gt;0),-1,IF(AND(_xlpm.x&lt;&gt;0,_xlpm.y&lt;&gt;0),_xlpm.x,IF(AND(_xlpm.x-SUM(IF((INDIRECT($B$3)=$B79)*(INDIRECT($C$3)=$D79)*((INDIRECT($E$3)="TOTS")+(INDIRECT($E$3)=$E79)),INDIRECT(S$3)))&lt;&gt;0,_xlpm.y=0),-2,_xlpm.x)))),0))</f>
        <v>0</v>
      </c>
      <c r="T79" s="199" cm="1">
        <f t="array" aca="1" ref="T79" ca="1">IF(OR($B79="",$B79="X",$D79="",$D79="X",$E79="",$E79="X"),0,IFERROR(_xlfn.LET(_xlpm.x,SUM(SUM(_xlfn._xlws.FILTER(VALUE(PptoSty[Sign]&amp;1)*(1/PptoSty[Division]),(PptoSty[Division]&lt;&gt;0)*(PptoSty[Division]&lt;&gt;"")*(PptoSty[Division]&lt;&gt;"X")*(PptoSty[Project]=$B79)*(PptoSty[Vrs]=$D79)*(PptoSty[PiRow]=_xlfn.TEXTAFTER($H79,":"))*(PptoSty[PiColumn]=T$54),0)),SUM(IF((INDIRECT($B$3)=$B79)*(INDIRECT($C$3)=$D79)*((INDIRECT($E$3)="TOTS")+(INDIRECT($E$3)=$E79)),INDIRECT(T$3)))),_xlpm.y,SUM(_xlfn.CHOOSECOLS(_xlfn._xlws.FILTER(F_RT14[],(F_RT14[PrjId]=$B79)*(F_RT14[Vrs]=$D79)*(_xlfn.TEXTAFTER(F_RT14[ActGrp],":")=_xlfn.TEXTAFTER($H79,":")),"X"),MATCH("*"&amp;T$54,F_RT14[#Headers],0))),IF(AND(_xlpm.x=0,_xlpm.y&lt;&gt;0),-1,IF(AND(_xlpm.x&lt;&gt;0,_xlpm.y&lt;&gt;0),_xlpm.x,IF(AND(_xlpm.x-SUM(IF((INDIRECT($B$3)=$B79)*(INDIRECT($C$3)=$D79)*((INDIRECT($E$3)="TOTS")+(INDIRECT($E$3)=$E79)),INDIRECT(T$3)))&lt;&gt;0,_xlpm.y=0),-2,_xlpm.x)))),0))</f>
        <v>-1</v>
      </c>
      <c r="U79" s="199" cm="1">
        <f t="array" aca="1" ref="U79" ca="1">IF(OR($B79="",$B79="X",$D79="",$D79="X",$E79="",$E79="X"),0,IFERROR(_xlfn.LET(_xlpm.x,SUM(SUM(_xlfn._xlws.FILTER(VALUE(PptoSty[Sign]&amp;1)*(1/PptoSty[Division]),(PptoSty[Division]&lt;&gt;0)*(PptoSty[Division]&lt;&gt;"")*(PptoSty[Division]&lt;&gt;"X")*(PptoSty[Project]=$B79)*(PptoSty[Vrs]=$D79)*(PptoSty[PiRow]=_xlfn.TEXTAFTER($H79,":"))*(PptoSty[PiColumn]=U$54),0)),SUM(IF((INDIRECT($B$3)=$B79)*(INDIRECT($C$3)=$D79)*((INDIRECT($E$3)="TOTS")+(INDIRECT($E$3)=$E79)),INDIRECT(U$3)))),_xlpm.y,SUM(_xlfn.CHOOSECOLS(_xlfn._xlws.FILTER(F_RT14[],(F_RT14[PrjId]=$B79)*(F_RT14[Vrs]=$D79)*(_xlfn.TEXTAFTER(F_RT14[ActGrp],":")=_xlfn.TEXTAFTER($H79,":")),"X"),MATCH("*"&amp;U$54,F_RT14[#Headers],0))),IF(AND(_xlpm.x=0,_xlpm.y&lt;&gt;0),-1,IF(AND(_xlpm.x&lt;&gt;0,_xlpm.y&lt;&gt;0),_xlpm.x,IF(AND(_xlpm.x-SUM(IF((INDIRECT($B$3)=$B79)*(INDIRECT($C$3)=$D79)*((INDIRECT($E$3)="TOTS")+(INDIRECT($E$3)=$E79)),INDIRECT(U$3)))&lt;&gt;0,_xlpm.y=0),-2,_xlpm.x)))),0))</f>
        <v>0</v>
      </c>
      <c r="V79" s="199" cm="1">
        <f t="array" aca="1" ref="V79" ca="1">IF(OR($B79="",$B79="X",$D79="",$D79="X",$E79="",$E79="X"),0,IFERROR(_xlfn.LET(_xlpm.x,SUM(SUM(_xlfn._xlws.FILTER(VALUE(PptoSty[Sign]&amp;1)*(1/PptoSty[Division]),(PptoSty[Division]&lt;&gt;0)*(PptoSty[Division]&lt;&gt;"")*(PptoSty[Division]&lt;&gt;"X")*(PptoSty[Project]=$B79)*(PptoSty[Vrs]=$D79)*(PptoSty[PiRow]=_xlfn.TEXTAFTER($H79,":"))*(PptoSty[PiColumn]=V$54),0)),SUM(IF((INDIRECT($B$3)=$B79)*(INDIRECT($C$3)=$D79)*((INDIRECT($E$3)="TOTS")+(INDIRECT($E$3)=$E79)),INDIRECT(V$3)))),_xlpm.y,SUM(_xlfn.CHOOSECOLS(_xlfn._xlws.FILTER(F_RT14[],(F_RT14[PrjId]=$B79)*(F_RT14[Vrs]=$D79)*(_xlfn.TEXTAFTER(F_RT14[ActGrp],":")=_xlfn.TEXTAFTER($H79,":")),"X"),MATCH("*"&amp;V$54,F_RT14[#Headers],0))),IF(AND(_xlpm.x=0,_xlpm.y&lt;&gt;0),-1,IF(AND(_xlpm.x&lt;&gt;0,_xlpm.y&lt;&gt;0),_xlpm.x,IF(AND(_xlpm.x-SUM(IF((INDIRECT($B$3)=$B79)*(INDIRECT($C$3)=$D79)*((INDIRECT($E$3)="TOTS")+(INDIRECT($E$3)=$E79)),INDIRECT(V$3)))&lt;&gt;0,_xlpm.y=0),-2,_xlpm.x)))),0))</f>
        <v>-1</v>
      </c>
      <c r="W79" s="199" cm="1">
        <f t="array" aca="1" ref="W79" ca="1">IF(OR($B79="",$B79="X",$D79="",$D79="X",$E79="",$E79="X"),0,IFERROR(_xlfn.LET(_xlpm.x,SUM(SUM(_xlfn._xlws.FILTER(VALUE(PptoSty[Sign]&amp;1)*(1/PptoSty[Division]),(PptoSty[Division]&lt;&gt;0)*(PptoSty[Division]&lt;&gt;"")*(PptoSty[Division]&lt;&gt;"X")*(PptoSty[Project]=$B79)*(PptoSty[Vrs]=$D79)*(PptoSty[PiRow]=_xlfn.TEXTAFTER($H79,":"))*(PptoSty[PiColumn]=W$54),0)),SUM(IF((INDIRECT($B$3)=$B79)*(INDIRECT($C$3)=$D79)*((INDIRECT($E$3)="TOTS")+(INDIRECT($E$3)=$E79)),INDIRECT(W$3)))),_xlpm.y,SUM(_xlfn.CHOOSECOLS(_xlfn._xlws.FILTER(F_RT14[],(F_RT14[PrjId]=$B79)*(F_RT14[Vrs]=$D79)*(_xlfn.TEXTAFTER(F_RT14[ActGrp],":")=_xlfn.TEXTAFTER($H79,":")),"X"),MATCH("*"&amp;W$54,F_RT14[#Headers],0))),IF(AND(_xlpm.x=0,_xlpm.y&lt;&gt;0),-1,IF(AND(_xlpm.x&lt;&gt;0,_xlpm.y&lt;&gt;0),_xlpm.x,IF(AND(_xlpm.x-SUM(IF((INDIRECT($B$3)=$B79)*(INDIRECT($C$3)=$D79)*((INDIRECT($E$3)="TOTS")+(INDIRECT($E$3)=$E79)),INDIRECT(W$3)))&lt;&gt;0,_xlpm.y=0),-2,_xlpm.x)))),0))</f>
        <v>-1</v>
      </c>
      <c r="X79" s="199" cm="1">
        <f t="array" aca="1" ref="X79" ca="1">IF(OR($B79="",$B79="X",$D79="",$D79="X",$E79="",$E79="X"),0,IFERROR(_xlfn.LET(_xlpm.x,SUM(SUM(_xlfn._xlws.FILTER(VALUE(PptoSty[Sign]&amp;1)*(1/PptoSty[Division]),(PptoSty[Division]&lt;&gt;0)*(PptoSty[Division]&lt;&gt;"")*(PptoSty[Division]&lt;&gt;"X")*(PptoSty[Project]=$B79)*(PptoSty[Vrs]=$D79)*(PptoSty[PiRow]=_xlfn.TEXTAFTER($H79,":"))*(PptoSty[PiColumn]=X$54),0)),SUM(IF((INDIRECT($B$3)=$B79)*(INDIRECT($C$3)=$D79)*((INDIRECT($E$3)="TOTS")+(INDIRECT($E$3)=$E79)),INDIRECT(X$3)))),_xlpm.y,SUM(_xlfn.CHOOSECOLS(_xlfn._xlws.FILTER(F_RT14[],(F_RT14[PrjId]=$B79)*(F_RT14[Vrs]=$D79)*(_xlfn.TEXTAFTER(F_RT14[ActGrp],":")=_xlfn.TEXTAFTER($H79,":")),"X"),MATCH("*"&amp;X$54,F_RT14[#Headers],0))),IF(AND(_xlpm.x=0,_xlpm.y&lt;&gt;0),-1,IF(AND(_xlpm.x&lt;&gt;0,_xlpm.y&lt;&gt;0),_xlpm.x,IF(AND(_xlpm.x-SUM(IF((INDIRECT($B$3)=$B79)*(INDIRECT($C$3)=$D79)*((INDIRECT($E$3)="TOTS")+(INDIRECT($E$3)=$E79)),INDIRECT(X$3)))&lt;&gt;0,_xlpm.y=0),-2,_xlpm.x)))),0))</f>
        <v>-1</v>
      </c>
      <c r="Y79" s="199" cm="1">
        <f t="array" aca="1" ref="Y79" ca="1">IF(OR($B79="",$B79="X",$D79="",$D79="X",$E79="",$E79="X"),0,IFERROR(_xlfn.LET(_xlpm.x,SUM(SUM(_xlfn._xlws.FILTER(VALUE(PptoSty[Sign]&amp;1)*(1/PptoSty[Division]),(PptoSty[Division]&lt;&gt;0)*(PptoSty[Division]&lt;&gt;"")*(PptoSty[Division]&lt;&gt;"X")*(PptoSty[Project]=$B79)*(PptoSty[Vrs]=$D79)*(PptoSty[PiRow]=_xlfn.TEXTAFTER($H79,":"))*(PptoSty[PiColumn]=Y$54),0)),SUM(IF((INDIRECT($B$3)=$B79)*(INDIRECT($C$3)=$D79)*((INDIRECT($E$3)="TOTS")+(INDIRECT($E$3)=$E79)),INDIRECT(Y$3)))),_xlpm.y,SUM(_xlfn.CHOOSECOLS(_xlfn._xlws.FILTER(F_RT14[],(F_RT14[PrjId]=$B79)*(F_RT14[Vrs]=$D79)*(_xlfn.TEXTAFTER(F_RT14[ActGrp],":")=_xlfn.TEXTAFTER($H79,":")),"X"),MATCH("*"&amp;Y$54,F_RT14[#Headers],0))),IF(AND(_xlpm.x=0,_xlpm.y&lt;&gt;0),-1,IF(AND(_xlpm.x&lt;&gt;0,_xlpm.y&lt;&gt;0),_xlpm.x,IF(AND(_xlpm.x-SUM(IF((INDIRECT($B$3)=$B79)*(INDIRECT($C$3)=$D79)*((INDIRECT($E$3)="TOTS")+(INDIRECT($E$3)=$E79)),INDIRECT(Y$3)))&lt;&gt;0,_xlpm.y=0),-2,_xlpm.x)))),0))</f>
        <v>0</v>
      </c>
      <c r="Z79" s="198" t="str">
        <f t="shared" ca="1" si="2"/>
        <v>Fback!B79:Y79</v>
      </c>
    </row>
    <row r="80" spans="2:26" ht="21" customHeight="1" outlineLevel="1">
      <c r="B80" s="128" t="str">
        <v>31200</v>
      </c>
      <c r="C80" s="128" t="str">
        <v>Sp</v>
      </c>
      <c r="D80" s="128">
        <v>15</v>
      </c>
      <c r="E80" s="128" t="str">
        <v>TOOL</v>
      </c>
      <c r="F80" s="139" t="str">
        <v>SERRA</v>
      </c>
      <c r="G80" s="139" t="str">
        <v>CurPpto</v>
      </c>
      <c r="H80" s="139" t="str">
        <v>E005:GARRAS ROBOT</v>
      </c>
      <c r="I80" s="199" cm="1">
        <f t="array" aca="1" ref="I80" ca="1">IF(OR($B80="",$B80="X",$D80="",$D80="X",$E80="",$E80="X"),0,IFERROR(_xlfn.LET(_xlpm.x,SUM(SUM(_xlfn._xlws.FILTER(VALUE(PptoSty[Sign]&amp;1)*(1/PptoSty[Division]),(PptoSty[Division]&lt;&gt;0)*(PptoSty[Division]&lt;&gt;"")*(PptoSty[Division]&lt;&gt;"X")*(PptoSty[Project]=$B80)*(PptoSty[Vrs]=$D80)*(PptoSty[PiRow]=_xlfn.TEXTAFTER($H80,":"))*(PptoSty[PiColumn]=I$54),0)),SUM(IF((INDIRECT($B$3)=$B80)*(INDIRECT($C$3)=$D80)*((INDIRECT($E$3)="TOTS")+(INDIRECT($E$3)=$E80)),INDIRECT(I$3)))),_xlpm.y,SUM(_xlfn.CHOOSECOLS(_xlfn._xlws.FILTER(F_RT14[],(F_RT14[PrjId]=$B80)*(F_RT14[Vrs]=$D80)*(_xlfn.TEXTAFTER(F_RT14[ActGrp],":")=_xlfn.TEXTAFTER($H80,":")),"X"),MATCH("*"&amp;I$54,F_RT14[#Headers],0))),IF(AND(_xlpm.x=0,_xlpm.y&lt;&gt;0),-1,IF(AND(_xlpm.x&lt;&gt;0,_xlpm.y&lt;&gt;0),_xlpm.x,IF(AND(_xlpm.x-SUM(IF((INDIRECT($B$3)=$B80)*(INDIRECT($C$3)=$D80)*((INDIRECT($E$3)="TOTS")+(INDIRECT($E$3)=$E80)),INDIRECT(I$3)))&lt;&gt;0,_xlpm.y=0),-2,_xlpm.x)))),0))</f>
        <v>0</v>
      </c>
      <c r="J80" s="199" cm="1">
        <f t="array" aca="1" ref="J80" ca="1">IF(OR($B80="",$B80="X",$D80="",$D80="X",$E80="",$E80="X"),0,IFERROR(_xlfn.LET(_xlpm.x,SUM(SUM(_xlfn._xlws.FILTER(VALUE(PptoSty[Sign]&amp;1)*(1/PptoSty[Division]),(PptoSty[Division]&lt;&gt;0)*(PptoSty[Division]&lt;&gt;"")*(PptoSty[Division]&lt;&gt;"X")*(PptoSty[Project]=$B80)*(PptoSty[Vrs]=$D80)*(PptoSty[PiRow]=_xlfn.TEXTAFTER($H80,":"))*(PptoSty[PiColumn]=J$54),0)),SUM(IF((INDIRECT($B$3)=$B80)*(INDIRECT($C$3)=$D80)*((INDIRECT($E$3)="TOTS")+(INDIRECT($E$3)=$E80)),INDIRECT(J$3)))),_xlpm.y,SUM(_xlfn.CHOOSECOLS(_xlfn._xlws.FILTER(F_RT14[],(F_RT14[PrjId]=$B80)*(F_RT14[Vrs]=$D80)*(_xlfn.TEXTAFTER(F_RT14[ActGrp],":")=_xlfn.TEXTAFTER($H80,":")),"X"),MATCH("*"&amp;J$54,F_RT14[#Headers],0))),IF(AND(_xlpm.x=0,_xlpm.y&lt;&gt;0),-1,IF(AND(_xlpm.x&lt;&gt;0,_xlpm.y&lt;&gt;0),_xlpm.x,IF(AND(_xlpm.x-SUM(IF((INDIRECT($B$3)=$B80)*(INDIRECT($C$3)=$D80)*((INDIRECT($E$3)="TOTS")+(INDIRECT($E$3)=$E80)),INDIRECT(J$3)))&lt;&gt;0,_xlpm.y=0),-2,_xlpm.x)))),0))</f>
        <v>0</v>
      </c>
      <c r="K80" s="199" cm="1">
        <f t="array" aca="1" ref="K80" ca="1">IF(OR($B80="",$B80="X",$D80="",$D80="X",$E80="",$E80="X"),0,IFERROR(_xlfn.LET(_xlpm.x,SUM(SUM(_xlfn._xlws.FILTER(VALUE(PptoSty[Sign]&amp;1)*(1/PptoSty[Division]),(PptoSty[Division]&lt;&gt;0)*(PptoSty[Division]&lt;&gt;"")*(PptoSty[Division]&lt;&gt;"X")*(PptoSty[Project]=$B80)*(PptoSty[Vrs]=$D80)*(PptoSty[PiRow]=_xlfn.TEXTAFTER($H80,":"))*(PptoSty[PiColumn]=K$54),0)),SUM(IF((INDIRECT($B$3)=$B80)*(INDIRECT($C$3)=$D80)*((INDIRECT($E$3)="TOTS")+(INDIRECT($E$3)=$E80)),INDIRECT(K$3)))),_xlpm.y,SUM(_xlfn.CHOOSECOLS(_xlfn._xlws.FILTER(F_RT14[],(F_RT14[PrjId]=$B80)*(F_RT14[Vrs]=$D80)*(_xlfn.TEXTAFTER(F_RT14[ActGrp],":")=_xlfn.TEXTAFTER($H80,":")),"X"),MATCH("*"&amp;K$54,F_RT14[#Headers],0))),IF(AND(_xlpm.x=0,_xlpm.y&lt;&gt;0),-1,IF(AND(_xlpm.x&lt;&gt;0,_xlpm.y&lt;&gt;0),_xlpm.x,IF(AND(_xlpm.x-SUM(IF((INDIRECT($B$3)=$B80)*(INDIRECT($C$3)=$D80)*((INDIRECT($E$3)="TOTS")+(INDIRECT($E$3)=$E80)),INDIRECT(K$3)))&lt;&gt;0,_xlpm.y=0),-2,_xlpm.x)))),0))</f>
        <v>-1</v>
      </c>
      <c r="L80" s="199" cm="1">
        <f t="array" aca="1" ref="L80" ca="1">IF(OR($B80="",$B80="X",$D80="",$D80="X",$E80="",$E80="X"),0,IFERROR(_xlfn.LET(_xlpm.x,SUM(SUM(_xlfn._xlws.FILTER(VALUE(PptoSty[Sign]&amp;1)*(1/PptoSty[Division]),(PptoSty[Division]&lt;&gt;0)*(PptoSty[Division]&lt;&gt;"")*(PptoSty[Division]&lt;&gt;"X")*(PptoSty[Project]=$B80)*(PptoSty[Vrs]=$D80)*(PptoSty[PiRow]=_xlfn.TEXTAFTER($H80,":"))*(PptoSty[PiColumn]=L$54),0)),SUM(IF((INDIRECT($B$3)=$B80)*(INDIRECT($C$3)=$D80)*((INDIRECT($E$3)="TOTS")+(INDIRECT($E$3)=$E80)),INDIRECT(L$3)))),_xlpm.y,SUM(_xlfn.CHOOSECOLS(_xlfn._xlws.FILTER(F_RT14[],(F_RT14[PrjId]=$B80)*(F_RT14[Vrs]=$D80)*(_xlfn.TEXTAFTER(F_RT14[ActGrp],":")=_xlfn.TEXTAFTER($H80,":")),"X"),MATCH("*"&amp;L$54,F_RT14[#Headers],0))),IF(AND(_xlpm.x=0,_xlpm.y&lt;&gt;0),-1,IF(AND(_xlpm.x&lt;&gt;0,_xlpm.y&lt;&gt;0),_xlpm.x,IF(AND(_xlpm.x-SUM(IF((INDIRECT($B$3)=$B80)*(INDIRECT($C$3)=$D80)*((INDIRECT($E$3)="TOTS")+(INDIRECT($E$3)=$E80)),INDIRECT(L$3)))&lt;&gt;0,_xlpm.y=0),-2,_xlpm.x)))),0))</f>
        <v>0</v>
      </c>
      <c r="M80" s="199" cm="1">
        <f t="array" aca="1" ref="M80" ca="1">IF(OR($B80="",$B80="X",$D80="",$D80="X",$E80="",$E80="X"),0,IFERROR(_xlfn.LET(_xlpm.x,SUM(SUM(_xlfn._xlws.FILTER(VALUE(PptoSty[Sign]&amp;1)*(1/PptoSty[Division]),(PptoSty[Division]&lt;&gt;0)*(PptoSty[Division]&lt;&gt;"")*(PptoSty[Division]&lt;&gt;"X")*(PptoSty[Project]=$B80)*(PptoSty[Vrs]=$D80)*(PptoSty[PiRow]=_xlfn.TEXTAFTER($H80,":"))*(PptoSty[PiColumn]=M$54),0)),SUM(IF((INDIRECT($B$3)=$B80)*(INDIRECT($C$3)=$D80)*((INDIRECT($E$3)="TOTS")+(INDIRECT($E$3)=$E80)),INDIRECT(M$3)))),_xlpm.y,SUM(_xlfn.CHOOSECOLS(_xlfn._xlws.FILTER(F_RT14[],(F_RT14[PrjId]=$B80)*(F_RT14[Vrs]=$D80)*(_xlfn.TEXTAFTER(F_RT14[ActGrp],":")=_xlfn.TEXTAFTER($H80,":")),"X"),MATCH("*"&amp;M$54,F_RT14[#Headers],0))),IF(AND(_xlpm.x=0,_xlpm.y&lt;&gt;0),-1,IF(AND(_xlpm.x&lt;&gt;0,_xlpm.y&lt;&gt;0),_xlpm.x,IF(AND(_xlpm.x-SUM(IF((INDIRECT($B$3)=$B80)*(INDIRECT($C$3)=$D80)*((INDIRECT($E$3)="TOTS")+(INDIRECT($E$3)=$E80)),INDIRECT(M$3)))&lt;&gt;0,_xlpm.y=0),-2,_xlpm.x)))),0))</f>
        <v>0</v>
      </c>
      <c r="N80" s="199" cm="1">
        <f t="array" aca="1" ref="N80" ca="1">IF(OR($B80="",$B80="X",$D80="",$D80="X",$E80="",$E80="X"),0,IFERROR(_xlfn.LET(_xlpm.x,SUM(SUM(_xlfn._xlws.FILTER(VALUE(PptoSty[Sign]&amp;1)*(1/PptoSty[Division]),(PptoSty[Division]&lt;&gt;0)*(PptoSty[Division]&lt;&gt;"")*(PptoSty[Division]&lt;&gt;"X")*(PptoSty[Project]=$B80)*(PptoSty[Vrs]=$D80)*(PptoSty[PiRow]=_xlfn.TEXTAFTER($H80,":"))*(PptoSty[PiColumn]=N$54),0)),SUM(IF((INDIRECT($B$3)=$B80)*(INDIRECT($C$3)=$D80)*((INDIRECT($E$3)="TOTS")+(INDIRECT($E$3)=$E80)),INDIRECT(N$3)))),_xlpm.y,SUM(_xlfn.CHOOSECOLS(_xlfn._xlws.FILTER(F_RT14[],(F_RT14[PrjId]=$B80)*(F_RT14[Vrs]=$D80)*(_xlfn.TEXTAFTER(F_RT14[ActGrp],":")=_xlfn.TEXTAFTER($H80,":")),"X"),MATCH("*"&amp;N$54,F_RT14[#Headers],0))),IF(AND(_xlpm.x=0,_xlpm.y&lt;&gt;0),-1,IF(AND(_xlpm.x&lt;&gt;0,_xlpm.y&lt;&gt;0),_xlpm.x,IF(AND(_xlpm.x-SUM(IF((INDIRECT($B$3)=$B80)*(INDIRECT($C$3)=$D80)*((INDIRECT($E$3)="TOTS")+(INDIRECT($E$3)=$E80)),INDIRECT(N$3)))&lt;&gt;0,_xlpm.y=0),-2,_xlpm.x)))),0))</f>
        <v>-1</v>
      </c>
      <c r="O80" s="199" cm="1">
        <f t="array" aca="1" ref="O80" ca="1">IF(OR($B80="",$B80="X",$D80="",$D80="X",$E80="",$E80="X"),0,IFERROR(_xlfn.LET(_xlpm.x,SUM(SUM(_xlfn._xlws.FILTER(VALUE(PptoSty[Sign]&amp;1)*(1/PptoSty[Division]),(PptoSty[Division]&lt;&gt;0)*(PptoSty[Division]&lt;&gt;"")*(PptoSty[Division]&lt;&gt;"X")*(PptoSty[Project]=$B80)*(PptoSty[Vrs]=$D80)*(PptoSty[PiRow]=_xlfn.TEXTAFTER($H80,":"))*(PptoSty[PiColumn]=O$54),0)),SUM(IF((INDIRECT($B$3)=$B80)*(INDIRECT($C$3)=$D80)*((INDIRECT($E$3)="TOTS")+(INDIRECT($E$3)=$E80)),INDIRECT(O$3)))),_xlpm.y,SUM(_xlfn.CHOOSECOLS(_xlfn._xlws.FILTER(F_RT14[],(F_RT14[PrjId]=$B80)*(F_RT14[Vrs]=$D80)*(_xlfn.TEXTAFTER(F_RT14[ActGrp],":")=_xlfn.TEXTAFTER($H80,":")),"X"),MATCH("*"&amp;O$54,F_RT14[#Headers],0))),IF(AND(_xlpm.x=0,_xlpm.y&lt;&gt;0),-1,IF(AND(_xlpm.x&lt;&gt;0,_xlpm.y&lt;&gt;0),_xlpm.x,IF(AND(_xlpm.x-SUM(IF((INDIRECT($B$3)=$B80)*(INDIRECT($C$3)=$D80)*((INDIRECT($E$3)="TOTS")+(INDIRECT($E$3)=$E80)),INDIRECT(O$3)))&lt;&gt;0,_xlpm.y=0),-2,_xlpm.x)))),0))</f>
        <v>0</v>
      </c>
      <c r="P80" s="199" cm="1">
        <f t="array" aca="1" ref="P80" ca="1">IF(OR($B80="",$B80="X",$D80="",$D80="X",$E80="",$E80="X"),0,IFERROR(_xlfn.LET(_xlpm.x,SUM(SUM(_xlfn._xlws.FILTER(VALUE(PptoSty[Sign]&amp;1)*(1/PptoSty[Division]),(PptoSty[Division]&lt;&gt;0)*(PptoSty[Division]&lt;&gt;"")*(PptoSty[Division]&lt;&gt;"X")*(PptoSty[Project]=$B80)*(PptoSty[Vrs]=$D80)*(PptoSty[PiRow]=_xlfn.TEXTAFTER($H80,":"))*(PptoSty[PiColumn]=P$54),0)),SUM(IF((INDIRECT($B$3)=$B80)*(INDIRECT($C$3)=$D80)*((INDIRECT($E$3)="TOTS")+(INDIRECT($E$3)=$E80)),INDIRECT(P$3)))),_xlpm.y,SUM(_xlfn.CHOOSECOLS(_xlfn._xlws.FILTER(F_RT14[],(F_RT14[PrjId]=$B80)*(F_RT14[Vrs]=$D80)*(_xlfn.TEXTAFTER(F_RT14[ActGrp],":")=_xlfn.TEXTAFTER($H80,":")),"X"),MATCH("*"&amp;P$54,F_RT14[#Headers],0))),IF(AND(_xlpm.x=0,_xlpm.y&lt;&gt;0),-1,IF(AND(_xlpm.x&lt;&gt;0,_xlpm.y&lt;&gt;0),_xlpm.x,IF(AND(_xlpm.x-SUM(IF((INDIRECT($B$3)=$B80)*(INDIRECT($C$3)=$D80)*((INDIRECT($E$3)="TOTS")+(INDIRECT($E$3)=$E80)),INDIRECT(P$3)))&lt;&gt;0,_xlpm.y=0),-2,_xlpm.x)))),0))</f>
        <v>-1</v>
      </c>
      <c r="Q80" s="199" cm="1">
        <f t="array" aca="1" ref="Q80" ca="1">IF(OR($B80="",$B80="X",$D80="",$D80="X",$E80="",$E80="X"),0,IFERROR(_xlfn.LET(_xlpm.x,SUM(SUM(_xlfn._xlws.FILTER(VALUE(PptoSty[Sign]&amp;1)*(1/PptoSty[Division]),(PptoSty[Division]&lt;&gt;0)*(PptoSty[Division]&lt;&gt;"")*(PptoSty[Division]&lt;&gt;"X")*(PptoSty[Project]=$B80)*(PptoSty[Vrs]=$D80)*(PptoSty[PiRow]=_xlfn.TEXTAFTER($H80,":"))*(PptoSty[PiColumn]=Q$54),0)),SUM(IF((INDIRECT($B$3)=$B80)*(INDIRECT($C$3)=$D80)*((INDIRECT($E$3)="TOTS")+(INDIRECT($E$3)=$E80)),INDIRECT(Q$3)))),_xlpm.y,SUM(_xlfn.CHOOSECOLS(_xlfn._xlws.FILTER(F_RT14[],(F_RT14[PrjId]=$B80)*(F_RT14[Vrs]=$D80)*(_xlfn.TEXTAFTER(F_RT14[ActGrp],":")=_xlfn.TEXTAFTER($H80,":")),"X"),MATCH("*"&amp;Q$54,F_RT14[#Headers],0))),IF(AND(_xlpm.x=0,_xlpm.y&lt;&gt;0),-1,IF(AND(_xlpm.x&lt;&gt;0,_xlpm.y&lt;&gt;0),_xlpm.x,IF(AND(_xlpm.x-SUM(IF((INDIRECT($B$3)=$B80)*(INDIRECT($C$3)=$D80)*((INDIRECT($E$3)="TOTS")+(INDIRECT($E$3)=$E80)),INDIRECT(Q$3)))&lt;&gt;0,_xlpm.y=0),-2,_xlpm.x)))),0))</f>
        <v>-1</v>
      </c>
      <c r="R80" s="199" cm="1">
        <f t="array" aca="1" ref="R80" ca="1">IF(OR($B80="",$B80="X",$D80="",$D80="X",$E80="",$E80="X"),0,IFERROR(_xlfn.LET(_xlpm.x,SUM(SUM(_xlfn._xlws.FILTER(VALUE(PptoSty[Sign]&amp;1)*(1/PptoSty[Division]),(PptoSty[Division]&lt;&gt;0)*(PptoSty[Division]&lt;&gt;"")*(PptoSty[Division]&lt;&gt;"X")*(PptoSty[Project]=$B80)*(PptoSty[Vrs]=$D80)*(PptoSty[PiRow]=_xlfn.TEXTAFTER($H80,":"))*(PptoSty[PiColumn]=R$54),0)),SUM(IF((INDIRECT($B$3)=$B80)*(INDIRECT($C$3)=$D80)*((INDIRECT($E$3)="TOTS")+(INDIRECT($E$3)=$E80)),INDIRECT(R$3)))),_xlpm.y,SUM(_xlfn.CHOOSECOLS(_xlfn._xlws.FILTER(F_RT14[],(F_RT14[PrjId]=$B80)*(F_RT14[Vrs]=$D80)*(_xlfn.TEXTAFTER(F_RT14[ActGrp],":")=_xlfn.TEXTAFTER($H80,":")),"X"),MATCH("*"&amp;R$54,F_RT14[#Headers],0))),IF(AND(_xlpm.x=0,_xlpm.y&lt;&gt;0),-1,IF(AND(_xlpm.x&lt;&gt;0,_xlpm.y&lt;&gt;0),_xlpm.x,IF(AND(_xlpm.x-SUM(IF((INDIRECT($B$3)=$B80)*(INDIRECT($C$3)=$D80)*((INDIRECT($E$3)="TOTS")+(INDIRECT($E$3)=$E80)),INDIRECT(R$3)))&lt;&gt;0,_xlpm.y=0),-2,_xlpm.x)))),0))</f>
        <v>-1</v>
      </c>
      <c r="S80" s="199" cm="1">
        <f t="array" aca="1" ref="S80" ca="1">IF(OR($B80="",$B80="X",$D80="",$D80="X",$E80="",$E80="X"),0,IFERROR(_xlfn.LET(_xlpm.x,SUM(SUM(_xlfn._xlws.FILTER(VALUE(PptoSty[Sign]&amp;1)*(1/PptoSty[Division]),(PptoSty[Division]&lt;&gt;0)*(PptoSty[Division]&lt;&gt;"")*(PptoSty[Division]&lt;&gt;"X")*(PptoSty[Project]=$B80)*(PptoSty[Vrs]=$D80)*(PptoSty[PiRow]=_xlfn.TEXTAFTER($H80,":"))*(PptoSty[PiColumn]=S$54),0)),SUM(IF((INDIRECT($B$3)=$B80)*(INDIRECT($C$3)=$D80)*((INDIRECT($E$3)="TOTS")+(INDIRECT($E$3)=$E80)),INDIRECT(S$3)))),_xlpm.y,SUM(_xlfn.CHOOSECOLS(_xlfn._xlws.FILTER(F_RT14[],(F_RT14[PrjId]=$B80)*(F_RT14[Vrs]=$D80)*(_xlfn.TEXTAFTER(F_RT14[ActGrp],":")=_xlfn.TEXTAFTER($H80,":")),"X"),MATCH("*"&amp;S$54,F_RT14[#Headers],0))),IF(AND(_xlpm.x=0,_xlpm.y&lt;&gt;0),-1,IF(AND(_xlpm.x&lt;&gt;0,_xlpm.y&lt;&gt;0),_xlpm.x,IF(AND(_xlpm.x-SUM(IF((INDIRECT($B$3)=$B80)*(INDIRECT($C$3)=$D80)*((INDIRECT($E$3)="TOTS")+(INDIRECT($E$3)=$E80)),INDIRECT(S$3)))&lt;&gt;0,_xlpm.y=0),-2,_xlpm.x)))),0))</f>
        <v>-1</v>
      </c>
      <c r="T80" s="199" cm="1">
        <f t="array" aca="1" ref="T80" ca="1">IF(OR($B80="",$B80="X",$D80="",$D80="X",$E80="",$E80="X"),0,IFERROR(_xlfn.LET(_xlpm.x,SUM(SUM(_xlfn._xlws.FILTER(VALUE(PptoSty[Sign]&amp;1)*(1/PptoSty[Division]),(PptoSty[Division]&lt;&gt;0)*(PptoSty[Division]&lt;&gt;"")*(PptoSty[Division]&lt;&gt;"X")*(PptoSty[Project]=$B80)*(PptoSty[Vrs]=$D80)*(PptoSty[PiRow]=_xlfn.TEXTAFTER($H80,":"))*(PptoSty[PiColumn]=T$54),0)),SUM(IF((INDIRECT($B$3)=$B80)*(INDIRECT($C$3)=$D80)*((INDIRECT($E$3)="TOTS")+(INDIRECT($E$3)=$E80)),INDIRECT(T$3)))),_xlpm.y,SUM(_xlfn.CHOOSECOLS(_xlfn._xlws.FILTER(F_RT14[],(F_RT14[PrjId]=$B80)*(F_RT14[Vrs]=$D80)*(_xlfn.TEXTAFTER(F_RT14[ActGrp],":")=_xlfn.TEXTAFTER($H80,":")),"X"),MATCH("*"&amp;T$54,F_RT14[#Headers],0))),IF(AND(_xlpm.x=0,_xlpm.y&lt;&gt;0),-1,IF(AND(_xlpm.x&lt;&gt;0,_xlpm.y&lt;&gt;0),_xlpm.x,IF(AND(_xlpm.x-SUM(IF((INDIRECT($B$3)=$B80)*(INDIRECT($C$3)=$D80)*((INDIRECT($E$3)="TOTS")+(INDIRECT($E$3)=$E80)),INDIRECT(T$3)))&lt;&gt;0,_xlpm.y=0),-2,_xlpm.x)))),0))</f>
        <v>-1</v>
      </c>
      <c r="U80" s="199" cm="1">
        <f t="array" aca="1" ref="U80" ca="1">IF(OR($B80="",$B80="X",$D80="",$D80="X",$E80="",$E80="X"),0,IFERROR(_xlfn.LET(_xlpm.x,SUM(SUM(_xlfn._xlws.FILTER(VALUE(PptoSty[Sign]&amp;1)*(1/PptoSty[Division]),(PptoSty[Division]&lt;&gt;0)*(PptoSty[Division]&lt;&gt;"")*(PptoSty[Division]&lt;&gt;"X")*(PptoSty[Project]=$B80)*(PptoSty[Vrs]=$D80)*(PptoSty[PiRow]=_xlfn.TEXTAFTER($H80,":"))*(PptoSty[PiColumn]=U$54),0)),SUM(IF((INDIRECT($B$3)=$B80)*(INDIRECT($C$3)=$D80)*((INDIRECT($E$3)="TOTS")+(INDIRECT($E$3)=$E80)),INDIRECT(U$3)))),_xlpm.y,SUM(_xlfn.CHOOSECOLS(_xlfn._xlws.FILTER(F_RT14[],(F_RT14[PrjId]=$B80)*(F_RT14[Vrs]=$D80)*(_xlfn.TEXTAFTER(F_RT14[ActGrp],":")=_xlfn.TEXTAFTER($H80,":")),"X"),MATCH("*"&amp;U$54,F_RT14[#Headers],0))),IF(AND(_xlpm.x=0,_xlpm.y&lt;&gt;0),-1,IF(AND(_xlpm.x&lt;&gt;0,_xlpm.y&lt;&gt;0),_xlpm.x,IF(AND(_xlpm.x-SUM(IF((INDIRECT($B$3)=$B80)*(INDIRECT($C$3)=$D80)*((INDIRECT($E$3)="TOTS")+(INDIRECT($E$3)=$E80)),INDIRECT(U$3)))&lt;&gt;0,_xlpm.y=0),-2,_xlpm.x)))),0))</f>
        <v>0</v>
      </c>
      <c r="V80" s="199" cm="1">
        <f t="array" aca="1" ref="V80" ca="1">IF(OR($B80="",$B80="X",$D80="",$D80="X",$E80="",$E80="X"),0,IFERROR(_xlfn.LET(_xlpm.x,SUM(SUM(_xlfn._xlws.FILTER(VALUE(PptoSty[Sign]&amp;1)*(1/PptoSty[Division]),(PptoSty[Division]&lt;&gt;0)*(PptoSty[Division]&lt;&gt;"")*(PptoSty[Division]&lt;&gt;"X")*(PptoSty[Project]=$B80)*(PptoSty[Vrs]=$D80)*(PptoSty[PiRow]=_xlfn.TEXTAFTER($H80,":"))*(PptoSty[PiColumn]=V$54),0)),SUM(IF((INDIRECT($B$3)=$B80)*(INDIRECT($C$3)=$D80)*((INDIRECT($E$3)="TOTS")+(INDIRECT($E$3)=$E80)),INDIRECT(V$3)))),_xlpm.y,SUM(_xlfn.CHOOSECOLS(_xlfn._xlws.FILTER(F_RT14[],(F_RT14[PrjId]=$B80)*(F_RT14[Vrs]=$D80)*(_xlfn.TEXTAFTER(F_RT14[ActGrp],":")=_xlfn.TEXTAFTER($H80,":")),"X"),MATCH("*"&amp;V$54,F_RT14[#Headers],0))),IF(AND(_xlpm.x=0,_xlpm.y&lt;&gt;0),-1,IF(AND(_xlpm.x&lt;&gt;0,_xlpm.y&lt;&gt;0),_xlpm.x,IF(AND(_xlpm.x-SUM(IF((INDIRECT($B$3)=$B80)*(INDIRECT($C$3)=$D80)*((INDIRECT($E$3)="TOTS")+(INDIRECT($E$3)=$E80)),INDIRECT(V$3)))&lt;&gt;0,_xlpm.y=0),-2,_xlpm.x)))),0))</f>
        <v>-1</v>
      </c>
      <c r="W80" s="199" cm="1">
        <f t="array" aca="1" ref="W80" ca="1">IF(OR($B80="",$B80="X",$D80="",$D80="X",$E80="",$E80="X"),0,IFERROR(_xlfn.LET(_xlpm.x,SUM(SUM(_xlfn._xlws.FILTER(VALUE(PptoSty[Sign]&amp;1)*(1/PptoSty[Division]),(PptoSty[Division]&lt;&gt;0)*(PptoSty[Division]&lt;&gt;"")*(PptoSty[Division]&lt;&gt;"X")*(PptoSty[Project]=$B80)*(PptoSty[Vrs]=$D80)*(PptoSty[PiRow]=_xlfn.TEXTAFTER($H80,":"))*(PptoSty[PiColumn]=W$54),0)),SUM(IF((INDIRECT($B$3)=$B80)*(INDIRECT($C$3)=$D80)*((INDIRECT($E$3)="TOTS")+(INDIRECT($E$3)=$E80)),INDIRECT(W$3)))),_xlpm.y,SUM(_xlfn.CHOOSECOLS(_xlfn._xlws.FILTER(F_RT14[],(F_RT14[PrjId]=$B80)*(F_RT14[Vrs]=$D80)*(_xlfn.TEXTAFTER(F_RT14[ActGrp],":")=_xlfn.TEXTAFTER($H80,":")),"X"),MATCH("*"&amp;W$54,F_RT14[#Headers],0))),IF(AND(_xlpm.x=0,_xlpm.y&lt;&gt;0),-1,IF(AND(_xlpm.x&lt;&gt;0,_xlpm.y&lt;&gt;0),_xlpm.x,IF(AND(_xlpm.x-SUM(IF((INDIRECT($B$3)=$B80)*(INDIRECT($C$3)=$D80)*((INDIRECT($E$3)="TOTS")+(INDIRECT($E$3)=$E80)),INDIRECT(W$3)))&lt;&gt;0,_xlpm.y=0),-2,_xlpm.x)))),0))</f>
        <v>-1</v>
      </c>
      <c r="X80" s="199" cm="1">
        <f t="array" aca="1" ref="X80" ca="1">IF(OR($B80="",$B80="X",$D80="",$D80="X",$E80="",$E80="X"),0,IFERROR(_xlfn.LET(_xlpm.x,SUM(SUM(_xlfn._xlws.FILTER(VALUE(PptoSty[Sign]&amp;1)*(1/PptoSty[Division]),(PptoSty[Division]&lt;&gt;0)*(PptoSty[Division]&lt;&gt;"")*(PptoSty[Division]&lt;&gt;"X")*(PptoSty[Project]=$B80)*(PptoSty[Vrs]=$D80)*(PptoSty[PiRow]=_xlfn.TEXTAFTER($H80,":"))*(PptoSty[PiColumn]=X$54),0)),SUM(IF((INDIRECT($B$3)=$B80)*(INDIRECT($C$3)=$D80)*((INDIRECT($E$3)="TOTS")+(INDIRECT($E$3)=$E80)),INDIRECT(X$3)))),_xlpm.y,SUM(_xlfn.CHOOSECOLS(_xlfn._xlws.FILTER(F_RT14[],(F_RT14[PrjId]=$B80)*(F_RT14[Vrs]=$D80)*(_xlfn.TEXTAFTER(F_RT14[ActGrp],":")=_xlfn.TEXTAFTER($H80,":")),"X"),MATCH("*"&amp;X$54,F_RT14[#Headers],0))),IF(AND(_xlpm.x=0,_xlpm.y&lt;&gt;0),-1,IF(AND(_xlpm.x&lt;&gt;0,_xlpm.y&lt;&gt;0),_xlpm.x,IF(AND(_xlpm.x-SUM(IF((INDIRECT($B$3)=$B80)*(INDIRECT($C$3)=$D80)*((INDIRECT($E$3)="TOTS")+(INDIRECT($E$3)=$E80)),INDIRECT(X$3)))&lt;&gt;0,_xlpm.y=0),-2,_xlpm.x)))),0))</f>
        <v>-1</v>
      </c>
      <c r="Y80" s="199" cm="1">
        <f t="array" aca="1" ref="Y80" ca="1">IF(OR($B80="",$B80="X",$D80="",$D80="X",$E80="",$E80="X"),0,IFERROR(_xlfn.LET(_xlpm.x,SUM(SUM(_xlfn._xlws.FILTER(VALUE(PptoSty[Sign]&amp;1)*(1/PptoSty[Division]),(PptoSty[Division]&lt;&gt;0)*(PptoSty[Division]&lt;&gt;"")*(PptoSty[Division]&lt;&gt;"X")*(PptoSty[Project]=$B80)*(PptoSty[Vrs]=$D80)*(PptoSty[PiRow]=_xlfn.TEXTAFTER($H80,":"))*(PptoSty[PiColumn]=Y$54),0)),SUM(IF((INDIRECT($B$3)=$B80)*(INDIRECT($C$3)=$D80)*((INDIRECT($E$3)="TOTS")+(INDIRECT($E$3)=$E80)),INDIRECT(Y$3)))),_xlpm.y,SUM(_xlfn.CHOOSECOLS(_xlfn._xlws.FILTER(F_RT14[],(F_RT14[PrjId]=$B80)*(F_RT14[Vrs]=$D80)*(_xlfn.TEXTAFTER(F_RT14[ActGrp],":")=_xlfn.TEXTAFTER($H80,":")),"X"),MATCH("*"&amp;Y$54,F_RT14[#Headers],0))),IF(AND(_xlpm.x=0,_xlpm.y&lt;&gt;0),-1,IF(AND(_xlpm.x&lt;&gt;0,_xlpm.y&lt;&gt;0),_xlpm.x,IF(AND(_xlpm.x-SUM(IF((INDIRECT($B$3)=$B80)*(INDIRECT($C$3)=$D80)*((INDIRECT($E$3)="TOTS")+(INDIRECT($E$3)=$E80)),INDIRECT(Y$3)))&lt;&gt;0,_xlpm.y=0),-2,_xlpm.x)))),0))</f>
        <v>0</v>
      </c>
      <c r="Z80" s="198" t="str">
        <f t="shared" ca="1" si="2"/>
        <v>Fback!B80:Y80</v>
      </c>
    </row>
    <row r="81" spans="2:26" ht="21" customHeight="1" outlineLevel="1">
      <c r="B81" s="128" t="str">
        <v>31199</v>
      </c>
      <c r="C81" s="128" t="str">
        <v>Sp</v>
      </c>
      <c r="D81" s="128">
        <v>0</v>
      </c>
      <c r="E81" s="128" t="str">
        <v>TOOL</v>
      </c>
      <c r="F81" s="139" t="str">
        <v>SERRA</v>
      </c>
      <c r="G81" s="139" t="str">
        <v>CurPpto</v>
      </c>
      <c r="H81" s="139" t="str">
        <v>E005:GARRAS ROBOT</v>
      </c>
      <c r="I81" s="199" cm="1">
        <f t="array" aca="1" ref="I81" ca="1">IF(OR($B81="",$B81="X",$D81="",$D81="X",$E81="",$E81="X"),0,IFERROR(_xlfn.LET(_xlpm.x,SUM(SUM(_xlfn._xlws.FILTER(VALUE(PptoSty[Sign]&amp;1)*(1/PptoSty[Division]),(PptoSty[Division]&lt;&gt;0)*(PptoSty[Division]&lt;&gt;"")*(PptoSty[Division]&lt;&gt;"X")*(PptoSty[Project]=$B81)*(PptoSty[Vrs]=$D81)*(PptoSty[PiRow]=_xlfn.TEXTAFTER($H81,":"))*(PptoSty[PiColumn]=I$54),0)),SUM(IF((INDIRECT($B$3)=$B81)*(INDIRECT($C$3)=$D81)*((INDIRECT($E$3)="TOTS")+(INDIRECT($E$3)=$E81)),INDIRECT(I$3)))),_xlpm.y,SUM(_xlfn.CHOOSECOLS(_xlfn._xlws.FILTER(F_RT14[],(F_RT14[PrjId]=$B81)*(F_RT14[Vrs]=$D81)*(_xlfn.TEXTAFTER(F_RT14[ActGrp],":")=_xlfn.TEXTAFTER($H81,":")),"X"),MATCH("*"&amp;I$54,F_RT14[#Headers],0))),IF(AND(_xlpm.x=0,_xlpm.y&lt;&gt;0),-1,IF(AND(_xlpm.x&lt;&gt;0,_xlpm.y&lt;&gt;0),_xlpm.x,IF(AND(_xlpm.x-SUM(IF((INDIRECT($B$3)=$B81)*(INDIRECT($C$3)=$D81)*((INDIRECT($E$3)="TOTS")+(INDIRECT($E$3)=$E81)),INDIRECT(I$3)))&lt;&gt;0,_xlpm.y=0),-2,_xlpm.x)))),0))</f>
        <v>0</v>
      </c>
      <c r="J81" s="199" cm="1">
        <f t="array" aca="1" ref="J81" ca="1">IF(OR($B81="",$B81="X",$D81="",$D81="X",$E81="",$E81="X"),0,IFERROR(_xlfn.LET(_xlpm.x,SUM(SUM(_xlfn._xlws.FILTER(VALUE(PptoSty[Sign]&amp;1)*(1/PptoSty[Division]),(PptoSty[Division]&lt;&gt;0)*(PptoSty[Division]&lt;&gt;"")*(PptoSty[Division]&lt;&gt;"X")*(PptoSty[Project]=$B81)*(PptoSty[Vrs]=$D81)*(PptoSty[PiRow]=_xlfn.TEXTAFTER($H81,":"))*(PptoSty[PiColumn]=J$54),0)),SUM(IF((INDIRECT($B$3)=$B81)*(INDIRECT($C$3)=$D81)*((INDIRECT($E$3)="TOTS")+(INDIRECT($E$3)=$E81)),INDIRECT(J$3)))),_xlpm.y,SUM(_xlfn.CHOOSECOLS(_xlfn._xlws.FILTER(F_RT14[],(F_RT14[PrjId]=$B81)*(F_RT14[Vrs]=$D81)*(_xlfn.TEXTAFTER(F_RT14[ActGrp],":")=_xlfn.TEXTAFTER($H81,":")),"X"),MATCH("*"&amp;J$54,F_RT14[#Headers],0))),IF(AND(_xlpm.x=0,_xlpm.y&lt;&gt;0),-1,IF(AND(_xlpm.x&lt;&gt;0,_xlpm.y&lt;&gt;0),_xlpm.x,IF(AND(_xlpm.x-SUM(IF((INDIRECT($B$3)=$B81)*(INDIRECT($C$3)=$D81)*((INDIRECT($E$3)="TOTS")+(INDIRECT($E$3)=$E81)),INDIRECT(J$3)))&lt;&gt;0,_xlpm.y=0),-2,_xlpm.x)))),0))</f>
        <v>0</v>
      </c>
      <c r="K81" s="199" cm="1">
        <f t="array" aca="1" ref="K81" ca="1">IF(OR($B81="",$B81="X",$D81="",$D81="X",$E81="",$E81="X"),0,IFERROR(_xlfn.LET(_xlpm.x,SUM(SUM(_xlfn._xlws.FILTER(VALUE(PptoSty[Sign]&amp;1)*(1/PptoSty[Division]),(PptoSty[Division]&lt;&gt;0)*(PptoSty[Division]&lt;&gt;"")*(PptoSty[Division]&lt;&gt;"X")*(PptoSty[Project]=$B81)*(PptoSty[Vrs]=$D81)*(PptoSty[PiRow]=_xlfn.TEXTAFTER($H81,":"))*(PptoSty[PiColumn]=K$54),0)),SUM(IF((INDIRECT($B$3)=$B81)*(INDIRECT($C$3)=$D81)*((INDIRECT($E$3)="TOTS")+(INDIRECT($E$3)=$E81)),INDIRECT(K$3)))),_xlpm.y,SUM(_xlfn.CHOOSECOLS(_xlfn._xlws.FILTER(F_RT14[],(F_RT14[PrjId]=$B81)*(F_RT14[Vrs]=$D81)*(_xlfn.TEXTAFTER(F_RT14[ActGrp],":")=_xlfn.TEXTAFTER($H81,":")),"X"),MATCH("*"&amp;K$54,F_RT14[#Headers],0))),IF(AND(_xlpm.x=0,_xlpm.y&lt;&gt;0),-1,IF(AND(_xlpm.x&lt;&gt;0,_xlpm.y&lt;&gt;0),_xlpm.x,IF(AND(_xlpm.x-SUM(IF((INDIRECT($B$3)=$B81)*(INDIRECT($C$3)=$D81)*((INDIRECT($E$3)="TOTS")+(INDIRECT($E$3)=$E81)),INDIRECT(K$3)))&lt;&gt;0,_xlpm.y=0),-2,_xlpm.x)))),0))</f>
        <v>-1</v>
      </c>
      <c r="L81" s="199" cm="1">
        <f t="array" aca="1" ref="L81" ca="1">IF(OR($B81="",$B81="X",$D81="",$D81="X",$E81="",$E81="X"),0,IFERROR(_xlfn.LET(_xlpm.x,SUM(SUM(_xlfn._xlws.FILTER(VALUE(PptoSty[Sign]&amp;1)*(1/PptoSty[Division]),(PptoSty[Division]&lt;&gt;0)*(PptoSty[Division]&lt;&gt;"")*(PptoSty[Division]&lt;&gt;"X")*(PptoSty[Project]=$B81)*(PptoSty[Vrs]=$D81)*(PptoSty[PiRow]=_xlfn.TEXTAFTER($H81,":"))*(PptoSty[PiColumn]=L$54),0)),SUM(IF((INDIRECT($B$3)=$B81)*(INDIRECT($C$3)=$D81)*((INDIRECT($E$3)="TOTS")+(INDIRECT($E$3)=$E81)),INDIRECT(L$3)))),_xlpm.y,SUM(_xlfn.CHOOSECOLS(_xlfn._xlws.FILTER(F_RT14[],(F_RT14[PrjId]=$B81)*(F_RT14[Vrs]=$D81)*(_xlfn.TEXTAFTER(F_RT14[ActGrp],":")=_xlfn.TEXTAFTER($H81,":")),"X"),MATCH("*"&amp;L$54,F_RT14[#Headers],0))),IF(AND(_xlpm.x=0,_xlpm.y&lt;&gt;0),-1,IF(AND(_xlpm.x&lt;&gt;0,_xlpm.y&lt;&gt;0),_xlpm.x,IF(AND(_xlpm.x-SUM(IF((INDIRECT($B$3)=$B81)*(INDIRECT($C$3)=$D81)*((INDIRECT($E$3)="TOTS")+(INDIRECT($E$3)=$E81)),INDIRECT(L$3)))&lt;&gt;0,_xlpm.y=0),-2,_xlpm.x)))),0))</f>
        <v>0</v>
      </c>
      <c r="M81" s="199" cm="1">
        <f t="array" aca="1" ref="M81" ca="1">IF(OR($B81="",$B81="X",$D81="",$D81="X",$E81="",$E81="X"),0,IFERROR(_xlfn.LET(_xlpm.x,SUM(SUM(_xlfn._xlws.FILTER(VALUE(PptoSty[Sign]&amp;1)*(1/PptoSty[Division]),(PptoSty[Division]&lt;&gt;0)*(PptoSty[Division]&lt;&gt;"")*(PptoSty[Division]&lt;&gt;"X")*(PptoSty[Project]=$B81)*(PptoSty[Vrs]=$D81)*(PptoSty[PiRow]=_xlfn.TEXTAFTER($H81,":"))*(PptoSty[PiColumn]=M$54),0)),SUM(IF((INDIRECT($B$3)=$B81)*(INDIRECT($C$3)=$D81)*((INDIRECT($E$3)="TOTS")+(INDIRECT($E$3)=$E81)),INDIRECT(M$3)))),_xlpm.y,SUM(_xlfn.CHOOSECOLS(_xlfn._xlws.FILTER(F_RT14[],(F_RT14[PrjId]=$B81)*(F_RT14[Vrs]=$D81)*(_xlfn.TEXTAFTER(F_RT14[ActGrp],":")=_xlfn.TEXTAFTER($H81,":")),"X"),MATCH("*"&amp;M$54,F_RT14[#Headers],0))),IF(AND(_xlpm.x=0,_xlpm.y&lt;&gt;0),-1,IF(AND(_xlpm.x&lt;&gt;0,_xlpm.y&lt;&gt;0),_xlpm.x,IF(AND(_xlpm.x-SUM(IF((INDIRECT($B$3)=$B81)*(INDIRECT($C$3)=$D81)*((INDIRECT($E$3)="TOTS")+(INDIRECT($E$3)=$E81)),INDIRECT(M$3)))&lt;&gt;0,_xlpm.y=0),-2,_xlpm.x)))),0))</f>
        <v>0</v>
      </c>
      <c r="N81" s="199" cm="1">
        <f t="array" aca="1" ref="N81" ca="1">IF(OR($B81="",$B81="X",$D81="",$D81="X",$E81="",$E81="X"),0,IFERROR(_xlfn.LET(_xlpm.x,SUM(SUM(_xlfn._xlws.FILTER(VALUE(PptoSty[Sign]&amp;1)*(1/PptoSty[Division]),(PptoSty[Division]&lt;&gt;0)*(PptoSty[Division]&lt;&gt;"")*(PptoSty[Division]&lt;&gt;"X")*(PptoSty[Project]=$B81)*(PptoSty[Vrs]=$D81)*(PptoSty[PiRow]=_xlfn.TEXTAFTER($H81,":"))*(PptoSty[PiColumn]=N$54),0)),SUM(IF((INDIRECT($B$3)=$B81)*(INDIRECT($C$3)=$D81)*((INDIRECT($E$3)="TOTS")+(INDIRECT($E$3)=$E81)),INDIRECT(N$3)))),_xlpm.y,SUM(_xlfn.CHOOSECOLS(_xlfn._xlws.FILTER(F_RT14[],(F_RT14[PrjId]=$B81)*(F_RT14[Vrs]=$D81)*(_xlfn.TEXTAFTER(F_RT14[ActGrp],":")=_xlfn.TEXTAFTER($H81,":")),"X"),MATCH("*"&amp;N$54,F_RT14[#Headers],0))),IF(AND(_xlpm.x=0,_xlpm.y&lt;&gt;0),-1,IF(AND(_xlpm.x&lt;&gt;0,_xlpm.y&lt;&gt;0),_xlpm.x,IF(AND(_xlpm.x-SUM(IF((INDIRECT($B$3)=$B81)*(INDIRECT($C$3)=$D81)*((INDIRECT($E$3)="TOTS")+(INDIRECT($E$3)=$E81)),INDIRECT(N$3)))&lt;&gt;0,_xlpm.y=0),-2,_xlpm.x)))),0))</f>
        <v>-1</v>
      </c>
      <c r="O81" s="199" cm="1">
        <f t="array" aca="1" ref="O81" ca="1">IF(OR($B81="",$B81="X",$D81="",$D81="X",$E81="",$E81="X"),0,IFERROR(_xlfn.LET(_xlpm.x,SUM(SUM(_xlfn._xlws.FILTER(VALUE(PptoSty[Sign]&amp;1)*(1/PptoSty[Division]),(PptoSty[Division]&lt;&gt;0)*(PptoSty[Division]&lt;&gt;"")*(PptoSty[Division]&lt;&gt;"X")*(PptoSty[Project]=$B81)*(PptoSty[Vrs]=$D81)*(PptoSty[PiRow]=_xlfn.TEXTAFTER($H81,":"))*(PptoSty[PiColumn]=O$54),0)),SUM(IF((INDIRECT($B$3)=$B81)*(INDIRECT($C$3)=$D81)*((INDIRECT($E$3)="TOTS")+(INDIRECT($E$3)=$E81)),INDIRECT(O$3)))),_xlpm.y,SUM(_xlfn.CHOOSECOLS(_xlfn._xlws.FILTER(F_RT14[],(F_RT14[PrjId]=$B81)*(F_RT14[Vrs]=$D81)*(_xlfn.TEXTAFTER(F_RT14[ActGrp],":")=_xlfn.TEXTAFTER($H81,":")),"X"),MATCH("*"&amp;O$54,F_RT14[#Headers],0))),IF(AND(_xlpm.x=0,_xlpm.y&lt;&gt;0),-1,IF(AND(_xlpm.x&lt;&gt;0,_xlpm.y&lt;&gt;0),_xlpm.x,IF(AND(_xlpm.x-SUM(IF((INDIRECT($B$3)=$B81)*(INDIRECT($C$3)=$D81)*((INDIRECT($E$3)="TOTS")+(INDIRECT($E$3)=$E81)),INDIRECT(O$3)))&lt;&gt;0,_xlpm.y=0),-2,_xlpm.x)))),0))</f>
        <v>0</v>
      </c>
      <c r="P81" s="199" cm="1">
        <f t="array" aca="1" ref="P81" ca="1">IF(OR($B81="",$B81="X",$D81="",$D81="X",$E81="",$E81="X"),0,IFERROR(_xlfn.LET(_xlpm.x,SUM(SUM(_xlfn._xlws.FILTER(VALUE(PptoSty[Sign]&amp;1)*(1/PptoSty[Division]),(PptoSty[Division]&lt;&gt;0)*(PptoSty[Division]&lt;&gt;"")*(PptoSty[Division]&lt;&gt;"X")*(PptoSty[Project]=$B81)*(PptoSty[Vrs]=$D81)*(PptoSty[PiRow]=_xlfn.TEXTAFTER($H81,":"))*(PptoSty[PiColumn]=P$54),0)),SUM(IF((INDIRECT($B$3)=$B81)*(INDIRECT($C$3)=$D81)*((INDIRECT($E$3)="TOTS")+(INDIRECT($E$3)=$E81)),INDIRECT(P$3)))),_xlpm.y,SUM(_xlfn.CHOOSECOLS(_xlfn._xlws.FILTER(F_RT14[],(F_RT14[PrjId]=$B81)*(F_RT14[Vrs]=$D81)*(_xlfn.TEXTAFTER(F_RT14[ActGrp],":")=_xlfn.TEXTAFTER($H81,":")),"X"),MATCH("*"&amp;P$54,F_RT14[#Headers],0))),IF(AND(_xlpm.x=0,_xlpm.y&lt;&gt;0),-1,IF(AND(_xlpm.x&lt;&gt;0,_xlpm.y&lt;&gt;0),_xlpm.x,IF(AND(_xlpm.x-SUM(IF((INDIRECT($B$3)=$B81)*(INDIRECT($C$3)=$D81)*((INDIRECT($E$3)="TOTS")+(INDIRECT($E$3)=$E81)),INDIRECT(P$3)))&lt;&gt;0,_xlpm.y=0),-2,_xlpm.x)))),0))</f>
        <v>-1</v>
      </c>
      <c r="Q81" s="199" cm="1">
        <f t="array" aca="1" ref="Q81" ca="1">IF(OR($B81="",$B81="X",$D81="",$D81="X",$E81="",$E81="X"),0,IFERROR(_xlfn.LET(_xlpm.x,SUM(SUM(_xlfn._xlws.FILTER(VALUE(PptoSty[Sign]&amp;1)*(1/PptoSty[Division]),(PptoSty[Division]&lt;&gt;0)*(PptoSty[Division]&lt;&gt;"")*(PptoSty[Division]&lt;&gt;"X")*(PptoSty[Project]=$B81)*(PptoSty[Vrs]=$D81)*(PptoSty[PiRow]=_xlfn.TEXTAFTER($H81,":"))*(PptoSty[PiColumn]=Q$54),0)),SUM(IF((INDIRECT($B$3)=$B81)*(INDIRECT($C$3)=$D81)*((INDIRECT($E$3)="TOTS")+(INDIRECT($E$3)=$E81)),INDIRECT(Q$3)))),_xlpm.y,SUM(_xlfn.CHOOSECOLS(_xlfn._xlws.FILTER(F_RT14[],(F_RT14[PrjId]=$B81)*(F_RT14[Vrs]=$D81)*(_xlfn.TEXTAFTER(F_RT14[ActGrp],":")=_xlfn.TEXTAFTER($H81,":")),"X"),MATCH("*"&amp;Q$54,F_RT14[#Headers],0))),IF(AND(_xlpm.x=0,_xlpm.y&lt;&gt;0),-1,IF(AND(_xlpm.x&lt;&gt;0,_xlpm.y&lt;&gt;0),_xlpm.x,IF(AND(_xlpm.x-SUM(IF((INDIRECT($B$3)=$B81)*(INDIRECT($C$3)=$D81)*((INDIRECT($E$3)="TOTS")+(INDIRECT($E$3)=$E81)),INDIRECT(Q$3)))&lt;&gt;0,_xlpm.y=0),-2,_xlpm.x)))),0))</f>
        <v>-1</v>
      </c>
      <c r="R81" s="199" cm="1">
        <f t="array" aca="1" ref="R81" ca="1">IF(OR($B81="",$B81="X",$D81="",$D81="X",$E81="",$E81="X"),0,IFERROR(_xlfn.LET(_xlpm.x,SUM(SUM(_xlfn._xlws.FILTER(VALUE(PptoSty[Sign]&amp;1)*(1/PptoSty[Division]),(PptoSty[Division]&lt;&gt;0)*(PptoSty[Division]&lt;&gt;"")*(PptoSty[Division]&lt;&gt;"X")*(PptoSty[Project]=$B81)*(PptoSty[Vrs]=$D81)*(PptoSty[PiRow]=_xlfn.TEXTAFTER($H81,":"))*(PptoSty[PiColumn]=R$54),0)),SUM(IF((INDIRECT($B$3)=$B81)*(INDIRECT($C$3)=$D81)*((INDIRECT($E$3)="TOTS")+(INDIRECT($E$3)=$E81)),INDIRECT(R$3)))),_xlpm.y,SUM(_xlfn.CHOOSECOLS(_xlfn._xlws.FILTER(F_RT14[],(F_RT14[PrjId]=$B81)*(F_RT14[Vrs]=$D81)*(_xlfn.TEXTAFTER(F_RT14[ActGrp],":")=_xlfn.TEXTAFTER($H81,":")),"X"),MATCH("*"&amp;R$54,F_RT14[#Headers],0))),IF(AND(_xlpm.x=0,_xlpm.y&lt;&gt;0),-1,IF(AND(_xlpm.x&lt;&gt;0,_xlpm.y&lt;&gt;0),_xlpm.x,IF(AND(_xlpm.x-SUM(IF((INDIRECT($B$3)=$B81)*(INDIRECT($C$3)=$D81)*((INDIRECT($E$3)="TOTS")+(INDIRECT($E$3)=$E81)),INDIRECT(R$3)))&lt;&gt;0,_xlpm.y=0),-2,_xlpm.x)))),0))</f>
        <v>-1</v>
      </c>
      <c r="S81" s="199" cm="1">
        <f t="array" aca="1" ref="S81" ca="1">IF(OR($B81="",$B81="X",$D81="",$D81="X",$E81="",$E81="X"),0,IFERROR(_xlfn.LET(_xlpm.x,SUM(SUM(_xlfn._xlws.FILTER(VALUE(PptoSty[Sign]&amp;1)*(1/PptoSty[Division]),(PptoSty[Division]&lt;&gt;0)*(PptoSty[Division]&lt;&gt;"")*(PptoSty[Division]&lt;&gt;"X")*(PptoSty[Project]=$B81)*(PptoSty[Vrs]=$D81)*(PptoSty[PiRow]=_xlfn.TEXTAFTER($H81,":"))*(PptoSty[PiColumn]=S$54),0)),SUM(IF((INDIRECT($B$3)=$B81)*(INDIRECT($C$3)=$D81)*((INDIRECT($E$3)="TOTS")+(INDIRECT($E$3)=$E81)),INDIRECT(S$3)))),_xlpm.y,SUM(_xlfn.CHOOSECOLS(_xlfn._xlws.FILTER(F_RT14[],(F_RT14[PrjId]=$B81)*(F_RT14[Vrs]=$D81)*(_xlfn.TEXTAFTER(F_RT14[ActGrp],":")=_xlfn.TEXTAFTER($H81,":")),"X"),MATCH("*"&amp;S$54,F_RT14[#Headers],0))),IF(AND(_xlpm.x=0,_xlpm.y&lt;&gt;0),-1,IF(AND(_xlpm.x&lt;&gt;0,_xlpm.y&lt;&gt;0),_xlpm.x,IF(AND(_xlpm.x-SUM(IF((INDIRECT($B$3)=$B81)*(INDIRECT($C$3)=$D81)*((INDIRECT($E$3)="TOTS")+(INDIRECT($E$3)=$E81)),INDIRECT(S$3)))&lt;&gt;0,_xlpm.y=0),-2,_xlpm.x)))),0))</f>
        <v>-1</v>
      </c>
      <c r="T81" s="199" cm="1">
        <f t="array" aca="1" ref="T81" ca="1">IF(OR($B81="",$B81="X",$D81="",$D81="X",$E81="",$E81="X"),0,IFERROR(_xlfn.LET(_xlpm.x,SUM(SUM(_xlfn._xlws.FILTER(VALUE(PptoSty[Sign]&amp;1)*(1/PptoSty[Division]),(PptoSty[Division]&lt;&gt;0)*(PptoSty[Division]&lt;&gt;"")*(PptoSty[Division]&lt;&gt;"X")*(PptoSty[Project]=$B81)*(PptoSty[Vrs]=$D81)*(PptoSty[PiRow]=_xlfn.TEXTAFTER($H81,":"))*(PptoSty[PiColumn]=T$54),0)),SUM(IF((INDIRECT($B$3)=$B81)*(INDIRECT($C$3)=$D81)*((INDIRECT($E$3)="TOTS")+(INDIRECT($E$3)=$E81)),INDIRECT(T$3)))),_xlpm.y,SUM(_xlfn.CHOOSECOLS(_xlfn._xlws.FILTER(F_RT14[],(F_RT14[PrjId]=$B81)*(F_RT14[Vrs]=$D81)*(_xlfn.TEXTAFTER(F_RT14[ActGrp],":")=_xlfn.TEXTAFTER($H81,":")),"X"),MATCH("*"&amp;T$54,F_RT14[#Headers],0))),IF(AND(_xlpm.x=0,_xlpm.y&lt;&gt;0),-1,IF(AND(_xlpm.x&lt;&gt;0,_xlpm.y&lt;&gt;0),_xlpm.x,IF(AND(_xlpm.x-SUM(IF((INDIRECT($B$3)=$B81)*(INDIRECT($C$3)=$D81)*((INDIRECT($E$3)="TOTS")+(INDIRECT($E$3)=$E81)),INDIRECT(T$3)))&lt;&gt;0,_xlpm.y=0),-2,_xlpm.x)))),0))</f>
        <v>-1</v>
      </c>
      <c r="U81" s="199" cm="1">
        <f t="array" aca="1" ref="U81" ca="1">IF(OR($B81="",$B81="X",$D81="",$D81="X",$E81="",$E81="X"),0,IFERROR(_xlfn.LET(_xlpm.x,SUM(SUM(_xlfn._xlws.FILTER(VALUE(PptoSty[Sign]&amp;1)*(1/PptoSty[Division]),(PptoSty[Division]&lt;&gt;0)*(PptoSty[Division]&lt;&gt;"")*(PptoSty[Division]&lt;&gt;"X")*(PptoSty[Project]=$B81)*(PptoSty[Vrs]=$D81)*(PptoSty[PiRow]=_xlfn.TEXTAFTER($H81,":"))*(PptoSty[PiColumn]=U$54),0)),SUM(IF((INDIRECT($B$3)=$B81)*(INDIRECT($C$3)=$D81)*((INDIRECT($E$3)="TOTS")+(INDIRECT($E$3)=$E81)),INDIRECT(U$3)))),_xlpm.y,SUM(_xlfn.CHOOSECOLS(_xlfn._xlws.FILTER(F_RT14[],(F_RT14[PrjId]=$B81)*(F_RT14[Vrs]=$D81)*(_xlfn.TEXTAFTER(F_RT14[ActGrp],":")=_xlfn.TEXTAFTER($H81,":")),"X"),MATCH("*"&amp;U$54,F_RT14[#Headers],0))),IF(AND(_xlpm.x=0,_xlpm.y&lt;&gt;0),-1,IF(AND(_xlpm.x&lt;&gt;0,_xlpm.y&lt;&gt;0),_xlpm.x,IF(AND(_xlpm.x-SUM(IF((INDIRECT($B$3)=$B81)*(INDIRECT($C$3)=$D81)*((INDIRECT($E$3)="TOTS")+(INDIRECT($E$3)=$E81)),INDIRECT(U$3)))&lt;&gt;0,_xlpm.y=0),-2,_xlpm.x)))),0))</f>
        <v>0</v>
      </c>
      <c r="V81" s="199" cm="1">
        <f t="array" aca="1" ref="V81" ca="1">IF(OR($B81="",$B81="X",$D81="",$D81="X",$E81="",$E81="X"),0,IFERROR(_xlfn.LET(_xlpm.x,SUM(SUM(_xlfn._xlws.FILTER(VALUE(PptoSty[Sign]&amp;1)*(1/PptoSty[Division]),(PptoSty[Division]&lt;&gt;0)*(PptoSty[Division]&lt;&gt;"")*(PptoSty[Division]&lt;&gt;"X")*(PptoSty[Project]=$B81)*(PptoSty[Vrs]=$D81)*(PptoSty[PiRow]=_xlfn.TEXTAFTER($H81,":"))*(PptoSty[PiColumn]=V$54),0)),SUM(IF((INDIRECT($B$3)=$B81)*(INDIRECT($C$3)=$D81)*((INDIRECT($E$3)="TOTS")+(INDIRECT($E$3)=$E81)),INDIRECT(V$3)))),_xlpm.y,SUM(_xlfn.CHOOSECOLS(_xlfn._xlws.FILTER(F_RT14[],(F_RT14[PrjId]=$B81)*(F_RT14[Vrs]=$D81)*(_xlfn.TEXTAFTER(F_RT14[ActGrp],":")=_xlfn.TEXTAFTER($H81,":")),"X"),MATCH("*"&amp;V$54,F_RT14[#Headers],0))),IF(AND(_xlpm.x=0,_xlpm.y&lt;&gt;0),-1,IF(AND(_xlpm.x&lt;&gt;0,_xlpm.y&lt;&gt;0),_xlpm.x,IF(AND(_xlpm.x-SUM(IF((INDIRECT($B$3)=$B81)*(INDIRECT($C$3)=$D81)*((INDIRECT($E$3)="TOTS")+(INDIRECT($E$3)=$E81)),INDIRECT(V$3)))&lt;&gt;0,_xlpm.y=0),-2,_xlpm.x)))),0))</f>
        <v>-1</v>
      </c>
      <c r="W81" s="199" cm="1">
        <f t="array" aca="1" ref="W81" ca="1">IF(OR($B81="",$B81="X",$D81="",$D81="X",$E81="",$E81="X"),0,IFERROR(_xlfn.LET(_xlpm.x,SUM(SUM(_xlfn._xlws.FILTER(VALUE(PptoSty[Sign]&amp;1)*(1/PptoSty[Division]),(PptoSty[Division]&lt;&gt;0)*(PptoSty[Division]&lt;&gt;"")*(PptoSty[Division]&lt;&gt;"X")*(PptoSty[Project]=$B81)*(PptoSty[Vrs]=$D81)*(PptoSty[PiRow]=_xlfn.TEXTAFTER($H81,":"))*(PptoSty[PiColumn]=W$54),0)),SUM(IF((INDIRECT($B$3)=$B81)*(INDIRECT($C$3)=$D81)*((INDIRECT($E$3)="TOTS")+(INDIRECT($E$3)=$E81)),INDIRECT(W$3)))),_xlpm.y,SUM(_xlfn.CHOOSECOLS(_xlfn._xlws.FILTER(F_RT14[],(F_RT14[PrjId]=$B81)*(F_RT14[Vrs]=$D81)*(_xlfn.TEXTAFTER(F_RT14[ActGrp],":")=_xlfn.TEXTAFTER($H81,":")),"X"),MATCH("*"&amp;W$54,F_RT14[#Headers],0))),IF(AND(_xlpm.x=0,_xlpm.y&lt;&gt;0),-1,IF(AND(_xlpm.x&lt;&gt;0,_xlpm.y&lt;&gt;0),_xlpm.x,IF(AND(_xlpm.x-SUM(IF((INDIRECT($B$3)=$B81)*(INDIRECT($C$3)=$D81)*((INDIRECT($E$3)="TOTS")+(INDIRECT($E$3)=$E81)),INDIRECT(W$3)))&lt;&gt;0,_xlpm.y=0),-2,_xlpm.x)))),0))</f>
        <v>-1</v>
      </c>
      <c r="X81" s="199" cm="1">
        <f t="array" aca="1" ref="X81" ca="1">IF(OR($B81="",$B81="X",$D81="",$D81="X",$E81="",$E81="X"),0,IFERROR(_xlfn.LET(_xlpm.x,SUM(SUM(_xlfn._xlws.FILTER(VALUE(PptoSty[Sign]&amp;1)*(1/PptoSty[Division]),(PptoSty[Division]&lt;&gt;0)*(PptoSty[Division]&lt;&gt;"")*(PptoSty[Division]&lt;&gt;"X")*(PptoSty[Project]=$B81)*(PptoSty[Vrs]=$D81)*(PptoSty[PiRow]=_xlfn.TEXTAFTER($H81,":"))*(PptoSty[PiColumn]=X$54),0)),SUM(IF((INDIRECT($B$3)=$B81)*(INDIRECT($C$3)=$D81)*((INDIRECT($E$3)="TOTS")+(INDIRECT($E$3)=$E81)),INDIRECT(X$3)))),_xlpm.y,SUM(_xlfn.CHOOSECOLS(_xlfn._xlws.FILTER(F_RT14[],(F_RT14[PrjId]=$B81)*(F_RT14[Vrs]=$D81)*(_xlfn.TEXTAFTER(F_RT14[ActGrp],":")=_xlfn.TEXTAFTER($H81,":")),"X"),MATCH("*"&amp;X$54,F_RT14[#Headers],0))),IF(AND(_xlpm.x=0,_xlpm.y&lt;&gt;0),-1,IF(AND(_xlpm.x&lt;&gt;0,_xlpm.y&lt;&gt;0),_xlpm.x,IF(AND(_xlpm.x-SUM(IF((INDIRECT($B$3)=$B81)*(INDIRECT($C$3)=$D81)*((INDIRECT($E$3)="TOTS")+(INDIRECT($E$3)=$E81)),INDIRECT(X$3)))&lt;&gt;0,_xlpm.y=0),-2,_xlpm.x)))),0))</f>
        <v>-1</v>
      </c>
      <c r="Y81" s="199" cm="1">
        <f t="array" aca="1" ref="Y81" ca="1">IF(OR($B81="",$B81="X",$D81="",$D81="X",$E81="",$E81="X"),0,IFERROR(_xlfn.LET(_xlpm.x,SUM(SUM(_xlfn._xlws.FILTER(VALUE(PptoSty[Sign]&amp;1)*(1/PptoSty[Division]),(PptoSty[Division]&lt;&gt;0)*(PptoSty[Division]&lt;&gt;"")*(PptoSty[Division]&lt;&gt;"X")*(PptoSty[Project]=$B81)*(PptoSty[Vrs]=$D81)*(PptoSty[PiRow]=_xlfn.TEXTAFTER($H81,":"))*(PptoSty[PiColumn]=Y$54),0)),SUM(IF((INDIRECT($B$3)=$B81)*(INDIRECT($C$3)=$D81)*((INDIRECT($E$3)="TOTS")+(INDIRECT($E$3)=$E81)),INDIRECT(Y$3)))),_xlpm.y,SUM(_xlfn.CHOOSECOLS(_xlfn._xlws.FILTER(F_RT14[],(F_RT14[PrjId]=$B81)*(F_RT14[Vrs]=$D81)*(_xlfn.TEXTAFTER(F_RT14[ActGrp],":")=_xlfn.TEXTAFTER($H81,":")),"X"),MATCH("*"&amp;Y$54,F_RT14[#Headers],0))),IF(AND(_xlpm.x=0,_xlpm.y&lt;&gt;0),-1,IF(AND(_xlpm.x&lt;&gt;0,_xlpm.y&lt;&gt;0),_xlpm.x,IF(AND(_xlpm.x-SUM(IF((INDIRECT($B$3)=$B81)*(INDIRECT($C$3)=$D81)*((INDIRECT($E$3)="TOTS")+(INDIRECT($E$3)=$E81)),INDIRECT(Y$3)))&lt;&gt;0,_xlpm.y=0),-2,_xlpm.x)))),0))</f>
        <v>0</v>
      </c>
      <c r="Z81" s="198" t="str">
        <f t="shared" ca="1" si="2"/>
        <v>Fback!B81:Y81</v>
      </c>
    </row>
    <row r="82" spans="2:26" ht="21" customHeight="1" outlineLevel="1">
      <c r="B82" s="128" t="str">
        <v>31199</v>
      </c>
      <c r="C82" s="128" t="str">
        <v>Sp</v>
      </c>
      <c r="D82" s="128">
        <v>0</v>
      </c>
      <c r="E82" s="128" t="str">
        <v>TOOL</v>
      </c>
      <c r="F82" s="139" t="str">
        <v>SERRA</v>
      </c>
      <c r="G82" s="139" t="str">
        <v>CurPpto</v>
      </c>
      <c r="H82" s="139" t="str">
        <v>P001:FIXTURE OP-110 / 210 SIDE RAIL SUB-ASSY I</v>
      </c>
      <c r="I82" s="199" cm="1">
        <f t="array" aca="1" ref="I82" ca="1">IF(OR($B82="",$B82="X",$D82="",$D82="X",$E82="",$E82="X"),0,IFERROR(_xlfn.LET(_xlpm.x,SUM(SUM(_xlfn._xlws.FILTER(VALUE(PptoSty[Sign]&amp;1)*(1/PptoSty[Division]),(PptoSty[Division]&lt;&gt;0)*(PptoSty[Division]&lt;&gt;"")*(PptoSty[Division]&lt;&gt;"X")*(PptoSty[Project]=$B82)*(PptoSty[Vrs]=$D82)*(PptoSty[PiRow]=_xlfn.TEXTAFTER($H82,":"))*(PptoSty[PiColumn]=I$54),0)),SUM(IF((INDIRECT($B$3)=$B82)*(INDIRECT($C$3)=$D82)*((INDIRECT($E$3)="TOTS")+(INDIRECT($E$3)=$E82)),INDIRECT(I$3)))),_xlpm.y,SUM(_xlfn.CHOOSECOLS(_xlfn._xlws.FILTER(F_RT14[],(F_RT14[PrjId]=$B82)*(F_RT14[Vrs]=$D82)*(_xlfn.TEXTAFTER(F_RT14[ActGrp],":")=_xlfn.TEXTAFTER($H82,":")),"X"),MATCH("*"&amp;I$54,F_RT14[#Headers],0))),IF(AND(_xlpm.x=0,_xlpm.y&lt;&gt;0),-1,IF(AND(_xlpm.x&lt;&gt;0,_xlpm.y&lt;&gt;0),_xlpm.x,IF(AND(_xlpm.x-SUM(IF((INDIRECT($B$3)=$B82)*(INDIRECT($C$3)=$D82)*((INDIRECT($E$3)="TOTS")+(INDIRECT($E$3)=$E82)),INDIRECT(I$3)))&lt;&gt;0,_xlpm.y=0),-2,_xlpm.x)))),0))</f>
        <v>0</v>
      </c>
      <c r="J82" s="199" cm="1">
        <f t="array" aca="1" ref="J82" ca="1">IF(OR($B82="",$B82="X",$D82="",$D82="X",$E82="",$E82="X"),0,IFERROR(_xlfn.LET(_xlpm.x,SUM(SUM(_xlfn._xlws.FILTER(VALUE(PptoSty[Sign]&amp;1)*(1/PptoSty[Division]),(PptoSty[Division]&lt;&gt;0)*(PptoSty[Division]&lt;&gt;"")*(PptoSty[Division]&lt;&gt;"X")*(PptoSty[Project]=$B82)*(PptoSty[Vrs]=$D82)*(PptoSty[PiRow]=_xlfn.TEXTAFTER($H82,":"))*(PptoSty[PiColumn]=J$54),0)),SUM(IF((INDIRECT($B$3)=$B82)*(INDIRECT($C$3)=$D82)*((INDIRECT($E$3)="TOTS")+(INDIRECT($E$3)=$E82)),INDIRECT(J$3)))),_xlpm.y,SUM(_xlfn.CHOOSECOLS(_xlfn._xlws.FILTER(F_RT14[],(F_RT14[PrjId]=$B82)*(F_RT14[Vrs]=$D82)*(_xlfn.TEXTAFTER(F_RT14[ActGrp],":")=_xlfn.TEXTAFTER($H82,":")),"X"),MATCH("*"&amp;J$54,F_RT14[#Headers],0))),IF(AND(_xlpm.x=0,_xlpm.y&lt;&gt;0),-1,IF(AND(_xlpm.x&lt;&gt;0,_xlpm.y&lt;&gt;0),_xlpm.x,IF(AND(_xlpm.x-SUM(IF((INDIRECT($B$3)=$B82)*(INDIRECT($C$3)=$D82)*((INDIRECT($E$3)="TOTS")+(INDIRECT($E$3)=$E82)),INDIRECT(J$3)))&lt;&gt;0,_xlpm.y=0),-2,_xlpm.x)))),0))</f>
        <v>0</v>
      </c>
      <c r="K82" s="199" cm="1">
        <f t="array" aca="1" ref="K82" ca="1">IF(OR($B82="",$B82="X",$D82="",$D82="X",$E82="",$E82="X"),0,IFERROR(_xlfn.LET(_xlpm.x,SUM(SUM(_xlfn._xlws.FILTER(VALUE(PptoSty[Sign]&amp;1)*(1/PptoSty[Division]),(PptoSty[Division]&lt;&gt;0)*(PptoSty[Division]&lt;&gt;"")*(PptoSty[Division]&lt;&gt;"X")*(PptoSty[Project]=$B82)*(PptoSty[Vrs]=$D82)*(PptoSty[PiRow]=_xlfn.TEXTAFTER($H82,":"))*(PptoSty[PiColumn]=K$54),0)),SUM(IF((INDIRECT($B$3)=$B82)*(INDIRECT($C$3)=$D82)*((INDIRECT($E$3)="TOTS")+(INDIRECT($E$3)=$E82)),INDIRECT(K$3)))),_xlpm.y,SUM(_xlfn.CHOOSECOLS(_xlfn._xlws.FILTER(F_RT14[],(F_RT14[PrjId]=$B82)*(F_RT14[Vrs]=$D82)*(_xlfn.TEXTAFTER(F_RT14[ActGrp],":")=_xlfn.TEXTAFTER($H82,":")),"X"),MATCH("*"&amp;K$54,F_RT14[#Headers],0))),IF(AND(_xlpm.x=0,_xlpm.y&lt;&gt;0),-1,IF(AND(_xlpm.x&lt;&gt;0,_xlpm.y&lt;&gt;0),_xlpm.x,IF(AND(_xlpm.x-SUM(IF((INDIRECT($B$3)=$B82)*(INDIRECT($C$3)=$D82)*((INDIRECT($E$3)="TOTS")+(INDIRECT($E$3)=$E82)),INDIRECT(K$3)))&lt;&gt;0,_xlpm.y=0),-2,_xlpm.x)))),0))</f>
        <v>-1</v>
      </c>
      <c r="L82" s="199" cm="1">
        <f t="array" aca="1" ref="L82" ca="1">IF(OR($B82="",$B82="X",$D82="",$D82="X",$E82="",$E82="X"),0,IFERROR(_xlfn.LET(_xlpm.x,SUM(SUM(_xlfn._xlws.FILTER(VALUE(PptoSty[Sign]&amp;1)*(1/PptoSty[Division]),(PptoSty[Division]&lt;&gt;0)*(PptoSty[Division]&lt;&gt;"")*(PptoSty[Division]&lt;&gt;"X")*(PptoSty[Project]=$B82)*(PptoSty[Vrs]=$D82)*(PptoSty[PiRow]=_xlfn.TEXTAFTER($H82,":"))*(PptoSty[PiColumn]=L$54),0)),SUM(IF((INDIRECT($B$3)=$B82)*(INDIRECT($C$3)=$D82)*((INDIRECT($E$3)="TOTS")+(INDIRECT($E$3)=$E82)),INDIRECT(L$3)))),_xlpm.y,SUM(_xlfn.CHOOSECOLS(_xlfn._xlws.FILTER(F_RT14[],(F_RT14[PrjId]=$B82)*(F_RT14[Vrs]=$D82)*(_xlfn.TEXTAFTER(F_RT14[ActGrp],":")=_xlfn.TEXTAFTER($H82,":")),"X"),MATCH("*"&amp;L$54,F_RT14[#Headers],0))),IF(AND(_xlpm.x=0,_xlpm.y&lt;&gt;0),-1,IF(AND(_xlpm.x&lt;&gt;0,_xlpm.y&lt;&gt;0),_xlpm.x,IF(AND(_xlpm.x-SUM(IF((INDIRECT($B$3)=$B82)*(INDIRECT($C$3)=$D82)*((INDIRECT($E$3)="TOTS")+(INDIRECT($E$3)=$E82)),INDIRECT(L$3)))&lt;&gt;0,_xlpm.y=0),-2,_xlpm.x)))),0))</f>
        <v>0</v>
      </c>
      <c r="M82" s="199" cm="1">
        <f t="array" aca="1" ref="M82" ca="1">IF(OR($B82="",$B82="X",$D82="",$D82="X",$E82="",$E82="X"),0,IFERROR(_xlfn.LET(_xlpm.x,SUM(SUM(_xlfn._xlws.FILTER(VALUE(PptoSty[Sign]&amp;1)*(1/PptoSty[Division]),(PptoSty[Division]&lt;&gt;0)*(PptoSty[Division]&lt;&gt;"")*(PptoSty[Division]&lt;&gt;"X")*(PptoSty[Project]=$B82)*(PptoSty[Vrs]=$D82)*(PptoSty[PiRow]=_xlfn.TEXTAFTER($H82,":"))*(PptoSty[PiColumn]=M$54),0)),SUM(IF((INDIRECT($B$3)=$B82)*(INDIRECT($C$3)=$D82)*((INDIRECT($E$3)="TOTS")+(INDIRECT($E$3)=$E82)),INDIRECT(M$3)))),_xlpm.y,SUM(_xlfn.CHOOSECOLS(_xlfn._xlws.FILTER(F_RT14[],(F_RT14[PrjId]=$B82)*(F_RT14[Vrs]=$D82)*(_xlfn.TEXTAFTER(F_RT14[ActGrp],":")=_xlfn.TEXTAFTER($H82,":")),"X"),MATCH("*"&amp;M$54,F_RT14[#Headers],0))),IF(AND(_xlpm.x=0,_xlpm.y&lt;&gt;0),-1,IF(AND(_xlpm.x&lt;&gt;0,_xlpm.y&lt;&gt;0),_xlpm.x,IF(AND(_xlpm.x-SUM(IF((INDIRECT($B$3)=$B82)*(INDIRECT($C$3)=$D82)*((INDIRECT($E$3)="TOTS")+(INDIRECT($E$3)=$E82)),INDIRECT(M$3)))&lt;&gt;0,_xlpm.y=0),-2,_xlpm.x)))),0))</f>
        <v>0</v>
      </c>
      <c r="N82" s="199" cm="1">
        <f t="array" aca="1" ref="N82" ca="1">IF(OR($B82="",$B82="X",$D82="",$D82="X",$E82="",$E82="X"),0,IFERROR(_xlfn.LET(_xlpm.x,SUM(SUM(_xlfn._xlws.FILTER(VALUE(PptoSty[Sign]&amp;1)*(1/PptoSty[Division]),(PptoSty[Division]&lt;&gt;0)*(PptoSty[Division]&lt;&gt;"")*(PptoSty[Division]&lt;&gt;"X")*(PptoSty[Project]=$B82)*(PptoSty[Vrs]=$D82)*(PptoSty[PiRow]=_xlfn.TEXTAFTER($H82,":"))*(PptoSty[PiColumn]=N$54),0)),SUM(IF((INDIRECT($B$3)=$B82)*(INDIRECT($C$3)=$D82)*((INDIRECT($E$3)="TOTS")+(INDIRECT($E$3)=$E82)),INDIRECT(N$3)))),_xlpm.y,SUM(_xlfn.CHOOSECOLS(_xlfn._xlws.FILTER(F_RT14[],(F_RT14[PrjId]=$B82)*(F_RT14[Vrs]=$D82)*(_xlfn.TEXTAFTER(F_RT14[ActGrp],":")=_xlfn.TEXTAFTER($H82,":")),"X"),MATCH("*"&amp;N$54,F_RT14[#Headers],0))),IF(AND(_xlpm.x=0,_xlpm.y&lt;&gt;0),-1,IF(AND(_xlpm.x&lt;&gt;0,_xlpm.y&lt;&gt;0),_xlpm.x,IF(AND(_xlpm.x-SUM(IF((INDIRECT($B$3)=$B82)*(INDIRECT($C$3)=$D82)*((INDIRECT($E$3)="TOTS")+(INDIRECT($E$3)=$E82)),INDIRECT(N$3)))&lt;&gt;0,_xlpm.y=0),-2,_xlpm.x)))),0))</f>
        <v>-1</v>
      </c>
      <c r="O82" s="199" cm="1">
        <f t="array" aca="1" ref="O82" ca="1">IF(OR($B82="",$B82="X",$D82="",$D82="X",$E82="",$E82="X"),0,IFERROR(_xlfn.LET(_xlpm.x,SUM(SUM(_xlfn._xlws.FILTER(VALUE(PptoSty[Sign]&amp;1)*(1/PptoSty[Division]),(PptoSty[Division]&lt;&gt;0)*(PptoSty[Division]&lt;&gt;"")*(PptoSty[Division]&lt;&gt;"X")*(PptoSty[Project]=$B82)*(PptoSty[Vrs]=$D82)*(PptoSty[PiRow]=_xlfn.TEXTAFTER($H82,":"))*(PptoSty[PiColumn]=O$54),0)),SUM(IF((INDIRECT($B$3)=$B82)*(INDIRECT($C$3)=$D82)*((INDIRECT($E$3)="TOTS")+(INDIRECT($E$3)=$E82)),INDIRECT(O$3)))),_xlpm.y,SUM(_xlfn.CHOOSECOLS(_xlfn._xlws.FILTER(F_RT14[],(F_RT14[PrjId]=$B82)*(F_RT14[Vrs]=$D82)*(_xlfn.TEXTAFTER(F_RT14[ActGrp],":")=_xlfn.TEXTAFTER($H82,":")),"X"),MATCH("*"&amp;O$54,F_RT14[#Headers],0))),IF(AND(_xlpm.x=0,_xlpm.y&lt;&gt;0),-1,IF(AND(_xlpm.x&lt;&gt;0,_xlpm.y&lt;&gt;0),_xlpm.x,IF(AND(_xlpm.x-SUM(IF((INDIRECT($B$3)=$B82)*(INDIRECT($C$3)=$D82)*((INDIRECT($E$3)="TOTS")+(INDIRECT($E$3)=$E82)),INDIRECT(O$3)))&lt;&gt;0,_xlpm.y=0),-2,_xlpm.x)))),0))</f>
        <v>0</v>
      </c>
      <c r="P82" s="199" cm="1">
        <f t="array" aca="1" ref="P82" ca="1">IF(OR($B82="",$B82="X",$D82="",$D82="X",$E82="",$E82="X"),0,IFERROR(_xlfn.LET(_xlpm.x,SUM(SUM(_xlfn._xlws.FILTER(VALUE(PptoSty[Sign]&amp;1)*(1/PptoSty[Division]),(PptoSty[Division]&lt;&gt;0)*(PptoSty[Division]&lt;&gt;"")*(PptoSty[Division]&lt;&gt;"X")*(PptoSty[Project]=$B82)*(PptoSty[Vrs]=$D82)*(PptoSty[PiRow]=_xlfn.TEXTAFTER($H82,":"))*(PptoSty[PiColumn]=P$54),0)),SUM(IF((INDIRECT($B$3)=$B82)*(INDIRECT($C$3)=$D82)*((INDIRECT($E$3)="TOTS")+(INDIRECT($E$3)=$E82)),INDIRECT(P$3)))),_xlpm.y,SUM(_xlfn.CHOOSECOLS(_xlfn._xlws.FILTER(F_RT14[],(F_RT14[PrjId]=$B82)*(F_RT14[Vrs]=$D82)*(_xlfn.TEXTAFTER(F_RT14[ActGrp],":")=_xlfn.TEXTAFTER($H82,":")),"X"),MATCH("*"&amp;P$54,F_RT14[#Headers],0))),IF(AND(_xlpm.x=0,_xlpm.y&lt;&gt;0),-1,IF(AND(_xlpm.x&lt;&gt;0,_xlpm.y&lt;&gt;0),_xlpm.x,IF(AND(_xlpm.x-SUM(IF((INDIRECT($B$3)=$B82)*(INDIRECT($C$3)=$D82)*((INDIRECT($E$3)="TOTS")+(INDIRECT($E$3)=$E82)),INDIRECT(P$3)))&lt;&gt;0,_xlpm.y=0),-2,_xlpm.x)))),0))</f>
        <v>-1</v>
      </c>
      <c r="Q82" s="199" cm="1">
        <f t="array" aca="1" ref="Q82" ca="1">IF(OR($B82="",$B82="X",$D82="",$D82="X",$E82="",$E82="X"),0,IFERROR(_xlfn.LET(_xlpm.x,SUM(SUM(_xlfn._xlws.FILTER(VALUE(PptoSty[Sign]&amp;1)*(1/PptoSty[Division]),(PptoSty[Division]&lt;&gt;0)*(PptoSty[Division]&lt;&gt;"")*(PptoSty[Division]&lt;&gt;"X")*(PptoSty[Project]=$B82)*(PptoSty[Vrs]=$D82)*(PptoSty[PiRow]=_xlfn.TEXTAFTER($H82,":"))*(PptoSty[PiColumn]=Q$54),0)),SUM(IF((INDIRECT($B$3)=$B82)*(INDIRECT($C$3)=$D82)*((INDIRECT($E$3)="TOTS")+(INDIRECT($E$3)=$E82)),INDIRECT(Q$3)))),_xlpm.y,SUM(_xlfn.CHOOSECOLS(_xlfn._xlws.FILTER(F_RT14[],(F_RT14[PrjId]=$B82)*(F_RT14[Vrs]=$D82)*(_xlfn.TEXTAFTER(F_RT14[ActGrp],":")=_xlfn.TEXTAFTER($H82,":")),"X"),MATCH("*"&amp;Q$54,F_RT14[#Headers],0))),IF(AND(_xlpm.x=0,_xlpm.y&lt;&gt;0),-1,IF(AND(_xlpm.x&lt;&gt;0,_xlpm.y&lt;&gt;0),_xlpm.x,IF(AND(_xlpm.x-SUM(IF((INDIRECT($B$3)=$B82)*(INDIRECT($C$3)=$D82)*((INDIRECT($E$3)="TOTS")+(INDIRECT($E$3)=$E82)),INDIRECT(Q$3)))&lt;&gt;0,_xlpm.y=0),-2,_xlpm.x)))),0))</f>
        <v>-1</v>
      </c>
      <c r="R82" s="199" cm="1">
        <f t="array" aca="1" ref="R82" ca="1">IF(OR($B82="",$B82="X",$D82="",$D82="X",$E82="",$E82="X"),0,IFERROR(_xlfn.LET(_xlpm.x,SUM(SUM(_xlfn._xlws.FILTER(VALUE(PptoSty[Sign]&amp;1)*(1/PptoSty[Division]),(PptoSty[Division]&lt;&gt;0)*(PptoSty[Division]&lt;&gt;"")*(PptoSty[Division]&lt;&gt;"X")*(PptoSty[Project]=$B82)*(PptoSty[Vrs]=$D82)*(PptoSty[PiRow]=_xlfn.TEXTAFTER($H82,":"))*(PptoSty[PiColumn]=R$54),0)),SUM(IF((INDIRECT($B$3)=$B82)*(INDIRECT($C$3)=$D82)*((INDIRECT($E$3)="TOTS")+(INDIRECT($E$3)=$E82)),INDIRECT(R$3)))),_xlpm.y,SUM(_xlfn.CHOOSECOLS(_xlfn._xlws.FILTER(F_RT14[],(F_RT14[PrjId]=$B82)*(F_RT14[Vrs]=$D82)*(_xlfn.TEXTAFTER(F_RT14[ActGrp],":")=_xlfn.TEXTAFTER($H82,":")),"X"),MATCH("*"&amp;R$54,F_RT14[#Headers],0))),IF(AND(_xlpm.x=0,_xlpm.y&lt;&gt;0),-1,IF(AND(_xlpm.x&lt;&gt;0,_xlpm.y&lt;&gt;0),_xlpm.x,IF(AND(_xlpm.x-SUM(IF((INDIRECT($B$3)=$B82)*(INDIRECT($C$3)=$D82)*((INDIRECT($E$3)="TOTS")+(INDIRECT($E$3)=$E82)),INDIRECT(R$3)))&lt;&gt;0,_xlpm.y=0),-2,_xlpm.x)))),0))</f>
        <v>-1</v>
      </c>
      <c r="S82" s="199" cm="1">
        <f t="array" aca="1" ref="S82" ca="1">IF(OR($B82="",$B82="X",$D82="",$D82="X",$E82="",$E82="X"),0,IFERROR(_xlfn.LET(_xlpm.x,SUM(SUM(_xlfn._xlws.FILTER(VALUE(PptoSty[Sign]&amp;1)*(1/PptoSty[Division]),(PptoSty[Division]&lt;&gt;0)*(PptoSty[Division]&lt;&gt;"")*(PptoSty[Division]&lt;&gt;"X")*(PptoSty[Project]=$B82)*(PptoSty[Vrs]=$D82)*(PptoSty[PiRow]=_xlfn.TEXTAFTER($H82,":"))*(PptoSty[PiColumn]=S$54),0)),SUM(IF((INDIRECT($B$3)=$B82)*(INDIRECT($C$3)=$D82)*((INDIRECT($E$3)="TOTS")+(INDIRECT($E$3)=$E82)),INDIRECT(S$3)))),_xlpm.y,SUM(_xlfn.CHOOSECOLS(_xlfn._xlws.FILTER(F_RT14[],(F_RT14[PrjId]=$B82)*(F_RT14[Vrs]=$D82)*(_xlfn.TEXTAFTER(F_RT14[ActGrp],":")=_xlfn.TEXTAFTER($H82,":")),"X"),MATCH("*"&amp;S$54,F_RT14[#Headers],0))),IF(AND(_xlpm.x=0,_xlpm.y&lt;&gt;0),-1,IF(AND(_xlpm.x&lt;&gt;0,_xlpm.y&lt;&gt;0),_xlpm.x,IF(AND(_xlpm.x-SUM(IF((INDIRECT($B$3)=$B82)*(INDIRECT($C$3)=$D82)*((INDIRECT($E$3)="TOTS")+(INDIRECT($E$3)=$E82)),INDIRECT(S$3)))&lt;&gt;0,_xlpm.y=0),-2,_xlpm.x)))),0))</f>
        <v>-1</v>
      </c>
      <c r="T82" s="199" cm="1">
        <f t="array" aca="1" ref="T82" ca="1">IF(OR($B82="",$B82="X",$D82="",$D82="X",$E82="",$E82="X"),0,IFERROR(_xlfn.LET(_xlpm.x,SUM(SUM(_xlfn._xlws.FILTER(VALUE(PptoSty[Sign]&amp;1)*(1/PptoSty[Division]),(PptoSty[Division]&lt;&gt;0)*(PptoSty[Division]&lt;&gt;"")*(PptoSty[Division]&lt;&gt;"X")*(PptoSty[Project]=$B82)*(PptoSty[Vrs]=$D82)*(PptoSty[PiRow]=_xlfn.TEXTAFTER($H82,":"))*(PptoSty[PiColumn]=T$54),0)),SUM(IF((INDIRECT($B$3)=$B82)*(INDIRECT($C$3)=$D82)*((INDIRECT($E$3)="TOTS")+(INDIRECT($E$3)=$E82)),INDIRECT(T$3)))),_xlpm.y,SUM(_xlfn.CHOOSECOLS(_xlfn._xlws.FILTER(F_RT14[],(F_RT14[PrjId]=$B82)*(F_RT14[Vrs]=$D82)*(_xlfn.TEXTAFTER(F_RT14[ActGrp],":")=_xlfn.TEXTAFTER($H82,":")),"X"),MATCH("*"&amp;T$54,F_RT14[#Headers],0))),IF(AND(_xlpm.x=0,_xlpm.y&lt;&gt;0),-1,IF(AND(_xlpm.x&lt;&gt;0,_xlpm.y&lt;&gt;0),_xlpm.x,IF(AND(_xlpm.x-SUM(IF((INDIRECT($B$3)=$B82)*(INDIRECT($C$3)=$D82)*((INDIRECT($E$3)="TOTS")+(INDIRECT($E$3)=$E82)),INDIRECT(T$3)))&lt;&gt;0,_xlpm.y=0),-2,_xlpm.x)))),0))</f>
        <v>-1</v>
      </c>
      <c r="U82" s="199" cm="1">
        <f t="array" aca="1" ref="U82" ca="1">IF(OR($B82="",$B82="X",$D82="",$D82="X",$E82="",$E82="X"),0,IFERROR(_xlfn.LET(_xlpm.x,SUM(SUM(_xlfn._xlws.FILTER(VALUE(PptoSty[Sign]&amp;1)*(1/PptoSty[Division]),(PptoSty[Division]&lt;&gt;0)*(PptoSty[Division]&lt;&gt;"")*(PptoSty[Division]&lt;&gt;"X")*(PptoSty[Project]=$B82)*(PptoSty[Vrs]=$D82)*(PptoSty[PiRow]=_xlfn.TEXTAFTER($H82,":"))*(PptoSty[PiColumn]=U$54),0)),SUM(IF((INDIRECT($B$3)=$B82)*(INDIRECT($C$3)=$D82)*((INDIRECT($E$3)="TOTS")+(INDIRECT($E$3)=$E82)),INDIRECT(U$3)))),_xlpm.y,SUM(_xlfn.CHOOSECOLS(_xlfn._xlws.FILTER(F_RT14[],(F_RT14[PrjId]=$B82)*(F_RT14[Vrs]=$D82)*(_xlfn.TEXTAFTER(F_RT14[ActGrp],":")=_xlfn.TEXTAFTER($H82,":")),"X"),MATCH("*"&amp;U$54,F_RT14[#Headers],0))),IF(AND(_xlpm.x=0,_xlpm.y&lt;&gt;0),-1,IF(AND(_xlpm.x&lt;&gt;0,_xlpm.y&lt;&gt;0),_xlpm.x,IF(AND(_xlpm.x-SUM(IF((INDIRECT($B$3)=$B82)*(INDIRECT($C$3)=$D82)*((INDIRECT($E$3)="TOTS")+(INDIRECT($E$3)=$E82)),INDIRECT(U$3)))&lt;&gt;0,_xlpm.y=0),-2,_xlpm.x)))),0))</f>
        <v>0</v>
      </c>
      <c r="V82" s="199" cm="1">
        <f t="array" aca="1" ref="V82" ca="1">IF(OR($B82="",$B82="X",$D82="",$D82="X",$E82="",$E82="X"),0,IFERROR(_xlfn.LET(_xlpm.x,SUM(SUM(_xlfn._xlws.FILTER(VALUE(PptoSty[Sign]&amp;1)*(1/PptoSty[Division]),(PptoSty[Division]&lt;&gt;0)*(PptoSty[Division]&lt;&gt;"")*(PptoSty[Division]&lt;&gt;"X")*(PptoSty[Project]=$B82)*(PptoSty[Vrs]=$D82)*(PptoSty[PiRow]=_xlfn.TEXTAFTER($H82,":"))*(PptoSty[PiColumn]=V$54),0)),SUM(IF((INDIRECT($B$3)=$B82)*(INDIRECT($C$3)=$D82)*((INDIRECT($E$3)="TOTS")+(INDIRECT($E$3)=$E82)),INDIRECT(V$3)))),_xlpm.y,SUM(_xlfn.CHOOSECOLS(_xlfn._xlws.FILTER(F_RT14[],(F_RT14[PrjId]=$B82)*(F_RT14[Vrs]=$D82)*(_xlfn.TEXTAFTER(F_RT14[ActGrp],":")=_xlfn.TEXTAFTER($H82,":")),"X"),MATCH("*"&amp;V$54,F_RT14[#Headers],0))),IF(AND(_xlpm.x=0,_xlpm.y&lt;&gt;0),-1,IF(AND(_xlpm.x&lt;&gt;0,_xlpm.y&lt;&gt;0),_xlpm.x,IF(AND(_xlpm.x-SUM(IF((INDIRECT($B$3)=$B82)*(INDIRECT($C$3)=$D82)*((INDIRECT($E$3)="TOTS")+(INDIRECT($E$3)=$E82)),INDIRECT(V$3)))&lt;&gt;0,_xlpm.y=0),-2,_xlpm.x)))),0))</f>
        <v>-1</v>
      </c>
      <c r="W82" s="199" cm="1">
        <f t="array" aca="1" ref="W82" ca="1">IF(OR($B82="",$B82="X",$D82="",$D82="X",$E82="",$E82="X"),0,IFERROR(_xlfn.LET(_xlpm.x,SUM(SUM(_xlfn._xlws.FILTER(VALUE(PptoSty[Sign]&amp;1)*(1/PptoSty[Division]),(PptoSty[Division]&lt;&gt;0)*(PptoSty[Division]&lt;&gt;"")*(PptoSty[Division]&lt;&gt;"X")*(PptoSty[Project]=$B82)*(PptoSty[Vrs]=$D82)*(PptoSty[PiRow]=_xlfn.TEXTAFTER($H82,":"))*(PptoSty[PiColumn]=W$54),0)),SUM(IF((INDIRECT($B$3)=$B82)*(INDIRECT($C$3)=$D82)*((INDIRECT($E$3)="TOTS")+(INDIRECT($E$3)=$E82)),INDIRECT(W$3)))),_xlpm.y,SUM(_xlfn.CHOOSECOLS(_xlfn._xlws.FILTER(F_RT14[],(F_RT14[PrjId]=$B82)*(F_RT14[Vrs]=$D82)*(_xlfn.TEXTAFTER(F_RT14[ActGrp],":")=_xlfn.TEXTAFTER($H82,":")),"X"),MATCH("*"&amp;W$54,F_RT14[#Headers],0))),IF(AND(_xlpm.x=0,_xlpm.y&lt;&gt;0),-1,IF(AND(_xlpm.x&lt;&gt;0,_xlpm.y&lt;&gt;0),_xlpm.x,IF(AND(_xlpm.x-SUM(IF((INDIRECT($B$3)=$B82)*(INDIRECT($C$3)=$D82)*((INDIRECT($E$3)="TOTS")+(INDIRECT($E$3)=$E82)),INDIRECT(W$3)))&lt;&gt;0,_xlpm.y=0),-2,_xlpm.x)))),0))</f>
        <v>-1</v>
      </c>
      <c r="X82" s="199" cm="1">
        <f t="array" aca="1" ref="X82" ca="1">IF(OR($B82="",$B82="X",$D82="",$D82="X",$E82="",$E82="X"),0,IFERROR(_xlfn.LET(_xlpm.x,SUM(SUM(_xlfn._xlws.FILTER(VALUE(PptoSty[Sign]&amp;1)*(1/PptoSty[Division]),(PptoSty[Division]&lt;&gt;0)*(PptoSty[Division]&lt;&gt;"")*(PptoSty[Division]&lt;&gt;"X")*(PptoSty[Project]=$B82)*(PptoSty[Vrs]=$D82)*(PptoSty[PiRow]=_xlfn.TEXTAFTER($H82,":"))*(PptoSty[PiColumn]=X$54),0)),SUM(IF((INDIRECT($B$3)=$B82)*(INDIRECT($C$3)=$D82)*((INDIRECT($E$3)="TOTS")+(INDIRECT($E$3)=$E82)),INDIRECT(X$3)))),_xlpm.y,SUM(_xlfn.CHOOSECOLS(_xlfn._xlws.FILTER(F_RT14[],(F_RT14[PrjId]=$B82)*(F_RT14[Vrs]=$D82)*(_xlfn.TEXTAFTER(F_RT14[ActGrp],":")=_xlfn.TEXTAFTER($H82,":")),"X"),MATCH("*"&amp;X$54,F_RT14[#Headers],0))),IF(AND(_xlpm.x=0,_xlpm.y&lt;&gt;0),-1,IF(AND(_xlpm.x&lt;&gt;0,_xlpm.y&lt;&gt;0),_xlpm.x,IF(AND(_xlpm.x-SUM(IF((INDIRECT($B$3)=$B82)*(INDIRECT($C$3)=$D82)*((INDIRECT($E$3)="TOTS")+(INDIRECT($E$3)=$E82)),INDIRECT(X$3)))&lt;&gt;0,_xlpm.y=0),-2,_xlpm.x)))),0))</f>
        <v>-1</v>
      </c>
      <c r="Y82" s="199" cm="1">
        <f t="array" aca="1" ref="Y82" ca="1">IF(OR($B82="",$B82="X",$D82="",$D82="X",$E82="",$E82="X"),0,IFERROR(_xlfn.LET(_xlpm.x,SUM(SUM(_xlfn._xlws.FILTER(VALUE(PptoSty[Sign]&amp;1)*(1/PptoSty[Division]),(PptoSty[Division]&lt;&gt;0)*(PptoSty[Division]&lt;&gt;"")*(PptoSty[Division]&lt;&gt;"X")*(PptoSty[Project]=$B82)*(PptoSty[Vrs]=$D82)*(PptoSty[PiRow]=_xlfn.TEXTAFTER($H82,":"))*(PptoSty[PiColumn]=Y$54),0)),SUM(IF((INDIRECT($B$3)=$B82)*(INDIRECT($C$3)=$D82)*((INDIRECT($E$3)="TOTS")+(INDIRECT($E$3)=$E82)),INDIRECT(Y$3)))),_xlpm.y,SUM(_xlfn.CHOOSECOLS(_xlfn._xlws.FILTER(F_RT14[],(F_RT14[PrjId]=$B82)*(F_RT14[Vrs]=$D82)*(_xlfn.TEXTAFTER(F_RT14[ActGrp],":")=_xlfn.TEXTAFTER($H82,":")),"X"),MATCH("*"&amp;Y$54,F_RT14[#Headers],0))),IF(AND(_xlpm.x=0,_xlpm.y&lt;&gt;0),-1,IF(AND(_xlpm.x&lt;&gt;0,_xlpm.y&lt;&gt;0),_xlpm.x,IF(AND(_xlpm.x-SUM(IF((INDIRECT($B$3)=$B82)*(INDIRECT($C$3)=$D82)*((INDIRECT($E$3)="TOTS")+(INDIRECT($E$3)=$E82)),INDIRECT(Y$3)))&lt;&gt;0,_xlpm.y=0),-2,_xlpm.x)))),0))</f>
        <v>0</v>
      </c>
      <c r="Z82" s="198" t="str">
        <f t="shared" ca="1" si="2"/>
        <v>Fback!B82:Y82</v>
      </c>
    </row>
    <row r="83" spans="2:26" ht="21" customHeight="1" outlineLevel="1">
      <c r="B83" s="128" t="str">
        <v>31200</v>
      </c>
      <c r="C83" s="128" t="str">
        <v>Sp</v>
      </c>
      <c r="D83" s="128">
        <v>15</v>
      </c>
      <c r="E83" s="128" t="str">
        <v>TOOL</v>
      </c>
      <c r="F83" s="139" t="str">
        <v>SERRA</v>
      </c>
      <c r="G83" s="139" t="str">
        <v>CurPpto</v>
      </c>
      <c r="H83" s="139" t="str">
        <v>P001:OP-230.1 MIG WELD (GEO)</v>
      </c>
      <c r="I83" s="199" cm="1">
        <f t="array" aca="1" ref="I83" ca="1">IF(OR($B83="",$B83="X",$D83="",$D83="X",$E83="",$E83="X"),0,IFERROR(_xlfn.LET(_xlpm.x,SUM(SUM(_xlfn._xlws.FILTER(VALUE(PptoSty[Sign]&amp;1)*(1/PptoSty[Division]),(PptoSty[Division]&lt;&gt;0)*(PptoSty[Division]&lt;&gt;"")*(PptoSty[Division]&lt;&gt;"X")*(PptoSty[Project]=$B83)*(PptoSty[Vrs]=$D83)*(PptoSty[PiRow]=_xlfn.TEXTAFTER($H83,":"))*(PptoSty[PiColumn]=I$54),0)),SUM(IF((INDIRECT($B$3)=$B83)*(INDIRECT($C$3)=$D83)*((INDIRECT($E$3)="TOTS")+(INDIRECT($E$3)=$E83)),INDIRECT(I$3)))),_xlpm.y,SUM(_xlfn.CHOOSECOLS(_xlfn._xlws.FILTER(F_RT14[],(F_RT14[PrjId]=$B83)*(F_RT14[Vrs]=$D83)*(_xlfn.TEXTAFTER(F_RT14[ActGrp],":")=_xlfn.TEXTAFTER($H83,":")),"X"),MATCH("*"&amp;I$54,F_RT14[#Headers],0))),IF(AND(_xlpm.x=0,_xlpm.y&lt;&gt;0),-1,IF(AND(_xlpm.x&lt;&gt;0,_xlpm.y&lt;&gt;0),_xlpm.x,IF(AND(_xlpm.x-SUM(IF((INDIRECT($B$3)=$B83)*(INDIRECT($C$3)=$D83)*((INDIRECT($E$3)="TOTS")+(INDIRECT($E$3)=$E83)),INDIRECT(I$3)))&lt;&gt;0,_xlpm.y=0),-2,_xlpm.x)))),0))</f>
        <v>0</v>
      </c>
      <c r="J83" s="199" cm="1">
        <f t="array" aca="1" ref="J83" ca="1">IF(OR($B83="",$B83="X",$D83="",$D83="X",$E83="",$E83="X"),0,IFERROR(_xlfn.LET(_xlpm.x,SUM(SUM(_xlfn._xlws.FILTER(VALUE(PptoSty[Sign]&amp;1)*(1/PptoSty[Division]),(PptoSty[Division]&lt;&gt;0)*(PptoSty[Division]&lt;&gt;"")*(PptoSty[Division]&lt;&gt;"X")*(PptoSty[Project]=$B83)*(PptoSty[Vrs]=$D83)*(PptoSty[PiRow]=_xlfn.TEXTAFTER($H83,":"))*(PptoSty[PiColumn]=J$54),0)),SUM(IF((INDIRECT($B$3)=$B83)*(INDIRECT($C$3)=$D83)*((INDIRECT($E$3)="TOTS")+(INDIRECT($E$3)=$E83)),INDIRECT(J$3)))),_xlpm.y,SUM(_xlfn.CHOOSECOLS(_xlfn._xlws.FILTER(F_RT14[],(F_RT14[PrjId]=$B83)*(F_RT14[Vrs]=$D83)*(_xlfn.TEXTAFTER(F_RT14[ActGrp],":")=_xlfn.TEXTAFTER($H83,":")),"X"),MATCH("*"&amp;J$54,F_RT14[#Headers],0))),IF(AND(_xlpm.x=0,_xlpm.y&lt;&gt;0),-1,IF(AND(_xlpm.x&lt;&gt;0,_xlpm.y&lt;&gt;0),_xlpm.x,IF(AND(_xlpm.x-SUM(IF((INDIRECT($B$3)=$B83)*(INDIRECT($C$3)=$D83)*((INDIRECT($E$3)="TOTS")+(INDIRECT($E$3)=$E83)),INDIRECT(J$3)))&lt;&gt;0,_xlpm.y=0),-2,_xlpm.x)))),0))</f>
        <v>0</v>
      </c>
      <c r="K83" s="199" cm="1">
        <f t="array" aca="1" ref="K83" ca="1">IF(OR($B83="",$B83="X",$D83="",$D83="X",$E83="",$E83="X"),0,IFERROR(_xlfn.LET(_xlpm.x,SUM(SUM(_xlfn._xlws.FILTER(VALUE(PptoSty[Sign]&amp;1)*(1/PptoSty[Division]),(PptoSty[Division]&lt;&gt;0)*(PptoSty[Division]&lt;&gt;"")*(PptoSty[Division]&lt;&gt;"X")*(PptoSty[Project]=$B83)*(PptoSty[Vrs]=$D83)*(PptoSty[PiRow]=_xlfn.TEXTAFTER($H83,":"))*(PptoSty[PiColumn]=K$54),0)),SUM(IF((INDIRECT($B$3)=$B83)*(INDIRECT($C$3)=$D83)*((INDIRECT($E$3)="TOTS")+(INDIRECT($E$3)=$E83)),INDIRECT(K$3)))),_xlpm.y,SUM(_xlfn.CHOOSECOLS(_xlfn._xlws.FILTER(F_RT14[],(F_RT14[PrjId]=$B83)*(F_RT14[Vrs]=$D83)*(_xlfn.TEXTAFTER(F_RT14[ActGrp],":")=_xlfn.TEXTAFTER($H83,":")),"X"),MATCH("*"&amp;K$54,F_RT14[#Headers],0))),IF(AND(_xlpm.x=0,_xlpm.y&lt;&gt;0),-1,IF(AND(_xlpm.x&lt;&gt;0,_xlpm.y&lt;&gt;0),_xlpm.x,IF(AND(_xlpm.x-SUM(IF((INDIRECT($B$3)=$B83)*(INDIRECT($C$3)=$D83)*((INDIRECT($E$3)="TOTS")+(INDIRECT($E$3)=$E83)),INDIRECT(K$3)))&lt;&gt;0,_xlpm.y=0),-2,_xlpm.x)))),0))</f>
        <v>-1</v>
      </c>
      <c r="L83" s="199" cm="1">
        <f t="array" aca="1" ref="L83" ca="1">IF(OR($B83="",$B83="X",$D83="",$D83="X",$E83="",$E83="X"),0,IFERROR(_xlfn.LET(_xlpm.x,SUM(SUM(_xlfn._xlws.FILTER(VALUE(PptoSty[Sign]&amp;1)*(1/PptoSty[Division]),(PptoSty[Division]&lt;&gt;0)*(PptoSty[Division]&lt;&gt;"")*(PptoSty[Division]&lt;&gt;"X")*(PptoSty[Project]=$B83)*(PptoSty[Vrs]=$D83)*(PptoSty[PiRow]=_xlfn.TEXTAFTER($H83,":"))*(PptoSty[PiColumn]=L$54),0)),SUM(IF((INDIRECT($B$3)=$B83)*(INDIRECT($C$3)=$D83)*((INDIRECT($E$3)="TOTS")+(INDIRECT($E$3)=$E83)),INDIRECT(L$3)))),_xlpm.y,SUM(_xlfn.CHOOSECOLS(_xlfn._xlws.FILTER(F_RT14[],(F_RT14[PrjId]=$B83)*(F_RT14[Vrs]=$D83)*(_xlfn.TEXTAFTER(F_RT14[ActGrp],":")=_xlfn.TEXTAFTER($H83,":")),"X"),MATCH("*"&amp;L$54,F_RT14[#Headers],0))),IF(AND(_xlpm.x=0,_xlpm.y&lt;&gt;0),-1,IF(AND(_xlpm.x&lt;&gt;0,_xlpm.y&lt;&gt;0),_xlpm.x,IF(AND(_xlpm.x-SUM(IF((INDIRECT($B$3)=$B83)*(INDIRECT($C$3)=$D83)*((INDIRECT($E$3)="TOTS")+(INDIRECT($E$3)=$E83)),INDIRECT(L$3)))&lt;&gt;0,_xlpm.y=0),-2,_xlpm.x)))),0))</f>
        <v>0</v>
      </c>
      <c r="M83" s="199" cm="1">
        <f t="array" aca="1" ref="M83" ca="1">IF(OR($B83="",$B83="X",$D83="",$D83="X",$E83="",$E83="X"),0,IFERROR(_xlfn.LET(_xlpm.x,SUM(SUM(_xlfn._xlws.FILTER(VALUE(PptoSty[Sign]&amp;1)*(1/PptoSty[Division]),(PptoSty[Division]&lt;&gt;0)*(PptoSty[Division]&lt;&gt;"")*(PptoSty[Division]&lt;&gt;"X")*(PptoSty[Project]=$B83)*(PptoSty[Vrs]=$D83)*(PptoSty[PiRow]=_xlfn.TEXTAFTER($H83,":"))*(PptoSty[PiColumn]=M$54),0)),SUM(IF((INDIRECT($B$3)=$B83)*(INDIRECT($C$3)=$D83)*((INDIRECT($E$3)="TOTS")+(INDIRECT($E$3)=$E83)),INDIRECT(M$3)))),_xlpm.y,SUM(_xlfn.CHOOSECOLS(_xlfn._xlws.FILTER(F_RT14[],(F_RT14[PrjId]=$B83)*(F_RT14[Vrs]=$D83)*(_xlfn.TEXTAFTER(F_RT14[ActGrp],":")=_xlfn.TEXTAFTER($H83,":")),"X"),MATCH("*"&amp;M$54,F_RT14[#Headers],0))),IF(AND(_xlpm.x=0,_xlpm.y&lt;&gt;0),-1,IF(AND(_xlpm.x&lt;&gt;0,_xlpm.y&lt;&gt;0),_xlpm.x,IF(AND(_xlpm.x-SUM(IF((INDIRECT($B$3)=$B83)*(INDIRECT($C$3)=$D83)*((INDIRECT($E$3)="TOTS")+(INDIRECT($E$3)=$E83)),INDIRECT(M$3)))&lt;&gt;0,_xlpm.y=0),-2,_xlpm.x)))),0))</f>
        <v>0</v>
      </c>
      <c r="N83" s="199" cm="1">
        <f t="array" aca="1" ref="N83" ca="1">IF(OR($B83="",$B83="X",$D83="",$D83="X",$E83="",$E83="X"),0,IFERROR(_xlfn.LET(_xlpm.x,SUM(SUM(_xlfn._xlws.FILTER(VALUE(PptoSty[Sign]&amp;1)*(1/PptoSty[Division]),(PptoSty[Division]&lt;&gt;0)*(PptoSty[Division]&lt;&gt;"")*(PptoSty[Division]&lt;&gt;"X")*(PptoSty[Project]=$B83)*(PptoSty[Vrs]=$D83)*(PptoSty[PiRow]=_xlfn.TEXTAFTER($H83,":"))*(PptoSty[PiColumn]=N$54),0)),SUM(IF((INDIRECT($B$3)=$B83)*(INDIRECT($C$3)=$D83)*((INDIRECT($E$3)="TOTS")+(INDIRECT($E$3)=$E83)),INDIRECT(N$3)))),_xlpm.y,SUM(_xlfn.CHOOSECOLS(_xlfn._xlws.FILTER(F_RT14[],(F_RT14[PrjId]=$B83)*(F_RT14[Vrs]=$D83)*(_xlfn.TEXTAFTER(F_RT14[ActGrp],":")=_xlfn.TEXTAFTER($H83,":")),"X"),MATCH("*"&amp;N$54,F_RT14[#Headers],0))),IF(AND(_xlpm.x=0,_xlpm.y&lt;&gt;0),-1,IF(AND(_xlpm.x&lt;&gt;0,_xlpm.y&lt;&gt;0),_xlpm.x,IF(AND(_xlpm.x-SUM(IF((INDIRECT($B$3)=$B83)*(INDIRECT($C$3)=$D83)*((INDIRECT($E$3)="TOTS")+(INDIRECT($E$3)=$E83)),INDIRECT(N$3)))&lt;&gt;0,_xlpm.y=0),-2,_xlpm.x)))),0))</f>
        <v>-1</v>
      </c>
      <c r="O83" s="199" cm="1">
        <f t="array" aca="1" ref="O83" ca="1">IF(OR($B83="",$B83="X",$D83="",$D83="X",$E83="",$E83="X"),0,IFERROR(_xlfn.LET(_xlpm.x,SUM(SUM(_xlfn._xlws.FILTER(VALUE(PptoSty[Sign]&amp;1)*(1/PptoSty[Division]),(PptoSty[Division]&lt;&gt;0)*(PptoSty[Division]&lt;&gt;"")*(PptoSty[Division]&lt;&gt;"X")*(PptoSty[Project]=$B83)*(PptoSty[Vrs]=$D83)*(PptoSty[PiRow]=_xlfn.TEXTAFTER($H83,":"))*(PptoSty[PiColumn]=O$54),0)),SUM(IF((INDIRECT($B$3)=$B83)*(INDIRECT($C$3)=$D83)*((INDIRECT($E$3)="TOTS")+(INDIRECT($E$3)=$E83)),INDIRECT(O$3)))),_xlpm.y,SUM(_xlfn.CHOOSECOLS(_xlfn._xlws.FILTER(F_RT14[],(F_RT14[PrjId]=$B83)*(F_RT14[Vrs]=$D83)*(_xlfn.TEXTAFTER(F_RT14[ActGrp],":")=_xlfn.TEXTAFTER($H83,":")),"X"),MATCH("*"&amp;O$54,F_RT14[#Headers],0))),IF(AND(_xlpm.x=0,_xlpm.y&lt;&gt;0),-1,IF(AND(_xlpm.x&lt;&gt;0,_xlpm.y&lt;&gt;0),_xlpm.x,IF(AND(_xlpm.x-SUM(IF((INDIRECT($B$3)=$B83)*(INDIRECT($C$3)=$D83)*((INDIRECT($E$3)="TOTS")+(INDIRECT($E$3)=$E83)),INDIRECT(O$3)))&lt;&gt;0,_xlpm.y=0),-2,_xlpm.x)))),0))</f>
        <v>0</v>
      </c>
      <c r="P83" s="199" cm="1">
        <f t="array" aca="1" ref="P83" ca="1">IF(OR($B83="",$B83="X",$D83="",$D83="X",$E83="",$E83="X"),0,IFERROR(_xlfn.LET(_xlpm.x,SUM(SUM(_xlfn._xlws.FILTER(VALUE(PptoSty[Sign]&amp;1)*(1/PptoSty[Division]),(PptoSty[Division]&lt;&gt;0)*(PptoSty[Division]&lt;&gt;"")*(PptoSty[Division]&lt;&gt;"X")*(PptoSty[Project]=$B83)*(PptoSty[Vrs]=$D83)*(PptoSty[PiRow]=_xlfn.TEXTAFTER($H83,":"))*(PptoSty[PiColumn]=P$54),0)),SUM(IF((INDIRECT($B$3)=$B83)*(INDIRECT($C$3)=$D83)*((INDIRECT($E$3)="TOTS")+(INDIRECT($E$3)=$E83)),INDIRECT(P$3)))),_xlpm.y,SUM(_xlfn.CHOOSECOLS(_xlfn._xlws.FILTER(F_RT14[],(F_RT14[PrjId]=$B83)*(F_RT14[Vrs]=$D83)*(_xlfn.TEXTAFTER(F_RT14[ActGrp],":")=_xlfn.TEXTAFTER($H83,":")),"X"),MATCH("*"&amp;P$54,F_RT14[#Headers],0))),IF(AND(_xlpm.x=0,_xlpm.y&lt;&gt;0),-1,IF(AND(_xlpm.x&lt;&gt;0,_xlpm.y&lt;&gt;0),_xlpm.x,IF(AND(_xlpm.x-SUM(IF((INDIRECT($B$3)=$B83)*(INDIRECT($C$3)=$D83)*((INDIRECT($E$3)="TOTS")+(INDIRECT($E$3)=$E83)),INDIRECT(P$3)))&lt;&gt;0,_xlpm.y=0),-2,_xlpm.x)))),0))</f>
        <v>-1</v>
      </c>
      <c r="Q83" s="199" cm="1">
        <f t="array" aca="1" ref="Q83" ca="1">IF(OR($B83="",$B83="X",$D83="",$D83="X",$E83="",$E83="X"),0,IFERROR(_xlfn.LET(_xlpm.x,SUM(SUM(_xlfn._xlws.FILTER(VALUE(PptoSty[Sign]&amp;1)*(1/PptoSty[Division]),(PptoSty[Division]&lt;&gt;0)*(PptoSty[Division]&lt;&gt;"")*(PptoSty[Division]&lt;&gt;"X")*(PptoSty[Project]=$B83)*(PptoSty[Vrs]=$D83)*(PptoSty[PiRow]=_xlfn.TEXTAFTER($H83,":"))*(PptoSty[PiColumn]=Q$54),0)),SUM(IF((INDIRECT($B$3)=$B83)*(INDIRECT($C$3)=$D83)*((INDIRECT($E$3)="TOTS")+(INDIRECT($E$3)=$E83)),INDIRECT(Q$3)))),_xlpm.y,SUM(_xlfn.CHOOSECOLS(_xlfn._xlws.FILTER(F_RT14[],(F_RT14[PrjId]=$B83)*(F_RT14[Vrs]=$D83)*(_xlfn.TEXTAFTER(F_RT14[ActGrp],":")=_xlfn.TEXTAFTER($H83,":")),"X"),MATCH("*"&amp;Q$54,F_RT14[#Headers],0))),IF(AND(_xlpm.x=0,_xlpm.y&lt;&gt;0),-1,IF(AND(_xlpm.x&lt;&gt;0,_xlpm.y&lt;&gt;0),_xlpm.x,IF(AND(_xlpm.x-SUM(IF((INDIRECT($B$3)=$B83)*(INDIRECT($C$3)=$D83)*((INDIRECT($E$3)="TOTS")+(INDIRECT($E$3)=$E83)),INDIRECT(Q$3)))&lt;&gt;0,_xlpm.y=0),-2,_xlpm.x)))),0))</f>
        <v>-1</v>
      </c>
      <c r="R83" s="199" cm="1">
        <f t="array" aca="1" ref="R83" ca="1">IF(OR($B83="",$B83="X",$D83="",$D83="X",$E83="",$E83="X"),0,IFERROR(_xlfn.LET(_xlpm.x,SUM(SUM(_xlfn._xlws.FILTER(VALUE(PptoSty[Sign]&amp;1)*(1/PptoSty[Division]),(PptoSty[Division]&lt;&gt;0)*(PptoSty[Division]&lt;&gt;"")*(PptoSty[Division]&lt;&gt;"X")*(PptoSty[Project]=$B83)*(PptoSty[Vrs]=$D83)*(PptoSty[PiRow]=_xlfn.TEXTAFTER($H83,":"))*(PptoSty[PiColumn]=R$54),0)),SUM(IF((INDIRECT($B$3)=$B83)*(INDIRECT($C$3)=$D83)*((INDIRECT($E$3)="TOTS")+(INDIRECT($E$3)=$E83)),INDIRECT(R$3)))),_xlpm.y,SUM(_xlfn.CHOOSECOLS(_xlfn._xlws.FILTER(F_RT14[],(F_RT14[PrjId]=$B83)*(F_RT14[Vrs]=$D83)*(_xlfn.TEXTAFTER(F_RT14[ActGrp],":")=_xlfn.TEXTAFTER($H83,":")),"X"),MATCH("*"&amp;R$54,F_RT14[#Headers],0))),IF(AND(_xlpm.x=0,_xlpm.y&lt;&gt;0),-1,IF(AND(_xlpm.x&lt;&gt;0,_xlpm.y&lt;&gt;0),_xlpm.x,IF(AND(_xlpm.x-SUM(IF((INDIRECT($B$3)=$B83)*(INDIRECT($C$3)=$D83)*((INDIRECT($E$3)="TOTS")+(INDIRECT($E$3)=$E83)),INDIRECT(R$3)))&lt;&gt;0,_xlpm.y=0),-2,_xlpm.x)))),0))</f>
        <v>-1</v>
      </c>
      <c r="S83" s="199" cm="1">
        <f t="array" aca="1" ref="S83" ca="1">IF(OR($B83="",$B83="X",$D83="",$D83="X",$E83="",$E83="X"),0,IFERROR(_xlfn.LET(_xlpm.x,SUM(SUM(_xlfn._xlws.FILTER(VALUE(PptoSty[Sign]&amp;1)*(1/PptoSty[Division]),(PptoSty[Division]&lt;&gt;0)*(PptoSty[Division]&lt;&gt;"")*(PptoSty[Division]&lt;&gt;"X")*(PptoSty[Project]=$B83)*(PptoSty[Vrs]=$D83)*(PptoSty[PiRow]=_xlfn.TEXTAFTER($H83,":"))*(PptoSty[PiColumn]=S$54),0)),SUM(IF((INDIRECT($B$3)=$B83)*(INDIRECT($C$3)=$D83)*((INDIRECT($E$3)="TOTS")+(INDIRECT($E$3)=$E83)),INDIRECT(S$3)))),_xlpm.y,SUM(_xlfn.CHOOSECOLS(_xlfn._xlws.FILTER(F_RT14[],(F_RT14[PrjId]=$B83)*(F_RT14[Vrs]=$D83)*(_xlfn.TEXTAFTER(F_RT14[ActGrp],":")=_xlfn.TEXTAFTER($H83,":")),"X"),MATCH("*"&amp;S$54,F_RT14[#Headers],0))),IF(AND(_xlpm.x=0,_xlpm.y&lt;&gt;0),-1,IF(AND(_xlpm.x&lt;&gt;0,_xlpm.y&lt;&gt;0),_xlpm.x,IF(AND(_xlpm.x-SUM(IF((INDIRECT($B$3)=$B83)*(INDIRECT($C$3)=$D83)*((INDIRECT($E$3)="TOTS")+(INDIRECT($E$3)=$E83)),INDIRECT(S$3)))&lt;&gt;0,_xlpm.y=0),-2,_xlpm.x)))),0))</f>
        <v>-1</v>
      </c>
      <c r="T83" s="199" cm="1">
        <f t="array" aca="1" ref="T83" ca="1">IF(OR($B83="",$B83="X",$D83="",$D83="X",$E83="",$E83="X"),0,IFERROR(_xlfn.LET(_xlpm.x,SUM(SUM(_xlfn._xlws.FILTER(VALUE(PptoSty[Sign]&amp;1)*(1/PptoSty[Division]),(PptoSty[Division]&lt;&gt;0)*(PptoSty[Division]&lt;&gt;"")*(PptoSty[Division]&lt;&gt;"X")*(PptoSty[Project]=$B83)*(PptoSty[Vrs]=$D83)*(PptoSty[PiRow]=_xlfn.TEXTAFTER($H83,":"))*(PptoSty[PiColumn]=T$54),0)),SUM(IF((INDIRECT($B$3)=$B83)*(INDIRECT($C$3)=$D83)*((INDIRECT($E$3)="TOTS")+(INDIRECT($E$3)=$E83)),INDIRECT(T$3)))),_xlpm.y,SUM(_xlfn.CHOOSECOLS(_xlfn._xlws.FILTER(F_RT14[],(F_RT14[PrjId]=$B83)*(F_RT14[Vrs]=$D83)*(_xlfn.TEXTAFTER(F_RT14[ActGrp],":")=_xlfn.TEXTAFTER($H83,":")),"X"),MATCH("*"&amp;T$54,F_RT14[#Headers],0))),IF(AND(_xlpm.x=0,_xlpm.y&lt;&gt;0),-1,IF(AND(_xlpm.x&lt;&gt;0,_xlpm.y&lt;&gt;0),_xlpm.x,IF(AND(_xlpm.x-SUM(IF((INDIRECT($B$3)=$B83)*(INDIRECT($C$3)=$D83)*((INDIRECT($E$3)="TOTS")+(INDIRECT($E$3)=$E83)),INDIRECT(T$3)))&lt;&gt;0,_xlpm.y=0),-2,_xlpm.x)))),0))</f>
        <v>-1</v>
      </c>
      <c r="U83" s="199" cm="1">
        <f t="array" aca="1" ref="U83" ca="1">IF(OR($B83="",$B83="X",$D83="",$D83="X",$E83="",$E83="X"),0,IFERROR(_xlfn.LET(_xlpm.x,SUM(SUM(_xlfn._xlws.FILTER(VALUE(PptoSty[Sign]&amp;1)*(1/PptoSty[Division]),(PptoSty[Division]&lt;&gt;0)*(PptoSty[Division]&lt;&gt;"")*(PptoSty[Division]&lt;&gt;"X")*(PptoSty[Project]=$B83)*(PptoSty[Vrs]=$D83)*(PptoSty[PiRow]=_xlfn.TEXTAFTER($H83,":"))*(PptoSty[PiColumn]=U$54),0)),SUM(IF((INDIRECT($B$3)=$B83)*(INDIRECT($C$3)=$D83)*((INDIRECT($E$3)="TOTS")+(INDIRECT($E$3)=$E83)),INDIRECT(U$3)))),_xlpm.y,SUM(_xlfn.CHOOSECOLS(_xlfn._xlws.FILTER(F_RT14[],(F_RT14[PrjId]=$B83)*(F_RT14[Vrs]=$D83)*(_xlfn.TEXTAFTER(F_RT14[ActGrp],":")=_xlfn.TEXTAFTER($H83,":")),"X"),MATCH("*"&amp;U$54,F_RT14[#Headers],0))),IF(AND(_xlpm.x=0,_xlpm.y&lt;&gt;0),-1,IF(AND(_xlpm.x&lt;&gt;0,_xlpm.y&lt;&gt;0),_xlpm.x,IF(AND(_xlpm.x-SUM(IF((INDIRECT($B$3)=$B83)*(INDIRECT($C$3)=$D83)*((INDIRECT($E$3)="TOTS")+(INDIRECT($E$3)=$E83)),INDIRECT(U$3)))&lt;&gt;0,_xlpm.y=0),-2,_xlpm.x)))),0))</f>
        <v>0</v>
      </c>
      <c r="V83" s="199" cm="1">
        <f t="array" aca="1" ref="V83" ca="1">IF(OR($B83="",$B83="X",$D83="",$D83="X",$E83="",$E83="X"),0,IFERROR(_xlfn.LET(_xlpm.x,SUM(SUM(_xlfn._xlws.FILTER(VALUE(PptoSty[Sign]&amp;1)*(1/PptoSty[Division]),(PptoSty[Division]&lt;&gt;0)*(PptoSty[Division]&lt;&gt;"")*(PptoSty[Division]&lt;&gt;"X")*(PptoSty[Project]=$B83)*(PptoSty[Vrs]=$D83)*(PptoSty[PiRow]=_xlfn.TEXTAFTER($H83,":"))*(PptoSty[PiColumn]=V$54),0)),SUM(IF((INDIRECT($B$3)=$B83)*(INDIRECT($C$3)=$D83)*((INDIRECT($E$3)="TOTS")+(INDIRECT($E$3)=$E83)),INDIRECT(V$3)))),_xlpm.y,SUM(_xlfn.CHOOSECOLS(_xlfn._xlws.FILTER(F_RT14[],(F_RT14[PrjId]=$B83)*(F_RT14[Vrs]=$D83)*(_xlfn.TEXTAFTER(F_RT14[ActGrp],":")=_xlfn.TEXTAFTER($H83,":")),"X"),MATCH("*"&amp;V$54,F_RT14[#Headers],0))),IF(AND(_xlpm.x=0,_xlpm.y&lt;&gt;0),-1,IF(AND(_xlpm.x&lt;&gt;0,_xlpm.y&lt;&gt;0),_xlpm.x,IF(AND(_xlpm.x-SUM(IF((INDIRECT($B$3)=$B83)*(INDIRECT($C$3)=$D83)*((INDIRECT($E$3)="TOTS")+(INDIRECT($E$3)=$E83)),INDIRECT(V$3)))&lt;&gt;0,_xlpm.y=0),-2,_xlpm.x)))),0))</f>
        <v>-1</v>
      </c>
      <c r="W83" s="199" cm="1">
        <f t="array" aca="1" ref="W83" ca="1">IF(OR($B83="",$B83="X",$D83="",$D83="X",$E83="",$E83="X"),0,IFERROR(_xlfn.LET(_xlpm.x,SUM(SUM(_xlfn._xlws.FILTER(VALUE(PptoSty[Sign]&amp;1)*(1/PptoSty[Division]),(PptoSty[Division]&lt;&gt;0)*(PptoSty[Division]&lt;&gt;"")*(PptoSty[Division]&lt;&gt;"X")*(PptoSty[Project]=$B83)*(PptoSty[Vrs]=$D83)*(PptoSty[PiRow]=_xlfn.TEXTAFTER($H83,":"))*(PptoSty[PiColumn]=W$54),0)),SUM(IF((INDIRECT($B$3)=$B83)*(INDIRECT($C$3)=$D83)*((INDIRECT($E$3)="TOTS")+(INDIRECT($E$3)=$E83)),INDIRECT(W$3)))),_xlpm.y,SUM(_xlfn.CHOOSECOLS(_xlfn._xlws.FILTER(F_RT14[],(F_RT14[PrjId]=$B83)*(F_RT14[Vrs]=$D83)*(_xlfn.TEXTAFTER(F_RT14[ActGrp],":")=_xlfn.TEXTAFTER($H83,":")),"X"),MATCH("*"&amp;W$54,F_RT14[#Headers],0))),IF(AND(_xlpm.x=0,_xlpm.y&lt;&gt;0),-1,IF(AND(_xlpm.x&lt;&gt;0,_xlpm.y&lt;&gt;0),_xlpm.x,IF(AND(_xlpm.x-SUM(IF((INDIRECT($B$3)=$B83)*(INDIRECT($C$3)=$D83)*((INDIRECT($E$3)="TOTS")+(INDIRECT($E$3)=$E83)),INDIRECT(W$3)))&lt;&gt;0,_xlpm.y=0),-2,_xlpm.x)))),0))</f>
        <v>-1</v>
      </c>
      <c r="X83" s="199" cm="1">
        <f t="array" aca="1" ref="X83" ca="1">IF(OR($B83="",$B83="X",$D83="",$D83="X",$E83="",$E83="X"),0,IFERROR(_xlfn.LET(_xlpm.x,SUM(SUM(_xlfn._xlws.FILTER(VALUE(PptoSty[Sign]&amp;1)*(1/PptoSty[Division]),(PptoSty[Division]&lt;&gt;0)*(PptoSty[Division]&lt;&gt;"")*(PptoSty[Division]&lt;&gt;"X")*(PptoSty[Project]=$B83)*(PptoSty[Vrs]=$D83)*(PptoSty[PiRow]=_xlfn.TEXTAFTER($H83,":"))*(PptoSty[PiColumn]=X$54),0)),SUM(IF((INDIRECT($B$3)=$B83)*(INDIRECT($C$3)=$D83)*((INDIRECT($E$3)="TOTS")+(INDIRECT($E$3)=$E83)),INDIRECT(X$3)))),_xlpm.y,SUM(_xlfn.CHOOSECOLS(_xlfn._xlws.FILTER(F_RT14[],(F_RT14[PrjId]=$B83)*(F_RT14[Vrs]=$D83)*(_xlfn.TEXTAFTER(F_RT14[ActGrp],":")=_xlfn.TEXTAFTER($H83,":")),"X"),MATCH("*"&amp;X$54,F_RT14[#Headers],0))),IF(AND(_xlpm.x=0,_xlpm.y&lt;&gt;0),-1,IF(AND(_xlpm.x&lt;&gt;0,_xlpm.y&lt;&gt;0),_xlpm.x,IF(AND(_xlpm.x-SUM(IF((INDIRECT($B$3)=$B83)*(INDIRECT($C$3)=$D83)*((INDIRECT($E$3)="TOTS")+(INDIRECT($E$3)=$E83)),INDIRECT(X$3)))&lt;&gt;0,_xlpm.y=0),-2,_xlpm.x)))),0))</f>
        <v>-1</v>
      </c>
      <c r="Y83" s="199" cm="1">
        <f t="array" aca="1" ref="Y83" ca="1">IF(OR($B83="",$B83="X",$D83="",$D83="X",$E83="",$E83="X"),0,IFERROR(_xlfn.LET(_xlpm.x,SUM(SUM(_xlfn._xlws.FILTER(VALUE(PptoSty[Sign]&amp;1)*(1/PptoSty[Division]),(PptoSty[Division]&lt;&gt;0)*(PptoSty[Division]&lt;&gt;"")*(PptoSty[Division]&lt;&gt;"X")*(PptoSty[Project]=$B83)*(PptoSty[Vrs]=$D83)*(PptoSty[PiRow]=_xlfn.TEXTAFTER($H83,":"))*(PptoSty[PiColumn]=Y$54),0)),SUM(IF((INDIRECT($B$3)=$B83)*(INDIRECT($C$3)=$D83)*((INDIRECT($E$3)="TOTS")+(INDIRECT($E$3)=$E83)),INDIRECT(Y$3)))),_xlpm.y,SUM(_xlfn.CHOOSECOLS(_xlfn._xlws.FILTER(F_RT14[],(F_RT14[PrjId]=$B83)*(F_RT14[Vrs]=$D83)*(_xlfn.TEXTAFTER(F_RT14[ActGrp],":")=_xlfn.TEXTAFTER($H83,":")),"X"),MATCH("*"&amp;Y$54,F_RT14[#Headers],0))),IF(AND(_xlpm.x=0,_xlpm.y&lt;&gt;0),-1,IF(AND(_xlpm.x&lt;&gt;0,_xlpm.y&lt;&gt;0),_xlpm.x,IF(AND(_xlpm.x-SUM(IF((INDIRECT($B$3)=$B83)*(INDIRECT($C$3)=$D83)*((INDIRECT($E$3)="TOTS")+(INDIRECT($E$3)=$E83)),INDIRECT(Y$3)))&lt;&gt;0,_xlpm.y=0),-2,_xlpm.x)))),0))</f>
        <v>0</v>
      </c>
      <c r="Z83" s="198" t="str">
        <f t="shared" ca="1" si="2"/>
        <v>Fback!B83:Y83</v>
      </c>
    </row>
    <row r="84" spans="2:26" ht="21" customHeight="1" outlineLevel="1">
      <c r="B84" s="128" t="str">
        <v>31200</v>
      </c>
      <c r="C84" s="128" t="str">
        <v>Sp</v>
      </c>
      <c r="D84" s="128">
        <v>15</v>
      </c>
      <c r="E84" s="128" t="str">
        <v>TOOL</v>
      </c>
      <c r="F84" s="139" t="str">
        <v>SERRA</v>
      </c>
      <c r="G84" s="139" t="str">
        <v>CurPpto</v>
      </c>
      <c r="H84" s="139" t="str">
        <v>P002:OP-210.1 MIG WELD (GEO)</v>
      </c>
      <c r="I84" s="199" cm="1">
        <f t="array" aca="1" ref="I84" ca="1">IF(OR($B84="",$B84="X",$D84="",$D84="X",$E84="",$E84="X"),0,IFERROR(_xlfn.LET(_xlpm.x,SUM(SUM(_xlfn._xlws.FILTER(VALUE(PptoSty[Sign]&amp;1)*(1/PptoSty[Division]),(PptoSty[Division]&lt;&gt;0)*(PptoSty[Division]&lt;&gt;"")*(PptoSty[Division]&lt;&gt;"X")*(PptoSty[Project]=$B84)*(PptoSty[Vrs]=$D84)*(PptoSty[PiRow]=_xlfn.TEXTAFTER($H84,":"))*(PptoSty[PiColumn]=I$54),0)),SUM(IF((INDIRECT($B$3)=$B84)*(INDIRECT($C$3)=$D84)*((INDIRECT($E$3)="TOTS")+(INDIRECT($E$3)=$E84)),INDIRECT(I$3)))),_xlpm.y,SUM(_xlfn.CHOOSECOLS(_xlfn._xlws.FILTER(F_RT14[],(F_RT14[PrjId]=$B84)*(F_RT14[Vrs]=$D84)*(_xlfn.TEXTAFTER(F_RT14[ActGrp],":")=_xlfn.TEXTAFTER($H84,":")),"X"),MATCH("*"&amp;I$54,F_RT14[#Headers],0))),IF(AND(_xlpm.x=0,_xlpm.y&lt;&gt;0),-1,IF(AND(_xlpm.x&lt;&gt;0,_xlpm.y&lt;&gt;0),_xlpm.x,IF(AND(_xlpm.x-SUM(IF((INDIRECT($B$3)=$B84)*(INDIRECT($C$3)=$D84)*((INDIRECT($E$3)="TOTS")+(INDIRECT($E$3)=$E84)),INDIRECT(I$3)))&lt;&gt;0,_xlpm.y=0),-2,_xlpm.x)))),0))</f>
        <v>0</v>
      </c>
      <c r="J84" s="199" cm="1">
        <f t="array" aca="1" ref="J84" ca="1">IF(OR($B84="",$B84="X",$D84="",$D84="X",$E84="",$E84="X"),0,IFERROR(_xlfn.LET(_xlpm.x,SUM(SUM(_xlfn._xlws.FILTER(VALUE(PptoSty[Sign]&amp;1)*(1/PptoSty[Division]),(PptoSty[Division]&lt;&gt;0)*(PptoSty[Division]&lt;&gt;"")*(PptoSty[Division]&lt;&gt;"X")*(PptoSty[Project]=$B84)*(PptoSty[Vrs]=$D84)*(PptoSty[PiRow]=_xlfn.TEXTAFTER($H84,":"))*(PptoSty[PiColumn]=J$54),0)),SUM(IF((INDIRECT($B$3)=$B84)*(INDIRECT($C$3)=$D84)*((INDIRECT($E$3)="TOTS")+(INDIRECT($E$3)=$E84)),INDIRECT(J$3)))),_xlpm.y,SUM(_xlfn.CHOOSECOLS(_xlfn._xlws.FILTER(F_RT14[],(F_RT14[PrjId]=$B84)*(F_RT14[Vrs]=$D84)*(_xlfn.TEXTAFTER(F_RT14[ActGrp],":")=_xlfn.TEXTAFTER($H84,":")),"X"),MATCH("*"&amp;J$54,F_RT14[#Headers],0))),IF(AND(_xlpm.x=0,_xlpm.y&lt;&gt;0),-1,IF(AND(_xlpm.x&lt;&gt;0,_xlpm.y&lt;&gt;0),_xlpm.x,IF(AND(_xlpm.x-SUM(IF((INDIRECT($B$3)=$B84)*(INDIRECT($C$3)=$D84)*((INDIRECT($E$3)="TOTS")+(INDIRECT($E$3)=$E84)),INDIRECT(J$3)))&lt;&gt;0,_xlpm.y=0),-2,_xlpm.x)))),0))</f>
        <v>0</v>
      </c>
      <c r="K84" s="199" cm="1">
        <f t="array" aca="1" ref="K84" ca="1">IF(OR($B84="",$B84="X",$D84="",$D84="X",$E84="",$E84="X"),0,IFERROR(_xlfn.LET(_xlpm.x,SUM(SUM(_xlfn._xlws.FILTER(VALUE(PptoSty[Sign]&amp;1)*(1/PptoSty[Division]),(PptoSty[Division]&lt;&gt;0)*(PptoSty[Division]&lt;&gt;"")*(PptoSty[Division]&lt;&gt;"X")*(PptoSty[Project]=$B84)*(PptoSty[Vrs]=$D84)*(PptoSty[PiRow]=_xlfn.TEXTAFTER($H84,":"))*(PptoSty[PiColumn]=K$54),0)),SUM(IF((INDIRECT($B$3)=$B84)*(INDIRECT($C$3)=$D84)*((INDIRECT($E$3)="TOTS")+(INDIRECT($E$3)=$E84)),INDIRECT(K$3)))),_xlpm.y,SUM(_xlfn.CHOOSECOLS(_xlfn._xlws.FILTER(F_RT14[],(F_RT14[PrjId]=$B84)*(F_RT14[Vrs]=$D84)*(_xlfn.TEXTAFTER(F_RT14[ActGrp],":")=_xlfn.TEXTAFTER($H84,":")),"X"),MATCH("*"&amp;K$54,F_RT14[#Headers],0))),IF(AND(_xlpm.x=0,_xlpm.y&lt;&gt;0),-1,IF(AND(_xlpm.x&lt;&gt;0,_xlpm.y&lt;&gt;0),_xlpm.x,IF(AND(_xlpm.x-SUM(IF((INDIRECT($B$3)=$B84)*(INDIRECT($C$3)=$D84)*((INDIRECT($E$3)="TOTS")+(INDIRECT($E$3)=$E84)),INDIRECT(K$3)))&lt;&gt;0,_xlpm.y=0),-2,_xlpm.x)))),0))</f>
        <v>-1</v>
      </c>
      <c r="L84" s="199" cm="1">
        <f t="array" aca="1" ref="L84" ca="1">IF(OR($B84="",$B84="X",$D84="",$D84="X",$E84="",$E84="X"),0,IFERROR(_xlfn.LET(_xlpm.x,SUM(SUM(_xlfn._xlws.FILTER(VALUE(PptoSty[Sign]&amp;1)*(1/PptoSty[Division]),(PptoSty[Division]&lt;&gt;0)*(PptoSty[Division]&lt;&gt;"")*(PptoSty[Division]&lt;&gt;"X")*(PptoSty[Project]=$B84)*(PptoSty[Vrs]=$D84)*(PptoSty[PiRow]=_xlfn.TEXTAFTER($H84,":"))*(PptoSty[PiColumn]=L$54),0)),SUM(IF((INDIRECT($B$3)=$B84)*(INDIRECT($C$3)=$D84)*((INDIRECT($E$3)="TOTS")+(INDIRECT($E$3)=$E84)),INDIRECT(L$3)))),_xlpm.y,SUM(_xlfn.CHOOSECOLS(_xlfn._xlws.FILTER(F_RT14[],(F_RT14[PrjId]=$B84)*(F_RT14[Vrs]=$D84)*(_xlfn.TEXTAFTER(F_RT14[ActGrp],":")=_xlfn.TEXTAFTER($H84,":")),"X"),MATCH("*"&amp;L$54,F_RT14[#Headers],0))),IF(AND(_xlpm.x=0,_xlpm.y&lt;&gt;0),-1,IF(AND(_xlpm.x&lt;&gt;0,_xlpm.y&lt;&gt;0),_xlpm.x,IF(AND(_xlpm.x-SUM(IF((INDIRECT($B$3)=$B84)*(INDIRECT($C$3)=$D84)*((INDIRECT($E$3)="TOTS")+(INDIRECT($E$3)=$E84)),INDIRECT(L$3)))&lt;&gt;0,_xlpm.y=0),-2,_xlpm.x)))),0))</f>
        <v>0</v>
      </c>
      <c r="M84" s="199" cm="1">
        <f t="array" aca="1" ref="M84" ca="1">IF(OR($B84="",$B84="X",$D84="",$D84="X",$E84="",$E84="X"),0,IFERROR(_xlfn.LET(_xlpm.x,SUM(SUM(_xlfn._xlws.FILTER(VALUE(PptoSty[Sign]&amp;1)*(1/PptoSty[Division]),(PptoSty[Division]&lt;&gt;0)*(PptoSty[Division]&lt;&gt;"")*(PptoSty[Division]&lt;&gt;"X")*(PptoSty[Project]=$B84)*(PptoSty[Vrs]=$D84)*(PptoSty[PiRow]=_xlfn.TEXTAFTER($H84,":"))*(PptoSty[PiColumn]=M$54),0)),SUM(IF((INDIRECT($B$3)=$B84)*(INDIRECT($C$3)=$D84)*((INDIRECT($E$3)="TOTS")+(INDIRECT($E$3)=$E84)),INDIRECT(M$3)))),_xlpm.y,SUM(_xlfn.CHOOSECOLS(_xlfn._xlws.FILTER(F_RT14[],(F_RT14[PrjId]=$B84)*(F_RT14[Vrs]=$D84)*(_xlfn.TEXTAFTER(F_RT14[ActGrp],":")=_xlfn.TEXTAFTER($H84,":")),"X"),MATCH("*"&amp;M$54,F_RT14[#Headers],0))),IF(AND(_xlpm.x=0,_xlpm.y&lt;&gt;0),-1,IF(AND(_xlpm.x&lt;&gt;0,_xlpm.y&lt;&gt;0),_xlpm.x,IF(AND(_xlpm.x-SUM(IF((INDIRECT($B$3)=$B84)*(INDIRECT($C$3)=$D84)*((INDIRECT($E$3)="TOTS")+(INDIRECT($E$3)=$E84)),INDIRECT(M$3)))&lt;&gt;0,_xlpm.y=0),-2,_xlpm.x)))),0))</f>
        <v>0</v>
      </c>
      <c r="N84" s="199" cm="1">
        <f t="array" aca="1" ref="N84" ca="1">IF(OR($B84="",$B84="X",$D84="",$D84="X",$E84="",$E84="X"),0,IFERROR(_xlfn.LET(_xlpm.x,SUM(SUM(_xlfn._xlws.FILTER(VALUE(PptoSty[Sign]&amp;1)*(1/PptoSty[Division]),(PptoSty[Division]&lt;&gt;0)*(PptoSty[Division]&lt;&gt;"")*(PptoSty[Division]&lt;&gt;"X")*(PptoSty[Project]=$B84)*(PptoSty[Vrs]=$D84)*(PptoSty[PiRow]=_xlfn.TEXTAFTER($H84,":"))*(PptoSty[PiColumn]=N$54),0)),SUM(IF((INDIRECT($B$3)=$B84)*(INDIRECT($C$3)=$D84)*((INDIRECT($E$3)="TOTS")+(INDIRECT($E$3)=$E84)),INDIRECT(N$3)))),_xlpm.y,SUM(_xlfn.CHOOSECOLS(_xlfn._xlws.FILTER(F_RT14[],(F_RT14[PrjId]=$B84)*(F_RT14[Vrs]=$D84)*(_xlfn.TEXTAFTER(F_RT14[ActGrp],":")=_xlfn.TEXTAFTER($H84,":")),"X"),MATCH("*"&amp;N$54,F_RT14[#Headers],0))),IF(AND(_xlpm.x=0,_xlpm.y&lt;&gt;0),-1,IF(AND(_xlpm.x&lt;&gt;0,_xlpm.y&lt;&gt;0),_xlpm.x,IF(AND(_xlpm.x-SUM(IF((INDIRECT($B$3)=$B84)*(INDIRECT($C$3)=$D84)*((INDIRECT($E$3)="TOTS")+(INDIRECT($E$3)=$E84)),INDIRECT(N$3)))&lt;&gt;0,_xlpm.y=0),-2,_xlpm.x)))),0))</f>
        <v>-1</v>
      </c>
      <c r="O84" s="199" cm="1">
        <f t="array" aca="1" ref="O84" ca="1">IF(OR($B84="",$B84="X",$D84="",$D84="X",$E84="",$E84="X"),0,IFERROR(_xlfn.LET(_xlpm.x,SUM(SUM(_xlfn._xlws.FILTER(VALUE(PptoSty[Sign]&amp;1)*(1/PptoSty[Division]),(PptoSty[Division]&lt;&gt;0)*(PptoSty[Division]&lt;&gt;"")*(PptoSty[Division]&lt;&gt;"X")*(PptoSty[Project]=$B84)*(PptoSty[Vrs]=$D84)*(PptoSty[PiRow]=_xlfn.TEXTAFTER($H84,":"))*(PptoSty[PiColumn]=O$54),0)),SUM(IF((INDIRECT($B$3)=$B84)*(INDIRECT($C$3)=$D84)*((INDIRECT($E$3)="TOTS")+(INDIRECT($E$3)=$E84)),INDIRECT(O$3)))),_xlpm.y,SUM(_xlfn.CHOOSECOLS(_xlfn._xlws.FILTER(F_RT14[],(F_RT14[PrjId]=$B84)*(F_RT14[Vrs]=$D84)*(_xlfn.TEXTAFTER(F_RT14[ActGrp],":")=_xlfn.TEXTAFTER($H84,":")),"X"),MATCH("*"&amp;O$54,F_RT14[#Headers],0))),IF(AND(_xlpm.x=0,_xlpm.y&lt;&gt;0),-1,IF(AND(_xlpm.x&lt;&gt;0,_xlpm.y&lt;&gt;0),_xlpm.x,IF(AND(_xlpm.x-SUM(IF((INDIRECT($B$3)=$B84)*(INDIRECT($C$3)=$D84)*((INDIRECT($E$3)="TOTS")+(INDIRECT($E$3)=$E84)),INDIRECT(O$3)))&lt;&gt;0,_xlpm.y=0),-2,_xlpm.x)))),0))</f>
        <v>0</v>
      </c>
      <c r="P84" s="199" cm="1">
        <f t="array" aca="1" ref="P84" ca="1">IF(OR($B84="",$B84="X",$D84="",$D84="X",$E84="",$E84="X"),0,IFERROR(_xlfn.LET(_xlpm.x,SUM(SUM(_xlfn._xlws.FILTER(VALUE(PptoSty[Sign]&amp;1)*(1/PptoSty[Division]),(PptoSty[Division]&lt;&gt;0)*(PptoSty[Division]&lt;&gt;"")*(PptoSty[Division]&lt;&gt;"X")*(PptoSty[Project]=$B84)*(PptoSty[Vrs]=$D84)*(PptoSty[PiRow]=_xlfn.TEXTAFTER($H84,":"))*(PptoSty[PiColumn]=P$54),0)),SUM(IF((INDIRECT($B$3)=$B84)*(INDIRECT($C$3)=$D84)*((INDIRECT($E$3)="TOTS")+(INDIRECT($E$3)=$E84)),INDIRECT(P$3)))),_xlpm.y,SUM(_xlfn.CHOOSECOLS(_xlfn._xlws.FILTER(F_RT14[],(F_RT14[PrjId]=$B84)*(F_RT14[Vrs]=$D84)*(_xlfn.TEXTAFTER(F_RT14[ActGrp],":")=_xlfn.TEXTAFTER($H84,":")),"X"),MATCH("*"&amp;P$54,F_RT14[#Headers],0))),IF(AND(_xlpm.x=0,_xlpm.y&lt;&gt;0),-1,IF(AND(_xlpm.x&lt;&gt;0,_xlpm.y&lt;&gt;0),_xlpm.x,IF(AND(_xlpm.x-SUM(IF((INDIRECT($B$3)=$B84)*(INDIRECT($C$3)=$D84)*((INDIRECT($E$3)="TOTS")+(INDIRECT($E$3)=$E84)),INDIRECT(P$3)))&lt;&gt;0,_xlpm.y=0),-2,_xlpm.x)))),0))</f>
        <v>-1</v>
      </c>
      <c r="Q84" s="199" cm="1">
        <f t="array" aca="1" ref="Q84" ca="1">IF(OR($B84="",$B84="X",$D84="",$D84="X",$E84="",$E84="X"),0,IFERROR(_xlfn.LET(_xlpm.x,SUM(SUM(_xlfn._xlws.FILTER(VALUE(PptoSty[Sign]&amp;1)*(1/PptoSty[Division]),(PptoSty[Division]&lt;&gt;0)*(PptoSty[Division]&lt;&gt;"")*(PptoSty[Division]&lt;&gt;"X")*(PptoSty[Project]=$B84)*(PptoSty[Vrs]=$D84)*(PptoSty[PiRow]=_xlfn.TEXTAFTER($H84,":"))*(PptoSty[PiColumn]=Q$54),0)),SUM(IF((INDIRECT($B$3)=$B84)*(INDIRECT($C$3)=$D84)*((INDIRECT($E$3)="TOTS")+(INDIRECT($E$3)=$E84)),INDIRECT(Q$3)))),_xlpm.y,SUM(_xlfn.CHOOSECOLS(_xlfn._xlws.FILTER(F_RT14[],(F_RT14[PrjId]=$B84)*(F_RT14[Vrs]=$D84)*(_xlfn.TEXTAFTER(F_RT14[ActGrp],":")=_xlfn.TEXTAFTER($H84,":")),"X"),MATCH("*"&amp;Q$54,F_RT14[#Headers],0))),IF(AND(_xlpm.x=0,_xlpm.y&lt;&gt;0),-1,IF(AND(_xlpm.x&lt;&gt;0,_xlpm.y&lt;&gt;0),_xlpm.x,IF(AND(_xlpm.x-SUM(IF((INDIRECT($B$3)=$B84)*(INDIRECT($C$3)=$D84)*((INDIRECT($E$3)="TOTS")+(INDIRECT($E$3)=$E84)),INDIRECT(Q$3)))&lt;&gt;0,_xlpm.y=0),-2,_xlpm.x)))),0))</f>
        <v>-1</v>
      </c>
      <c r="R84" s="199" cm="1">
        <f t="array" aca="1" ref="R84" ca="1">IF(OR($B84="",$B84="X",$D84="",$D84="X",$E84="",$E84="X"),0,IFERROR(_xlfn.LET(_xlpm.x,SUM(SUM(_xlfn._xlws.FILTER(VALUE(PptoSty[Sign]&amp;1)*(1/PptoSty[Division]),(PptoSty[Division]&lt;&gt;0)*(PptoSty[Division]&lt;&gt;"")*(PptoSty[Division]&lt;&gt;"X")*(PptoSty[Project]=$B84)*(PptoSty[Vrs]=$D84)*(PptoSty[PiRow]=_xlfn.TEXTAFTER($H84,":"))*(PptoSty[PiColumn]=R$54),0)),SUM(IF((INDIRECT($B$3)=$B84)*(INDIRECT($C$3)=$D84)*((INDIRECT($E$3)="TOTS")+(INDIRECT($E$3)=$E84)),INDIRECT(R$3)))),_xlpm.y,SUM(_xlfn.CHOOSECOLS(_xlfn._xlws.FILTER(F_RT14[],(F_RT14[PrjId]=$B84)*(F_RT14[Vrs]=$D84)*(_xlfn.TEXTAFTER(F_RT14[ActGrp],":")=_xlfn.TEXTAFTER($H84,":")),"X"),MATCH("*"&amp;R$54,F_RT14[#Headers],0))),IF(AND(_xlpm.x=0,_xlpm.y&lt;&gt;0),-1,IF(AND(_xlpm.x&lt;&gt;0,_xlpm.y&lt;&gt;0),_xlpm.x,IF(AND(_xlpm.x-SUM(IF((INDIRECT($B$3)=$B84)*(INDIRECT($C$3)=$D84)*((INDIRECT($E$3)="TOTS")+(INDIRECT($E$3)=$E84)),INDIRECT(R$3)))&lt;&gt;0,_xlpm.y=0),-2,_xlpm.x)))),0))</f>
        <v>-1</v>
      </c>
      <c r="S84" s="199" cm="1">
        <f t="array" aca="1" ref="S84" ca="1">IF(OR($B84="",$B84="X",$D84="",$D84="X",$E84="",$E84="X"),0,IFERROR(_xlfn.LET(_xlpm.x,SUM(SUM(_xlfn._xlws.FILTER(VALUE(PptoSty[Sign]&amp;1)*(1/PptoSty[Division]),(PptoSty[Division]&lt;&gt;0)*(PptoSty[Division]&lt;&gt;"")*(PptoSty[Division]&lt;&gt;"X")*(PptoSty[Project]=$B84)*(PptoSty[Vrs]=$D84)*(PptoSty[PiRow]=_xlfn.TEXTAFTER($H84,":"))*(PptoSty[PiColumn]=S$54),0)),SUM(IF((INDIRECT($B$3)=$B84)*(INDIRECT($C$3)=$D84)*((INDIRECT($E$3)="TOTS")+(INDIRECT($E$3)=$E84)),INDIRECT(S$3)))),_xlpm.y,SUM(_xlfn.CHOOSECOLS(_xlfn._xlws.FILTER(F_RT14[],(F_RT14[PrjId]=$B84)*(F_RT14[Vrs]=$D84)*(_xlfn.TEXTAFTER(F_RT14[ActGrp],":")=_xlfn.TEXTAFTER($H84,":")),"X"),MATCH("*"&amp;S$54,F_RT14[#Headers],0))),IF(AND(_xlpm.x=0,_xlpm.y&lt;&gt;0),-1,IF(AND(_xlpm.x&lt;&gt;0,_xlpm.y&lt;&gt;0),_xlpm.x,IF(AND(_xlpm.x-SUM(IF((INDIRECT($B$3)=$B84)*(INDIRECT($C$3)=$D84)*((INDIRECT($E$3)="TOTS")+(INDIRECT($E$3)=$E84)),INDIRECT(S$3)))&lt;&gt;0,_xlpm.y=0),-2,_xlpm.x)))),0))</f>
        <v>-1</v>
      </c>
      <c r="T84" s="199" cm="1">
        <f t="array" aca="1" ref="T84" ca="1">IF(OR($B84="",$B84="X",$D84="",$D84="X",$E84="",$E84="X"),0,IFERROR(_xlfn.LET(_xlpm.x,SUM(SUM(_xlfn._xlws.FILTER(VALUE(PptoSty[Sign]&amp;1)*(1/PptoSty[Division]),(PptoSty[Division]&lt;&gt;0)*(PptoSty[Division]&lt;&gt;"")*(PptoSty[Division]&lt;&gt;"X")*(PptoSty[Project]=$B84)*(PptoSty[Vrs]=$D84)*(PptoSty[PiRow]=_xlfn.TEXTAFTER($H84,":"))*(PptoSty[PiColumn]=T$54),0)),SUM(IF((INDIRECT($B$3)=$B84)*(INDIRECT($C$3)=$D84)*((INDIRECT($E$3)="TOTS")+(INDIRECT($E$3)=$E84)),INDIRECT(T$3)))),_xlpm.y,SUM(_xlfn.CHOOSECOLS(_xlfn._xlws.FILTER(F_RT14[],(F_RT14[PrjId]=$B84)*(F_RT14[Vrs]=$D84)*(_xlfn.TEXTAFTER(F_RT14[ActGrp],":")=_xlfn.TEXTAFTER($H84,":")),"X"),MATCH("*"&amp;T$54,F_RT14[#Headers],0))),IF(AND(_xlpm.x=0,_xlpm.y&lt;&gt;0),-1,IF(AND(_xlpm.x&lt;&gt;0,_xlpm.y&lt;&gt;0),_xlpm.x,IF(AND(_xlpm.x-SUM(IF((INDIRECT($B$3)=$B84)*(INDIRECT($C$3)=$D84)*((INDIRECT($E$3)="TOTS")+(INDIRECT($E$3)=$E84)),INDIRECT(T$3)))&lt;&gt;0,_xlpm.y=0),-2,_xlpm.x)))),0))</f>
        <v>-1</v>
      </c>
      <c r="U84" s="199" cm="1">
        <f t="array" aca="1" ref="U84" ca="1">IF(OR($B84="",$B84="X",$D84="",$D84="X",$E84="",$E84="X"),0,IFERROR(_xlfn.LET(_xlpm.x,SUM(SUM(_xlfn._xlws.FILTER(VALUE(PptoSty[Sign]&amp;1)*(1/PptoSty[Division]),(PptoSty[Division]&lt;&gt;0)*(PptoSty[Division]&lt;&gt;"")*(PptoSty[Division]&lt;&gt;"X")*(PptoSty[Project]=$B84)*(PptoSty[Vrs]=$D84)*(PptoSty[PiRow]=_xlfn.TEXTAFTER($H84,":"))*(PptoSty[PiColumn]=U$54),0)),SUM(IF((INDIRECT($B$3)=$B84)*(INDIRECT($C$3)=$D84)*((INDIRECT($E$3)="TOTS")+(INDIRECT($E$3)=$E84)),INDIRECT(U$3)))),_xlpm.y,SUM(_xlfn.CHOOSECOLS(_xlfn._xlws.FILTER(F_RT14[],(F_RT14[PrjId]=$B84)*(F_RT14[Vrs]=$D84)*(_xlfn.TEXTAFTER(F_RT14[ActGrp],":")=_xlfn.TEXTAFTER($H84,":")),"X"),MATCH("*"&amp;U$54,F_RT14[#Headers],0))),IF(AND(_xlpm.x=0,_xlpm.y&lt;&gt;0),-1,IF(AND(_xlpm.x&lt;&gt;0,_xlpm.y&lt;&gt;0),_xlpm.x,IF(AND(_xlpm.x-SUM(IF((INDIRECT($B$3)=$B84)*(INDIRECT($C$3)=$D84)*((INDIRECT($E$3)="TOTS")+(INDIRECT($E$3)=$E84)),INDIRECT(U$3)))&lt;&gt;0,_xlpm.y=0),-2,_xlpm.x)))),0))</f>
        <v>0</v>
      </c>
      <c r="V84" s="199" cm="1">
        <f t="array" aca="1" ref="V84" ca="1">IF(OR($B84="",$B84="X",$D84="",$D84="X",$E84="",$E84="X"),0,IFERROR(_xlfn.LET(_xlpm.x,SUM(SUM(_xlfn._xlws.FILTER(VALUE(PptoSty[Sign]&amp;1)*(1/PptoSty[Division]),(PptoSty[Division]&lt;&gt;0)*(PptoSty[Division]&lt;&gt;"")*(PptoSty[Division]&lt;&gt;"X")*(PptoSty[Project]=$B84)*(PptoSty[Vrs]=$D84)*(PptoSty[PiRow]=_xlfn.TEXTAFTER($H84,":"))*(PptoSty[PiColumn]=V$54),0)),SUM(IF((INDIRECT($B$3)=$B84)*(INDIRECT($C$3)=$D84)*((INDIRECT($E$3)="TOTS")+(INDIRECT($E$3)=$E84)),INDIRECT(V$3)))),_xlpm.y,SUM(_xlfn.CHOOSECOLS(_xlfn._xlws.FILTER(F_RT14[],(F_RT14[PrjId]=$B84)*(F_RT14[Vrs]=$D84)*(_xlfn.TEXTAFTER(F_RT14[ActGrp],":")=_xlfn.TEXTAFTER($H84,":")),"X"),MATCH("*"&amp;V$54,F_RT14[#Headers],0))),IF(AND(_xlpm.x=0,_xlpm.y&lt;&gt;0),-1,IF(AND(_xlpm.x&lt;&gt;0,_xlpm.y&lt;&gt;0),_xlpm.x,IF(AND(_xlpm.x-SUM(IF((INDIRECT($B$3)=$B84)*(INDIRECT($C$3)=$D84)*((INDIRECT($E$3)="TOTS")+(INDIRECT($E$3)=$E84)),INDIRECT(V$3)))&lt;&gt;0,_xlpm.y=0),-2,_xlpm.x)))),0))</f>
        <v>-1</v>
      </c>
      <c r="W84" s="199" cm="1">
        <f t="array" aca="1" ref="W84" ca="1">IF(OR($B84="",$B84="X",$D84="",$D84="X",$E84="",$E84="X"),0,IFERROR(_xlfn.LET(_xlpm.x,SUM(SUM(_xlfn._xlws.FILTER(VALUE(PptoSty[Sign]&amp;1)*(1/PptoSty[Division]),(PptoSty[Division]&lt;&gt;0)*(PptoSty[Division]&lt;&gt;"")*(PptoSty[Division]&lt;&gt;"X")*(PptoSty[Project]=$B84)*(PptoSty[Vrs]=$D84)*(PptoSty[PiRow]=_xlfn.TEXTAFTER($H84,":"))*(PptoSty[PiColumn]=W$54),0)),SUM(IF((INDIRECT($B$3)=$B84)*(INDIRECT($C$3)=$D84)*((INDIRECT($E$3)="TOTS")+(INDIRECT($E$3)=$E84)),INDIRECT(W$3)))),_xlpm.y,SUM(_xlfn.CHOOSECOLS(_xlfn._xlws.FILTER(F_RT14[],(F_RT14[PrjId]=$B84)*(F_RT14[Vrs]=$D84)*(_xlfn.TEXTAFTER(F_RT14[ActGrp],":")=_xlfn.TEXTAFTER($H84,":")),"X"),MATCH("*"&amp;W$54,F_RT14[#Headers],0))),IF(AND(_xlpm.x=0,_xlpm.y&lt;&gt;0),-1,IF(AND(_xlpm.x&lt;&gt;0,_xlpm.y&lt;&gt;0),_xlpm.x,IF(AND(_xlpm.x-SUM(IF((INDIRECT($B$3)=$B84)*(INDIRECT($C$3)=$D84)*((INDIRECT($E$3)="TOTS")+(INDIRECT($E$3)=$E84)),INDIRECT(W$3)))&lt;&gt;0,_xlpm.y=0),-2,_xlpm.x)))),0))</f>
        <v>-1</v>
      </c>
      <c r="X84" s="199" cm="1">
        <f t="array" aca="1" ref="X84" ca="1">IF(OR($B84="",$B84="X",$D84="",$D84="X",$E84="",$E84="X"),0,IFERROR(_xlfn.LET(_xlpm.x,SUM(SUM(_xlfn._xlws.FILTER(VALUE(PptoSty[Sign]&amp;1)*(1/PptoSty[Division]),(PptoSty[Division]&lt;&gt;0)*(PptoSty[Division]&lt;&gt;"")*(PptoSty[Division]&lt;&gt;"X")*(PptoSty[Project]=$B84)*(PptoSty[Vrs]=$D84)*(PptoSty[PiRow]=_xlfn.TEXTAFTER($H84,":"))*(PptoSty[PiColumn]=X$54),0)),SUM(IF((INDIRECT($B$3)=$B84)*(INDIRECT($C$3)=$D84)*((INDIRECT($E$3)="TOTS")+(INDIRECT($E$3)=$E84)),INDIRECT(X$3)))),_xlpm.y,SUM(_xlfn.CHOOSECOLS(_xlfn._xlws.FILTER(F_RT14[],(F_RT14[PrjId]=$B84)*(F_RT14[Vrs]=$D84)*(_xlfn.TEXTAFTER(F_RT14[ActGrp],":")=_xlfn.TEXTAFTER($H84,":")),"X"),MATCH("*"&amp;X$54,F_RT14[#Headers],0))),IF(AND(_xlpm.x=0,_xlpm.y&lt;&gt;0),-1,IF(AND(_xlpm.x&lt;&gt;0,_xlpm.y&lt;&gt;0),_xlpm.x,IF(AND(_xlpm.x-SUM(IF((INDIRECT($B$3)=$B84)*(INDIRECT($C$3)=$D84)*((INDIRECT($E$3)="TOTS")+(INDIRECT($E$3)=$E84)),INDIRECT(X$3)))&lt;&gt;0,_xlpm.y=0),-2,_xlpm.x)))),0))</f>
        <v>-1</v>
      </c>
      <c r="Y84" s="199" cm="1">
        <f t="array" aca="1" ref="Y84" ca="1">IF(OR($B84="",$B84="X",$D84="",$D84="X",$E84="",$E84="X"),0,IFERROR(_xlfn.LET(_xlpm.x,SUM(SUM(_xlfn._xlws.FILTER(VALUE(PptoSty[Sign]&amp;1)*(1/PptoSty[Division]),(PptoSty[Division]&lt;&gt;0)*(PptoSty[Division]&lt;&gt;"")*(PptoSty[Division]&lt;&gt;"X")*(PptoSty[Project]=$B84)*(PptoSty[Vrs]=$D84)*(PptoSty[PiRow]=_xlfn.TEXTAFTER($H84,":"))*(PptoSty[PiColumn]=Y$54),0)),SUM(IF((INDIRECT($B$3)=$B84)*(INDIRECT($C$3)=$D84)*((INDIRECT($E$3)="TOTS")+(INDIRECT($E$3)=$E84)),INDIRECT(Y$3)))),_xlpm.y,SUM(_xlfn.CHOOSECOLS(_xlfn._xlws.FILTER(F_RT14[],(F_RT14[PrjId]=$B84)*(F_RT14[Vrs]=$D84)*(_xlfn.TEXTAFTER(F_RT14[ActGrp],":")=_xlfn.TEXTAFTER($H84,":")),"X"),MATCH("*"&amp;Y$54,F_RT14[#Headers],0))),IF(AND(_xlpm.x=0,_xlpm.y&lt;&gt;0),-1,IF(AND(_xlpm.x&lt;&gt;0,_xlpm.y&lt;&gt;0),_xlpm.x,IF(AND(_xlpm.x-SUM(IF((INDIRECT($B$3)=$B84)*(INDIRECT($C$3)=$D84)*((INDIRECT($E$3)="TOTS")+(INDIRECT($E$3)=$E84)),INDIRECT(Y$3)))&lt;&gt;0,_xlpm.y=0),-2,_xlpm.x)))),0))</f>
        <v>0</v>
      </c>
      <c r="Z84" s="198" t="str">
        <f t="shared" ca="1" si="2"/>
        <v>Fback!B84:Y84</v>
      </c>
    </row>
    <row r="85" spans="2:26" ht="21" customHeight="1" outlineLevel="1">
      <c r="B85" s="128" t="str">
        <v>31199</v>
      </c>
      <c r="C85" s="128" t="str">
        <v>Sp</v>
      </c>
      <c r="D85" s="128">
        <v>0</v>
      </c>
      <c r="E85" s="128" t="str">
        <v>TOOL</v>
      </c>
      <c r="F85" s="139" t="str">
        <v>SERRA</v>
      </c>
      <c r="G85" s="139" t="str">
        <v>CurPpto</v>
      </c>
      <c r="H85" s="139" t="str">
        <v>P002:FIXTURE OP-120 / 220 SIDE RAIL SUB-ASSY II</v>
      </c>
      <c r="I85" s="199" cm="1">
        <f t="array" aca="1" ref="I85" ca="1">IF(OR($B85="",$B85="X",$D85="",$D85="X",$E85="",$E85="X"),0,IFERROR(_xlfn.LET(_xlpm.x,SUM(SUM(_xlfn._xlws.FILTER(VALUE(PptoSty[Sign]&amp;1)*(1/PptoSty[Division]),(PptoSty[Division]&lt;&gt;0)*(PptoSty[Division]&lt;&gt;"")*(PptoSty[Division]&lt;&gt;"X")*(PptoSty[Project]=$B85)*(PptoSty[Vrs]=$D85)*(PptoSty[PiRow]=_xlfn.TEXTAFTER($H85,":"))*(PptoSty[PiColumn]=I$54),0)),SUM(IF((INDIRECT($B$3)=$B85)*(INDIRECT($C$3)=$D85)*((INDIRECT($E$3)="TOTS")+(INDIRECT($E$3)=$E85)),INDIRECT(I$3)))),_xlpm.y,SUM(_xlfn.CHOOSECOLS(_xlfn._xlws.FILTER(F_RT14[],(F_RT14[PrjId]=$B85)*(F_RT14[Vrs]=$D85)*(_xlfn.TEXTAFTER(F_RT14[ActGrp],":")=_xlfn.TEXTAFTER($H85,":")),"X"),MATCH("*"&amp;I$54,F_RT14[#Headers],0))),IF(AND(_xlpm.x=0,_xlpm.y&lt;&gt;0),-1,IF(AND(_xlpm.x&lt;&gt;0,_xlpm.y&lt;&gt;0),_xlpm.x,IF(AND(_xlpm.x-SUM(IF((INDIRECT($B$3)=$B85)*(INDIRECT($C$3)=$D85)*((INDIRECT($E$3)="TOTS")+(INDIRECT($E$3)=$E85)),INDIRECT(I$3)))&lt;&gt;0,_xlpm.y=0),-2,_xlpm.x)))),0))</f>
        <v>0</v>
      </c>
      <c r="J85" s="199" cm="1">
        <f t="array" aca="1" ref="J85" ca="1">IF(OR($B85="",$B85="X",$D85="",$D85="X",$E85="",$E85="X"),0,IFERROR(_xlfn.LET(_xlpm.x,SUM(SUM(_xlfn._xlws.FILTER(VALUE(PptoSty[Sign]&amp;1)*(1/PptoSty[Division]),(PptoSty[Division]&lt;&gt;0)*(PptoSty[Division]&lt;&gt;"")*(PptoSty[Division]&lt;&gt;"X")*(PptoSty[Project]=$B85)*(PptoSty[Vrs]=$D85)*(PptoSty[PiRow]=_xlfn.TEXTAFTER($H85,":"))*(PptoSty[PiColumn]=J$54),0)),SUM(IF((INDIRECT($B$3)=$B85)*(INDIRECT($C$3)=$D85)*((INDIRECT($E$3)="TOTS")+(INDIRECT($E$3)=$E85)),INDIRECT(J$3)))),_xlpm.y,SUM(_xlfn.CHOOSECOLS(_xlfn._xlws.FILTER(F_RT14[],(F_RT14[PrjId]=$B85)*(F_RT14[Vrs]=$D85)*(_xlfn.TEXTAFTER(F_RT14[ActGrp],":")=_xlfn.TEXTAFTER($H85,":")),"X"),MATCH("*"&amp;J$54,F_RT14[#Headers],0))),IF(AND(_xlpm.x=0,_xlpm.y&lt;&gt;0),-1,IF(AND(_xlpm.x&lt;&gt;0,_xlpm.y&lt;&gt;0),_xlpm.x,IF(AND(_xlpm.x-SUM(IF((INDIRECT($B$3)=$B85)*(INDIRECT($C$3)=$D85)*((INDIRECT($E$3)="TOTS")+(INDIRECT($E$3)=$E85)),INDIRECT(J$3)))&lt;&gt;0,_xlpm.y=0),-2,_xlpm.x)))),0))</f>
        <v>0</v>
      </c>
      <c r="K85" s="199" cm="1">
        <f t="array" aca="1" ref="K85" ca="1">IF(OR($B85="",$B85="X",$D85="",$D85="X",$E85="",$E85="X"),0,IFERROR(_xlfn.LET(_xlpm.x,SUM(SUM(_xlfn._xlws.FILTER(VALUE(PptoSty[Sign]&amp;1)*(1/PptoSty[Division]),(PptoSty[Division]&lt;&gt;0)*(PptoSty[Division]&lt;&gt;"")*(PptoSty[Division]&lt;&gt;"X")*(PptoSty[Project]=$B85)*(PptoSty[Vrs]=$D85)*(PptoSty[PiRow]=_xlfn.TEXTAFTER($H85,":"))*(PptoSty[PiColumn]=K$54),0)),SUM(IF((INDIRECT($B$3)=$B85)*(INDIRECT($C$3)=$D85)*((INDIRECT($E$3)="TOTS")+(INDIRECT($E$3)=$E85)),INDIRECT(K$3)))),_xlpm.y,SUM(_xlfn.CHOOSECOLS(_xlfn._xlws.FILTER(F_RT14[],(F_RT14[PrjId]=$B85)*(F_RT14[Vrs]=$D85)*(_xlfn.TEXTAFTER(F_RT14[ActGrp],":")=_xlfn.TEXTAFTER($H85,":")),"X"),MATCH("*"&amp;K$54,F_RT14[#Headers],0))),IF(AND(_xlpm.x=0,_xlpm.y&lt;&gt;0),-1,IF(AND(_xlpm.x&lt;&gt;0,_xlpm.y&lt;&gt;0),_xlpm.x,IF(AND(_xlpm.x-SUM(IF((INDIRECT($B$3)=$B85)*(INDIRECT($C$3)=$D85)*((INDIRECT($E$3)="TOTS")+(INDIRECT($E$3)=$E85)),INDIRECT(K$3)))&lt;&gt;0,_xlpm.y=0),-2,_xlpm.x)))),0))</f>
        <v>-1</v>
      </c>
      <c r="L85" s="199" cm="1">
        <f t="array" aca="1" ref="L85" ca="1">IF(OR($B85="",$B85="X",$D85="",$D85="X",$E85="",$E85="X"),0,IFERROR(_xlfn.LET(_xlpm.x,SUM(SUM(_xlfn._xlws.FILTER(VALUE(PptoSty[Sign]&amp;1)*(1/PptoSty[Division]),(PptoSty[Division]&lt;&gt;0)*(PptoSty[Division]&lt;&gt;"")*(PptoSty[Division]&lt;&gt;"X")*(PptoSty[Project]=$B85)*(PptoSty[Vrs]=$D85)*(PptoSty[PiRow]=_xlfn.TEXTAFTER($H85,":"))*(PptoSty[PiColumn]=L$54),0)),SUM(IF((INDIRECT($B$3)=$B85)*(INDIRECT($C$3)=$D85)*((INDIRECT($E$3)="TOTS")+(INDIRECT($E$3)=$E85)),INDIRECT(L$3)))),_xlpm.y,SUM(_xlfn.CHOOSECOLS(_xlfn._xlws.FILTER(F_RT14[],(F_RT14[PrjId]=$B85)*(F_RT14[Vrs]=$D85)*(_xlfn.TEXTAFTER(F_RT14[ActGrp],":")=_xlfn.TEXTAFTER($H85,":")),"X"),MATCH("*"&amp;L$54,F_RT14[#Headers],0))),IF(AND(_xlpm.x=0,_xlpm.y&lt;&gt;0),-1,IF(AND(_xlpm.x&lt;&gt;0,_xlpm.y&lt;&gt;0),_xlpm.x,IF(AND(_xlpm.x-SUM(IF((INDIRECT($B$3)=$B85)*(INDIRECT($C$3)=$D85)*((INDIRECT($E$3)="TOTS")+(INDIRECT($E$3)=$E85)),INDIRECT(L$3)))&lt;&gt;0,_xlpm.y=0),-2,_xlpm.x)))),0))</f>
        <v>0</v>
      </c>
      <c r="M85" s="199" cm="1">
        <f t="array" aca="1" ref="M85" ca="1">IF(OR($B85="",$B85="X",$D85="",$D85="X",$E85="",$E85="X"),0,IFERROR(_xlfn.LET(_xlpm.x,SUM(SUM(_xlfn._xlws.FILTER(VALUE(PptoSty[Sign]&amp;1)*(1/PptoSty[Division]),(PptoSty[Division]&lt;&gt;0)*(PptoSty[Division]&lt;&gt;"")*(PptoSty[Division]&lt;&gt;"X")*(PptoSty[Project]=$B85)*(PptoSty[Vrs]=$D85)*(PptoSty[PiRow]=_xlfn.TEXTAFTER($H85,":"))*(PptoSty[PiColumn]=M$54),0)),SUM(IF((INDIRECT($B$3)=$B85)*(INDIRECT($C$3)=$D85)*((INDIRECT($E$3)="TOTS")+(INDIRECT($E$3)=$E85)),INDIRECT(M$3)))),_xlpm.y,SUM(_xlfn.CHOOSECOLS(_xlfn._xlws.FILTER(F_RT14[],(F_RT14[PrjId]=$B85)*(F_RT14[Vrs]=$D85)*(_xlfn.TEXTAFTER(F_RT14[ActGrp],":")=_xlfn.TEXTAFTER($H85,":")),"X"),MATCH("*"&amp;M$54,F_RT14[#Headers],0))),IF(AND(_xlpm.x=0,_xlpm.y&lt;&gt;0),-1,IF(AND(_xlpm.x&lt;&gt;0,_xlpm.y&lt;&gt;0),_xlpm.x,IF(AND(_xlpm.x-SUM(IF((INDIRECT($B$3)=$B85)*(INDIRECT($C$3)=$D85)*((INDIRECT($E$3)="TOTS")+(INDIRECT($E$3)=$E85)),INDIRECT(M$3)))&lt;&gt;0,_xlpm.y=0),-2,_xlpm.x)))),0))</f>
        <v>0</v>
      </c>
      <c r="N85" s="199" cm="1">
        <f t="array" aca="1" ref="N85" ca="1">IF(OR($B85="",$B85="X",$D85="",$D85="X",$E85="",$E85="X"),0,IFERROR(_xlfn.LET(_xlpm.x,SUM(SUM(_xlfn._xlws.FILTER(VALUE(PptoSty[Sign]&amp;1)*(1/PptoSty[Division]),(PptoSty[Division]&lt;&gt;0)*(PptoSty[Division]&lt;&gt;"")*(PptoSty[Division]&lt;&gt;"X")*(PptoSty[Project]=$B85)*(PptoSty[Vrs]=$D85)*(PptoSty[PiRow]=_xlfn.TEXTAFTER($H85,":"))*(PptoSty[PiColumn]=N$54),0)),SUM(IF((INDIRECT($B$3)=$B85)*(INDIRECT($C$3)=$D85)*((INDIRECT($E$3)="TOTS")+(INDIRECT($E$3)=$E85)),INDIRECT(N$3)))),_xlpm.y,SUM(_xlfn.CHOOSECOLS(_xlfn._xlws.FILTER(F_RT14[],(F_RT14[PrjId]=$B85)*(F_RT14[Vrs]=$D85)*(_xlfn.TEXTAFTER(F_RT14[ActGrp],":")=_xlfn.TEXTAFTER($H85,":")),"X"),MATCH("*"&amp;N$54,F_RT14[#Headers],0))),IF(AND(_xlpm.x=0,_xlpm.y&lt;&gt;0),-1,IF(AND(_xlpm.x&lt;&gt;0,_xlpm.y&lt;&gt;0),_xlpm.x,IF(AND(_xlpm.x-SUM(IF((INDIRECT($B$3)=$B85)*(INDIRECT($C$3)=$D85)*((INDIRECT($E$3)="TOTS")+(INDIRECT($E$3)=$E85)),INDIRECT(N$3)))&lt;&gt;0,_xlpm.y=0),-2,_xlpm.x)))),0))</f>
        <v>-1</v>
      </c>
      <c r="O85" s="199" cm="1">
        <f t="array" aca="1" ref="O85" ca="1">IF(OR($B85="",$B85="X",$D85="",$D85="X",$E85="",$E85="X"),0,IFERROR(_xlfn.LET(_xlpm.x,SUM(SUM(_xlfn._xlws.FILTER(VALUE(PptoSty[Sign]&amp;1)*(1/PptoSty[Division]),(PptoSty[Division]&lt;&gt;0)*(PptoSty[Division]&lt;&gt;"")*(PptoSty[Division]&lt;&gt;"X")*(PptoSty[Project]=$B85)*(PptoSty[Vrs]=$D85)*(PptoSty[PiRow]=_xlfn.TEXTAFTER($H85,":"))*(PptoSty[PiColumn]=O$54),0)),SUM(IF((INDIRECT($B$3)=$B85)*(INDIRECT($C$3)=$D85)*((INDIRECT($E$3)="TOTS")+(INDIRECT($E$3)=$E85)),INDIRECT(O$3)))),_xlpm.y,SUM(_xlfn.CHOOSECOLS(_xlfn._xlws.FILTER(F_RT14[],(F_RT14[PrjId]=$B85)*(F_RT14[Vrs]=$D85)*(_xlfn.TEXTAFTER(F_RT14[ActGrp],":")=_xlfn.TEXTAFTER($H85,":")),"X"),MATCH("*"&amp;O$54,F_RT14[#Headers],0))),IF(AND(_xlpm.x=0,_xlpm.y&lt;&gt;0),-1,IF(AND(_xlpm.x&lt;&gt;0,_xlpm.y&lt;&gt;0),_xlpm.x,IF(AND(_xlpm.x-SUM(IF((INDIRECT($B$3)=$B85)*(INDIRECT($C$3)=$D85)*((INDIRECT($E$3)="TOTS")+(INDIRECT($E$3)=$E85)),INDIRECT(O$3)))&lt;&gt;0,_xlpm.y=0),-2,_xlpm.x)))),0))</f>
        <v>0</v>
      </c>
      <c r="P85" s="199" cm="1">
        <f t="array" aca="1" ref="P85" ca="1">IF(OR($B85="",$B85="X",$D85="",$D85="X",$E85="",$E85="X"),0,IFERROR(_xlfn.LET(_xlpm.x,SUM(SUM(_xlfn._xlws.FILTER(VALUE(PptoSty[Sign]&amp;1)*(1/PptoSty[Division]),(PptoSty[Division]&lt;&gt;0)*(PptoSty[Division]&lt;&gt;"")*(PptoSty[Division]&lt;&gt;"X")*(PptoSty[Project]=$B85)*(PptoSty[Vrs]=$D85)*(PptoSty[PiRow]=_xlfn.TEXTAFTER($H85,":"))*(PptoSty[PiColumn]=P$54),0)),SUM(IF((INDIRECT($B$3)=$B85)*(INDIRECT($C$3)=$D85)*((INDIRECT($E$3)="TOTS")+(INDIRECT($E$3)=$E85)),INDIRECT(P$3)))),_xlpm.y,SUM(_xlfn.CHOOSECOLS(_xlfn._xlws.FILTER(F_RT14[],(F_RT14[PrjId]=$B85)*(F_RT14[Vrs]=$D85)*(_xlfn.TEXTAFTER(F_RT14[ActGrp],":")=_xlfn.TEXTAFTER($H85,":")),"X"),MATCH("*"&amp;P$54,F_RT14[#Headers],0))),IF(AND(_xlpm.x=0,_xlpm.y&lt;&gt;0),-1,IF(AND(_xlpm.x&lt;&gt;0,_xlpm.y&lt;&gt;0),_xlpm.x,IF(AND(_xlpm.x-SUM(IF((INDIRECT($B$3)=$B85)*(INDIRECT($C$3)=$D85)*((INDIRECT($E$3)="TOTS")+(INDIRECT($E$3)=$E85)),INDIRECT(P$3)))&lt;&gt;0,_xlpm.y=0),-2,_xlpm.x)))),0))</f>
        <v>-1</v>
      </c>
      <c r="Q85" s="199" cm="1">
        <f t="array" aca="1" ref="Q85" ca="1">IF(OR($B85="",$B85="X",$D85="",$D85="X",$E85="",$E85="X"),0,IFERROR(_xlfn.LET(_xlpm.x,SUM(SUM(_xlfn._xlws.FILTER(VALUE(PptoSty[Sign]&amp;1)*(1/PptoSty[Division]),(PptoSty[Division]&lt;&gt;0)*(PptoSty[Division]&lt;&gt;"")*(PptoSty[Division]&lt;&gt;"X")*(PptoSty[Project]=$B85)*(PptoSty[Vrs]=$D85)*(PptoSty[PiRow]=_xlfn.TEXTAFTER($H85,":"))*(PptoSty[PiColumn]=Q$54),0)),SUM(IF((INDIRECT($B$3)=$B85)*(INDIRECT($C$3)=$D85)*((INDIRECT($E$3)="TOTS")+(INDIRECT($E$3)=$E85)),INDIRECT(Q$3)))),_xlpm.y,SUM(_xlfn.CHOOSECOLS(_xlfn._xlws.FILTER(F_RT14[],(F_RT14[PrjId]=$B85)*(F_RT14[Vrs]=$D85)*(_xlfn.TEXTAFTER(F_RT14[ActGrp],":")=_xlfn.TEXTAFTER($H85,":")),"X"),MATCH("*"&amp;Q$54,F_RT14[#Headers],0))),IF(AND(_xlpm.x=0,_xlpm.y&lt;&gt;0),-1,IF(AND(_xlpm.x&lt;&gt;0,_xlpm.y&lt;&gt;0),_xlpm.x,IF(AND(_xlpm.x-SUM(IF((INDIRECT($B$3)=$B85)*(INDIRECT($C$3)=$D85)*((INDIRECT($E$3)="TOTS")+(INDIRECT($E$3)=$E85)),INDIRECT(Q$3)))&lt;&gt;0,_xlpm.y=0),-2,_xlpm.x)))),0))</f>
        <v>-1</v>
      </c>
      <c r="R85" s="199" cm="1">
        <f t="array" aca="1" ref="R85" ca="1">IF(OR($B85="",$B85="X",$D85="",$D85="X",$E85="",$E85="X"),0,IFERROR(_xlfn.LET(_xlpm.x,SUM(SUM(_xlfn._xlws.FILTER(VALUE(PptoSty[Sign]&amp;1)*(1/PptoSty[Division]),(PptoSty[Division]&lt;&gt;0)*(PptoSty[Division]&lt;&gt;"")*(PptoSty[Division]&lt;&gt;"X")*(PptoSty[Project]=$B85)*(PptoSty[Vrs]=$D85)*(PptoSty[PiRow]=_xlfn.TEXTAFTER($H85,":"))*(PptoSty[PiColumn]=R$54),0)),SUM(IF((INDIRECT($B$3)=$B85)*(INDIRECT($C$3)=$D85)*((INDIRECT($E$3)="TOTS")+(INDIRECT($E$3)=$E85)),INDIRECT(R$3)))),_xlpm.y,SUM(_xlfn.CHOOSECOLS(_xlfn._xlws.FILTER(F_RT14[],(F_RT14[PrjId]=$B85)*(F_RT14[Vrs]=$D85)*(_xlfn.TEXTAFTER(F_RT14[ActGrp],":")=_xlfn.TEXTAFTER($H85,":")),"X"),MATCH("*"&amp;R$54,F_RT14[#Headers],0))),IF(AND(_xlpm.x=0,_xlpm.y&lt;&gt;0),-1,IF(AND(_xlpm.x&lt;&gt;0,_xlpm.y&lt;&gt;0),_xlpm.x,IF(AND(_xlpm.x-SUM(IF((INDIRECT($B$3)=$B85)*(INDIRECT($C$3)=$D85)*((INDIRECT($E$3)="TOTS")+(INDIRECT($E$3)=$E85)),INDIRECT(R$3)))&lt;&gt;0,_xlpm.y=0),-2,_xlpm.x)))),0))</f>
        <v>-1</v>
      </c>
      <c r="S85" s="199" cm="1">
        <f t="array" aca="1" ref="S85" ca="1">IF(OR($B85="",$B85="X",$D85="",$D85="X",$E85="",$E85="X"),0,IFERROR(_xlfn.LET(_xlpm.x,SUM(SUM(_xlfn._xlws.FILTER(VALUE(PptoSty[Sign]&amp;1)*(1/PptoSty[Division]),(PptoSty[Division]&lt;&gt;0)*(PptoSty[Division]&lt;&gt;"")*(PptoSty[Division]&lt;&gt;"X")*(PptoSty[Project]=$B85)*(PptoSty[Vrs]=$D85)*(PptoSty[PiRow]=_xlfn.TEXTAFTER($H85,":"))*(PptoSty[PiColumn]=S$54),0)),SUM(IF((INDIRECT($B$3)=$B85)*(INDIRECT($C$3)=$D85)*((INDIRECT($E$3)="TOTS")+(INDIRECT($E$3)=$E85)),INDIRECT(S$3)))),_xlpm.y,SUM(_xlfn.CHOOSECOLS(_xlfn._xlws.FILTER(F_RT14[],(F_RT14[PrjId]=$B85)*(F_RT14[Vrs]=$D85)*(_xlfn.TEXTAFTER(F_RT14[ActGrp],":")=_xlfn.TEXTAFTER($H85,":")),"X"),MATCH("*"&amp;S$54,F_RT14[#Headers],0))),IF(AND(_xlpm.x=0,_xlpm.y&lt;&gt;0),-1,IF(AND(_xlpm.x&lt;&gt;0,_xlpm.y&lt;&gt;0),_xlpm.x,IF(AND(_xlpm.x-SUM(IF((INDIRECT($B$3)=$B85)*(INDIRECT($C$3)=$D85)*((INDIRECT($E$3)="TOTS")+(INDIRECT($E$3)=$E85)),INDIRECT(S$3)))&lt;&gt;0,_xlpm.y=0),-2,_xlpm.x)))),0))</f>
        <v>-1</v>
      </c>
      <c r="T85" s="199" cm="1">
        <f t="array" aca="1" ref="T85" ca="1">IF(OR($B85="",$B85="X",$D85="",$D85="X",$E85="",$E85="X"),0,IFERROR(_xlfn.LET(_xlpm.x,SUM(SUM(_xlfn._xlws.FILTER(VALUE(PptoSty[Sign]&amp;1)*(1/PptoSty[Division]),(PptoSty[Division]&lt;&gt;0)*(PptoSty[Division]&lt;&gt;"")*(PptoSty[Division]&lt;&gt;"X")*(PptoSty[Project]=$B85)*(PptoSty[Vrs]=$D85)*(PptoSty[PiRow]=_xlfn.TEXTAFTER($H85,":"))*(PptoSty[PiColumn]=T$54),0)),SUM(IF((INDIRECT($B$3)=$B85)*(INDIRECT($C$3)=$D85)*((INDIRECT($E$3)="TOTS")+(INDIRECT($E$3)=$E85)),INDIRECT(T$3)))),_xlpm.y,SUM(_xlfn.CHOOSECOLS(_xlfn._xlws.FILTER(F_RT14[],(F_RT14[PrjId]=$B85)*(F_RT14[Vrs]=$D85)*(_xlfn.TEXTAFTER(F_RT14[ActGrp],":")=_xlfn.TEXTAFTER($H85,":")),"X"),MATCH("*"&amp;T$54,F_RT14[#Headers],0))),IF(AND(_xlpm.x=0,_xlpm.y&lt;&gt;0),-1,IF(AND(_xlpm.x&lt;&gt;0,_xlpm.y&lt;&gt;0),_xlpm.x,IF(AND(_xlpm.x-SUM(IF((INDIRECT($B$3)=$B85)*(INDIRECT($C$3)=$D85)*((INDIRECT($E$3)="TOTS")+(INDIRECT($E$3)=$E85)),INDIRECT(T$3)))&lt;&gt;0,_xlpm.y=0),-2,_xlpm.x)))),0))</f>
        <v>-1</v>
      </c>
      <c r="U85" s="199" cm="1">
        <f t="array" aca="1" ref="U85" ca="1">IF(OR($B85="",$B85="X",$D85="",$D85="X",$E85="",$E85="X"),0,IFERROR(_xlfn.LET(_xlpm.x,SUM(SUM(_xlfn._xlws.FILTER(VALUE(PptoSty[Sign]&amp;1)*(1/PptoSty[Division]),(PptoSty[Division]&lt;&gt;0)*(PptoSty[Division]&lt;&gt;"")*(PptoSty[Division]&lt;&gt;"X")*(PptoSty[Project]=$B85)*(PptoSty[Vrs]=$D85)*(PptoSty[PiRow]=_xlfn.TEXTAFTER($H85,":"))*(PptoSty[PiColumn]=U$54),0)),SUM(IF((INDIRECT($B$3)=$B85)*(INDIRECT($C$3)=$D85)*((INDIRECT($E$3)="TOTS")+(INDIRECT($E$3)=$E85)),INDIRECT(U$3)))),_xlpm.y,SUM(_xlfn.CHOOSECOLS(_xlfn._xlws.FILTER(F_RT14[],(F_RT14[PrjId]=$B85)*(F_RT14[Vrs]=$D85)*(_xlfn.TEXTAFTER(F_RT14[ActGrp],":")=_xlfn.TEXTAFTER($H85,":")),"X"),MATCH("*"&amp;U$54,F_RT14[#Headers],0))),IF(AND(_xlpm.x=0,_xlpm.y&lt;&gt;0),-1,IF(AND(_xlpm.x&lt;&gt;0,_xlpm.y&lt;&gt;0),_xlpm.x,IF(AND(_xlpm.x-SUM(IF((INDIRECT($B$3)=$B85)*(INDIRECT($C$3)=$D85)*((INDIRECT($E$3)="TOTS")+(INDIRECT($E$3)=$E85)),INDIRECT(U$3)))&lt;&gt;0,_xlpm.y=0),-2,_xlpm.x)))),0))</f>
        <v>0</v>
      </c>
      <c r="V85" s="199" cm="1">
        <f t="array" aca="1" ref="V85" ca="1">IF(OR($B85="",$B85="X",$D85="",$D85="X",$E85="",$E85="X"),0,IFERROR(_xlfn.LET(_xlpm.x,SUM(SUM(_xlfn._xlws.FILTER(VALUE(PptoSty[Sign]&amp;1)*(1/PptoSty[Division]),(PptoSty[Division]&lt;&gt;0)*(PptoSty[Division]&lt;&gt;"")*(PptoSty[Division]&lt;&gt;"X")*(PptoSty[Project]=$B85)*(PptoSty[Vrs]=$D85)*(PptoSty[PiRow]=_xlfn.TEXTAFTER($H85,":"))*(PptoSty[PiColumn]=V$54),0)),SUM(IF((INDIRECT($B$3)=$B85)*(INDIRECT($C$3)=$D85)*((INDIRECT($E$3)="TOTS")+(INDIRECT($E$3)=$E85)),INDIRECT(V$3)))),_xlpm.y,SUM(_xlfn.CHOOSECOLS(_xlfn._xlws.FILTER(F_RT14[],(F_RT14[PrjId]=$B85)*(F_RT14[Vrs]=$D85)*(_xlfn.TEXTAFTER(F_RT14[ActGrp],":")=_xlfn.TEXTAFTER($H85,":")),"X"),MATCH("*"&amp;V$54,F_RT14[#Headers],0))),IF(AND(_xlpm.x=0,_xlpm.y&lt;&gt;0),-1,IF(AND(_xlpm.x&lt;&gt;0,_xlpm.y&lt;&gt;0),_xlpm.x,IF(AND(_xlpm.x-SUM(IF((INDIRECT($B$3)=$B85)*(INDIRECT($C$3)=$D85)*((INDIRECT($E$3)="TOTS")+(INDIRECT($E$3)=$E85)),INDIRECT(V$3)))&lt;&gt;0,_xlpm.y=0),-2,_xlpm.x)))),0))</f>
        <v>-1</v>
      </c>
      <c r="W85" s="199" cm="1">
        <f t="array" aca="1" ref="W85" ca="1">IF(OR($B85="",$B85="X",$D85="",$D85="X",$E85="",$E85="X"),0,IFERROR(_xlfn.LET(_xlpm.x,SUM(SUM(_xlfn._xlws.FILTER(VALUE(PptoSty[Sign]&amp;1)*(1/PptoSty[Division]),(PptoSty[Division]&lt;&gt;0)*(PptoSty[Division]&lt;&gt;"")*(PptoSty[Division]&lt;&gt;"X")*(PptoSty[Project]=$B85)*(PptoSty[Vrs]=$D85)*(PptoSty[PiRow]=_xlfn.TEXTAFTER($H85,":"))*(PptoSty[PiColumn]=W$54),0)),SUM(IF((INDIRECT($B$3)=$B85)*(INDIRECT($C$3)=$D85)*((INDIRECT($E$3)="TOTS")+(INDIRECT($E$3)=$E85)),INDIRECT(W$3)))),_xlpm.y,SUM(_xlfn.CHOOSECOLS(_xlfn._xlws.FILTER(F_RT14[],(F_RT14[PrjId]=$B85)*(F_RT14[Vrs]=$D85)*(_xlfn.TEXTAFTER(F_RT14[ActGrp],":")=_xlfn.TEXTAFTER($H85,":")),"X"),MATCH("*"&amp;W$54,F_RT14[#Headers],0))),IF(AND(_xlpm.x=0,_xlpm.y&lt;&gt;0),-1,IF(AND(_xlpm.x&lt;&gt;0,_xlpm.y&lt;&gt;0),_xlpm.x,IF(AND(_xlpm.x-SUM(IF((INDIRECT($B$3)=$B85)*(INDIRECT($C$3)=$D85)*((INDIRECT($E$3)="TOTS")+(INDIRECT($E$3)=$E85)),INDIRECT(W$3)))&lt;&gt;0,_xlpm.y=0),-2,_xlpm.x)))),0))</f>
        <v>-1</v>
      </c>
      <c r="X85" s="199" cm="1">
        <f t="array" aca="1" ref="X85" ca="1">IF(OR($B85="",$B85="X",$D85="",$D85="X",$E85="",$E85="X"),0,IFERROR(_xlfn.LET(_xlpm.x,SUM(SUM(_xlfn._xlws.FILTER(VALUE(PptoSty[Sign]&amp;1)*(1/PptoSty[Division]),(PptoSty[Division]&lt;&gt;0)*(PptoSty[Division]&lt;&gt;"")*(PptoSty[Division]&lt;&gt;"X")*(PptoSty[Project]=$B85)*(PptoSty[Vrs]=$D85)*(PptoSty[PiRow]=_xlfn.TEXTAFTER($H85,":"))*(PptoSty[PiColumn]=X$54),0)),SUM(IF((INDIRECT($B$3)=$B85)*(INDIRECT($C$3)=$D85)*((INDIRECT($E$3)="TOTS")+(INDIRECT($E$3)=$E85)),INDIRECT(X$3)))),_xlpm.y,SUM(_xlfn.CHOOSECOLS(_xlfn._xlws.FILTER(F_RT14[],(F_RT14[PrjId]=$B85)*(F_RT14[Vrs]=$D85)*(_xlfn.TEXTAFTER(F_RT14[ActGrp],":")=_xlfn.TEXTAFTER($H85,":")),"X"),MATCH("*"&amp;X$54,F_RT14[#Headers],0))),IF(AND(_xlpm.x=0,_xlpm.y&lt;&gt;0),-1,IF(AND(_xlpm.x&lt;&gt;0,_xlpm.y&lt;&gt;0),_xlpm.x,IF(AND(_xlpm.x-SUM(IF((INDIRECT($B$3)=$B85)*(INDIRECT($C$3)=$D85)*((INDIRECT($E$3)="TOTS")+(INDIRECT($E$3)=$E85)),INDIRECT(X$3)))&lt;&gt;0,_xlpm.y=0),-2,_xlpm.x)))),0))</f>
        <v>-1</v>
      </c>
      <c r="Y85" s="199" cm="1">
        <f t="array" aca="1" ref="Y85" ca="1">IF(OR($B85="",$B85="X",$D85="",$D85="X",$E85="",$E85="X"),0,IFERROR(_xlfn.LET(_xlpm.x,SUM(SUM(_xlfn._xlws.FILTER(VALUE(PptoSty[Sign]&amp;1)*(1/PptoSty[Division]),(PptoSty[Division]&lt;&gt;0)*(PptoSty[Division]&lt;&gt;"")*(PptoSty[Division]&lt;&gt;"X")*(PptoSty[Project]=$B85)*(PptoSty[Vrs]=$D85)*(PptoSty[PiRow]=_xlfn.TEXTAFTER($H85,":"))*(PptoSty[PiColumn]=Y$54),0)),SUM(IF((INDIRECT($B$3)=$B85)*(INDIRECT($C$3)=$D85)*((INDIRECT($E$3)="TOTS")+(INDIRECT($E$3)=$E85)),INDIRECT(Y$3)))),_xlpm.y,SUM(_xlfn.CHOOSECOLS(_xlfn._xlws.FILTER(F_RT14[],(F_RT14[PrjId]=$B85)*(F_RT14[Vrs]=$D85)*(_xlfn.TEXTAFTER(F_RT14[ActGrp],":")=_xlfn.TEXTAFTER($H85,":")),"X"),MATCH("*"&amp;Y$54,F_RT14[#Headers],0))),IF(AND(_xlpm.x=0,_xlpm.y&lt;&gt;0),-1,IF(AND(_xlpm.x&lt;&gt;0,_xlpm.y&lt;&gt;0),_xlpm.x,IF(AND(_xlpm.x-SUM(IF((INDIRECT($B$3)=$B85)*(INDIRECT($C$3)=$D85)*((INDIRECT($E$3)="TOTS")+(INDIRECT($E$3)=$E85)),INDIRECT(Y$3)))&lt;&gt;0,_xlpm.y=0),-2,_xlpm.x)))),0))</f>
        <v>0</v>
      </c>
      <c r="Z85" s="198" t="str">
        <f t="shared" ca="1" si="2"/>
        <v>Fback!B85:Y85</v>
      </c>
    </row>
    <row r="86" spans="2:26" ht="21" customHeight="1" outlineLevel="1">
      <c r="B86" s="128" t="str">
        <v>31199</v>
      </c>
      <c r="C86" s="128" t="str">
        <v>Sp</v>
      </c>
      <c r="D86" s="128">
        <v>0</v>
      </c>
      <c r="E86" s="128" t="str">
        <v>TOOL</v>
      </c>
      <c r="F86" s="139" t="str">
        <v>SERRA</v>
      </c>
      <c r="G86" s="139" t="str">
        <v>CurPpto</v>
      </c>
      <c r="H86" s="139" t="str">
        <v>P003:FIXTURE OP-130 / 230 SIDE RAIL REWELD</v>
      </c>
      <c r="I86" s="199" cm="1">
        <f t="array" aca="1" ref="I86" ca="1">IF(OR($B86="",$B86="X",$D86="",$D86="X",$E86="",$E86="X"),0,IFERROR(_xlfn.LET(_xlpm.x,SUM(SUM(_xlfn._xlws.FILTER(VALUE(PptoSty[Sign]&amp;1)*(1/PptoSty[Division]),(PptoSty[Division]&lt;&gt;0)*(PptoSty[Division]&lt;&gt;"")*(PptoSty[Division]&lt;&gt;"X")*(PptoSty[Project]=$B86)*(PptoSty[Vrs]=$D86)*(PptoSty[PiRow]=_xlfn.TEXTAFTER($H86,":"))*(PptoSty[PiColumn]=I$54),0)),SUM(IF((INDIRECT($B$3)=$B86)*(INDIRECT($C$3)=$D86)*((INDIRECT($E$3)="TOTS")+(INDIRECT($E$3)=$E86)),INDIRECT(I$3)))),_xlpm.y,SUM(_xlfn.CHOOSECOLS(_xlfn._xlws.FILTER(F_RT14[],(F_RT14[PrjId]=$B86)*(F_RT14[Vrs]=$D86)*(_xlfn.TEXTAFTER(F_RT14[ActGrp],":")=_xlfn.TEXTAFTER($H86,":")),"X"),MATCH("*"&amp;I$54,F_RT14[#Headers],0))),IF(AND(_xlpm.x=0,_xlpm.y&lt;&gt;0),-1,IF(AND(_xlpm.x&lt;&gt;0,_xlpm.y&lt;&gt;0),_xlpm.x,IF(AND(_xlpm.x-SUM(IF((INDIRECT($B$3)=$B86)*(INDIRECT($C$3)=$D86)*((INDIRECT($E$3)="TOTS")+(INDIRECT($E$3)=$E86)),INDIRECT(I$3)))&lt;&gt;0,_xlpm.y=0),-2,_xlpm.x)))),0))</f>
        <v>0</v>
      </c>
      <c r="J86" s="199" cm="1">
        <f t="array" aca="1" ref="J86" ca="1">IF(OR($B86="",$B86="X",$D86="",$D86="X",$E86="",$E86="X"),0,IFERROR(_xlfn.LET(_xlpm.x,SUM(SUM(_xlfn._xlws.FILTER(VALUE(PptoSty[Sign]&amp;1)*(1/PptoSty[Division]),(PptoSty[Division]&lt;&gt;0)*(PptoSty[Division]&lt;&gt;"")*(PptoSty[Division]&lt;&gt;"X")*(PptoSty[Project]=$B86)*(PptoSty[Vrs]=$D86)*(PptoSty[PiRow]=_xlfn.TEXTAFTER($H86,":"))*(PptoSty[PiColumn]=J$54),0)),SUM(IF((INDIRECT($B$3)=$B86)*(INDIRECT($C$3)=$D86)*((INDIRECT($E$3)="TOTS")+(INDIRECT($E$3)=$E86)),INDIRECT(J$3)))),_xlpm.y,SUM(_xlfn.CHOOSECOLS(_xlfn._xlws.FILTER(F_RT14[],(F_RT14[PrjId]=$B86)*(F_RT14[Vrs]=$D86)*(_xlfn.TEXTAFTER(F_RT14[ActGrp],":")=_xlfn.TEXTAFTER($H86,":")),"X"),MATCH("*"&amp;J$54,F_RT14[#Headers],0))),IF(AND(_xlpm.x=0,_xlpm.y&lt;&gt;0),-1,IF(AND(_xlpm.x&lt;&gt;0,_xlpm.y&lt;&gt;0),_xlpm.x,IF(AND(_xlpm.x-SUM(IF((INDIRECT($B$3)=$B86)*(INDIRECT($C$3)=$D86)*((INDIRECT($E$3)="TOTS")+(INDIRECT($E$3)=$E86)),INDIRECT(J$3)))&lt;&gt;0,_xlpm.y=0),-2,_xlpm.x)))),0))</f>
        <v>0</v>
      </c>
      <c r="K86" s="199" cm="1">
        <f t="array" aca="1" ref="K86" ca="1">IF(OR($B86="",$B86="X",$D86="",$D86="X",$E86="",$E86="X"),0,IFERROR(_xlfn.LET(_xlpm.x,SUM(SUM(_xlfn._xlws.FILTER(VALUE(PptoSty[Sign]&amp;1)*(1/PptoSty[Division]),(PptoSty[Division]&lt;&gt;0)*(PptoSty[Division]&lt;&gt;"")*(PptoSty[Division]&lt;&gt;"X")*(PptoSty[Project]=$B86)*(PptoSty[Vrs]=$D86)*(PptoSty[PiRow]=_xlfn.TEXTAFTER($H86,":"))*(PptoSty[PiColumn]=K$54),0)),SUM(IF((INDIRECT($B$3)=$B86)*(INDIRECT($C$3)=$D86)*((INDIRECT($E$3)="TOTS")+(INDIRECT($E$3)=$E86)),INDIRECT(K$3)))),_xlpm.y,SUM(_xlfn.CHOOSECOLS(_xlfn._xlws.FILTER(F_RT14[],(F_RT14[PrjId]=$B86)*(F_RT14[Vrs]=$D86)*(_xlfn.TEXTAFTER(F_RT14[ActGrp],":")=_xlfn.TEXTAFTER($H86,":")),"X"),MATCH("*"&amp;K$54,F_RT14[#Headers],0))),IF(AND(_xlpm.x=0,_xlpm.y&lt;&gt;0),-1,IF(AND(_xlpm.x&lt;&gt;0,_xlpm.y&lt;&gt;0),_xlpm.x,IF(AND(_xlpm.x-SUM(IF((INDIRECT($B$3)=$B86)*(INDIRECT($C$3)=$D86)*((INDIRECT($E$3)="TOTS")+(INDIRECT($E$3)=$E86)),INDIRECT(K$3)))&lt;&gt;0,_xlpm.y=0),-2,_xlpm.x)))),0))</f>
        <v>-1</v>
      </c>
      <c r="L86" s="199" cm="1">
        <f t="array" aca="1" ref="L86" ca="1">IF(OR($B86="",$B86="X",$D86="",$D86="X",$E86="",$E86="X"),0,IFERROR(_xlfn.LET(_xlpm.x,SUM(SUM(_xlfn._xlws.FILTER(VALUE(PptoSty[Sign]&amp;1)*(1/PptoSty[Division]),(PptoSty[Division]&lt;&gt;0)*(PptoSty[Division]&lt;&gt;"")*(PptoSty[Division]&lt;&gt;"X")*(PptoSty[Project]=$B86)*(PptoSty[Vrs]=$D86)*(PptoSty[PiRow]=_xlfn.TEXTAFTER($H86,":"))*(PptoSty[PiColumn]=L$54),0)),SUM(IF((INDIRECT($B$3)=$B86)*(INDIRECT($C$3)=$D86)*((INDIRECT($E$3)="TOTS")+(INDIRECT($E$3)=$E86)),INDIRECT(L$3)))),_xlpm.y,SUM(_xlfn.CHOOSECOLS(_xlfn._xlws.FILTER(F_RT14[],(F_RT14[PrjId]=$B86)*(F_RT14[Vrs]=$D86)*(_xlfn.TEXTAFTER(F_RT14[ActGrp],":")=_xlfn.TEXTAFTER($H86,":")),"X"),MATCH("*"&amp;L$54,F_RT14[#Headers],0))),IF(AND(_xlpm.x=0,_xlpm.y&lt;&gt;0),-1,IF(AND(_xlpm.x&lt;&gt;0,_xlpm.y&lt;&gt;0),_xlpm.x,IF(AND(_xlpm.x-SUM(IF((INDIRECT($B$3)=$B86)*(INDIRECT($C$3)=$D86)*((INDIRECT($E$3)="TOTS")+(INDIRECT($E$3)=$E86)),INDIRECT(L$3)))&lt;&gt;0,_xlpm.y=0),-2,_xlpm.x)))),0))</f>
        <v>0</v>
      </c>
      <c r="M86" s="199" cm="1">
        <f t="array" aca="1" ref="M86" ca="1">IF(OR($B86="",$B86="X",$D86="",$D86="X",$E86="",$E86="X"),0,IFERROR(_xlfn.LET(_xlpm.x,SUM(SUM(_xlfn._xlws.FILTER(VALUE(PptoSty[Sign]&amp;1)*(1/PptoSty[Division]),(PptoSty[Division]&lt;&gt;0)*(PptoSty[Division]&lt;&gt;"")*(PptoSty[Division]&lt;&gt;"X")*(PptoSty[Project]=$B86)*(PptoSty[Vrs]=$D86)*(PptoSty[PiRow]=_xlfn.TEXTAFTER($H86,":"))*(PptoSty[PiColumn]=M$54),0)),SUM(IF((INDIRECT($B$3)=$B86)*(INDIRECT($C$3)=$D86)*((INDIRECT($E$3)="TOTS")+(INDIRECT($E$3)=$E86)),INDIRECT(M$3)))),_xlpm.y,SUM(_xlfn.CHOOSECOLS(_xlfn._xlws.FILTER(F_RT14[],(F_RT14[PrjId]=$B86)*(F_RT14[Vrs]=$D86)*(_xlfn.TEXTAFTER(F_RT14[ActGrp],":")=_xlfn.TEXTAFTER($H86,":")),"X"),MATCH("*"&amp;M$54,F_RT14[#Headers],0))),IF(AND(_xlpm.x=0,_xlpm.y&lt;&gt;0),-1,IF(AND(_xlpm.x&lt;&gt;0,_xlpm.y&lt;&gt;0),_xlpm.x,IF(AND(_xlpm.x-SUM(IF((INDIRECT($B$3)=$B86)*(INDIRECT($C$3)=$D86)*((INDIRECT($E$3)="TOTS")+(INDIRECT($E$3)=$E86)),INDIRECT(M$3)))&lt;&gt;0,_xlpm.y=0),-2,_xlpm.x)))),0))</f>
        <v>0</v>
      </c>
      <c r="N86" s="199" cm="1">
        <f t="array" aca="1" ref="N86" ca="1">IF(OR($B86="",$B86="X",$D86="",$D86="X",$E86="",$E86="X"),0,IFERROR(_xlfn.LET(_xlpm.x,SUM(SUM(_xlfn._xlws.FILTER(VALUE(PptoSty[Sign]&amp;1)*(1/PptoSty[Division]),(PptoSty[Division]&lt;&gt;0)*(PptoSty[Division]&lt;&gt;"")*(PptoSty[Division]&lt;&gt;"X")*(PptoSty[Project]=$B86)*(PptoSty[Vrs]=$D86)*(PptoSty[PiRow]=_xlfn.TEXTAFTER($H86,":"))*(PptoSty[PiColumn]=N$54),0)),SUM(IF((INDIRECT($B$3)=$B86)*(INDIRECT($C$3)=$D86)*((INDIRECT($E$3)="TOTS")+(INDIRECT($E$3)=$E86)),INDIRECT(N$3)))),_xlpm.y,SUM(_xlfn.CHOOSECOLS(_xlfn._xlws.FILTER(F_RT14[],(F_RT14[PrjId]=$B86)*(F_RT14[Vrs]=$D86)*(_xlfn.TEXTAFTER(F_RT14[ActGrp],":")=_xlfn.TEXTAFTER($H86,":")),"X"),MATCH("*"&amp;N$54,F_RT14[#Headers],0))),IF(AND(_xlpm.x=0,_xlpm.y&lt;&gt;0),-1,IF(AND(_xlpm.x&lt;&gt;0,_xlpm.y&lt;&gt;0),_xlpm.x,IF(AND(_xlpm.x-SUM(IF((INDIRECT($B$3)=$B86)*(INDIRECT($C$3)=$D86)*((INDIRECT($E$3)="TOTS")+(INDIRECT($E$3)=$E86)),INDIRECT(N$3)))&lt;&gt;0,_xlpm.y=0),-2,_xlpm.x)))),0))</f>
        <v>-1</v>
      </c>
      <c r="O86" s="199" cm="1">
        <f t="array" aca="1" ref="O86" ca="1">IF(OR($B86="",$B86="X",$D86="",$D86="X",$E86="",$E86="X"),0,IFERROR(_xlfn.LET(_xlpm.x,SUM(SUM(_xlfn._xlws.FILTER(VALUE(PptoSty[Sign]&amp;1)*(1/PptoSty[Division]),(PptoSty[Division]&lt;&gt;0)*(PptoSty[Division]&lt;&gt;"")*(PptoSty[Division]&lt;&gt;"X")*(PptoSty[Project]=$B86)*(PptoSty[Vrs]=$D86)*(PptoSty[PiRow]=_xlfn.TEXTAFTER($H86,":"))*(PptoSty[PiColumn]=O$54),0)),SUM(IF((INDIRECT($B$3)=$B86)*(INDIRECT($C$3)=$D86)*((INDIRECT($E$3)="TOTS")+(INDIRECT($E$3)=$E86)),INDIRECT(O$3)))),_xlpm.y,SUM(_xlfn.CHOOSECOLS(_xlfn._xlws.FILTER(F_RT14[],(F_RT14[PrjId]=$B86)*(F_RT14[Vrs]=$D86)*(_xlfn.TEXTAFTER(F_RT14[ActGrp],":")=_xlfn.TEXTAFTER($H86,":")),"X"),MATCH("*"&amp;O$54,F_RT14[#Headers],0))),IF(AND(_xlpm.x=0,_xlpm.y&lt;&gt;0),-1,IF(AND(_xlpm.x&lt;&gt;0,_xlpm.y&lt;&gt;0),_xlpm.x,IF(AND(_xlpm.x-SUM(IF((INDIRECT($B$3)=$B86)*(INDIRECT($C$3)=$D86)*((INDIRECT($E$3)="TOTS")+(INDIRECT($E$3)=$E86)),INDIRECT(O$3)))&lt;&gt;0,_xlpm.y=0),-2,_xlpm.x)))),0))</f>
        <v>0</v>
      </c>
      <c r="P86" s="199" cm="1">
        <f t="array" aca="1" ref="P86" ca="1">IF(OR($B86="",$B86="X",$D86="",$D86="X",$E86="",$E86="X"),0,IFERROR(_xlfn.LET(_xlpm.x,SUM(SUM(_xlfn._xlws.FILTER(VALUE(PptoSty[Sign]&amp;1)*(1/PptoSty[Division]),(PptoSty[Division]&lt;&gt;0)*(PptoSty[Division]&lt;&gt;"")*(PptoSty[Division]&lt;&gt;"X")*(PptoSty[Project]=$B86)*(PptoSty[Vrs]=$D86)*(PptoSty[PiRow]=_xlfn.TEXTAFTER($H86,":"))*(PptoSty[PiColumn]=P$54),0)),SUM(IF((INDIRECT($B$3)=$B86)*(INDIRECT($C$3)=$D86)*((INDIRECT($E$3)="TOTS")+(INDIRECT($E$3)=$E86)),INDIRECT(P$3)))),_xlpm.y,SUM(_xlfn.CHOOSECOLS(_xlfn._xlws.FILTER(F_RT14[],(F_RT14[PrjId]=$B86)*(F_RT14[Vrs]=$D86)*(_xlfn.TEXTAFTER(F_RT14[ActGrp],":")=_xlfn.TEXTAFTER($H86,":")),"X"),MATCH("*"&amp;P$54,F_RT14[#Headers],0))),IF(AND(_xlpm.x=0,_xlpm.y&lt;&gt;0),-1,IF(AND(_xlpm.x&lt;&gt;0,_xlpm.y&lt;&gt;0),_xlpm.x,IF(AND(_xlpm.x-SUM(IF((INDIRECT($B$3)=$B86)*(INDIRECT($C$3)=$D86)*((INDIRECT($E$3)="TOTS")+(INDIRECT($E$3)=$E86)),INDIRECT(P$3)))&lt;&gt;0,_xlpm.y=0),-2,_xlpm.x)))),0))</f>
        <v>-1</v>
      </c>
      <c r="Q86" s="199" cm="1">
        <f t="array" aca="1" ref="Q86" ca="1">IF(OR($B86="",$B86="X",$D86="",$D86="X",$E86="",$E86="X"),0,IFERROR(_xlfn.LET(_xlpm.x,SUM(SUM(_xlfn._xlws.FILTER(VALUE(PptoSty[Sign]&amp;1)*(1/PptoSty[Division]),(PptoSty[Division]&lt;&gt;0)*(PptoSty[Division]&lt;&gt;"")*(PptoSty[Division]&lt;&gt;"X")*(PptoSty[Project]=$B86)*(PptoSty[Vrs]=$D86)*(PptoSty[PiRow]=_xlfn.TEXTAFTER($H86,":"))*(PptoSty[PiColumn]=Q$54),0)),SUM(IF((INDIRECT($B$3)=$B86)*(INDIRECT($C$3)=$D86)*((INDIRECT($E$3)="TOTS")+(INDIRECT($E$3)=$E86)),INDIRECT(Q$3)))),_xlpm.y,SUM(_xlfn.CHOOSECOLS(_xlfn._xlws.FILTER(F_RT14[],(F_RT14[PrjId]=$B86)*(F_RT14[Vrs]=$D86)*(_xlfn.TEXTAFTER(F_RT14[ActGrp],":")=_xlfn.TEXTAFTER($H86,":")),"X"),MATCH("*"&amp;Q$54,F_RT14[#Headers],0))),IF(AND(_xlpm.x=0,_xlpm.y&lt;&gt;0),-1,IF(AND(_xlpm.x&lt;&gt;0,_xlpm.y&lt;&gt;0),_xlpm.x,IF(AND(_xlpm.x-SUM(IF((INDIRECT($B$3)=$B86)*(INDIRECT($C$3)=$D86)*((INDIRECT($E$3)="TOTS")+(INDIRECT($E$3)=$E86)),INDIRECT(Q$3)))&lt;&gt;0,_xlpm.y=0),-2,_xlpm.x)))),0))</f>
        <v>-1</v>
      </c>
      <c r="R86" s="199" cm="1">
        <f t="array" aca="1" ref="R86" ca="1">IF(OR($B86="",$B86="X",$D86="",$D86="X",$E86="",$E86="X"),0,IFERROR(_xlfn.LET(_xlpm.x,SUM(SUM(_xlfn._xlws.FILTER(VALUE(PptoSty[Sign]&amp;1)*(1/PptoSty[Division]),(PptoSty[Division]&lt;&gt;0)*(PptoSty[Division]&lt;&gt;"")*(PptoSty[Division]&lt;&gt;"X")*(PptoSty[Project]=$B86)*(PptoSty[Vrs]=$D86)*(PptoSty[PiRow]=_xlfn.TEXTAFTER($H86,":"))*(PptoSty[PiColumn]=R$54),0)),SUM(IF((INDIRECT($B$3)=$B86)*(INDIRECT($C$3)=$D86)*((INDIRECT($E$3)="TOTS")+(INDIRECT($E$3)=$E86)),INDIRECT(R$3)))),_xlpm.y,SUM(_xlfn.CHOOSECOLS(_xlfn._xlws.FILTER(F_RT14[],(F_RT14[PrjId]=$B86)*(F_RT14[Vrs]=$D86)*(_xlfn.TEXTAFTER(F_RT14[ActGrp],":")=_xlfn.TEXTAFTER($H86,":")),"X"),MATCH("*"&amp;R$54,F_RT14[#Headers],0))),IF(AND(_xlpm.x=0,_xlpm.y&lt;&gt;0),-1,IF(AND(_xlpm.x&lt;&gt;0,_xlpm.y&lt;&gt;0),_xlpm.x,IF(AND(_xlpm.x-SUM(IF((INDIRECT($B$3)=$B86)*(INDIRECT($C$3)=$D86)*((INDIRECT($E$3)="TOTS")+(INDIRECT($E$3)=$E86)),INDIRECT(R$3)))&lt;&gt;0,_xlpm.y=0),-2,_xlpm.x)))),0))</f>
        <v>-1</v>
      </c>
      <c r="S86" s="199" cm="1">
        <f t="array" aca="1" ref="S86" ca="1">IF(OR($B86="",$B86="X",$D86="",$D86="X",$E86="",$E86="X"),0,IFERROR(_xlfn.LET(_xlpm.x,SUM(SUM(_xlfn._xlws.FILTER(VALUE(PptoSty[Sign]&amp;1)*(1/PptoSty[Division]),(PptoSty[Division]&lt;&gt;0)*(PptoSty[Division]&lt;&gt;"")*(PptoSty[Division]&lt;&gt;"X")*(PptoSty[Project]=$B86)*(PptoSty[Vrs]=$D86)*(PptoSty[PiRow]=_xlfn.TEXTAFTER($H86,":"))*(PptoSty[PiColumn]=S$54),0)),SUM(IF((INDIRECT($B$3)=$B86)*(INDIRECT($C$3)=$D86)*((INDIRECT($E$3)="TOTS")+(INDIRECT($E$3)=$E86)),INDIRECT(S$3)))),_xlpm.y,SUM(_xlfn.CHOOSECOLS(_xlfn._xlws.FILTER(F_RT14[],(F_RT14[PrjId]=$B86)*(F_RT14[Vrs]=$D86)*(_xlfn.TEXTAFTER(F_RT14[ActGrp],":")=_xlfn.TEXTAFTER($H86,":")),"X"),MATCH("*"&amp;S$54,F_RT14[#Headers],0))),IF(AND(_xlpm.x=0,_xlpm.y&lt;&gt;0),-1,IF(AND(_xlpm.x&lt;&gt;0,_xlpm.y&lt;&gt;0),_xlpm.x,IF(AND(_xlpm.x-SUM(IF((INDIRECT($B$3)=$B86)*(INDIRECT($C$3)=$D86)*((INDIRECT($E$3)="TOTS")+(INDIRECT($E$3)=$E86)),INDIRECT(S$3)))&lt;&gt;0,_xlpm.y=0),-2,_xlpm.x)))),0))</f>
        <v>-1</v>
      </c>
      <c r="T86" s="199" cm="1">
        <f t="array" aca="1" ref="T86" ca="1">IF(OR($B86="",$B86="X",$D86="",$D86="X",$E86="",$E86="X"),0,IFERROR(_xlfn.LET(_xlpm.x,SUM(SUM(_xlfn._xlws.FILTER(VALUE(PptoSty[Sign]&amp;1)*(1/PptoSty[Division]),(PptoSty[Division]&lt;&gt;0)*(PptoSty[Division]&lt;&gt;"")*(PptoSty[Division]&lt;&gt;"X")*(PptoSty[Project]=$B86)*(PptoSty[Vrs]=$D86)*(PptoSty[PiRow]=_xlfn.TEXTAFTER($H86,":"))*(PptoSty[PiColumn]=T$54),0)),SUM(IF((INDIRECT($B$3)=$B86)*(INDIRECT($C$3)=$D86)*((INDIRECT($E$3)="TOTS")+(INDIRECT($E$3)=$E86)),INDIRECT(T$3)))),_xlpm.y,SUM(_xlfn.CHOOSECOLS(_xlfn._xlws.FILTER(F_RT14[],(F_RT14[PrjId]=$B86)*(F_RT14[Vrs]=$D86)*(_xlfn.TEXTAFTER(F_RT14[ActGrp],":")=_xlfn.TEXTAFTER($H86,":")),"X"),MATCH("*"&amp;T$54,F_RT14[#Headers],0))),IF(AND(_xlpm.x=0,_xlpm.y&lt;&gt;0),-1,IF(AND(_xlpm.x&lt;&gt;0,_xlpm.y&lt;&gt;0),_xlpm.x,IF(AND(_xlpm.x-SUM(IF((INDIRECT($B$3)=$B86)*(INDIRECT($C$3)=$D86)*((INDIRECT($E$3)="TOTS")+(INDIRECT($E$3)=$E86)),INDIRECT(T$3)))&lt;&gt;0,_xlpm.y=0),-2,_xlpm.x)))),0))</f>
        <v>-1</v>
      </c>
      <c r="U86" s="199" cm="1">
        <f t="array" aca="1" ref="U86" ca="1">IF(OR($B86="",$B86="X",$D86="",$D86="X",$E86="",$E86="X"),0,IFERROR(_xlfn.LET(_xlpm.x,SUM(SUM(_xlfn._xlws.FILTER(VALUE(PptoSty[Sign]&amp;1)*(1/PptoSty[Division]),(PptoSty[Division]&lt;&gt;0)*(PptoSty[Division]&lt;&gt;"")*(PptoSty[Division]&lt;&gt;"X")*(PptoSty[Project]=$B86)*(PptoSty[Vrs]=$D86)*(PptoSty[PiRow]=_xlfn.TEXTAFTER($H86,":"))*(PptoSty[PiColumn]=U$54),0)),SUM(IF((INDIRECT($B$3)=$B86)*(INDIRECT($C$3)=$D86)*((INDIRECT($E$3)="TOTS")+(INDIRECT($E$3)=$E86)),INDIRECT(U$3)))),_xlpm.y,SUM(_xlfn.CHOOSECOLS(_xlfn._xlws.FILTER(F_RT14[],(F_RT14[PrjId]=$B86)*(F_RT14[Vrs]=$D86)*(_xlfn.TEXTAFTER(F_RT14[ActGrp],":")=_xlfn.TEXTAFTER($H86,":")),"X"),MATCH("*"&amp;U$54,F_RT14[#Headers],0))),IF(AND(_xlpm.x=0,_xlpm.y&lt;&gt;0),-1,IF(AND(_xlpm.x&lt;&gt;0,_xlpm.y&lt;&gt;0),_xlpm.x,IF(AND(_xlpm.x-SUM(IF((INDIRECT($B$3)=$B86)*(INDIRECT($C$3)=$D86)*((INDIRECT($E$3)="TOTS")+(INDIRECT($E$3)=$E86)),INDIRECT(U$3)))&lt;&gt;0,_xlpm.y=0),-2,_xlpm.x)))),0))</f>
        <v>0</v>
      </c>
      <c r="V86" s="199" cm="1">
        <f t="array" aca="1" ref="V86" ca="1">IF(OR($B86="",$B86="X",$D86="",$D86="X",$E86="",$E86="X"),0,IFERROR(_xlfn.LET(_xlpm.x,SUM(SUM(_xlfn._xlws.FILTER(VALUE(PptoSty[Sign]&amp;1)*(1/PptoSty[Division]),(PptoSty[Division]&lt;&gt;0)*(PptoSty[Division]&lt;&gt;"")*(PptoSty[Division]&lt;&gt;"X")*(PptoSty[Project]=$B86)*(PptoSty[Vrs]=$D86)*(PptoSty[PiRow]=_xlfn.TEXTAFTER($H86,":"))*(PptoSty[PiColumn]=V$54),0)),SUM(IF((INDIRECT($B$3)=$B86)*(INDIRECT($C$3)=$D86)*((INDIRECT($E$3)="TOTS")+(INDIRECT($E$3)=$E86)),INDIRECT(V$3)))),_xlpm.y,SUM(_xlfn.CHOOSECOLS(_xlfn._xlws.FILTER(F_RT14[],(F_RT14[PrjId]=$B86)*(F_RT14[Vrs]=$D86)*(_xlfn.TEXTAFTER(F_RT14[ActGrp],":")=_xlfn.TEXTAFTER($H86,":")),"X"),MATCH("*"&amp;V$54,F_RT14[#Headers],0))),IF(AND(_xlpm.x=0,_xlpm.y&lt;&gt;0),-1,IF(AND(_xlpm.x&lt;&gt;0,_xlpm.y&lt;&gt;0),_xlpm.x,IF(AND(_xlpm.x-SUM(IF((INDIRECT($B$3)=$B86)*(INDIRECT($C$3)=$D86)*((INDIRECT($E$3)="TOTS")+(INDIRECT($E$3)=$E86)),INDIRECT(V$3)))&lt;&gt;0,_xlpm.y=0),-2,_xlpm.x)))),0))</f>
        <v>-1</v>
      </c>
      <c r="W86" s="199" cm="1">
        <f t="array" aca="1" ref="W86" ca="1">IF(OR($B86="",$B86="X",$D86="",$D86="X",$E86="",$E86="X"),0,IFERROR(_xlfn.LET(_xlpm.x,SUM(SUM(_xlfn._xlws.FILTER(VALUE(PptoSty[Sign]&amp;1)*(1/PptoSty[Division]),(PptoSty[Division]&lt;&gt;0)*(PptoSty[Division]&lt;&gt;"")*(PptoSty[Division]&lt;&gt;"X")*(PptoSty[Project]=$B86)*(PptoSty[Vrs]=$D86)*(PptoSty[PiRow]=_xlfn.TEXTAFTER($H86,":"))*(PptoSty[PiColumn]=W$54),0)),SUM(IF((INDIRECT($B$3)=$B86)*(INDIRECT($C$3)=$D86)*((INDIRECT($E$3)="TOTS")+(INDIRECT($E$3)=$E86)),INDIRECT(W$3)))),_xlpm.y,SUM(_xlfn.CHOOSECOLS(_xlfn._xlws.FILTER(F_RT14[],(F_RT14[PrjId]=$B86)*(F_RT14[Vrs]=$D86)*(_xlfn.TEXTAFTER(F_RT14[ActGrp],":")=_xlfn.TEXTAFTER($H86,":")),"X"),MATCH("*"&amp;W$54,F_RT14[#Headers],0))),IF(AND(_xlpm.x=0,_xlpm.y&lt;&gt;0),-1,IF(AND(_xlpm.x&lt;&gt;0,_xlpm.y&lt;&gt;0),_xlpm.x,IF(AND(_xlpm.x-SUM(IF((INDIRECT($B$3)=$B86)*(INDIRECT($C$3)=$D86)*((INDIRECT($E$3)="TOTS")+(INDIRECT($E$3)=$E86)),INDIRECT(W$3)))&lt;&gt;0,_xlpm.y=0),-2,_xlpm.x)))),0))</f>
        <v>-1</v>
      </c>
      <c r="X86" s="199" cm="1">
        <f t="array" aca="1" ref="X86" ca="1">IF(OR($B86="",$B86="X",$D86="",$D86="X",$E86="",$E86="X"),0,IFERROR(_xlfn.LET(_xlpm.x,SUM(SUM(_xlfn._xlws.FILTER(VALUE(PptoSty[Sign]&amp;1)*(1/PptoSty[Division]),(PptoSty[Division]&lt;&gt;0)*(PptoSty[Division]&lt;&gt;"")*(PptoSty[Division]&lt;&gt;"X")*(PptoSty[Project]=$B86)*(PptoSty[Vrs]=$D86)*(PptoSty[PiRow]=_xlfn.TEXTAFTER($H86,":"))*(PptoSty[PiColumn]=X$54),0)),SUM(IF((INDIRECT($B$3)=$B86)*(INDIRECT($C$3)=$D86)*((INDIRECT($E$3)="TOTS")+(INDIRECT($E$3)=$E86)),INDIRECT(X$3)))),_xlpm.y,SUM(_xlfn.CHOOSECOLS(_xlfn._xlws.FILTER(F_RT14[],(F_RT14[PrjId]=$B86)*(F_RT14[Vrs]=$D86)*(_xlfn.TEXTAFTER(F_RT14[ActGrp],":")=_xlfn.TEXTAFTER($H86,":")),"X"),MATCH("*"&amp;X$54,F_RT14[#Headers],0))),IF(AND(_xlpm.x=0,_xlpm.y&lt;&gt;0),-1,IF(AND(_xlpm.x&lt;&gt;0,_xlpm.y&lt;&gt;0),_xlpm.x,IF(AND(_xlpm.x-SUM(IF((INDIRECT($B$3)=$B86)*(INDIRECT($C$3)=$D86)*((INDIRECT($E$3)="TOTS")+(INDIRECT($E$3)=$E86)),INDIRECT(X$3)))&lt;&gt;0,_xlpm.y=0),-2,_xlpm.x)))),0))</f>
        <v>-1</v>
      </c>
      <c r="Y86" s="199" cm="1">
        <f t="array" aca="1" ref="Y86" ca="1">IF(OR($B86="",$B86="X",$D86="",$D86="X",$E86="",$E86="X"),0,IFERROR(_xlfn.LET(_xlpm.x,SUM(SUM(_xlfn._xlws.FILTER(VALUE(PptoSty[Sign]&amp;1)*(1/PptoSty[Division]),(PptoSty[Division]&lt;&gt;0)*(PptoSty[Division]&lt;&gt;"")*(PptoSty[Division]&lt;&gt;"X")*(PptoSty[Project]=$B86)*(PptoSty[Vrs]=$D86)*(PptoSty[PiRow]=_xlfn.TEXTAFTER($H86,":"))*(PptoSty[PiColumn]=Y$54),0)),SUM(IF((INDIRECT($B$3)=$B86)*(INDIRECT($C$3)=$D86)*((INDIRECT($E$3)="TOTS")+(INDIRECT($E$3)=$E86)),INDIRECT(Y$3)))),_xlpm.y,SUM(_xlfn.CHOOSECOLS(_xlfn._xlws.FILTER(F_RT14[],(F_RT14[PrjId]=$B86)*(F_RT14[Vrs]=$D86)*(_xlfn.TEXTAFTER(F_RT14[ActGrp],":")=_xlfn.TEXTAFTER($H86,":")),"X"),MATCH("*"&amp;Y$54,F_RT14[#Headers],0))),IF(AND(_xlpm.x=0,_xlpm.y&lt;&gt;0),-1,IF(AND(_xlpm.x&lt;&gt;0,_xlpm.y&lt;&gt;0),_xlpm.x,IF(AND(_xlpm.x-SUM(IF((INDIRECT($B$3)=$B86)*(INDIRECT($C$3)=$D86)*((INDIRECT($E$3)="TOTS")+(INDIRECT($E$3)=$E86)),INDIRECT(Y$3)))&lt;&gt;0,_xlpm.y=0),-2,_xlpm.x)))),0))</f>
        <v>0</v>
      </c>
      <c r="Z86" s="198" t="str">
        <f t="shared" ca="1" si="2"/>
        <v>Fback!B86:Y86</v>
      </c>
    </row>
    <row r="87" spans="2:26" ht="21" customHeight="1" outlineLevel="1">
      <c r="B87" s="128" t="str">
        <v>31200</v>
      </c>
      <c r="C87" s="128" t="str">
        <v>Sp</v>
      </c>
      <c r="D87" s="128">
        <v>15</v>
      </c>
      <c r="E87" s="128" t="str">
        <v>TOOL</v>
      </c>
      <c r="F87" s="139" t="str">
        <v>SERRA</v>
      </c>
      <c r="G87" s="139" t="str">
        <v>CurPpto</v>
      </c>
      <c r="H87" s="139" t="str">
        <v>P003:OP-105 MARKING</v>
      </c>
      <c r="I87" s="199" cm="1">
        <f t="array" aca="1" ref="I87" ca="1">IF(OR($B87="",$B87="X",$D87="",$D87="X",$E87="",$E87="X"),0,IFERROR(_xlfn.LET(_xlpm.x,SUM(SUM(_xlfn._xlws.FILTER(VALUE(PptoSty[Sign]&amp;1)*(1/PptoSty[Division]),(PptoSty[Division]&lt;&gt;0)*(PptoSty[Division]&lt;&gt;"")*(PptoSty[Division]&lt;&gt;"X")*(PptoSty[Project]=$B87)*(PptoSty[Vrs]=$D87)*(PptoSty[PiRow]=_xlfn.TEXTAFTER($H87,":"))*(PptoSty[PiColumn]=I$54),0)),SUM(IF((INDIRECT($B$3)=$B87)*(INDIRECT($C$3)=$D87)*((INDIRECT($E$3)="TOTS")+(INDIRECT($E$3)=$E87)),INDIRECT(I$3)))),_xlpm.y,SUM(_xlfn.CHOOSECOLS(_xlfn._xlws.FILTER(F_RT14[],(F_RT14[PrjId]=$B87)*(F_RT14[Vrs]=$D87)*(_xlfn.TEXTAFTER(F_RT14[ActGrp],":")=_xlfn.TEXTAFTER($H87,":")),"X"),MATCH("*"&amp;I$54,F_RT14[#Headers],0))),IF(AND(_xlpm.x=0,_xlpm.y&lt;&gt;0),-1,IF(AND(_xlpm.x&lt;&gt;0,_xlpm.y&lt;&gt;0),_xlpm.x,IF(AND(_xlpm.x-SUM(IF((INDIRECT($B$3)=$B87)*(INDIRECT($C$3)=$D87)*((INDIRECT($E$3)="TOTS")+(INDIRECT($E$3)=$E87)),INDIRECT(I$3)))&lt;&gt;0,_xlpm.y=0),-2,_xlpm.x)))),0))</f>
        <v>0</v>
      </c>
      <c r="J87" s="199" cm="1">
        <f t="array" aca="1" ref="J87" ca="1">IF(OR($B87="",$B87="X",$D87="",$D87="X",$E87="",$E87="X"),0,IFERROR(_xlfn.LET(_xlpm.x,SUM(SUM(_xlfn._xlws.FILTER(VALUE(PptoSty[Sign]&amp;1)*(1/PptoSty[Division]),(PptoSty[Division]&lt;&gt;0)*(PptoSty[Division]&lt;&gt;"")*(PptoSty[Division]&lt;&gt;"X")*(PptoSty[Project]=$B87)*(PptoSty[Vrs]=$D87)*(PptoSty[PiRow]=_xlfn.TEXTAFTER($H87,":"))*(PptoSty[PiColumn]=J$54),0)),SUM(IF((INDIRECT($B$3)=$B87)*(INDIRECT($C$3)=$D87)*((INDIRECT($E$3)="TOTS")+(INDIRECT($E$3)=$E87)),INDIRECT(J$3)))),_xlpm.y,SUM(_xlfn.CHOOSECOLS(_xlfn._xlws.FILTER(F_RT14[],(F_RT14[PrjId]=$B87)*(F_RT14[Vrs]=$D87)*(_xlfn.TEXTAFTER(F_RT14[ActGrp],":")=_xlfn.TEXTAFTER($H87,":")),"X"),MATCH("*"&amp;J$54,F_RT14[#Headers],0))),IF(AND(_xlpm.x=0,_xlpm.y&lt;&gt;0),-1,IF(AND(_xlpm.x&lt;&gt;0,_xlpm.y&lt;&gt;0),_xlpm.x,IF(AND(_xlpm.x-SUM(IF((INDIRECT($B$3)=$B87)*(INDIRECT($C$3)=$D87)*((INDIRECT($E$3)="TOTS")+(INDIRECT($E$3)=$E87)),INDIRECT(J$3)))&lt;&gt;0,_xlpm.y=0),-2,_xlpm.x)))),0))</f>
        <v>0</v>
      </c>
      <c r="K87" s="199" cm="1">
        <f t="array" aca="1" ref="K87" ca="1">IF(OR($B87="",$B87="X",$D87="",$D87="X",$E87="",$E87="X"),0,IFERROR(_xlfn.LET(_xlpm.x,SUM(SUM(_xlfn._xlws.FILTER(VALUE(PptoSty[Sign]&amp;1)*(1/PptoSty[Division]),(PptoSty[Division]&lt;&gt;0)*(PptoSty[Division]&lt;&gt;"")*(PptoSty[Division]&lt;&gt;"X")*(PptoSty[Project]=$B87)*(PptoSty[Vrs]=$D87)*(PptoSty[PiRow]=_xlfn.TEXTAFTER($H87,":"))*(PptoSty[PiColumn]=K$54),0)),SUM(IF((INDIRECT($B$3)=$B87)*(INDIRECT($C$3)=$D87)*((INDIRECT($E$3)="TOTS")+(INDIRECT($E$3)=$E87)),INDIRECT(K$3)))),_xlpm.y,SUM(_xlfn.CHOOSECOLS(_xlfn._xlws.FILTER(F_RT14[],(F_RT14[PrjId]=$B87)*(F_RT14[Vrs]=$D87)*(_xlfn.TEXTAFTER(F_RT14[ActGrp],":")=_xlfn.TEXTAFTER($H87,":")),"X"),MATCH("*"&amp;K$54,F_RT14[#Headers],0))),IF(AND(_xlpm.x=0,_xlpm.y&lt;&gt;0),-1,IF(AND(_xlpm.x&lt;&gt;0,_xlpm.y&lt;&gt;0),_xlpm.x,IF(AND(_xlpm.x-SUM(IF((INDIRECT($B$3)=$B87)*(INDIRECT($C$3)=$D87)*((INDIRECT($E$3)="TOTS")+(INDIRECT($E$3)=$E87)),INDIRECT(K$3)))&lt;&gt;0,_xlpm.y=0),-2,_xlpm.x)))),0))</f>
        <v>-1</v>
      </c>
      <c r="L87" s="199" cm="1">
        <f t="array" aca="1" ref="L87" ca="1">IF(OR($B87="",$B87="X",$D87="",$D87="X",$E87="",$E87="X"),0,IFERROR(_xlfn.LET(_xlpm.x,SUM(SUM(_xlfn._xlws.FILTER(VALUE(PptoSty[Sign]&amp;1)*(1/PptoSty[Division]),(PptoSty[Division]&lt;&gt;0)*(PptoSty[Division]&lt;&gt;"")*(PptoSty[Division]&lt;&gt;"X")*(PptoSty[Project]=$B87)*(PptoSty[Vrs]=$D87)*(PptoSty[PiRow]=_xlfn.TEXTAFTER($H87,":"))*(PptoSty[PiColumn]=L$54),0)),SUM(IF((INDIRECT($B$3)=$B87)*(INDIRECT($C$3)=$D87)*((INDIRECT($E$3)="TOTS")+(INDIRECT($E$3)=$E87)),INDIRECT(L$3)))),_xlpm.y,SUM(_xlfn.CHOOSECOLS(_xlfn._xlws.FILTER(F_RT14[],(F_RT14[PrjId]=$B87)*(F_RT14[Vrs]=$D87)*(_xlfn.TEXTAFTER(F_RT14[ActGrp],":")=_xlfn.TEXTAFTER($H87,":")),"X"),MATCH("*"&amp;L$54,F_RT14[#Headers],0))),IF(AND(_xlpm.x=0,_xlpm.y&lt;&gt;0),-1,IF(AND(_xlpm.x&lt;&gt;0,_xlpm.y&lt;&gt;0),_xlpm.x,IF(AND(_xlpm.x-SUM(IF((INDIRECT($B$3)=$B87)*(INDIRECT($C$3)=$D87)*((INDIRECT($E$3)="TOTS")+(INDIRECT($E$3)=$E87)),INDIRECT(L$3)))&lt;&gt;0,_xlpm.y=0),-2,_xlpm.x)))),0))</f>
        <v>0</v>
      </c>
      <c r="M87" s="199" cm="1">
        <f t="array" aca="1" ref="M87" ca="1">IF(OR($B87="",$B87="X",$D87="",$D87="X",$E87="",$E87="X"),0,IFERROR(_xlfn.LET(_xlpm.x,SUM(SUM(_xlfn._xlws.FILTER(VALUE(PptoSty[Sign]&amp;1)*(1/PptoSty[Division]),(PptoSty[Division]&lt;&gt;0)*(PptoSty[Division]&lt;&gt;"")*(PptoSty[Division]&lt;&gt;"X")*(PptoSty[Project]=$B87)*(PptoSty[Vrs]=$D87)*(PptoSty[PiRow]=_xlfn.TEXTAFTER($H87,":"))*(PptoSty[PiColumn]=M$54),0)),SUM(IF((INDIRECT($B$3)=$B87)*(INDIRECT($C$3)=$D87)*((INDIRECT($E$3)="TOTS")+(INDIRECT($E$3)=$E87)),INDIRECT(M$3)))),_xlpm.y,SUM(_xlfn.CHOOSECOLS(_xlfn._xlws.FILTER(F_RT14[],(F_RT14[PrjId]=$B87)*(F_RT14[Vrs]=$D87)*(_xlfn.TEXTAFTER(F_RT14[ActGrp],":")=_xlfn.TEXTAFTER($H87,":")),"X"),MATCH("*"&amp;M$54,F_RT14[#Headers],0))),IF(AND(_xlpm.x=0,_xlpm.y&lt;&gt;0),-1,IF(AND(_xlpm.x&lt;&gt;0,_xlpm.y&lt;&gt;0),_xlpm.x,IF(AND(_xlpm.x-SUM(IF((INDIRECT($B$3)=$B87)*(INDIRECT($C$3)=$D87)*((INDIRECT($E$3)="TOTS")+(INDIRECT($E$3)=$E87)),INDIRECT(M$3)))&lt;&gt;0,_xlpm.y=0),-2,_xlpm.x)))),0))</f>
        <v>0</v>
      </c>
      <c r="N87" s="199" cm="1">
        <f t="array" aca="1" ref="N87" ca="1">IF(OR($B87="",$B87="X",$D87="",$D87="X",$E87="",$E87="X"),0,IFERROR(_xlfn.LET(_xlpm.x,SUM(SUM(_xlfn._xlws.FILTER(VALUE(PptoSty[Sign]&amp;1)*(1/PptoSty[Division]),(PptoSty[Division]&lt;&gt;0)*(PptoSty[Division]&lt;&gt;"")*(PptoSty[Division]&lt;&gt;"X")*(PptoSty[Project]=$B87)*(PptoSty[Vrs]=$D87)*(PptoSty[PiRow]=_xlfn.TEXTAFTER($H87,":"))*(PptoSty[PiColumn]=N$54),0)),SUM(IF((INDIRECT($B$3)=$B87)*(INDIRECT($C$3)=$D87)*((INDIRECT($E$3)="TOTS")+(INDIRECT($E$3)=$E87)),INDIRECT(N$3)))),_xlpm.y,SUM(_xlfn.CHOOSECOLS(_xlfn._xlws.FILTER(F_RT14[],(F_RT14[PrjId]=$B87)*(F_RT14[Vrs]=$D87)*(_xlfn.TEXTAFTER(F_RT14[ActGrp],":")=_xlfn.TEXTAFTER($H87,":")),"X"),MATCH("*"&amp;N$54,F_RT14[#Headers],0))),IF(AND(_xlpm.x=0,_xlpm.y&lt;&gt;0),-1,IF(AND(_xlpm.x&lt;&gt;0,_xlpm.y&lt;&gt;0),_xlpm.x,IF(AND(_xlpm.x-SUM(IF((INDIRECT($B$3)=$B87)*(INDIRECT($C$3)=$D87)*((INDIRECT($E$3)="TOTS")+(INDIRECT($E$3)=$E87)),INDIRECT(N$3)))&lt;&gt;0,_xlpm.y=0),-2,_xlpm.x)))),0))</f>
        <v>0</v>
      </c>
      <c r="O87" s="199" cm="1">
        <f t="array" aca="1" ref="O87" ca="1">IF(OR($B87="",$B87="X",$D87="",$D87="X",$E87="",$E87="X"),0,IFERROR(_xlfn.LET(_xlpm.x,SUM(SUM(_xlfn._xlws.FILTER(VALUE(PptoSty[Sign]&amp;1)*(1/PptoSty[Division]),(PptoSty[Division]&lt;&gt;0)*(PptoSty[Division]&lt;&gt;"")*(PptoSty[Division]&lt;&gt;"X")*(PptoSty[Project]=$B87)*(PptoSty[Vrs]=$D87)*(PptoSty[PiRow]=_xlfn.TEXTAFTER($H87,":"))*(PptoSty[PiColumn]=O$54),0)),SUM(IF((INDIRECT($B$3)=$B87)*(INDIRECT($C$3)=$D87)*((INDIRECT($E$3)="TOTS")+(INDIRECT($E$3)=$E87)),INDIRECT(O$3)))),_xlpm.y,SUM(_xlfn.CHOOSECOLS(_xlfn._xlws.FILTER(F_RT14[],(F_RT14[PrjId]=$B87)*(F_RT14[Vrs]=$D87)*(_xlfn.TEXTAFTER(F_RT14[ActGrp],":")=_xlfn.TEXTAFTER($H87,":")),"X"),MATCH("*"&amp;O$54,F_RT14[#Headers],0))),IF(AND(_xlpm.x=0,_xlpm.y&lt;&gt;0),-1,IF(AND(_xlpm.x&lt;&gt;0,_xlpm.y&lt;&gt;0),_xlpm.x,IF(AND(_xlpm.x-SUM(IF((INDIRECT($B$3)=$B87)*(INDIRECT($C$3)=$D87)*((INDIRECT($E$3)="TOTS")+(INDIRECT($E$3)=$E87)),INDIRECT(O$3)))&lt;&gt;0,_xlpm.y=0),-2,_xlpm.x)))),0))</f>
        <v>0</v>
      </c>
      <c r="P87" s="199" cm="1">
        <f t="array" aca="1" ref="P87" ca="1">IF(OR($B87="",$B87="X",$D87="",$D87="X",$E87="",$E87="X"),0,IFERROR(_xlfn.LET(_xlpm.x,SUM(SUM(_xlfn._xlws.FILTER(VALUE(PptoSty[Sign]&amp;1)*(1/PptoSty[Division]),(PptoSty[Division]&lt;&gt;0)*(PptoSty[Division]&lt;&gt;"")*(PptoSty[Division]&lt;&gt;"X")*(PptoSty[Project]=$B87)*(PptoSty[Vrs]=$D87)*(PptoSty[PiRow]=_xlfn.TEXTAFTER($H87,":"))*(PptoSty[PiColumn]=P$54),0)),SUM(IF((INDIRECT($B$3)=$B87)*(INDIRECT($C$3)=$D87)*((INDIRECT($E$3)="TOTS")+(INDIRECT($E$3)=$E87)),INDIRECT(P$3)))),_xlpm.y,SUM(_xlfn.CHOOSECOLS(_xlfn._xlws.FILTER(F_RT14[],(F_RT14[PrjId]=$B87)*(F_RT14[Vrs]=$D87)*(_xlfn.TEXTAFTER(F_RT14[ActGrp],":")=_xlfn.TEXTAFTER($H87,":")),"X"),MATCH("*"&amp;P$54,F_RT14[#Headers],0))),IF(AND(_xlpm.x=0,_xlpm.y&lt;&gt;0),-1,IF(AND(_xlpm.x&lt;&gt;0,_xlpm.y&lt;&gt;0),_xlpm.x,IF(AND(_xlpm.x-SUM(IF((INDIRECT($B$3)=$B87)*(INDIRECT($C$3)=$D87)*((INDIRECT($E$3)="TOTS")+(INDIRECT($E$3)=$E87)),INDIRECT(P$3)))&lt;&gt;0,_xlpm.y=0),-2,_xlpm.x)))),0))</f>
        <v>0</v>
      </c>
      <c r="Q87" s="199" cm="1">
        <f t="array" aca="1" ref="Q87" ca="1">IF(OR($B87="",$B87="X",$D87="",$D87="X",$E87="",$E87="X"),0,IFERROR(_xlfn.LET(_xlpm.x,SUM(SUM(_xlfn._xlws.FILTER(VALUE(PptoSty[Sign]&amp;1)*(1/PptoSty[Division]),(PptoSty[Division]&lt;&gt;0)*(PptoSty[Division]&lt;&gt;"")*(PptoSty[Division]&lt;&gt;"X")*(PptoSty[Project]=$B87)*(PptoSty[Vrs]=$D87)*(PptoSty[PiRow]=_xlfn.TEXTAFTER($H87,":"))*(PptoSty[PiColumn]=Q$54),0)),SUM(IF((INDIRECT($B$3)=$B87)*(INDIRECT($C$3)=$D87)*((INDIRECT($E$3)="TOTS")+(INDIRECT($E$3)=$E87)),INDIRECT(Q$3)))),_xlpm.y,SUM(_xlfn.CHOOSECOLS(_xlfn._xlws.FILTER(F_RT14[],(F_RT14[PrjId]=$B87)*(F_RT14[Vrs]=$D87)*(_xlfn.TEXTAFTER(F_RT14[ActGrp],":")=_xlfn.TEXTAFTER($H87,":")),"X"),MATCH("*"&amp;Q$54,F_RT14[#Headers],0))),IF(AND(_xlpm.x=0,_xlpm.y&lt;&gt;0),-1,IF(AND(_xlpm.x&lt;&gt;0,_xlpm.y&lt;&gt;0),_xlpm.x,IF(AND(_xlpm.x-SUM(IF((INDIRECT($B$3)=$B87)*(INDIRECT($C$3)=$D87)*((INDIRECT($E$3)="TOTS")+(INDIRECT($E$3)=$E87)),INDIRECT(Q$3)))&lt;&gt;0,_xlpm.y=0),-2,_xlpm.x)))),0))</f>
        <v>0</v>
      </c>
      <c r="R87" s="199" cm="1">
        <f t="array" aca="1" ref="R87" ca="1">IF(OR($B87="",$B87="X",$D87="",$D87="X",$E87="",$E87="X"),0,IFERROR(_xlfn.LET(_xlpm.x,SUM(SUM(_xlfn._xlws.FILTER(VALUE(PptoSty[Sign]&amp;1)*(1/PptoSty[Division]),(PptoSty[Division]&lt;&gt;0)*(PptoSty[Division]&lt;&gt;"")*(PptoSty[Division]&lt;&gt;"X")*(PptoSty[Project]=$B87)*(PptoSty[Vrs]=$D87)*(PptoSty[PiRow]=_xlfn.TEXTAFTER($H87,":"))*(PptoSty[PiColumn]=R$54),0)),SUM(IF((INDIRECT($B$3)=$B87)*(INDIRECT($C$3)=$D87)*((INDIRECT($E$3)="TOTS")+(INDIRECT($E$3)=$E87)),INDIRECT(R$3)))),_xlpm.y,SUM(_xlfn.CHOOSECOLS(_xlfn._xlws.FILTER(F_RT14[],(F_RT14[PrjId]=$B87)*(F_RT14[Vrs]=$D87)*(_xlfn.TEXTAFTER(F_RT14[ActGrp],":")=_xlfn.TEXTAFTER($H87,":")),"X"),MATCH("*"&amp;R$54,F_RT14[#Headers],0))),IF(AND(_xlpm.x=0,_xlpm.y&lt;&gt;0),-1,IF(AND(_xlpm.x&lt;&gt;0,_xlpm.y&lt;&gt;0),_xlpm.x,IF(AND(_xlpm.x-SUM(IF((INDIRECT($B$3)=$B87)*(INDIRECT($C$3)=$D87)*((INDIRECT($E$3)="TOTS")+(INDIRECT($E$3)=$E87)),INDIRECT(R$3)))&lt;&gt;0,_xlpm.y=0),-2,_xlpm.x)))),0))</f>
        <v>0</v>
      </c>
      <c r="S87" s="199" cm="1">
        <f t="array" aca="1" ref="S87" ca="1">IF(OR($B87="",$B87="X",$D87="",$D87="X",$E87="",$E87="X"),0,IFERROR(_xlfn.LET(_xlpm.x,SUM(SUM(_xlfn._xlws.FILTER(VALUE(PptoSty[Sign]&amp;1)*(1/PptoSty[Division]),(PptoSty[Division]&lt;&gt;0)*(PptoSty[Division]&lt;&gt;"")*(PptoSty[Division]&lt;&gt;"X")*(PptoSty[Project]=$B87)*(PptoSty[Vrs]=$D87)*(PptoSty[PiRow]=_xlfn.TEXTAFTER($H87,":"))*(PptoSty[PiColumn]=S$54),0)),SUM(IF((INDIRECT($B$3)=$B87)*(INDIRECT($C$3)=$D87)*((INDIRECT($E$3)="TOTS")+(INDIRECT($E$3)=$E87)),INDIRECT(S$3)))),_xlpm.y,SUM(_xlfn.CHOOSECOLS(_xlfn._xlws.FILTER(F_RT14[],(F_RT14[PrjId]=$B87)*(F_RT14[Vrs]=$D87)*(_xlfn.TEXTAFTER(F_RT14[ActGrp],":")=_xlfn.TEXTAFTER($H87,":")),"X"),MATCH("*"&amp;S$54,F_RT14[#Headers],0))),IF(AND(_xlpm.x=0,_xlpm.y&lt;&gt;0),-1,IF(AND(_xlpm.x&lt;&gt;0,_xlpm.y&lt;&gt;0),_xlpm.x,IF(AND(_xlpm.x-SUM(IF((INDIRECT($B$3)=$B87)*(INDIRECT($C$3)=$D87)*((INDIRECT($E$3)="TOTS")+(INDIRECT($E$3)=$E87)),INDIRECT(S$3)))&lt;&gt;0,_xlpm.y=0),-2,_xlpm.x)))),0))</f>
        <v>0</v>
      </c>
      <c r="T87" s="199" cm="1">
        <f t="array" aca="1" ref="T87" ca="1">IF(OR($B87="",$B87="X",$D87="",$D87="X",$E87="",$E87="X"),0,IFERROR(_xlfn.LET(_xlpm.x,SUM(SUM(_xlfn._xlws.FILTER(VALUE(PptoSty[Sign]&amp;1)*(1/PptoSty[Division]),(PptoSty[Division]&lt;&gt;0)*(PptoSty[Division]&lt;&gt;"")*(PptoSty[Division]&lt;&gt;"X")*(PptoSty[Project]=$B87)*(PptoSty[Vrs]=$D87)*(PptoSty[PiRow]=_xlfn.TEXTAFTER($H87,":"))*(PptoSty[PiColumn]=T$54),0)),SUM(IF((INDIRECT($B$3)=$B87)*(INDIRECT($C$3)=$D87)*((INDIRECT($E$3)="TOTS")+(INDIRECT($E$3)=$E87)),INDIRECT(T$3)))),_xlpm.y,SUM(_xlfn.CHOOSECOLS(_xlfn._xlws.FILTER(F_RT14[],(F_RT14[PrjId]=$B87)*(F_RT14[Vrs]=$D87)*(_xlfn.TEXTAFTER(F_RT14[ActGrp],":")=_xlfn.TEXTAFTER($H87,":")),"X"),MATCH("*"&amp;T$54,F_RT14[#Headers],0))),IF(AND(_xlpm.x=0,_xlpm.y&lt;&gt;0),-1,IF(AND(_xlpm.x&lt;&gt;0,_xlpm.y&lt;&gt;0),_xlpm.x,IF(AND(_xlpm.x-SUM(IF((INDIRECT($B$3)=$B87)*(INDIRECT($C$3)=$D87)*((INDIRECT($E$3)="TOTS")+(INDIRECT($E$3)=$E87)),INDIRECT(T$3)))&lt;&gt;0,_xlpm.y=0),-2,_xlpm.x)))),0))</f>
        <v>0</v>
      </c>
      <c r="U87" s="199" cm="1">
        <f t="array" aca="1" ref="U87" ca="1">IF(OR($B87="",$B87="X",$D87="",$D87="X",$E87="",$E87="X"),0,IFERROR(_xlfn.LET(_xlpm.x,SUM(SUM(_xlfn._xlws.FILTER(VALUE(PptoSty[Sign]&amp;1)*(1/PptoSty[Division]),(PptoSty[Division]&lt;&gt;0)*(PptoSty[Division]&lt;&gt;"")*(PptoSty[Division]&lt;&gt;"X")*(PptoSty[Project]=$B87)*(PptoSty[Vrs]=$D87)*(PptoSty[PiRow]=_xlfn.TEXTAFTER($H87,":"))*(PptoSty[PiColumn]=U$54),0)),SUM(IF((INDIRECT($B$3)=$B87)*(INDIRECT($C$3)=$D87)*((INDIRECT($E$3)="TOTS")+(INDIRECT($E$3)=$E87)),INDIRECT(U$3)))),_xlpm.y,SUM(_xlfn.CHOOSECOLS(_xlfn._xlws.FILTER(F_RT14[],(F_RT14[PrjId]=$B87)*(F_RT14[Vrs]=$D87)*(_xlfn.TEXTAFTER(F_RT14[ActGrp],":")=_xlfn.TEXTAFTER($H87,":")),"X"),MATCH("*"&amp;U$54,F_RT14[#Headers],0))),IF(AND(_xlpm.x=0,_xlpm.y&lt;&gt;0),-1,IF(AND(_xlpm.x&lt;&gt;0,_xlpm.y&lt;&gt;0),_xlpm.x,IF(AND(_xlpm.x-SUM(IF((INDIRECT($B$3)=$B87)*(INDIRECT($C$3)=$D87)*((INDIRECT($E$3)="TOTS")+(INDIRECT($E$3)=$E87)),INDIRECT(U$3)))&lt;&gt;0,_xlpm.y=0),-2,_xlpm.x)))),0))</f>
        <v>0</v>
      </c>
      <c r="V87" s="199" cm="1">
        <f t="array" aca="1" ref="V87" ca="1">IF(OR($B87="",$B87="X",$D87="",$D87="X",$E87="",$E87="X"),0,IFERROR(_xlfn.LET(_xlpm.x,SUM(SUM(_xlfn._xlws.FILTER(VALUE(PptoSty[Sign]&amp;1)*(1/PptoSty[Division]),(PptoSty[Division]&lt;&gt;0)*(PptoSty[Division]&lt;&gt;"")*(PptoSty[Division]&lt;&gt;"X")*(PptoSty[Project]=$B87)*(PptoSty[Vrs]=$D87)*(PptoSty[PiRow]=_xlfn.TEXTAFTER($H87,":"))*(PptoSty[PiColumn]=V$54),0)),SUM(IF((INDIRECT($B$3)=$B87)*(INDIRECT($C$3)=$D87)*((INDIRECT($E$3)="TOTS")+(INDIRECT($E$3)=$E87)),INDIRECT(V$3)))),_xlpm.y,SUM(_xlfn.CHOOSECOLS(_xlfn._xlws.FILTER(F_RT14[],(F_RT14[PrjId]=$B87)*(F_RT14[Vrs]=$D87)*(_xlfn.TEXTAFTER(F_RT14[ActGrp],":")=_xlfn.TEXTAFTER($H87,":")),"X"),MATCH("*"&amp;V$54,F_RT14[#Headers],0))),IF(AND(_xlpm.x=0,_xlpm.y&lt;&gt;0),-1,IF(AND(_xlpm.x&lt;&gt;0,_xlpm.y&lt;&gt;0),_xlpm.x,IF(AND(_xlpm.x-SUM(IF((INDIRECT($B$3)=$B87)*(INDIRECT($C$3)=$D87)*((INDIRECT($E$3)="TOTS")+(INDIRECT($E$3)=$E87)),INDIRECT(V$3)))&lt;&gt;0,_xlpm.y=0),-2,_xlpm.x)))),0))</f>
        <v>0</v>
      </c>
      <c r="W87" s="199" cm="1">
        <f t="array" aca="1" ref="W87" ca="1">IF(OR($B87="",$B87="X",$D87="",$D87="X",$E87="",$E87="X"),0,IFERROR(_xlfn.LET(_xlpm.x,SUM(SUM(_xlfn._xlws.FILTER(VALUE(PptoSty[Sign]&amp;1)*(1/PptoSty[Division]),(PptoSty[Division]&lt;&gt;0)*(PptoSty[Division]&lt;&gt;"")*(PptoSty[Division]&lt;&gt;"X")*(PptoSty[Project]=$B87)*(PptoSty[Vrs]=$D87)*(PptoSty[PiRow]=_xlfn.TEXTAFTER($H87,":"))*(PptoSty[PiColumn]=W$54),0)),SUM(IF((INDIRECT($B$3)=$B87)*(INDIRECT($C$3)=$D87)*((INDIRECT($E$3)="TOTS")+(INDIRECT($E$3)=$E87)),INDIRECT(W$3)))),_xlpm.y,SUM(_xlfn.CHOOSECOLS(_xlfn._xlws.FILTER(F_RT14[],(F_RT14[PrjId]=$B87)*(F_RT14[Vrs]=$D87)*(_xlfn.TEXTAFTER(F_RT14[ActGrp],":")=_xlfn.TEXTAFTER($H87,":")),"X"),MATCH("*"&amp;W$54,F_RT14[#Headers],0))),IF(AND(_xlpm.x=0,_xlpm.y&lt;&gt;0),-1,IF(AND(_xlpm.x&lt;&gt;0,_xlpm.y&lt;&gt;0),_xlpm.x,IF(AND(_xlpm.x-SUM(IF((INDIRECT($B$3)=$B87)*(INDIRECT($C$3)=$D87)*((INDIRECT($E$3)="TOTS")+(INDIRECT($E$3)=$E87)),INDIRECT(W$3)))&lt;&gt;0,_xlpm.y=0),-2,_xlpm.x)))),0))</f>
        <v>0</v>
      </c>
      <c r="X87" s="199" cm="1">
        <f t="array" aca="1" ref="X87" ca="1">IF(OR($B87="",$B87="X",$D87="",$D87="X",$E87="",$E87="X"),0,IFERROR(_xlfn.LET(_xlpm.x,SUM(SUM(_xlfn._xlws.FILTER(VALUE(PptoSty[Sign]&amp;1)*(1/PptoSty[Division]),(PptoSty[Division]&lt;&gt;0)*(PptoSty[Division]&lt;&gt;"")*(PptoSty[Division]&lt;&gt;"X")*(PptoSty[Project]=$B87)*(PptoSty[Vrs]=$D87)*(PptoSty[PiRow]=_xlfn.TEXTAFTER($H87,":"))*(PptoSty[PiColumn]=X$54),0)),SUM(IF((INDIRECT($B$3)=$B87)*(INDIRECT($C$3)=$D87)*((INDIRECT($E$3)="TOTS")+(INDIRECT($E$3)=$E87)),INDIRECT(X$3)))),_xlpm.y,SUM(_xlfn.CHOOSECOLS(_xlfn._xlws.FILTER(F_RT14[],(F_RT14[PrjId]=$B87)*(F_RT14[Vrs]=$D87)*(_xlfn.TEXTAFTER(F_RT14[ActGrp],":")=_xlfn.TEXTAFTER($H87,":")),"X"),MATCH("*"&amp;X$54,F_RT14[#Headers],0))),IF(AND(_xlpm.x=0,_xlpm.y&lt;&gt;0),-1,IF(AND(_xlpm.x&lt;&gt;0,_xlpm.y&lt;&gt;0),_xlpm.x,IF(AND(_xlpm.x-SUM(IF((INDIRECT($B$3)=$B87)*(INDIRECT($C$3)=$D87)*((INDIRECT($E$3)="TOTS")+(INDIRECT($E$3)=$E87)),INDIRECT(X$3)))&lt;&gt;0,_xlpm.y=0),-2,_xlpm.x)))),0))</f>
        <v>0</v>
      </c>
      <c r="Y87" s="199" cm="1">
        <f t="array" aca="1" ref="Y87" ca="1">IF(OR($B87="",$B87="X",$D87="",$D87="X",$E87="",$E87="X"),0,IFERROR(_xlfn.LET(_xlpm.x,SUM(SUM(_xlfn._xlws.FILTER(VALUE(PptoSty[Sign]&amp;1)*(1/PptoSty[Division]),(PptoSty[Division]&lt;&gt;0)*(PptoSty[Division]&lt;&gt;"")*(PptoSty[Division]&lt;&gt;"X")*(PptoSty[Project]=$B87)*(PptoSty[Vrs]=$D87)*(PptoSty[PiRow]=_xlfn.TEXTAFTER($H87,":"))*(PptoSty[PiColumn]=Y$54),0)),SUM(IF((INDIRECT($B$3)=$B87)*(INDIRECT($C$3)=$D87)*((INDIRECT($E$3)="TOTS")+(INDIRECT($E$3)=$E87)),INDIRECT(Y$3)))),_xlpm.y,SUM(_xlfn.CHOOSECOLS(_xlfn._xlws.FILTER(F_RT14[],(F_RT14[PrjId]=$B87)*(F_RT14[Vrs]=$D87)*(_xlfn.TEXTAFTER(F_RT14[ActGrp],":")=_xlfn.TEXTAFTER($H87,":")),"X"),MATCH("*"&amp;Y$54,F_RT14[#Headers],0))),IF(AND(_xlpm.x=0,_xlpm.y&lt;&gt;0),-1,IF(AND(_xlpm.x&lt;&gt;0,_xlpm.y&lt;&gt;0),_xlpm.x,IF(AND(_xlpm.x-SUM(IF((INDIRECT($B$3)=$B87)*(INDIRECT($C$3)=$D87)*((INDIRECT($E$3)="TOTS")+(INDIRECT($E$3)=$E87)),INDIRECT(Y$3)))&lt;&gt;0,_xlpm.y=0),-2,_xlpm.x)))),0))</f>
        <v>0</v>
      </c>
      <c r="Z87" s="198" t="str">
        <f t="shared" ca="1" si="2"/>
        <v>Fback!B87:Y87</v>
      </c>
    </row>
    <row r="88" spans="2:26" ht="21" customHeight="1" outlineLevel="1">
      <c r="B88" s="128" t="str">
        <v>31200</v>
      </c>
      <c r="C88" s="128" t="str">
        <v>Sp</v>
      </c>
      <c r="D88" s="128">
        <v>15</v>
      </c>
      <c r="E88" s="128" t="str">
        <v>TOOL</v>
      </c>
      <c r="F88" s="139" t="str">
        <v>SERRA</v>
      </c>
      <c r="G88" s="139" t="str">
        <v>CurPpto</v>
      </c>
      <c r="H88" s="139" t="str">
        <v>P004:OP-220.1 WELDING (GEO)</v>
      </c>
      <c r="I88" s="199" cm="1">
        <f t="array" aca="1" ref="I88" ca="1">IF(OR($B88="",$B88="X",$D88="",$D88="X",$E88="",$E88="X"),0,IFERROR(_xlfn.LET(_xlpm.x,SUM(SUM(_xlfn._xlws.FILTER(VALUE(PptoSty[Sign]&amp;1)*(1/PptoSty[Division]),(PptoSty[Division]&lt;&gt;0)*(PptoSty[Division]&lt;&gt;"")*(PptoSty[Division]&lt;&gt;"X")*(PptoSty[Project]=$B88)*(PptoSty[Vrs]=$D88)*(PptoSty[PiRow]=_xlfn.TEXTAFTER($H88,":"))*(PptoSty[PiColumn]=I$54),0)),SUM(IF((INDIRECT($B$3)=$B88)*(INDIRECT($C$3)=$D88)*((INDIRECT($E$3)="TOTS")+(INDIRECT($E$3)=$E88)),INDIRECT(I$3)))),_xlpm.y,SUM(_xlfn.CHOOSECOLS(_xlfn._xlws.FILTER(F_RT14[],(F_RT14[PrjId]=$B88)*(F_RT14[Vrs]=$D88)*(_xlfn.TEXTAFTER(F_RT14[ActGrp],":")=_xlfn.TEXTAFTER($H88,":")),"X"),MATCH("*"&amp;I$54,F_RT14[#Headers],0))),IF(AND(_xlpm.x=0,_xlpm.y&lt;&gt;0),-1,IF(AND(_xlpm.x&lt;&gt;0,_xlpm.y&lt;&gt;0),_xlpm.x,IF(AND(_xlpm.x-SUM(IF((INDIRECT($B$3)=$B88)*(INDIRECT($C$3)=$D88)*((INDIRECT($E$3)="TOTS")+(INDIRECT($E$3)=$E88)),INDIRECT(I$3)))&lt;&gt;0,_xlpm.y=0),-2,_xlpm.x)))),0))</f>
        <v>0</v>
      </c>
      <c r="J88" s="199" cm="1">
        <f t="array" aca="1" ref="J88" ca="1">IF(OR($B88="",$B88="X",$D88="",$D88="X",$E88="",$E88="X"),0,IFERROR(_xlfn.LET(_xlpm.x,SUM(SUM(_xlfn._xlws.FILTER(VALUE(PptoSty[Sign]&amp;1)*(1/PptoSty[Division]),(PptoSty[Division]&lt;&gt;0)*(PptoSty[Division]&lt;&gt;"")*(PptoSty[Division]&lt;&gt;"X")*(PptoSty[Project]=$B88)*(PptoSty[Vrs]=$D88)*(PptoSty[PiRow]=_xlfn.TEXTAFTER($H88,":"))*(PptoSty[PiColumn]=J$54),0)),SUM(IF((INDIRECT($B$3)=$B88)*(INDIRECT($C$3)=$D88)*((INDIRECT($E$3)="TOTS")+(INDIRECT($E$3)=$E88)),INDIRECT(J$3)))),_xlpm.y,SUM(_xlfn.CHOOSECOLS(_xlfn._xlws.FILTER(F_RT14[],(F_RT14[PrjId]=$B88)*(F_RT14[Vrs]=$D88)*(_xlfn.TEXTAFTER(F_RT14[ActGrp],":")=_xlfn.TEXTAFTER($H88,":")),"X"),MATCH("*"&amp;J$54,F_RT14[#Headers],0))),IF(AND(_xlpm.x=0,_xlpm.y&lt;&gt;0),-1,IF(AND(_xlpm.x&lt;&gt;0,_xlpm.y&lt;&gt;0),_xlpm.x,IF(AND(_xlpm.x-SUM(IF((INDIRECT($B$3)=$B88)*(INDIRECT($C$3)=$D88)*((INDIRECT($E$3)="TOTS")+(INDIRECT($E$3)=$E88)),INDIRECT(J$3)))&lt;&gt;0,_xlpm.y=0),-2,_xlpm.x)))),0))</f>
        <v>0</v>
      </c>
      <c r="K88" s="199" cm="1">
        <f t="array" aca="1" ref="K88" ca="1">IF(OR($B88="",$B88="X",$D88="",$D88="X",$E88="",$E88="X"),0,IFERROR(_xlfn.LET(_xlpm.x,SUM(SUM(_xlfn._xlws.FILTER(VALUE(PptoSty[Sign]&amp;1)*(1/PptoSty[Division]),(PptoSty[Division]&lt;&gt;0)*(PptoSty[Division]&lt;&gt;"")*(PptoSty[Division]&lt;&gt;"X")*(PptoSty[Project]=$B88)*(PptoSty[Vrs]=$D88)*(PptoSty[PiRow]=_xlfn.TEXTAFTER($H88,":"))*(PptoSty[PiColumn]=K$54),0)),SUM(IF((INDIRECT($B$3)=$B88)*(INDIRECT($C$3)=$D88)*((INDIRECT($E$3)="TOTS")+(INDIRECT($E$3)=$E88)),INDIRECT(K$3)))),_xlpm.y,SUM(_xlfn.CHOOSECOLS(_xlfn._xlws.FILTER(F_RT14[],(F_RT14[PrjId]=$B88)*(F_RT14[Vrs]=$D88)*(_xlfn.TEXTAFTER(F_RT14[ActGrp],":")=_xlfn.TEXTAFTER($H88,":")),"X"),MATCH("*"&amp;K$54,F_RT14[#Headers],0))),IF(AND(_xlpm.x=0,_xlpm.y&lt;&gt;0),-1,IF(AND(_xlpm.x&lt;&gt;0,_xlpm.y&lt;&gt;0),_xlpm.x,IF(AND(_xlpm.x-SUM(IF((INDIRECT($B$3)=$B88)*(INDIRECT($C$3)=$D88)*((INDIRECT($E$3)="TOTS")+(INDIRECT($E$3)=$E88)),INDIRECT(K$3)))&lt;&gt;0,_xlpm.y=0),-2,_xlpm.x)))),0))</f>
        <v>-1</v>
      </c>
      <c r="L88" s="199" cm="1">
        <f t="array" aca="1" ref="L88" ca="1">IF(OR($B88="",$B88="X",$D88="",$D88="X",$E88="",$E88="X"),0,IFERROR(_xlfn.LET(_xlpm.x,SUM(SUM(_xlfn._xlws.FILTER(VALUE(PptoSty[Sign]&amp;1)*(1/PptoSty[Division]),(PptoSty[Division]&lt;&gt;0)*(PptoSty[Division]&lt;&gt;"")*(PptoSty[Division]&lt;&gt;"X")*(PptoSty[Project]=$B88)*(PptoSty[Vrs]=$D88)*(PptoSty[PiRow]=_xlfn.TEXTAFTER($H88,":"))*(PptoSty[PiColumn]=L$54),0)),SUM(IF((INDIRECT($B$3)=$B88)*(INDIRECT($C$3)=$D88)*((INDIRECT($E$3)="TOTS")+(INDIRECT($E$3)=$E88)),INDIRECT(L$3)))),_xlpm.y,SUM(_xlfn.CHOOSECOLS(_xlfn._xlws.FILTER(F_RT14[],(F_RT14[PrjId]=$B88)*(F_RT14[Vrs]=$D88)*(_xlfn.TEXTAFTER(F_RT14[ActGrp],":")=_xlfn.TEXTAFTER($H88,":")),"X"),MATCH("*"&amp;L$54,F_RT14[#Headers],0))),IF(AND(_xlpm.x=0,_xlpm.y&lt;&gt;0),-1,IF(AND(_xlpm.x&lt;&gt;0,_xlpm.y&lt;&gt;0),_xlpm.x,IF(AND(_xlpm.x-SUM(IF((INDIRECT($B$3)=$B88)*(INDIRECT($C$3)=$D88)*((INDIRECT($E$3)="TOTS")+(INDIRECT($E$3)=$E88)),INDIRECT(L$3)))&lt;&gt;0,_xlpm.y=0),-2,_xlpm.x)))),0))</f>
        <v>0</v>
      </c>
      <c r="M88" s="199" cm="1">
        <f t="array" aca="1" ref="M88" ca="1">IF(OR($B88="",$B88="X",$D88="",$D88="X",$E88="",$E88="X"),0,IFERROR(_xlfn.LET(_xlpm.x,SUM(SUM(_xlfn._xlws.FILTER(VALUE(PptoSty[Sign]&amp;1)*(1/PptoSty[Division]),(PptoSty[Division]&lt;&gt;0)*(PptoSty[Division]&lt;&gt;"")*(PptoSty[Division]&lt;&gt;"X")*(PptoSty[Project]=$B88)*(PptoSty[Vrs]=$D88)*(PptoSty[PiRow]=_xlfn.TEXTAFTER($H88,":"))*(PptoSty[PiColumn]=M$54),0)),SUM(IF((INDIRECT($B$3)=$B88)*(INDIRECT($C$3)=$D88)*((INDIRECT($E$3)="TOTS")+(INDIRECT($E$3)=$E88)),INDIRECT(M$3)))),_xlpm.y,SUM(_xlfn.CHOOSECOLS(_xlfn._xlws.FILTER(F_RT14[],(F_RT14[PrjId]=$B88)*(F_RT14[Vrs]=$D88)*(_xlfn.TEXTAFTER(F_RT14[ActGrp],":")=_xlfn.TEXTAFTER($H88,":")),"X"),MATCH("*"&amp;M$54,F_RT14[#Headers],0))),IF(AND(_xlpm.x=0,_xlpm.y&lt;&gt;0),-1,IF(AND(_xlpm.x&lt;&gt;0,_xlpm.y&lt;&gt;0),_xlpm.x,IF(AND(_xlpm.x-SUM(IF((INDIRECT($B$3)=$B88)*(INDIRECT($C$3)=$D88)*((INDIRECT($E$3)="TOTS")+(INDIRECT($E$3)=$E88)),INDIRECT(M$3)))&lt;&gt;0,_xlpm.y=0),-2,_xlpm.x)))),0))</f>
        <v>0</v>
      </c>
      <c r="N88" s="199" cm="1">
        <f t="array" aca="1" ref="N88" ca="1">IF(OR($B88="",$B88="X",$D88="",$D88="X",$E88="",$E88="X"),0,IFERROR(_xlfn.LET(_xlpm.x,SUM(SUM(_xlfn._xlws.FILTER(VALUE(PptoSty[Sign]&amp;1)*(1/PptoSty[Division]),(PptoSty[Division]&lt;&gt;0)*(PptoSty[Division]&lt;&gt;"")*(PptoSty[Division]&lt;&gt;"X")*(PptoSty[Project]=$B88)*(PptoSty[Vrs]=$D88)*(PptoSty[PiRow]=_xlfn.TEXTAFTER($H88,":"))*(PptoSty[PiColumn]=N$54),0)),SUM(IF((INDIRECT($B$3)=$B88)*(INDIRECT($C$3)=$D88)*((INDIRECT($E$3)="TOTS")+(INDIRECT($E$3)=$E88)),INDIRECT(N$3)))),_xlpm.y,SUM(_xlfn.CHOOSECOLS(_xlfn._xlws.FILTER(F_RT14[],(F_RT14[PrjId]=$B88)*(F_RT14[Vrs]=$D88)*(_xlfn.TEXTAFTER(F_RT14[ActGrp],":")=_xlfn.TEXTAFTER($H88,":")),"X"),MATCH("*"&amp;N$54,F_RT14[#Headers],0))),IF(AND(_xlpm.x=0,_xlpm.y&lt;&gt;0),-1,IF(AND(_xlpm.x&lt;&gt;0,_xlpm.y&lt;&gt;0),_xlpm.x,IF(AND(_xlpm.x-SUM(IF((INDIRECT($B$3)=$B88)*(INDIRECT($C$3)=$D88)*((INDIRECT($E$3)="TOTS")+(INDIRECT($E$3)=$E88)),INDIRECT(N$3)))&lt;&gt;0,_xlpm.y=0),-2,_xlpm.x)))),0))</f>
        <v>-1</v>
      </c>
      <c r="O88" s="199" cm="1">
        <f t="array" aca="1" ref="O88" ca="1">IF(OR($B88="",$B88="X",$D88="",$D88="X",$E88="",$E88="X"),0,IFERROR(_xlfn.LET(_xlpm.x,SUM(SUM(_xlfn._xlws.FILTER(VALUE(PptoSty[Sign]&amp;1)*(1/PptoSty[Division]),(PptoSty[Division]&lt;&gt;0)*(PptoSty[Division]&lt;&gt;"")*(PptoSty[Division]&lt;&gt;"X")*(PptoSty[Project]=$B88)*(PptoSty[Vrs]=$D88)*(PptoSty[PiRow]=_xlfn.TEXTAFTER($H88,":"))*(PptoSty[PiColumn]=O$54),0)),SUM(IF((INDIRECT($B$3)=$B88)*(INDIRECT($C$3)=$D88)*((INDIRECT($E$3)="TOTS")+(INDIRECT($E$3)=$E88)),INDIRECT(O$3)))),_xlpm.y,SUM(_xlfn.CHOOSECOLS(_xlfn._xlws.FILTER(F_RT14[],(F_RT14[PrjId]=$B88)*(F_RT14[Vrs]=$D88)*(_xlfn.TEXTAFTER(F_RT14[ActGrp],":")=_xlfn.TEXTAFTER($H88,":")),"X"),MATCH("*"&amp;O$54,F_RT14[#Headers],0))),IF(AND(_xlpm.x=0,_xlpm.y&lt;&gt;0),-1,IF(AND(_xlpm.x&lt;&gt;0,_xlpm.y&lt;&gt;0),_xlpm.x,IF(AND(_xlpm.x-SUM(IF((INDIRECT($B$3)=$B88)*(INDIRECT($C$3)=$D88)*((INDIRECT($E$3)="TOTS")+(INDIRECT($E$3)=$E88)),INDIRECT(O$3)))&lt;&gt;0,_xlpm.y=0),-2,_xlpm.x)))),0))</f>
        <v>0</v>
      </c>
      <c r="P88" s="199" cm="1">
        <f t="array" aca="1" ref="P88" ca="1">IF(OR($B88="",$B88="X",$D88="",$D88="X",$E88="",$E88="X"),0,IFERROR(_xlfn.LET(_xlpm.x,SUM(SUM(_xlfn._xlws.FILTER(VALUE(PptoSty[Sign]&amp;1)*(1/PptoSty[Division]),(PptoSty[Division]&lt;&gt;0)*(PptoSty[Division]&lt;&gt;"")*(PptoSty[Division]&lt;&gt;"X")*(PptoSty[Project]=$B88)*(PptoSty[Vrs]=$D88)*(PptoSty[PiRow]=_xlfn.TEXTAFTER($H88,":"))*(PptoSty[PiColumn]=P$54),0)),SUM(IF((INDIRECT($B$3)=$B88)*(INDIRECT($C$3)=$D88)*((INDIRECT($E$3)="TOTS")+(INDIRECT($E$3)=$E88)),INDIRECT(P$3)))),_xlpm.y,SUM(_xlfn.CHOOSECOLS(_xlfn._xlws.FILTER(F_RT14[],(F_RT14[PrjId]=$B88)*(F_RT14[Vrs]=$D88)*(_xlfn.TEXTAFTER(F_RT14[ActGrp],":")=_xlfn.TEXTAFTER($H88,":")),"X"),MATCH("*"&amp;P$54,F_RT14[#Headers],0))),IF(AND(_xlpm.x=0,_xlpm.y&lt;&gt;0),-1,IF(AND(_xlpm.x&lt;&gt;0,_xlpm.y&lt;&gt;0),_xlpm.x,IF(AND(_xlpm.x-SUM(IF((INDIRECT($B$3)=$B88)*(INDIRECT($C$3)=$D88)*((INDIRECT($E$3)="TOTS")+(INDIRECT($E$3)=$E88)),INDIRECT(P$3)))&lt;&gt;0,_xlpm.y=0),-2,_xlpm.x)))),0))</f>
        <v>-1</v>
      </c>
      <c r="Q88" s="199" cm="1">
        <f t="array" aca="1" ref="Q88" ca="1">IF(OR($B88="",$B88="X",$D88="",$D88="X",$E88="",$E88="X"),0,IFERROR(_xlfn.LET(_xlpm.x,SUM(SUM(_xlfn._xlws.FILTER(VALUE(PptoSty[Sign]&amp;1)*(1/PptoSty[Division]),(PptoSty[Division]&lt;&gt;0)*(PptoSty[Division]&lt;&gt;"")*(PptoSty[Division]&lt;&gt;"X")*(PptoSty[Project]=$B88)*(PptoSty[Vrs]=$D88)*(PptoSty[PiRow]=_xlfn.TEXTAFTER($H88,":"))*(PptoSty[PiColumn]=Q$54),0)),SUM(IF((INDIRECT($B$3)=$B88)*(INDIRECT($C$3)=$D88)*((INDIRECT($E$3)="TOTS")+(INDIRECT($E$3)=$E88)),INDIRECT(Q$3)))),_xlpm.y,SUM(_xlfn.CHOOSECOLS(_xlfn._xlws.FILTER(F_RT14[],(F_RT14[PrjId]=$B88)*(F_RT14[Vrs]=$D88)*(_xlfn.TEXTAFTER(F_RT14[ActGrp],":")=_xlfn.TEXTAFTER($H88,":")),"X"),MATCH("*"&amp;Q$54,F_RT14[#Headers],0))),IF(AND(_xlpm.x=0,_xlpm.y&lt;&gt;0),-1,IF(AND(_xlpm.x&lt;&gt;0,_xlpm.y&lt;&gt;0),_xlpm.x,IF(AND(_xlpm.x-SUM(IF((INDIRECT($B$3)=$B88)*(INDIRECT($C$3)=$D88)*((INDIRECT($E$3)="TOTS")+(INDIRECT($E$3)=$E88)),INDIRECT(Q$3)))&lt;&gt;0,_xlpm.y=0),-2,_xlpm.x)))),0))</f>
        <v>-1</v>
      </c>
      <c r="R88" s="199" cm="1">
        <f t="array" aca="1" ref="R88" ca="1">IF(OR($B88="",$B88="X",$D88="",$D88="X",$E88="",$E88="X"),0,IFERROR(_xlfn.LET(_xlpm.x,SUM(SUM(_xlfn._xlws.FILTER(VALUE(PptoSty[Sign]&amp;1)*(1/PptoSty[Division]),(PptoSty[Division]&lt;&gt;0)*(PptoSty[Division]&lt;&gt;"")*(PptoSty[Division]&lt;&gt;"X")*(PptoSty[Project]=$B88)*(PptoSty[Vrs]=$D88)*(PptoSty[PiRow]=_xlfn.TEXTAFTER($H88,":"))*(PptoSty[PiColumn]=R$54),0)),SUM(IF((INDIRECT($B$3)=$B88)*(INDIRECT($C$3)=$D88)*((INDIRECT($E$3)="TOTS")+(INDIRECT($E$3)=$E88)),INDIRECT(R$3)))),_xlpm.y,SUM(_xlfn.CHOOSECOLS(_xlfn._xlws.FILTER(F_RT14[],(F_RT14[PrjId]=$B88)*(F_RT14[Vrs]=$D88)*(_xlfn.TEXTAFTER(F_RT14[ActGrp],":")=_xlfn.TEXTAFTER($H88,":")),"X"),MATCH("*"&amp;R$54,F_RT14[#Headers],0))),IF(AND(_xlpm.x=0,_xlpm.y&lt;&gt;0),-1,IF(AND(_xlpm.x&lt;&gt;0,_xlpm.y&lt;&gt;0),_xlpm.x,IF(AND(_xlpm.x-SUM(IF((INDIRECT($B$3)=$B88)*(INDIRECT($C$3)=$D88)*((INDIRECT($E$3)="TOTS")+(INDIRECT($E$3)=$E88)),INDIRECT(R$3)))&lt;&gt;0,_xlpm.y=0),-2,_xlpm.x)))),0))</f>
        <v>-1</v>
      </c>
      <c r="S88" s="199" cm="1">
        <f t="array" aca="1" ref="S88" ca="1">IF(OR($B88="",$B88="X",$D88="",$D88="X",$E88="",$E88="X"),0,IFERROR(_xlfn.LET(_xlpm.x,SUM(SUM(_xlfn._xlws.FILTER(VALUE(PptoSty[Sign]&amp;1)*(1/PptoSty[Division]),(PptoSty[Division]&lt;&gt;0)*(PptoSty[Division]&lt;&gt;"")*(PptoSty[Division]&lt;&gt;"X")*(PptoSty[Project]=$B88)*(PptoSty[Vrs]=$D88)*(PptoSty[PiRow]=_xlfn.TEXTAFTER($H88,":"))*(PptoSty[PiColumn]=S$54),0)),SUM(IF((INDIRECT($B$3)=$B88)*(INDIRECT($C$3)=$D88)*((INDIRECT($E$3)="TOTS")+(INDIRECT($E$3)=$E88)),INDIRECT(S$3)))),_xlpm.y,SUM(_xlfn.CHOOSECOLS(_xlfn._xlws.FILTER(F_RT14[],(F_RT14[PrjId]=$B88)*(F_RT14[Vrs]=$D88)*(_xlfn.TEXTAFTER(F_RT14[ActGrp],":")=_xlfn.TEXTAFTER($H88,":")),"X"),MATCH("*"&amp;S$54,F_RT14[#Headers],0))),IF(AND(_xlpm.x=0,_xlpm.y&lt;&gt;0),-1,IF(AND(_xlpm.x&lt;&gt;0,_xlpm.y&lt;&gt;0),_xlpm.x,IF(AND(_xlpm.x-SUM(IF((INDIRECT($B$3)=$B88)*(INDIRECT($C$3)=$D88)*((INDIRECT($E$3)="TOTS")+(INDIRECT($E$3)=$E88)),INDIRECT(S$3)))&lt;&gt;0,_xlpm.y=0),-2,_xlpm.x)))),0))</f>
        <v>-1</v>
      </c>
      <c r="T88" s="199" cm="1">
        <f t="array" aca="1" ref="T88" ca="1">IF(OR($B88="",$B88="X",$D88="",$D88="X",$E88="",$E88="X"),0,IFERROR(_xlfn.LET(_xlpm.x,SUM(SUM(_xlfn._xlws.FILTER(VALUE(PptoSty[Sign]&amp;1)*(1/PptoSty[Division]),(PptoSty[Division]&lt;&gt;0)*(PptoSty[Division]&lt;&gt;"")*(PptoSty[Division]&lt;&gt;"X")*(PptoSty[Project]=$B88)*(PptoSty[Vrs]=$D88)*(PptoSty[PiRow]=_xlfn.TEXTAFTER($H88,":"))*(PptoSty[PiColumn]=T$54),0)),SUM(IF((INDIRECT($B$3)=$B88)*(INDIRECT($C$3)=$D88)*((INDIRECT($E$3)="TOTS")+(INDIRECT($E$3)=$E88)),INDIRECT(T$3)))),_xlpm.y,SUM(_xlfn.CHOOSECOLS(_xlfn._xlws.FILTER(F_RT14[],(F_RT14[PrjId]=$B88)*(F_RT14[Vrs]=$D88)*(_xlfn.TEXTAFTER(F_RT14[ActGrp],":")=_xlfn.TEXTAFTER($H88,":")),"X"),MATCH("*"&amp;T$54,F_RT14[#Headers],0))),IF(AND(_xlpm.x=0,_xlpm.y&lt;&gt;0),-1,IF(AND(_xlpm.x&lt;&gt;0,_xlpm.y&lt;&gt;0),_xlpm.x,IF(AND(_xlpm.x-SUM(IF((INDIRECT($B$3)=$B88)*(INDIRECT($C$3)=$D88)*((INDIRECT($E$3)="TOTS")+(INDIRECT($E$3)=$E88)),INDIRECT(T$3)))&lt;&gt;0,_xlpm.y=0),-2,_xlpm.x)))),0))</f>
        <v>-1</v>
      </c>
      <c r="U88" s="199" cm="1">
        <f t="array" aca="1" ref="U88" ca="1">IF(OR($B88="",$B88="X",$D88="",$D88="X",$E88="",$E88="X"),0,IFERROR(_xlfn.LET(_xlpm.x,SUM(SUM(_xlfn._xlws.FILTER(VALUE(PptoSty[Sign]&amp;1)*(1/PptoSty[Division]),(PptoSty[Division]&lt;&gt;0)*(PptoSty[Division]&lt;&gt;"")*(PptoSty[Division]&lt;&gt;"X")*(PptoSty[Project]=$B88)*(PptoSty[Vrs]=$D88)*(PptoSty[PiRow]=_xlfn.TEXTAFTER($H88,":"))*(PptoSty[PiColumn]=U$54),0)),SUM(IF((INDIRECT($B$3)=$B88)*(INDIRECT($C$3)=$D88)*((INDIRECT($E$3)="TOTS")+(INDIRECT($E$3)=$E88)),INDIRECT(U$3)))),_xlpm.y,SUM(_xlfn.CHOOSECOLS(_xlfn._xlws.FILTER(F_RT14[],(F_RT14[PrjId]=$B88)*(F_RT14[Vrs]=$D88)*(_xlfn.TEXTAFTER(F_RT14[ActGrp],":")=_xlfn.TEXTAFTER($H88,":")),"X"),MATCH("*"&amp;U$54,F_RT14[#Headers],0))),IF(AND(_xlpm.x=0,_xlpm.y&lt;&gt;0),-1,IF(AND(_xlpm.x&lt;&gt;0,_xlpm.y&lt;&gt;0),_xlpm.x,IF(AND(_xlpm.x-SUM(IF((INDIRECT($B$3)=$B88)*(INDIRECT($C$3)=$D88)*((INDIRECT($E$3)="TOTS")+(INDIRECT($E$3)=$E88)),INDIRECT(U$3)))&lt;&gt;0,_xlpm.y=0),-2,_xlpm.x)))),0))</f>
        <v>0</v>
      </c>
      <c r="V88" s="199" cm="1">
        <f t="array" aca="1" ref="V88" ca="1">IF(OR($B88="",$B88="X",$D88="",$D88="X",$E88="",$E88="X"),0,IFERROR(_xlfn.LET(_xlpm.x,SUM(SUM(_xlfn._xlws.FILTER(VALUE(PptoSty[Sign]&amp;1)*(1/PptoSty[Division]),(PptoSty[Division]&lt;&gt;0)*(PptoSty[Division]&lt;&gt;"")*(PptoSty[Division]&lt;&gt;"X")*(PptoSty[Project]=$B88)*(PptoSty[Vrs]=$D88)*(PptoSty[PiRow]=_xlfn.TEXTAFTER($H88,":"))*(PptoSty[PiColumn]=V$54),0)),SUM(IF((INDIRECT($B$3)=$B88)*(INDIRECT($C$3)=$D88)*((INDIRECT($E$3)="TOTS")+(INDIRECT($E$3)=$E88)),INDIRECT(V$3)))),_xlpm.y,SUM(_xlfn.CHOOSECOLS(_xlfn._xlws.FILTER(F_RT14[],(F_RT14[PrjId]=$B88)*(F_RT14[Vrs]=$D88)*(_xlfn.TEXTAFTER(F_RT14[ActGrp],":")=_xlfn.TEXTAFTER($H88,":")),"X"),MATCH("*"&amp;V$54,F_RT14[#Headers],0))),IF(AND(_xlpm.x=0,_xlpm.y&lt;&gt;0),-1,IF(AND(_xlpm.x&lt;&gt;0,_xlpm.y&lt;&gt;0),_xlpm.x,IF(AND(_xlpm.x-SUM(IF((INDIRECT($B$3)=$B88)*(INDIRECT($C$3)=$D88)*((INDIRECT($E$3)="TOTS")+(INDIRECT($E$3)=$E88)),INDIRECT(V$3)))&lt;&gt;0,_xlpm.y=0),-2,_xlpm.x)))),0))</f>
        <v>-1</v>
      </c>
      <c r="W88" s="199" cm="1">
        <f t="array" aca="1" ref="W88" ca="1">IF(OR($B88="",$B88="X",$D88="",$D88="X",$E88="",$E88="X"),0,IFERROR(_xlfn.LET(_xlpm.x,SUM(SUM(_xlfn._xlws.FILTER(VALUE(PptoSty[Sign]&amp;1)*(1/PptoSty[Division]),(PptoSty[Division]&lt;&gt;0)*(PptoSty[Division]&lt;&gt;"")*(PptoSty[Division]&lt;&gt;"X")*(PptoSty[Project]=$B88)*(PptoSty[Vrs]=$D88)*(PptoSty[PiRow]=_xlfn.TEXTAFTER($H88,":"))*(PptoSty[PiColumn]=W$54),0)),SUM(IF((INDIRECT($B$3)=$B88)*(INDIRECT($C$3)=$D88)*((INDIRECT($E$3)="TOTS")+(INDIRECT($E$3)=$E88)),INDIRECT(W$3)))),_xlpm.y,SUM(_xlfn.CHOOSECOLS(_xlfn._xlws.FILTER(F_RT14[],(F_RT14[PrjId]=$B88)*(F_RT14[Vrs]=$D88)*(_xlfn.TEXTAFTER(F_RT14[ActGrp],":")=_xlfn.TEXTAFTER($H88,":")),"X"),MATCH("*"&amp;W$54,F_RT14[#Headers],0))),IF(AND(_xlpm.x=0,_xlpm.y&lt;&gt;0),-1,IF(AND(_xlpm.x&lt;&gt;0,_xlpm.y&lt;&gt;0),_xlpm.x,IF(AND(_xlpm.x-SUM(IF((INDIRECT($B$3)=$B88)*(INDIRECT($C$3)=$D88)*((INDIRECT($E$3)="TOTS")+(INDIRECT($E$3)=$E88)),INDIRECT(W$3)))&lt;&gt;0,_xlpm.y=0),-2,_xlpm.x)))),0))</f>
        <v>-1</v>
      </c>
      <c r="X88" s="199" cm="1">
        <f t="array" aca="1" ref="X88" ca="1">IF(OR($B88="",$B88="X",$D88="",$D88="X",$E88="",$E88="X"),0,IFERROR(_xlfn.LET(_xlpm.x,SUM(SUM(_xlfn._xlws.FILTER(VALUE(PptoSty[Sign]&amp;1)*(1/PptoSty[Division]),(PptoSty[Division]&lt;&gt;0)*(PptoSty[Division]&lt;&gt;"")*(PptoSty[Division]&lt;&gt;"X")*(PptoSty[Project]=$B88)*(PptoSty[Vrs]=$D88)*(PptoSty[PiRow]=_xlfn.TEXTAFTER($H88,":"))*(PptoSty[PiColumn]=X$54),0)),SUM(IF((INDIRECT($B$3)=$B88)*(INDIRECT($C$3)=$D88)*((INDIRECT($E$3)="TOTS")+(INDIRECT($E$3)=$E88)),INDIRECT(X$3)))),_xlpm.y,SUM(_xlfn.CHOOSECOLS(_xlfn._xlws.FILTER(F_RT14[],(F_RT14[PrjId]=$B88)*(F_RT14[Vrs]=$D88)*(_xlfn.TEXTAFTER(F_RT14[ActGrp],":")=_xlfn.TEXTAFTER($H88,":")),"X"),MATCH("*"&amp;X$54,F_RT14[#Headers],0))),IF(AND(_xlpm.x=0,_xlpm.y&lt;&gt;0),-1,IF(AND(_xlpm.x&lt;&gt;0,_xlpm.y&lt;&gt;0),_xlpm.x,IF(AND(_xlpm.x-SUM(IF((INDIRECT($B$3)=$B88)*(INDIRECT($C$3)=$D88)*((INDIRECT($E$3)="TOTS")+(INDIRECT($E$3)=$E88)),INDIRECT(X$3)))&lt;&gt;0,_xlpm.y=0),-2,_xlpm.x)))),0))</f>
        <v>-1</v>
      </c>
      <c r="Y88" s="199" cm="1">
        <f t="array" aca="1" ref="Y88" ca="1">IF(OR($B88="",$B88="X",$D88="",$D88="X",$E88="",$E88="X"),0,IFERROR(_xlfn.LET(_xlpm.x,SUM(SUM(_xlfn._xlws.FILTER(VALUE(PptoSty[Sign]&amp;1)*(1/PptoSty[Division]),(PptoSty[Division]&lt;&gt;0)*(PptoSty[Division]&lt;&gt;"")*(PptoSty[Division]&lt;&gt;"X")*(PptoSty[Project]=$B88)*(PptoSty[Vrs]=$D88)*(PptoSty[PiRow]=_xlfn.TEXTAFTER($H88,":"))*(PptoSty[PiColumn]=Y$54),0)),SUM(IF((INDIRECT($B$3)=$B88)*(INDIRECT($C$3)=$D88)*((INDIRECT($E$3)="TOTS")+(INDIRECT($E$3)=$E88)),INDIRECT(Y$3)))),_xlpm.y,SUM(_xlfn.CHOOSECOLS(_xlfn._xlws.FILTER(F_RT14[],(F_RT14[PrjId]=$B88)*(F_RT14[Vrs]=$D88)*(_xlfn.TEXTAFTER(F_RT14[ActGrp],":")=_xlfn.TEXTAFTER($H88,":")),"X"),MATCH("*"&amp;Y$54,F_RT14[#Headers],0))),IF(AND(_xlpm.x=0,_xlpm.y&lt;&gt;0),-1,IF(AND(_xlpm.x&lt;&gt;0,_xlpm.y&lt;&gt;0),_xlpm.x,IF(AND(_xlpm.x-SUM(IF((INDIRECT($B$3)=$B88)*(INDIRECT($C$3)=$D88)*((INDIRECT($E$3)="TOTS")+(INDIRECT($E$3)=$E88)),INDIRECT(Y$3)))&lt;&gt;0,_xlpm.y=0),-2,_xlpm.x)))),0))</f>
        <v>0</v>
      </c>
      <c r="Z88" s="198" t="str">
        <f t="shared" ca="1" si="2"/>
        <v>Fback!B88:Y88</v>
      </c>
    </row>
    <row r="89" spans="2:26" ht="21" customHeight="1" outlineLevel="1">
      <c r="B89" s="128" t="str">
        <v>31199</v>
      </c>
      <c r="C89" s="128" t="str">
        <v>Sp</v>
      </c>
      <c r="D89" s="128">
        <v>0</v>
      </c>
      <c r="E89" s="128" t="str">
        <v>TOOL</v>
      </c>
      <c r="F89" s="139" t="str">
        <v>SERRA</v>
      </c>
      <c r="G89" s="139" t="str">
        <v>CurPpto</v>
      </c>
      <c r="H89" s="139" t="str">
        <v>P004:FIXTURE OP-310 XMBR SUB-ASSY I</v>
      </c>
      <c r="I89" s="199" cm="1">
        <f t="array" aca="1" ref="I89" ca="1">IF(OR($B89="",$B89="X",$D89="",$D89="X",$E89="",$E89="X"),0,IFERROR(_xlfn.LET(_xlpm.x,SUM(SUM(_xlfn._xlws.FILTER(VALUE(PptoSty[Sign]&amp;1)*(1/PptoSty[Division]),(PptoSty[Division]&lt;&gt;0)*(PptoSty[Division]&lt;&gt;"")*(PptoSty[Division]&lt;&gt;"X")*(PptoSty[Project]=$B89)*(PptoSty[Vrs]=$D89)*(PptoSty[PiRow]=_xlfn.TEXTAFTER($H89,":"))*(PptoSty[PiColumn]=I$54),0)),SUM(IF((INDIRECT($B$3)=$B89)*(INDIRECT($C$3)=$D89)*((INDIRECT($E$3)="TOTS")+(INDIRECT($E$3)=$E89)),INDIRECT(I$3)))),_xlpm.y,SUM(_xlfn.CHOOSECOLS(_xlfn._xlws.FILTER(F_RT14[],(F_RT14[PrjId]=$B89)*(F_RT14[Vrs]=$D89)*(_xlfn.TEXTAFTER(F_RT14[ActGrp],":")=_xlfn.TEXTAFTER($H89,":")),"X"),MATCH("*"&amp;I$54,F_RT14[#Headers],0))),IF(AND(_xlpm.x=0,_xlpm.y&lt;&gt;0),-1,IF(AND(_xlpm.x&lt;&gt;0,_xlpm.y&lt;&gt;0),_xlpm.x,IF(AND(_xlpm.x-SUM(IF((INDIRECT($B$3)=$B89)*(INDIRECT($C$3)=$D89)*((INDIRECT($E$3)="TOTS")+(INDIRECT($E$3)=$E89)),INDIRECT(I$3)))&lt;&gt;0,_xlpm.y=0),-2,_xlpm.x)))),0))</f>
        <v>0</v>
      </c>
      <c r="J89" s="199" cm="1">
        <f t="array" aca="1" ref="J89" ca="1">IF(OR($B89="",$B89="X",$D89="",$D89="X",$E89="",$E89="X"),0,IFERROR(_xlfn.LET(_xlpm.x,SUM(SUM(_xlfn._xlws.FILTER(VALUE(PptoSty[Sign]&amp;1)*(1/PptoSty[Division]),(PptoSty[Division]&lt;&gt;0)*(PptoSty[Division]&lt;&gt;"")*(PptoSty[Division]&lt;&gt;"X")*(PptoSty[Project]=$B89)*(PptoSty[Vrs]=$D89)*(PptoSty[PiRow]=_xlfn.TEXTAFTER($H89,":"))*(PptoSty[PiColumn]=J$54),0)),SUM(IF((INDIRECT($B$3)=$B89)*(INDIRECT($C$3)=$D89)*((INDIRECT($E$3)="TOTS")+(INDIRECT($E$3)=$E89)),INDIRECT(J$3)))),_xlpm.y,SUM(_xlfn.CHOOSECOLS(_xlfn._xlws.FILTER(F_RT14[],(F_RT14[PrjId]=$B89)*(F_RT14[Vrs]=$D89)*(_xlfn.TEXTAFTER(F_RT14[ActGrp],":")=_xlfn.TEXTAFTER($H89,":")),"X"),MATCH("*"&amp;J$54,F_RT14[#Headers],0))),IF(AND(_xlpm.x=0,_xlpm.y&lt;&gt;0),-1,IF(AND(_xlpm.x&lt;&gt;0,_xlpm.y&lt;&gt;0),_xlpm.x,IF(AND(_xlpm.x-SUM(IF((INDIRECT($B$3)=$B89)*(INDIRECT($C$3)=$D89)*((INDIRECT($E$3)="TOTS")+(INDIRECT($E$3)=$E89)),INDIRECT(J$3)))&lt;&gt;0,_xlpm.y=0),-2,_xlpm.x)))),0))</f>
        <v>0</v>
      </c>
      <c r="K89" s="199" cm="1">
        <f t="array" aca="1" ref="K89" ca="1">IF(OR($B89="",$B89="X",$D89="",$D89="X",$E89="",$E89="X"),0,IFERROR(_xlfn.LET(_xlpm.x,SUM(SUM(_xlfn._xlws.FILTER(VALUE(PptoSty[Sign]&amp;1)*(1/PptoSty[Division]),(PptoSty[Division]&lt;&gt;0)*(PptoSty[Division]&lt;&gt;"")*(PptoSty[Division]&lt;&gt;"X")*(PptoSty[Project]=$B89)*(PptoSty[Vrs]=$D89)*(PptoSty[PiRow]=_xlfn.TEXTAFTER($H89,":"))*(PptoSty[PiColumn]=K$54),0)),SUM(IF((INDIRECT($B$3)=$B89)*(INDIRECT($C$3)=$D89)*((INDIRECT($E$3)="TOTS")+(INDIRECT($E$3)=$E89)),INDIRECT(K$3)))),_xlpm.y,SUM(_xlfn.CHOOSECOLS(_xlfn._xlws.FILTER(F_RT14[],(F_RT14[PrjId]=$B89)*(F_RT14[Vrs]=$D89)*(_xlfn.TEXTAFTER(F_RT14[ActGrp],":")=_xlfn.TEXTAFTER($H89,":")),"X"),MATCH("*"&amp;K$54,F_RT14[#Headers],0))),IF(AND(_xlpm.x=0,_xlpm.y&lt;&gt;0),-1,IF(AND(_xlpm.x&lt;&gt;0,_xlpm.y&lt;&gt;0),_xlpm.x,IF(AND(_xlpm.x-SUM(IF((INDIRECT($B$3)=$B89)*(INDIRECT($C$3)=$D89)*((INDIRECT($E$3)="TOTS")+(INDIRECT($E$3)=$E89)),INDIRECT(K$3)))&lt;&gt;0,_xlpm.y=0),-2,_xlpm.x)))),0))</f>
        <v>-1</v>
      </c>
      <c r="L89" s="199" cm="1">
        <f t="array" aca="1" ref="L89" ca="1">IF(OR($B89="",$B89="X",$D89="",$D89="X",$E89="",$E89="X"),0,IFERROR(_xlfn.LET(_xlpm.x,SUM(SUM(_xlfn._xlws.FILTER(VALUE(PptoSty[Sign]&amp;1)*(1/PptoSty[Division]),(PptoSty[Division]&lt;&gt;0)*(PptoSty[Division]&lt;&gt;"")*(PptoSty[Division]&lt;&gt;"X")*(PptoSty[Project]=$B89)*(PptoSty[Vrs]=$D89)*(PptoSty[PiRow]=_xlfn.TEXTAFTER($H89,":"))*(PptoSty[PiColumn]=L$54),0)),SUM(IF((INDIRECT($B$3)=$B89)*(INDIRECT($C$3)=$D89)*((INDIRECT($E$3)="TOTS")+(INDIRECT($E$3)=$E89)),INDIRECT(L$3)))),_xlpm.y,SUM(_xlfn.CHOOSECOLS(_xlfn._xlws.FILTER(F_RT14[],(F_RT14[PrjId]=$B89)*(F_RT14[Vrs]=$D89)*(_xlfn.TEXTAFTER(F_RT14[ActGrp],":")=_xlfn.TEXTAFTER($H89,":")),"X"),MATCH("*"&amp;L$54,F_RT14[#Headers],0))),IF(AND(_xlpm.x=0,_xlpm.y&lt;&gt;0),-1,IF(AND(_xlpm.x&lt;&gt;0,_xlpm.y&lt;&gt;0),_xlpm.x,IF(AND(_xlpm.x-SUM(IF((INDIRECT($B$3)=$B89)*(INDIRECT($C$3)=$D89)*((INDIRECT($E$3)="TOTS")+(INDIRECT($E$3)=$E89)),INDIRECT(L$3)))&lt;&gt;0,_xlpm.y=0),-2,_xlpm.x)))),0))</f>
        <v>0</v>
      </c>
      <c r="M89" s="199" cm="1">
        <f t="array" aca="1" ref="M89" ca="1">IF(OR($B89="",$B89="X",$D89="",$D89="X",$E89="",$E89="X"),0,IFERROR(_xlfn.LET(_xlpm.x,SUM(SUM(_xlfn._xlws.FILTER(VALUE(PptoSty[Sign]&amp;1)*(1/PptoSty[Division]),(PptoSty[Division]&lt;&gt;0)*(PptoSty[Division]&lt;&gt;"")*(PptoSty[Division]&lt;&gt;"X")*(PptoSty[Project]=$B89)*(PptoSty[Vrs]=$D89)*(PptoSty[PiRow]=_xlfn.TEXTAFTER($H89,":"))*(PptoSty[PiColumn]=M$54),0)),SUM(IF((INDIRECT($B$3)=$B89)*(INDIRECT($C$3)=$D89)*((INDIRECT($E$3)="TOTS")+(INDIRECT($E$3)=$E89)),INDIRECT(M$3)))),_xlpm.y,SUM(_xlfn.CHOOSECOLS(_xlfn._xlws.FILTER(F_RT14[],(F_RT14[PrjId]=$B89)*(F_RT14[Vrs]=$D89)*(_xlfn.TEXTAFTER(F_RT14[ActGrp],":")=_xlfn.TEXTAFTER($H89,":")),"X"),MATCH("*"&amp;M$54,F_RT14[#Headers],0))),IF(AND(_xlpm.x=0,_xlpm.y&lt;&gt;0),-1,IF(AND(_xlpm.x&lt;&gt;0,_xlpm.y&lt;&gt;0),_xlpm.x,IF(AND(_xlpm.x-SUM(IF((INDIRECT($B$3)=$B89)*(INDIRECT($C$3)=$D89)*((INDIRECT($E$3)="TOTS")+(INDIRECT($E$3)=$E89)),INDIRECT(M$3)))&lt;&gt;0,_xlpm.y=0),-2,_xlpm.x)))),0))</f>
        <v>0</v>
      </c>
      <c r="N89" s="199" cm="1">
        <f t="array" aca="1" ref="N89" ca="1">IF(OR($B89="",$B89="X",$D89="",$D89="X",$E89="",$E89="X"),0,IFERROR(_xlfn.LET(_xlpm.x,SUM(SUM(_xlfn._xlws.FILTER(VALUE(PptoSty[Sign]&amp;1)*(1/PptoSty[Division]),(PptoSty[Division]&lt;&gt;0)*(PptoSty[Division]&lt;&gt;"")*(PptoSty[Division]&lt;&gt;"X")*(PptoSty[Project]=$B89)*(PptoSty[Vrs]=$D89)*(PptoSty[PiRow]=_xlfn.TEXTAFTER($H89,":"))*(PptoSty[PiColumn]=N$54),0)),SUM(IF((INDIRECT($B$3)=$B89)*(INDIRECT($C$3)=$D89)*((INDIRECT($E$3)="TOTS")+(INDIRECT($E$3)=$E89)),INDIRECT(N$3)))),_xlpm.y,SUM(_xlfn.CHOOSECOLS(_xlfn._xlws.FILTER(F_RT14[],(F_RT14[PrjId]=$B89)*(F_RT14[Vrs]=$D89)*(_xlfn.TEXTAFTER(F_RT14[ActGrp],":")=_xlfn.TEXTAFTER($H89,":")),"X"),MATCH("*"&amp;N$54,F_RT14[#Headers],0))),IF(AND(_xlpm.x=0,_xlpm.y&lt;&gt;0),-1,IF(AND(_xlpm.x&lt;&gt;0,_xlpm.y&lt;&gt;0),_xlpm.x,IF(AND(_xlpm.x-SUM(IF((INDIRECT($B$3)=$B89)*(INDIRECT($C$3)=$D89)*((INDIRECT($E$3)="TOTS")+(INDIRECT($E$3)=$E89)),INDIRECT(N$3)))&lt;&gt;0,_xlpm.y=0),-2,_xlpm.x)))),0))</f>
        <v>-1</v>
      </c>
      <c r="O89" s="199" cm="1">
        <f t="array" aca="1" ref="O89" ca="1">IF(OR($B89="",$B89="X",$D89="",$D89="X",$E89="",$E89="X"),0,IFERROR(_xlfn.LET(_xlpm.x,SUM(SUM(_xlfn._xlws.FILTER(VALUE(PptoSty[Sign]&amp;1)*(1/PptoSty[Division]),(PptoSty[Division]&lt;&gt;0)*(PptoSty[Division]&lt;&gt;"")*(PptoSty[Division]&lt;&gt;"X")*(PptoSty[Project]=$B89)*(PptoSty[Vrs]=$D89)*(PptoSty[PiRow]=_xlfn.TEXTAFTER($H89,":"))*(PptoSty[PiColumn]=O$54),0)),SUM(IF((INDIRECT($B$3)=$B89)*(INDIRECT($C$3)=$D89)*((INDIRECT($E$3)="TOTS")+(INDIRECT($E$3)=$E89)),INDIRECT(O$3)))),_xlpm.y,SUM(_xlfn.CHOOSECOLS(_xlfn._xlws.FILTER(F_RT14[],(F_RT14[PrjId]=$B89)*(F_RT14[Vrs]=$D89)*(_xlfn.TEXTAFTER(F_RT14[ActGrp],":")=_xlfn.TEXTAFTER($H89,":")),"X"),MATCH("*"&amp;O$54,F_RT14[#Headers],0))),IF(AND(_xlpm.x=0,_xlpm.y&lt;&gt;0),-1,IF(AND(_xlpm.x&lt;&gt;0,_xlpm.y&lt;&gt;0),_xlpm.x,IF(AND(_xlpm.x-SUM(IF((INDIRECT($B$3)=$B89)*(INDIRECT($C$3)=$D89)*((INDIRECT($E$3)="TOTS")+(INDIRECT($E$3)=$E89)),INDIRECT(O$3)))&lt;&gt;0,_xlpm.y=0),-2,_xlpm.x)))),0))</f>
        <v>0</v>
      </c>
      <c r="P89" s="199" cm="1">
        <f t="array" aca="1" ref="P89" ca="1">IF(OR($B89="",$B89="X",$D89="",$D89="X",$E89="",$E89="X"),0,IFERROR(_xlfn.LET(_xlpm.x,SUM(SUM(_xlfn._xlws.FILTER(VALUE(PptoSty[Sign]&amp;1)*(1/PptoSty[Division]),(PptoSty[Division]&lt;&gt;0)*(PptoSty[Division]&lt;&gt;"")*(PptoSty[Division]&lt;&gt;"X")*(PptoSty[Project]=$B89)*(PptoSty[Vrs]=$D89)*(PptoSty[PiRow]=_xlfn.TEXTAFTER($H89,":"))*(PptoSty[PiColumn]=P$54),0)),SUM(IF((INDIRECT($B$3)=$B89)*(INDIRECT($C$3)=$D89)*((INDIRECT($E$3)="TOTS")+(INDIRECT($E$3)=$E89)),INDIRECT(P$3)))),_xlpm.y,SUM(_xlfn.CHOOSECOLS(_xlfn._xlws.FILTER(F_RT14[],(F_RT14[PrjId]=$B89)*(F_RT14[Vrs]=$D89)*(_xlfn.TEXTAFTER(F_RT14[ActGrp],":")=_xlfn.TEXTAFTER($H89,":")),"X"),MATCH("*"&amp;P$54,F_RT14[#Headers],0))),IF(AND(_xlpm.x=0,_xlpm.y&lt;&gt;0),-1,IF(AND(_xlpm.x&lt;&gt;0,_xlpm.y&lt;&gt;0),_xlpm.x,IF(AND(_xlpm.x-SUM(IF((INDIRECT($B$3)=$B89)*(INDIRECT($C$3)=$D89)*((INDIRECT($E$3)="TOTS")+(INDIRECT($E$3)=$E89)),INDIRECT(P$3)))&lt;&gt;0,_xlpm.y=0),-2,_xlpm.x)))),0))</f>
        <v>-1</v>
      </c>
      <c r="Q89" s="199" cm="1">
        <f t="array" aca="1" ref="Q89" ca="1">IF(OR($B89="",$B89="X",$D89="",$D89="X",$E89="",$E89="X"),0,IFERROR(_xlfn.LET(_xlpm.x,SUM(SUM(_xlfn._xlws.FILTER(VALUE(PptoSty[Sign]&amp;1)*(1/PptoSty[Division]),(PptoSty[Division]&lt;&gt;0)*(PptoSty[Division]&lt;&gt;"")*(PptoSty[Division]&lt;&gt;"X")*(PptoSty[Project]=$B89)*(PptoSty[Vrs]=$D89)*(PptoSty[PiRow]=_xlfn.TEXTAFTER($H89,":"))*(PptoSty[PiColumn]=Q$54),0)),SUM(IF((INDIRECT($B$3)=$B89)*(INDIRECT($C$3)=$D89)*((INDIRECT($E$3)="TOTS")+(INDIRECT($E$3)=$E89)),INDIRECT(Q$3)))),_xlpm.y,SUM(_xlfn.CHOOSECOLS(_xlfn._xlws.FILTER(F_RT14[],(F_RT14[PrjId]=$B89)*(F_RT14[Vrs]=$D89)*(_xlfn.TEXTAFTER(F_RT14[ActGrp],":")=_xlfn.TEXTAFTER($H89,":")),"X"),MATCH("*"&amp;Q$54,F_RT14[#Headers],0))),IF(AND(_xlpm.x=0,_xlpm.y&lt;&gt;0),-1,IF(AND(_xlpm.x&lt;&gt;0,_xlpm.y&lt;&gt;0),_xlpm.x,IF(AND(_xlpm.x-SUM(IF((INDIRECT($B$3)=$B89)*(INDIRECT($C$3)=$D89)*((INDIRECT($E$3)="TOTS")+(INDIRECT($E$3)=$E89)),INDIRECT(Q$3)))&lt;&gt;0,_xlpm.y=0),-2,_xlpm.x)))),0))</f>
        <v>-1</v>
      </c>
      <c r="R89" s="199" cm="1">
        <f t="array" aca="1" ref="R89" ca="1">IF(OR($B89="",$B89="X",$D89="",$D89="X",$E89="",$E89="X"),0,IFERROR(_xlfn.LET(_xlpm.x,SUM(SUM(_xlfn._xlws.FILTER(VALUE(PptoSty[Sign]&amp;1)*(1/PptoSty[Division]),(PptoSty[Division]&lt;&gt;0)*(PptoSty[Division]&lt;&gt;"")*(PptoSty[Division]&lt;&gt;"X")*(PptoSty[Project]=$B89)*(PptoSty[Vrs]=$D89)*(PptoSty[PiRow]=_xlfn.TEXTAFTER($H89,":"))*(PptoSty[PiColumn]=R$54),0)),SUM(IF((INDIRECT($B$3)=$B89)*(INDIRECT($C$3)=$D89)*((INDIRECT($E$3)="TOTS")+(INDIRECT($E$3)=$E89)),INDIRECT(R$3)))),_xlpm.y,SUM(_xlfn.CHOOSECOLS(_xlfn._xlws.FILTER(F_RT14[],(F_RT14[PrjId]=$B89)*(F_RT14[Vrs]=$D89)*(_xlfn.TEXTAFTER(F_RT14[ActGrp],":")=_xlfn.TEXTAFTER($H89,":")),"X"),MATCH("*"&amp;R$54,F_RT14[#Headers],0))),IF(AND(_xlpm.x=0,_xlpm.y&lt;&gt;0),-1,IF(AND(_xlpm.x&lt;&gt;0,_xlpm.y&lt;&gt;0),_xlpm.x,IF(AND(_xlpm.x-SUM(IF((INDIRECT($B$3)=$B89)*(INDIRECT($C$3)=$D89)*((INDIRECT($E$3)="TOTS")+(INDIRECT($E$3)=$E89)),INDIRECT(R$3)))&lt;&gt;0,_xlpm.y=0),-2,_xlpm.x)))),0))</f>
        <v>-1</v>
      </c>
      <c r="S89" s="199" cm="1">
        <f t="array" aca="1" ref="S89" ca="1">IF(OR($B89="",$B89="X",$D89="",$D89="X",$E89="",$E89="X"),0,IFERROR(_xlfn.LET(_xlpm.x,SUM(SUM(_xlfn._xlws.FILTER(VALUE(PptoSty[Sign]&amp;1)*(1/PptoSty[Division]),(PptoSty[Division]&lt;&gt;0)*(PptoSty[Division]&lt;&gt;"")*(PptoSty[Division]&lt;&gt;"X")*(PptoSty[Project]=$B89)*(PptoSty[Vrs]=$D89)*(PptoSty[PiRow]=_xlfn.TEXTAFTER($H89,":"))*(PptoSty[PiColumn]=S$54),0)),SUM(IF((INDIRECT($B$3)=$B89)*(INDIRECT($C$3)=$D89)*((INDIRECT($E$3)="TOTS")+(INDIRECT($E$3)=$E89)),INDIRECT(S$3)))),_xlpm.y,SUM(_xlfn.CHOOSECOLS(_xlfn._xlws.FILTER(F_RT14[],(F_RT14[PrjId]=$B89)*(F_RT14[Vrs]=$D89)*(_xlfn.TEXTAFTER(F_RT14[ActGrp],":")=_xlfn.TEXTAFTER($H89,":")),"X"),MATCH("*"&amp;S$54,F_RT14[#Headers],0))),IF(AND(_xlpm.x=0,_xlpm.y&lt;&gt;0),-1,IF(AND(_xlpm.x&lt;&gt;0,_xlpm.y&lt;&gt;0),_xlpm.x,IF(AND(_xlpm.x-SUM(IF((INDIRECT($B$3)=$B89)*(INDIRECT($C$3)=$D89)*((INDIRECT($E$3)="TOTS")+(INDIRECT($E$3)=$E89)),INDIRECT(S$3)))&lt;&gt;0,_xlpm.y=0),-2,_xlpm.x)))),0))</f>
        <v>-1</v>
      </c>
      <c r="T89" s="199" cm="1">
        <f t="array" aca="1" ref="T89" ca="1">IF(OR($B89="",$B89="X",$D89="",$D89="X",$E89="",$E89="X"),0,IFERROR(_xlfn.LET(_xlpm.x,SUM(SUM(_xlfn._xlws.FILTER(VALUE(PptoSty[Sign]&amp;1)*(1/PptoSty[Division]),(PptoSty[Division]&lt;&gt;0)*(PptoSty[Division]&lt;&gt;"")*(PptoSty[Division]&lt;&gt;"X")*(PptoSty[Project]=$B89)*(PptoSty[Vrs]=$D89)*(PptoSty[PiRow]=_xlfn.TEXTAFTER($H89,":"))*(PptoSty[PiColumn]=T$54),0)),SUM(IF((INDIRECT($B$3)=$B89)*(INDIRECT($C$3)=$D89)*((INDIRECT($E$3)="TOTS")+(INDIRECT($E$3)=$E89)),INDIRECT(T$3)))),_xlpm.y,SUM(_xlfn.CHOOSECOLS(_xlfn._xlws.FILTER(F_RT14[],(F_RT14[PrjId]=$B89)*(F_RT14[Vrs]=$D89)*(_xlfn.TEXTAFTER(F_RT14[ActGrp],":")=_xlfn.TEXTAFTER($H89,":")),"X"),MATCH("*"&amp;T$54,F_RT14[#Headers],0))),IF(AND(_xlpm.x=0,_xlpm.y&lt;&gt;0),-1,IF(AND(_xlpm.x&lt;&gt;0,_xlpm.y&lt;&gt;0),_xlpm.x,IF(AND(_xlpm.x-SUM(IF((INDIRECT($B$3)=$B89)*(INDIRECT($C$3)=$D89)*((INDIRECT($E$3)="TOTS")+(INDIRECT($E$3)=$E89)),INDIRECT(T$3)))&lt;&gt;0,_xlpm.y=0),-2,_xlpm.x)))),0))</f>
        <v>-1</v>
      </c>
      <c r="U89" s="199" cm="1">
        <f t="array" aca="1" ref="U89" ca="1">IF(OR($B89="",$B89="X",$D89="",$D89="X",$E89="",$E89="X"),0,IFERROR(_xlfn.LET(_xlpm.x,SUM(SUM(_xlfn._xlws.FILTER(VALUE(PptoSty[Sign]&amp;1)*(1/PptoSty[Division]),(PptoSty[Division]&lt;&gt;0)*(PptoSty[Division]&lt;&gt;"")*(PptoSty[Division]&lt;&gt;"X")*(PptoSty[Project]=$B89)*(PptoSty[Vrs]=$D89)*(PptoSty[PiRow]=_xlfn.TEXTAFTER($H89,":"))*(PptoSty[PiColumn]=U$54),0)),SUM(IF((INDIRECT($B$3)=$B89)*(INDIRECT($C$3)=$D89)*((INDIRECT($E$3)="TOTS")+(INDIRECT($E$3)=$E89)),INDIRECT(U$3)))),_xlpm.y,SUM(_xlfn.CHOOSECOLS(_xlfn._xlws.FILTER(F_RT14[],(F_RT14[PrjId]=$B89)*(F_RT14[Vrs]=$D89)*(_xlfn.TEXTAFTER(F_RT14[ActGrp],":")=_xlfn.TEXTAFTER($H89,":")),"X"),MATCH("*"&amp;U$54,F_RT14[#Headers],0))),IF(AND(_xlpm.x=0,_xlpm.y&lt;&gt;0),-1,IF(AND(_xlpm.x&lt;&gt;0,_xlpm.y&lt;&gt;0),_xlpm.x,IF(AND(_xlpm.x-SUM(IF((INDIRECT($B$3)=$B89)*(INDIRECT($C$3)=$D89)*((INDIRECT($E$3)="TOTS")+(INDIRECT($E$3)=$E89)),INDIRECT(U$3)))&lt;&gt;0,_xlpm.y=0),-2,_xlpm.x)))),0))</f>
        <v>0</v>
      </c>
      <c r="V89" s="199" cm="1">
        <f t="array" aca="1" ref="V89" ca="1">IF(OR($B89="",$B89="X",$D89="",$D89="X",$E89="",$E89="X"),0,IFERROR(_xlfn.LET(_xlpm.x,SUM(SUM(_xlfn._xlws.FILTER(VALUE(PptoSty[Sign]&amp;1)*(1/PptoSty[Division]),(PptoSty[Division]&lt;&gt;0)*(PptoSty[Division]&lt;&gt;"")*(PptoSty[Division]&lt;&gt;"X")*(PptoSty[Project]=$B89)*(PptoSty[Vrs]=$D89)*(PptoSty[PiRow]=_xlfn.TEXTAFTER($H89,":"))*(PptoSty[PiColumn]=V$54),0)),SUM(IF((INDIRECT($B$3)=$B89)*(INDIRECT($C$3)=$D89)*((INDIRECT($E$3)="TOTS")+(INDIRECT($E$3)=$E89)),INDIRECT(V$3)))),_xlpm.y,SUM(_xlfn.CHOOSECOLS(_xlfn._xlws.FILTER(F_RT14[],(F_RT14[PrjId]=$B89)*(F_RT14[Vrs]=$D89)*(_xlfn.TEXTAFTER(F_RT14[ActGrp],":")=_xlfn.TEXTAFTER($H89,":")),"X"),MATCH("*"&amp;V$54,F_RT14[#Headers],0))),IF(AND(_xlpm.x=0,_xlpm.y&lt;&gt;0),-1,IF(AND(_xlpm.x&lt;&gt;0,_xlpm.y&lt;&gt;0),_xlpm.x,IF(AND(_xlpm.x-SUM(IF((INDIRECT($B$3)=$B89)*(INDIRECT($C$3)=$D89)*((INDIRECT($E$3)="TOTS")+(INDIRECT($E$3)=$E89)),INDIRECT(V$3)))&lt;&gt;0,_xlpm.y=0),-2,_xlpm.x)))),0))</f>
        <v>-1</v>
      </c>
      <c r="W89" s="199" cm="1">
        <f t="array" aca="1" ref="W89" ca="1">IF(OR($B89="",$B89="X",$D89="",$D89="X",$E89="",$E89="X"),0,IFERROR(_xlfn.LET(_xlpm.x,SUM(SUM(_xlfn._xlws.FILTER(VALUE(PptoSty[Sign]&amp;1)*(1/PptoSty[Division]),(PptoSty[Division]&lt;&gt;0)*(PptoSty[Division]&lt;&gt;"")*(PptoSty[Division]&lt;&gt;"X")*(PptoSty[Project]=$B89)*(PptoSty[Vrs]=$D89)*(PptoSty[PiRow]=_xlfn.TEXTAFTER($H89,":"))*(PptoSty[PiColumn]=W$54),0)),SUM(IF((INDIRECT($B$3)=$B89)*(INDIRECT($C$3)=$D89)*((INDIRECT($E$3)="TOTS")+(INDIRECT($E$3)=$E89)),INDIRECT(W$3)))),_xlpm.y,SUM(_xlfn.CHOOSECOLS(_xlfn._xlws.FILTER(F_RT14[],(F_RT14[PrjId]=$B89)*(F_RT14[Vrs]=$D89)*(_xlfn.TEXTAFTER(F_RT14[ActGrp],":")=_xlfn.TEXTAFTER($H89,":")),"X"),MATCH("*"&amp;W$54,F_RT14[#Headers],0))),IF(AND(_xlpm.x=0,_xlpm.y&lt;&gt;0),-1,IF(AND(_xlpm.x&lt;&gt;0,_xlpm.y&lt;&gt;0),_xlpm.x,IF(AND(_xlpm.x-SUM(IF((INDIRECT($B$3)=$B89)*(INDIRECT($C$3)=$D89)*((INDIRECT($E$3)="TOTS")+(INDIRECT($E$3)=$E89)),INDIRECT(W$3)))&lt;&gt;0,_xlpm.y=0),-2,_xlpm.x)))),0))</f>
        <v>-1</v>
      </c>
      <c r="X89" s="199" cm="1">
        <f t="array" aca="1" ref="X89" ca="1">IF(OR($B89="",$B89="X",$D89="",$D89="X",$E89="",$E89="X"),0,IFERROR(_xlfn.LET(_xlpm.x,SUM(SUM(_xlfn._xlws.FILTER(VALUE(PptoSty[Sign]&amp;1)*(1/PptoSty[Division]),(PptoSty[Division]&lt;&gt;0)*(PptoSty[Division]&lt;&gt;"")*(PptoSty[Division]&lt;&gt;"X")*(PptoSty[Project]=$B89)*(PptoSty[Vrs]=$D89)*(PptoSty[PiRow]=_xlfn.TEXTAFTER($H89,":"))*(PptoSty[PiColumn]=X$54),0)),SUM(IF((INDIRECT($B$3)=$B89)*(INDIRECT($C$3)=$D89)*((INDIRECT($E$3)="TOTS")+(INDIRECT($E$3)=$E89)),INDIRECT(X$3)))),_xlpm.y,SUM(_xlfn.CHOOSECOLS(_xlfn._xlws.FILTER(F_RT14[],(F_RT14[PrjId]=$B89)*(F_RT14[Vrs]=$D89)*(_xlfn.TEXTAFTER(F_RT14[ActGrp],":")=_xlfn.TEXTAFTER($H89,":")),"X"),MATCH("*"&amp;X$54,F_RT14[#Headers],0))),IF(AND(_xlpm.x=0,_xlpm.y&lt;&gt;0),-1,IF(AND(_xlpm.x&lt;&gt;0,_xlpm.y&lt;&gt;0),_xlpm.x,IF(AND(_xlpm.x-SUM(IF((INDIRECT($B$3)=$B89)*(INDIRECT($C$3)=$D89)*((INDIRECT($E$3)="TOTS")+(INDIRECT($E$3)=$E89)),INDIRECT(X$3)))&lt;&gt;0,_xlpm.y=0),-2,_xlpm.x)))),0))</f>
        <v>-1</v>
      </c>
      <c r="Y89" s="199" cm="1">
        <f t="array" aca="1" ref="Y89" ca="1">IF(OR($B89="",$B89="X",$D89="",$D89="X",$E89="",$E89="X"),0,IFERROR(_xlfn.LET(_xlpm.x,SUM(SUM(_xlfn._xlws.FILTER(VALUE(PptoSty[Sign]&amp;1)*(1/PptoSty[Division]),(PptoSty[Division]&lt;&gt;0)*(PptoSty[Division]&lt;&gt;"")*(PptoSty[Division]&lt;&gt;"X")*(PptoSty[Project]=$B89)*(PptoSty[Vrs]=$D89)*(PptoSty[PiRow]=_xlfn.TEXTAFTER($H89,":"))*(PptoSty[PiColumn]=Y$54),0)),SUM(IF((INDIRECT($B$3)=$B89)*(INDIRECT($C$3)=$D89)*((INDIRECT($E$3)="TOTS")+(INDIRECT($E$3)=$E89)),INDIRECT(Y$3)))),_xlpm.y,SUM(_xlfn.CHOOSECOLS(_xlfn._xlws.FILTER(F_RT14[],(F_RT14[PrjId]=$B89)*(F_RT14[Vrs]=$D89)*(_xlfn.TEXTAFTER(F_RT14[ActGrp],":")=_xlfn.TEXTAFTER($H89,":")),"X"),MATCH("*"&amp;Y$54,F_RT14[#Headers],0))),IF(AND(_xlpm.x=0,_xlpm.y&lt;&gt;0),-1,IF(AND(_xlpm.x&lt;&gt;0,_xlpm.y&lt;&gt;0),_xlpm.x,IF(AND(_xlpm.x-SUM(IF((INDIRECT($B$3)=$B89)*(INDIRECT($C$3)=$D89)*((INDIRECT($E$3)="TOTS")+(INDIRECT($E$3)=$E89)),INDIRECT(Y$3)))&lt;&gt;0,_xlpm.y=0),-2,_xlpm.x)))),0))</f>
        <v>0</v>
      </c>
      <c r="Z89" s="198" t="str">
        <f t="shared" ca="1" si="2"/>
        <v>Fback!B89:Y89</v>
      </c>
    </row>
    <row r="90" spans="2:26" ht="21" customHeight="1" outlineLevel="1">
      <c r="B90" s="128" t="str">
        <v>31200</v>
      </c>
      <c r="C90" s="128" t="str">
        <v>Sp</v>
      </c>
      <c r="D90" s="128">
        <v>15</v>
      </c>
      <c r="E90" s="128" t="str">
        <v>TOOL</v>
      </c>
      <c r="F90" s="139" t="str">
        <v>SERRA</v>
      </c>
      <c r="G90" s="139" t="str">
        <v>CurPpto</v>
      </c>
      <c r="H90" s="139" t="str">
        <v>P005:OP-310.1+2 WELDING (GEO)</v>
      </c>
      <c r="I90" s="199" cm="1">
        <f t="array" aca="1" ref="I90" ca="1">IF(OR($B90="",$B90="X",$D90="",$D90="X",$E90="",$E90="X"),0,IFERROR(_xlfn.LET(_xlpm.x,SUM(SUM(_xlfn._xlws.FILTER(VALUE(PptoSty[Sign]&amp;1)*(1/PptoSty[Division]),(PptoSty[Division]&lt;&gt;0)*(PptoSty[Division]&lt;&gt;"")*(PptoSty[Division]&lt;&gt;"X")*(PptoSty[Project]=$B90)*(PptoSty[Vrs]=$D90)*(PptoSty[PiRow]=_xlfn.TEXTAFTER($H90,":"))*(PptoSty[PiColumn]=I$54),0)),SUM(IF((INDIRECT($B$3)=$B90)*(INDIRECT($C$3)=$D90)*((INDIRECT($E$3)="TOTS")+(INDIRECT($E$3)=$E90)),INDIRECT(I$3)))),_xlpm.y,SUM(_xlfn.CHOOSECOLS(_xlfn._xlws.FILTER(F_RT14[],(F_RT14[PrjId]=$B90)*(F_RT14[Vrs]=$D90)*(_xlfn.TEXTAFTER(F_RT14[ActGrp],":")=_xlfn.TEXTAFTER($H90,":")),"X"),MATCH("*"&amp;I$54,F_RT14[#Headers],0))),IF(AND(_xlpm.x=0,_xlpm.y&lt;&gt;0),-1,IF(AND(_xlpm.x&lt;&gt;0,_xlpm.y&lt;&gt;0),_xlpm.x,IF(AND(_xlpm.x-SUM(IF((INDIRECT($B$3)=$B90)*(INDIRECT($C$3)=$D90)*((INDIRECT($E$3)="TOTS")+(INDIRECT($E$3)=$E90)),INDIRECT(I$3)))&lt;&gt;0,_xlpm.y=0),-2,_xlpm.x)))),0))</f>
        <v>0</v>
      </c>
      <c r="J90" s="199" cm="1">
        <f t="array" aca="1" ref="J90" ca="1">IF(OR($B90="",$B90="X",$D90="",$D90="X",$E90="",$E90="X"),0,IFERROR(_xlfn.LET(_xlpm.x,SUM(SUM(_xlfn._xlws.FILTER(VALUE(PptoSty[Sign]&amp;1)*(1/PptoSty[Division]),(PptoSty[Division]&lt;&gt;0)*(PptoSty[Division]&lt;&gt;"")*(PptoSty[Division]&lt;&gt;"X")*(PptoSty[Project]=$B90)*(PptoSty[Vrs]=$D90)*(PptoSty[PiRow]=_xlfn.TEXTAFTER($H90,":"))*(PptoSty[PiColumn]=J$54),0)),SUM(IF((INDIRECT($B$3)=$B90)*(INDIRECT($C$3)=$D90)*((INDIRECT($E$3)="TOTS")+(INDIRECT($E$3)=$E90)),INDIRECT(J$3)))),_xlpm.y,SUM(_xlfn.CHOOSECOLS(_xlfn._xlws.FILTER(F_RT14[],(F_RT14[PrjId]=$B90)*(F_RT14[Vrs]=$D90)*(_xlfn.TEXTAFTER(F_RT14[ActGrp],":")=_xlfn.TEXTAFTER($H90,":")),"X"),MATCH("*"&amp;J$54,F_RT14[#Headers],0))),IF(AND(_xlpm.x=0,_xlpm.y&lt;&gt;0),-1,IF(AND(_xlpm.x&lt;&gt;0,_xlpm.y&lt;&gt;0),_xlpm.x,IF(AND(_xlpm.x-SUM(IF((INDIRECT($B$3)=$B90)*(INDIRECT($C$3)=$D90)*((INDIRECT($E$3)="TOTS")+(INDIRECT($E$3)=$E90)),INDIRECT(J$3)))&lt;&gt;0,_xlpm.y=0),-2,_xlpm.x)))),0))</f>
        <v>0</v>
      </c>
      <c r="K90" s="199" cm="1">
        <f t="array" aca="1" ref="K90" ca="1">IF(OR($B90="",$B90="X",$D90="",$D90="X",$E90="",$E90="X"),0,IFERROR(_xlfn.LET(_xlpm.x,SUM(SUM(_xlfn._xlws.FILTER(VALUE(PptoSty[Sign]&amp;1)*(1/PptoSty[Division]),(PptoSty[Division]&lt;&gt;0)*(PptoSty[Division]&lt;&gt;"")*(PptoSty[Division]&lt;&gt;"X")*(PptoSty[Project]=$B90)*(PptoSty[Vrs]=$D90)*(PptoSty[PiRow]=_xlfn.TEXTAFTER($H90,":"))*(PptoSty[PiColumn]=K$54),0)),SUM(IF((INDIRECT($B$3)=$B90)*(INDIRECT($C$3)=$D90)*((INDIRECT($E$3)="TOTS")+(INDIRECT($E$3)=$E90)),INDIRECT(K$3)))),_xlpm.y,SUM(_xlfn.CHOOSECOLS(_xlfn._xlws.FILTER(F_RT14[],(F_RT14[PrjId]=$B90)*(F_RT14[Vrs]=$D90)*(_xlfn.TEXTAFTER(F_RT14[ActGrp],":")=_xlfn.TEXTAFTER($H90,":")),"X"),MATCH("*"&amp;K$54,F_RT14[#Headers],0))),IF(AND(_xlpm.x=0,_xlpm.y&lt;&gt;0),-1,IF(AND(_xlpm.x&lt;&gt;0,_xlpm.y&lt;&gt;0),_xlpm.x,IF(AND(_xlpm.x-SUM(IF((INDIRECT($B$3)=$B90)*(INDIRECT($C$3)=$D90)*((INDIRECT($E$3)="TOTS")+(INDIRECT($E$3)=$E90)),INDIRECT(K$3)))&lt;&gt;0,_xlpm.y=0),-2,_xlpm.x)))),0))</f>
        <v>-1</v>
      </c>
      <c r="L90" s="199" cm="1">
        <f t="array" aca="1" ref="L90" ca="1">IF(OR($B90="",$B90="X",$D90="",$D90="X",$E90="",$E90="X"),0,IFERROR(_xlfn.LET(_xlpm.x,SUM(SUM(_xlfn._xlws.FILTER(VALUE(PptoSty[Sign]&amp;1)*(1/PptoSty[Division]),(PptoSty[Division]&lt;&gt;0)*(PptoSty[Division]&lt;&gt;"")*(PptoSty[Division]&lt;&gt;"X")*(PptoSty[Project]=$B90)*(PptoSty[Vrs]=$D90)*(PptoSty[PiRow]=_xlfn.TEXTAFTER($H90,":"))*(PptoSty[PiColumn]=L$54),0)),SUM(IF((INDIRECT($B$3)=$B90)*(INDIRECT($C$3)=$D90)*((INDIRECT($E$3)="TOTS")+(INDIRECT($E$3)=$E90)),INDIRECT(L$3)))),_xlpm.y,SUM(_xlfn.CHOOSECOLS(_xlfn._xlws.FILTER(F_RT14[],(F_RT14[PrjId]=$B90)*(F_RT14[Vrs]=$D90)*(_xlfn.TEXTAFTER(F_RT14[ActGrp],":")=_xlfn.TEXTAFTER($H90,":")),"X"),MATCH("*"&amp;L$54,F_RT14[#Headers],0))),IF(AND(_xlpm.x=0,_xlpm.y&lt;&gt;0),-1,IF(AND(_xlpm.x&lt;&gt;0,_xlpm.y&lt;&gt;0),_xlpm.x,IF(AND(_xlpm.x-SUM(IF((INDIRECT($B$3)=$B90)*(INDIRECT($C$3)=$D90)*((INDIRECT($E$3)="TOTS")+(INDIRECT($E$3)=$E90)),INDIRECT(L$3)))&lt;&gt;0,_xlpm.y=0),-2,_xlpm.x)))),0))</f>
        <v>0</v>
      </c>
      <c r="M90" s="199" cm="1">
        <f t="array" aca="1" ref="M90" ca="1">IF(OR($B90="",$B90="X",$D90="",$D90="X",$E90="",$E90="X"),0,IFERROR(_xlfn.LET(_xlpm.x,SUM(SUM(_xlfn._xlws.FILTER(VALUE(PptoSty[Sign]&amp;1)*(1/PptoSty[Division]),(PptoSty[Division]&lt;&gt;0)*(PptoSty[Division]&lt;&gt;"")*(PptoSty[Division]&lt;&gt;"X")*(PptoSty[Project]=$B90)*(PptoSty[Vrs]=$D90)*(PptoSty[PiRow]=_xlfn.TEXTAFTER($H90,":"))*(PptoSty[PiColumn]=M$54),0)),SUM(IF((INDIRECT($B$3)=$B90)*(INDIRECT($C$3)=$D90)*((INDIRECT($E$3)="TOTS")+(INDIRECT($E$3)=$E90)),INDIRECT(M$3)))),_xlpm.y,SUM(_xlfn.CHOOSECOLS(_xlfn._xlws.FILTER(F_RT14[],(F_RT14[PrjId]=$B90)*(F_RT14[Vrs]=$D90)*(_xlfn.TEXTAFTER(F_RT14[ActGrp],":")=_xlfn.TEXTAFTER($H90,":")),"X"),MATCH("*"&amp;M$54,F_RT14[#Headers],0))),IF(AND(_xlpm.x=0,_xlpm.y&lt;&gt;0),-1,IF(AND(_xlpm.x&lt;&gt;0,_xlpm.y&lt;&gt;0),_xlpm.x,IF(AND(_xlpm.x-SUM(IF((INDIRECT($B$3)=$B90)*(INDIRECT($C$3)=$D90)*((INDIRECT($E$3)="TOTS")+(INDIRECT($E$3)=$E90)),INDIRECT(M$3)))&lt;&gt;0,_xlpm.y=0),-2,_xlpm.x)))),0))</f>
        <v>0</v>
      </c>
      <c r="N90" s="199" cm="1">
        <f t="array" aca="1" ref="N90" ca="1">IF(OR($B90="",$B90="X",$D90="",$D90="X",$E90="",$E90="X"),0,IFERROR(_xlfn.LET(_xlpm.x,SUM(SUM(_xlfn._xlws.FILTER(VALUE(PptoSty[Sign]&amp;1)*(1/PptoSty[Division]),(PptoSty[Division]&lt;&gt;0)*(PptoSty[Division]&lt;&gt;"")*(PptoSty[Division]&lt;&gt;"X")*(PptoSty[Project]=$B90)*(PptoSty[Vrs]=$D90)*(PptoSty[PiRow]=_xlfn.TEXTAFTER($H90,":"))*(PptoSty[PiColumn]=N$54),0)),SUM(IF((INDIRECT($B$3)=$B90)*(INDIRECT($C$3)=$D90)*((INDIRECT($E$3)="TOTS")+(INDIRECT($E$3)=$E90)),INDIRECT(N$3)))),_xlpm.y,SUM(_xlfn.CHOOSECOLS(_xlfn._xlws.FILTER(F_RT14[],(F_RT14[PrjId]=$B90)*(F_RT14[Vrs]=$D90)*(_xlfn.TEXTAFTER(F_RT14[ActGrp],":")=_xlfn.TEXTAFTER($H90,":")),"X"),MATCH("*"&amp;N$54,F_RT14[#Headers],0))),IF(AND(_xlpm.x=0,_xlpm.y&lt;&gt;0),-1,IF(AND(_xlpm.x&lt;&gt;0,_xlpm.y&lt;&gt;0),_xlpm.x,IF(AND(_xlpm.x-SUM(IF((INDIRECT($B$3)=$B90)*(INDIRECT($C$3)=$D90)*((INDIRECT($E$3)="TOTS")+(INDIRECT($E$3)=$E90)),INDIRECT(N$3)))&lt;&gt;0,_xlpm.y=0),-2,_xlpm.x)))),0))</f>
        <v>-1</v>
      </c>
      <c r="O90" s="199" cm="1">
        <f t="array" aca="1" ref="O90" ca="1">IF(OR($B90="",$B90="X",$D90="",$D90="X",$E90="",$E90="X"),0,IFERROR(_xlfn.LET(_xlpm.x,SUM(SUM(_xlfn._xlws.FILTER(VALUE(PptoSty[Sign]&amp;1)*(1/PptoSty[Division]),(PptoSty[Division]&lt;&gt;0)*(PptoSty[Division]&lt;&gt;"")*(PptoSty[Division]&lt;&gt;"X")*(PptoSty[Project]=$B90)*(PptoSty[Vrs]=$D90)*(PptoSty[PiRow]=_xlfn.TEXTAFTER($H90,":"))*(PptoSty[PiColumn]=O$54),0)),SUM(IF((INDIRECT($B$3)=$B90)*(INDIRECT($C$3)=$D90)*((INDIRECT($E$3)="TOTS")+(INDIRECT($E$3)=$E90)),INDIRECT(O$3)))),_xlpm.y,SUM(_xlfn.CHOOSECOLS(_xlfn._xlws.FILTER(F_RT14[],(F_RT14[PrjId]=$B90)*(F_RT14[Vrs]=$D90)*(_xlfn.TEXTAFTER(F_RT14[ActGrp],":")=_xlfn.TEXTAFTER($H90,":")),"X"),MATCH("*"&amp;O$54,F_RT14[#Headers],0))),IF(AND(_xlpm.x=0,_xlpm.y&lt;&gt;0),-1,IF(AND(_xlpm.x&lt;&gt;0,_xlpm.y&lt;&gt;0),_xlpm.x,IF(AND(_xlpm.x-SUM(IF((INDIRECT($B$3)=$B90)*(INDIRECT($C$3)=$D90)*((INDIRECT($E$3)="TOTS")+(INDIRECT($E$3)=$E90)),INDIRECT(O$3)))&lt;&gt;0,_xlpm.y=0),-2,_xlpm.x)))),0))</f>
        <v>0</v>
      </c>
      <c r="P90" s="199" cm="1">
        <f t="array" aca="1" ref="P90" ca="1">IF(OR($B90="",$B90="X",$D90="",$D90="X",$E90="",$E90="X"),0,IFERROR(_xlfn.LET(_xlpm.x,SUM(SUM(_xlfn._xlws.FILTER(VALUE(PptoSty[Sign]&amp;1)*(1/PptoSty[Division]),(PptoSty[Division]&lt;&gt;0)*(PptoSty[Division]&lt;&gt;"")*(PptoSty[Division]&lt;&gt;"X")*(PptoSty[Project]=$B90)*(PptoSty[Vrs]=$D90)*(PptoSty[PiRow]=_xlfn.TEXTAFTER($H90,":"))*(PptoSty[PiColumn]=P$54),0)),SUM(IF((INDIRECT($B$3)=$B90)*(INDIRECT($C$3)=$D90)*((INDIRECT($E$3)="TOTS")+(INDIRECT($E$3)=$E90)),INDIRECT(P$3)))),_xlpm.y,SUM(_xlfn.CHOOSECOLS(_xlfn._xlws.FILTER(F_RT14[],(F_RT14[PrjId]=$B90)*(F_RT14[Vrs]=$D90)*(_xlfn.TEXTAFTER(F_RT14[ActGrp],":")=_xlfn.TEXTAFTER($H90,":")),"X"),MATCH("*"&amp;P$54,F_RT14[#Headers],0))),IF(AND(_xlpm.x=0,_xlpm.y&lt;&gt;0),-1,IF(AND(_xlpm.x&lt;&gt;0,_xlpm.y&lt;&gt;0),_xlpm.x,IF(AND(_xlpm.x-SUM(IF((INDIRECT($B$3)=$B90)*(INDIRECT($C$3)=$D90)*((INDIRECT($E$3)="TOTS")+(INDIRECT($E$3)=$E90)),INDIRECT(P$3)))&lt;&gt;0,_xlpm.y=0),-2,_xlpm.x)))),0))</f>
        <v>-1</v>
      </c>
      <c r="Q90" s="199" cm="1">
        <f t="array" aca="1" ref="Q90" ca="1">IF(OR($B90="",$B90="X",$D90="",$D90="X",$E90="",$E90="X"),0,IFERROR(_xlfn.LET(_xlpm.x,SUM(SUM(_xlfn._xlws.FILTER(VALUE(PptoSty[Sign]&amp;1)*(1/PptoSty[Division]),(PptoSty[Division]&lt;&gt;0)*(PptoSty[Division]&lt;&gt;"")*(PptoSty[Division]&lt;&gt;"X")*(PptoSty[Project]=$B90)*(PptoSty[Vrs]=$D90)*(PptoSty[PiRow]=_xlfn.TEXTAFTER($H90,":"))*(PptoSty[PiColumn]=Q$54),0)),SUM(IF((INDIRECT($B$3)=$B90)*(INDIRECT($C$3)=$D90)*((INDIRECT($E$3)="TOTS")+(INDIRECT($E$3)=$E90)),INDIRECT(Q$3)))),_xlpm.y,SUM(_xlfn.CHOOSECOLS(_xlfn._xlws.FILTER(F_RT14[],(F_RT14[PrjId]=$B90)*(F_RT14[Vrs]=$D90)*(_xlfn.TEXTAFTER(F_RT14[ActGrp],":")=_xlfn.TEXTAFTER($H90,":")),"X"),MATCH("*"&amp;Q$54,F_RT14[#Headers],0))),IF(AND(_xlpm.x=0,_xlpm.y&lt;&gt;0),-1,IF(AND(_xlpm.x&lt;&gt;0,_xlpm.y&lt;&gt;0),_xlpm.x,IF(AND(_xlpm.x-SUM(IF((INDIRECT($B$3)=$B90)*(INDIRECT($C$3)=$D90)*((INDIRECT($E$3)="TOTS")+(INDIRECT($E$3)=$E90)),INDIRECT(Q$3)))&lt;&gt;0,_xlpm.y=0),-2,_xlpm.x)))),0))</f>
        <v>-1</v>
      </c>
      <c r="R90" s="199" cm="1">
        <f t="array" aca="1" ref="R90" ca="1">IF(OR($B90="",$B90="X",$D90="",$D90="X",$E90="",$E90="X"),0,IFERROR(_xlfn.LET(_xlpm.x,SUM(SUM(_xlfn._xlws.FILTER(VALUE(PptoSty[Sign]&amp;1)*(1/PptoSty[Division]),(PptoSty[Division]&lt;&gt;0)*(PptoSty[Division]&lt;&gt;"")*(PptoSty[Division]&lt;&gt;"X")*(PptoSty[Project]=$B90)*(PptoSty[Vrs]=$D90)*(PptoSty[PiRow]=_xlfn.TEXTAFTER($H90,":"))*(PptoSty[PiColumn]=R$54),0)),SUM(IF((INDIRECT($B$3)=$B90)*(INDIRECT($C$3)=$D90)*((INDIRECT($E$3)="TOTS")+(INDIRECT($E$3)=$E90)),INDIRECT(R$3)))),_xlpm.y,SUM(_xlfn.CHOOSECOLS(_xlfn._xlws.FILTER(F_RT14[],(F_RT14[PrjId]=$B90)*(F_RT14[Vrs]=$D90)*(_xlfn.TEXTAFTER(F_RT14[ActGrp],":")=_xlfn.TEXTAFTER($H90,":")),"X"),MATCH("*"&amp;R$54,F_RT14[#Headers],0))),IF(AND(_xlpm.x=0,_xlpm.y&lt;&gt;0),-1,IF(AND(_xlpm.x&lt;&gt;0,_xlpm.y&lt;&gt;0),_xlpm.x,IF(AND(_xlpm.x-SUM(IF((INDIRECT($B$3)=$B90)*(INDIRECT($C$3)=$D90)*((INDIRECT($E$3)="TOTS")+(INDIRECT($E$3)=$E90)),INDIRECT(R$3)))&lt;&gt;0,_xlpm.y=0),-2,_xlpm.x)))),0))</f>
        <v>-1</v>
      </c>
      <c r="S90" s="199" cm="1">
        <f t="array" aca="1" ref="S90" ca="1">IF(OR($B90="",$B90="X",$D90="",$D90="X",$E90="",$E90="X"),0,IFERROR(_xlfn.LET(_xlpm.x,SUM(SUM(_xlfn._xlws.FILTER(VALUE(PptoSty[Sign]&amp;1)*(1/PptoSty[Division]),(PptoSty[Division]&lt;&gt;0)*(PptoSty[Division]&lt;&gt;"")*(PptoSty[Division]&lt;&gt;"X")*(PptoSty[Project]=$B90)*(PptoSty[Vrs]=$D90)*(PptoSty[PiRow]=_xlfn.TEXTAFTER($H90,":"))*(PptoSty[PiColumn]=S$54),0)),SUM(IF((INDIRECT($B$3)=$B90)*(INDIRECT($C$3)=$D90)*((INDIRECT($E$3)="TOTS")+(INDIRECT($E$3)=$E90)),INDIRECT(S$3)))),_xlpm.y,SUM(_xlfn.CHOOSECOLS(_xlfn._xlws.FILTER(F_RT14[],(F_RT14[PrjId]=$B90)*(F_RT14[Vrs]=$D90)*(_xlfn.TEXTAFTER(F_RT14[ActGrp],":")=_xlfn.TEXTAFTER($H90,":")),"X"),MATCH("*"&amp;S$54,F_RT14[#Headers],0))),IF(AND(_xlpm.x=0,_xlpm.y&lt;&gt;0),-1,IF(AND(_xlpm.x&lt;&gt;0,_xlpm.y&lt;&gt;0),_xlpm.x,IF(AND(_xlpm.x-SUM(IF((INDIRECT($B$3)=$B90)*(INDIRECT($C$3)=$D90)*((INDIRECT($E$3)="TOTS")+(INDIRECT($E$3)=$E90)),INDIRECT(S$3)))&lt;&gt;0,_xlpm.y=0),-2,_xlpm.x)))),0))</f>
        <v>-1</v>
      </c>
      <c r="T90" s="199" cm="1">
        <f t="array" aca="1" ref="T90" ca="1">IF(OR($B90="",$B90="X",$D90="",$D90="X",$E90="",$E90="X"),0,IFERROR(_xlfn.LET(_xlpm.x,SUM(SUM(_xlfn._xlws.FILTER(VALUE(PptoSty[Sign]&amp;1)*(1/PptoSty[Division]),(PptoSty[Division]&lt;&gt;0)*(PptoSty[Division]&lt;&gt;"")*(PptoSty[Division]&lt;&gt;"X")*(PptoSty[Project]=$B90)*(PptoSty[Vrs]=$D90)*(PptoSty[PiRow]=_xlfn.TEXTAFTER($H90,":"))*(PptoSty[PiColumn]=T$54),0)),SUM(IF((INDIRECT($B$3)=$B90)*(INDIRECT($C$3)=$D90)*((INDIRECT($E$3)="TOTS")+(INDIRECT($E$3)=$E90)),INDIRECT(T$3)))),_xlpm.y,SUM(_xlfn.CHOOSECOLS(_xlfn._xlws.FILTER(F_RT14[],(F_RT14[PrjId]=$B90)*(F_RT14[Vrs]=$D90)*(_xlfn.TEXTAFTER(F_RT14[ActGrp],":")=_xlfn.TEXTAFTER($H90,":")),"X"),MATCH("*"&amp;T$54,F_RT14[#Headers],0))),IF(AND(_xlpm.x=0,_xlpm.y&lt;&gt;0),-1,IF(AND(_xlpm.x&lt;&gt;0,_xlpm.y&lt;&gt;0),_xlpm.x,IF(AND(_xlpm.x-SUM(IF((INDIRECT($B$3)=$B90)*(INDIRECT($C$3)=$D90)*((INDIRECT($E$3)="TOTS")+(INDIRECT($E$3)=$E90)),INDIRECT(T$3)))&lt;&gt;0,_xlpm.y=0),-2,_xlpm.x)))),0))</f>
        <v>-1</v>
      </c>
      <c r="U90" s="199" cm="1">
        <f t="array" aca="1" ref="U90" ca="1">IF(OR($B90="",$B90="X",$D90="",$D90="X",$E90="",$E90="X"),0,IFERROR(_xlfn.LET(_xlpm.x,SUM(SUM(_xlfn._xlws.FILTER(VALUE(PptoSty[Sign]&amp;1)*(1/PptoSty[Division]),(PptoSty[Division]&lt;&gt;0)*(PptoSty[Division]&lt;&gt;"")*(PptoSty[Division]&lt;&gt;"X")*(PptoSty[Project]=$B90)*(PptoSty[Vrs]=$D90)*(PptoSty[PiRow]=_xlfn.TEXTAFTER($H90,":"))*(PptoSty[PiColumn]=U$54),0)),SUM(IF((INDIRECT($B$3)=$B90)*(INDIRECT($C$3)=$D90)*((INDIRECT($E$3)="TOTS")+(INDIRECT($E$3)=$E90)),INDIRECT(U$3)))),_xlpm.y,SUM(_xlfn.CHOOSECOLS(_xlfn._xlws.FILTER(F_RT14[],(F_RT14[PrjId]=$B90)*(F_RT14[Vrs]=$D90)*(_xlfn.TEXTAFTER(F_RT14[ActGrp],":")=_xlfn.TEXTAFTER($H90,":")),"X"),MATCH("*"&amp;U$54,F_RT14[#Headers],0))),IF(AND(_xlpm.x=0,_xlpm.y&lt;&gt;0),-1,IF(AND(_xlpm.x&lt;&gt;0,_xlpm.y&lt;&gt;0),_xlpm.x,IF(AND(_xlpm.x-SUM(IF((INDIRECT($B$3)=$B90)*(INDIRECT($C$3)=$D90)*((INDIRECT($E$3)="TOTS")+(INDIRECT($E$3)=$E90)),INDIRECT(U$3)))&lt;&gt;0,_xlpm.y=0),-2,_xlpm.x)))),0))</f>
        <v>0</v>
      </c>
      <c r="V90" s="199" cm="1">
        <f t="array" aca="1" ref="V90" ca="1">IF(OR($B90="",$B90="X",$D90="",$D90="X",$E90="",$E90="X"),0,IFERROR(_xlfn.LET(_xlpm.x,SUM(SUM(_xlfn._xlws.FILTER(VALUE(PptoSty[Sign]&amp;1)*(1/PptoSty[Division]),(PptoSty[Division]&lt;&gt;0)*(PptoSty[Division]&lt;&gt;"")*(PptoSty[Division]&lt;&gt;"X")*(PptoSty[Project]=$B90)*(PptoSty[Vrs]=$D90)*(PptoSty[PiRow]=_xlfn.TEXTAFTER($H90,":"))*(PptoSty[PiColumn]=V$54),0)),SUM(IF((INDIRECT($B$3)=$B90)*(INDIRECT($C$3)=$D90)*((INDIRECT($E$3)="TOTS")+(INDIRECT($E$3)=$E90)),INDIRECT(V$3)))),_xlpm.y,SUM(_xlfn.CHOOSECOLS(_xlfn._xlws.FILTER(F_RT14[],(F_RT14[PrjId]=$B90)*(F_RT14[Vrs]=$D90)*(_xlfn.TEXTAFTER(F_RT14[ActGrp],":")=_xlfn.TEXTAFTER($H90,":")),"X"),MATCH("*"&amp;V$54,F_RT14[#Headers],0))),IF(AND(_xlpm.x=0,_xlpm.y&lt;&gt;0),-1,IF(AND(_xlpm.x&lt;&gt;0,_xlpm.y&lt;&gt;0),_xlpm.x,IF(AND(_xlpm.x-SUM(IF((INDIRECT($B$3)=$B90)*(INDIRECT($C$3)=$D90)*((INDIRECT($E$3)="TOTS")+(INDIRECT($E$3)=$E90)),INDIRECT(V$3)))&lt;&gt;0,_xlpm.y=0),-2,_xlpm.x)))),0))</f>
        <v>-1</v>
      </c>
      <c r="W90" s="199" cm="1">
        <f t="array" aca="1" ref="W90" ca="1">IF(OR($B90="",$B90="X",$D90="",$D90="X",$E90="",$E90="X"),0,IFERROR(_xlfn.LET(_xlpm.x,SUM(SUM(_xlfn._xlws.FILTER(VALUE(PptoSty[Sign]&amp;1)*(1/PptoSty[Division]),(PptoSty[Division]&lt;&gt;0)*(PptoSty[Division]&lt;&gt;"")*(PptoSty[Division]&lt;&gt;"X")*(PptoSty[Project]=$B90)*(PptoSty[Vrs]=$D90)*(PptoSty[PiRow]=_xlfn.TEXTAFTER($H90,":"))*(PptoSty[PiColumn]=W$54),0)),SUM(IF((INDIRECT($B$3)=$B90)*(INDIRECT($C$3)=$D90)*((INDIRECT($E$3)="TOTS")+(INDIRECT($E$3)=$E90)),INDIRECT(W$3)))),_xlpm.y,SUM(_xlfn.CHOOSECOLS(_xlfn._xlws.FILTER(F_RT14[],(F_RT14[PrjId]=$B90)*(F_RT14[Vrs]=$D90)*(_xlfn.TEXTAFTER(F_RT14[ActGrp],":")=_xlfn.TEXTAFTER($H90,":")),"X"),MATCH("*"&amp;W$54,F_RT14[#Headers],0))),IF(AND(_xlpm.x=0,_xlpm.y&lt;&gt;0),-1,IF(AND(_xlpm.x&lt;&gt;0,_xlpm.y&lt;&gt;0),_xlpm.x,IF(AND(_xlpm.x-SUM(IF((INDIRECT($B$3)=$B90)*(INDIRECT($C$3)=$D90)*((INDIRECT($E$3)="TOTS")+(INDIRECT($E$3)=$E90)),INDIRECT(W$3)))&lt;&gt;0,_xlpm.y=0),-2,_xlpm.x)))),0))</f>
        <v>-1</v>
      </c>
      <c r="X90" s="199" cm="1">
        <f t="array" aca="1" ref="X90" ca="1">IF(OR($B90="",$B90="X",$D90="",$D90="X",$E90="",$E90="X"),0,IFERROR(_xlfn.LET(_xlpm.x,SUM(SUM(_xlfn._xlws.FILTER(VALUE(PptoSty[Sign]&amp;1)*(1/PptoSty[Division]),(PptoSty[Division]&lt;&gt;0)*(PptoSty[Division]&lt;&gt;"")*(PptoSty[Division]&lt;&gt;"X")*(PptoSty[Project]=$B90)*(PptoSty[Vrs]=$D90)*(PptoSty[PiRow]=_xlfn.TEXTAFTER($H90,":"))*(PptoSty[PiColumn]=X$54),0)),SUM(IF((INDIRECT($B$3)=$B90)*(INDIRECT($C$3)=$D90)*((INDIRECT($E$3)="TOTS")+(INDIRECT($E$3)=$E90)),INDIRECT(X$3)))),_xlpm.y,SUM(_xlfn.CHOOSECOLS(_xlfn._xlws.FILTER(F_RT14[],(F_RT14[PrjId]=$B90)*(F_RT14[Vrs]=$D90)*(_xlfn.TEXTAFTER(F_RT14[ActGrp],":")=_xlfn.TEXTAFTER($H90,":")),"X"),MATCH("*"&amp;X$54,F_RT14[#Headers],0))),IF(AND(_xlpm.x=0,_xlpm.y&lt;&gt;0),-1,IF(AND(_xlpm.x&lt;&gt;0,_xlpm.y&lt;&gt;0),_xlpm.x,IF(AND(_xlpm.x-SUM(IF((INDIRECT($B$3)=$B90)*(INDIRECT($C$3)=$D90)*((INDIRECT($E$3)="TOTS")+(INDIRECT($E$3)=$E90)),INDIRECT(X$3)))&lt;&gt;0,_xlpm.y=0),-2,_xlpm.x)))),0))</f>
        <v>-1</v>
      </c>
      <c r="Y90" s="199" cm="1">
        <f t="array" aca="1" ref="Y90" ca="1">IF(OR($B90="",$B90="X",$D90="",$D90="X",$E90="",$E90="X"),0,IFERROR(_xlfn.LET(_xlpm.x,SUM(SUM(_xlfn._xlws.FILTER(VALUE(PptoSty[Sign]&amp;1)*(1/PptoSty[Division]),(PptoSty[Division]&lt;&gt;0)*(PptoSty[Division]&lt;&gt;"")*(PptoSty[Division]&lt;&gt;"X")*(PptoSty[Project]=$B90)*(PptoSty[Vrs]=$D90)*(PptoSty[PiRow]=_xlfn.TEXTAFTER($H90,":"))*(PptoSty[PiColumn]=Y$54),0)),SUM(IF((INDIRECT($B$3)=$B90)*(INDIRECT($C$3)=$D90)*((INDIRECT($E$3)="TOTS")+(INDIRECT($E$3)=$E90)),INDIRECT(Y$3)))),_xlpm.y,SUM(_xlfn.CHOOSECOLS(_xlfn._xlws.FILTER(F_RT14[],(F_RT14[PrjId]=$B90)*(F_RT14[Vrs]=$D90)*(_xlfn.TEXTAFTER(F_RT14[ActGrp],":")=_xlfn.TEXTAFTER($H90,":")),"X"),MATCH("*"&amp;Y$54,F_RT14[#Headers],0))),IF(AND(_xlpm.x=0,_xlpm.y&lt;&gt;0),-1,IF(AND(_xlpm.x&lt;&gt;0,_xlpm.y&lt;&gt;0),_xlpm.x,IF(AND(_xlpm.x-SUM(IF((INDIRECT($B$3)=$B90)*(INDIRECT($C$3)=$D90)*((INDIRECT($E$3)="TOTS")+(INDIRECT($E$3)=$E90)),INDIRECT(Y$3)))&lt;&gt;0,_xlpm.y=0),-2,_xlpm.x)))),0))</f>
        <v>0</v>
      </c>
      <c r="Z90" s="198" t="str">
        <f t="shared" ca="1" si="2"/>
        <v>Fback!B90:Y90</v>
      </c>
    </row>
    <row r="91" spans="2:26" ht="21" customHeight="1" outlineLevel="1">
      <c r="B91" s="128" t="str">
        <v>31199</v>
      </c>
      <c r="C91" s="128" t="str">
        <v>Sp</v>
      </c>
      <c r="D91" s="128">
        <v>0</v>
      </c>
      <c r="E91" s="128" t="str">
        <v>TOOL</v>
      </c>
      <c r="F91" s="139" t="str">
        <v>SERRA</v>
      </c>
      <c r="G91" s="139" t="str">
        <v>CurPpto</v>
      </c>
      <c r="H91" s="139" t="str">
        <v>P005:FIXTURE OP-320 XMBR SUB-ASSY II</v>
      </c>
      <c r="I91" s="199" cm="1">
        <f t="array" aca="1" ref="I91" ca="1">IF(OR($B91="",$B91="X",$D91="",$D91="X",$E91="",$E91="X"),0,IFERROR(_xlfn.LET(_xlpm.x,SUM(SUM(_xlfn._xlws.FILTER(VALUE(PptoSty[Sign]&amp;1)*(1/PptoSty[Division]),(PptoSty[Division]&lt;&gt;0)*(PptoSty[Division]&lt;&gt;"")*(PptoSty[Division]&lt;&gt;"X")*(PptoSty[Project]=$B91)*(PptoSty[Vrs]=$D91)*(PptoSty[PiRow]=_xlfn.TEXTAFTER($H91,":"))*(PptoSty[PiColumn]=I$54),0)),SUM(IF((INDIRECT($B$3)=$B91)*(INDIRECT($C$3)=$D91)*((INDIRECT($E$3)="TOTS")+(INDIRECT($E$3)=$E91)),INDIRECT(I$3)))),_xlpm.y,SUM(_xlfn.CHOOSECOLS(_xlfn._xlws.FILTER(F_RT14[],(F_RT14[PrjId]=$B91)*(F_RT14[Vrs]=$D91)*(_xlfn.TEXTAFTER(F_RT14[ActGrp],":")=_xlfn.TEXTAFTER($H91,":")),"X"),MATCH("*"&amp;I$54,F_RT14[#Headers],0))),IF(AND(_xlpm.x=0,_xlpm.y&lt;&gt;0),-1,IF(AND(_xlpm.x&lt;&gt;0,_xlpm.y&lt;&gt;0),_xlpm.x,IF(AND(_xlpm.x-SUM(IF((INDIRECT($B$3)=$B91)*(INDIRECT($C$3)=$D91)*((INDIRECT($E$3)="TOTS")+(INDIRECT($E$3)=$E91)),INDIRECT(I$3)))&lt;&gt;0,_xlpm.y=0),-2,_xlpm.x)))),0))</f>
        <v>0</v>
      </c>
      <c r="J91" s="199" cm="1">
        <f t="array" aca="1" ref="J91" ca="1">IF(OR($B91="",$B91="X",$D91="",$D91="X",$E91="",$E91="X"),0,IFERROR(_xlfn.LET(_xlpm.x,SUM(SUM(_xlfn._xlws.FILTER(VALUE(PptoSty[Sign]&amp;1)*(1/PptoSty[Division]),(PptoSty[Division]&lt;&gt;0)*(PptoSty[Division]&lt;&gt;"")*(PptoSty[Division]&lt;&gt;"X")*(PptoSty[Project]=$B91)*(PptoSty[Vrs]=$D91)*(PptoSty[PiRow]=_xlfn.TEXTAFTER($H91,":"))*(PptoSty[PiColumn]=J$54),0)),SUM(IF((INDIRECT($B$3)=$B91)*(INDIRECT($C$3)=$D91)*((INDIRECT($E$3)="TOTS")+(INDIRECT($E$3)=$E91)),INDIRECT(J$3)))),_xlpm.y,SUM(_xlfn.CHOOSECOLS(_xlfn._xlws.FILTER(F_RT14[],(F_RT14[PrjId]=$B91)*(F_RT14[Vrs]=$D91)*(_xlfn.TEXTAFTER(F_RT14[ActGrp],":")=_xlfn.TEXTAFTER($H91,":")),"X"),MATCH("*"&amp;J$54,F_RT14[#Headers],0))),IF(AND(_xlpm.x=0,_xlpm.y&lt;&gt;0),-1,IF(AND(_xlpm.x&lt;&gt;0,_xlpm.y&lt;&gt;0),_xlpm.x,IF(AND(_xlpm.x-SUM(IF((INDIRECT($B$3)=$B91)*(INDIRECT($C$3)=$D91)*((INDIRECT($E$3)="TOTS")+(INDIRECT($E$3)=$E91)),INDIRECT(J$3)))&lt;&gt;0,_xlpm.y=0),-2,_xlpm.x)))),0))</f>
        <v>0</v>
      </c>
      <c r="K91" s="199" cm="1">
        <f t="array" aca="1" ref="K91" ca="1">IF(OR($B91="",$B91="X",$D91="",$D91="X",$E91="",$E91="X"),0,IFERROR(_xlfn.LET(_xlpm.x,SUM(SUM(_xlfn._xlws.FILTER(VALUE(PptoSty[Sign]&amp;1)*(1/PptoSty[Division]),(PptoSty[Division]&lt;&gt;0)*(PptoSty[Division]&lt;&gt;"")*(PptoSty[Division]&lt;&gt;"X")*(PptoSty[Project]=$B91)*(PptoSty[Vrs]=$D91)*(PptoSty[PiRow]=_xlfn.TEXTAFTER($H91,":"))*(PptoSty[PiColumn]=K$54),0)),SUM(IF((INDIRECT($B$3)=$B91)*(INDIRECT($C$3)=$D91)*((INDIRECT($E$3)="TOTS")+(INDIRECT($E$3)=$E91)),INDIRECT(K$3)))),_xlpm.y,SUM(_xlfn.CHOOSECOLS(_xlfn._xlws.FILTER(F_RT14[],(F_RT14[PrjId]=$B91)*(F_RT14[Vrs]=$D91)*(_xlfn.TEXTAFTER(F_RT14[ActGrp],":")=_xlfn.TEXTAFTER($H91,":")),"X"),MATCH("*"&amp;K$54,F_RT14[#Headers],0))),IF(AND(_xlpm.x=0,_xlpm.y&lt;&gt;0),-1,IF(AND(_xlpm.x&lt;&gt;0,_xlpm.y&lt;&gt;0),_xlpm.x,IF(AND(_xlpm.x-SUM(IF((INDIRECT($B$3)=$B91)*(INDIRECT($C$3)=$D91)*((INDIRECT($E$3)="TOTS")+(INDIRECT($E$3)=$E91)),INDIRECT(K$3)))&lt;&gt;0,_xlpm.y=0),-2,_xlpm.x)))),0))</f>
        <v>-1</v>
      </c>
      <c r="L91" s="199" cm="1">
        <f t="array" aca="1" ref="L91" ca="1">IF(OR($B91="",$B91="X",$D91="",$D91="X",$E91="",$E91="X"),0,IFERROR(_xlfn.LET(_xlpm.x,SUM(SUM(_xlfn._xlws.FILTER(VALUE(PptoSty[Sign]&amp;1)*(1/PptoSty[Division]),(PptoSty[Division]&lt;&gt;0)*(PptoSty[Division]&lt;&gt;"")*(PptoSty[Division]&lt;&gt;"X")*(PptoSty[Project]=$B91)*(PptoSty[Vrs]=$D91)*(PptoSty[PiRow]=_xlfn.TEXTAFTER($H91,":"))*(PptoSty[PiColumn]=L$54),0)),SUM(IF((INDIRECT($B$3)=$B91)*(INDIRECT($C$3)=$D91)*((INDIRECT($E$3)="TOTS")+(INDIRECT($E$3)=$E91)),INDIRECT(L$3)))),_xlpm.y,SUM(_xlfn.CHOOSECOLS(_xlfn._xlws.FILTER(F_RT14[],(F_RT14[PrjId]=$B91)*(F_RT14[Vrs]=$D91)*(_xlfn.TEXTAFTER(F_RT14[ActGrp],":")=_xlfn.TEXTAFTER($H91,":")),"X"),MATCH("*"&amp;L$54,F_RT14[#Headers],0))),IF(AND(_xlpm.x=0,_xlpm.y&lt;&gt;0),-1,IF(AND(_xlpm.x&lt;&gt;0,_xlpm.y&lt;&gt;0),_xlpm.x,IF(AND(_xlpm.x-SUM(IF((INDIRECT($B$3)=$B91)*(INDIRECT($C$3)=$D91)*((INDIRECT($E$3)="TOTS")+(INDIRECT($E$3)=$E91)),INDIRECT(L$3)))&lt;&gt;0,_xlpm.y=0),-2,_xlpm.x)))),0))</f>
        <v>0</v>
      </c>
      <c r="M91" s="199" cm="1">
        <f t="array" aca="1" ref="M91" ca="1">IF(OR($B91="",$B91="X",$D91="",$D91="X",$E91="",$E91="X"),0,IFERROR(_xlfn.LET(_xlpm.x,SUM(SUM(_xlfn._xlws.FILTER(VALUE(PptoSty[Sign]&amp;1)*(1/PptoSty[Division]),(PptoSty[Division]&lt;&gt;0)*(PptoSty[Division]&lt;&gt;"")*(PptoSty[Division]&lt;&gt;"X")*(PptoSty[Project]=$B91)*(PptoSty[Vrs]=$D91)*(PptoSty[PiRow]=_xlfn.TEXTAFTER($H91,":"))*(PptoSty[PiColumn]=M$54),0)),SUM(IF((INDIRECT($B$3)=$B91)*(INDIRECT($C$3)=$D91)*((INDIRECT($E$3)="TOTS")+(INDIRECT($E$3)=$E91)),INDIRECT(M$3)))),_xlpm.y,SUM(_xlfn.CHOOSECOLS(_xlfn._xlws.FILTER(F_RT14[],(F_RT14[PrjId]=$B91)*(F_RT14[Vrs]=$D91)*(_xlfn.TEXTAFTER(F_RT14[ActGrp],":")=_xlfn.TEXTAFTER($H91,":")),"X"),MATCH("*"&amp;M$54,F_RT14[#Headers],0))),IF(AND(_xlpm.x=0,_xlpm.y&lt;&gt;0),-1,IF(AND(_xlpm.x&lt;&gt;0,_xlpm.y&lt;&gt;0),_xlpm.x,IF(AND(_xlpm.x-SUM(IF((INDIRECT($B$3)=$B91)*(INDIRECT($C$3)=$D91)*((INDIRECT($E$3)="TOTS")+(INDIRECT($E$3)=$E91)),INDIRECT(M$3)))&lt;&gt;0,_xlpm.y=0),-2,_xlpm.x)))),0))</f>
        <v>0</v>
      </c>
      <c r="N91" s="199" cm="1">
        <f t="array" aca="1" ref="N91" ca="1">IF(OR($B91="",$B91="X",$D91="",$D91="X",$E91="",$E91="X"),0,IFERROR(_xlfn.LET(_xlpm.x,SUM(SUM(_xlfn._xlws.FILTER(VALUE(PptoSty[Sign]&amp;1)*(1/PptoSty[Division]),(PptoSty[Division]&lt;&gt;0)*(PptoSty[Division]&lt;&gt;"")*(PptoSty[Division]&lt;&gt;"X")*(PptoSty[Project]=$B91)*(PptoSty[Vrs]=$D91)*(PptoSty[PiRow]=_xlfn.TEXTAFTER($H91,":"))*(PptoSty[PiColumn]=N$54),0)),SUM(IF((INDIRECT($B$3)=$B91)*(INDIRECT($C$3)=$D91)*((INDIRECT($E$3)="TOTS")+(INDIRECT($E$3)=$E91)),INDIRECT(N$3)))),_xlpm.y,SUM(_xlfn.CHOOSECOLS(_xlfn._xlws.FILTER(F_RT14[],(F_RT14[PrjId]=$B91)*(F_RT14[Vrs]=$D91)*(_xlfn.TEXTAFTER(F_RT14[ActGrp],":")=_xlfn.TEXTAFTER($H91,":")),"X"),MATCH("*"&amp;N$54,F_RT14[#Headers],0))),IF(AND(_xlpm.x=0,_xlpm.y&lt;&gt;0),-1,IF(AND(_xlpm.x&lt;&gt;0,_xlpm.y&lt;&gt;0),_xlpm.x,IF(AND(_xlpm.x-SUM(IF((INDIRECT($B$3)=$B91)*(INDIRECT($C$3)=$D91)*((INDIRECT($E$3)="TOTS")+(INDIRECT($E$3)=$E91)),INDIRECT(N$3)))&lt;&gt;0,_xlpm.y=0),-2,_xlpm.x)))),0))</f>
        <v>-1</v>
      </c>
      <c r="O91" s="199" cm="1">
        <f t="array" aca="1" ref="O91" ca="1">IF(OR($B91="",$B91="X",$D91="",$D91="X",$E91="",$E91="X"),0,IFERROR(_xlfn.LET(_xlpm.x,SUM(SUM(_xlfn._xlws.FILTER(VALUE(PptoSty[Sign]&amp;1)*(1/PptoSty[Division]),(PptoSty[Division]&lt;&gt;0)*(PptoSty[Division]&lt;&gt;"")*(PptoSty[Division]&lt;&gt;"X")*(PptoSty[Project]=$B91)*(PptoSty[Vrs]=$D91)*(PptoSty[PiRow]=_xlfn.TEXTAFTER($H91,":"))*(PptoSty[PiColumn]=O$54),0)),SUM(IF((INDIRECT($B$3)=$B91)*(INDIRECT($C$3)=$D91)*((INDIRECT($E$3)="TOTS")+(INDIRECT($E$3)=$E91)),INDIRECT(O$3)))),_xlpm.y,SUM(_xlfn.CHOOSECOLS(_xlfn._xlws.FILTER(F_RT14[],(F_RT14[PrjId]=$B91)*(F_RT14[Vrs]=$D91)*(_xlfn.TEXTAFTER(F_RT14[ActGrp],":")=_xlfn.TEXTAFTER($H91,":")),"X"),MATCH("*"&amp;O$54,F_RT14[#Headers],0))),IF(AND(_xlpm.x=0,_xlpm.y&lt;&gt;0),-1,IF(AND(_xlpm.x&lt;&gt;0,_xlpm.y&lt;&gt;0),_xlpm.x,IF(AND(_xlpm.x-SUM(IF((INDIRECT($B$3)=$B91)*(INDIRECT($C$3)=$D91)*((INDIRECT($E$3)="TOTS")+(INDIRECT($E$3)=$E91)),INDIRECT(O$3)))&lt;&gt;0,_xlpm.y=0),-2,_xlpm.x)))),0))</f>
        <v>0</v>
      </c>
      <c r="P91" s="199" cm="1">
        <f t="array" aca="1" ref="P91" ca="1">IF(OR($B91="",$B91="X",$D91="",$D91="X",$E91="",$E91="X"),0,IFERROR(_xlfn.LET(_xlpm.x,SUM(SUM(_xlfn._xlws.FILTER(VALUE(PptoSty[Sign]&amp;1)*(1/PptoSty[Division]),(PptoSty[Division]&lt;&gt;0)*(PptoSty[Division]&lt;&gt;"")*(PptoSty[Division]&lt;&gt;"X")*(PptoSty[Project]=$B91)*(PptoSty[Vrs]=$D91)*(PptoSty[PiRow]=_xlfn.TEXTAFTER($H91,":"))*(PptoSty[PiColumn]=P$54),0)),SUM(IF((INDIRECT($B$3)=$B91)*(INDIRECT($C$3)=$D91)*((INDIRECT($E$3)="TOTS")+(INDIRECT($E$3)=$E91)),INDIRECT(P$3)))),_xlpm.y,SUM(_xlfn.CHOOSECOLS(_xlfn._xlws.FILTER(F_RT14[],(F_RT14[PrjId]=$B91)*(F_RT14[Vrs]=$D91)*(_xlfn.TEXTAFTER(F_RT14[ActGrp],":")=_xlfn.TEXTAFTER($H91,":")),"X"),MATCH("*"&amp;P$54,F_RT14[#Headers],0))),IF(AND(_xlpm.x=0,_xlpm.y&lt;&gt;0),-1,IF(AND(_xlpm.x&lt;&gt;0,_xlpm.y&lt;&gt;0),_xlpm.x,IF(AND(_xlpm.x-SUM(IF((INDIRECT($B$3)=$B91)*(INDIRECT($C$3)=$D91)*((INDIRECT($E$3)="TOTS")+(INDIRECT($E$3)=$E91)),INDIRECT(P$3)))&lt;&gt;0,_xlpm.y=0),-2,_xlpm.x)))),0))</f>
        <v>-1</v>
      </c>
      <c r="Q91" s="199" cm="1">
        <f t="array" aca="1" ref="Q91" ca="1">IF(OR($B91="",$B91="X",$D91="",$D91="X",$E91="",$E91="X"),0,IFERROR(_xlfn.LET(_xlpm.x,SUM(SUM(_xlfn._xlws.FILTER(VALUE(PptoSty[Sign]&amp;1)*(1/PptoSty[Division]),(PptoSty[Division]&lt;&gt;0)*(PptoSty[Division]&lt;&gt;"")*(PptoSty[Division]&lt;&gt;"X")*(PptoSty[Project]=$B91)*(PptoSty[Vrs]=$D91)*(PptoSty[PiRow]=_xlfn.TEXTAFTER($H91,":"))*(PptoSty[PiColumn]=Q$54),0)),SUM(IF((INDIRECT($B$3)=$B91)*(INDIRECT($C$3)=$D91)*((INDIRECT($E$3)="TOTS")+(INDIRECT($E$3)=$E91)),INDIRECT(Q$3)))),_xlpm.y,SUM(_xlfn.CHOOSECOLS(_xlfn._xlws.FILTER(F_RT14[],(F_RT14[PrjId]=$B91)*(F_RT14[Vrs]=$D91)*(_xlfn.TEXTAFTER(F_RT14[ActGrp],":")=_xlfn.TEXTAFTER($H91,":")),"X"),MATCH("*"&amp;Q$54,F_RT14[#Headers],0))),IF(AND(_xlpm.x=0,_xlpm.y&lt;&gt;0),-1,IF(AND(_xlpm.x&lt;&gt;0,_xlpm.y&lt;&gt;0),_xlpm.x,IF(AND(_xlpm.x-SUM(IF((INDIRECT($B$3)=$B91)*(INDIRECT($C$3)=$D91)*((INDIRECT($E$3)="TOTS")+(INDIRECT($E$3)=$E91)),INDIRECT(Q$3)))&lt;&gt;0,_xlpm.y=0),-2,_xlpm.x)))),0))</f>
        <v>-1</v>
      </c>
      <c r="R91" s="199" cm="1">
        <f t="array" aca="1" ref="R91" ca="1">IF(OR($B91="",$B91="X",$D91="",$D91="X",$E91="",$E91="X"),0,IFERROR(_xlfn.LET(_xlpm.x,SUM(SUM(_xlfn._xlws.FILTER(VALUE(PptoSty[Sign]&amp;1)*(1/PptoSty[Division]),(PptoSty[Division]&lt;&gt;0)*(PptoSty[Division]&lt;&gt;"")*(PptoSty[Division]&lt;&gt;"X")*(PptoSty[Project]=$B91)*(PptoSty[Vrs]=$D91)*(PptoSty[PiRow]=_xlfn.TEXTAFTER($H91,":"))*(PptoSty[PiColumn]=R$54),0)),SUM(IF((INDIRECT($B$3)=$B91)*(INDIRECT($C$3)=$D91)*((INDIRECT($E$3)="TOTS")+(INDIRECT($E$3)=$E91)),INDIRECT(R$3)))),_xlpm.y,SUM(_xlfn.CHOOSECOLS(_xlfn._xlws.FILTER(F_RT14[],(F_RT14[PrjId]=$B91)*(F_RT14[Vrs]=$D91)*(_xlfn.TEXTAFTER(F_RT14[ActGrp],":")=_xlfn.TEXTAFTER($H91,":")),"X"),MATCH("*"&amp;R$54,F_RT14[#Headers],0))),IF(AND(_xlpm.x=0,_xlpm.y&lt;&gt;0),-1,IF(AND(_xlpm.x&lt;&gt;0,_xlpm.y&lt;&gt;0),_xlpm.x,IF(AND(_xlpm.x-SUM(IF((INDIRECT($B$3)=$B91)*(INDIRECT($C$3)=$D91)*((INDIRECT($E$3)="TOTS")+(INDIRECT($E$3)=$E91)),INDIRECT(R$3)))&lt;&gt;0,_xlpm.y=0),-2,_xlpm.x)))),0))</f>
        <v>-1</v>
      </c>
      <c r="S91" s="199" cm="1">
        <f t="array" aca="1" ref="S91" ca="1">IF(OR($B91="",$B91="X",$D91="",$D91="X",$E91="",$E91="X"),0,IFERROR(_xlfn.LET(_xlpm.x,SUM(SUM(_xlfn._xlws.FILTER(VALUE(PptoSty[Sign]&amp;1)*(1/PptoSty[Division]),(PptoSty[Division]&lt;&gt;0)*(PptoSty[Division]&lt;&gt;"")*(PptoSty[Division]&lt;&gt;"X")*(PptoSty[Project]=$B91)*(PptoSty[Vrs]=$D91)*(PptoSty[PiRow]=_xlfn.TEXTAFTER($H91,":"))*(PptoSty[PiColumn]=S$54),0)),SUM(IF((INDIRECT($B$3)=$B91)*(INDIRECT($C$3)=$D91)*((INDIRECT($E$3)="TOTS")+(INDIRECT($E$3)=$E91)),INDIRECT(S$3)))),_xlpm.y,SUM(_xlfn.CHOOSECOLS(_xlfn._xlws.FILTER(F_RT14[],(F_RT14[PrjId]=$B91)*(F_RT14[Vrs]=$D91)*(_xlfn.TEXTAFTER(F_RT14[ActGrp],":")=_xlfn.TEXTAFTER($H91,":")),"X"),MATCH("*"&amp;S$54,F_RT14[#Headers],0))),IF(AND(_xlpm.x=0,_xlpm.y&lt;&gt;0),-1,IF(AND(_xlpm.x&lt;&gt;0,_xlpm.y&lt;&gt;0),_xlpm.x,IF(AND(_xlpm.x-SUM(IF((INDIRECT($B$3)=$B91)*(INDIRECT($C$3)=$D91)*((INDIRECT($E$3)="TOTS")+(INDIRECT($E$3)=$E91)),INDIRECT(S$3)))&lt;&gt;0,_xlpm.y=0),-2,_xlpm.x)))),0))</f>
        <v>-1</v>
      </c>
      <c r="T91" s="199" cm="1">
        <f t="array" aca="1" ref="T91" ca="1">IF(OR($B91="",$B91="X",$D91="",$D91="X",$E91="",$E91="X"),0,IFERROR(_xlfn.LET(_xlpm.x,SUM(SUM(_xlfn._xlws.FILTER(VALUE(PptoSty[Sign]&amp;1)*(1/PptoSty[Division]),(PptoSty[Division]&lt;&gt;0)*(PptoSty[Division]&lt;&gt;"")*(PptoSty[Division]&lt;&gt;"X")*(PptoSty[Project]=$B91)*(PptoSty[Vrs]=$D91)*(PptoSty[PiRow]=_xlfn.TEXTAFTER($H91,":"))*(PptoSty[PiColumn]=T$54),0)),SUM(IF((INDIRECT($B$3)=$B91)*(INDIRECT($C$3)=$D91)*((INDIRECT($E$3)="TOTS")+(INDIRECT($E$3)=$E91)),INDIRECT(T$3)))),_xlpm.y,SUM(_xlfn.CHOOSECOLS(_xlfn._xlws.FILTER(F_RT14[],(F_RT14[PrjId]=$B91)*(F_RT14[Vrs]=$D91)*(_xlfn.TEXTAFTER(F_RT14[ActGrp],":")=_xlfn.TEXTAFTER($H91,":")),"X"),MATCH("*"&amp;T$54,F_RT14[#Headers],0))),IF(AND(_xlpm.x=0,_xlpm.y&lt;&gt;0),-1,IF(AND(_xlpm.x&lt;&gt;0,_xlpm.y&lt;&gt;0),_xlpm.x,IF(AND(_xlpm.x-SUM(IF((INDIRECT($B$3)=$B91)*(INDIRECT($C$3)=$D91)*((INDIRECT($E$3)="TOTS")+(INDIRECT($E$3)=$E91)),INDIRECT(T$3)))&lt;&gt;0,_xlpm.y=0),-2,_xlpm.x)))),0))</f>
        <v>-1</v>
      </c>
      <c r="U91" s="199" cm="1">
        <f t="array" aca="1" ref="U91" ca="1">IF(OR($B91="",$B91="X",$D91="",$D91="X",$E91="",$E91="X"),0,IFERROR(_xlfn.LET(_xlpm.x,SUM(SUM(_xlfn._xlws.FILTER(VALUE(PptoSty[Sign]&amp;1)*(1/PptoSty[Division]),(PptoSty[Division]&lt;&gt;0)*(PptoSty[Division]&lt;&gt;"")*(PptoSty[Division]&lt;&gt;"X")*(PptoSty[Project]=$B91)*(PptoSty[Vrs]=$D91)*(PptoSty[PiRow]=_xlfn.TEXTAFTER($H91,":"))*(PptoSty[PiColumn]=U$54),0)),SUM(IF((INDIRECT($B$3)=$B91)*(INDIRECT($C$3)=$D91)*((INDIRECT($E$3)="TOTS")+(INDIRECT($E$3)=$E91)),INDIRECT(U$3)))),_xlpm.y,SUM(_xlfn.CHOOSECOLS(_xlfn._xlws.FILTER(F_RT14[],(F_RT14[PrjId]=$B91)*(F_RT14[Vrs]=$D91)*(_xlfn.TEXTAFTER(F_RT14[ActGrp],":")=_xlfn.TEXTAFTER($H91,":")),"X"),MATCH("*"&amp;U$54,F_RT14[#Headers],0))),IF(AND(_xlpm.x=0,_xlpm.y&lt;&gt;0),-1,IF(AND(_xlpm.x&lt;&gt;0,_xlpm.y&lt;&gt;0),_xlpm.x,IF(AND(_xlpm.x-SUM(IF((INDIRECT($B$3)=$B91)*(INDIRECT($C$3)=$D91)*((INDIRECT($E$3)="TOTS")+(INDIRECT($E$3)=$E91)),INDIRECT(U$3)))&lt;&gt;0,_xlpm.y=0),-2,_xlpm.x)))),0))</f>
        <v>0</v>
      </c>
      <c r="V91" s="199" cm="1">
        <f t="array" aca="1" ref="V91" ca="1">IF(OR($B91="",$B91="X",$D91="",$D91="X",$E91="",$E91="X"),0,IFERROR(_xlfn.LET(_xlpm.x,SUM(SUM(_xlfn._xlws.FILTER(VALUE(PptoSty[Sign]&amp;1)*(1/PptoSty[Division]),(PptoSty[Division]&lt;&gt;0)*(PptoSty[Division]&lt;&gt;"")*(PptoSty[Division]&lt;&gt;"X")*(PptoSty[Project]=$B91)*(PptoSty[Vrs]=$D91)*(PptoSty[PiRow]=_xlfn.TEXTAFTER($H91,":"))*(PptoSty[PiColumn]=V$54),0)),SUM(IF((INDIRECT($B$3)=$B91)*(INDIRECT($C$3)=$D91)*((INDIRECT($E$3)="TOTS")+(INDIRECT($E$3)=$E91)),INDIRECT(V$3)))),_xlpm.y,SUM(_xlfn.CHOOSECOLS(_xlfn._xlws.FILTER(F_RT14[],(F_RT14[PrjId]=$B91)*(F_RT14[Vrs]=$D91)*(_xlfn.TEXTAFTER(F_RT14[ActGrp],":")=_xlfn.TEXTAFTER($H91,":")),"X"),MATCH("*"&amp;V$54,F_RT14[#Headers],0))),IF(AND(_xlpm.x=0,_xlpm.y&lt;&gt;0),-1,IF(AND(_xlpm.x&lt;&gt;0,_xlpm.y&lt;&gt;0),_xlpm.x,IF(AND(_xlpm.x-SUM(IF((INDIRECT($B$3)=$B91)*(INDIRECT($C$3)=$D91)*((INDIRECT($E$3)="TOTS")+(INDIRECT($E$3)=$E91)),INDIRECT(V$3)))&lt;&gt;0,_xlpm.y=0),-2,_xlpm.x)))),0))</f>
        <v>-1</v>
      </c>
      <c r="W91" s="199" cm="1">
        <f t="array" aca="1" ref="W91" ca="1">IF(OR($B91="",$B91="X",$D91="",$D91="X",$E91="",$E91="X"),0,IFERROR(_xlfn.LET(_xlpm.x,SUM(SUM(_xlfn._xlws.FILTER(VALUE(PptoSty[Sign]&amp;1)*(1/PptoSty[Division]),(PptoSty[Division]&lt;&gt;0)*(PptoSty[Division]&lt;&gt;"")*(PptoSty[Division]&lt;&gt;"X")*(PptoSty[Project]=$B91)*(PptoSty[Vrs]=$D91)*(PptoSty[PiRow]=_xlfn.TEXTAFTER($H91,":"))*(PptoSty[PiColumn]=W$54),0)),SUM(IF((INDIRECT($B$3)=$B91)*(INDIRECT($C$3)=$D91)*((INDIRECT($E$3)="TOTS")+(INDIRECT($E$3)=$E91)),INDIRECT(W$3)))),_xlpm.y,SUM(_xlfn.CHOOSECOLS(_xlfn._xlws.FILTER(F_RT14[],(F_RT14[PrjId]=$B91)*(F_RT14[Vrs]=$D91)*(_xlfn.TEXTAFTER(F_RT14[ActGrp],":")=_xlfn.TEXTAFTER($H91,":")),"X"),MATCH("*"&amp;W$54,F_RT14[#Headers],0))),IF(AND(_xlpm.x=0,_xlpm.y&lt;&gt;0),-1,IF(AND(_xlpm.x&lt;&gt;0,_xlpm.y&lt;&gt;0),_xlpm.x,IF(AND(_xlpm.x-SUM(IF((INDIRECT($B$3)=$B91)*(INDIRECT($C$3)=$D91)*((INDIRECT($E$3)="TOTS")+(INDIRECT($E$3)=$E91)),INDIRECT(W$3)))&lt;&gt;0,_xlpm.y=0),-2,_xlpm.x)))),0))</f>
        <v>-1</v>
      </c>
      <c r="X91" s="199" cm="1">
        <f t="array" aca="1" ref="X91" ca="1">IF(OR($B91="",$B91="X",$D91="",$D91="X",$E91="",$E91="X"),0,IFERROR(_xlfn.LET(_xlpm.x,SUM(SUM(_xlfn._xlws.FILTER(VALUE(PptoSty[Sign]&amp;1)*(1/PptoSty[Division]),(PptoSty[Division]&lt;&gt;0)*(PptoSty[Division]&lt;&gt;"")*(PptoSty[Division]&lt;&gt;"X")*(PptoSty[Project]=$B91)*(PptoSty[Vrs]=$D91)*(PptoSty[PiRow]=_xlfn.TEXTAFTER($H91,":"))*(PptoSty[PiColumn]=X$54),0)),SUM(IF((INDIRECT($B$3)=$B91)*(INDIRECT($C$3)=$D91)*((INDIRECT($E$3)="TOTS")+(INDIRECT($E$3)=$E91)),INDIRECT(X$3)))),_xlpm.y,SUM(_xlfn.CHOOSECOLS(_xlfn._xlws.FILTER(F_RT14[],(F_RT14[PrjId]=$B91)*(F_RT14[Vrs]=$D91)*(_xlfn.TEXTAFTER(F_RT14[ActGrp],":")=_xlfn.TEXTAFTER($H91,":")),"X"),MATCH("*"&amp;X$54,F_RT14[#Headers],0))),IF(AND(_xlpm.x=0,_xlpm.y&lt;&gt;0),-1,IF(AND(_xlpm.x&lt;&gt;0,_xlpm.y&lt;&gt;0),_xlpm.x,IF(AND(_xlpm.x-SUM(IF((INDIRECT($B$3)=$B91)*(INDIRECT($C$3)=$D91)*((INDIRECT($E$3)="TOTS")+(INDIRECT($E$3)=$E91)),INDIRECT(X$3)))&lt;&gt;0,_xlpm.y=0),-2,_xlpm.x)))),0))</f>
        <v>-1</v>
      </c>
      <c r="Y91" s="199" cm="1">
        <f t="array" aca="1" ref="Y91" ca="1">IF(OR($B91="",$B91="X",$D91="",$D91="X",$E91="",$E91="X"),0,IFERROR(_xlfn.LET(_xlpm.x,SUM(SUM(_xlfn._xlws.FILTER(VALUE(PptoSty[Sign]&amp;1)*(1/PptoSty[Division]),(PptoSty[Division]&lt;&gt;0)*(PptoSty[Division]&lt;&gt;"")*(PptoSty[Division]&lt;&gt;"X")*(PptoSty[Project]=$B91)*(PptoSty[Vrs]=$D91)*(PptoSty[PiRow]=_xlfn.TEXTAFTER($H91,":"))*(PptoSty[PiColumn]=Y$54),0)),SUM(IF((INDIRECT($B$3)=$B91)*(INDIRECT($C$3)=$D91)*((INDIRECT($E$3)="TOTS")+(INDIRECT($E$3)=$E91)),INDIRECT(Y$3)))),_xlpm.y,SUM(_xlfn.CHOOSECOLS(_xlfn._xlws.FILTER(F_RT14[],(F_RT14[PrjId]=$B91)*(F_RT14[Vrs]=$D91)*(_xlfn.TEXTAFTER(F_RT14[ActGrp],":")=_xlfn.TEXTAFTER($H91,":")),"X"),MATCH("*"&amp;Y$54,F_RT14[#Headers],0))),IF(AND(_xlpm.x=0,_xlpm.y&lt;&gt;0),-1,IF(AND(_xlpm.x&lt;&gt;0,_xlpm.y&lt;&gt;0),_xlpm.x,IF(AND(_xlpm.x-SUM(IF((INDIRECT($B$3)=$B91)*(INDIRECT($C$3)=$D91)*((INDIRECT($E$3)="TOTS")+(INDIRECT($E$3)=$E91)),INDIRECT(Y$3)))&lt;&gt;0,_xlpm.y=0),-2,_xlpm.x)))),0))</f>
        <v>0</v>
      </c>
      <c r="Z91" s="198" t="str">
        <f t="shared" ca="1" si="2"/>
        <v>Fback!B91:Y91</v>
      </c>
    </row>
    <row r="92" spans="2:26" ht="21" customHeight="1" outlineLevel="1">
      <c r="B92" s="128" t="str">
        <v>31200</v>
      </c>
      <c r="C92" s="128" t="str">
        <v>Sp</v>
      </c>
      <c r="D92" s="128">
        <v>15</v>
      </c>
      <c r="E92" s="128" t="str">
        <v>TOOL</v>
      </c>
      <c r="F92" s="139" t="str">
        <v>SERRA</v>
      </c>
      <c r="G92" s="139" t="str">
        <v>CurPpto</v>
      </c>
      <c r="H92" s="139" t="str">
        <v>P006:OP-320.1+2 WELDING (GEO)</v>
      </c>
      <c r="I92" s="199" cm="1">
        <f t="array" aca="1" ref="I92" ca="1">IF(OR($B92="",$B92="X",$D92="",$D92="X",$E92="",$E92="X"),0,IFERROR(_xlfn.LET(_xlpm.x,SUM(SUM(_xlfn._xlws.FILTER(VALUE(PptoSty[Sign]&amp;1)*(1/PptoSty[Division]),(PptoSty[Division]&lt;&gt;0)*(PptoSty[Division]&lt;&gt;"")*(PptoSty[Division]&lt;&gt;"X")*(PptoSty[Project]=$B92)*(PptoSty[Vrs]=$D92)*(PptoSty[PiRow]=_xlfn.TEXTAFTER($H92,":"))*(PptoSty[PiColumn]=I$54),0)),SUM(IF((INDIRECT($B$3)=$B92)*(INDIRECT($C$3)=$D92)*((INDIRECT($E$3)="TOTS")+(INDIRECT($E$3)=$E92)),INDIRECT(I$3)))),_xlpm.y,SUM(_xlfn.CHOOSECOLS(_xlfn._xlws.FILTER(F_RT14[],(F_RT14[PrjId]=$B92)*(F_RT14[Vrs]=$D92)*(_xlfn.TEXTAFTER(F_RT14[ActGrp],":")=_xlfn.TEXTAFTER($H92,":")),"X"),MATCH("*"&amp;I$54,F_RT14[#Headers],0))),IF(AND(_xlpm.x=0,_xlpm.y&lt;&gt;0),-1,IF(AND(_xlpm.x&lt;&gt;0,_xlpm.y&lt;&gt;0),_xlpm.x,IF(AND(_xlpm.x-SUM(IF((INDIRECT($B$3)=$B92)*(INDIRECT($C$3)=$D92)*((INDIRECT($E$3)="TOTS")+(INDIRECT($E$3)=$E92)),INDIRECT(I$3)))&lt;&gt;0,_xlpm.y=0),-2,_xlpm.x)))),0))</f>
        <v>0</v>
      </c>
      <c r="J92" s="199" cm="1">
        <f t="array" aca="1" ref="J92" ca="1">IF(OR($B92="",$B92="X",$D92="",$D92="X",$E92="",$E92="X"),0,IFERROR(_xlfn.LET(_xlpm.x,SUM(SUM(_xlfn._xlws.FILTER(VALUE(PptoSty[Sign]&amp;1)*(1/PptoSty[Division]),(PptoSty[Division]&lt;&gt;0)*(PptoSty[Division]&lt;&gt;"")*(PptoSty[Division]&lt;&gt;"X")*(PptoSty[Project]=$B92)*(PptoSty[Vrs]=$D92)*(PptoSty[PiRow]=_xlfn.TEXTAFTER($H92,":"))*(PptoSty[PiColumn]=J$54),0)),SUM(IF((INDIRECT($B$3)=$B92)*(INDIRECT($C$3)=$D92)*((INDIRECT($E$3)="TOTS")+(INDIRECT($E$3)=$E92)),INDIRECT(J$3)))),_xlpm.y,SUM(_xlfn.CHOOSECOLS(_xlfn._xlws.FILTER(F_RT14[],(F_RT14[PrjId]=$B92)*(F_RT14[Vrs]=$D92)*(_xlfn.TEXTAFTER(F_RT14[ActGrp],":")=_xlfn.TEXTAFTER($H92,":")),"X"),MATCH("*"&amp;J$54,F_RT14[#Headers],0))),IF(AND(_xlpm.x=0,_xlpm.y&lt;&gt;0),-1,IF(AND(_xlpm.x&lt;&gt;0,_xlpm.y&lt;&gt;0),_xlpm.x,IF(AND(_xlpm.x-SUM(IF((INDIRECT($B$3)=$B92)*(INDIRECT($C$3)=$D92)*((INDIRECT($E$3)="TOTS")+(INDIRECT($E$3)=$E92)),INDIRECT(J$3)))&lt;&gt;0,_xlpm.y=0),-2,_xlpm.x)))),0))</f>
        <v>0</v>
      </c>
      <c r="K92" s="199" cm="1">
        <f t="array" aca="1" ref="K92" ca="1">IF(OR($B92="",$B92="X",$D92="",$D92="X",$E92="",$E92="X"),0,IFERROR(_xlfn.LET(_xlpm.x,SUM(SUM(_xlfn._xlws.FILTER(VALUE(PptoSty[Sign]&amp;1)*(1/PptoSty[Division]),(PptoSty[Division]&lt;&gt;0)*(PptoSty[Division]&lt;&gt;"")*(PptoSty[Division]&lt;&gt;"X")*(PptoSty[Project]=$B92)*(PptoSty[Vrs]=$D92)*(PptoSty[PiRow]=_xlfn.TEXTAFTER($H92,":"))*(PptoSty[PiColumn]=K$54),0)),SUM(IF((INDIRECT($B$3)=$B92)*(INDIRECT($C$3)=$D92)*((INDIRECT($E$3)="TOTS")+(INDIRECT($E$3)=$E92)),INDIRECT(K$3)))),_xlpm.y,SUM(_xlfn.CHOOSECOLS(_xlfn._xlws.FILTER(F_RT14[],(F_RT14[PrjId]=$B92)*(F_RT14[Vrs]=$D92)*(_xlfn.TEXTAFTER(F_RT14[ActGrp],":")=_xlfn.TEXTAFTER($H92,":")),"X"),MATCH("*"&amp;K$54,F_RT14[#Headers],0))),IF(AND(_xlpm.x=0,_xlpm.y&lt;&gt;0),-1,IF(AND(_xlpm.x&lt;&gt;0,_xlpm.y&lt;&gt;0),_xlpm.x,IF(AND(_xlpm.x-SUM(IF((INDIRECT($B$3)=$B92)*(INDIRECT($C$3)=$D92)*((INDIRECT($E$3)="TOTS")+(INDIRECT($E$3)=$E92)),INDIRECT(K$3)))&lt;&gt;0,_xlpm.y=0),-2,_xlpm.x)))),0))</f>
        <v>-1</v>
      </c>
      <c r="L92" s="199" cm="1">
        <f t="array" aca="1" ref="L92" ca="1">IF(OR($B92="",$B92="X",$D92="",$D92="X",$E92="",$E92="X"),0,IFERROR(_xlfn.LET(_xlpm.x,SUM(SUM(_xlfn._xlws.FILTER(VALUE(PptoSty[Sign]&amp;1)*(1/PptoSty[Division]),(PptoSty[Division]&lt;&gt;0)*(PptoSty[Division]&lt;&gt;"")*(PptoSty[Division]&lt;&gt;"X")*(PptoSty[Project]=$B92)*(PptoSty[Vrs]=$D92)*(PptoSty[PiRow]=_xlfn.TEXTAFTER($H92,":"))*(PptoSty[PiColumn]=L$54),0)),SUM(IF((INDIRECT($B$3)=$B92)*(INDIRECT($C$3)=$D92)*((INDIRECT($E$3)="TOTS")+(INDIRECT($E$3)=$E92)),INDIRECT(L$3)))),_xlpm.y,SUM(_xlfn.CHOOSECOLS(_xlfn._xlws.FILTER(F_RT14[],(F_RT14[PrjId]=$B92)*(F_RT14[Vrs]=$D92)*(_xlfn.TEXTAFTER(F_RT14[ActGrp],":")=_xlfn.TEXTAFTER($H92,":")),"X"),MATCH("*"&amp;L$54,F_RT14[#Headers],0))),IF(AND(_xlpm.x=0,_xlpm.y&lt;&gt;0),-1,IF(AND(_xlpm.x&lt;&gt;0,_xlpm.y&lt;&gt;0),_xlpm.x,IF(AND(_xlpm.x-SUM(IF((INDIRECT($B$3)=$B92)*(INDIRECT($C$3)=$D92)*((INDIRECT($E$3)="TOTS")+(INDIRECT($E$3)=$E92)),INDIRECT(L$3)))&lt;&gt;0,_xlpm.y=0),-2,_xlpm.x)))),0))</f>
        <v>0</v>
      </c>
      <c r="M92" s="199" cm="1">
        <f t="array" aca="1" ref="M92" ca="1">IF(OR($B92="",$B92="X",$D92="",$D92="X",$E92="",$E92="X"),0,IFERROR(_xlfn.LET(_xlpm.x,SUM(SUM(_xlfn._xlws.FILTER(VALUE(PptoSty[Sign]&amp;1)*(1/PptoSty[Division]),(PptoSty[Division]&lt;&gt;0)*(PptoSty[Division]&lt;&gt;"")*(PptoSty[Division]&lt;&gt;"X")*(PptoSty[Project]=$B92)*(PptoSty[Vrs]=$D92)*(PptoSty[PiRow]=_xlfn.TEXTAFTER($H92,":"))*(PptoSty[PiColumn]=M$54),0)),SUM(IF((INDIRECT($B$3)=$B92)*(INDIRECT($C$3)=$D92)*((INDIRECT($E$3)="TOTS")+(INDIRECT($E$3)=$E92)),INDIRECT(M$3)))),_xlpm.y,SUM(_xlfn.CHOOSECOLS(_xlfn._xlws.FILTER(F_RT14[],(F_RT14[PrjId]=$B92)*(F_RT14[Vrs]=$D92)*(_xlfn.TEXTAFTER(F_RT14[ActGrp],":")=_xlfn.TEXTAFTER($H92,":")),"X"),MATCH("*"&amp;M$54,F_RT14[#Headers],0))),IF(AND(_xlpm.x=0,_xlpm.y&lt;&gt;0),-1,IF(AND(_xlpm.x&lt;&gt;0,_xlpm.y&lt;&gt;0),_xlpm.x,IF(AND(_xlpm.x-SUM(IF((INDIRECT($B$3)=$B92)*(INDIRECT($C$3)=$D92)*((INDIRECT($E$3)="TOTS")+(INDIRECT($E$3)=$E92)),INDIRECT(M$3)))&lt;&gt;0,_xlpm.y=0),-2,_xlpm.x)))),0))</f>
        <v>0</v>
      </c>
      <c r="N92" s="199" cm="1">
        <f t="array" aca="1" ref="N92" ca="1">IF(OR($B92="",$B92="X",$D92="",$D92="X",$E92="",$E92="X"),0,IFERROR(_xlfn.LET(_xlpm.x,SUM(SUM(_xlfn._xlws.FILTER(VALUE(PptoSty[Sign]&amp;1)*(1/PptoSty[Division]),(PptoSty[Division]&lt;&gt;0)*(PptoSty[Division]&lt;&gt;"")*(PptoSty[Division]&lt;&gt;"X")*(PptoSty[Project]=$B92)*(PptoSty[Vrs]=$D92)*(PptoSty[PiRow]=_xlfn.TEXTAFTER($H92,":"))*(PptoSty[PiColumn]=N$54),0)),SUM(IF((INDIRECT($B$3)=$B92)*(INDIRECT($C$3)=$D92)*((INDIRECT($E$3)="TOTS")+(INDIRECT($E$3)=$E92)),INDIRECT(N$3)))),_xlpm.y,SUM(_xlfn.CHOOSECOLS(_xlfn._xlws.FILTER(F_RT14[],(F_RT14[PrjId]=$B92)*(F_RT14[Vrs]=$D92)*(_xlfn.TEXTAFTER(F_RT14[ActGrp],":")=_xlfn.TEXTAFTER($H92,":")),"X"),MATCH("*"&amp;N$54,F_RT14[#Headers],0))),IF(AND(_xlpm.x=0,_xlpm.y&lt;&gt;0),-1,IF(AND(_xlpm.x&lt;&gt;0,_xlpm.y&lt;&gt;0),_xlpm.x,IF(AND(_xlpm.x-SUM(IF((INDIRECT($B$3)=$B92)*(INDIRECT($C$3)=$D92)*((INDIRECT($E$3)="TOTS")+(INDIRECT($E$3)=$E92)),INDIRECT(N$3)))&lt;&gt;0,_xlpm.y=0),-2,_xlpm.x)))),0))</f>
        <v>-1</v>
      </c>
      <c r="O92" s="199" cm="1">
        <f t="array" aca="1" ref="O92" ca="1">IF(OR($B92="",$B92="X",$D92="",$D92="X",$E92="",$E92="X"),0,IFERROR(_xlfn.LET(_xlpm.x,SUM(SUM(_xlfn._xlws.FILTER(VALUE(PptoSty[Sign]&amp;1)*(1/PptoSty[Division]),(PptoSty[Division]&lt;&gt;0)*(PptoSty[Division]&lt;&gt;"")*(PptoSty[Division]&lt;&gt;"X")*(PptoSty[Project]=$B92)*(PptoSty[Vrs]=$D92)*(PptoSty[PiRow]=_xlfn.TEXTAFTER($H92,":"))*(PptoSty[PiColumn]=O$54),0)),SUM(IF((INDIRECT($B$3)=$B92)*(INDIRECT($C$3)=$D92)*((INDIRECT($E$3)="TOTS")+(INDIRECT($E$3)=$E92)),INDIRECT(O$3)))),_xlpm.y,SUM(_xlfn.CHOOSECOLS(_xlfn._xlws.FILTER(F_RT14[],(F_RT14[PrjId]=$B92)*(F_RT14[Vrs]=$D92)*(_xlfn.TEXTAFTER(F_RT14[ActGrp],":")=_xlfn.TEXTAFTER($H92,":")),"X"),MATCH("*"&amp;O$54,F_RT14[#Headers],0))),IF(AND(_xlpm.x=0,_xlpm.y&lt;&gt;0),-1,IF(AND(_xlpm.x&lt;&gt;0,_xlpm.y&lt;&gt;0),_xlpm.x,IF(AND(_xlpm.x-SUM(IF((INDIRECT($B$3)=$B92)*(INDIRECT($C$3)=$D92)*((INDIRECT($E$3)="TOTS")+(INDIRECT($E$3)=$E92)),INDIRECT(O$3)))&lt;&gt;0,_xlpm.y=0),-2,_xlpm.x)))),0))</f>
        <v>0</v>
      </c>
      <c r="P92" s="199" cm="1">
        <f t="array" aca="1" ref="P92" ca="1">IF(OR($B92="",$B92="X",$D92="",$D92="X",$E92="",$E92="X"),0,IFERROR(_xlfn.LET(_xlpm.x,SUM(SUM(_xlfn._xlws.FILTER(VALUE(PptoSty[Sign]&amp;1)*(1/PptoSty[Division]),(PptoSty[Division]&lt;&gt;0)*(PptoSty[Division]&lt;&gt;"")*(PptoSty[Division]&lt;&gt;"X")*(PptoSty[Project]=$B92)*(PptoSty[Vrs]=$D92)*(PptoSty[PiRow]=_xlfn.TEXTAFTER($H92,":"))*(PptoSty[PiColumn]=P$54),0)),SUM(IF((INDIRECT($B$3)=$B92)*(INDIRECT($C$3)=$D92)*((INDIRECT($E$3)="TOTS")+(INDIRECT($E$3)=$E92)),INDIRECT(P$3)))),_xlpm.y,SUM(_xlfn.CHOOSECOLS(_xlfn._xlws.FILTER(F_RT14[],(F_RT14[PrjId]=$B92)*(F_RT14[Vrs]=$D92)*(_xlfn.TEXTAFTER(F_RT14[ActGrp],":")=_xlfn.TEXTAFTER($H92,":")),"X"),MATCH("*"&amp;P$54,F_RT14[#Headers],0))),IF(AND(_xlpm.x=0,_xlpm.y&lt;&gt;0),-1,IF(AND(_xlpm.x&lt;&gt;0,_xlpm.y&lt;&gt;0),_xlpm.x,IF(AND(_xlpm.x-SUM(IF((INDIRECT($B$3)=$B92)*(INDIRECT($C$3)=$D92)*((INDIRECT($E$3)="TOTS")+(INDIRECT($E$3)=$E92)),INDIRECT(P$3)))&lt;&gt;0,_xlpm.y=0),-2,_xlpm.x)))),0))</f>
        <v>-1</v>
      </c>
      <c r="Q92" s="199" cm="1">
        <f t="array" aca="1" ref="Q92" ca="1">IF(OR($B92="",$B92="X",$D92="",$D92="X",$E92="",$E92="X"),0,IFERROR(_xlfn.LET(_xlpm.x,SUM(SUM(_xlfn._xlws.FILTER(VALUE(PptoSty[Sign]&amp;1)*(1/PptoSty[Division]),(PptoSty[Division]&lt;&gt;0)*(PptoSty[Division]&lt;&gt;"")*(PptoSty[Division]&lt;&gt;"X")*(PptoSty[Project]=$B92)*(PptoSty[Vrs]=$D92)*(PptoSty[PiRow]=_xlfn.TEXTAFTER($H92,":"))*(PptoSty[PiColumn]=Q$54),0)),SUM(IF((INDIRECT($B$3)=$B92)*(INDIRECT($C$3)=$D92)*((INDIRECT($E$3)="TOTS")+(INDIRECT($E$3)=$E92)),INDIRECT(Q$3)))),_xlpm.y,SUM(_xlfn.CHOOSECOLS(_xlfn._xlws.FILTER(F_RT14[],(F_RT14[PrjId]=$B92)*(F_RT14[Vrs]=$D92)*(_xlfn.TEXTAFTER(F_RT14[ActGrp],":")=_xlfn.TEXTAFTER($H92,":")),"X"),MATCH("*"&amp;Q$54,F_RT14[#Headers],0))),IF(AND(_xlpm.x=0,_xlpm.y&lt;&gt;0),-1,IF(AND(_xlpm.x&lt;&gt;0,_xlpm.y&lt;&gt;0),_xlpm.x,IF(AND(_xlpm.x-SUM(IF((INDIRECT($B$3)=$B92)*(INDIRECT($C$3)=$D92)*((INDIRECT($E$3)="TOTS")+(INDIRECT($E$3)=$E92)),INDIRECT(Q$3)))&lt;&gt;0,_xlpm.y=0),-2,_xlpm.x)))),0))</f>
        <v>-1</v>
      </c>
      <c r="R92" s="199" cm="1">
        <f t="array" aca="1" ref="R92" ca="1">IF(OR($B92="",$B92="X",$D92="",$D92="X",$E92="",$E92="X"),0,IFERROR(_xlfn.LET(_xlpm.x,SUM(SUM(_xlfn._xlws.FILTER(VALUE(PptoSty[Sign]&amp;1)*(1/PptoSty[Division]),(PptoSty[Division]&lt;&gt;0)*(PptoSty[Division]&lt;&gt;"")*(PptoSty[Division]&lt;&gt;"X")*(PptoSty[Project]=$B92)*(PptoSty[Vrs]=$D92)*(PptoSty[PiRow]=_xlfn.TEXTAFTER($H92,":"))*(PptoSty[PiColumn]=R$54),0)),SUM(IF((INDIRECT($B$3)=$B92)*(INDIRECT($C$3)=$D92)*((INDIRECT($E$3)="TOTS")+(INDIRECT($E$3)=$E92)),INDIRECT(R$3)))),_xlpm.y,SUM(_xlfn.CHOOSECOLS(_xlfn._xlws.FILTER(F_RT14[],(F_RT14[PrjId]=$B92)*(F_RT14[Vrs]=$D92)*(_xlfn.TEXTAFTER(F_RT14[ActGrp],":")=_xlfn.TEXTAFTER($H92,":")),"X"),MATCH("*"&amp;R$54,F_RT14[#Headers],0))),IF(AND(_xlpm.x=0,_xlpm.y&lt;&gt;0),-1,IF(AND(_xlpm.x&lt;&gt;0,_xlpm.y&lt;&gt;0),_xlpm.x,IF(AND(_xlpm.x-SUM(IF((INDIRECT($B$3)=$B92)*(INDIRECT($C$3)=$D92)*((INDIRECT($E$3)="TOTS")+(INDIRECT($E$3)=$E92)),INDIRECT(R$3)))&lt;&gt;0,_xlpm.y=0),-2,_xlpm.x)))),0))</f>
        <v>-1</v>
      </c>
      <c r="S92" s="199" cm="1">
        <f t="array" aca="1" ref="S92" ca="1">IF(OR($B92="",$B92="X",$D92="",$D92="X",$E92="",$E92="X"),0,IFERROR(_xlfn.LET(_xlpm.x,SUM(SUM(_xlfn._xlws.FILTER(VALUE(PptoSty[Sign]&amp;1)*(1/PptoSty[Division]),(PptoSty[Division]&lt;&gt;0)*(PptoSty[Division]&lt;&gt;"")*(PptoSty[Division]&lt;&gt;"X")*(PptoSty[Project]=$B92)*(PptoSty[Vrs]=$D92)*(PptoSty[PiRow]=_xlfn.TEXTAFTER($H92,":"))*(PptoSty[PiColumn]=S$54),0)),SUM(IF((INDIRECT($B$3)=$B92)*(INDIRECT($C$3)=$D92)*((INDIRECT($E$3)="TOTS")+(INDIRECT($E$3)=$E92)),INDIRECT(S$3)))),_xlpm.y,SUM(_xlfn.CHOOSECOLS(_xlfn._xlws.FILTER(F_RT14[],(F_RT14[PrjId]=$B92)*(F_RT14[Vrs]=$D92)*(_xlfn.TEXTAFTER(F_RT14[ActGrp],":")=_xlfn.TEXTAFTER($H92,":")),"X"),MATCH("*"&amp;S$54,F_RT14[#Headers],0))),IF(AND(_xlpm.x=0,_xlpm.y&lt;&gt;0),-1,IF(AND(_xlpm.x&lt;&gt;0,_xlpm.y&lt;&gt;0),_xlpm.x,IF(AND(_xlpm.x-SUM(IF((INDIRECT($B$3)=$B92)*(INDIRECT($C$3)=$D92)*((INDIRECT($E$3)="TOTS")+(INDIRECT($E$3)=$E92)),INDIRECT(S$3)))&lt;&gt;0,_xlpm.y=0),-2,_xlpm.x)))),0))</f>
        <v>-1</v>
      </c>
      <c r="T92" s="199" cm="1">
        <f t="array" aca="1" ref="T92" ca="1">IF(OR($B92="",$B92="X",$D92="",$D92="X",$E92="",$E92="X"),0,IFERROR(_xlfn.LET(_xlpm.x,SUM(SUM(_xlfn._xlws.FILTER(VALUE(PptoSty[Sign]&amp;1)*(1/PptoSty[Division]),(PptoSty[Division]&lt;&gt;0)*(PptoSty[Division]&lt;&gt;"")*(PptoSty[Division]&lt;&gt;"X")*(PptoSty[Project]=$B92)*(PptoSty[Vrs]=$D92)*(PptoSty[PiRow]=_xlfn.TEXTAFTER($H92,":"))*(PptoSty[PiColumn]=T$54),0)),SUM(IF((INDIRECT($B$3)=$B92)*(INDIRECT($C$3)=$D92)*((INDIRECT($E$3)="TOTS")+(INDIRECT($E$3)=$E92)),INDIRECT(T$3)))),_xlpm.y,SUM(_xlfn.CHOOSECOLS(_xlfn._xlws.FILTER(F_RT14[],(F_RT14[PrjId]=$B92)*(F_RT14[Vrs]=$D92)*(_xlfn.TEXTAFTER(F_RT14[ActGrp],":")=_xlfn.TEXTAFTER($H92,":")),"X"),MATCH("*"&amp;T$54,F_RT14[#Headers],0))),IF(AND(_xlpm.x=0,_xlpm.y&lt;&gt;0),-1,IF(AND(_xlpm.x&lt;&gt;0,_xlpm.y&lt;&gt;0),_xlpm.x,IF(AND(_xlpm.x-SUM(IF((INDIRECT($B$3)=$B92)*(INDIRECT($C$3)=$D92)*((INDIRECT($E$3)="TOTS")+(INDIRECT($E$3)=$E92)),INDIRECT(T$3)))&lt;&gt;0,_xlpm.y=0),-2,_xlpm.x)))),0))</f>
        <v>-1</v>
      </c>
      <c r="U92" s="199" cm="1">
        <f t="array" aca="1" ref="U92" ca="1">IF(OR($B92="",$B92="X",$D92="",$D92="X",$E92="",$E92="X"),0,IFERROR(_xlfn.LET(_xlpm.x,SUM(SUM(_xlfn._xlws.FILTER(VALUE(PptoSty[Sign]&amp;1)*(1/PptoSty[Division]),(PptoSty[Division]&lt;&gt;0)*(PptoSty[Division]&lt;&gt;"")*(PptoSty[Division]&lt;&gt;"X")*(PptoSty[Project]=$B92)*(PptoSty[Vrs]=$D92)*(PptoSty[PiRow]=_xlfn.TEXTAFTER($H92,":"))*(PptoSty[PiColumn]=U$54),0)),SUM(IF((INDIRECT($B$3)=$B92)*(INDIRECT($C$3)=$D92)*((INDIRECT($E$3)="TOTS")+(INDIRECT($E$3)=$E92)),INDIRECT(U$3)))),_xlpm.y,SUM(_xlfn.CHOOSECOLS(_xlfn._xlws.FILTER(F_RT14[],(F_RT14[PrjId]=$B92)*(F_RT14[Vrs]=$D92)*(_xlfn.TEXTAFTER(F_RT14[ActGrp],":")=_xlfn.TEXTAFTER($H92,":")),"X"),MATCH("*"&amp;U$54,F_RT14[#Headers],0))),IF(AND(_xlpm.x=0,_xlpm.y&lt;&gt;0),-1,IF(AND(_xlpm.x&lt;&gt;0,_xlpm.y&lt;&gt;0),_xlpm.x,IF(AND(_xlpm.x-SUM(IF((INDIRECT($B$3)=$B92)*(INDIRECT($C$3)=$D92)*((INDIRECT($E$3)="TOTS")+(INDIRECT($E$3)=$E92)),INDIRECT(U$3)))&lt;&gt;0,_xlpm.y=0),-2,_xlpm.x)))),0))</f>
        <v>0</v>
      </c>
      <c r="V92" s="199" cm="1">
        <f t="array" aca="1" ref="V92" ca="1">IF(OR($B92="",$B92="X",$D92="",$D92="X",$E92="",$E92="X"),0,IFERROR(_xlfn.LET(_xlpm.x,SUM(SUM(_xlfn._xlws.FILTER(VALUE(PptoSty[Sign]&amp;1)*(1/PptoSty[Division]),(PptoSty[Division]&lt;&gt;0)*(PptoSty[Division]&lt;&gt;"")*(PptoSty[Division]&lt;&gt;"X")*(PptoSty[Project]=$B92)*(PptoSty[Vrs]=$D92)*(PptoSty[PiRow]=_xlfn.TEXTAFTER($H92,":"))*(PptoSty[PiColumn]=V$54),0)),SUM(IF((INDIRECT($B$3)=$B92)*(INDIRECT($C$3)=$D92)*((INDIRECT($E$3)="TOTS")+(INDIRECT($E$3)=$E92)),INDIRECT(V$3)))),_xlpm.y,SUM(_xlfn.CHOOSECOLS(_xlfn._xlws.FILTER(F_RT14[],(F_RT14[PrjId]=$B92)*(F_RT14[Vrs]=$D92)*(_xlfn.TEXTAFTER(F_RT14[ActGrp],":")=_xlfn.TEXTAFTER($H92,":")),"X"),MATCH("*"&amp;V$54,F_RT14[#Headers],0))),IF(AND(_xlpm.x=0,_xlpm.y&lt;&gt;0),-1,IF(AND(_xlpm.x&lt;&gt;0,_xlpm.y&lt;&gt;0),_xlpm.x,IF(AND(_xlpm.x-SUM(IF((INDIRECT($B$3)=$B92)*(INDIRECT($C$3)=$D92)*((INDIRECT($E$3)="TOTS")+(INDIRECT($E$3)=$E92)),INDIRECT(V$3)))&lt;&gt;0,_xlpm.y=0),-2,_xlpm.x)))),0))</f>
        <v>-1</v>
      </c>
      <c r="W92" s="199" cm="1">
        <f t="array" aca="1" ref="W92" ca="1">IF(OR($B92="",$B92="X",$D92="",$D92="X",$E92="",$E92="X"),0,IFERROR(_xlfn.LET(_xlpm.x,SUM(SUM(_xlfn._xlws.FILTER(VALUE(PptoSty[Sign]&amp;1)*(1/PptoSty[Division]),(PptoSty[Division]&lt;&gt;0)*(PptoSty[Division]&lt;&gt;"")*(PptoSty[Division]&lt;&gt;"X")*(PptoSty[Project]=$B92)*(PptoSty[Vrs]=$D92)*(PptoSty[PiRow]=_xlfn.TEXTAFTER($H92,":"))*(PptoSty[PiColumn]=W$54),0)),SUM(IF((INDIRECT($B$3)=$B92)*(INDIRECT($C$3)=$D92)*((INDIRECT($E$3)="TOTS")+(INDIRECT($E$3)=$E92)),INDIRECT(W$3)))),_xlpm.y,SUM(_xlfn.CHOOSECOLS(_xlfn._xlws.FILTER(F_RT14[],(F_RT14[PrjId]=$B92)*(F_RT14[Vrs]=$D92)*(_xlfn.TEXTAFTER(F_RT14[ActGrp],":")=_xlfn.TEXTAFTER($H92,":")),"X"),MATCH("*"&amp;W$54,F_RT14[#Headers],0))),IF(AND(_xlpm.x=0,_xlpm.y&lt;&gt;0),-1,IF(AND(_xlpm.x&lt;&gt;0,_xlpm.y&lt;&gt;0),_xlpm.x,IF(AND(_xlpm.x-SUM(IF((INDIRECT($B$3)=$B92)*(INDIRECT($C$3)=$D92)*((INDIRECT($E$3)="TOTS")+(INDIRECT($E$3)=$E92)),INDIRECT(W$3)))&lt;&gt;0,_xlpm.y=0),-2,_xlpm.x)))),0))</f>
        <v>-1</v>
      </c>
      <c r="X92" s="199" cm="1">
        <f t="array" aca="1" ref="X92" ca="1">IF(OR($B92="",$B92="X",$D92="",$D92="X",$E92="",$E92="X"),0,IFERROR(_xlfn.LET(_xlpm.x,SUM(SUM(_xlfn._xlws.FILTER(VALUE(PptoSty[Sign]&amp;1)*(1/PptoSty[Division]),(PptoSty[Division]&lt;&gt;0)*(PptoSty[Division]&lt;&gt;"")*(PptoSty[Division]&lt;&gt;"X")*(PptoSty[Project]=$B92)*(PptoSty[Vrs]=$D92)*(PptoSty[PiRow]=_xlfn.TEXTAFTER($H92,":"))*(PptoSty[PiColumn]=X$54),0)),SUM(IF((INDIRECT($B$3)=$B92)*(INDIRECT($C$3)=$D92)*((INDIRECT($E$3)="TOTS")+(INDIRECT($E$3)=$E92)),INDIRECT(X$3)))),_xlpm.y,SUM(_xlfn.CHOOSECOLS(_xlfn._xlws.FILTER(F_RT14[],(F_RT14[PrjId]=$B92)*(F_RT14[Vrs]=$D92)*(_xlfn.TEXTAFTER(F_RT14[ActGrp],":")=_xlfn.TEXTAFTER($H92,":")),"X"),MATCH("*"&amp;X$54,F_RT14[#Headers],0))),IF(AND(_xlpm.x=0,_xlpm.y&lt;&gt;0),-1,IF(AND(_xlpm.x&lt;&gt;0,_xlpm.y&lt;&gt;0),_xlpm.x,IF(AND(_xlpm.x-SUM(IF((INDIRECT($B$3)=$B92)*(INDIRECT($C$3)=$D92)*((INDIRECT($E$3)="TOTS")+(INDIRECT($E$3)=$E92)),INDIRECT(X$3)))&lt;&gt;0,_xlpm.y=0),-2,_xlpm.x)))),0))</f>
        <v>-1</v>
      </c>
      <c r="Y92" s="199" cm="1">
        <f t="array" aca="1" ref="Y92" ca="1">IF(OR($B92="",$B92="X",$D92="",$D92="X",$E92="",$E92="X"),0,IFERROR(_xlfn.LET(_xlpm.x,SUM(SUM(_xlfn._xlws.FILTER(VALUE(PptoSty[Sign]&amp;1)*(1/PptoSty[Division]),(PptoSty[Division]&lt;&gt;0)*(PptoSty[Division]&lt;&gt;"")*(PptoSty[Division]&lt;&gt;"X")*(PptoSty[Project]=$B92)*(PptoSty[Vrs]=$D92)*(PptoSty[PiRow]=_xlfn.TEXTAFTER($H92,":"))*(PptoSty[PiColumn]=Y$54),0)),SUM(IF((INDIRECT($B$3)=$B92)*(INDIRECT($C$3)=$D92)*((INDIRECT($E$3)="TOTS")+(INDIRECT($E$3)=$E92)),INDIRECT(Y$3)))),_xlpm.y,SUM(_xlfn.CHOOSECOLS(_xlfn._xlws.FILTER(F_RT14[],(F_RT14[PrjId]=$B92)*(F_RT14[Vrs]=$D92)*(_xlfn.TEXTAFTER(F_RT14[ActGrp],":")=_xlfn.TEXTAFTER($H92,":")),"X"),MATCH("*"&amp;Y$54,F_RT14[#Headers],0))),IF(AND(_xlpm.x=0,_xlpm.y&lt;&gt;0),-1,IF(AND(_xlpm.x&lt;&gt;0,_xlpm.y&lt;&gt;0),_xlpm.x,IF(AND(_xlpm.x-SUM(IF((INDIRECT($B$3)=$B92)*(INDIRECT($C$3)=$D92)*((INDIRECT($E$3)="TOTS")+(INDIRECT($E$3)=$E92)),INDIRECT(Y$3)))&lt;&gt;0,_xlpm.y=0),-2,_xlpm.x)))),0))</f>
        <v>0</v>
      </c>
      <c r="Z92" s="198" t="str">
        <f t="shared" ca="1" si="2"/>
        <v>Fback!B92:Y92</v>
      </c>
    </row>
    <row r="93" spans="2:26" ht="21" customHeight="1" outlineLevel="1">
      <c r="B93" s="128" t="str">
        <v>31199</v>
      </c>
      <c r="C93" s="128" t="str">
        <v>Sp</v>
      </c>
      <c r="D93" s="128">
        <v>0</v>
      </c>
      <c r="E93" s="128" t="str">
        <v>TOOL</v>
      </c>
      <c r="F93" s="139" t="str">
        <v>SERRA</v>
      </c>
      <c r="G93" s="139" t="str">
        <v>CurPpto</v>
      </c>
      <c r="H93" s="139" t="str">
        <v>P006:FIXTURE OP-330 XMBR REWELD I</v>
      </c>
      <c r="I93" s="199" cm="1">
        <f t="array" aca="1" ref="I93" ca="1">IF(OR($B93="",$B93="X",$D93="",$D93="X",$E93="",$E93="X"),0,IFERROR(_xlfn.LET(_xlpm.x,SUM(SUM(_xlfn._xlws.FILTER(VALUE(PptoSty[Sign]&amp;1)*(1/PptoSty[Division]),(PptoSty[Division]&lt;&gt;0)*(PptoSty[Division]&lt;&gt;"")*(PptoSty[Division]&lt;&gt;"X")*(PptoSty[Project]=$B93)*(PptoSty[Vrs]=$D93)*(PptoSty[PiRow]=_xlfn.TEXTAFTER($H93,":"))*(PptoSty[PiColumn]=I$54),0)),SUM(IF((INDIRECT($B$3)=$B93)*(INDIRECT($C$3)=$D93)*((INDIRECT($E$3)="TOTS")+(INDIRECT($E$3)=$E93)),INDIRECT(I$3)))),_xlpm.y,SUM(_xlfn.CHOOSECOLS(_xlfn._xlws.FILTER(F_RT14[],(F_RT14[PrjId]=$B93)*(F_RT14[Vrs]=$D93)*(_xlfn.TEXTAFTER(F_RT14[ActGrp],":")=_xlfn.TEXTAFTER($H93,":")),"X"),MATCH("*"&amp;I$54,F_RT14[#Headers],0))),IF(AND(_xlpm.x=0,_xlpm.y&lt;&gt;0),-1,IF(AND(_xlpm.x&lt;&gt;0,_xlpm.y&lt;&gt;0),_xlpm.x,IF(AND(_xlpm.x-SUM(IF((INDIRECT($B$3)=$B93)*(INDIRECT($C$3)=$D93)*((INDIRECT($E$3)="TOTS")+(INDIRECT($E$3)=$E93)),INDIRECT(I$3)))&lt;&gt;0,_xlpm.y=0),-2,_xlpm.x)))),0))</f>
        <v>0</v>
      </c>
      <c r="J93" s="199" cm="1">
        <f t="array" aca="1" ref="J93" ca="1">IF(OR($B93="",$B93="X",$D93="",$D93="X",$E93="",$E93="X"),0,IFERROR(_xlfn.LET(_xlpm.x,SUM(SUM(_xlfn._xlws.FILTER(VALUE(PptoSty[Sign]&amp;1)*(1/PptoSty[Division]),(PptoSty[Division]&lt;&gt;0)*(PptoSty[Division]&lt;&gt;"")*(PptoSty[Division]&lt;&gt;"X")*(PptoSty[Project]=$B93)*(PptoSty[Vrs]=$D93)*(PptoSty[PiRow]=_xlfn.TEXTAFTER($H93,":"))*(PptoSty[PiColumn]=J$54),0)),SUM(IF((INDIRECT($B$3)=$B93)*(INDIRECT($C$3)=$D93)*((INDIRECT($E$3)="TOTS")+(INDIRECT($E$3)=$E93)),INDIRECT(J$3)))),_xlpm.y,SUM(_xlfn.CHOOSECOLS(_xlfn._xlws.FILTER(F_RT14[],(F_RT14[PrjId]=$B93)*(F_RT14[Vrs]=$D93)*(_xlfn.TEXTAFTER(F_RT14[ActGrp],":")=_xlfn.TEXTAFTER($H93,":")),"X"),MATCH("*"&amp;J$54,F_RT14[#Headers],0))),IF(AND(_xlpm.x=0,_xlpm.y&lt;&gt;0),-1,IF(AND(_xlpm.x&lt;&gt;0,_xlpm.y&lt;&gt;0),_xlpm.x,IF(AND(_xlpm.x-SUM(IF((INDIRECT($B$3)=$B93)*(INDIRECT($C$3)=$D93)*((INDIRECT($E$3)="TOTS")+(INDIRECT($E$3)=$E93)),INDIRECT(J$3)))&lt;&gt;0,_xlpm.y=0),-2,_xlpm.x)))),0))</f>
        <v>0</v>
      </c>
      <c r="K93" s="199" cm="1">
        <f t="array" aca="1" ref="K93" ca="1">IF(OR($B93="",$B93="X",$D93="",$D93="X",$E93="",$E93="X"),0,IFERROR(_xlfn.LET(_xlpm.x,SUM(SUM(_xlfn._xlws.FILTER(VALUE(PptoSty[Sign]&amp;1)*(1/PptoSty[Division]),(PptoSty[Division]&lt;&gt;0)*(PptoSty[Division]&lt;&gt;"")*(PptoSty[Division]&lt;&gt;"X")*(PptoSty[Project]=$B93)*(PptoSty[Vrs]=$D93)*(PptoSty[PiRow]=_xlfn.TEXTAFTER($H93,":"))*(PptoSty[PiColumn]=K$54),0)),SUM(IF((INDIRECT($B$3)=$B93)*(INDIRECT($C$3)=$D93)*((INDIRECT($E$3)="TOTS")+(INDIRECT($E$3)=$E93)),INDIRECT(K$3)))),_xlpm.y,SUM(_xlfn.CHOOSECOLS(_xlfn._xlws.FILTER(F_RT14[],(F_RT14[PrjId]=$B93)*(F_RT14[Vrs]=$D93)*(_xlfn.TEXTAFTER(F_RT14[ActGrp],":")=_xlfn.TEXTAFTER($H93,":")),"X"),MATCH("*"&amp;K$54,F_RT14[#Headers],0))),IF(AND(_xlpm.x=0,_xlpm.y&lt;&gt;0),-1,IF(AND(_xlpm.x&lt;&gt;0,_xlpm.y&lt;&gt;0),_xlpm.x,IF(AND(_xlpm.x-SUM(IF((INDIRECT($B$3)=$B93)*(INDIRECT($C$3)=$D93)*((INDIRECT($E$3)="TOTS")+(INDIRECT($E$3)=$E93)),INDIRECT(K$3)))&lt;&gt;0,_xlpm.y=0),-2,_xlpm.x)))),0))</f>
        <v>-1</v>
      </c>
      <c r="L93" s="199" cm="1">
        <f t="array" aca="1" ref="L93" ca="1">IF(OR($B93="",$B93="X",$D93="",$D93="X",$E93="",$E93="X"),0,IFERROR(_xlfn.LET(_xlpm.x,SUM(SUM(_xlfn._xlws.FILTER(VALUE(PptoSty[Sign]&amp;1)*(1/PptoSty[Division]),(PptoSty[Division]&lt;&gt;0)*(PptoSty[Division]&lt;&gt;"")*(PptoSty[Division]&lt;&gt;"X")*(PptoSty[Project]=$B93)*(PptoSty[Vrs]=$D93)*(PptoSty[PiRow]=_xlfn.TEXTAFTER($H93,":"))*(PptoSty[PiColumn]=L$54),0)),SUM(IF((INDIRECT($B$3)=$B93)*(INDIRECT($C$3)=$D93)*((INDIRECT($E$3)="TOTS")+(INDIRECT($E$3)=$E93)),INDIRECT(L$3)))),_xlpm.y,SUM(_xlfn.CHOOSECOLS(_xlfn._xlws.FILTER(F_RT14[],(F_RT14[PrjId]=$B93)*(F_RT14[Vrs]=$D93)*(_xlfn.TEXTAFTER(F_RT14[ActGrp],":")=_xlfn.TEXTAFTER($H93,":")),"X"),MATCH("*"&amp;L$54,F_RT14[#Headers],0))),IF(AND(_xlpm.x=0,_xlpm.y&lt;&gt;0),-1,IF(AND(_xlpm.x&lt;&gt;0,_xlpm.y&lt;&gt;0),_xlpm.x,IF(AND(_xlpm.x-SUM(IF((INDIRECT($B$3)=$B93)*(INDIRECT($C$3)=$D93)*((INDIRECT($E$3)="TOTS")+(INDIRECT($E$3)=$E93)),INDIRECT(L$3)))&lt;&gt;0,_xlpm.y=0),-2,_xlpm.x)))),0))</f>
        <v>0</v>
      </c>
      <c r="M93" s="199" cm="1">
        <f t="array" aca="1" ref="M93" ca="1">IF(OR($B93="",$B93="X",$D93="",$D93="X",$E93="",$E93="X"),0,IFERROR(_xlfn.LET(_xlpm.x,SUM(SUM(_xlfn._xlws.FILTER(VALUE(PptoSty[Sign]&amp;1)*(1/PptoSty[Division]),(PptoSty[Division]&lt;&gt;0)*(PptoSty[Division]&lt;&gt;"")*(PptoSty[Division]&lt;&gt;"X")*(PptoSty[Project]=$B93)*(PptoSty[Vrs]=$D93)*(PptoSty[PiRow]=_xlfn.TEXTAFTER($H93,":"))*(PptoSty[PiColumn]=M$54),0)),SUM(IF((INDIRECT($B$3)=$B93)*(INDIRECT($C$3)=$D93)*((INDIRECT($E$3)="TOTS")+(INDIRECT($E$3)=$E93)),INDIRECT(M$3)))),_xlpm.y,SUM(_xlfn.CHOOSECOLS(_xlfn._xlws.FILTER(F_RT14[],(F_RT14[PrjId]=$B93)*(F_RT14[Vrs]=$D93)*(_xlfn.TEXTAFTER(F_RT14[ActGrp],":")=_xlfn.TEXTAFTER($H93,":")),"X"),MATCH("*"&amp;M$54,F_RT14[#Headers],0))),IF(AND(_xlpm.x=0,_xlpm.y&lt;&gt;0),-1,IF(AND(_xlpm.x&lt;&gt;0,_xlpm.y&lt;&gt;0),_xlpm.x,IF(AND(_xlpm.x-SUM(IF((INDIRECT($B$3)=$B93)*(INDIRECT($C$3)=$D93)*((INDIRECT($E$3)="TOTS")+(INDIRECT($E$3)=$E93)),INDIRECT(M$3)))&lt;&gt;0,_xlpm.y=0),-2,_xlpm.x)))),0))</f>
        <v>0</v>
      </c>
      <c r="N93" s="199" cm="1">
        <f t="array" aca="1" ref="N93" ca="1">IF(OR($B93="",$B93="X",$D93="",$D93="X",$E93="",$E93="X"),0,IFERROR(_xlfn.LET(_xlpm.x,SUM(SUM(_xlfn._xlws.FILTER(VALUE(PptoSty[Sign]&amp;1)*(1/PptoSty[Division]),(PptoSty[Division]&lt;&gt;0)*(PptoSty[Division]&lt;&gt;"")*(PptoSty[Division]&lt;&gt;"X")*(PptoSty[Project]=$B93)*(PptoSty[Vrs]=$D93)*(PptoSty[PiRow]=_xlfn.TEXTAFTER($H93,":"))*(PptoSty[PiColumn]=N$54),0)),SUM(IF((INDIRECT($B$3)=$B93)*(INDIRECT($C$3)=$D93)*((INDIRECT($E$3)="TOTS")+(INDIRECT($E$3)=$E93)),INDIRECT(N$3)))),_xlpm.y,SUM(_xlfn.CHOOSECOLS(_xlfn._xlws.FILTER(F_RT14[],(F_RT14[PrjId]=$B93)*(F_RT14[Vrs]=$D93)*(_xlfn.TEXTAFTER(F_RT14[ActGrp],":")=_xlfn.TEXTAFTER($H93,":")),"X"),MATCH("*"&amp;N$54,F_RT14[#Headers],0))),IF(AND(_xlpm.x=0,_xlpm.y&lt;&gt;0),-1,IF(AND(_xlpm.x&lt;&gt;0,_xlpm.y&lt;&gt;0),_xlpm.x,IF(AND(_xlpm.x-SUM(IF((INDIRECT($B$3)=$B93)*(INDIRECT($C$3)=$D93)*((INDIRECT($E$3)="TOTS")+(INDIRECT($E$3)=$E93)),INDIRECT(N$3)))&lt;&gt;0,_xlpm.y=0),-2,_xlpm.x)))),0))</f>
        <v>-1</v>
      </c>
      <c r="O93" s="199" cm="1">
        <f t="array" aca="1" ref="O93" ca="1">IF(OR($B93="",$B93="X",$D93="",$D93="X",$E93="",$E93="X"),0,IFERROR(_xlfn.LET(_xlpm.x,SUM(SUM(_xlfn._xlws.FILTER(VALUE(PptoSty[Sign]&amp;1)*(1/PptoSty[Division]),(PptoSty[Division]&lt;&gt;0)*(PptoSty[Division]&lt;&gt;"")*(PptoSty[Division]&lt;&gt;"X")*(PptoSty[Project]=$B93)*(PptoSty[Vrs]=$D93)*(PptoSty[PiRow]=_xlfn.TEXTAFTER($H93,":"))*(PptoSty[PiColumn]=O$54),0)),SUM(IF((INDIRECT($B$3)=$B93)*(INDIRECT($C$3)=$D93)*((INDIRECT($E$3)="TOTS")+(INDIRECT($E$3)=$E93)),INDIRECT(O$3)))),_xlpm.y,SUM(_xlfn.CHOOSECOLS(_xlfn._xlws.FILTER(F_RT14[],(F_RT14[PrjId]=$B93)*(F_RT14[Vrs]=$D93)*(_xlfn.TEXTAFTER(F_RT14[ActGrp],":")=_xlfn.TEXTAFTER($H93,":")),"X"),MATCH("*"&amp;O$54,F_RT14[#Headers],0))),IF(AND(_xlpm.x=0,_xlpm.y&lt;&gt;0),-1,IF(AND(_xlpm.x&lt;&gt;0,_xlpm.y&lt;&gt;0),_xlpm.x,IF(AND(_xlpm.x-SUM(IF((INDIRECT($B$3)=$B93)*(INDIRECT($C$3)=$D93)*((INDIRECT($E$3)="TOTS")+(INDIRECT($E$3)=$E93)),INDIRECT(O$3)))&lt;&gt;0,_xlpm.y=0),-2,_xlpm.x)))),0))</f>
        <v>0</v>
      </c>
      <c r="P93" s="199" cm="1">
        <f t="array" aca="1" ref="P93" ca="1">IF(OR($B93="",$B93="X",$D93="",$D93="X",$E93="",$E93="X"),0,IFERROR(_xlfn.LET(_xlpm.x,SUM(SUM(_xlfn._xlws.FILTER(VALUE(PptoSty[Sign]&amp;1)*(1/PptoSty[Division]),(PptoSty[Division]&lt;&gt;0)*(PptoSty[Division]&lt;&gt;"")*(PptoSty[Division]&lt;&gt;"X")*(PptoSty[Project]=$B93)*(PptoSty[Vrs]=$D93)*(PptoSty[PiRow]=_xlfn.TEXTAFTER($H93,":"))*(PptoSty[PiColumn]=P$54),0)),SUM(IF((INDIRECT($B$3)=$B93)*(INDIRECT($C$3)=$D93)*((INDIRECT($E$3)="TOTS")+(INDIRECT($E$3)=$E93)),INDIRECT(P$3)))),_xlpm.y,SUM(_xlfn.CHOOSECOLS(_xlfn._xlws.FILTER(F_RT14[],(F_RT14[PrjId]=$B93)*(F_RT14[Vrs]=$D93)*(_xlfn.TEXTAFTER(F_RT14[ActGrp],":")=_xlfn.TEXTAFTER($H93,":")),"X"),MATCH("*"&amp;P$54,F_RT14[#Headers],0))),IF(AND(_xlpm.x=0,_xlpm.y&lt;&gt;0),-1,IF(AND(_xlpm.x&lt;&gt;0,_xlpm.y&lt;&gt;0),_xlpm.x,IF(AND(_xlpm.x-SUM(IF((INDIRECT($B$3)=$B93)*(INDIRECT($C$3)=$D93)*((INDIRECT($E$3)="TOTS")+(INDIRECT($E$3)=$E93)),INDIRECT(P$3)))&lt;&gt;0,_xlpm.y=0),-2,_xlpm.x)))),0))</f>
        <v>-1</v>
      </c>
      <c r="Q93" s="199" cm="1">
        <f t="array" aca="1" ref="Q93" ca="1">IF(OR($B93="",$B93="X",$D93="",$D93="X",$E93="",$E93="X"),0,IFERROR(_xlfn.LET(_xlpm.x,SUM(SUM(_xlfn._xlws.FILTER(VALUE(PptoSty[Sign]&amp;1)*(1/PptoSty[Division]),(PptoSty[Division]&lt;&gt;0)*(PptoSty[Division]&lt;&gt;"")*(PptoSty[Division]&lt;&gt;"X")*(PptoSty[Project]=$B93)*(PptoSty[Vrs]=$D93)*(PptoSty[PiRow]=_xlfn.TEXTAFTER($H93,":"))*(PptoSty[PiColumn]=Q$54),0)),SUM(IF((INDIRECT($B$3)=$B93)*(INDIRECT($C$3)=$D93)*((INDIRECT($E$3)="TOTS")+(INDIRECT($E$3)=$E93)),INDIRECT(Q$3)))),_xlpm.y,SUM(_xlfn.CHOOSECOLS(_xlfn._xlws.FILTER(F_RT14[],(F_RT14[PrjId]=$B93)*(F_RT14[Vrs]=$D93)*(_xlfn.TEXTAFTER(F_RT14[ActGrp],":")=_xlfn.TEXTAFTER($H93,":")),"X"),MATCH("*"&amp;Q$54,F_RT14[#Headers],0))),IF(AND(_xlpm.x=0,_xlpm.y&lt;&gt;0),-1,IF(AND(_xlpm.x&lt;&gt;0,_xlpm.y&lt;&gt;0),_xlpm.x,IF(AND(_xlpm.x-SUM(IF((INDIRECT($B$3)=$B93)*(INDIRECT($C$3)=$D93)*((INDIRECT($E$3)="TOTS")+(INDIRECT($E$3)=$E93)),INDIRECT(Q$3)))&lt;&gt;0,_xlpm.y=0),-2,_xlpm.x)))),0))</f>
        <v>-1</v>
      </c>
      <c r="R93" s="199" cm="1">
        <f t="array" aca="1" ref="R93" ca="1">IF(OR($B93="",$B93="X",$D93="",$D93="X",$E93="",$E93="X"),0,IFERROR(_xlfn.LET(_xlpm.x,SUM(SUM(_xlfn._xlws.FILTER(VALUE(PptoSty[Sign]&amp;1)*(1/PptoSty[Division]),(PptoSty[Division]&lt;&gt;0)*(PptoSty[Division]&lt;&gt;"")*(PptoSty[Division]&lt;&gt;"X")*(PptoSty[Project]=$B93)*(PptoSty[Vrs]=$D93)*(PptoSty[PiRow]=_xlfn.TEXTAFTER($H93,":"))*(PptoSty[PiColumn]=R$54),0)),SUM(IF((INDIRECT($B$3)=$B93)*(INDIRECT($C$3)=$D93)*((INDIRECT($E$3)="TOTS")+(INDIRECT($E$3)=$E93)),INDIRECT(R$3)))),_xlpm.y,SUM(_xlfn.CHOOSECOLS(_xlfn._xlws.FILTER(F_RT14[],(F_RT14[PrjId]=$B93)*(F_RT14[Vrs]=$D93)*(_xlfn.TEXTAFTER(F_RT14[ActGrp],":")=_xlfn.TEXTAFTER($H93,":")),"X"),MATCH("*"&amp;R$54,F_RT14[#Headers],0))),IF(AND(_xlpm.x=0,_xlpm.y&lt;&gt;0),-1,IF(AND(_xlpm.x&lt;&gt;0,_xlpm.y&lt;&gt;0),_xlpm.x,IF(AND(_xlpm.x-SUM(IF((INDIRECT($B$3)=$B93)*(INDIRECT($C$3)=$D93)*((INDIRECT($E$3)="TOTS")+(INDIRECT($E$3)=$E93)),INDIRECT(R$3)))&lt;&gt;0,_xlpm.y=0),-2,_xlpm.x)))),0))</f>
        <v>-1</v>
      </c>
      <c r="S93" s="199" cm="1">
        <f t="array" aca="1" ref="S93" ca="1">IF(OR($B93="",$B93="X",$D93="",$D93="X",$E93="",$E93="X"),0,IFERROR(_xlfn.LET(_xlpm.x,SUM(SUM(_xlfn._xlws.FILTER(VALUE(PptoSty[Sign]&amp;1)*(1/PptoSty[Division]),(PptoSty[Division]&lt;&gt;0)*(PptoSty[Division]&lt;&gt;"")*(PptoSty[Division]&lt;&gt;"X")*(PptoSty[Project]=$B93)*(PptoSty[Vrs]=$D93)*(PptoSty[PiRow]=_xlfn.TEXTAFTER($H93,":"))*(PptoSty[PiColumn]=S$54),0)),SUM(IF((INDIRECT($B$3)=$B93)*(INDIRECT($C$3)=$D93)*((INDIRECT($E$3)="TOTS")+(INDIRECT($E$3)=$E93)),INDIRECT(S$3)))),_xlpm.y,SUM(_xlfn.CHOOSECOLS(_xlfn._xlws.FILTER(F_RT14[],(F_RT14[PrjId]=$B93)*(F_RT14[Vrs]=$D93)*(_xlfn.TEXTAFTER(F_RT14[ActGrp],":")=_xlfn.TEXTAFTER($H93,":")),"X"),MATCH("*"&amp;S$54,F_RT14[#Headers],0))),IF(AND(_xlpm.x=0,_xlpm.y&lt;&gt;0),-1,IF(AND(_xlpm.x&lt;&gt;0,_xlpm.y&lt;&gt;0),_xlpm.x,IF(AND(_xlpm.x-SUM(IF((INDIRECT($B$3)=$B93)*(INDIRECT($C$3)=$D93)*((INDIRECT($E$3)="TOTS")+(INDIRECT($E$3)=$E93)),INDIRECT(S$3)))&lt;&gt;0,_xlpm.y=0),-2,_xlpm.x)))),0))</f>
        <v>-1</v>
      </c>
      <c r="T93" s="199" cm="1">
        <f t="array" aca="1" ref="T93" ca="1">IF(OR($B93="",$B93="X",$D93="",$D93="X",$E93="",$E93="X"),0,IFERROR(_xlfn.LET(_xlpm.x,SUM(SUM(_xlfn._xlws.FILTER(VALUE(PptoSty[Sign]&amp;1)*(1/PptoSty[Division]),(PptoSty[Division]&lt;&gt;0)*(PptoSty[Division]&lt;&gt;"")*(PptoSty[Division]&lt;&gt;"X")*(PptoSty[Project]=$B93)*(PptoSty[Vrs]=$D93)*(PptoSty[PiRow]=_xlfn.TEXTAFTER($H93,":"))*(PptoSty[PiColumn]=T$54),0)),SUM(IF((INDIRECT($B$3)=$B93)*(INDIRECT($C$3)=$D93)*((INDIRECT($E$3)="TOTS")+(INDIRECT($E$3)=$E93)),INDIRECT(T$3)))),_xlpm.y,SUM(_xlfn.CHOOSECOLS(_xlfn._xlws.FILTER(F_RT14[],(F_RT14[PrjId]=$B93)*(F_RT14[Vrs]=$D93)*(_xlfn.TEXTAFTER(F_RT14[ActGrp],":")=_xlfn.TEXTAFTER($H93,":")),"X"),MATCH("*"&amp;T$54,F_RT14[#Headers],0))),IF(AND(_xlpm.x=0,_xlpm.y&lt;&gt;0),-1,IF(AND(_xlpm.x&lt;&gt;0,_xlpm.y&lt;&gt;0),_xlpm.x,IF(AND(_xlpm.x-SUM(IF((INDIRECT($B$3)=$B93)*(INDIRECT($C$3)=$D93)*((INDIRECT($E$3)="TOTS")+(INDIRECT($E$3)=$E93)),INDIRECT(T$3)))&lt;&gt;0,_xlpm.y=0),-2,_xlpm.x)))),0))</f>
        <v>-1</v>
      </c>
      <c r="U93" s="199" cm="1">
        <f t="array" aca="1" ref="U93" ca="1">IF(OR($B93="",$B93="X",$D93="",$D93="X",$E93="",$E93="X"),0,IFERROR(_xlfn.LET(_xlpm.x,SUM(SUM(_xlfn._xlws.FILTER(VALUE(PptoSty[Sign]&amp;1)*(1/PptoSty[Division]),(PptoSty[Division]&lt;&gt;0)*(PptoSty[Division]&lt;&gt;"")*(PptoSty[Division]&lt;&gt;"X")*(PptoSty[Project]=$B93)*(PptoSty[Vrs]=$D93)*(PptoSty[PiRow]=_xlfn.TEXTAFTER($H93,":"))*(PptoSty[PiColumn]=U$54),0)),SUM(IF((INDIRECT($B$3)=$B93)*(INDIRECT($C$3)=$D93)*((INDIRECT($E$3)="TOTS")+(INDIRECT($E$3)=$E93)),INDIRECT(U$3)))),_xlpm.y,SUM(_xlfn.CHOOSECOLS(_xlfn._xlws.FILTER(F_RT14[],(F_RT14[PrjId]=$B93)*(F_RT14[Vrs]=$D93)*(_xlfn.TEXTAFTER(F_RT14[ActGrp],":")=_xlfn.TEXTAFTER($H93,":")),"X"),MATCH("*"&amp;U$54,F_RT14[#Headers],0))),IF(AND(_xlpm.x=0,_xlpm.y&lt;&gt;0),-1,IF(AND(_xlpm.x&lt;&gt;0,_xlpm.y&lt;&gt;0),_xlpm.x,IF(AND(_xlpm.x-SUM(IF((INDIRECT($B$3)=$B93)*(INDIRECT($C$3)=$D93)*((INDIRECT($E$3)="TOTS")+(INDIRECT($E$3)=$E93)),INDIRECT(U$3)))&lt;&gt;0,_xlpm.y=0),-2,_xlpm.x)))),0))</f>
        <v>0</v>
      </c>
      <c r="V93" s="199" cm="1">
        <f t="array" aca="1" ref="V93" ca="1">IF(OR($B93="",$B93="X",$D93="",$D93="X",$E93="",$E93="X"),0,IFERROR(_xlfn.LET(_xlpm.x,SUM(SUM(_xlfn._xlws.FILTER(VALUE(PptoSty[Sign]&amp;1)*(1/PptoSty[Division]),(PptoSty[Division]&lt;&gt;0)*(PptoSty[Division]&lt;&gt;"")*(PptoSty[Division]&lt;&gt;"X")*(PptoSty[Project]=$B93)*(PptoSty[Vrs]=$D93)*(PptoSty[PiRow]=_xlfn.TEXTAFTER($H93,":"))*(PptoSty[PiColumn]=V$54),0)),SUM(IF((INDIRECT($B$3)=$B93)*(INDIRECT($C$3)=$D93)*((INDIRECT($E$3)="TOTS")+(INDIRECT($E$3)=$E93)),INDIRECT(V$3)))),_xlpm.y,SUM(_xlfn.CHOOSECOLS(_xlfn._xlws.FILTER(F_RT14[],(F_RT14[PrjId]=$B93)*(F_RT14[Vrs]=$D93)*(_xlfn.TEXTAFTER(F_RT14[ActGrp],":")=_xlfn.TEXTAFTER($H93,":")),"X"),MATCH("*"&amp;V$54,F_RT14[#Headers],0))),IF(AND(_xlpm.x=0,_xlpm.y&lt;&gt;0),-1,IF(AND(_xlpm.x&lt;&gt;0,_xlpm.y&lt;&gt;0),_xlpm.x,IF(AND(_xlpm.x-SUM(IF((INDIRECT($B$3)=$B93)*(INDIRECT($C$3)=$D93)*((INDIRECT($E$3)="TOTS")+(INDIRECT($E$3)=$E93)),INDIRECT(V$3)))&lt;&gt;0,_xlpm.y=0),-2,_xlpm.x)))),0))</f>
        <v>-1</v>
      </c>
      <c r="W93" s="199" cm="1">
        <f t="array" aca="1" ref="W93" ca="1">IF(OR($B93="",$B93="X",$D93="",$D93="X",$E93="",$E93="X"),0,IFERROR(_xlfn.LET(_xlpm.x,SUM(SUM(_xlfn._xlws.FILTER(VALUE(PptoSty[Sign]&amp;1)*(1/PptoSty[Division]),(PptoSty[Division]&lt;&gt;0)*(PptoSty[Division]&lt;&gt;"")*(PptoSty[Division]&lt;&gt;"X")*(PptoSty[Project]=$B93)*(PptoSty[Vrs]=$D93)*(PptoSty[PiRow]=_xlfn.TEXTAFTER($H93,":"))*(PptoSty[PiColumn]=W$54),0)),SUM(IF((INDIRECT($B$3)=$B93)*(INDIRECT($C$3)=$D93)*((INDIRECT($E$3)="TOTS")+(INDIRECT($E$3)=$E93)),INDIRECT(W$3)))),_xlpm.y,SUM(_xlfn.CHOOSECOLS(_xlfn._xlws.FILTER(F_RT14[],(F_RT14[PrjId]=$B93)*(F_RT14[Vrs]=$D93)*(_xlfn.TEXTAFTER(F_RT14[ActGrp],":")=_xlfn.TEXTAFTER($H93,":")),"X"),MATCH("*"&amp;W$54,F_RT14[#Headers],0))),IF(AND(_xlpm.x=0,_xlpm.y&lt;&gt;0),-1,IF(AND(_xlpm.x&lt;&gt;0,_xlpm.y&lt;&gt;0),_xlpm.x,IF(AND(_xlpm.x-SUM(IF((INDIRECT($B$3)=$B93)*(INDIRECT($C$3)=$D93)*((INDIRECT($E$3)="TOTS")+(INDIRECT($E$3)=$E93)),INDIRECT(W$3)))&lt;&gt;0,_xlpm.y=0),-2,_xlpm.x)))),0))</f>
        <v>-1</v>
      </c>
      <c r="X93" s="199" cm="1">
        <f t="array" aca="1" ref="X93" ca="1">IF(OR($B93="",$B93="X",$D93="",$D93="X",$E93="",$E93="X"),0,IFERROR(_xlfn.LET(_xlpm.x,SUM(SUM(_xlfn._xlws.FILTER(VALUE(PptoSty[Sign]&amp;1)*(1/PptoSty[Division]),(PptoSty[Division]&lt;&gt;0)*(PptoSty[Division]&lt;&gt;"")*(PptoSty[Division]&lt;&gt;"X")*(PptoSty[Project]=$B93)*(PptoSty[Vrs]=$D93)*(PptoSty[PiRow]=_xlfn.TEXTAFTER($H93,":"))*(PptoSty[PiColumn]=X$54),0)),SUM(IF((INDIRECT($B$3)=$B93)*(INDIRECT($C$3)=$D93)*((INDIRECT($E$3)="TOTS")+(INDIRECT($E$3)=$E93)),INDIRECT(X$3)))),_xlpm.y,SUM(_xlfn.CHOOSECOLS(_xlfn._xlws.FILTER(F_RT14[],(F_RT14[PrjId]=$B93)*(F_RT14[Vrs]=$D93)*(_xlfn.TEXTAFTER(F_RT14[ActGrp],":")=_xlfn.TEXTAFTER($H93,":")),"X"),MATCH("*"&amp;X$54,F_RT14[#Headers],0))),IF(AND(_xlpm.x=0,_xlpm.y&lt;&gt;0),-1,IF(AND(_xlpm.x&lt;&gt;0,_xlpm.y&lt;&gt;0),_xlpm.x,IF(AND(_xlpm.x-SUM(IF((INDIRECT($B$3)=$B93)*(INDIRECT($C$3)=$D93)*((INDIRECT($E$3)="TOTS")+(INDIRECT($E$3)=$E93)),INDIRECT(X$3)))&lt;&gt;0,_xlpm.y=0),-2,_xlpm.x)))),0))</f>
        <v>-1</v>
      </c>
      <c r="Y93" s="199" cm="1">
        <f t="array" aca="1" ref="Y93" ca="1">IF(OR($B93="",$B93="X",$D93="",$D93="X",$E93="",$E93="X"),0,IFERROR(_xlfn.LET(_xlpm.x,SUM(SUM(_xlfn._xlws.FILTER(VALUE(PptoSty[Sign]&amp;1)*(1/PptoSty[Division]),(PptoSty[Division]&lt;&gt;0)*(PptoSty[Division]&lt;&gt;"")*(PptoSty[Division]&lt;&gt;"X")*(PptoSty[Project]=$B93)*(PptoSty[Vrs]=$D93)*(PptoSty[PiRow]=_xlfn.TEXTAFTER($H93,":"))*(PptoSty[PiColumn]=Y$54),0)),SUM(IF((INDIRECT($B$3)=$B93)*(INDIRECT($C$3)=$D93)*((INDIRECT($E$3)="TOTS")+(INDIRECT($E$3)=$E93)),INDIRECT(Y$3)))),_xlpm.y,SUM(_xlfn.CHOOSECOLS(_xlfn._xlws.FILTER(F_RT14[],(F_RT14[PrjId]=$B93)*(F_RT14[Vrs]=$D93)*(_xlfn.TEXTAFTER(F_RT14[ActGrp],":")=_xlfn.TEXTAFTER($H93,":")),"X"),MATCH("*"&amp;Y$54,F_RT14[#Headers],0))),IF(AND(_xlpm.x=0,_xlpm.y&lt;&gt;0),-1,IF(AND(_xlpm.x&lt;&gt;0,_xlpm.y&lt;&gt;0),_xlpm.x,IF(AND(_xlpm.x-SUM(IF((INDIRECT($B$3)=$B93)*(INDIRECT($C$3)=$D93)*((INDIRECT($E$3)="TOTS")+(INDIRECT($E$3)=$E93)),INDIRECT(Y$3)))&lt;&gt;0,_xlpm.y=0),-2,_xlpm.x)))),0))</f>
        <v>0</v>
      </c>
      <c r="Z93" s="198" t="str">
        <f t="shared" ca="1" si="2"/>
        <v>Fback!B93:Y93</v>
      </c>
    </row>
    <row r="94" spans="2:26" ht="21" customHeight="1" outlineLevel="1">
      <c r="B94" s="128" t="str">
        <v>31200</v>
      </c>
      <c r="C94" s="128" t="str">
        <v>Sp</v>
      </c>
      <c r="D94" s="128">
        <v>15</v>
      </c>
      <c r="E94" s="128" t="str">
        <v>TOOL</v>
      </c>
      <c r="F94" s="139" t="str">
        <v>SERRA</v>
      </c>
      <c r="G94" s="139" t="str">
        <v>CurPpto</v>
      </c>
      <c r="H94" s="139" t="str">
        <v>P007:OP-420.1 WELDING (REWELD)</v>
      </c>
      <c r="I94" s="199" cm="1">
        <f t="array" aca="1" ref="I94" ca="1">IF(OR($B94="",$B94="X",$D94="",$D94="X",$E94="",$E94="X"),0,IFERROR(_xlfn.LET(_xlpm.x,SUM(SUM(_xlfn._xlws.FILTER(VALUE(PptoSty[Sign]&amp;1)*(1/PptoSty[Division]),(PptoSty[Division]&lt;&gt;0)*(PptoSty[Division]&lt;&gt;"")*(PptoSty[Division]&lt;&gt;"X")*(PptoSty[Project]=$B94)*(PptoSty[Vrs]=$D94)*(PptoSty[PiRow]=_xlfn.TEXTAFTER($H94,":"))*(PptoSty[PiColumn]=I$54),0)),SUM(IF((INDIRECT($B$3)=$B94)*(INDIRECT($C$3)=$D94)*((INDIRECT($E$3)="TOTS")+(INDIRECT($E$3)=$E94)),INDIRECT(I$3)))),_xlpm.y,SUM(_xlfn.CHOOSECOLS(_xlfn._xlws.FILTER(F_RT14[],(F_RT14[PrjId]=$B94)*(F_RT14[Vrs]=$D94)*(_xlfn.TEXTAFTER(F_RT14[ActGrp],":")=_xlfn.TEXTAFTER($H94,":")),"X"),MATCH("*"&amp;I$54,F_RT14[#Headers],0))),IF(AND(_xlpm.x=0,_xlpm.y&lt;&gt;0),-1,IF(AND(_xlpm.x&lt;&gt;0,_xlpm.y&lt;&gt;0),_xlpm.x,IF(AND(_xlpm.x-SUM(IF((INDIRECT($B$3)=$B94)*(INDIRECT($C$3)=$D94)*((INDIRECT($E$3)="TOTS")+(INDIRECT($E$3)=$E94)),INDIRECT(I$3)))&lt;&gt;0,_xlpm.y=0),-2,_xlpm.x)))),0))</f>
        <v>0</v>
      </c>
      <c r="J94" s="199" cm="1">
        <f t="array" aca="1" ref="J94" ca="1">IF(OR($B94="",$B94="X",$D94="",$D94="X",$E94="",$E94="X"),0,IFERROR(_xlfn.LET(_xlpm.x,SUM(SUM(_xlfn._xlws.FILTER(VALUE(PptoSty[Sign]&amp;1)*(1/PptoSty[Division]),(PptoSty[Division]&lt;&gt;0)*(PptoSty[Division]&lt;&gt;"")*(PptoSty[Division]&lt;&gt;"X")*(PptoSty[Project]=$B94)*(PptoSty[Vrs]=$D94)*(PptoSty[PiRow]=_xlfn.TEXTAFTER($H94,":"))*(PptoSty[PiColumn]=J$54),0)),SUM(IF((INDIRECT($B$3)=$B94)*(INDIRECT($C$3)=$D94)*((INDIRECT($E$3)="TOTS")+(INDIRECT($E$3)=$E94)),INDIRECT(J$3)))),_xlpm.y,SUM(_xlfn.CHOOSECOLS(_xlfn._xlws.FILTER(F_RT14[],(F_RT14[PrjId]=$B94)*(F_RT14[Vrs]=$D94)*(_xlfn.TEXTAFTER(F_RT14[ActGrp],":")=_xlfn.TEXTAFTER($H94,":")),"X"),MATCH("*"&amp;J$54,F_RT14[#Headers],0))),IF(AND(_xlpm.x=0,_xlpm.y&lt;&gt;0),-1,IF(AND(_xlpm.x&lt;&gt;0,_xlpm.y&lt;&gt;0),_xlpm.x,IF(AND(_xlpm.x-SUM(IF((INDIRECT($B$3)=$B94)*(INDIRECT($C$3)=$D94)*((INDIRECT($E$3)="TOTS")+(INDIRECT($E$3)=$E94)),INDIRECT(J$3)))&lt;&gt;0,_xlpm.y=0),-2,_xlpm.x)))),0))</f>
        <v>0</v>
      </c>
      <c r="K94" s="199" cm="1">
        <f t="array" aca="1" ref="K94" ca="1">IF(OR($B94="",$B94="X",$D94="",$D94="X",$E94="",$E94="X"),0,IFERROR(_xlfn.LET(_xlpm.x,SUM(SUM(_xlfn._xlws.FILTER(VALUE(PptoSty[Sign]&amp;1)*(1/PptoSty[Division]),(PptoSty[Division]&lt;&gt;0)*(PptoSty[Division]&lt;&gt;"")*(PptoSty[Division]&lt;&gt;"X")*(PptoSty[Project]=$B94)*(PptoSty[Vrs]=$D94)*(PptoSty[PiRow]=_xlfn.TEXTAFTER($H94,":"))*(PptoSty[PiColumn]=K$54),0)),SUM(IF((INDIRECT($B$3)=$B94)*(INDIRECT($C$3)=$D94)*((INDIRECT($E$3)="TOTS")+(INDIRECT($E$3)=$E94)),INDIRECT(K$3)))),_xlpm.y,SUM(_xlfn.CHOOSECOLS(_xlfn._xlws.FILTER(F_RT14[],(F_RT14[PrjId]=$B94)*(F_RT14[Vrs]=$D94)*(_xlfn.TEXTAFTER(F_RT14[ActGrp],":")=_xlfn.TEXTAFTER($H94,":")),"X"),MATCH("*"&amp;K$54,F_RT14[#Headers],0))),IF(AND(_xlpm.x=0,_xlpm.y&lt;&gt;0),-1,IF(AND(_xlpm.x&lt;&gt;0,_xlpm.y&lt;&gt;0),_xlpm.x,IF(AND(_xlpm.x-SUM(IF((INDIRECT($B$3)=$B94)*(INDIRECT($C$3)=$D94)*((INDIRECT($E$3)="TOTS")+(INDIRECT($E$3)=$E94)),INDIRECT(K$3)))&lt;&gt;0,_xlpm.y=0),-2,_xlpm.x)))),0))</f>
        <v>-1</v>
      </c>
      <c r="L94" s="199" cm="1">
        <f t="array" aca="1" ref="L94" ca="1">IF(OR($B94="",$B94="X",$D94="",$D94="X",$E94="",$E94="X"),0,IFERROR(_xlfn.LET(_xlpm.x,SUM(SUM(_xlfn._xlws.FILTER(VALUE(PptoSty[Sign]&amp;1)*(1/PptoSty[Division]),(PptoSty[Division]&lt;&gt;0)*(PptoSty[Division]&lt;&gt;"")*(PptoSty[Division]&lt;&gt;"X")*(PptoSty[Project]=$B94)*(PptoSty[Vrs]=$D94)*(PptoSty[PiRow]=_xlfn.TEXTAFTER($H94,":"))*(PptoSty[PiColumn]=L$54),0)),SUM(IF((INDIRECT($B$3)=$B94)*(INDIRECT($C$3)=$D94)*((INDIRECT($E$3)="TOTS")+(INDIRECT($E$3)=$E94)),INDIRECT(L$3)))),_xlpm.y,SUM(_xlfn.CHOOSECOLS(_xlfn._xlws.FILTER(F_RT14[],(F_RT14[PrjId]=$B94)*(F_RT14[Vrs]=$D94)*(_xlfn.TEXTAFTER(F_RT14[ActGrp],":")=_xlfn.TEXTAFTER($H94,":")),"X"),MATCH("*"&amp;L$54,F_RT14[#Headers],0))),IF(AND(_xlpm.x=0,_xlpm.y&lt;&gt;0),-1,IF(AND(_xlpm.x&lt;&gt;0,_xlpm.y&lt;&gt;0),_xlpm.x,IF(AND(_xlpm.x-SUM(IF((INDIRECT($B$3)=$B94)*(INDIRECT($C$3)=$D94)*((INDIRECT($E$3)="TOTS")+(INDIRECT($E$3)=$E94)),INDIRECT(L$3)))&lt;&gt;0,_xlpm.y=0),-2,_xlpm.x)))),0))</f>
        <v>0</v>
      </c>
      <c r="M94" s="199" cm="1">
        <f t="array" aca="1" ref="M94" ca="1">IF(OR($B94="",$B94="X",$D94="",$D94="X",$E94="",$E94="X"),0,IFERROR(_xlfn.LET(_xlpm.x,SUM(SUM(_xlfn._xlws.FILTER(VALUE(PptoSty[Sign]&amp;1)*(1/PptoSty[Division]),(PptoSty[Division]&lt;&gt;0)*(PptoSty[Division]&lt;&gt;"")*(PptoSty[Division]&lt;&gt;"X")*(PptoSty[Project]=$B94)*(PptoSty[Vrs]=$D94)*(PptoSty[PiRow]=_xlfn.TEXTAFTER($H94,":"))*(PptoSty[PiColumn]=M$54),0)),SUM(IF((INDIRECT($B$3)=$B94)*(INDIRECT($C$3)=$D94)*((INDIRECT($E$3)="TOTS")+(INDIRECT($E$3)=$E94)),INDIRECT(M$3)))),_xlpm.y,SUM(_xlfn.CHOOSECOLS(_xlfn._xlws.FILTER(F_RT14[],(F_RT14[PrjId]=$B94)*(F_RT14[Vrs]=$D94)*(_xlfn.TEXTAFTER(F_RT14[ActGrp],":")=_xlfn.TEXTAFTER($H94,":")),"X"),MATCH("*"&amp;M$54,F_RT14[#Headers],0))),IF(AND(_xlpm.x=0,_xlpm.y&lt;&gt;0),-1,IF(AND(_xlpm.x&lt;&gt;0,_xlpm.y&lt;&gt;0),_xlpm.x,IF(AND(_xlpm.x-SUM(IF((INDIRECT($B$3)=$B94)*(INDIRECT($C$3)=$D94)*((INDIRECT($E$3)="TOTS")+(INDIRECT($E$3)=$E94)),INDIRECT(M$3)))&lt;&gt;0,_xlpm.y=0),-2,_xlpm.x)))),0))</f>
        <v>0</v>
      </c>
      <c r="N94" s="199" cm="1">
        <f t="array" aca="1" ref="N94" ca="1">IF(OR($B94="",$B94="X",$D94="",$D94="X",$E94="",$E94="X"),0,IFERROR(_xlfn.LET(_xlpm.x,SUM(SUM(_xlfn._xlws.FILTER(VALUE(PptoSty[Sign]&amp;1)*(1/PptoSty[Division]),(PptoSty[Division]&lt;&gt;0)*(PptoSty[Division]&lt;&gt;"")*(PptoSty[Division]&lt;&gt;"X")*(PptoSty[Project]=$B94)*(PptoSty[Vrs]=$D94)*(PptoSty[PiRow]=_xlfn.TEXTAFTER($H94,":"))*(PptoSty[PiColumn]=N$54),0)),SUM(IF((INDIRECT($B$3)=$B94)*(INDIRECT($C$3)=$D94)*((INDIRECT($E$3)="TOTS")+(INDIRECT($E$3)=$E94)),INDIRECT(N$3)))),_xlpm.y,SUM(_xlfn.CHOOSECOLS(_xlfn._xlws.FILTER(F_RT14[],(F_RT14[PrjId]=$B94)*(F_RT14[Vrs]=$D94)*(_xlfn.TEXTAFTER(F_RT14[ActGrp],":")=_xlfn.TEXTAFTER($H94,":")),"X"),MATCH("*"&amp;N$54,F_RT14[#Headers],0))),IF(AND(_xlpm.x=0,_xlpm.y&lt;&gt;0),-1,IF(AND(_xlpm.x&lt;&gt;0,_xlpm.y&lt;&gt;0),_xlpm.x,IF(AND(_xlpm.x-SUM(IF((INDIRECT($B$3)=$B94)*(INDIRECT($C$3)=$D94)*((INDIRECT($E$3)="TOTS")+(INDIRECT($E$3)=$E94)),INDIRECT(N$3)))&lt;&gt;0,_xlpm.y=0),-2,_xlpm.x)))),0))</f>
        <v>-1</v>
      </c>
      <c r="O94" s="199" cm="1">
        <f t="array" aca="1" ref="O94" ca="1">IF(OR($B94="",$B94="X",$D94="",$D94="X",$E94="",$E94="X"),0,IFERROR(_xlfn.LET(_xlpm.x,SUM(SUM(_xlfn._xlws.FILTER(VALUE(PptoSty[Sign]&amp;1)*(1/PptoSty[Division]),(PptoSty[Division]&lt;&gt;0)*(PptoSty[Division]&lt;&gt;"")*(PptoSty[Division]&lt;&gt;"X")*(PptoSty[Project]=$B94)*(PptoSty[Vrs]=$D94)*(PptoSty[PiRow]=_xlfn.TEXTAFTER($H94,":"))*(PptoSty[PiColumn]=O$54),0)),SUM(IF((INDIRECT($B$3)=$B94)*(INDIRECT($C$3)=$D94)*((INDIRECT($E$3)="TOTS")+(INDIRECT($E$3)=$E94)),INDIRECT(O$3)))),_xlpm.y,SUM(_xlfn.CHOOSECOLS(_xlfn._xlws.FILTER(F_RT14[],(F_RT14[PrjId]=$B94)*(F_RT14[Vrs]=$D94)*(_xlfn.TEXTAFTER(F_RT14[ActGrp],":")=_xlfn.TEXTAFTER($H94,":")),"X"),MATCH("*"&amp;O$54,F_RT14[#Headers],0))),IF(AND(_xlpm.x=0,_xlpm.y&lt;&gt;0),-1,IF(AND(_xlpm.x&lt;&gt;0,_xlpm.y&lt;&gt;0),_xlpm.x,IF(AND(_xlpm.x-SUM(IF((INDIRECT($B$3)=$B94)*(INDIRECT($C$3)=$D94)*((INDIRECT($E$3)="TOTS")+(INDIRECT($E$3)=$E94)),INDIRECT(O$3)))&lt;&gt;0,_xlpm.y=0),-2,_xlpm.x)))),0))</f>
        <v>0</v>
      </c>
      <c r="P94" s="199" cm="1">
        <f t="array" aca="1" ref="P94" ca="1">IF(OR($B94="",$B94="X",$D94="",$D94="X",$E94="",$E94="X"),0,IFERROR(_xlfn.LET(_xlpm.x,SUM(SUM(_xlfn._xlws.FILTER(VALUE(PptoSty[Sign]&amp;1)*(1/PptoSty[Division]),(PptoSty[Division]&lt;&gt;0)*(PptoSty[Division]&lt;&gt;"")*(PptoSty[Division]&lt;&gt;"X")*(PptoSty[Project]=$B94)*(PptoSty[Vrs]=$D94)*(PptoSty[PiRow]=_xlfn.TEXTAFTER($H94,":"))*(PptoSty[PiColumn]=P$54),0)),SUM(IF((INDIRECT($B$3)=$B94)*(INDIRECT($C$3)=$D94)*((INDIRECT($E$3)="TOTS")+(INDIRECT($E$3)=$E94)),INDIRECT(P$3)))),_xlpm.y,SUM(_xlfn.CHOOSECOLS(_xlfn._xlws.FILTER(F_RT14[],(F_RT14[PrjId]=$B94)*(F_RT14[Vrs]=$D94)*(_xlfn.TEXTAFTER(F_RT14[ActGrp],":")=_xlfn.TEXTAFTER($H94,":")),"X"),MATCH("*"&amp;P$54,F_RT14[#Headers],0))),IF(AND(_xlpm.x=0,_xlpm.y&lt;&gt;0),-1,IF(AND(_xlpm.x&lt;&gt;0,_xlpm.y&lt;&gt;0),_xlpm.x,IF(AND(_xlpm.x-SUM(IF((INDIRECT($B$3)=$B94)*(INDIRECT($C$3)=$D94)*((INDIRECT($E$3)="TOTS")+(INDIRECT($E$3)=$E94)),INDIRECT(P$3)))&lt;&gt;0,_xlpm.y=0),-2,_xlpm.x)))),0))</f>
        <v>-1</v>
      </c>
      <c r="Q94" s="199" cm="1">
        <f t="array" aca="1" ref="Q94" ca="1">IF(OR($B94="",$B94="X",$D94="",$D94="X",$E94="",$E94="X"),0,IFERROR(_xlfn.LET(_xlpm.x,SUM(SUM(_xlfn._xlws.FILTER(VALUE(PptoSty[Sign]&amp;1)*(1/PptoSty[Division]),(PptoSty[Division]&lt;&gt;0)*(PptoSty[Division]&lt;&gt;"")*(PptoSty[Division]&lt;&gt;"X")*(PptoSty[Project]=$B94)*(PptoSty[Vrs]=$D94)*(PptoSty[PiRow]=_xlfn.TEXTAFTER($H94,":"))*(PptoSty[PiColumn]=Q$54),0)),SUM(IF((INDIRECT($B$3)=$B94)*(INDIRECT($C$3)=$D94)*((INDIRECT($E$3)="TOTS")+(INDIRECT($E$3)=$E94)),INDIRECT(Q$3)))),_xlpm.y,SUM(_xlfn.CHOOSECOLS(_xlfn._xlws.FILTER(F_RT14[],(F_RT14[PrjId]=$B94)*(F_RT14[Vrs]=$D94)*(_xlfn.TEXTAFTER(F_RT14[ActGrp],":")=_xlfn.TEXTAFTER($H94,":")),"X"),MATCH("*"&amp;Q$54,F_RT14[#Headers],0))),IF(AND(_xlpm.x=0,_xlpm.y&lt;&gt;0),-1,IF(AND(_xlpm.x&lt;&gt;0,_xlpm.y&lt;&gt;0),_xlpm.x,IF(AND(_xlpm.x-SUM(IF((INDIRECT($B$3)=$B94)*(INDIRECT($C$3)=$D94)*((INDIRECT($E$3)="TOTS")+(INDIRECT($E$3)=$E94)),INDIRECT(Q$3)))&lt;&gt;0,_xlpm.y=0),-2,_xlpm.x)))),0))</f>
        <v>-1</v>
      </c>
      <c r="R94" s="199" cm="1">
        <f t="array" aca="1" ref="R94" ca="1">IF(OR($B94="",$B94="X",$D94="",$D94="X",$E94="",$E94="X"),0,IFERROR(_xlfn.LET(_xlpm.x,SUM(SUM(_xlfn._xlws.FILTER(VALUE(PptoSty[Sign]&amp;1)*(1/PptoSty[Division]),(PptoSty[Division]&lt;&gt;0)*(PptoSty[Division]&lt;&gt;"")*(PptoSty[Division]&lt;&gt;"X")*(PptoSty[Project]=$B94)*(PptoSty[Vrs]=$D94)*(PptoSty[PiRow]=_xlfn.TEXTAFTER($H94,":"))*(PptoSty[PiColumn]=R$54),0)),SUM(IF((INDIRECT($B$3)=$B94)*(INDIRECT($C$3)=$D94)*((INDIRECT($E$3)="TOTS")+(INDIRECT($E$3)=$E94)),INDIRECT(R$3)))),_xlpm.y,SUM(_xlfn.CHOOSECOLS(_xlfn._xlws.FILTER(F_RT14[],(F_RT14[PrjId]=$B94)*(F_RT14[Vrs]=$D94)*(_xlfn.TEXTAFTER(F_RT14[ActGrp],":")=_xlfn.TEXTAFTER($H94,":")),"X"),MATCH("*"&amp;R$54,F_RT14[#Headers],0))),IF(AND(_xlpm.x=0,_xlpm.y&lt;&gt;0),-1,IF(AND(_xlpm.x&lt;&gt;0,_xlpm.y&lt;&gt;0),_xlpm.x,IF(AND(_xlpm.x-SUM(IF((INDIRECT($B$3)=$B94)*(INDIRECT($C$3)=$D94)*((INDIRECT($E$3)="TOTS")+(INDIRECT($E$3)=$E94)),INDIRECT(R$3)))&lt;&gt;0,_xlpm.y=0),-2,_xlpm.x)))),0))</f>
        <v>-1</v>
      </c>
      <c r="S94" s="199" cm="1">
        <f t="array" aca="1" ref="S94" ca="1">IF(OR($B94="",$B94="X",$D94="",$D94="X",$E94="",$E94="X"),0,IFERROR(_xlfn.LET(_xlpm.x,SUM(SUM(_xlfn._xlws.FILTER(VALUE(PptoSty[Sign]&amp;1)*(1/PptoSty[Division]),(PptoSty[Division]&lt;&gt;0)*(PptoSty[Division]&lt;&gt;"")*(PptoSty[Division]&lt;&gt;"X")*(PptoSty[Project]=$B94)*(PptoSty[Vrs]=$D94)*(PptoSty[PiRow]=_xlfn.TEXTAFTER($H94,":"))*(PptoSty[PiColumn]=S$54),0)),SUM(IF((INDIRECT($B$3)=$B94)*(INDIRECT($C$3)=$D94)*((INDIRECT($E$3)="TOTS")+(INDIRECT($E$3)=$E94)),INDIRECT(S$3)))),_xlpm.y,SUM(_xlfn.CHOOSECOLS(_xlfn._xlws.FILTER(F_RT14[],(F_RT14[PrjId]=$B94)*(F_RT14[Vrs]=$D94)*(_xlfn.TEXTAFTER(F_RT14[ActGrp],":")=_xlfn.TEXTAFTER($H94,":")),"X"),MATCH("*"&amp;S$54,F_RT14[#Headers],0))),IF(AND(_xlpm.x=0,_xlpm.y&lt;&gt;0),-1,IF(AND(_xlpm.x&lt;&gt;0,_xlpm.y&lt;&gt;0),_xlpm.x,IF(AND(_xlpm.x-SUM(IF((INDIRECT($B$3)=$B94)*(INDIRECT($C$3)=$D94)*((INDIRECT($E$3)="TOTS")+(INDIRECT($E$3)=$E94)),INDIRECT(S$3)))&lt;&gt;0,_xlpm.y=0),-2,_xlpm.x)))),0))</f>
        <v>-1</v>
      </c>
      <c r="T94" s="199" cm="1">
        <f t="array" aca="1" ref="T94" ca="1">IF(OR($B94="",$B94="X",$D94="",$D94="X",$E94="",$E94="X"),0,IFERROR(_xlfn.LET(_xlpm.x,SUM(SUM(_xlfn._xlws.FILTER(VALUE(PptoSty[Sign]&amp;1)*(1/PptoSty[Division]),(PptoSty[Division]&lt;&gt;0)*(PptoSty[Division]&lt;&gt;"")*(PptoSty[Division]&lt;&gt;"X")*(PptoSty[Project]=$B94)*(PptoSty[Vrs]=$D94)*(PptoSty[PiRow]=_xlfn.TEXTAFTER($H94,":"))*(PptoSty[PiColumn]=T$54),0)),SUM(IF((INDIRECT($B$3)=$B94)*(INDIRECT($C$3)=$D94)*((INDIRECT($E$3)="TOTS")+(INDIRECT($E$3)=$E94)),INDIRECT(T$3)))),_xlpm.y,SUM(_xlfn.CHOOSECOLS(_xlfn._xlws.FILTER(F_RT14[],(F_RT14[PrjId]=$B94)*(F_RT14[Vrs]=$D94)*(_xlfn.TEXTAFTER(F_RT14[ActGrp],":")=_xlfn.TEXTAFTER($H94,":")),"X"),MATCH("*"&amp;T$54,F_RT14[#Headers],0))),IF(AND(_xlpm.x=0,_xlpm.y&lt;&gt;0),-1,IF(AND(_xlpm.x&lt;&gt;0,_xlpm.y&lt;&gt;0),_xlpm.x,IF(AND(_xlpm.x-SUM(IF((INDIRECT($B$3)=$B94)*(INDIRECT($C$3)=$D94)*((INDIRECT($E$3)="TOTS")+(INDIRECT($E$3)=$E94)),INDIRECT(T$3)))&lt;&gt;0,_xlpm.y=0),-2,_xlpm.x)))),0))</f>
        <v>-1</v>
      </c>
      <c r="U94" s="199" cm="1">
        <f t="array" aca="1" ref="U94" ca="1">IF(OR($B94="",$B94="X",$D94="",$D94="X",$E94="",$E94="X"),0,IFERROR(_xlfn.LET(_xlpm.x,SUM(SUM(_xlfn._xlws.FILTER(VALUE(PptoSty[Sign]&amp;1)*(1/PptoSty[Division]),(PptoSty[Division]&lt;&gt;0)*(PptoSty[Division]&lt;&gt;"")*(PptoSty[Division]&lt;&gt;"X")*(PptoSty[Project]=$B94)*(PptoSty[Vrs]=$D94)*(PptoSty[PiRow]=_xlfn.TEXTAFTER($H94,":"))*(PptoSty[PiColumn]=U$54),0)),SUM(IF((INDIRECT($B$3)=$B94)*(INDIRECT($C$3)=$D94)*((INDIRECT($E$3)="TOTS")+(INDIRECT($E$3)=$E94)),INDIRECT(U$3)))),_xlpm.y,SUM(_xlfn.CHOOSECOLS(_xlfn._xlws.FILTER(F_RT14[],(F_RT14[PrjId]=$B94)*(F_RT14[Vrs]=$D94)*(_xlfn.TEXTAFTER(F_RT14[ActGrp],":")=_xlfn.TEXTAFTER($H94,":")),"X"),MATCH("*"&amp;U$54,F_RT14[#Headers],0))),IF(AND(_xlpm.x=0,_xlpm.y&lt;&gt;0),-1,IF(AND(_xlpm.x&lt;&gt;0,_xlpm.y&lt;&gt;0),_xlpm.x,IF(AND(_xlpm.x-SUM(IF((INDIRECT($B$3)=$B94)*(INDIRECT($C$3)=$D94)*((INDIRECT($E$3)="TOTS")+(INDIRECT($E$3)=$E94)),INDIRECT(U$3)))&lt;&gt;0,_xlpm.y=0),-2,_xlpm.x)))),0))</f>
        <v>0</v>
      </c>
      <c r="V94" s="199" cm="1">
        <f t="array" aca="1" ref="V94" ca="1">IF(OR($B94="",$B94="X",$D94="",$D94="X",$E94="",$E94="X"),0,IFERROR(_xlfn.LET(_xlpm.x,SUM(SUM(_xlfn._xlws.FILTER(VALUE(PptoSty[Sign]&amp;1)*(1/PptoSty[Division]),(PptoSty[Division]&lt;&gt;0)*(PptoSty[Division]&lt;&gt;"")*(PptoSty[Division]&lt;&gt;"X")*(PptoSty[Project]=$B94)*(PptoSty[Vrs]=$D94)*(PptoSty[PiRow]=_xlfn.TEXTAFTER($H94,":"))*(PptoSty[PiColumn]=V$54),0)),SUM(IF((INDIRECT($B$3)=$B94)*(INDIRECT($C$3)=$D94)*((INDIRECT($E$3)="TOTS")+(INDIRECT($E$3)=$E94)),INDIRECT(V$3)))),_xlpm.y,SUM(_xlfn.CHOOSECOLS(_xlfn._xlws.FILTER(F_RT14[],(F_RT14[PrjId]=$B94)*(F_RT14[Vrs]=$D94)*(_xlfn.TEXTAFTER(F_RT14[ActGrp],":")=_xlfn.TEXTAFTER($H94,":")),"X"),MATCH("*"&amp;V$54,F_RT14[#Headers],0))),IF(AND(_xlpm.x=0,_xlpm.y&lt;&gt;0),-1,IF(AND(_xlpm.x&lt;&gt;0,_xlpm.y&lt;&gt;0),_xlpm.x,IF(AND(_xlpm.x-SUM(IF((INDIRECT($B$3)=$B94)*(INDIRECT($C$3)=$D94)*((INDIRECT($E$3)="TOTS")+(INDIRECT($E$3)=$E94)),INDIRECT(V$3)))&lt;&gt;0,_xlpm.y=0),-2,_xlpm.x)))),0))</f>
        <v>-1</v>
      </c>
      <c r="W94" s="199" cm="1">
        <f t="array" aca="1" ref="W94" ca="1">IF(OR($B94="",$B94="X",$D94="",$D94="X",$E94="",$E94="X"),0,IFERROR(_xlfn.LET(_xlpm.x,SUM(SUM(_xlfn._xlws.FILTER(VALUE(PptoSty[Sign]&amp;1)*(1/PptoSty[Division]),(PptoSty[Division]&lt;&gt;0)*(PptoSty[Division]&lt;&gt;"")*(PptoSty[Division]&lt;&gt;"X")*(PptoSty[Project]=$B94)*(PptoSty[Vrs]=$D94)*(PptoSty[PiRow]=_xlfn.TEXTAFTER($H94,":"))*(PptoSty[PiColumn]=W$54),0)),SUM(IF((INDIRECT($B$3)=$B94)*(INDIRECT($C$3)=$D94)*((INDIRECT($E$3)="TOTS")+(INDIRECT($E$3)=$E94)),INDIRECT(W$3)))),_xlpm.y,SUM(_xlfn.CHOOSECOLS(_xlfn._xlws.FILTER(F_RT14[],(F_RT14[PrjId]=$B94)*(F_RT14[Vrs]=$D94)*(_xlfn.TEXTAFTER(F_RT14[ActGrp],":")=_xlfn.TEXTAFTER($H94,":")),"X"),MATCH("*"&amp;W$54,F_RT14[#Headers],0))),IF(AND(_xlpm.x=0,_xlpm.y&lt;&gt;0),-1,IF(AND(_xlpm.x&lt;&gt;0,_xlpm.y&lt;&gt;0),_xlpm.x,IF(AND(_xlpm.x-SUM(IF((INDIRECT($B$3)=$B94)*(INDIRECT($C$3)=$D94)*((INDIRECT($E$3)="TOTS")+(INDIRECT($E$3)=$E94)),INDIRECT(W$3)))&lt;&gt;0,_xlpm.y=0),-2,_xlpm.x)))),0))</f>
        <v>-1</v>
      </c>
      <c r="X94" s="199" cm="1">
        <f t="array" aca="1" ref="X94" ca="1">IF(OR($B94="",$B94="X",$D94="",$D94="X",$E94="",$E94="X"),0,IFERROR(_xlfn.LET(_xlpm.x,SUM(SUM(_xlfn._xlws.FILTER(VALUE(PptoSty[Sign]&amp;1)*(1/PptoSty[Division]),(PptoSty[Division]&lt;&gt;0)*(PptoSty[Division]&lt;&gt;"")*(PptoSty[Division]&lt;&gt;"X")*(PptoSty[Project]=$B94)*(PptoSty[Vrs]=$D94)*(PptoSty[PiRow]=_xlfn.TEXTAFTER($H94,":"))*(PptoSty[PiColumn]=X$54),0)),SUM(IF((INDIRECT($B$3)=$B94)*(INDIRECT($C$3)=$D94)*((INDIRECT($E$3)="TOTS")+(INDIRECT($E$3)=$E94)),INDIRECT(X$3)))),_xlpm.y,SUM(_xlfn.CHOOSECOLS(_xlfn._xlws.FILTER(F_RT14[],(F_RT14[PrjId]=$B94)*(F_RT14[Vrs]=$D94)*(_xlfn.TEXTAFTER(F_RT14[ActGrp],":")=_xlfn.TEXTAFTER($H94,":")),"X"),MATCH("*"&amp;X$54,F_RT14[#Headers],0))),IF(AND(_xlpm.x=0,_xlpm.y&lt;&gt;0),-1,IF(AND(_xlpm.x&lt;&gt;0,_xlpm.y&lt;&gt;0),_xlpm.x,IF(AND(_xlpm.x-SUM(IF((INDIRECT($B$3)=$B94)*(INDIRECT($C$3)=$D94)*((INDIRECT($E$3)="TOTS")+(INDIRECT($E$3)=$E94)),INDIRECT(X$3)))&lt;&gt;0,_xlpm.y=0),-2,_xlpm.x)))),0))</f>
        <v>-1</v>
      </c>
      <c r="Y94" s="199" cm="1">
        <f t="array" aca="1" ref="Y94" ca="1">IF(OR($B94="",$B94="X",$D94="",$D94="X",$E94="",$E94="X"),0,IFERROR(_xlfn.LET(_xlpm.x,SUM(SUM(_xlfn._xlws.FILTER(VALUE(PptoSty[Sign]&amp;1)*(1/PptoSty[Division]),(PptoSty[Division]&lt;&gt;0)*(PptoSty[Division]&lt;&gt;"")*(PptoSty[Division]&lt;&gt;"X")*(PptoSty[Project]=$B94)*(PptoSty[Vrs]=$D94)*(PptoSty[PiRow]=_xlfn.TEXTAFTER($H94,":"))*(PptoSty[PiColumn]=Y$54),0)),SUM(IF((INDIRECT($B$3)=$B94)*(INDIRECT($C$3)=$D94)*((INDIRECT($E$3)="TOTS")+(INDIRECT($E$3)=$E94)),INDIRECT(Y$3)))),_xlpm.y,SUM(_xlfn.CHOOSECOLS(_xlfn._xlws.FILTER(F_RT14[],(F_RT14[PrjId]=$B94)*(F_RT14[Vrs]=$D94)*(_xlfn.TEXTAFTER(F_RT14[ActGrp],":")=_xlfn.TEXTAFTER($H94,":")),"X"),MATCH("*"&amp;Y$54,F_RT14[#Headers],0))),IF(AND(_xlpm.x=0,_xlpm.y&lt;&gt;0),-1,IF(AND(_xlpm.x&lt;&gt;0,_xlpm.y&lt;&gt;0),_xlpm.x,IF(AND(_xlpm.x-SUM(IF((INDIRECT($B$3)=$B94)*(INDIRECT($C$3)=$D94)*((INDIRECT($E$3)="TOTS")+(INDIRECT($E$3)=$E94)),INDIRECT(Y$3)))&lt;&gt;0,_xlpm.y=0),-2,_xlpm.x)))),0))</f>
        <v>0</v>
      </c>
      <c r="Z94" s="198" t="str">
        <f t="shared" ca="1" si="2"/>
        <v>Fback!B94:Y94</v>
      </c>
    </row>
    <row r="95" spans="2:26" ht="21" customHeight="1" outlineLevel="1">
      <c r="B95" s="128" t="str">
        <v>31199</v>
      </c>
      <c r="C95" s="128" t="str">
        <v>Sp</v>
      </c>
      <c r="D95" s="128">
        <v>0</v>
      </c>
      <c r="E95" s="128" t="str">
        <v>TOOL</v>
      </c>
      <c r="F95" s="139" t="str">
        <v>SERRA</v>
      </c>
      <c r="G95" s="139" t="str">
        <v>CurPpto</v>
      </c>
      <c r="H95" s="139" t="str">
        <v>P007:FIXTURE OP-410 REWELD</v>
      </c>
      <c r="I95" s="199" cm="1">
        <f t="array" aca="1" ref="I95" ca="1">IF(OR($B95="",$B95="X",$D95="",$D95="X",$E95="",$E95="X"),0,IFERROR(_xlfn.LET(_xlpm.x,SUM(SUM(_xlfn._xlws.FILTER(VALUE(PptoSty[Sign]&amp;1)*(1/PptoSty[Division]),(PptoSty[Division]&lt;&gt;0)*(PptoSty[Division]&lt;&gt;"")*(PptoSty[Division]&lt;&gt;"X")*(PptoSty[Project]=$B95)*(PptoSty[Vrs]=$D95)*(PptoSty[PiRow]=_xlfn.TEXTAFTER($H95,":"))*(PptoSty[PiColumn]=I$54),0)),SUM(IF((INDIRECT($B$3)=$B95)*(INDIRECT($C$3)=$D95)*((INDIRECT($E$3)="TOTS")+(INDIRECT($E$3)=$E95)),INDIRECT(I$3)))),_xlpm.y,SUM(_xlfn.CHOOSECOLS(_xlfn._xlws.FILTER(F_RT14[],(F_RT14[PrjId]=$B95)*(F_RT14[Vrs]=$D95)*(_xlfn.TEXTAFTER(F_RT14[ActGrp],":")=_xlfn.TEXTAFTER($H95,":")),"X"),MATCH("*"&amp;I$54,F_RT14[#Headers],0))),IF(AND(_xlpm.x=0,_xlpm.y&lt;&gt;0),-1,IF(AND(_xlpm.x&lt;&gt;0,_xlpm.y&lt;&gt;0),_xlpm.x,IF(AND(_xlpm.x-SUM(IF((INDIRECT($B$3)=$B95)*(INDIRECT($C$3)=$D95)*((INDIRECT($E$3)="TOTS")+(INDIRECT($E$3)=$E95)),INDIRECT(I$3)))&lt;&gt;0,_xlpm.y=0),-2,_xlpm.x)))),0))</f>
        <v>0</v>
      </c>
      <c r="J95" s="199" cm="1">
        <f t="array" aca="1" ref="J95" ca="1">IF(OR($B95="",$B95="X",$D95="",$D95="X",$E95="",$E95="X"),0,IFERROR(_xlfn.LET(_xlpm.x,SUM(SUM(_xlfn._xlws.FILTER(VALUE(PptoSty[Sign]&amp;1)*(1/PptoSty[Division]),(PptoSty[Division]&lt;&gt;0)*(PptoSty[Division]&lt;&gt;"")*(PptoSty[Division]&lt;&gt;"X")*(PptoSty[Project]=$B95)*(PptoSty[Vrs]=$D95)*(PptoSty[PiRow]=_xlfn.TEXTAFTER($H95,":"))*(PptoSty[PiColumn]=J$54),0)),SUM(IF((INDIRECT($B$3)=$B95)*(INDIRECT($C$3)=$D95)*((INDIRECT($E$3)="TOTS")+(INDIRECT($E$3)=$E95)),INDIRECT(J$3)))),_xlpm.y,SUM(_xlfn.CHOOSECOLS(_xlfn._xlws.FILTER(F_RT14[],(F_RT14[PrjId]=$B95)*(F_RT14[Vrs]=$D95)*(_xlfn.TEXTAFTER(F_RT14[ActGrp],":")=_xlfn.TEXTAFTER($H95,":")),"X"),MATCH("*"&amp;J$54,F_RT14[#Headers],0))),IF(AND(_xlpm.x=0,_xlpm.y&lt;&gt;0),-1,IF(AND(_xlpm.x&lt;&gt;0,_xlpm.y&lt;&gt;0),_xlpm.x,IF(AND(_xlpm.x-SUM(IF((INDIRECT($B$3)=$B95)*(INDIRECT($C$3)=$D95)*((INDIRECT($E$3)="TOTS")+(INDIRECT($E$3)=$E95)),INDIRECT(J$3)))&lt;&gt;0,_xlpm.y=0),-2,_xlpm.x)))),0))</f>
        <v>0</v>
      </c>
      <c r="K95" s="199" cm="1">
        <f t="array" aca="1" ref="K95" ca="1">IF(OR($B95="",$B95="X",$D95="",$D95="X",$E95="",$E95="X"),0,IFERROR(_xlfn.LET(_xlpm.x,SUM(SUM(_xlfn._xlws.FILTER(VALUE(PptoSty[Sign]&amp;1)*(1/PptoSty[Division]),(PptoSty[Division]&lt;&gt;0)*(PptoSty[Division]&lt;&gt;"")*(PptoSty[Division]&lt;&gt;"X")*(PptoSty[Project]=$B95)*(PptoSty[Vrs]=$D95)*(PptoSty[PiRow]=_xlfn.TEXTAFTER($H95,":"))*(PptoSty[PiColumn]=K$54),0)),SUM(IF((INDIRECT($B$3)=$B95)*(INDIRECT($C$3)=$D95)*((INDIRECT($E$3)="TOTS")+(INDIRECT($E$3)=$E95)),INDIRECT(K$3)))),_xlpm.y,SUM(_xlfn.CHOOSECOLS(_xlfn._xlws.FILTER(F_RT14[],(F_RT14[PrjId]=$B95)*(F_RT14[Vrs]=$D95)*(_xlfn.TEXTAFTER(F_RT14[ActGrp],":")=_xlfn.TEXTAFTER($H95,":")),"X"),MATCH("*"&amp;K$54,F_RT14[#Headers],0))),IF(AND(_xlpm.x=0,_xlpm.y&lt;&gt;0),-1,IF(AND(_xlpm.x&lt;&gt;0,_xlpm.y&lt;&gt;0),_xlpm.x,IF(AND(_xlpm.x-SUM(IF((INDIRECT($B$3)=$B95)*(INDIRECT($C$3)=$D95)*((INDIRECT($E$3)="TOTS")+(INDIRECT($E$3)=$E95)),INDIRECT(K$3)))&lt;&gt;0,_xlpm.y=0),-2,_xlpm.x)))),0))</f>
        <v>-1</v>
      </c>
      <c r="L95" s="199" cm="1">
        <f t="array" aca="1" ref="L95" ca="1">IF(OR($B95="",$B95="X",$D95="",$D95="X",$E95="",$E95="X"),0,IFERROR(_xlfn.LET(_xlpm.x,SUM(SUM(_xlfn._xlws.FILTER(VALUE(PptoSty[Sign]&amp;1)*(1/PptoSty[Division]),(PptoSty[Division]&lt;&gt;0)*(PptoSty[Division]&lt;&gt;"")*(PptoSty[Division]&lt;&gt;"X")*(PptoSty[Project]=$B95)*(PptoSty[Vrs]=$D95)*(PptoSty[PiRow]=_xlfn.TEXTAFTER($H95,":"))*(PptoSty[PiColumn]=L$54),0)),SUM(IF((INDIRECT($B$3)=$B95)*(INDIRECT($C$3)=$D95)*((INDIRECT($E$3)="TOTS")+(INDIRECT($E$3)=$E95)),INDIRECT(L$3)))),_xlpm.y,SUM(_xlfn.CHOOSECOLS(_xlfn._xlws.FILTER(F_RT14[],(F_RT14[PrjId]=$B95)*(F_RT14[Vrs]=$D95)*(_xlfn.TEXTAFTER(F_RT14[ActGrp],":")=_xlfn.TEXTAFTER($H95,":")),"X"),MATCH("*"&amp;L$54,F_RT14[#Headers],0))),IF(AND(_xlpm.x=0,_xlpm.y&lt;&gt;0),-1,IF(AND(_xlpm.x&lt;&gt;0,_xlpm.y&lt;&gt;0),_xlpm.x,IF(AND(_xlpm.x-SUM(IF((INDIRECT($B$3)=$B95)*(INDIRECT($C$3)=$D95)*((INDIRECT($E$3)="TOTS")+(INDIRECT($E$3)=$E95)),INDIRECT(L$3)))&lt;&gt;0,_xlpm.y=0),-2,_xlpm.x)))),0))</f>
        <v>0</v>
      </c>
      <c r="M95" s="199" cm="1">
        <f t="array" aca="1" ref="M95" ca="1">IF(OR($B95="",$B95="X",$D95="",$D95="X",$E95="",$E95="X"),0,IFERROR(_xlfn.LET(_xlpm.x,SUM(SUM(_xlfn._xlws.FILTER(VALUE(PptoSty[Sign]&amp;1)*(1/PptoSty[Division]),(PptoSty[Division]&lt;&gt;0)*(PptoSty[Division]&lt;&gt;"")*(PptoSty[Division]&lt;&gt;"X")*(PptoSty[Project]=$B95)*(PptoSty[Vrs]=$D95)*(PptoSty[PiRow]=_xlfn.TEXTAFTER($H95,":"))*(PptoSty[PiColumn]=M$54),0)),SUM(IF((INDIRECT($B$3)=$B95)*(INDIRECT($C$3)=$D95)*((INDIRECT($E$3)="TOTS")+(INDIRECT($E$3)=$E95)),INDIRECT(M$3)))),_xlpm.y,SUM(_xlfn.CHOOSECOLS(_xlfn._xlws.FILTER(F_RT14[],(F_RT14[PrjId]=$B95)*(F_RT14[Vrs]=$D95)*(_xlfn.TEXTAFTER(F_RT14[ActGrp],":")=_xlfn.TEXTAFTER($H95,":")),"X"),MATCH("*"&amp;M$54,F_RT14[#Headers],0))),IF(AND(_xlpm.x=0,_xlpm.y&lt;&gt;0),-1,IF(AND(_xlpm.x&lt;&gt;0,_xlpm.y&lt;&gt;0),_xlpm.x,IF(AND(_xlpm.x-SUM(IF((INDIRECT($B$3)=$B95)*(INDIRECT($C$3)=$D95)*((INDIRECT($E$3)="TOTS")+(INDIRECT($E$3)=$E95)),INDIRECT(M$3)))&lt;&gt;0,_xlpm.y=0),-2,_xlpm.x)))),0))</f>
        <v>0</v>
      </c>
      <c r="N95" s="199" cm="1">
        <f t="array" aca="1" ref="N95" ca="1">IF(OR($B95="",$B95="X",$D95="",$D95="X",$E95="",$E95="X"),0,IFERROR(_xlfn.LET(_xlpm.x,SUM(SUM(_xlfn._xlws.FILTER(VALUE(PptoSty[Sign]&amp;1)*(1/PptoSty[Division]),(PptoSty[Division]&lt;&gt;0)*(PptoSty[Division]&lt;&gt;"")*(PptoSty[Division]&lt;&gt;"X")*(PptoSty[Project]=$B95)*(PptoSty[Vrs]=$D95)*(PptoSty[PiRow]=_xlfn.TEXTAFTER($H95,":"))*(PptoSty[PiColumn]=N$54),0)),SUM(IF((INDIRECT($B$3)=$B95)*(INDIRECT($C$3)=$D95)*((INDIRECT($E$3)="TOTS")+(INDIRECT($E$3)=$E95)),INDIRECT(N$3)))),_xlpm.y,SUM(_xlfn.CHOOSECOLS(_xlfn._xlws.FILTER(F_RT14[],(F_RT14[PrjId]=$B95)*(F_RT14[Vrs]=$D95)*(_xlfn.TEXTAFTER(F_RT14[ActGrp],":")=_xlfn.TEXTAFTER($H95,":")),"X"),MATCH("*"&amp;N$54,F_RT14[#Headers],0))),IF(AND(_xlpm.x=0,_xlpm.y&lt;&gt;0),-1,IF(AND(_xlpm.x&lt;&gt;0,_xlpm.y&lt;&gt;0),_xlpm.x,IF(AND(_xlpm.x-SUM(IF((INDIRECT($B$3)=$B95)*(INDIRECT($C$3)=$D95)*((INDIRECT($E$3)="TOTS")+(INDIRECT($E$3)=$E95)),INDIRECT(N$3)))&lt;&gt;0,_xlpm.y=0),-2,_xlpm.x)))),0))</f>
        <v>-1</v>
      </c>
      <c r="O95" s="199" cm="1">
        <f t="array" aca="1" ref="O95" ca="1">IF(OR($B95="",$B95="X",$D95="",$D95="X",$E95="",$E95="X"),0,IFERROR(_xlfn.LET(_xlpm.x,SUM(SUM(_xlfn._xlws.FILTER(VALUE(PptoSty[Sign]&amp;1)*(1/PptoSty[Division]),(PptoSty[Division]&lt;&gt;0)*(PptoSty[Division]&lt;&gt;"")*(PptoSty[Division]&lt;&gt;"X")*(PptoSty[Project]=$B95)*(PptoSty[Vrs]=$D95)*(PptoSty[PiRow]=_xlfn.TEXTAFTER($H95,":"))*(PptoSty[PiColumn]=O$54),0)),SUM(IF((INDIRECT($B$3)=$B95)*(INDIRECT($C$3)=$D95)*((INDIRECT($E$3)="TOTS")+(INDIRECT($E$3)=$E95)),INDIRECT(O$3)))),_xlpm.y,SUM(_xlfn.CHOOSECOLS(_xlfn._xlws.FILTER(F_RT14[],(F_RT14[PrjId]=$B95)*(F_RT14[Vrs]=$D95)*(_xlfn.TEXTAFTER(F_RT14[ActGrp],":")=_xlfn.TEXTAFTER($H95,":")),"X"),MATCH("*"&amp;O$54,F_RT14[#Headers],0))),IF(AND(_xlpm.x=0,_xlpm.y&lt;&gt;0),-1,IF(AND(_xlpm.x&lt;&gt;0,_xlpm.y&lt;&gt;0),_xlpm.x,IF(AND(_xlpm.x-SUM(IF((INDIRECT($B$3)=$B95)*(INDIRECT($C$3)=$D95)*((INDIRECT($E$3)="TOTS")+(INDIRECT($E$3)=$E95)),INDIRECT(O$3)))&lt;&gt;0,_xlpm.y=0),-2,_xlpm.x)))),0))</f>
        <v>0</v>
      </c>
      <c r="P95" s="199" cm="1">
        <f t="array" aca="1" ref="P95" ca="1">IF(OR($B95="",$B95="X",$D95="",$D95="X",$E95="",$E95="X"),0,IFERROR(_xlfn.LET(_xlpm.x,SUM(SUM(_xlfn._xlws.FILTER(VALUE(PptoSty[Sign]&amp;1)*(1/PptoSty[Division]),(PptoSty[Division]&lt;&gt;0)*(PptoSty[Division]&lt;&gt;"")*(PptoSty[Division]&lt;&gt;"X")*(PptoSty[Project]=$B95)*(PptoSty[Vrs]=$D95)*(PptoSty[PiRow]=_xlfn.TEXTAFTER($H95,":"))*(PptoSty[PiColumn]=P$54),0)),SUM(IF((INDIRECT($B$3)=$B95)*(INDIRECT($C$3)=$D95)*((INDIRECT($E$3)="TOTS")+(INDIRECT($E$3)=$E95)),INDIRECT(P$3)))),_xlpm.y,SUM(_xlfn.CHOOSECOLS(_xlfn._xlws.FILTER(F_RT14[],(F_RT14[PrjId]=$B95)*(F_RT14[Vrs]=$D95)*(_xlfn.TEXTAFTER(F_RT14[ActGrp],":")=_xlfn.TEXTAFTER($H95,":")),"X"),MATCH("*"&amp;P$54,F_RT14[#Headers],0))),IF(AND(_xlpm.x=0,_xlpm.y&lt;&gt;0),-1,IF(AND(_xlpm.x&lt;&gt;0,_xlpm.y&lt;&gt;0),_xlpm.x,IF(AND(_xlpm.x-SUM(IF((INDIRECT($B$3)=$B95)*(INDIRECT($C$3)=$D95)*((INDIRECT($E$3)="TOTS")+(INDIRECT($E$3)=$E95)),INDIRECT(P$3)))&lt;&gt;0,_xlpm.y=0),-2,_xlpm.x)))),0))</f>
        <v>-1</v>
      </c>
      <c r="Q95" s="199" cm="1">
        <f t="array" aca="1" ref="Q95" ca="1">IF(OR($B95="",$B95="X",$D95="",$D95="X",$E95="",$E95="X"),0,IFERROR(_xlfn.LET(_xlpm.x,SUM(SUM(_xlfn._xlws.FILTER(VALUE(PptoSty[Sign]&amp;1)*(1/PptoSty[Division]),(PptoSty[Division]&lt;&gt;0)*(PptoSty[Division]&lt;&gt;"")*(PptoSty[Division]&lt;&gt;"X")*(PptoSty[Project]=$B95)*(PptoSty[Vrs]=$D95)*(PptoSty[PiRow]=_xlfn.TEXTAFTER($H95,":"))*(PptoSty[PiColumn]=Q$54),0)),SUM(IF((INDIRECT($B$3)=$B95)*(INDIRECT($C$3)=$D95)*((INDIRECT($E$3)="TOTS")+(INDIRECT($E$3)=$E95)),INDIRECT(Q$3)))),_xlpm.y,SUM(_xlfn.CHOOSECOLS(_xlfn._xlws.FILTER(F_RT14[],(F_RT14[PrjId]=$B95)*(F_RT14[Vrs]=$D95)*(_xlfn.TEXTAFTER(F_RT14[ActGrp],":")=_xlfn.TEXTAFTER($H95,":")),"X"),MATCH("*"&amp;Q$54,F_RT14[#Headers],0))),IF(AND(_xlpm.x=0,_xlpm.y&lt;&gt;0),-1,IF(AND(_xlpm.x&lt;&gt;0,_xlpm.y&lt;&gt;0),_xlpm.x,IF(AND(_xlpm.x-SUM(IF((INDIRECT($B$3)=$B95)*(INDIRECT($C$3)=$D95)*((INDIRECT($E$3)="TOTS")+(INDIRECT($E$3)=$E95)),INDIRECT(Q$3)))&lt;&gt;0,_xlpm.y=0),-2,_xlpm.x)))),0))</f>
        <v>-1</v>
      </c>
      <c r="R95" s="199" cm="1">
        <f t="array" aca="1" ref="R95" ca="1">IF(OR($B95="",$B95="X",$D95="",$D95="X",$E95="",$E95="X"),0,IFERROR(_xlfn.LET(_xlpm.x,SUM(SUM(_xlfn._xlws.FILTER(VALUE(PptoSty[Sign]&amp;1)*(1/PptoSty[Division]),(PptoSty[Division]&lt;&gt;0)*(PptoSty[Division]&lt;&gt;"")*(PptoSty[Division]&lt;&gt;"X")*(PptoSty[Project]=$B95)*(PptoSty[Vrs]=$D95)*(PptoSty[PiRow]=_xlfn.TEXTAFTER($H95,":"))*(PptoSty[PiColumn]=R$54),0)),SUM(IF((INDIRECT($B$3)=$B95)*(INDIRECT($C$3)=$D95)*((INDIRECT($E$3)="TOTS")+(INDIRECT($E$3)=$E95)),INDIRECT(R$3)))),_xlpm.y,SUM(_xlfn.CHOOSECOLS(_xlfn._xlws.FILTER(F_RT14[],(F_RT14[PrjId]=$B95)*(F_RT14[Vrs]=$D95)*(_xlfn.TEXTAFTER(F_RT14[ActGrp],":")=_xlfn.TEXTAFTER($H95,":")),"X"),MATCH("*"&amp;R$54,F_RT14[#Headers],0))),IF(AND(_xlpm.x=0,_xlpm.y&lt;&gt;0),-1,IF(AND(_xlpm.x&lt;&gt;0,_xlpm.y&lt;&gt;0),_xlpm.x,IF(AND(_xlpm.x-SUM(IF((INDIRECT($B$3)=$B95)*(INDIRECT($C$3)=$D95)*((INDIRECT($E$3)="TOTS")+(INDIRECT($E$3)=$E95)),INDIRECT(R$3)))&lt;&gt;0,_xlpm.y=0),-2,_xlpm.x)))),0))</f>
        <v>-1</v>
      </c>
      <c r="S95" s="199" cm="1">
        <f t="array" aca="1" ref="S95" ca="1">IF(OR($B95="",$B95="X",$D95="",$D95="X",$E95="",$E95="X"),0,IFERROR(_xlfn.LET(_xlpm.x,SUM(SUM(_xlfn._xlws.FILTER(VALUE(PptoSty[Sign]&amp;1)*(1/PptoSty[Division]),(PptoSty[Division]&lt;&gt;0)*(PptoSty[Division]&lt;&gt;"")*(PptoSty[Division]&lt;&gt;"X")*(PptoSty[Project]=$B95)*(PptoSty[Vrs]=$D95)*(PptoSty[PiRow]=_xlfn.TEXTAFTER($H95,":"))*(PptoSty[PiColumn]=S$54),0)),SUM(IF((INDIRECT($B$3)=$B95)*(INDIRECT($C$3)=$D95)*((INDIRECT($E$3)="TOTS")+(INDIRECT($E$3)=$E95)),INDIRECT(S$3)))),_xlpm.y,SUM(_xlfn.CHOOSECOLS(_xlfn._xlws.FILTER(F_RT14[],(F_RT14[PrjId]=$B95)*(F_RT14[Vrs]=$D95)*(_xlfn.TEXTAFTER(F_RT14[ActGrp],":")=_xlfn.TEXTAFTER($H95,":")),"X"),MATCH("*"&amp;S$54,F_RT14[#Headers],0))),IF(AND(_xlpm.x=0,_xlpm.y&lt;&gt;0),-1,IF(AND(_xlpm.x&lt;&gt;0,_xlpm.y&lt;&gt;0),_xlpm.x,IF(AND(_xlpm.x-SUM(IF((INDIRECT($B$3)=$B95)*(INDIRECT($C$3)=$D95)*((INDIRECT($E$3)="TOTS")+(INDIRECT($E$3)=$E95)),INDIRECT(S$3)))&lt;&gt;0,_xlpm.y=0),-2,_xlpm.x)))),0))</f>
        <v>-1</v>
      </c>
      <c r="T95" s="199" cm="1">
        <f t="array" aca="1" ref="T95" ca="1">IF(OR($B95="",$B95="X",$D95="",$D95="X",$E95="",$E95="X"),0,IFERROR(_xlfn.LET(_xlpm.x,SUM(SUM(_xlfn._xlws.FILTER(VALUE(PptoSty[Sign]&amp;1)*(1/PptoSty[Division]),(PptoSty[Division]&lt;&gt;0)*(PptoSty[Division]&lt;&gt;"")*(PptoSty[Division]&lt;&gt;"X")*(PptoSty[Project]=$B95)*(PptoSty[Vrs]=$D95)*(PptoSty[PiRow]=_xlfn.TEXTAFTER($H95,":"))*(PptoSty[PiColumn]=T$54),0)),SUM(IF((INDIRECT($B$3)=$B95)*(INDIRECT($C$3)=$D95)*((INDIRECT($E$3)="TOTS")+(INDIRECT($E$3)=$E95)),INDIRECT(T$3)))),_xlpm.y,SUM(_xlfn.CHOOSECOLS(_xlfn._xlws.FILTER(F_RT14[],(F_RT14[PrjId]=$B95)*(F_RT14[Vrs]=$D95)*(_xlfn.TEXTAFTER(F_RT14[ActGrp],":")=_xlfn.TEXTAFTER($H95,":")),"X"),MATCH("*"&amp;T$54,F_RT14[#Headers],0))),IF(AND(_xlpm.x=0,_xlpm.y&lt;&gt;0),-1,IF(AND(_xlpm.x&lt;&gt;0,_xlpm.y&lt;&gt;0),_xlpm.x,IF(AND(_xlpm.x-SUM(IF((INDIRECT($B$3)=$B95)*(INDIRECT($C$3)=$D95)*((INDIRECT($E$3)="TOTS")+(INDIRECT($E$3)=$E95)),INDIRECT(T$3)))&lt;&gt;0,_xlpm.y=0),-2,_xlpm.x)))),0))</f>
        <v>-1</v>
      </c>
      <c r="U95" s="199" cm="1">
        <f t="array" aca="1" ref="U95" ca="1">IF(OR($B95="",$B95="X",$D95="",$D95="X",$E95="",$E95="X"),0,IFERROR(_xlfn.LET(_xlpm.x,SUM(SUM(_xlfn._xlws.FILTER(VALUE(PptoSty[Sign]&amp;1)*(1/PptoSty[Division]),(PptoSty[Division]&lt;&gt;0)*(PptoSty[Division]&lt;&gt;"")*(PptoSty[Division]&lt;&gt;"X")*(PptoSty[Project]=$B95)*(PptoSty[Vrs]=$D95)*(PptoSty[PiRow]=_xlfn.TEXTAFTER($H95,":"))*(PptoSty[PiColumn]=U$54),0)),SUM(IF((INDIRECT($B$3)=$B95)*(INDIRECT($C$3)=$D95)*((INDIRECT($E$3)="TOTS")+(INDIRECT($E$3)=$E95)),INDIRECT(U$3)))),_xlpm.y,SUM(_xlfn.CHOOSECOLS(_xlfn._xlws.FILTER(F_RT14[],(F_RT14[PrjId]=$B95)*(F_RT14[Vrs]=$D95)*(_xlfn.TEXTAFTER(F_RT14[ActGrp],":")=_xlfn.TEXTAFTER($H95,":")),"X"),MATCH("*"&amp;U$54,F_RT14[#Headers],0))),IF(AND(_xlpm.x=0,_xlpm.y&lt;&gt;0),-1,IF(AND(_xlpm.x&lt;&gt;0,_xlpm.y&lt;&gt;0),_xlpm.x,IF(AND(_xlpm.x-SUM(IF((INDIRECT($B$3)=$B95)*(INDIRECT($C$3)=$D95)*((INDIRECT($E$3)="TOTS")+(INDIRECT($E$3)=$E95)),INDIRECT(U$3)))&lt;&gt;0,_xlpm.y=0),-2,_xlpm.x)))),0))</f>
        <v>0</v>
      </c>
      <c r="V95" s="199" cm="1">
        <f t="array" aca="1" ref="V95" ca="1">IF(OR($B95="",$B95="X",$D95="",$D95="X",$E95="",$E95="X"),0,IFERROR(_xlfn.LET(_xlpm.x,SUM(SUM(_xlfn._xlws.FILTER(VALUE(PptoSty[Sign]&amp;1)*(1/PptoSty[Division]),(PptoSty[Division]&lt;&gt;0)*(PptoSty[Division]&lt;&gt;"")*(PptoSty[Division]&lt;&gt;"X")*(PptoSty[Project]=$B95)*(PptoSty[Vrs]=$D95)*(PptoSty[PiRow]=_xlfn.TEXTAFTER($H95,":"))*(PptoSty[PiColumn]=V$54),0)),SUM(IF((INDIRECT($B$3)=$B95)*(INDIRECT($C$3)=$D95)*((INDIRECT($E$3)="TOTS")+(INDIRECT($E$3)=$E95)),INDIRECT(V$3)))),_xlpm.y,SUM(_xlfn.CHOOSECOLS(_xlfn._xlws.FILTER(F_RT14[],(F_RT14[PrjId]=$B95)*(F_RT14[Vrs]=$D95)*(_xlfn.TEXTAFTER(F_RT14[ActGrp],":")=_xlfn.TEXTAFTER($H95,":")),"X"),MATCH("*"&amp;V$54,F_RT14[#Headers],0))),IF(AND(_xlpm.x=0,_xlpm.y&lt;&gt;0),-1,IF(AND(_xlpm.x&lt;&gt;0,_xlpm.y&lt;&gt;0),_xlpm.x,IF(AND(_xlpm.x-SUM(IF((INDIRECT($B$3)=$B95)*(INDIRECT($C$3)=$D95)*((INDIRECT($E$3)="TOTS")+(INDIRECT($E$3)=$E95)),INDIRECT(V$3)))&lt;&gt;0,_xlpm.y=0),-2,_xlpm.x)))),0))</f>
        <v>-1</v>
      </c>
      <c r="W95" s="199" cm="1">
        <f t="array" aca="1" ref="W95" ca="1">IF(OR($B95="",$B95="X",$D95="",$D95="X",$E95="",$E95="X"),0,IFERROR(_xlfn.LET(_xlpm.x,SUM(SUM(_xlfn._xlws.FILTER(VALUE(PptoSty[Sign]&amp;1)*(1/PptoSty[Division]),(PptoSty[Division]&lt;&gt;0)*(PptoSty[Division]&lt;&gt;"")*(PptoSty[Division]&lt;&gt;"X")*(PptoSty[Project]=$B95)*(PptoSty[Vrs]=$D95)*(PptoSty[PiRow]=_xlfn.TEXTAFTER($H95,":"))*(PptoSty[PiColumn]=W$54),0)),SUM(IF((INDIRECT($B$3)=$B95)*(INDIRECT($C$3)=$D95)*((INDIRECT($E$3)="TOTS")+(INDIRECT($E$3)=$E95)),INDIRECT(W$3)))),_xlpm.y,SUM(_xlfn.CHOOSECOLS(_xlfn._xlws.FILTER(F_RT14[],(F_RT14[PrjId]=$B95)*(F_RT14[Vrs]=$D95)*(_xlfn.TEXTAFTER(F_RT14[ActGrp],":")=_xlfn.TEXTAFTER($H95,":")),"X"),MATCH("*"&amp;W$54,F_RT14[#Headers],0))),IF(AND(_xlpm.x=0,_xlpm.y&lt;&gt;0),-1,IF(AND(_xlpm.x&lt;&gt;0,_xlpm.y&lt;&gt;0),_xlpm.x,IF(AND(_xlpm.x-SUM(IF((INDIRECT($B$3)=$B95)*(INDIRECT($C$3)=$D95)*((INDIRECT($E$3)="TOTS")+(INDIRECT($E$3)=$E95)),INDIRECT(W$3)))&lt;&gt;0,_xlpm.y=0),-2,_xlpm.x)))),0))</f>
        <v>-1</v>
      </c>
      <c r="X95" s="199" cm="1">
        <f t="array" aca="1" ref="X95" ca="1">IF(OR($B95="",$B95="X",$D95="",$D95="X",$E95="",$E95="X"),0,IFERROR(_xlfn.LET(_xlpm.x,SUM(SUM(_xlfn._xlws.FILTER(VALUE(PptoSty[Sign]&amp;1)*(1/PptoSty[Division]),(PptoSty[Division]&lt;&gt;0)*(PptoSty[Division]&lt;&gt;"")*(PptoSty[Division]&lt;&gt;"X")*(PptoSty[Project]=$B95)*(PptoSty[Vrs]=$D95)*(PptoSty[PiRow]=_xlfn.TEXTAFTER($H95,":"))*(PptoSty[PiColumn]=X$54),0)),SUM(IF((INDIRECT($B$3)=$B95)*(INDIRECT($C$3)=$D95)*((INDIRECT($E$3)="TOTS")+(INDIRECT($E$3)=$E95)),INDIRECT(X$3)))),_xlpm.y,SUM(_xlfn.CHOOSECOLS(_xlfn._xlws.FILTER(F_RT14[],(F_RT14[PrjId]=$B95)*(F_RT14[Vrs]=$D95)*(_xlfn.TEXTAFTER(F_RT14[ActGrp],":")=_xlfn.TEXTAFTER($H95,":")),"X"),MATCH("*"&amp;X$54,F_RT14[#Headers],0))),IF(AND(_xlpm.x=0,_xlpm.y&lt;&gt;0),-1,IF(AND(_xlpm.x&lt;&gt;0,_xlpm.y&lt;&gt;0),_xlpm.x,IF(AND(_xlpm.x-SUM(IF((INDIRECT($B$3)=$B95)*(INDIRECT($C$3)=$D95)*((INDIRECT($E$3)="TOTS")+(INDIRECT($E$3)=$E95)),INDIRECT(X$3)))&lt;&gt;0,_xlpm.y=0),-2,_xlpm.x)))),0))</f>
        <v>-1</v>
      </c>
      <c r="Y95" s="199" cm="1">
        <f t="array" aca="1" ref="Y95" ca="1">IF(OR($B95="",$B95="X",$D95="",$D95="X",$E95="",$E95="X"),0,IFERROR(_xlfn.LET(_xlpm.x,SUM(SUM(_xlfn._xlws.FILTER(VALUE(PptoSty[Sign]&amp;1)*(1/PptoSty[Division]),(PptoSty[Division]&lt;&gt;0)*(PptoSty[Division]&lt;&gt;"")*(PptoSty[Division]&lt;&gt;"X")*(PptoSty[Project]=$B95)*(PptoSty[Vrs]=$D95)*(PptoSty[PiRow]=_xlfn.TEXTAFTER($H95,":"))*(PptoSty[PiColumn]=Y$54),0)),SUM(IF((INDIRECT($B$3)=$B95)*(INDIRECT($C$3)=$D95)*((INDIRECT($E$3)="TOTS")+(INDIRECT($E$3)=$E95)),INDIRECT(Y$3)))),_xlpm.y,SUM(_xlfn.CHOOSECOLS(_xlfn._xlws.FILTER(F_RT14[],(F_RT14[PrjId]=$B95)*(F_RT14[Vrs]=$D95)*(_xlfn.TEXTAFTER(F_RT14[ActGrp],":")=_xlfn.TEXTAFTER($H95,":")),"X"),MATCH("*"&amp;Y$54,F_RT14[#Headers],0))),IF(AND(_xlpm.x=0,_xlpm.y&lt;&gt;0),-1,IF(AND(_xlpm.x&lt;&gt;0,_xlpm.y&lt;&gt;0),_xlpm.x,IF(AND(_xlpm.x-SUM(IF((INDIRECT($B$3)=$B95)*(INDIRECT($C$3)=$D95)*((INDIRECT($E$3)="TOTS")+(INDIRECT($E$3)=$E95)),INDIRECT(Y$3)))&lt;&gt;0,_xlpm.y=0),-2,_xlpm.x)))),0))</f>
        <v>0</v>
      </c>
      <c r="Z95" s="198" t="str">
        <f t="shared" ca="1" si="2"/>
        <v>Fback!B95:Y95</v>
      </c>
    </row>
    <row r="96" spans="2:26" ht="21" customHeight="1" outlineLevel="1">
      <c r="B96" s="128" t="str">
        <v>31199</v>
      </c>
      <c r="C96" s="128" t="str">
        <v>Sp</v>
      </c>
      <c r="D96" s="128">
        <v>0</v>
      </c>
      <c r="E96" s="128" t="str">
        <v>TOOL</v>
      </c>
      <c r="F96" s="139" t="str">
        <v>SERRA</v>
      </c>
      <c r="G96" s="139" t="str">
        <v>CurPpto</v>
      </c>
      <c r="H96" s="139" t="str">
        <v>P008:FIXTURE OP-415 GEO I</v>
      </c>
      <c r="I96" s="199" cm="1">
        <f t="array" aca="1" ref="I96" ca="1">IF(OR($B96="",$B96="X",$D96="",$D96="X",$E96="",$E96="X"),0,IFERROR(_xlfn.LET(_xlpm.x,SUM(SUM(_xlfn._xlws.FILTER(VALUE(PptoSty[Sign]&amp;1)*(1/PptoSty[Division]),(PptoSty[Division]&lt;&gt;0)*(PptoSty[Division]&lt;&gt;"")*(PptoSty[Division]&lt;&gt;"X")*(PptoSty[Project]=$B96)*(PptoSty[Vrs]=$D96)*(PptoSty[PiRow]=_xlfn.TEXTAFTER($H96,":"))*(PptoSty[PiColumn]=I$54),0)),SUM(IF((INDIRECT($B$3)=$B96)*(INDIRECT($C$3)=$D96)*((INDIRECT($E$3)="TOTS")+(INDIRECT($E$3)=$E96)),INDIRECT(I$3)))),_xlpm.y,SUM(_xlfn.CHOOSECOLS(_xlfn._xlws.FILTER(F_RT14[],(F_RT14[PrjId]=$B96)*(F_RT14[Vrs]=$D96)*(_xlfn.TEXTAFTER(F_RT14[ActGrp],":")=_xlfn.TEXTAFTER($H96,":")),"X"),MATCH("*"&amp;I$54,F_RT14[#Headers],0))),IF(AND(_xlpm.x=0,_xlpm.y&lt;&gt;0),-1,IF(AND(_xlpm.x&lt;&gt;0,_xlpm.y&lt;&gt;0),_xlpm.x,IF(AND(_xlpm.x-SUM(IF((INDIRECT($B$3)=$B96)*(INDIRECT($C$3)=$D96)*((INDIRECT($E$3)="TOTS")+(INDIRECT($E$3)=$E96)),INDIRECT(I$3)))&lt;&gt;0,_xlpm.y=0),-2,_xlpm.x)))),0))</f>
        <v>0</v>
      </c>
      <c r="J96" s="199" cm="1">
        <f t="array" aca="1" ref="J96" ca="1">IF(OR($B96="",$B96="X",$D96="",$D96="X",$E96="",$E96="X"),0,IFERROR(_xlfn.LET(_xlpm.x,SUM(SUM(_xlfn._xlws.FILTER(VALUE(PptoSty[Sign]&amp;1)*(1/PptoSty[Division]),(PptoSty[Division]&lt;&gt;0)*(PptoSty[Division]&lt;&gt;"")*(PptoSty[Division]&lt;&gt;"X")*(PptoSty[Project]=$B96)*(PptoSty[Vrs]=$D96)*(PptoSty[PiRow]=_xlfn.TEXTAFTER($H96,":"))*(PptoSty[PiColumn]=J$54),0)),SUM(IF((INDIRECT($B$3)=$B96)*(INDIRECT($C$3)=$D96)*((INDIRECT($E$3)="TOTS")+(INDIRECT($E$3)=$E96)),INDIRECT(J$3)))),_xlpm.y,SUM(_xlfn.CHOOSECOLS(_xlfn._xlws.FILTER(F_RT14[],(F_RT14[PrjId]=$B96)*(F_RT14[Vrs]=$D96)*(_xlfn.TEXTAFTER(F_RT14[ActGrp],":")=_xlfn.TEXTAFTER($H96,":")),"X"),MATCH("*"&amp;J$54,F_RT14[#Headers],0))),IF(AND(_xlpm.x=0,_xlpm.y&lt;&gt;0),-1,IF(AND(_xlpm.x&lt;&gt;0,_xlpm.y&lt;&gt;0),_xlpm.x,IF(AND(_xlpm.x-SUM(IF((INDIRECT($B$3)=$B96)*(INDIRECT($C$3)=$D96)*((INDIRECT($E$3)="TOTS")+(INDIRECT($E$3)=$E96)),INDIRECT(J$3)))&lt;&gt;0,_xlpm.y=0),-2,_xlpm.x)))),0))</f>
        <v>0</v>
      </c>
      <c r="K96" s="199" cm="1">
        <f t="array" aca="1" ref="K96" ca="1">IF(OR($B96="",$B96="X",$D96="",$D96="X",$E96="",$E96="X"),0,IFERROR(_xlfn.LET(_xlpm.x,SUM(SUM(_xlfn._xlws.FILTER(VALUE(PptoSty[Sign]&amp;1)*(1/PptoSty[Division]),(PptoSty[Division]&lt;&gt;0)*(PptoSty[Division]&lt;&gt;"")*(PptoSty[Division]&lt;&gt;"X")*(PptoSty[Project]=$B96)*(PptoSty[Vrs]=$D96)*(PptoSty[PiRow]=_xlfn.TEXTAFTER($H96,":"))*(PptoSty[PiColumn]=K$54),0)),SUM(IF((INDIRECT($B$3)=$B96)*(INDIRECT($C$3)=$D96)*((INDIRECT($E$3)="TOTS")+(INDIRECT($E$3)=$E96)),INDIRECT(K$3)))),_xlpm.y,SUM(_xlfn.CHOOSECOLS(_xlfn._xlws.FILTER(F_RT14[],(F_RT14[PrjId]=$B96)*(F_RT14[Vrs]=$D96)*(_xlfn.TEXTAFTER(F_RT14[ActGrp],":")=_xlfn.TEXTAFTER($H96,":")),"X"),MATCH("*"&amp;K$54,F_RT14[#Headers],0))),IF(AND(_xlpm.x=0,_xlpm.y&lt;&gt;0),-1,IF(AND(_xlpm.x&lt;&gt;0,_xlpm.y&lt;&gt;0),_xlpm.x,IF(AND(_xlpm.x-SUM(IF((INDIRECT($B$3)=$B96)*(INDIRECT($C$3)=$D96)*((INDIRECT($E$3)="TOTS")+(INDIRECT($E$3)=$E96)),INDIRECT(K$3)))&lt;&gt;0,_xlpm.y=0),-2,_xlpm.x)))),0))</f>
        <v>-1</v>
      </c>
      <c r="L96" s="199" cm="1">
        <f t="array" aca="1" ref="L96" ca="1">IF(OR($B96="",$B96="X",$D96="",$D96="X",$E96="",$E96="X"),0,IFERROR(_xlfn.LET(_xlpm.x,SUM(SUM(_xlfn._xlws.FILTER(VALUE(PptoSty[Sign]&amp;1)*(1/PptoSty[Division]),(PptoSty[Division]&lt;&gt;0)*(PptoSty[Division]&lt;&gt;"")*(PptoSty[Division]&lt;&gt;"X")*(PptoSty[Project]=$B96)*(PptoSty[Vrs]=$D96)*(PptoSty[PiRow]=_xlfn.TEXTAFTER($H96,":"))*(PptoSty[PiColumn]=L$54),0)),SUM(IF((INDIRECT($B$3)=$B96)*(INDIRECT($C$3)=$D96)*((INDIRECT($E$3)="TOTS")+(INDIRECT($E$3)=$E96)),INDIRECT(L$3)))),_xlpm.y,SUM(_xlfn.CHOOSECOLS(_xlfn._xlws.FILTER(F_RT14[],(F_RT14[PrjId]=$B96)*(F_RT14[Vrs]=$D96)*(_xlfn.TEXTAFTER(F_RT14[ActGrp],":")=_xlfn.TEXTAFTER($H96,":")),"X"),MATCH("*"&amp;L$54,F_RT14[#Headers],0))),IF(AND(_xlpm.x=0,_xlpm.y&lt;&gt;0),-1,IF(AND(_xlpm.x&lt;&gt;0,_xlpm.y&lt;&gt;0),_xlpm.x,IF(AND(_xlpm.x-SUM(IF((INDIRECT($B$3)=$B96)*(INDIRECT($C$3)=$D96)*((INDIRECT($E$3)="TOTS")+(INDIRECT($E$3)=$E96)),INDIRECT(L$3)))&lt;&gt;0,_xlpm.y=0),-2,_xlpm.x)))),0))</f>
        <v>0</v>
      </c>
      <c r="M96" s="199" cm="1">
        <f t="array" aca="1" ref="M96" ca="1">IF(OR($B96="",$B96="X",$D96="",$D96="X",$E96="",$E96="X"),0,IFERROR(_xlfn.LET(_xlpm.x,SUM(SUM(_xlfn._xlws.FILTER(VALUE(PptoSty[Sign]&amp;1)*(1/PptoSty[Division]),(PptoSty[Division]&lt;&gt;0)*(PptoSty[Division]&lt;&gt;"")*(PptoSty[Division]&lt;&gt;"X")*(PptoSty[Project]=$B96)*(PptoSty[Vrs]=$D96)*(PptoSty[PiRow]=_xlfn.TEXTAFTER($H96,":"))*(PptoSty[PiColumn]=M$54),0)),SUM(IF((INDIRECT($B$3)=$B96)*(INDIRECT($C$3)=$D96)*((INDIRECT($E$3)="TOTS")+(INDIRECT($E$3)=$E96)),INDIRECT(M$3)))),_xlpm.y,SUM(_xlfn.CHOOSECOLS(_xlfn._xlws.FILTER(F_RT14[],(F_RT14[PrjId]=$B96)*(F_RT14[Vrs]=$D96)*(_xlfn.TEXTAFTER(F_RT14[ActGrp],":")=_xlfn.TEXTAFTER($H96,":")),"X"),MATCH("*"&amp;M$54,F_RT14[#Headers],0))),IF(AND(_xlpm.x=0,_xlpm.y&lt;&gt;0),-1,IF(AND(_xlpm.x&lt;&gt;0,_xlpm.y&lt;&gt;0),_xlpm.x,IF(AND(_xlpm.x-SUM(IF((INDIRECT($B$3)=$B96)*(INDIRECT($C$3)=$D96)*((INDIRECT($E$3)="TOTS")+(INDIRECT($E$3)=$E96)),INDIRECT(M$3)))&lt;&gt;0,_xlpm.y=0),-2,_xlpm.x)))),0))</f>
        <v>0</v>
      </c>
      <c r="N96" s="199" cm="1">
        <f t="array" aca="1" ref="N96" ca="1">IF(OR($B96="",$B96="X",$D96="",$D96="X",$E96="",$E96="X"),0,IFERROR(_xlfn.LET(_xlpm.x,SUM(SUM(_xlfn._xlws.FILTER(VALUE(PptoSty[Sign]&amp;1)*(1/PptoSty[Division]),(PptoSty[Division]&lt;&gt;0)*(PptoSty[Division]&lt;&gt;"")*(PptoSty[Division]&lt;&gt;"X")*(PptoSty[Project]=$B96)*(PptoSty[Vrs]=$D96)*(PptoSty[PiRow]=_xlfn.TEXTAFTER($H96,":"))*(PptoSty[PiColumn]=N$54),0)),SUM(IF((INDIRECT($B$3)=$B96)*(INDIRECT($C$3)=$D96)*((INDIRECT($E$3)="TOTS")+(INDIRECT($E$3)=$E96)),INDIRECT(N$3)))),_xlpm.y,SUM(_xlfn.CHOOSECOLS(_xlfn._xlws.FILTER(F_RT14[],(F_RT14[PrjId]=$B96)*(F_RT14[Vrs]=$D96)*(_xlfn.TEXTAFTER(F_RT14[ActGrp],":")=_xlfn.TEXTAFTER($H96,":")),"X"),MATCH("*"&amp;N$54,F_RT14[#Headers],0))),IF(AND(_xlpm.x=0,_xlpm.y&lt;&gt;0),-1,IF(AND(_xlpm.x&lt;&gt;0,_xlpm.y&lt;&gt;0),_xlpm.x,IF(AND(_xlpm.x-SUM(IF((INDIRECT($B$3)=$B96)*(INDIRECT($C$3)=$D96)*((INDIRECT($E$3)="TOTS")+(INDIRECT($E$3)=$E96)),INDIRECT(N$3)))&lt;&gt;0,_xlpm.y=0),-2,_xlpm.x)))),0))</f>
        <v>-1</v>
      </c>
      <c r="O96" s="199" cm="1">
        <f t="array" aca="1" ref="O96" ca="1">IF(OR($B96="",$B96="X",$D96="",$D96="X",$E96="",$E96="X"),0,IFERROR(_xlfn.LET(_xlpm.x,SUM(SUM(_xlfn._xlws.FILTER(VALUE(PptoSty[Sign]&amp;1)*(1/PptoSty[Division]),(PptoSty[Division]&lt;&gt;0)*(PptoSty[Division]&lt;&gt;"")*(PptoSty[Division]&lt;&gt;"X")*(PptoSty[Project]=$B96)*(PptoSty[Vrs]=$D96)*(PptoSty[PiRow]=_xlfn.TEXTAFTER($H96,":"))*(PptoSty[PiColumn]=O$54),0)),SUM(IF((INDIRECT($B$3)=$B96)*(INDIRECT($C$3)=$D96)*((INDIRECT($E$3)="TOTS")+(INDIRECT($E$3)=$E96)),INDIRECT(O$3)))),_xlpm.y,SUM(_xlfn.CHOOSECOLS(_xlfn._xlws.FILTER(F_RT14[],(F_RT14[PrjId]=$B96)*(F_RT14[Vrs]=$D96)*(_xlfn.TEXTAFTER(F_RT14[ActGrp],":")=_xlfn.TEXTAFTER($H96,":")),"X"),MATCH("*"&amp;O$54,F_RT14[#Headers],0))),IF(AND(_xlpm.x=0,_xlpm.y&lt;&gt;0),-1,IF(AND(_xlpm.x&lt;&gt;0,_xlpm.y&lt;&gt;0),_xlpm.x,IF(AND(_xlpm.x-SUM(IF((INDIRECT($B$3)=$B96)*(INDIRECT($C$3)=$D96)*((INDIRECT($E$3)="TOTS")+(INDIRECT($E$3)=$E96)),INDIRECT(O$3)))&lt;&gt;0,_xlpm.y=0),-2,_xlpm.x)))),0))</f>
        <v>0</v>
      </c>
      <c r="P96" s="199" cm="1">
        <f t="array" aca="1" ref="P96" ca="1">IF(OR($B96="",$B96="X",$D96="",$D96="X",$E96="",$E96="X"),0,IFERROR(_xlfn.LET(_xlpm.x,SUM(SUM(_xlfn._xlws.FILTER(VALUE(PptoSty[Sign]&amp;1)*(1/PptoSty[Division]),(PptoSty[Division]&lt;&gt;0)*(PptoSty[Division]&lt;&gt;"")*(PptoSty[Division]&lt;&gt;"X")*(PptoSty[Project]=$B96)*(PptoSty[Vrs]=$D96)*(PptoSty[PiRow]=_xlfn.TEXTAFTER($H96,":"))*(PptoSty[PiColumn]=P$54),0)),SUM(IF((INDIRECT($B$3)=$B96)*(INDIRECT($C$3)=$D96)*((INDIRECT($E$3)="TOTS")+(INDIRECT($E$3)=$E96)),INDIRECT(P$3)))),_xlpm.y,SUM(_xlfn.CHOOSECOLS(_xlfn._xlws.FILTER(F_RT14[],(F_RT14[PrjId]=$B96)*(F_RT14[Vrs]=$D96)*(_xlfn.TEXTAFTER(F_RT14[ActGrp],":")=_xlfn.TEXTAFTER($H96,":")),"X"),MATCH("*"&amp;P$54,F_RT14[#Headers],0))),IF(AND(_xlpm.x=0,_xlpm.y&lt;&gt;0),-1,IF(AND(_xlpm.x&lt;&gt;0,_xlpm.y&lt;&gt;0),_xlpm.x,IF(AND(_xlpm.x-SUM(IF((INDIRECT($B$3)=$B96)*(INDIRECT($C$3)=$D96)*((INDIRECT($E$3)="TOTS")+(INDIRECT($E$3)=$E96)),INDIRECT(P$3)))&lt;&gt;0,_xlpm.y=0),-2,_xlpm.x)))),0))</f>
        <v>-1</v>
      </c>
      <c r="Q96" s="199" cm="1">
        <f t="array" aca="1" ref="Q96" ca="1">IF(OR($B96="",$B96="X",$D96="",$D96="X",$E96="",$E96="X"),0,IFERROR(_xlfn.LET(_xlpm.x,SUM(SUM(_xlfn._xlws.FILTER(VALUE(PptoSty[Sign]&amp;1)*(1/PptoSty[Division]),(PptoSty[Division]&lt;&gt;0)*(PptoSty[Division]&lt;&gt;"")*(PptoSty[Division]&lt;&gt;"X")*(PptoSty[Project]=$B96)*(PptoSty[Vrs]=$D96)*(PptoSty[PiRow]=_xlfn.TEXTAFTER($H96,":"))*(PptoSty[PiColumn]=Q$54),0)),SUM(IF((INDIRECT($B$3)=$B96)*(INDIRECT($C$3)=$D96)*((INDIRECT($E$3)="TOTS")+(INDIRECT($E$3)=$E96)),INDIRECT(Q$3)))),_xlpm.y,SUM(_xlfn.CHOOSECOLS(_xlfn._xlws.FILTER(F_RT14[],(F_RT14[PrjId]=$B96)*(F_RT14[Vrs]=$D96)*(_xlfn.TEXTAFTER(F_RT14[ActGrp],":")=_xlfn.TEXTAFTER($H96,":")),"X"),MATCH("*"&amp;Q$54,F_RT14[#Headers],0))),IF(AND(_xlpm.x=0,_xlpm.y&lt;&gt;0),-1,IF(AND(_xlpm.x&lt;&gt;0,_xlpm.y&lt;&gt;0),_xlpm.x,IF(AND(_xlpm.x-SUM(IF((INDIRECT($B$3)=$B96)*(INDIRECT($C$3)=$D96)*((INDIRECT($E$3)="TOTS")+(INDIRECT($E$3)=$E96)),INDIRECT(Q$3)))&lt;&gt;0,_xlpm.y=0),-2,_xlpm.x)))),0))</f>
        <v>-1</v>
      </c>
      <c r="R96" s="199" cm="1">
        <f t="array" aca="1" ref="R96" ca="1">IF(OR($B96="",$B96="X",$D96="",$D96="X",$E96="",$E96="X"),0,IFERROR(_xlfn.LET(_xlpm.x,SUM(SUM(_xlfn._xlws.FILTER(VALUE(PptoSty[Sign]&amp;1)*(1/PptoSty[Division]),(PptoSty[Division]&lt;&gt;0)*(PptoSty[Division]&lt;&gt;"")*(PptoSty[Division]&lt;&gt;"X")*(PptoSty[Project]=$B96)*(PptoSty[Vrs]=$D96)*(PptoSty[PiRow]=_xlfn.TEXTAFTER($H96,":"))*(PptoSty[PiColumn]=R$54),0)),SUM(IF((INDIRECT($B$3)=$B96)*(INDIRECT($C$3)=$D96)*((INDIRECT($E$3)="TOTS")+(INDIRECT($E$3)=$E96)),INDIRECT(R$3)))),_xlpm.y,SUM(_xlfn.CHOOSECOLS(_xlfn._xlws.FILTER(F_RT14[],(F_RT14[PrjId]=$B96)*(F_RT14[Vrs]=$D96)*(_xlfn.TEXTAFTER(F_RT14[ActGrp],":")=_xlfn.TEXTAFTER($H96,":")),"X"),MATCH("*"&amp;R$54,F_RT14[#Headers],0))),IF(AND(_xlpm.x=0,_xlpm.y&lt;&gt;0),-1,IF(AND(_xlpm.x&lt;&gt;0,_xlpm.y&lt;&gt;0),_xlpm.x,IF(AND(_xlpm.x-SUM(IF((INDIRECT($B$3)=$B96)*(INDIRECT($C$3)=$D96)*((INDIRECT($E$3)="TOTS")+(INDIRECT($E$3)=$E96)),INDIRECT(R$3)))&lt;&gt;0,_xlpm.y=0),-2,_xlpm.x)))),0))</f>
        <v>-1</v>
      </c>
      <c r="S96" s="199" cm="1">
        <f t="array" aca="1" ref="S96" ca="1">IF(OR($B96="",$B96="X",$D96="",$D96="X",$E96="",$E96="X"),0,IFERROR(_xlfn.LET(_xlpm.x,SUM(SUM(_xlfn._xlws.FILTER(VALUE(PptoSty[Sign]&amp;1)*(1/PptoSty[Division]),(PptoSty[Division]&lt;&gt;0)*(PptoSty[Division]&lt;&gt;"")*(PptoSty[Division]&lt;&gt;"X")*(PptoSty[Project]=$B96)*(PptoSty[Vrs]=$D96)*(PptoSty[PiRow]=_xlfn.TEXTAFTER($H96,":"))*(PptoSty[PiColumn]=S$54),0)),SUM(IF((INDIRECT($B$3)=$B96)*(INDIRECT($C$3)=$D96)*((INDIRECT($E$3)="TOTS")+(INDIRECT($E$3)=$E96)),INDIRECT(S$3)))),_xlpm.y,SUM(_xlfn.CHOOSECOLS(_xlfn._xlws.FILTER(F_RT14[],(F_RT14[PrjId]=$B96)*(F_RT14[Vrs]=$D96)*(_xlfn.TEXTAFTER(F_RT14[ActGrp],":")=_xlfn.TEXTAFTER($H96,":")),"X"),MATCH("*"&amp;S$54,F_RT14[#Headers],0))),IF(AND(_xlpm.x=0,_xlpm.y&lt;&gt;0),-1,IF(AND(_xlpm.x&lt;&gt;0,_xlpm.y&lt;&gt;0),_xlpm.x,IF(AND(_xlpm.x-SUM(IF((INDIRECT($B$3)=$B96)*(INDIRECT($C$3)=$D96)*((INDIRECT($E$3)="TOTS")+(INDIRECT($E$3)=$E96)),INDIRECT(S$3)))&lt;&gt;0,_xlpm.y=0),-2,_xlpm.x)))),0))</f>
        <v>-1</v>
      </c>
      <c r="T96" s="199" cm="1">
        <f t="array" aca="1" ref="T96" ca="1">IF(OR($B96="",$B96="X",$D96="",$D96="X",$E96="",$E96="X"),0,IFERROR(_xlfn.LET(_xlpm.x,SUM(SUM(_xlfn._xlws.FILTER(VALUE(PptoSty[Sign]&amp;1)*(1/PptoSty[Division]),(PptoSty[Division]&lt;&gt;0)*(PptoSty[Division]&lt;&gt;"")*(PptoSty[Division]&lt;&gt;"X")*(PptoSty[Project]=$B96)*(PptoSty[Vrs]=$D96)*(PptoSty[PiRow]=_xlfn.TEXTAFTER($H96,":"))*(PptoSty[PiColumn]=T$54),0)),SUM(IF((INDIRECT($B$3)=$B96)*(INDIRECT($C$3)=$D96)*((INDIRECT($E$3)="TOTS")+(INDIRECT($E$3)=$E96)),INDIRECT(T$3)))),_xlpm.y,SUM(_xlfn.CHOOSECOLS(_xlfn._xlws.FILTER(F_RT14[],(F_RT14[PrjId]=$B96)*(F_RT14[Vrs]=$D96)*(_xlfn.TEXTAFTER(F_RT14[ActGrp],":")=_xlfn.TEXTAFTER($H96,":")),"X"),MATCH("*"&amp;T$54,F_RT14[#Headers],0))),IF(AND(_xlpm.x=0,_xlpm.y&lt;&gt;0),-1,IF(AND(_xlpm.x&lt;&gt;0,_xlpm.y&lt;&gt;0),_xlpm.x,IF(AND(_xlpm.x-SUM(IF((INDIRECT($B$3)=$B96)*(INDIRECT($C$3)=$D96)*((INDIRECT($E$3)="TOTS")+(INDIRECT($E$3)=$E96)),INDIRECT(T$3)))&lt;&gt;0,_xlpm.y=0),-2,_xlpm.x)))),0))</f>
        <v>-1</v>
      </c>
      <c r="U96" s="199" cm="1">
        <f t="array" aca="1" ref="U96" ca="1">IF(OR($B96="",$B96="X",$D96="",$D96="X",$E96="",$E96="X"),0,IFERROR(_xlfn.LET(_xlpm.x,SUM(SUM(_xlfn._xlws.FILTER(VALUE(PptoSty[Sign]&amp;1)*(1/PptoSty[Division]),(PptoSty[Division]&lt;&gt;0)*(PptoSty[Division]&lt;&gt;"")*(PptoSty[Division]&lt;&gt;"X")*(PptoSty[Project]=$B96)*(PptoSty[Vrs]=$D96)*(PptoSty[PiRow]=_xlfn.TEXTAFTER($H96,":"))*(PptoSty[PiColumn]=U$54),0)),SUM(IF((INDIRECT($B$3)=$B96)*(INDIRECT($C$3)=$D96)*((INDIRECT($E$3)="TOTS")+(INDIRECT($E$3)=$E96)),INDIRECT(U$3)))),_xlpm.y,SUM(_xlfn.CHOOSECOLS(_xlfn._xlws.FILTER(F_RT14[],(F_RT14[PrjId]=$B96)*(F_RT14[Vrs]=$D96)*(_xlfn.TEXTAFTER(F_RT14[ActGrp],":")=_xlfn.TEXTAFTER($H96,":")),"X"),MATCH("*"&amp;U$54,F_RT14[#Headers],0))),IF(AND(_xlpm.x=0,_xlpm.y&lt;&gt;0),-1,IF(AND(_xlpm.x&lt;&gt;0,_xlpm.y&lt;&gt;0),_xlpm.x,IF(AND(_xlpm.x-SUM(IF((INDIRECT($B$3)=$B96)*(INDIRECT($C$3)=$D96)*((INDIRECT($E$3)="TOTS")+(INDIRECT($E$3)=$E96)),INDIRECT(U$3)))&lt;&gt;0,_xlpm.y=0),-2,_xlpm.x)))),0))</f>
        <v>0</v>
      </c>
      <c r="V96" s="199" cm="1">
        <f t="array" aca="1" ref="V96" ca="1">IF(OR($B96="",$B96="X",$D96="",$D96="X",$E96="",$E96="X"),0,IFERROR(_xlfn.LET(_xlpm.x,SUM(SUM(_xlfn._xlws.FILTER(VALUE(PptoSty[Sign]&amp;1)*(1/PptoSty[Division]),(PptoSty[Division]&lt;&gt;0)*(PptoSty[Division]&lt;&gt;"")*(PptoSty[Division]&lt;&gt;"X")*(PptoSty[Project]=$B96)*(PptoSty[Vrs]=$D96)*(PptoSty[PiRow]=_xlfn.TEXTAFTER($H96,":"))*(PptoSty[PiColumn]=V$54),0)),SUM(IF((INDIRECT($B$3)=$B96)*(INDIRECT($C$3)=$D96)*((INDIRECT($E$3)="TOTS")+(INDIRECT($E$3)=$E96)),INDIRECT(V$3)))),_xlpm.y,SUM(_xlfn.CHOOSECOLS(_xlfn._xlws.FILTER(F_RT14[],(F_RT14[PrjId]=$B96)*(F_RT14[Vrs]=$D96)*(_xlfn.TEXTAFTER(F_RT14[ActGrp],":")=_xlfn.TEXTAFTER($H96,":")),"X"),MATCH("*"&amp;V$54,F_RT14[#Headers],0))),IF(AND(_xlpm.x=0,_xlpm.y&lt;&gt;0),-1,IF(AND(_xlpm.x&lt;&gt;0,_xlpm.y&lt;&gt;0),_xlpm.x,IF(AND(_xlpm.x-SUM(IF((INDIRECT($B$3)=$B96)*(INDIRECT($C$3)=$D96)*((INDIRECT($E$3)="TOTS")+(INDIRECT($E$3)=$E96)),INDIRECT(V$3)))&lt;&gt;0,_xlpm.y=0),-2,_xlpm.x)))),0))</f>
        <v>-1</v>
      </c>
      <c r="W96" s="199" cm="1">
        <f t="array" aca="1" ref="W96" ca="1">IF(OR($B96="",$B96="X",$D96="",$D96="X",$E96="",$E96="X"),0,IFERROR(_xlfn.LET(_xlpm.x,SUM(SUM(_xlfn._xlws.FILTER(VALUE(PptoSty[Sign]&amp;1)*(1/PptoSty[Division]),(PptoSty[Division]&lt;&gt;0)*(PptoSty[Division]&lt;&gt;"")*(PptoSty[Division]&lt;&gt;"X")*(PptoSty[Project]=$B96)*(PptoSty[Vrs]=$D96)*(PptoSty[PiRow]=_xlfn.TEXTAFTER($H96,":"))*(PptoSty[PiColumn]=W$54),0)),SUM(IF((INDIRECT($B$3)=$B96)*(INDIRECT($C$3)=$D96)*((INDIRECT($E$3)="TOTS")+(INDIRECT($E$3)=$E96)),INDIRECT(W$3)))),_xlpm.y,SUM(_xlfn.CHOOSECOLS(_xlfn._xlws.FILTER(F_RT14[],(F_RT14[PrjId]=$B96)*(F_RT14[Vrs]=$D96)*(_xlfn.TEXTAFTER(F_RT14[ActGrp],":")=_xlfn.TEXTAFTER($H96,":")),"X"),MATCH("*"&amp;W$54,F_RT14[#Headers],0))),IF(AND(_xlpm.x=0,_xlpm.y&lt;&gt;0),-1,IF(AND(_xlpm.x&lt;&gt;0,_xlpm.y&lt;&gt;0),_xlpm.x,IF(AND(_xlpm.x-SUM(IF((INDIRECT($B$3)=$B96)*(INDIRECT($C$3)=$D96)*((INDIRECT($E$3)="TOTS")+(INDIRECT($E$3)=$E96)),INDIRECT(W$3)))&lt;&gt;0,_xlpm.y=0),-2,_xlpm.x)))),0))</f>
        <v>-1</v>
      </c>
      <c r="X96" s="199" cm="1">
        <f t="array" aca="1" ref="X96" ca="1">IF(OR($B96="",$B96="X",$D96="",$D96="X",$E96="",$E96="X"),0,IFERROR(_xlfn.LET(_xlpm.x,SUM(SUM(_xlfn._xlws.FILTER(VALUE(PptoSty[Sign]&amp;1)*(1/PptoSty[Division]),(PptoSty[Division]&lt;&gt;0)*(PptoSty[Division]&lt;&gt;"")*(PptoSty[Division]&lt;&gt;"X")*(PptoSty[Project]=$B96)*(PptoSty[Vrs]=$D96)*(PptoSty[PiRow]=_xlfn.TEXTAFTER($H96,":"))*(PptoSty[PiColumn]=X$54),0)),SUM(IF((INDIRECT($B$3)=$B96)*(INDIRECT($C$3)=$D96)*((INDIRECT($E$3)="TOTS")+(INDIRECT($E$3)=$E96)),INDIRECT(X$3)))),_xlpm.y,SUM(_xlfn.CHOOSECOLS(_xlfn._xlws.FILTER(F_RT14[],(F_RT14[PrjId]=$B96)*(F_RT14[Vrs]=$D96)*(_xlfn.TEXTAFTER(F_RT14[ActGrp],":")=_xlfn.TEXTAFTER($H96,":")),"X"),MATCH("*"&amp;X$54,F_RT14[#Headers],0))),IF(AND(_xlpm.x=0,_xlpm.y&lt;&gt;0),-1,IF(AND(_xlpm.x&lt;&gt;0,_xlpm.y&lt;&gt;0),_xlpm.x,IF(AND(_xlpm.x-SUM(IF((INDIRECT($B$3)=$B96)*(INDIRECT($C$3)=$D96)*((INDIRECT($E$3)="TOTS")+(INDIRECT($E$3)=$E96)),INDIRECT(X$3)))&lt;&gt;0,_xlpm.y=0),-2,_xlpm.x)))),0))</f>
        <v>-1</v>
      </c>
      <c r="Y96" s="199" cm="1">
        <f t="array" aca="1" ref="Y96" ca="1">IF(OR($B96="",$B96="X",$D96="",$D96="X",$E96="",$E96="X"),0,IFERROR(_xlfn.LET(_xlpm.x,SUM(SUM(_xlfn._xlws.FILTER(VALUE(PptoSty[Sign]&amp;1)*(1/PptoSty[Division]),(PptoSty[Division]&lt;&gt;0)*(PptoSty[Division]&lt;&gt;"")*(PptoSty[Division]&lt;&gt;"X")*(PptoSty[Project]=$B96)*(PptoSty[Vrs]=$D96)*(PptoSty[PiRow]=_xlfn.TEXTAFTER($H96,":"))*(PptoSty[PiColumn]=Y$54),0)),SUM(IF((INDIRECT($B$3)=$B96)*(INDIRECT($C$3)=$D96)*((INDIRECT($E$3)="TOTS")+(INDIRECT($E$3)=$E96)),INDIRECT(Y$3)))),_xlpm.y,SUM(_xlfn.CHOOSECOLS(_xlfn._xlws.FILTER(F_RT14[],(F_RT14[PrjId]=$B96)*(F_RT14[Vrs]=$D96)*(_xlfn.TEXTAFTER(F_RT14[ActGrp],":")=_xlfn.TEXTAFTER($H96,":")),"X"),MATCH("*"&amp;Y$54,F_RT14[#Headers],0))),IF(AND(_xlpm.x=0,_xlpm.y&lt;&gt;0),-1,IF(AND(_xlpm.x&lt;&gt;0,_xlpm.y&lt;&gt;0),_xlpm.x,IF(AND(_xlpm.x-SUM(IF((INDIRECT($B$3)=$B96)*(INDIRECT($C$3)=$D96)*((INDIRECT($E$3)="TOTS")+(INDIRECT($E$3)=$E96)),INDIRECT(Y$3)))&lt;&gt;0,_xlpm.y=0),-2,_xlpm.x)))),0))</f>
        <v>0</v>
      </c>
      <c r="Z96" s="198" t="str">
        <f t="shared" ca="1" si="2"/>
        <v>Fback!B96:Y96</v>
      </c>
    </row>
    <row r="97" spans="2:26" ht="21" customHeight="1" outlineLevel="1">
      <c r="B97" s="128" t="str">
        <v>31200</v>
      </c>
      <c r="C97" s="128" t="str">
        <v>Sp</v>
      </c>
      <c r="D97" s="128">
        <v>15</v>
      </c>
      <c r="E97" s="128" t="str">
        <v>TOOL</v>
      </c>
      <c r="F97" s="139" t="str">
        <v>SERRA</v>
      </c>
      <c r="G97" s="139" t="str">
        <v>CurPpto</v>
      </c>
      <c r="H97" s="139" t="str">
        <v>P008:OP-410.1+2 WELDING (GEO)</v>
      </c>
      <c r="I97" s="199" cm="1">
        <f t="array" aca="1" ref="I97" ca="1">IF(OR($B97="",$B97="X",$D97="",$D97="X",$E97="",$E97="X"),0,IFERROR(_xlfn.LET(_xlpm.x,SUM(SUM(_xlfn._xlws.FILTER(VALUE(PptoSty[Sign]&amp;1)*(1/PptoSty[Division]),(PptoSty[Division]&lt;&gt;0)*(PptoSty[Division]&lt;&gt;"")*(PptoSty[Division]&lt;&gt;"X")*(PptoSty[Project]=$B97)*(PptoSty[Vrs]=$D97)*(PptoSty[PiRow]=_xlfn.TEXTAFTER($H97,":"))*(PptoSty[PiColumn]=I$54),0)),SUM(IF((INDIRECT($B$3)=$B97)*(INDIRECT($C$3)=$D97)*((INDIRECT($E$3)="TOTS")+(INDIRECT($E$3)=$E97)),INDIRECT(I$3)))),_xlpm.y,SUM(_xlfn.CHOOSECOLS(_xlfn._xlws.FILTER(F_RT14[],(F_RT14[PrjId]=$B97)*(F_RT14[Vrs]=$D97)*(_xlfn.TEXTAFTER(F_RT14[ActGrp],":")=_xlfn.TEXTAFTER($H97,":")),"X"),MATCH("*"&amp;I$54,F_RT14[#Headers],0))),IF(AND(_xlpm.x=0,_xlpm.y&lt;&gt;0),-1,IF(AND(_xlpm.x&lt;&gt;0,_xlpm.y&lt;&gt;0),_xlpm.x,IF(AND(_xlpm.x-SUM(IF((INDIRECT($B$3)=$B97)*(INDIRECT($C$3)=$D97)*((INDIRECT($E$3)="TOTS")+(INDIRECT($E$3)=$E97)),INDIRECT(I$3)))&lt;&gt;0,_xlpm.y=0),-2,_xlpm.x)))),0))</f>
        <v>0</v>
      </c>
      <c r="J97" s="199" cm="1">
        <f t="array" aca="1" ref="J97" ca="1">IF(OR($B97="",$B97="X",$D97="",$D97="X",$E97="",$E97="X"),0,IFERROR(_xlfn.LET(_xlpm.x,SUM(SUM(_xlfn._xlws.FILTER(VALUE(PptoSty[Sign]&amp;1)*(1/PptoSty[Division]),(PptoSty[Division]&lt;&gt;0)*(PptoSty[Division]&lt;&gt;"")*(PptoSty[Division]&lt;&gt;"X")*(PptoSty[Project]=$B97)*(PptoSty[Vrs]=$D97)*(PptoSty[PiRow]=_xlfn.TEXTAFTER($H97,":"))*(PptoSty[PiColumn]=J$54),0)),SUM(IF((INDIRECT($B$3)=$B97)*(INDIRECT($C$3)=$D97)*((INDIRECT($E$3)="TOTS")+(INDIRECT($E$3)=$E97)),INDIRECT(J$3)))),_xlpm.y,SUM(_xlfn.CHOOSECOLS(_xlfn._xlws.FILTER(F_RT14[],(F_RT14[PrjId]=$B97)*(F_RT14[Vrs]=$D97)*(_xlfn.TEXTAFTER(F_RT14[ActGrp],":")=_xlfn.TEXTAFTER($H97,":")),"X"),MATCH("*"&amp;J$54,F_RT14[#Headers],0))),IF(AND(_xlpm.x=0,_xlpm.y&lt;&gt;0),-1,IF(AND(_xlpm.x&lt;&gt;0,_xlpm.y&lt;&gt;0),_xlpm.x,IF(AND(_xlpm.x-SUM(IF((INDIRECT($B$3)=$B97)*(INDIRECT($C$3)=$D97)*((INDIRECT($E$3)="TOTS")+(INDIRECT($E$3)=$E97)),INDIRECT(J$3)))&lt;&gt;0,_xlpm.y=0),-2,_xlpm.x)))),0))</f>
        <v>0</v>
      </c>
      <c r="K97" s="199" cm="1">
        <f t="array" aca="1" ref="K97" ca="1">IF(OR($B97="",$B97="X",$D97="",$D97="X",$E97="",$E97="X"),0,IFERROR(_xlfn.LET(_xlpm.x,SUM(SUM(_xlfn._xlws.FILTER(VALUE(PptoSty[Sign]&amp;1)*(1/PptoSty[Division]),(PptoSty[Division]&lt;&gt;0)*(PptoSty[Division]&lt;&gt;"")*(PptoSty[Division]&lt;&gt;"X")*(PptoSty[Project]=$B97)*(PptoSty[Vrs]=$D97)*(PptoSty[PiRow]=_xlfn.TEXTAFTER($H97,":"))*(PptoSty[PiColumn]=K$54),0)),SUM(IF((INDIRECT($B$3)=$B97)*(INDIRECT($C$3)=$D97)*((INDIRECT($E$3)="TOTS")+(INDIRECT($E$3)=$E97)),INDIRECT(K$3)))),_xlpm.y,SUM(_xlfn.CHOOSECOLS(_xlfn._xlws.FILTER(F_RT14[],(F_RT14[PrjId]=$B97)*(F_RT14[Vrs]=$D97)*(_xlfn.TEXTAFTER(F_RT14[ActGrp],":")=_xlfn.TEXTAFTER($H97,":")),"X"),MATCH("*"&amp;K$54,F_RT14[#Headers],0))),IF(AND(_xlpm.x=0,_xlpm.y&lt;&gt;0),-1,IF(AND(_xlpm.x&lt;&gt;0,_xlpm.y&lt;&gt;0),_xlpm.x,IF(AND(_xlpm.x-SUM(IF((INDIRECT($B$3)=$B97)*(INDIRECT($C$3)=$D97)*((INDIRECT($E$3)="TOTS")+(INDIRECT($E$3)=$E97)),INDIRECT(K$3)))&lt;&gt;0,_xlpm.y=0),-2,_xlpm.x)))),0))</f>
        <v>-1</v>
      </c>
      <c r="L97" s="199" cm="1">
        <f t="array" aca="1" ref="L97" ca="1">IF(OR($B97="",$B97="X",$D97="",$D97="X",$E97="",$E97="X"),0,IFERROR(_xlfn.LET(_xlpm.x,SUM(SUM(_xlfn._xlws.FILTER(VALUE(PptoSty[Sign]&amp;1)*(1/PptoSty[Division]),(PptoSty[Division]&lt;&gt;0)*(PptoSty[Division]&lt;&gt;"")*(PptoSty[Division]&lt;&gt;"X")*(PptoSty[Project]=$B97)*(PptoSty[Vrs]=$D97)*(PptoSty[PiRow]=_xlfn.TEXTAFTER($H97,":"))*(PptoSty[PiColumn]=L$54),0)),SUM(IF((INDIRECT($B$3)=$B97)*(INDIRECT($C$3)=$D97)*((INDIRECT($E$3)="TOTS")+(INDIRECT($E$3)=$E97)),INDIRECT(L$3)))),_xlpm.y,SUM(_xlfn.CHOOSECOLS(_xlfn._xlws.FILTER(F_RT14[],(F_RT14[PrjId]=$B97)*(F_RT14[Vrs]=$D97)*(_xlfn.TEXTAFTER(F_RT14[ActGrp],":")=_xlfn.TEXTAFTER($H97,":")),"X"),MATCH("*"&amp;L$54,F_RT14[#Headers],0))),IF(AND(_xlpm.x=0,_xlpm.y&lt;&gt;0),-1,IF(AND(_xlpm.x&lt;&gt;0,_xlpm.y&lt;&gt;0),_xlpm.x,IF(AND(_xlpm.x-SUM(IF((INDIRECT($B$3)=$B97)*(INDIRECT($C$3)=$D97)*((INDIRECT($E$3)="TOTS")+(INDIRECT($E$3)=$E97)),INDIRECT(L$3)))&lt;&gt;0,_xlpm.y=0),-2,_xlpm.x)))),0))</f>
        <v>0</v>
      </c>
      <c r="M97" s="199" cm="1">
        <f t="array" aca="1" ref="M97" ca="1">IF(OR($B97="",$B97="X",$D97="",$D97="X",$E97="",$E97="X"),0,IFERROR(_xlfn.LET(_xlpm.x,SUM(SUM(_xlfn._xlws.FILTER(VALUE(PptoSty[Sign]&amp;1)*(1/PptoSty[Division]),(PptoSty[Division]&lt;&gt;0)*(PptoSty[Division]&lt;&gt;"")*(PptoSty[Division]&lt;&gt;"X")*(PptoSty[Project]=$B97)*(PptoSty[Vrs]=$D97)*(PptoSty[PiRow]=_xlfn.TEXTAFTER($H97,":"))*(PptoSty[PiColumn]=M$54),0)),SUM(IF((INDIRECT($B$3)=$B97)*(INDIRECT($C$3)=$D97)*((INDIRECT($E$3)="TOTS")+(INDIRECT($E$3)=$E97)),INDIRECT(M$3)))),_xlpm.y,SUM(_xlfn.CHOOSECOLS(_xlfn._xlws.FILTER(F_RT14[],(F_RT14[PrjId]=$B97)*(F_RT14[Vrs]=$D97)*(_xlfn.TEXTAFTER(F_RT14[ActGrp],":")=_xlfn.TEXTAFTER($H97,":")),"X"),MATCH("*"&amp;M$54,F_RT14[#Headers],0))),IF(AND(_xlpm.x=0,_xlpm.y&lt;&gt;0),-1,IF(AND(_xlpm.x&lt;&gt;0,_xlpm.y&lt;&gt;0),_xlpm.x,IF(AND(_xlpm.x-SUM(IF((INDIRECT($B$3)=$B97)*(INDIRECT($C$3)=$D97)*((INDIRECT($E$3)="TOTS")+(INDIRECT($E$3)=$E97)),INDIRECT(M$3)))&lt;&gt;0,_xlpm.y=0),-2,_xlpm.x)))),0))</f>
        <v>0</v>
      </c>
      <c r="N97" s="199" cm="1">
        <f t="array" aca="1" ref="N97" ca="1">IF(OR($B97="",$B97="X",$D97="",$D97="X",$E97="",$E97="X"),0,IFERROR(_xlfn.LET(_xlpm.x,SUM(SUM(_xlfn._xlws.FILTER(VALUE(PptoSty[Sign]&amp;1)*(1/PptoSty[Division]),(PptoSty[Division]&lt;&gt;0)*(PptoSty[Division]&lt;&gt;"")*(PptoSty[Division]&lt;&gt;"X")*(PptoSty[Project]=$B97)*(PptoSty[Vrs]=$D97)*(PptoSty[PiRow]=_xlfn.TEXTAFTER($H97,":"))*(PptoSty[PiColumn]=N$54),0)),SUM(IF((INDIRECT($B$3)=$B97)*(INDIRECT($C$3)=$D97)*((INDIRECT($E$3)="TOTS")+(INDIRECT($E$3)=$E97)),INDIRECT(N$3)))),_xlpm.y,SUM(_xlfn.CHOOSECOLS(_xlfn._xlws.FILTER(F_RT14[],(F_RT14[PrjId]=$B97)*(F_RT14[Vrs]=$D97)*(_xlfn.TEXTAFTER(F_RT14[ActGrp],":")=_xlfn.TEXTAFTER($H97,":")),"X"),MATCH("*"&amp;N$54,F_RT14[#Headers],0))),IF(AND(_xlpm.x=0,_xlpm.y&lt;&gt;0),-1,IF(AND(_xlpm.x&lt;&gt;0,_xlpm.y&lt;&gt;0),_xlpm.x,IF(AND(_xlpm.x-SUM(IF((INDIRECT($B$3)=$B97)*(INDIRECT($C$3)=$D97)*((INDIRECT($E$3)="TOTS")+(INDIRECT($E$3)=$E97)),INDIRECT(N$3)))&lt;&gt;0,_xlpm.y=0),-2,_xlpm.x)))),0))</f>
        <v>-1</v>
      </c>
      <c r="O97" s="199" cm="1">
        <f t="array" aca="1" ref="O97" ca="1">IF(OR($B97="",$B97="X",$D97="",$D97="X",$E97="",$E97="X"),0,IFERROR(_xlfn.LET(_xlpm.x,SUM(SUM(_xlfn._xlws.FILTER(VALUE(PptoSty[Sign]&amp;1)*(1/PptoSty[Division]),(PptoSty[Division]&lt;&gt;0)*(PptoSty[Division]&lt;&gt;"")*(PptoSty[Division]&lt;&gt;"X")*(PptoSty[Project]=$B97)*(PptoSty[Vrs]=$D97)*(PptoSty[PiRow]=_xlfn.TEXTAFTER($H97,":"))*(PptoSty[PiColumn]=O$54),0)),SUM(IF((INDIRECT($B$3)=$B97)*(INDIRECT($C$3)=$D97)*((INDIRECT($E$3)="TOTS")+(INDIRECT($E$3)=$E97)),INDIRECT(O$3)))),_xlpm.y,SUM(_xlfn.CHOOSECOLS(_xlfn._xlws.FILTER(F_RT14[],(F_RT14[PrjId]=$B97)*(F_RT14[Vrs]=$D97)*(_xlfn.TEXTAFTER(F_RT14[ActGrp],":")=_xlfn.TEXTAFTER($H97,":")),"X"),MATCH("*"&amp;O$54,F_RT14[#Headers],0))),IF(AND(_xlpm.x=0,_xlpm.y&lt;&gt;0),-1,IF(AND(_xlpm.x&lt;&gt;0,_xlpm.y&lt;&gt;0),_xlpm.x,IF(AND(_xlpm.x-SUM(IF((INDIRECT($B$3)=$B97)*(INDIRECT($C$3)=$D97)*((INDIRECT($E$3)="TOTS")+(INDIRECT($E$3)=$E97)),INDIRECT(O$3)))&lt;&gt;0,_xlpm.y=0),-2,_xlpm.x)))),0))</f>
        <v>0</v>
      </c>
      <c r="P97" s="199" cm="1">
        <f t="array" aca="1" ref="P97" ca="1">IF(OR($B97="",$B97="X",$D97="",$D97="X",$E97="",$E97="X"),0,IFERROR(_xlfn.LET(_xlpm.x,SUM(SUM(_xlfn._xlws.FILTER(VALUE(PptoSty[Sign]&amp;1)*(1/PptoSty[Division]),(PptoSty[Division]&lt;&gt;0)*(PptoSty[Division]&lt;&gt;"")*(PptoSty[Division]&lt;&gt;"X")*(PptoSty[Project]=$B97)*(PptoSty[Vrs]=$D97)*(PptoSty[PiRow]=_xlfn.TEXTAFTER($H97,":"))*(PptoSty[PiColumn]=P$54),0)),SUM(IF((INDIRECT($B$3)=$B97)*(INDIRECT($C$3)=$D97)*((INDIRECT($E$3)="TOTS")+(INDIRECT($E$3)=$E97)),INDIRECT(P$3)))),_xlpm.y,SUM(_xlfn.CHOOSECOLS(_xlfn._xlws.FILTER(F_RT14[],(F_RT14[PrjId]=$B97)*(F_RT14[Vrs]=$D97)*(_xlfn.TEXTAFTER(F_RT14[ActGrp],":")=_xlfn.TEXTAFTER($H97,":")),"X"),MATCH("*"&amp;P$54,F_RT14[#Headers],0))),IF(AND(_xlpm.x=0,_xlpm.y&lt;&gt;0),-1,IF(AND(_xlpm.x&lt;&gt;0,_xlpm.y&lt;&gt;0),_xlpm.x,IF(AND(_xlpm.x-SUM(IF((INDIRECT($B$3)=$B97)*(INDIRECT($C$3)=$D97)*((INDIRECT($E$3)="TOTS")+(INDIRECT($E$3)=$E97)),INDIRECT(P$3)))&lt;&gt;0,_xlpm.y=0),-2,_xlpm.x)))),0))</f>
        <v>-1</v>
      </c>
      <c r="Q97" s="199" cm="1">
        <f t="array" aca="1" ref="Q97" ca="1">IF(OR($B97="",$B97="X",$D97="",$D97="X",$E97="",$E97="X"),0,IFERROR(_xlfn.LET(_xlpm.x,SUM(SUM(_xlfn._xlws.FILTER(VALUE(PptoSty[Sign]&amp;1)*(1/PptoSty[Division]),(PptoSty[Division]&lt;&gt;0)*(PptoSty[Division]&lt;&gt;"")*(PptoSty[Division]&lt;&gt;"X")*(PptoSty[Project]=$B97)*(PptoSty[Vrs]=$D97)*(PptoSty[PiRow]=_xlfn.TEXTAFTER($H97,":"))*(PptoSty[PiColumn]=Q$54),0)),SUM(IF((INDIRECT($B$3)=$B97)*(INDIRECT($C$3)=$D97)*((INDIRECT($E$3)="TOTS")+(INDIRECT($E$3)=$E97)),INDIRECT(Q$3)))),_xlpm.y,SUM(_xlfn.CHOOSECOLS(_xlfn._xlws.FILTER(F_RT14[],(F_RT14[PrjId]=$B97)*(F_RT14[Vrs]=$D97)*(_xlfn.TEXTAFTER(F_RT14[ActGrp],":")=_xlfn.TEXTAFTER($H97,":")),"X"),MATCH("*"&amp;Q$54,F_RT14[#Headers],0))),IF(AND(_xlpm.x=0,_xlpm.y&lt;&gt;0),-1,IF(AND(_xlpm.x&lt;&gt;0,_xlpm.y&lt;&gt;0),_xlpm.x,IF(AND(_xlpm.x-SUM(IF((INDIRECT($B$3)=$B97)*(INDIRECT($C$3)=$D97)*((INDIRECT($E$3)="TOTS")+(INDIRECT($E$3)=$E97)),INDIRECT(Q$3)))&lt;&gt;0,_xlpm.y=0),-2,_xlpm.x)))),0))</f>
        <v>-1</v>
      </c>
      <c r="R97" s="199" cm="1">
        <f t="array" aca="1" ref="R97" ca="1">IF(OR($B97="",$B97="X",$D97="",$D97="X",$E97="",$E97="X"),0,IFERROR(_xlfn.LET(_xlpm.x,SUM(SUM(_xlfn._xlws.FILTER(VALUE(PptoSty[Sign]&amp;1)*(1/PptoSty[Division]),(PptoSty[Division]&lt;&gt;0)*(PptoSty[Division]&lt;&gt;"")*(PptoSty[Division]&lt;&gt;"X")*(PptoSty[Project]=$B97)*(PptoSty[Vrs]=$D97)*(PptoSty[PiRow]=_xlfn.TEXTAFTER($H97,":"))*(PptoSty[PiColumn]=R$54),0)),SUM(IF((INDIRECT($B$3)=$B97)*(INDIRECT($C$3)=$D97)*((INDIRECT($E$3)="TOTS")+(INDIRECT($E$3)=$E97)),INDIRECT(R$3)))),_xlpm.y,SUM(_xlfn.CHOOSECOLS(_xlfn._xlws.FILTER(F_RT14[],(F_RT14[PrjId]=$B97)*(F_RT14[Vrs]=$D97)*(_xlfn.TEXTAFTER(F_RT14[ActGrp],":")=_xlfn.TEXTAFTER($H97,":")),"X"),MATCH("*"&amp;R$54,F_RT14[#Headers],0))),IF(AND(_xlpm.x=0,_xlpm.y&lt;&gt;0),-1,IF(AND(_xlpm.x&lt;&gt;0,_xlpm.y&lt;&gt;0),_xlpm.x,IF(AND(_xlpm.x-SUM(IF((INDIRECT($B$3)=$B97)*(INDIRECT($C$3)=$D97)*((INDIRECT($E$3)="TOTS")+(INDIRECT($E$3)=$E97)),INDIRECT(R$3)))&lt;&gt;0,_xlpm.y=0),-2,_xlpm.x)))),0))</f>
        <v>-1</v>
      </c>
      <c r="S97" s="199" cm="1">
        <f t="array" aca="1" ref="S97" ca="1">IF(OR($B97="",$B97="X",$D97="",$D97="X",$E97="",$E97="X"),0,IFERROR(_xlfn.LET(_xlpm.x,SUM(SUM(_xlfn._xlws.FILTER(VALUE(PptoSty[Sign]&amp;1)*(1/PptoSty[Division]),(PptoSty[Division]&lt;&gt;0)*(PptoSty[Division]&lt;&gt;"")*(PptoSty[Division]&lt;&gt;"X")*(PptoSty[Project]=$B97)*(PptoSty[Vrs]=$D97)*(PptoSty[PiRow]=_xlfn.TEXTAFTER($H97,":"))*(PptoSty[PiColumn]=S$54),0)),SUM(IF((INDIRECT($B$3)=$B97)*(INDIRECT($C$3)=$D97)*((INDIRECT($E$3)="TOTS")+(INDIRECT($E$3)=$E97)),INDIRECT(S$3)))),_xlpm.y,SUM(_xlfn.CHOOSECOLS(_xlfn._xlws.FILTER(F_RT14[],(F_RT14[PrjId]=$B97)*(F_RT14[Vrs]=$D97)*(_xlfn.TEXTAFTER(F_RT14[ActGrp],":")=_xlfn.TEXTAFTER($H97,":")),"X"),MATCH("*"&amp;S$54,F_RT14[#Headers],0))),IF(AND(_xlpm.x=0,_xlpm.y&lt;&gt;0),-1,IF(AND(_xlpm.x&lt;&gt;0,_xlpm.y&lt;&gt;0),_xlpm.x,IF(AND(_xlpm.x-SUM(IF((INDIRECT($B$3)=$B97)*(INDIRECT($C$3)=$D97)*((INDIRECT($E$3)="TOTS")+(INDIRECT($E$3)=$E97)),INDIRECT(S$3)))&lt;&gt;0,_xlpm.y=0),-2,_xlpm.x)))),0))</f>
        <v>-1</v>
      </c>
      <c r="T97" s="199" cm="1">
        <f t="array" aca="1" ref="T97" ca="1">IF(OR($B97="",$B97="X",$D97="",$D97="X",$E97="",$E97="X"),0,IFERROR(_xlfn.LET(_xlpm.x,SUM(SUM(_xlfn._xlws.FILTER(VALUE(PptoSty[Sign]&amp;1)*(1/PptoSty[Division]),(PptoSty[Division]&lt;&gt;0)*(PptoSty[Division]&lt;&gt;"")*(PptoSty[Division]&lt;&gt;"X")*(PptoSty[Project]=$B97)*(PptoSty[Vrs]=$D97)*(PptoSty[PiRow]=_xlfn.TEXTAFTER($H97,":"))*(PptoSty[PiColumn]=T$54),0)),SUM(IF((INDIRECT($B$3)=$B97)*(INDIRECT($C$3)=$D97)*((INDIRECT($E$3)="TOTS")+(INDIRECT($E$3)=$E97)),INDIRECT(T$3)))),_xlpm.y,SUM(_xlfn.CHOOSECOLS(_xlfn._xlws.FILTER(F_RT14[],(F_RT14[PrjId]=$B97)*(F_RT14[Vrs]=$D97)*(_xlfn.TEXTAFTER(F_RT14[ActGrp],":")=_xlfn.TEXTAFTER($H97,":")),"X"),MATCH("*"&amp;T$54,F_RT14[#Headers],0))),IF(AND(_xlpm.x=0,_xlpm.y&lt;&gt;0),-1,IF(AND(_xlpm.x&lt;&gt;0,_xlpm.y&lt;&gt;0),_xlpm.x,IF(AND(_xlpm.x-SUM(IF((INDIRECT($B$3)=$B97)*(INDIRECT($C$3)=$D97)*((INDIRECT($E$3)="TOTS")+(INDIRECT($E$3)=$E97)),INDIRECT(T$3)))&lt;&gt;0,_xlpm.y=0),-2,_xlpm.x)))),0))</f>
        <v>-1</v>
      </c>
      <c r="U97" s="199" cm="1">
        <f t="array" aca="1" ref="U97" ca="1">IF(OR($B97="",$B97="X",$D97="",$D97="X",$E97="",$E97="X"),0,IFERROR(_xlfn.LET(_xlpm.x,SUM(SUM(_xlfn._xlws.FILTER(VALUE(PptoSty[Sign]&amp;1)*(1/PptoSty[Division]),(PptoSty[Division]&lt;&gt;0)*(PptoSty[Division]&lt;&gt;"")*(PptoSty[Division]&lt;&gt;"X")*(PptoSty[Project]=$B97)*(PptoSty[Vrs]=$D97)*(PptoSty[PiRow]=_xlfn.TEXTAFTER($H97,":"))*(PptoSty[PiColumn]=U$54),0)),SUM(IF((INDIRECT($B$3)=$B97)*(INDIRECT($C$3)=$D97)*((INDIRECT($E$3)="TOTS")+(INDIRECT($E$3)=$E97)),INDIRECT(U$3)))),_xlpm.y,SUM(_xlfn.CHOOSECOLS(_xlfn._xlws.FILTER(F_RT14[],(F_RT14[PrjId]=$B97)*(F_RT14[Vrs]=$D97)*(_xlfn.TEXTAFTER(F_RT14[ActGrp],":")=_xlfn.TEXTAFTER($H97,":")),"X"),MATCH("*"&amp;U$54,F_RT14[#Headers],0))),IF(AND(_xlpm.x=0,_xlpm.y&lt;&gt;0),-1,IF(AND(_xlpm.x&lt;&gt;0,_xlpm.y&lt;&gt;0),_xlpm.x,IF(AND(_xlpm.x-SUM(IF((INDIRECT($B$3)=$B97)*(INDIRECT($C$3)=$D97)*((INDIRECT($E$3)="TOTS")+(INDIRECT($E$3)=$E97)),INDIRECT(U$3)))&lt;&gt;0,_xlpm.y=0),-2,_xlpm.x)))),0))</f>
        <v>0</v>
      </c>
      <c r="V97" s="199" cm="1">
        <f t="array" aca="1" ref="V97" ca="1">IF(OR($B97="",$B97="X",$D97="",$D97="X",$E97="",$E97="X"),0,IFERROR(_xlfn.LET(_xlpm.x,SUM(SUM(_xlfn._xlws.FILTER(VALUE(PptoSty[Sign]&amp;1)*(1/PptoSty[Division]),(PptoSty[Division]&lt;&gt;0)*(PptoSty[Division]&lt;&gt;"")*(PptoSty[Division]&lt;&gt;"X")*(PptoSty[Project]=$B97)*(PptoSty[Vrs]=$D97)*(PptoSty[PiRow]=_xlfn.TEXTAFTER($H97,":"))*(PptoSty[PiColumn]=V$54),0)),SUM(IF((INDIRECT($B$3)=$B97)*(INDIRECT($C$3)=$D97)*((INDIRECT($E$3)="TOTS")+(INDIRECT($E$3)=$E97)),INDIRECT(V$3)))),_xlpm.y,SUM(_xlfn.CHOOSECOLS(_xlfn._xlws.FILTER(F_RT14[],(F_RT14[PrjId]=$B97)*(F_RT14[Vrs]=$D97)*(_xlfn.TEXTAFTER(F_RT14[ActGrp],":")=_xlfn.TEXTAFTER($H97,":")),"X"),MATCH("*"&amp;V$54,F_RT14[#Headers],0))),IF(AND(_xlpm.x=0,_xlpm.y&lt;&gt;0),-1,IF(AND(_xlpm.x&lt;&gt;0,_xlpm.y&lt;&gt;0),_xlpm.x,IF(AND(_xlpm.x-SUM(IF((INDIRECT($B$3)=$B97)*(INDIRECT($C$3)=$D97)*((INDIRECT($E$3)="TOTS")+(INDIRECT($E$3)=$E97)),INDIRECT(V$3)))&lt;&gt;0,_xlpm.y=0),-2,_xlpm.x)))),0))</f>
        <v>-1</v>
      </c>
      <c r="W97" s="199" cm="1">
        <f t="array" aca="1" ref="W97" ca="1">IF(OR($B97="",$B97="X",$D97="",$D97="X",$E97="",$E97="X"),0,IFERROR(_xlfn.LET(_xlpm.x,SUM(SUM(_xlfn._xlws.FILTER(VALUE(PptoSty[Sign]&amp;1)*(1/PptoSty[Division]),(PptoSty[Division]&lt;&gt;0)*(PptoSty[Division]&lt;&gt;"")*(PptoSty[Division]&lt;&gt;"X")*(PptoSty[Project]=$B97)*(PptoSty[Vrs]=$D97)*(PptoSty[PiRow]=_xlfn.TEXTAFTER($H97,":"))*(PptoSty[PiColumn]=W$54),0)),SUM(IF((INDIRECT($B$3)=$B97)*(INDIRECT($C$3)=$D97)*((INDIRECT($E$3)="TOTS")+(INDIRECT($E$3)=$E97)),INDIRECT(W$3)))),_xlpm.y,SUM(_xlfn.CHOOSECOLS(_xlfn._xlws.FILTER(F_RT14[],(F_RT14[PrjId]=$B97)*(F_RT14[Vrs]=$D97)*(_xlfn.TEXTAFTER(F_RT14[ActGrp],":")=_xlfn.TEXTAFTER($H97,":")),"X"),MATCH("*"&amp;W$54,F_RT14[#Headers],0))),IF(AND(_xlpm.x=0,_xlpm.y&lt;&gt;0),-1,IF(AND(_xlpm.x&lt;&gt;0,_xlpm.y&lt;&gt;0),_xlpm.x,IF(AND(_xlpm.x-SUM(IF((INDIRECT($B$3)=$B97)*(INDIRECT($C$3)=$D97)*((INDIRECT($E$3)="TOTS")+(INDIRECT($E$3)=$E97)),INDIRECT(W$3)))&lt;&gt;0,_xlpm.y=0),-2,_xlpm.x)))),0))</f>
        <v>-1</v>
      </c>
      <c r="X97" s="199" cm="1">
        <f t="array" aca="1" ref="X97" ca="1">IF(OR($B97="",$B97="X",$D97="",$D97="X",$E97="",$E97="X"),0,IFERROR(_xlfn.LET(_xlpm.x,SUM(SUM(_xlfn._xlws.FILTER(VALUE(PptoSty[Sign]&amp;1)*(1/PptoSty[Division]),(PptoSty[Division]&lt;&gt;0)*(PptoSty[Division]&lt;&gt;"")*(PptoSty[Division]&lt;&gt;"X")*(PptoSty[Project]=$B97)*(PptoSty[Vrs]=$D97)*(PptoSty[PiRow]=_xlfn.TEXTAFTER($H97,":"))*(PptoSty[PiColumn]=X$54),0)),SUM(IF((INDIRECT($B$3)=$B97)*(INDIRECT($C$3)=$D97)*((INDIRECT($E$3)="TOTS")+(INDIRECT($E$3)=$E97)),INDIRECT(X$3)))),_xlpm.y,SUM(_xlfn.CHOOSECOLS(_xlfn._xlws.FILTER(F_RT14[],(F_RT14[PrjId]=$B97)*(F_RT14[Vrs]=$D97)*(_xlfn.TEXTAFTER(F_RT14[ActGrp],":")=_xlfn.TEXTAFTER($H97,":")),"X"),MATCH("*"&amp;X$54,F_RT14[#Headers],0))),IF(AND(_xlpm.x=0,_xlpm.y&lt;&gt;0),-1,IF(AND(_xlpm.x&lt;&gt;0,_xlpm.y&lt;&gt;0),_xlpm.x,IF(AND(_xlpm.x-SUM(IF((INDIRECT($B$3)=$B97)*(INDIRECT($C$3)=$D97)*((INDIRECT($E$3)="TOTS")+(INDIRECT($E$3)=$E97)),INDIRECT(X$3)))&lt;&gt;0,_xlpm.y=0),-2,_xlpm.x)))),0))</f>
        <v>-1</v>
      </c>
      <c r="Y97" s="199" cm="1">
        <f t="array" aca="1" ref="Y97" ca="1">IF(OR($B97="",$B97="X",$D97="",$D97="X",$E97="",$E97="X"),0,IFERROR(_xlfn.LET(_xlpm.x,SUM(SUM(_xlfn._xlws.FILTER(VALUE(PptoSty[Sign]&amp;1)*(1/PptoSty[Division]),(PptoSty[Division]&lt;&gt;0)*(PptoSty[Division]&lt;&gt;"")*(PptoSty[Division]&lt;&gt;"X")*(PptoSty[Project]=$B97)*(PptoSty[Vrs]=$D97)*(PptoSty[PiRow]=_xlfn.TEXTAFTER($H97,":"))*(PptoSty[PiColumn]=Y$54),0)),SUM(IF((INDIRECT($B$3)=$B97)*(INDIRECT($C$3)=$D97)*((INDIRECT($E$3)="TOTS")+(INDIRECT($E$3)=$E97)),INDIRECT(Y$3)))),_xlpm.y,SUM(_xlfn.CHOOSECOLS(_xlfn._xlws.FILTER(F_RT14[],(F_RT14[PrjId]=$B97)*(F_RT14[Vrs]=$D97)*(_xlfn.TEXTAFTER(F_RT14[ActGrp],":")=_xlfn.TEXTAFTER($H97,":")),"X"),MATCH("*"&amp;Y$54,F_RT14[#Headers],0))),IF(AND(_xlpm.x=0,_xlpm.y&lt;&gt;0),-1,IF(AND(_xlpm.x&lt;&gt;0,_xlpm.y&lt;&gt;0),_xlpm.x,IF(AND(_xlpm.x-SUM(IF((INDIRECT($B$3)=$B97)*(INDIRECT($C$3)=$D97)*((INDIRECT($E$3)="TOTS")+(INDIRECT($E$3)=$E97)),INDIRECT(Y$3)))&lt;&gt;0,_xlpm.y=0),-2,_xlpm.x)))),0))</f>
        <v>0</v>
      </c>
      <c r="Z97" s="198" t="str">
        <f t="shared" ca="1" si="2"/>
        <v>Fback!B97:Y97</v>
      </c>
    </row>
    <row r="98" spans="2:26" ht="21" customHeight="1" outlineLevel="1">
      <c r="B98" s="128" t="str">
        <v>31199</v>
      </c>
      <c r="C98" s="128" t="str">
        <v>Sp</v>
      </c>
      <c r="D98" s="128">
        <v>0</v>
      </c>
      <c r="E98" s="128" t="str">
        <v>TOOL</v>
      </c>
      <c r="F98" s="139" t="str">
        <v>SERRA</v>
      </c>
      <c r="G98" s="139" t="str">
        <v>CurPpto</v>
      </c>
      <c r="H98" s="139" t="str">
        <v>P009:FIXTURE OP-420 REWELD</v>
      </c>
      <c r="I98" s="199" cm="1">
        <f t="array" aca="1" ref="I98" ca="1">IF(OR($B98="",$B98="X",$D98="",$D98="X",$E98="",$E98="X"),0,IFERROR(_xlfn.LET(_xlpm.x,SUM(SUM(_xlfn._xlws.FILTER(VALUE(PptoSty[Sign]&amp;1)*(1/PptoSty[Division]),(PptoSty[Division]&lt;&gt;0)*(PptoSty[Division]&lt;&gt;"")*(PptoSty[Division]&lt;&gt;"X")*(PptoSty[Project]=$B98)*(PptoSty[Vrs]=$D98)*(PptoSty[PiRow]=_xlfn.TEXTAFTER($H98,":"))*(PptoSty[PiColumn]=I$54),0)),SUM(IF((INDIRECT($B$3)=$B98)*(INDIRECT($C$3)=$D98)*((INDIRECT($E$3)="TOTS")+(INDIRECT($E$3)=$E98)),INDIRECT(I$3)))),_xlpm.y,SUM(_xlfn.CHOOSECOLS(_xlfn._xlws.FILTER(F_RT14[],(F_RT14[PrjId]=$B98)*(F_RT14[Vrs]=$D98)*(_xlfn.TEXTAFTER(F_RT14[ActGrp],":")=_xlfn.TEXTAFTER($H98,":")),"X"),MATCH("*"&amp;I$54,F_RT14[#Headers],0))),IF(AND(_xlpm.x=0,_xlpm.y&lt;&gt;0),-1,IF(AND(_xlpm.x&lt;&gt;0,_xlpm.y&lt;&gt;0),_xlpm.x,IF(AND(_xlpm.x-SUM(IF((INDIRECT($B$3)=$B98)*(INDIRECT($C$3)=$D98)*((INDIRECT($E$3)="TOTS")+(INDIRECT($E$3)=$E98)),INDIRECT(I$3)))&lt;&gt;0,_xlpm.y=0),-2,_xlpm.x)))),0))</f>
        <v>0</v>
      </c>
      <c r="J98" s="199" cm="1">
        <f t="array" aca="1" ref="J98" ca="1">IF(OR($B98="",$B98="X",$D98="",$D98="X",$E98="",$E98="X"),0,IFERROR(_xlfn.LET(_xlpm.x,SUM(SUM(_xlfn._xlws.FILTER(VALUE(PptoSty[Sign]&amp;1)*(1/PptoSty[Division]),(PptoSty[Division]&lt;&gt;0)*(PptoSty[Division]&lt;&gt;"")*(PptoSty[Division]&lt;&gt;"X")*(PptoSty[Project]=$B98)*(PptoSty[Vrs]=$D98)*(PptoSty[PiRow]=_xlfn.TEXTAFTER($H98,":"))*(PptoSty[PiColumn]=J$54),0)),SUM(IF((INDIRECT($B$3)=$B98)*(INDIRECT($C$3)=$D98)*((INDIRECT($E$3)="TOTS")+(INDIRECT($E$3)=$E98)),INDIRECT(J$3)))),_xlpm.y,SUM(_xlfn.CHOOSECOLS(_xlfn._xlws.FILTER(F_RT14[],(F_RT14[PrjId]=$B98)*(F_RT14[Vrs]=$D98)*(_xlfn.TEXTAFTER(F_RT14[ActGrp],":")=_xlfn.TEXTAFTER($H98,":")),"X"),MATCH("*"&amp;J$54,F_RT14[#Headers],0))),IF(AND(_xlpm.x=0,_xlpm.y&lt;&gt;0),-1,IF(AND(_xlpm.x&lt;&gt;0,_xlpm.y&lt;&gt;0),_xlpm.x,IF(AND(_xlpm.x-SUM(IF((INDIRECT($B$3)=$B98)*(INDIRECT($C$3)=$D98)*((INDIRECT($E$3)="TOTS")+(INDIRECT($E$3)=$E98)),INDIRECT(J$3)))&lt;&gt;0,_xlpm.y=0),-2,_xlpm.x)))),0))</f>
        <v>0</v>
      </c>
      <c r="K98" s="199" cm="1">
        <f t="array" aca="1" ref="K98" ca="1">IF(OR($B98="",$B98="X",$D98="",$D98="X",$E98="",$E98="X"),0,IFERROR(_xlfn.LET(_xlpm.x,SUM(SUM(_xlfn._xlws.FILTER(VALUE(PptoSty[Sign]&amp;1)*(1/PptoSty[Division]),(PptoSty[Division]&lt;&gt;0)*(PptoSty[Division]&lt;&gt;"")*(PptoSty[Division]&lt;&gt;"X")*(PptoSty[Project]=$B98)*(PptoSty[Vrs]=$D98)*(PptoSty[PiRow]=_xlfn.TEXTAFTER($H98,":"))*(PptoSty[PiColumn]=K$54),0)),SUM(IF((INDIRECT($B$3)=$B98)*(INDIRECT($C$3)=$D98)*((INDIRECT($E$3)="TOTS")+(INDIRECT($E$3)=$E98)),INDIRECT(K$3)))),_xlpm.y,SUM(_xlfn.CHOOSECOLS(_xlfn._xlws.FILTER(F_RT14[],(F_RT14[PrjId]=$B98)*(F_RT14[Vrs]=$D98)*(_xlfn.TEXTAFTER(F_RT14[ActGrp],":")=_xlfn.TEXTAFTER($H98,":")),"X"),MATCH("*"&amp;K$54,F_RT14[#Headers],0))),IF(AND(_xlpm.x=0,_xlpm.y&lt;&gt;0),-1,IF(AND(_xlpm.x&lt;&gt;0,_xlpm.y&lt;&gt;0),_xlpm.x,IF(AND(_xlpm.x-SUM(IF((INDIRECT($B$3)=$B98)*(INDIRECT($C$3)=$D98)*((INDIRECT($E$3)="TOTS")+(INDIRECT($E$3)=$E98)),INDIRECT(K$3)))&lt;&gt;0,_xlpm.y=0),-2,_xlpm.x)))),0))</f>
        <v>-1</v>
      </c>
      <c r="L98" s="199" cm="1">
        <f t="array" aca="1" ref="L98" ca="1">IF(OR($B98="",$B98="X",$D98="",$D98="X",$E98="",$E98="X"),0,IFERROR(_xlfn.LET(_xlpm.x,SUM(SUM(_xlfn._xlws.FILTER(VALUE(PptoSty[Sign]&amp;1)*(1/PptoSty[Division]),(PptoSty[Division]&lt;&gt;0)*(PptoSty[Division]&lt;&gt;"")*(PptoSty[Division]&lt;&gt;"X")*(PptoSty[Project]=$B98)*(PptoSty[Vrs]=$D98)*(PptoSty[PiRow]=_xlfn.TEXTAFTER($H98,":"))*(PptoSty[PiColumn]=L$54),0)),SUM(IF((INDIRECT($B$3)=$B98)*(INDIRECT($C$3)=$D98)*((INDIRECT($E$3)="TOTS")+(INDIRECT($E$3)=$E98)),INDIRECT(L$3)))),_xlpm.y,SUM(_xlfn.CHOOSECOLS(_xlfn._xlws.FILTER(F_RT14[],(F_RT14[PrjId]=$B98)*(F_RT14[Vrs]=$D98)*(_xlfn.TEXTAFTER(F_RT14[ActGrp],":")=_xlfn.TEXTAFTER($H98,":")),"X"),MATCH("*"&amp;L$54,F_RT14[#Headers],0))),IF(AND(_xlpm.x=0,_xlpm.y&lt;&gt;0),-1,IF(AND(_xlpm.x&lt;&gt;0,_xlpm.y&lt;&gt;0),_xlpm.x,IF(AND(_xlpm.x-SUM(IF((INDIRECT($B$3)=$B98)*(INDIRECT($C$3)=$D98)*((INDIRECT($E$3)="TOTS")+(INDIRECT($E$3)=$E98)),INDIRECT(L$3)))&lt;&gt;0,_xlpm.y=0),-2,_xlpm.x)))),0))</f>
        <v>0</v>
      </c>
      <c r="M98" s="199" cm="1">
        <f t="array" aca="1" ref="M98" ca="1">IF(OR($B98="",$B98="X",$D98="",$D98="X",$E98="",$E98="X"),0,IFERROR(_xlfn.LET(_xlpm.x,SUM(SUM(_xlfn._xlws.FILTER(VALUE(PptoSty[Sign]&amp;1)*(1/PptoSty[Division]),(PptoSty[Division]&lt;&gt;0)*(PptoSty[Division]&lt;&gt;"")*(PptoSty[Division]&lt;&gt;"X")*(PptoSty[Project]=$B98)*(PptoSty[Vrs]=$D98)*(PptoSty[PiRow]=_xlfn.TEXTAFTER($H98,":"))*(PptoSty[PiColumn]=M$54),0)),SUM(IF((INDIRECT($B$3)=$B98)*(INDIRECT($C$3)=$D98)*((INDIRECT($E$3)="TOTS")+(INDIRECT($E$3)=$E98)),INDIRECT(M$3)))),_xlpm.y,SUM(_xlfn.CHOOSECOLS(_xlfn._xlws.FILTER(F_RT14[],(F_RT14[PrjId]=$B98)*(F_RT14[Vrs]=$D98)*(_xlfn.TEXTAFTER(F_RT14[ActGrp],":")=_xlfn.TEXTAFTER($H98,":")),"X"),MATCH("*"&amp;M$54,F_RT14[#Headers],0))),IF(AND(_xlpm.x=0,_xlpm.y&lt;&gt;0),-1,IF(AND(_xlpm.x&lt;&gt;0,_xlpm.y&lt;&gt;0),_xlpm.x,IF(AND(_xlpm.x-SUM(IF((INDIRECT($B$3)=$B98)*(INDIRECT($C$3)=$D98)*((INDIRECT($E$3)="TOTS")+(INDIRECT($E$3)=$E98)),INDIRECT(M$3)))&lt;&gt;0,_xlpm.y=0),-2,_xlpm.x)))),0))</f>
        <v>0</v>
      </c>
      <c r="N98" s="199" cm="1">
        <f t="array" aca="1" ref="N98" ca="1">IF(OR($B98="",$B98="X",$D98="",$D98="X",$E98="",$E98="X"),0,IFERROR(_xlfn.LET(_xlpm.x,SUM(SUM(_xlfn._xlws.FILTER(VALUE(PptoSty[Sign]&amp;1)*(1/PptoSty[Division]),(PptoSty[Division]&lt;&gt;0)*(PptoSty[Division]&lt;&gt;"")*(PptoSty[Division]&lt;&gt;"X")*(PptoSty[Project]=$B98)*(PptoSty[Vrs]=$D98)*(PptoSty[PiRow]=_xlfn.TEXTAFTER($H98,":"))*(PptoSty[PiColumn]=N$54),0)),SUM(IF((INDIRECT($B$3)=$B98)*(INDIRECT($C$3)=$D98)*((INDIRECT($E$3)="TOTS")+(INDIRECT($E$3)=$E98)),INDIRECT(N$3)))),_xlpm.y,SUM(_xlfn.CHOOSECOLS(_xlfn._xlws.FILTER(F_RT14[],(F_RT14[PrjId]=$B98)*(F_RT14[Vrs]=$D98)*(_xlfn.TEXTAFTER(F_RT14[ActGrp],":")=_xlfn.TEXTAFTER($H98,":")),"X"),MATCH("*"&amp;N$54,F_RT14[#Headers],0))),IF(AND(_xlpm.x=0,_xlpm.y&lt;&gt;0),-1,IF(AND(_xlpm.x&lt;&gt;0,_xlpm.y&lt;&gt;0),_xlpm.x,IF(AND(_xlpm.x-SUM(IF((INDIRECT($B$3)=$B98)*(INDIRECT($C$3)=$D98)*((INDIRECT($E$3)="TOTS")+(INDIRECT($E$3)=$E98)),INDIRECT(N$3)))&lt;&gt;0,_xlpm.y=0),-2,_xlpm.x)))),0))</f>
        <v>-1</v>
      </c>
      <c r="O98" s="199" cm="1">
        <f t="array" aca="1" ref="O98" ca="1">IF(OR($B98="",$B98="X",$D98="",$D98="X",$E98="",$E98="X"),0,IFERROR(_xlfn.LET(_xlpm.x,SUM(SUM(_xlfn._xlws.FILTER(VALUE(PptoSty[Sign]&amp;1)*(1/PptoSty[Division]),(PptoSty[Division]&lt;&gt;0)*(PptoSty[Division]&lt;&gt;"")*(PptoSty[Division]&lt;&gt;"X")*(PptoSty[Project]=$B98)*(PptoSty[Vrs]=$D98)*(PptoSty[PiRow]=_xlfn.TEXTAFTER($H98,":"))*(PptoSty[PiColumn]=O$54),0)),SUM(IF((INDIRECT($B$3)=$B98)*(INDIRECT($C$3)=$D98)*((INDIRECT($E$3)="TOTS")+(INDIRECT($E$3)=$E98)),INDIRECT(O$3)))),_xlpm.y,SUM(_xlfn.CHOOSECOLS(_xlfn._xlws.FILTER(F_RT14[],(F_RT14[PrjId]=$B98)*(F_RT14[Vrs]=$D98)*(_xlfn.TEXTAFTER(F_RT14[ActGrp],":")=_xlfn.TEXTAFTER($H98,":")),"X"),MATCH("*"&amp;O$54,F_RT14[#Headers],0))),IF(AND(_xlpm.x=0,_xlpm.y&lt;&gt;0),-1,IF(AND(_xlpm.x&lt;&gt;0,_xlpm.y&lt;&gt;0),_xlpm.x,IF(AND(_xlpm.x-SUM(IF((INDIRECT($B$3)=$B98)*(INDIRECT($C$3)=$D98)*((INDIRECT($E$3)="TOTS")+(INDIRECT($E$3)=$E98)),INDIRECT(O$3)))&lt;&gt;0,_xlpm.y=0),-2,_xlpm.x)))),0))</f>
        <v>0</v>
      </c>
      <c r="P98" s="199" cm="1">
        <f t="array" aca="1" ref="P98" ca="1">IF(OR($B98="",$B98="X",$D98="",$D98="X",$E98="",$E98="X"),0,IFERROR(_xlfn.LET(_xlpm.x,SUM(SUM(_xlfn._xlws.FILTER(VALUE(PptoSty[Sign]&amp;1)*(1/PptoSty[Division]),(PptoSty[Division]&lt;&gt;0)*(PptoSty[Division]&lt;&gt;"")*(PptoSty[Division]&lt;&gt;"X")*(PptoSty[Project]=$B98)*(PptoSty[Vrs]=$D98)*(PptoSty[PiRow]=_xlfn.TEXTAFTER($H98,":"))*(PptoSty[PiColumn]=P$54),0)),SUM(IF((INDIRECT($B$3)=$B98)*(INDIRECT($C$3)=$D98)*((INDIRECT($E$3)="TOTS")+(INDIRECT($E$3)=$E98)),INDIRECT(P$3)))),_xlpm.y,SUM(_xlfn.CHOOSECOLS(_xlfn._xlws.FILTER(F_RT14[],(F_RT14[PrjId]=$B98)*(F_RT14[Vrs]=$D98)*(_xlfn.TEXTAFTER(F_RT14[ActGrp],":")=_xlfn.TEXTAFTER($H98,":")),"X"),MATCH("*"&amp;P$54,F_RT14[#Headers],0))),IF(AND(_xlpm.x=0,_xlpm.y&lt;&gt;0),-1,IF(AND(_xlpm.x&lt;&gt;0,_xlpm.y&lt;&gt;0),_xlpm.x,IF(AND(_xlpm.x-SUM(IF((INDIRECT($B$3)=$B98)*(INDIRECT($C$3)=$D98)*((INDIRECT($E$3)="TOTS")+(INDIRECT($E$3)=$E98)),INDIRECT(P$3)))&lt;&gt;0,_xlpm.y=0),-2,_xlpm.x)))),0))</f>
        <v>-1</v>
      </c>
      <c r="Q98" s="199" cm="1">
        <f t="array" aca="1" ref="Q98" ca="1">IF(OR($B98="",$B98="X",$D98="",$D98="X",$E98="",$E98="X"),0,IFERROR(_xlfn.LET(_xlpm.x,SUM(SUM(_xlfn._xlws.FILTER(VALUE(PptoSty[Sign]&amp;1)*(1/PptoSty[Division]),(PptoSty[Division]&lt;&gt;0)*(PptoSty[Division]&lt;&gt;"")*(PptoSty[Division]&lt;&gt;"X")*(PptoSty[Project]=$B98)*(PptoSty[Vrs]=$D98)*(PptoSty[PiRow]=_xlfn.TEXTAFTER($H98,":"))*(PptoSty[PiColumn]=Q$54),0)),SUM(IF((INDIRECT($B$3)=$B98)*(INDIRECT($C$3)=$D98)*((INDIRECT($E$3)="TOTS")+(INDIRECT($E$3)=$E98)),INDIRECT(Q$3)))),_xlpm.y,SUM(_xlfn.CHOOSECOLS(_xlfn._xlws.FILTER(F_RT14[],(F_RT14[PrjId]=$B98)*(F_RT14[Vrs]=$D98)*(_xlfn.TEXTAFTER(F_RT14[ActGrp],":")=_xlfn.TEXTAFTER($H98,":")),"X"),MATCH("*"&amp;Q$54,F_RT14[#Headers],0))),IF(AND(_xlpm.x=0,_xlpm.y&lt;&gt;0),-1,IF(AND(_xlpm.x&lt;&gt;0,_xlpm.y&lt;&gt;0),_xlpm.x,IF(AND(_xlpm.x-SUM(IF((INDIRECT($B$3)=$B98)*(INDIRECT($C$3)=$D98)*((INDIRECT($E$3)="TOTS")+(INDIRECT($E$3)=$E98)),INDIRECT(Q$3)))&lt;&gt;0,_xlpm.y=0),-2,_xlpm.x)))),0))</f>
        <v>-1</v>
      </c>
      <c r="R98" s="199" cm="1">
        <f t="array" aca="1" ref="R98" ca="1">IF(OR($B98="",$B98="X",$D98="",$D98="X",$E98="",$E98="X"),0,IFERROR(_xlfn.LET(_xlpm.x,SUM(SUM(_xlfn._xlws.FILTER(VALUE(PptoSty[Sign]&amp;1)*(1/PptoSty[Division]),(PptoSty[Division]&lt;&gt;0)*(PptoSty[Division]&lt;&gt;"")*(PptoSty[Division]&lt;&gt;"X")*(PptoSty[Project]=$B98)*(PptoSty[Vrs]=$D98)*(PptoSty[PiRow]=_xlfn.TEXTAFTER($H98,":"))*(PptoSty[PiColumn]=R$54),0)),SUM(IF((INDIRECT($B$3)=$B98)*(INDIRECT($C$3)=$D98)*((INDIRECT($E$3)="TOTS")+(INDIRECT($E$3)=$E98)),INDIRECT(R$3)))),_xlpm.y,SUM(_xlfn.CHOOSECOLS(_xlfn._xlws.FILTER(F_RT14[],(F_RT14[PrjId]=$B98)*(F_RT14[Vrs]=$D98)*(_xlfn.TEXTAFTER(F_RT14[ActGrp],":")=_xlfn.TEXTAFTER($H98,":")),"X"),MATCH("*"&amp;R$54,F_RT14[#Headers],0))),IF(AND(_xlpm.x=0,_xlpm.y&lt;&gt;0),-1,IF(AND(_xlpm.x&lt;&gt;0,_xlpm.y&lt;&gt;0),_xlpm.x,IF(AND(_xlpm.x-SUM(IF((INDIRECT($B$3)=$B98)*(INDIRECT($C$3)=$D98)*((INDIRECT($E$3)="TOTS")+(INDIRECT($E$3)=$E98)),INDIRECT(R$3)))&lt;&gt;0,_xlpm.y=0),-2,_xlpm.x)))),0))</f>
        <v>-1</v>
      </c>
      <c r="S98" s="199" cm="1">
        <f t="array" aca="1" ref="S98" ca="1">IF(OR($B98="",$B98="X",$D98="",$D98="X",$E98="",$E98="X"),0,IFERROR(_xlfn.LET(_xlpm.x,SUM(SUM(_xlfn._xlws.FILTER(VALUE(PptoSty[Sign]&amp;1)*(1/PptoSty[Division]),(PptoSty[Division]&lt;&gt;0)*(PptoSty[Division]&lt;&gt;"")*(PptoSty[Division]&lt;&gt;"X")*(PptoSty[Project]=$B98)*(PptoSty[Vrs]=$D98)*(PptoSty[PiRow]=_xlfn.TEXTAFTER($H98,":"))*(PptoSty[PiColumn]=S$54),0)),SUM(IF((INDIRECT($B$3)=$B98)*(INDIRECT($C$3)=$D98)*((INDIRECT($E$3)="TOTS")+(INDIRECT($E$3)=$E98)),INDIRECT(S$3)))),_xlpm.y,SUM(_xlfn.CHOOSECOLS(_xlfn._xlws.FILTER(F_RT14[],(F_RT14[PrjId]=$B98)*(F_RT14[Vrs]=$D98)*(_xlfn.TEXTAFTER(F_RT14[ActGrp],":")=_xlfn.TEXTAFTER($H98,":")),"X"),MATCH("*"&amp;S$54,F_RT14[#Headers],0))),IF(AND(_xlpm.x=0,_xlpm.y&lt;&gt;0),-1,IF(AND(_xlpm.x&lt;&gt;0,_xlpm.y&lt;&gt;0),_xlpm.x,IF(AND(_xlpm.x-SUM(IF((INDIRECT($B$3)=$B98)*(INDIRECT($C$3)=$D98)*((INDIRECT($E$3)="TOTS")+(INDIRECT($E$3)=$E98)),INDIRECT(S$3)))&lt;&gt;0,_xlpm.y=0),-2,_xlpm.x)))),0))</f>
        <v>-1</v>
      </c>
      <c r="T98" s="199" cm="1">
        <f t="array" aca="1" ref="T98" ca="1">IF(OR($B98="",$B98="X",$D98="",$D98="X",$E98="",$E98="X"),0,IFERROR(_xlfn.LET(_xlpm.x,SUM(SUM(_xlfn._xlws.FILTER(VALUE(PptoSty[Sign]&amp;1)*(1/PptoSty[Division]),(PptoSty[Division]&lt;&gt;0)*(PptoSty[Division]&lt;&gt;"")*(PptoSty[Division]&lt;&gt;"X")*(PptoSty[Project]=$B98)*(PptoSty[Vrs]=$D98)*(PptoSty[PiRow]=_xlfn.TEXTAFTER($H98,":"))*(PptoSty[PiColumn]=T$54),0)),SUM(IF((INDIRECT($B$3)=$B98)*(INDIRECT($C$3)=$D98)*((INDIRECT($E$3)="TOTS")+(INDIRECT($E$3)=$E98)),INDIRECT(T$3)))),_xlpm.y,SUM(_xlfn.CHOOSECOLS(_xlfn._xlws.FILTER(F_RT14[],(F_RT14[PrjId]=$B98)*(F_RT14[Vrs]=$D98)*(_xlfn.TEXTAFTER(F_RT14[ActGrp],":")=_xlfn.TEXTAFTER($H98,":")),"X"),MATCH("*"&amp;T$54,F_RT14[#Headers],0))),IF(AND(_xlpm.x=0,_xlpm.y&lt;&gt;0),-1,IF(AND(_xlpm.x&lt;&gt;0,_xlpm.y&lt;&gt;0),_xlpm.x,IF(AND(_xlpm.x-SUM(IF((INDIRECT($B$3)=$B98)*(INDIRECT($C$3)=$D98)*((INDIRECT($E$3)="TOTS")+(INDIRECT($E$3)=$E98)),INDIRECT(T$3)))&lt;&gt;0,_xlpm.y=0),-2,_xlpm.x)))),0))</f>
        <v>-1</v>
      </c>
      <c r="U98" s="199" cm="1">
        <f t="array" aca="1" ref="U98" ca="1">IF(OR($B98="",$B98="X",$D98="",$D98="X",$E98="",$E98="X"),0,IFERROR(_xlfn.LET(_xlpm.x,SUM(SUM(_xlfn._xlws.FILTER(VALUE(PptoSty[Sign]&amp;1)*(1/PptoSty[Division]),(PptoSty[Division]&lt;&gt;0)*(PptoSty[Division]&lt;&gt;"")*(PptoSty[Division]&lt;&gt;"X")*(PptoSty[Project]=$B98)*(PptoSty[Vrs]=$D98)*(PptoSty[PiRow]=_xlfn.TEXTAFTER($H98,":"))*(PptoSty[PiColumn]=U$54),0)),SUM(IF((INDIRECT($B$3)=$B98)*(INDIRECT($C$3)=$D98)*((INDIRECT($E$3)="TOTS")+(INDIRECT($E$3)=$E98)),INDIRECT(U$3)))),_xlpm.y,SUM(_xlfn.CHOOSECOLS(_xlfn._xlws.FILTER(F_RT14[],(F_RT14[PrjId]=$B98)*(F_RT14[Vrs]=$D98)*(_xlfn.TEXTAFTER(F_RT14[ActGrp],":")=_xlfn.TEXTAFTER($H98,":")),"X"),MATCH("*"&amp;U$54,F_RT14[#Headers],0))),IF(AND(_xlpm.x=0,_xlpm.y&lt;&gt;0),-1,IF(AND(_xlpm.x&lt;&gt;0,_xlpm.y&lt;&gt;0),_xlpm.x,IF(AND(_xlpm.x-SUM(IF((INDIRECT($B$3)=$B98)*(INDIRECT($C$3)=$D98)*((INDIRECT($E$3)="TOTS")+(INDIRECT($E$3)=$E98)),INDIRECT(U$3)))&lt;&gt;0,_xlpm.y=0),-2,_xlpm.x)))),0))</f>
        <v>0</v>
      </c>
      <c r="V98" s="199" cm="1">
        <f t="array" aca="1" ref="V98" ca="1">IF(OR($B98="",$B98="X",$D98="",$D98="X",$E98="",$E98="X"),0,IFERROR(_xlfn.LET(_xlpm.x,SUM(SUM(_xlfn._xlws.FILTER(VALUE(PptoSty[Sign]&amp;1)*(1/PptoSty[Division]),(PptoSty[Division]&lt;&gt;0)*(PptoSty[Division]&lt;&gt;"")*(PptoSty[Division]&lt;&gt;"X")*(PptoSty[Project]=$B98)*(PptoSty[Vrs]=$D98)*(PptoSty[PiRow]=_xlfn.TEXTAFTER($H98,":"))*(PptoSty[PiColumn]=V$54),0)),SUM(IF((INDIRECT($B$3)=$B98)*(INDIRECT($C$3)=$D98)*((INDIRECT($E$3)="TOTS")+(INDIRECT($E$3)=$E98)),INDIRECT(V$3)))),_xlpm.y,SUM(_xlfn.CHOOSECOLS(_xlfn._xlws.FILTER(F_RT14[],(F_RT14[PrjId]=$B98)*(F_RT14[Vrs]=$D98)*(_xlfn.TEXTAFTER(F_RT14[ActGrp],":")=_xlfn.TEXTAFTER($H98,":")),"X"),MATCH("*"&amp;V$54,F_RT14[#Headers],0))),IF(AND(_xlpm.x=0,_xlpm.y&lt;&gt;0),-1,IF(AND(_xlpm.x&lt;&gt;0,_xlpm.y&lt;&gt;0),_xlpm.x,IF(AND(_xlpm.x-SUM(IF((INDIRECT($B$3)=$B98)*(INDIRECT($C$3)=$D98)*((INDIRECT($E$3)="TOTS")+(INDIRECT($E$3)=$E98)),INDIRECT(V$3)))&lt;&gt;0,_xlpm.y=0),-2,_xlpm.x)))),0))</f>
        <v>-1</v>
      </c>
      <c r="W98" s="199" cm="1">
        <f t="array" aca="1" ref="W98" ca="1">IF(OR($B98="",$B98="X",$D98="",$D98="X",$E98="",$E98="X"),0,IFERROR(_xlfn.LET(_xlpm.x,SUM(SUM(_xlfn._xlws.FILTER(VALUE(PptoSty[Sign]&amp;1)*(1/PptoSty[Division]),(PptoSty[Division]&lt;&gt;0)*(PptoSty[Division]&lt;&gt;"")*(PptoSty[Division]&lt;&gt;"X")*(PptoSty[Project]=$B98)*(PptoSty[Vrs]=$D98)*(PptoSty[PiRow]=_xlfn.TEXTAFTER($H98,":"))*(PptoSty[PiColumn]=W$54),0)),SUM(IF((INDIRECT($B$3)=$B98)*(INDIRECT($C$3)=$D98)*((INDIRECT($E$3)="TOTS")+(INDIRECT($E$3)=$E98)),INDIRECT(W$3)))),_xlpm.y,SUM(_xlfn.CHOOSECOLS(_xlfn._xlws.FILTER(F_RT14[],(F_RT14[PrjId]=$B98)*(F_RT14[Vrs]=$D98)*(_xlfn.TEXTAFTER(F_RT14[ActGrp],":")=_xlfn.TEXTAFTER($H98,":")),"X"),MATCH("*"&amp;W$54,F_RT14[#Headers],0))),IF(AND(_xlpm.x=0,_xlpm.y&lt;&gt;0),-1,IF(AND(_xlpm.x&lt;&gt;0,_xlpm.y&lt;&gt;0),_xlpm.x,IF(AND(_xlpm.x-SUM(IF((INDIRECT($B$3)=$B98)*(INDIRECT($C$3)=$D98)*((INDIRECT($E$3)="TOTS")+(INDIRECT($E$3)=$E98)),INDIRECT(W$3)))&lt;&gt;0,_xlpm.y=0),-2,_xlpm.x)))),0))</f>
        <v>-1</v>
      </c>
      <c r="X98" s="199" cm="1">
        <f t="array" aca="1" ref="X98" ca="1">IF(OR($B98="",$B98="X",$D98="",$D98="X",$E98="",$E98="X"),0,IFERROR(_xlfn.LET(_xlpm.x,SUM(SUM(_xlfn._xlws.FILTER(VALUE(PptoSty[Sign]&amp;1)*(1/PptoSty[Division]),(PptoSty[Division]&lt;&gt;0)*(PptoSty[Division]&lt;&gt;"")*(PptoSty[Division]&lt;&gt;"X")*(PptoSty[Project]=$B98)*(PptoSty[Vrs]=$D98)*(PptoSty[PiRow]=_xlfn.TEXTAFTER($H98,":"))*(PptoSty[PiColumn]=X$54),0)),SUM(IF((INDIRECT($B$3)=$B98)*(INDIRECT($C$3)=$D98)*((INDIRECT($E$3)="TOTS")+(INDIRECT($E$3)=$E98)),INDIRECT(X$3)))),_xlpm.y,SUM(_xlfn.CHOOSECOLS(_xlfn._xlws.FILTER(F_RT14[],(F_RT14[PrjId]=$B98)*(F_RT14[Vrs]=$D98)*(_xlfn.TEXTAFTER(F_RT14[ActGrp],":")=_xlfn.TEXTAFTER($H98,":")),"X"),MATCH("*"&amp;X$54,F_RT14[#Headers],0))),IF(AND(_xlpm.x=0,_xlpm.y&lt;&gt;0),-1,IF(AND(_xlpm.x&lt;&gt;0,_xlpm.y&lt;&gt;0),_xlpm.x,IF(AND(_xlpm.x-SUM(IF((INDIRECT($B$3)=$B98)*(INDIRECT($C$3)=$D98)*((INDIRECT($E$3)="TOTS")+(INDIRECT($E$3)=$E98)),INDIRECT(X$3)))&lt;&gt;0,_xlpm.y=0),-2,_xlpm.x)))),0))</f>
        <v>-1</v>
      </c>
      <c r="Y98" s="199" cm="1">
        <f t="array" aca="1" ref="Y98" ca="1">IF(OR($B98="",$B98="X",$D98="",$D98="X",$E98="",$E98="X"),0,IFERROR(_xlfn.LET(_xlpm.x,SUM(SUM(_xlfn._xlws.FILTER(VALUE(PptoSty[Sign]&amp;1)*(1/PptoSty[Division]),(PptoSty[Division]&lt;&gt;0)*(PptoSty[Division]&lt;&gt;"")*(PptoSty[Division]&lt;&gt;"X")*(PptoSty[Project]=$B98)*(PptoSty[Vrs]=$D98)*(PptoSty[PiRow]=_xlfn.TEXTAFTER($H98,":"))*(PptoSty[PiColumn]=Y$54),0)),SUM(IF((INDIRECT($B$3)=$B98)*(INDIRECT($C$3)=$D98)*((INDIRECT($E$3)="TOTS")+(INDIRECT($E$3)=$E98)),INDIRECT(Y$3)))),_xlpm.y,SUM(_xlfn.CHOOSECOLS(_xlfn._xlws.FILTER(F_RT14[],(F_RT14[PrjId]=$B98)*(F_RT14[Vrs]=$D98)*(_xlfn.TEXTAFTER(F_RT14[ActGrp],":")=_xlfn.TEXTAFTER($H98,":")),"X"),MATCH("*"&amp;Y$54,F_RT14[#Headers],0))),IF(AND(_xlpm.x=0,_xlpm.y&lt;&gt;0),-1,IF(AND(_xlpm.x&lt;&gt;0,_xlpm.y&lt;&gt;0),_xlpm.x,IF(AND(_xlpm.x-SUM(IF((INDIRECT($B$3)=$B98)*(INDIRECT($C$3)=$D98)*((INDIRECT($E$3)="TOTS")+(INDIRECT($E$3)=$E98)),INDIRECT(Y$3)))&lt;&gt;0,_xlpm.y=0),-2,_xlpm.x)))),0))</f>
        <v>0</v>
      </c>
      <c r="Z98" s="198" t="str">
        <f t="shared" ca="1" si="2"/>
        <v>Fback!B98:Y98</v>
      </c>
    </row>
    <row r="99" spans="2:26" ht="21" customHeight="1" outlineLevel="1">
      <c r="B99" s="128" t="str">
        <v>31200</v>
      </c>
      <c r="C99" s="128" t="str">
        <v>Sp</v>
      </c>
      <c r="D99" s="128">
        <v>15</v>
      </c>
      <c r="E99" s="128" t="str">
        <v>TOOL</v>
      </c>
      <c r="F99" s="139" t="str">
        <v>SERRA</v>
      </c>
      <c r="G99" s="139" t="str">
        <v>CurPpto</v>
      </c>
      <c r="H99" s="139" t="str">
        <v>P009:OP-510.1+2 WELDING (GEO)</v>
      </c>
      <c r="I99" s="199" cm="1">
        <f t="array" aca="1" ref="I99" ca="1">IF(OR($B99="",$B99="X",$D99="",$D99="X",$E99="",$E99="X"),0,IFERROR(_xlfn.LET(_xlpm.x,SUM(SUM(_xlfn._xlws.FILTER(VALUE(PptoSty[Sign]&amp;1)*(1/PptoSty[Division]),(PptoSty[Division]&lt;&gt;0)*(PptoSty[Division]&lt;&gt;"")*(PptoSty[Division]&lt;&gt;"X")*(PptoSty[Project]=$B99)*(PptoSty[Vrs]=$D99)*(PptoSty[PiRow]=_xlfn.TEXTAFTER($H99,":"))*(PptoSty[PiColumn]=I$54),0)),SUM(IF((INDIRECT($B$3)=$B99)*(INDIRECT($C$3)=$D99)*((INDIRECT($E$3)="TOTS")+(INDIRECT($E$3)=$E99)),INDIRECT(I$3)))),_xlpm.y,SUM(_xlfn.CHOOSECOLS(_xlfn._xlws.FILTER(F_RT14[],(F_RT14[PrjId]=$B99)*(F_RT14[Vrs]=$D99)*(_xlfn.TEXTAFTER(F_RT14[ActGrp],":")=_xlfn.TEXTAFTER($H99,":")),"X"),MATCH("*"&amp;I$54,F_RT14[#Headers],0))),IF(AND(_xlpm.x=0,_xlpm.y&lt;&gt;0),-1,IF(AND(_xlpm.x&lt;&gt;0,_xlpm.y&lt;&gt;0),_xlpm.x,IF(AND(_xlpm.x-SUM(IF((INDIRECT($B$3)=$B99)*(INDIRECT($C$3)=$D99)*((INDIRECT($E$3)="TOTS")+(INDIRECT($E$3)=$E99)),INDIRECT(I$3)))&lt;&gt;0,_xlpm.y=0),-2,_xlpm.x)))),0))</f>
        <v>0</v>
      </c>
      <c r="J99" s="199" cm="1">
        <f t="array" aca="1" ref="J99" ca="1">IF(OR($B99="",$B99="X",$D99="",$D99="X",$E99="",$E99="X"),0,IFERROR(_xlfn.LET(_xlpm.x,SUM(SUM(_xlfn._xlws.FILTER(VALUE(PptoSty[Sign]&amp;1)*(1/PptoSty[Division]),(PptoSty[Division]&lt;&gt;0)*(PptoSty[Division]&lt;&gt;"")*(PptoSty[Division]&lt;&gt;"X")*(PptoSty[Project]=$B99)*(PptoSty[Vrs]=$D99)*(PptoSty[PiRow]=_xlfn.TEXTAFTER($H99,":"))*(PptoSty[PiColumn]=J$54),0)),SUM(IF((INDIRECT($B$3)=$B99)*(INDIRECT($C$3)=$D99)*((INDIRECT($E$3)="TOTS")+(INDIRECT($E$3)=$E99)),INDIRECT(J$3)))),_xlpm.y,SUM(_xlfn.CHOOSECOLS(_xlfn._xlws.FILTER(F_RT14[],(F_RT14[PrjId]=$B99)*(F_RT14[Vrs]=$D99)*(_xlfn.TEXTAFTER(F_RT14[ActGrp],":")=_xlfn.TEXTAFTER($H99,":")),"X"),MATCH("*"&amp;J$54,F_RT14[#Headers],0))),IF(AND(_xlpm.x=0,_xlpm.y&lt;&gt;0),-1,IF(AND(_xlpm.x&lt;&gt;0,_xlpm.y&lt;&gt;0),_xlpm.x,IF(AND(_xlpm.x-SUM(IF((INDIRECT($B$3)=$B99)*(INDIRECT($C$3)=$D99)*((INDIRECT($E$3)="TOTS")+(INDIRECT($E$3)=$E99)),INDIRECT(J$3)))&lt;&gt;0,_xlpm.y=0),-2,_xlpm.x)))),0))</f>
        <v>0</v>
      </c>
      <c r="K99" s="199" cm="1">
        <f t="array" aca="1" ref="K99" ca="1">IF(OR($B99="",$B99="X",$D99="",$D99="X",$E99="",$E99="X"),0,IFERROR(_xlfn.LET(_xlpm.x,SUM(SUM(_xlfn._xlws.FILTER(VALUE(PptoSty[Sign]&amp;1)*(1/PptoSty[Division]),(PptoSty[Division]&lt;&gt;0)*(PptoSty[Division]&lt;&gt;"")*(PptoSty[Division]&lt;&gt;"X")*(PptoSty[Project]=$B99)*(PptoSty[Vrs]=$D99)*(PptoSty[PiRow]=_xlfn.TEXTAFTER($H99,":"))*(PptoSty[PiColumn]=K$54),0)),SUM(IF((INDIRECT($B$3)=$B99)*(INDIRECT($C$3)=$D99)*((INDIRECT($E$3)="TOTS")+(INDIRECT($E$3)=$E99)),INDIRECT(K$3)))),_xlpm.y,SUM(_xlfn.CHOOSECOLS(_xlfn._xlws.FILTER(F_RT14[],(F_RT14[PrjId]=$B99)*(F_RT14[Vrs]=$D99)*(_xlfn.TEXTAFTER(F_RT14[ActGrp],":")=_xlfn.TEXTAFTER($H99,":")),"X"),MATCH("*"&amp;K$54,F_RT14[#Headers],0))),IF(AND(_xlpm.x=0,_xlpm.y&lt;&gt;0),-1,IF(AND(_xlpm.x&lt;&gt;0,_xlpm.y&lt;&gt;0),_xlpm.x,IF(AND(_xlpm.x-SUM(IF((INDIRECT($B$3)=$B99)*(INDIRECT($C$3)=$D99)*((INDIRECT($E$3)="TOTS")+(INDIRECT($E$3)=$E99)),INDIRECT(K$3)))&lt;&gt;0,_xlpm.y=0),-2,_xlpm.x)))),0))</f>
        <v>-1</v>
      </c>
      <c r="L99" s="199" cm="1">
        <f t="array" aca="1" ref="L99" ca="1">IF(OR($B99="",$B99="X",$D99="",$D99="X",$E99="",$E99="X"),0,IFERROR(_xlfn.LET(_xlpm.x,SUM(SUM(_xlfn._xlws.FILTER(VALUE(PptoSty[Sign]&amp;1)*(1/PptoSty[Division]),(PptoSty[Division]&lt;&gt;0)*(PptoSty[Division]&lt;&gt;"")*(PptoSty[Division]&lt;&gt;"X")*(PptoSty[Project]=$B99)*(PptoSty[Vrs]=$D99)*(PptoSty[PiRow]=_xlfn.TEXTAFTER($H99,":"))*(PptoSty[PiColumn]=L$54),0)),SUM(IF((INDIRECT($B$3)=$B99)*(INDIRECT($C$3)=$D99)*((INDIRECT($E$3)="TOTS")+(INDIRECT($E$3)=$E99)),INDIRECT(L$3)))),_xlpm.y,SUM(_xlfn.CHOOSECOLS(_xlfn._xlws.FILTER(F_RT14[],(F_RT14[PrjId]=$B99)*(F_RT14[Vrs]=$D99)*(_xlfn.TEXTAFTER(F_RT14[ActGrp],":")=_xlfn.TEXTAFTER($H99,":")),"X"),MATCH("*"&amp;L$54,F_RT14[#Headers],0))),IF(AND(_xlpm.x=0,_xlpm.y&lt;&gt;0),-1,IF(AND(_xlpm.x&lt;&gt;0,_xlpm.y&lt;&gt;0),_xlpm.x,IF(AND(_xlpm.x-SUM(IF((INDIRECT($B$3)=$B99)*(INDIRECT($C$3)=$D99)*((INDIRECT($E$3)="TOTS")+(INDIRECT($E$3)=$E99)),INDIRECT(L$3)))&lt;&gt;0,_xlpm.y=0),-2,_xlpm.x)))),0))</f>
        <v>0</v>
      </c>
      <c r="M99" s="199" cm="1">
        <f t="array" aca="1" ref="M99" ca="1">IF(OR($B99="",$B99="X",$D99="",$D99="X",$E99="",$E99="X"),0,IFERROR(_xlfn.LET(_xlpm.x,SUM(SUM(_xlfn._xlws.FILTER(VALUE(PptoSty[Sign]&amp;1)*(1/PptoSty[Division]),(PptoSty[Division]&lt;&gt;0)*(PptoSty[Division]&lt;&gt;"")*(PptoSty[Division]&lt;&gt;"X")*(PptoSty[Project]=$B99)*(PptoSty[Vrs]=$D99)*(PptoSty[PiRow]=_xlfn.TEXTAFTER($H99,":"))*(PptoSty[PiColumn]=M$54),0)),SUM(IF((INDIRECT($B$3)=$B99)*(INDIRECT($C$3)=$D99)*((INDIRECT($E$3)="TOTS")+(INDIRECT($E$3)=$E99)),INDIRECT(M$3)))),_xlpm.y,SUM(_xlfn.CHOOSECOLS(_xlfn._xlws.FILTER(F_RT14[],(F_RT14[PrjId]=$B99)*(F_RT14[Vrs]=$D99)*(_xlfn.TEXTAFTER(F_RT14[ActGrp],":")=_xlfn.TEXTAFTER($H99,":")),"X"),MATCH("*"&amp;M$54,F_RT14[#Headers],0))),IF(AND(_xlpm.x=0,_xlpm.y&lt;&gt;0),-1,IF(AND(_xlpm.x&lt;&gt;0,_xlpm.y&lt;&gt;0),_xlpm.x,IF(AND(_xlpm.x-SUM(IF((INDIRECT($B$3)=$B99)*(INDIRECT($C$3)=$D99)*((INDIRECT($E$3)="TOTS")+(INDIRECT($E$3)=$E99)),INDIRECT(M$3)))&lt;&gt;0,_xlpm.y=0),-2,_xlpm.x)))),0))</f>
        <v>0</v>
      </c>
      <c r="N99" s="199" cm="1">
        <f t="array" aca="1" ref="N99" ca="1">IF(OR($B99="",$B99="X",$D99="",$D99="X",$E99="",$E99="X"),0,IFERROR(_xlfn.LET(_xlpm.x,SUM(SUM(_xlfn._xlws.FILTER(VALUE(PptoSty[Sign]&amp;1)*(1/PptoSty[Division]),(PptoSty[Division]&lt;&gt;0)*(PptoSty[Division]&lt;&gt;"")*(PptoSty[Division]&lt;&gt;"X")*(PptoSty[Project]=$B99)*(PptoSty[Vrs]=$D99)*(PptoSty[PiRow]=_xlfn.TEXTAFTER($H99,":"))*(PptoSty[PiColumn]=N$54),0)),SUM(IF((INDIRECT($B$3)=$B99)*(INDIRECT($C$3)=$D99)*((INDIRECT($E$3)="TOTS")+(INDIRECT($E$3)=$E99)),INDIRECT(N$3)))),_xlpm.y,SUM(_xlfn.CHOOSECOLS(_xlfn._xlws.FILTER(F_RT14[],(F_RT14[PrjId]=$B99)*(F_RT14[Vrs]=$D99)*(_xlfn.TEXTAFTER(F_RT14[ActGrp],":")=_xlfn.TEXTAFTER($H99,":")),"X"),MATCH("*"&amp;N$54,F_RT14[#Headers],0))),IF(AND(_xlpm.x=0,_xlpm.y&lt;&gt;0),-1,IF(AND(_xlpm.x&lt;&gt;0,_xlpm.y&lt;&gt;0),_xlpm.x,IF(AND(_xlpm.x-SUM(IF((INDIRECT($B$3)=$B99)*(INDIRECT($C$3)=$D99)*((INDIRECT($E$3)="TOTS")+(INDIRECT($E$3)=$E99)),INDIRECT(N$3)))&lt;&gt;0,_xlpm.y=0),-2,_xlpm.x)))),0))</f>
        <v>-1</v>
      </c>
      <c r="O99" s="199" cm="1">
        <f t="array" aca="1" ref="O99" ca="1">IF(OR($B99="",$B99="X",$D99="",$D99="X",$E99="",$E99="X"),0,IFERROR(_xlfn.LET(_xlpm.x,SUM(SUM(_xlfn._xlws.FILTER(VALUE(PptoSty[Sign]&amp;1)*(1/PptoSty[Division]),(PptoSty[Division]&lt;&gt;0)*(PptoSty[Division]&lt;&gt;"")*(PptoSty[Division]&lt;&gt;"X")*(PptoSty[Project]=$B99)*(PptoSty[Vrs]=$D99)*(PptoSty[PiRow]=_xlfn.TEXTAFTER($H99,":"))*(PptoSty[PiColumn]=O$54),0)),SUM(IF((INDIRECT($B$3)=$B99)*(INDIRECT($C$3)=$D99)*((INDIRECT($E$3)="TOTS")+(INDIRECT($E$3)=$E99)),INDIRECT(O$3)))),_xlpm.y,SUM(_xlfn.CHOOSECOLS(_xlfn._xlws.FILTER(F_RT14[],(F_RT14[PrjId]=$B99)*(F_RT14[Vrs]=$D99)*(_xlfn.TEXTAFTER(F_RT14[ActGrp],":")=_xlfn.TEXTAFTER($H99,":")),"X"),MATCH("*"&amp;O$54,F_RT14[#Headers],0))),IF(AND(_xlpm.x=0,_xlpm.y&lt;&gt;0),-1,IF(AND(_xlpm.x&lt;&gt;0,_xlpm.y&lt;&gt;0),_xlpm.x,IF(AND(_xlpm.x-SUM(IF((INDIRECT($B$3)=$B99)*(INDIRECT($C$3)=$D99)*((INDIRECT($E$3)="TOTS")+(INDIRECT($E$3)=$E99)),INDIRECT(O$3)))&lt;&gt;0,_xlpm.y=0),-2,_xlpm.x)))),0))</f>
        <v>0</v>
      </c>
      <c r="P99" s="199" cm="1">
        <f t="array" aca="1" ref="P99" ca="1">IF(OR($B99="",$B99="X",$D99="",$D99="X",$E99="",$E99="X"),0,IFERROR(_xlfn.LET(_xlpm.x,SUM(SUM(_xlfn._xlws.FILTER(VALUE(PptoSty[Sign]&amp;1)*(1/PptoSty[Division]),(PptoSty[Division]&lt;&gt;0)*(PptoSty[Division]&lt;&gt;"")*(PptoSty[Division]&lt;&gt;"X")*(PptoSty[Project]=$B99)*(PptoSty[Vrs]=$D99)*(PptoSty[PiRow]=_xlfn.TEXTAFTER($H99,":"))*(PptoSty[PiColumn]=P$54),0)),SUM(IF((INDIRECT($B$3)=$B99)*(INDIRECT($C$3)=$D99)*((INDIRECT($E$3)="TOTS")+(INDIRECT($E$3)=$E99)),INDIRECT(P$3)))),_xlpm.y,SUM(_xlfn.CHOOSECOLS(_xlfn._xlws.FILTER(F_RT14[],(F_RT14[PrjId]=$B99)*(F_RT14[Vrs]=$D99)*(_xlfn.TEXTAFTER(F_RT14[ActGrp],":")=_xlfn.TEXTAFTER($H99,":")),"X"),MATCH("*"&amp;P$54,F_RT14[#Headers],0))),IF(AND(_xlpm.x=0,_xlpm.y&lt;&gt;0),-1,IF(AND(_xlpm.x&lt;&gt;0,_xlpm.y&lt;&gt;0),_xlpm.x,IF(AND(_xlpm.x-SUM(IF((INDIRECT($B$3)=$B99)*(INDIRECT($C$3)=$D99)*((INDIRECT($E$3)="TOTS")+(INDIRECT($E$3)=$E99)),INDIRECT(P$3)))&lt;&gt;0,_xlpm.y=0),-2,_xlpm.x)))),0))</f>
        <v>-1</v>
      </c>
      <c r="Q99" s="199" cm="1">
        <f t="array" aca="1" ref="Q99" ca="1">IF(OR($B99="",$B99="X",$D99="",$D99="X",$E99="",$E99="X"),0,IFERROR(_xlfn.LET(_xlpm.x,SUM(SUM(_xlfn._xlws.FILTER(VALUE(PptoSty[Sign]&amp;1)*(1/PptoSty[Division]),(PptoSty[Division]&lt;&gt;0)*(PptoSty[Division]&lt;&gt;"")*(PptoSty[Division]&lt;&gt;"X")*(PptoSty[Project]=$B99)*(PptoSty[Vrs]=$D99)*(PptoSty[PiRow]=_xlfn.TEXTAFTER($H99,":"))*(PptoSty[PiColumn]=Q$54),0)),SUM(IF((INDIRECT($B$3)=$B99)*(INDIRECT($C$3)=$D99)*((INDIRECT($E$3)="TOTS")+(INDIRECT($E$3)=$E99)),INDIRECT(Q$3)))),_xlpm.y,SUM(_xlfn.CHOOSECOLS(_xlfn._xlws.FILTER(F_RT14[],(F_RT14[PrjId]=$B99)*(F_RT14[Vrs]=$D99)*(_xlfn.TEXTAFTER(F_RT14[ActGrp],":")=_xlfn.TEXTAFTER($H99,":")),"X"),MATCH("*"&amp;Q$54,F_RT14[#Headers],0))),IF(AND(_xlpm.x=0,_xlpm.y&lt;&gt;0),-1,IF(AND(_xlpm.x&lt;&gt;0,_xlpm.y&lt;&gt;0),_xlpm.x,IF(AND(_xlpm.x-SUM(IF((INDIRECT($B$3)=$B99)*(INDIRECT($C$3)=$D99)*((INDIRECT($E$3)="TOTS")+(INDIRECT($E$3)=$E99)),INDIRECT(Q$3)))&lt;&gt;0,_xlpm.y=0),-2,_xlpm.x)))),0))</f>
        <v>-1</v>
      </c>
      <c r="R99" s="199" cm="1">
        <f t="array" aca="1" ref="R99" ca="1">IF(OR($B99="",$B99="X",$D99="",$D99="X",$E99="",$E99="X"),0,IFERROR(_xlfn.LET(_xlpm.x,SUM(SUM(_xlfn._xlws.FILTER(VALUE(PptoSty[Sign]&amp;1)*(1/PptoSty[Division]),(PptoSty[Division]&lt;&gt;0)*(PptoSty[Division]&lt;&gt;"")*(PptoSty[Division]&lt;&gt;"X")*(PptoSty[Project]=$B99)*(PptoSty[Vrs]=$D99)*(PptoSty[PiRow]=_xlfn.TEXTAFTER($H99,":"))*(PptoSty[PiColumn]=R$54),0)),SUM(IF((INDIRECT($B$3)=$B99)*(INDIRECT($C$3)=$D99)*((INDIRECT($E$3)="TOTS")+(INDIRECT($E$3)=$E99)),INDIRECT(R$3)))),_xlpm.y,SUM(_xlfn.CHOOSECOLS(_xlfn._xlws.FILTER(F_RT14[],(F_RT14[PrjId]=$B99)*(F_RT14[Vrs]=$D99)*(_xlfn.TEXTAFTER(F_RT14[ActGrp],":")=_xlfn.TEXTAFTER($H99,":")),"X"),MATCH("*"&amp;R$54,F_RT14[#Headers],0))),IF(AND(_xlpm.x=0,_xlpm.y&lt;&gt;0),-1,IF(AND(_xlpm.x&lt;&gt;0,_xlpm.y&lt;&gt;0),_xlpm.x,IF(AND(_xlpm.x-SUM(IF((INDIRECT($B$3)=$B99)*(INDIRECT($C$3)=$D99)*((INDIRECT($E$3)="TOTS")+(INDIRECT($E$3)=$E99)),INDIRECT(R$3)))&lt;&gt;0,_xlpm.y=0),-2,_xlpm.x)))),0))</f>
        <v>-1</v>
      </c>
      <c r="S99" s="199" cm="1">
        <f t="array" aca="1" ref="S99" ca="1">IF(OR($B99="",$B99="X",$D99="",$D99="X",$E99="",$E99="X"),0,IFERROR(_xlfn.LET(_xlpm.x,SUM(SUM(_xlfn._xlws.FILTER(VALUE(PptoSty[Sign]&amp;1)*(1/PptoSty[Division]),(PptoSty[Division]&lt;&gt;0)*(PptoSty[Division]&lt;&gt;"")*(PptoSty[Division]&lt;&gt;"X")*(PptoSty[Project]=$B99)*(PptoSty[Vrs]=$D99)*(PptoSty[PiRow]=_xlfn.TEXTAFTER($H99,":"))*(PptoSty[PiColumn]=S$54),0)),SUM(IF((INDIRECT($B$3)=$B99)*(INDIRECT($C$3)=$D99)*((INDIRECT($E$3)="TOTS")+(INDIRECT($E$3)=$E99)),INDIRECT(S$3)))),_xlpm.y,SUM(_xlfn.CHOOSECOLS(_xlfn._xlws.FILTER(F_RT14[],(F_RT14[PrjId]=$B99)*(F_RT14[Vrs]=$D99)*(_xlfn.TEXTAFTER(F_RT14[ActGrp],":")=_xlfn.TEXTAFTER($H99,":")),"X"),MATCH("*"&amp;S$54,F_RT14[#Headers],0))),IF(AND(_xlpm.x=0,_xlpm.y&lt;&gt;0),-1,IF(AND(_xlpm.x&lt;&gt;0,_xlpm.y&lt;&gt;0),_xlpm.x,IF(AND(_xlpm.x-SUM(IF((INDIRECT($B$3)=$B99)*(INDIRECT($C$3)=$D99)*((INDIRECT($E$3)="TOTS")+(INDIRECT($E$3)=$E99)),INDIRECT(S$3)))&lt;&gt;0,_xlpm.y=0),-2,_xlpm.x)))),0))</f>
        <v>-1</v>
      </c>
      <c r="T99" s="199" cm="1">
        <f t="array" aca="1" ref="T99" ca="1">IF(OR($B99="",$B99="X",$D99="",$D99="X",$E99="",$E99="X"),0,IFERROR(_xlfn.LET(_xlpm.x,SUM(SUM(_xlfn._xlws.FILTER(VALUE(PptoSty[Sign]&amp;1)*(1/PptoSty[Division]),(PptoSty[Division]&lt;&gt;0)*(PptoSty[Division]&lt;&gt;"")*(PptoSty[Division]&lt;&gt;"X")*(PptoSty[Project]=$B99)*(PptoSty[Vrs]=$D99)*(PptoSty[PiRow]=_xlfn.TEXTAFTER($H99,":"))*(PptoSty[PiColumn]=T$54),0)),SUM(IF((INDIRECT($B$3)=$B99)*(INDIRECT($C$3)=$D99)*((INDIRECT($E$3)="TOTS")+(INDIRECT($E$3)=$E99)),INDIRECT(T$3)))),_xlpm.y,SUM(_xlfn.CHOOSECOLS(_xlfn._xlws.FILTER(F_RT14[],(F_RT14[PrjId]=$B99)*(F_RT14[Vrs]=$D99)*(_xlfn.TEXTAFTER(F_RT14[ActGrp],":")=_xlfn.TEXTAFTER($H99,":")),"X"),MATCH("*"&amp;T$54,F_RT14[#Headers],0))),IF(AND(_xlpm.x=0,_xlpm.y&lt;&gt;0),-1,IF(AND(_xlpm.x&lt;&gt;0,_xlpm.y&lt;&gt;0),_xlpm.x,IF(AND(_xlpm.x-SUM(IF((INDIRECT($B$3)=$B99)*(INDIRECT($C$3)=$D99)*((INDIRECT($E$3)="TOTS")+(INDIRECT($E$3)=$E99)),INDIRECT(T$3)))&lt;&gt;0,_xlpm.y=0),-2,_xlpm.x)))),0))</f>
        <v>-1</v>
      </c>
      <c r="U99" s="199" cm="1">
        <f t="array" aca="1" ref="U99" ca="1">IF(OR($B99="",$B99="X",$D99="",$D99="X",$E99="",$E99="X"),0,IFERROR(_xlfn.LET(_xlpm.x,SUM(SUM(_xlfn._xlws.FILTER(VALUE(PptoSty[Sign]&amp;1)*(1/PptoSty[Division]),(PptoSty[Division]&lt;&gt;0)*(PptoSty[Division]&lt;&gt;"")*(PptoSty[Division]&lt;&gt;"X")*(PptoSty[Project]=$B99)*(PptoSty[Vrs]=$D99)*(PptoSty[PiRow]=_xlfn.TEXTAFTER($H99,":"))*(PptoSty[PiColumn]=U$54),0)),SUM(IF((INDIRECT($B$3)=$B99)*(INDIRECT($C$3)=$D99)*((INDIRECT($E$3)="TOTS")+(INDIRECT($E$3)=$E99)),INDIRECT(U$3)))),_xlpm.y,SUM(_xlfn.CHOOSECOLS(_xlfn._xlws.FILTER(F_RT14[],(F_RT14[PrjId]=$B99)*(F_RT14[Vrs]=$D99)*(_xlfn.TEXTAFTER(F_RT14[ActGrp],":")=_xlfn.TEXTAFTER($H99,":")),"X"),MATCH("*"&amp;U$54,F_RT14[#Headers],0))),IF(AND(_xlpm.x=0,_xlpm.y&lt;&gt;0),-1,IF(AND(_xlpm.x&lt;&gt;0,_xlpm.y&lt;&gt;0),_xlpm.x,IF(AND(_xlpm.x-SUM(IF((INDIRECT($B$3)=$B99)*(INDIRECT($C$3)=$D99)*((INDIRECT($E$3)="TOTS")+(INDIRECT($E$3)=$E99)),INDIRECT(U$3)))&lt;&gt;0,_xlpm.y=0),-2,_xlpm.x)))),0))</f>
        <v>0</v>
      </c>
      <c r="V99" s="199" cm="1">
        <f t="array" aca="1" ref="V99" ca="1">IF(OR($B99="",$B99="X",$D99="",$D99="X",$E99="",$E99="X"),0,IFERROR(_xlfn.LET(_xlpm.x,SUM(SUM(_xlfn._xlws.FILTER(VALUE(PptoSty[Sign]&amp;1)*(1/PptoSty[Division]),(PptoSty[Division]&lt;&gt;0)*(PptoSty[Division]&lt;&gt;"")*(PptoSty[Division]&lt;&gt;"X")*(PptoSty[Project]=$B99)*(PptoSty[Vrs]=$D99)*(PptoSty[PiRow]=_xlfn.TEXTAFTER($H99,":"))*(PptoSty[PiColumn]=V$54),0)),SUM(IF((INDIRECT($B$3)=$B99)*(INDIRECT($C$3)=$D99)*((INDIRECT($E$3)="TOTS")+(INDIRECT($E$3)=$E99)),INDIRECT(V$3)))),_xlpm.y,SUM(_xlfn.CHOOSECOLS(_xlfn._xlws.FILTER(F_RT14[],(F_RT14[PrjId]=$B99)*(F_RT14[Vrs]=$D99)*(_xlfn.TEXTAFTER(F_RT14[ActGrp],":")=_xlfn.TEXTAFTER($H99,":")),"X"),MATCH("*"&amp;V$54,F_RT14[#Headers],0))),IF(AND(_xlpm.x=0,_xlpm.y&lt;&gt;0),-1,IF(AND(_xlpm.x&lt;&gt;0,_xlpm.y&lt;&gt;0),_xlpm.x,IF(AND(_xlpm.x-SUM(IF((INDIRECT($B$3)=$B99)*(INDIRECT($C$3)=$D99)*((INDIRECT($E$3)="TOTS")+(INDIRECT($E$3)=$E99)),INDIRECT(V$3)))&lt;&gt;0,_xlpm.y=0),-2,_xlpm.x)))),0))</f>
        <v>-1</v>
      </c>
      <c r="W99" s="199" cm="1">
        <f t="array" aca="1" ref="W99" ca="1">IF(OR($B99="",$B99="X",$D99="",$D99="X",$E99="",$E99="X"),0,IFERROR(_xlfn.LET(_xlpm.x,SUM(SUM(_xlfn._xlws.FILTER(VALUE(PptoSty[Sign]&amp;1)*(1/PptoSty[Division]),(PptoSty[Division]&lt;&gt;0)*(PptoSty[Division]&lt;&gt;"")*(PptoSty[Division]&lt;&gt;"X")*(PptoSty[Project]=$B99)*(PptoSty[Vrs]=$D99)*(PptoSty[PiRow]=_xlfn.TEXTAFTER($H99,":"))*(PptoSty[PiColumn]=W$54),0)),SUM(IF((INDIRECT($B$3)=$B99)*(INDIRECT($C$3)=$D99)*((INDIRECT($E$3)="TOTS")+(INDIRECT($E$3)=$E99)),INDIRECT(W$3)))),_xlpm.y,SUM(_xlfn.CHOOSECOLS(_xlfn._xlws.FILTER(F_RT14[],(F_RT14[PrjId]=$B99)*(F_RT14[Vrs]=$D99)*(_xlfn.TEXTAFTER(F_RT14[ActGrp],":")=_xlfn.TEXTAFTER($H99,":")),"X"),MATCH("*"&amp;W$54,F_RT14[#Headers],0))),IF(AND(_xlpm.x=0,_xlpm.y&lt;&gt;0),-1,IF(AND(_xlpm.x&lt;&gt;0,_xlpm.y&lt;&gt;0),_xlpm.x,IF(AND(_xlpm.x-SUM(IF((INDIRECT($B$3)=$B99)*(INDIRECT($C$3)=$D99)*((INDIRECT($E$3)="TOTS")+(INDIRECT($E$3)=$E99)),INDIRECT(W$3)))&lt;&gt;0,_xlpm.y=0),-2,_xlpm.x)))),0))</f>
        <v>-1</v>
      </c>
      <c r="X99" s="199" cm="1">
        <f t="array" aca="1" ref="X99" ca="1">IF(OR($B99="",$B99="X",$D99="",$D99="X",$E99="",$E99="X"),0,IFERROR(_xlfn.LET(_xlpm.x,SUM(SUM(_xlfn._xlws.FILTER(VALUE(PptoSty[Sign]&amp;1)*(1/PptoSty[Division]),(PptoSty[Division]&lt;&gt;0)*(PptoSty[Division]&lt;&gt;"")*(PptoSty[Division]&lt;&gt;"X")*(PptoSty[Project]=$B99)*(PptoSty[Vrs]=$D99)*(PptoSty[PiRow]=_xlfn.TEXTAFTER($H99,":"))*(PptoSty[PiColumn]=X$54),0)),SUM(IF((INDIRECT($B$3)=$B99)*(INDIRECT($C$3)=$D99)*((INDIRECT($E$3)="TOTS")+(INDIRECT($E$3)=$E99)),INDIRECT(X$3)))),_xlpm.y,SUM(_xlfn.CHOOSECOLS(_xlfn._xlws.FILTER(F_RT14[],(F_RT14[PrjId]=$B99)*(F_RT14[Vrs]=$D99)*(_xlfn.TEXTAFTER(F_RT14[ActGrp],":")=_xlfn.TEXTAFTER($H99,":")),"X"),MATCH("*"&amp;X$54,F_RT14[#Headers],0))),IF(AND(_xlpm.x=0,_xlpm.y&lt;&gt;0),-1,IF(AND(_xlpm.x&lt;&gt;0,_xlpm.y&lt;&gt;0),_xlpm.x,IF(AND(_xlpm.x-SUM(IF((INDIRECT($B$3)=$B99)*(INDIRECT($C$3)=$D99)*((INDIRECT($E$3)="TOTS")+(INDIRECT($E$3)=$E99)),INDIRECT(X$3)))&lt;&gt;0,_xlpm.y=0),-2,_xlpm.x)))),0))</f>
        <v>-1</v>
      </c>
      <c r="Y99" s="199" cm="1">
        <f t="array" aca="1" ref="Y99" ca="1">IF(OR($B99="",$B99="X",$D99="",$D99="X",$E99="",$E99="X"),0,IFERROR(_xlfn.LET(_xlpm.x,SUM(SUM(_xlfn._xlws.FILTER(VALUE(PptoSty[Sign]&amp;1)*(1/PptoSty[Division]),(PptoSty[Division]&lt;&gt;0)*(PptoSty[Division]&lt;&gt;"")*(PptoSty[Division]&lt;&gt;"X")*(PptoSty[Project]=$B99)*(PptoSty[Vrs]=$D99)*(PptoSty[PiRow]=_xlfn.TEXTAFTER($H99,":"))*(PptoSty[PiColumn]=Y$54),0)),SUM(IF((INDIRECT($B$3)=$B99)*(INDIRECT($C$3)=$D99)*((INDIRECT($E$3)="TOTS")+(INDIRECT($E$3)=$E99)),INDIRECT(Y$3)))),_xlpm.y,SUM(_xlfn.CHOOSECOLS(_xlfn._xlws.FILTER(F_RT14[],(F_RT14[PrjId]=$B99)*(F_RT14[Vrs]=$D99)*(_xlfn.TEXTAFTER(F_RT14[ActGrp],":")=_xlfn.TEXTAFTER($H99,":")),"X"),MATCH("*"&amp;Y$54,F_RT14[#Headers],0))),IF(AND(_xlpm.x=0,_xlpm.y&lt;&gt;0),-1,IF(AND(_xlpm.x&lt;&gt;0,_xlpm.y&lt;&gt;0),_xlpm.x,IF(AND(_xlpm.x-SUM(IF((INDIRECT($B$3)=$B99)*(INDIRECT($C$3)=$D99)*((INDIRECT($E$3)="TOTS")+(INDIRECT($E$3)=$E99)),INDIRECT(Y$3)))&lt;&gt;0,_xlpm.y=0),-2,_xlpm.x)))),0))</f>
        <v>0</v>
      </c>
      <c r="Z99" s="198" t="str">
        <f t="shared" ca="1" si="2"/>
        <v>Fback!B99:Y99</v>
      </c>
    </row>
    <row r="100" spans="2:26" ht="21" customHeight="1" outlineLevel="1">
      <c r="B100" s="128" t="str">
        <v>31199</v>
      </c>
      <c r="C100" s="128" t="str">
        <v>Sp</v>
      </c>
      <c r="D100" s="128">
        <v>0</v>
      </c>
      <c r="E100" s="128" t="str">
        <v>TOOL</v>
      </c>
      <c r="F100" s="139" t="str">
        <v>SERRA</v>
      </c>
      <c r="G100" s="139" t="str">
        <v>CurPpto</v>
      </c>
      <c r="H100" s="139" t="str">
        <v>P010:FIXTURE OP-430 GEO II</v>
      </c>
      <c r="I100" s="199" cm="1">
        <f t="array" aca="1" ref="I100" ca="1">IF(OR($B100="",$B100="X",$D100="",$D100="X",$E100="",$E100="X"),0,IFERROR(_xlfn.LET(_xlpm.x,SUM(SUM(_xlfn._xlws.FILTER(VALUE(PptoSty[Sign]&amp;1)*(1/PptoSty[Division]),(PptoSty[Division]&lt;&gt;0)*(PptoSty[Division]&lt;&gt;"")*(PptoSty[Division]&lt;&gt;"X")*(PptoSty[Project]=$B100)*(PptoSty[Vrs]=$D100)*(PptoSty[PiRow]=_xlfn.TEXTAFTER($H100,":"))*(PptoSty[PiColumn]=I$54),0)),SUM(IF((INDIRECT($B$3)=$B100)*(INDIRECT($C$3)=$D100)*((INDIRECT($E$3)="TOTS")+(INDIRECT($E$3)=$E100)),INDIRECT(I$3)))),_xlpm.y,SUM(_xlfn.CHOOSECOLS(_xlfn._xlws.FILTER(F_RT14[],(F_RT14[PrjId]=$B100)*(F_RT14[Vrs]=$D100)*(_xlfn.TEXTAFTER(F_RT14[ActGrp],":")=_xlfn.TEXTAFTER($H100,":")),"X"),MATCH("*"&amp;I$54,F_RT14[#Headers],0))),IF(AND(_xlpm.x=0,_xlpm.y&lt;&gt;0),-1,IF(AND(_xlpm.x&lt;&gt;0,_xlpm.y&lt;&gt;0),_xlpm.x,IF(AND(_xlpm.x-SUM(IF((INDIRECT($B$3)=$B100)*(INDIRECT($C$3)=$D100)*((INDIRECT($E$3)="TOTS")+(INDIRECT($E$3)=$E100)),INDIRECT(I$3)))&lt;&gt;0,_xlpm.y=0),-2,_xlpm.x)))),0))</f>
        <v>0</v>
      </c>
      <c r="J100" s="199" cm="1">
        <f t="array" aca="1" ref="J100" ca="1">IF(OR($B100="",$B100="X",$D100="",$D100="X",$E100="",$E100="X"),0,IFERROR(_xlfn.LET(_xlpm.x,SUM(SUM(_xlfn._xlws.FILTER(VALUE(PptoSty[Sign]&amp;1)*(1/PptoSty[Division]),(PptoSty[Division]&lt;&gt;0)*(PptoSty[Division]&lt;&gt;"")*(PptoSty[Division]&lt;&gt;"X")*(PptoSty[Project]=$B100)*(PptoSty[Vrs]=$D100)*(PptoSty[PiRow]=_xlfn.TEXTAFTER($H100,":"))*(PptoSty[PiColumn]=J$54),0)),SUM(IF((INDIRECT($B$3)=$B100)*(INDIRECT($C$3)=$D100)*((INDIRECT($E$3)="TOTS")+(INDIRECT($E$3)=$E100)),INDIRECT(J$3)))),_xlpm.y,SUM(_xlfn.CHOOSECOLS(_xlfn._xlws.FILTER(F_RT14[],(F_RT14[PrjId]=$B100)*(F_RT14[Vrs]=$D100)*(_xlfn.TEXTAFTER(F_RT14[ActGrp],":")=_xlfn.TEXTAFTER($H100,":")),"X"),MATCH("*"&amp;J$54,F_RT14[#Headers],0))),IF(AND(_xlpm.x=0,_xlpm.y&lt;&gt;0),-1,IF(AND(_xlpm.x&lt;&gt;0,_xlpm.y&lt;&gt;0),_xlpm.x,IF(AND(_xlpm.x-SUM(IF((INDIRECT($B$3)=$B100)*(INDIRECT($C$3)=$D100)*((INDIRECT($E$3)="TOTS")+(INDIRECT($E$3)=$E100)),INDIRECT(J$3)))&lt;&gt;0,_xlpm.y=0),-2,_xlpm.x)))),0))</f>
        <v>0</v>
      </c>
      <c r="K100" s="199" cm="1">
        <f t="array" aca="1" ref="K100" ca="1">IF(OR($B100="",$B100="X",$D100="",$D100="X",$E100="",$E100="X"),0,IFERROR(_xlfn.LET(_xlpm.x,SUM(SUM(_xlfn._xlws.FILTER(VALUE(PptoSty[Sign]&amp;1)*(1/PptoSty[Division]),(PptoSty[Division]&lt;&gt;0)*(PptoSty[Division]&lt;&gt;"")*(PptoSty[Division]&lt;&gt;"X")*(PptoSty[Project]=$B100)*(PptoSty[Vrs]=$D100)*(PptoSty[PiRow]=_xlfn.TEXTAFTER($H100,":"))*(PptoSty[PiColumn]=K$54),0)),SUM(IF((INDIRECT($B$3)=$B100)*(INDIRECT($C$3)=$D100)*((INDIRECT($E$3)="TOTS")+(INDIRECT($E$3)=$E100)),INDIRECT(K$3)))),_xlpm.y,SUM(_xlfn.CHOOSECOLS(_xlfn._xlws.FILTER(F_RT14[],(F_RT14[PrjId]=$B100)*(F_RT14[Vrs]=$D100)*(_xlfn.TEXTAFTER(F_RT14[ActGrp],":")=_xlfn.TEXTAFTER($H100,":")),"X"),MATCH("*"&amp;K$54,F_RT14[#Headers],0))),IF(AND(_xlpm.x=0,_xlpm.y&lt;&gt;0),-1,IF(AND(_xlpm.x&lt;&gt;0,_xlpm.y&lt;&gt;0),_xlpm.x,IF(AND(_xlpm.x-SUM(IF((INDIRECT($B$3)=$B100)*(INDIRECT($C$3)=$D100)*((INDIRECT($E$3)="TOTS")+(INDIRECT($E$3)=$E100)),INDIRECT(K$3)))&lt;&gt;0,_xlpm.y=0),-2,_xlpm.x)))),0))</f>
        <v>-1</v>
      </c>
      <c r="L100" s="199" cm="1">
        <f t="array" aca="1" ref="L100" ca="1">IF(OR($B100="",$B100="X",$D100="",$D100="X",$E100="",$E100="X"),0,IFERROR(_xlfn.LET(_xlpm.x,SUM(SUM(_xlfn._xlws.FILTER(VALUE(PptoSty[Sign]&amp;1)*(1/PptoSty[Division]),(PptoSty[Division]&lt;&gt;0)*(PptoSty[Division]&lt;&gt;"")*(PptoSty[Division]&lt;&gt;"X")*(PptoSty[Project]=$B100)*(PptoSty[Vrs]=$D100)*(PptoSty[PiRow]=_xlfn.TEXTAFTER($H100,":"))*(PptoSty[PiColumn]=L$54),0)),SUM(IF((INDIRECT($B$3)=$B100)*(INDIRECT($C$3)=$D100)*((INDIRECT($E$3)="TOTS")+(INDIRECT($E$3)=$E100)),INDIRECT(L$3)))),_xlpm.y,SUM(_xlfn.CHOOSECOLS(_xlfn._xlws.FILTER(F_RT14[],(F_RT14[PrjId]=$B100)*(F_RT14[Vrs]=$D100)*(_xlfn.TEXTAFTER(F_RT14[ActGrp],":")=_xlfn.TEXTAFTER($H100,":")),"X"),MATCH("*"&amp;L$54,F_RT14[#Headers],0))),IF(AND(_xlpm.x=0,_xlpm.y&lt;&gt;0),-1,IF(AND(_xlpm.x&lt;&gt;0,_xlpm.y&lt;&gt;0),_xlpm.x,IF(AND(_xlpm.x-SUM(IF((INDIRECT($B$3)=$B100)*(INDIRECT($C$3)=$D100)*((INDIRECT($E$3)="TOTS")+(INDIRECT($E$3)=$E100)),INDIRECT(L$3)))&lt;&gt;0,_xlpm.y=0),-2,_xlpm.x)))),0))</f>
        <v>0</v>
      </c>
      <c r="M100" s="199" cm="1">
        <f t="array" aca="1" ref="M100" ca="1">IF(OR($B100="",$B100="X",$D100="",$D100="X",$E100="",$E100="X"),0,IFERROR(_xlfn.LET(_xlpm.x,SUM(SUM(_xlfn._xlws.FILTER(VALUE(PptoSty[Sign]&amp;1)*(1/PptoSty[Division]),(PptoSty[Division]&lt;&gt;0)*(PptoSty[Division]&lt;&gt;"")*(PptoSty[Division]&lt;&gt;"X")*(PptoSty[Project]=$B100)*(PptoSty[Vrs]=$D100)*(PptoSty[PiRow]=_xlfn.TEXTAFTER($H100,":"))*(PptoSty[PiColumn]=M$54),0)),SUM(IF((INDIRECT($B$3)=$B100)*(INDIRECT($C$3)=$D100)*((INDIRECT($E$3)="TOTS")+(INDIRECT($E$3)=$E100)),INDIRECT(M$3)))),_xlpm.y,SUM(_xlfn.CHOOSECOLS(_xlfn._xlws.FILTER(F_RT14[],(F_RT14[PrjId]=$B100)*(F_RT14[Vrs]=$D100)*(_xlfn.TEXTAFTER(F_RT14[ActGrp],":")=_xlfn.TEXTAFTER($H100,":")),"X"),MATCH("*"&amp;M$54,F_RT14[#Headers],0))),IF(AND(_xlpm.x=0,_xlpm.y&lt;&gt;0),-1,IF(AND(_xlpm.x&lt;&gt;0,_xlpm.y&lt;&gt;0),_xlpm.x,IF(AND(_xlpm.x-SUM(IF((INDIRECT($B$3)=$B100)*(INDIRECT($C$3)=$D100)*((INDIRECT($E$3)="TOTS")+(INDIRECT($E$3)=$E100)),INDIRECT(M$3)))&lt;&gt;0,_xlpm.y=0),-2,_xlpm.x)))),0))</f>
        <v>0</v>
      </c>
      <c r="N100" s="199" cm="1">
        <f t="array" aca="1" ref="N100" ca="1">IF(OR($B100="",$B100="X",$D100="",$D100="X",$E100="",$E100="X"),0,IFERROR(_xlfn.LET(_xlpm.x,SUM(SUM(_xlfn._xlws.FILTER(VALUE(PptoSty[Sign]&amp;1)*(1/PptoSty[Division]),(PptoSty[Division]&lt;&gt;0)*(PptoSty[Division]&lt;&gt;"")*(PptoSty[Division]&lt;&gt;"X")*(PptoSty[Project]=$B100)*(PptoSty[Vrs]=$D100)*(PptoSty[PiRow]=_xlfn.TEXTAFTER($H100,":"))*(PptoSty[PiColumn]=N$54),0)),SUM(IF((INDIRECT($B$3)=$B100)*(INDIRECT($C$3)=$D100)*((INDIRECT($E$3)="TOTS")+(INDIRECT($E$3)=$E100)),INDIRECT(N$3)))),_xlpm.y,SUM(_xlfn.CHOOSECOLS(_xlfn._xlws.FILTER(F_RT14[],(F_RT14[PrjId]=$B100)*(F_RT14[Vrs]=$D100)*(_xlfn.TEXTAFTER(F_RT14[ActGrp],":")=_xlfn.TEXTAFTER($H100,":")),"X"),MATCH("*"&amp;N$54,F_RT14[#Headers],0))),IF(AND(_xlpm.x=0,_xlpm.y&lt;&gt;0),-1,IF(AND(_xlpm.x&lt;&gt;0,_xlpm.y&lt;&gt;0),_xlpm.x,IF(AND(_xlpm.x-SUM(IF((INDIRECT($B$3)=$B100)*(INDIRECT($C$3)=$D100)*((INDIRECT($E$3)="TOTS")+(INDIRECT($E$3)=$E100)),INDIRECT(N$3)))&lt;&gt;0,_xlpm.y=0),-2,_xlpm.x)))),0))</f>
        <v>-1</v>
      </c>
      <c r="O100" s="199" cm="1">
        <f t="array" aca="1" ref="O100" ca="1">IF(OR($B100="",$B100="X",$D100="",$D100="X",$E100="",$E100="X"),0,IFERROR(_xlfn.LET(_xlpm.x,SUM(SUM(_xlfn._xlws.FILTER(VALUE(PptoSty[Sign]&amp;1)*(1/PptoSty[Division]),(PptoSty[Division]&lt;&gt;0)*(PptoSty[Division]&lt;&gt;"")*(PptoSty[Division]&lt;&gt;"X")*(PptoSty[Project]=$B100)*(PptoSty[Vrs]=$D100)*(PptoSty[PiRow]=_xlfn.TEXTAFTER($H100,":"))*(PptoSty[PiColumn]=O$54),0)),SUM(IF((INDIRECT($B$3)=$B100)*(INDIRECT($C$3)=$D100)*((INDIRECT($E$3)="TOTS")+(INDIRECT($E$3)=$E100)),INDIRECT(O$3)))),_xlpm.y,SUM(_xlfn.CHOOSECOLS(_xlfn._xlws.FILTER(F_RT14[],(F_RT14[PrjId]=$B100)*(F_RT14[Vrs]=$D100)*(_xlfn.TEXTAFTER(F_RT14[ActGrp],":")=_xlfn.TEXTAFTER($H100,":")),"X"),MATCH("*"&amp;O$54,F_RT14[#Headers],0))),IF(AND(_xlpm.x=0,_xlpm.y&lt;&gt;0),-1,IF(AND(_xlpm.x&lt;&gt;0,_xlpm.y&lt;&gt;0),_xlpm.x,IF(AND(_xlpm.x-SUM(IF((INDIRECT($B$3)=$B100)*(INDIRECT($C$3)=$D100)*((INDIRECT($E$3)="TOTS")+(INDIRECT($E$3)=$E100)),INDIRECT(O$3)))&lt;&gt;0,_xlpm.y=0),-2,_xlpm.x)))),0))</f>
        <v>0</v>
      </c>
      <c r="P100" s="199" cm="1">
        <f t="array" aca="1" ref="P100" ca="1">IF(OR($B100="",$B100="X",$D100="",$D100="X",$E100="",$E100="X"),0,IFERROR(_xlfn.LET(_xlpm.x,SUM(SUM(_xlfn._xlws.FILTER(VALUE(PptoSty[Sign]&amp;1)*(1/PptoSty[Division]),(PptoSty[Division]&lt;&gt;0)*(PptoSty[Division]&lt;&gt;"")*(PptoSty[Division]&lt;&gt;"X")*(PptoSty[Project]=$B100)*(PptoSty[Vrs]=$D100)*(PptoSty[PiRow]=_xlfn.TEXTAFTER($H100,":"))*(PptoSty[PiColumn]=P$54),0)),SUM(IF((INDIRECT($B$3)=$B100)*(INDIRECT($C$3)=$D100)*((INDIRECT($E$3)="TOTS")+(INDIRECT($E$3)=$E100)),INDIRECT(P$3)))),_xlpm.y,SUM(_xlfn.CHOOSECOLS(_xlfn._xlws.FILTER(F_RT14[],(F_RT14[PrjId]=$B100)*(F_RT14[Vrs]=$D100)*(_xlfn.TEXTAFTER(F_RT14[ActGrp],":")=_xlfn.TEXTAFTER($H100,":")),"X"),MATCH("*"&amp;P$54,F_RT14[#Headers],0))),IF(AND(_xlpm.x=0,_xlpm.y&lt;&gt;0),-1,IF(AND(_xlpm.x&lt;&gt;0,_xlpm.y&lt;&gt;0),_xlpm.x,IF(AND(_xlpm.x-SUM(IF((INDIRECT($B$3)=$B100)*(INDIRECT($C$3)=$D100)*((INDIRECT($E$3)="TOTS")+(INDIRECT($E$3)=$E100)),INDIRECT(P$3)))&lt;&gt;0,_xlpm.y=0),-2,_xlpm.x)))),0))</f>
        <v>-1</v>
      </c>
      <c r="Q100" s="199" cm="1">
        <f t="array" aca="1" ref="Q100" ca="1">IF(OR($B100="",$B100="X",$D100="",$D100="X",$E100="",$E100="X"),0,IFERROR(_xlfn.LET(_xlpm.x,SUM(SUM(_xlfn._xlws.FILTER(VALUE(PptoSty[Sign]&amp;1)*(1/PptoSty[Division]),(PptoSty[Division]&lt;&gt;0)*(PptoSty[Division]&lt;&gt;"")*(PptoSty[Division]&lt;&gt;"X")*(PptoSty[Project]=$B100)*(PptoSty[Vrs]=$D100)*(PptoSty[PiRow]=_xlfn.TEXTAFTER($H100,":"))*(PptoSty[PiColumn]=Q$54),0)),SUM(IF((INDIRECT($B$3)=$B100)*(INDIRECT($C$3)=$D100)*((INDIRECT($E$3)="TOTS")+(INDIRECT($E$3)=$E100)),INDIRECT(Q$3)))),_xlpm.y,SUM(_xlfn.CHOOSECOLS(_xlfn._xlws.FILTER(F_RT14[],(F_RT14[PrjId]=$B100)*(F_RT14[Vrs]=$D100)*(_xlfn.TEXTAFTER(F_RT14[ActGrp],":")=_xlfn.TEXTAFTER($H100,":")),"X"),MATCH("*"&amp;Q$54,F_RT14[#Headers],0))),IF(AND(_xlpm.x=0,_xlpm.y&lt;&gt;0),-1,IF(AND(_xlpm.x&lt;&gt;0,_xlpm.y&lt;&gt;0),_xlpm.x,IF(AND(_xlpm.x-SUM(IF((INDIRECT($B$3)=$B100)*(INDIRECT($C$3)=$D100)*((INDIRECT($E$3)="TOTS")+(INDIRECT($E$3)=$E100)),INDIRECT(Q$3)))&lt;&gt;0,_xlpm.y=0),-2,_xlpm.x)))),0))</f>
        <v>-1</v>
      </c>
      <c r="R100" s="199" cm="1">
        <f t="array" aca="1" ref="R100" ca="1">IF(OR($B100="",$B100="X",$D100="",$D100="X",$E100="",$E100="X"),0,IFERROR(_xlfn.LET(_xlpm.x,SUM(SUM(_xlfn._xlws.FILTER(VALUE(PptoSty[Sign]&amp;1)*(1/PptoSty[Division]),(PptoSty[Division]&lt;&gt;0)*(PptoSty[Division]&lt;&gt;"")*(PptoSty[Division]&lt;&gt;"X")*(PptoSty[Project]=$B100)*(PptoSty[Vrs]=$D100)*(PptoSty[PiRow]=_xlfn.TEXTAFTER($H100,":"))*(PptoSty[PiColumn]=R$54),0)),SUM(IF((INDIRECT($B$3)=$B100)*(INDIRECT($C$3)=$D100)*((INDIRECT($E$3)="TOTS")+(INDIRECT($E$3)=$E100)),INDIRECT(R$3)))),_xlpm.y,SUM(_xlfn.CHOOSECOLS(_xlfn._xlws.FILTER(F_RT14[],(F_RT14[PrjId]=$B100)*(F_RT14[Vrs]=$D100)*(_xlfn.TEXTAFTER(F_RT14[ActGrp],":")=_xlfn.TEXTAFTER($H100,":")),"X"),MATCH("*"&amp;R$54,F_RT14[#Headers],0))),IF(AND(_xlpm.x=0,_xlpm.y&lt;&gt;0),-1,IF(AND(_xlpm.x&lt;&gt;0,_xlpm.y&lt;&gt;0),_xlpm.x,IF(AND(_xlpm.x-SUM(IF((INDIRECT($B$3)=$B100)*(INDIRECT($C$3)=$D100)*((INDIRECT($E$3)="TOTS")+(INDIRECT($E$3)=$E100)),INDIRECT(R$3)))&lt;&gt;0,_xlpm.y=0),-2,_xlpm.x)))),0))</f>
        <v>-1</v>
      </c>
      <c r="S100" s="199" cm="1">
        <f t="array" aca="1" ref="S100" ca="1">IF(OR($B100="",$B100="X",$D100="",$D100="X",$E100="",$E100="X"),0,IFERROR(_xlfn.LET(_xlpm.x,SUM(SUM(_xlfn._xlws.FILTER(VALUE(PptoSty[Sign]&amp;1)*(1/PptoSty[Division]),(PptoSty[Division]&lt;&gt;0)*(PptoSty[Division]&lt;&gt;"")*(PptoSty[Division]&lt;&gt;"X")*(PptoSty[Project]=$B100)*(PptoSty[Vrs]=$D100)*(PptoSty[PiRow]=_xlfn.TEXTAFTER($H100,":"))*(PptoSty[PiColumn]=S$54),0)),SUM(IF((INDIRECT($B$3)=$B100)*(INDIRECT($C$3)=$D100)*((INDIRECT($E$3)="TOTS")+(INDIRECT($E$3)=$E100)),INDIRECT(S$3)))),_xlpm.y,SUM(_xlfn.CHOOSECOLS(_xlfn._xlws.FILTER(F_RT14[],(F_RT14[PrjId]=$B100)*(F_RT14[Vrs]=$D100)*(_xlfn.TEXTAFTER(F_RT14[ActGrp],":")=_xlfn.TEXTAFTER($H100,":")),"X"),MATCH("*"&amp;S$54,F_RT14[#Headers],0))),IF(AND(_xlpm.x=0,_xlpm.y&lt;&gt;0),-1,IF(AND(_xlpm.x&lt;&gt;0,_xlpm.y&lt;&gt;0),_xlpm.x,IF(AND(_xlpm.x-SUM(IF((INDIRECT($B$3)=$B100)*(INDIRECT($C$3)=$D100)*((INDIRECT($E$3)="TOTS")+(INDIRECT($E$3)=$E100)),INDIRECT(S$3)))&lt;&gt;0,_xlpm.y=0),-2,_xlpm.x)))),0))</f>
        <v>-1</v>
      </c>
      <c r="T100" s="199" cm="1">
        <f t="array" aca="1" ref="T100" ca="1">IF(OR($B100="",$B100="X",$D100="",$D100="X",$E100="",$E100="X"),0,IFERROR(_xlfn.LET(_xlpm.x,SUM(SUM(_xlfn._xlws.FILTER(VALUE(PptoSty[Sign]&amp;1)*(1/PptoSty[Division]),(PptoSty[Division]&lt;&gt;0)*(PptoSty[Division]&lt;&gt;"")*(PptoSty[Division]&lt;&gt;"X")*(PptoSty[Project]=$B100)*(PptoSty[Vrs]=$D100)*(PptoSty[PiRow]=_xlfn.TEXTAFTER($H100,":"))*(PptoSty[PiColumn]=T$54),0)),SUM(IF((INDIRECT($B$3)=$B100)*(INDIRECT($C$3)=$D100)*((INDIRECT($E$3)="TOTS")+(INDIRECT($E$3)=$E100)),INDIRECT(T$3)))),_xlpm.y,SUM(_xlfn.CHOOSECOLS(_xlfn._xlws.FILTER(F_RT14[],(F_RT14[PrjId]=$B100)*(F_RT14[Vrs]=$D100)*(_xlfn.TEXTAFTER(F_RT14[ActGrp],":")=_xlfn.TEXTAFTER($H100,":")),"X"),MATCH("*"&amp;T$54,F_RT14[#Headers],0))),IF(AND(_xlpm.x=0,_xlpm.y&lt;&gt;0),-1,IF(AND(_xlpm.x&lt;&gt;0,_xlpm.y&lt;&gt;0),_xlpm.x,IF(AND(_xlpm.x-SUM(IF((INDIRECT($B$3)=$B100)*(INDIRECT($C$3)=$D100)*((INDIRECT($E$3)="TOTS")+(INDIRECT($E$3)=$E100)),INDIRECT(T$3)))&lt;&gt;0,_xlpm.y=0),-2,_xlpm.x)))),0))</f>
        <v>-1</v>
      </c>
      <c r="U100" s="199" cm="1">
        <f t="array" aca="1" ref="U100" ca="1">IF(OR($B100="",$B100="X",$D100="",$D100="X",$E100="",$E100="X"),0,IFERROR(_xlfn.LET(_xlpm.x,SUM(SUM(_xlfn._xlws.FILTER(VALUE(PptoSty[Sign]&amp;1)*(1/PptoSty[Division]),(PptoSty[Division]&lt;&gt;0)*(PptoSty[Division]&lt;&gt;"")*(PptoSty[Division]&lt;&gt;"X")*(PptoSty[Project]=$B100)*(PptoSty[Vrs]=$D100)*(PptoSty[PiRow]=_xlfn.TEXTAFTER($H100,":"))*(PptoSty[PiColumn]=U$54),0)),SUM(IF((INDIRECT($B$3)=$B100)*(INDIRECT($C$3)=$D100)*((INDIRECT($E$3)="TOTS")+(INDIRECT($E$3)=$E100)),INDIRECT(U$3)))),_xlpm.y,SUM(_xlfn.CHOOSECOLS(_xlfn._xlws.FILTER(F_RT14[],(F_RT14[PrjId]=$B100)*(F_RT14[Vrs]=$D100)*(_xlfn.TEXTAFTER(F_RT14[ActGrp],":")=_xlfn.TEXTAFTER($H100,":")),"X"),MATCH("*"&amp;U$54,F_RT14[#Headers],0))),IF(AND(_xlpm.x=0,_xlpm.y&lt;&gt;0),-1,IF(AND(_xlpm.x&lt;&gt;0,_xlpm.y&lt;&gt;0),_xlpm.x,IF(AND(_xlpm.x-SUM(IF((INDIRECT($B$3)=$B100)*(INDIRECT($C$3)=$D100)*((INDIRECT($E$3)="TOTS")+(INDIRECT($E$3)=$E100)),INDIRECT(U$3)))&lt;&gt;0,_xlpm.y=0),-2,_xlpm.x)))),0))</f>
        <v>0</v>
      </c>
      <c r="V100" s="199" cm="1">
        <f t="array" aca="1" ref="V100" ca="1">IF(OR($B100="",$B100="X",$D100="",$D100="X",$E100="",$E100="X"),0,IFERROR(_xlfn.LET(_xlpm.x,SUM(SUM(_xlfn._xlws.FILTER(VALUE(PptoSty[Sign]&amp;1)*(1/PptoSty[Division]),(PptoSty[Division]&lt;&gt;0)*(PptoSty[Division]&lt;&gt;"")*(PptoSty[Division]&lt;&gt;"X")*(PptoSty[Project]=$B100)*(PptoSty[Vrs]=$D100)*(PptoSty[PiRow]=_xlfn.TEXTAFTER($H100,":"))*(PptoSty[PiColumn]=V$54),0)),SUM(IF((INDIRECT($B$3)=$B100)*(INDIRECT($C$3)=$D100)*((INDIRECT($E$3)="TOTS")+(INDIRECT($E$3)=$E100)),INDIRECT(V$3)))),_xlpm.y,SUM(_xlfn.CHOOSECOLS(_xlfn._xlws.FILTER(F_RT14[],(F_RT14[PrjId]=$B100)*(F_RT14[Vrs]=$D100)*(_xlfn.TEXTAFTER(F_RT14[ActGrp],":")=_xlfn.TEXTAFTER($H100,":")),"X"),MATCH("*"&amp;V$54,F_RT14[#Headers],0))),IF(AND(_xlpm.x=0,_xlpm.y&lt;&gt;0),-1,IF(AND(_xlpm.x&lt;&gt;0,_xlpm.y&lt;&gt;0),_xlpm.x,IF(AND(_xlpm.x-SUM(IF((INDIRECT($B$3)=$B100)*(INDIRECT($C$3)=$D100)*((INDIRECT($E$3)="TOTS")+(INDIRECT($E$3)=$E100)),INDIRECT(V$3)))&lt;&gt;0,_xlpm.y=0),-2,_xlpm.x)))),0))</f>
        <v>-1</v>
      </c>
      <c r="W100" s="199" cm="1">
        <f t="array" aca="1" ref="W100" ca="1">IF(OR($B100="",$B100="X",$D100="",$D100="X",$E100="",$E100="X"),0,IFERROR(_xlfn.LET(_xlpm.x,SUM(SUM(_xlfn._xlws.FILTER(VALUE(PptoSty[Sign]&amp;1)*(1/PptoSty[Division]),(PptoSty[Division]&lt;&gt;0)*(PptoSty[Division]&lt;&gt;"")*(PptoSty[Division]&lt;&gt;"X")*(PptoSty[Project]=$B100)*(PptoSty[Vrs]=$D100)*(PptoSty[PiRow]=_xlfn.TEXTAFTER($H100,":"))*(PptoSty[PiColumn]=W$54),0)),SUM(IF((INDIRECT($B$3)=$B100)*(INDIRECT($C$3)=$D100)*((INDIRECT($E$3)="TOTS")+(INDIRECT($E$3)=$E100)),INDIRECT(W$3)))),_xlpm.y,SUM(_xlfn.CHOOSECOLS(_xlfn._xlws.FILTER(F_RT14[],(F_RT14[PrjId]=$B100)*(F_RT14[Vrs]=$D100)*(_xlfn.TEXTAFTER(F_RT14[ActGrp],":")=_xlfn.TEXTAFTER($H100,":")),"X"),MATCH("*"&amp;W$54,F_RT14[#Headers],0))),IF(AND(_xlpm.x=0,_xlpm.y&lt;&gt;0),-1,IF(AND(_xlpm.x&lt;&gt;0,_xlpm.y&lt;&gt;0),_xlpm.x,IF(AND(_xlpm.x-SUM(IF((INDIRECT($B$3)=$B100)*(INDIRECT($C$3)=$D100)*((INDIRECT($E$3)="TOTS")+(INDIRECT($E$3)=$E100)),INDIRECT(W$3)))&lt;&gt;0,_xlpm.y=0),-2,_xlpm.x)))),0))</f>
        <v>-1</v>
      </c>
      <c r="X100" s="199" cm="1">
        <f t="array" aca="1" ref="X100" ca="1">IF(OR($B100="",$B100="X",$D100="",$D100="X",$E100="",$E100="X"),0,IFERROR(_xlfn.LET(_xlpm.x,SUM(SUM(_xlfn._xlws.FILTER(VALUE(PptoSty[Sign]&amp;1)*(1/PptoSty[Division]),(PptoSty[Division]&lt;&gt;0)*(PptoSty[Division]&lt;&gt;"")*(PptoSty[Division]&lt;&gt;"X")*(PptoSty[Project]=$B100)*(PptoSty[Vrs]=$D100)*(PptoSty[PiRow]=_xlfn.TEXTAFTER($H100,":"))*(PptoSty[PiColumn]=X$54),0)),SUM(IF((INDIRECT($B$3)=$B100)*(INDIRECT($C$3)=$D100)*((INDIRECT($E$3)="TOTS")+(INDIRECT($E$3)=$E100)),INDIRECT(X$3)))),_xlpm.y,SUM(_xlfn.CHOOSECOLS(_xlfn._xlws.FILTER(F_RT14[],(F_RT14[PrjId]=$B100)*(F_RT14[Vrs]=$D100)*(_xlfn.TEXTAFTER(F_RT14[ActGrp],":")=_xlfn.TEXTAFTER($H100,":")),"X"),MATCH("*"&amp;X$54,F_RT14[#Headers],0))),IF(AND(_xlpm.x=0,_xlpm.y&lt;&gt;0),-1,IF(AND(_xlpm.x&lt;&gt;0,_xlpm.y&lt;&gt;0),_xlpm.x,IF(AND(_xlpm.x-SUM(IF((INDIRECT($B$3)=$B100)*(INDIRECT($C$3)=$D100)*((INDIRECT($E$3)="TOTS")+(INDIRECT($E$3)=$E100)),INDIRECT(X$3)))&lt;&gt;0,_xlpm.y=0),-2,_xlpm.x)))),0))</f>
        <v>-1</v>
      </c>
      <c r="Y100" s="199" cm="1">
        <f t="array" aca="1" ref="Y100" ca="1">IF(OR($B100="",$B100="X",$D100="",$D100="X",$E100="",$E100="X"),0,IFERROR(_xlfn.LET(_xlpm.x,SUM(SUM(_xlfn._xlws.FILTER(VALUE(PptoSty[Sign]&amp;1)*(1/PptoSty[Division]),(PptoSty[Division]&lt;&gt;0)*(PptoSty[Division]&lt;&gt;"")*(PptoSty[Division]&lt;&gt;"X")*(PptoSty[Project]=$B100)*(PptoSty[Vrs]=$D100)*(PptoSty[PiRow]=_xlfn.TEXTAFTER($H100,":"))*(PptoSty[PiColumn]=Y$54),0)),SUM(IF((INDIRECT($B$3)=$B100)*(INDIRECT($C$3)=$D100)*((INDIRECT($E$3)="TOTS")+(INDIRECT($E$3)=$E100)),INDIRECT(Y$3)))),_xlpm.y,SUM(_xlfn.CHOOSECOLS(_xlfn._xlws.FILTER(F_RT14[],(F_RT14[PrjId]=$B100)*(F_RT14[Vrs]=$D100)*(_xlfn.TEXTAFTER(F_RT14[ActGrp],":")=_xlfn.TEXTAFTER($H100,":")),"X"),MATCH("*"&amp;Y$54,F_RT14[#Headers],0))),IF(AND(_xlpm.x=0,_xlpm.y&lt;&gt;0),-1,IF(AND(_xlpm.x&lt;&gt;0,_xlpm.y&lt;&gt;0),_xlpm.x,IF(AND(_xlpm.x-SUM(IF((INDIRECT($B$3)=$B100)*(INDIRECT($C$3)=$D100)*((INDIRECT($E$3)="TOTS")+(INDIRECT($E$3)=$E100)),INDIRECT(Y$3)))&lt;&gt;0,_xlpm.y=0),-2,_xlpm.x)))),0))</f>
        <v>0</v>
      </c>
      <c r="Z100" s="198" t="str">
        <f t="shared" ca="1" si="2"/>
        <v>Fback!B100:Y100</v>
      </c>
    </row>
    <row r="101" spans="2:26" ht="21" customHeight="1" outlineLevel="1">
      <c r="B101" s="128" t="str">
        <v>31200</v>
      </c>
      <c r="C101" s="128" t="str">
        <v>Sp</v>
      </c>
      <c r="D101" s="128">
        <v>15</v>
      </c>
      <c r="E101" s="128" t="str">
        <v>TOOL</v>
      </c>
      <c r="F101" s="139" t="str">
        <v>SERRA</v>
      </c>
      <c r="G101" s="139" t="str">
        <v>CurPpto</v>
      </c>
      <c r="H101" s="139" t="str">
        <v>P010:OP-520.1 WELDING (REWELD)</v>
      </c>
      <c r="I101" s="199" cm="1">
        <f t="array" aca="1" ref="I101" ca="1">IF(OR($B101="",$B101="X",$D101="",$D101="X",$E101="",$E101="X"),0,IFERROR(_xlfn.LET(_xlpm.x,SUM(SUM(_xlfn._xlws.FILTER(VALUE(PptoSty[Sign]&amp;1)*(1/PptoSty[Division]),(PptoSty[Division]&lt;&gt;0)*(PptoSty[Division]&lt;&gt;"")*(PptoSty[Division]&lt;&gt;"X")*(PptoSty[Project]=$B101)*(PptoSty[Vrs]=$D101)*(PptoSty[PiRow]=_xlfn.TEXTAFTER($H101,":"))*(PptoSty[PiColumn]=I$54),0)),SUM(IF((INDIRECT($B$3)=$B101)*(INDIRECT($C$3)=$D101)*((INDIRECT($E$3)="TOTS")+(INDIRECT($E$3)=$E101)),INDIRECT(I$3)))),_xlpm.y,SUM(_xlfn.CHOOSECOLS(_xlfn._xlws.FILTER(F_RT14[],(F_RT14[PrjId]=$B101)*(F_RT14[Vrs]=$D101)*(_xlfn.TEXTAFTER(F_RT14[ActGrp],":")=_xlfn.TEXTAFTER($H101,":")),"X"),MATCH("*"&amp;I$54,F_RT14[#Headers],0))),IF(AND(_xlpm.x=0,_xlpm.y&lt;&gt;0),-1,IF(AND(_xlpm.x&lt;&gt;0,_xlpm.y&lt;&gt;0),_xlpm.x,IF(AND(_xlpm.x-SUM(IF((INDIRECT($B$3)=$B101)*(INDIRECT($C$3)=$D101)*((INDIRECT($E$3)="TOTS")+(INDIRECT($E$3)=$E101)),INDIRECT(I$3)))&lt;&gt;0,_xlpm.y=0),-2,_xlpm.x)))),0))</f>
        <v>0</v>
      </c>
      <c r="J101" s="199" cm="1">
        <f t="array" aca="1" ref="J101" ca="1">IF(OR($B101="",$B101="X",$D101="",$D101="X",$E101="",$E101="X"),0,IFERROR(_xlfn.LET(_xlpm.x,SUM(SUM(_xlfn._xlws.FILTER(VALUE(PptoSty[Sign]&amp;1)*(1/PptoSty[Division]),(PptoSty[Division]&lt;&gt;0)*(PptoSty[Division]&lt;&gt;"")*(PptoSty[Division]&lt;&gt;"X")*(PptoSty[Project]=$B101)*(PptoSty[Vrs]=$D101)*(PptoSty[PiRow]=_xlfn.TEXTAFTER($H101,":"))*(PptoSty[PiColumn]=J$54),0)),SUM(IF((INDIRECT($B$3)=$B101)*(INDIRECT($C$3)=$D101)*((INDIRECT($E$3)="TOTS")+(INDIRECT($E$3)=$E101)),INDIRECT(J$3)))),_xlpm.y,SUM(_xlfn.CHOOSECOLS(_xlfn._xlws.FILTER(F_RT14[],(F_RT14[PrjId]=$B101)*(F_RT14[Vrs]=$D101)*(_xlfn.TEXTAFTER(F_RT14[ActGrp],":")=_xlfn.TEXTAFTER($H101,":")),"X"),MATCH("*"&amp;J$54,F_RT14[#Headers],0))),IF(AND(_xlpm.x=0,_xlpm.y&lt;&gt;0),-1,IF(AND(_xlpm.x&lt;&gt;0,_xlpm.y&lt;&gt;0),_xlpm.x,IF(AND(_xlpm.x-SUM(IF((INDIRECT($B$3)=$B101)*(INDIRECT($C$3)=$D101)*((INDIRECT($E$3)="TOTS")+(INDIRECT($E$3)=$E101)),INDIRECT(J$3)))&lt;&gt;0,_xlpm.y=0),-2,_xlpm.x)))),0))</f>
        <v>0</v>
      </c>
      <c r="K101" s="199" cm="1">
        <f t="array" aca="1" ref="K101" ca="1">IF(OR($B101="",$B101="X",$D101="",$D101="X",$E101="",$E101="X"),0,IFERROR(_xlfn.LET(_xlpm.x,SUM(SUM(_xlfn._xlws.FILTER(VALUE(PptoSty[Sign]&amp;1)*(1/PptoSty[Division]),(PptoSty[Division]&lt;&gt;0)*(PptoSty[Division]&lt;&gt;"")*(PptoSty[Division]&lt;&gt;"X")*(PptoSty[Project]=$B101)*(PptoSty[Vrs]=$D101)*(PptoSty[PiRow]=_xlfn.TEXTAFTER($H101,":"))*(PptoSty[PiColumn]=K$54),0)),SUM(IF((INDIRECT($B$3)=$B101)*(INDIRECT($C$3)=$D101)*((INDIRECT($E$3)="TOTS")+(INDIRECT($E$3)=$E101)),INDIRECT(K$3)))),_xlpm.y,SUM(_xlfn.CHOOSECOLS(_xlfn._xlws.FILTER(F_RT14[],(F_RT14[PrjId]=$B101)*(F_RT14[Vrs]=$D101)*(_xlfn.TEXTAFTER(F_RT14[ActGrp],":")=_xlfn.TEXTAFTER($H101,":")),"X"),MATCH("*"&amp;K$54,F_RT14[#Headers],0))),IF(AND(_xlpm.x=0,_xlpm.y&lt;&gt;0),-1,IF(AND(_xlpm.x&lt;&gt;0,_xlpm.y&lt;&gt;0),_xlpm.x,IF(AND(_xlpm.x-SUM(IF((INDIRECT($B$3)=$B101)*(INDIRECT($C$3)=$D101)*((INDIRECT($E$3)="TOTS")+(INDIRECT($E$3)=$E101)),INDIRECT(K$3)))&lt;&gt;0,_xlpm.y=0),-2,_xlpm.x)))),0))</f>
        <v>-1</v>
      </c>
      <c r="L101" s="199" cm="1">
        <f t="array" aca="1" ref="L101" ca="1">IF(OR($B101="",$B101="X",$D101="",$D101="X",$E101="",$E101="X"),0,IFERROR(_xlfn.LET(_xlpm.x,SUM(SUM(_xlfn._xlws.FILTER(VALUE(PptoSty[Sign]&amp;1)*(1/PptoSty[Division]),(PptoSty[Division]&lt;&gt;0)*(PptoSty[Division]&lt;&gt;"")*(PptoSty[Division]&lt;&gt;"X")*(PptoSty[Project]=$B101)*(PptoSty[Vrs]=$D101)*(PptoSty[PiRow]=_xlfn.TEXTAFTER($H101,":"))*(PptoSty[PiColumn]=L$54),0)),SUM(IF((INDIRECT($B$3)=$B101)*(INDIRECT($C$3)=$D101)*((INDIRECT($E$3)="TOTS")+(INDIRECT($E$3)=$E101)),INDIRECT(L$3)))),_xlpm.y,SUM(_xlfn.CHOOSECOLS(_xlfn._xlws.FILTER(F_RT14[],(F_RT14[PrjId]=$B101)*(F_RT14[Vrs]=$D101)*(_xlfn.TEXTAFTER(F_RT14[ActGrp],":")=_xlfn.TEXTAFTER($H101,":")),"X"),MATCH("*"&amp;L$54,F_RT14[#Headers],0))),IF(AND(_xlpm.x=0,_xlpm.y&lt;&gt;0),-1,IF(AND(_xlpm.x&lt;&gt;0,_xlpm.y&lt;&gt;0),_xlpm.x,IF(AND(_xlpm.x-SUM(IF((INDIRECT($B$3)=$B101)*(INDIRECT($C$3)=$D101)*((INDIRECT($E$3)="TOTS")+(INDIRECT($E$3)=$E101)),INDIRECT(L$3)))&lt;&gt;0,_xlpm.y=0),-2,_xlpm.x)))),0))</f>
        <v>0</v>
      </c>
      <c r="M101" s="199" cm="1">
        <f t="array" aca="1" ref="M101" ca="1">IF(OR($B101="",$B101="X",$D101="",$D101="X",$E101="",$E101="X"),0,IFERROR(_xlfn.LET(_xlpm.x,SUM(SUM(_xlfn._xlws.FILTER(VALUE(PptoSty[Sign]&amp;1)*(1/PptoSty[Division]),(PptoSty[Division]&lt;&gt;0)*(PptoSty[Division]&lt;&gt;"")*(PptoSty[Division]&lt;&gt;"X")*(PptoSty[Project]=$B101)*(PptoSty[Vrs]=$D101)*(PptoSty[PiRow]=_xlfn.TEXTAFTER($H101,":"))*(PptoSty[PiColumn]=M$54),0)),SUM(IF((INDIRECT($B$3)=$B101)*(INDIRECT($C$3)=$D101)*((INDIRECT($E$3)="TOTS")+(INDIRECT($E$3)=$E101)),INDIRECT(M$3)))),_xlpm.y,SUM(_xlfn.CHOOSECOLS(_xlfn._xlws.FILTER(F_RT14[],(F_RT14[PrjId]=$B101)*(F_RT14[Vrs]=$D101)*(_xlfn.TEXTAFTER(F_RT14[ActGrp],":")=_xlfn.TEXTAFTER($H101,":")),"X"),MATCH("*"&amp;M$54,F_RT14[#Headers],0))),IF(AND(_xlpm.x=0,_xlpm.y&lt;&gt;0),-1,IF(AND(_xlpm.x&lt;&gt;0,_xlpm.y&lt;&gt;0),_xlpm.x,IF(AND(_xlpm.x-SUM(IF((INDIRECT($B$3)=$B101)*(INDIRECT($C$3)=$D101)*((INDIRECT($E$3)="TOTS")+(INDIRECT($E$3)=$E101)),INDIRECT(M$3)))&lt;&gt;0,_xlpm.y=0),-2,_xlpm.x)))),0))</f>
        <v>0</v>
      </c>
      <c r="N101" s="199" cm="1">
        <f t="array" aca="1" ref="N101" ca="1">IF(OR($B101="",$B101="X",$D101="",$D101="X",$E101="",$E101="X"),0,IFERROR(_xlfn.LET(_xlpm.x,SUM(SUM(_xlfn._xlws.FILTER(VALUE(PptoSty[Sign]&amp;1)*(1/PptoSty[Division]),(PptoSty[Division]&lt;&gt;0)*(PptoSty[Division]&lt;&gt;"")*(PptoSty[Division]&lt;&gt;"X")*(PptoSty[Project]=$B101)*(PptoSty[Vrs]=$D101)*(PptoSty[PiRow]=_xlfn.TEXTAFTER($H101,":"))*(PptoSty[PiColumn]=N$54),0)),SUM(IF((INDIRECT($B$3)=$B101)*(INDIRECT($C$3)=$D101)*((INDIRECT($E$3)="TOTS")+(INDIRECT($E$3)=$E101)),INDIRECT(N$3)))),_xlpm.y,SUM(_xlfn.CHOOSECOLS(_xlfn._xlws.FILTER(F_RT14[],(F_RT14[PrjId]=$B101)*(F_RT14[Vrs]=$D101)*(_xlfn.TEXTAFTER(F_RT14[ActGrp],":")=_xlfn.TEXTAFTER($H101,":")),"X"),MATCH("*"&amp;N$54,F_RT14[#Headers],0))),IF(AND(_xlpm.x=0,_xlpm.y&lt;&gt;0),-1,IF(AND(_xlpm.x&lt;&gt;0,_xlpm.y&lt;&gt;0),_xlpm.x,IF(AND(_xlpm.x-SUM(IF((INDIRECT($B$3)=$B101)*(INDIRECT($C$3)=$D101)*((INDIRECT($E$3)="TOTS")+(INDIRECT($E$3)=$E101)),INDIRECT(N$3)))&lt;&gt;0,_xlpm.y=0),-2,_xlpm.x)))),0))</f>
        <v>-1</v>
      </c>
      <c r="O101" s="199" cm="1">
        <f t="array" aca="1" ref="O101" ca="1">IF(OR($B101="",$B101="X",$D101="",$D101="X",$E101="",$E101="X"),0,IFERROR(_xlfn.LET(_xlpm.x,SUM(SUM(_xlfn._xlws.FILTER(VALUE(PptoSty[Sign]&amp;1)*(1/PptoSty[Division]),(PptoSty[Division]&lt;&gt;0)*(PptoSty[Division]&lt;&gt;"")*(PptoSty[Division]&lt;&gt;"X")*(PptoSty[Project]=$B101)*(PptoSty[Vrs]=$D101)*(PptoSty[PiRow]=_xlfn.TEXTAFTER($H101,":"))*(PptoSty[PiColumn]=O$54),0)),SUM(IF((INDIRECT($B$3)=$B101)*(INDIRECT($C$3)=$D101)*((INDIRECT($E$3)="TOTS")+(INDIRECT($E$3)=$E101)),INDIRECT(O$3)))),_xlpm.y,SUM(_xlfn.CHOOSECOLS(_xlfn._xlws.FILTER(F_RT14[],(F_RT14[PrjId]=$B101)*(F_RT14[Vrs]=$D101)*(_xlfn.TEXTAFTER(F_RT14[ActGrp],":")=_xlfn.TEXTAFTER($H101,":")),"X"),MATCH("*"&amp;O$54,F_RT14[#Headers],0))),IF(AND(_xlpm.x=0,_xlpm.y&lt;&gt;0),-1,IF(AND(_xlpm.x&lt;&gt;0,_xlpm.y&lt;&gt;0),_xlpm.x,IF(AND(_xlpm.x-SUM(IF((INDIRECT($B$3)=$B101)*(INDIRECT($C$3)=$D101)*((INDIRECT($E$3)="TOTS")+(INDIRECT($E$3)=$E101)),INDIRECT(O$3)))&lt;&gt;0,_xlpm.y=0),-2,_xlpm.x)))),0))</f>
        <v>0</v>
      </c>
      <c r="P101" s="199" cm="1">
        <f t="array" aca="1" ref="P101" ca="1">IF(OR($B101="",$B101="X",$D101="",$D101="X",$E101="",$E101="X"),0,IFERROR(_xlfn.LET(_xlpm.x,SUM(SUM(_xlfn._xlws.FILTER(VALUE(PptoSty[Sign]&amp;1)*(1/PptoSty[Division]),(PptoSty[Division]&lt;&gt;0)*(PptoSty[Division]&lt;&gt;"")*(PptoSty[Division]&lt;&gt;"X")*(PptoSty[Project]=$B101)*(PptoSty[Vrs]=$D101)*(PptoSty[PiRow]=_xlfn.TEXTAFTER($H101,":"))*(PptoSty[PiColumn]=P$54),0)),SUM(IF((INDIRECT($B$3)=$B101)*(INDIRECT($C$3)=$D101)*((INDIRECT($E$3)="TOTS")+(INDIRECT($E$3)=$E101)),INDIRECT(P$3)))),_xlpm.y,SUM(_xlfn.CHOOSECOLS(_xlfn._xlws.FILTER(F_RT14[],(F_RT14[PrjId]=$B101)*(F_RT14[Vrs]=$D101)*(_xlfn.TEXTAFTER(F_RT14[ActGrp],":")=_xlfn.TEXTAFTER($H101,":")),"X"),MATCH("*"&amp;P$54,F_RT14[#Headers],0))),IF(AND(_xlpm.x=0,_xlpm.y&lt;&gt;0),-1,IF(AND(_xlpm.x&lt;&gt;0,_xlpm.y&lt;&gt;0),_xlpm.x,IF(AND(_xlpm.x-SUM(IF((INDIRECT($B$3)=$B101)*(INDIRECT($C$3)=$D101)*((INDIRECT($E$3)="TOTS")+(INDIRECT($E$3)=$E101)),INDIRECT(P$3)))&lt;&gt;0,_xlpm.y=0),-2,_xlpm.x)))),0))</f>
        <v>-1</v>
      </c>
      <c r="Q101" s="199" cm="1">
        <f t="array" aca="1" ref="Q101" ca="1">IF(OR($B101="",$B101="X",$D101="",$D101="X",$E101="",$E101="X"),0,IFERROR(_xlfn.LET(_xlpm.x,SUM(SUM(_xlfn._xlws.FILTER(VALUE(PptoSty[Sign]&amp;1)*(1/PptoSty[Division]),(PptoSty[Division]&lt;&gt;0)*(PptoSty[Division]&lt;&gt;"")*(PptoSty[Division]&lt;&gt;"X")*(PptoSty[Project]=$B101)*(PptoSty[Vrs]=$D101)*(PptoSty[PiRow]=_xlfn.TEXTAFTER($H101,":"))*(PptoSty[PiColumn]=Q$54),0)),SUM(IF((INDIRECT($B$3)=$B101)*(INDIRECT($C$3)=$D101)*((INDIRECT($E$3)="TOTS")+(INDIRECT($E$3)=$E101)),INDIRECT(Q$3)))),_xlpm.y,SUM(_xlfn.CHOOSECOLS(_xlfn._xlws.FILTER(F_RT14[],(F_RT14[PrjId]=$B101)*(F_RT14[Vrs]=$D101)*(_xlfn.TEXTAFTER(F_RT14[ActGrp],":")=_xlfn.TEXTAFTER($H101,":")),"X"),MATCH("*"&amp;Q$54,F_RT14[#Headers],0))),IF(AND(_xlpm.x=0,_xlpm.y&lt;&gt;0),-1,IF(AND(_xlpm.x&lt;&gt;0,_xlpm.y&lt;&gt;0),_xlpm.x,IF(AND(_xlpm.x-SUM(IF((INDIRECT($B$3)=$B101)*(INDIRECT($C$3)=$D101)*((INDIRECT($E$3)="TOTS")+(INDIRECT($E$3)=$E101)),INDIRECT(Q$3)))&lt;&gt;0,_xlpm.y=0),-2,_xlpm.x)))),0))</f>
        <v>-1</v>
      </c>
      <c r="R101" s="199" cm="1">
        <f t="array" aca="1" ref="R101" ca="1">IF(OR($B101="",$B101="X",$D101="",$D101="X",$E101="",$E101="X"),0,IFERROR(_xlfn.LET(_xlpm.x,SUM(SUM(_xlfn._xlws.FILTER(VALUE(PptoSty[Sign]&amp;1)*(1/PptoSty[Division]),(PptoSty[Division]&lt;&gt;0)*(PptoSty[Division]&lt;&gt;"")*(PptoSty[Division]&lt;&gt;"X")*(PptoSty[Project]=$B101)*(PptoSty[Vrs]=$D101)*(PptoSty[PiRow]=_xlfn.TEXTAFTER($H101,":"))*(PptoSty[PiColumn]=R$54),0)),SUM(IF((INDIRECT($B$3)=$B101)*(INDIRECT($C$3)=$D101)*((INDIRECT($E$3)="TOTS")+(INDIRECT($E$3)=$E101)),INDIRECT(R$3)))),_xlpm.y,SUM(_xlfn.CHOOSECOLS(_xlfn._xlws.FILTER(F_RT14[],(F_RT14[PrjId]=$B101)*(F_RT14[Vrs]=$D101)*(_xlfn.TEXTAFTER(F_RT14[ActGrp],":")=_xlfn.TEXTAFTER($H101,":")),"X"),MATCH("*"&amp;R$54,F_RT14[#Headers],0))),IF(AND(_xlpm.x=0,_xlpm.y&lt;&gt;0),-1,IF(AND(_xlpm.x&lt;&gt;0,_xlpm.y&lt;&gt;0),_xlpm.x,IF(AND(_xlpm.x-SUM(IF((INDIRECT($B$3)=$B101)*(INDIRECT($C$3)=$D101)*((INDIRECT($E$3)="TOTS")+(INDIRECT($E$3)=$E101)),INDIRECT(R$3)))&lt;&gt;0,_xlpm.y=0),-2,_xlpm.x)))),0))</f>
        <v>-1</v>
      </c>
      <c r="S101" s="199" cm="1">
        <f t="array" aca="1" ref="S101" ca="1">IF(OR($B101="",$B101="X",$D101="",$D101="X",$E101="",$E101="X"),0,IFERROR(_xlfn.LET(_xlpm.x,SUM(SUM(_xlfn._xlws.FILTER(VALUE(PptoSty[Sign]&amp;1)*(1/PptoSty[Division]),(PptoSty[Division]&lt;&gt;0)*(PptoSty[Division]&lt;&gt;"")*(PptoSty[Division]&lt;&gt;"X")*(PptoSty[Project]=$B101)*(PptoSty[Vrs]=$D101)*(PptoSty[PiRow]=_xlfn.TEXTAFTER($H101,":"))*(PptoSty[PiColumn]=S$54),0)),SUM(IF((INDIRECT($B$3)=$B101)*(INDIRECT($C$3)=$D101)*((INDIRECT($E$3)="TOTS")+(INDIRECT($E$3)=$E101)),INDIRECT(S$3)))),_xlpm.y,SUM(_xlfn.CHOOSECOLS(_xlfn._xlws.FILTER(F_RT14[],(F_RT14[PrjId]=$B101)*(F_RT14[Vrs]=$D101)*(_xlfn.TEXTAFTER(F_RT14[ActGrp],":")=_xlfn.TEXTAFTER($H101,":")),"X"),MATCH("*"&amp;S$54,F_RT14[#Headers],0))),IF(AND(_xlpm.x=0,_xlpm.y&lt;&gt;0),-1,IF(AND(_xlpm.x&lt;&gt;0,_xlpm.y&lt;&gt;0),_xlpm.x,IF(AND(_xlpm.x-SUM(IF((INDIRECT($B$3)=$B101)*(INDIRECT($C$3)=$D101)*((INDIRECT($E$3)="TOTS")+(INDIRECT($E$3)=$E101)),INDIRECT(S$3)))&lt;&gt;0,_xlpm.y=0),-2,_xlpm.x)))),0))</f>
        <v>-1</v>
      </c>
      <c r="T101" s="199" cm="1">
        <f t="array" aca="1" ref="T101" ca="1">IF(OR($B101="",$B101="X",$D101="",$D101="X",$E101="",$E101="X"),0,IFERROR(_xlfn.LET(_xlpm.x,SUM(SUM(_xlfn._xlws.FILTER(VALUE(PptoSty[Sign]&amp;1)*(1/PptoSty[Division]),(PptoSty[Division]&lt;&gt;0)*(PptoSty[Division]&lt;&gt;"")*(PptoSty[Division]&lt;&gt;"X")*(PptoSty[Project]=$B101)*(PptoSty[Vrs]=$D101)*(PptoSty[PiRow]=_xlfn.TEXTAFTER($H101,":"))*(PptoSty[PiColumn]=T$54),0)),SUM(IF((INDIRECT($B$3)=$B101)*(INDIRECT($C$3)=$D101)*((INDIRECT($E$3)="TOTS")+(INDIRECT($E$3)=$E101)),INDIRECT(T$3)))),_xlpm.y,SUM(_xlfn.CHOOSECOLS(_xlfn._xlws.FILTER(F_RT14[],(F_RT14[PrjId]=$B101)*(F_RT14[Vrs]=$D101)*(_xlfn.TEXTAFTER(F_RT14[ActGrp],":")=_xlfn.TEXTAFTER($H101,":")),"X"),MATCH("*"&amp;T$54,F_RT14[#Headers],0))),IF(AND(_xlpm.x=0,_xlpm.y&lt;&gt;0),-1,IF(AND(_xlpm.x&lt;&gt;0,_xlpm.y&lt;&gt;0),_xlpm.x,IF(AND(_xlpm.x-SUM(IF((INDIRECT($B$3)=$B101)*(INDIRECT($C$3)=$D101)*((INDIRECT($E$3)="TOTS")+(INDIRECT($E$3)=$E101)),INDIRECT(T$3)))&lt;&gt;0,_xlpm.y=0),-2,_xlpm.x)))),0))</f>
        <v>-1</v>
      </c>
      <c r="U101" s="199" cm="1">
        <f t="array" aca="1" ref="U101" ca="1">IF(OR($B101="",$B101="X",$D101="",$D101="X",$E101="",$E101="X"),0,IFERROR(_xlfn.LET(_xlpm.x,SUM(SUM(_xlfn._xlws.FILTER(VALUE(PptoSty[Sign]&amp;1)*(1/PptoSty[Division]),(PptoSty[Division]&lt;&gt;0)*(PptoSty[Division]&lt;&gt;"")*(PptoSty[Division]&lt;&gt;"X")*(PptoSty[Project]=$B101)*(PptoSty[Vrs]=$D101)*(PptoSty[PiRow]=_xlfn.TEXTAFTER($H101,":"))*(PptoSty[PiColumn]=U$54),0)),SUM(IF((INDIRECT($B$3)=$B101)*(INDIRECT($C$3)=$D101)*((INDIRECT($E$3)="TOTS")+(INDIRECT($E$3)=$E101)),INDIRECT(U$3)))),_xlpm.y,SUM(_xlfn.CHOOSECOLS(_xlfn._xlws.FILTER(F_RT14[],(F_RT14[PrjId]=$B101)*(F_RT14[Vrs]=$D101)*(_xlfn.TEXTAFTER(F_RT14[ActGrp],":")=_xlfn.TEXTAFTER($H101,":")),"X"),MATCH("*"&amp;U$54,F_RT14[#Headers],0))),IF(AND(_xlpm.x=0,_xlpm.y&lt;&gt;0),-1,IF(AND(_xlpm.x&lt;&gt;0,_xlpm.y&lt;&gt;0),_xlpm.x,IF(AND(_xlpm.x-SUM(IF((INDIRECT($B$3)=$B101)*(INDIRECT($C$3)=$D101)*((INDIRECT($E$3)="TOTS")+(INDIRECT($E$3)=$E101)),INDIRECT(U$3)))&lt;&gt;0,_xlpm.y=0),-2,_xlpm.x)))),0))</f>
        <v>0</v>
      </c>
      <c r="V101" s="199" cm="1">
        <f t="array" aca="1" ref="V101" ca="1">IF(OR($B101="",$B101="X",$D101="",$D101="X",$E101="",$E101="X"),0,IFERROR(_xlfn.LET(_xlpm.x,SUM(SUM(_xlfn._xlws.FILTER(VALUE(PptoSty[Sign]&amp;1)*(1/PptoSty[Division]),(PptoSty[Division]&lt;&gt;0)*(PptoSty[Division]&lt;&gt;"")*(PptoSty[Division]&lt;&gt;"X")*(PptoSty[Project]=$B101)*(PptoSty[Vrs]=$D101)*(PptoSty[PiRow]=_xlfn.TEXTAFTER($H101,":"))*(PptoSty[PiColumn]=V$54),0)),SUM(IF((INDIRECT($B$3)=$B101)*(INDIRECT($C$3)=$D101)*((INDIRECT($E$3)="TOTS")+(INDIRECT($E$3)=$E101)),INDIRECT(V$3)))),_xlpm.y,SUM(_xlfn.CHOOSECOLS(_xlfn._xlws.FILTER(F_RT14[],(F_RT14[PrjId]=$B101)*(F_RT14[Vrs]=$D101)*(_xlfn.TEXTAFTER(F_RT14[ActGrp],":")=_xlfn.TEXTAFTER($H101,":")),"X"),MATCH("*"&amp;V$54,F_RT14[#Headers],0))),IF(AND(_xlpm.x=0,_xlpm.y&lt;&gt;0),-1,IF(AND(_xlpm.x&lt;&gt;0,_xlpm.y&lt;&gt;0),_xlpm.x,IF(AND(_xlpm.x-SUM(IF((INDIRECT($B$3)=$B101)*(INDIRECT($C$3)=$D101)*((INDIRECT($E$3)="TOTS")+(INDIRECT($E$3)=$E101)),INDIRECT(V$3)))&lt;&gt;0,_xlpm.y=0),-2,_xlpm.x)))),0))</f>
        <v>-1</v>
      </c>
      <c r="W101" s="199" cm="1">
        <f t="array" aca="1" ref="W101" ca="1">IF(OR($B101="",$B101="X",$D101="",$D101="X",$E101="",$E101="X"),0,IFERROR(_xlfn.LET(_xlpm.x,SUM(SUM(_xlfn._xlws.FILTER(VALUE(PptoSty[Sign]&amp;1)*(1/PptoSty[Division]),(PptoSty[Division]&lt;&gt;0)*(PptoSty[Division]&lt;&gt;"")*(PptoSty[Division]&lt;&gt;"X")*(PptoSty[Project]=$B101)*(PptoSty[Vrs]=$D101)*(PptoSty[PiRow]=_xlfn.TEXTAFTER($H101,":"))*(PptoSty[PiColumn]=W$54),0)),SUM(IF((INDIRECT($B$3)=$B101)*(INDIRECT($C$3)=$D101)*((INDIRECT($E$3)="TOTS")+(INDIRECT($E$3)=$E101)),INDIRECT(W$3)))),_xlpm.y,SUM(_xlfn.CHOOSECOLS(_xlfn._xlws.FILTER(F_RT14[],(F_RT14[PrjId]=$B101)*(F_RT14[Vrs]=$D101)*(_xlfn.TEXTAFTER(F_RT14[ActGrp],":")=_xlfn.TEXTAFTER($H101,":")),"X"),MATCH("*"&amp;W$54,F_RT14[#Headers],0))),IF(AND(_xlpm.x=0,_xlpm.y&lt;&gt;0),-1,IF(AND(_xlpm.x&lt;&gt;0,_xlpm.y&lt;&gt;0),_xlpm.x,IF(AND(_xlpm.x-SUM(IF((INDIRECT($B$3)=$B101)*(INDIRECT($C$3)=$D101)*((INDIRECT($E$3)="TOTS")+(INDIRECT($E$3)=$E101)),INDIRECT(W$3)))&lt;&gt;0,_xlpm.y=0),-2,_xlpm.x)))),0))</f>
        <v>-1</v>
      </c>
      <c r="X101" s="199" cm="1">
        <f t="array" aca="1" ref="X101" ca="1">IF(OR($B101="",$B101="X",$D101="",$D101="X",$E101="",$E101="X"),0,IFERROR(_xlfn.LET(_xlpm.x,SUM(SUM(_xlfn._xlws.FILTER(VALUE(PptoSty[Sign]&amp;1)*(1/PptoSty[Division]),(PptoSty[Division]&lt;&gt;0)*(PptoSty[Division]&lt;&gt;"")*(PptoSty[Division]&lt;&gt;"X")*(PptoSty[Project]=$B101)*(PptoSty[Vrs]=$D101)*(PptoSty[PiRow]=_xlfn.TEXTAFTER($H101,":"))*(PptoSty[PiColumn]=X$54),0)),SUM(IF((INDIRECT($B$3)=$B101)*(INDIRECT($C$3)=$D101)*((INDIRECT($E$3)="TOTS")+(INDIRECT($E$3)=$E101)),INDIRECT(X$3)))),_xlpm.y,SUM(_xlfn.CHOOSECOLS(_xlfn._xlws.FILTER(F_RT14[],(F_RT14[PrjId]=$B101)*(F_RT14[Vrs]=$D101)*(_xlfn.TEXTAFTER(F_RT14[ActGrp],":")=_xlfn.TEXTAFTER($H101,":")),"X"),MATCH("*"&amp;X$54,F_RT14[#Headers],0))),IF(AND(_xlpm.x=0,_xlpm.y&lt;&gt;0),-1,IF(AND(_xlpm.x&lt;&gt;0,_xlpm.y&lt;&gt;0),_xlpm.x,IF(AND(_xlpm.x-SUM(IF((INDIRECT($B$3)=$B101)*(INDIRECT($C$3)=$D101)*((INDIRECT($E$3)="TOTS")+(INDIRECT($E$3)=$E101)),INDIRECT(X$3)))&lt;&gt;0,_xlpm.y=0),-2,_xlpm.x)))),0))</f>
        <v>-1</v>
      </c>
      <c r="Y101" s="199" cm="1">
        <f t="array" aca="1" ref="Y101" ca="1">IF(OR($B101="",$B101="X",$D101="",$D101="X",$E101="",$E101="X"),0,IFERROR(_xlfn.LET(_xlpm.x,SUM(SUM(_xlfn._xlws.FILTER(VALUE(PptoSty[Sign]&amp;1)*(1/PptoSty[Division]),(PptoSty[Division]&lt;&gt;0)*(PptoSty[Division]&lt;&gt;"")*(PptoSty[Division]&lt;&gt;"X")*(PptoSty[Project]=$B101)*(PptoSty[Vrs]=$D101)*(PptoSty[PiRow]=_xlfn.TEXTAFTER($H101,":"))*(PptoSty[PiColumn]=Y$54),0)),SUM(IF((INDIRECT($B$3)=$B101)*(INDIRECT($C$3)=$D101)*((INDIRECT($E$3)="TOTS")+(INDIRECT($E$3)=$E101)),INDIRECT(Y$3)))),_xlpm.y,SUM(_xlfn.CHOOSECOLS(_xlfn._xlws.FILTER(F_RT14[],(F_RT14[PrjId]=$B101)*(F_RT14[Vrs]=$D101)*(_xlfn.TEXTAFTER(F_RT14[ActGrp],":")=_xlfn.TEXTAFTER($H101,":")),"X"),MATCH("*"&amp;Y$54,F_RT14[#Headers],0))),IF(AND(_xlpm.x=0,_xlpm.y&lt;&gt;0),-1,IF(AND(_xlpm.x&lt;&gt;0,_xlpm.y&lt;&gt;0),_xlpm.x,IF(AND(_xlpm.x-SUM(IF((INDIRECT($B$3)=$B101)*(INDIRECT($C$3)=$D101)*((INDIRECT($E$3)="TOTS")+(INDIRECT($E$3)=$E101)),INDIRECT(Y$3)))&lt;&gt;0,_xlpm.y=0),-2,_xlpm.x)))),0))</f>
        <v>0</v>
      </c>
      <c r="Z101" s="198" t="str">
        <f t="shared" ca="1" si="2"/>
        <v>Fback!B101:Y101</v>
      </c>
    </row>
    <row r="102" spans="2:26" ht="21" customHeight="1" outlineLevel="1">
      <c r="B102" s="128" t="str">
        <v>31199</v>
      </c>
      <c r="C102" s="128" t="str">
        <v>Sp</v>
      </c>
      <c r="D102" s="128">
        <v>0</v>
      </c>
      <c r="E102" s="128" t="str">
        <v>TOOL</v>
      </c>
      <c r="F102" s="139" t="str">
        <v>SERRA</v>
      </c>
      <c r="G102" s="139" t="str">
        <v>CurPpto</v>
      </c>
      <c r="H102" s="139" t="str">
        <v>P011:FIXTURE OP-510 GEO III</v>
      </c>
      <c r="I102" s="199" cm="1">
        <f t="array" aca="1" ref="I102" ca="1">IF(OR($B102="",$B102="X",$D102="",$D102="X",$E102="",$E102="X"),0,IFERROR(_xlfn.LET(_xlpm.x,SUM(SUM(_xlfn._xlws.FILTER(VALUE(PptoSty[Sign]&amp;1)*(1/PptoSty[Division]),(PptoSty[Division]&lt;&gt;0)*(PptoSty[Division]&lt;&gt;"")*(PptoSty[Division]&lt;&gt;"X")*(PptoSty[Project]=$B102)*(PptoSty[Vrs]=$D102)*(PptoSty[PiRow]=_xlfn.TEXTAFTER($H102,":"))*(PptoSty[PiColumn]=I$54),0)),SUM(IF((INDIRECT($B$3)=$B102)*(INDIRECT($C$3)=$D102)*((INDIRECT($E$3)="TOTS")+(INDIRECT($E$3)=$E102)),INDIRECT(I$3)))),_xlpm.y,SUM(_xlfn.CHOOSECOLS(_xlfn._xlws.FILTER(F_RT14[],(F_RT14[PrjId]=$B102)*(F_RT14[Vrs]=$D102)*(_xlfn.TEXTAFTER(F_RT14[ActGrp],":")=_xlfn.TEXTAFTER($H102,":")),"X"),MATCH("*"&amp;I$54,F_RT14[#Headers],0))),IF(AND(_xlpm.x=0,_xlpm.y&lt;&gt;0),-1,IF(AND(_xlpm.x&lt;&gt;0,_xlpm.y&lt;&gt;0),_xlpm.x,IF(AND(_xlpm.x-SUM(IF((INDIRECT($B$3)=$B102)*(INDIRECT($C$3)=$D102)*((INDIRECT($E$3)="TOTS")+(INDIRECT($E$3)=$E102)),INDIRECT(I$3)))&lt;&gt;0,_xlpm.y=0),-2,_xlpm.x)))),0))</f>
        <v>0</v>
      </c>
      <c r="J102" s="199" cm="1">
        <f t="array" aca="1" ref="J102" ca="1">IF(OR($B102="",$B102="X",$D102="",$D102="X",$E102="",$E102="X"),0,IFERROR(_xlfn.LET(_xlpm.x,SUM(SUM(_xlfn._xlws.FILTER(VALUE(PptoSty[Sign]&amp;1)*(1/PptoSty[Division]),(PptoSty[Division]&lt;&gt;0)*(PptoSty[Division]&lt;&gt;"")*(PptoSty[Division]&lt;&gt;"X")*(PptoSty[Project]=$B102)*(PptoSty[Vrs]=$D102)*(PptoSty[PiRow]=_xlfn.TEXTAFTER($H102,":"))*(PptoSty[PiColumn]=J$54),0)),SUM(IF((INDIRECT($B$3)=$B102)*(INDIRECT($C$3)=$D102)*((INDIRECT($E$3)="TOTS")+(INDIRECT($E$3)=$E102)),INDIRECT(J$3)))),_xlpm.y,SUM(_xlfn.CHOOSECOLS(_xlfn._xlws.FILTER(F_RT14[],(F_RT14[PrjId]=$B102)*(F_RT14[Vrs]=$D102)*(_xlfn.TEXTAFTER(F_RT14[ActGrp],":")=_xlfn.TEXTAFTER($H102,":")),"X"),MATCH("*"&amp;J$54,F_RT14[#Headers],0))),IF(AND(_xlpm.x=0,_xlpm.y&lt;&gt;0),-1,IF(AND(_xlpm.x&lt;&gt;0,_xlpm.y&lt;&gt;0),_xlpm.x,IF(AND(_xlpm.x-SUM(IF((INDIRECT($B$3)=$B102)*(INDIRECT($C$3)=$D102)*((INDIRECT($E$3)="TOTS")+(INDIRECT($E$3)=$E102)),INDIRECT(J$3)))&lt;&gt;0,_xlpm.y=0),-2,_xlpm.x)))),0))</f>
        <v>0</v>
      </c>
      <c r="K102" s="199" cm="1">
        <f t="array" aca="1" ref="K102" ca="1">IF(OR($B102="",$B102="X",$D102="",$D102="X",$E102="",$E102="X"),0,IFERROR(_xlfn.LET(_xlpm.x,SUM(SUM(_xlfn._xlws.FILTER(VALUE(PptoSty[Sign]&amp;1)*(1/PptoSty[Division]),(PptoSty[Division]&lt;&gt;0)*(PptoSty[Division]&lt;&gt;"")*(PptoSty[Division]&lt;&gt;"X")*(PptoSty[Project]=$B102)*(PptoSty[Vrs]=$D102)*(PptoSty[PiRow]=_xlfn.TEXTAFTER($H102,":"))*(PptoSty[PiColumn]=K$54),0)),SUM(IF((INDIRECT($B$3)=$B102)*(INDIRECT($C$3)=$D102)*((INDIRECT($E$3)="TOTS")+(INDIRECT($E$3)=$E102)),INDIRECT(K$3)))),_xlpm.y,SUM(_xlfn.CHOOSECOLS(_xlfn._xlws.FILTER(F_RT14[],(F_RT14[PrjId]=$B102)*(F_RT14[Vrs]=$D102)*(_xlfn.TEXTAFTER(F_RT14[ActGrp],":")=_xlfn.TEXTAFTER($H102,":")),"X"),MATCH("*"&amp;K$54,F_RT14[#Headers],0))),IF(AND(_xlpm.x=0,_xlpm.y&lt;&gt;0),-1,IF(AND(_xlpm.x&lt;&gt;0,_xlpm.y&lt;&gt;0),_xlpm.x,IF(AND(_xlpm.x-SUM(IF((INDIRECT($B$3)=$B102)*(INDIRECT($C$3)=$D102)*((INDIRECT($E$3)="TOTS")+(INDIRECT($E$3)=$E102)),INDIRECT(K$3)))&lt;&gt;0,_xlpm.y=0),-2,_xlpm.x)))),0))</f>
        <v>-1</v>
      </c>
      <c r="L102" s="199" cm="1">
        <f t="array" aca="1" ref="L102" ca="1">IF(OR($B102="",$B102="X",$D102="",$D102="X",$E102="",$E102="X"),0,IFERROR(_xlfn.LET(_xlpm.x,SUM(SUM(_xlfn._xlws.FILTER(VALUE(PptoSty[Sign]&amp;1)*(1/PptoSty[Division]),(PptoSty[Division]&lt;&gt;0)*(PptoSty[Division]&lt;&gt;"")*(PptoSty[Division]&lt;&gt;"X")*(PptoSty[Project]=$B102)*(PptoSty[Vrs]=$D102)*(PptoSty[PiRow]=_xlfn.TEXTAFTER($H102,":"))*(PptoSty[PiColumn]=L$54),0)),SUM(IF((INDIRECT($B$3)=$B102)*(INDIRECT($C$3)=$D102)*((INDIRECT($E$3)="TOTS")+(INDIRECT($E$3)=$E102)),INDIRECT(L$3)))),_xlpm.y,SUM(_xlfn.CHOOSECOLS(_xlfn._xlws.FILTER(F_RT14[],(F_RT14[PrjId]=$B102)*(F_RT14[Vrs]=$D102)*(_xlfn.TEXTAFTER(F_RT14[ActGrp],":")=_xlfn.TEXTAFTER($H102,":")),"X"),MATCH("*"&amp;L$54,F_RT14[#Headers],0))),IF(AND(_xlpm.x=0,_xlpm.y&lt;&gt;0),-1,IF(AND(_xlpm.x&lt;&gt;0,_xlpm.y&lt;&gt;0),_xlpm.x,IF(AND(_xlpm.x-SUM(IF((INDIRECT($B$3)=$B102)*(INDIRECT($C$3)=$D102)*((INDIRECT($E$3)="TOTS")+(INDIRECT($E$3)=$E102)),INDIRECT(L$3)))&lt;&gt;0,_xlpm.y=0),-2,_xlpm.x)))),0))</f>
        <v>0</v>
      </c>
      <c r="M102" s="199" cm="1">
        <f t="array" aca="1" ref="M102" ca="1">IF(OR($B102="",$B102="X",$D102="",$D102="X",$E102="",$E102="X"),0,IFERROR(_xlfn.LET(_xlpm.x,SUM(SUM(_xlfn._xlws.FILTER(VALUE(PptoSty[Sign]&amp;1)*(1/PptoSty[Division]),(PptoSty[Division]&lt;&gt;0)*(PptoSty[Division]&lt;&gt;"")*(PptoSty[Division]&lt;&gt;"X")*(PptoSty[Project]=$B102)*(PptoSty[Vrs]=$D102)*(PptoSty[PiRow]=_xlfn.TEXTAFTER($H102,":"))*(PptoSty[PiColumn]=M$54),0)),SUM(IF((INDIRECT($B$3)=$B102)*(INDIRECT($C$3)=$D102)*((INDIRECT($E$3)="TOTS")+(INDIRECT($E$3)=$E102)),INDIRECT(M$3)))),_xlpm.y,SUM(_xlfn.CHOOSECOLS(_xlfn._xlws.FILTER(F_RT14[],(F_RT14[PrjId]=$B102)*(F_RT14[Vrs]=$D102)*(_xlfn.TEXTAFTER(F_RT14[ActGrp],":")=_xlfn.TEXTAFTER($H102,":")),"X"),MATCH("*"&amp;M$54,F_RT14[#Headers],0))),IF(AND(_xlpm.x=0,_xlpm.y&lt;&gt;0),-1,IF(AND(_xlpm.x&lt;&gt;0,_xlpm.y&lt;&gt;0),_xlpm.x,IF(AND(_xlpm.x-SUM(IF((INDIRECT($B$3)=$B102)*(INDIRECT($C$3)=$D102)*((INDIRECT($E$3)="TOTS")+(INDIRECT($E$3)=$E102)),INDIRECT(M$3)))&lt;&gt;0,_xlpm.y=0),-2,_xlpm.x)))),0))</f>
        <v>0</v>
      </c>
      <c r="N102" s="199" cm="1">
        <f t="array" aca="1" ref="N102" ca="1">IF(OR($B102="",$B102="X",$D102="",$D102="X",$E102="",$E102="X"),0,IFERROR(_xlfn.LET(_xlpm.x,SUM(SUM(_xlfn._xlws.FILTER(VALUE(PptoSty[Sign]&amp;1)*(1/PptoSty[Division]),(PptoSty[Division]&lt;&gt;0)*(PptoSty[Division]&lt;&gt;"")*(PptoSty[Division]&lt;&gt;"X")*(PptoSty[Project]=$B102)*(PptoSty[Vrs]=$D102)*(PptoSty[PiRow]=_xlfn.TEXTAFTER($H102,":"))*(PptoSty[PiColumn]=N$54),0)),SUM(IF((INDIRECT($B$3)=$B102)*(INDIRECT($C$3)=$D102)*((INDIRECT($E$3)="TOTS")+(INDIRECT($E$3)=$E102)),INDIRECT(N$3)))),_xlpm.y,SUM(_xlfn.CHOOSECOLS(_xlfn._xlws.FILTER(F_RT14[],(F_RT14[PrjId]=$B102)*(F_RT14[Vrs]=$D102)*(_xlfn.TEXTAFTER(F_RT14[ActGrp],":")=_xlfn.TEXTAFTER($H102,":")),"X"),MATCH("*"&amp;N$54,F_RT14[#Headers],0))),IF(AND(_xlpm.x=0,_xlpm.y&lt;&gt;0),-1,IF(AND(_xlpm.x&lt;&gt;0,_xlpm.y&lt;&gt;0),_xlpm.x,IF(AND(_xlpm.x-SUM(IF((INDIRECT($B$3)=$B102)*(INDIRECT($C$3)=$D102)*((INDIRECT($E$3)="TOTS")+(INDIRECT($E$3)=$E102)),INDIRECT(N$3)))&lt;&gt;0,_xlpm.y=0),-2,_xlpm.x)))),0))</f>
        <v>-1</v>
      </c>
      <c r="O102" s="199" cm="1">
        <f t="array" aca="1" ref="O102" ca="1">IF(OR($B102="",$B102="X",$D102="",$D102="X",$E102="",$E102="X"),0,IFERROR(_xlfn.LET(_xlpm.x,SUM(SUM(_xlfn._xlws.FILTER(VALUE(PptoSty[Sign]&amp;1)*(1/PptoSty[Division]),(PptoSty[Division]&lt;&gt;0)*(PptoSty[Division]&lt;&gt;"")*(PptoSty[Division]&lt;&gt;"X")*(PptoSty[Project]=$B102)*(PptoSty[Vrs]=$D102)*(PptoSty[PiRow]=_xlfn.TEXTAFTER($H102,":"))*(PptoSty[PiColumn]=O$54),0)),SUM(IF((INDIRECT($B$3)=$B102)*(INDIRECT($C$3)=$D102)*((INDIRECT($E$3)="TOTS")+(INDIRECT($E$3)=$E102)),INDIRECT(O$3)))),_xlpm.y,SUM(_xlfn.CHOOSECOLS(_xlfn._xlws.FILTER(F_RT14[],(F_RT14[PrjId]=$B102)*(F_RT14[Vrs]=$D102)*(_xlfn.TEXTAFTER(F_RT14[ActGrp],":")=_xlfn.TEXTAFTER($H102,":")),"X"),MATCH("*"&amp;O$54,F_RT14[#Headers],0))),IF(AND(_xlpm.x=0,_xlpm.y&lt;&gt;0),-1,IF(AND(_xlpm.x&lt;&gt;0,_xlpm.y&lt;&gt;0),_xlpm.x,IF(AND(_xlpm.x-SUM(IF((INDIRECT($B$3)=$B102)*(INDIRECT($C$3)=$D102)*((INDIRECT($E$3)="TOTS")+(INDIRECT($E$3)=$E102)),INDIRECT(O$3)))&lt;&gt;0,_xlpm.y=0),-2,_xlpm.x)))),0))</f>
        <v>0</v>
      </c>
      <c r="P102" s="199" cm="1">
        <f t="array" aca="1" ref="P102" ca="1">IF(OR($B102="",$B102="X",$D102="",$D102="X",$E102="",$E102="X"),0,IFERROR(_xlfn.LET(_xlpm.x,SUM(SUM(_xlfn._xlws.FILTER(VALUE(PptoSty[Sign]&amp;1)*(1/PptoSty[Division]),(PptoSty[Division]&lt;&gt;0)*(PptoSty[Division]&lt;&gt;"")*(PptoSty[Division]&lt;&gt;"X")*(PptoSty[Project]=$B102)*(PptoSty[Vrs]=$D102)*(PptoSty[PiRow]=_xlfn.TEXTAFTER($H102,":"))*(PptoSty[PiColumn]=P$54),0)),SUM(IF((INDIRECT($B$3)=$B102)*(INDIRECT($C$3)=$D102)*((INDIRECT($E$3)="TOTS")+(INDIRECT($E$3)=$E102)),INDIRECT(P$3)))),_xlpm.y,SUM(_xlfn.CHOOSECOLS(_xlfn._xlws.FILTER(F_RT14[],(F_RT14[PrjId]=$B102)*(F_RT14[Vrs]=$D102)*(_xlfn.TEXTAFTER(F_RT14[ActGrp],":")=_xlfn.TEXTAFTER($H102,":")),"X"),MATCH("*"&amp;P$54,F_RT14[#Headers],0))),IF(AND(_xlpm.x=0,_xlpm.y&lt;&gt;0),-1,IF(AND(_xlpm.x&lt;&gt;0,_xlpm.y&lt;&gt;0),_xlpm.x,IF(AND(_xlpm.x-SUM(IF((INDIRECT($B$3)=$B102)*(INDIRECT($C$3)=$D102)*((INDIRECT($E$3)="TOTS")+(INDIRECT($E$3)=$E102)),INDIRECT(P$3)))&lt;&gt;0,_xlpm.y=0),-2,_xlpm.x)))),0))</f>
        <v>-1</v>
      </c>
      <c r="Q102" s="199" cm="1">
        <f t="array" aca="1" ref="Q102" ca="1">IF(OR($B102="",$B102="X",$D102="",$D102="X",$E102="",$E102="X"),0,IFERROR(_xlfn.LET(_xlpm.x,SUM(SUM(_xlfn._xlws.FILTER(VALUE(PptoSty[Sign]&amp;1)*(1/PptoSty[Division]),(PptoSty[Division]&lt;&gt;0)*(PptoSty[Division]&lt;&gt;"")*(PptoSty[Division]&lt;&gt;"X")*(PptoSty[Project]=$B102)*(PptoSty[Vrs]=$D102)*(PptoSty[PiRow]=_xlfn.TEXTAFTER($H102,":"))*(PptoSty[PiColumn]=Q$54),0)),SUM(IF((INDIRECT($B$3)=$B102)*(INDIRECT($C$3)=$D102)*((INDIRECT($E$3)="TOTS")+(INDIRECT($E$3)=$E102)),INDIRECT(Q$3)))),_xlpm.y,SUM(_xlfn.CHOOSECOLS(_xlfn._xlws.FILTER(F_RT14[],(F_RT14[PrjId]=$B102)*(F_RT14[Vrs]=$D102)*(_xlfn.TEXTAFTER(F_RT14[ActGrp],":")=_xlfn.TEXTAFTER($H102,":")),"X"),MATCH("*"&amp;Q$54,F_RT14[#Headers],0))),IF(AND(_xlpm.x=0,_xlpm.y&lt;&gt;0),-1,IF(AND(_xlpm.x&lt;&gt;0,_xlpm.y&lt;&gt;0),_xlpm.x,IF(AND(_xlpm.x-SUM(IF((INDIRECT($B$3)=$B102)*(INDIRECT($C$3)=$D102)*((INDIRECT($E$3)="TOTS")+(INDIRECT($E$3)=$E102)),INDIRECT(Q$3)))&lt;&gt;0,_xlpm.y=0),-2,_xlpm.x)))),0))</f>
        <v>-1</v>
      </c>
      <c r="R102" s="199" cm="1">
        <f t="array" aca="1" ref="R102" ca="1">IF(OR($B102="",$B102="X",$D102="",$D102="X",$E102="",$E102="X"),0,IFERROR(_xlfn.LET(_xlpm.x,SUM(SUM(_xlfn._xlws.FILTER(VALUE(PptoSty[Sign]&amp;1)*(1/PptoSty[Division]),(PptoSty[Division]&lt;&gt;0)*(PptoSty[Division]&lt;&gt;"")*(PptoSty[Division]&lt;&gt;"X")*(PptoSty[Project]=$B102)*(PptoSty[Vrs]=$D102)*(PptoSty[PiRow]=_xlfn.TEXTAFTER($H102,":"))*(PptoSty[PiColumn]=R$54),0)),SUM(IF((INDIRECT($B$3)=$B102)*(INDIRECT($C$3)=$D102)*((INDIRECT($E$3)="TOTS")+(INDIRECT($E$3)=$E102)),INDIRECT(R$3)))),_xlpm.y,SUM(_xlfn.CHOOSECOLS(_xlfn._xlws.FILTER(F_RT14[],(F_RT14[PrjId]=$B102)*(F_RT14[Vrs]=$D102)*(_xlfn.TEXTAFTER(F_RT14[ActGrp],":")=_xlfn.TEXTAFTER($H102,":")),"X"),MATCH("*"&amp;R$54,F_RT14[#Headers],0))),IF(AND(_xlpm.x=0,_xlpm.y&lt;&gt;0),-1,IF(AND(_xlpm.x&lt;&gt;0,_xlpm.y&lt;&gt;0),_xlpm.x,IF(AND(_xlpm.x-SUM(IF((INDIRECT($B$3)=$B102)*(INDIRECT($C$3)=$D102)*((INDIRECT($E$3)="TOTS")+(INDIRECT($E$3)=$E102)),INDIRECT(R$3)))&lt;&gt;0,_xlpm.y=0),-2,_xlpm.x)))),0))</f>
        <v>-1</v>
      </c>
      <c r="S102" s="199" cm="1">
        <f t="array" aca="1" ref="S102" ca="1">IF(OR($B102="",$B102="X",$D102="",$D102="X",$E102="",$E102="X"),0,IFERROR(_xlfn.LET(_xlpm.x,SUM(SUM(_xlfn._xlws.FILTER(VALUE(PptoSty[Sign]&amp;1)*(1/PptoSty[Division]),(PptoSty[Division]&lt;&gt;0)*(PptoSty[Division]&lt;&gt;"")*(PptoSty[Division]&lt;&gt;"X")*(PptoSty[Project]=$B102)*(PptoSty[Vrs]=$D102)*(PptoSty[PiRow]=_xlfn.TEXTAFTER($H102,":"))*(PptoSty[PiColumn]=S$54),0)),SUM(IF((INDIRECT($B$3)=$B102)*(INDIRECT($C$3)=$D102)*((INDIRECT($E$3)="TOTS")+(INDIRECT($E$3)=$E102)),INDIRECT(S$3)))),_xlpm.y,SUM(_xlfn.CHOOSECOLS(_xlfn._xlws.FILTER(F_RT14[],(F_RT14[PrjId]=$B102)*(F_RT14[Vrs]=$D102)*(_xlfn.TEXTAFTER(F_RT14[ActGrp],":")=_xlfn.TEXTAFTER($H102,":")),"X"),MATCH("*"&amp;S$54,F_RT14[#Headers],0))),IF(AND(_xlpm.x=0,_xlpm.y&lt;&gt;0),-1,IF(AND(_xlpm.x&lt;&gt;0,_xlpm.y&lt;&gt;0),_xlpm.x,IF(AND(_xlpm.x-SUM(IF((INDIRECT($B$3)=$B102)*(INDIRECT($C$3)=$D102)*((INDIRECT($E$3)="TOTS")+(INDIRECT($E$3)=$E102)),INDIRECT(S$3)))&lt;&gt;0,_xlpm.y=0),-2,_xlpm.x)))),0))</f>
        <v>-1</v>
      </c>
      <c r="T102" s="199" cm="1">
        <f t="array" aca="1" ref="T102" ca="1">IF(OR($B102="",$B102="X",$D102="",$D102="X",$E102="",$E102="X"),0,IFERROR(_xlfn.LET(_xlpm.x,SUM(SUM(_xlfn._xlws.FILTER(VALUE(PptoSty[Sign]&amp;1)*(1/PptoSty[Division]),(PptoSty[Division]&lt;&gt;0)*(PptoSty[Division]&lt;&gt;"")*(PptoSty[Division]&lt;&gt;"X")*(PptoSty[Project]=$B102)*(PptoSty[Vrs]=$D102)*(PptoSty[PiRow]=_xlfn.TEXTAFTER($H102,":"))*(PptoSty[PiColumn]=T$54),0)),SUM(IF((INDIRECT($B$3)=$B102)*(INDIRECT($C$3)=$D102)*((INDIRECT($E$3)="TOTS")+(INDIRECT($E$3)=$E102)),INDIRECT(T$3)))),_xlpm.y,SUM(_xlfn.CHOOSECOLS(_xlfn._xlws.FILTER(F_RT14[],(F_RT14[PrjId]=$B102)*(F_RT14[Vrs]=$D102)*(_xlfn.TEXTAFTER(F_RT14[ActGrp],":")=_xlfn.TEXTAFTER($H102,":")),"X"),MATCH("*"&amp;T$54,F_RT14[#Headers],0))),IF(AND(_xlpm.x=0,_xlpm.y&lt;&gt;0),-1,IF(AND(_xlpm.x&lt;&gt;0,_xlpm.y&lt;&gt;0),_xlpm.x,IF(AND(_xlpm.x-SUM(IF((INDIRECT($B$3)=$B102)*(INDIRECT($C$3)=$D102)*((INDIRECT($E$3)="TOTS")+(INDIRECT($E$3)=$E102)),INDIRECT(T$3)))&lt;&gt;0,_xlpm.y=0),-2,_xlpm.x)))),0))</f>
        <v>-1</v>
      </c>
      <c r="U102" s="199" cm="1">
        <f t="array" aca="1" ref="U102" ca="1">IF(OR($B102="",$B102="X",$D102="",$D102="X",$E102="",$E102="X"),0,IFERROR(_xlfn.LET(_xlpm.x,SUM(SUM(_xlfn._xlws.FILTER(VALUE(PptoSty[Sign]&amp;1)*(1/PptoSty[Division]),(PptoSty[Division]&lt;&gt;0)*(PptoSty[Division]&lt;&gt;"")*(PptoSty[Division]&lt;&gt;"X")*(PptoSty[Project]=$B102)*(PptoSty[Vrs]=$D102)*(PptoSty[PiRow]=_xlfn.TEXTAFTER($H102,":"))*(PptoSty[PiColumn]=U$54),0)),SUM(IF((INDIRECT($B$3)=$B102)*(INDIRECT($C$3)=$D102)*((INDIRECT($E$3)="TOTS")+(INDIRECT($E$3)=$E102)),INDIRECT(U$3)))),_xlpm.y,SUM(_xlfn.CHOOSECOLS(_xlfn._xlws.FILTER(F_RT14[],(F_RT14[PrjId]=$B102)*(F_RT14[Vrs]=$D102)*(_xlfn.TEXTAFTER(F_RT14[ActGrp],":")=_xlfn.TEXTAFTER($H102,":")),"X"),MATCH("*"&amp;U$54,F_RT14[#Headers],0))),IF(AND(_xlpm.x=0,_xlpm.y&lt;&gt;0),-1,IF(AND(_xlpm.x&lt;&gt;0,_xlpm.y&lt;&gt;0),_xlpm.x,IF(AND(_xlpm.x-SUM(IF((INDIRECT($B$3)=$B102)*(INDIRECT($C$3)=$D102)*((INDIRECT($E$3)="TOTS")+(INDIRECT($E$3)=$E102)),INDIRECT(U$3)))&lt;&gt;0,_xlpm.y=0),-2,_xlpm.x)))),0))</f>
        <v>0</v>
      </c>
      <c r="V102" s="199" cm="1">
        <f t="array" aca="1" ref="V102" ca="1">IF(OR($B102="",$B102="X",$D102="",$D102="X",$E102="",$E102="X"),0,IFERROR(_xlfn.LET(_xlpm.x,SUM(SUM(_xlfn._xlws.FILTER(VALUE(PptoSty[Sign]&amp;1)*(1/PptoSty[Division]),(PptoSty[Division]&lt;&gt;0)*(PptoSty[Division]&lt;&gt;"")*(PptoSty[Division]&lt;&gt;"X")*(PptoSty[Project]=$B102)*(PptoSty[Vrs]=$D102)*(PptoSty[PiRow]=_xlfn.TEXTAFTER($H102,":"))*(PptoSty[PiColumn]=V$54),0)),SUM(IF((INDIRECT($B$3)=$B102)*(INDIRECT($C$3)=$D102)*((INDIRECT($E$3)="TOTS")+(INDIRECT($E$3)=$E102)),INDIRECT(V$3)))),_xlpm.y,SUM(_xlfn.CHOOSECOLS(_xlfn._xlws.FILTER(F_RT14[],(F_RT14[PrjId]=$B102)*(F_RT14[Vrs]=$D102)*(_xlfn.TEXTAFTER(F_RT14[ActGrp],":")=_xlfn.TEXTAFTER($H102,":")),"X"),MATCH("*"&amp;V$54,F_RT14[#Headers],0))),IF(AND(_xlpm.x=0,_xlpm.y&lt;&gt;0),-1,IF(AND(_xlpm.x&lt;&gt;0,_xlpm.y&lt;&gt;0),_xlpm.x,IF(AND(_xlpm.x-SUM(IF((INDIRECT($B$3)=$B102)*(INDIRECT($C$3)=$D102)*((INDIRECT($E$3)="TOTS")+(INDIRECT($E$3)=$E102)),INDIRECT(V$3)))&lt;&gt;0,_xlpm.y=0),-2,_xlpm.x)))),0))</f>
        <v>-1</v>
      </c>
      <c r="W102" s="199" cm="1">
        <f t="array" aca="1" ref="W102" ca="1">IF(OR($B102="",$B102="X",$D102="",$D102="X",$E102="",$E102="X"),0,IFERROR(_xlfn.LET(_xlpm.x,SUM(SUM(_xlfn._xlws.FILTER(VALUE(PptoSty[Sign]&amp;1)*(1/PptoSty[Division]),(PptoSty[Division]&lt;&gt;0)*(PptoSty[Division]&lt;&gt;"")*(PptoSty[Division]&lt;&gt;"X")*(PptoSty[Project]=$B102)*(PptoSty[Vrs]=$D102)*(PptoSty[PiRow]=_xlfn.TEXTAFTER($H102,":"))*(PptoSty[PiColumn]=W$54),0)),SUM(IF((INDIRECT($B$3)=$B102)*(INDIRECT($C$3)=$D102)*((INDIRECT($E$3)="TOTS")+(INDIRECT($E$3)=$E102)),INDIRECT(W$3)))),_xlpm.y,SUM(_xlfn.CHOOSECOLS(_xlfn._xlws.FILTER(F_RT14[],(F_RT14[PrjId]=$B102)*(F_RT14[Vrs]=$D102)*(_xlfn.TEXTAFTER(F_RT14[ActGrp],":")=_xlfn.TEXTAFTER($H102,":")),"X"),MATCH("*"&amp;W$54,F_RT14[#Headers],0))),IF(AND(_xlpm.x=0,_xlpm.y&lt;&gt;0),-1,IF(AND(_xlpm.x&lt;&gt;0,_xlpm.y&lt;&gt;0),_xlpm.x,IF(AND(_xlpm.x-SUM(IF((INDIRECT($B$3)=$B102)*(INDIRECT($C$3)=$D102)*((INDIRECT($E$3)="TOTS")+(INDIRECT($E$3)=$E102)),INDIRECT(W$3)))&lt;&gt;0,_xlpm.y=0),-2,_xlpm.x)))),0))</f>
        <v>-1</v>
      </c>
      <c r="X102" s="199" cm="1">
        <f t="array" aca="1" ref="X102" ca="1">IF(OR($B102="",$B102="X",$D102="",$D102="X",$E102="",$E102="X"),0,IFERROR(_xlfn.LET(_xlpm.x,SUM(SUM(_xlfn._xlws.FILTER(VALUE(PptoSty[Sign]&amp;1)*(1/PptoSty[Division]),(PptoSty[Division]&lt;&gt;0)*(PptoSty[Division]&lt;&gt;"")*(PptoSty[Division]&lt;&gt;"X")*(PptoSty[Project]=$B102)*(PptoSty[Vrs]=$D102)*(PptoSty[PiRow]=_xlfn.TEXTAFTER($H102,":"))*(PptoSty[PiColumn]=X$54),0)),SUM(IF((INDIRECT($B$3)=$B102)*(INDIRECT($C$3)=$D102)*((INDIRECT($E$3)="TOTS")+(INDIRECT($E$3)=$E102)),INDIRECT(X$3)))),_xlpm.y,SUM(_xlfn.CHOOSECOLS(_xlfn._xlws.FILTER(F_RT14[],(F_RT14[PrjId]=$B102)*(F_RT14[Vrs]=$D102)*(_xlfn.TEXTAFTER(F_RT14[ActGrp],":")=_xlfn.TEXTAFTER($H102,":")),"X"),MATCH("*"&amp;X$54,F_RT14[#Headers],0))),IF(AND(_xlpm.x=0,_xlpm.y&lt;&gt;0),-1,IF(AND(_xlpm.x&lt;&gt;0,_xlpm.y&lt;&gt;0),_xlpm.x,IF(AND(_xlpm.x-SUM(IF((INDIRECT($B$3)=$B102)*(INDIRECT($C$3)=$D102)*((INDIRECT($E$3)="TOTS")+(INDIRECT($E$3)=$E102)),INDIRECT(X$3)))&lt;&gt;0,_xlpm.y=0),-2,_xlpm.x)))),0))</f>
        <v>-1</v>
      </c>
      <c r="Y102" s="199" cm="1">
        <f t="array" aca="1" ref="Y102" ca="1">IF(OR($B102="",$B102="X",$D102="",$D102="X",$E102="",$E102="X"),0,IFERROR(_xlfn.LET(_xlpm.x,SUM(SUM(_xlfn._xlws.FILTER(VALUE(PptoSty[Sign]&amp;1)*(1/PptoSty[Division]),(PptoSty[Division]&lt;&gt;0)*(PptoSty[Division]&lt;&gt;"")*(PptoSty[Division]&lt;&gt;"X")*(PptoSty[Project]=$B102)*(PptoSty[Vrs]=$D102)*(PptoSty[PiRow]=_xlfn.TEXTAFTER($H102,":"))*(PptoSty[PiColumn]=Y$54),0)),SUM(IF((INDIRECT($B$3)=$B102)*(INDIRECT($C$3)=$D102)*((INDIRECT($E$3)="TOTS")+(INDIRECT($E$3)=$E102)),INDIRECT(Y$3)))),_xlpm.y,SUM(_xlfn.CHOOSECOLS(_xlfn._xlws.FILTER(F_RT14[],(F_RT14[PrjId]=$B102)*(F_RT14[Vrs]=$D102)*(_xlfn.TEXTAFTER(F_RT14[ActGrp],":")=_xlfn.TEXTAFTER($H102,":")),"X"),MATCH("*"&amp;Y$54,F_RT14[#Headers],0))),IF(AND(_xlpm.x=0,_xlpm.y&lt;&gt;0),-1,IF(AND(_xlpm.x&lt;&gt;0,_xlpm.y&lt;&gt;0),_xlpm.x,IF(AND(_xlpm.x-SUM(IF((INDIRECT($B$3)=$B102)*(INDIRECT($C$3)=$D102)*((INDIRECT($E$3)="TOTS")+(INDIRECT($E$3)=$E102)),INDIRECT(Y$3)))&lt;&gt;0,_xlpm.y=0),-2,_xlpm.x)))),0))</f>
        <v>0</v>
      </c>
      <c r="Z102" s="198" t="str">
        <f t="shared" ca="1" si="2"/>
        <v>Fback!B102:Y102</v>
      </c>
    </row>
    <row r="103" spans="2:26" ht="21" customHeight="1" outlineLevel="1">
      <c r="B103" s="128" t="str">
        <v>31200</v>
      </c>
      <c r="C103" s="128" t="str">
        <v>Sp</v>
      </c>
      <c r="D103" s="128">
        <v>15</v>
      </c>
      <c r="E103" s="128" t="str">
        <v>TOOL</v>
      </c>
      <c r="F103" s="139" t="str">
        <v>SERRA</v>
      </c>
      <c r="G103" s="139" t="str">
        <v>CurPpto</v>
      </c>
      <c r="H103" s="139" t="str">
        <v>P011:OP-610.1+2 WELDING (GEO)</v>
      </c>
      <c r="I103" s="199" cm="1">
        <f t="array" aca="1" ref="I103" ca="1">IF(OR($B103="",$B103="X",$D103="",$D103="X",$E103="",$E103="X"),0,IFERROR(_xlfn.LET(_xlpm.x,SUM(SUM(_xlfn._xlws.FILTER(VALUE(PptoSty[Sign]&amp;1)*(1/PptoSty[Division]),(PptoSty[Division]&lt;&gt;0)*(PptoSty[Division]&lt;&gt;"")*(PptoSty[Division]&lt;&gt;"X")*(PptoSty[Project]=$B103)*(PptoSty[Vrs]=$D103)*(PptoSty[PiRow]=_xlfn.TEXTAFTER($H103,":"))*(PptoSty[PiColumn]=I$54),0)),SUM(IF((INDIRECT($B$3)=$B103)*(INDIRECT($C$3)=$D103)*((INDIRECT($E$3)="TOTS")+(INDIRECT($E$3)=$E103)),INDIRECT(I$3)))),_xlpm.y,SUM(_xlfn.CHOOSECOLS(_xlfn._xlws.FILTER(F_RT14[],(F_RT14[PrjId]=$B103)*(F_RT14[Vrs]=$D103)*(_xlfn.TEXTAFTER(F_RT14[ActGrp],":")=_xlfn.TEXTAFTER($H103,":")),"X"),MATCH("*"&amp;I$54,F_RT14[#Headers],0))),IF(AND(_xlpm.x=0,_xlpm.y&lt;&gt;0),-1,IF(AND(_xlpm.x&lt;&gt;0,_xlpm.y&lt;&gt;0),_xlpm.x,IF(AND(_xlpm.x-SUM(IF((INDIRECT($B$3)=$B103)*(INDIRECT($C$3)=$D103)*((INDIRECT($E$3)="TOTS")+(INDIRECT($E$3)=$E103)),INDIRECT(I$3)))&lt;&gt;0,_xlpm.y=0),-2,_xlpm.x)))),0))</f>
        <v>0</v>
      </c>
      <c r="J103" s="199" cm="1">
        <f t="array" aca="1" ref="J103" ca="1">IF(OR($B103="",$B103="X",$D103="",$D103="X",$E103="",$E103="X"),0,IFERROR(_xlfn.LET(_xlpm.x,SUM(SUM(_xlfn._xlws.FILTER(VALUE(PptoSty[Sign]&amp;1)*(1/PptoSty[Division]),(PptoSty[Division]&lt;&gt;0)*(PptoSty[Division]&lt;&gt;"")*(PptoSty[Division]&lt;&gt;"X")*(PptoSty[Project]=$B103)*(PptoSty[Vrs]=$D103)*(PptoSty[PiRow]=_xlfn.TEXTAFTER($H103,":"))*(PptoSty[PiColumn]=J$54),0)),SUM(IF((INDIRECT($B$3)=$B103)*(INDIRECT($C$3)=$D103)*((INDIRECT($E$3)="TOTS")+(INDIRECT($E$3)=$E103)),INDIRECT(J$3)))),_xlpm.y,SUM(_xlfn.CHOOSECOLS(_xlfn._xlws.FILTER(F_RT14[],(F_RT14[PrjId]=$B103)*(F_RT14[Vrs]=$D103)*(_xlfn.TEXTAFTER(F_RT14[ActGrp],":")=_xlfn.TEXTAFTER($H103,":")),"X"),MATCH("*"&amp;J$54,F_RT14[#Headers],0))),IF(AND(_xlpm.x=0,_xlpm.y&lt;&gt;0),-1,IF(AND(_xlpm.x&lt;&gt;0,_xlpm.y&lt;&gt;0),_xlpm.x,IF(AND(_xlpm.x-SUM(IF((INDIRECT($B$3)=$B103)*(INDIRECT($C$3)=$D103)*((INDIRECT($E$3)="TOTS")+(INDIRECT($E$3)=$E103)),INDIRECT(J$3)))&lt;&gt;0,_xlpm.y=0),-2,_xlpm.x)))),0))</f>
        <v>0</v>
      </c>
      <c r="K103" s="199" cm="1">
        <f t="array" aca="1" ref="K103" ca="1">IF(OR($B103="",$B103="X",$D103="",$D103="X",$E103="",$E103="X"),0,IFERROR(_xlfn.LET(_xlpm.x,SUM(SUM(_xlfn._xlws.FILTER(VALUE(PptoSty[Sign]&amp;1)*(1/PptoSty[Division]),(PptoSty[Division]&lt;&gt;0)*(PptoSty[Division]&lt;&gt;"")*(PptoSty[Division]&lt;&gt;"X")*(PptoSty[Project]=$B103)*(PptoSty[Vrs]=$D103)*(PptoSty[PiRow]=_xlfn.TEXTAFTER($H103,":"))*(PptoSty[PiColumn]=K$54),0)),SUM(IF((INDIRECT($B$3)=$B103)*(INDIRECT($C$3)=$D103)*((INDIRECT($E$3)="TOTS")+(INDIRECT($E$3)=$E103)),INDIRECT(K$3)))),_xlpm.y,SUM(_xlfn.CHOOSECOLS(_xlfn._xlws.FILTER(F_RT14[],(F_RT14[PrjId]=$B103)*(F_RT14[Vrs]=$D103)*(_xlfn.TEXTAFTER(F_RT14[ActGrp],":")=_xlfn.TEXTAFTER($H103,":")),"X"),MATCH("*"&amp;K$54,F_RT14[#Headers],0))),IF(AND(_xlpm.x=0,_xlpm.y&lt;&gt;0),-1,IF(AND(_xlpm.x&lt;&gt;0,_xlpm.y&lt;&gt;0),_xlpm.x,IF(AND(_xlpm.x-SUM(IF((INDIRECT($B$3)=$B103)*(INDIRECT($C$3)=$D103)*((INDIRECT($E$3)="TOTS")+(INDIRECT($E$3)=$E103)),INDIRECT(K$3)))&lt;&gt;0,_xlpm.y=0),-2,_xlpm.x)))),0))</f>
        <v>-1</v>
      </c>
      <c r="L103" s="199" cm="1">
        <f t="array" aca="1" ref="L103" ca="1">IF(OR($B103="",$B103="X",$D103="",$D103="X",$E103="",$E103="X"),0,IFERROR(_xlfn.LET(_xlpm.x,SUM(SUM(_xlfn._xlws.FILTER(VALUE(PptoSty[Sign]&amp;1)*(1/PptoSty[Division]),(PptoSty[Division]&lt;&gt;0)*(PptoSty[Division]&lt;&gt;"")*(PptoSty[Division]&lt;&gt;"X")*(PptoSty[Project]=$B103)*(PptoSty[Vrs]=$D103)*(PptoSty[PiRow]=_xlfn.TEXTAFTER($H103,":"))*(PptoSty[PiColumn]=L$54),0)),SUM(IF((INDIRECT($B$3)=$B103)*(INDIRECT($C$3)=$D103)*((INDIRECT($E$3)="TOTS")+(INDIRECT($E$3)=$E103)),INDIRECT(L$3)))),_xlpm.y,SUM(_xlfn.CHOOSECOLS(_xlfn._xlws.FILTER(F_RT14[],(F_RT14[PrjId]=$B103)*(F_RT14[Vrs]=$D103)*(_xlfn.TEXTAFTER(F_RT14[ActGrp],":")=_xlfn.TEXTAFTER($H103,":")),"X"),MATCH("*"&amp;L$54,F_RT14[#Headers],0))),IF(AND(_xlpm.x=0,_xlpm.y&lt;&gt;0),-1,IF(AND(_xlpm.x&lt;&gt;0,_xlpm.y&lt;&gt;0),_xlpm.x,IF(AND(_xlpm.x-SUM(IF((INDIRECT($B$3)=$B103)*(INDIRECT($C$3)=$D103)*((INDIRECT($E$3)="TOTS")+(INDIRECT($E$3)=$E103)),INDIRECT(L$3)))&lt;&gt;0,_xlpm.y=0),-2,_xlpm.x)))),0))</f>
        <v>0</v>
      </c>
      <c r="M103" s="199" cm="1">
        <f t="array" aca="1" ref="M103" ca="1">IF(OR($B103="",$B103="X",$D103="",$D103="X",$E103="",$E103="X"),0,IFERROR(_xlfn.LET(_xlpm.x,SUM(SUM(_xlfn._xlws.FILTER(VALUE(PptoSty[Sign]&amp;1)*(1/PptoSty[Division]),(PptoSty[Division]&lt;&gt;0)*(PptoSty[Division]&lt;&gt;"")*(PptoSty[Division]&lt;&gt;"X")*(PptoSty[Project]=$B103)*(PptoSty[Vrs]=$D103)*(PptoSty[PiRow]=_xlfn.TEXTAFTER($H103,":"))*(PptoSty[PiColumn]=M$54),0)),SUM(IF((INDIRECT($B$3)=$B103)*(INDIRECT($C$3)=$D103)*((INDIRECT($E$3)="TOTS")+(INDIRECT($E$3)=$E103)),INDIRECT(M$3)))),_xlpm.y,SUM(_xlfn.CHOOSECOLS(_xlfn._xlws.FILTER(F_RT14[],(F_RT14[PrjId]=$B103)*(F_RT14[Vrs]=$D103)*(_xlfn.TEXTAFTER(F_RT14[ActGrp],":")=_xlfn.TEXTAFTER($H103,":")),"X"),MATCH("*"&amp;M$54,F_RT14[#Headers],0))),IF(AND(_xlpm.x=0,_xlpm.y&lt;&gt;0),-1,IF(AND(_xlpm.x&lt;&gt;0,_xlpm.y&lt;&gt;0),_xlpm.x,IF(AND(_xlpm.x-SUM(IF((INDIRECT($B$3)=$B103)*(INDIRECT($C$3)=$D103)*((INDIRECT($E$3)="TOTS")+(INDIRECT($E$3)=$E103)),INDIRECT(M$3)))&lt;&gt;0,_xlpm.y=0),-2,_xlpm.x)))),0))</f>
        <v>0</v>
      </c>
      <c r="N103" s="199" cm="1">
        <f t="array" aca="1" ref="N103" ca="1">IF(OR($B103="",$B103="X",$D103="",$D103="X",$E103="",$E103="X"),0,IFERROR(_xlfn.LET(_xlpm.x,SUM(SUM(_xlfn._xlws.FILTER(VALUE(PptoSty[Sign]&amp;1)*(1/PptoSty[Division]),(PptoSty[Division]&lt;&gt;0)*(PptoSty[Division]&lt;&gt;"")*(PptoSty[Division]&lt;&gt;"X")*(PptoSty[Project]=$B103)*(PptoSty[Vrs]=$D103)*(PptoSty[PiRow]=_xlfn.TEXTAFTER($H103,":"))*(PptoSty[PiColumn]=N$54),0)),SUM(IF((INDIRECT($B$3)=$B103)*(INDIRECT($C$3)=$D103)*((INDIRECT($E$3)="TOTS")+(INDIRECT($E$3)=$E103)),INDIRECT(N$3)))),_xlpm.y,SUM(_xlfn.CHOOSECOLS(_xlfn._xlws.FILTER(F_RT14[],(F_RT14[PrjId]=$B103)*(F_RT14[Vrs]=$D103)*(_xlfn.TEXTAFTER(F_RT14[ActGrp],":")=_xlfn.TEXTAFTER($H103,":")),"X"),MATCH("*"&amp;N$54,F_RT14[#Headers],0))),IF(AND(_xlpm.x=0,_xlpm.y&lt;&gt;0),-1,IF(AND(_xlpm.x&lt;&gt;0,_xlpm.y&lt;&gt;0),_xlpm.x,IF(AND(_xlpm.x-SUM(IF((INDIRECT($B$3)=$B103)*(INDIRECT($C$3)=$D103)*((INDIRECT($E$3)="TOTS")+(INDIRECT($E$3)=$E103)),INDIRECT(N$3)))&lt;&gt;0,_xlpm.y=0),-2,_xlpm.x)))),0))</f>
        <v>-1</v>
      </c>
      <c r="O103" s="199" cm="1">
        <f t="array" aca="1" ref="O103" ca="1">IF(OR($B103="",$B103="X",$D103="",$D103="X",$E103="",$E103="X"),0,IFERROR(_xlfn.LET(_xlpm.x,SUM(SUM(_xlfn._xlws.FILTER(VALUE(PptoSty[Sign]&amp;1)*(1/PptoSty[Division]),(PptoSty[Division]&lt;&gt;0)*(PptoSty[Division]&lt;&gt;"")*(PptoSty[Division]&lt;&gt;"X")*(PptoSty[Project]=$B103)*(PptoSty[Vrs]=$D103)*(PptoSty[PiRow]=_xlfn.TEXTAFTER($H103,":"))*(PptoSty[PiColumn]=O$54),0)),SUM(IF((INDIRECT($B$3)=$B103)*(INDIRECT($C$3)=$D103)*((INDIRECT($E$3)="TOTS")+(INDIRECT($E$3)=$E103)),INDIRECT(O$3)))),_xlpm.y,SUM(_xlfn.CHOOSECOLS(_xlfn._xlws.FILTER(F_RT14[],(F_RT14[PrjId]=$B103)*(F_RT14[Vrs]=$D103)*(_xlfn.TEXTAFTER(F_RT14[ActGrp],":")=_xlfn.TEXTAFTER($H103,":")),"X"),MATCH("*"&amp;O$54,F_RT14[#Headers],0))),IF(AND(_xlpm.x=0,_xlpm.y&lt;&gt;0),-1,IF(AND(_xlpm.x&lt;&gt;0,_xlpm.y&lt;&gt;0),_xlpm.x,IF(AND(_xlpm.x-SUM(IF((INDIRECT($B$3)=$B103)*(INDIRECT($C$3)=$D103)*((INDIRECT($E$3)="TOTS")+(INDIRECT($E$3)=$E103)),INDIRECT(O$3)))&lt;&gt;0,_xlpm.y=0),-2,_xlpm.x)))),0))</f>
        <v>0</v>
      </c>
      <c r="P103" s="199" cm="1">
        <f t="array" aca="1" ref="P103" ca="1">IF(OR($B103="",$B103="X",$D103="",$D103="X",$E103="",$E103="X"),0,IFERROR(_xlfn.LET(_xlpm.x,SUM(SUM(_xlfn._xlws.FILTER(VALUE(PptoSty[Sign]&amp;1)*(1/PptoSty[Division]),(PptoSty[Division]&lt;&gt;0)*(PptoSty[Division]&lt;&gt;"")*(PptoSty[Division]&lt;&gt;"X")*(PptoSty[Project]=$B103)*(PptoSty[Vrs]=$D103)*(PptoSty[PiRow]=_xlfn.TEXTAFTER($H103,":"))*(PptoSty[PiColumn]=P$54),0)),SUM(IF((INDIRECT($B$3)=$B103)*(INDIRECT($C$3)=$D103)*((INDIRECT($E$3)="TOTS")+(INDIRECT($E$3)=$E103)),INDIRECT(P$3)))),_xlpm.y,SUM(_xlfn.CHOOSECOLS(_xlfn._xlws.FILTER(F_RT14[],(F_RT14[PrjId]=$B103)*(F_RT14[Vrs]=$D103)*(_xlfn.TEXTAFTER(F_RT14[ActGrp],":")=_xlfn.TEXTAFTER($H103,":")),"X"),MATCH("*"&amp;P$54,F_RT14[#Headers],0))),IF(AND(_xlpm.x=0,_xlpm.y&lt;&gt;0),-1,IF(AND(_xlpm.x&lt;&gt;0,_xlpm.y&lt;&gt;0),_xlpm.x,IF(AND(_xlpm.x-SUM(IF((INDIRECT($B$3)=$B103)*(INDIRECT($C$3)=$D103)*((INDIRECT($E$3)="TOTS")+(INDIRECT($E$3)=$E103)),INDIRECT(P$3)))&lt;&gt;0,_xlpm.y=0),-2,_xlpm.x)))),0))</f>
        <v>-1</v>
      </c>
      <c r="Q103" s="199" cm="1">
        <f t="array" aca="1" ref="Q103" ca="1">IF(OR($B103="",$B103="X",$D103="",$D103="X",$E103="",$E103="X"),0,IFERROR(_xlfn.LET(_xlpm.x,SUM(SUM(_xlfn._xlws.FILTER(VALUE(PptoSty[Sign]&amp;1)*(1/PptoSty[Division]),(PptoSty[Division]&lt;&gt;0)*(PptoSty[Division]&lt;&gt;"")*(PptoSty[Division]&lt;&gt;"X")*(PptoSty[Project]=$B103)*(PptoSty[Vrs]=$D103)*(PptoSty[PiRow]=_xlfn.TEXTAFTER($H103,":"))*(PptoSty[PiColumn]=Q$54),0)),SUM(IF((INDIRECT($B$3)=$B103)*(INDIRECT($C$3)=$D103)*((INDIRECT($E$3)="TOTS")+(INDIRECT($E$3)=$E103)),INDIRECT(Q$3)))),_xlpm.y,SUM(_xlfn.CHOOSECOLS(_xlfn._xlws.FILTER(F_RT14[],(F_RT14[PrjId]=$B103)*(F_RT14[Vrs]=$D103)*(_xlfn.TEXTAFTER(F_RT14[ActGrp],":")=_xlfn.TEXTAFTER($H103,":")),"X"),MATCH("*"&amp;Q$54,F_RT14[#Headers],0))),IF(AND(_xlpm.x=0,_xlpm.y&lt;&gt;0),-1,IF(AND(_xlpm.x&lt;&gt;0,_xlpm.y&lt;&gt;0),_xlpm.x,IF(AND(_xlpm.x-SUM(IF((INDIRECT($B$3)=$B103)*(INDIRECT($C$3)=$D103)*((INDIRECT($E$3)="TOTS")+(INDIRECT($E$3)=$E103)),INDIRECT(Q$3)))&lt;&gt;0,_xlpm.y=0),-2,_xlpm.x)))),0))</f>
        <v>-1</v>
      </c>
      <c r="R103" s="199" cm="1">
        <f t="array" aca="1" ref="R103" ca="1">IF(OR($B103="",$B103="X",$D103="",$D103="X",$E103="",$E103="X"),0,IFERROR(_xlfn.LET(_xlpm.x,SUM(SUM(_xlfn._xlws.FILTER(VALUE(PptoSty[Sign]&amp;1)*(1/PptoSty[Division]),(PptoSty[Division]&lt;&gt;0)*(PptoSty[Division]&lt;&gt;"")*(PptoSty[Division]&lt;&gt;"X")*(PptoSty[Project]=$B103)*(PptoSty[Vrs]=$D103)*(PptoSty[PiRow]=_xlfn.TEXTAFTER($H103,":"))*(PptoSty[PiColumn]=R$54),0)),SUM(IF((INDIRECT($B$3)=$B103)*(INDIRECT($C$3)=$D103)*((INDIRECT($E$3)="TOTS")+(INDIRECT($E$3)=$E103)),INDIRECT(R$3)))),_xlpm.y,SUM(_xlfn.CHOOSECOLS(_xlfn._xlws.FILTER(F_RT14[],(F_RT14[PrjId]=$B103)*(F_RT14[Vrs]=$D103)*(_xlfn.TEXTAFTER(F_RT14[ActGrp],":")=_xlfn.TEXTAFTER($H103,":")),"X"),MATCH("*"&amp;R$54,F_RT14[#Headers],0))),IF(AND(_xlpm.x=0,_xlpm.y&lt;&gt;0),-1,IF(AND(_xlpm.x&lt;&gt;0,_xlpm.y&lt;&gt;0),_xlpm.x,IF(AND(_xlpm.x-SUM(IF((INDIRECT($B$3)=$B103)*(INDIRECT($C$3)=$D103)*((INDIRECT($E$3)="TOTS")+(INDIRECT($E$3)=$E103)),INDIRECT(R$3)))&lt;&gt;0,_xlpm.y=0),-2,_xlpm.x)))),0))</f>
        <v>-1</v>
      </c>
      <c r="S103" s="199" cm="1">
        <f t="array" aca="1" ref="S103" ca="1">IF(OR($B103="",$B103="X",$D103="",$D103="X",$E103="",$E103="X"),0,IFERROR(_xlfn.LET(_xlpm.x,SUM(SUM(_xlfn._xlws.FILTER(VALUE(PptoSty[Sign]&amp;1)*(1/PptoSty[Division]),(PptoSty[Division]&lt;&gt;0)*(PptoSty[Division]&lt;&gt;"")*(PptoSty[Division]&lt;&gt;"X")*(PptoSty[Project]=$B103)*(PptoSty[Vrs]=$D103)*(PptoSty[PiRow]=_xlfn.TEXTAFTER($H103,":"))*(PptoSty[PiColumn]=S$54),0)),SUM(IF((INDIRECT($B$3)=$B103)*(INDIRECT($C$3)=$D103)*((INDIRECT($E$3)="TOTS")+(INDIRECT($E$3)=$E103)),INDIRECT(S$3)))),_xlpm.y,SUM(_xlfn.CHOOSECOLS(_xlfn._xlws.FILTER(F_RT14[],(F_RT14[PrjId]=$B103)*(F_RT14[Vrs]=$D103)*(_xlfn.TEXTAFTER(F_RT14[ActGrp],":")=_xlfn.TEXTAFTER($H103,":")),"X"),MATCH("*"&amp;S$54,F_RT14[#Headers],0))),IF(AND(_xlpm.x=0,_xlpm.y&lt;&gt;0),-1,IF(AND(_xlpm.x&lt;&gt;0,_xlpm.y&lt;&gt;0),_xlpm.x,IF(AND(_xlpm.x-SUM(IF((INDIRECT($B$3)=$B103)*(INDIRECT($C$3)=$D103)*((INDIRECT($E$3)="TOTS")+(INDIRECT($E$3)=$E103)),INDIRECT(S$3)))&lt;&gt;0,_xlpm.y=0),-2,_xlpm.x)))),0))</f>
        <v>-1</v>
      </c>
      <c r="T103" s="199" cm="1">
        <f t="array" aca="1" ref="T103" ca="1">IF(OR($B103="",$B103="X",$D103="",$D103="X",$E103="",$E103="X"),0,IFERROR(_xlfn.LET(_xlpm.x,SUM(SUM(_xlfn._xlws.FILTER(VALUE(PptoSty[Sign]&amp;1)*(1/PptoSty[Division]),(PptoSty[Division]&lt;&gt;0)*(PptoSty[Division]&lt;&gt;"")*(PptoSty[Division]&lt;&gt;"X")*(PptoSty[Project]=$B103)*(PptoSty[Vrs]=$D103)*(PptoSty[PiRow]=_xlfn.TEXTAFTER($H103,":"))*(PptoSty[PiColumn]=T$54),0)),SUM(IF((INDIRECT($B$3)=$B103)*(INDIRECT($C$3)=$D103)*((INDIRECT($E$3)="TOTS")+(INDIRECT($E$3)=$E103)),INDIRECT(T$3)))),_xlpm.y,SUM(_xlfn.CHOOSECOLS(_xlfn._xlws.FILTER(F_RT14[],(F_RT14[PrjId]=$B103)*(F_RT14[Vrs]=$D103)*(_xlfn.TEXTAFTER(F_RT14[ActGrp],":")=_xlfn.TEXTAFTER($H103,":")),"X"),MATCH("*"&amp;T$54,F_RT14[#Headers],0))),IF(AND(_xlpm.x=0,_xlpm.y&lt;&gt;0),-1,IF(AND(_xlpm.x&lt;&gt;0,_xlpm.y&lt;&gt;0),_xlpm.x,IF(AND(_xlpm.x-SUM(IF((INDIRECT($B$3)=$B103)*(INDIRECT($C$3)=$D103)*((INDIRECT($E$3)="TOTS")+(INDIRECT($E$3)=$E103)),INDIRECT(T$3)))&lt;&gt;0,_xlpm.y=0),-2,_xlpm.x)))),0))</f>
        <v>-1</v>
      </c>
      <c r="U103" s="199" cm="1">
        <f t="array" aca="1" ref="U103" ca="1">IF(OR($B103="",$B103="X",$D103="",$D103="X",$E103="",$E103="X"),0,IFERROR(_xlfn.LET(_xlpm.x,SUM(SUM(_xlfn._xlws.FILTER(VALUE(PptoSty[Sign]&amp;1)*(1/PptoSty[Division]),(PptoSty[Division]&lt;&gt;0)*(PptoSty[Division]&lt;&gt;"")*(PptoSty[Division]&lt;&gt;"X")*(PptoSty[Project]=$B103)*(PptoSty[Vrs]=$D103)*(PptoSty[PiRow]=_xlfn.TEXTAFTER($H103,":"))*(PptoSty[PiColumn]=U$54),0)),SUM(IF((INDIRECT($B$3)=$B103)*(INDIRECT($C$3)=$D103)*((INDIRECT($E$3)="TOTS")+(INDIRECT($E$3)=$E103)),INDIRECT(U$3)))),_xlpm.y,SUM(_xlfn.CHOOSECOLS(_xlfn._xlws.FILTER(F_RT14[],(F_RT14[PrjId]=$B103)*(F_RT14[Vrs]=$D103)*(_xlfn.TEXTAFTER(F_RT14[ActGrp],":")=_xlfn.TEXTAFTER($H103,":")),"X"),MATCH("*"&amp;U$54,F_RT14[#Headers],0))),IF(AND(_xlpm.x=0,_xlpm.y&lt;&gt;0),-1,IF(AND(_xlpm.x&lt;&gt;0,_xlpm.y&lt;&gt;0),_xlpm.x,IF(AND(_xlpm.x-SUM(IF((INDIRECT($B$3)=$B103)*(INDIRECT($C$3)=$D103)*((INDIRECT($E$3)="TOTS")+(INDIRECT($E$3)=$E103)),INDIRECT(U$3)))&lt;&gt;0,_xlpm.y=0),-2,_xlpm.x)))),0))</f>
        <v>0</v>
      </c>
      <c r="V103" s="199" cm="1">
        <f t="array" aca="1" ref="V103" ca="1">IF(OR($B103="",$B103="X",$D103="",$D103="X",$E103="",$E103="X"),0,IFERROR(_xlfn.LET(_xlpm.x,SUM(SUM(_xlfn._xlws.FILTER(VALUE(PptoSty[Sign]&amp;1)*(1/PptoSty[Division]),(PptoSty[Division]&lt;&gt;0)*(PptoSty[Division]&lt;&gt;"")*(PptoSty[Division]&lt;&gt;"X")*(PptoSty[Project]=$B103)*(PptoSty[Vrs]=$D103)*(PptoSty[PiRow]=_xlfn.TEXTAFTER($H103,":"))*(PptoSty[PiColumn]=V$54),0)),SUM(IF((INDIRECT($B$3)=$B103)*(INDIRECT($C$3)=$D103)*((INDIRECT($E$3)="TOTS")+(INDIRECT($E$3)=$E103)),INDIRECT(V$3)))),_xlpm.y,SUM(_xlfn.CHOOSECOLS(_xlfn._xlws.FILTER(F_RT14[],(F_RT14[PrjId]=$B103)*(F_RT14[Vrs]=$D103)*(_xlfn.TEXTAFTER(F_RT14[ActGrp],":")=_xlfn.TEXTAFTER($H103,":")),"X"),MATCH("*"&amp;V$54,F_RT14[#Headers],0))),IF(AND(_xlpm.x=0,_xlpm.y&lt;&gt;0),-1,IF(AND(_xlpm.x&lt;&gt;0,_xlpm.y&lt;&gt;0),_xlpm.x,IF(AND(_xlpm.x-SUM(IF((INDIRECT($B$3)=$B103)*(INDIRECT($C$3)=$D103)*((INDIRECT($E$3)="TOTS")+(INDIRECT($E$3)=$E103)),INDIRECT(V$3)))&lt;&gt;0,_xlpm.y=0),-2,_xlpm.x)))),0))</f>
        <v>-1</v>
      </c>
      <c r="W103" s="199" cm="1">
        <f t="array" aca="1" ref="W103" ca="1">IF(OR($B103="",$B103="X",$D103="",$D103="X",$E103="",$E103="X"),0,IFERROR(_xlfn.LET(_xlpm.x,SUM(SUM(_xlfn._xlws.FILTER(VALUE(PptoSty[Sign]&amp;1)*(1/PptoSty[Division]),(PptoSty[Division]&lt;&gt;0)*(PptoSty[Division]&lt;&gt;"")*(PptoSty[Division]&lt;&gt;"X")*(PptoSty[Project]=$B103)*(PptoSty[Vrs]=$D103)*(PptoSty[PiRow]=_xlfn.TEXTAFTER($H103,":"))*(PptoSty[PiColumn]=W$54),0)),SUM(IF((INDIRECT($B$3)=$B103)*(INDIRECT($C$3)=$D103)*((INDIRECT($E$3)="TOTS")+(INDIRECT($E$3)=$E103)),INDIRECT(W$3)))),_xlpm.y,SUM(_xlfn.CHOOSECOLS(_xlfn._xlws.FILTER(F_RT14[],(F_RT14[PrjId]=$B103)*(F_RT14[Vrs]=$D103)*(_xlfn.TEXTAFTER(F_RT14[ActGrp],":")=_xlfn.TEXTAFTER($H103,":")),"X"),MATCH("*"&amp;W$54,F_RT14[#Headers],0))),IF(AND(_xlpm.x=0,_xlpm.y&lt;&gt;0),-1,IF(AND(_xlpm.x&lt;&gt;0,_xlpm.y&lt;&gt;0),_xlpm.x,IF(AND(_xlpm.x-SUM(IF((INDIRECT($B$3)=$B103)*(INDIRECT($C$3)=$D103)*((INDIRECT($E$3)="TOTS")+(INDIRECT($E$3)=$E103)),INDIRECT(W$3)))&lt;&gt;0,_xlpm.y=0),-2,_xlpm.x)))),0))</f>
        <v>-1</v>
      </c>
      <c r="X103" s="199" cm="1">
        <f t="array" aca="1" ref="X103" ca="1">IF(OR($B103="",$B103="X",$D103="",$D103="X",$E103="",$E103="X"),0,IFERROR(_xlfn.LET(_xlpm.x,SUM(SUM(_xlfn._xlws.FILTER(VALUE(PptoSty[Sign]&amp;1)*(1/PptoSty[Division]),(PptoSty[Division]&lt;&gt;0)*(PptoSty[Division]&lt;&gt;"")*(PptoSty[Division]&lt;&gt;"X")*(PptoSty[Project]=$B103)*(PptoSty[Vrs]=$D103)*(PptoSty[PiRow]=_xlfn.TEXTAFTER($H103,":"))*(PptoSty[PiColumn]=X$54),0)),SUM(IF((INDIRECT($B$3)=$B103)*(INDIRECT($C$3)=$D103)*((INDIRECT($E$3)="TOTS")+(INDIRECT($E$3)=$E103)),INDIRECT(X$3)))),_xlpm.y,SUM(_xlfn.CHOOSECOLS(_xlfn._xlws.FILTER(F_RT14[],(F_RT14[PrjId]=$B103)*(F_RT14[Vrs]=$D103)*(_xlfn.TEXTAFTER(F_RT14[ActGrp],":")=_xlfn.TEXTAFTER($H103,":")),"X"),MATCH("*"&amp;X$54,F_RT14[#Headers],0))),IF(AND(_xlpm.x=0,_xlpm.y&lt;&gt;0),-1,IF(AND(_xlpm.x&lt;&gt;0,_xlpm.y&lt;&gt;0),_xlpm.x,IF(AND(_xlpm.x-SUM(IF((INDIRECT($B$3)=$B103)*(INDIRECT($C$3)=$D103)*((INDIRECT($E$3)="TOTS")+(INDIRECT($E$3)=$E103)),INDIRECT(X$3)))&lt;&gt;0,_xlpm.y=0),-2,_xlpm.x)))),0))</f>
        <v>-1</v>
      </c>
      <c r="Y103" s="199" cm="1">
        <f t="array" aca="1" ref="Y103" ca="1">IF(OR($B103="",$B103="X",$D103="",$D103="X",$E103="",$E103="X"),0,IFERROR(_xlfn.LET(_xlpm.x,SUM(SUM(_xlfn._xlws.FILTER(VALUE(PptoSty[Sign]&amp;1)*(1/PptoSty[Division]),(PptoSty[Division]&lt;&gt;0)*(PptoSty[Division]&lt;&gt;"")*(PptoSty[Division]&lt;&gt;"X")*(PptoSty[Project]=$B103)*(PptoSty[Vrs]=$D103)*(PptoSty[PiRow]=_xlfn.TEXTAFTER($H103,":"))*(PptoSty[PiColumn]=Y$54),0)),SUM(IF((INDIRECT($B$3)=$B103)*(INDIRECT($C$3)=$D103)*((INDIRECT($E$3)="TOTS")+(INDIRECT($E$3)=$E103)),INDIRECT(Y$3)))),_xlpm.y,SUM(_xlfn.CHOOSECOLS(_xlfn._xlws.FILTER(F_RT14[],(F_RT14[PrjId]=$B103)*(F_RT14[Vrs]=$D103)*(_xlfn.TEXTAFTER(F_RT14[ActGrp],":")=_xlfn.TEXTAFTER($H103,":")),"X"),MATCH("*"&amp;Y$54,F_RT14[#Headers],0))),IF(AND(_xlpm.x=0,_xlpm.y&lt;&gt;0),-1,IF(AND(_xlpm.x&lt;&gt;0,_xlpm.y&lt;&gt;0),_xlpm.x,IF(AND(_xlpm.x-SUM(IF((INDIRECT($B$3)=$B103)*(INDIRECT($C$3)=$D103)*((INDIRECT($E$3)="TOTS")+(INDIRECT($E$3)=$E103)),INDIRECT(Y$3)))&lt;&gt;0,_xlpm.y=0),-2,_xlpm.x)))),0))</f>
        <v>0</v>
      </c>
      <c r="Z103" s="198" t="str">
        <f t="shared" ca="1" si="2"/>
        <v>Fback!B103:Y103</v>
      </c>
    </row>
    <row r="104" spans="2:26" ht="21" customHeight="1" outlineLevel="1">
      <c r="B104" s="128" t="str">
        <v>31200</v>
      </c>
      <c r="C104" s="128" t="str">
        <v>Sp</v>
      </c>
      <c r="D104" s="128">
        <v>15</v>
      </c>
      <c r="E104" s="128" t="str">
        <v>TOOL</v>
      </c>
      <c r="F104" s="139" t="str">
        <v>SERRA</v>
      </c>
      <c r="G104" s="139" t="str">
        <v>CurPpto</v>
      </c>
      <c r="H104" s="139" t="str">
        <v>P012:OP-620 WELDING (REWELD)</v>
      </c>
      <c r="I104" s="199" cm="1">
        <f t="array" aca="1" ref="I104" ca="1">IF(OR($B104="",$B104="X",$D104="",$D104="X",$E104="",$E104="X"),0,IFERROR(_xlfn.LET(_xlpm.x,SUM(SUM(_xlfn._xlws.FILTER(VALUE(PptoSty[Sign]&amp;1)*(1/PptoSty[Division]),(PptoSty[Division]&lt;&gt;0)*(PptoSty[Division]&lt;&gt;"")*(PptoSty[Division]&lt;&gt;"X")*(PptoSty[Project]=$B104)*(PptoSty[Vrs]=$D104)*(PptoSty[PiRow]=_xlfn.TEXTAFTER($H104,":"))*(PptoSty[PiColumn]=I$54),0)),SUM(IF((INDIRECT($B$3)=$B104)*(INDIRECT($C$3)=$D104)*((INDIRECT($E$3)="TOTS")+(INDIRECT($E$3)=$E104)),INDIRECT(I$3)))),_xlpm.y,SUM(_xlfn.CHOOSECOLS(_xlfn._xlws.FILTER(F_RT14[],(F_RT14[PrjId]=$B104)*(F_RT14[Vrs]=$D104)*(_xlfn.TEXTAFTER(F_RT14[ActGrp],":")=_xlfn.TEXTAFTER($H104,":")),"X"),MATCH("*"&amp;I$54,F_RT14[#Headers],0))),IF(AND(_xlpm.x=0,_xlpm.y&lt;&gt;0),-1,IF(AND(_xlpm.x&lt;&gt;0,_xlpm.y&lt;&gt;0),_xlpm.x,IF(AND(_xlpm.x-SUM(IF((INDIRECT($B$3)=$B104)*(INDIRECT($C$3)=$D104)*((INDIRECT($E$3)="TOTS")+(INDIRECT($E$3)=$E104)),INDIRECT(I$3)))&lt;&gt;0,_xlpm.y=0),-2,_xlpm.x)))),0))</f>
        <v>0</v>
      </c>
      <c r="J104" s="199" cm="1">
        <f t="array" aca="1" ref="J104" ca="1">IF(OR($B104="",$B104="X",$D104="",$D104="X",$E104="",$E104="X"),0,IFERROR(_xlfn.LET(_xlpm.x,SUM(SUM(_xlfn._xlws.FILTER(VALUE(PptoSty[Sign]&amp;1)*(1/PptoSty[Division]),(PptoSty[Division]&lt;&gt;0)*(PptoSty[Division]&lt;&gt;"")*(PptoSty[Division]&lt;&gt;"X")*(PptoSty[Project]=$B104)*(PptoSty[Vrs]=$D104)*(PptoSty[PiRow]=_xlfn.TEXTAFTER($H104,":"))*(PptoSty[PiColumn]=J$54),0)),SUM(IF((INDIRECT($B$3)=$B104)*(INDIRECT($C$3)=$D104)*((INDIRECT($E$3)="TOTS")+(INDIRECT($E$3)=$E104)),INDIRECT(J$3)))),_xlpm.y,SUM(_xlfn.CHOOSECOLS(_xlfn._xlws.FILTER(F_RT14[],(F_RT14[PrjId]=$B104)*(F_RT14[Vrs]=$D104)*(_xlfn.TEXTAFTER(F_RT14[ActGrp],":")=_xlfn.TEXTAFTER($H104,":")),"X"),MATCH("*"&amp;J$54,F_RT14[#Headers],0))),IF(AND(_xlpm.x=0,_xlpm.y&lt;&gt;0),-1,IF(AND(_xlpm.x&lt;&gt;0,_xlpm.y&lt;&gt;0),_xlpm.x,IF(AND(_xlpm.x-SUM(IF((INDIRECT($B$3)=$B104)*(INDIRECT($C$3)=$D104)*((INDIRECT($E$3)="TOTS")+(INDIRECT($E$3)=$E104)),INDIRECT(J$3)))&lt;&gt;0,_xlpm.y=0),-2,_xlpm.x)))),0))</f>
        <v>0</v>
      </c>
      <c r="K104" s="199" cm="1">
        <f t="array" aca="1" ref="K104" ca="1">IF(OR($B104="",$B104="X",$D104="",$D104="X",$E104="",$E104="X"),0,IFERROR(_xlfn.LET(_xlpm.x,SUM(SUM(_xlfn._xlws.FILTER(VALUE(PptoSty[Sign]&amp;1)*(1/PptoSty[Division]),(PptoSty[Division]&lt;&gt;0)*(PptoSty[Division]&lt;&gt;"")*(PptoSty[Division]&lt;&gt;"X")*(PptoSty[Project]=$B104)*(PptoSty[Vrs]=$D104)*(PptoSty[PiRow]=_xlfn.TEXTAFTER($H104,":"))*(PptoSty[PiColumn]=K$54),0)),SUM(IF((INDIRECT($B$3)=$B104)*(INDIRECT($C$3)=$D104)*((INDIRECT($E$3)="TOTS")+(INDIRECT($E$3)=$E104)),INDIRECT(K$3)))),_xlpm.y,SUM(_xlfn.CHOOSECOLS(_xlfn._xlws.FILTER(F_RT14[],(F_RT14[PrjId]=$B104)*(F_RT14[Vrs]=$D104)*(_xlfn.TEXTAFTER(F_RT14[ActGrp],":")=_xlfn.TEXTAFTER($H104,":")),"X"),MATCH("*"&amp;K$54,F_RT14[#Headers],0))),IF(AND(_xlpm.x=0,_xlpm.y&lt;&gt;0),-1,IF(AND(_xlpm.x&lt;&gt;0,_xlpm.y&lt;&gt;0),_xlpm.x,IF(AND(_xlpm.x-SUM(IF((INDIRECT($B$3)=$B104)*(INDIRECT($C$3)=$D104)*((INDIRECT($E$3)="TOTS")+(INDIRECT($E$3)=$E104)),INDIRECT(K$3)))&lt;&gt;0,_xlpm.y=0),-2,_xlpm.x)))),0))</f>
        <v>-1</v>
      </c>
      <c r="L104" s="199" cm="1">
        <f t="array" aca="1" ref="L104" ca="1">IF(OR($B104="",$B104="X",$D104="",$D104="X",$E104="",$E104="X"),0,IFERROR(_xlfn.LET(_xlpm.x,SUM(SUM(_xlfn._xlws.FILTER(VALUE(PptoSty[Sign]&amp;1)*(1/PptoSty[Division]),(PptoSty[Division]&lt;&gt;0)*(PptoSty[Division]&lt;&gt;"")*(PptoSty[Division]&lt;&gt;"X")*(PptoSty[Project]=$B104)*(PptoSty[Vrs]=$D104)*(PptoSty[PiRow]=_xlfn.TEXTAFTER($H104,":"))*(PptoSty[PiColumn]=L$54),0)),SUM(IF((INDIRECT($B$3)=$B104)*(INDIRECT($C$3)=$D104)*((INDIRECT($E$3)="TOTS")+(INDIRECT($E$3)=$E104)),INDIRECT(L$3)))),_xlpm.y,SUM(_xlfn.CHOOSECOLS(_xlfn._xlws.FILTER(F_RT14[],(F_RT14[PrjId]=$B104)*(F_RT14[Vrs]=$D104)*(_xlfn.TEXTAFTER(F_RT14[ActGrp],":")=_xlfn.TEXTAFTER($H104,":")),"X"),MATCH("*"&amp;L$54,F_RT14[#Headers],0))),IF(AND(_xlpm.x=0,_xlpm.y&lt;&gt;0),-1,IF(AND(_xlpm.x&lt;&gt;0,_xlpm.y&lt;&gt;0),_xlpm.x,IF(AND(_xlpm.x-SUM(IF((INDIRECT($B$3)=$B104)*(INDIRECT($C$3)=$D104)*((INDIRECT($E$3)="TOTS")+(INDIRECT($E$3)=$E104)),INDIRECT(L$3)))&lt;&gt;0,_xlpm.y=0),-2,_xlpm.x)))),0))</f>
        <v>0</v>
      </c>
      <c r="M104" s="199" cm="1">
        <f t="array" aca="1" ref="M104" ca="1">IF(OR($B104="",$B104="X",$D104="",$D104="X",$E104="",$E104="X"),0,IFERROR(_xlfn.LET(_xlpm.x,SUM(SUM(_xlfn._xlws.FILTER(VALUE(PptoSty[Sign]&amp;1)*(1/PptoSty[Division]),(PptoSty[Division]&lt;&gt;0)*(PptoSty[Division]&lt;&gt;"")*(PptoSty[Division]&lt;&gt;"X")*(PptoSty[Project]=$B104)*(PptoSty[Vrs]=$D104)*(PptoSty[PiRow]=_xlfn.TEXTAFTER($H104,":"))*(PptoSty[PiColumn]=M$54),0)),SUM(IF((INDIRECT($B$3)=$B104)*(INDIRECT($C$3)=$D104)*((INDIRECT($E$3)="TOTS")+(INDIRECT($E$3)=$E104)),INDIRECT(M$3)))),_xlpm.y,SUM(_xlfn.CHOOSECOLS(_xlfn._xlws.FILTER(F_RT14[],(F_RT14[PrjId]=$B104)*(F_RT14[Vrs]=$D104)*(_xlfn.TEXTAFTER(F_RT14[ActGrp],":")=_xlfn.TEXTAFTER($H104,":")),"X"),MATCH("*"&amp;M$54,F_RT14[#Headers],0))),IF(AND(_xlpm.x=0,_xlpm.y&lt;&gt;0),-1,IF(AND(_xlpm.x&lt;&gt;0,_xlpm.y&lt;&gt;0),_xlpm.x,IF(AND(_xlpm.x-SUM(IF((INDIRECT($B$3)=$B104)*(INDIRECT($C$3)=$D104)*((INDIRECT($E$3)="TOTS")+(INDIRECT($E$3)=$E104)),INDIRECT(M$3)))&lt;&gt;0,_xlpm.y=0),-2,_xlpm.x)))),0))</f>
        <v>0</v>
      </c>
      <c r="N104" s="199" cm="1">
        <f t="array" aca="1" ref="N104" ca="1">IF(OR($B104="",$B104="X",$D104="",$D104="X",$E104="",$E104="X"),0,IFERROR(_xlfn.LET(_xlpm.x,SUM(SUM(_xlfn._xlws.FILTER(VALUE(PptoSty[Sign]&amp;1)*(1/PptoSty[Division]),(PptoSty[Division]&lt;&gt;0)*(PptoSty[Division]&lt;&gt;"")*(PptoSty[Division]&lt;&gt;"X")*(PptoSty[Project]=$B104)*(PptoSty[Vrs]=$D104)*(PptoSty[PiRow]=_xlfn.TEXTAFTER($H104,":"))*(PptoSty[PiColumn]=N$54),0)),SUM(IF((INDIRECT($B$3)=$B104)*(INDIRECT($C$3)=$D104)*((INDIRECT($E$3)="TOTS")+(INDIRECT($E$3)=$E104)),INDIRECT(N$3)))),_xlpm.y,SUM(_xlfn.CHOOSECOLS(_xlfn._xlws.FILTER(F_RT14[],(F_RT14[PrjId]=$B104)*(F_RT14[Vrs]=$D104)*(_xlfn.TEXTAFTER(F_RT14[ActGrp],":")=_xlfn.TEXTAFTER($H104,":")),"X"),MATCH("*"&amp;N$54,F_RT14[#Headers],0))),IF(AND(_xlpm.x=0,_xlpm.y&lt;&gt;0),-1,IF(AND(_xlpm.x&lt;&gt;0,_xlpm.y&lt;&gt;0),_xlpm.x,IF(AND(_xlpm.x-SUM(IF((INDIRECT($B$3)=$B104)*(INDIRECT($C$3)=$D104)*((INDIRECT($E$3)="TOTS")+(INDIRECT($E$3)=$E104)),INDIRECT(N$3)))&lt;&gt;0,_xlpm.y=0),-2,_xlpm.x)))),0))</f>
        <v>-1</v>
      </c>
      <c r="O104" s="199" cm="1">
        <f t="array" aca="1" ref="O104" ca="1">IF(OR($B104="",$B104="X",$D104="",$D104="X",$E104="",$E104="X"),0,IFERROR(_xlfn.LET(_xlpm.x,SUM(SUM(_xlfn._xlws.FILTER(VALUE(PptoSty[Sign]&amp;1)*(1/PptoSty[Division]),(PptoSty[Division]&lt;&gt;0)*(PptoSty[Division]&lt;&gt;"")*(PptoSty[Division]&lt;&gt;"X")*(PptoSty[Project]=$B104)*(PptoSty[Vrs]=$D104)*(PptoSty[PiRow]=_xlfn.TEXTAFTER($H104,":"))*(PptoSty[PiColumn]=O$54),0)),SUM(IF((INDIRECT($B$3)=$B104)*(INDIRECT($C$3)=$D104)*((INDIRECT($E$3)="TOTS")+(INDIRECT($E$3)=$E104)),INDIRECT(O$3)))),_xlpm.y,SUM(_xlfn.CHOOSECOLS(_xlfn._xlws.FILTER(F_RT14[],(F_RT14[PrjId]=$B104)*(F_RT14[Vrs]=$D104)*(_xlfn.TEXTAFTER(F_RT14[ActGrp],":")=_xlfn.TEXTAFTER($H104,":")),"X"),MATCH("*"&amp;O$54,F_RT14[#Headers],0))),IF(AND(_xlpm.x=0,_xlpm.y&lt;&gt;0),-1,IF(AND(_xlpm.x&lt;&gt;0,_xlpm.y&lt;&gt;0),_xlpm.x,IF(AND(_xlpm.x-SUM(IF((INDIRECT($B$3)=$B104)*(INDIRECT($C$3)=$D104)*((INDIRECT($E$3)="TOTS")+(INDIRECT($E$3)=$E104)),INDIRECT(O$3)))&lt;&gt;0,_xlpm.y=0),-2,_xlpm.x)))),0))</f>
        <v>0</v>
      </c>
      <c r="P104" s="199" cm="1">
        <f t="array" aca="1" ref="P104" ca="1">IF(OR($B104="",$B104="X",$D104="",$D104="X",$E104="",$E104="X"),0,IFERROR(_xlfn.LET(_xlpm.x,SUM(SUM(_xlfn._xlws.FILTER(VALUE(PptoSty[Sign]&amp;1)*(1/PptoSty[Division]),(PptoSty[Division]&lt;&gt;0)*(PptoSty[Division]&lt;&gt;"")*(PptoSty[Division]&lt;&gt;"X")*(PptoSty[Project]=$B104)*(PptoSty[Vrs]=$D104)*(PptoSty[PiRow]=_xlfn.TEXTAFTER($H104,":"))*(PptoSty[PiColumn]=P$54),0)),SUM(IF((INDIRECT($B$3)=$B104)*(INDIRECT($C$3)=$D104)*((INDIRECT($E$3)="TOTS")+(INDIRECT($E$3)=$E104)),INDIRECT(P$3)))),_xlpm.y,SUM(_xlfn.CHOOSECOLS(_xlfn._xlws.FILTER(F_RT14[],(F_RT14[PrjId]=$B104)*(F_RT14[Vrs]=$D104)*(_xlfn.TEXTAFTER(F_RT14[ActGrp],":")=_xlfn.TEXTAFTER($H104,":")),"X"),MATCH("*"&amp;P$54,F_RT14[#Headers],0))),IF(AND(_xlpm.x=0,_xlpm.y&lt;&gt;0),-1,IF(AND(_xlpm.x&lt;&gt;0,_xlpm.y&lt;&gt;0),_xlpm.x,IF(AND(_xlpm.x-SUM(IF((INDIRECT($B$3)=$B104)*(INDIRECT($C$3)=$D104)*((INDIRECT($E$3)="TOTS")+(INDIRECT($E$3)=$E104)),INDIRECT(P$3)))&lt;&gt;0,_xlpm.y=0),-2,_xlpm.x)))),0))</f>
        <v>-1</v>
      </c>
      <c r="Q104" s="199" cm="1">
        <f t="array" aca="1" ref="Q104" ca="1">IF(OR($B104="",$B104="X",$D104="",$D104="X",$E104="",$E104="X"),0,IFERROR(_xlfn.LET(_xlpm.x,SUM(SUM(_xlfn._xlws.FILTER(VALUE(PptoSty[Sign]&amp;1)*(1/PptoSty[Division]),(PptoSty[Division]&lt;&gt;0)*(PptoSty[Division]&lt;&gt;"")*(PptoSty[Division]&lt;&gt;"X")*(PptoSty[Project]=$B104)*(PptoSty[Vrs]=$D104)*(PptoSty[PiRow]=_xlfn.TEXTAFTER($H104,":"))*(PptoSty[PiColumn]=Q$54),0)),SUM(IF((INDIRECT($B$3)=$B104)*(INDIRECT($C$3)=$D104)*((INDIRECT($E$3)="TOTS")+(INDIRECT($E$3)=$E104)),INDIRECT(Q$3)))),_xlpm.y,SUM(_xlfn.CHOOSECOLS(_xlfn._xlws.FILTER(F_RT14[],(F_RT14[PrjId]=$B104)*(F_RT14[Vrs]=$D104)*(_xlfn.TEXTAFTER(F_RT14[ActGrp],":")=_xlfn.TEXTAFTER($H104,":")),"X"),MATCH("*"&amp;Q$54,F_RT14[#Headers],0))),IF(AND(_xlpm.x=0,_xlpm.y&lt;&gt;0),-1,IF(AND(_xlpm.x&lt;&gt;0,_xlpm.y&lt;&gt;0),_xlpm.x,IF(AND(_xlpm.x-SUM(IF((INDIRECT($B$3)=$B104)*(INDIRECT($C$3)=$D104)*((INDIRECT($E$3)="TOTS")+(INDIRECT($E$3)=$E104)),INDIRECT(Q$3)))&lt;&gt;0,_xlpm.y=0),-2,_xlpm.x)))),0))</f>
        <v>-1</v>
      </c>
      <c r="R104" s="199" cm="1">
        <f t="array" aca="1" ref="R104" ca="1">IF(OR($B104="",$B104="X",$D104="",$D104="X",$E104="",$E104="X"),0,IFERROR(_xlfn.LET(_xlpm.x,SUM(SUM(_xlfn._xlws.FILTER(VALUE(PptoSty[Sign]&amp;1)*(1/PptoSty[Division]),(PptoSty[Division]&lt;&gt;0)*(PptoSty[Division]&lt;&gt;"")*(PptoSty[Division]&lt;&gt;"X")*(PptoSty[Project]=$B104)*(PptoSty[Vrs]=$D104)*(PptoSty[PiRow]=_xlfn.TEXTAFTER($H104,":"))*(PptoSty[PiColumn]=R$54),0)),SUM(IF((INDIRECT($B$3)=$B104)*(INDIRECT($C$3)=$D104)*((INDIRECT($E$3)="TOTS")+(INDIRECT($E$3)=$E104)),INDIRECT(R$3)))),_xlpm.y,SUM(_xlfn.CHOOSECOLS(_xlfn._xlws.FILTER(F_RT14[],(F_RT14[PrjId]=$B104)*(F_RT14[Vrs]=$D104)*(_xlfn.TEXTAFTER(F_RT14[ActGrp],":")=_xlfn.TEXTAFTER($H104,":")),"X"),MATCH("*"&amp;R$54,F_RT14[#Headers],0))),IF(AND(_xlpm.x=0,_xlpm.y&lt;&gt;0),-1,IF(AND(_xlpm.x&lt;&gt;0,_xlpm.y&lt;&gt;0),_xlpm.x,IF(AND(_xlpm.x-SUM(IF((INDIRECT($B$3)=$B104)*(INDIRECT($C$3)=$D104)*((INDIRECT($E$3)="TOTS")+(INDIRECT($E$3)=$E104)),INDIRECT(R$3)))&lt;&gt;0,_xlpm.y=0),-2,_xlpm.x)))),0))</f>
        <v>-1</v>
      </c>
      <c r="S104" s="199" cm="1">
        <f t="array" aca="1" ref="S104" ca="1">IF(OR($B104="",$B104="X",$D104="",$D104="X",$E104="",$E104="X"),0,IFERROR(_xlfn.LET(_xlpm.x,SUM(SUM(_xlfn._xlws.FILTER(VALUE(PptoSty[Sign]&amp;1)*(1/PptoSty[Division]),(PptoSty[Division]&lt;&gt;0)*(PptoSty[Division]&lt;&gt;"")*(PptoSty[Division]&lt;&gt;"X")*(PptoSty[Project]=$B104)*(PptoSty[Vrs]=$D104)*(PptoSty[PiRow]=_xlfn.TEXTAFTER($H104,":"))*(PptoSty[PiColumn]=S$54),0)),SUM(IF((INDIRECT($B$3)=$B104)*(INDIRECT($C$3)=$D104)*((INDIRECT($E$3)="TOTS")+(INDIRECT($E$3)=$E104)),INDIRECT(S$3)))),_xlpm.y,SUM(_xlfn.CHOOSECOLS(_xlfn._xlws.FILTER(F_RT14[],(F_RT14[PrjId]=$B104)*(F_RT14[Vrs]=$D104)*(_xlfn.TEXTAFTER(F_RT14[ActGrp],":")=_xlfn.TEXTAFTER($H104,":")),"X"),MATCH("*"&amp;S$54,F_RT14[#Headers],0))),IF(AND(_xlpm.x=0,_xlpm.y&lt;&gt;0),-1,IF(AND(_xlpm.x&lt;&gt;0,_xlpm.y&lt;&gt;0),_xlpm.x,IF(AND(_xlpm.x-SUM(IF((INDIRECT($B$3)=$B104)*(INDIRECT($C$3)=$D104)*((INDIRECT($E$3)="TOTS")+(INDIRECT($E$3)=$E104)),INDIRECT(S$3)))&lt;&gt;0,_xlpm.y=0),-2,_xlpm.x)))),0))</f>
        <v>-1</v>
      </c>
      <c r="T104" s="199" cm="1">
        <f t="array" aca="1" ref="T104" ca="1">IF(OR($B104="",$B104="X",$D104="",$D104="X",$E104="",$E104="X"),0,IFERROR(_xlfn.LET(_xlpm.x,SUM(SUM(_xlfn._xlws.FILTER(VALUE(PptoSty[Sign]&amp;1)*(1/PptoSty[Division]),(PptoSty[Division]&lt;&gt;0)*(PptoSty[Division]&lt;&gt;"")*(PptoSty[Division]&lt;&gt;"X")*(PptoSty[Project]=$B104)*(PptoSty[Vrs]=$D104)*(PptoSty[PiRow]=_xlfn.TEXTAFTER($H104,":"))*(PptoSty[PiColumn]=T$54),0)),SUM(IF((INDIRECT($B$3)=$B104)*(INDIRECT($C$3)=$D104)*((INDIRECT($E$3)="TOTS")+(INDIRECT($E$3)=$E104)),INDIRECT(T$3)))),_xlpm.y,SUM(_xlfn.CHOOSECOLS(_xlfn._xlws.FILTER(F_RT14[],(F_RT14[PrjId]=$B104)*(F_RT14[Vrs]=$D104)*(_xlfn.TEXTAFTER(F_RT14[ActGrp],":")=_xlfn.TEXTAFTER($H104,":")),"X"),MATCH("*"&amp;T$54,F_RT14[#Headers],0))),IF(AND(_xlpm.x=0,_xlpm.y&lt;&gt;0),-1,IF(AND(_xlpm.x&lt;&gt;0,_xlpm.y&lt;&gt;0),_xlpm.x,IF(AND(_xlpm.x-SUM(IF((INDIRECT($B$3)=$B104)*(INDIRECT($C$3)=$D104)*((INDIRECT($E$3)="TOTS")+(INDIRECT($E$3)=$E104)),INDIRECT(T$3)))&lt;&gt;0,_xlpm.y=0),-2,_xlpm.x)))),0))</f>
        <v>-1</v>
      </c>
      <c r="U104" s="199" cm="1">
        <f t="array" aca="1" ref="U104" ca="1">IF(OR($B104="",$B104="X",$D104="",$D104="X",$E104="",$E104="X"),0,IFERROR(_xlfn.LET(_xlpm.x,SUM(SUM(_xlfn._xlws.FILTER(VALUE(PptoSty[Sign]&amp;1)*(1/PptoSty[Division]),(PptoSty[Division]&lt;&gt;0)*(PptoSty[Division]&lt;&gt;"")*(PptoSty[Division]&lt;&gt;"X")*(PptoSty[Project]=$B104)*(PptoSty[Vrs]=$D104)*(PptoSty[PiRow]=_xlfn.TEXTAFTER($H104,":"))*(PptoSty[PiColumn]=U$54),0)),SUM(IF((INDIRECT($B$3)=$B104)*(INDIRECT($C$3)=$D104)*((INDIRECT($E$3)="TOTS")+(INDIRECT($E$3)=$E104)),INDIRECT(U$3)))),_xlpm.y,SUM(_xlfn.CHOOSECOLS(_xlfn._xlws.FILTER(F_RT14[],(F_RT14[PrjId]=$B104)*(F_RT14[Vrs]=$D104)*(_xlfn.TEXTAFTER(F_RT14[ActGrp],":")=_xlfn.TEXTAFTER($H104,":")),"X"),MATCH("*"&amp;U$54,F_RT14[#Headers],0))),IF(AND(_xlpm.x=0,_xlpm.y&lt;&gt;0),-1,IF(AND(_xlpm.x&lt;&gt;0,_xlpm.y&lt;&gt;0),_xlpm.x,IF(AND(_xlpm.x-SUM(IF((INDIRECT($B$3)=$B104)*(INDIRECT($C$3)=$D104)*((INDIRECT($E$3)="TOTS")+(INDIRECT($E$3)=$E104)),INDIRECT(U$3)))&lt;&gt;0,_xlpm.y=0),-2,_xlpm.x)))),0))</f>
        <v>0</v>
      </c>
      <c r="V104" s="199" cm="1">
        <f t="array" aca="1" ref="V104" ca="1">IF(OR($B104="",$B104="X",$D104="",$D104="X",$E104="",$E104="X"),0,IFERROR(_xlfn.LET(_xlpm.x,SUM(SUM(_xlfn._xlws.FILTER(VALUE(PptoSty[Sign]&amp;1)*(1/PptoSty[Division]),(PptoSty[Division]&lt;&gt;0)*(PptoSty[Division]&lt;&gt;"")*(PptoSty[Division]&lt;&gt;"X")*(PptoSty[Project]=$B104)*(PptoSty[Vrs]=$D104)*(PptoSty[PiRow]=_xlfn.TEXTAFTER($H104,":"))*(PptoSty[PiColumn]=V$54),0)),SUM(IF((INDIRECT($B$3)=$B104)*(INDIRECT($C$3)=$D104)*((INDIRECT($E$3)="TOTS")+(INDIRECT($E$3)=$E104)),INDIRECT(V$3)))),_xlpm.y,SUM(_xlfn.CHOOSECOLS(_xlfn._xlws.FILTER(F_RT14[],(F_RT14[PrjId]=$B104)*(F_RT14[Vrs]=$D104)*(_xlfn.TEXTAFTER(F_RT14[ActGrp],":")=_xlfn.TEXTAFTER($H104,":")),"X"),MATCH("*"&amp;V$54,F_RT14[#Headers],0))),IF(AND(_xlpm.x=0,_xlpm.y&lt;&gt;0),-1,IF(AND(_xlpm.x&lt;&gt;0,_xlpm.y&lt;&gt;0),_xlpm.x,IF(AND(_xlpm.x-SUM(IF((INDIRECT($B$3)=$B104)*(INDIRECT($C$3)=$D104)*((INDIRECT($E$3)="TOTS")+(INDIRECT($E$3)=$E104)),INDIRECT(V$3)))&lt;&gt;0,_xlpm.y=0),-2,_xlpm.x)))),0))</f>
        <v>-1</v>
      </c>
      <c r="W104" s="199" cm="1">
        <f t="array" aca="1" ref="W104" ca="1">IF(OR($B104="",$B104="X",$D104="",$D104="X",$E104="",$E104="X"),0,IFERROR(_xlfn.LET(_xlpm.x,SUM(SUM(_xlfn._xlws.FILTER(VALUE(PptoSty[Sign]&amp;1)*(1/PptoSty[Division]),(PptoSty[Division]&lt;&gt;0)*(PptoSty[Division]&lt;&gt;"")*(PptoSty[Division]&lt;&gt;"X")*(PptoSty[Project]=$B104)*(PptoSty[Vrs]=$D104)*(PptoSty[PiRow]=_xlfn.TEXTAFTER($H104,":"))*(PptoSty[PiColumn]=W$54),0)),SUM(IF((INDIRECT($B$3)=$B104)*(INDIRECT($C$3)=$D104)*((INDIRECT($E$3)="TOTS")+(INDIRECT($E$3)=$E104)),INDIRECT(W$3)))),_xlpm.y,SUM(_xlfn.CHOOSECOLS(_xlfn._xlws.FILTER(F_RT14[],(F_RT14[PrjId]=$B104)*(F_RT14[Vrs]=$D104)*(_xlfn.TEXTAFTER(F_RT14[ActGrp],":")=_xlfn.TEXTAFTER($H104,":")),"X"),MATCH("*"&amp;W$54,F_RT14[#Headers],0))),IF(AND(_xlpm.x=0,_xlpm.y&lt;&gt;0),-1,IF(AND(_xlpm.x&lt;&gt;0,_xlpm.y&lt;&gt;0),_xlpm.x,IF(AND(_xlpm.x-SUM(IF((INDIRECT($B$3)=$B104)*(INDIRECT($C$3)=$D104)*((INDIRECT($E$3)="TOTS")+(INDIRECT($E$3)=$E104)),INDIRECT(W$3)))&lt;&gt;0,_xlpm.y=0),-2,_xlpm.x)))),0))</f>
        <v>-1</v>
      </c>
      <c r="X104" s="199" cm="1">
        <f t="array" aca="1" ref="X104" ca="1">IF(OR($B104="",$B104="X",$D104="",$D104="X",$E104="",$E104="X"),0,IFERROR(_xlfn.LET(_xlpm.x,SUM(SUM(_xlfn._xlws.FILTER(VALUE(PptoSty[Sign]&amp;1)*(1/PptoSty[Division]),(PptoSty[Division]&lt;&gt;0)*(PptoSty[Division]&lt;&gt;"")*(PptoSty[Division]&lt;&gt;"X")*(PptoSty[Project]=$B104)*(PptoSty[Vrs]=$D104)*(PptoSty[PiRow]=_xlfn.TEXTAFTER($H104,":"))*(PptoSty[PiColumn]=X$54),0)),SUM(IF((INDIRECT($B$3)=$B104)*(INDIRECT($C$3)=$D104)*((INDIRECT($E$3)="TOTS")+(INDIRECT($E$3)=$E104)),INDIRECT(X$3)))),_xlpm.y,SUM(_xlfn.CHOOSECOLS(_xlfn._xlws.FILTER(F_RT14[],(F_RT14[PrjId]=$B104)*(F_RT14[Vrs]=$D104)*(_xlfn.TEXTAFTER(F_RT14[ActGrp],":")=_xlfn.TEXTAFTER($H104,":")),"X"),MATCH("*"&amp;X$54,F_RT14[#Headers],0))),IF(AND(_xlpm.x=0,_xlpm.y&lt;&gt;0),-1,IF(AND(_xlpm.x&lt;&gt;0,_xlpm.y&lt;&gt;0),_xlpm.x,IF(AND(_xlpm.x-SUM(IF((INDIRECT($B$3)=$B104)*(INDIRECT($C$3)=$D104)*((INDIRECT($E$3)="TOTS")+(INDIRECT($E$3)=$E104)),INDIRECT(X$3)))&lt;&gt;0,_xlpm.y=0),-2,_xlpm.x)))),0))</f>
        <v>-1</v>
      </c>
      <c r="Y104" s="199" cm="1">
        <f t="array" aca="1" ref="Y104" ca="1">IF(OR($B104="",$B104="X",$D104="",$D104="X",$E104="",$E104="X"),0,IFERROR(_xlfn.LET(_xlpm.x,SUM(SUM(_xlfn._xlws.FILTER(VALUE(PptoSty[Sign]&amp;1)*(1/PptoSty[Division]),(PptoSty[Division]&lt;&gt;0)*(PptoSty[Division]&lt;&gt;"")*(PptoSty[Division]&lt;&gt;"X")*(PptoSty[Project]=$B104)*(PptoSty[Vrs]=$D104)*(PptoSty[PiRow]=_xlfn.TEXTAFTER($H104,":"))*(PptoSty[PiColumn]=Y$54),0)),SUM(IF((INDIRECT($B$3)=$B104)*(INDIRECT($C$3)=$D104)*((INDIRECT($E$3)="TOTS")+(INDIRECT($E$3)=$E104)),INDIRECT(Y$3)))),_xlpm.y,SUM(_xlfn.CHOOSECOLS(_xlfn._xlws.FILTER(F_RT14[],(F_RT14[PrjId]=$B104)*(F_RT14[Vrs]=$D104)*(_xlfn.TEXTAFTER(F_RT14[ActGrp],":")=_xlfn.TEXTAFTER($H104,":")),"X"),MATCH("*"&amp;Y$54,F_RT14[#Headers],0))),IF(AND(_xlpm.x=0,_xlpm.y&lt;&gt;0),-1,IF(AND(_xlpm.x&lt;&gt;0,_xlpm.y&lt;&gt;0),_xlpm.x,IF(AND(_xlpm.x-SUM(IF((INDIRECT($B$3)=$B104)*(INDIRECT($C$3)=$D104)*((INDIRECT($E$3)="TOTS")+(INDIRECT($E$3)=$E104)),INDIRECT(Y$3)))&lt;&gt;0,_xlpm.y=0),-2,_xlpm.x)))),0))</f>
        <v>0</v>
      </c>
      <c r="Z104" s="198" t="str">
        <f t="shared" ca="1" si="2"/>
        <v>Fback!B104:Y104</v>
      </c>
    </row>
    <row r="105" spans="2:26" ht="21" customHeight="1" outlineLevel="1">
      <c r="B105" s="128" t="str">
        <v>31199</v>
      </c>
      <c r="C105" s="128" t="str">
        <v>Sp</v>
      </c>
      <c r="D105" s="128">
        <v>0</v>
      </c>
      <c r="E105" s="128" t="str">
        <v>TOOL</v>
      </c>
      <c r="F105" s="139" t="str">
        <v>SERRA</v>
      </c>
      <c r="G105" s="139" t="str">
        <v>CurPpto</v>
      </c>
      <c r="H105" s="139" t="str">
        <v>P012:FIXTURE OP-520 GEO IV</v>
      </c>
      <c r="I105" s="199" cm="1">
        <f t="array" aca="1" ref="I105" ca="1">IF(OR($B105="",$B105="X",$D105="",$D105="X",$E105="",$E105="X"),0,IFERROR(_xlfn.LET(_xlpm.x,SUM(SUM(_xlfn._xlws.FILTER(VALUE(PptoSty[Sign]&amp;1)*(1/PptoSty[Division]),(PptoSty[Division]&lt;&gt;0)*(PptoSty[Division]&lt;&gt;"")*(PptoSty[Division]&lt;&gt;"X")*(PptoSty[Project]=$B105)*(PptoSty[Vrs]=$D105)*(PptoSty[PiRow]=_xlfn.TEXTAFTER($H105,":"))*(PptoSty[PiColumn]=I$54),0)),SUM(IF((INDIRECT($B$3)=$B105)*(INDIRECT($C$3)=$D105)*((INDIRECT($E$3)="TOTS")+(INDIRECT($E$3)=$E105)),INDIRECT(I$3)))),_xlpm.y,SUM(_xlfn.CHOOSECOLS(_xlfn._xlws.FILTER(F_RT14[],(F_RT14[PrjId]=$B105)*(F_RT14[Vrs]=$D105)*(_xlfn.TEXTAFTER(F_RT14[ActGrp],":")=_xlfn.TEXTAFTER($H105,":")),"X"),MATCH("*"&amp;I$54,F_RT14[#Headers],0))),IF(AND(_xlpm.x=0,_xlpm.y&lt;&gt;0),-1,IF(AND(_xlpm.x&lt;&gt;0,_xlpm.y&lt;&gt;0),_xlpm.x,IF(AND(_xlpm.x-SUM(IF((INDIRECT($B$3)=$B105)*(INDIRECT($C$3)=$D105)*((INDIRECT($E$3)="TOTS")+(INDIRECT($E$3)=$E105)),INDIRECT(I$3)))&lt;&gt;0,_xlpm.y=0),-2,_xlpm.x)))),0))</f>
        <v>0</v>
      </c>
      <c r="J105" s="199" cm="1">
        <f t="array" aca="1" ref="J105" ca="1">IF(OR($B105="",$B105="X",$D105="",$D105="X",$E105="",$E105="X"),0,IFERROR(_xlfn.LET(_xlpm.x,SUM(SUM(_xlfn._xlws.FILTER(VALUE(PptoSty[Sign]&amp;1)*(1/PptoSty[Division]),(PptoSty[Division]&lt;&gt;0)*(PptoSty[Division]&lt;&gt;"")*(PptoSty[Division]&lt;&gt;"X")*(PptoSty[Project]=$B105)*(PptoSty[Vrs]=$D105)*(PptoSty[PiRow]=_xlfn.TEXTAFTER($H105,":"))*(PptoSty[PiColumn]=J$54),0)),SUM(IF((INDIRECT($B$3)=$B105)*(INDIRECT($C$3)=$D105)*((INDIRECT($E$3)="TOTS")+(INDIRECT($E$3)=$E105)),INDIRECT(J$3)))),_xlpm.y,SUM(_xlfn.CHOOSECOLS(_xlfn._xlws.FILTER(F_RT14[],(F_RT14[PrjId]=$B105)*(F_RT14[Vrs]=$D105)*(_xlfn.TEXTAFTER(F_RT14[ActGrp],":")=_xlfn.TEXTAFTER($H105,":")),"X"),MATCH("*"&amp;J$54,F_RT14[#Headers],0))),IF(AND(_xlpm.x=0,_xlpm.y&lt;&gt;0),-1,IF(AND(_xlpm.x&lt;&gt;0,_xlpm.y&lt;&gt;0),_xlpm.x,IF(AND(_xlpm.x-SUM(IF((INDIRECT($B$3)=$B105)*(INDIRECT($C$3)=$D105)*((INDIRECT($E$3)="TOTS")+(INDIRECT($E$3)=$E105)),INDIRECT(J$3)))&lt;&gt;0,_xlpm.y=0),-2,_xlpm.x)))),0))</f>
        <v>0</v>
      </c>
      <c r="K105" s="199" cm="1">
        <f t="array" aca="1" ref="K105" ca="1">IF(OR($B105="",$B105="X",$D105="",$D105="X",$E105="",$E105="X"),0,IFERROR(_xlfn.LET(_xlpm.x,SUM(SUM(_xlfn._xlws.FILTER(VALUE(PptoSty[Sign]&amp;1)*(1/PptoSty[Division]),(PptoSty[Division]&lt;&gt;0)*(PptoSty[Division]&lt;&gt;"")*(PptoSty[Division]&lt;&gt;"X")*(PptoSty[Project]=$B105)*(PptoSty[Vrs]=$D105)*(PptoSty[PiRow]=_xlfn.TEXTAFTER($H105,":"))*(PptoSty[PiColumn]=K$54),0)),SUM(IF((INDIRECT($B$3)=$B105)*(INDIRECT($C$3)=$D105)*((INDIRECT($E$3)="TOTS")+(INDIRECT($E$3)=$E105)),INDIRECT(K$3)))),_xlpm.y,SUM(_xlfn.CHOOSECOLS(_xlfn._xlws.FILTER(F_RT14[],(F_RT14[PrjId]=$B105)*(F_RT14[Vrs]=$D105)*(_xlfn.TEXTAFTER(F_RT14[ActGrp],":")=_xlfn.TEXTAFTER($H105,":")),"X"),MATCH("*"&amp;K$54,F_RT14[#Headers],0))),IF(AND(_xlpm.x=0,_xlpm.y&lt;&gt;0),-1,IF(AND(_xlpm.x&lt;&gt;0,_xlpm.y&lt;&gt;0),_xlpm.x,IF(AND(_xlpm.x-SUM(IF((INDIRECT($B$3)=$B105)*(INDIRECT($C$3)=$D105)*((INDIRECT($E$3)="TOTS")+(INDIRECT($E$3)=$E105)),INDIRECT(K$3)))&lt;&gt;0,_xlpm.y=0),-2,_xlpm.x)))),0))</f>
        <v>-1</v>
      </c>
      <c r="L105" s="199" cm="1">
        <f t="array" aca="1" ref="L105" ca="1">IF(OR($B105="",$B105="X",$D105="",$D105="X",$E105="",$E105="X"),0,IFERROR(_xlfn.LET(_xlpm.x,SUM(SUM(_xlfn._xlws.FILTER(VALUE(PptoSty[Sign]&amp;1)*(1/PptoSty[Division]),(PptoSty[Division]&lt;&gt;0)*(PptoSty[Division]&lt;&gt;"")*(PptoSty[Division]&lt;&gt;"X")*(PptoSty[Project]=$B105)*(PptoSty[Vrs]=$D105)*(PptoSty[PiRow]=_xlfn.TEXTAFTER($H105,":"))*(PptoSty[PiColumn]=L$54),0)),SUM(IF((INDIRECT($B$3)=$B105)*(INDIRECT($C$3)=$D105)*((INDIRECT($E$3)="TOTS")+(INDIRECT($E$3)=$E105)),INDIRECT(L$3)))),_xlpm.y,SUM(_xlfn.CHOOSECOLS(_xlfn._xlws.FILTER(F_RT14[],(F_RT14[PrjId]=$B105)*(F_RT14[Vrs]=$D105)*(_xlfn.TEXTAFTER(F_RT14[ActGrp],":")=_xlfn.TEXTAFTER($H105,":")),"X"),MATCH("*"&amp;L$54,F_RT14[#Headers],0))),IF(AND(_xlpm.x=0,_xlpm.y&lt;&gt;0),-1,IF(AND(_xlpm.x&lt;&gt;0,_xlpm.y&lt;&gt;0),_xlpm.x,IF(AND(_xlpm.x-SUM(IF((INDIRECT($B$3)=$B105)*(INDIRECT($C$3)=$D105)*((INDIRECT($E$3)="TOTS")+(INDIRECT($E$3)=$E105)),INDIRECT(L$3)))&lt;&gt;0,_xlpm.y=0),-2,_xlpm.x)))),0))</f>
        <v>0</v>
      </c>
      <c r="M105" s="199" cm="1">
        <f t="array" aca="1" ref="M105" ca="1">IF(OR($B105="",$B105="X",$D105="",$D105="X",$E105="",$E105="X"),0,IFERROR(_xlfn.LET(_xlpm.x,SUM(SUM(_xlfn._xlws.FILTER(VALUE(PptoSty[Sign]&amp;1)*(1/PptoSty[Division]),(PptoSty[Division]&lt;&gt;0)*(PptoSty[Division]&lt;&gt;"")*(PptoSty[Division]&lt;&gt;"X")*(PptoSty[Project]=$B105)*(PptoSty[Vrs]=$D105)*(PptoSty[PiRow]=_xlfn.TEXTAFTER($H105,":"))*(PptoSty[PiColumn]=M$54),0)),SUM(IF((INDIRECT($B$3)=$B105)*(INDIRECT($C$3)=$D105)*((INDIRECT($E$3)="TOTS")+(INDIRECT($E$3)=$E105)),INDIRECT(M$3)))),_xlpm.y,SUM(_xlfn.CHOOSECOLS(_xlfn._xlws.FILTER(F_RT14[],(F_RT14[PrjId]=$B105)*(F_RT14[Vrs]=$D105)*(_xlfn.TEXTAFTER(F_RT14[ActGrp],":")=_xlfn.TEXTAFTER($H105,":")),"X"),MATCH("*"&amp;M$54,F_RT14[#Headers],0))),IF(AND(_xlpm.x=0,_xlpm.y&lt;&gt;0),-1,IF(AND(_xlpm.x&lt;&gt;0,_xlpm.y&lt;&gt;0),_xlpm.x,IF(AND(_xlpm.x-SUM(IF((INDIRECT($B$3)=$B105)*(INDIRECT($C$3)=$D105)*((INDIRECT($E$3)="TOTS")+(INDIRECT($E$3)=$E105)),INDIRECT(M$3)))&lt;&gt;0,_xlpm.y=0),-2,_xlpm.x)))),0))</f>
        <v>0</v>
      </c>
      <c r="N105" s="199" cm="1">
        <f t="array" aca="1" ref="N105" ca="1">IF(OR($B105="",$B105="X",$D105="",$D105="X",$E105="",$E105="X"),0,IFERROR(_xlfn.LET(_xlpm.x,SUM(SUM(_xlfn._xlws.FILTER(VALUE(PptoSty[Sign]&amp;1)*(1/PptoSty[Division]),(PptoSty[Division]&lt;&gt;0)*(PptoSty[Division]&lt;&gt;"")*(PptoSty[Division]&lt;&gt;"X")*(PptoSty[Project]=$B105)*(PptoSty[Vrs]=$D105)*(PptoSty[PiRow]=_xlfn.TEXTAFTER($H105,":"))*(PptoSty[PiColumn]=N$54),0)),SUM(IF((INDIRECT($B$3)=$B105)*(INDIRECT($C$3)=$D105)*((INDIRECT($E$3)="TOTS")+(INDIRECT($E$3)=$E105)),INDIRECT(N$3)))),_xlpm.y,SUM(_xlfn.CHOOSECOLS(_xlfn._xlws.FILTER(F_RT14[],(F_RT14[PrjId]=$B105)*(F_RT14[Vrs]=$D105)*(_xlfn.TEXTAFTER(F_RT14[ActGrp],":")=_xlfn.TEXTAFTER($H105,":")),"X"),MATCH("*"&amp;N$54,F_RT14[#Headers],0))),IF(AND(_xlpm.x=0,_xlpm.y&lt;&gt;0),-1,IF(AND(_xlpm.x&lt;&gt;0,_xlpm.y&lt;&gt;0),_xlpm.x,IF(AND(_xlpm.x-SUM(IF((INDIRECT($B$3)=$B105)*(INDIRECT($C$3)=$D105)*((INDIRECT($E$3)="TOTS")+(INDIRECT($E$3)=$E105)),INDIRECT(N$3)))&lt;&gt;0,_xlpm.y=0),-2,_xlpm.x)))),0))</f>
        <v>0</v>
      </c>
      <c r="O105" s="199" cm="1">
        <f t="array" aca="1" ref="O105" ca="1">IF(OR($B105="",$B105="X",$D105="",$D105="X",$E105="",$E105="X"),0,IFERROR(_xlfn.LET(_xlpm.x,SUM(SUM(_xlfn._xlws.FILTER(VALUE(PptoSty[Sign]&amp;1)*(1/PptoSty[Division]),(PptoSty[Division]&lt;&gt;0)*(PptoSty[Division]&lt;&gt;"")*(PptoSty[Division]&lt;&gt;"X")*(PptoSty[Project]=$B105)*(PptoSty[Vrs]=$D105)*(PptoSty[PiRow]=_xlfn.TEXTAFTER($H105,":"))*(PptoSty[PiColumn]=O$54),0)),SUM(IF((INDIRECT($B$3)=$B105)*(INDIRECT($C$3)=$D105)*((INDIRECT($E$3)="TOTS")+(INDIRECT($E$3)=$E105)),INDIRECT(O$3)))),_xlpm.y,SUM(_xlfn.CHOOSECOLS(_xlfn._xlws.FILTER(F_RT14[],(F_RT14[PrjId]=$B105)*(F_RT14[Vrs]=$D105)*(_xlfn.TEXTAFTER(F_RT14[ActGrp],":")=_xlfn.TEXTAFTER($H105,":")),"X"),MATCH("*"&amp;O$54,F_RT14[#Headers],0))),IF(AND(_xlpm.x=0,_xlpm.y&lt;&gt;0),-1,IF(AND(_xlpm.x&lt;&gt;0,_xlpm.y&lt;&gt;0),_xlpm.x,IF(AND(_xlpm.x-SUM(IF((INDIRECT($B$3)=$B105)*(INDIRECT($C$3)=$D105)*((INDIRECT($E$3)="TOTS")+(INDIRECT($E$3)=$E105)),INDIRECT(O$3)))&lt;&gt;0,_xlpm.y=0),-2,_xlpm.x)))),0))</f>
        <v>0</v>
      </c>
      <c r="P105" s="199" cm="1">
        <f t="array" aca="1" ref="P105" ca="1">IF(OR($B105="",$B105="X",$D105="",$D105="X",$E105="",$E105="X"),0,IFERROR(_xlfn.LET(_xlpm.x,SUM(SUM(_xlfn._xlws.FILTER(VALUE(PptoSty[Sign]&amp;1)*(1/PptoSty[Division]),(PptoSty[Division]&lt;&gt;0)*(PptoSty[Division]&lt;&gt;"")*(PptoSty[Division]&lt;&gt;"X")*(PptoSty[Project]=$B105)*(PptoSty[Vrs]=$D105)*(PptoSty[PiRow]=_xlfn.TEXTAFTER($H105,":"))*(PptoSty[PiColumn]=P$54),0)),SUM(IF((INDIRECT($B$3)=$B105)*(INDIRECT($C$3)=$D105)*((INDIRECT($E$3)="TOTS")+(INDIRECT($E$3)=$E105)),INDIRECT(P$3)))),_xlpm.y,SUM(_xlfn.CHOOSECOLS(_xlfn._xlws.FILTER(F_RT14[],(F_RT14[PrjId]=$B105)*(F_RT14[Vrs]=$D105)*(_xlfn.TEXTAFTER(F_RT14[ActGrp],":")=_xlfn.TEXTAFTER($H105,":")),"X"),MATCH("*"&amp;P$54,F_RT14[#Headers],0))),IF(AND(_xlpm.x=0,_xlpm.y&lt;&gt;0),-1,IF(AND(_xlpm.x&lt;&gt;0,_xlpm.y&lt;&gt;0),_xlpm.x,IF(AND(_xlpm.x-SUM(IF((INDIRECT($B$3)=$B105)*(INDIRECT($C$3)=$D105)*((INDIRECT($E$3)="TOTS")+(INDIRECT($E$3)=$E105)),INDIRECT(P$3)))&lt;&gt;0,_xlpm.y=0),-2,_xlpm.x)))),0))</f>
        <v>-1</v>
      </c>
      <c r="Q105" s="199" cm="1">
        <f t="array" aca="1" ref="Q105" ca="1">IF(OR($B105="",$B105="X",$D105="",$D105="X",$E105="",$E105="X"),0,IFERROR(_xlfn.LET(_xlpm.x,SUM(SUM(_xlfn._xlws.FILTER(VALUE(PptoSty[Sign]&amp;1)*(1/PptoSty[Division]),(PptoSty[Division]&lt;&gt;0)*(PptoSty[Division]&lt;&gt;"")*(PptoSty[Division]&lt;&gt;"X")*(PptoSty[Project]=$B105)*(PptoSty[Vrs]=$D105)*(PptoSty[PiRow]=_xlfn.TEXTAFTER($H105,":"))*(PptoSty[PiColumn]=Q$54),0)),SUM(IF((INDIRECT($B$3)=$B105)*(INDIRECT($C$3)=$D105)*((INDIRECT($E$3)="TOTS")+(INDIRECT($E$3)=$E105)),INDIRECT(Q$3)))),_xlpm.y,SUM(_xlfn.CHOOSECOLS(_xlfn._xlws.FILTER(F_RT14[],(F_RT14[PrjId]=$B105)*(F_RT14[Vrs]=$D105)*(_xlfn.TEXTAFTER(F_RT14[ActGrp],":")=_xlfn.TEXTAFTER($H105,":")),"X"),MATCH("*"&amp;Q$54,F_RT14[#Headers],0))),IF(AND(_xlpm.x=0,_xlpm.y&lt;&gt;0),-1,IF(AND(_xlpm.x&lt;&gt;0,_xlpm.y&lt;&gt;0),_xlpm.x,IF(AND(_xlpm.x-SUM(IF((INDIRECT($B$3)=$B105)*(INDIRECT($C$3)=$D105)*((INDIRECT($E$3)="TOTS")+(INDIRECT($E$3)=$E105)),INDIRECT(Q$3)))&lt;&gt;0,_xlpm.y=0),-2,_xlpm.x)))),0))</f>
        <v>-1</v>
      </c>
      <c r="R105" s="199" cm="1">
        <f t="array" aca="1" ref="R105" ca="1">IF(OR($B105="",$B105="X",$D105="",$D105="X",$E105="",$E105="X"),0,IFERROR(_xlfn.LET(_xlpm.x,SUM(SUM(_xlfn._xlws.FILTER(VALUE(PptoSty[Sign]&amp;1)*(1/PptoSty[Division]),(PptoSty[Division]&lt;&gt;0)*(PptoSty[Division]&lt;&gt;"")*(PptoSty[Division]&lt;&gt;"X")*(PptoSty[Project]=$B105)*(PptoSty[Vrs]=$D105)*(PptoSty[PiRow]=_xlfn.TEXTAFTER($H105,":"))*(PptoSty[PiColumn]=R$54),0)),SUM(IF((INDIRECT($B$3)=$B105)*(INDIRECT($C$3)=$D105)*((INDIRECT($E$3)="TOTS")+(INDIRECT($E$3)=$E105)),INDIRECT(R$3)))),_xlpm.y,SUM(_xlfn.CHOOSECOLS(_xlfn._xlws.FILTER(F_RT14[],(F_RT14[PrjId]=$B105)*(F_RT14[Vrs]=$D105)*(_xlfn.TEXTAFTER(F_RT14[ActGrp],":")=_xlfn.TEXTAFTER($H105,":")),"X"),MATCH("*"&amp;R$54,F_RT14[#Headers],0))),IF(AND(_xlpm.x=0,_xlpm.y&lt;&gt;0),-1,IF(AND(_xlpm.x&lt;&gt;0,_xlpm.y&lt;&gt;0),_xlpm.x,IF(AND(_xlpm.x-SUM(IF((INDIRECT($B$3)=$B105)*(INDIRECT($C$3)=$D105)*((INDIRECT($E$3)="TOTS")+(INDIRECT($E$3)=$E105)),INDIRECT(R$3)))&lt;&gt;0,_xlpm.y=0),-2,_xlpm.x)))),0))</f>
        <v>-1</v>
      </c>
      <c r="S105" s="199" cm="1">
        <f t="array" aca="1" ref="S105" ca="1">IF(OR($B105="",$B105="X",$D105="",$D105="X",$E105="",$E105="X"),0,IFERROR(_xlfn.LET(_xlpm.x,SUM(SUM(_xlfn._xlws.FILTER(VALUE(PptoSty[Sign]&amp;1)*(1/PptoSty[Division]),(PptoSty[Division]&lt;&gt;0)*(PptoSty[Division]&lt;&gt;"")*(PptoSty[Division]&lt;&gt;"X")*(PptoSty[Project]=$B105)*(PptoSty[Vrs]=$D105)*(PptoSty[PiRow]=_xlfn.TEXTAFTER($H105,":"))*(PptoSty[PiColumn]=S$54),0)),SUM(IF((INDIRECT($B$3)=$B105)*(INDIRECT($C$3)=$D105)*((INDIRECT($E$3)="TOTS")+(INDIRECT($E$3)=$E105)),INDIRECT(S$3)))),_xlpm.y,SUM(_xlfn.CHOOSECOLS(_xlfn._xlws.FILTER(F_RT14[],(F_RT14[PrjId]=$B105)*(F_RT14[Vrs]=$D105)*(_xlfn.TEXTAFTER(F_RT14[ActGrp],":")=_xlfn.TEXTAFTER($H105,":")),"X"),MATCH("*"&amp;S$54,F_RT14[#Headers],0))),IF(AND(_xlpm.x=0,_xlpm.y&lt;&gt;0),-1,IF(AND(_xlpm.x&lt;&gt;0,_xlpm.y&lt;&gt;0),_xlpm.x,IF(AND(_xlpm.x-SUM(IF((INDIRECT($B$3)=$B105)*(INDIRECT($C$3)=$D105)*((INDIRECT($E$3)="TOTS")+(INDIRECT($E$3)=$E105)),INDIRECT(S$3)))&lt;&gt;0,_xlpm.y=0),-2,_xlpm.x)))),0))</f>
        <v>0</v>
      </c>
      <c r="T105" s="199" cm="1">
        <f t="array" aca="1" ref="T105" ca="1">IF(OR($B105="",$B105="X",$D105="",$D105="X",$E105="",$E105="X"),0,IFERROR(_xlfn.LET(_xlpm.x,SUM(SUM(_xlfn._xlws.FILTER(VALUE(PptoSty[Sign]&amp;1)*(1/PptoSty[Division]),(PptoSty[Division]&lt;&gt;0)*(PptoSty[Division]&lt;&gt;"")*(PptoSty[Division]&lt;&gt;"X")*(PptoSty[Project]=$B105)*(PptoSty[Vrs]=$D105)*(PptoSty[PiRow]=_xlfn.TEXTAFTER($H105,":"))*(PptoSty[PiColumn]=T$54),0)),SUM(IF((INDIRECT($B$3)=$B105)*(INDIRECT($C$3)=$D105)*((INDIRECT($E$3)="TOTS")+(INDIRECT($E$3)=$E105)),INDIRECT(T$3)))),_xlpm.y,SUM(_xlfn.CHOOSECOLS(_xlfn._xlws.FILTER(F_RT14[],(F_RT14[PrjId]=$B105)*(F_RT14[Vrs]=$D105)*(_xlfn.TEXTAFTER(F_RT14[ActGrp],":")=_xlfn.TEXTAFTER($H105,":")),"X"),MATCH("*"&amp;T$54,F_RT14[#Headers],0))),IF(AND(_xlpm.x=0,_xlpm.y&lt;&gt;0),-1,IF(AND(_xlpm.x&lt;&gt;0,_xlpm.y&lt;&gt;0),_xlpm.x,IF(AND(_xlpm.x-SUM(IF((INDIRECT($B$3)=$B105)*(INDIRECT($C$3)=$D105)*((INDIRECT($E$3)="TOTS")+(INDIRECT($E$3)=$E105)),INDIRECT(T$3)))&lt;&gt;0,_xlpm.y=0),-2,_xlpm.x)))),0))</f>
        <v>0</v>
      </c>
      <c r="U105" s="199" cm="1">
        <f t="array" aca="1" ref="U105" ca="1">IF(OR($B105="",$B105="X",$D105="",$D105="X",$E105="",$E105="X"),0,IFERROR(_xlfn.LET(_xlpm.x,SUM(SUM(_xlfn._xlws.FILTER(VALUE(PptoSty[Sign]&amp;1)*(1/PptoSty[Division]),(PptoSty[Division]&lt;&gt;0)*(PptoSty[Division]&lt;&gt;"")*(PptoSty[Division]&lt;&gt;"X")*(PptoSty[Project]=$B105)*(PptoSty[Vrs]=$D105)*(PptoSty[PiRow]=_xlfn.TEXTAFTER($H105,":"))*(PptoSty[PiColumn]=U$54),0)),SUM(IF((INDIRECT($B$3)=$B105)*(INDIRECT($C$3)=$D105)*((INDIRECT($E$3)="TOTS")+(INDIRECT($E$3)=$E105)),INDIRECT(U$3)))),_xlpm.y,SUM(_xlfn.CHOOSECOLS(_xlfn._xlws.FILTER(F_RT14[],(F_RT14[PrjId]=$B105)*(F_RT14[Vrs]=$D105)*(_xlfn.TEXTAFTER(F_RT14[ActGrp],":")=_xlfn.TEXTAFTER($H105,":")),"X"),MATCH("*"&amp;U$54,F_RT14[#Headers],0))),IF(AND(_xlpm.x=0,_xlpm.y&lt;&gt;0),-1,IF(AND(_xlpm.x&lt;&gt;0,_xlpm.y&lt;&gt;0),_xlpm.x,IF(AND(_xlpm.x-SUM(IF((INDIRECT($B$3)=$B105)*(INDIRECT($C$3)=$D105)*((INDIRECT($E$3)="TOTS")+(INDIRECT($E$3)=$E105)),INDIRECT(U$3)))&lt;&gt;0,_xlpm.y=0),-2,_xlpm.x)))),0))</f>
        <v>0</v>
      </c>
      <c r="V105" s="199" cm="1">
        <f t="array" aca="1" ref="V105" ca="1">IF(OR($B105="",$B105="X",$D105="",$D105="X",$E105="",$E105="X"),0,IFERROR(_xlfn.LET(_xlpm.x,SUM(SUM(_xlfn._xlws.FILTER(VALUE(PptoSty[Sign]&amp;1)*(1/PptoSty[Division]),(PptoSty[Division]&lt;&gt;0)*(PptoSty[Division]&lt;&gt;"")*(PptoSty[Division]&lt;&gt;"X")*(PptoSty[Project]=$B105)*(PptoSty[Vrs]=$D105)*(PptoSty[PiRow]=_xlfn.TEXTAFTER($H105,":"))*(PptoSty[PiColumn]=V$54),0)),SUM(IF((INDIRECT($B$3)=$B105)*(INDIRECT($C$3)=$D105)*((INDIRECT($E$3)="TOTS")+(INDIRECT($E$3)=$E105)),INDIRECT(V$3)))),_xlpm.y,SUM(_xlfn.CHOOSECOLS(_xlfn._xlws.FILTER(F_RT14[],(F_RT14[PrjId]=$B105)*(F_RT14[Vrs]=$D105)*(_xlfn.TEXTAFTER(F_RT14[ActGrp],":")=_xlfn.TEXTAFTER($H105,":")),"X"),MATCH("*"&amp;V$54,F_RT14[#Headers],0))),IF(AND(_xlpm.x=0,_xlpm.y&lt;&gt;0),-1,IF(AND(_xlpm.x&lt;&gt;0,_xlpm.y&lt;&gt;0),_xlpm.x,IF(AND(_xlpm.x-SUM(IF((INDIRECT($B$3)=$B105)*(INDIRECT($C$3)=$D105)*((INDIRECT($E$3)="TOTS")+(INDIRECT($E$3)=$E105)),INDIRECT(V$3)))&lt;&gt;0,_xlpm.y=0),-2,_xlpm.x)))),0))</f>
        <v>-1</v>
      </c>
      <c r="W105" s="199" cm="1">
        <f t="array" aca="1" ref="W105" ca="1">IF(OR($B105="",$B105="X",$D105="",$D105="X",$E105="",$E105="X"),0,IFERROR(_xlfn.LET(_xlpm.x,SUM(SUM(_xlfn._xlws.FILTER(VALUE(PptoSty[Sign]&amp;1)*(1/PptoSty[Division]),(PptoSty[Division]&lt;&gt;0)*(PptoSty[Division]&lt;&gt;"")*(PptoSty[Division]&lt;&gt;"X")*(PptoSty[Project]=$B105)*(PptoSty[Vrs]=$D105)*(PptoSty[PiRow]=_xlfn.TEXTAFTER($H105,":"))*(PptoSty[PiColumn]=W$54),0)),SUM(IF((INDIRECT($B$3)=$B105)*(INDIRECT($C$3)=$D105)*((INDIRECT($E$3)="TOTS")+(INDIRECT($E$3)=$E105)),INDIRECT(W$3)))),_xlpm.y,SUM(_xlfn.CHOOSECOLS(_xlfn._xlws.FILTER(F_RT14[],(F_RT14[PrjId]=$B105)*(F_RT14[Vrs]=$D105)*(_xlfn.TEXTAFTER(F_RT14[ActGrp],":")=_xlfn.TEXTAFTER($H105,":")),"X"),MATCH("*"&amp;W$54,F_RT14[#Headers],0))),IF(AND(_xlpm.x=0,_xlpm.y&lt;&gt;0),-1,IF(AND(_xlpm.x&lt;&gt;0,_xlpm.y&lt;&gt;0),_xlpm.x,IF(AND(_xlpm.x-SUM(IF((INDIRECT($B$3)=$B105)*(INDIRECT($C$3)=$D105)*((INDIRECT($E$3)="TOTS")+(INDIRECT($E$3)=$E105)),INDIRECT(W$3)))&lt;&gt;0,_xlpm.y=0),-2,_xlpm.x)))),0))</f>
        <v>0</v>
      </c>
      <c r="X105" s="199" cm="1">
        <f t="array" aca="1" ref="X105" ca="1">IF(OR($B105="",$B105="X",$D105="",$D105="X",$E105="",$E105="X"),0,IFERROR(_xlfn.LET(_xlpm.x,SUM(SUM(_xlfn._xlws.FILTER(VALUE(PptoSty[Sign]&amp;1)*(1/PptoSty[Division]),(PptoSty[Division]&lt;&gt;0)*(PptoSty[Division]&lt;&gt;"")*(PptoSty[Division]&lt;&gt;"X")*(PptoSty[Project]=$B105)*(PptoSty[Vrs]=$D105)*(PptoSty[PiRow]=_xlfn.TEXTAFTER($H105,":"))*(PptoSty[PiColumn]=X$54),0)),SUM(IF((INDIRECT($B$3)=$B105)*(INDIRECT($C$3)=$D105)*((INDIRECT($E$3)="TOTS")+(INDIRECT($E$3)=$E105)),INDIRECT(X$3)))),_xlpm.y,SUM(_xlfn.CHOOSECOLS(_xlfn._xlws.FILTER(F_RT14[],(F_RT14[PrjId]=$B105)*(F_RT14[Vrs]=$D105)*(_xlfn.TEXTAFTER(F_RT14[ActGrp],":")=_xlfn.TEXTAFTER($H105,":")),"X"),MATCH("*"&amp;X$54,F_RT14[#Headers],0))),IF(AND(_xlpm.x=0,_xlpm.y&lt;&gt;0),-1,IF(AND(_xlpm.x&lt;&gt;0,_xlpm.y&lt;&gt;0),_xlpm.x,IF(AND(_xlpm.x-SUM(IF((INDIRECT($B$3)=$B105)*(INDIRECT($C$3)=$D105)*((INDIRECT($E$3)="TOTS")+(INDIRECT($E$3)=$E105)),INDIRECT(X$3)))&lt;&gt;0,_xlpm.y=0),-2,_xlpm.x)))),0))</f>
        <v>0</v>
      </c>
      <c r="Y105" s="199" cm="1">
        <f t="array" aca="1" ref="Y105" ca="1">IF(OR($B105="",$B105="X",$D105="",$D105="X",$E105="",$E105="X"),0,IFERROR(_xlfn.LET(_xlpm.x,SUM(SUM(_xlfn._xlws.FILTER(VALUE(PptoSty[Sign]&amp;1)*(1/PptoSty[Division]),(PptoSty[Division]&lt;&gt;0)*(PptoSty[Division]&lt;&gt;"")*(PptoSty[Division]&lt;&gt;"X")*(PptoSty[Project]=$B105)*(PptoSty[Vrs]=$D105)*(PptoSty[PiRow]=_xlfn.TEXTAFTER($H105,":"))*(PptoSty[PiColumn]=Y$54),0)),SUM(IF((INDIRECT($B$3)=$B105)*(INDIRECT($C$3)=$D105)*((INDIRECT($E$3)="TOTS")+(INDIRECT($E$3)=$E105)),INDIRECT(Y$3)))),_xlpm.y,SUM(_xlfn.CHOOSECOLS(_xlfn._xlws.FILTER(F_RT14[],(F_RT14[PrjId]=$B105)*(F_RT14[Vrs]=$D105)*(_xlfn.TEXTAFTER(F_RT14[ActGrp],":")=_xlfn.TEXTAFTER($H105,":")),"X"),MATCH("*"&amp;Y$54,F_RT14[#Headers],0))),IF(AND(_xlpm.x=0,_xlpm.y&lt;&gt;0),-1,IF(AND(_xlpm.x&lt;&gt;0,_xlpm.y&lt;&gt;0),_xlpm.x,IF(AND(_xlpm.x-SUM(IF((INDIRECT($B$3)=$B105)*(INDIRECT($C$3)=$D105)*((INDIRECT($E$3)="TOTS")+(INDIRECT($E$3)=$E105)),INDIRECT(Y$3)))&lt;&gt;0,_xlpm.y=0),-2,_xlpm.x)))),0))</f>
        <v>0</v>
      </c>
      <c r="Z105" s="198" t="str">
        <f t="shared" ca="1" si="2"/>
        <v>Fback!B105:Y105</v>
      </c>
    </row>
    <row r="106" spans="2:26" ht="21" customHeight="1" outlineLevel="1">
      <c r="B106" s="128" t="str">
        <v>31200</v>
      </c>
      <c r="C106" s="128" t="str">
        <v>Sp</v>
      </c>
      <c r="D106" s="128">
        <v>15</v>
      </c>
      <c r="E106" s="128" t="str">
        <v>TOOL</v>
      </c>
      <c r="F106" s="139" t="str">
        <v>SERRA</v>
      </c>
      <c r="G106" s="139" t="str">
        <v>CurPpto</v>
      </c>
      <c r="H106" s="139" t="str">
        <v>P013:OP-630.1 WELDING (REWELD)</v>
      </c>
      <c r="I106" s="199" cm="1">
        <f t="array" aca="1" ref="I106" ca="1">IF(OR($B106="",$B106="X",$D106="",$D106="X",$E106="",$E106="X"),0,IFERROR(_xlfn.LET(_xlpm.x,SUM(SUM(_xlfn._xlws.FILTER(VALUE(PptoSty[Sign]&amp;1)*(1/PptoSty[Division]),(PptoSty[Division]&lt;&gt;0)*(PptoSty[Division]&lt;&gt;"")*(PptoSty[Division]&lt;&gt;"X")*(PptoSty[Project]=$B106)*(PptoSty[Vrs]=$D106)*(PptoSty[PiRow]=_xlfn.TEXTAFTER($H106,":"))*(PptoSty[PiColumn]=I$54),0)),SUM(IF((INDIRECT($B$3)=$B106)*(INDIRECT($C$3)=$D106)*((INDIRECT($E$3)="TOTS")+(INDIRECT($E$3)=$E106)),INDIRECT(I$3)))),_xlpm.y,SUM(_xlfn.CHOOSECOLS(_xlfn._xlws.FILTER(F_RT14[],(F_RT14[PrjId]=$B106)*(F_RT14[Vrs]=$D106)*(_xlfn.TEXTAFTER(F_RT14[ActGrp],":")=_xlfn.TEXTAFTER($H106,":")),"X"),MATCH("*"&amp;I$54,F_RT14[#Headers],0))),IF(AND(_xlpm.x=0,_xlpm.y&lt;&gt;0),-1,IF(AND(_xlpm.x&lt;&gt;0,_xlpm.y&lt;&gt;0),_xlpm.x,IF(AND(_xlpm.x-SUM(IF((INDIRECT($B$3)=$B106)*(INDIRECT($C$3)=$D106)*((INDIRECT($E$3)="TOTS")+(INDIRECT($E$3)=$E106)),INDIRECT(I$3)))&lt;&gt;0,_xlpm.y=0),-2,_xlpm.x)))),0))</f>
        <v>0</v>
      </c>
      <c r="J106" s="199" cm="1">
        <f t="array" aca="1" ref="J106" ca="1">IF(OR($B106="",$B106="X",$D106="",$D106="X",$E106="",$E106="X"),0,IFERROR(_xlfn.LET(_xlpm.x,SUM(SUM(_xlfn._xlws.FILTER(VALUE(PptoSty[Sign]&amp;1)*(1/PptoSty[Division]),(PptoSty[Division]&lt;&gt;0)*(PptoSty[Division]&lt;&gt;"")*(PptoSty[Division]&lt;&gt;"X")*(PptoSty[Project]=$B106)*(PptoSty[Vrs]=$D106)*(PptoSty[PiRow]=_xlfn.TEXTAFTER($H106,":"))*(PptoSty[PiColumn]=J$54),0)),SUM(IF((INDIRECT($B$3)=$B106)*(INDIRECT($C$3)=$D106)*((INDIRECT($E$3)="TOTS")+(INDIRECT($E$3)=$E106)),INDIRECT(J$3)))),_xlpm.y,SUM(_xlfn.CHOOSECOLS(_xlfn._xlws.FILTER(F_RT14[],(F_RT14[PrjId]=$B106)*(F_RT14[Vrs]=$D106)*(_xlfn.TEXTAFTER(F_RT14[ActGrp],":")=_xlfn.TEXTAFTER($H106,":")),"X"),MATCH("*"&amp;J$54,F_RT14[#Headers],0))),IF(AND(_xlpm.x=0,_xlpm.y&lt;&gt;0),-1,IF(AND(_xlpm.x&lt;&gt;0,_xlpm.y&lt;&gt;0),_xlpm.x,IF(AND(_xlpm.x-SUM(IF((INDIRECT($B$3)=$B106)*(INDIRECT($C$3)=$D106)*((INDIRECT($E$3)="TOTS")+(INDIRECT($E$3)=$E106)),INDIRECT(J$3)))&lt;&gt;0,_xlpm.y=0),-2,_xlpm.x)))),0))</f>
        <v>0</v>
      </c>
      <c r="K106" s="199" cm="1">
        <f t="array" aca="1" ref="K106" ca="1">IF(OR($B106="",$B106="X",$D106="",$D106="X",$E106="",$E106="X"),0,IFERROR(_xlfn.LET(_xlpm.x,SUM(SUM(_xlfn._xlws.FILTER(VALUE(PptoSty[Sign]&amp;1)*(1/PptoSty[Division]),(PptoSty[Division]&lt;&gt;0)*(PptoSty[Division]&lt;&gt;"")*(PptoSty[Division]&lt;&gt;"X")*(PptoSty[Project]=$B106)*(PptoSty[Vrs]=$D106)*(PptoSty[PiRow]=_xlfn.TEXTAFTER($H106,":"))*(PptoSty[PiColumn]=K$54),0)),SUM(IF((INDIRECT($B$3)=$B106)*(INDIRECT($C$3)=$D106)*((INDIRECT($E$3)="TOTS")+(INDIRECT($E$3)=$E106)),INDIRECT(K$3)))),_xlpm.y,SUM(_xlfn.CHOOSECOLS(_xlfn._xlws.FILTER(F_RT14[],(F_RT14[PrjId]=$B106)*(F_RT14[Vrs]=$D106)*(_xlfn.TEXTAFTER(F_RT14[ActGrp],":")=_xlfn.TEXTAFTER($H106,":")),"X"),MATCH("*"&amp;K$54,F_RT14[#Headers],0))),IF(AND(_xlpm.x=0,_xlpm.y&lt;&gt;0),-1,IF(AND(_xlpm.x&lt;&gt;0,_xlpm.y&lt;&gt;0),_xlpm.x,IF(AND(_xlpm.x-SUM(IF((INDIRECT($B$3)=$B106)*(INDIRECT($C$3)=$D106)*((INDIRECT($E$3)="TOTS")+(INDIRECT($E$3)=$E106)),INDIRECT(K$3)))&lt;&gt;0,_xlpm.y=0),-2,_xlpm.x)))),0))</f>
        <v>-1</v>
      </c>
      <c r="L106" s="199" cm="1">
        <f t="array" aca="1" ref="L106" ca="1">IF(OR($B106="",$B106="X",$D106="",$D106="X",$E106="",$E106="X"),0,IFERROR(_xlfn.LET(_xlpm.x,SUM(SUM(_xlfn._xlws.FILTER(VALUE(PptoSty[Sign]&amp;1)*(1/PptoSty[Division]),(PptoSty[Division]&lt;&gt;0)*(PptoSty[Division]&lt;&gt;"")*(PptoSty[Division]&lt;&gt;"X")*(PptoSty[Project]=$B106)*(PptoSty[Vrs]=$D106)*(PptoSty[PiRow]=_xlfn.TEXTAFTER($H106,":"))*(PptoSty[PiColumn]=L$54),0)),SUM(IF((INDIRECT($B$3)=$B106)*(INDIRECT($C$3)=$D106)*((INDIRECT($E$3)="TOTS")+(INDIRECT($E$3)=$E106)),INDIRECT(L$3)))),_xlpm.y,SUM(_xlfn.CHOOSECOLS(_xlfn._xlws.FILTER(F_RT14[],(F_RT14[PrjId]=$B106)*(F_RT14[Vrs]=$D106)*(_xlfn.TEXTAFTER(F_RT14[ActGrp],":")=_xlfn.TEXTAFTER($H106,":")),"X"),MATCH("*"&amp;L$54,F_RT14[#Headers],0))),IF(AND(_xlpm.x=0,_xlpm.y&lt;&gt;0),-1,IF(AND(_xlpm.x&lt;&gt;0,_xlpm.y&lt;&gt;0),_xlpm.x,IF(AND(_xlpm.x-SUM(IF((INDIRECT($B$3)=$B106)*(INDIRECT($C$3)=$D106)*((INDIRECT($E$3)="TOTS")+(INDIRECT($E$3)=$E106)),INDIRECT(L$3)))&lt;&gt;0,_xlpm.y=0),-2,_xlpm.x)))),0))</f>
        <v>0</v>
      </c>
      <c r="M106" s="199" cm="1">
        <f t="array" aca="1" ref="M106" ca="1">IF(OR($B106="",$B106="X",$D106="",$D106="X",$E106="",$E106="X"),0,IFERROR(_xlfn.LET(_xlpm.x,SUM(SUM(_xlfn._xlws.FILTER(VALUE(PptoSty[Sign]&amp;1)*(1/PptoSty[Division]),(PptoSty[Division]&lt;&gt;0)*(PptoSty[Division]&lt;&gt;"")*(PptoSty[Division]&lt;&gt;"X")*(PptoSty[Project]=$B106)*(PptoSty[Vrs]=$D106)*(PptoSty[PiRow]=_xlfn.TEXTAFTER($H106,":"))*(PptoSty[PiColumn]=M$54),0)),SUM(IF((INDIRECT($B$3)=$B106)*(INDIRECT($C$3)=$D106)*((INDIRECT($E$3)="TOTS")+(INDIRECT($E$3)=$E106)),INDIRECT(M$3)))),_xlpm.y,SUM(_xlfn.CHOOSECOLS(_xlfn._xlws.FILTER(F_RT14[],(F_RT14[PrjId]=$B106)*(F_RT14[Vrs]=$D106)*(_xlfn.TEXTAFTER(F_RT14[ActGrp],":")=_xlfn.TEXTAFTER($H106,":")),"X"),MATCH("*"&amp;M$54,F_RT14[#Headers],0))),IF(AND(_xlpm.x=0,_xlpm.y&lt;&gt;0),-1,IF(AND(_xlpm.x&lt;&gt;0,_xlpm.y&lt;&gt;0),_xlpm.x,IF(AND(_xlpm.x-SUM(IF((INDIRECT($B$3)=$B106)*(INDIRECT($C$3)=$D106)*((INDIRECT($E$3)="TOTS")+(INDIRECT($E$3)=$E106)),INDIRECT(M$3)))&lt;&gt;0,_xlpm.y=0),-2,_xlpm.x)))),0))</f>
        <v>0</v>
      </c>
      <c r="N106" s="199" cm="1">
        <f t="array" aca="1" ref="N106" ca="1">IF(OR($B106="",$B106="X",$D106="",$D106="X",$E106="",$E106="X"),0,IFERROR(_xlfn.LET(_xlpm.x,SUM(SUM(_xlfn._xlws.FILTER(VALUE(PptoSty[Sign]&amp;1)*(1/PptoSty[Division]),(PptoSty[Division]&lt;&gt;0)*(PptoSty[Division]&lt;&gt;"")*(PptoSty[Division]&lt;&gt;"X")*(PptoSty[Project]=$B106)*(PptoSty[Vrs]=$D106)*(PptoSty[PiRow]=_xlfn.TEXTAFTER($H106,":"))*(PptoSty[PiColumn]=N$54),0)),SUM(IF((INDIRECT($B$3)=$B106)*(INDIRECT($C$3)=$D106)*((INDIRECT($E$3)="TOTS")+(INDIRECT($E$3)=$E106)),INDIRECT(N$3)))),_xlpm.y,SUM(_xlfn.CHOOSECOLS(_xlfn._xlws.FILTER(F_RT14[],(F_RT14[PrjId]=$B106)*(F_RT14[Vrs]=$D106)*(_xlfn.TEXTAFTER(F_RT14[ActGrp],":")=_xlfn.TEXTAFTER($H106,":")),"X"),MATCH("*"&amp;N$54,F_RT14[#Headers],0))),IF(AND(_xlpm.x=0,_xlpm.y&lt;&gt;0),-1,IF(AND(_xlpm.x&lt;&gt;0,_xlpm.y&lt;&gt;0),_xlpm.x,IF(AND(_xlpm.x-SUM(IF((INDIRECT($B$3)=$B106)*(INDIRECT($C$3)=$D106)*((INDIRECT($E$3)="TOTS")+(INDIRECT($E$3)=$E106)),INDIRECT(N$3)))&lt;&gt;0,_xlpm.y=0),-2,_xlpm.x)))),0))</f>
        <v>-1</v>
      </c>
      <c r="O106" s="199" cm="1">
        <f t="array" aca="1" ref="O106" ca="1">IF(OR($B106="",$B106="X",$D106="",$D106="X",$E106="",$E106="X"),0,IFERROR(_xlfn.LET(_xlpm.x,SUM(SUM(_xlfn._xlws.FILTER(VALUE(PptoSty[Sign]&amp;1)*(1/PptoSty[Division]),(PptoSty[Division]&lt;&gt;0)*(PptoSty[Division]&lt;&gt;"")*(PptoSty[Division]&lt;&gt;"X")*(PptoSty[Project]=$B106)*(PptoSty[Vrs]=$D106)*(PptoSty[PiRow]=_xlfn.TEXTAFTER($H106,":"))*(PptoSty[PiColumn]=O$54),0)),SUM(IF((INDIRECT($B$3)=$B106)*(INDIRECT($C$3)=$D106)*((INDIRECT($E$3)="TOTS")+(INDIRECT($E$3)=$E106)),INDIRECT(O$3)))),_xlpm.y,SUM(_xlfn.CHOOSECOLS(_xlfn._xlws.FILTER(F_RT14[],(F_RT14[PrjId]=$B106)*(F_RT14[Vrs]=$D106)*(_xlfn.TEXTAFTER(F_RT14[ActGrp],":")=_xlfn.TEXTAFTER($H106,":")),"X"),MATCH("*"&amp;O$54,F_RT14[#Headers],0))),IF(AND(_xlpm.x=0,_xlpm.y&lt;&gt;0),-1,IF(AND(_xlpm.x&lt;&gt;0,_xlpm.y&lt;&gt;0),_xlpm.x,IF(AND(_xlpm.x-SUM(IF((INDIRECT($B$3)=$B106)*(INDIRECT($C$3)=$D106)*((INDIRECT($E$3)="TOTS")+(INDIRECT($E$3)=$E106)),INDIRECT(O$3)))&lt;&gt;0,_xlpm.y=0),-2,_xlpm.x)))),0))</f>
        <v>0</v>
      </c>
      <c r="P106" s="199" cm="1">
        <f t="array" aca="1" ref="P106" ca="1">IF(OR($B106="",$B106="X",$D106="",$D106="X",$E106="",$E106="X"),0,IFERROR(_xlfn.LET(_xlpm.x,SUM(SUM(_xlfn._xlws.FILTER(VALUE(PptoSty[Sign]&amp;1)*(1/PptoSty[Division]),(PptoSty[Division]&lt;&gt;0)*(PptoSty[Division]&lt;&gt;"")*(PptoSty[Division]&lt;&gt;"X")*(PptoSty[Project]=$B106)*(PptoSty[Vrs]=$D106)*(PptoSty[PiRow]=_xlfn.TEXTAFTER($H106,":"))*(PptoSty[PiColumn]=P$54),0)),SUM(IF((INDIRECT($B$3)=$B106)*(INDIRECT($C$3)=$D106)*((INDIRECT($E$3)="TOTS")+(INDIRECT($E$3)=$E106)),INDIRECT(P$3)))),_xlpm.y,SUM(_xlfn.CHOOSECOLS(_xlfn._xlws.FILTER(F_RT14[],(F_RT14[PrjId]=$B106)*(F_RT14[Vrs]=$D106)*(_xlfn.TEXTAFTER(F_RT14[ActGrp],":")=_xlfn.TEXTAFTER($H106,":")),"X"),MATCH("*"&amp;P$54,F_RT14[#Headers],0))),IF(AND(_xlpm.x=0,_xlpm.y&lt;&gt;0),-1,IF(AND(_xlpm.x&lt;&gt;0,_xlpm.y&lt;&gt;0),_xlpm.x,IF(AND(_xlpm.x-SUM(IF((INDIRECT($B$3)=$B106)*(INDIRECT($C$3)=$D106)*((INDIRECT($E$3)="TOTS")+(INDIRECT($E$3)=$E106)),INDIRECT(P$3)))&lt;&gt;0,_xlpm.y=0),-2,_xlpm.x)))),0))</f>
        <v>-1</v>
      </c>
      <c r="Q106" s="199" cm="1">
        <f t="array" aca="1" ref="Q106" ca="1">IF(OR($B106="",$B106="X",$D106="",$D106="X",$E106="",$E106="X"),0,IFERROR(_xlfn.LET(_xlpm.x,SUM(SUM(_xlfn._xlws.FILTER(VALUE(PptoSty[Sign]&amp;1)*(1/PptoSty[Division]),(PptoSty[Division]&lt;&gt;0)*(PptoSty[Division]&lt;&gt;"")*(PptoSty[Division]&lt;&gt;"X")*(PptoSty[Project]=$B106)*(PptoSty[Vrs]=$D106)*(PptoSty[PiRow]=_xlfn.TEXTAFTER($H106,":"))*(PptoSty[PiColumn]=Q$54),0)),SUM(IF((INDIRECT($B$3)=$B106)*(INDIRECT($C$3)=$D106)*((INDIRECT($E$3)="TOTS")+(INDIRECT($E$3)=$E106)),INDIRECT(Q$3)))),_xlpm.y,SUM(_xlfn.CHOOSECOLS(_xlfn._xlws.FILTER(F_RT14[],(F_RT14[PrjId]=$B106)*(F_RT14[Vrs]=$D106)*(_xlfn.TEXTAFTER(F_RT14[ActGrp],":")=_xlfn.TEXTAFTER($H106,":")),"X"),MATCH("*"&amp;Q$54,F_RT14[#Headers],0))),IF(AND(_xlpm.x=0,_xlpm.y&lt;&gt;0),-1,IF(AND(_xlpm.x&lt;&gt;0,_xlpm.y&lt;&gt;0),_xlpm.x,IF(AND(_xlpm.x-SUM(IF((INDIRECT($B$3)=$B106)*(INDIRECT($C$3)=$D106)*((INDIRECT($E$3)="TOTS")+(INDIRECT($E$3)=$E106)),INDIRECT(Q$3)))&lt;&gt;0,_xlpm.y=0),-2,_xlpm.x)))),0))</f>
        <v>-1</v>
      </c>
      <c r="R106" s="199" cm="1">
        <f t="array" aca="1" ref="R106" ca="1">IF(OR($B106="",$B106="X",$D106="",$D106="X",$E106="",$E106="X"),0,IFERROR(_xlfn.LET(_xlpm.x,SUM(SUM(_xlfn._xlws.FILTER(VALUE(PptoSty[Sign]&amp;1)*(1/PptoSty[Division]),(PptoSty[Division]&lt;&gt;0)*(PptoSty[Division]&lt;&gt;"")*(PptoSty[Division]&lt;&gt;"X")*(PptoSty[Project]=$B106)*(PptoSty[Vrs]=$D106)*(PptoSty[PiRow]=_xlfn.TEXTAFTER($H106,":"))*(PptoSty[PiColumn]=R$54),0)),SUM(IF((INDIRECT($B$3)=$B106)*(INDIRECT($C$3)=$D106)*((INDIRECT($E$3)="TOTS")+(INDIRECT($E$3)=$E106)),INDIRECT(R$3)))),_xlpm.y,SUM(_xlfn.CHOOSECOLS(_xlfn._xlws.FILTER(F_RT14[],(F_RT14[PrjId]=$B106)*(F_RT14[Vrs]=$D106)*(_xlfn.TEXTAFTER(F_RT14[ActGrp],":")=_xlfn.TEXTAFTER($H106,":")),"X"),MATCH("*"&amp;R$54,F_RT14[#Headers],0))),IF(AND(_xlpm.x=0,_xlpm.y&lt;&gt;0),-1,IF(AND(_xlpm.x&lt;&gt;0,_xlpm.y&lt;&gt;0),_xlpm.x,IF(AND(_xlpm.x-SUM(IF((INDIRECT($B$3)=$B106)*(INDIRECT($C$3)=$D106)*((INDIRECT($E$3)="TOTS")+(INDIRECT($E$3)=$E106)),INDIRECT(R$3)))&lt;&gt;0,_xlpm.y=0),-2,_xlpm.x)))),0))</f>
        <v>-1</v>
      </c>
      <c r="S106" s="199" cm="1">
        <f t="array" aca="1" ref="S106" ca="1">IF(OR($B106="",$B106="X",$D106="",$D106="X",$E106="",$E106="X"),0,IFERROR(_xlfn.LET(_xlpm.x,SUM(SUM(_xlfn._xlws.FILTER(VALUE(PptoSty[Sign]&amp;1)*(1/PptoSty[Division]),(PptoSty[Division]&lt;&gt;0)*(PptoSty[Division]&lt;&gt;"")*(PptoSty[Division]&lt;&gt;"X")*(PptoSty[Project]=$B106)*(PptoSty[Vrs]=$D106)*(PptoSty[PiRow]=_xlfn.TEXTAFTER($H106,":"))*(PptoSty[PiColumn]=S$54),0)),SUM(IF((INDIRECT($B$3)=$B106)*(INDIRECT($C$3)=$D106)*((INDIRECT($E$3)="TOTS")+(INDIRECT($E$3)=$E106)),INDIRECT(S$3)))),_xlpm.y,SUM(_xlfn.CHOOSECOLS(_xlfn._xlws.FILTER(F_RT14[],(F_RT14[PrjId]=$B106)*(F_RT14[Vrs]=$D106)*(_xlfn.TEXTAFTER(F_RT14[ActGrp],":")=_xlfn.TEXTAFTER($H106,":")),"X"),MATCH("*"&amp;S$54,F_RT14[#Headers],0))),IF(AND(_xlpm.x=0,_xlpm.y&lt;&gt;0),-1,IF(AND(_xlpm.x&lt;&gt;0,_xlpm.y&lt;&gt;0),_xlpm.x,IF(AND(_xlpm.x-SUM(IF((INDIRECT($B$3)=$B106)*(INDIRECT($C$3)=$D106)*((INDIRECT($E$3)="TOTS")+(INDIRECT($E$3)=$E106)),INDIRECT(S$3)))&lt;&gt;0,_xlpm.y=0),-2,_xlpm.x)))),0))</f>
        <v>-1</v>
      </c>
      <c r="T106" s="199" cm="1">
        <f t="array" aca="1" ref="T106" ca="1">IF(OR($B106="",$B106="X",$D106="",$D106="X",$E106="",$E106="X"),0,IFERROR(_xlfn.LET(_xlpm.x,SUM(SUM(_xlfn._xlws.FILTER(VALUE(PptoSty[Sign]&amp;1)*(1/PptoSty[Division]),(PptoSty[Division]&lt;&gt;0)*(PptoSty[Division]&lt;&gt;"")*(PptoSty[Division]&lt;&gt;"X")*(PptoSty[Project]=$B106)*(PptoSty[Vrs]=$D106)*(PptoSty[PiRow]=_xlfn.TEXTAFTER($H106,":"))*(PptoSty[PiColumn]=T$54),0)),SUM(IF((INDIRECT($B$3)=$B106)*(INDIRECT($C$3)=$D106)*((INDIRECT($E$3)="TOTS")+(INDIRECT($E$3)=$E106)),INDIRECT(T$3)))),_xlpm.y,SUM(_xlfn.CHOOSECOLS(_xlfn._xlws.FILTER(F_RT14[],(F_RT14[PrjId]=$B106)*(F_RT14[Vrs]=$D106)*(_xlfn.TEXTAFTER(F_RT14[ActGrp],":")=_xlfn.TEXTAFTER($H106,":")),"X"),MATCH("*"&amp;T$54,F_RT14[#Headers],0))),IF(AND(_xlpm.x=0,_xlpm.y&lt;&gt;0),-1,IF(AND(_xlpm.x&lt;&gt;0,_xlpm.y&lt;&gt;0),_xlpm.x,IF(AND(_xlpm.x-SUM(IF((INDIRECT($B$3)=$B106)*(INDIRECT($C$3)=$D106)*((INDIRECT($E$3)="TOTS")+(INDIRECT($E$3)=$E106)),INDIRECT(T$3)))&lt;&gt;0,_xlpm.y=0),-2,_xlpm.x)))),0))</f>
        <v>-1</v>
      </c>
      <c r="U106" s="199" cm="1">
        <f t="array" aca="1" ref="U106" ca="1">IF(OR($B106="",$B106="X",$D106="",$D106="X",$E106="",$E106="X"),0,IFERROR(_xlfn.LET(_xlpm.x,SUM(SUM(_xlfn._xlws.FILTER(VALUE(PptoSty[Sign]&amp;1)*(1/PptoSty[Division]),(PptoSty[Division]&lt;&gt;0)*(PptoSty[Division]&lt;&gt;"")*(PptoSty[Division]&lt;&gt;"X")*(PptoSty[Project]=$B106)*(PptoSty[Vrs]=$D106)*(PptoSty[PiRow]=_xlfn.TEXTAFTER($H106,":"))*(PptoSty[PiColumn]=U$54),0)),SUM(IF((INDIRECT($B$3)=$B106)*(INDIRECT($C$3)=$D106)*((INDIRECT($E$3)="TOTS")+(INDIRECT($E$3)=$E106)),INDIRECT(U$3)))),_xlpm.y,SUM(_xlfn.CHOOSECOLS(_xlfn._xlws.FILTER(F_RT14[],(F_RT14[PrjId]=$B106)*(F_RT14[Vrs]=$D106)*(_xlfn.TEXTAFTER(F_RT14[ActGrp],":")=_xlfn.TEXTAFTER($H106,":")),"X"),MATCH("*"&amp;U$54,F_RT14[#Headers],0))),IF(AND(_xlpm.x=0,_xlpm.y&lt;&gt;0),-1,IF(AND(_xlpm.x&lt;&gt;0,_xlpm.y&lt;&gt;0),_xlpm.x,IF(AND(_xlpm.x-SUM(IF((INDIRECT($B$3)=$B106)*(INDIRECT($C$3)=$D106)*((INDIRECT($E$3)="TOTS")+(INDIRECT($E$3)=$E106)),INDIRECT(U$3)))&lt;&gt;0,_xlpm.y=0),-2,_xlpm.x)))),0))</f>
        <v>0</v>
      </c>
      <c r="V106" s="199" cm="1">
        <f t="array" aca="1" ref="V106" ca="1">IF(OR($B106="",$B106="X",$D106="",$D106="X",$E106="",$E106="X"),0,IFERROR(_xlfn.LET(_xlpm.x,SUM(SUM(_xlfn._xlws.FILTER(VALUE(PptoSty[Sign]&amp;1)*(1/PptoSty[Division]),(PptoSty[Division]&lt;&gt;0)*(PptoSty[Division]&lt;&gt;"")*(PptoSty[Division]&lt;&gt;"X")*(PptoSty[Project]=$B106)*(PptoSty[Vrs]=$D106)*(PptoSty[PiRow]=_xlfn.TEXTAFTER($H106,":"))*(PptoSty[PiColumn]=V$54),0)),SUM(IF((INDIRECT($B$3)=$B106)*(INDIRECT($C$3)=$D106)*((INDIRECT($E$3)="TOTS")+(INDIRECT($E$3)=$E106)),INDIRECT(V$3)))),_xlpm.y,SUM(_xlfn.CHOOSECOLS(_xlfn._xlws.FILTER(F_RT14[],(F_RT14[PrjId]=$B106)*(F_RT14[Vrs]=$D106)*(_xlfn.TEXTAFTER(F_RT14[ActGrp],":")=_xlfn.TEXTAFTER($H106,":")),"X"),MATCH("*"&amp;V$54,F_RT14[#Headers],0))),IF(AND(_xlpm.x=0,_xlpm.y&lt;&gt;0),-1,IF(AND(_xlpm.x&lt;&gt;0,_xlpm.y&lt;&gt;0),_xlpm.x,IF(AND(_xlpm.x-SUM(IF((INDIRECT($B$3)=$B106)*(INDIRECT($C$3)=$D106)*((INDIRECT($E$3)="TOTS")+(INDIRECT($E$3)=$E106)),INDIRECT(V$3)))&lt;&gt;0,_xlpm.y=0),-2,_xlpm.x)))),0))</f>
        <v>-1</v>
      </c>
      <c r="W106" s="199" cm="1">
        <f t="array" aca="1" ref="W106" ca="1">IF(OR($B106="",$B106="X",$D106="",$D106="X",$E106="",$E106="X"),0,IFERROR(_xlfn.LET(_xlpm.x,SUM(SUM(_xlfn._xlws.FILTER(VALUE(PptoSty[Sign]&amp;1)*(1/PptoSty[Division]),(PptoSty[Division]&lt;&gt;0)*(PptoSty[Division]&lt;&gt;"")*(PptoSty[Division]&lt;&gt;"X")*(PptoSty[Project]=$B106)*(PptoSty[Vrs]=$D106)*(PptoSty[PiRow]=_xlfn.TEXTAFTER($H106,":"))*(PptoSty[PiColumn]=W$54),0)),SUM(IF((INDIRECT($B$3)=$B106)*(INDIRECT($C$3)=$D106)*((INDIRECT($E$3)="TOTS")+(INDIRECT($E$3)=$E106)),INDIRECT(W$3)))),_xlpm.y,SUM(_xlfn.CHOOSECOLS(_xlfn._xlws.FILTER(F_RT14[],(F_RT14[PrjId]=$B106)*(F_RT14[Vrs]=$D106)*(_xlfn.TEXTAFTER(F_RT14[ActGrp],":")=_xlfn.TEXTAFTER($H106,":")),"X"),MATCH("*"&amp;W$54,F_RT14[#Headers],0))),IF(AND(_xlpm.x=0,_xlpm.y&lt;&gt;0),-1,IF(AND(_xlpm.x&lt;&gt;0,_xlpm.y&lt;&gt;0),_xlpm.x,IF(AND(_xlpm.x-SUM(IF((INDIRECT($B$3)=$B106)*(INDIRECT($C$3)=$D106)*((INDIRECT($E$3)="TOTS")+(INDIRECT($E$3)=$E106)),INDIRECT(W$3)))&lt;&gt;0,_xlpm.y=0),-2,_xlpm.x)))),0))</f>
        <v>-1</v>
      </c>
      <c r="X106" s="199" cm="1">
        <f t="array" aca="1" ref="X106" ca="1">IF(OR($B106="",$B106="X",$D106="",$D106="X",$E106="",$E106="X"),0,IFERROR(_xlfn.LET(_xlpm.x,SUM(SUM(_xlfn._xlws.FILTER(VALUE(PptoSty[Sign]&amp;1)*(1/PptoSty[Division]),(PptoSty[Division]&lt;&gt;0)*(PptoSty[Division]&lt;&gt;"")*(PptoSty[Division]&lt;&gt;"X")*(PptoSty[Project]=$B106)*(PptoSty[Vrs]=$D106)*(PptoSty[PiRow]=_xlfn.TEXTAFTER($H106,":"))*(PptoSty[PiColumn]=X$54),0)),SUM(IF((INDIRECT($B$3)=$B106)*(INDIRECT($C$3)=$D106)*((INDIRECT($E$3)="TOTS")+(INDIRECT($E$3)=$E106)),INDIRECT(X$3)))),_xlpm.y,SUM(_xlfn.CHOOSECOLS(_xlfn._xlws.FILTER(F_RT14[],(F_RT14[PrjId]=$B106)*(F_RT14[Vrs]=$D106)*(_xlfn.TEXTAFTER(F_RT14[ActGrp],":")=_xlfn.TEXTAFTER($H106,":")),"X"),MATCH("*"&amp;X$54,F_RT14[#Headers],0))),IF(AND(_xlpm.x=0,_xlpm.y&lt;&gt;0),-1,IF(AND(_xlpm.x&lt;&gt;0,_xlpm.y&lt;&gt;0),_xlpm.x,IF(AND(_xlpm.x-SUM(IF((INDIRECT($B$3)=$B106)*(INDIRECT($C$3)=$D106)*((INDIRECT($E$3)="TOTS")+(INDIRECT($E$3)=$E106)),INDIRECT(X$3)))&lt;&gt;0,_xlpm.y=0),-2,_xlpm.x)))),0))</f>
        <v>-1</v>
      </c>
      <c r="Y106" s="199" cm="1">
        <f t="array" aca="1" ref="Y106" ca="1">IF(OR($B106="",$B106="X",$D106="",$D106="X",$E106="",$E106="X"),0,IFERROR(_xlfn.LET(_xlpm.x,SUM(SUM(_xlfn._xlws.FILTER(VALUE(PptoSty[Sign]&amp;1)*(1/PptoSty[Division]),(PptoSty[Division]&lt;&gt;0)*(PptoSty[Division]&lt;&gt;"")*(PptoSty[Division]&lt;&gt;"X")*(PptoSty[Project]=$B106)*(PptoSty[Vrs]=$D106)*(PptoSty[PiRow]=_xlfn.TEXTAFTER($H106,":"))*(PptoSty[PiColumn]=Y$54),0)),SUM(IF((INDIRECT($B$3)=$B106)*(INDIRECT($C$3)=$D106)*((INDIRECT($E$3)="TOTS")+(INDIRECT($E$3)=$E106)),INDIRECT(Y$3)))),_xlpm.y,SUM(_xlfn.CHOOSECOLS(_xlfn._xlws.FILTER(F_RT14[],(F_RT14[PrjId]=$B106)*(F_RT14[Vrs]=$D106)*(_xlfn.TEXTAFTER(F_RT14[ActGrp],":")=_xlfn.TEXTAFTER($H106,":")),"X"),MATCH("*"&amp;Y$54,F_RT14[#Headers],0))),IF(AND(_xlpm.x=0,_xlpm.y&lt;&gt;0),-1,IF(AND(_xlpm.x&lt;&gt;0,_xlpm.y&lt;&gt;0),_xlpm.x,IF(AND(_xlpm.x-SUM(IF((INDIRECT($B$3)=$B106)*(INDIRECT($C$3)=$D106)*((INDIRECT($E$3)="TOTS")+(INDIRECT($E$3)=$E106)),INDIRECT(Y$3)))&lt;&gt;0,_xlpm.y=0),-2,_xlpm.x)))),0))</f>
        <v>0</v>
      </c>
      <c r="Z106" s="198" t="str">
        <f t="shared" ca="1" si="2"/>
        <v>Fback!B106:Y106</v>
      </c>
    </row>
    <row r="107" spans="2:26" ht="21" customHeight="1" outlineLevel="1">
      <c r="B107" s="128" t="str">
        <v>31199</v>
      </c>
      <c r="C107" s="128" t="str">
        <v>Sp</v>
      </c>
      <c r="D107" s="128">
        <v>0</v>
      </c>
      <c r="E107" s="128" t="str">
        <v>TOOL</v>
      </c>
      <c r="F107" s="139" t="str">
        <v>SERRA</v>
      </c>
      <c r="G107" s="139" t="str">
        <v>CurPpto</v>
      </c>
      <c r="H107" s="139" t="str">
        <v>P013:FIXTURE OP-530 REWELD</v>
      </c>
      <c r="I107" s="199" cm="1">
        <f t="array" aca="1" ref="I107" ca="1">IF(OR($B107="",$B107="X",$D107="",$D107="X",$E107="",$E107="X"),0,IFERROR(_xlfn.LET(_xlpm.x,SUM(SUM(_xlfn._xlws.FILTER(VALUE(PptoSty[Sign]&amp;1)*(1/PptoSty[Division]),(PptoSty[Division]&lt;&gt;0)*(PptoSty[Division]&lt;&gt;"")*(PptoSty[Division]&lt;&gt;"X")*(PptoSty[Project]=$B107)*(PptoSty[Vrs]=$D107)*(PptoSty[PiRow]=_xlfn.TEXTAFTER($H107,":"))*(PptoSty[PiColumn]=I$54),0)),SUM(IF((INDIRECT($B$3)=$B107)*(INDIRECT($C$3)=$D107)*((INDIRECT($E$3)="TOTS")+(INDIRECT($E$3)=$E107)),INDIRECT(I$3)))),_xlpm.y,SUM(_xlfn.CHOOSECOLS(_xlfn._xlws.FILTER(F_RT14[],(F_RT14[PrjId]=$B107)*(F_RT14[Vrs]=$D107)*(_xlfn.TEXTAFTER(F_RT14[ActGrp],":")=_xlfn.TEXTAFTER($H107,":")),"X"),MATCH("*"&amp;I$54,F_RT14[#Headers],0))),IF(AND(_xlpm.x=0,_xlpm.y&lt;&gt;0),-1,IF(AND(_xlpm.x&lt;&gt;0,_xlpm.y&lt;&gt;0),_xlpm.x,IF(AND(_xlpm.x-SUM(IF((INDIRECT($B$3)=$B107)*(INDIRECT($C$3)=$D107)*((INDIRECT($E$3)="TOTS")+(INDIRECT($E$3)=$E107)),INDIRECT(I$3)))&lt;&gt;0,_xlpm.y=0),-2,_xlpm.x)))),0))</f>
        <v>0</v>
      </c>
      <c r="J107" s="199" cm="1">
        <f t="array" aca="1" ref="J107" ca="1">IF(OR($B107="",$B107="X",$D107="",$D107="X",$E107="",$E107="X"),0,IFERROR(_xlfn.LET(_xlpm.x,SUM(SUM(_xlfn._xlws.FILTER(VALUE(PptoSty[Sign]&amp;1)*(1/PptoSty[Division]),(PptoSty[Division]&lt;&gt;0)*(PptoSty[Division]&lt;&gt;"")*(PptoSty[Division]&lt;&gt;"X")*(PptoSty[Project]=$B107)*(PptoSty[Vrs]=$D107)*(PptoSty[PiRow]=_xlfn.TEXTAFTER($H107,":"))*(PptoSty[PiColumn]=J$54),0)),SUM(IF((INDIRECT($B$3)=$B107)*(INDIRECT($C$3)=$D107)*((INDIRECT($E$3)="TOTS")+(INDIRECT($E$3)=$E107)),INDIRECT(J$3)))),_xlpm.y,SUM(_xlfn.CHOOSECOLS(_xlfn._xlws.FILTER(F_RT14[],(F_RT14[PrjId]=$B107)*(F_RT14[Vrs]=$D107)*(_xlfn.TEXTAFTER(F_RT14[ActGrp],":")=_xlfn.TEXTAFTER($H107,":")),"X"),MATCH("*"&amp;J$54,F_RT14[#Headers],0))),IF(AND(_xlpm.x=0,_xlpm.y&lt;&gt;0),-1,IF(AND(_xlpm.x&lt;&gt;0,_xlpm.y&lt;&gt;0),_xlpm.x,IF(AND(_xlpm.x-SUM(IF((INDIRECT($B$3)=$B107)*(INDIRECT($C$3)=$D107)*((INDIRECT($E$3)="TOTS")+(INDIRECT($E$3)=$E107)),INDIRECT(J$3)))&lt;&gt;0,_xlpm.y=0),-2,_xlpm.x)))),0))</f>
        <v>0</v>
      </c>
      <c r="K107" s="199" cm="1">
        <f t="array" aca="1" ref="K107" ca="1">IF(OR($B107="",$B107="X",$D107="",$D107="X",$E107="",$E107="X"),0,IFERROR(_xlfn.LET(_xlpm.x,SUM(SUM(_xlfn._xlws.FILTER(VALUE(PptoSty[Sign]&amp;1)*(1/PptoSty[Division]),(PptoSty[Division]&lt;&gt;0)*(PptoSty[Division]&lt;&gt;"")*(PptoSty[Division]&lt;&gt;"X")*(PptoSty[Project]=$B107)*(PptoSty[Vrs]=$D107)*(PptoSty[PiRow]=_xlfn.TEXTAFTER($H107,":"))*(PptoSty[PiColumn]=K$54),0)),SUM(IF((INDIRECT($B$3)=$B107)*(INDIRECT($C$3)=$D107)*((INDIRECT($E$3)="TOTS")+(INDIRECT($E$3)=$E107)),INDIRECT(K$3)))),_xlpm.y,SUM(_xlfn.CHOOSECOLS(_xlfn._xlws.FILTER(F_RT14[],(F_RT14[PrjId]=$B107)*(F_RT14[Vrs]=$D107)*(_xlfn.TEXTAFTER(F_RT14[ActGrp],":")=_xlfn.TEXTAFTER($H107,":")),"X"),MATCH("*"&amp;K$54,F_RT14[#Headers],0))),IF(AND(_xlpm.x=0,_xlpm.y&lt;&gt;0),-1,IF(AND(_xlpm.x&lt;&gt;0,_xlpm.y&lt;&gt;0),_xlpm.x,IF(AND(_xlpm.x-SUM(IF((INDIRECT($B$3)=$B107)*(INDIRECT($C$3)=$D107)*((INDIRECT($E$3)="TOTS")+(INDIRECT($E$3)=$E107)),INDIRECT(K$3)))&lt;&gt;0,_xlpm.y=0),-2,_xlpm.x)))),0))</f>
        <v>-1</v>
      </c>
      <c r="L107" s="199" cm="1">
        <f t="array" aca="1" ref="L107" ca="1">IF(OR($B107="",$B107="X",$D107="",$D107="X",$E107="",$E107="X"),0,IFERROR(_xlfn.LET(_xlpm.x,SUM(SUM(_xlfn._xlws.FILTER(VALUE(PptoSty[Sign]&amp;1)*(1/PptoSty[Division]),(PptoSty[Division]&lt;&gt;0)*(PptoSty[Division]&lt;&gt;"")*(PptoSty[Division]&lt;&gt;"X")*(PptoSty[Project]=$B107)*(PptoSty[Vrs]=$D107)*(PptoSty[PiRow]=_xlfn.TEXTAFTER($H107,":"))*(PptoSty[PiColumn]=L$54),0)),SUM(IF((INDIRECT($B$3)=$B107)*(INDIRECT($C$3)=$D107)*((INDIRECT($E$3)="TOTS")+(INDIRECT($E$3)=$E107)),INDIRECT(L$3)))),_xlpm.y,SUM(_xlfn.CHOOSECOLS(_xlfn._xlws.FILTER(F_RT14[],(F_RT14[PrjId]=$B107)*(F_RT14[Vrs]=$D107)*(_xlfn.TEXTAFTER(F_RT14[ActGrp],":")=_xlfn.TEXTAFTER($H107,":")),"X"),MATCH("*"&amp;L$54,F_RT14[#Headers],0))),IF(AND(_xlpm.x=0,_xlpm.y&lt;&gt;0),-1,IF(AND(_xlpm.x&lt;&gt;0,_xlpm.y&lt;&gt;0),_xlpm.x,IF(AND(_xlpm.x-SUM(IF((INDIRECT($B$3)=$B107)*(INDIRECT($C$3)=$D107)*((INDIRECT($E$3)="TOTS")+(INDIRECT($E$3)=$E107)),INDIRECT(L$3)))&lt;&gt;0,_xlpm.y=0),-2,_xlpm.x)))),0))</f>
        <v>0</v>
      </c>
      <c r="M107" s="199" cm="1">
        <f t="array" aca="1" ref="M107" ca="1">IF(OR($B107="",$B107="X",$D107="",$D107="X",$E107="",$E107="X"),0,IFERROR(_xlfn.LET(_xlpm.x,SUM(SUM(_xlfn._xlws.FILTER(VALUE(PptoSty[Sign]&amp;1)*(1/PptoSty[Division]),(PptoSty[Division]&lt;&gt;0)*(PptoSty[Division]&lt;&gt;"")*(PptoSty[Division]&lt;&gt;"X")*(PptoSty[Project]=$B107)*(PptoSty[Vrs]=$D107)*(PptoSty[PiRow]=_xlfn.TEXTAFTER($H107,":"))*(PptoSty[PiColumn]=M$54),0)),SUM(IF((INDIRECT($B$3)=$B107)*(INDIRECT($C$3)=$D107)*((INDIRECT($E$3)="TOTS")+(INDIRECT($E$3)=$E107)),INDIRECT(M$3)))),_xlpm.y,SUM(_xlfn.CHOOSECOLS(_xlfn._xlws.FILTER(F_RT14[],(F_RT14[PrjId]=$B107)*(F_RT14[Vrs]=$D107)*(_xlfn.TEXTAFTER(F_RT14[ActGrp],":")=_xlfn.TEXTAFTER($H107,":")),"X"),MATCH("*"&amp;M$54,F_RT14[#Headers],0))),IF(AND(_xlpm.x=0,_xlpm.y&lt;&gt;0),-1,IF(AND(_xlpm.x&lt;&gt;0,_xlpm.y&lt;&gt;0),_xlpm.x,IF(AND(_xlpm.x-SUM(IF((INDIRECT($B$3)=$B107)*(INDIRECT($C$3)=$D107)*((INDIRECT($E$3)="TOTS")+(INDIRECT($E$3)=$E107)),INDIRECT(M$3)))&lt;&gt;0,_xlpm.y=0),-2,_xlpm.x)))),0))</f>
        <v>0</v>
      </c>
      <c r="N107" s="199" cm="1">
        <f t="array" aca="1" ref="N107" ca="1">IF(OR($B107="",$B107="X",$D107="",$D107="X",$E107="",$E107="X"),0,IFERROR(_xlfn.LET(_xlpm.x,SUM(SUM(_xlfn._xlws.FILTER(VALUE(PptoSty[Sign]&amp;1)*(1/PptoSty[Division]),(PptoSty[Division]&lt;&gt;0)*(PptoSty[Division]&lt;&gt;"")*(PptoSty[Division]&lt;&gt;"X")*(PptoSty[Project]=$B107)*(PptoSty[Vrs]=$D107)*(PptoSty[PiRow]=_xlfn.TEXTAFTER($H107,":"))*(PptoSty[PiColumn]=N$54),0)),SUM(IF((INDIRECT($B$3)=$B107)*(INDIRECT($C$3)=$D107)*((INDIRECT($E$3)="TOTS")+(INDIRECT($E$3)=$E107)),INDIRECT(N$3)))),_xlpm.y,SUM(_xlfn.CHOOSECOLS(_xlfn._xlws.FILTER(F_RT14[],(F_RT14[PrjId]=$B107)*(F_RT14[Vrs]=$D107)*(_xlfn.TEXTAFTER(F_RT14[ActGrp],":")=_xlfn.TEXTAFTER($H107,":")),"X"),MATCH("*"&amp;N$54,F_RT14[#Headers],0))),IF(AND(_xlpm.x=0,_xlpm.y&lt;&gt;0),-1,IF(AND(_xlpm.x&lt;&gt;0,_xlpm.y&lt;&gt;0),_xlpm.x,IF(AND(_xlpm.x-SUM(IF((INDIRECT($B$3)=$B107)*(INDIRECT($C$3)=$D107)*((INDIRECT($E$3)="TOTS")+(INDIRECT($E$3)=$E107)),INDIRECT(N$3)))&lt;&gt;0,_xlpm.y=0),-2,_xlpm.x)))),0))</f>
        <v>-1</v>
      </c>
      <c r="O107" s="199" cm="1">
        <f t="array" aca="1" ref="O107" ca="1">IF(OR($B107="",$B107="X",$D107="",$D107="X",$E107="",$E107="X"),0,IFERROR(_xlfn.LET(_xlpm.x,SUM(SUM(_xlfn._xlws.FILTER(VALUE(PptoSty[Sign]&amp;1)*(1/PptoSty[Division]),(PptoSty[Division]&lt;&gt;0)*(PptoSty[Division]&lt;&gt;"")*(PptoSty[Division]&lt;&gt;"X")*(PptoSty[Project]=$B107)*(PptoSty[Vrs]=$D107)*(PptoSty[PiRow]=_xlfn.TEXTAFTER($H107,":"))*(PptoSty[PiColumn]=O$54),0)),SUM(IF((INDIRECT($B$3)=$B107)*(INDIRECT($C$3)=$D107)*((INDIRECT($E$3)="TOTS")+(INDIRECT($E$3)=$E107)),INDIRECT(O$3)))),_xlpm.y,SUM(_xlfn.CHOOSECOLS(_xlfn._xlws.FILTER(F_RT14[],(F_RT14[PrjId]=$B107)*(F_RT14[Vrs]=$D107)*(_xlfn.TEXTAFTER(F_RT14[ActGrp],":")=_xlfn.TEXTAFTER($H107,":")),"X"),MATCH("*"&amp;O$54,F_RT14[#Headers],0))),IF(AND(_xlpm.x=0,_xlpm.y&lt;&gt;0),-1,IF(AND(_xlpm.x&lt;&gt;0,_xlpm.y&lt;&gt;0),_xlpm.x,IF(AND(_xlpm.x-SUM(IF((INDIRECT($B$3)=$B107)*(INDIRECT($C$3)=$D107)*((INDIRECT($E$3)="TOTS")+(INDIRECT($E$3)=$E107)),INDIRECT(O$3)))&lt;&gt;0,_xlpm.y=0),-2,_xlpm.x)))),0))</f>
        <v>0</v>
      </c>
      <c r="P107" s="199" cm="1">
        <f t="array" aca="1" ref="P107" ca="1">IF(OR($B107="",$B107="X",$D107="",$D107="X",$E107="",$E107="X"),0,IFERROR(_xlfn.LET(_xlpm.x,SUM(SUM(_xlfn._xlws.FILTER(VALUE(PptoSty[Sign]&amp;1)*(1/PptoSty[Division]),(PptoSty[Division]&lt;&gt;0)*(PptoSty[Division]&lt;&gt;"")*(PptoSty[Division]&lt;&gt;"X")*(PptoSty[Project]=$B107)*(PptoSty[Vrs]=$D107)*(PptoSty[PiRow]=_xlfn.TEXTAFTER($H107,":"))*(PptoSty[PiColumn]=P$54),0)),SUM(IF((INDIRECT($B$3)=$B107)*(INDIRECT($C$3)=$D107)*((INDIRECT($E$3)="TOTS")+(INDIRECT($E$3)=$E107)),INDIRECT(P$3)))),_xlpm.y,SUM(_xlfn.CHOOSECOLS(_xlfn._xlws.FILTER(F_RT14[],(F_RT14[PrjId]=$B107)*(F_RT14[Vrs]=$D107)*(_xlfn.TEXTAFTER(F_RT14[ActGrp],":")=_xlfn.TEXTAFTER($H107,":")),"X"),MATCH("*"&amp;P$54,F_RT14[#Headers],0))),IF(AND(_xlpm.x=0,_xlpm.y&lt;&gt;0),-1,IF(AND(_xlpm.x&lt;&gt;0,_xlpm.y&lt;&gt;0),_xlpm.x,IF(AND(_xlpm.x-SUM(IF((INDIRECT($B$3)=$B107)*(INDIRECT($C$3)=$D107)*((INDIRECT($E$3)="TOTS")+(INDIRECT($E$3)=$E107)),INDIRECT(P$3)))&lt;&gt;0,_xlpm.y=0),-2,_xlpm.x)))),0))</f>
        <v>-1</v>
      </c>
      <c r="Q107" s="199" cm="1">
        <f t="array" aca="1" ref="Q107" ca="1">IF(OR($B107="",$B107="X",$D107="",$D107="X",$E107="",$E107="X"),0,IFERROR(_xlfn.LET(_xlpm.x,SUM(SUM(_xlfn._xlws.FILTER(VALUE(PptoSty[Sign]&amp;1)*(1/PptoSty[Division]),(PptoSty[Division]&lt;&gt;0)*(PptoSty[Division]&lt;&gt;"")*(PptoSty[Division]&lt;&gt;"X")*(PptoSty[Project]=$B107)*(PptoSty[Vrs]=$D107)*(PptoSty[PiRow]=_xlfn.TEXTAFTER($H107,":"))*(PptoSty[PiColumn]=Q$54),0)),SUM(IF((INDIRECT($B$3)=$B107)*(INDIRECT($C$3)=$D107)*((INDIRECT($E$3)="TOTS")+(INDIRECT($E$3)=$E107)),INDIRECT(Q$3)))),_xlpm.y,SUM(_xlfn.CHOOSECOLS(_xlfn._xlws.FILTER(F_RT14[],(F_RT14[PrjId]=$B107)*(F_RT14[Vrs]=$D107)*(_xlfn.TEXTAFTER(F_RT14[ActGrp],":")=_xlfn.TEXTAFTER($H107,":")),"X"),MATCH("*"&amp;Q$54,F_RT14[#Headers],0))),IF(AND(_xlpm.x=0,_xlpm.y&lt;&gt;0),-1,IF(AND(_xlpm.x&lt;&gt;0,_xlpm.y&lt;&gt;0),_xlpm.x,IF(AND(_xlpm.x-SUM(IF((INDIRECT($B$3)=$B107)*(INDIRECT($C$3)=$D107)*((INDIRECT($E$3)="TOTS")+(INDIRECT($E$3)=$E107)),INDIRECT(Q$3)))&lt;&gt;0,_xlpm.y=0),-2,_xlpm.x)))),0))</f>
        <v>-1</v>
      </c>
      <c r="R107" s="199" cm="1">
        <f t="array" aca="1" ref="R107" ca="1">IF(OR($B107="",$B107="X",$D107="",$D107="X",$E107="",$E107="X"),0,IFERROR(_xlfn.LET(_xlpm.x,SUM(SUM(_xlfn._xlws.FILTER(VALUE(PptoSty[Sign]&amp;1)*(1/PptoSty[Division]),(PptoSty[Division]&lt;&gt;0)*(PptoSty[Division]&lt;&gt;"")*(PptoSty[Division]&lt;&gt;"X")*(PptoSty[Project]=$B107)*(PptoSty[Vrs]=$D107)*(PptoSty[PiRow]=_xlfn.TEXTAFTER($H107,":"))*(PptoSty[PiColumn]=R$54),0)),SUM(IF((INDIRECT($B$3)=$B107)*(INDIRECT($C$3)=$D107)*((INDIRECT($E$3)="TOTS")+(INDIRECT($E$3)=$E107)),INDIRECT(R$3)))),_xlpm.y,SUM(_xlfn.CHOOSECOLS(_xlfn._xlws.FILTER(F_RT14[],(F_RT14[PrjId]=$B107)*(F_RT14[Vrs]=$D107)*(_xlfn.TEXTAFTER(F_RT14[ActGrp],":")=_xlfn.TEXTAFTER($H107,":")),"X"),MATCH("*"&amp;R$54,F_RT14[#Headers],0))),IF(AND(_xlpm.x=0,_xlpm.y&lt;&gt;0),-1,IF(AND(_xlpm.x&lt;&gt;0,_xlpm.y&lt;&gt;0),_xlpm.x,IF(AND(_xlpm.x-SUM(IF((INDIRECT($B$3)=$B107)*(INDIRECT($C$3)=$D107)*((INDIRECT($E$3)="TOTS")+(INDIRECT($E$3)=$E107)),INDIRECT(R$3)))&lt;&gt;0,_xlpm.y=0),-2,_xlpm.x)))),0))</f>
        <v>-1</v>
      </c>
      <c r="S107" s="199" cm="1">
        <f t="array" aca="1" ref="S107" ca="1">IF(OR($B107="",$B107="X",$D107="",$D107="X",$E107="",$E107="X"),0,IFERROR(_xlfn.LET(_xlpm.x,SUM(SUM(_xlfn._xlws.FILTER(VALUE(PptoSty[Sign]&amp;1)*(1/PptoSty[Division]),(PptoSty[Division]&lt;&gt;0)*(PptoSty[Division]&lt;&gt;"")*(PptoSty[Division]&lt;&gt;"X")*(PptoSty[Project]=$B107)*(PptoSty[Vrs]=$D107)*(PptoSty[PiRow]=_xlfn.TEXTAFTER($H107,":"))*(PptoSty[PiColumn]=S$54),0)),SUM(IF((INDIRECT($B$3)=$B107)*(INDIRECT($C$3)=$D107)*((INDIRECT($E$3)="TOTS")+(INDIRECT($E$3)=$E107)),INDIRECT(S$3)))),_xlpm.y,SUM(_xlfn.CHOOSECOLS(_xlfn._xlws.FILTER(F_RT14[],(F_RT14[PrjId]=$B107)*(F_RT14[Vrs]=$D107)*(_xlfn.TEXTAFTER(F_RT14[ActGrp],":")=_xlfn.TEXTAFTER($H107,":")),"X"),MATCH("*"&amp;S$54,F_RT14[#Headers],0))),IF(AND(_xlpm.x=0,_xlpm.y&lt;&gt;0),-1,IF(AND(_xlpm.x&lt;&gt;0,_xlpm.y&lt;&gt;0),_xlpm.x,IF(AND(_xlpm.x-SUM(IF((INDIRECT($B$3)=$B107)*(INDIRECT($C$3)=$D107)*((INDIRECT($E$3)="TOTS")+(INDIRECT($E$3)=$E107)),INDIRECT(S$3)))&lt;&gt;0,_xlpm.y=0),-2,_xlpm.x)))),0))</f>
        <v>-1</v>
      </c>
      <c r="T107" s="199" cm="1">
        <f t="array" aca="1" ref="T107" ca="1">IF(OR($B107="",$B107="X",$D107="",$D107="X",$E107="",$E107="X"),0,IFERROR(_xlfn.LET(_xlpm.x,SUM(SUM(_xlfn._xlws.FILTER(VALUE(PptoSty[Sign]&amp;1)*(1/PptoSty[Division]),(PptoSty[Division]&lt;&gt;0)*(PptoSty[Division]&lt;&gt;"")*(PptoSty[Division]&lt;&gt;"X")*(PptoSty[Project]=$B107)*(PptoSty[Vrs]=$D107)*(PptoSty[PiRow]=_xlfn.TEXTAFTER($H107,":"))*(PptoSty[PiColumn]=T$54),0)),SUM(IF((INDIRECT($B$3)=$B107)*(INDIRECT($C$3)=$D107)*((INDIRECT($E$3)="TOTS")+(INDIRECT($E$3)=$E107)),INDIRECT(T$3)))),_xlpm.y,SUM(_xlfn.CHOOSECOLS(_xlfn._xlws.FILTER(F_RT14[],(F_RT14[PrjId]=$B107)*(F_RT14[Vrs]=$D107)*(_xlfn.TEXTAFTER(F_RT14[ActGrp],":")=_xlfn.TEXTAFTER($H107,":")),"X"),MATCH("*"&amp;T$54,F_RT14[#Headers],0))),IF(AND(_xlpm.x=0,_xlpm.y&lt;&gt;0),-1,IF(AND(_xlpm.x&lt;&gt;0,_xlpm.y&lt;&gt;0),_xlpm.x,IF(AND(_xlpm.x-SUM(IF((INDIRECT($B$3)=$B107)*(INDIRECT($C$3)=$D107)*((INDIRECT($E$3)="TOTS")+(INDIRECT($E$3)=$E107)),INDIRECT(T$3)))&lt;&gt;0,_xlpm.y=0),-2,_xlpm.x)))),0))</f>
        <v>-1</v>
      </c>
      <c r="U107" s="199" cm="1">
        <f t="array" aca="1" ref="U107" ca="1">IF(OR($B107="",$B107="X",$D107="",$D107="X",$E107="",$E107="X"),0,IFERROR(_xlfn.LET(_xlpm.x,SUM(SUM(_xlfn._xlws.FILTER(VALUE(PptoSty[Sign]&amp;1)*(1/PptoSty[Division]),(PptoSty[Division]&lt;&gt;0)*(PptoSty[Division]&lt;&gt;"")*(PptoSty[Division]&lt;&gt;"X")*(PptoSty[Project]=$B107)*(PptoSty[Vrs]=$D107)*(PptoSty[PiRow]=_xlfn.TEXTAFTER($H107,":"))*(PptoSty[PiColumn]=U$54),0)),SUM(IF((INDIRECT($B$3)=$B107)*(INDIRECT($C$3)=$D107)*((INDIRECT($E$3)="TOTS")+(INDIRECT($E$3)=$E107)),INDIRECT(U$3)))),_xlpm.y,SUM(_xlfn.CHOOSECOLS(_xlfn._xlws.FILTER(F_RT14[],(F_RT14[PrjId]=$B107)*(F_RT14[Vrs]=$D107)*(_xlfn.TEXTAFTER(F_RT14[ActGrp],":")=_xlfn.TEXTAFTER($H107,":")),"X"),MATCH("*"&amp;U$54,F_RT14[#Headers],0))),IF(AND(_xlpm.x=0,_xlpm.y&lt;&gt;0),-1,IF(AND(_xlpm.x&lt;&gt;0,_xlpm.y&lt;&gt;0),_xlpm.x,IF(AND(_xlpm.x-SUM(IF((INDIRECT($B$3)=$B107)*(INDIRECT($C$3)=$D107)*((INDIRECT($E$3)="TOTS")+(INDIRECT($E$3)=$E107)),INDIRECT(U$3)))&lt;&gt;0,_xlpm.y=0),-2,_xlpm.x)))),0))</f>
        <v>0</v>
      </c>
      <c r="V107" s="199" cm="1">
        <f t="array" aca="1" ref="V107" ca="1">IF(OR($B107="",$B107="X",$D107="",$D107="X",$E107="",$E107="X"),0,IFERROR(_xlfn.LET(_xlpm.x,SUM(SUM(_xlfn._xlws.FILTER(VALUE(PptoSty[Sign]&amp;1)*(1/PptoSty[Division]),(PptoSty[Division]&lt;&gt;0)*(PptoSty[Division]&lt;&gt;"")*(PptoSty[Division]&lt;&gt;"X")*(PptoSty[Project]=$B107)*(PptoSty[Vrs]=$D107)*(PptoSty[PiRow]=_xlfn.TEXTAFTER($H107,":"))*(PptoSty[PiColumn]=V$54),0)),SUM(IF((INDIRECT($B$3)=$B107)*(INDIRECT($C$3)=$D107)*((INDIRECT($E$3)="TOTS")+(INDIRECT($E$3)=$E107)),INDIRECT(V$3)))),_xlpm.y,SUM(_xlfn.CHOOSECOLS(_xlfn._xlws.FILTER(F_RT14[],(F_RT14[PrjId]=$B107)*(F_RT14[Vrs]=$D107)*(_xlfn.TEXTAFTER(F_RT14[ActGrp],":")=_xlfn.TEXTAFTER($H107,":")),"X"),MATCH("*"&amp;V$54,F_RT14[#Headers],0))),IF(AND(_xlpm.x=0,_xlpm.y&lt;&gt;0),-1,IF(AND(_xlpm.x&lt;&gt;0,_xlpm.y&lt;&gt;0),_xlpm.x,IF(AND(_xlpm.x-SUM(IF((INDIRECT($B$3)=$B107)*(INDIRECT($C$3)=$D107)*((INDIRECT($E$3)="TOTS")+(INDIRECT($E$3)=$E107)),INDIRECT(V$3)))&lt;&gt;0,_xlpm.y=0),-2,_xlpm.x)))),0))</f>
        <v>-1</v>
      </c>
      <c r="W107" s="199" cm="1">
        <f t="array" aca="1" ref="W107" ca="1">IF(OR($B107="",$B107="X",$D107="",$D107="X",$E107="",$E107="X"),0,IFERROR(_xlfn.LET(_xlpm.x,SUM(SUM(_xlfn._xlws.FILTER(VALUE(PptoSty[Sign]&amp;1)*(1/PptoSty[Division]),(PptoSty[Division]&lt;&gt;0)*(PptoSty[Division]&lt;&gt;"")*(PptoSty[Division]&lt;&gt;"X")*(PptoSty[Project]=$B107)*(PptoSty[Vrs]=$D107)*(PptoSty[PiRow]=_xlfn.TEXTAFTER($H107,":"))*(PptoSty[PiColumn]=W$54),0)),SUM(IF((INDIRECT($B$3)=$B107)*(INDIRECT($C$3)=$D107)*((INDIRECT($E$3)="TOTS")+(INDIRECT($E$3)=$E107)),INDIRECT(W$3)))),_xlpm.y,SUM(_xlfn.CHOOSECOLS(_xlfn._xlws.FILTER(F_RT14[],(F_RT14[PrjId]=$B107)*(F_RT14[Vrs]=$D107)*(_xlfn.TEXTAFTER(F_RT14[ActGrp],":")=_xlfn.TEXTAFTER($H107,":")),"X"),MATCH("*"&amp;W$54,F_RT14[#Headers],0))),IF(AND(_xlpm.x=0,_xlpm.y&lt;&gt;0),-1,IF(AND(_xlpm.x&lt;&gt;0,_xlpm.y&lt;&gt;0),_xlpm.x,IF(AND(_xlpm.x-SUM(IF((INDIRECT($B$3)=$B107)*(INDIRECT($C$3)=$D107)*((INDIRECT($E$3)="TOTS")+(INDIRECT($E$3)=$E107)),INDIRECT(W$3)))&lt;&gt;0,_xlpm.y=0),-2,_xlpm.x)))),0))</f>
        <v>-1</v>
      </c>
      <c r="X107" s="199" cm="1">
        <f t="array" aca="1" ref="X107" ca="1">IF(OR($B107="",$B107="X",$D107="",$D107="X",$E107="",$E107="X"),0,IFERROR(_xlfn.LET(_xlpm.x,SUM(SUM(_xlfn._xlws.FILTER(VALUE(PptoSty[Sign]&amp;1)*(1/PptoSty[Division]),(PptoSty[Division]&lt;&gt;0)*(PptoSty[Division]&lt;&gt;"")*(PptoSty[Division]&lt;&gt;"X")*(PptoSty[Project]=$B107)*(PptoSty[Vrs]=$D107)*(PptoSty[PiRow]=_xlfn.TEXTAFTER($H107,":"))*(PptoSty[PiColumn]=X$54),0)),SUM(IF((INDIRECT($B$3)=$B107)*(INDIRECT($C$3)=$D107)*((INDIRECT($E$3)="TOTS")+(INDIRECT($E$3)=$E107)),INDIRECT(X$3)))),_xlpm.y,SUM(_xlfn.CHOOSECOLS(_xlfn._xlws.FILTER(F_RT14[],(F_RT14[PrjId]=$B107)*(F_RT14[Vrs]=$D107)*(_xlfn.TEXTAFTER(F_RT14[ActGrp],":")=_xlfn.TEXTAFTER($H107,":")),"X"),MATCH("*"&amp;X$54,F_RT14[#Headers],0))),IF(AND(_xlpm.x=0,_xlpm.y&lt;&gt;0),-1,IF(AND(_xlpm.x&lt;&gt;0,_xlpm.y&lt;&gt;0),_xlpm.x,IF(AND(_xlpm.x-SUM(IF((INDIRECT($B$3)=$B107)*(INDIRECT($C$3)=$D107)*((INDIRECT($E$3)="TOTS")+(INDIRECT($E$3)=$E107)),INDIRECT(X$3)))&lt;&gt;0,_xlpm.y=0),-2,_xlpm.x)))),0))</f>
        <v>-1</v>
      </c>
      <c r="Y107" s="199" cm="1">
        <f t="array" aca="1" ref="Y107" ca="1">IF(OR($B107="",$B107="X",$D107="",$D107="X",$E107="",$E107="X"),0,IFERROR(_xlfn.LET(_xlpm.x,SUM(SUM(_xlfn._xlws.FILTER(VALUE(PptoSty[Sign]&amp;1)*(1/PptoSty[Division]),(PptoSty[Division]&lt;&gt;0)*(PptoSty[Division]&lt;&gt;"")*(PptoSty[Division]&lt;&gt;"X")*(PptoSty[Project]=$B107)*(PptoSty[Vrs]=$D107)*(PptoSty[PiRow]=_xlfn.TEXTAFTER($H107,":"))*(PptoSty[PiColumn]=Y$54),0)),SUM(IF((INDIRECT($B$3)=$B107)*(INDIRECT($C$3)=$D107)*((INDIRECT($E$3)="TOTS")+(INDIRECT($E$3)=$E107)),INDIRECT(Y$3)))),_xlpm.y,SUM(_xlfn.CHOOSECOLS(_xlfn._xlws.FILTER(F_RT14[],(F_RT14[PrjId]=$B107)*(F_RT14[Vrs]=$D107)*(_xlfn.TEXTAFTER(F_RT14[ActGrp],":")=_xlfn.TEXTAFTER($H107,":")),"X"),MATCH("*"&amp;Y$54,F_RT14[#Headers],0))),IF(AND(_xlpm.x=0,_xlpm.y&lt;&gt;0),-1,IF(AND(_xlpm.x&lt;&gt;0,_xlpm.y&lt;&gt;0),_xlpm.x,IF(AND(_xlpm.x-SUM(IF((INDIRECT($B$3)=$B107)*(INDIRECT($C$3)=$D107)*((INDIRECT($E$3)="TOTS")+(INDIRECT($E$3)=$E107)),INDIRECT(Y$3)))&lt;&gt;0,_xlpm.y=0),-2,_xlpm.x)))),0))</f>
        <v>0</v>
      </c>
      <c r="Z107" s="198" t="str">
        <f t="shared" ca="1" si="2"/>
        <v>Fback!B107:Y107</v>
      </c>
    </row>
    <row r="108" spans="2:26" ht="21" customHeight="1" outlineLevel="1">
      <c r="B108" s="128" t="str">
        <v>31199</v>
      </c>
      <c r="C108" s="128" t="str">
        <v>Sp</v>
      </c>
      <c r="D108" s="128">
        <v>0</v>
      </c>
      <c r="E108" s="128" t="str">
        <v>TOOL</v>
      </c>
      <c r="F108" s="139" t="str">
        <v>SERRA</v>
      </c>
      <c r="G108" s="139" t="str">
        <v>CurPpto</v>
      </c>
      <c r="H108" s="139" t="str">
        <v>P014:FIXTURE OP-610 TOWERS SUB-ASSY I</v>
      </c>
      <c r="I108" s="199" cm="1">
        <f t="array" aca="1" ref="I108" ca="1">IF(OR($B108="",$B108="X",$D108="",$D108="X",$E108="",$E108="X"),0,IFERROR(_xlfn.LET(_xlpm.x,SUM(SUM(_xlfn._xlws.FILTER(VALUE(PptoSty[Sign]&amp;1)*(1/PptoSty[Division]),(PptoSty[Division]&lt;&gt;0)*(PptoSty[Division]&lt;&gt;"")*(PptoSty[Division]&lt;&gt;"X")*(PptoSty[Project]=$B108)*(PptoSty[Vrs]=$D108)*(PptoSty[PiRow]=_xlfn.TEXTAFTER($H108,":"))*(PptoSty[PiColumn]=I$54),0)),SUM(IF((INDIRECT($B$3)=$B108)*(INDIRECT($C$3)=$D108)*((INDIRECT($E$3)="TOTS")+(INDIRECT($E$3)=$E108)),INDIRECT(I$3)))),_xlpm.y,SUM(_xlfn.CHOOSECOLS(_xlfn._xlws.FILTER(F_RT14[],(F_RT14[PrjId]=$B108)*(F_RT14[Vrs]=$D108)*(_xlfn.TEXTAFTER(F_RT14[ActGrp],":")=_xlfn.TEXTAFTER($H108,":")),"X"),MATCH("*"&amp;I$54,F_RT14[#Headers],0))),IF(AND(_xlpm.x=0,_xlpm.y&lt;&gt;0),-1,IF(AND(_xlpm.x&lt;&gt;0,_xlpm.y&lt;&gt;0),_xlpm.x,IF(AND(_xlpm.x-SUM(IF((INDIRECT($B$3)=$B108)*(INDIRECT($C$3)=$D108)*((INDIRECT($E$3)="TOTS")+(INDIRECT($E$3)=$E108)),INDIRECT(I$3)))&lt;&gt;0,_xlpm.y=0),-2,_xlpm.x)))),0))</f>
        <v>0</v>
      </c>
      <c r="J108" s="199" cm="1">
        <f t="array" aca="1" ref="J108" ca="1">IF(OR($B108="",$B108="X",$D108="",$D108="X",$E108="",$E108="X"),0,IFERROR(_xlfn.LET(_xlpm.x,SUM(SUM(_xlfn._xlws.FILTER(VALUE(PptoSty[Sign]&amp;1)*(1/PptoSty[Division]),(PptoSty[Division]&lt;&gt;0)*(PptoSty[Division]&lt;&gt;"")*(PptoSty[Division]&lt;&gt;"X")*(PptoSty[Project]=$B108)*(PptoSty[Vrs]=$D108)*(PptoSty[PiRow]=_xlfn.TEXTAFTER($H108,":"))*(PptoSty[PiColumn]=J$54),0)),SUM(IF((INDIRECT($B$3)=$B108)*(INDIRECT($C$3)=$D108)*((INDIRECT($E$3)="TOTS")+(INDIRECT($E$3)=$E108)),INDIRECT(J$3)))),_xlpm.y,SUM(_xlfn.CHOOSECOLS(_xlfn._xlws.FILTER(F_RT14[],(F_RT14[PrjId]=$B108)*(F_RT14[Vrs]=$D108)*(_xlfn.TEXTAFTER(F_RT14[ActGrp],":")=_xlfn.TEXTAFTER($H108,":")),"X"),MATCH("*"&amp;J$54,F_RT14[#Headers],0))),IF(AND(_xlpm.x=0,_xlpm.y&lt;&gt;0),-1,IF(AND(_xlpm.x&lt;&gt;0,_xlpm.y&lt;&gt;0),_xlpm.x,IF(AND(_xlpm.x-SUM(IF((INDIRECT($B$3)=$B108)*(INDIRECT($C$3)=$D108)*((INDIRECT($E$3)="TOTS")+(INDIRECT($E$3)=$E108)),INDIRECT(J$3)))&lt;&gt;0,_xlpm.y=0),-2,_xlpm.x)))),0))</f>
        <v>0</v>
      </c>
      <c r="K108" s="199" cm="1">
        <f t="array" aca="1" ref="K108" ca="1">IF(OR($B108="",$B108="X",$D108="",$D108="X",$E108="",$E108="X"),0,IFERROR(_xlfn.LET(_xlpm.x,SUM(SUM(_xlfn._xlws.FILTER(VALUE(PptoSty[Sign]&amp;1)*(1/PptoSty[Division]),(PptoSty[Division]&lt;&gt;0)*(PptoSty[Division]&lt;&gt;"")*(PptoSty[Division]&lt;&gt;"X")*(PptoSty[Project]=$B108)*(PptoSty[Vrs]=$D108)*(PptoSty[PiRow]=_xlfn.TEXTAFTER($H108,":"))*(PptoSty[PiColumn]=K$54),0)),SUM(IF((INDIRECT($B$3)=$B108)*(INDIRECT($C$3)=$D108)*((INDIRECT($E$3)="TOTS")+(INDIRECT($E$3)=$E108)),INDIRECT(K$3)))),_xlpm.y,SUM(_xlfn.CHOOSECOLS(_xlfn._xlws.FILTER(F_RT14[],(F_RT14[PrjId]=$B108)*(F_RT14[Vrs]=$D108)*(_xlfn.TEXTAFTER(F_RT14[ActGrp],":")=_xlfn.TEXTAFTER($H108,":")),"X"),MATCH("*"&amp;K$54,F_RT14[#Headers],0))),IF(AND(_xlpm.x=0,_xlpm.y&lt;&gt;0),-1,IF(AND(_xlpm.x&lt;&gt;0,_xlpm.y&lt;&gt;0),_xlpm.x,IF(AND(_xlpm.x-SUM(IF((INDIRECT($B$3)=$B108)*(INDIRECT($C$3)=$D108)*((INDIRECT($E$3)="TOTS")+(INDIRECT($E$3)=$E108)),INDIRECT(K$3)))&lt;&gt;0,_xlpm.y=0),-2,_xlpm.x)))),0))</f>
        <v>-1</v>
      </c>
      <c r="L108" s="199" cm="1">
        <f t="array" aca="1" ref="L108" ca="1">IF(OR($B108="",$B108="X",$D108="",$D108="X",$E108="",$E108="X"),0,IFERROR(_xlfn.LET(_xlpm.x,SUM(SUM(_xlfn._xlws.FILTER(VALUE(PptoSty[Sign]&amp;1)*(1/PptoSty[Division]),(PptoSty[Division]&lt;&gt;0)*(PptoSty[Division]&lt;&gt;"")*(PptoSty[Division]&lt;&gt;"X")*(PptoSty[Project]=$B108)*(PptoSty[Vrs]=$D108)*(PptoSty[PiRow]=_xlfn.TEXTAFTER($H108,":"))*(PptoSty[PiColumn]=L$54),0)),SUM(IF((INDIRECT($B$3)=$B108)*(INDIRECT($C$3)=$D108)*((INDIRECT($E$3)="TOTS")+(INDIRECT($E$3)=$E108)),INDIRECT(L$3)))),_xlpm.y,SUM(_xlfn.CHOOSECOLS(_xlfn._xlws.FILTER(F_RT14[],(F_RT14[PrjId]=$B108)*(F_RT14[Vrs]=$D108)*(_xlfn.TEXTAFTER(F_RT14[ActGrp],":")=_xlfn.TEXTAFTER($H108,":")),"X"),MATCH("*"&amp;L$54,F_RT14[#Headers],0))),IF(AND(_xlpm.x=0,_xlpm.y&lt;&gt;0),-1,IF(AND(_xlpm.x&lt;&gt;0,_xlpm.y&lt;&gt;0),_xlpm.x,IF(AND(_xlpm.x-SUM(IF((INDIRECT($B$3)=$B108)*(INDIRECT($C$3)=$D108)*((INDIRECT($E$3)="TOTS")+(INDIRECT($E$3)=$E108)),INDIRECT(L$3)))&lt;&gt;0,_xlpm.y=0),-2,_xlpm.x)))),0))</f>
        <v>0</v>
      </c>
      <c r="M108" s="199" cm="1">
        <f t="array" aca="1" ref="M108" ca="1">IF(OR($B108="",$B108="X",$D108="",$D108="X",$E108="",$E108="X"),0,IFERROR(_xlfn.LET(_xlpm.x,SUM(SUM(_xlfn._xlws.FILTER(VALUE(PptoSty[Sign]&amp;1)*(1/PptoSty[Division]),(PptoSty[Division]&lt;&gt;0)*(PptoSty[Division]&lt;&gt;"")*(PptoSty[Division]&lt;&gt;"X")*(PptoSty[Project]=$B108)*(PptoSty[Vrs]=$D108)*(PptoSty[PiRow]=_xlfn.TEXTAFTER($H108,":"))*(PptoSty[PiColumn]=M$54),0)),SUM(IF((INDIRECT($B$3)=$B108)*(INDIRECT($C$3)=$D108)*((INDIRECT($E$3)="TOTS")+(INDIRECT($E$3)=$E108)),INDIRECT(M$3)))),_xlpm.y,SUM(_xlfn.CHOOSECOLS(_xlfn._xlws.FILTER(F_RT14[],(F_RT14[PrjId]=$B108)*(F_RT14[Vrs]=$D108)*(_xlfn.TEXTAFTER(F_RT14[ActGrp],":")=_xlfn.TEXTAFTER($H108,":")),"X"),MATCH("*"&amp;M$54,F_RT14[#Headers],0))),IF(AND(_xlpm.x=0,_xlpm.y&lt;&gt;0),-1,IF(AND(_xlpm.x&lt;&gt;0,_xlpm.y&lt;&gt;0),_xlpm.x,IF(AND(_xlpm.x-SUM(IF((INDIRECT($B$3)=$B108)*(INDIRECT($C$3)=$D108)*((INDIRECT($E$3)="TOTS")+(INDIRECT($E$3)=$E108)),INDIRECT(M$3)))&lt;&gt;0,_xlpm.y=0),-2,_xlpm.x)))),0))</f>
        <v>0</v>
      </c>
      <c r="N108" s="199" cm="1">
        <f t="array" aca="1" ref="N108" ca="1">IF(OR($B108="",$B108="X",$D108="",$D108="X",$E108="",$E108="X"),0,IFERROR(_xlfn.LET(_xlpm.x,SUM(SUM(_xlfn._xlws.FILTER(VALUE(PptoSty[Sign]&amp;1)*(1/PptoSty[Division]),(PptoSty[Division]&lt;&gt;0)*(PptoSty[Division]&lt;&gt;"")*(PptoSty[Division]&lt;&gt;"X")*(PptoSty[Project]=$B108)*(PptoSty[Vrs]=$D108)*(PptoSty[PiRow]=_xlfn.TEXTAFTER($H108,":"))*(PptoSty[PiColumn]=N$54),0)),SUM(IF((INDIRECT($B$3)=$B108)*(INDIRECT($C$3)=$D108)*((INDIRECT($E$3)="TOTS")+(INDIRECT($E$3)=$E108)),INDIRECT(N$3)))),_xlpm.y,SUM(_xlfn.CHOOSECOLS(_xlfn._xlws.FILTER(F_RT14[],(F_RT14[PrjId]=$B108)*(F_RT14[Vrs]=$D108)*(_xlfn.TEXTAFTER(F_RT14[ActGrp],":")=_xlfn.TEXTAFTER($H108,":")),"X"),MATCH("*"&amp;N$54,F_RT14[#Headers],0))),IF(AND(_xlpm.x=0,_xlpm.y&lt;&gt;0),-1,IF(AND(_xlpm.x&lt;&gt;0,_xlpm.y&lt;&gt;0),_xlpm.x,IF(AND(_xlpm.x-SUM(IF((INDIRECT($B$3)=$B108)*(INDIRECT($C$3)=$D108)*((INDIRECT($E$3)="TOTS")+(INDIRECT($E$3)=$E108)),INDIRECT(N$3)))&lt;&gt;0,_xlpm.y=0),-2,_xlpm.x)))),0))</f>
        <v>-1</v>
      </c>
      <c r="O108" s="199" cm="1">
        <f t="array" aca="1" ref="O108" ca="1">IF(OR($B108="",$B108="X",$D108="",$D108="X",$E108="",$E108="X"),0,IFERROR(_xlfn.LET(_xlpm.x,SUM(SUM(_xlfn._xlws.FILTER(VALUE(PptoSty[Sign]&amp;1)*(1/PptoSty[Division]),(PptoSty[Division]&lt;&gt;0)*(PptoSty[Division]&lt;&gt;"")*(PptoSty[Division]&lt;&gt;"X")*(PptoSty[Project]=$B108)*(PptoSty[Vrs]=$D108)*(PptoSty[PiRow]=_xlfn.TEXTAFTER($H108,":"))*(PptoSty[PiColumn]=O$54),0)),SUM(IF((INDIRECT($B$3)=$B108)*(INDIRECT($C$3)=$D108)*((INDIRECT($E$3)="TOTS")+(INDIRECT($E$3)=$E108)),INDIRECT(O$3)))),_xlpm.y,SUM(_xlfn.CHOOSECOLS(_xlfn._xlws.FILTER(F_RT14[],(F_RT14[PrjId]=$B108)*(F_RT14[Vrs]=$D108)*(_xlfn.TEXTAFTER(F_RT14[ActGrp],":")=_xlfn.TEXTAFTER($H108,":")),"X"),MATCH("*"&amp;O$54,F_RT14[#Headers],0))),IF(AND(_xlpm.x=0,_xlpm.y&lt;&gt;0),-1,IF(AND(_xlpm.x&lt;&gt;0,_xlpm.y&lt;&gt;0),_xlpm.x,IF(AND(_xlpm.x-SUM(IF((INDIRECT($B$3)=$B108)*(INDIRECT($C$3)=$D108)*((INDIRECT($E$3)="TOTS")+(INDIRECT($E$3)=$E108)),INDIRECT(O$3)))&lt;&gt;0,_xlpm.y=0),-2,_xlpm.x)))),0))</f>
        <v>0</v>
      </c>
      <c r="P108" s="199" cm="1">
        <f t="array" aca="1" ref="P108" ca="1">IF(OR($B108="",$B108="X",$D108="",$D108="X",$E108="",$E108="X"),0,IFERROR(_xlfn.LET(_xlpm.x,SUM(SUM(_xlfn._xlws.FILTER(VALUE(PptoSty[Sign]&amp;1)*(1/PptoSty[Division]),(PptoSty[Division]&lt;&gt;0)*(PptoSty[Division]&lt;&gt;"")*(PptoSty[Division]&lt;&gt;"X")*(PptoSty[Project]=$B108)*(PptoSty[Vrs]=$D108)*(PptoSty[PiRow]=_xlfn.TEXTAFTER($H108,":"))*(PptoSty[PiColumn]=P$54),0)),SUM(IF((INDIRECT($B$3)=$B108)*(INDIRECT($C$3)=$D108)*((INDIRECT($E$3)="TOTS")+(INDIRECT($E$3)=$E108)),INDIRECT(P$3)))),_xlpm.y,SUM(_xlfn.CHOOSECOLS(_xlfn._xlws.FILTER(F_RT14[],(F_RT14[PrjId]=$B108)*(F_RT14[Vrs]=$D108)*(_xlfn.TEXTAFTER(F_RT14[ActGrp],":")=_xlfn.TEXTAFTER($H108,":")),"X"),MATCH("*"&amp;P$54,F_RT14[#Headers],0))),IF(AND(_xlpm.x=0,_xlpm.y&lt;&gt;0),-1,IF(AND(_xlpm.x&lt;&gt;0,_xlpm.y&lt;&gt;0),_xlpm.x,IF(AND(_xlpm.x-SUM(IF((INDIRECT($B$3)=$B108)*(INDIRECT($C$3)=$D108)*((INDIRECT($E$3)="TOTS")+(INDIRECT($E$3)=$E108)),INDIRECT(P$3)))&lt;&gt;0,_xlpm.y=0),-2,_xlpm.x)))),0))</f>
        <v>-1</v>
      </c>
      <c r="Q108" s="199" cm="1">
        <f t="array" aca="1" ref="Q108" ca="1">IF(OR($B108="",$B108="X",$D108="",$D108="X",$E108="",$E108="X"),0,IFERROR(_xlfn.LET(_xlpm.x,SUM(SUM(_xlfn._xlws.FILTER(VALUE(PptoSty[Sign]&amp;1)*(1/PptoSty[Division]),(PptoSty[Division]&lt;&gt;0)*(PptoSty[Division]&lt;&gt;"")*(PptoSty[Division]&lt;&gt;"X")*(PptoSty[Project]=$B108)*(PptoSty[Vrs]=$D108)*(PptoSty[PiRow]=_xlfn.TEXTAFTER($H108,":"))*(PptoSty[PiColumn]=Q$54),0)),SUM(IF((INDIRECT($B$3)=$B108)*(INDIRECT($C$3)=$D108)*((INDIRECT($E$3)="TOTS")+(INDIRECT($E$3)=$E108)),INDIRECT(Q$3)))),_xlpm.y,SUM(_xlfn.CHOOSECOLS(_xlfn._xlws.FILTER(F_RT14[],(F_RT14[PrjId]=$B108)*(F_RT14[Vrs]=$D108)*(_xlfn.TEXTAFTER(F_RT14[ActGrp],":")=_xlfn.TEXTAFTER($H108,":")),"X"),MATCH("*"&amp;Q$54,F_RT14[#Headers],0))),IF(AND(_xlpm.x=0,_xlpm.y&lt;&gt;0),-1,IF(AND(_xlpm.x&lt;&gt;0,_xlpm.y&lt;&gt;0),_xlpm.x,IF(AND(_xlpm.x-SUM(IF((INDIRECT($B$3)=$B108)*(INDIRECT($C$3)=$D108)*((INDIRECT($E$3)="TOTS")+(INDIRECT($E$3)=$E108)),INDIRECT(Q$3)))&lt;&gt;0,_xlpm.y=0),-2,_xlpm.x)))),0))</f>
        <v>-1</v>
      </c>
      <c r="R108" s="199" cm="1">
        <f t="array" aca="1" ref="R108" ca="1">IF(OR($B108="",$B108="X",$D108="",$D108="X",$E108="",$E108="X"),0,IFERROR(_xlfn.LET(_xlpm.x,SUM(SUM(_xlfn._xlws.FILTER(VALUE(PptoSty[Sign]&amp;1)*(1/PptoSty[Division]),(PptoSty[Division]&lt;&gt;0)*(PptoSty[Division]&lt;&gt;"")*(PptoSty[Division]&lt;&gt;"X")*(PptoSty[Project]=$B108)*(PptoSty[Vrs]=$D108)*(PptoSty[PiRow]=_xlfn.TEXTAFTER($H108,":"))*(PptoSty[PiColumn]=R$54),0)),SUM(IF((INDIRECT($B$3)=$B108)*(INDIRECT($C$3)=$D108)*((INDIRECT($E$3)="TOTS")+(INDIRECT($E$3)=$E108)),INDIRECT(R$3)))),_xlpm.y,SUM(_xlfn.CHOOSECOLS(_xlfn._xlws.FILTER(F_RT14[],(F_RT14[PrjId]=$B108)*(F_RT14[Vrs]=$D108)*(_xlfn.TEXTAFTER(F_RT14[ActGrp],":")=_xlfn.TEXTAFTER($H108,":")),"X"),MATCH("*"&amp;R$54,F_RT14[#Headers],0))),IF(AND(_xlpm.x=0,_xlpm.y&lt;&gt;0),-1,IF(AND(_xlpm.x&lt;&gt;0,_xlpm.y&lt;&gt;0),_xlpm.x,IF(AND(_xlpm.x-SUM(IF((INDIRECT($B$3)=$B108)*(INDIRECT($C$3)=$D108)*((INDIRECT($E$3)="TOTS")+(INDIRECT($E$3)=$E108)),INDIRECT(R$3)))&lt;&gt;0,_xlpm.y=0),-2,_xlpm.x)))),0))</f>
        <v>-1</v>
      </c>
      <c r="S108" s="199" cm="1">
        <f t="array" aca="1" ref="S108" ca="1">IF(OR($B108="",$B108="X",$D108="",$D108="X",$E108="",$E108="X"),0,IFERROR(_xlfn.LET(_xlpm.x,SUM(SUM(_xlfn._xlws.FILTER(VALUE(PptoSty[Sign]&amp;1)*(1/PptoSty[Division]),(PptoSty[Division]&lt;&gt;0)*(PptoSty[Division]&lt;&gt;"")*(PptoSty[Division]&lt;&gt;"X")*(PptoSty[Project]=$B108)*(PptoSty[Vrs]=$D108)*(PptoSty[PiRow]=_xlfn.TEXTAFTER($H108,":"))*(PptoSty[PiColumn]=S$54),0)),SUM(IF((INDIRECT($B$3)=$B108)*(INDIRECT($C$3)=$D108)*((INDIRECT($E$3)="TOTS")+(INDIRECT($E$3)=$E108)),INDIRECT(S$3)))),_xlpm.y,SUM(_xlfn.CHOOSECOLS(_xlfn._xlws.FILTER(F_RT14[],(F_RT14[PrjId]=$B108)*(F_RT14[Vrs]=$D108)*(_xlfn.TEXTAFTER(F_RT14[ActGrp],":")=_xlfn.TEXTAFTER($H108,":")),"X"),MATCH("*"&amp;S$54,F_RT14[#Headers],0))),IF(AND(_xlpm.x=0,_xlpm.y&lt;&gt;0),-1,IF(AND(_xlpm.x&lt;&gt;0,_xlpm.y&lt;&gt;0),_xlpm.x,IF(AND(_xlpm.x-SUM(IF((INDIRECT($B$3)=$B108)*(INDIRECT($C$3)=$D108)*((INDIRECT($E$3)="TOTS")+(INDIRECT($E$3)=$E108)),INDIRECT(S$3)))&lt;&gt;0,_xlpm.y=0),-2,_xlpm.x)))),0))</f>
        <v>-1</v>
      </c>
      <c r="T108" s="199" cm="1">
        <f t="array" aca="1" ref="T108" ca="1">IF(OR($B108="",$B108="X",$D108="",$D108="X",$E108="",$E108="X"),0,IFERROR(_xlfn.LET(_xlpm.x,SUM(SUM(_xlfn._xlws.FILTER(VALUE(PptoSty[Sign]&amp;1)*(1/PptoSty[Division]),(PptoSty[Division]&lt;&gt;0)*(PptoSty[Division]&lt;&gt;"")*(PptoSty[Division]&lt;&gt;"X")*(PptoSty[Project]=$B108)*(PptoSty[Vrs]=$D108)*(PptoSty[PiRow]=_xlfn.TEXTAFTER($H108,":"))*(PptoSty[PiColumn]=T$54),0)),SUM(IF((INDIRECT($B$3)=$B108)*(INDIRECT($C$3)=$D108)*((INDIRECT($E$3)="TOTS")+(INDIRECT($E$3)=$E108)),INDIRECT(T$3)))),_xlpm.y,SUM(_xlfn.CHOOSECOLS(_xlfn._xlws.FILTER(F_RT14[],(F_RT14[PrjId]=$B108)*(F_RT14[Vrs]=$D108)*(_xlfn.TEXTAFTER(F_RT14[ActGrp],":")=_xlfn.TEXTAFTER($H108,":")),"X"),MATCH("*"&amp;T$54,F_RT14[#Headers],0))),IF(AND(_xlpm.x=0,_xlpm.y&lt;&gt;0),-1,IF(AND(_xlpm.x&lt;&gt;0,_xlpm.y&lt;&gt;0),_xlpm.x,IF(AND(_xlpm.x-SUM(IF((INDIRECT($B$3)=$B108)*(INDIRECT($C$3)=$D108)*((INDIRECT($E$3)="TOTS")+(INDIRECT($E$3)=$E108)),INDIRECT(T$3)))&lt;&gt;0,_xlpm.y=0),-2,_xlpm.x)))),0))</f>
        <v>-1</v>
      </c>
      <c r="U108" s="199" cm="1">
        <f t="array" aca="1" ref="U108" ca="1">IF(OR($B108="",$B108="X",$D108="",$D108="X",$E108="",$E108="X"),0,IFERROR(_xlfn.LET(_xlpm.x,SUM(SUM(_xlfn._xlws.FILTER(VALUE(PptoSty[Sign]&amp;1)*(1/PptoSty[Division]),(PptoSty[Division]&lt;&gt;0)*(PptoSty[Division]&lt;&gt;"")*(PptoSty[Division]&lt;&gt;"X")*(PptoSty[Project]=$B108)*(PptoSty[Vrs]=$D108)*(PptoSty[PiRow]=_xlfn.TEXTAFTER($H108,":"))*(PptoSty[PiColumn]=U$54),0)),SUM(IF((INDIRECT($B$3)=$B108)*(INDIRECT($C$3)=$D108)*((INDIRECT($E$3)="TOTS")+(INDIRECT($E$3)=$E108)),INDIRECT(U$3)))),_xlpm.y,SUM(_xlfn.CHOOSECOLS(_xlfn._xlws.FILTER(F_RT14[],(F_RT14[PrjId]=$B108)*(F_RT14[Vrs]=$D108)*(_xlfn.TEXTAFTER(F_RT14[ActGrp],":")=_xlfn.TEXTAFTER($H108,":")),"X"),MATCH("*"&amp;U$54,F_RT14[#Headers],0))),IF(AND(_xlpm.x=0,_xlpm.y&lt;&gt;0),-1,IF(AND(_xlpm.x&lt;&gt;0,_xlpm.y&lt;&gt;0),_xlpm.x,IF(AND(_xlpm.x-SUM(IF((INDIRECT($B$3)=$B108)*(INDIRECT($C$3)=$D108)*((INDIRECT($E$3)="TOTS")+(INDIRECT($E$3)=$E108)),INDIRECT(U$3)))&lt;&gt;0,_xlpm.y=0),-2,_xlpm.x)))),0))</f>
        <v>0</v>
      </c>
      <c r="V108" s="199" cm="1">
        <f t="array" aca="1" ref="V108" ca="1">IF(OR($B108="",$B108="X",$D108="",$D108="X",$E108="",$E108="X"),0,IFERROR(_xlfn.LET(_xlpm.x,SUM(SUM(_xlfn._xlws.FILTER(VALUE(PptoSty[Sign]&amp;1)*(1/PptoSty[Division]),(PptoSty[Division]&lt;&gt;0)*(PptoSty[Division]&lt;&gt;"")*(PptoSty[Division]&lt;&gt;"X")*(PptoSty[Project]=$B108)*(PptoSty[Vrs]=$D108)*(PptoSty[PiRow]=_xlfn.TEXTAFTER($H108,":"))*(PptoSty[PiColumn]=V$54),0)),SUM(IF((INDIRECT($B$3)=$B108)*(INDIRECT($C$3)=$D108)*((INDIRECT($E$3)="TOTS")+(INDIRECT($E$3)=$E108)),INDIRECT(V$3)))),_xlpm.y,SUM(_xlfn.CHOOSECOLS(_xlfn._xlws.FILTER(F_RT14[],(F_RT14[PrjId]=$B108)*(F_RT14[Vrs]=$D108)*(_xlfn.TEXTAFTER(F_RT14[ActGrp],":")=_xlfn.TEXTAFTER($H108,":")),"X"),MATCH("*"&amp;V$54,F_RT14[#Headers],0))),IF(AND(_xlpm.x=0,_xlpm.y&lt;&gt;0),-1,IF(AND(_xlpm.x&lt;&gt;0,_xlpm.y&lt;&gt;0),_xlpm.x,IF(AND(_xlpm.x-SUM(IF((INDIRECT($B$3)=$B108)*(INDIRECT($C$3)=$D108)*((INDIRECT($E$3)="TOTS")+(INDIRECT($E$3)=$E108)),INDIRECT(V$3)))&lt;&gt;0,_xlpm.y=0),-2,_xlpm.x)))),0))</f>
        <v>0</v>
      </c>
      <c r="W108" s="199" cm="1">
        <f t="array" aca="1" ref="W108" ca="1">IF(OR($B108="",$B108="X",$D108="",$D108="X",$E108="",$E108="X"),0,IFERROR(_xlfn.LET(_xlpm.x,SUM(SUM(_xlfn._xlws.FILTER(VALUE(PptoSty[Sign]&amp;1)*(1/PptoSty[Division]),(PptoSty[Division]&lt;&gt;0)*(PptoSty[Division]&lt;&gt;"")*(PptoSty[Division]&lt;&gt;"X")*(PptoSty[Project]=$B108)*(PptoSty[Vrs]=$D108)*(PptoSty[PiRow]=_xlfn.TEXTAFTER($H108,":"))*(PptoSty[PiColumn]=W$54),0)),SUM(IF((INDIRECT($B$3)=$B108)*(INDIRECT($C$3)=$D108)*((INDIRECT($E$3)="TOTS")+(INDIRECT($E$3)=$E108)),INDIRECT(W$3)))),_xlpm.y,SUM(_xlfn.CHOOSECOLS(_xlfn._xlws.FILTER(F_RT14[],(F_RT14[PrjId]=$B108)*(F_RT14[Vrs]=$D108)*(_xlfn.TEXTAFTER(F_RT14[ActGrp],":")=_xlfn.TEXTAFTER($H108,":")),"X"),MATCH("*"&amp;W$54,F_RT14[#Headers],0))),IF(AND(_xlpm.x=0,_xlpm.y&lt;&gt;0),-1,IF(AND(_xlpm.x&lt;&gt;0,_xlpm.y&lt;&gt;0),_xlpm.x,IF(AND(_xlpm.x-SUM(IF((INDIRECT($B$3)=$B108)*(INDIRECT($C$3)=$D108)*((INDIRECT($E$3)="TOTS")+(INDIRECT($E$3)=$E108)),INDIRECT(W$3)))&lt;&gt;0,_xlpm.y=0),-2,_xlpm.x)))),0))</f>
        <v>-1</v>
      </c>
      <c r="X108" s="199" cm="1">
        <f t="array" aca="1" ref="X108" ca="1">IF(OR($B108="",$B108="X",$D108="",$D108="X",$E108="",$E108="X"),0,IFERROR(_xlfn.LET(_xlpm.x,SUM(SUM(_xlfn._xlws.FILTER(VALUE(PptoSty[Sign]&amp;1)*(1/PptoSty[Division]),(PptoSty[Division]&lt;&gt;0)*(PptoSty[Division]&lt;&gt;"")*(PptoSty[Division]&lt;&gt;"X")*(PptoSty[Project]=$B108)*(PptoSty[Vrs]=$D108)*(PptoSty[PiRow]=_xlfn.TEXTAFTER($H108,":"))*(PptoSty[PiColumn]=X$54),0)),SUM(IF((INDIRECT($B$3)=$B108)*(INDIRECT($C$3)=$D108)*((INDIRECT($E$3)="TOTS")+(INDIRECT($E$3)=$E108)),INDIRECT(X$3)))),_xlpm.y,SUM(_xlfn.CHOOSECOLS(_xlfn._xlws.FILTER(F_RT14[],(F_RT14[PrjId]=$B108)*(F_RT14[Vrs]=$D108)*(_xlfn.TEXTAFTER(F_RT14[ActGrp],":")=_xlfn.TEXTAFTER($H108,":")),"X"),MATCH("*"&amp;X$54,F_RT14[#Headers],0))),IF(AND(_xlpm.x=0,_xlpm.y&lt;&gt;0),-1,IF(AND(_xlpm.x&lt;&gt;0,_xlpm.y&lt;&gt;0),_xlpm.x,IF(AND(_xlpm.x-SUM(IF((INDIRECT($B$3)=$B108)*(INDIRECT($C$3)=$D108)*((INDIRECT($E$3)="TOTS")+(INDIRECT($E$3)=$E108)),INDIRECT(X$3)))&lt;&gt;0,_xlpm.y=0),-2,_xlpm.x)))),0))</f>
        <v>-1</v>
      </c>
      <c r="Y108" s="199" cm="1">
        <f t="array" aca="1" ref="Y108" ca="1">IF(OR($B108="",$B108="X",$D108="",$D108="X",$E108="",$E108="X"),0,IFERROR(_xlfn.LET(_xlpm.x,SUM(SUM(_xlfn._xlws.FILTER(VALUE(PptoSty[Sign]&amp;1)*(1/PptoSty[Division]),(PptoSty[Division]&lt;&gt;0)*(PptoSty[Division]&lt;&gt;"")*(PptoSty[Division]&lt;&gt;"X")*(PptoSty[Project]=$B108)*(PptoSty[Vrs]=$D108)*(PptoSty[PiRow]=_xlfn.TEXTAFTER($H108,":"))*(PptoSty[PiColumn]=Y$54),0)),SUM(IF((INDIRECT($B$3)=$B108)*(INDIRECT($C$3)=$D108)*((INDIRECT($E$3)="TOTS")+(INDIRECT($E$3)=$E108)),INDIRECT(Y$3)))),_xlpm.y,SUM(_xlfn.CHOOSECOLS(_xlfn._xlws.FILTER(F_RT14[],(F_RT14[PrjId]=$B108)*(F_RT14[Vrs]=$D108)*(_xlfn.TEXTAFTER(F_RT14[ActGrp],":")=_xlfn.TEXTAFTER($H108,":")),"X"),MATCH("*"&amp;Y$54,F_RT14[#Headers],0))),IF(AND(_xlpm.x=0,_xlpm.y&lt;&gt;0),-1,IF(AND(_xlpm.x&lt;&gt;0,_xlpm.y&lt;&gt;0),_xlpm.x,IF(AND(_xlpm.x-SUM(IF((INDIRECT($B$3)=$B108)*(INDIRECT($C$3)=$D108)*((INDIRECT($E$3)="TOTS")+(INDIRECT($E$3)=$E108)),INDIRECT(Y$3)))&lt;&gt;0,_xlpm.y=0),-2,_xlpm.x)))),0))</f>
        <v>0</v>
      </c>
      <c r="Z108" s="198" t="str">
        <f t="shared" ca="1" si="2"/>
        <v>Fback!B108:Y108</v>
      </c>
    </row>
    <row r="109" spans="2:26" ht="21" customHeight="1" outlineLevel="1">
      <c r="B109" s="128" t="str">
        <v>31199</v>
      </c>
      <c r="C109" s="128" t="str">
        <v>Sp</v>
      </c>
      <c r="D109" s="128">
        <v>0</v>
      </c>
      <c r="E109" s="128" t="str">
        <v>TOOL</v>
      </c>
      <c r="F109" s="139" t="str">
        <v>SERRA</v>
      </c>
      <c r="G109" s="139" t="str">
        <v>CurPpto</v>
      </c>
      <c r="H109" s="139" t="str">
        <v>P015:FIXTURE OP-620 TOWERS SUB-ASSY II</v>
      </c>
      <c r="I109" s="199" cm="1">
        <f t="array" aca="1" ref="I109" ca="1">IF(OR($B109="",$B109="X",$D109="",$D109="X",$E109="",$E109="X"),0,IFERROR(_xlfn.LET(_xlpm.x,SUM(SUM(_xlfn._xlws.FILTER(VALUE(PptoSty[Sign]&amp;1)*(1/PptoSty[Division]),(PptoSty[Division]&lt;&gt;0)*(PptoSty[Division]&lt;&gt;"")*(PptoSty[Division]&lt;&gt;"X")*(PptoSty[Project]=$B109)*(PptoSty[Vrs]=$D109)*(PptoSty[PiRow]=_xlfn.TEXTAFTER($H109,":"))*(PptoSty[PiColumn]=I$54),0)),SUM(IF((INDIRECT($B$3)=$B109)*(INDIRECT($C$3)=$D109)*((INDIRECT($E$3)="TOTS")+(INDIRECT($E$3)=$E109)),INDIRECT(I$3)))),_xlpm.y,SUM(_xlfn.CHOOSECOLS(_xlfn._xlws.FILTER(F_RT14[],(F_RT14[PrjId]=$B109)*(F_RT14[Vrs]=$D109)*(_xlfn.TEXTAFTER(F_RT14[ActGrp],":")=_xlfn.TEXTAFTER($H109,":")),"X"),MATCH("*"&amp;I$54,F_RT14[#Headers],0))),IF(AND(_xlpm.x=0,_xlpm.y&lt;&gt;0),-1,IF(AND(_xlpm.x&lt;&gt;0,_xlpm.y&lt;&gt;0),_xlpm.x,IF(AND(_xlpm.x-SUM(IF((INDIRECT($B$3)=$B109)*(INDIRECT($C$3)=$D109)*((INDIRECT($E$3)="TOTS")+(INDIRECT($E$3)=$E109)),INDIRECT(I$3)))&lt;&gt;0,_xlpm.y=0),-2,_xlpm.x)))),0))</f>
        <v>0</v>
      </c>
      <c r="J109" s="199" cm="1">
        <f t="array" aca="1" ref="J109" ca="1">IF(OR($B109="",$B109="X",$D109="",$D109="X",$E109="",$E109="X"),0,IFERROR(_xlfn.LET(_xlpm.x,SUM(SUM(_xlfn._xlws.FILTER(VALUE(PptoSty[Sign]&amp;1)*(1/PptoSty[Division]),(PptoSty[Division]&lt;&gt;0)*(PptoSty[Division]&lt;&gt;"")*(PptoSty[Division]&lt;&gt;"X")*(PptoSty[Project]=$B109)*(PptoSty[Vrs]=$D109)*(PptoSty[PiRow]=_xlfn.TEXTAFTER($H109,":"))*(PptoSty[PiColumn]=J$54),0)),SUM(IF((INDIRECT($B$3)=$B109)*(INDIRECT($C$3)=$D109)*((INDIRECT($E$3)="TOTS")+(INDIRECT($E$3)=$E109)),INDIRECT(J$3)))),_xlpm.y,SUM(_xlfn.CHOOSECOLS(_xlfn._xlws.FILTER(F_RT14[],(F_RT14[PrjId]=$B109)*(F_RT14[Vrs]=$D109)*(_xlfn.TEXTAFTER(F_RT14[ActGrp],":")=_xlfn.TEXTAFTER($H109,":")),"X"),MATCH("*"&amp;J$54,F_RT14[#Headers],0))),IF(AND(_xlpm.x=0,_xlpm.y&lt;&gt;0),-1,IF(AND(_xlpm.x&lt;&gt;0,_xlpm.y&lt;&gt;0),_xlpm.x,IF(AND(_xlpm.x-SUM(IF((INDIRECT($B$3)=$B109)*(INDIRECT($C$3)=$D109)*((INDIRECT($E$3)="TOTS")+(INDIRECT($E$3)=$E109)),INDIRECT(J$3)))&lt;&gt;0,_xlpm.y=0),-2,_xlpm.x)))),0))</f>
        <v>0</v>
      </c>
      <c r="K109" s="199" cm="1">
        <f t="array" aca="1" ref="K109" ca="1">IF(OR($B109="",$B109="X",$D109="",$D109="X",$E109="",$E109="X"),0,IFERROR(_xlfn.LET(_xlpm.x,SUM(SUM(_xlfn._xlws.FILTER(VALUE(PptoSty[Sign]&amp;1)*(1/PptoSty[Division]),(PptoSty[Division]&lt;&gt;0)*(PptoSty[Division]&lt;&gt;"")*(PptoSty[Division]&lt;&gt;"X")*(PptoSty[Project]=$B109)*(PptoSty[Vrs]=$D109)*(PptoSty[PiRow]=_xlfn.TEXTAFTER($H109,":"))*(PptoSty[PiColumn]=K$54),0)),SUM(IF((INDIRECT($B$3)=$B109)*(INDIRECT($C$3)=$D109)*((INDIRECT($E$3)="TOTS")+(INDIRECT($E$3)=$E109)),INDIRECT(K$3)))),_xlpm.y,SUM(_xlfn.CHOOSECOLS(_xlfn._xlws.FILTER(F_RT14[],(F_RT14[PrjId]=$B109)*(F_RT14[Vrs]=$D109)*(_xlfn.TEXTAFTER(F_RT14[ActGrp],":")=_xlfn.TEXTAFTER($H109,":")),"X"),MATCH("*"&amp;K$54,F_RT14[#Headers],0))),IF(AND(_xlpm.x=0,_xlpm.y&lt;&gt;0),-1,IF(AND(_xlpm.x&lt;&gt;0,_xlpm.y&lt;&gt;0),_xlpm.x,IF(AND(_xlpm.x-SUM(IF((INDIRECT($B$3)=$B109)*(INDIRECT($C$3)=$D109)*((INDIRECT($E$3)="TOTS")+(INDIRECT($E$3)=$E109)),INDIRECT(K$3)))&lt;&gt;0,_xlpm.y=0),-2,_xlpm.x)))),0))</f>
        <v>-1</v>
      </c>
      <c r="L109" s="199" cm="1">
        <f t="array" aca="1" ref="L109" ca="1">IF(OR($B109="",$B109="X",$D109="",$D109="X",$E109="",$E109="X"),0,IFERROR(_xlfn.LET(_xlpm.x,SUM(SUM(_xlfn._xlws.FILTER(VALUE(PptoSty[Sign]&amp;1)*(1/PptoSty[Division]),(PptoSty[Division]&lt;&gt;0)*(PptoSty[Division]&lt;&gt;"")*(PptoSty[Division]&lt;&gt;"X")*(PptoSty[Project]=$B109)*(PptoSty[Vrs]=$D109)*(PptoSty[PiRow]=_xlfn.TEXTAFTER($H109,":"))*(PptoSty[PiColumn]=L$54),0)),SUM(IF((INDIRECT($B$3)=$B109)*(INDIRECT($C$3)=$D109)*((INDIRECT($E$3)="TOTS")+(INDIRECT($E$3)=$E109)),INDIRECT(L$3)))),_xlpm.y,SUM(_xlfn.CHOOSECOLS(_xlfn._xlws.FILTER(F_RT14[],(F_RT14[PrjId]=$B109)*(F_RT14[Vrs]=$D109)*(_xlfn.TEXTAFTER(F_RT14[ActGrp],":")=_xlfn.TEXTAFTER($H109,":")),"X"),MATCH("*"&amp;L$54,F_RT14[#Headers],0))),IF(AND(_xlpm.x=0,_xlpm.y&lt;&gt;0),-1,IF(AND(_xlpm.x&lt;&gt;0,_xlpm.y&lt;&gt;0),_xlpm.x,IF(AND(_xlpm.x-SUM(IF((INDIRECT($B$3)=$B109)*(INDIRECT($C$3)=$D109)*((INDIRECT($E$3)="TOTS")+(INDIRECT($E$3)=$E109)),INDIRECT(L$3)))&lt;&gt;0,_xlpm.y=0),-2,_xlpm.x)))),0))</f>
        <v>0</v>
      </c>
      <c r="M109" s="199" cm="1">
        <f t="array" aca="1" ref="M109" ca="1">IF(OR($B109="",$B109="X",$D109="",$D109="X",$E109="",$E109="X"),0,IFERROR(_xlfn.LET(_xlpm.x,SUM(SUM(_xlfn._xlws.FILTER(VALUE(PptoSty[Sign]&amp;1)*(1/PptoSty[Division]),(PptoSty[Division]&lt;&gt;0)*(PptoSty[Division]&lt;&gt;"")*(PptoSty[Division]&lt;&gt;"X")*(PptoSty[Project]=$B109)*(PptoSty[Vrs]=$D109)*(PptoSty[PiRow]=_xlfn.TEXTAFTER($H109,":"))*(PptoSty[PiColumn]=M$54),0)),SUM(IF((INDIRECT($B$3)=$B109)*(INDIRECT($C$3)=$D109)*((INDIRECT($E$3)="TOTS")+(INDIRECT($E$3)=$E109)),INDIRECT(M$3)))),_xlpm.y,SUM(_xlfn.CHOOSECOLS(_xlfn._xlws.FILTER(F_RT14[],(F_RT14[PrjId]=$B109)*(F_RT14[Vrs]=$D109)*(_xlfn.TEXTAFTER(F_RT14[ActGrp],":")=_xlfn.TEXTAFTER($H109,":")),"X"),MATCH("*"&amp;M$54,F_RT14[#Headers],0))),IF(AND(_xlpm.x=0,_xlpm.y&lt;&gt;0),-1,IF(AND(_xlpm.x&lt;&gt;0,_xlpm.y&lt;&gt;0),_xlpm.x,IF(AND(_xlpm.x-SUM(IF((INDIRECT($B$3)=$B109)*(INDIRECT($C$3)=$D109)*((INDIRECT($E$3)="TOTS")+(INDIRECT($E$3)=$E109)),INDIRECT(M$3)))&lt;&gt;0,_xlpm.y=0),-2,_xlpm.x)))),0))</f>
        <v>0</v>
      </c>
      <c r="N109" s="199" cm="1">
        <f t="array" aca="1" ref="N109" ca="1">IF(OR($B109="",$B109="X",$D109="",$D109="X",$E109="",$E109="X"),0,IFERROR(_xlfn.LET(_xlpm.x,SUM(SUM(_xlfn._xlws.FILTER(VALUE(PptoSty[Sign]&amp;1)*(1/PptoSty[Division]),(PptoSty[Division]&lt;&gt;0)*(PptoSty[Division]&lt;&gt;"")*(PptoSty[Division]&lt;&gt;"X")*(PptoSty[Project]=$B109)*(PptoSty[Vrs]=$D109)*(PptoSty[PiRow]=_xlfn.TEXTAFTER($H109,":"))*(PptoSty[PiColumn]=N$54),0)),SUM(IF((INDIRECT($B$3)=$B109)*(INDIRECT($C$3)=$D109)*((INDIRECT($E$3)="TOTS")+(INDIRECT($E$3)=$E109)),INDIRECT(N$3)))),_xlpm.y,SUM(_xlfn.CHOOSECOLS(_xlfn._xlws.FILTER(F_RT14[],(F_RT14[PrjId]=$B109)*(F_RT14[Vrs]=$D109)*(_xlfn.TEXTAFTER(F_RT14[ActGrp],":")=_xlfn.TEXTAFTER($H109,":")),"X"),MATCH("*"&amp;N$54,F_RT14[#Headers],0))),IF(AND(_xlpm.x=0,_xlpm.y&lt;&gt;0),-1,IF(AND(_xlpm.x&lt;&gt;0,_xlpm.y&lt;&gt;0),_xlpm.x,IF(AND(_xlpm.x-SUM(IF((INDIRECT($B$3)=$B109)*(INDIRECT($C$3)=$D109)*((INDIRECT($E$3)="TOTS")+(INDIRECT($E$3)=$E109)),INDIRECT(N$3)))&lt;&gt;0,_xlpm.y=0),-2,_xlpm.x)))),0))</f>
        <v>0</v>
      </c>
      <c r="O109" s="199" cm="1">
        <f t="array" aca="1" ref="O109" ca="1">IF(OR($B109="",$B109="X",$D109="",$D109="X",$E109="",$E109="X"),0,IFERROR(_xlfn.LET(_xlpm.x,SUM(SUM(_xlfn._xlws.FILTER(VALUE(PptoSty[Sign]&amp;1)*(1/PptoSty[Division]),(PptoSty[Division]&lt;&gt;0)*(PptoSty[Division]&lt;&gt;"")*(PptoSty[Division]&lt;&gt;"X")*(PptoSty[Project]=$B109)*(PptoSty[Vrs]=$D109)*(PptoSty[PiRow]=_xlfn.TEXTAFTER($H109,":"))*(PptoSty[PiColumn]=O$54),0)),SUM(IF((INDIRECT($B$3)=$B109)*(INDIRECT($C$3)=$D109)*((INDIRECT($E$3)="TOTS")+(INDIRECT($E$3)=$E109)),INDIRECT(O$3)))),_xlpm.y,SUM(_xlfn.CHOOSECOLS(_xlfn._xlws.FILTER(F_RT14[],(F_RT14[PrjId]=$B109)*(F_RT14[Vrs]=$D109)*(_xlfn.TEXTAFTER(F_RT14[ActGrp],":")=_xlfn.TEXTAFTER($H109,":")),"X"),MATCH("*"&amp;O$54,F_RT14[#Headers],0))),IF(AND(_xlpm.x=0,_xlpm.y&lt;&gt;0),-1,IF(AND(_xlpm.x&lt;&gt;0,_xlpm.y&lt;&gt;0),_xlpm.x,IF(AND(_xlpm.x-SUM(IF((INDIRECT($B$3)=$B109)*(INDIRECT($C$3)=$D109)*((INDIRECT($E$3)="TOTS")+(INDIRECT($E$3)=$E109)),INDIRECT(O$3)))&lt;&gt;0,_xlpm.y=0),-2,_xlpm.x)))),0))</f>
        <v>0</v>
      </c>
      <c r="P109" s="199" cm="1">
        <f t="array" aca="1" ref="P109" ca="1">IF(OR($B109="",$B109="X",$D109="",$D109="X",$E109="",$E109="X"),0,IFERROR(_xlfn.LET(_xlpm.x,SUM(SUM(_xlfn._xlws.FILTER(VALUE(PptoSty[Sign]&amp;1)*(1/PptoSty[Division]),(PptoSty[Division]&lt;&gt;0)*(PptoSty[Division]&lt;&gt;"")*(PptoSty[Division]&lt;&gt;"X")*(PptoSty[Project]=$B109)*(PptoSty[Vrs]=$D109)*(PptoSty[PiRow]=_xlfn.TEXTAFTER($H109,":"))*(PptoSty[PiColumn]=P$54),0)),SUM(IF((INDIRECT($B$3)=$B109)*(INDIRECT($C$3)=$D109)*((INDIRECT($E$3)="TOTS")+(INDIRECT($E$3)=$E109)),INDIRECT(P$3)))),_xlpm.y,SUM(_xlfn.CHOOSECOLS(_xlfn._xlws.FILTER(F_RT14[],(F_RT14[PrjId]=$B109)*(F_RT14[Vrs]=$D109)*(_xlfn.TEXTAFTER(F_RT14[ActGrp],":")=_xlfn.TEXTAFTER($H109,":")),"X"),MATCH("*"&amp;P$54,F_RT14[#Headers],0))),IF(AND(_xlpm.x=0,_xlpm.y&lt;&gt;0),-1,IF(AND(_xlpm.x&lt;&gt;0,_xlpm.y&lt;&gt;0),_xlpm.x,IF(AND(_xlpm.x-SUM(IF((INDIRECT($B$3)=$B109)*(INDIRECT($C$3)=$D109)*((INDIRECT($E$3)="TOTS")+(INDIRECT($E$3)=$E109)),INDIRECT(P$3)))&lt;&gt;0,_xlpm.y=0),-2,_xlpm.x)))),0))</f>
        <v>-1</v>
      </c>
      <c r="Q109" s="199" cm="1">
        <f t="array" aca="1" ref="Q109" ca="1">IF(OR($B109="",$B109="X",$D109="",$D109="X",$E109="",$E109="X"),0,IFERROR(_xlfn.LET(_xlpm.x,SUM(SUM(_xlfn._xlws.FILTER(VALUE(PptoSty[Sign]&amp;1)*(1/PptoSty[Division]),(PptoSty[Division]&lt;&gt;0)*(PptoSty[Division]&lt;&gt;"")*(PptoSty[Division]&lt;&gt;"X")*(PptoSty[Project]=$B109)*(PptoSty[Vrs]=$D109)*(PptoSty[PiRow]=_xlfn.TEXTAFTER($H109,":"))*(PptoSty[PiColumn]=Q$54),0)),SUM(IF((INDIRECT($B$3)=$B109)*(INDIRECT($C$3)=$D109)*((INDIRECT($E$3)="TOTS")+(INDIRECT($E$3)=$E109)),INDIRECT(Q$3)))),_xlpm.y,SUM(_xlfn.CHOOSECOLS(_xlfn._xlws.FILTER(F_RT14[],(F_RT14[PrjId]=$B109)*(F_RT14[Vrs]=$D109)*(_xlfn.TEXTAFTER(F_RT14[ActGrp],":")=_xlfn.TEXTAFTER($H109,":")),"X"),MATCH("*"&amp;Q$54,F_RT14[#Headers],0))),IF(AND(_xlpm.x=0,_xlpm.y&lt;&gt;0),-1,IF(AND(_xlpm.x&lt;&gt;0,_xlpm.y&lt;&gt;0),_xlpm.x,IF(AND(_xlpm.x-SUM(IF((INDIRECT($B$3)=$B109)*(INDIRECT($C$3)=$D109)*((INDIRECT($E$3)="TOTS")+(INDIRECT($E$3)=$E109)),INDIRECT(Q$3)))&lt;&gt;0,_xlpm.y=0),-2,_xlpm.x)))),0))</f>
        <v>-1</v>
      </c>
      <c r="R109" s="199" cm="1">
        <f t="array" aca="1" ref="R109" ca="1">IF(OR($B109="",$B109="X",$D109="",$D109="X",$E109="",$E109="X"),0,IFERROR(_xlfn.LET(_xlpm.x,SUM(SUM(_xlfn._xlws.FILTER(VALUE(PptoSty[Sign]&amp;1)*(1/PptoSty[Division]),(PptoSty[Division]&lt;&gt;0)*(PptoSty[Division]&lt;&gt;"")*(PptoSty[Division]&lt;&gt;"X")*(PptoSty[Project]=$B109)*(PptoSty[Vrs]=$D109)*(PptoSty[PiRow]=_xlfn.TEXTAFTER($H109,":"))*(PptoSty[PiColumn]=R$54),0)),SUM(IF((INDIRECT($B$3)=$B109)*(INDIRECT($C$3)=$D109)*((INDIRECT($E$3)="TOTS")+(INDIRECT($E$3)=$E109)),INDIRECT(R$3)))),_xlpm.y,SUM(_xlfn.CHOOSECOLS(_xlfn._xlws.FILTER(F_RT14[],(F_RT14[PrjId]=$B109)*(F_RT14[Vrs]=$D109)*(_xlfn.TEXTAFTER(F_RT14[ActGrp],":")=_xlfn.TEXTAFTER($H109,":")),"X"),MATCH("*"&amp;R$54,F_RT14[#Headers],0))),IF(AND(_xlpm.x=0,_xlpm.y&lt;&gt;0),-1,IF(AND(_xlpm.x&lt;&gt;0,_xlpm.y&lt;&gt;0),_xlpm.x,IF(AND(_xlpm.x-SUM(IF((INDIRECT($B$3)=$B109)*(INDIRECT($C$3)=$D109)*((INDIRECT($E$3)="TOTS")+(INDIRECT($E$3)=$E109)),INDIRECT(R$3)))&lt;&gt;0,_xlpm.y=0),-2,_xlpm.x)))),0))</f>
        <v>-1</v>
      </c>
      <c r="S109" s="199" cm="1">
        <f t="array" aca="1" ref="S109" ca="1">IF(OR($B109="",$B109="X",$D109="",$D109="X",$E109="",$E109="X"),0,IFERROR(_xlfn.LET(_xlpm.x,SUM(SUM(_xlfn._xlws.FILTER(VALUE(PptoSty[Sign]&amp;1)*(1/PptoSty[Division]),(PptoSty[Division]&lt;&gt;0)*(PptoSty[Division]&lt;&gt;"")*(PptoSty[Division]&lt;&gt;"X")*(PptoSty[Project]=$B109)*(PptoSty[Vrs]=$D109)*(PptoSty[PiRow]=_xlfn.TEXTAFTER($H109,":"))*(PptoSty[PiColumn]=S$54),0)),SUM(IF((INDIRECT($B$3)=$B109)*(INDIRECT($C$3)=$D109)*((INDIRECT($E$3)="TOTS")+(INDIRECT($E$3)=$E109)),INDIRECT(S$3)))),_xlpm.y,SUM(_xlfn.CHOOSECOLS(_xlfn._xlws.FILTER(F_RT14[],(F_RT14[PrjId]=$B109)*(F_RT14[Vrs]=$D109)*(_xlfn.TEXTAFTER(F_RT14[ActGrp],":")=_xlfn.TEXTAFTER($H109,":")),"X"),MATCH("*"&amp;S$54,F_RT14[#Headers],0))),IF(AND(_xlpm.x=0,_xlpm.y&lt;&gt;0),-1,IF(AND(_xlpm.x&lt;&gt;0,_xlpm.y&lt;&gt;0),_xlpm.x,IF(AND(_xlpm.x-SUM(IF((INDIRECT($B$3)=$B109)*(INDIRECT($C$3)=$D109)*((INDIRECT($E$3)="TOTS")+(INDIRECT($E$3)=$E109)),INDIRECT(S$3)))&lt;&gt;0,_xlpm.y=0),-2,_xlpm.x)))),0))</f>
        <v>0</v>
      </c>
      <c r="T109" s="199" cm="1">
        <f t="array" aca="1" ref="T109" ca="1">IF(OR($B109="",$B109="X",$D109="",$D109="X",$E109="",$E109="X"),0,IFERROR(_xlfn.LET(_xlpm.x,SUM(SUM(_xlfn._xlws.FILTER(VALUE(PptoSty[Sign]&amp;1)*(1/PptoSty[Division]),(PptoSty[Division]&lt;&gt;0)*(PptoSty[Division]&lt;&gt;"")*(PptoSty[Division]&lt;&gt;"X")*(PptoSty[Project]=$B109)*(PptoSty[Vrs]=$D109)*(PptoSty[PiRow]=_xlfn.TEXTAFTER($H109,":"))*(PptoSty[PiColumn]=T$54),0)),SUM(IF((INDIRECT($B$3)=$B109)*(INDIRECT($C$3)=$D109)*((INDIRECT($E$3)="TOTS")+(INDIRECT($E$3)=$E109)),INDIRECT(T$3)))),_xlpm.y,SUM(_xlfn.CHOOSECOLS(_xlfn._xlws.FILTER(F_RT14[],(F_RT14[PrjId]=$B109)*(F_RT14[Vrs]=$D109)*(_xlfn.TEXTAFTER(F_RT14[ActGrp],":")=_xlfn.TEXTAFTER($H109,":")),"X"),MATCH("*"&amp;T$54,F_RT14[#Headers],0))),IF(AND(_xlpm.x=0,_xlpm.y&lt;&gt;0),-1,IF(AND(_xlpm.x&lt;&gt;0,_xlpm.y&lt;&gt;0),_xlpm.x,IF(AND(_xlpm.x-SUM(IF((INDIRECT($B$3)=$B109)*(INDIRECT($C$3)=$D109)*((INDIRECT($E$3)="TOTS")+(INDIRECT($E$3)=$E109)),INDIRECT(T$3)))&lt;&gt;0,_xlpm.y=0),-2,_xlpm.x)))),0))</f>
        <v>0</v>
      </c>
      <c r="U109" s="199" cm="1">
        <f t="array" aca="1" ref="U109" ca="1">IF(OR($B109="",$B109="X",$D109="",$D109="X",$E109="",$E109="X"),0,IFERROR(_xlfn.LET(_xlpm.x,SUM(SUM(_xlfn._xlws.FILTER(VALUE(PptoSty[Sign]&amp;1)*(1/PptoSty[Division]),(PptoSty[Division]&lt;&gt;0)*(PptoSty[Division]&lt;&gt;"")*(PptoSty[Division]&lt;&gt;"X")*(PptoSty[Project]=$B109)*(PptoSty[Vrs]=$D109)*(PptoSty[PiRow]=_xlfn.TEXTAFTER($H109,":"))*(PptoSty[PiColumn]=U$54),0)),SUM(IF((INDIRECT($B$3)=$B109)*(INDIRECT($C$3)=$D109)*((INDIRECT($E$3)="TOTS")+(INDIRECT($E$3)=$E109)),INDIRECT(U$3)))),_xlpm.y,SUM(_xlfn.CHOOSECOLS(_xlfn._xlws.FILTER(F_RT14[],(F_RT14[PrjId]=$B109)*(F_RT14[Vrs]=$D109)*(_xlfn.TEXTAFTER(F_RT14[ActGrp],":")=_xlfn.TEXTAFTER($H109,":")),"X"),MATCH("*"&amp;U$54,F_RT14[#Headers],0))),IF(AND(_xlpm.x=0,_xlpm.y&lt;&gt;0),-1,IF(AND(_xlpm.x&lt;&gt;0,_xlpm.y&lt;&gt;0),_xlpm.x,IF(AND(_xlpm.x-SUM(IF((INDIRECT($B$3)=$B109)*(INDIRECT($C$3)=$D109)*((INDIRECT($E$3)="TOTS")+(INDIRECT($E$3)=$E109)),INDIRECT(U$3)))&lt;&gt;0,_xlpm.y=0),-2,_xlpm.x)))),0))</f>
        <v>0</v>
      </c>
      <c r="V109" s="199" cm="1">
        <f t="array" aca="1" ref="V109" ca="1">IF(OR($B109="",$B109="X",$D109="",$D109="X",$E109="",$E109="X"),0,IFERROR(_xlfn.LET(_xlpm.x,SUM(SUM(_xlfn._xlws.FILTER(VALUE(PptoSty[Sign]&amp;1)*(1/PptoSty[Division]),(PptoSty[Division]&lt;&gt;0)*(PptoSty[Division]&lt;&gt;"")*(PptoSty[Division]&lt;&gt;"X")*(PptoSty[Project]=$B109)*(PptoSty[Vrs]=$D109)*(PptoSty[PiRow]=_xlfn.TEXTAFTER($H109,":"))*(PptoSty[PiColumn]=V$54),0)),SUM(IF((INDIRECT($B$3)=$B109)*(INDIRECT($C$3)=$D109)*((INDIRECT($E$3)="TOTS")+(INDIRECT($E$3)=$E109)),INDIRECT(V$3)))),_xlpm.y,SUM(_xlfn.CHOOSECOLS(_xlfn._xlws.FILTER(F_RT14[],(F_RT14[PrjId]=$B109)*(F_RT14[Vrs]=$D109)*(_xlfn.TEXTAFTER(F_RT14[ActGrp],":")=_xlfn.TEXTAFTER($H109,":")),"X"),MATCH("*"&amp;V$54,F_RT14[#Headers],0))),IF(AND(_xlpm.x=0,_xlpm.y&lt;&gt;0),-1,IF(AND(_xlpm.x&lt;&gt;0,_xlpm.y&lt;&gt;0),_xlpm.x,IF(AND(_xlpm.x-SUM(IF((INDIRECT($B$3)=$B109)*(INDIRECT($C$3)=$D109)*((INDIRECT($E$3)="TOTS")+(INDIRECT($E$3)=$E109)),INDIRECT(V$3)))&lt;&gt;0,_xlpm.y=0),-2,_xlpm.x)))),0))</f>
        <v>-1</v>
      </c>
      <c r="W109" s="199" cm="1">
        <f t="array" aca="1" ref="W109" ca="1">IF(OR($B109="",$B109="X",$D109="",$D109="X",$E109="",$E109="X"),0,IFERROR(_xlfn.LET(_xlpm.x,SUM(SUM(_xlfn._xlws.FILTER(VALUE(PptoSty[Sign]&amp;1)*(1/PptoSty[Division]),(PptoSty[Division]&lt;&gt;0)*(PptoSty[Division]&lt;&gt;"")*(PptoSty[Division]&lt;&gt;"X")*(PptoSty[Project]=$B109)*(PptoSty[Vrs]=$D109)*(PptoSty[PiRow]=_xlfn.TEXTAFTER($H109,":"))*(PptoSty[PiColumn]=W$54),0)),SUM(IF((INDIRECT($B$3)=$B109)*(INDIRECT($C$3)=$D109)*((INDIRECT($E$3)="TOTS")+(INDIRECT($E$3)=$E109)),INDIRECT(W$3)))),_xlpm.y,SUM(_xlfn.CHOOSECOLS(_xlfn._xlws.FILTER(F_RT14[],(F_RT14[PrjId]=$B109)*(F_RT14[Vrs]=$D109)*(_xlfn.TEXTAFTER(F_RT14[ActGrp],":")=_xlfn.TEXTAFTER($H109,":")),"X"),MATCH("*"&amp;W$54,F_RT14[#Headers],0))),IF(AND(_xlpm.x=0,_xlpm.y&lt;&gt;0),-1,IF(AND(_xlpm.x&lt;&gt;0,_xlpm.y&lt;&gt;0),_xlpm.x,IF(AND(_xlpm.x-SUM(IF((INDIRECT($B$3)=$B109)*(INDIRECT($C$3)=$D109)*((INDIRECT($E$3)="TOTS")+(INDIRECT($E$3)=$E109)),INDIRECT(W$3)))&lt;&gt;0,_xlpm.y=0),-2,_xlpm.x)))),0))</f>
        <v>0</v>
      </c>
      <c r="X109" s="199" cm="1">
        <f t="array" aca="1" ref="X109" ca="1">IF(OR($B109="",$B109="X",$D109="",$D109="X",$E109="",$E109="X"),0,IFERROR(_xlfn.LET(_xlpm.x,SUM(SUM(_xlfn._xlws.FILTER(VALUE(PptoSty[Sign]&amp;1)*(1/PptoSty[Division]),(PptoSty[Division]&lt;&gt;0)*(PptoSty[Division]&lt;&gt;"")*(PptoSty[Division]&lt;&gt;"X")*(PptoSty[Project]=$B109)*(PptoSty[Vrs]=$D109)*(PptoSty[PiRow]=_xlfn.TEXTAFTER($H109,":"))*(PptoSty[PiColumn]=X$54),0)),SUM(IF((INDIRECT($B$3)=$B109)*(INDIRECT($C$3)=$D109)*((INDIRECT($E$3)="TOTS")+(INDIRECT($E$3)=$E109)),INDIRECT(X$3)))),_xlpm.y,SUM(_xlfn.CHOOSECOLS(_xlfn._xlws.FILTER(F_RT14[],(F_RT14[PrjId]=$B109)*(F_RT14[Vrs]=$D109)*(_xlfn.TEXTAFTER(F_RT14[ActGrp],":")=_xlfn.TEXTAFTER($H109,":")),"X"),MATCH("*"&amp;X$54,F_RT14[#Headers],0))),IF(AND(_xlpm.x=0,_xlpm.y&lt;&gt;0),-1,IF(AND(_xlpm.x&lt;&gt;0,_xlpm.y&lt;&gt;0),_xlpm.x,IF(AND(_xlpm.x-SUM(IF((INDIRECT($B$3)=$B109)*(INDIRECT($C$3)=$D109)*((INDIRECT($E$3)="TOTS")+(INDIRECT($E$3)=$E109)),INDIRECT(X$3)))&lt;&gt;0,_xlpm.y=0),-2,_xlpm.x)))),0))</f>
        <v>0</v>
      </c>
      <c r="Y109" s="199" cm="1">
        <f t="array" aca="1" ref="Y109" ca="1">IF(OR($B109="",$B109="X",$D109="",$D109="X",$E109="",$E109="X"),0,IFERROR(_xlfn.LET(_xlpm.x,SUM(SUM(_xlfn._xlws.FILTER(VALUE(PptoSty[Sign]&amp;1)*(1/PptoSty[Division]),(PptoSty[Division]&lt;&gt;0)*(PptoSty[Division]&lt;&gt;"")*(PptoSty[Division]&lt;&gt;"X")*(PptoSty[Project]=$B109)*(PptoSty[Vrs]=$D109)*(PptoSty[PiRow]=_xlfn.TEXTAFTER($H109,":"))*(PptoSty[PiColumn]=Y$54),0)),SUM(IF((INDIRECT($B$3)=$B109)*(INDIRECT($C$3)=$D109)*((INDIRECT($E$3)="TOTS")+(INDIRECT($E$3)=$E109)),INDIRECT(Y$3)))),_xlpm.y,SUM(_xlfn.CHOOSECOLS(_xlfn._xlws.FILTER(F_RT14[],(F_RT14[PrjId]=$B109)*(F_RT14[Vrs]=$D109)*(_xlfn.TEXTAFTER(F_RT14[ActGrp],":")=_xlfn.TEXTAFTER($H109,":")),"X"),MATCH("*"&amp;Y$54,F_RT14[#Headers],0))),IF(AND(_xlpm.x=0,_xlpm.y&lt;&gt;0),-1,IF(AND(_xlpm.x&lt;&gt;0,_xlpm.y&lt;&gt;0),_xlpm.x,IF(AND(_xlpm.x-SUM(IF((INDIRECT($B$3)=$B109)*(INDIRECT($C$3)=$D109)*((INDIRECT($E$3)="TOTS")+(INDIRECT($E$3)=$E109)),INDIRECT(Y$3)))&lt;&gt;0,_xlpm.y=0),-2,_xlpm.x)))),0))</f>
        <v>0</v>
      </c>
      <c r="Z109" s="198" t="str">
        <f t="shared" ca="1" si="2"/>
        <v>Fback!B109:Y109</v>
      </c>
    </row>
    <row r="110" spans="2:26" ht="21" customHeight="1" outlineLevel="1">
      <c r="B110" s="128" t="str">
        <v>31199</v>
      </c>
      <c r="C110" s="128" t="str">
        <v>Sp</v>
      </c>
      <c r="D110" s="128">
        <v>0</v>
      </c>
      <c r="E110" s="128" t="str">
        <v>TOOL</v>
      </c>
      <c r="F110" s="139" t="str">
        <v>SERRA</v>
      </c>
      <c r="G110" s="139" t="str">
        <v>CurPpto</v>
      </c>
      <c r="H110" s="139" t="str">
        <v>P016:OP-735 NEST</v>
      </c>
      <c r="I110" s="199" cm="1">
        <f t="array" aca="1" ref="I110" ca="1">IF(OR($B110="",$B110="X",$D110="",$D110="X",$E110="",$E110="X"),0,IFERROR(_xlfn.LET(_xlpm.x,SUM(SUM(_xlfn._xlws.FILTER(VALUE(PptoSty[Sign]&amp;1)*(1/PptoSty[Division]),(PptoSty[Division]&lt;&gt;0)*(PptoSty[Division]&lt;&gt;"")*(PptoSty[Division]&lt;&gt;"X")*(PptoSty[Project]=$B110)*(PptoSty[Vrs]=$D110)*(PptoSty[PiRow]=_xlfn.TEXTAFTER($H110,":"))*(PptoSty[PiColumn]=I$54),0)),SUM(IF((INDIRECT($B$3)=$B110)*(INDIRECT($C$3)=$D110)*((INDIRECT($E$3)="TOTS")+(INDIRECT($E$3)=$E110)),INDIRECT(I$3)))),_xlpm.y,SUM(_xlfn.CHOOSECOLS(_xlfn._xlws.FILTER(F_RT14[],(F_RT14[PrjId]=$B110)*(F_RT14[Vrs]=$D110)*(_xlfn.TEXTAFTER(F_RT14[ActGrp],":")=_xlfn.TEXTAFTER($H110,":")),"X"),MATCH("*"&amp;I$54,F_RT14[#Headers],0))),IF(AND(_xlpm.x=0,_xlpm.y&lt;&gt;0),-1,IF(AND(_xlpm.x&lt;&gt;0,_xlpm.y&lt;&gt;0),_xlpm.x,IF(AND(_xlpm.x-SUM(IF((INDIRECT($B$3)=$B110)*(INDIRECT($C$3)=$D110)*((INDIRECT($E$3)="TOTS")+(INDIRECT($E$3)=$E110)),INDIRECT(I$3)))&lt;&gt;0,_xlpm.y=0),-2,_xlpm.x)))),0))</f>
        <v>0</v>
      </c>
      <c r="J110" s="199" cm="1">
        <f t="array" aca="1" ref="J110" ca="1">IF(OR($B110="",$B110="X",$D110="",$D110="X",$E110="",$E110="X"),0,IFERROR(_xlfn.LET(_xlpm.x,SUM(SUM(_xlfn._xlws.FILTER(VALUE(PptoSty[Sign]&amp;1)*(1/PptoSty[Division]),(PptoSty[Division]&lt;&gt;0)*(PptoSty[Division]&lt;&gt;"")*(PptoSty[Division]&lt;&gt;"X")*(PptoSty[Project]=$B110)*(PptoSty[Vrs]=$D110)*(PptoSty[PiRow]=_xlfn.TEXTAFTER($H110,":"))*(PptoSty[PiColumn]=J$54),0)),SUM(IF((INDIRECT($B$3)=$B110)*(INDIRECT($C$3)=$D110)*((INDIRECT($E$3)="TOTS")+(INDIRECT($E$3)=$E110)),INDIRECT(J$3)))),_xlpm.y,SUM(_xlfn.CHOOSECOLS(_xlfn._xlws.FILTER(F_RT14[],(F_RT14[PrjId]=$B110)*(F_RT14[Vrs]=$D110)*(_xlfn.TEXTAFTER(F_RT14[ActGrp],":")=_xlfn.TEXTAFTER($H110,":")),"X"),MATCH("*"&amp;J$54,F_RT14[#Headers],0))),IF(AND(_xlpm.x=0,_xlpm.y&lt;&gt;0),-1,IF(AND(_xlpm.x&lt;&gt;0,_xlpm.y&lt;&gt;0),_xlpm.x,IF(AND(_xlpm.x-SUM(IF((INDIRECT($B$3)=$B110)*(INDIRECT($C$3)=$D110)*((INDIRECT($E$3)="TOTS")+(INDIRECT($E$3)=$E110)),INDIRECT(J$3)))&lt;&gt;0,_xlpm.y=0),-2,_xlpm.x)))),0))</f>
        <v>0</v>
      </c>
      <c r="K110" s="199" cm="1">
        <f t="array" aca="1" ref="K110" ca="1">IF(OR($B110="",$B110="X",$D110="",$D110="X",$E110="",$E110="X"),0,IFERROR(_xlfn.LET(_xlpm.x,SUM(SUM(_xlfn._xlws.FILTER(VALUE(PptoSty[Sign]&amp;1)*(1/PptoSty[Division]),(PptoSty[Division]&lt;&gt;0)*(PptoSty[Division]&lt;&gt;"")*(PptoSty[Division]&lt;&gt;"X")*(PptoSty[Project]=$B110)*(PptoSty[Vrs]=$D110)*(PptoSty[PiRow]=_xlfn.TEXTAFTER($H110,":"))*(PptoSty[PiColumn]=K$54),0)),SUM(IF((INDIRECT($B$3)=$B110)*(INDIRECT($C$3)=$D110)*((INDIRECT($E$3)="TOTS")+(INDIRECT($E$3)=$E110)),INDIRECT(K$3)))),_xlpm.y,SUM(_xlfn.CHOOSECOLS(_xlfn._xlws.FILTER(F_RT14[],(F_RT14[PrjId]=$B110)*(F_RT14[Vrs]=$D110)*(_xlfn.TEXTAFTER(F_RT14[ActGrp],":")=_xlfn.TEXTAFTER($H110,":")),"X"),MATCH("*"&amp;K$54,F_RT14[#Headers],0))),IF(AND(_xlpm.x=0,_xlpm.y&lt;&gt;0),-1,IF(AND(_xlpm.x&lt;&gt;0,_xlpm.y&lt;&gt;0),_xlpm.x,IF(AND(_xlpm.x-SUM(IF((INDIRECT($B$3)=$B110)*(INDIRECT($C$3)=$D110)*((INDIRECT($E$3)="TOTS")+(INDIRECT($E$3)=$E110)),INDIRECT(K$3)))&lt;&gt;0,_xlpm.y=0),-2,_xlpm.x)))),0))</f>
        <v>-1</v>
      </c>
      <c r="L110" s="199" cm="1">
        <f t="array" aca="1" ref="L110" ca="1">IF(OR($B110="",$B110="X",$D110="",$D110="X",$E110="",$E110="X"),0,IFERROR(_xlfn.LET(_xlpm.x,SUM(SUM(_xlfn._xlws.FILTER(VALUE(PptoSty[Sign]&amp;1)*(1/PptoSty[Division]),(PptoSty[Division]&lt;&gt;0)*(PptoSty[Division]&lt;&gt;"")*(PptoSty[Division]&lt;&gt;"X")*(PptoSty[Project]=$B110)*(PptoSty[Vrs]=$D110)*(PptoSty[PiRow]=_xlfn.TEXTAFTER($H110,":"))*(PptoSty[PiColumn]=L$54),0)),SUM(IF((INDIRECT($B$3)=$B110)*(INDIRECT($C$3)=$D110)*((INDIRECT($E$3)="TOTS")+(INDIRECT($E$3)=$E110)),INDIRECT(L$3)))),_xlpm.y,SUM(_xlfn.CHOOSECOLS(_xlfn._xlws.FILTER(F_RT14[],(F_RT14[PrjId]=$B110)*(F_RT14[Vrs]=$D110)*(_xlfn.TEXTAFTER(F_RT14[ActGrp],":")=_xlfn.TEXTAFTER($H110,":")),"X"),MATCH("*"&amp;L$54,F_RT14[#Headers],0))),IF(AND(_xlpm.x=0,_xlpm.y&lt;&gt;0),-1,IF(AND(_xlpm.x&lt;&gt;0,_xlpm.y&lt;&gt;0),_xlpm.x,IF(AND(_xlpm.x-SUM(IF((INDIRECT($B$3)=$B110)*(INDIRECT($C$3)=$D110)*((INDIRECT($E$3)="TOTS")+(INDIRECT($E$3)=$E110)),INDIRECT(L$3)))&lt;&gt;0,_xlpm.y=0),-2,_xlpm.x)))),0))</f>
        <v>0</v>
      </c>
      <c r="M110" s="199" cm="1">
        <f t="array" aca="1" ref="M110" ca="1">IF(OR($B110="",$B110="X",$D110="",$D110="X",$E110="",$E110="X"),0,IFERROR(_xlfn.LET(_xlpm.x,SUM(SUM(_xlfn._xlws.FILTER(VALUE(PptoSty[Sign]&amp;1)*(1/PptoSty[Division]),(PptoSty[Division]&lt;&gt;0)*(PptoSty[Division]&lt;&gt;"")*(PptoSty[Division]&lt;&gt;"X")*(PptoSty[Project]=$B110)*(PptoSty[Vrs]=$D110)*(PptoSty[PiRow]=_xlfn.TEXTAFTER($H110,":"))*(PptoSty[PiColumn]=M$54),0)),SUM(IF((INDIRECT($B$3)=$B110)*(INDIRECT($C$3)=$D110)*((INDIRECT($E$3)="TOTS")+(INDIRECT($E$3)=$E110)),INDIRECT(M$3)))),_xlpm.y,SUM(_xlfn.CHOOSECOLS(_xlfn._xlws.FILTER(F_RT14[],(F_RT14[PrjId]=$B110)*(F_RT14[Vrs]=$D110)*(_xlfn.TEXTAFTER(F_RT14[ActGrp],":")=_xlfn.TEXTAFTER($H110,":")),"X"),MATCH("*"&amp;M$54,F_RT14[#Headers],0))),IF(AND(_xlpm.x=0,_xlpm.y&lt;&gt;0),-1,IF(AND(_xlpm.x&lt;&gt;0,_xlpm.y&lt;&gt;0),_xlpm.x,IF(AND(_xlpm.x-SUM(IF((INDIRECT($B$3)=$B110)*(INDIRECT($C$3)=$D110)*((INDIRECT($E$3)="TOTS")+(INDIRECT($E$3)=$E110)),INDIRECT(M$3)))&lt;&gt;0,_xlpm.y=0),-2,_xlpm.x)))),0))</f>
        <v>0</v>
      </c>
      <c r="N110" s="199" cm="1">
        <f t="array" aca="1" ref="N110" ca="1">IF(OR($B110="",$B110="X",$D110="",$D110="X",$E110="",$E110="X"),0,IFERROR(_xlfn.LET(_xlpm.x,SUM(SUM(_xlfn._xlws.FILTER(VALUE(PptoSty[Sign]&amp;1)*(1/PptoSty[Division]),(PptoSty[Division]&lt;&gt;0)*(PptoSty[Division]&lt;&gt;"")*(PptoSty[Division]&lt;&gt;"X")*(PptoSty[Project]=$B110)*(PptoSty[Vrs]=$D110)*(PptoSty[PiRow]=_xlfn.TEXTAFTER($H110,":"))*(PptoSty[PiColumn]=N$54),0)),SUM(IF((INDIRECT($B$3)=$B110)*(INDIRECT($C$3)=$D110)*((INDIRECT($E$3)="TOTS")+(INDIRECT($E$3)=$E110)),INDIRECT(N$3)))),_xlpm.y,SUM(_xlfn.CHOOSECOLS(_xlfn._xlws.FILTER(F_RT14[],(F_RT14[PrjId]=$B110)*(F_RT14[Vrs]=$D110)*(_xlfn.TEXTAFTER(F_RT14[ActGrp],":")=_xlfn.TEXTAFTER($H110,":")),"X"),MATCH("*"&amp;N$54,F_RT14[#Headers],0))),IF(AND(_xlpm.x=0,_xlpm.y&lt;&gt;0),-1,IF(AND(_xlpm.x&lt;&gt;0,_xlpm.y&lt;&gt;0),_xlpm.x,IF(AND(_xlpm.x-SUM(IF((INDIRECT($B$3)=$B110)*(INDIRECT($C$3)=$D110)*((INDIRECT($E$3)="TOTS")+(INDIRECT($E$3)=$E110)),INDIRECT(N$3)))&lt;&gt;0,_xlpm.y=0),-2,_xlpm.x)))),0))</f>
        <v>-1</v>
      </c>
      <c r="O110" s="199" cm="1">
        <f t="array" aca="1" ref="O110" ca="1">IF(OR($B110="",$B110="X",$D110="",$D110="X",$E110="",$E110="X"),0,IFERROR(_xlfn.LET(_xlpm.x,SUM(SUM(_xlfn._xlws.FILTER(VALUE(PptoSty[Sign]&amp;1)*(1/PptoSty[Division]),(PptoSty[Division]&lt;&gt;0)*(PptoSty[Division]&lt;&gt;"")*(PptoSty[Division]&lt;&gt;"X")*(PptoSty[Project]=$B110)*(PptoSty[Vrs]=$D110)*(PptoSty[PiRow]=_xlfn.TEXTAFTER($H110,":"))*(PptoSty[PiColumn]=O$54),0)),SUM(IF((INDIRECT($B$3)=$B110)*(INDIRECT($C$3)=$D110)*((INDIRECT($E$3)="TOTS")+(INDIRECT($E$3)=$E110)),INDIRECT(O$3)))),_xlpm.y,SUM(_xlfn.CHOOSECOLS(_xlfn._xlws.FILTER(F_RT14[],(F_RT14[PrjId]=$B110)*(F_RT14[Vrs]=$D110)*(_xlfn.TEXTAFTER(F_RT14[ActGrp],":")=_xlfn.TEXTAFTER($H110,":")),"X"),MATCH("*"&amp;O$54,F_RT14[#Headers],0))),IF(AND(_xlpm.x=0,_xlpm.y&lt;&gt;0),-1,IF(AND(_xlpm.x&lt;&gt;0,_xlpm.y&lt;&gt;0),_xlpm.x,IF(AND(_xlpm.x-SUM(IF((INDIRECT($B$3)=$B110)*(INDIRECT($C$3)=$D110)*((INDIRECT($E$3)="TOTS")+(INDIRECT($E$3)=$E110)),INDIRECT(O$3)))&lt;&gt;0,_xlpm.y=0),-2,_xlpm.x)))),0))</f>
        <v>0</v>
      </c>
      <c r="P110" s="199" cm="1">
        <f t="array" aca="1" ref="P110" ca="1">IF(OR($B110="",$B110="X",$D110="",$D110="X",$E110="",$E110="X"),0,IFERROR(_xlfn.LET(_xlpm.x,SUM(SUM(_xlfn._xlws.FILTER(VALUE(PptoSty[Sign]&amp;1)*(1/PptoSty[Division]),(PptoSty[Division]&lt;&gt;0)*(PptoSty[Division]&lt;&gt;"")*(PptoSty[Division]&lt;&gt;"X")*(PptoSty[Project]=$B110)*(PptoSty[Vrs]=$D110)*(PptoSty[PiRow]=_xlfn.TEXTAFTER($H110,":"))*(PptoSty[PiColumn]=P$54),0)),SUM(IF((INDIRECT($B$3)=$B110)*(INDIRECT($C$3)=$D110)*((INDIRECT($E$3)="TOTS")+(INDIRECT($E$3)=$E110)),INDIRECT(P$3)))),_xlpm.y,SUM(_xlfn.CHOOSECOLS(_xlfn._xlws.FILTER(F_RT14[],(F_RT14[PrjId]=$B110)*(F_RT14[Vrs]=$D110)*(_xlfn.TEXTAFTER(F_RT14[ActGrp],":")=_xlfn.TEXTAFTER($H110,":")),"X"),MATCH("*"&amp;P$54,F_RT14[#Headers],0))),IF(AND(_xlpm.x=0,_xlpm.y&lt;&gt;0),-1,IF(AND(_xlpm.x&lt;&gt;0,_xlpm.y&lt;&gt;0),_xlpm.x,IF(AND(_xlpm.x-SUM(IF((INDIRECT($B$3)=$B110)*(INDIRECT($C$3)=$D110)*((INDIRECT($E$3)="TOTS")+(INDIRECT($E$3)=$E110)),INDIRECT(P$3)))&lt;&gt;0,_xlpm.y=0),-2,_xlpm.x)))),0))</f>
        <v>-1</v>
      </c>
      <c r="Q110" s="199" cm="1">
        <f t="array" aca="1" ref="Q110" ca="1">IF(OR($B110="",$B110="X",$D110="",$D110="X",$E110="",$E110="X"),0,IFERROR(_xlfn.LET(_xlpm.x,SUM(SUM(_xlfn._xlws.FILTER(VALUE(PptoSty[Sign]&amp;1)*(1/PptoSty[Division]),(PptoSty[Division]&lt;&gt;0)*(PptoSty[Division]&lt;&gt;"")*(PptoSty[Division]&lt;&gt;"X")*(PptoSty[Project]=$B110)*(PptoSty[Vrs]=$D110)*(PptoSty[PiRow]=_xlfn.TEXTAFTER($H110,":"))*(PptoSty[PiColumn]=Q$54),0)),SUM(IF((INDIRECT($B$3)=$B110)*(INDIRECT($C$3)=$D110)*((INDIRECT($E$3)="TOTS")+(INDIRECT($E$3)=$E110)),INDIRECT(Q$3)))),_xlpm.y,SUM(_xlfn.CHOOSECOLS(_xlfn._xlws.FILTER(F_RT14[],(F_RT14[PrjId]=$B110)*(F_RT14[Vrs]=$D110)*(_xlfn.TEXTAFTER(F_RT14[ActGrp],":")=_xlfn.TEXTAFTER($H110,":")),"X"),MATCH("*"&amp;Q$54,F_RT14[#Headers],0))),IF(AND(_xlpm.x=0,_xlpm.y&lt;&gt;0),-1,IF(AND(_xlpm.x&lt;&gt;0,_xlpm.y&lt;&gt;0),_xlpm.x,IF(AND(_xlpm.x-SUM(IF((INDIRECT($B$3)=$B110)*(INDIRECT($C$3)=$D110)*((INDIRECT($E$3)="TOTS")+(INDIRECT($E$3)=$E110)),INDIRECT(Q$3)))&lt;&gt;0,_xlpm.y=0),-2,_xlpm.x)))),0))</f>
        <v>-1</v>
      </c>
      <c r="R110" s="199" cm="1">
        <f t="array" aca="1" ref="R110" ca="1">IF(OR($B110="",$B110="X",$D110="",$D110="X",$E110="",$E110="X"),0,IFERROR(_xlfn.LET(_xlpm.x,SUM(SUM(_xlfn._xlws.FILTER(VALUE(PptoSty[Sign]&amp;1)*(1/PptoSty[Division]),(PptoSty[Division]&lt;&gt;0)*(PptoSty[Division]&lt;&gt;"")*(PptoSty[Division]&lt;&gt;"X")*(PptoSty[Project]=$B110)*(PptoSty[Vrs]=$D110)*(PptoSty[PiRow]=_xlfn.TEXTAFTER($H110,":"))*(PptoSty[PiColumn]=R$54),0)),SUM(IF((INDIRECT($B$3)=$B110)*(INDIRECT($C$3)=$D110)*((INDIRECT($E$3)="TOTS")+(INDIRECT($E$3)=$E110)),INDIRECT(R$3)))),_xlpm.y,SUM(_xlfn.CHOOSECOLS(_xlfn._xlws.FILTER(F_RT14[],(F_RT14[PrjId]=$B110)*(F_RT14[Vrs]=$D110)*(_xlfn.TEXTAFTER(F_RT14[ActGrp],":")=_xlfn.TEXTAFTER($H110,":")),"X"),MATCH("*"&amp;R$54,F_RT14[#Headers],0))),IF(AND(_xlpm.x=0,_xlpm.y&lt;&gt;0),-1,IF(AND(_xlpm.x&lt;&gt;0,_xlpm.y&lt;&gt;0),_xlpm.x,IF(AND(_xlpm.x-SUM(IF((INDIRECT($B$3)=$B110)*(INDIRECT($C$3)=$D110)*((INDIRECT($E$3)="TOTS")+(INDIRECT($E$3)=$E110)),INDIRECT(R$3)))&lt;&gt;0,_xlpm.y=0),-2,_xlpm.x)))),0))</f>
        <v>-1</v>
      </c>
      <c r="S110" s="199" cm="1">
        <f t="array" aca="1" ref="S110" ca="1">IF(OR($B110="",$B110="X",$D110="",$D110="X",$E110="",$E110="X"),0,IFERROR(_xlfn.LET(_xlpm.x,SUM(SUM(_xlfn._xlws.FILTER(VALUE(PptoSty[Sign]&amp;1)*(1/PptoSty[Division]),(PptoSty[Division]&lt;&gt;0)*(PptoSty[Division]&lt;&gt;"")*(PptoSty[Division]&lt;&gt;"X")*(PptoSty[Project]=$B110)*(PptoSty[Vrs]=$D110)*(PptoSty[PiRow]=_xlfn.TEXTAFTER($H110,":"))*(PptoSty[PiColumn]=S$54),0)),SUM(IF((INDIRECT($B$3)=$B110)*(INDIRECT($C$3)=$D110)*((INDIRECT($E$3)="TOTS")+(INDIRECT($E$3)=$E110)),INDIRECT(S$3)))),_xlpm.y,SUM(_xlfn.CHOOSECOLS(_xlfn._xlws.FILTER(F_RT14[],(F_RT14[PrjId]=$B110)*(F_RT14[Vrs]=$D110)*(_xlfn.TEXTAFTER(F_RT14[ActGrp],":")=_xlfn.TEXTAFTER($H110,":")),"X"),MATCH("*"&amp;S$54,F_RT14[#Headers],0))),IF(AND(_xlpm.x=0,_xlpm.y&lt;&gt;0),-1,IF(AND(_xlpm.x&lt;&gt;0,_xlpm.y&lt;&gt;0),_xlpm.x,IF(AND(_xlpm.x-SUM(IF((INDIRECT($B$3)=$B110)*(INDIRECT($C$3)=$D110)*((INDIRECT($E$3)="TOTS")+(INDIRECT($E$3)=$E110)),INDIRECT(S$3)))&lt;&gt;0,_xlpm.y=0),-2,_xlpm.x)))),0))</f>
        <v>-1</v>
      </c>
      <c r="T110" s="199" cm="1">
        <f t="array" aca="1" ref="T110" ca="1">IF(OR($B110="",$B110="X",$D110="",$D110="X",$E110="",$E110="X"),0,IFERROR(_xlfn.LET(_xlpm.x,SUM(SUM(_xlfn._xlws.FILTER(VALUE(PptoSty[Sign]&amp;1)*(1/PptoSty[Division]),(PptoSty[Division]&lt;&gt;0)*(PptoSty[Division]&lt;&gt;"")*(PptoSty[Division]&lt;&gt;"X")*(PptoSty[Project]=$B110)*(PptoSty[Vrs]=$D110)*(PptoSty[PiRow]=_xlfn.TEXTAFTER($H110,":"))*(PptoSty[PiColumn]=T$54),0)),SUM(IF((INDIRECT($B$3)=$B110)*(INDIRECT($C$3)=$D110)*((INDIRECT($E$3)="TOTS")+(INDIRECT($E$3)=$E110)),INDIRECT(T$3)))),_xlpm.y,SUM(_xlfn.CHOOSECOLS(_xlfn._xlws.FILTER(F_RT14[],(F_RT14[PrjId]=$B110)*(F_RT14[Vrs]=$D110)*(_xlfn.TEXTAFTER(F_RT14[ActGrp],":")=_xlfn.TEXTAFTER($H110,":")),"X"),MATCH("*"&amp;T$54,F_RT14[#Headers],0))),IF(AND(_xlpm.x=0,_xlpm.y&lt;&gt;0),-1,IF(AND(_xlpm.x&lt;&gt;0,_xlpm.y&lt;&gt;0),_xlpm.x,IF(AND(_xlpm.x-SUM(IF((INDIRECT($B$3)=$B110)*(INDIRECT($C$3)=$D110)*((INDIRECT($E$3)="TOTS")+(INDIRECT($E$3)=$E110)),INDIRECT(T$3)))&lt;&gt;0,_xlpm.y=0),-2,_xlpm.x)))),0))</f>
        <v>-1</v>
      </c>
      <c r="U110" s="199" cm="1">
        <f t="array" aca="1" ref="U110" ca="1">IF(OR($B110="",$B110="X",$D110="",$D110="X",$E110="",$E110="X"),0,IFERROR(_xlfn.LET(_xlpm.x,SUM(SUM(_xlfn._xlws.FILTER(VALUE(PptoSty[Sign]&amp;1)*(1/PptoSty[Division]),(PptoSty[Division]&lt;&gt;0)*(PptoSty[Division]&lt;&gt;"")*(PptoSty[Division]&lt;&gt;"X")*(PptoSty[Project]=$B110)*(PptoSty[Vrs]=$D110)*(PptoSty[PiRow]=_xlfn.TEXTAFTER($H110,":"))*(PptoSty[PiColumn]=U$54),0)),SUM(IF((INDIRECT($B$3)=$B110)*(INDIRECT($C$3)=$D110)*((INDIRECT($E$3)="TOTS")+(INDIRECT($E$3)=$E110)),INDIRECT(U$3)))),_xlpm.y,SUM(_xlfn.CHOOSECOLS(_xlfn._xlws.FILTER(F_RT14[],(F_RT14[PrjId]=$B110)*(F_RT14[Vrs]=$D110)*(_xlfn.TEXTAFTER(F_RT14[ActGrp],":")=_xlfn.TEXTAFTER($H110,":")),"X"),MATCH("*"&amp;U$54,F_RT14[#Headers],0))),IF(AND(_xlpm.x=0,_xlpm.y&lt;&gt;0),-1,IF(AND(_xlpm.x&lt;&gt;0,_xlpm.y&lt;&gt;0),_xlpm.x,IF(AND(_xlpm.x-SUM(IF((INDIRECT($B$3)=$B110)*(INDIRECT($C$3)=$D110)*((INDIRECT($E$3)="TOTS")+(INDIRECT($E$3)=$E110)),INDIRECT(U$3)))&lt;&gt;0,_xlpm.y=0),-2,_xlpm.x)))),0))</f>
        <v>0</v>
      </c>
      <c r="V110" s="199" cm="1">
        <f t="array" aca="1" ref="V110" ca="1">IF(OR($B110="",$B110="X",$D110="",$D110="X",$E110="",$E110="X"),0,IFERROR(_xlfn.LET(_xlpm.x,SUM(SUM(_xlfn._xlws.FILTER(VALUE(PptoSty[Sign]&amp;1)*(1/PptoSty[Division]),(PptoSty[Division]&lt;&gt;0)*(PptoSty[Division]&lt;&gt;"")*(PptoSty[Division]&lt;&gt;"X")*(PptoSty[Project]=$B110)*(PptoSty[Vrs]=$D110)*(PptoSty[PiRow]=_xlfn.TEXTAFTER($H110,":"))*(PptoSty[PiColumn]=V$54),0)),SUM(IF((INDIRECT($B$3)=$B110)*(INDIRECT($C$3)=$D110)*((INDIRECT($E$3)="TOTS")+(INDIRECT($E$3)=$E110)),INDIRECT(V$3)))),_xlpm.y,SUM(_xlfn.CHOOSECOLS(_xlfn._xlws.FILTER(F_RT14[],(F_RT14[PrjId]=$B110)*(F_RT14[Vrs]=$D110)*(_xlfn.TEXTAFTER(F_RT14[ActGrp],":")=_xlfn.TEXTAFTER($H110,":")),"X"),MATCH("*"&amp;V$54,F_RT14[#Headers],0))),IF(AND(_xlpm.x=0,_xlpm.y&lt;&gt;0),-1,IF(AND(_xlpm.x&lt;&gt;0,_xlpm.y&lt;&gt;0),_xlpm.x,IF(AND(_xlpm.x-SUM(IF((INDIRECT($B$3)=$B110)*(INDIRECT($C$3)=$D110)*((INDIRECT($E$3)="TOTS")+(INDIRECT($E$3)=$E110)),INDIRECT(V$3)))&lt;&gt;0,_xlpm.y=0),-2,_xlpm.x)))),0))</f>
        <v>-1</v>
      </c>
      <c r="W110" s="199" cm="1">
        <f t="array" aca="1" ref="W110" ca="1">IF(OR($B110="",$B110="X",$D110="",$D110="X",$E110="",$E110="X"),0,IFERROR(_xlfn.LET(_xlpm.x,SUM(SUM(_xlfn._xlws.FILTER(VALUE(PptoSty[Sign]&amp;1)*(1/PptoSty[Division]),(PptoSty[Division]&lt;&gt;0)*(PptoSty[Division]&lt;&gt;"")*(PptoSty[Division]&lt;&gt;"X")*(PptoSty[Project]=$B110)*(PptoSty[Vrs]=$D110)*(PptoSty[PiRow]=_xlfn.TEXTAFTER($H110,":"))*(PptoSty[PiColumn]=W$54),0)),SUM(IF((INDIRECT($B$3)=$B110)*(INDIRECT($C$3)=$D110)*((INDIRECT($E$3)="TOTS")+(INDIRECT($E$3)=$E110)),INDIRECT(W$3)))),_xlpm.y,SUM(_xlfn.CHOOSECOLS(_xlfn._xlws.FILTER(F_RT14[],(F_RT14[PrjId]=$B110)*(F_RT14[Vrs]=$D110)*(_xlfn.TEXTAFTER(F_RT14[ActGrp],":")=_xlfn.TEXTAFTER($H110,":")),"X"),MATCH("*"&amp;W$54,F_RT14[#Headers],0))),IF(AND(_xlpm.x=0,_xlpm.y&lt;&gt;0),-1,IF(AND(_xlpm.x&lt;&gt;0,_xlpm.y&lt;&gt;0),_xlpm.x,IF(AND(_xlpm.x-SUM(IF((INDIRECT($B$3)=$B110)*(INDIRECT($C$3)=$D110)*((INDIRECT($E$3)="TOTS")+(INDIRECT($E$3)=$E110)),INDIRECT(W$3)))&lt;&gt;0,_xlpm.y=0),-2,_xlpm.x)))),0))</f>
        <v>-1</v>
      </c>
      <c r="X110" s="199" cm="1">
        <f t="array" aca="1" ref="X110" ca="1">IF(OR($B110="",$B110="X",$D110="",$D110="X",$E110="",$E110="X"),0,IFERROR(_xlfn.LET(_xlpm.x,SUM(SUM(_xlfn._xlws.FILTER(VALUE(PptoSty[Sign]&amp;1)*(1/PptoSty[Division]),(PptoSty[Division]&lt;&gt;0)*(PptoSty[Division]&lt;&gt;"")*(PptoSty[Division]&lt;&gt;"X")*(PptoSty[Project]=$B110)*(PptoSty[Vrs]=$D110)*(PptoSty[PiRow]=_xlfn.TEXTAFTER($H110,":"))*(PptoSty[PiColumn]=X$54),0)),SUM(IF((INDIRECT($B$3)=$B110)*(INDIRECT($C$3)=$D110)*((INDIRECT($E$3)="TOTS")+(INDIRECT($E$3)=$E110)),INDIRECT(X$3)))),_xlpm.y,SUM(_xlfn.CHOOSECOLS(_xlfn._xlws.FILTER(F_RT14[],(F_RT14[PrjId]=$B110)*(F_RT14[Vrs]=$D110)*(_xlfn.TEXTAFTER(F_RT14[ActGrp],":")=_xlfn.TEXTAFTER($H110,":")),"X"),MATCH("*"&amp;X$54,F_RT14[#Headers],0))),IF(AND(_xlpm.x=0,_xlpm.y&lt;&gt;0),-1,IF(AND(_xlpm.x&lt;&gt;0,_xlpm.y&lt;&gt;0),_xlpm.x,IF(AND(_xlpm.x-SUM(IF((INDIRECT($B$3)=$B110)*(INDIRECT($C$3)=$D110)*((INDIRECT($E$3)="TOTS")+(INDIRECT($E$3)=$E110)),INDIRECT(X$3)))&lt;&gt;0,_xlpm.y=0),-2,_xlpm.x)))),0))</f>
        <v>-1</v>
      </c>
      <c r="Y110" s="199" cm="1">
        <f t="array" aca="1" ref="Y110" ca="1">IF(OR($B110="",$B110="X",$D110="",$D110="X",$E110="",$E110="X"),0,IFERROR(_xlfn.LET(_xlpm.x,SUM(SUM(_xlfn._xlws.FILTER(VALUE(PptoSty[Sign]&amp;1)*(1/PptoSty[Division]),(PptoSty[Division]&lt;&gt;0)*(PptoSty[Division]&lt;&gt;"")*(PptoSty[Division]&lt;&gt;"X")*(PptoSty[Project]=$B110)*(PptoSty[Vrs]=$D110)*(PptoSty[PiRow]=_xlfn.TEXTAFTER($H110,":"))*(PptoSty[PiColumn]=Y$54),0)),SUM(IF((INDIRECT($B$3)=$B110)*(INDIRECT($C$3)=$D110)*((INDIRECT($E$3)="TOTS")+(INDIRECT($E$3)=$E110)),INDIRECT(Y$3)))),_xlpm.y,SUM(_xlfn.CHOOSECOLS(_xlfn._xlws.FILTER(F_RT14[],(F_RT14[PrjId]=$B110)*(F_RT14[Vrs]=$D110)*(_xlfn.TEXTAFTER(F_RT14[ActGrp],":")=_xlfn.TEXTAFTER($H110,":")),"X"),MATCH("*"&amp;Y$54,F_RT14[#Headers],0))),IF(AND(_xlpm.x=0,_xlpm.y&lt;&gt;0),-1,IF(AND(_xlpm.x&lt;&gt;0,_xlpm.y&lt;&gt;0),_xlpm.x,IF(AND(_xlpm.x-SUM(IF((INDIRECT($B$3)=$B110)*(INDIRECT($C$3)=$D110)*((INDIRECT($E$3)="TOTS")+(INDIRECT($E$3)=$E110)),INDIRECT(Y$3)))&lt;&gt;0,_xlpm.y=0),-2,_xlpm.x)))),0))</f>
        <v>0</v>
      </c>
      <c r="Z110" s="198" t="str">
        <f t="shared" ca="1" si="2"/>
        <v>Fback!B110:Y110</v>
      </c>
    </row>
    <row r="111" spans="2:26" ht="21" customHeight="1" outlineLevel="1">
      <c r="B111" s="128" t="str">
        <v>31200</v>
      </c>
      <c r="C111" s="128" t="str">
        <v>Sp</v>
      </c>
      <c r="D111" s="128">
        <v>15</v>
      </c>
      <c r="E111" s="128" t="str">
        <v>TOOL</v>
      </c>
      <c r="F111" s="139" t="str">
        <v>SERRA</v>
      </c>
      <c r="G111" s="139" t="str">
        <v>CurPpto</v>
      </c>
      <c r="H111" s="139" t="str">
        <v>P017:OP-740 MARKING</v>
      </c>
      <c r="I111" s="199" cm="1">
        <f t="array" aca="1" ref="I111" ca="1">IF(OR($B111="",$B111="X",$D111="",$D111="X",$E111="",$E111="X"),0,IFERROR(_xlfn.LET(_xlpm.x,SUM(SUM(_xlfn._xlws.FILTER(VALUE(PptoSty[Sign]&amp;1)*(1/PptoSty[Division]),(PptoSty[Division]&lt;&gt;0)*(PptoSty[Division]&lt;&gt;"")*(PptoSty[Division]&lt;&gt;"X")*(PptoSty[Project]=$B111)*(PptoSty[Vrs]=$D111)*(PptoSty[PiRow]=_xlfn.TEXTAFTER($H111,":"))*(PptoSty[PiColumn]=I$54),0)),SUM(IF((INDIRECT($B$3)=$B111)*(INDIRECT($C$3)=$D111)*((INDIRECT($E$3)="TOTS")+(INDIRECT($E$3)=$E111)),INDIRECT(I$3)))),_xlpm.y,SUM(_xlfn.CHOOSECOLS(_xlfn._xlws.FILTER(F_RT14[],(F_RT14[PrjId]=$B111)*(F_RT14[Vrs]=$D111)*(_xlfn.TEXTAFTER(F_RT14[ActGrp],":")=_xlfn.TEXTAFTER($H111,":")),"X"),MATCH("*"&amp;I$54,F_RT14[#Headers],0))),IF(AND(_xlpm.x=0,_xlpm.y&lt;&gt;0),-1,IF(AND(_xlpm.x&lt;&gt;0,_xlpm.y&lt;&gt;0),_xlpm.x,IF(AND(_xlpm.x-SUM(IF((INDIRECT($B$3)=$B111)*(INDIRECT($C$3)=$D111)*((INDIRECT($E$3)="TOTS")+(INDIRECT($E$3)=$E111)),INDIRECT(I$3)))&lt;&gt;0,_xlpm.y=0),-2,_xlpm.x)))),0))</f>
        <v>0</v>
      </c>
      <c r="J111" s="199" cm="1">
        <f t="array" aca="1" ref="J111" ca="1">IF(OR($B111="",$B111="X",$D111="",$D111="X",$E111="",$E111="X"),0,IFERROR(_xlfn.LET(_xlpm.x,SUM(SUM(_xlfn._xlws.FILTER(VALUE(PptoSty[Sign]&amp;1)*(1/PptoSty[Division]),(PptoSty[Division]&lt;&gt;0)*(PptoSty[Division]&lt;&gt;"")*(PptoSty[Division]&lt;&gt;"X")*(PptoSty[Project]=$B111)*(PptoSty[Vrs]=$D111)*(PptoSty[PiRow]=_xlfn.TEXTAFTER($H111,":"))*(PptoSty[PiColumn]=J$54),0)),SUM(IF((INDIRECT($B$3)=$B111)*(INDIRECT($C$3)=$D111)*((INDIRECT($E$3)="TOTS")+(INDIRECT($E$3)=$E111)),INDIRECT(J$3)))),_xlpm.y,SUM(_xlfn.CHOOSECOLS(_xlfn._xlws.FILTER(F_RT14[],(F_RT14[PrjId]=$B111)*(F_RT14[Vrs]=$D111)*(_xlfn.TEXTAFTER(F_RT14[ActGrp],":")=_xlfn.TEXTAFTER($H111,":")),"X"),MATCH("*"&amp;J$54,F_RT14[#Headers],0))),IF(AND(_xlpm.x=0,_xlpm.y&lt;&gt;0),-1,IF(AND(_xlpm.x&lt;&gt;0,_xlpm.y&lt;&gt;0),_xlpm.x,IF(AND(_xlpm.x-SUM(IF((INDIRECT($B$3)=$B111)*(INDIRECT($C$3)=$D111)*((INDIRECT($E$3)="TOTS")+(INDIRECT($E$3)=$E111)),INDIRECT(J$3)))&lt;&gt;0,_xlpm.y=0),-2,_xlpm.x)))),0))</f>
        <v>0</v>
      </c>
      <c r="K111" s="199" cm="1">
        <f t="array" aca="1" ref="K111" ca="1">IF(OR($B111="",$B111="X",$D111="",$D111="X",$E111="",$E111="X"),0,IFERROR(_xlfn.LET(_xlpm.x,SUM(SUM(_xlfn._xlws.FILTER(VALUE(PptoSty[Sign]&amp;1)*(1/PptoSty[Division]),(PptoSty[Division]&lt;&gt;0)*(PptoSty[Division]&lt;&gt;"")*(PptoSty[Division]&lt;&gt;"X")*(PptoSty[Project]=$B111)*(PptoSty[Vrs]=$D111)*(PptoSty[PiRow]=_xlfn.TEXTAFTER($H111,":"))*(PptoSty[PiColumn]=K$54),0)),SUM(IF((INDIRECT($B$3)=$B111)*(INDIRECT($C$3)=$D111)*((INDIRECT($E$3)="TOTS")+(INDIRECT($E$3)=$E111)),INDIRECT(K$3)))),_xlpm.y,SUM(_xlfn.CHOOSECOLS(_xlfn._xlws.FILTER(F_RT14[],(F_RT14[PrjId]=$B111)*(F_RT14[Vrs]=$D111)*(_xlfn.TEXTAFTER(F_RT14[ActGrp],":")=_xlfn.TEXTAFTER($H111,":")),"X"),MATCH("*"&amp;K$54,F_RT14[#Headers],0))),IF(AND(_xlpm.x=0,_xlpm.y&lt;&gt;0),-1,IF(AND(_xlpm.x&lt;&gt;0,_xlpm.y&lt;&gt;0),_xlpm.x,IF(AND(_xlpm.x-SUM(IF((INDIRECT($B$3)=$B111)*(INDIRECT($C$3)=$D111)*((INDIRECT($E$3)="TOTS")+(INDIRECT($E$3)=$E111)),INDIRECT(K$3)))&lt;&gt;0,_xlpm.y=0),-2,_xlpm.x)))),0))</f>
        <v>-1</v>
      </c>
      <c r="L111" s="199" cm="1">
        <f t="array" aca="1" ref="L111" ca="1">IF(OR($B111="",$B111="X",$D111="",$D111="X",$E111="",$E111="X"),0,IFERROR(_xlfn.LET(_xlpm.x,SUM(SUM(_xlfn._xlws.FILTER(VALUE(PptoSty[Sign]&amp;1)*(1/PptoSty[Division]),(PptoSty[Division]&lt;&gt;0)*(PptoSty[Division]&lt;&gt;"")*(PptoSty[Division]&lt;&gt;"X")*(PptoSty[Project]=$B111)*(PptoSty[Vrs]=$D111)*(PptoSty[PiRow]=_xlfn.TEXTAFTER($H111,":"))*(PptoSty[PiColumn]=L$54),0)),SUM(IF((INDIRECT($B$3)=$B111)*(INDIRECT($C$3)=$D111)*((INDIRECT($E$3)="TOTS")+(INDIRECT($E$3)=$E111)),INDIRECT(L$3)))),_xlpm.y,SUM(_xlfn.CHOOSECOLS(_xlfn._xlws.FILTER(F_RT14[],(F_RT14[PrjId]=$B111)*(F_RT14[Vrs]=$D111)*(_xlfn.TEXTAFTER(F_RT14[ActGrp],":")=_xlfn.TEXTAFTER($H111,":")),"X"),MATCH("*"&amp;L$54,F_RT14[#Headers],0))),IF(AND(_xlpm.x=0,_xlpm.y&lt;&gt;0),-1,IF(AND(_xlpm.x&lt;&gt;0,_xlpm.y&lt;&gt;0),_xlpm.x,IF(AND(_xlpm.x-SUM(IF((INDIRECT($B$3)=$B111)*(INDIRECT($C$3)=$D111)*((INDIRECT($E$3)="TOTS")+(INDIRECT($E$3)=$E111)),INDIRECT(L$3)))&lt;&gt;0,_xlpm.y=0),-2,_xlpm.x)))),0))</f>
        <v>0</v>
      </c>
      <c r="M111" s="199" cm="1">
        <f t="array" aca="1" ref="M111" ca="1">IF(OR($B111="",$B111="X",$D111="",$D111="X",$E111="",$E111="X"),0,IFERROR(_xlfn.LET(_xlpm.x,SUM(SUM(_xlfn._xlws.FILTER(VALUE(PptoSty[Sign]&amp;1)*(1/PptoSty[Division]),(PptoSty[Division]&lt;&gt;0)*(PptoSty[Division]&lt;&gt;"")*(PptoSty[Division]&lt;&gt;"X")*(PptoSty[Project]=$B111)*(PptoSty[Vrs]=$D111)*(PptoSty[PiRow]=_xlfn.TEXTAFTER($H111,":"))*(PptoSty[PiColumn]=M$54),0)),SUM(IF((INDIRECT($B$3)=$B111)*(INDIRECT($C$3)=$D111)*((INDIRECT($E$3)="TOTS")+(INDIRECT($E$3)=$E111)),INDIRECT(M$3)))),_xlpm.y,SUM(_xlfn.CHOOSECOLS(_xlfn._xlws.FILTER(F_RT14[],(F_RT14[PrjId]=$B111)*(F_RT14[Vrs]=$D111)*(_xlfn.TEXTAFTER(F_RT14[ActGrp],":")=_xlfn.TEXTAFTER($H111,":")),"X"),MATCH("*"&amp;M$54,F_RT14[#Headers],0))),IF(AND(_xlpm.x=0,_xlpm.y&lt;&gt;0),-1,IF(AND(_xlpm.x&lt;&gt;0,_xlpm.y&lt;&gt;0),_xlpm.x,IF(AND(_xlpm.x-SUM(IF((INDIRECT($B$3)=$B111)*(INDIRECT($C$3)=$D111)*((INDIRECT($E$3)="TOTS")+(INDIRECT($E$3)=$E111)),INDIRECT(M$3)))&lt;&gt;0,_xlpm.y=0),-2,_xlpm.x)))),0))</f>
        <v>0</v>
      </c>
      <c r="N111" s="199" cm="1">
        <f t="array" aca="1" ref="N111" ca="1">IF(OR($B111="",$B111="X",$D111="",$D111="X",$E111="",$E111="X"),0,IFERROR(_xlfn.LET(_xlpm.x,SUM(SUM(_xlfn._xlws.FILTER(VALUE(PptoSty[Sign]&amp;1)*(1/PptoSty[Division]),(PptoSty[Division]&lt;&gt;0)*(PptoSty[Division]&lt;&gt;"")*(PptoSty[Division]&lt;&gt;"X")*(PptoSty[Project]=$B111)*(PptoSty[Vrs]=$D111)*(PptoSty[PiRow]=_xlfn.TEXTAFTER($H111,":"))*(PptoSty[PiColumn]=N$54),0)),SUM(IF((INDIRECT($B$3)=$B111)*(INDIRECT($C$3)=$D111)*((INDIRECT($E$3)="TOTS")+(INDIRECT($E$3)=$E111)),INDIRECT(N$3)))),_xlpm.y,SUM(_xlfn.CHOOSECOLS(_xlfn._xlws.FILTER(F_RT14[],(F_RT14[PrjId]=$B111)*(F_RT14[Vrs]=$D111)*(_xlfn.TEXTAFTER(F_RT14[ActGrp],":")=_xlfn.TEXTAFTER($H111,":")),"X"),MATCH("*"&amp;N$54,F_RT14[#Headers],0))),IF(AND(_xlpm.x=0,_xlpm.y&lt;&gt;0),-1,IF(AND(_xlpm.x&lt;&gt;0,_xlpm.y&lt;&gt;0),_xlpm.x,IF(AND(_xlpm.x-SUM(IF((INDIRECT($B$3)=$B111)*(INDIRECT($C$3)=$D111)*((INDIRECT($E$3)="TOTS")+(INDIRECT($E$3)=$E111)),INDIRECT(N$3)))&lt;&gt;0,_xlpm.y=0),-2,_xlpm.x)))),0))</f>
        <v>-1</v>
      </c>
      <c r="O111" s="199" cm="1">
        <f t="array" aca="1" ref="O111" ca="1">IF(OR($B111="",$B111="X",$D111="",$D111="X",$E111="",$E111="X"),0,IFERROR(_xlfn.LET(_xlpm.x,SUM(SUM(_xlfn._xlws.FILTER(VALUE(PptoSty[Sign]&amp;1)*(1/PptoSty[Division]),(PptoSty[Division]&lt;&gt;0)*(PptoSty[Division]&lt;&gt;"")*(PptoSty[Division]&lt;&gt;"X")*(PptoSty[Project]=$B111)*(PptoSty[Vrs]=$D111)*(PptoSty[PiRow]=_xlfn.TEXTAFTER($H111,":"))*(PptoSty[PiColumn]=O$54),0)),SUM(IF((INDIRECT($B$3)=$B111)*(INDIRECT($C$3)=$D111)*((INDIRECT($E$3)="TOTS")+(INDIRECT($E$3)=$E111)),INDIRECT(O$3)))),_xlpm.y,SUM(_xlfn.CHOOSECOLS(_xlfn._xlws.FILTER(F_RT14[],(F_RT14[PrjId]=$B111)*(F_RT14[Vrs]=$D111)*(_xlfn.TEXTAFTER(F_RT14[ActGrp],":")=_xlfn.TEXTAFTER($H111,":")),"X"),MATCH("*"&amp;O$54,F_RT14[#Headers],0))),IF(AND(_xlpm.x=0,_xlpm.y&lt;&gt;0),-1,IF(AND(_xlpm.x&lt;&gt;0,_xlpm.y&lt;&gt;0),_xlpm.x,IF(AND(_xlpm.x-SUM(IF((INDIRECT($B$3)=$B111)*(INDIRECT($C$3)=$D111)*((INDIRECT($E$3)="TOTS")+(INDIRECT($E$3)=$E111)),INDIRECT(O$3)))&lt;&gt;0,_xlpm.y=0),-2,_xlpm.x)))),0))</f>
        <v>0</v>
      </c>
      <c r="P111" s="199" cm="1">
        <f t="array" aca="1" ref="P111" ca="1">IF(OR($B111="",$B111="X",$D111="",$D111="X",$E111="",$E111="X"),0,IFERROR(_xlfn.LET(_xlpm.x,SUM(SUM(_xlfn._xlws.FILTER(VALUE(PptoSty[Sign]&amp;1)*(1/PptoSty[Division]),(PptoSty[Division]&lt;&gt;0)*(PptoSty[Division]&lt;&gt;"")*(PptoSty[Division]&lt;&gt;"X")*(PptoSty[Project]=$B111)*(PptoSty[Vrs]=$D111)*(PptoSty[PiRow]=_xlfn.TEXTAFTER($H111,":"))*(PptoSty[PiColumn]=P$54),0)),SUM(IF((INDIRECT($B$3)=$B111)*(INDIRECT($C$3)=$D111)*((INDIRECT($E$3)="TOTS")+(INDIRECT($E$3)=$E111)),INDIRECT(P$3)))),_xlpm.y,SUM(_xlfn.CHOOSECOLS(_xlfn._xlws.FILTER(F_RT14[],(F_RT14[PrjId]=$B111)*(F_RT14[Vrs]=$D111)*(_xlfn.TEXTAFTER(F_RT14[ActGrp],":")=_xlfn.TEXTAFTER($H111,":")),"X"),MATCH("*"&amp;P$54,F_RT14[#Headers],0))),IF(AND(_xlpm.x=0,_xlpm.y&lt;&gt;0),-1,IF(AND(_xlpm.x&lt;&gt;0,_xlpm.y&lt;&gt;0),_xlpm.x,IF(AND(_xlpm.x-SUM(IF((INDIRECT($B$3)=$B111)*(INDIRECT($C$3)=$D111)*((INDIRECT($E$3)="TOTS")+(INDIRECT($E$3)=$E111)),INDIRECT(P$3)))&lt;&gt;0,_xlpm.y=0),-2,_xlpm.x)))),0))</f>
        <v>-1</v>
      </c>
      <c r="Q111" s="199" cm="1">
        <f t="array" aca="1" ref="Q111" ca="1">IF(OR($B111="",$B111="X",$D111="",$D111="X",$E111="",$E111="X"),0,IFERROR(_xlfn.LET(_xlpm.x,SUM(SUM(_xlfn._xlws.FILTER(VALUE(PptoSty[Sign]&amp;1)*(1/PptoSty[Division]),(PptoSty[Division]&lt;&gt;0)*(PptoSty[Division]&lt;&gt;"")*(PptoSty[Division]&lt;&gt;"X")*(PptoSty[Project]=$B111)*(PptoSty[Vrs]=$D111)*(PptoSty[PiRow]=_xlfn.TEXTAFTER($H111,":"))*(PptoSty[PiColumn]=Q$54),0)),SUM(IF((INDIRECT($B$3)=$B111)*(INDIRECT($C$3)=$D111)*((INDIRECT($E$3)="TOTS")+(INDIRECT($E$3)=$E111)),INDIRECT(Q$3)))),_xlpm.y,SUM(_xlfn.CHOOSECOLS(_xlfn._xlws.FILTER(F_RT14[],(F_RT14[PrjId]=$B111)*(F_RT14[Vrs]=$D111)*(_xlfn.TEXTAFTER(F_RT14[ActGrp],":")=_xlfn.TEXTAFTER($H111,":")),"X"),MATCH("*"&amp;Q$54,F_RT14[#Headers],0))),IF(AND(_xlpm.x=0,_xlpm.y&lt;&gt;0),-1,IF(AND(_xlpm.x&lt;&gt;0,_xlpm.y&lt;&gt;0),_xlpm.x,IF(AND(_xlpm.x-SUM(IF((INDIRECT($B$3)=$B111)*(INDIRECT($C$3)=$D111)*((INDIRECT($E$3)="TOTS")+(INDIRECT($E$3)=$E111)),INDIRECT(Q$3)))&lt;&gt;0,_xlpm.y=0),-2,_xlpm.x)))),0))</f>
        <v>-1</v>
      </c>
      <c r="R111" s="199" cm="1">
        <f t="array" aca="1" ref="R111" ca="1">IF(OR($B111="",$B111="X",$D111="",$D111="X",$E111="",$E111="X"),0,IFERROR(_xlfn.LET(_xlpm.x,SUM(SUM(_xlfn._xlws.FILTER(VALUE(PptoSty[Sign]&amp;1)*(1/PptoSty[Division]),(PptoSty[Division]&lt;&gt;0)*(PptoSty[Division]&lt;&gt;"")*(PptoSty[Division]&lt;&gt;"X")*(PptoSty[Project]=$B111)*(PptoSty[Vrs]=$D111)*(PptoSty[PiRow]=_xlfn.TEXTAFTER($H111,":"))*(PptoSty[PiColumn]=R$54),0)),SUM(IF((INDIRECT($B$3)=$B111)*(INDIRECT($C$3)=$D111)*((INDIRECT($E$3)="TOTS")+(INDIRECT($E$3)=$E111)),INDIRECT(R$3)))),_xlpm.y,SUM(_xlfn.CHOOSECOLS(_xlfn._xlws.FILTER(F_RT14[],(F_RT14[PrjId]=$B111)*(F_RT14[Vrs]=$D111)*(_xlfn.TEXTAFTER(F_RT14[ActGrp],":")=_xlfn.TEXTAFTER($H111,":")),"X"),MATCH("*"&amp;R$54,F_RT14[#Headers],0))),IF(AND(_xlpm.x=0,_xlpm.y&lt;&gt;0),-1,IF(AND(_xlpm.x&lt;&gt;0,_xlpm.y&lt;&gt;0),_xlpm.x,IF(AND(_xlpm.x-SUM(IF((INDIRECT($B$3)=$B111)*(INDIRECT($C$3)=$D111)*((INDIRECT($E$3)="TOTS")+(INDIRECT($E$3)=$E111)),INDIRECT(R$3)))&lt;&gt;0,_xlpm.y=0),-2,_xlpm.x)))),0))</f>
        <v>-1</v>
      </c>
      <c r="S111" s="199" cm="1">
        <f t="array" aca="1" ref="S111" ca="1">IF(OR($B111="",$B111="X",$D111="",$D111="X",$E111="",$E111="X"),0,IFERROR(_xlfn.LET(_xlpm.x,SUM(SUM(_xlfn._xlws.FILTER(VALUE(PptoSty[Sign]&amp;1)*(1/PptoSty[Division]),(PptoSty[Division]&lt;&gt;0)*(PptoSty[Division]&lt;&gt;"")*(PptoSty[Division]&lt;&gt;"X")*(PptoSty[Project]=$B111)*(PptoSty[Vrs]=$D111)*(PptoSty[PiRow]=_xlfn.TEXTAFTER($H111,":"))*(PptoSty[PiColumn]=S$54),0)),SUM(IF((INDIRECT($B$3)=$B111)*(INDIRECT($C$3)=$D111)*((INDIRECT($E$3)="TOTS")+(INDIRECT($E$3)=$E111)),INDIRECT(S$3)))),_xlpm.y,SUM(_xlfn.CHOOSECOLS(_xlfn._xlws.FILTER(F_RT14[],(F_RT14[PrjId]=$B111)*(F_RT14[Vrs]=$D111)*(_xlfn.TEXTAFTER(F_RT14[ActGrp],":")=_xlfn.TEXTAFTER($H111,":")),"X"),MATCH("*"&amp;S$54,F_RT14[#Headers],0))),IF(AND(_xlpm.x=0,_xlpm.y&lt;&gt;0),-1,IF(AND(_xlpm.x&lt;&gt;0,_xlpm.y&lt;&gt;0),_xlpm.x,IF(AND(_xlpm.x-SUM(IF((INDIRECT($B$3)=$B111)*(INDIRECT($C$3)=$D111)*((INDIRECT($E$3)="TOTS")+(INDIRECT($E$3)=$E111)),INDIRECT(S$3)))&lt;&gt;0,_xlpm.y=0),-2,_xlpm.x)))),0))</f>
        <v>-1</v>
      </c>
      <c r="T111" s="199" cm="1">
        <f t="array" aca="1" ref="T111" ca="1">IF(OR($B111="",$B111="X",$D111="",$D111="X",$E111="",$E111="X"),0,IFERROR(_xlfn.LET(_xlpm.x,SUM(SUM(_xlfn._xlws.FILTER(VALUE(PptoSty[Sign]&amp;1)*(1/PptoSty[Division]),(PptoSty[Division]&lt;&gt;0)*(PptoSty[Division]&lt;&gt;"")*(PptoSty[Division]&lt;&gt;"X")*(PptoSty[Project]=$B111)*(PptoSty[Vrs]=$D111)*(PptoSty[PiRow]=_xlfn.TEXTAFTER($H111,":"))*(PptoSty[PiColumn]=T$54),0)),SUM(IF((INDIRECT($B$3)=$B111)*(INDIRECT($C$3)=$D111)*((INDIRECT($E$3)="TOTS")+(INDIRECT($E$3)=$E111)),INDIRECT(T$3)))),_xlpm.y,SUM(_xlfn.CHOOSECOLS(_xlfn._xlws.FILTER(F_RT14[],(F_RT14[PrjId]=$B111)*(F_RT14[Vrs]=$D111)*(_xlfn.TEXTAFTER(F_RT14[ActGrp],":")=_xlfn.TEXTAFTER($H111,":")),"X"),MATCH("*"&amp;T$54,F_RT14[#Headers],0))),IF(AND(_xlpm.x=0,_xlpm.y&lt;&gt;0),-1,IF(AND(_xlpm.x&lt;&gt;0,_xlpm.y&lt;&gt;0),_xlpm.x,IF(AND(_xlpm.x-SUM(IF((INDIRECT($B$3)=$B111)*(INDIRECT($C$3)=$D111)*((INDIRECT($E$3)="TOTS")+(INDIRECT($E$3)=$E111)),INDIRECT(T$3)))&lt;&gt;0,_xlpm.y=0),-2,_xlpm.x)))),0))</f>
        <v>-1</v>
      </c>
      <c r="U111" s="199" cm="1">
        <f t="array" aca="1" ref="U111" ca="1">IF(OR($B111="",$B111="X",$D111="",$D111="X",$E111="",$E111="X"),0,IFERROR(_xlfn.LET(_xlpm.x,SUM(SUM(_xlfn._xlws.FILTER(VALUE(PptoSty[Sign]&amp;1)*(1/PptoSty[Division]),(PptoSty[Division]&lt;&gt;0)*(PptoSty[Division]&lt;&gt;"")*(PptoSty[Division]&lt;&gt;"X")*(PptoSty[Project]=$B111)*(PptoSty[Vrs]=$D111)*(PptoSty[PiRow]=_xlfn.TEXTAFTER($H111,":"))*(PptoSty[PiColumn]=U$54),0)),SUM(IF((INDIRECT($B$3)=$B111)*(INDIRECT($C$3)=$D111)*((INDIRECT($E$3)="TOTS")+(INDIRECT($E$3)=$E111)),INDIRECT(U$3)))),_xlpm.y,SUM(_xlfn.CHOOSECOLS(_xlfn._xlws.FILTER(F_RT14[],(F_RT14[PrjId]=$B111)*(F_RT14[Vrs]=$D111)*(_xlfn.TEXTAFTER(F_RT14[ActGrp],":")=_xlfn.TEXTAFTER($H111,":")),"X"),MATCH("*"&amp;U$54,F_RT14[#Headers],0))),IF(AND(_xlpm.x=0,_xlpm.y&lt;&gt;0),-1,IF(AND(_xlpm.x&lt;&gt;0,_xlpm.y&lt;&gt;0),_xlpm.x,IF(AND(_xlpm.x-SUM(IF((INDIRECT($B$3)=$B111)*(INDIRECT($C$3)=$D111)*((INDIRECT($E$3)="TOTS")+(INDIRECT($E$3)=$E111)),INDIRECT(U$3)))&lt;&gt;0,_xlpm.y=0),-2,_xlpm.x)))),0))</f>
        <v>0</v>
      </c>
      <c r="V111" s="199" cm="1">
        <f t="array" aca="1" ref="V111" ca="1">IF(OR($B111="",$B111="X",$D111="",$D111="X",$E111="",$E111="X"),0,IFERROR(_xlfn.LET(_xlpm.x,SUM(SUM(_xlfn._xlws.FILTER(VALUE(PptoSty[Sign]&amp;1)*(1/PptoSty[Division]),(PptoSty[Division]&lt;&gt;0)*(PptoSty[Division]&lt;&gt;"")*(PptoSty[Division]&lt;&gt;"X")*(PptoSty[Project]=$B111)*(PptoSty[Vrs]=$D111)*(PptoSty[PiRow]=_xlfn.TEXTAFTER($H111,":"))*(PptoSty[PiColumn]=V$54),0)),SUM(IF((INDIRECT($B$3)=$B111)*(INDIRECT($C$3)=$D111)*((INDIRECT($E$3)="TOTS")+(INDIRECT($E$3)=$E111)),INDIRECT(V$3)))),_xlpm.y,SUM(_xlfn.CHOOSECOLS(_xlfn._xlws.FILTER(F_RT14[],(F_RT14[PrjId]=$B111)*(F_RT14[Vrs]=$D111)*(_xlfn.TEXTAFTER(F_RT14[ActGrp],":")=_xlfn.TEXTAFTER($H111,":")),"X"),MATCH("*"&amp;V$54,F_RT14[#Headers],0))),IF(AND(_xlpm.x=0,_xlpm.y&lt;&gt;0),-1,IF(AND(_xlpm.x&lt;&gt;0,_xlpm.y&lt;&gt;0),_xlpm.x,IF(AND(_xlpm.x-SUM(IF((INDIRECT($B$3)=$B111)*(INDIRECT($C$3)=$D111)*((INDIRECT($E$3)="TOTS")+(INDIRECT($E$3)=$E111)),INDIRECT(V$3)))&lt;&gt;0,_xlpm.y=0),-2,_xlpm.x)))),0))</f>
        <v>-1</v>
      </c>
      <c r="W111" s="199" cm="1">
        <f t="array" aca="1" ref="W111" ca="1">IF(OR($B111="",$B111="X",$D111="",$D111="X",$E111="",$E111="X"),0,IFERROR(_xlfn.LET(_xlpm.x,SUM(SUM(_xlfn._xlws.FILTER(VALUE(PptoSty[Sign]&amp;1)*(1/PptoSty[Division]),(PptoSty[Division]&lt;&gt;0)*(PptoSty[Division]&lt;&gt;"")*(PptoSty[Division]&lt;&gt;"X")*(PptoSty[Project]=$B111)*(PptoSty[Vrs]=$D111)*(PptoSty[PiRow]=_xlfn.TEXTAFTER($H111,":"))*(PptoSty[PiColumn]=W$54),0)),SUM(IF((INDIRECT($B$3)=$B111)*(INDIRECT($C$3)=$D111)*((INDIRECT($E$3)="TOTS")+(INDIRECT($E$3)=$E111)),INDIRECT(W$3)))),_xlpm.y,SUM(_xlfn.CHOOSECOLS(_xlfn._xlws.FILTER(F_RT14[],(F_RT14[PrjId]=$B111)*(F_RT14[Vrs]=$D111)*(_xlfn.TEXTAFTER(F_RT14[ActGrp],":")=_xlfn.TEXTAFTER($H111,":")),"X"),MATCH("*"&amp;W$54,F_RT14[#Headers],0))),IF(AND(_xlpm.x=0,_xlpm.y&lt;&gt;0),-1,IF(AND(_xlpm.x&lt;&gt;0,_xlpm.y&lt;&gt;0),_xlpm.x,IF(AND(_xlpm.x-SUM(IF((INDIRECT($B$3)=$B111)*(INDIRECT($C$3)=$D111)*((INDIRECT($E$3)="TOTS")+(INDIRECT($E$3)=$E111)),INDIRECT(W$3)))&lt;&gt;0,_xlpm.y=0),-2,_xlpm.x)))),0))</f>
        <v>-1</v>
      </c>
      <c r="X111" s="199" cm="1">
        <f t="array" aca="1" ref="X111" ca="1">IF(OR($B111="",$B111="X",$D111="",$D111="X",$E111="",$E111="X"),0,IFERROR(_xlfn.LET(_xlpm.x,SUM(SUM(_xlfn._xlws.FILTER(VALUE(PptoSty[Sign]&amp;1)*(1/PptoSty[Division]),(PptoSty[Division]&lt;&gt;0)*(PptoSty[Division]&lt;&gt;"")*(PptoSty[Division]&lt;&gt;"X")*(PptoSty[Project]=$B111)*(PptoSty[Vrs]=$D111)*(PptoSty[PiRow]=_xlfn.TEXTAFTER($H111,":"))*(PptoSty[PiColumn]=X$54),0)),SUM(IF((INDIRECT($B$3)=$B111)*(INDIRECT($C$3)=$D111)*((INDIRECT($E$3)="TOTS")+(INDIRECT($E$3)=$E111)),INDIRECT(X$3)))),_xlpm.y,SUM(_xlfn.CHOOSECOLS(_xlfn._xlws.FILTER(F_RT14[],(F_RT14[PrjId]=$B111)*(F_RT14[Vrs]=$D111)*(_xlfn.TEXTAFTER(F_RT14[ActGrp],":")=_xlfn.TEXTAFTER($H111,":")),"X"),MATCH("*"&amp;X$54,F_RT14[#Headers],0))),IF(AND(_xlpm.x=0,_xlpm.y&lt;&gt;0),-1,IF(AND(_xlpm.x&lt;&gt;0,_xlpm.y&lt;&gt;0),_xlpm.x,IF(AND(_xlpm.x-SUM(IF((INDIRECT($B$3)=$B111)*(INDIRECT($C$3)=$D111)*((INDIRECT($E$3)="TOTS")+(INDIRECT($E$3)=$E111)),INDIRECT(X$3)))&lt;&gt;0,_xlpm.y=0),-2,_xlpm.x)))),0))</f>
        <v>-1</v>
      </c>
      <c r="Y111" s="199" cm="1">
        <f t="array" aca="1" ref="Y111" ca="1">IF(OR($B111="",$B111="X",$D111="",$D111="X",$E111="",$E111="X"),0,IFERROR(_xlfn.LET(_xlpm.x,SUM(SUM(_xlfn._xlws.FILTER(VALUE(PptoSty[Sign]&amp;1)*(1/PptoSty[Division]),(PptoSty[Division]&lt;&gt;0)*(PptoSty[Division]&lt;&gt;"")*(PptoSty[Division]&lt;&gt;"X")*(PptoSty[Project]=$B111)*(PptoSty[Vrs]=$D111)*(PptoSty[PiRow]=_xlfn.TEXTAFTER($H111,":"))*(PptoSty[PiColumn]=Y$54),0)),SUM(IF((INDIRECT($B$3)=$B111)*(INDIRECT($C$3)=$D111)*((INDIRECT($E$3)="TOTS")+(INDIRECT($E$3)=$E111)),INDIRECT(Y$3)))),_xlpm.y,SUM(_xlfn.CHOOSECOLS(_xlfn._xlws.FILTER(F_RT14[],(F_RT14[PrjId]=$B111)*(F_RT14[Vrs]=$D111)*(_xlfn.TEXTAFTER(F_RT14[ActGrp],":")=_xlfn.TEXTAFTER($H111,":")),"X"),MATCH("*"&amp;Y$54,F_RT14[#Headers],0))),IF(AND(_xlpm.x=0,_xlpm.y&lt;&gt;0),-1,IF(AND(_xlpm.x&lt;&gt;0,_xlpm.y&lt;&gt;0),_xlpm.x,IF(AND(_xlpm.x-SUM(IF((INDIRECT($B$3)=$B111)*(INDIRECT($C$3)=$D111)*((INDIRECT($E$3)="TOTS")+(INDIRECT($E$3)=$E111)),INDIRECT(Y$3)))&lt;&gt;0,_xlpm.y=0),-2,_xlpm.x)))),0))</f>
        <v>0</v>
      </c>
      <c r="Z111" s="198" t="str">
        <f t="shared" ca="1" si="2"/>
        <v>Fback!B111:Y111</v>
      </c>
    </row>
    <row r="112" spans="2:26" ht="21" customHeight="1" outlineLevel="1">
      <c r="B112" s="128" t="str">
        <v>31199</v>
      </c>
      <c r="C112" s="128" t="str">
        <v>Sp</v>
      </c>
      <c r="D112" s="128">
        <v>0</v>
      </c>
      <c r="E112" s="128" t="str">
        <v>CELL</v>
      </c>
      <c r="F112" s="139" t="str">
        <v>SERRA</v>
      </c>
      <c r="G112" s="139" t="str">
        <v>CurPpto</v>
      </c>
      <c r="H112" s="139" t="str">
        <v>P017:OP-710 MACHINING</v>
      </c>
      <c r="I112" s="199" cm="1">
        <f t="array" aca="1" ref="I112" ca="1">IF(OR($B112="",$B112="X",$D112="",$D112="X",$E112="",$E112="X"),0,IFERROR(_xlfn.LET(_xlpm.x,SUM(SUM(_xlfn._xlws.FILTER(VALUE(PptoSty[Sign]&amp;1)*(1/PptoSty[Division]),(PptoSty[Division]&lt;&gt;0)*(PptoSty[Division]&lt;&gt;"")*(PptoSty[Division]&lt;&gt;"X")*(PptoSty[Project]=$B112)*(PptoSty[Vrs]=$D112)*(PptoSty[PiRow]=_xlfn.TEXTAFTER($H112,":"))*(PptoSty[PiColumn]=I$54),0)),SUM(IF((INDIRECT($B$3)=$B112)*(INDIRECT($C$3)=$D112)*((INDIRECT($E$3)="TOTS")+(INDIRECT($E$3)=$E112)),INDIRECT(I$3)))),_xlpm.y,SUM(_xlfn.CHOOSECOLS(_xlfn._xlws.FILTER(F_RT14[],(F_RT14[PrjId]=$B112)*(F_RT14[Vrs]=$D112)*(_xlfn.TEXTAFTER(F_RT14[ActGrp],":")=_xlfn.TEXTAFTER($H112,":")),"X"),MATCH("*"&amp;I$54,F_RT14[#Headers],0))),IF(AND(_xlpm.x=0,_xlpm.y&lt;&gt;0),-1,IF(AND(_xlpm.x&lt;&gt;0,_xlpm.y&lt;&gt;0),_xlpm.x,IF(AND(_xlpm.x-SUM(IF((INDIRECT($B$3)=$B112)*(INDIRECT($C$3)=$D112)*((INDIRECT($E$3)="TOTS")+(INDIRECT($E$3)=$E112)),INDIRECT(I$3)))&lt;&gt;0,_xlpm.y=0),-2,_xlpm.x)))),0))</f>
        <v>0</v>
      </c>
      <c r="J112" s="199" cm="1">
        <f t="array" aca="1" ref="J112" ca="1">IF(OR($B112="",$B112="X",$D112="",$D112="X",$E112="",$E112="X"),0,IFERROR(_xlfn.LET(_xlpm.x,SUM(SUM(_xlfn._xlws.FILTER(VALUE(PptoSty[Sign]&amp;1)*(1/PptoSty[Division]),(PptoSty[Division]&lt;&gt;0)*(PptoSty[Division]&lt;&gt;"")*(PptoSty[Division]&lt;&gt;"X")*(PptoSty[Project]=$B112)*(PptoSty[Vrs]=$D112)*(PptoSty[PiRow]=_xlfn.TEXTAFTER($H112,":"))*(PptoSty[PiColumn]=J$54),0)),SUM(IF((INDIRECT($B$3)=$B112)*(INDIRECT($C$3)=$D112)*((INDIRECT($E$3)="TOTS")+(INDIRECT($E$3)=$E112)),INDIRECT(J$3)))),_xlpm.y,SUM(_xlfn.CHOOSECOLS(_xlfn._xlws.FILTER(F_RT14[],(F_RT14[PrjId]=$B112)*(F_RT14[Vrs]=$D112)*(_xlfn.TEXTAFTER(F_RT14[ActGrp],":")=_xlfn.TEXTAFTER($H112,":")),"X"),MATCH("*"&amp;J$54,F_RT14[#Headers],0))),IF(AND(_xlpm.x=0,_xlpm.y&lt;&gt;0),-1,IF(AND(_xlpm.x&lt;&gt;0,_xlpm.y&lt;&gt;0),_xlpm.x,IF(AND(_xlpm.x-SUM(IF((INDIRECT($B$3)=$B112)*(INDIRECT($C$3)=$D112)*((INDIRECT($E$3)="TOTS")+(INDIRECT($E$3)=$E112)),INDIRECT(J$3)))&lt;&gt;0,_xlpm.y=0),-2,_xlpm.x)))),0))</f>
        <v>0</v>
      </c>
      <c r="K112" s="199" cm="1">
        <f t="array" aca="1" ref="K112" ca="1">IF(OR($B112="",$B112="X",$D112="",$D112="X",$E112="",$E112="X"),0,IFERROR(_xlfn.LET(_xlpm.x,SUM(SUM(_xlfn._xlws.FILTER(VALUE(PptoSty[Sign]&amp;1)*(1/PptoSty[Division]),(PptoSty[Division]&lt;&gt;0)*(PptoSty[Division]&lt;&gt;"")*(PptoSty[Division]&lt;&gt;"X")*(PptoSty[Project]=$B112)*(PptoSty[Vrs]=$D112)*(PptoSty[PiRow]=_xlfn.TEXTAFTER($H112,":"))*(PptoSty[PiColumn]=K$54),0)),SUM(IF((INDIRECT($B$3)=$B112)*(INDIRECT($C$3)=$D112)*((INDIRECT($E$3)="TOTS")+(INDIRECT($E$3)=$E112)),INDIRECT(K$3)))),_xlpm.y,SUM(_xlfn.CHOOSECOLS(_xlfn._xlws.FILTER(F_RT14[],(F_RT14[PrjId]=$B112)*(F_RT14[Vrs]=$D112)*(_xlfn.TEXTAFTER(F_RT14[ActGrp],":")=_xlfn.TEXTAFTER($H112,":")),"X"),MATCH("*"&amp;K$54,F_RT14[#Headers],0))),IF(AND(_xlpm.x=0,_xlpm.y&lt;&gt;0),-1,IF(AND(_xlpm.x&lt;&gt;0,_xlpm.y&lt;&gt;0),_xlpm.x,IF(AND(_xlpm.x-SUM(IF((INDIRECT($B$3)=$B112)*(INDIRECT($C$3)=$D112)*((INDIRECT($E$3)="TOTS")+(INDIRECT($E$3)=$E112)),INDIRECT(K$3)))&lt;&gt;0,_xlpm.y=0),-2,_xlpm.x)))),0))</f>
        <v>0</v>
      </c>
      <c r="L112" s="199" cm="1">
        <f t="array" aca="1" ref="L112" ca="1">IF(OR($B112="",$B112="X",$D112="",$D112="X",$E112="",$E112="X"),0,IFERROR(_xlfn.LET(_xlpm.x,SUM(SUM(_xlfn._xlws.FILTER(VALUE(PptoSty[Sign]&amp;1)*(1/PptoSty[Division]),(PptoSty[Division]&lt;&gt;0)*(PptoSty[Division]&lt;&gt;"")*(PptoSty[Division]&lt;&gt;"X")*(PptoSty[Project]=$B112)*(PptoSty[Vrs]=$D112)*(PptoSty[PiRow]=_xlfn.TEXTAFTER($H112,":"))*(PptoSty[PiColumn]=L$54),0)),SUM(IF((INDIRECT($B$3)=$B112)*(INDIRECT($C$3)=$D112)*((INDIRECT($E$3)="TOTS")+(INDIRECT($E$3)=$E112)),INDIRECT(L$3)))),_xlpm.y,SUM(_xlfn.CHOOSECOLS(_xlfn._xlws.FILTER(F_RT14[],(F_RT14[PrjId]=$B112)*(F_RT14[Vrs]=$D112)*(_xlfn.TEXTAFTER(F_RT14[ActGrp],":")=_xlfn.TEXTAFTER($H112,":")),"X"),MATCH("*"&amp;L$54,F_RT14[#Headers],0))),IF(AND(_xlpm.x=0,_xlpm.y&lt;&gt;0),-1,IF(AND(_xlpm.x&lt;&gt;0,_xlpm.y&lt;&gt;0),_xlpm.x,IF(AND(_xlpm.x-SUM(IF((INDIRECT($B$3)=$B112)*(INDIRECT($C$3)=$D112)*((INDIRECT($E$3)="TOTS")+(INDIRECT($E$3)=$E112)),INDIRECT(L$3)))&lt;&gt;0,_xlpm.y=0),-2,_xlpm.x)))),0))</f>
        <v>0</v>
      </c>
      <c r="M112" s="199" cm="1">
        <f t="array" aca="1" ref="M112" ca="1">IF(OR($B112="",$B112="X",$D112="",$D112="X",$E112="",$E112="X"),0,IFERROR(_xlfn.LET(_xlpm.x,SUM(SUM(_xlfn._xlws.FILTER(VALUE(PptoSty[Sign]&amp;1)*(1/PptoSty[Division]),(PptoSty[Division]&lt;&gt;0)*(PptoSty[Division]&lt;&gt;"")*(PptoSty[Division]&lt;&gt;"X")*(PptoSty[Project]=$B112)*(PptoSty[Vrs]=$D112)*(PptoSty[PiRow]=_xlfn.TEXTAFTER($H112,":"))*(PptoSty[PiColumn]=M$54),0)),SUM(IF((INDIRECT($B$3)=$B112)*(INDIRECT($C$3)=$D112)*((INDIRECT($E$3)="TOTS")+(INDIRECT($E$3)=$E112)),INDIRECT(M$3)))),_xlpm.y,SUM(_xlfn.CHOOSECOLS(_xlfn._xlws.FILTER(F_RT14[],(F_RT14[PrjId]=$B112)*(F_RT14[Vrs]=$D112)*(_xlfn.TEXTAFTER(F_RT14[ActGrp],":")=_xlfn.TEXTAFTER($H112,":")),"X"),MATCH("*"&amp;M$54,F_RT14[#Headers],0))),IF(AND(_xlpm.x=0,_xlpm.y&lt;&gt;0),-1,IF(AND(_xlpm.x&lt;&gt;0,_xlpm.y&lt;&gt;0),_xlpm.x,IF(AND(_xlpm.x-SUM(IF((INDIRECT($B$3)=$B112)*(INDIRECT($C$3)=$D112)*((INDIRECT($E$3)="TOTS")+(INDIRECT($E$3)=$E112)),INDIRECT(M$3)))&lt;&gt;0,_xlpm.y=0),-2,_xlpm.x)))),0))</f>
        <v>0</v>
      </c>
      <c r="N112" s="199" cm="1">
        <f t="array" aca="1" ref="N112" ca="1">IF(OR($B112="",$B112="X",$D112="",$D112="X",$E112="",$E112="X"),0,IFERROR(_xlfn.LET(_xlpm.x,SUM(SUM(_xlfn._xlws.FILTER(VALUE(PptoSty[Sign]&amp;1)*(1/PptoSty[Division]),(PptoSty[Division]&lt;&gt;0)*(PptoSty[Division]&lt;&gt;"")*(PptoSty[Division]&lt;&gt;"X")*(PptoSty[Project]=$B112)*(PptoSty[Vrs]=$D112)*(PptoSty[PiRow]=_xlfn.TEXTAFTER($H112,":"))*(PptoSty[PiColumn]=N$54),0)),SUM(IF((INDIRECT($B$3)=$B112)*(INDIRECT($C$3)=$D112)*((INDIRECT($E$3)="TOTS")+(INDIRECT($E$3)=$E112)),INDIRECT(N$3)))),_xlpm.y,SUM(_xlfn.CHOOSECOLS(_xlfn._xlws.FILTER(F_RT14[],(F_RT14[PrjId]=$B112)*(F_RT14[Vrs]=$D112)*(_xlfn.TEXTAFTER(F_RT14[ActGrp],":")=_xlfn.TEXTAFTER($H112,":")),"X"),MATCH("*"&amp;N$54,F_RT14[#Headers],0))),IF(AND(_xlpm.x=0,_xlpm.y&lt;&gt;0),-1,IF(AND(_xlpm.x&lt;&gt;0,_xlpm.y&lt;&gt;0),_xlpm.x,IF(AND(_xlpm.x-SUM(IF((INDIRECT($B$3)=$B112)*(INDIRECT($C$3)=$D112)*((INDIRECT($E$3)="TOTS")+(INDIRECT($E$3)=$E112)),INDIRECT(N$3)))&lt;&gt;0,_xlpm.y=0),-2,_xlpm.x)))),0))</f>
        <v>-1</v>
      </c>
      <c r="O112" s="199" cm="1">
        <f t="array" aca="1" ref="O112" ca="1">IF(OR($B112="",$B112="X",$D112="",$D112="X",$E112="",$E112="X"),0,IFERROR(_xlfn.LET(_xlpm.x,SUM(SUM(_xlfn._xlws.FILTER(VALUE(PptoSty[Sign]&amp;1)*(1/PptoSty[Division]),(PptoSty[Division]&lt;&gt;0)*(PptoSty[Division]&lt;&gt;"")*(PptoSty[Division]&lt;&gt;"X")*(PptoSty[Project]=$B112)*(PptoSty[Vrs]=$D112)*(PptoSty[PiRow]=_xlfn.TEXTAFTER($H112,":"))*(PptoSty[PiColumn]=O$54),0)),SUM(IF((INDIRECT($B$3)=$B112)*(INDIRECT($C$3)=$D112)*((INDIRECT($E$3)="TOTS")+(INDIRECT($E$3)=$E112)),INDIRECT(O$3)))),_xlpm.y,SUM(_xlfn.CHOOSECOLS(_xlfn._xlws.FILTER(F_RT14[],(F_RT14[PrjId]=$B112)*(F_RT14[Vrs]=$D112)*(_xlfn.TEXTAFTER(F_RT14[ActGrp],":")=_xlfn.TEXTAFTER($H112,":")),"X"),MATCH("*"&amp;O$54,F_RT14[#Headers],0))),IF(AND(_xlpm.x=0,_xlpm.y&lt;&gt;0),-1,IF(AND(_xlpm.x&lt;&gt;0,_xlpm.y&lt;&gt;0),_xlpm.x,IF(AND(_xlpm.x-SUM(IF((INDIRECT($B$3)=$B112)*(INDIRECT($C$3)=$D112)*((INDIRECT($E$3)="TOTS")+(INDIRECT($E$3)=$E112)),INDIRECT(O$3)))&lt;&gt;0,_xlpm.y=0),-2,_xlpm.x)))),0))</f>
        <v>0</v>
      </c>
      <c r="P112" s="199" cm="1">
        <f t="array" aca="1" ref="P112" ca="1">IF(OR($B112="",$B112="X",$D112="",$D112="X",$E112="",$E112="X"),0,IFERROR(_xlfn.LET(_xlpm.x,SUM(SUM(_xlfn._xlws.FILTER(VALUE(PptoSty[Sign]&amp;1)*(1/PptoSty[Division]),(PptoSty[Division]&lt;&gt;0)*(PptoSty[Division]&lt;&gt;"")*(PptoSty[Division]&lt;&gt;"X")*(PptoSty[Project]=$B112)*(PptoSty[Vrs]=$D112)*(PptoSty[PiRow]=_xlfn.TEXTAFTER($H112,":"))*(PptoSty[PiColumn]=P$54),0)),SUM(IF((INDIRECT($B$3)=$B112)*(INDIRECT($C$3)=$D112)*((INDIRECT($E$3)="TOTS")+(INDIRECT($E$3)=$E112)),INDIRECT(P$3)))),_xlpm.y,SUM(_xlfn.CHOOSECOLS(_xlfn._xlws.FILTER(F_RT14[],(F_RT14[PrjId]=$B112)*(F_RT14[Vrs]=$D112)*(_xlfn.TEXTAFTER(F_RT14[ActGrp],":")=_xlfn.TEXTAFTER($H112,":")),"X"),MATCH("*"&amp;P$54,F_RT14[#Headers],0))),IF(AND(_xlpm.x=0,_xlpm.y&lt;&gt;0),-1,IF(AND(_xlpm.x&lt;&gt;0,_xlpm.y&lt;&gt;0),_xlpm.x,IF(AND(_xlpm.x-SUM(IF((INDIRECT($B$3)=$B112)*(INDIRECT($C$3)=$D112)*((INDIRECT($E$3)="TOTS")+(INDIRECT($E$3)=$E112)),INDIRECT(P$3)))&lt;&gt;0,_xlpm.y=0),-2,_xlpm.x)))),0))</f>
        <v>0</v>
      </c>
      <c r="Q112" s="199" cm="1">
        <f t="array" aca="1" ref="Q112" ca="1">IF(OR($B112="",$B112="X",$D112="",$D112="X",$E112="",$E112="X"),0,IFERROR(_xlfn.LET(_xlpm.x,SUM(SUM(_xlfn._xlws.FILTER(VALUE(PptoSty[Sign]&amp;1)*(1/PptoSty[Division]),(PptoSty[Division]&lt;&gt;0)*(PptoSty[Division]&lt;&gt;"")*(PptoSty[Division]&lt;&gt;"X")*(PptoSty[Project]=$B112)*(PptoSty[Vrs]=$D112)*(PptoSty[PiRow]=_xlfn.TEXTAFTER($H112,":"))*(PptoSty[PiColumn]=Q$54),0)),SUM(IF((INDIRECT($B$3)=$B112)*(INDIRECT($C$3)=$D112)*((INDIRECT($E$3)="TOTS")+(INDIRECT($E$3)=$E112)),INDIRECT(Q$3)))),_xlpm.y,SUM(_xlfn.CHOOSECOLS(_xlfn._xlws.FILTER(F_RT14[],(F_RT14[PrjId]=$B112)*(F_RT14[Vrs]=$D112)*(_xlfn.TEXTAFTER(F_RT14[ActGrp],":")=_xlfn.TEXTAFTER($H112,":")),"X"),MATCH("*"&amp;Q$54,F_RT14[#Headers],0))),IF(AND(_xlpm.x=0,_xlpm.y&lt;&gt;0),-1,IF(AND(_xlpm.x&lt;&gt;0,_xlpm.y&lt;&gt;0),_xlpm.x,IF(AND(_xlpm.x-SUM(IF((INDIRECT($B$3)=$B112)*(INDIRECT($C$3)=$D112)*((INDIRECT($E$3)="TOTS")+(INDIRECT($E$3)=$E112)),INDIRECT(Q$3)))&lt;&gt;0,_xlpm.y=0),-2,_xlpm.x)))),0))</f>
        <v>0</v>
      </c>
      <c r="R112" s="199" cm="1">
        <f t="array" aca="1" ref="R112" ca="1">IF(OR($B112="",$B112="X",$D112="",$D112="X",$E112="",$E112="X"),0,IFERROR(_xlfn.LET(_xlpm.x,SUM(SUM(_xlfn._xlws.FILTER(VALUE(PptoSty[Sign]&amp;1)*(1/PptoSty[Division]),(PptoSty[Division]&lt;&gt;0)*(PptoSty[Division]&lt;&gt;"")*(PptoSty[Division]&lt;&gt;"X")*(PptoSty[Project]=$B112)*(PptoSty[Vrs]=$D112)*(PptoSty[PiRow]=_xlfn.TEXTAFTER($H112,":"))*(PptoSty[PiColumn]=R$54),0)),SUM(IF((INDIRECT($B$3)=$B112)*(INDIRECT($C$3)=$D112)*((INDIRECT($E$3)="TOTS")+(INDIRECT($E$3)=$E112)),INDIRECT(R$3)))),_xlpm.y,SUM(_xlfn.CHOOSECOLS(_xlfn._xlws.FILTER(F_RT14[],(F_RT14[PrjId]=$B112)*(F_RT14[Vrs]=$D112)*(_xlfn.TEXTAFTER(F_RT14[ActGrp],":")=_xlfn.TEXTAFTER($H112,":")),"X"),MATCH("*"&amp;R$54,F_RT14[#Headers],0))),IF(AND(_xlpm.x=0,_xlpm.y&lt;&gt;0),-1,IF(AND(_xlpm.x&lt;&gt;0,_xlpm.y&lt;&gt;0),_xlpm.x,IF(AND(_xlpm.x-SUM(IF((INDIRECT($B$3)=$B112)*(INDIRECT($C$3)=$D112)*((INDIRECT($E$3)="TOTS")+(INDIRECT($E$3)=$E112)),INDIRECT(R$3)))&lt;&gt;0,_xlpm.y=0),-2,_xlpm.x)))),0))</f>
        <v>0</v>
      </c>
      <c r="S112" s="199" cm="1">
        <f t="array" aca="1" ref="S112" ca="1">IF(OR($B112="",$B112="X",$D112="",$D112="X",$E112="",$E112="X"),0,IFERROR(_xlfn.LET(_xlpm.x,SUM(SUM(_xlfn._xlws.FILTER(VALUE(PptoSty[Sign]&amp;1)*(1/PptoSty[Division]),(PptoSty[Division]&lt;&gt;0)*(PptoSty[Division]&lt;&gt;"")*(PptoSty[Division]&lt;&gt;"X")*(PptoSty[Project]=$B112)*(PptoSty[Vrs]=$D112)*(PptoSty[PiRow]=_xlfn.TEXTAFTER($H112,":"))*(PptoSty[PiColumn]=S$54),0)),SUM(IF((INDIRECT($B$3)=$B112)*(INDIRECT($C$3)=$D112)*((INDIRECT($E$3)="TOTS")+(INDIRECT($E$3)=$E112)),INDIRECT(S$3)))),_xlpm.y,SUM(_xlfn.CHOOSECOLS(_xlfn._xlws.FILTER(F_RT14[],(F_RT14[PrjId]=$B112)*(F_RT14[Vrs]=$D112)*(_xlfn.TEXTAFTER(F_RT14[ActGrp],":")=_xlfn.TEXTAFTER($H112,":")),"X"),MATCH("*"&amp;S$54,F_RT14[#Headers],0))),IF(AND(_xlpm.x=0,_xlpm.y&lt;&gt;0),-1,IF(AND(_xlpm.x&lt;&gt;0,_xlpm.y&lt;&gt;0),_xlpm.x,IF(AND(_xlpm.x-SUM(IF((INDIRECT($B$3)=$B112)*(INDIRECT($C$3)=$D112)*((INDIRECT($E$3)="TOTS")+(INDIRECT($E$3)=$E112)),INDIRECT(S$3)))&lt;&gt;0,_xlpm.y=0),-2,_xlpm.x)))),0))</f>
        <v>-1</v>
      </c>
      <c r="T112" s="199" cm="1">
        <f t="array" aca="1" ref="T112" ca="1">IF(OR($B112="",$B112="X",$D112="",$D112="X",$E112="",$E112="X"),0,IFERROR(_xlfn.LET(_xlpm.x,SUM(SUM(_xlfn._xlws.FILTER(VALUE(PptoSty[Sign]&amp;1)*(1/PptoSty[Division]),(PptoSty[Division]&lt;&gt;0)*(PptoSty[Division]&lt;&gt;"")*(PptoSty[Division]&lt;&gt;"X")*(PptoSty[Project]=$B112)*(PptoSty[Vrs]=$D112)*(PptoSty[PiRow]=_xlfn.TEXTAFTER($H112,":"))*(PptoSty[PiColumn]=T$54),0)),SUM(IF((INDIRECT($B$3)=$B112)*(INDIRECT($C$3)=$D112)*((INDIRECT($E$3)="TOTS")+(INDIRECT($E$3)=$E112)),INDIRECT(T$3)))),_xlpm.y,SUM(_xlfn.CHOOSECOLS(_xlfn._xlws.FILTER(F_RT14[],(F_RT14[PrjId]=$B112)*(F_RT14[Vrs]=$D112)*(_xlfn.TEXTAFTER(F_RT14[ActGrp],":")=_xlfn.TEXTAFTER($H112,":")),"X"),MATCH("*"&amp;T$54,F_RT14[#Headers],0))),IF(AND(_xlpm.x=0,_xlpm.y&lt;&gt;0),-1,IF(AND(_xlpm.x&lt;&gt;0,_xlpm.y&lt;&gt;0),_xlpm.x,IF(AND(_xlpm.x-SUM(IF((INDIRECT($B$3)=$B112)*(INDIRECT($C$3)=$D112)*((INDIRECT($E$3)="TOTS")+(INDIRECT($E$3)=$E112)),INDIRECT(T$3)))&lt;&gt;0,_xlpm.y=0),-2,_xlpm.x)))),0))</f>
        <v>-1</v>
      </c>
      <c r="U112" s="199" cm="1">
        <f t="array" aca="1" ref="U112" ca="1">IF(OR($B112="",$B112="X",$D112="",$D112="X",$E112="",$E112="X"),0,IFERROR(_xlfn.LET(_xlpm.x,SUM(SUM(_xlfn._xlws.FILTER(VALUE(PptoSty[Sign]&amp;1)*(1/PptoSty[Division]),(PptoSty[Division]&lt;&gt;0)*(PptoSty[Division]&lt;&gt;"")*(PptoSty[Division]&lt;&gt;"X")*(PptoSty[Project]=$B112)*(PptoSty[Vrs]=$D112)*(PptoSty[PiRow]=_xlfn.TEXTAFTER($H112,":"))*(PptoSty[PiColumn]=U$54),0)),SUM(IF((INDIRECT($B$3)=$B112)*(INDIRECT($C$3)=$D112)*((INDIRECT($E$3)="TOTS")+(INDIRECT($E$3)=$E112)),INDIRECT(U$3)))),_xlpm.y,SUM(_xlfn.CHOOSECOLS(_xlfn._xlws.FILTER(F_RT14[],(F_RT14[PrjId]=$B112)*(F_RT14[Vrs]=$D112)*(_xlfn.TEXTAFTER(F_RT14[ActGrp],":")=_xlfn.TEXTAFTER($H112,":")),"X"),MATCH("*"&amp;U$54,F_RT14[#Headers],0))),IF(AND(_xlpm.x=0,_xlpm.y&lt;&gt;0),-1,IF(AND(_xlpm.x&lt;&gt;0,_xlpm.y&lt;&gt;0),_xlpm.x,IF(AND(_xlpm.x-SUM(IF((INDIRECT($B$3)=$B112)*(INDIRECT($C$3)=$D112)*((INDIRECT($E$3)="TOTS")+(INDIRECT($E$3)=$E112)),INDIRECT(U$3)))&lt;&gt;0,_xlpm.y=0),-2,_xlpm.x)))),0))</f>
        <v>0</v>
      </c>
      <c r="V112" s="199" cm="1">
        <f t="array" aca="1" ref="V112" ca="1">IF(OR($B112="",$B112="X",$D112="",$D112="X",$E112="",$E112="X"),0,IFERROR(_xlfn.LET(_xlpm.x,SUM(SUM(_xlfn._xlws.FILTER(VALUE(PptoSty[Sign]&amp;1)*(1/PptoSty[Division]),(PptoSty[Division]&lt;&gt;0)*(PptoSty[Division]&lt;&gt;"")*(PptoSty[Division]&lt;&gt;"X")*(PptoSty[Project]=$B112)*(PptoSty[Vrs]=$D112)*(PptoSty[PiRow]=_xlfn.TEXTAFTER($H112,":"))*(PptoSty[PiColumn]=V$54),0)),SUM(IF((INDIRECT($B$3)=$B112)*(INDIRECT($C$3)=$D112)*((INDIRECT($E$3)="TOTS")+(INDIRECT($E$3)=$E112)),INDIRECT(V$3)))),_xlpm.y,SUM(_xlfn.CHOOSECOLS(_xlfn._xlws.FILTER(F_RT14[],(F_RT14[PrjId]=$B112)*(F_RT14[Vrs]=$D112)*(_xlfn.TEXTAFTER(F_RT14[ActGrp],":")=_xlfn.TEXTAFTER($H112,":")),"X"),MATCH("*"&amp;V$54,F_RT14[#Headers],0))),IF(AND(_xlpm.x=0,_xlpm.y&lt;&gt;0),-1,IF(AND(_xlpm.x&lt;&gt;0,_xlpm.y&lt;&gt;0),_xlpm.x,IF(AND(_xlpm.x-SUM(IF((INDIRECT($B$3)=$B112)*(INDIRECT($C$3)=$D112)*((INDIRECT($E$3)="TOTS")+(INDIRECT($E$3)=$E112)),INDIRECT(V$3)))&lt;&gt;0,_xlpm.y=0),-2,_xlpm.x)))),0))</f>
        <v>0</v>
      </c>
      <c r="W112" s="199" cm="1">
        <f t="array" aca="1" ref="W112" ca="1">IF(OR($B112="",$B112="X",$D112="",$D112="X",$E112="",$E112="X"),0,IFERROR(_xlfn.LET(_xlpm.x,SUM(SUM(_xlfn._xlws.FILTER(VALUE(PptoSty[Sign]&amp;1)*(1/PptoSty[Division]),(PptoSty[Division]&lt;&gt;0)*(PptoSty[Division]&lt;&gt;"")*(PptoSty[Division]&lt;&gt;"X")*(PptoSty[Project]=$B112)*(PptoSty[Vrs]=$D112)*(PptoSty[PiRow]=_xlfn.TEXTAFTER($H112,":"))*(PptoSty[PiColumn]=W$54),0)),SUM(IF((INDIRECT($B$3)=$B112)*(INDIRECT($C$3)=$D112)*((INDIRECT($E$3)="TOTS")+(INDIRECT($E$3)=$E112)),INDIRECT(W$3)))),_xlpm.y,SUM(_xlfn.CHOOSECOLS(_xlfn._xlws.FILTER(F_RT14[],(F_RT14[PrjId]=$B112)*(F_RT14[Vrs]=$D112)*(_xlfn.TEXTAFTER(F_RT14[ActGrp],":")=_xlfn.TEXTAFTER($H112,":")),"X"),MATCH("*"&amp;W$54,F_RT14[#Headers],0))),IF(AND(_xlpm.x=0,_xlpm.y&lt;&gt;0),-1,IF(AND(_xlpm.x&lt;&gt;0,_xlpm.y&lt;&gt;0),_xlpm.x,IF(AND(_xlpm.x-SUM(IF((INDIRECT($B$3)=$B112)*(INDIRECT($C$3)=$D112)*((INDIRECT($E$3)="TOTS")+(INDIRECT($E$3)=$E112)),INDIRECT(W$3)))&lt;&gt;0,_xlpm.y=0),-2,_xlpm.x)))),0))</f>
        <v>-1</v>
      </c>
      <c r="X112" s="199" cm="1">
        <f t="array" aca="1" ref="X112" ca="1">IF(OR($B112="",$B112="X",$D112="",$D112="X",$E112="",$E112="X"),0,IFERROR(_xlfn.LET(_xlpm.x,SUM(SUM(_xlfn._xlws.FILTER(VALUE(PptoSty[Sign]&amp;1)*(1/PptoSty[Division]),(PptoSty[Division]&lt;&gt;0)*(PptoSty[Division]&lt;&gt;"")*(PptoSty[Division]&lt;&gt;"X")*(PptoSty[Project]=$B112)*(PptoSty[Vrs]=$D112)*(PptoSty[PiRow]=_xlfn.TEXTAFTER($H112,":"))*(PptoSty[PiColumn]=X$54),0)),SUM(IF((INDIRECT($B$3)=$B112)*(INDIRECT($C$3)=$D112)*((INDIRECT($E$3)="TOTS")+(INDIRECT($E$3)=$E112)),INDIRECT(X$3)))),_xlpm.y,SUM(_xlfn.CHOOSECOLS(_xlfn._xlws.FILTER(F_RT14[],(F_RT14[PrjId]=$B112)*(F_RT14[Vrs]=$D112)*(_xlfn.TEXTAFTER(F_RT14[ActGrp],":")=_xlfn.TEXTAFTER($H112,":")),"X"),MATCH("*"&amp;X$54,F_RT14[#Headers],0))),IF(AND(_xlpm.x=0,_xlpm.y&lt;&gt;0),-1,IF(AND(_xlpm.x&lt;&gt;0,_xlpm.y&lt;&gt;0),_xlpm.x,IF(AND(_xlpm.x-SUM(IF((INDIRECT($B$3)=$B112)*(INDIRECT($C$3)=$D112)*((INDIRECT($E$3)="TOTS")+(INDIRECT($E$3)=$E112)),INDIRECT(X$3)))&lt;&gt;0,_xlpm.y=0),-2,_xlpm.x)))),0))</f>
        <v>-1</v>
      </c>
      <c r="Y112" s="199" cm="1">
        <f t="array" aca="1" ref="Y112" ca="1">IF(OR($B112="",$B112="X",$D112="",$D112="X",$E112="",$E112="X"),0,IFERROR(_xlfn.LET(_xlpm.x,SUM(SUM(_xlfn._xlws.FILTER(VALUE(PptoSty[Sign]&amp;1)*(1/PptoSty[Division]),(PptoSty[Division]&lt;&gt;0)*(PptoSty[Division]&lt;&gt;"")*(PptoSty[Division]&lt;&gt;"X")*(PptoSty[Project]=$B112)*(PptoSty[Vrs]=$D112)*(PptoSty[PiRow]=_xlfn.TEXTAFTER($H112,":"))*(PptoSty[PiColumn]=Y$54),0)),SUM(IF((INDIRECT($B$3)=$B112)*(INDIRECT($C$3)=$D112)*((INDIRECT($E$3)="TOTS")+(INDIRECT($E$3)=$E112)),INDIRECT(Y$3)))),_xlpm.y,SUM(_xlfn.CHOOSECOLS(_xlfn._xlws.FILTER(F_RT14[],(F_RT14[PrjId]=$B112)*(F_RT14[Vrs]=$D112)*(_xlfn.TEXTAFTER(F_RT14[ActGrp],":")=_xlfn.TEXTAFTER($H112,":")),"X"),MATCH("*"&amp;Y$54,F_RT14[#Headers],0))),IF(AND(_xlpm.x=0,_xlpm.y&lt;&gt;0),-1,IF(AND(_xlpm.x&lt;&gt;0,_xlpm.y&lt;&gt;0),_xlpm.x,IF(AND(_xlpm.x-SUM(IF((INDIRECT($B$3)=$B112)*(INDIRECT($C$3)=$D112)*((INDIRECT($E$3)="TOTS")+(INDIRECT($E$3)=$E112)),INDIRECT(Y$3)))&lt;&gt;0,_xlpm.y=0),-2,_xlpm.x)))),0))</f>
        <v>0</v>
      </c>
      <c r="Z112" s="198" t="str">
        <f t="shared" ca="1" si="2"/>
        <v>Fback!B112:Y112</v>
      </c>
    </row>
    <row r="113" spans="2:26" ht="21" customHeight="1" outlineLevel="1">
      <c r="B113" s="128" t="str">
        <v>31200</v>
      </c>
      <c r="C113" s="128" t="str">
        <v>Sp</v>
      </c>
      <c r="D113" s="128">
        <v>15</v>
      </c>
      <c r="E113" s="128" t="str">
        <v>CELL</v>
      </c>
      <c r="F113" s="139" t="str">
        <v>SERRA</v>
      </c>
      <c r="G113" s="139" t="str">
        <v>CurPpto</v>
      </c>
      <c r="H113" s="139" t="str">
        <v>P018:PLATFORMS PR-31200:15</v>
      </c>
      <c r="I113" s="199" cm="1">
        <f t="array" aca="1" ref="I113" ca="1">IF(OR($B113="",$B113="X",$D113="",$D113="X",$E113="",$E113="X"),0,IFERROR(_xlfn.LET(_xlpm.x,SUM(SUM(_xlfn._xlws.FILTER(VALUE(PptoSty[Sign]&amp;1)*(1/PptoSty[Division]),(PptoSty[Division]&lt;&gt;0)*(PptoSty[Division]&lt;&gt;"")*(PptoSty[Division]&lt;&gt;"X")*(PptoSty[Project]=$B113)*(PptoSty[Vrs]=$D113)*(PptoSty[PiRow]=_xlfn.TEXTAFTER($H113,":"))*(PptoSty[PiColumn]=I$54),0)),SUM(IF((INDIRECT($B$3)=$B113)*(INDIRECT($C$3)=$D113)*((INDIRECT($E$3)="TOTS")+(INDIRECT($E$3)=$E113)),INDIRECT(I$3)))),_xlpm.y,SUM(_xlfn.CHOOSECOLS(_xlfn._xlws.FILTER(F_RT14[],(F_RT14[PrjId]=$B113)*(F_RT14[Vrs]=$D113)*(_xlfn.TEXTAFTER(F_RT14[ActGrp],":")=_xlfn.TEXTAFTER($H113,":")),"X"),MATCH("*"&amp;I$54,F_RT14[#Headers],0))),IF(AND(_xlpm.x=0,_xlpm.y&lt;&gt;0),-1,IF(AND(_xlpm.x&lt;&gt;0,_xlpm.y&lt;&gt;0),_xlpm.x,IF(AND(_xlpm.x-SUM(IF((INDIRECT($B$3)=$B113)*(INDIRECT($C$3)=$D113)*((INDIRECT($E$3)="TOTS")+(INDIRECT($E$3)=$E113)),INDIRECT(I$3)))&lt;&gt;0,_xlpm.y=0),-2,_xlpm.x)))),0))</f>
        <v>0</v>
      </c>
      <c r="J113" s="199" cm="1">
        <f t="array" aca="1" ref="J113" ca="1">IF(OR($B113="",$B113="X",$D113="",$D113="X",$E113="",$E113="X"),0,IFERROR(_xlfn.LET(_xlpm.x,SUM(SUM(_xlfn._xlws.FILTER(VALUE(PptoSty[Sign]&amp;1)*(1/PptoSty[Division]),(PptoSty[Division]&lt;&gt;0)*(PptoSty[Division]&lt;&gt;"")*(PptoSty[Division]&lt;&gt;"X")*(PptoSty[Project]=$B113)*(PptoSty[Vrs]=$D113)*(PptoSty[PiRow]=_xlfn.TEXTAFTER($H113,":"))*(PptoSty[PiColumn]=J$54),0)),SUM(IF((INDIRECT($B$3)=$B113)*(INDIRECT($C$3)=$D113)*((INDIRECT($E$3)="TOTS")+(INDIRECT($E$3)=$E113)),INDIRECT(J$3)))),_xlpm.y,SUM(_xlfn.CHOOSECOLS(_xlfn._xlws.FILTER(F_RT14[],(F_RT14[PrjId]=$B113)*(F_RT14[Vrs]=$D113)*(_xlfn.TEXTAFTER(F_RT14[ActGrp],":")=_xlfn.TEXTAFTER($H113,":")),"X"),MATCH("*"&amp;J$54,F_RT14[#Headers],0))),IF(AND(_xlpm.x=0,_xlpm.y&lt;&gt;0),-1,IF(AND(_xlpm.x&lt;&gt;0,_xlpm.y&lt;&gt;0),_xlpm.x,IF(AND(_xlpm.x-SUM(IF((INDIRECT($B$3)=$B113)*(INDIRECT($C$3)=$D113)*((INDIRECT($E$3)="TOTS")+(INDIRECT($E$3)=$E113)),INDIRECT(J$3)))&lt;&gt;0,_xlpm.y=0),-2,_xlpm.x)))),0))</f>
        <v>0</v>
      </c>
      <c r="K113" s="199" cm="1">
        <f t="array" aca="1" ref="K113" ca="1">IF(OR($B113="",$B113="X",$D113="",$D113="X",$E113="",$E113="X"),0,IFERROR(_xlfn.LET(_xlpm.x,SUM(SUM(_xlfn._xlws.FILTER(VALUE(PptoSty[Sign]&amp;1)*(1/PptoSty[Division]),(PptoSty[Division]&lt;&gt;0)*(PptoSty[Division]&lt;&gt;"")*(PptoSty[Division]&lt;&gt;"X")*(PptoSty[Project]=$B113)*(PptoSty[Vrs]=$D113)*(PptoSty[PiRow]=_xlfn.TEXTAFTER($H113,":"))*(PptoSty[PiColumn]=K$54),0)),SUM(IF((INDIRECT($B$3)=$B113)*(INDIRECT($C$3)=$D113)*((INDIRECT($E$3)="TOTS")+(INDIRECT($E$3)=$E113)),INDIRECT(K$3)))),_xlpm.y,SUM(_xlfn.CHOOSECOLS(_xlfn._xlws.FILTER(F_RT14[],(F_RT14[PrjId]=$B113)*(F_RT14[Vrs]=$D113)*(_xlfn.TEXTAFTER(F_RT14[ActGrp],":")=_xlfn.TEXTAFTER($H113,":")),"X"),MATCH("*"&amp;K$54,F_RT14[#Headers],0))),IF(AND(_xlpm.x=0,_xlpm.y&lt;&gt;0),-1,IF(AND(_xlpm.x&lt;&gt;0,_xlpm.y&lt;&gt;0),_xlpm.x,IF(AND(_xlpm.x-SUM(IF((INDIRECT($B$3)=$B113)*(INDIRECT($C$3)=$D113)*((INDIRECT($E$3)="TOTS")+(INDIRECT($E$3)=$E113)),INDIRECT(K$3)))&lt;&gt;0,_xlpm.y=0),-2,_xlpm.x)))),0))</f>
        <v>-1</v>
      </c>
      <c r="L113" s="199" cm="1">
        <f t="array" aca="1" ref="L113" ca="1">IF(OR($B113="",$B113="X",$D113="",$D113="X",$E113="",$E113="X"),0,IFERROR(_xlfn.LET(_xlpm.x,SUM(SUM(_xlfn._xlws.FILTER(VALUE(PptoSty[Sign]&amp;1)*(1/PptoSty[Division]),(PptoSty[Division]&lt;&gt;0)*(PptoSty[Division]&lt;&gt;"")*(PptoSty[Division]&lt;&gt;"X")*(PptoSty[Project]=$B113)*(PptoSty[Vrs]=$D113)*(PptoSty[PiRow]=_xlfn.TEXTAFTER($H113,":"))*(PptoSty[PiColumn]=L$54),0)),SUM(IF((INDIRECT($B$3)=$B113)*(INDIRECT($C$3)=$D113)*((INDIRECT($E$3)="TOTS")+(INDIRECT($E$3)=$E113)),INDIRECT(L$3)))),_xlpm.y,SUM(_xlfn.CHOOSECOLS(_xlfn._xlws.FILTER(F_RT14[],(F_RT14[PrjId]=$B113)*(F_RT14[Vrs]=$D113)*(_xlfn.TEXTAFTER(F_RT14[ActGrp],":")=_xlfn.TEXTAFTER($H113,":")),"X"),MATCH("*"&amp;L$54,F_RT14[#Headers],0))),IF(AND(_xlpm.x=0,_xlpm.y&lt;&gt;0),-1,IF(AND(_xlpm.x&lt;&gt;0,_xlpm.y&lt;&gt;0),_xlpm.x,IF(AND(_xlpm.x-SUM(IF((INDIRECT($B$3)=$B113)*(INDIRECT($C$3)=$D113)*((INDIRECT($E$3)="TOTS")+(INDIRECT($E$3)=$E113)),INDIRECT(L$3)))&lt;&gt;0,_xlpm.y=0),-2,_xlpm.x)))),0))</f>
        <v>0</v>
      </c>
      <c r="M113" s="199" cm="1">
        <f t="array" aca="1" ref="M113" ca="1">IF(OR($B113="",$B113="X",$D113="",$D113="X",$E113="",$E113="X"),0,IFERROR(_xlfn.LET(_xlpm.x,SUM(SUM(_xlfn._xlws.FILTER(VALUE(PptoSty[Sign]&amp;1)*(1/PptoSty[Division]),(PptoSty[Division]&lt;&gt;0)*(PptoSty[Division]&lt;&gt;"")*(PptoSty[Division]&lt;&gt;"X")*(PptoSty[Project]=$B113)*(PptoSty[Vrs]=$D113)*(PptoSty[PiRow]=_xlfn.TEXTAFTER($H113,":"))*(PptoSty[PiColumn]=M$54),0)),SUM(IF((INDIRECT($B$3)=$B113)*(INDIRECT($C$3)=$D113)*((INDIRECT($E$3)="TOTS")+(INDIRECT($E$3)=$E113)),INDIRECT(M$3)))),_xlpm.y,SUM(_xlfn.CHOOSECOLS(_xlfn._xlws.FILTER(F_RT14[],(F_RT14[PrjId]=$B113)*(F_RT14[Vrs]=$D113)*(_xlfn.TEXTAFTER(F_RT14[ActGrp],":")=_xlfn.TEXTAFTER($H113,":")),"X"),MATCH("*"&amp;M$54,F_RT14[#Headers],0))),IF(AND(_xlpm.x=0,_xlpm.y&lt;&gt;0),-1,IF(AND(_xlpm.x&lt;&gt;0,_xlpm.y&lt;&gt;0),_xlpm.x,IF(AND(_xlpm.x-SUM(IF((INDIRECT($B$3)=$B113)*(INDIRECT($C$3)=$D113)*((INDIRECT($E$3)="TOTS")+(INDIRECT($E$3)=$E113)),INDIRECT(M$3)))&lt;&gt;0,_xlpm.y=0),-2,_xlpm.x)))),0))</f>
        <v>0</v>
      </c>
      <c r="N113" s="199" cm="1">
        <f t="array" aca="1" ref="N113" ca="1">IF(OR($B113="",$B113="X",$D113="",$D113="X",$E113="",$E113="X"),0,IFERROR(_xlfn.LET(_xlpm.x,SUM(SUM(_xlfn._xlws.FILTER(VALUE(PptoSty[Sign]&amp;1)*(1/PptoSty[Division]),(PptoSty[Division]&lt;&gt;0)*(PptoSty[Division]&lt;&gt;"")*(PptoSty[Division]&lt;&gt;"X")*(PptoSty[Project]=$B113)*(PptoSty[Vrs]=$D113)*(PptoSty[PiRow]=_xlfn.TEXTAFTER($H113,":"))*(PptoSty[PiColumn]=N$54),0)),SUM(IF((INDIRECT($B$3)=$B113)*(INDIRECT($C$3)=$D113)*((INDIRECT($E$3)="TOTS")+(INDIRECT($E$3)=$E113)),INDIRECT(N$3)))),_xlpm.y,SUM(_xlfn.CHOOSECOLS(_xlfn._xlws.FILTER(F_RT14[],(F_RT14[PrjId]=$B113)*(F_RT14[Vrs]=$D113)*(_xlfn.TEXTAFTER(F_RT14[ActGrp],":")=_xlfn.TEXTAFTER($H113,":")),"X"),MATCH("*"&amp;N$54,F_RT14[#Headers],0))),IF(AND(_xlpm.x=0,_xlpm.y&lt;&gt;0),-1,IF(AND(_xlpm.x&lt;&gt;0,_xlpm.y&lt;&gt;0),_xlpm.x,IF(AND(_xlpm.x-SUM(IF((INDIRECT($B$3)=$B113)*(INDIRECT($C$3)=$D113)*((INDIRECT($E$3)="TOTS")+(INDIRECT($E$3)=$E113)),INDIRECT(N$3)))&lt;&gt;0,_xlpm.y=0),-2,_xlpm.x)))),0))</f>
        <v>0</v>
      </c>
      <c r="O113" s="199" cm="1">
        <f t="array" aca="1" ref="O113" ca="1">IF(OR($B113="",$B113="X",$D113="",$D113="X",$E113="",$E113="X"),0,IFERROR(_xlfn.LET(_xlpm.x,SUM(SUM(_xlfn._xlws.FILTER(VALUE(PptoSty[Sign]&amp;1)*(1/PptoSty[Division]),(PptoSty[Division]&lt;&gt;0)*(PptoSty[Division]&lt;&gt;"")*(PptoSty[Division]&lt;&gt;"X")*(PptoSty[Project]=$B113)*(PptoSty[Vrs]=$D113)*(PptoSty[PiRow]=_xlfn.TEXTAFTER($H113,":"))*(PptoSty[PiColumn]=O$54),0)),SUM(IF((INDIRECT($B$3)=$B113)*(INDIRECT($C$3)=$D113)*((INDIRECT($E$3)="TOTS")+(INDIRECT($E$3)=$E113)),INDIRECT(O$3)))),_xlpm.y,SUM(_xlfn.CHOOSECOLS(_xlfn._xlws.FILTER(F_RT14[],(F_RT14[PrjId]=$B113)*(F_RT14[Vrs]=$D113)*(_xlfn.TEXTAFTER(F_RT14[ActGrp],":")=_xlfn.TEXTAFTER($H113,":")),"X"),MATCH("*"&amp;O$54,F_RT14[#Headers],0))),IF(AND(_xlpm.x=0,_xlpm.y&lt;&gt;0),-1,IF(AND(_xlpm.x&lt;&gt;0,_xlpm.y&lt;&gt;0),_xlpm.x,IF(AND(_xlpm.x-SUM(IF((INDIRECT($B$3)=$B113)*(INDIRECT($C$3)=$D113)*((INDIRECT($E$3)="TOTS")+(INDIRECT($E$3)=$E113)),INDIRECT(O$3)))&lt;&gt;0,_xlpm.y=0),-2,_xlpm.x)))),0))</f>
        <v>0</v>
      </c>
      <c r="P113" s="199" cm="1">
        <f t="array" aca="1" ref="P113" ca="1">IF(OR($B113="",$B113="X",$D113="",$D113="X",$E113="",$E113="X"),0,IFERROR(_xlfn.LET(_xlpm.x,SUM(SUM(_xlfn._xlws.FILTER(VALUE(PptoSty[Sign]&amp;1)*(1/PptoSty[Division]),(PptoSty[Division]&lt;&gt;0)*(PptoSty[Division]&lt;&gt;"")*(PptoSty[Division]&lt;&gt;"X")*(PptoSty[Project]=$B113)*(PptoSty[Vrs]=$D113)*(PptoSty[PiRow]=_xlfn.TEXTAFTER($H113,":"))*(PptoSty[PiColumn]=P$54),0)),SUM(IF((INDIRECT($B$3)=$B113)*(INDIRECT($C$3)=$D113)*((INDIRECT($E$3)="TOTS")+(INDIRECT($E$3)=$E113)),INDIRECT(P$3)))),_xlpm.y,SUM(_xlfn.CHOOSECOLS(_xlfn._xlws.FILTER(F_RT14[],(F_RT14[PrjId]=$B113)*(F_RT14[Vrs]=$D113)*(_xlfn.TEXTAFTER(F_RT14[ActGrp],":")=_xlfn.TEXTAFTER($H113,":")),"X"),MATCH("*"&amp;P$54,F_RT14[#Headers],0))),IF(AND(_xlpm.x=0,_xlpm.y&lt;&gt;0),-1,IF(AND(_xlpm.x&lt;&gt;0,_xlpm.y&lt;&gt;0),_xlpm.x,IF(AND(_xlpm.x-SUM(IF((INDIRECT($B$3)=$B113)*(INDIRECT($C$3)=$D113)*((INDIRECT($E$3)="TOTS")+(INDIRECT($E$3)=$E113)),INDIRECT(P$3)))&lt;&gt;0,_xlpm.y=0),-2,_xlpm.x)))),0))</f>
        <v>-1</v>
      </c>
      <c r="Q113" s="199" cm="1">
        <f t="array" aca="1" ref="Q113" ca="1">IF(OR($B113="",$B113="X",$D113="",$D113="X",$E113="",$E113="X"),0,IFERROR(_xlfn.LET(_xlpm.x,SUM(SUM(_xlfn._xlws.FILTER(VALUE(PptoSty[Sign]&amp;1)*(1/PptoSty[Division]),(PptoSty[Division]&lt;&gt;0)*(PptoSty[Division]&lt;&gt;"")*(PptoSty[Division]&lt;&gt;"X")*(PptoSty[Project]=$B113)*(PptoSty[Vrs]=$D113)*(PptoSty[PiRow]=_xlfn.TEXTAFTER($H113,":"))*(PptoSty[PiColumn]=Q$54),0)),SUM(IF((INDIRECT($B$3)=$B113)*(INDIRECT($C$3)=$D113)*((INDIRECT($E$3)="TOTS")+(INDIRECT($E$3)=$E113)),INDIRECT(Q$3)))),_xlpm.y,SUM(_xlfn.CHOOSECOLS(_xlfn._xlws.FILTER(F_RT14[],(F_RT14[PrjId]=$B113)*(F_RT14[Vrs]=$D113)*(_xlfn.TEXTAFTER(F_RT14[ActGrp],":")=_xlfn.TEXTAFTER($H113,":")),"X"),MATCH("*"&amp;Q$54,F_RT14[#Headers],0))),IF(AND(_xlpm.x=0,_xlpm.y&lt;&gt;0),-1,IF(AND(_xlpm.x&lt;&gt;0,_xlpm.y&lt;&gt;0),_xlpm.x,IF(AND(_xlpm.x-SUM(IF((INDIRECT($B$3)=$B113)*(INDIRECT($C$3)=$D113)*((INDIRECT($E$3)="TOTS")+(INDIRECT($E$3)=$E113)),INDIRECT(Q$3)))&lt;&gt;0,_xlpm.y=0),-2,_xlpm.x)))),0))</f>
        <v>-1</v>
      </c>
      <c r="R113" s="199" cm="1">
        <f t="array" aca="1" ref="R113" ca="1">IF(OR($B113="",$B113="X",$D113="",$D113="X",$E113="",$E113="X"),0,IFERROR(_xlfn.LET(_xlpm.x,SUM(SUM(_xlfn._xlws.FILTER(VALUE(PptoSty[Sign]&amp;1)*(1/PptoSty[Division]),(PptoSty[Division]&lt;&gt;0)*(PptoSty[Division]&lt;&gt;"")*(PptoSty[Division]&lt;&gt;"X")*(PptoSty[Project]=$B113)*(PptoSty[Vrs]=$D113)*(PptoSty[PiRow]=_xlfn.TEXTAFTER($H113,":"))*(PptoSty[PiColumn]=R$54),0)),SUM(IF((INDIRECT($B$3)=$B113)*(INDIRECT($C$3)=$D113)*((INDIRECT($E$3)="TOTS")+(INDIRECT($E$3)=$E113)),INDIRECT(R$3)))),_xlpm.y,SUM(_xlfn.CHOOSECOLS(_xlfn._xlws.FILTER(F_RT14[],(F_RT14[PrjId]=$B113)*(F_RT14[Vrs]=$D113)*(_xlfn.TEXTAFTER(F_RT14[ActGrp],":")=_xlfn.TEXTAFTER($H113,":")),"X"),MATCH("*"&amp;R$54,F_RT14[#Headers],0))),IF(AND(_xlpm.x=0,_xlpm.y&lt;&gt;0),-1,IF(AND(_xlpm.x&lt;&gt;0,_xlpm.y&lt;&gt;0),_xlpm.x,IF(AND(_xlpm.x-SUM(IF((INDIRECT($B$3)=$B113)*(INDIRECT($C$3)=$D113)*((INDIRECT($E$3)="TOTS")+(INDIRECT($E$3)=$E113)),INDIRECT(R$3)))&lt;&gt;0,_xlpm.y=0),-2,_xlpm.x)))),0))</f>
        <v>0</v>
      </c>
      <c r="S113" s="199" cm="1">
        <f t="array" aca="1" ref="S113" ca="1">IF(OR($B113="",$B113="X",$D113="",$D113="X",$E113="",$E113="X"),0,IFERROR(_xlfn.LET(_xlpm.x,SUM(SUM(_xlfn._xlws.FILTER(VALUE(PptoSty[Sign]&amp;1)*(1/PptoSty[Division]),(PptoSty[Division]&lt;&gt;0)*(PptoSty[Division]&lt;&gt;"")*(PptoSty[Division]&lt;&gt;"X")*(PptoSty[Project]=$B113)*(PptoSty[Vrs]=$D113)*(PptoSty[PiRow]=_xlfn.TEXTAFTER($H113,":"))*(PptoSty[PiColumn]=S$54),0)),SUM(IF((INDIRECT($B$3)=$B113)*(INDIRECT($C$3)=$D113)*((INDIRECT($E$3)="TOTS")+(INDIRECT($E$3)=$E113)),INDIRECT(S$3)))),_xlpm.y,SUM(_xlfn.CHOOSECOLS(_xlfn._xlws.FILTER(F_RT14[],(F_RT14[PrjId]=$B113)*(F_RT14[Vrs]=$D113)*(_xlfn.TEXTAFTER(F_RT14[ActGrp],":")=_xlfn.TEXTAFTER($H113,":")),"X"),MATCH("*"&amp;S$54,F_RT14[#Headers],0))),IF(AND(_xlpm.x=0,_xlpm.y&lt;&gt;0),-1,IF(AND(_xlpm.x&lt;&gt;0,_xlpm.y&lt;&gt;0),_xlpm.x,IF(AND(_xlpm.x-SUM(IF((INDIRECT($B$3)=$B113)*(INDIRECT($C$3)=$D113)*((INDIRECT($E$3)="TOTS")+(INDIRECT($E$3)=$E113)),INDIRECT(S$3)))&lt;&gt;0,_xlpm.y=0),-2,_xlpm.x)))),0))</f>
        <v>0</v>
      </c>
      <c r="T113" s="199" cm="1">
        <f t="array" aca="1" ref="T113" ca="1">IF(OR($B113="",$B113="X",$D113="",$D113="X",$E113="",$E113="X"),0,IFERROR(_xlfn.LET(_xlpm.x,SUM(SUM(_xlfn._xlws.FILTER(VALUE(PptoSty[Sign]&amp;1)*(1/PptoSty[Division]),(PptoSty[Division]&lt;&gt;0)*(PptoSty[Division]&lt;&gt;"")*(PptoSty[Division]&lt;&gt;"X")*(PptoSty[Project]=$B113)*(PptoSty[Vrs]=$D113)*(PptoSty[PiRow]=_xlfn.TEXTAFTER($H113,":"))*(PptoSty[PiColumn]=T$54),0)),SUM(IF((INDIRECT($B$3)=$B113)*(INDIRECT($C$3)=$D113)*((INDIRECT($E$3)="TOTS")+(INDIRECT($E$3)=$E113)),INDIRECT(T$3)))),_xlpm.y,SUM(_xlfn.CHOOSECOLS(_xlfn._xlws.FILTER(F_RT14[],(F_RT14[PrjId]=$B113)*(F_RT14[Vrs]=$D113)*(_xlfn.TEXTAFTER(F_RT14[ActGrp],":")=_xlfn.TEXTAFTER($H113,":")),"X"),MATCH("*"&amp;T$54,F_RT14[#Headers],0))),IF(AND(_xlpm.x=0,_xlpm.y&lt;&gt;0),-1,IF(AND(_xlpm.x&lt;&gt;0,_xlpm.y&lt;&gt;0),_xlpm.x,IF(AND(_xlpm.x-SUM(IF((INDIRECT($B$3)=$B113)*(INDIRECT($C$3)=$D113)*((INDIRECT($E$3)="TOTS")+(INDIRECT($E$3)=$E113)),INDIRECT(T$3)))&lt;&gt;0,_xlpm.y=0),-2,_xlpm.x)))),0))</f>
        <v>0</v>
      </c>
      <c r="U113" s="199" cm="1">
        <f t="array" aca="1" ref="U113" ca="1">IF(OR($B113="",$B113="X",$D113="",$D113="X",$E113="",$E113="X"),0,IFERROR(_xlfn.LET(_xlpm.x,SUM(SUM(_xlfn._xlws.FILTER(VALUE(PptoSty[Sign]&amp;1)*(1/PptoSty[Division]),(PptoSty[Division]&lt;&gt;0)*(PptoSty[Division]&lt;&gt;"")*(PptoSty[Division]&lt;&gt;"X")*(PptoSty[Project]=$B113)*(PptoSty[Vrs]=$D113)*(PptoSty[PiRow]=_xlfn.TEXTAFTER($H113,":"))*(PptoSty[PiColumn]=U$54),0)),SUM(IF((INDIRECT($B$3)=$B113)*(INDIRECT($C$3)=$D113)*((INDIRECT($E$3)="TOTS")+(INDIRECT($E$3)=$E113)),INDIRECT(U$3)))),_xlpm.y,SUM(_xlfn.CHOOSECOLS(_xlfn._xlws.FILTER(F_RT14[],(F_RT14[PrjId]=$B113)*(F_RT14[Vrs]=$D113)*(_xlfn.TEXTAFTER(F_RT14[ActGrp],":")=_xlfn.TEXTAFTER($H113,":")),"X"),MATCH("*"&amp;U$54,F_RT14[#Headers],0))),IF(AND(_xlpm.x=0,_xlpm.y&lt;&gt;0),-1,IF(AND(_xlpm.x&lt;&gt;0,_xlpm.y&lt;&gt;0),_xlpm.x,IF(AND(_xlpm.x-SUM(IF((INDIRECT($B$3)=$B113)*(INDIRECT($C$3)=$D113)*((INDIRECT($E$3)="TOTS")+(INDIRECT($E$3)=$E113)),INDIRECT(U$3)))&lt;&gt;0,_xlpm.y=0),-2,_xlpm.x)))),0))</f>
        <v>0</v>
      </c>
      <c r="V113" s="199" cm="1">
        <f t="array" aca="1" ref="V113" ca="1">IF(OR($B113="",$B113="X",$D113="",$D113="X",$E113="",$E113="X"),0,IFERROR(_xlfn.LET(_xlpm.x,SUM(SUM(_xlfn._xlws.FILTER(VALUE(PptoSty[Sign]&amp;1)*(1/PptoSty[Division]),(PptoSty[Division]&lt;&gt;0)*(PptoSty[Division]&lt;&gt;"")*(PptoSty[Division]&lt;&gt;"X")*(PptoSty[Project]=$B113)*(PptoSty[Vrs]=$D113)*(PptoSty[PiRow]=_xlfn.TEXTAFTER($H113,":"))*(PptoSty[PiColumn]=V$54),0)),SUM(IF((INDIRECT($B$3)=$B113)*(INDIRECT($C$3)=$D113)*((INDIRECT($E$3)="TOTS")+(INDIRECT($E$3)=$E113)),INDIRECT(V$3)))),_xlpm.y,SUM(_xlfn.CHOOSECOLS(_xlfn._xlws.FILTER(F_RT14[],(F_RT14[PrjId]=$B113)*(F_RT14[Vrs]=$D113)*(_xlfn.TEXTAFTER(F_RT14[ActGrp],":")=_xlfn.TEXTAFTER($H113,":")),"X"),MATCH("*"&amp;V$54,F_RT14[#Headers],0))),IF(AND(_xlpm.x=0,_xlpm.y&lt;&gt;0),-1,IF(AND(_xlpm.x&lt;&gt;0,_xlpm.y&lt;&gt;0),_xlpm.x,IF(AND(_xlpm.x-SUM(IF((INDIRECT($B$3)=$B113)*(INDIRECT($C$3)=$D113)*((INDIRECT($E$3)="TOTS")+(INDIRECT($E$3)=$E113)),INDIRECT(V$3)))&lt;&gt;0,_xlpm.y=0),-2,_xlpm.x)))),0))</f>
        <v>-1</v>
      </c>
      <c r="W113" s="199" cm="1">
        <f t="array" aca="1" ref="W113" ca="1">IF(OR($B113="",$B113="X",$D113="",$D113="X",$E113="",$E113="X"),0,IFERROR(_xlfn.LET(_xlpm.x,SUM(SUM(_xlfn._xlws.FILTER(VALUE(PptoSty[Sign]&amp;1)*(1/PptoSty[Division]),(PptoSty[Division]&lt;&gt;0)*(PptoSty[Division]&lt;&gt;"")*(PptoSty[Division]&lt;&gt;"X")*(PptoSty[Project]=$B113)*(PptoSty[Vrs]=$D113)*(PptoSty[PiRow]=_xlfn.TEXTAFTER($H113,":"))*(PptoSty[PiColumn]=W$54),0)),SUM(IF((INDIRECT($B$3)=$B113)*(INDIRECT($C$3)=$D113)*((INDIRECT($E$3)="TOTS")+(INDIRECT($E$3)=$E113)),INDIRECT(W$3)))),_xlpm.y,SUM(_xlfn.CHOOSECOLS(_xlfn._xlws.FILTER(F_RT14[],(F_RT14[PrjId]=$B113)*(F_RT14[Vrs]=$D113)*(_xlfn.TEXTAFTER(F_RT14[ActGrp],":")=_xlfn.TEXTAFTER($H113,":")),"X"),MATCH("*"&amp;W$54,F_RT14[#Headers],0))),IF(AND(_xlpm.x=0,_xlpm.y&lt;&gt;0),-1,IF(AND(_xlpm.x&lt;&gt;0,_xlpm.y&lt;&gt;0),_xlpm.x,IF(AND(_xlpm.x-SUM(IF((INDIRECT($B$3)=$B113)*(INDIRECT($C$3)=$D113)*((INDIRECT($E$3)="TOTS")+(INDIRECT($E$3)=$E113)),INDIRECT(W$3)))&lt;&gt;0,_xlpm.y=0),-2,_xlpm.x)))),0))</f>
        <v>0</v>
      </c>
      <c r="X113" s="199" cm="1">
        <f t="array" aca="1" ref="X113" ca="1">IF(OR($B113="",$B113="X",$D113="",$D113="X",$E113="",$E113="X"),0,IFERROR(_xlfn.LET(_xlpm.x,SUM(SUM(_xlfn._xlws.FILTER(VALUE(PptoSty[Sign]&amp;1)*(1/PptoSty[Division]),(PptoSty[Division]&lt;&gt;0)*(PptoSty[Division]&lt;&gt;"")*(PptoSty[Division]&lt;&gt;"X")*(PptoSty[Project]=$B113)*(PptoSty[Vrs]=$D113)*(PptoSty[PiRow]=_xlfn.TEXTAFTER($H113,":"))*(PptoSty[PiColumn]=X$54),0)),SUM(IF((INDIRECT($B$3)=$B113)*(INDIRECT($C$3)=$D113)*((INDIRECT($E$3)="TOTS")+(INDIRECT($E$3)=$E113)),INDIRECT(X$3)))),_xlpm.y,SUM(_xlfn.CHOOSECOLS(_xlfn._xlws.FILTER(F_RT14[],(F_RT14[PrjId]=$B113)*(F_RT14[Vrs]=$D113)*(_xlfn.TEXTAFTER(F_RT14[ActGrp],":")=_xlfn.TEXTAFTER($H113,":")),"X"),MATCH("*"&amp;X$54,F_RT14[#Headers],0))),IF(AND(_xlpm.x=0,_xlpm.y&lt;&gt;0),-1,IF(AND(_xlpm.x&lt;&gt;0,_xlpm.y&lt;&gt;0),_xlpm.x,IF(AND(_xlpm.x-SUM(IF((INDIRECT($B$3)=$B113)*(INDIRECT($C$3)=$D113)*((INDIRECT($E$3)="TOTS")+(INDIRECT($E$3)=$E113)),INDIRECT(X$3)))&lt;&gt;0,_xlpm.y=0),-2,_xlpm.x)))),0))</f>
        <v>0</v>
      </c>
      <c r="Y113" s="199" cm="1">
        <f t="array" aca="1" ref="Y113" ca="1">IF(OR($B113="",$B113="X",$D113="",$D113="X",$E113="",$E113="X"),0,IFERROR(_xlfn.LET(_xlpm.x,SUM(SUM(_xlfn._xlws.FILTER(VALUE(PptoSty[Sign]&amp;1)*(1/PptoSty[Division]),(PptoSty[Division]&lt;&gt;0)*(PptoSty[Division]&lt;&gt;"")*(PptoSty[Division]&lt;&gt;"X")*(PptoSty[Project]=$B113)*(PptoSty[Vrs]=$D113)*(PptoSty[PiRow]=_xlfn.TEXTAFTER($H113,":"))*(PptoSty[PiColumn]=Y$54),0)),SUM(IF((INDIRECT($B$3)=$B113)*(INDIRECT($C$3)=$D113)*((INDIRECT($E$3)="TOTS")+(INDIRECT($E$3)=$E113)),INDIRECT(Y$3)))),_xlpm.y,SUM(_xlfn.CHOOSECOLS(_xlfn._xlws.FILTER(F_RT14[],(F_RT14[PrjId]=$B113)*(F_RT14[Vrs]=$D113)*(_xlfn.TEXTAFTER(F_RT14[ActGrp],":")=_xlfn.TEXTAFTER($H113,":")),"X"),MATCH("*"&amp;Y$54,F_RT14[#Headers],0))),IF(AND(_xlpm.x=0,_xlpm.y&lt;&gt;0),-1,IF(AND(_xlpm.x&lt;&gt;0,_xlpm.y&lt;&gt;0),_xlpm.x,IF(AND(_xlpm.x-SUM(IF((INDIRECT($B$3)=$B113)*(INDIRECT($C$3)=$D113)*((INDIRECT($E$3)="TOTS")+(INDIRECT($E$3)=$E113)),INDIRECT(Y$3)))&lt;&gt;0,_xlpm.y=0),-2,_xlpm.x)))),0))</f>
        <v>0</v>
      </c>
      <c r="Z113" s="198" t="str">
        <f t="shared" ca="1" si="2"/>
        <v>Fback!B113:Y113</v>
      </c>
    </row>
    <row r="114" spans="2:26" ht="21" customHeight="1" outlineLevel="1">
      <c r="B114" s="128" t="str">
        <v>31199</v>
      </c>
      <c r="C114" s="128" t="str">
        <v>Sp</v>
      </c>
      <c r="D114" s="128">
        <v>0</v>
      </c>
      <c r="E114" s="128" t="str">
        <v>CELL</v>
      </c>
      <c r="F114" s="139" t="str">
        <v>SERRA</v>
      </c>
      <c r="G114" s="139" t="str">
        <v>CurPpto</v>
      </c>
      <c r="H114" s="139" t="str">
        <v>P018:OP-810 PIERCING</v>
      </c>
      <c r="I114" s="199" cm="1">
        <f t="array" aca="1" ref="I114" ca="1">IF(OR($B114="",$B114="X",$D114="",$D114="X",$E114="",$E114="X"),0,IFERROR(_xlfn.LET(_xlpm.x,SUM(SUM(_xlfn._xlws.FILTER(VALUE(PptoSty[Sign]&amp;1)*(1/PptoSty[Division]),(PptoSty[Division]&lt;&gt;0)*(PptoSty[Division]&lt;&gt;"")*(PptoSty[Division]&lt;&gt;"X")*(PptoSty[Project]=$B114)*(PptoSty[Vrs]=$D114)*(PptoSty[PiRow]=_xlfn.TEXTAFTER($H114,":"))*(PptoSty[PiColumn]=I$54),0)),SUM(IF((INDIRECT($B$3)=$B114)*(INDIRECT($C$3)=$D114)*((INDIRECT($E$3)="TOTS")+(INDIRECT($E$3)=$E114)),INDIRECT(I$3)))),_xlpm.y,SUM(_xlfn.CHOOSECOLS(_xlfn._xlws.FILTER(F_RT14[],(F_RT14[PrjId]=$B114)*(F_RT14[Vrs]=$D114)*(_xlfn.TEXTAFTER(F_RT14[ActGrp],":")=_xlfn.TEXTAFTER($H114,":")),"X"),MATCH("*"&amp;I$54,F_RT14[#Headers],0))),IF(AND(_xlpm.x=0,_xlpm.y&lt;&gt;0),-1,IF(AND(_xlpm.x&lt;&gt;0,_xlpm.y&lt;&gt;0),_xlpm.x,IF(AND(_xlpm.x-SUM(IF((INDIRECT($B$3)=$B114)*(INDIRECT($C$3)=$D114)*((INDIRECT($E$3)="TOTS")+(INDIRECT($E$3)=$E114)),INDIRECT(I$3)))&lt;&gt;0,_xlpm.y=0),-2,_xlpm.x)))),0))</f>
        <v>0</v>
      </c>
      <c r="J114" s="199" cm="1">
        <f t="array" aca="1" ref="J114" ca="1">IF(OR($B114="",$B114="X",$D114="",$D114="X",$E114="",$E114="X"),0,IFERROR(_xlfn.LET(_xlpm.x,SUM(SUM(_xlfn._xlws.FILTER(VALUE(PptoSty[Sign]&amp;1)*(1/PptoSty[Division]),(PptoSty[Division]&lt;&gt;0)*(PptoSty[Division]&lt;&gt;"")*(PptoSty[Division]&lt;&gt;"X")*(PptoSty[Project]=$B114)*(PptoSty[Vrs]=$D114)*(PptoSty[PiRow]=_xlfn.TEXTAFTER($H114,":"))*(PptoSty[PiColumn]=J$54),0)),SUM(IF((INDIRECT($B$3)=$B114)*(INDIRECT($C$3)=$D114)*((INDIRECT($E$3)="TOTS")+(INDIRECT($E$3)=$E114)),INDIRECT(J$3)))),_xlpm.y,SUM(_xlfn.CHOOSECOLS(_xlfn._xlws.FILTER(F_RT14[],(F_RT14[PrjId]=$B114)*(F_RT14[Vrs]=$D114)*(_xlfn.TEXTAFTER(F_RT14[ActGrp],":")=_xlfn.TEXTAFTER($H114,":")),"X"),MATCH("*"&amp;J$54,F_RT14[#Headers],0))),IF(AND(_xlpm.x=0,_xlpm.y&lt;&gt;0),-1,IF(AND(_xlpm.x&lt;&gt;0,_xlpm.y&lt;&gt;0),_xlpm.x,IF(AND(_xlpm.x-SUM(IF((INDIRECT($B$3)=$B114)*(INDIRECT($C$3)=$D114)*((INDIRECT($E$3)="TOTS")+(INDIRECT($E$3)=$E114)),INDIRECT(J$3)))&lt;&gt;0,_xlpm.y=0),-2,_xlpm.x)))),0))</f>
        <v>0</v>
      </c>
      <c r="K114" s="199" cm="1">
        <f t="array" aca="1" ref="K114" ca="1">IF(OR($B114="",$B114="X",$D114="",$D114="X",$E114="",$E114="X"),0,IFERROR(_xlfn.LET(_xlpm.x,SUM(SUM(_xlfn._xlws.FILTER(VALUE(PptoSty[Sign]&amp;1)*(1/PptoSty[Division]),(PptoSty[Division]&lt;&gt;0)*(PptoSty[Division]&lt;&gt;"")*(PptoSty[Division]&lt;&gt;"X")*(PptoSty[Project]=$B114)*(PptoSty[Vrs]=$D114)*(PptoSty[PiRow]=_xlfn.TEXTAFTER($H114,":"))*(PptoSty[PiColumn]=K$54),0)),SUM(IF((INDIRECT($B$3)=$B114)*(INDIRECT($C$3)=$D114)*((INDIRECT($E$3)="TOTS")+(INDIRECT($E$3)=$E114)),INDIRECT(K$3)))),_xlpm.y,SUM(_xlfn.CHOOSECOLS(_xlfn._xlws.FILTER(F_RT14[],(F_RT14[PrjId]=$B114)*(F_RT14[Vrs]=$D114)*(_xlfn.TEXTAFTER(F_RT14[ActGrp],":")=_xlfn.TEXTAFTER($H114,":")),"X"),MATCH("*"&amp;K$54,F_RT14[#Headers],0))),IF(AND(_xlpm.x=0,_xlpm.y&lt;&gt;0),-1,IF(AND(_xlpm.x&lt;&gt;0,_xlpm.y&lt;&gt;0),_xlpm.x,IF(AND(_xlpm.x-SUM(IF((INDIRECT($B$3)=$B114)*(INDIRECT($C$3)=$D114)*((INDIRECT($E$3)="TOTS")+(INDIRECT($E$3)=$E114)),INDIRECT(K$3)))&lt;&gt;0,_xlpm.y=0),-2,_xlpm.x)))),0))</f>
        <v>0</v>
      </c>
      <c r="L114" s="199" cm="1">
        <f t="array" aca="1" ref="L114" ca="1">IF(OR($B114="",$B114="X",$D114="",$D114="X",$E114="",$E114="X"),0,IFERROR(_xlfn.LET(_xlpm.x,SUM(SUM(_xlfn._xlws.FILTER(VALUE(PptoSty[Sign]&amp;1)*(1/PptoSty[Division]),(PptoSty[Division]&lt;&gt;0)*(PptoSty[Division]&lt;&gt;"")*(PptoSty[Division]&lt;&gt;"X")*(PptoSty[Project]=$B114)*(PptoSty[Vrs]=$D114)*(PptoSty[PiRow]=_xlfn.TEXTAFTER($H114,":"))*(PptoSty[PiColumn]=L$54),0)),SUM(IF((INDIRECT($B$3)=$B114)*(INDIRECT($C$3)=$D114)*((INDIRECT($E$3)="TOTS")+(INDIRECT($E$3)=$E114)),INDIRECT(L$3)))),_xlpm.y,SUM(_xlfn.CHOOSECOLS(_xlfn._xlws.FILTER(F_RT14[],(F_RT14[PrjId]=$B114)*(F_RT14[Vrs]=$D114)*(_xlfn.TEXTAFTER(F_RT14[ActGrp],":")=_xlfn.TEXTAFTER($H114,":")),"X"),MATCH("*"&amp;L$54,F_RT14[#Headers],0))),IF(AND(_xlpm.x=0,_xlpm.y&lt;&gt;0),-1,IF(AND(_xlpm.x&lt;&gt;0,_xlpm.y&lt;&gt;0),_xlpm.x,IF(AND(_xlpm.x-SUM(IF((INDIRECT($B$3)=$B114)*(INDIRECT($C$3)=$D114)*((INDIRECT($E$3)="TOTS")+(INDIRECT($E$3)=$E114)),INDIRECT(L$3)))&lt;&gt;0,_xlpm.y=0),-2,_xlpm.x)))),0))</f>
        <v>0</v>
      </c>
      <c r="M114" s="199" cm="1">
        <f t="array" aca="1" ref="M114" ca="1">IF(OR($B114="",$B114="X",$D114="",$D114="X",$E114="",$E114="X"),0,IFERROR(_xlfn.LET(_xlpm.x,SUM(SUM(_xlfn._xlws.FILTER(VALUE(PptoSty[Sign]&amp;1)*(1/PptoSty[Division]),(PptoSty[Division]&lt;&gt;0)*(PptoSty[Division]&lt;&gt;"")*(PptoSty[Division]&lt;&gt;"X")*(PptoSty[Project]=$B114)*(PptoSty[Vrs]=$D114)*(PptoSty[PiRow]=_xlfn.TEXTAFTER($H114,":"))*(PptoSty[PiColumn]=M$54),0)),SUM(IF((INDIRECT($B$3)=$B114)*(INDIRECT($C$3)=$D114)*((INDIRECT($E$3)="TOTS")+(INDIRECT($E$3)=$E114)),INDIRECT(M$3)))),_xlpm.y,SUM(_xlfn.CHOOSECOLS(_xlfn._xlws.FILTER(F_RT14[],(F_RT14[PrjId]=$B114)*(F_RT14[Vrs]=$D114)*(_xlfn.TEXTAFTER(F_RT14[ActGrp],":")=_xlfn.TEXTAFTER($H114,":")),"X"),MATCH("*"&amp;M$54,F_RT14[#Headers],0))),IF(AND(_xlpm.x=0,_xlpm.y&lt;&gt;0),-1,IF(AND(_xlpm.x&lt;&gt;0,_xlpm.y&lt;&gt;0),_xlpm.x,IF(AND(_xlpm.x-SUM(IF((INDIRECT($B$3)=$B114)*(INDIRECT($C$3)=$D114)*((INDIRECT($E$3)="TOTS")+(INDIRECT($E$3)=$E114)),INDIRECT(M$3)))&lt;&gt;0,_xlpm.y=0),-2,_xlpm.x)))),0))</f>
        <v>0</v>
      </c>
      <c r="N114" s="199" cm="1">
        <f t="array" aca="1" ref="N114" ca="1">IF(OR($B114="",$B114="X",$D114="",$D114="X",$E114="",$E114="X"),0,IFERROR(_xlfn.LET(_xlpm.x,SUM(SUM(_xlfn._xlws.FILTER(VALUE(PptoSty[Sign]&amp;1)*(1/PptoSty[Division]),(PptoSty[Division]&lt;&gt;0)*(PptoSty[Division]&lt;&gt;"")*(PptoSty[Division]&lt;&gt;"X")*(PptoSty[Project]=$B114)*(PptoSty[Vrs]=$D114)*(PptoSty[PiRow]=_xlfn.TEXTAFTER($H114,":"))*(PptoSty[PiColumn]=N$54),0)),SUM(IF((INDIRECT($B$3)=$B114)*(INDIRECT($C$3)=$D114)*((INDIRECT($E$3)="TOTS")+(INDIRECT($E$3)=$E114)),INDIRECT(N$3)))),_xlpm.y,SUM(_xlfn.CHOOSECOLS(_xlfn._xlws.FILTER(F_RT14[],(F_RT14[PrjId]=$B114)*(F_RT14[Vrs]=$D114)*(_xlfn.TEXTAFTER(F_RT14[ActGrp],":")=_xlfn.TEXTAFTER($H114,":")),"X"),MATCH("*"&amp;N$54,F_RT14[#Headers],0))),IF(AND(_xlpm.x=0,_xlpm.y&lt;&gt;0),-1,IF(AND(_xlpm.x&lt;&gt;0,_xlpm.y&lt;&gt;0),_xlpm.x,IF(AND(_xlpm.x-SUM(IF((INDIRECT($B$3)=$B114)*(INDIRECT($C$3)=$D114)*((INDIRECT($E$3)="TOTS")+(INDIRECT($E$3)=$E114)),INDIRECT(N$3)))&lt;&gt;0,_xlpm.y=0),-2,_xlpm.x)))),0))</f>
        <v>0</v>
      </c>
      <c r="O114" s="199" cm="1">
        <f t="array" aca="1" ref="O114" ca="1">IF(OR($B114="",$B114="X",$D114="",$D114="X",$E114="",$E114="X"),0,IFERROR(_xlfn.LET(_xlpm.x,SUM(SUM(_xlfn._xlws.FILTER(VALUE(PptoSty[Sign]&amp;1)*(1/PptoSty[Division]),(PptoSty[Division]&lt;&gt;0)*(PptoSty[Division]&lt;&gt;"")*(PptoSty[Division]&lt;&gt;"X")*(PptoSty[Project]=$B114)*(PptoSty[Vrs]=$D114)*(PptoSty[PiRow]=_xlfn.TEXTAFTER($H114,":"))*(PptoSty[PiColumn]=O$54),0)),SUM(IF((INDIRECT($B$3)=$B114)*(INDIRECT($C$3)=$D114)*((INDIRECT($E$3)="TOTS")+(INDIRECT($E$3)=$E114)),INDIRECT(O$3)))),_xlpm.y,SUM(_xlfn.CHOOSECOLS(_xlfn._xlws.FILTER(F_RT14[],(F_RT14[PrjId]=$B114)*(F_RT14[Vrs]=$D114)*(_xlfn.TEXTAFTER(F_RT14[ActGrp],":")=_xlfn.TEXTAFTER($H114,":")),"X"),MATCH("*"&amp;O$54,F_RT14[#Headers],0))),IF(AND(_xlpm.x=0,_xlpm.y&lt;&gt;0),-1,IF(AND(_xlpm.x&lt;&gt;0,_xlpm.y&lt;&gt;0),_xlpm.x,IF(AND(_xlpm.x-SUM(IF((INDIRECT($B$3)=$B114)*(INDIRECT($C$3)=$D114)*((INDIRECT($E$3)="TOTS")+(INDIRECT($E$3)=$E114)),INDIRECT(O$3)))&lt;&gt;0,_xlpm.y=0),-2,_xlpm.x)))),0))</f>
        <v>0</v>
      </c>
      <c r="P114" s="199" cm="1">
        <f t="array" aca="1" ref="P114" ca="1">IF(OR($B114="",$B114="X",$D114="",$D114="X",$E114="",$E114="X"),0,IFERROR(_xlfn.LET(_xlpm.x,SUM(SUM(_xlfn._xlws.FILTER(VALUE(PptoSty[Sign]&amp;1)*(1/PptoSty[Division]),(PptoSty[Division]&lt;&gt;0)*(PptoSty[Division]&lt;&gt;"")*(PptoSty[Division]&lt;&gt;"X")*(PptoSty[Project]=$B114)*(PptoSty[Vrs]=$D114)*(PptoSty[PiRow]=_xlfn.TEXTAFTER($H114,":"))*(PptoSty[PiColumn]=P$54),0)),SUM(IF((INDIRECT($B$3)=$B114)*(INDIRECT($C$3)=$D114)*((INDIRECT($E$3)="TOTS")+(INDIRECT($E$3)=$E114)),INDIRECT(P$3)))),_xlpm.y,SUM(_xlfn.CHOOSECOLS(_xlfn._xlws.FILTER(F_RT14[],(F_RT14[PrjId]=$B114)*(F_RT14[Vrs]=$D114)*(_xlfn.TEXTAFTER(F_RT14[ActGrp],":")=_xlfn.TEXTAFTER($H114,":")),"X"),MATCH("*"&amp;P$54,F_RT14[#Headers],0))),IF(AND(_xlpm.x=0,_xlpm.y&lt;&gt;0),-1,IF(AND(_xlpm.x&lt;&gt;0,_xlpm.y&lt;&gt;0),_xlpm.x,IF(AND(_xlpm.x-SUM(IF((INDIRECT($B$3)=$B114)*(INDIRECT($C$3)=$D114)*((INDIRECT($E$3)="TOTS")+(INDIRECT($E$3)=$E114)),INDIRECT(P$3)))&lt;&gt;0,_xlpm.y=0),-2,_xlpm.x)))),0))</f>
        <v>0</v>
      </c>
      <c r="Q114" s="199" cm="1">
        <f t="array" aca="1" ref="Q114" ca="1">IF(OR($B114="",$B114="X",$D114="",$D114="X",$E114="",$E114="X"),0,IFERROR(_xlfn.LET(_xlpm.x,SUM(SUM(_xlfn._xlws.FILTER(VALUE(PptoSty[Sign]&amp;1)*(1/PptoSty[Division]),(PptoSty[Division]&lt;&gt;0)*(PptoSty[Division]&lt;&gt;"")*(PptoSty[Division]&lt;&gt;"X")*(PptoSty[Project]=$B114)*(PptoSty[Vrs]=$D114)*(PptoSty[PiRow]=_xlfn.TEXTAFTER($H114,":"))*(PptoSty[PiColumn]=Q$54),0)),SUM(IF((INDIRECT($B$3)=$B114)*(INDIRECT($C$3)=$D114)*((INDIRECT($E$3)="TOTS")+(INDIRECT($E$3)=$E114)),INDIRECT(Q$3)))),_xlpm.y,SUM(_xlfn.CHOOSECOLS(_xlfn._xlws.FILTER(F_RT14[],(F_RT14[PrjId]=$B114)*(F_RT14[Vrs]=$D114)*(_xlfn.TEXTAFTER(F_RT14[ActGrp],":")=_xlfn.TEXTAFTER($H114,":")),"X"),MATCH("*"&amp;Q$54,F_RT14[#Headers],0))),IF(AND(_xlpm.x=0,_xlpm.y&lt;&gt;0),-1,IF(AND(_xlpm.x&lt;&gt;0,_xlpm.y&lt;&gt;0),_xlpm.x,IF(AND(_xlpm.x-SUM(IF((INDIRECT($B$3)=$B114)*(INDIRECT($C$3)=$D114)*((INDIRECT($E$3)="TOTS")+(INDIRECT($E$3)=$E114)),INDIRECT(Q$3)))&lt;&gt;0,_xlpm.y=0),-2,_xlpm.x)))),0))</f>
        <v>0</v>
      </c>
      <c r="R114" s="199" cm="1">
        <f t="array" aca="1" ref="R114" ca="1">IF(OR($B114="",$B114="X",$D114="",$D114="X",$E114="",$E114="X"),0,IFERROR(_xlfn.LET(_xlpm.x,SUM(SUM(_xlfn._xlws.FILTER(VALUE(PptoSty[Sign]&amp;1)*(1/PptoSty[Division]),(PptoSty[Division]&lt;&gt;0)*(PptoSty[Division]&lt;&gt;"")*(PptoSty[Division]&lt;&gt;"X")*(PptoSty[Project]=$B114)*(PptoSty[Vrs]=$D114)*(PptoSty[PiRow]=_xlfn.TEXTAFTER($H114,":"))*(PptoSty[PiColumn]=R$54),0)),SUM(IF((INDIRECT($B$3)=$B114)*(INDIRECT($C$3)=$D114)*((INDIRECT($E$3)="TOTS")+(INDIRECT($E$3)=$E114)),INDIRECT(R$3)))),_xlpm.y,SUM(_xlfn.CHOOSECOLS(_xlfn._xlws.FILTER(F_RT14[],(F_RT14[PrjId]=$B114)*(F_RT14[Vrs]=$D114)*(_xlfn.TEXTAFTER(F_RT14[ActGrp],":")=_xlfn.TEXTAFTER($H114,":")),"X"),MATCH("*"&amp;R$54,F_RT14[#Headers],0))),IF(AND(_xlpm.x=0,_xlpm.y&lt;&gt;0),-1,IF(AND(_xlpm.x&lt;&gt;0,_xlpm.y&lt;&gt;0),_xlpm.x,IF(AND(_xlpm.x-SUM(IF((INDIRECT($B$3)=$B114)*(INDIRECT($C$3)=$D114)*((INDIRECT($E$3)="TOTS")+(INDIRECT($E$3)=$E114)),INDIRECT(R$3)))&lt;&gt;0,_xlpm.y=0),-2,_xlpm.x)))),0))</f>
        <v>0</v>
      </c>
      <c r="S114" s="199" cm="1">
        <f t="array" aca="1" ref="S114" ca="1">IF(OR($B114="",$B114="X",$D114="",$D114="X",$E114="",$E114="X"),0,IFERROR(_xlfn.LET(_xlpm.x,SUM(SUM(_xlfn._xlws.FILTER(VALUE(PptoSty[Sign]&amp;1)*(1/PptoSty[Division]),(PptoSty[Division]&lt;&gt;0)*(PptoSty[Division]&lt;&gt;"")*(PptoSty[Division]&lt;&gt;"X")*(PptoSty[Project]=$B114)*(PptoSty[Vrs]=$D114)*(PptoSty[PiRow]=_xlfn.TEXTAFTER($H114,":"))*(PptoSty[PiColumn]=S$54),0)),SUM(IF((INDIRECT($B$3)=$B114)*(INDIRECT($C$3)=$D114)*((INDIRECT($E$3)="TOTS")+(INDIRECT($E$3)=$E114)),INDIRECT(S$3)))),_xlpm.y,SUM(_xlfn.CHOOSECOLS(_xlfn._xlws.FILTER(F_RT14[],(F_RT14[PrjId]=$B114)*(F_RT14[Vrs]=$D114)*(_xlfn.TEXTAFTER(F_RT14[ActGrp],":")=_xlfn.TEXTAFTER($H114,":")),"X"),MATCH("*"&amp;S$54,F_RT14[#Headers],0))),IF(AND(_xlpm.x=0,_xlpm.y&lt;&gt;0),-1,IF(AND(_xlpm.x&lt;&gt;0,_xlpm.y&lt;&gt;0),_xlpm.x,IF(AND(_xlpm.x-SUM(IF((INDIRECT($B$3)=$B114)*(INDIRECT($C$3)=$D114)*((INDIRECT($E$3)="TOTS")+(INDIRECT($E$3)=$E114)),INDIRECT(S$3)))&lt;&gt;0,_xlpm.y=0),-2,_xlpm.x)))),0))</f>
        <v>-1</v>
      </c>
      <c r="T114" s="199" cm="1">
        <f t="array" aca="1" ref="T114" ca="1">IF(OR($B114="",$B114="X",$D114="",$D114="X",$E114="",$E114="X"),0,IFERROR(_xlfn.LET(_xlpm.x,SUM(SUM(_xlfn._xlws.FILTER(VALUE(PptoSty[Sign]&amp;1)*(1/PptoSty[Division]),(PptoSty[Division]&lt;&gt;0)*(PptoSty[Division]&lt;&gt;"")*(PptoSty[Division]&lt;&gt;"X")*(PptoSty[Project]=$B114)*(PptoSty[Vrs]=$D114)*(PptoSty[PiRow]=_xlfn.TEXTAFTER($H114,":"))*(PptoSty[PiColumn]=T$54),0)),SUM(IF((INDIRECT($B$3)=$B114)*(INDIRECT($C$3)=$D114)*((INDIRECT($E$3)="TOTS")+(INDIRECT($E$3)=$E114)),INDIRECT(T$3)))),_xlpm.y,SUM(_xlfn.CHOOSECOLS(_xlfn._xlws.FILTER(F_RT14[],(F_RT14[PrjId]=$B114)*(F_RT14[Vrs]=$D114)*(_xlfn.TEXTAFTER(F_RT14[ActGrp],":")=_xlfn.TEXTAFTER($H114,":")),"X"),MATCH("*"&amp;T$54,F_RT14[#Headers],0))),IF(AND(_xlpm.x=0,_xlpm.y&lt;&gt;0),-1,IF(AND(_xlpm.x&lt;&gt;0,_xlpm.y&lt;&gt;0),_xlpm.x,IF(AND(_xlpm.x-SUM(IF((INDIRECT($B$3)=$B114)*(INDIRECT($C$3)=$D114)*((INDIRECT($E$3)="TOTS")+(INDIRECT($E$3)=$E114)),INDIRECT(T$3)))&lt;&gt;0,_xlpm.y=0),-2,_xlpm.x)))),0))</f>
        <v>0</v>
      </c>
      <c r="U114" s="199" cm="1">
        <f t="array" aca="1" ref="U114" ca="1">IF(OR($B114="",$B114="X",$D114="",$D114="X",$E114="",$E114="X"),0,IFERROR(_xlfn.LET(_xlpm.x,SUM(SUM(_xlfn._xlws.FILTER(VALUE(PptoSty[Sign]&amp;1)*(1/PptoSty[Division]),(PptoSty[Division]&lt;&gt;0)*(PptoSty[Division]&lt;&gt;"")*(PptoSty[Division]&lt;&gt;"X")*(PptoSty[Project]=$B114)*(PptoSty[Vrs]=$D114)*(PptoSty[PiRow]=_xlfn.TEXTAFTER($H114,":"))*(PptoSty[PiColumn]=U$54),0)),SUM(IF((INDIRECT($B$3)=$B114)*(INDIRECT($C$3)=$D114)*((INDIRECT($E$3)="TOTS")+(INDIRECT($E$3)=$E114)),INDIRECT(U$3)))),_xlpm.y,SUM(_xlfn.CHOOSECOLS(_xlfn._xlws.FILTER(F_RT14[],(F_RT14[PrjId]=$B114)*(F_RT14[Vrs]=$D114)*(_xlfn.TEXTAFTER(F_RT14[ActGrp],":")=_xlfn.TEXTAFTER($H114,":")),"X"),MATCH("*"&amp;U$54,F_RT14[#Headers],0))),IF(AND(_xlpm.x=0,_xlpm.y&lt;&gt;0),-1,IF(AND(_xlpm.x&lt;&gt;0,_xlpm.y&lt;&gt;0),_xlpm.x,IF(AND(_xlpm.x-SUM(IF((INDIRECT($B$3)=$B114)*(INDIRECT($C$3)=$D114)*((INDIRECT($E$3)="TOTS")+(INDIRECT($E$3)=$E114)),INDIRECT(U$3)))&lt;&gt;0,_xlpm.y=0),-2,_xlpm.x)))),0))</f>
        <v>0</v>
      </c>
      <c r="V114" s="199" cm="1">
        <f t="array" aca="1" ref="V114" ca="1">IF(OR($B114="",$B114="X",$D114="",$D114="X",$E114="",$E114="X"),0,IFERROR(_xlfn.LET(_xlpm.x,SUM(SUM(_xlfn._xlws.FILTER(VALUE(PptoSty[Sign]&amp;1)*(1/PptoSty[Division]),(PptoSty[Division]&lt;&gt;0)*(PptoSty[Division]&lt;&gt;"")*(PptoSty[Division]&lt;&gt;"X")*(PptoSty[Project]=$B114)*(PptoSty[Vrs]=$D114)*(PptoSty[PiRow]=_xlfn.TEXTAFTER($H114,":"))*(PptoSty[PiColumn]=V$54),0)),SUM(IF((INDIRECT($B$3)=$B114)*(INDIRECT($C$3)=$D114)*((INDIRECT($E$3)="TOTS")+(INDIRECT($E$3)=$E114)),INDIRECT(V$3)))),_xlpm.y,SUM(_xlfn.CHOOSECOLS(_xlfn._xlws.FILTER(F_RT14[],(F_RT14[PrjId]=$B114)*(F_RT14[Vrs]=$D114)*(_xlfn.TEXTAFTER(F_RT14[ActGrp],":")=_xlfn.TEXTAFTER($H114,":")),"X"),MATCH("*"&amp;V$54,F_RT14[#Headers],0))),IF(AND(_xlpm.x=0,_xlpm.y&lt;&gt;0),-1,IF(AND(_xlpm.x&lt;&gt;0,_xlpm.y&lt;&gt;0),_xlpm.x,IF(AND(_xlpm.x-SUM(IF((INDIRECT($B$3)=$B114)*(INDIRECT($C$3)=$D114)*((INDIRECT($E$3)="TOTS")+(INDIRECT($E$3)=$E114)),INDIRECT(V$3)))&lt;&gt;0,_xlpm.y=0),-2,_xlpm.x)))),0))</f>
        <v>0</v>
      </c>
      <c r="W114" s="199" cm="1">
        <f t="array" aca="1" ref="W114" ca="1">IF(OR($B114="",$B114="X",$D114="",$D114="X",$E114="",$E114="X"),0,IFERROR(_xlfn.LET(_xlpm.x,SUM(SUM(_xlfn._xlws.FILTER(VALUE(PptoSty[Sign]&amp;1)*(1/PptoSty[Division]),(PptoSty[Division]&lt;&gt;0)*(PptoSty[Division]&lt;&gt;"")*(PptoSty[Division]&lt;&gt;"X")*(PptoSty[Project]=$B114)*(PptoSty[Vrs]=$D114)*(PptoSty[PiRow]=_xlfn.TEXTAFTER($H114,":"))*(PptoSty[PiColumn]=W$54),0)),SUM(IF((INDIRECT($B$3)=$B114)*(INDIRECT($C$3)=$D114)*((INDIRECT($E$3)="TOTS")+(INDIRECT($E$3)=$E114)),INDIRECT(W$3)))),_xlpm.y,SUM(_xlfn.CHOOSECOLS(_xlfn._xlws.FILTER(F_RT14[],(F_RT14[PrjId]=$B114)*(F_RT14[Vrs]=$D114)*(_xlfn.TEXTAFTER(F_RT14[ActGrp],":")=_xlfn.TEXTAFTER($H114,":")),"X"),MATCH("*"&amp;W$54,F_RT14[#Headers],0))),IF(AND(_xlpm.x=0,_xlpm.y&lt;&gt;0),-1,IF(AND(_xlpm.x&lt;&gt;0,_xlpm.y&lt;&gt;0),_xlpm.x,IF(AND(_xlpm.x-SUM(IF((INDIRECT($B$3)=$B114)*(INDIRECT($C$3)=$D114)*((INDIRECT($E$3)="TOTS")+(INDIRECT($E$3)=$E114)),INDIRECT(W$3)))&lt;&gt;0,_xlpm.y=0),-2,_xlpm.x)))),0))</f>
        <v>-1</v>
      </c>
      <c r="X114" s="199" cm="1">
        <f t="array" aca="1" ref="X114" ca="1">IF(OR($B114="",$B114="X",$D114="",$D114="X",$E114="",$E114="X"),0,IFERROR(_xlfn.LET(_xlpm.x,SUM(SUM(_xlfn._xlws.FILTER(VALUE(PptoSty[Sign]&amp;1)*(1/PptoSty[Division]),(PptoSty[Division]&lt;&gt;0)*(PptoSty[Division]&lt;&gt;"")*(PptoSty[Division]&lt;&gt;"X")*(PptoSty[Project]=$B114)*(PptoSty[Vrs]=$D114)*(PptoSty[PiRow]=_xlfn.TEXTAFTER($H114,":"))*(PptoSty[PiColumn]=X$54),0)),SUM(IF((INDIRECT($B$3)=$B114)*(INDIRECT($C$3)=$D114)*((INDIRECT($E$3)="TOTS")+(INDIRECT($E$3)=$E114)),INDIRECT(X$3)))),_xlpm.y,SUM(_xlfn.CHOOSECOLS(_xlfn._xlws.FILTER(F_RT14[],(F_RT14[PrjId]=$B114)*(F_RT14[Vrs]=$D114)*(_xlfn.TEXTAFTER(F_RT14[ActGrp],":")=_xlfn.TEXTAFTER($H114,":")),"X"),MATCH("*"&amp;X$54,F_RT14[#Headers],0))),IF(AND(_xlpm.x=0,_xlpm.y&lt;&gt;0),-1,IF(AND(_xlpm.x&lt;&gt;0,_xlpm.y&lt;&gt;0),_xlpm.x,IF(AND(_xlpm.x-SUM(IF((INDIRECT($B$3)=$B114)*(INDIRECT($C$3)=$D114)*((INDIRECT($E$3)="TOTS")+(INDIRECT($E$3)=$E114)),INDIRECT(X$3)))&lt;&gt;0,_xlpm.y=0),-2,_xlpm.x)))),0))</f>
        <v>0</v>
      </c>
      <c r="Y114" s="199" cm="1">
        <f t="array" aca="1" ref="Y114" ca="1">IF(OR($B114="",$B114="X",$D114="",$D114="X",$E114="",$E114="X"),0,IFERROR(_xlfn.LET(_xlpm.x,SUM(SUM(_xlfn._xlws.FILTER(VALUE(PptoSty[Sign]&amp;1)*(1/PptoSty[Division]),(PptoSty[Division]&lt;&gt;0)*(PptoSty[Division]&lt;&gt;"")*(PptoSty[Division]&lt;&gt;"X")*(PptoSty[Project]=$B114)*(PptoSty[Vrs]=$D114)*(PptoSty[PiRow]=_xlfn.TEXTAFTER($H114,":"))*(PptoSty[PiColumn]=Y$54),0)),SUM(IF((INDIRECT($B$3)=$B114)*(INDIRECT($C$3)=$D114)*((INDIRECT($E$3)="TOTS")+(INDIRECT($E$3)=$E114)),INDIRECT(Y$3)))),_xlpm.y,SUM(_xlfn.CHOOSECOLS(_xlfn._xlws.FILTER(F_RT14[],(F_RT14[PrjId]=$B114)*(F_RT14[Vrs]=$D114)*(_xlfn.TEXTAFTER(F_RT14[ActGrp],":")=_xlfn.TEXTAFTER($H114,":")),"X"),MATCH("*"&amp;Y$54,F_RT14[#Headers],0))),IF(AND(_xlpm.x=0,_xlpm.y&lt;&gt;0),-1,IF(AND(_xlpm.x&lt;&gt;0,_xlpm.y&lt;&gt;0),_xlpm.x,IF(AND(_xlpm.x-SUM(IF((INDIRECT($B$3)=$B114)*(INDIRECT($C$3)=$D114)*((INDIRECT($E$3)="TOTS")+(INDIRECT($E$3)=$E114)),INDIRECT(Y$3)))&lt;&gt;0,_xlpm.y=0),-2,_xlpm.x)))),0))</f>
        <v>0</v>
      </c>
      <c r="Z114" s="198" t="str">
        <f t="shared" ca="1" si="2"/>
        <v>Fback!B114:Y114</v>
      </c>
    </row>
    <row r="115" spans="2:26" ht="21" customHeight="1" outlineLevel="1">
      <c r="B115" s="128" t="str">
        <v>31200</v>
      </c>
      <c r="C115" s="128" t="str">
        <v>Sp</v>
      </c>
      <c r="D115" s="128">
        <v>15</v>
      </c>
      <c r="E115" s="128" t="str">
        <v>CELL</v>
      </c>
      <c r="F115" s="139" t="str">
        <v>SERRA</v>
      </c>
      <c r="G115" s="139" t="str">
        <v>CurPpto</v>
      </c>
      <c r="H115" s="139" t="str">
        <v>P019:FIXATIONS TOOLS PR-31200:15</v>
      </c>
      <c r="I115" s="199" cm="1">
        <f t="array" aca="1" ref="I115" ca="1">IF(OR($B115="",$B115="X",$D115="",$D115="X",$E115="",$E115="X"),0,IFERROR(_xlfn.LET(_xlpm.x,SUM(SUM(_xlfn._xlws.FILTER(VALUE(PptoSty[Sign]&amp;1)*(1/PptoSty[Division]),(PptoSty[Division]&lt;&gt;0)*(PptoSty[Division]&lt;&gt;"")*(PptoSty[Division]&lt;&gt;"X")*(PptoSty[Project]=$B115)*(PptoSty[Vrs]=$D115)*(PptoSty[PiRow]=_xlfn.TEXTAFTER($H115,":"))*(PptoSty[PiColumn]=I$54),0)),SUM(IF((INDIRECT($B$3)=$B115)*(INDIRECT($C$3)=$D115)*((INDIRECT($E$3)="TOTS")+(INDIRECT($E$3)=$E115)),INDIRECT(I$3)))),_xlpm.y,SUM(_xlfn.CHOOSECOLS(_xlfn._xlws.FILTER(F_RT14[],(F_RT14[PrjId]=$B115)*(F_RT14[Vrs]=$D115)*(_xlfn.TEXTAFTER(F_RT14[ActGrp],":")=_xlfn.TEXTAFTER($H115,":")),"X"),MATCH("*"&amp;I$54,F_RT14[#Headers],0))),IF(AND(_xlpm.x=0,_xlpm.y&lt;&gt;0),-1,IF(AND(_xlpm.x&lt;&gt;0,_xlpm.y&lt;&gt;0),_xlpm.x,IF(AND(_xlpm.x-SUM(IF((INDIRECT($B$3)=$B115)*(INDIRECT($C$3)=$D115)*((INDIRECT($E$3)="TOTS")+(INDIRECT($E$3)=$E115)),INDIRECT(I$3)))&lt;&gt;0,_xlpm.y=0),-2,_xlpm.x)))),0))</f>
        <v>0</v>
      </c>
      <c r="J115" s="199" cm="1">
        <f t="array" aca="1" ref="J115" ca="1">IF(OR($B115="",$B115="X",$D115="",$D115="X",$E115="",$E115="X"),0,IFERROR(_xlfn.LET(_xlpm.x,SUM(SUM(_xlfn._xlws.FILTER(VALUE(PptoSty[Sign]&amp;1)*(1/PptoSty[Division]),(PptoSty[Division]&lt;&gt;0)*(PptoSty[Division]&lt;&gt;"")*(PptoSty[Division]&lt;&gt;"X")*(PptoSty[Project]=$B115)*(PptoSty[Vrs]=$D115)*(PptoSty[PiRow]=_xlfn.TEXTAFTER($H115,":"))*(PptoSty[PiColumn]=J$54),0)),SUM(IF((INDIRECT($B$3)=$B115)*(INDIRECT($C$3)=$D115)*((INDIRECT($E$3)="TOTS")+(INDIRECT($E$3)=$E115)),INDIRECT(J$3)))),_xlpm.y,SUM(_xlfn.CHOOSECOLS(_xlfn._xlws.FILTER(F_RT14[],(F_RT14[PrjId]=$B115)*(F_RT14[Vrs]=$D115)*(_xlfn.TEXTAFTER(F_RT14[ActGrp],":")=_xlfn.TEXTAFTER($H115,":")),"X"),MATCH("*"&amp;J$54,F_RT14[#Headers],0))),IF(AND(_xlpm.x=0,_xlpm.y&lt;&gt;0),-1,IF(AND(_xlpm.x&lt;&gt;0,_xlpm.y&lt;&gt;0),_xlpm.x,IF(AND(_xlpm.x-SUM(IF((INDIRECT($B$3)=$B115)*(INDIRECT($C$3)=$D115)*((INDIRECT($E$3)="TOTS")+(INDIRECT($E$3)=$E115)),INDIRECT(J$3)))&lt;&gt;0,_xlpm.y=0),-2,_xlpm.x)))),0))</f>
        <v>0</v>
      </c>
      <c r="K115" s="199" cm="1">
        <f t="array" aca="1" ref="K115" ca="1">IF(OR($B115="",$B115="X",$D115="",$D115="X",$E115="",$E115="X"),0,IFERROR(_xlfn.LET(_xlpm.x,SUM(SUM(_xlfn._xlws.FILTER(VALUE(PptoSty[Sign]&amp;1)*(1/PptoSty[Division]),(PptoSty[Division]&lt;&gt;0)*(PptoSty[Division]&lt;&gt;"")*(PptoSty[Division]&lt;&gt;"X")*(PptoSty[Project]=$B115)*(PptoSty[Vrs]=$D115)*(PptoSty[PiRow]=_xlfn.TEXTAFTER($H115,":"))*(PptoSty[PiColumn]=K$54),0)),SUM(IF((INDIRECT($B$3)=$B115)*(INDIRECT($C$3)=$D115)*((INDIRECT($E$3)="TOTS")+(INDIRECT($E$3)=$E115)),INDIRECT(K$3)))),_xlpm.y,SUM(_xlfn.CHOOSECOLS(_xlfn._xlws.FILTER(F_RT14[],(F_RT14[PrjId]=$B115)*(F_RT14[Vrs]=$D115)*(_xlfn.TEXTAFTER(F_RT14[ActGrp],":")=_xlfn.TEXTAFTER($H115,":")),"X"),MATCH("*"&amp;K$54,F_RT14[#Headers],0))),IF(AND(_xlpm.x=0,_xlpm.y&lt;&gt;0),-1,IF(AND(_xlpm.x&lt;&gt;0,_xlpm.y&lt;&gt;0),_xlpm.x,IF(AND(_xlpm.x-SUM(IF((INDIRECT($B$3)=$B115)*(INDIRECT($C$3)=$D115)*((INDIRECT($E$3)="TOTS")+(INDIRECT($E$3)=$E115)),INDIRECT(K$3)))&lt;&gt;0,_xlpm.y=0),-2,_xlpm.x)))),0))</f>
        <v>-1</v>
      </c>
      <c r="L115" s="199" cm="1">
        <f t="array" aca="1" ref="L115" ca="1">IF(OR($B115="",$B115="X",$D115="",$D115="X",$E115="",$E115="X"),0,IFERROR(_xlfn.LET(_xlpm.x,SUM(SUM(_xlfn._xlws.FILTER(VALUE(PptoSty[Sign]&amp;1)*(1/PptoSty[Division]),(PptoSty[Division]&lt;&gt;0)*(PptoSty[Division]&lt;&gt;"")*(PptoSty[Division]&lt;&gt;"X")*(PptoSty[Project]=$B115)*(PptoSty[Vrs]=$D115)*(PptoSty[PiRow]=_xlfn.TEXTAFTER($H115,":"))*(PptoSty[PiColumn]=L$54),0)),SUM(IF((INDIRECT($B$3)=$B115)*(INDIRECT($C$3)=$D115)*((INDIRECT($E$3)="TOTS")+(INDIRECT($E$3)=$E115)),INDIRECT(L$3)))),_xlpm.y,SUM(_xlfn.CHOOSECOLS(_xlfn._xlws.FILTER(F_RT14[],(F_RT14[PrjId]=$B115)*(F_RT14[Vrs]=$D115)*(_xlfn.TEXTAFTER(F_RT14[ActGrp],":")=_xlfn.TEXTAFTER($H115,":")),"X"),MATCH("*"&amp;L$54,F_RT14[#Headers],0))),IF(AND(_xlpm.x=0,_xlpm.y&lt;&gt;0),-1,IF(AND(_xlpm.x&lt;&gt;0,_xlpm.y&lt;&gt;0),_xlpm.x,IF(AND(_xlpm.x-SUM(IF((INDIRECT($B$3)=$B115)*(INDIRECT($C$3)=$D115)*((INDIRECT($E$3)="TOTS")+(INDIRECT($E$3)=$E115)),INDIRECT(L$3)))&lt;&gt;0,_xlpm.y=0),-2,_xlpm.x)))),0))</f>
        <v>0</v>
      </c>
      <c r="M115" s="199" cm="1">
        <f t="array" aca="1" ref="M115" ca="1">IF(OR($B115="",$B115="X",$D115="",$D115="X",$E115="",$E115="X"),0,IFERROR(_xlfn.LET(_xlpm.x,SUM(SUM(_xlfn._xlws.FILTER(VALUE(PptoSty[Sign]&amp;1)*(1/PptoSty[Division]),(PptoSty[Division]&lt;&gt;0)*(PptoSty[Division]&lt;&gt;"")*(PptoSty[Division]&lt;&gt;"X")*(PptoSty[Project]=$B115)*(PptoSty[Vrs]=$D115)*(PptoSty[PiRow]=_xlfn.TEXTAFTER($H115,":"))*(PptoSty[PiColumn]=M$54),0)),SUM(IF((INDIRECT($B$3)=$B115)*(INDIRECT($C$3)=$D115)*((INDIRECT($E$3)="TOTS")+(INDIRECT($E$3)=$E115)),INDIRECT(M$3)))),_xlpm.y,SUM(_xlfn.CHOOSECOLS(_xlfn._xlws.FILTER(F_RT14[],(F_RT14[PrjId]=$B115)*(F_RT14[Vrs]=$D115)*(_xlfn.TEXTAFTER(F_RT14[ActGrp],":")=_xlfn.TEXTAFTER($H115,":")),"X"),MATCH("*"&amp;M$54,F_RT14[#Headers],0))),IF(AND(_xlpm.x=0,_xlpm.y&lt;&gt;0),-1,IF(AND(_xlpm.x&lt;&gt;0,_xlpm.y&lt;&gt;0),_xlpm.x,IF(AND(_xlpm.x-SUM(IF((INDIRECT($B$3)=$B115)*(INDIRECT($C$3)=$D115)*((INDIRECT($E$3)="TOTS")+(INDIRECT($E$3)=$E115)),INDIRECT(M$3)))&lt;&gt;0,_xlpm.y=0),-2,_xlpm.x)))),0))</f>
        <v>0</v>
      </c>
      <c r="N115" s="199" cm="1">
        <f t="array" aca="1" ref="N115" ca="1">IF(OR($B115="",$B115="X",$D115="",$D115="X",$E115="",$E115="X"),0,IFERROR(_xlfn.LET(_xlpm.x,SUM(SUM(_xlfn._xlws.FILTER(VALUE(PptoSty[Sign]&amp;1)*(1/PptoSty[Division]),(PptoSty[Division]&lt;&gt;0)*(PptoSty[Division]&lt;&gt;"")*(PptoSty[Division]&lt;&gt;"X")*(PptoSty[Project]=$B115)*(PptoSty[Vrs]=$D115)*(PptoSty[PiRow]=_xlfn.TEXTAFTER($H115,":"))*(PptoSty[PiColumn]=N$54),0)),SUM(IF((INDIRECT($B$3)=$B115)*(INDIRECT($C$3)=$D115)*((INDIRECT($E$3)="TOTS")+(INDIRECT($E$3)=$E115)),INDIRECT(N$3)))),_xlpm.y,SUM(_xlfn.CHOOSECOLS(_xlfn._xlws.FILTER(F_RT14[],(F_RT14[PrjId]=$B115)*(F_RT14[Vrs]=$D115)*(_xlfn.TEXTAFTER(F_RT14[ActGrp],":")=_xlfn.TEXTAFTER($H115,":")),"X"),MATCH("*"&amp;N$54,F_RT14[#Headers],0))),IF(AND(_xlpm.x=0,_xlpm.y&lt;&gt;0),-1,IF(AND(_xlpm.x&lt;&gt;0,_xlpm.y&lt;&gt;0),_xlpm.x,IF(AND(_xlpm.x-SUM(IF((INDIRECT($B$3)=$B115)*(INDIRECT($C$3)=$D115)*((INDIRECT($E$3)="TOTS")+(INDIRECT($E$3)=$E115)),INDIRECT(N$3)))&lt;&gt;0,_xlpm.y=0),-2,_xlpm.x)))),0))</f>
        <v>0</v>
      </c>
      <c r="O115" s="199" cm="1">
        <f t="array" aca="1" ref="O115" ca="1">IF(OR($B115="",$B115="X",$D115="",$D115="X",$E115="",$E115="X"),0,IFERROR(_xlfn.LET(_xlpm.x,SUM(SUM(_xlfn._xlws.FILTER(VALUE(PptoSty[Sign]&amp;1)*(1/PptoSty[Division]),(PptoSty[Division]&lt;&gt;0)*(PptoSty[Division]&lt;&gt;"")*(PptoSty[Division]&lt;&gt;"X")*(PptoSty[Project]=$B115)*(PptoSty[Vrs]=$D115)*(PptoSty[PiRow]=_xlfn.TEXTAFTER($H115,":"))*(PptoSty[PiColumn]=O$54),0)),SUM(IF((INDIRECT($B$3)=$B115)*(INDIRECT($C$3)=$D115)*((INDIRECT($E$3)="TOTS")+(INDIRECT($E$3)=$E115)),INDIRECT(O$3)))),_xlpm.y,SUM(_xlfn.CHOOSECOLS(_xlfn._xlws.FILTER(F_RT14[],(F_RT14[PrjId]=$B115)*(F_RT14[Vrs]=$D115)*(_xlfn.TEXTAFTER(F_RT14[ActGrp],":")=_xlfn.TEXTAFTER($H115,":")),"X"),MATCH("*"&amp;O$54,F_RT14[#Headers],0))),IF(AND(_xlpm.x=0,_xlpm.y&lt;&gt;0),-1,IF(AND(_xlpm.x&lt;&gt;0,_xlpm.y&lt;&gt;0),_xlpm.x,IF(AND(_xlpm.x-SUM(IF((INDIRECT($B$3)=$B115)*(INDIRECT($C$3)=$D115)*((INDIRECT($E$3)="TOTS")+(INDIRECT($E$3)=$E115)),INDIRECT(O$3)))&lt;&gt;0,_xlpm.y=0),-2,_xlpm.x)))),0))</f>
        <v>0</v>
      </c>
      <c r="P115" s="199" cm="1">
        <f t="array" aca="1" ref="P115" ca="1">IF(OR($B115="",$B115="X",$D115="",$D115="X",$E115="",$E115="X"),0,IFERROR(_xlfn.LET(_xlpm.x,SUM(SUM(_xlfn._xlws.FILTER(VALUE(PptoSty[Sign]&amp;1)*(1/PptoSty[Division]),(PptoSty[Division]&lt;&gt;0)*(PptoSty[Division]&lt;&gt;"")*(PptoSty[Division]&lt;&gt;"X")*(PptoSty[Project]=$B115)*(PptoSty[Vrs]=$D115)*(PptoSty[PiRow]=_xlfn.TEXTAFTER($H115,":"))*(PptoSty[PiColumn]=P$54),0)),SUM(IF((INDIRECT($B$3)=$B115)*(INDIRECT($C$3)=$D115)*((INDIRECT($E$3)="TOTS")+(INDIRECT($E$3)=$E115)),INDIRECT(P$3)))),_xlpm.y,SUM(_xlfn.CHOOSECOLS(_xlfn._xlws.FILTER(F_RT14[],(F_RT14[PrjId]=$B115)*(F_RT14[Vrs]=$D115)*(_xlfn.TEXTAFTER(F_RT14[ActGrp],":")=_xlfn.TEXTAFTER($H115,":")),"X"),MATCH("*"&amp;P$54,F_RT14[#Headers],0))),IF(AND(_xlpm.x=0,_xlpm.y&lt;&gt;0),-1,IF(AND(_xlpm.x&lt;&gt;0,_xlpm.y&lt;&gt;0),_xlpm.x,IF(AND(_xlpm.x-SUM(IF((INDIRECT($B$3)=$B115)*(INDIRECT($C$3)=$D115)*((INDIRECT($E$3)="TOTS")+(INDIRECT($E$3)=$E115)),INDIRECT(P$3)))&lt;&gt;0,_xlpm.y=0),-2,_xlpm.x)))),0))</f>
        <v>-1</v>
      </c>
      <c r="Q115" s="199" cm="1">
        <f t="array" aca="1" ref="Q115" ca="1">IF(OR($B115="",$B115="X",$D115="",$D115="X",$E115="",$E115="X"),0,IFERROR(_xlfn.LET(_xlpm.x,SUM(SUM(_xlfn._xlws.FILTER(VALUE(PptoSty[Sign]&amp;1)*(1/PptoSty[Division]),(PptoSty[Division]&lt;&gt;0)*(PptoSty[Division]&lt;&gt;"")*(PptoSty[Division]&lt;&gt;"X")*(PptoSty[Project]=$B115)*(PptoSty[Vrs]=$D115)*(PptoSty[PiRow]=_xlfn.TEXTAFTER($H115,":"))*(PptoSty[PiColumn]=Q$54),0)),SUM(IF((INDIRECT($B$3)=$B115)*(INDIRECT($C$3)=$D115)*((INDIRECT($E$3)="TOTS")+(INDIRECT($E$3)=$E115)),INDIRECT(Q$3)))),_xlpm.y,SUM(_xlfn.CHOOSECOLS(_xlfn._xlws.FILTER(F_RT14[],(F_RT14[PrjId]=$B115)*(F_RT14[Vrs]=$D115)*(_xlfn.TEXTAFTER(F_RT14[ActGrp],":")=_xlfn.TEXTAFTER($H115,":")),"X"),MATCH("*"&amp;Q$54,F_RT14[#Headers],0))),IF(AND(_xlpm.x=0,_xlpm.y&lt;&gt;0),-1,IF(AND(_xlpm.x&lt;&gt;0,_xlpm.y&lt;&gt;0),_xlpm.x,IF(AND(_xlpm.x-SUM(IF((INDIRECT($B$3)=$B115)*(INDIRECT($C$3)=$D115)*((INDIRECT($E$3)="TOTS")+(INDIRECT($E$3)=$E115)),INDIRECT(Q$3)))&lt;&gt;0,_xlpm.y=0),-2,_xlpm.x)))),0))</f>
        <v>-1</v>
      </c>
      <c r="R115" s="199" cm="1">
        <f t="array" aca="1" ref="R115" ca="1">IF(OR($B115="",$B115="X",$D115="",$D115="X",$E115="",$E115="X"),0,IFERROR(_xlfn.LET(_xlpm.x,SUM(SUM(_xlfn._xlws.FILTER(VALUE(PptoSty[Sign]&amp;1)*(1/PptoSty[Division]),(PptoSty[Division]&lt;&gt;0)*(PptoSty[Division]&lt;&gt;"")*(PptoSty[Division]&lt;&gt;"X")*(PptoSty[Project]=$B115)*(PptoSty[Vrs]=$D115)*(PptoSty[PiRow]=_xlfn.TEXTAFTER($H115,":"))*(PptoSty[PiColumn]=R$54),0)),SUM(IF((INDIRECT($B$3)=$B115)*(INDIRECT($C$3)=$D115)*((INDIRECT($E$3)="TOTS")+(INDIRECT($E$3)=$E115)),INDIRECT(R$3)))),_xlpm.y,SUM(_xlfn.CHOOSECOLS(_xlfn._xlws.FILTER(F_RT14[],(F_RT14[PrjId]=$B115)*(F_RT14[Vrs]=$D115)*(_xlfn.TEXTAFTER(F_RT14[ActGrp],":")=_xlfn.TEXTAFTER($H115,":")),"X"),MATCH("*"&amp;R$54,F_RT14[#Headers],0))),IF(AND(_xlpm.x=0,_xlpm.y&lt;&gt;0),-1,IF(AND(_xlpm.x&lt;&gt;0,_xlpm.y&lt;&gt;0),_xlpm.x,IF(AND(_xlpm.x-SUM(IF((INDIRECT($B$3)=$B115)*(INDIRECT($C$3)=$D115)*((INDIRECT($E$3)="TOTS")+(INDIRECT($E$3)=$E115)),INDIRECT(R$3)))&lt;&gt;0,_xlpm.y=0),-2,_xlpm.x)))),0))</f>
        <v>0</v>
      </c>
      <c r="S115" s="199" cm="1">
        <f t="array" aca="1" ref="S115" ca="1">IF(OR($B115="",$B115="X",$D115="",$D115="X",$E115="",$E115="X"),0,IFERROR(_xlfn.LET(_xlpm.x,SUM(SUM(_xlfn._xlws.FILTER(VALUE(PptoSty[Sign]&amp;1)*(1/PptoSty[Division]),(PptoSty[Division]&lt;&gt;0)*(PptoSty[Division]&lt;&gt;"")*(PptoSty[Division]&lt;&gt;"X")*(PptoSty[Project]=$B115)*(PptoSty[Vrs]=$D115)*(PptoSty[PiRow]=_xlfn.TEXTAFTER($H115,":"))*(PptoSty[PiColumn]=S$54),0)),SUM(IF((INDIRECT($B$3)=$B115)*(INDIRECT($C$3)=$D115)*((INDIRECT($E$3)="TOTS")+(INDIRECT($E$3)=$E115)),INDIRECT(S$3)))),_xlpm.y,SUM(_xlfn.CHOOSECOLS(_xlfn._xlws.FILTER(F_RT14[],(F_RT14[PrjId]=$B115)*(F_RT14[Vrs]=$D115)*(_xlfn.TEXTAFTER(F_RT14[ActGrp],":")=_xlfn.TEXTAFTER($H115,":")),"X"),MATCH("*"&amp;S$54,F_RT14[#Headers],0))),IF(AND(_xlpm.x=0,_xlpm.y&lt;&gt;0),-1,IF(AND(_xlpm.x&lt;&gt;0,_xlpm.y&lt;&gt;0),_xlpm.x,IF(AND(_xlpm.x-SUM(IF((INDIRECT($B$3)=$B115)*(INDIRECT($C$3)=$D115)*((INDIRECT($E$3)="TOTS")+(INDIRECT($E$3)=$E115)),INDIRECT(S$3)))&lt;&gt;0,_xlpm.y=0),-2,_xlpm.x)))),0))</f>
        <v>0</v>
      </c>
      <c r="T115" s="199" cm="1">
        <f t="array" aca="1" ref="T115" ca="1">IF(OR($B115="",$B115="X",$D115="",$D115="X",$E115="",$E115="X"),0,IFERROR(_xlfn.LET(_xlpm.x,SUM(SUM(_xlfn._xlws.FILTER(VALUE(PptoSty[Sign]&amp;1)*(1/PptoSty[Division]),(PptoSty[Division]&lt;&gt;0)*(PptoSty[Division]&lt;&gt;"")*(PptoSty[Division]&lt;&gt;"X")*(PptoSty[Project]=$B115)*(PptoSty[Vrs]=$D115)*(PptoSty[PiRow]=_xlfn.TEXTAFTER($H115,":"))*(PptoSty[PiColumn]=T$54),0)),SUM(IF((INDIRECT($B$3)=$B115)*(INDIRECT($C$3)=$D115)*((INDIRECT($E$3)="TOTS")+(INDIRECT($E$3)=$E115)),INDIRECT(T$3)))),_xlpm.y,SUM(_xlfn.CHOOSECOLS(_xlfn._xlws.FILTER(F_RT14[],(F_RT14[PrjId]=$B115)*(F_RT14[Vrs]=$D115)*(_xlfn.TEXTAFTER(F_RT14[ActGrp],":")=_xlfn.TEXTAFTER($H115,":")),"X"),MATCH("*"&amp;T$54,F_RT14[#Headers],0))),IF(AND(_xlpm.x=0,_xlpm.y&lt;&gt;0),-1,IF(AND(_xlpm.x&lt;&gt;0,_xlpm.y&lt;&gt;0),_xlpm.x,IF(AND(_xlpm.x-SUM(IF((INDIRECT($B$3)=$B115)*(INDIRECT($C$3)=$D115)*((INDIRECT($E$3)="TOTS")+(INDIRECT($E$3)=$E115)),INDIRECT(T$3)))&lt;&gt;0,_xlpm.y=0),-2,_xlpm.x)))),0))</f>
        <v>0</v>
      </c>
      <c r="U115" s="199" cm="1">
        <f t="array" aca="1" ref="U115" ca="1">IF(OR($B115="",$B115="X",$D115="",$D115="X",$E115="",$E115="X"),0,IFERROR(_xlfn.LET(_xlpm.x,SUM(SUM(_xlfn._xlws.FILTER(VALUE(PptoSty[Sign]&amp;1)*(1/PptoSty[Division]),(PptoSty[Division]&lt;&gt;0)*(PptoSty[Division]&lt;&gt;"")*(PptoSty[Division]&lt;&gt;"X")*(PptoSty[Project]=$B115)*(PptoSty[Vrs]=$D115)*(PptoSty[PiRow]=_xlfn.TEXTAFTER($H115,":"))*(PptoSty[PiColumn]=U$54),0)),SUM(IF((INDIRECT($B$3)=$B115)*(INDIRECT($C$3)=$D115)*((INDIRECT($E$3)="TOTS")+(INDIRECT($E$3)=$E115)),INDIRECT(U$3)))),_xlpm.y,SUM(_xlfn.CHOOSECOLS(_xlfn._xlws.FILTER(F_RT14[],(F_RT14[PrjId]=$B115)*(F_RT14[Vrs]=$D115)*(_xlfn.TEXTAFTER(F_RT14[ActGrp],":")=_xlfn.TEXTAFTER($H115,":")),"X"),MATCH("*"&amp;U$54,F_RT14[#Headers],0))),IF(AND(_xlpm.x=0,_xlpm.y&lt;&gt;0),-1,IF(AND(_xlpm.x&lt;&gt;0,_xlpm.y&lt;&gt;0),_xlpm.x,IF(AND(_xlpm.x-SUM(IF((INDIRECT($B$3)=$B115)*(INDIRECT($C$3)=$D115)*((INDIRECT($E$3)="TOTS")+(INDIRECT($E$3)=$E115)),INDIRECT(U$3)))&lt;&gt;0,_xlpm.y=0),-2,_xlpm.x)))),0))</f>
        <v>0</v>
      </c>
      <c r="V115" s="199" cm="1">
        <f t="array" aca="1" ref="V115" ca="1">IF(OR($B115="",$B115="X",$D115="",$D115="X",$E115="",$E115="X"),0,IFERROR(_xlfn.LET(_xlpm.x,SUM(SUM(_xlfn._xlws.FILTER(VALUE(PptoSty[Sign]&amp;1)*(1/PptoSty[Division]),(PptoSty[Division]&lt;&gt;0)*(PptoSty[Division]&lt;&gt;"")*(PptoSty[Division]&lt;&gt;"X")*(PptoSty[Project]=$B115)*(PptoSty[Vrs]=$D115)*(PptoSty[PiRow]=_xlfn.TEXTAFTER($H115,":"))*(PptoSty[PiColumn]=V$54),0)),SUM(IF((INDIRECT($B$3)=$B115)*(INDIRECT($C$3)=$D115)*((INDIRECT($E$3)="TOTS")+(INDIRECT($E$3)=$E115)),INDIRECT(V$3)))),_xlpm.y,SUM(_xlfn.CHOOSECOLS(_xlfn._xlws.FILTER(F_RT14[],(F_RT14[PrjId]=$B115)*(F_RT14[Vrs]=$D115)*(_xlfn.TEXTAFTER(F_RT14[ActGrp],":")=_xlfn.TEXTAFTER($H115,":")),"X"),MATCH("*"&amp;V$54,F_RT14[#Headers],0))),IF(AND(_xlpm.x=0,_xlpm.y&lt;&gt;0),-1,IF(AND(_xlpm.x&lt;&gt;0,_xlpm.y&lt;&gt;0),_xlpm.x,IF(AND(_xlpm.x-SUM(IF((INDIRECT($B$3)=$B115)*(INDIRECT($C$3)=$D115)*((INDIRECT($E$3)="TOTS")+(INDIRECT($E$3)=$E115)),INDIRECT(V$3)))&lt;&gt;0,_xlpm.y=0),-2,_xlpm.x)))),0))</f>
        <v>0</v>
      </c>
      <c r="W115" s="199" cm="1">
        <f t="array" aca="1" ref="W115" ca="1">IF(OR($B115="",$B115="X",$D115="",$D115="X",$E115="",$E115="X"),0,IFERROR(_xlfn.LET(_xlpm.x,SUM(SUM(_xlfn._xlws.FILTER(VALUE(PptoSty[Sign]&amp;1)*(1/PptoSty[Division]),(PptoSty[Division]&lt;&gt;0)*(PptoSty[Division]&lt;&gt;"")*(PptoSty[Division]&lt;&gt;"X")*(PptoSty[Project]=$B115)*(PptoSty[Vrs]=$D115)*(PptoSty[PiRow]=_xlfn.TEXTAFTER($H115,":"))*(PptoSty[PiColumn]=W$54),0)),SUM(IF((INDIRECT($B$3)=$B115)*(INDIRECT($C$3)=$D115)*((INDIRECT($E$3)="TOTS")+(INDIRECT($E$3)=$E115)),INDIRECT(W$3)))),_xlpm.y,SUM(_xlfn.CHOOSECOLS(_xlfn._xlws.FILTER(F_RT14[],(F_RT14[PrjId]=$B115)*(F_RT14[Vrs]=$D115)*(_xlfn.TEXTAFTER(F_RT14[ActGrp],":")=_xlfn.TEXTAFTER($H115,":")),"X"),MATCH("*"&amp;W$54,F_RT14[#Headers],0))),IF(AND(_xlpm.x=0,_xlpm.y&lt;&gt;0),-1,IF(AND(_xlpm.x&lt;&gt;0,_xlpm.y&lt;&gt;0),_xlpm.x,IF(AND(_xlpm.x-SUM(IF((INDIRECT($B$3)=$B115)*(INDIRECT($C$3)=$D115)*((INDIRECT($E$3)="TOTS")+(INDIRECT($E$3)=$E115)),INDIRECT(W$3)))&lt;&gt;0,_xlpm.y=0),-2,_xlpm.x)))),0))</f>
        <v>0</v>
      </c>
      <c r="X115" s="199" cm="1">
        <f t="array" aca="1" ref="X115" ca="1">IF(OR($B115="",$B115="X",$D115="",$D115="X",$E115="",$E115="X"),0,IFERROR(_xlfn.LET(_xlpm.x,SUM(SUM(_xlfn._xlws.FILTER(VALUE(PptoSty[Sign]&amp;1)*(1/PptoSty[Division]),(PptoSty[Division]&lt;&gt;0)*(PptoSty[Division]&lt;&gt;"")*(PptoSty[Division]&lt;&gt;"X")*(PptoSty[Project]=$B115)*(PptoSty[Vrs]=$D115)*(PptoSty[PiRow]=_xlfn.TEXTAFTER($H115,":"))*(PptoSty[PiColumn]=X$54),0)),SUM(IF((INDIRECT($B$3)=$B115)*(INDIRECT($C$3)=$D115)*((INDIRECT($E$3)="TOTS")+(INDIRECT($E$3)=$E115)),INDIRECT(X$3)))),_xlpm.y,SUM(_xlfn.CHOOSECOLS(_xlfn._xlws.FILTER(F_RT14[],(F_RT14[PrjId]=$B115)*(F_RT14[Vrs]=$D115)*(_xlfn.TEXTAFTER(F_RT14[ActGrp],":")=_xlfn.TEXTAFTER($H115,":")),"X"),MATCH("*"&amp;X$54,F_RT14[#Headers],0))),IF(AND(_xlpm.x=0,_xlpm.y&lt;&gt;0),-1,IF(AND(_xlpm.x&lt;&gt;0,_xlpm.y&lt;&gt;0),_xlpm.x,IF(AND(_xlpm.x-SUM(IF((INDIRECT($B$3)=$B115)*(INDIRECT($C$3)=$D115)*((INDIRECT($E$3)="TOTS")+(INDIRECT($E$3)=$E115)),INDIRECT(X$3)))&lt;&gt;0,_xlpm.y=0),-2,_xlpm.x)))),0))</f>
        <v>0</v>
      </c>
      <c r="Y115" s="199" cm="1">
        <f t="array" aca="1" ref="Y115" ca="1">IF(OR($B115="",$B115="X",$D115="",$D115="X",$E115="",$E115="X"),0,IFERROR(_xlfn.LET(_xlpm.x,SUM(SUM(_xlfn._xlws.FILTER(VALUE(PptoSty[Sign]&amp;1)*(1/PptoSty[Division]),(PptoSty[Division]&lt;&gt;0)*(PptoSty[Division]&lt;&gt;"")*(PptoSty[Division]&lt;&gt;"X")*(PptoSty[Project]=$B115)*(PptoSty[Vrs]=$D115)*(PptoSty[PiRow]=_xlfn.TEXTAFTER($H115,":"))*(PptoSty[PiColumn]=Y$54),0)),SUM(IF((INDIRECT($B$3)=$B115)*(INDIRECT($C$3)=$D115)*((INDIRECT($E$3)="TOTS")+(INDIRECT($E$3)=$E115)),INDIRECT(Y$3)))),_xlpm.y,SUM(_xlfn.CHOOSECOLS(_xlfn._xlws.FILTER(F_RT14[],(F_RT14[PrjId]=$B115)*(F_RT14[Vrs]=$D115)*(_xlfn.TEXTAFTER(F_RT14[ActGrp],":")=_xlfn.TEXTAFTER($H115,":")),"X"),MATCH("*"&amp;Y$54,F_RT14[#Headers],0))),IF(AND(_xlpm.x=0,_xlpm.y&lt;&gt;0),-1,IF(AND(_xlpm.x&lt;&gt;0,_xlpm.y&lt;&gt;0),_xlpm.x,IF(AND(_xlpm.x-SUM(IF((INDIRECT($B$3)=$B115)*(INDIRECT($C$3)=$D115)*((INDIRECT($E$3)="TOTS")+(INDIRECT($E$3)=$E115)),INDIRECT(Y$3)))&lt;&gt;0,_xlpm.y=0),-2,_xlpm.x)))),0))</f>
        <v>0</v>
      </c>
      <c r="Z115" s="198" t="str">
        <f t="shared" ca="1" si="2"/>
        <v>Fback!B115:Y115</v>
      </c>
    </row>
    <row r="116" spans="2:26" ht="21" customHeight="1" outlineLevel="1">
      <c r="B116" s="128" t="str">
        <v>31200</v>
      </c>
      <c r="C116" s="128" t="str">
        <v>Sp</v>
      </c>
      <c r="D116" s="128">
        <v>15</v>
      </c>
      <c r="E116" s="128" t="str">
        <v>CELL</v>
      </c>
      <c r="F116" s="139" t="str">
        <v>SERRA</v>
      </c>
      <c r="G116" s="139" t="str">
        <v>CurPpto</v>
      </c>
      <c r="H116" s="139" t="str">
        <v>P020:KTL SHELVES PR-31200:15</v>
      </c>
      <c r="I116" s="199" cm="1">
        <f t="array" aca="1" ref="I116" ca="1">IF(OR($B116="",$B116="X",$D116="",$D116="X",$E116="",$E116="X"),0,IFERROR(_xlfn.LET(_xlpm.x,SUM(SUM(_xlfn._xlws.FILTER(VALUE(PptoSty[Sign]&amp;1)*(1/PptoSty[Division]),(PptoSty[Division]&lt;&gt;0)*(PptoSty[Division]&lt;&gt;"")*(PptoSty[Division]&lt;&gt;"X")*(PptoSty[Project]=$B116)*(PptoSty[Vrs]=$D116)*(PptoSty[PiRow]=_xlfn.TEXTAFTER($H116,":"))*(PptoSty[PiColumn]=I$54),0)),SUM(IF((INDIRECT($B$3)=$B116)*(INDIRECT($C$3)=$D116)*((INDIRECT($E$3)="TOTS")+(INDIRECT($E$3)=$E116)),INDIRECT(I$3)))),_xlpm.y,SUM(_xlfn.CHOOSECOLS(_xlfn._xlws.FILTER(F_RT14[],(F_RT14[PrjId]=$B116)*(F_RT14[Vrs]=$D116)*(_xlfn.TEXTAFTER(F_RT14[ActGrp],":")=_xlfn.TEXTAFTER($H116,":")),"X"),MATCH("*"&amp;I$54,F_RT14[#Headers],0))),IF(AND(_xlpm.x=0,_xlpm.y&lt;&gt;0),-1,IF(AND(_xlpm.x&lt;&gt;0,_xlpm.y&lt;&gt;0),_xlpm.x,IF(AND(_xlpm.x-SUM(IF((INDIRECT($B$3)=$B116)*(INDIRECT($C$3)=$D116)*((INDIRECT($E$3)="TOTS")+(INDIRECT($E$3)=$E116)),INDIRECT(I$3)))&lt;&gt;0,_xlpm.y=0),-2,_xlpm.x)))),0))</f>
        <v>0</v>
      </c>
      <c r="J116" s="199" cm="1">
        <f t="array" aca="1" ref="J116" ca="1">IF(OR($B116="",$B116="X",$D116="",$D116="X",$E116="",$E116="X"),0,IFERROR(_xlfn.LET(_xlpm.x,SUM(SUM(_xlfn._xlws.FILTER(VALUE(PptoSty[Sign]&amp;1)*(1/PptoSty[Division]),(PptoSty[Division]&lt;&gt;0)*(PptoSty[Division]&lt;&gt;"")*(PptoSty[Division]&lt;&gt;"X")*(PptoSty[Project]=$B116)*(PptoSty[Vrs]=$D116)*(PptoSty[PiRow]=_xlfn.TEXTAFTER($H116,":"))*(PptoSty[PiColumn]=J$54),0)),SUM(IF((INDIRECT($B$3)=$B116)*(INDIRECT($C$3)=$D116)*((INDIRECT($E$3)="TOTS")+(INDIRECT($E$3)=$E116)),INDIRECT(J$3)))),_xlpm.y,SUM(_xlfn.CHOOSECOLS(_xlfn._xlws.FILTER(F_RT14[],(F_RT14[PrjId]=$B116)*(F_RT14[Vrs]=$D116)*(_xlfn.TEXTAFTER(F_RT14[ActGrp],":")=_xlfn.TEXTAFTER($H116,":")),"X"),MATCH("*"&amp;J$54,F_RT14[#Headers],0))),IF(AND(_xlpm.x=0,_xlpm.y&lt;&gt;0),-1,IF(AND(_xlpm.x&lt;&gt;0,_xlpm.y&lt;&gt;0),_xlpm.x,IF(AND(_xlpm.x-SUM(IF((INDIRECT($B$3)=$B116)*(INDIRECT($C$3)=$D116)*((INDIRECT($E$3)="TOTS")+(INDIRECT($E$3)=$E116)),INDIRECT(J$3)))&lt;&gt;0,_xlpm.y=0),-2,_xlpm.x)))),0))</f>
        <v>0</v>
      </c>
      <c r="K116" s="199" cm="1">
        <f t="array" aca="1" ref="K116" ca="1">IF(OR($B116="",$B116="X",$D116="",$D116="X",$E116="",$E116="X"),0,IFERROR(_xlfn.LET(_xlpm.x,SUM(SUM(_xlfn._xlws.FILTER(VALUE(PptoSty[Sign]&amp;1)*(1/PptoSty[Division]),(PptoSty[Division]&lt;&gt;0)*(PptoSty[Division]&lt;&gt;"")*(PptoSty[Division]&lt;&gt;"X")*(PptoSty[Project]=$B116)*(PptoSty[Vrs]=$D116)*(PptoSty[PiRow]=_xlfn.TEXTAFTER($H116,":"))*(PptoSty[PiColumn]=K$54),0)),SUM(IF((INDIRECT($B$3)=$B116)*(INDIRECT($C$3)=$D116)*((INDIRECT($E$3)="TOTS")+(INDIRECT($E$3)=$E116)),INDIRECT(K$3)))),_xlpm.y,SUM(_xlfn.CHOOSECOLS(_xlfn._xlws.FILTER(F_RT14[],(F_RT14[PrjId]=$B116)*(F_RT14[Vrs]=$D116)*(_xlfn.TEXTAFTER(F_RT14[ActGrp],":")=_xlfn.TEXTAFTER($H116,":")),"X"),MATCH("*"&amp;K$54,F_RT14[#Headers],0))),IF(AND(_xlpm.x=0,_xlpm.y&lt;&gt;0),-1,IF(AND(_xlpm.x&lt;&gt;0,_xlpm.y&lt;&gt;0),_xlpm.x,IF(AND(_xlpm.x-SUM(IF((INDIRECT($B$3)=$B116)*(INDIRECT($C$3)=$D116)*((INDIRECT($E$3)="TOTS")+(INDIRECT($E$3)=$E116)),INDIRECT(K$3)))&lt;&gt;0,_xlpm.y=0),-2,_xlpm.x)))),0))</f>
        <v>-1</v>
      </c>
      <c r="L116" s="199" cm="1">
        <f t="array" aca="1" ref="L116" ca="1">IF(OR($B116="",$B116="X",$D116="",$D116="X",$E116="",$E116="X"),0,IFERROR(_xlfn.LET(_xlpm.x,SUM(SUM(_xlfn._xlws.FILTER(VALUE(PptoSty[Sign]&amp;1)*(1/PptoSty[Division]),(PptoSty[Division]&lt;&gt;0)*(PptoSty[Division]&lt;&gt;"")*(PptoSty[Division]&lt;&gt;"X")*(PptoSty[Project]=$B116)*(PptoSty[Vrs]=$D116)*(PptoSty[PiRow]=_xlfn.TEXTAFTER($H116,":"))*(PptoSty[PiColumn]=L$54),0)),SUM(IF((INDIRECT($B$3)=$B116)*(INDIRECT($C$3)=$D116)*((INDIRECT($E$3)="TOTS")+(INDIRECT($E$3)=$E116)),INDIRECT(L$3)))),_xlpm.y,SUM(_xlfn.CHOOSECOLS(_xlfn._xlws.FILTER(F_RT14[],(F_RT14[PrjId]=$B116)*(F_RT14[Vrs]=$D116)*(_xlfn.TEXTAFTER(F_RT14[ActGrp],":")=_xlfn.TEXTAFTER($H116,":")),"X"),MATCH("*"&amp;L$54,F_RT14[#Headers],0))),IF(AND(_xlpm.x=0,_xlpm.y&lt;&gt;0),-1,IF(AND(_xlpm.x&lt;&gt;0,_xlpm.y&lt;&gt;0),_xlpm.x,IF(AND(_xlpm.x-SUM(IF((INDIRECT($B$3)=$B116)*(INDIRECT($C$3)=$D116)*((INDIRECT($E$3)="TOTS")+(INDIRECT($E$3)=$E116)),INDIRECT(L$3)))&lt;&gt;0,_xlpm.y=0),-2,_xlpm.x)))),0))</f>
        <v>0</v>
      </c>
      <c r="M116" s="199" cm="1">
        <f t="array" aca="1" ref="M116" ca="1">IF(OR($B116="",$B116="X",$D116="",$D116="X",$E116="",$E116="X"),0,IFERROR(_xlfn.LET(_xlpm.x,SUM(SUM(_xlfn._xlws.FILTER(VALUE(PptoSty[Sign]&amp;1)*(1/PptoSty[Division]),(PptoSty[Division]&lt;&gt;0)*(PptoSty[Division]&lt;&gt;"")*(PptoSty[Division]&lt;&gt;"X")*(PptoSty[Project]=$B116)*(PptoSty[Vrs]=$D116)*(PptoSty[PiRow]=_xlfn.TEXTAFTER($H116,":"))*(PptoSty[PiColumn]=M$54),0)),SUM(IF((INDIRECT($B$3)=$B116)*(INDIRECT($C$3)=$D116)*((INDIRECT($E$3)="TOTS")+(INDIRECT($E$3)=$E116)),INDIRECT(M$3)))),_xlpm.y,SUM(_xlfn.CHOOSECOLS(_xlfn._xlws.FILTER(F_RT14[],(F_RT14[PrjId]=$B116)*(F_RT14[Vrs]=$D116)*(_xlfn.TEXTAFTER(F_RT14[ActGrp],":")=_xlfn.TEXTAFTER($H116,":")),"X"),MATCH("*"&amp;M$54,F_RT14[#Headers],0))),IF(AND(_xlpm.x=0,_xlpm.y&lt;&gt;0),-1,IF(AND(_xlpm.x&lt;&gt;0,_xlpm.y&lt;&gt;0),_xlpm.x,IF(AND(_xlpm.x-SUM(IF((INDIRECT($B$3)=$B116)*(INDIRECT($C$3)=$D116)*((INDIRECT($E$3)="TOTS")+(INDIRECT($E$3)=$E116)),INDIRECT(M$3)))&lt;&gt;0,_xlpm.y=0),-2,_xlpm.x)))),0))</f>
        <v>0</v>
      </c>
      <c r="N116" s="199" cm="1">
        <f t="array" aca="1" ref="N116" ca="1">IF(OR($B116="",$B116="X",$D116="",$D116="X",$E116="",$E116="X"),0,IFERROR(_xlfn.LET(_xlpm.x,SUM(SUM(_xlfn._xlws.FILTER(VALUE(PptoSty[Sign]&amp;1)*(1/PptoSty[Division]),(PptoSty[Division]&lt;&gt;0)*(PptoSty[Division]&lt;&gt;"")*(PptoSty[Division]&lt;&gt;"X")*(PptoSty[Project]=$B116)*(PptoSty[Vrs]=$D116)*(PptoSty[PiRow]=_xlfn.TEXTAFTER($H116,":"))*(PptoSty[PiColumn]=N$54),0)),SUM(IF((INDIRECT($B$3)=$B116)*(INDIRECT($C$3)=$D116)*((INDIRECT($E$3)="TOTS")+(INDIRECT($E$3)=$E116)),INDIRECT(N$3)))),_xlpm.y,SUM(_xlfn.CHOOSECOLS(_xlfn._xlws.FILTER(F_RT14[],(F_RT14[PrjId]=$B116)*(F_RT14[Vrs]=$D116)*(_xlfn.TEXTAFTER(F_RT14[ActGrp],":")=_xlfn.TEXTAFTER($H116,":")),"X"),MATCH("*"&amp;N$54,F_RT14[#Headers],0))),IF(AND(_xlpm.x=0,_xlpm.y&lt;&gt;0),-1,IF(AND(_xlpm.x&lt;&gt;0,_xlpm.y&lt;&gt;0),_xlpm.x,IF(AND(_xlpm.x-SUM(IF((INDIRECT($B$3)=$B116)*(INDIRECT($C$3)=$D116)*((INDIRECT($E$3)="TOTS")+(INDIRECT($E$3)=$E116)),INDIRECT(N$3)))&lt;&gt;0,_xlpm.y=0),-2,_xlpm.x)))),0))</f>
        <v>0</v>
      </c>
      <c r="O116" s="199" cm="1">
        <f t="array" aca="1" ref="O116" ca="1">IF(OR($B116="",$B116="X",$D116="",$D116="X",$E116="",$E116="X"),0,IFERROR(_xlfn.LET(_xlpm.x,SUM(SUM(_xlfn._xlws.FILTER(VALUE(PptoSty[Sign]&amp;1)*(1/PptoSty[Division]),(PptoSty[Division]&lt;&gt;0)*(PptoSty[Division]&lt;&gt;"")*(PptoSty[Division]&lt;&gt;"X")*(PptoSty[Project]=$B116)*(PptoSty[Vrs]=$D116)*(PptoSty[PiRow]=_xlfn.TEXTAFTER($H116,":"))*(PptoSty[PiColumn]=O$54),0)),SUM(IF((INDIRECT($B$3)=$B116)*(INDIRECT($C$3)=$D116)*((INDIRECT($E$3)="TOTS")+(INDIRECT($E$3)=$E116)),INDIRECT(O$3)))),_xlpm.y,SUM(_xlfn.CHOOSECOLS(_xlfn._xlws.FILTER(F_RT14[],(F_RT14[PrjId]=$B116)*(F_RT14[Vrs]=$D116)*(_xlfn.TEXTAFTER(F_RT14[ActGrp],":")=_xlfn.TEXTAFTER($H116,":")),"X"),MATCH("*"&amp;O$54,F_RT14[#Headers],0))),IF(AND(_xlpm.x=0,_xlpm.y&lt;&gt;0),-1,IF(AND(_xlpm.x&lt;&gt;0,_xlpm.y&lt;&gt;0),_xlpm.x,IF(AND(_xlpm.x-SUM(IF((INDIRECT($B$3)=$B116)*(INDIRECT($C$3)=$D116)*((INDIRECT($E$3)="TOTS")+(INDIRECT($E$3)=$E116)),INDIRECT(O$3)))&lt;&gt;0,_xlpm.y=0),-2,_xlpm.x)))),0))</f>
        <v>0</v>
      </c>
      <c r="P116" s="199" cm="1">
        <f t="array" aca="1" ref="P116" ca="1">IF(OR($B116="",$B116="X",$D116="",$D116="X",$E116="",$E116="X"),0,IFERROR(_xlfn.LET(_xlpm.x,SUM(SUM(_xlfn._xlws.FILTER(VALUE(PptoSty[Sign]&amp;1)*(1/PptoSty[Division]),(PptoSty[Division]&lt;&gt;0)*(PptoSty[Division]&lt;&gt;"")*(PptoSty[Division]&lt;&gt;"X")*(PptoSty[Project]=$B116)*(PptoSty[Vrs]=$D116)*(PptoSty[PiRow]=_xlfn.TEXTAFTER($H116,":"))*(PptoSty[PiColumn]=P$54),0)),SUM(IF((INDIRECT($B$3)=$B116)*(INDIRECT($C$3)=$D116)*((INDIRECT($E$3)="TOTS")+(INDIRECT($E$3)=$E116)),INDIRECT(P$3)))),_xlpm.y,SUM(_xlfn.CHOOSECOLS(_xlfn._xlws.FILTER(F_RT14[],(F_RT14[PrjId]=$B116)*(F_RT14[Vrs]=$D116)*(_xlfn.TEXTAFTER(F_RT14[ActGrp],":")=_xlfn.TEXTAFTER($H116,":")),"X"),MATCH("*"&amp;P$54,F_RT14[#Headers],0))),IF(AND(_xlpm.x=0,_xlpm.y&lt;&gt;0),-1,IF(AND(_xlpm.x&lt;&gt;0,_xlpm.y&lt;&gt;0),_xlpm.x,IF(AND(_xlpm.x-SUM(IF((INDIRECT($B$3)=$B116)*(INDIRECT($C$3)=$D116)*((INDIRECT($E$3)="TOTS")+(INDIRECT($E$3)=$E116)),INDIRECT(P$3)))&lt;&gt;0,_xlpm.y=0),-2,_xlpm.x)))),0))</f>
        <v>-1</v>
      </c>
      <c r="Q116" s="199" cm="1">
        <f t="array" aca="1" ref="Q116" ca="1">IF(OR($B116="",$B116="X",$D116="",$D116="X",$E116="",$E116="X"),0,IFERROR(_xlfn.LET(_xlpm.x,SUM(SUM(_xlfn._xlws.FILTER(VALUE(PptoSty[Sign]&amp;1)*(1/PptoSty[Division]),(PptoSty[Division]&lt;&gt;0)*(PptoSty[Division]&lt;&gt;"")*(PptoSty[Division]&lt;&gt;"X")*(PptoSty[Project]=$B116)*(PptoSty[Vrs]=$D116)*(PptoSty[PiRow]=_xlfn.TEXTAFTER($H116,":"))*(PptoSty[PiColumn]=Q$54),0)),SUM(IF((INDIRECT($B$3)=$B116)*(INDIRECT($C$3)=$D116)*((INDIRECT($E$3)="TOTS")+(INDIRECT($E$3)=$E116)),INDIRECT(Q$3)))),_xlpm.y,SUM(_xlfn.CHOOSECOLS(_xlfn._xlws.FILTER(F_RT14[],(F_RT14[PrjId]=$B116)*(F_RT14[Vrs]=$D116)*(_xlfn.TEXTAFTER(F_RT14[ActGrp],":")=_xlfn.TEXTAFTER($H116,":")),"X"),MATCH("*"&amp;Q$54,F_RT14[#Headers],0))),IF(AND(_xlpm.x=0,_xlpm.y&lt;&gt;0),-1,IF(AND(_xlpm.x&lt;&gt;0,_xlpm.y&lt;&gt;0),_xlpm.x,IF(AND(_xlpm.x-SUM(IF((INDIRECT($B$3)=$B116)*(INDIRECT($C$3)=$D116)*((INDIRECT($E$3)="TOTS")+(INDIRECT($E$3)=$E116)),INDIRECT(Q$3)))&lt;&gt;0,_xlpm.y=0),-2,_xlpm.x)))),0))</f>
        <v>-1</v>
      </c>
      <c r="R116" s="199" cm="1">
        <f t="array" aca="1" ref="R116" ca="1">IF(OR($B116="",$B116="X",$D116="",$D116="X",$E116="",$E116="X"),0,IFERROR(_xlfn.LET(_xlpm.x,SUM(SUM(_xlfn._xlws.FILTER(VALUE(PptoSty[Sign]&amp;1)*(1/PptoSty[Division]),(PptoSty[Division]&lt;&gt;0)*(PptoSty[Division]&lt;&gt;"")*(PptoSty[Division]&lt;&gt;"X")*(PptoSty[Project]=$B116)*(PptoSty[Vrs]=$D116)*(PptoSty[PiRow]=_xlfn.TEXTAFTER($H116,":"))*(PptoSty[PiColumn]=R$54),0)),SUM(IF((INDIRECT($B$3)=$B116)*(INDIRECT($C$3)=$D116)*((INDIRECT($E$3)="TOTS")+(INDIRECT($E$3)=$E116)),INDIRECT(R$3)))),_xlpm.y,SUM(_xlfn.CHOOSECOLS(_xlfn._xlws.FILTER(F_RT14[],(F_RT14[PrjId]=$B116)*(F_RT14[Vrs]=$D116)*(_xlfn.TEXTAFTER(F_RT14[ActGrp],":")=_xlfn.TEXTAFTER($H116,":")),"X"),MATCH("*"&amp;R$54,F_RT14[#Headers],0))),IF(AND(_xlpm.x=0,_xlpm.y&lt;&gt;0),-1,IF(AND(_xlpm.x&lt;&gt;0,_xlpm.y&lt;&gt;0),_xlpm.x,IF(AND(_xlpm.x-SUM(IF((INDIRECT($B$3)=$B116)*(INDIRECT($C$3)=$D116)*((INDIRECT($E$3)="TOTS")+(INDIRECT($E$3)=$E116)),INDIRECT(R$3)))&lt;&gt;0,_xlpm.y=0),-2,_xlpm.x)))),0))</f>
        <v>0</v>
      </c>
      <c r="S116" s="199" cm="1">
        <f t="array" aca="1" ref="S116" ca="1">IF(OR($B116="",$B116="X",$D116="",$D116="X",$E116="",$E116="X"),0,IFERROR(_xlfn.LET(_xlpm.x,SUM(SUM(_xlfn._xlws.FILTER(VALUE(PptoSty[Sign]&amp;1)*(1/PptoSty[Division]),(PptoSty[Division]&lt;&gt;0)*(PptoSty[Division]&lt;&gt;"")*(PptoSty[Division]&lt;&gt;"X")*(PptoSty[Project]=$B116)*(PptoSty[Vrs]=$D116)*(PptoSty[PiRow]=_xlfn.TEXTAFTER($H116,":"))*(PptoSty[PiColumn]=S$54),0)),SUM(IF((INDIRECT($B$3)=$B116)*(INDIRECT($C$3)=$D116)*((INDIRECT($E$3)="TOTS")+(INDIRECT($E$3)=$E116)),INDIRECT(S$3)))),_xlpm.y,SUM(_xlfn.CHOOSECOLS(_xlfn._xlws.FILTER(F_RT14[],(F_RT14[PrjId]=$B116)*(F_RT14[Vrs]=$D116)*(_xlfn.TEXTAFTER(F_RT14[ActGrp],":")=_xlfn.TEXTAFTER($H116,":")),"X"),MATCH("*"&amp;S$54,F_RT14[#Headers],0))),IF(AND(_xlpm.x=0,_xlpm.y&lt;&gt;0),-1,IF(AND(_xlpm.x&lt;&gt;0,_xlpm.y&lt;&gt;0),_xlpm.x,IF(AND(_xlpm.x-SUM(IF((INDIRECT($B$3)=$B116)*(INDIRECT($C$3)=$D116)*((INDIRECT($E$3)="TOTS")+(INDIRECT($E$3)=$E116)),INDIRECT(S$3)))&lt;&gt;0,_xlpm.y=0),-2,_xlpm.x)))),0))</f>
        <v>0</v>
      </c>
      <c r="T116" s="199" cm="1">
        <f t="array" aca="1" ref="T116" ca="1">IF(OR($B116="",$B116="X",$D116="",$D116="X",$E116="",$E116="X"),0,IFERROR(_xlfn.LET(_xlpm.x,SUM(SUM(_xlfn._xlws.FILTER(VALUE(PptoSty[Sign]&amp;1)*(1/PptoSty[Division]),(PptoSty[Division]&lt;&gt;0)*(PptoSty[Division]&lt;&gt;"")*(PptoSty[Division]&lt;&gt;"X")*(PptoSty[Project]=$B116)*(PptoSty[Vrs]=$D116)*(PptoSty[PiRow]=_xlfn.TEXTAFTER($H116,":"))*(PptoSty[PiColumn]=T$54),0)),SUM(IF((INDIRECT($B$3)=$B116)*(INDIRECT($C$3)=$D116)*((INDIRECT($E$3)="TOTS")+(INDIRECT($E$3)=$E116)),INDIRECT(T$3)))),_xlpm.y,SUM(_xlfn.CHOOSECOLS(_xlfn._xlws.FILTER(F_RT14[],(F_RT14[PrjId]=$B116)*(F_RT14[Vrs]=$D116)*(_xlfn.TEXTAFTER(F_RT14[ActGrp],":")=_xlfn.TEXTAFTER($H116,":")),"X"),MATCH("*"&amp;T$54,F_RT14[#Headers],0))),IF(AND(_xlpm.x=0,_xlpm.y&lt;&gt;0),-1,IF(AND(_xlpm.x&lt;&gt;0,_xlpm.y&lt;&gt;0),_xlpm.x,IF(AND(_xlpm.x-SUM(IF((INDIRECT($B$3)=$B116)*(INDIRECT($C$3)=$D116)*((INDIRECT($E$3)="TOTS")+(INDIRECT($E$3)=$E116)),INDIRECT(T$3)))&lt;&gt;0,_xlpm.y=0),-2,_xlpm.x)))),0))</f>
        <v>0</v>
      </c>
      <c r="U116" s="199" cm="1">
        <f t="array" aca="1" ref="U116" ca="1">IF(OR($B116="",$B116="X",$D116="",$D116="X",$E116="",$E116="X"),0,IFERROR(_xlfn.LET(_xlpm.x,SUM(SUM(_xlfn._xlws.FILTER(VALUE(PptoSty[Sign]&amp;1)*(1/PptoSty[Division]),(PptoSty[Division]&lt;&gt;0)*(PptoSty[Division]&lt;&gt;"")*(PptoSty[Division]&lt;&gt;"X")*(PptoSty[Project]=$B116)*(PptoSty[Vrs]=$D116)*(PptoSty[PiRow]=_xlfn.TEXTAFTER($H116,":"))*(PptoSty[PiColumn]=U$54),0)),SUM(IF((INDIRECT($B$3)=$B116)*(INDIRECT($C$3)=$D116)*((INDIRECT($E$3)="TOTS")+(INDIRECT($E$3)=$E116)),INDIRECT(U$3)))),_xlpm.y,SUM(_xlfn.CHOOSECOLS(_xlfn._xlws.FILTER(F_RT14[],(F_RT14[PrjId]=$B116)*(F_RT14[Vrs]=$D116)*(_xlfn.TEXTAFTER(F_RT14[ActGrp],":")=_xlfn.TEXTAFTER($H116,":")),"X"),MATCH("*"&amp;U$54,F_RT14[#Headers],0))),IF(AND(_xlpm.x=0,_xlpm.y&lt;&gt;0),-1,IF(AND(_xlpm.x&lt;&gt;0,_xlpm.y&lt;&gt;0),_xlpm.x,IF(AND(_xlpm.x-SUM(IF((INDIRECT($B$3)=$B116)*(INDIRECT($C$3)=$D116)*((INDIRECT($E$3)="TOTS")+(INDIRECT($E$3)=$E116)),INDIRECT(U$3)))&lt;&gt;0,_xlpm.y=0),-2,_xlpm.x)))),0))</f>
        <v>0</v>
      </c>
      <c r="V116" s="199" cm="1">
        <f t="array" aca="1" ref="V116" ca="1">IF(OR($B116="",$B116="X",$D116="",$D116="X",$E116="",$E116="X"),0,IFERROR(_xlfn.LET(_xlpm.x,SUM(SUM(_xlfn._xlws.FILTER(VALUE(PptoSty[Sign]&amp;1)*(1/PptoSty[Division]),(PptoSty[Division]&lt;&gt;0)*(PptoSty[Division]&lt;&gt;"")*(PptoSty[Division]&lt;&gt;"X")*(PptoSty[Project]=$B116)*(PptoSty[Vrs]=$D116)*(PptoSty[PiRow]=_xlfn.TEXTAFTER($H116,":"))*(PptoSty[PiColumn]=V$54),0)),SUM(IF((INDIRECT($B$3)=$B116)*(INDIRECT($C$3)=$D116)*((INDIRECT($E$3)="TOTS")+(INDIRECT($E$3)=$E116)),INDIRECT(V$3)))),_xlpm.y,SUM(_xlfn.CHOOSECOLS(_xlfn._xlws.FILTER(F_RT14[],(F_RT14[PrjId]=$B116)*(F_RT14[Vrs]=$D116)*(_xlfn.TEXTAFTER(F_RT14[ActGrp],":")=_xlfn.TEXTAFTER($H116,":")),"X"),MATCH("*"&amp;V$54,F_RT14[#Headers],0))),IF(AND(_xlpm.x=0,_xlpm.y&lt;&gt;0),-1,IF(AND(_xlpm.x&lt;&gt;0,_xlpm.y&lt;&gt;0),_xlpm.x,IF(AND(_xlpm.x-SUM(IF((INDIRECT($B$3)=$B116)*(INDIRECT($C$3)=$D116)*((INDIRECT($E$3)="TOTS")+(INDIRECT($E$3)=$E116)),INDIRECT(V$3)))&lt;&gt;0,_xlpm.y=0),-2,_xlpm.x)))),0))</f>
        <v>-1</v>
      </c>
      <c r="W116" s="199" cm="1">
        <f t="array" aca="1" ref="W116" ca="1">IF(OR($B116="",$B116="X",$D116="",$D116="X",$E116="",$E116="X"),0,IFERROR(_xlfn.LET(_xlpm.x,SUM(SUM(_xlfn._xlws.FILTER(VALUE(PptoSty[Sign]&amp;1)*(1/PptoSty[Division]),(PptoSty[Division]&lt;&gt;0)*(PptoSty[Division]&lt;&gt;"")*(PptoSty[Division]&lt;&gt;"X")*(PptoSty[Project]=$B116)*(PptoSty[Vrs]=$D116)*(PptoSty[PiRow]=_xlfn.TEXTAFTER($H116,":"))*(PptoSty[PiColumn]=W$54),0)),SUM(IF((INDIRECT($B$3)=$B116)*(INDIRECT($C$3)=$D116)*((INDIRECT($E$3)="TOTS")+(INDIRECT($E$3)=$E116)),INDIRECT(W$3)))),_xlpm.y,SUM(_xlfn.CHOOSECOLS(_xlfn._xlws.FILTER(F_RT14[],(F_RT14[PrjId]=$B116)*(F_RT14[Vrs]=$D116)*(_xlfn.TEXTAFTER(F_RT14[ActGrp],":")=_xlfn.TEXTAFTER($H116,":")),"X"),MATCH("*"&amp;W$54,F_RT14[#Headers],0))),IF(AND(_xlpm.x=0,_xlpm.y&lt;&gt;0),-1,IF(AND(_xlpm.x&lt;&gt;0,_xlpm.y&lt;&gt;0),_xlpm.x,IF(AND(_xlpm.x-SUM(IF((INDIRECT($B$3)=$B116)*(INDIRECT($C$3)=$D116)*((INDIRECT($E$3)="TOTS")+(INDIRECT($E$3)=$E116)),INDIRECT(W$3)))&lt;&gt;0,_xlpm.y=0),-2,_xlpm.x)))),0))</f>
        <v>0</v>
      </c>
      <c r="X116" s="199" cm="1">
        <f t="array" aca="1" ref="X116" ca="1">IF(OR($B116="",$B116="X",$D116="",$D116="X",$E116="",$E116="X"),0,IFERROR(_xlfn.LET(_xlpm.x,SUM(SUM(_xlfn._xlws.FILTER(VALUE(PptoSty[Sign]&amp;1)*(1/PptoSty[Division]),(PptoSty[Division]&lt;&gt;0)*(PptoSty[Division]&lt;&gt;"")*(PptoSty[Division]&lt;&gt;"X")*(PptoSty[Project]=$B116)*(PptoSty[Vrs]=$D116)*(PptoSty[PiRow]=_xlfn.TEXTAFTER($H116,":"))*(PptoSty[PiColumn]=X$54),0)),SUM(IF((INDIRECT($B$3)=$B116)*(INDIRECT($C$3)=$D116)*((INDIRECT($E$3)="TOTS")+(INDIRECT($E$3)=$E116)),INDIRECT(X$3)))),_xlpm.y,SUM(_xlfn.CHOOSECOLS(_xlfn._xlws.FILTER(F_RT14[],(F_RT14[PrjId]=$B116)*(F_RT14[Vrs]=$D116)*(_xlfn.TEXTAFTER(F_RT14[ActGrp],":")=_xlfn.TEXTAFTER($H116,":")),"X"),MATCH("*"&amp;X$54,F_RT14[#Headers],0))),IF(AND(_xlpm.x=0,_xlpm.y&lt;&gt;0),-1,IF(AND(_xlpm.x&lt;&gt;0,_xlpm.y&lt;&gt;0),_xlpm.x,IF(AND(_xlpm.x-SUM(IF((INDIRECT($B$3)=$B116)*(INDIRECT($C$3)=$D116)*((INDIRECT($E$3)="TOTS")+(INDIRECT($E$3)=$E116)),INDIRECT(X$3)))&lt;&gt;0,_xlpm.y=0),-2,_xlpm.x)))),0))</f>
        <v>0</v>
      </c>
      <c r="Y116" s="199" cm="1">
        <f t="array" aca="1" ref="Y116" ca="1">IF(OR($B116="",$B116="X",$D116="",$D116="X",$E116="",$E116="X"),0,IFERROR(_xlfn.LET(_xlpm.x,SUM(SUM(_xlfn._xlws.FILTER(VALUE(PptoSty[Sign]&amp;1)*(1/PptoSty[Division]),(PptoSty[Division]&lt;&gt;0)*(PptoSty[Division]&lt;&gt;"")*(PptoSty[Division]&lt;&gt;"X")*(PptoSty[Project]=$B116)*(PptoSty[Vrs]=$D116)*(PptoSty[PiRow]=_xlfn.TEXTAFTER($H116,":"))*(PptoSty[PiColumn]=Y$54),0)),SUM(IF((INDIRECT($B$3)=$B116)*(INDIRECT($C$3)=$D116)*((INDIRECT($E$3)="TOTS")+(INDIRECT($E$3)=$E116)),INDIRECT(Y$3)))),_xlpm.y,SUM(_xlfn.CHOOSECOLS(_xlfn._xlws.FILTER(F_RT14[],(F_RT14[PrjId]=$B116)*(F_RT14[Vrs]=$D116)*(_xlfn.TEXTAFTER(F_RT14[ActGrp],":")=_xlfn.TEXTAFTER($H116,":")),"X"),MATCH("*"&amp;Y$54,F_RT14[#Headers],0))),IF(AND(_xlpm.x=0,_xlpm.y&lt;&gt;0),-1,IF(AND(_xlpm.x&lt;&gt;0,_xlpm.y&lt;&gt;0),_xlpm.x,IF(AND(_xlpm.x-SUM(IF((INDIRECT($B$3)=$B116)*(INDIRECT($C$3)=$D116)*((INDIRECT($E$3)="TOTS")+(INDIRECT($E$3)=$E116)),INDIRECT(Y$3)))&lt;&gt;0,_xlpm.y=0),-2,_xlpm.x)))),0))</f>
        <v>0</v>
      </c>
      <c r="Z116" s="198" t="str">
        <f t="shared" ca="1" si="2"/>
        <v>Fback!B116:Y116</v>
      </c>
    </row>
    <row r="117" spans="2:26" ht="21" customHeight="1" outlineLevel="1">
      <c r="B117" s="128" t="str">
        <v>31199</v>
      </c>
      <c r="C117" s="128" t="str">
        <v>Sp</v>
      </c>
      <c r="D117" s="128">
        <v>0</v>
      </c>
      <c r="E117" s="128" t="str">
        <v>CELL</v>
      </c>
      <c r="F117" s="139" t="str">
        <v>SERRA</v>
      </c>
      <c r="G117" s="139" t="str">
        <v>CurPpto</v>
      </c>
      <c r="H117" s="139" t="str">
        <v>P020:ESCUADRAS ACOPLAMIENTO ÚTILES</v>
      </c>
      <c r="I117" s="199" cm="1">
        <f t="array" aca="1" ref="I117" ca="1">IF(OR($B117="",$B117="X",$D117="",$D117="X",$E117="",$E117="X"),0,IFERROR(_xlfn.LET(_xlpm.x,SUM(SUM(_xlfn._xlws.FILTER(VALUE(PptoSty[Sign]&amp;1)*(1/PptoSty[Division]),(PptoSty[Division]&lt;&gt;0)*(PptoSty[Division]&lt;&gt;"")*(PptoSty[Division]&lt;&gt;"X")*(PptoSty[Project]=$B117)*(PptoSty[Vrs]=$D117)*(PptoSty[PiRow]=_xlfn.TEXTAFTER($H117,":"))*(PptoSty[PiColumn]=I$54),0)),SUM(IF((INDIRECT($B$3)=$B117)*(INDIRECT($C$3)=$D117)*((INDIRECT($E$3)="TOTS")+(INDIRECT($E$3)=$E117)),INDIRECT(I$3)))),_xlpm.y,SUM(_xlfn.CHOOSECOLS(_xlfn._xlws.FILTER(F_RT14[],(F_RT14[PrjId]=$B117)*(F_RT14[Vrs]=$D117)*(_xlfn.TEXTAFTER(F_RT14[ActGrp],":")=_xlfn.TEXTAFTER($H117,":")),"X"),MATCH("*"&amp;I$54,F_RT14[#Headers],0))),IF(AND(_xlpm.x=0,_xlpm.y&lt;&gt;0),-1,IF(AND(_xlpm.x&lt;&gt;0,_xlpm.y&lt;&gt;0),_xlpm.x,IF(AND(_xlpm.x-SUM(IF((INDIRECT($B$3)=$B117)*(INDIRECT($C$3)=$D117)*((INDIRECT($E$3)="TOTS")+(INDIRECT($E$3)=$E117)),INDIRECT(I$3)))&lt;&gt;0,_xlpm.y=0),-2,_xlpm.x)))),0))</f>
        <v>0</v>
      </c>
      <c r="J117" s="199" cm="1">
        <f t="array" aca="1" ref="J117" ca="1">IF(OR($B117="",$B117="X",$D117="",$D117="X",$E117="",$E117="X"),0,IFERROR(_xlfn.LET(_xlpm.x,SUM(SUM(_xlfn._xlws.FILTER(VALUE(PptoSty[Sign]&amp;1)*(1/PptoSty[Division]),(PptoSty[Division]&lt;&gt;0)*(PptoSty[Division]&lt;&gt;"")*(PptoSty[Division]&lt;&gt;"X")*(PptoSty[Project]=$B117)*(PptoSty[Vrs]=$D117)*(PptoSty[PiRow]=_xlfn.TEXTAFTER($H117,":"))*(PptoSty[PiColumn]=J$54),0)),SUM(IF((INDIRECT($B$3)=$B117)*(INDIRECT($C$3)=$D117)*((INDIRECT($E$3)="TOTS")+(INDIRECT($E$3)=$E117)),INDIRECT(J$3)))),_xlpm.y,SUM(_xlfn.CHOOSECOLS(_xlfn._xlws.FILTER(F_RT14[],(F_RT14[PrjId]=$B117)*(F_RT14[Vrs]=$D117)*(_xlfn.TEXTAFTER(F_RT14[ActGrp],":")=_xlfn.TEXTAFTER($H117,":")),"X"),MATCH("*"&amp;J$54,F_RT14[#Headers],0))),IF(AND(_xlpm.x=0,_xlpm.y&lt;&gt;0),-1,IF(AND(_xlpm.x&lt;&gt;0,_xlpm.y&lt;&gt;0),_xlpm.x,IF(AND(_xlpm.x-SUM(IF((INDIRECT($B$3)=$B117)*(INDIRECT($C$3)=$D117)*((INDIRECT($E$3)="TOTS")+(INDIRECT($E$3)=$E117)),INDIRECT(J$3)))&lt;&gt;0,_xlpm.y=0),-2,_xlpm.x)))),0))</f>
        <v>0</v>
      </c>
      <c r="K117" s="199" cm="1">
        <f t="array" aca="1" ref="K117" ca="1">IF(OR($B117="",$B117="X",$D117="",$D117="X",$E117="",$E117="X"),0,IFERROR(_xlfn.LET(_xlpm.x,SUM(SUM(_xlfn._xlws.FILTER(VALUE(PptoSty[Sign]&amp;1)*(1/PptoSty[Division]),(PptoSty[Division]&lt;&gt;0)*(PptoSty[Division]&lt;&gt;"")*(PptoSty[Division]&lt;&gt;"X")*(PptoSty[Project]=$B117)*(PptoSty[Vrs]=$D117)*(PptoSty[PiRow]=_xlfn.TEXTAFTER($H117,":"))*(PptoSty[PiColumn]=K$54),0)),SUM(IF((INDIRECT($B$3)=$B117)*(INDIRECT($C$3)=$D117)*((INDIRECT($E$3)="TOTS")+(INDIRECT($E$3)=$E117)),INDIRECT(K$3)))),_xlpm.y,SUM(_xlfn.CHOOSECOLS(_xlfn._xlws.FILTER(F_RT14[],(F_RT14[PrjId]=$B117)*(F_RT14[Vrs]=$D117)*(_xlfn.TEXTAFTER(F_RT14[ActGrp],":")=_xlfn.TEXTAFTER($H117,":")),"X"),MATCH("*"&amp;K$54,F_RT14[#Headers],0))),IF(AND(_xlpm.x=0,_xlpm.y&lt;&gt;0),-1,IF(AND(_xlpm.x&lt;&gt;0,_xlpm.y&lt;&gt;0),_xlpm.x,IF(AND(_xlpm.x-SUM(IF((INDIRECT($B$3)=$B117)*(INDIRECT($C$3)=$D117)*((INDIRECT($E$3)="TOTS")+(INDIRECT($E$3)=$E117)),INDIRECT(K$3)))&lt;&gt;0,_xlpm.y=0),-2,_xlpm.x)))),0))</f>
        <v>-1</v>
      </c>
      <c r="L117" s="199" cm="1">
        <f t="array" aca="1" ref="L117" ca="1">IF(OR($B117="",$B117="X",$D117="",$D117="X",$E117="",$E117="X"),0,IFERROR(_xlfn.LET(_xlpm.x,SUM(SUM(_xlfn._xlws.FILTER(VALUE(PptoSty[Sign]&amp;1)*(1/PptoSty[Division]),(PptoSty[Division]&lt;&gt;0)*(PptoSty[Division]&lt;&gt;"")*(PptoSty[Division]&lt;&gt;"X")*(PptoSty[Project]=$B117)*(PptoSty[Vrs]=$D117)*(PptoSty[PiRow]=_xlfn.TEXTAFTER($H117,":"))*(PptoSty[PiColumn]=L$54),0)),SUM(IF((INDIRECT($B$3)=$B117)*(INDIRECT($C$3)=$D117)*((INDIRECT($E$3)="TOTS")+(INDIRECT($E$3)=$E117)),INDIRECT(L$3)))),_xlpm.y,SUM(_xlfn.CHOOSECOLS(_xlfn._xlws.FILTER(F_RT14[],(F_RT14[PrjId]=$B117)*(F_RT14[Vrs]=$D117)*(_xlfn.TEXTAFTER(F_RT14[ActGrp],":")=_xlfn.TEXTAFTER($H117,":")),"X"),MATCH("*"&amp;L$54,F_RT14[#Headers],0))),IF(AND(_xlpm.x=0,_xlpm.y&lt;&gt;0),-1,IF(AND(_xlpm.x&lt;&gt;0,_xlpm.y&lt;&gt;0),_xlpm.x,IF(AND(_xlpm.x-SUM(IF((INDIRECT($B$3)=$B117)*(INDIRECT($C$3)=$D117)*((INDIRECT($E$3)="TOTS")+(INDIRECT($E$3)=$E117)),INDIRECT(L$3)))&lt;&gt;0,_xlpm.y=0),-2,_xlpm.x)))),0))</f>
        <v>0</v>
      </c>
      <c r="M117" s="199" cm="1">
        <f t="array" aca="1" ref="M117" ca="1">IF(OR($B117="",$B117="X",$D117="",$D117="X",$E117="",$E117="X"),0,IFERROR(_xlfn.LET(_xlpm.x,SUM(SUM(_xlfn._xlws.FILTER(VALUE(PptoSty[Sign]&amp;1)*(1/PptoSty[Division]),(PptoSty[Division]&lt;&gt;0)*(PptoSty[Division]&lt;&gt;"")*(PptoSty[Division]&lt;&gt;"X")*(PptoSty[Project]=$B117)*(PptoSty[Vrs]=$D117)*(PptoSty[PiRow]=_xlfn.TEXTAFTER($H117,":"))*(PptoSty[PiColumn]=M$54),0)),SUM(IF((INDIRECT($B$3)=$B117)*(INDIRECT($C$3)=$D117)*((INDIRECT($E$3)="TOTS")+(INDIRECT($E$3)=$E117)),INDIRECT(M$3)))),_xlpm.y,SUM(_xlfn.CHOOSECOLS(_xlfn._xlws.FILTER(F_RT14[],(F_RT14[PrjId]=$B117)*(F_RT14[Vrs]=$D117)*(_xlfn.TEXTAFTER(F_RT14[ActGrp],":")=_xlfn.TEXTAFTER($H117,":")),"X"),MATCH("*"&amp;M$54,F_RT14[#Headers],0))),IF(AND(_xlpm.x=0,_xlpm.y&lt;&gt;0),-1,IF(AND(_xlpm.x&lt;&gt;0,_xlpm.y&lt;&gt;0),_xlpm.x,IF(AND(_xlpm.x-SUM(IF((INDIRECT($B$3)=$B117)*(INDIRECT($C$3)=$D117)*((INDIRECT($E$3)="TOTS")+(INDIRECT($E$3)=$E117)),INDIRECT(M$3)))&lt;&gt;0,_xlpm.y=0),-2,_xlpm.x)))),0))</f>
        <v>0</v>
      </c>
      <c r="N117" s="199" cm="1">
        <f t="array" aca="1" ref="N117" ca="1">IF(OR($B117="",$B117="X",$D117="",$D117="X",$E117="",$E117="X"),0,IFERROR(_xlfn.LET(_xlpm.x,SUM(SUM(_xlfn._xlws.FILTER(VALUE(PptoSty[Sign]&amp;1)*(1/PptoSty[Division]),(PptoSty[Division]&lt;&gt;0)*(PptoSty[Division]&lt;&gt;"")*(PptoSty[Division]&lt;&gt;"X")*(PptoSty[Project]=$B117)*(PptoSty[Vrs]=$D117)*(PptoSty[PiRow]=_xlfn.TEXTAFTER($H117,":"))*(PptoSty[PiColumn]=N$54),0)),SUM(IF((INDIRECT($B$3)=$B117)*(INDIRECT($C$3)=$D117)*((INDIRECT($E$3)="TOTS")+(INDIRECT($E$3)=$E117)),INDIRECT(N$3)))),_xlpm.y,SUM(_xlfn.CHOOSECOLS(_xlfn._xlws.FILTER(F_RT14[],(F_RT14[PrjId]=$B117)*(F_RT14[Vrs]=$D117)*(_xlfn.TEXTAFTER(F_RT14[ActGrp],":")=_xlfn.TEXTAFTER($H117,":")),"X"),MATCH("*"&amp;N$54,F_RT14[#Headers],0))),IF(AND(_xlpm.x=0,_xlpm.y&lt;&gt;0),-1,IF(AND(_xlpm.x&lt;&gt;0,_xlpm.y&lt;&gt;0),_xlpm.x,IF(AND(_xlpm.x-SUM(IF((INDIRECT($B$3)=$B117)*(INDIRECT($C$3)=$D117)*((INDIRECT($E$3)="TOTS")+(INDIRECT($E$3)=$E117)),INDIRECT(N$3)))&lt;&gt;0,_xlpm.y=0),-2,_xlpm.x)))),0))</f>
        <v>0</v>
      </c>
      <c r="O117" s="199" cm="1">
        <f t="array" aca="1" ref="O117" ca="1">IF(OR($B117="",$B117="X",$D117="",$D117="X",$E117="",$E117="X"),0,IFERROR(_xlfn.LET(_xlpm.x,SUM(SUM(_xlfn._xlws.FILTER(VALUE(PptoSty[Sign]&amp;1)*(1/PptoSty[Division]),(PptoSty[Division]&lt;&gt;0)*(PptoSty[Division]&lt;&gt;"")*(PptoSty[Division]&lt;&gt;"X")*(PptoSty[Project]=$B117)*(PptoSty[Vrs]=$D117)*(PptoSty[PiRow]=_xlfn.TEXTAFTER($H117,":"))*(PptoSty[PiColumn]=O$54),0)),SUM(IF((INDIRECT($B$3)=$B117)*(INDIRECT($C$3)=$D117)*((INDIRECT($E$3)="TOTS")+(INDIRECT($E$3)=$E117)),INDIRECT(O$3)))),_xlpm.y,SUM(_xlfn.CHOOSECOLS(_xlfn._xlws.FILTER(F_RT14[],(F_RT14[PrjId]=$B117)*(F_RT14[Vrs]=$D117)*(_xlfn.TEXTAFTER(F_RT14[ActGrp],":")=_xlfn.TEXTAFTER($H117,":")),"X"),MATCH("*"&amp;O$54,F_RT14[#Headers],0))),IF(AND(_xlpm.x=0,_xlpm.y&lt;&gt;0),-1,IF(AND(_xlpm.x&lt;&gt;0,_xlpm.y&lt;&gt;0),_xlpm.x,IF(AND(_xlpm.x-SUM(IF((INDIRECT($B$3)=$B117)*(INDIRECT($C$3)=$D117)*((INDIRECT($E$3)="TOTS")+(INDIRECT($E$3)=$E117)),INDIRECT(O$3)))&lt;&gt;0,_xlpm.y=0),-2,_xlpm.x)))),0))</f>
        <v>0</v>
      </c>
      <c r="P117" s="199" cm="1">
        <f t="array" aca="1" ref="P117" ca="1">IF(OR($B117="",$B117="X",$D117="",$D117="X",$E117="",$E117="X"),0,IFERROR(_xlfn.LET(_xlpm.x,SUM(SUM(_xlfn._xlws.FILTER(VALUE(PptoSty[Sign]&amp;1)*(1/PptoSty[Division]),(PptoSty[Division]&lt;&gt;0)*(PptoSty[Division]&lt;&gt;"")*(PptoSty[Division]&lt;&gt;"X")*(PptoSty[Project]=$B117)*(PptoSty[Vrs]=$D117)*(PptoSty[PiRow]=_xlfn.TEXTAFTER($H117,":"))*(PptoSty[PiColumn]=P$54),0)),SUM(IF((INDIRECT($B$3)=$B117)*(INDIRECT($C$3)=$D117)*((INDIRECT($E$3)="TOTS")+(INDIRECT($E$3)=$E117)),INDIRECT(P$3)))),_xlpm.y,SUM(_xlfn.CHOOSECOLS(_xlfn._xlws.FILTER(F_RT14[],(F_RT14[PrjId]=$B117)*(F_RT14[Vrs]=$D117)*(_xlfn.TEXTAFTER(F_RT14[ActGrp],":")=_xlfn.TEXTAFTER($H117,":")),"X"),MATCH("*"&amp;P$54,F_RT14[#Headers],0))),IF(AND(_xlpm.x=0,_xlpm.y&lt;&gt;0),-1,IF(AND(_xlpm.x&lt;&gt;0,_xlpm.y&lt;&gt;0),_xlpm.x,IF(AND(_xlpm.x-SUM(IF((INDIRECT($B$3)=$B117)*(INDIRECT($C$3)=$D117)*((INDIRECT($E$3)="TOTS")+(INDIRECT($E$3)=$E117)),INDIRECT(P$3)))&lt;&gt;0,_xlpm.y=0),-2,_xlpm.x)))),0))</f>
        <v>-1</v>
      </c>
      <c r="Q117" s="199" cm="1">
        <f t="array" aca="1" ref="Q117" ca="1">IF(OR($B117="",$B117="X",$D117="",$D117="X",$E117="",$E117="X"),0,IFERROR(_xlfn.LET(_xlpm.x,SUM(SUM(_xlfn._xlws.FILTER(VALUE(PptoSty[Sign]&amp;1)*(1/PptoSty[Division]),(PptoSty[Division]&lt;&gt;0)*(PptoSty[Division]&lt;&gt;"")*(PptoSty[Division]&lt;&gt;"X")*(PptoSty[Project]=$B117)*(PptoSty[Vrs]=$D117)*(PptoSty[PiRow]=_xlfn.TEXTAFTER($H117,":"))*(PptoSty[PiColumn]=Q$54),0)),SUM(IF((INDIRECT($B$3)=$B117)*(INDIRECT($C$3)=$D117)*((INDIRECT($E$3)="TOTS")+(INDIRECT($E$3)=$E117)),INDIRECT(Q$3)))),_xlpm.y,SUM(_xlfn.CHOOSECOLS(_xlfn._xlws.FILTER(F_RT14[],(F_RT14[PrjId]=$B117)*(F_RT14[Vrs]=$D117)*(_xlfn.TEXTAFTER(F_RT14[ActGrp],":")=_xlfn.TEXTAFTER($H117,":")),"X"),MATCH("*"&amp;Q$54,F_RT14[#Headers],0))),IF(AND(_xlpm.x=0,_xlpm.y&lt;&gt;0),-1,IF(AND(_xlpm.x&lt;&gt;0,_xlpm.y&lt;&gt;0),_xlpm.x,IF(AND(_xlpm.x-SUM(IF((INDIRECT($B$3)=$B117)*(INDIRECT($C$3)=$D117)*((INDIRECT($E$3)="TOTS")+(INDIRECT($E$3)=$E117)),INDIRECT(Q$3)))&lt;&gt;0,_xlpm.y=0),-2,_xlpm.x)))),0))</f>
        <v>-1</v>
      </c>
      <c r="R117" s="199" cm="1">
        <f t="array" aca="1" ref="R117" ca="1">IF(OR($B117="",$B117="X",$D117="",$D117="X",$E117="",$E117="X"),0,IFERROR(_xlfn.LET(_xlpm.x,SUM(SUM(_xlfn._xlws.FILTER(VALUE(PptoSty[Sign]&amp;1)*(1/PptoSty[Division]),(PptoSty[Division]&lt;&gt;0)*(PptoSty[Division]&lt;&gt;"")*(PptoSty[Division]&lt;&gt;"X")*(PptoSty[Project]=$B117)*(PptoSty[Vrs]=$D117)*(PptoSty[PiRow]=_xlfn.TEXTAFTER($H117,":"))*(PptoSty[PiColumn]=R$54),0)),SUM(IF((INDIRECT($B$3)=$B117)*(INDIRECT($C$3)=$D117)*((INDIRECT($E$3)="TOTS")+(INDIRECT($E$3)=$E117)),INDIRECT(R$3)))),_xlpm.y,SUM(_xlfn.CHOOSECOLS(_xlfn._xlws.FILTER(F_RT14[],(F_RT14[PrjId]=$B117)*(F_RT14[Vrs]=$D117)*(_xlfn.TEXTAFTER(F_RT14[ActGrp],":")=_xlfn.TEXTAFTER($H117,":")),"X"),MATCH("*"&amp;R$54,F_RT14[#Headers],0))),IF(AND(_xlpm.x=0,_xlpm.y&lt;&gt;0),-1,IF(AND(_xlpm.x&lt;&gt;0,_xlpm.y&lt;&gt;0),_xlpm.x,IF(AND(_xlpm.x-SUM(IF((INDIRECT($B$3)=$B117)*(INDIRECT($C$3)=$D117)*((INDIRECT($E$3)="TOTS")+(INDIRECT($E$3)=$E117)),INDIRECT(R$3)))&lt;&gt;0,_xlpm.y=0),-2,_xlpm.x)))),0))</f>
        <v>0</v>
      </c>
      <c r="S117" s="199" cm="1">
        <f t="array" aca="1" ref="S117" ca="1">IF(OR($B117="",$B117="X",$D117="",$D117="X",$E117="",$E117="X"),0,IFERROR(_xlfn.LET(_xlpm.x,SUM(SUM(_xlfn._xlws.FILTER(VALUE(PptoSty[Sign]&amp;1)*(1/PptoSty[Division]),(PptoSty[Division]&lt;&gt;0)*(PptoSty[Division]&lt;&gt;"")*(PptoSty[Division]&lt;&gt;"X")*(PptoSty[Project]=$B117)*(PptoSty[Vrs]=$D117)*(PptoSty[PiRow]=_xlfn.TEXTAFTER($H117,":"))*(PptoSty[PiColumn]=S$54),0)),SUM(IF((INDIRECT($B$3)=$B117)*(INDIRECT($C$3)=$D117)*((INDIRECT($E$3)="TOTS")+(INDIRECT($E$3)=$E117)),INDIRECT(S$3)))),_xlpm.y,SUM(_xlfn.CHOOSECOLS(_xlfn._xlws.FILTER(F_RT14[],(F_RT14[PrjId]=$B117)*(F_RT14[Vrs]=$D117)*(_xlfn.TEXTAFTER(F_RT14[ActGrp],":")=_xlfn.TEXTAFTER($H117,":")),"X"),MATCH("*"&amp;S$54,F_RT14[#Headers],0))),IF(AND(_xlpm.x=0,_xlpm.y&lt;&gt;0),-1,IF(AND(_xlpm.x&lt;&gt;0,_xlpm.y&lt;&gt;0),_xlpm.x,IF(AND(_xlpm.x-SUM(IF((INDIRECT($B$3)=$B117)*(INDIRECT($C$3)=$D117)*((INDIRECT($E$3)="TOTS")+(INDIRECT($E$3)=$E117)),INDIRECT(S$3)))&lt;&gt;0,_xlpm.y=0),-2,_xlpm.x)))),0))</f>
        <v>0</v>
      </c>
      <c r="T117" s="199" cm="1">
        <f t="array" aca="1" ref="T117" ca="1">IF(OR($B117="",$B117="X",$D117="",$D117="X",$E117="",$E117="X"),0,IFERROR(_xlfn.LET(_xlpm.x,SUM(SUM(_xlfn._xlws.FILTER(VALUE(PptoSty[Sign]&amp;1)*(1/PptoSty[Division]),(PptoSty[Division]&lt;&gt;0)*(PptoSty[Division]&lt;&gt;"")*(PptoSty[Division]&lt;&gt;"X")*(PptoSty[Project]=$B117)*(PptoSty[Vrs]=$D117)*(PptoSty[PiRow]=_xlfn.TEXTAFTER($H117,":"))*(PptoSty[PiColumn]=T$54),0)),SUM(IF((INDIRECT($B$3)=$B117)*(INDIRECT($C$3)=$D117)*((INDIRECT($E$3)="TOTS")+(INDIRECT($E$3)=$E117)),INDIRECT(T$3)))),_xlpm.y,SUM(_xlfn.CHOOSECOLS(_xlfn._xlws.FILTER(F_RT14[],(F_RT14[PrjId]=$B117)*(F_RT14[Vrs]=$D117)*(_xlfn.TEXTAFTER(F_RT14[ActGrp],":")=_xlfn.TEXTAFTER($H117,":")),"X"),MATCH("*"&amp;T$54,F_RT14[#Headers],0))),IF(AND(_xlpm.x=0,_xlpm.y&lt;&gt;0),-1,IF(AND(_xlpm.x&lt;&gt;0,_xlpm.y&lt;&gt;0),_xlpm.x,IF(AND(_xlpm.x-SUM(IF((INDIRECT($B$3)=$B117)*(INDIRECT($C$3)=$D117)*((INDIRECT($E$3)="TOTS")+(INDIRECT($E$3)=$E117)),INDIRECT(T$3)))&lt;&gt;0,_xlpm.y=0),-2,_xlpm.x)))),0))</f>
        <v>0</v>
      </c>
      <c r="U117" s="199" cm="1">
        <f t="array" aca="1" ref="U117" ca="1">IF(OR($B117="",$B117="X",$D117="",$D117="X",$E117="",$E117="X"),0,IFERROR(_xlfn.LET(_xlpm.x,SUM(SUM(_xlfn._xlws.FILTER(VALUE(PptoSty[Sign]&amp;1)*(1/PptoSty[Division]),(PptoSty[Division]&lt;&gt;0)*(PptoSty[Division]&lt;&gt;"")*(PptoSty[Division]&lt;&gt;"X")*(PptoSty[Project]=$B117)*(PptoSty[Vrs]=$D117)*(PptoSty[PiRow]=_xlfn.TEXTAFTER($H117,":"))*(PptoSty[PiColumn]=U$54),0)),SUM(IF((INDIRECT($B$3)=$B117)*(INDIRECT($C$3)=$D117)*((INDIRECT($E$3)="TOTS")+(INDIRECT($E$3)=$E117)),INDIRECT(U$3)))),_xlpm.y,SUM(_xlfn.CHOOSECOLS(_xlfn._xlws.FILTER(F_RT14[],(F_RT14[PrjId]=$B117)*(F_RT14[Vrs]=$D117)*(_xlfn.TEXTAFTER(F_RT14[ActGrp],":")=_xlfn.TEXTAFTER($H117,":")),"X"),MATCH("*"&amp;U$54,F_RT14[#Headers],0))),IF(AND(_xlpm.x=0,_xlpm.y&lt;&gt;0),-1,IF(AND(_xlpm.x&lt;&gt;0,_xlpm.y&lt;&gt;0),_xlpm.x,IF(AND(_xlpm.x-SUM(IF((INDIRECT($B$3)=$B117)*(INDIRECT($C$3)=$D117)*((INDIRECT($E$3)="TOTS")+(INDIRECT($E$3)=$E117)),INDIRECT(U$3)))&lt;&gt;0,_xlpm.y=0),-2,_xlpm.x)))),0))</f>
        <v>0</v>
      </c>
      <c r="V117" s="199" cm="1">
        <f t="array" aca="1" ref="V117" ca="1">IF(OR($B117="",$B117="X",$D117="",$D117="X",$E117="",$E117="X"),0,IFERROR(_xlfn.LET(_xlpm.x,SUM(SUM(_xlfn._xlws.FILTER(VALUE(PptoSty[Sign]&amp;1)*(1/PptoSty[Division]),(PptoSty[Division]&lt;&gt;0)*(PptoSty[Division]&lt;&gt;"")*(PptoSty[Division]&lt;&gt;"X")*(PptoSty[Project]=$B117)*(PptoSty[Vrs]=$D117)*(PptoSty[PiRow]=_xlfn.TEXTAFTER($H117,":"))*(PptoSty[PiColumn]=V$54),0)),SUM(IF((INDIRECT($B$3)=$B117)*(INDIRECT($C$3)=$D117)*((INDIRECT($E$3)="TOTS")+(INDIRECT($E$3)=$E117)),INDIRECT(V$3)))),_xlpm.y,SUM(_xlfn.CHOOSECOLS(_xlfn._xlws.FILTER(F_RT14[],(F_RT14[PrjId]=$B117)*(F_RT14[Vrs]=$D117)*(_xlfn.TEXTAFTER(F_RT14[ActGrp],":")=_xlfn.TEXTAFTER($H117,":")),"X"),MATCH("*"&amp;V$54,F_RT14[#Headers],0))),IF(AND(_xlpm.x=0,_xlpm.y&lt;&gt;0),-1,IF(AND(_xlpm.x&lt;&gt;0,_xlpm.y&lt;&gt;0),_xlpm.x,IF(AND(_xlpm.x-SUM(IF((INDIRECT($B$3)=$B117)*(INDIRECT($C$3)=$D117)*((INDIRECT($E$3)="TOTS")+(INDIRECT($E$3)=$E117)),INDIRECT(V$3)))&lt;&gt;0,_xlpm.y=0),-2,_xlpm.x)))),0))</f>
        <v>0</v>
      </c>
      <c r="W117" s="199" cm="1">
        <f t="array" aca="1" ref="W117" ca="1">IF(OR($B117="",$B117="X",$D117="",$D117="X",$E117="",$E117="X"),0,IFERROR(_xlfn.LET(_xlpm.x,SUM(SUM(_xlfn._xlws.FILTER(VALUE(PptoSty[Sign]&amp;1)*(1/PptoSty[Division]),(PptoSty[Division]&lt;&gt;0)*(PptoSty[Division]&lt;&gt;"")*(PptoSty[Division]&lt;&gt;"X")*(PptoSty[Project]=$B117)*(PptoSty[Vrs]=$D117)*(PptoSty[PiRow]=_xlfn.TEXTAFTER($H117,":"))*(PptoSty[PiColumn]=W$54),0)),SUM(IF((INDIRECT($B$3)=$B117)*(INDIRECT($C$3)=$D117)*((INDIRECT($E$3)="TOTS")+(INDIRECT($E$3)=$E117)),INDIRECT(W$3)))),_xlpm.y,SUM(_xlfn.CHOOSECOLS(_xlfn._xlws.FILTER(F_RT14[],(F_RT14[PrjId]=$B117)*(F_RT14[Vrs]=$D117)*(_xlfn.TEXTAFTER(F_RT14[ActGrp],":")=_xlfn.TEXTAFTER($H117,":")),"X"),MATCH("*"&amp;W$54,F_RT14[#Headers],0))),IF(AND(_xlpm.x=0,_xlpm.y&lt;&gt;0),-1,IF(AND(_xlpm.x&lt;&gt;0,_xlpm.y&lt;&gt;0),_xlpm.x,IF(AND(_xlpm.x-SUM(IF((INDIRECT($B$3)=$B117)*(INDIRECT($C$3)=$D117)*((INDIRECT($E$3)="TOTS")+(INDIRECT($E$3)=$E117)),INDIRECT(W$3)))&lt;&gt;0,_xlpm.y=0),-2,_xlpm.x)))),0))</f>
        <v>0</v>
      </c>
      <c r="X117" s="199" cm="1">
        <f t="array" aca="1" ref="X117" ca="1">IF(OR($B117="",$B117="X",$D117="",$D117="X",$E117="",$E117="X"),0,IFERROR(_xlfn.LET(_xlpm.x,SUM(SUM(_xlfn._xlws.FILTER(VALUE(PptoSty[Sign]&amp;1)*(1/PptoSty[Division]),(PptoSty[Division]&lt;&gt;0)*(PptoSty[Division]&lt;&gt;"")*(PptoSty[Division]&lt;&gt;"X")*(PptoSty[Project]=$B117)*(PptoSty[Vrs]=$D117)*(PptoSty[PiRow]=_xlfn.TEXTAFTER($H117,":"))*(PptoSty[PiColumn]=X$54),0)),SUM(IF((INDIRECT($B$3)=$B117)*(INDIRECT($C$3)=$D117)*((INDIRECT($E$3)="TOTS")+(INDIRECT($E$3)=$E117)),INDIRECT(X$3)))),_xlpm.y,SUM(_xlfn.CHOOSECOLS(_xlfn._xlws.FILTER(F_RT14[],(F_RT14[PrjId]=$B117)*(F_RT14[Vrs]=$D117)*(_xlfn.TEXTAFTER(F_RT14[ActGrp],":")=_xlfn.TEXTAFTER($H117,":")),"X"),MATCH("*"&amp;X$54,F_RT14[#Headers],0))),IF(AND(_xlpm.x=0,_xlpm.y&lt;&gt;0),-1,IF(AND(_xlpm.x&lt;&gt;0,_xlpm.y&lt;&gt;0),_xlpm.x,IF(AND(_xlpm.x-SUM(IF((INDIRECT($B$3)=$B117)*(INDIRECT($C$3)=$D117)*((INDIRECT($E$3)="TOTS")+(INDIRECT($E$3)=$E117)),INDIRECT(X$3)))&lt;&gt;0,_xlpm.y=0),-2,_xlpm.x)))),0))</f>
        <v>0</v>
      </c>
      <c r="Y117" s="199" cm="1">
        <f t="array" aca="1" ref="Y117" ca="1">IF(OR($B117="",$B117="X",$D117="",$D117="X",$E117="",$E117="X"),0,IFERROR(_xlfn.LET(_xlpm.x,SUM(SUM(_xlfn._xlws.FILTER(VALUE(PptoSty[Sign]&amp;1)*(1/PptoSty[Division]),(PptoSty[Division]&lt;&gt;0)*(PptoSty[Division]&lt;&gt;"")*(PptoSty[Division]&lt;&gt;"X")*(PptoSty[Project]=$B117)*(PptoSty[Vrs]=$D117)*(PptoSty[PiRow]=_xlfn.TEXTAFTER($H117,":"))*(PptoSty[PiColumn]=Y$54),0)),SUM(IF((INDIRECT($B$3)=$B117)*(INDIRECT($C$3)=$D117)*((INDIRECT($E$3)="TOTS")+(INDIRECT($E$3)=$E117)),INDIRECT(Y$3)))),_xlpm.y,SUM(_xlfn.CHOOSECOLS(_xlfn._xlws.FILTER(F_RT14[],(F_RT14[PrjId]=$B117)*(F_RT14[Vrs]=$D117)*(_xlfn.TEXTAFTER(F_RT14[ActGrp],":")=_xlfn.TEXTAFTER($H117,":")),"X"),MATCH("*"&amp;Y$54,F_RT14[#Headers],0))),IF(AND(_xlpm.x=0,_xlpm.y&lt;&gt;0),-1,IF(AND(_xlpm.x&lt;&gt;0,_xlpm.y&lt;&gt;0),_xlpm.x,IF(AND(_xlpm.x-SUM(IF((INDIRECT($B$3)=$B117)*(INDIRECT($C$3)=$D117)*((INDIRECT($E$3)="TOTS")+(INDIRECT($E$3)=$E117)),INDIRECT(Y$3)))&lt;&gt;0,_xlpm.y=0),-2,_xlpm.x)))),0))</f>
        <v>0</v>
      </c>
      <c r="Z117" s="198" t="str">
        <f t="shared" ref="Z117:Z180" ca="1" si="3">ADDRESS(SUM(ROW()),MATCH("SOC",$1:$1,0)+1,4,1,$B$2)&amp;":"&amp;ADDRESS(SUM(ROW()),MATCH("EOC",$1:$1,0)-1,4)</f>
        <v>Fback!B117:Y117</v>
      </c>
    </row>
    <row r="118" spans="2:26" ht="21" customHeight="1" outlineLevel="1">
      <c r="B118" s="128" t="str">
        <v>31200</v>
      </c>
      <c r="C118" s="128" t="str">
        <v>Sp</v>
      </c>
      <c r="D118" s="128">
        <v>15</v>
      </c>
      <c r="E118" s="128" t="str">
        <v>TOOL</v>
      </c>
      <c r="F118" s="139" t="str">
        <v>SERRA</v>
      </c>
      <c r="G118" s="139" t="str">
        <v>CurPpto</v>
      </c>
      <c r="H118" s="139" t="str">
        <v>P021:OP-115 INSPECTION</v>
      </c>
      <c r="I118" s="199" cm="1">
        <f t="array" aca="1" ref="I118" ca="1">IF(OR($B118="",$B118="X",$D118="",$D118="X",$E118="",$E118="X"),0,IFERROR(_xlfn.LET(_xlpm.x,SUM(SUM(_xlfn._xlws.FILTER(VALUE(PptoSty[Sign]&amp;1)*(1/PptoSty[Division]),(PptoSty[Division]&lt;&gt;0)*(PptoSty[Division]&lt;&gt;"")*(PptoSty[Division]&lt;&gt;"X")*(PptoSty[Project]=$B118)*(PptoSty[Vrs]=$D118)*(PptoSty[PiRow]=_xlfn.TEXTAFTER($H118,":"))*(PptoSty[PiColumn]=I$54),0)),SUM(IF((INDIRECT($B$3)=$B118)*(INDIRECT($C$3)=$D118)*((INDIRECT($E$3)="TOTS")+(INDIRECT($E$3)=$E118)),INDIRECT(I$3)))),_xlpm.y,SUM(_xlfn.CHOOSECOLS(_xlfn._xlws.FILTER(F_RT14[],(F_RT14[PrjId]=$B118)*(F_RT14[Vrs]=$D118)*(_xlfn.TEXTAFTER(F_RT14[ActGrp],":")=_xlfn.TEXTAFTER($H118,":")),"X"),MATCH("*"&amp;I$54,F_RT14[#Headers],0))),IF(AND(_xlpm.x=0,_xlpm.y&lt;&gt;0),-1,IF(AND(_xlpm.x&lt;&gt;0,_xlpm.y&lt;&gt;0),_xlpm.x,IF(AND(_xlpm.x-SUM(IF((INDIRECT($B$3)=$B118)*(INDIRECT($C$3)=$D118)*((INDIRECT($E$3)="TOTS")+(INDIRECT($E$3)=$E118)),INDIRECT(I$3)))&lt;&gt;0,_xlpm.y=0),-2,_xlpm.x)))),0))</f>
        <v>0</v>
      </c>
      <c r="J118" s="199" cm="1">
        <f t="array" aca="1" ref="J118" ca="1">IF(OR($B118="",$B118="X",$D118="",$D118="X",$E118="",$E118="X"),0,IFERROR(_xlfn.LET(_xlpm.x,SUM(SUM(_xlfn._xlws.FILTER(VALUE(PptoSty[Sign]&amp;1)*(1/PptoSty[Division]),(PptoSty[Division]&lt;&gt;0)*(PptoSty[Division]&lt;&gt;"")*(PptoSty[Division]&lt;&gt;"X")*(PptoSty[Project]=$B118)*(PptoSty[Vrs]=$D118)*(PptoSty[PiRow]=_xlfn.TEXTAFTER($H118,":"))*(PptoSty[PiColumn]=J$54),0)),SUM(IF((INDIRECT($B$3)=$B118)*(INDIRECT($C$3)=$D118)*((INDIRECT($E$3)="TOTS")+(INDIRECT($E$3)=$E118)),INDIRECT(J$3)))),_xlpm.y,SUM(_xlfn.CHOOSECOLS(_xlfn._xlws.FILTER(F_RT14[],(F_RT14[PrjId]=$B118)*(F_RT14[Vrs]=$D118)*(_xlfn.TEXTAFTER(F_RT14[ActGrp],":")=_xlfn.TEXTAFTER($H118,":")),"X"),MATCH("*"&amp;J$54,F_RT14[#Headers],0))),IF(AND(_xlpm.x=0,_xlpm.y&lt;&gt;0),-1,IF(AND(_xlpm.x&lt;&gt;0,_xlpm.y&lt;&gt;0),_xlpm.x,IF(AND(_xlpm.x-SUM(IF((INDIRECT($B$3)=$B118)*(INDIRECT($C$3)=$D118)*((INDIRECT($E$3)="TOTS")+(INDIRECT($E$3)=$E118)),INDIRECT(J$3)))&lt;&gt;0,_xlpm.y=0),-2,_xlpm.x)))),0))</f>
        <v>0</v>
      </c>
      <c r="K118" s="199" cm="1">
        <f t="array" aca="1" ref="K118" ca="1">IF(OR($B118="",$B118="X",$D118="",$D118="X",$E118="",$E118="X"),0,IFERROR(_xlfn.LET(_xlpm.x,SUM(SUM(_xlfn._xlws.FILTER(VALUE(PptoSty[Sign]&amp;1)*(1/PptoSty[Division]),(PptoSty[Division]&lt;&gt;0)*(PptoSty[Division]&lt;&gt;"")*(PptoSty[Division]&lt;&gt;"X")*(PptoSty[Project]=$B118)*(PptoSty[Vrs]=$D118)*(PptoSty[PiRow]=_xlfn.TEXTAFTER($H118,":"))*(PptoSty[PiColumn]=K$54),0)),SUM(IF((INDIRECT($B$3)=$B118)*(INDIRECT($C$3)=$D118)*((INDIRECT($E$3)="TOTS")+(INDIRECT($E$3)=$E118)),INDIRECT(K$3)))),_xlpm.y,SUM(_xlfn.CHOOSECOLS(_xlfn._xlws.FILTER(F_RT14[],(F_RT14[PrjId]=$B118)*(F_RT14[Vrs]=$D118)*(_xlfn.TEXTAFTER(F_RT14[ActGrp],":")=_xlfn.TEXTAFTER($H118,":")),"X"),MATCH("*"&amp;K$54,F_RT14[#Headers],0))),IF(AND(_xlpm.x=0,_xlpm.y&lt;&gt;0),-1,IF(AND(_xlpm.x&lt;&gt;0,_xlpm.y&lt;&gt;0),_xlpm.x,IF(AND(_xlpm.x-SUM(IF((INDIRECT($B$3)=$B118)*(INDIRECT($C$3)=$D118)*((INDIRECT($E$3)="TOTS")+(INDIRECT($E$3)=$E118)),INDIRECT(K$3)))&lt;&gt;0,_xlpm.y=0),-2,_xlpm.x)))),0))</f>
        <v>0</v>
      </c>
      <c r="L118" s="199" cm="1">
        <f t="array" aca="1" ref="L118" ca="1">IF(OR($B118="",$B118="X",$D118="",$D118="X",$E118="",$E118="X"),0,IFERROR(_xlfn.LET(_xlpm.x,SUM(SUM(_xlfn._xlws.FILTER(VALUE(PptoSty[Sign]&amp;1)*(1/PptoSty[Division]),(PptoSty[Division]&lt;&gt;0)*(PptoSty[Division]&lt;&gt;"")*(PptoSty[Division]&lt;&gt;"X")*(PptoSty[Project]=$B118)*(PptoSty[Vrs]=$D118)*(PptoSty[PiRow]=_xlfn.TEXTAFTER($H118,":"))*(PptoSty[PiColumn]=L$54),0)),SUM(IF((INDIRECT($B$3)=$B118)*(INDIRECT($C$3)=$D118)*((INDIRECT($E$3)="TOTS")+(INDIRECT($E$3)=$E118)),INDIRECT(L$3)))),_xlpm.y,SUM(_xlfn.CHOOSECOLS(_xlfn._xlws.FILTER(F_RT14[],(F_RT14[PrjId]=$B118)*(F_RT14[Vrs]=$D118)*(_xlfn.TEXTAFTER(F_RT14[ActGrp],":")=_xlfn.TEXTAFTER($H118,":")),"X"),MATCH("*"&amp;L$54,F_RT14[#Headers],0))),IF(AND(_xlpm.x=0,_xlpm.y&lt;&gt;0),-1,IF(AND(_xlpm.x&lt;&gt;0,_xlpm.y&lt;&gt;0),_xlpm.x,IF(AND(_xlpm.x-SUM(IF((INDIRECT($B$3)=$B118)*(INDIRECT($C$3)=$D118)*((INDIRECT($E$3)="TOTS")+(INDIRECT($E$3)=$E118)),INDIRECT(L$3)))&lt;&gt;0,_xlpm.y=0),-2,_xlpm.x)))),0))</f>
        <v>0</v>
      </c>
      <c r="M118" s="199" cm="1">
        <f t="array" aca="1" ref="M118" ca="1">IF(OR($B118="",$B118="X",$D118="",$D118="X",$E118="",$E118="X"),0,IFERROR(_xlfn.LET(_xlpm.x,SUM(SUM(_xlfn._xlws.FILTER(VALUE(PptoSty[Sign]&amp;1)*(1/PptoSty[Division]),(PptoSty[Division]&lt;&gt;0)*(PptoSty[Division]&lt;&gt;"")*(PptoSty[Division]&lt;&gt;"X")*(PptoSty[Project]=$B118)*(PptoSty[Vrs]=$D118)*(PptoSty[PiRow]=_xlfn.TEXTAFTER($H118,":"))*(PptoSty[PiColumn]=M$54),0)),SUM(IF((INDIRECT($B$3)=$B118)*(INDIRECT($C$3)=$D118)*((INDIRECT($E$3)="TOTS")+(INDIRECT($E$3)=$E118)),INDIRECT(M$3)))),_xlpm.y,SUM(_xlfn.CHOOSECOLS(_xlfn._xlws.FILTER(F_RT14[],(F_RT14[PrjId]=$B118)*(F_RT14[Vrs]=$D118)*(_xlfn.TEXTAFTER(F_RT14[ActGrp],":")=_xlfn.TEXTAFTER($H118,":")),"X"),MATCH("*"&amp;M$54,F_RT14[#Headers],0))),IF(AND(_xlpm.x=0,_xlpm.y&lt;&gt;0),-1,IF(AND(_xlpm.x&lt;&gt;0,_xlpm.y&lt;&gt;0),_xlpm.x,IF(AND(_xlpm.x-SUM(IF((INDIRECT($B$3)=$B118)*(INDIRECT($C$3)=$D118)*((INDIRECT($E$3)="TOTS")+(INDIRECT($E$3)=$E118)),INDIRECT(M$3)))&lt;&gt;0,_xlpm.y=0),-2,_xlpm.x)))),0))</f>
        <v>0</v>
      </c>
      <c r="N118" s="199" cm="1">
        <f t="array" aca="1" ref="N118" ca="1">IF(OR($B118="",$B118="X",$D118="",$D118="X",$E118="",$E118="X"),0,IFERROR(_xlfn.LET(_xlpm.x,SUM(SUM(_xlfn._xlws.FILTER(VALUE(PptoSty[Sign]&amp;1)*(1/PptoSty[Division]),(PptoSty[Division]&lt;&gt;0)*(PptoSty[Division]&lt;&gt;"")*(PptoSty[Division]&lt;&gt;"X")*(PptoSty[Project]=$B118)*(PptoSty[Vrs]=$D118)*(PptoSty[PiRow]=_xlfn.TEXTAFTER($H118,":"))*(PptoSty[PiColumn]=N$54),0)),SUM(IF((INDIRECT($B$3)=$B118)*(INDIRECT($C$3)=$D118)*((INDIRECT($E$3)="TOTS")+(INDIRECT($E$3)=$E118)),INDIRECT(N$3)))),_xlpm.y,SUM(_xlfn.CHOOSECOLS(_xlfn._xlws.FILTER(F_RT14[],(F_RT14[PrjId]=$B118)*(F_RT14[Vrs]=$D118)*(_xlfn.TEXTAFTER(F_RT14[ActGrp],":")=_xlfn.TEXTAFTER($H118,":")),"X"),MATCH("*"&amp;N$54,F_RT14[#Headers],0))),IF(AND(_xlpm.x=0,_xlpm.y&lt;&gt;0),-1,IF(AND(_xlpm.x&lt;&gt;0,_xlpm.y&lt;&gt;0),_xlpm.x,IF(AND(_xlpm.x-SUM(IF((INDIRECT($B$3)=$B118)*(INDIRECT($C$3)=$D118)*((INDIRECT($E$3)="TOTS")+(INDIRECT($E$3)=$E118)),INDIRECT(N$3)))&lt;&gt;0,_xlpm.y=0),-2,_xlpm.x)))),0))</f>
        <v>0</v>
      </c>
      <c r="O118" s="199" cm="1">
        <f t="array" aca="1" ref="O118" ca="1">IF(OR($B118="",$B118="X",$D118="",$D118="X",$E118="",$E118="X"),0,IFERROR(_xlfn.LET(_xlpm.x,SUM(SUM(_xlfn._xlws.FILTER(VALUE(PptoSty[Sign]&amp;1)*(1/PptoSty[Division]),(PptoSty[Division]&lt;&gt;0)*(PptoSty[Division]&lt;&gt;"")*(PptoSty[Division]&lt;&gt;"X")*(PptoSty[Project]=$B118)*(PptoSty[Vrs]=$D118)*(PptoSty[PiRow]=_xlfn.TEXTAFTER($H118,":"))*(PptoSty[PiColumn]=O$54),0)),SUM(IF((INDIRECT($B$3)=$B118)*(INDIRECT($C$3)=$D118)*((INDIRECT($E$3)="TOTS")+(INDIRECT($E$3)=$E118)),INDIRECT(O$3)))),_xlpm.y,SUM(_xlfn.CHOOSECOLS(_xlfn._xlws.FILTER(F_RT14[],(F_RT14[PrjId]=$B118)*(F_RT14[Vrs]=$D118)*(_xlfn.TEXTAFTER(F_RT14[ActGrp],":")=_xlfn.TEXTAFTER($H118,":")),"X"),MATCH("*"&amp;O$54,F_RT14[#Headers],0))),IF(AND(_xlpm.x=0,_xlpm.y&lt;&gt;0),-1,IF(AND(_xlpm.x&lt;&gt;0,_xlpm.y&lt;&gt;0),_xlpm.x,IF(AND(_xlpm.x-SUM(IF((INDIRECT($B$3)=$B118)*(INDIRECT($C$3)=$D118)*((INDIRECT($E$3)="TOTS")+(INDIRECT($E$3)=$E118)),INDIRECT(O$3)))&lt;&gt;0,_xlpm.y=0),-2,_xlpm.x)))),0))</f>
        <v>0</v>
      </c>
      <c r="P118" s="199" cm="1">
        <f t="array" aca="1" ref="P118" ca="1">IF(OR($B118="",$B118="X",$D118="",$D118="X",$E118="",$E118="X"),0,IFERROR(_xlfn.LET(_xlpm.x,SUM(SUM(_xlfn._xlws.FILTER(VALUE(PptoSty[Sign]&amp;1)*(1/PptoSty[Division]),(PptoSty[Division]&lt;&gt;0)*(PptoSty[Division]&lt;&gt;"")*(PptoSty[Division]&lt;&gt;"X")*(PptoSty[Project]=$B118)*(PptoSty[Vrs]=$D118)*(PptoSty[PiRow]=_xlfn.TEXTAFTER($H118,":"))*(PptoSty[PiColumn]=P$54),0)),SUM(IF((INDIRECT($B$3)=$B118)*(INDIRECT($C$3)=$D118)*((INDIRECT($E$3)="TOTS")+(INDIRECT($E$3)=$E118)),INDIRECT(P$3)))),_xlpm.y,SUM(_xlfn.CHOOSECOLS(_xlfn._xlws.FILTER(F_RT14[],(F_RT14[PrjId]=$B118)*(F_RT14[Vrs]=$D118)*(_xlfn.TEXTAFTER(F_RT14[ActGrp],":")=_xlfn.TEXTAFTER($H118,":")),"X"),MATCH("*"&amp;P$54,F_RT14[#Headers],0))),IF(AND(_xlpm.x=0,_xlpm.y&lt;&gt;0),-1,IF(AND(_xlpm.x&lt;&gt;0,_xlpm.y&lt;&gt;0),_xlpm.x,IF(AND(_xlpm.x-SUM(IF((INDIRECT($B$3)=$B118)*(INDIRECT($C$3)=$D118)*((INDIRECT($E$3)="TOTS")+(INDIRECT($E$3)=$E118)),INDIRECT(P$3)))&lt;&gt;0,_xlpm.y=0),-2,_xlpm.x)))),0))</f>
        <v>0</v>
      </c>
      <c r="Q118" s="199" cm="1">
        <f t="array" aca="1" ref="Q118" ca="1">IF(OR($B118="",$B118="X",$D118="",$D118="X",$E118="",$E118="X"),0,IFERROR(_xlfn.LET(_xlpm.x,SUM(SUM(_xlfn._xlws.FILTER(VALUE(PptoSty[Sign]&amp;1)*(1/PptoSty[Division]),(PptoSty[Division]&lt;&gt;0)*(PptoSty[Division]&lt;&gt;"")*(PptoSty[Division]&lt;&gt;"X")*(PptoSty[Project]=$B118)*(PptoSty[Vrs]=$D118)*(PptoSty[PiRow]=_xlfn.TEXTAFTER($H118,":"))*(PptoSty[PiColumn]=Q$54),0)),SUM(IF((INDIRECT($B$3)=$B118)*(INDIRECT($C$3)=$D118)*((INDIRECT($E$3)="TOTS")+(INDIRECT($E$3)=$E118)),INDIRECT(Q$3)))),_xlpm.y,SUM(_xlfn.CHOOSECOLS(_xlfn._xlws.FILTER(F_RT14[],(F_RT14[PrjId]=$B118)*(F_RT14[Vrs]=$D118)*(_xlfn.TEXTAFTER(F_RT14[ActGrp],":")=_xlfn.TEXTAFTER($H118,":")),"X"),MATCH("*"&amp;Q$54,F_RT14[#Headers],0))),IF(AND(_xlpm.x=0,_xlpm.y&lt;&gt;0),-1,IF(AND(_xlpm.x&lt;&gt;0,_xlpm.y&lt;&gt;0),_xlpm.x,IF(AND(_xlpm.x-SUM(IF((INDIRECT($B$3)=$B118)*(INDIRECT($C$3)=$D118)*((INDIRECT($E$3)="TOTS")+(INDIRECT($E$3)=$E118)),INDIRECT(Q$3)))&lt;&gt;0,_xlpm.y=0),-2,_xlpm.x)))),0))</f>
        <v>0</v>
      </c>
      <c r="R118" s="199" cm="1">
        <f t="array" aca="1" ref="R118" ca="1">IF(OR($B118="",$B118="X",$D118="",$D118="X",$E118="",$E118="X"),0,IFERROR(_xlfn.LET(_xlpm.x,SUM(SUM(_xlfn._xlws.FILTER(VALUE(PptoSty[Sign]&amp;1)*(1/PptoSty[Division]),(PptoSty[Division]&lt;&gt;0)*(PptoSty[Division]&lt;&gt;"")*(PptoSty[Division]&lt;&gt;"X")*(PptoSty[Project]=$B118)*(PptoSty[Vrs]=$D118)*(PptoSty[PiRow]=_xlfn.TEXTAFTER($H118,":"))*(PptoSty[PiColumn]=R$54),0)),SUM(IF((INDIRECT($B$3)=$B118)*(INDIRECT($C$3)=$D118)*((INDIRECT($E$3)="TOTS")+(INDIRECT($E$3)=$E118)),INDIRECT(R$3)))),_xlpm.y,SUM(_xlfn.CHOOSECOLS(_xlfn._xlws.FILTER(F_RT14[],(F_RT14[PrjId]=$B118)*(F_RT14[Vrs]=$D118)*(_xlfn.TEXTAFTER(F_RT14[ActGrp],":")=_xlfn.TEXTAFTER($H118,":")),"X"),MATCH("*"&amp;R$54,F_RT14[#Headers],0))),IF(AND(_xlpm.x=0,_xlpm.y&lt;&gt;0),-1,IF(AND(_xlpm.x&lt;&gt;0,_xlpm.y&lt;&gt;0),_xlpm.x,IF(AND(_xlpm.x-SUM(IF((INDIRECT($B$3)=$B118)*(INDIRECT($C$3)=$D118)*((INDIRECT($E$3)="TOTS")+(INDIRECT($E$3)=$E118)),INDIRECT(R$3)))&lt;&gt;0,_xlpm.y=0),-2,_xlpm.x)))),0))</f>
        <v>0</v>
      </c>
      <c r="S118" s="199" cm="1">
        <f t="array" aca="1" ref="S118" ca="1">IF(OR($B118="",$B118="X",$D118="",$D118="X",$E118="",$E118="X"),0,IFERROR(_xlfn.LET(_xlpm.x,SUM(SUM(_xlfn._xlws.FILTER(VALUE(PptoSty[Sign]&amp;1)*(1/PptoSty[Division]),(PptoSty[Division]&lt;&gt;0)*(PptoSty[Division]&lt;&gt;"")*(PptoSty[Division]&lt;&gt;"X")*(PptoSty[Project]=$B118)*(PptoSty[Vrs]=$D118)*(PptoSty[PiRow]=_xlfn.TEXTAFTER($H118,":"))*(PptoSty[PiColumn]=S$54),0)),SUM(IF((INDIRECT($B$3)=$B118)*(INDIRECT($C$3)=$D118)*((INDIRECT($E$3)="TOTS")+(INDIRECT($E$3)=$E118)),INDIRECT(S$3)))),_xlpm.y,SUM(_xlfn.CHOOSECOLS(_xlfn._xlws.FILTER(F_RT14[],(F_RT14[PrjId]=$B118)*(F_RT14[Vrs]=$D118)*(_xlfn.TEXTAFTER(F_RT14[ActGrp],":")=_xlfn.TEXTAFTER($H118,":")),"X"),MATCH("*"&amp;S$54,F_RT14[#Headers],0))),IF(AND(_xlpm.x=0,_xlpm.y&lt;&gt;0),-1,IF(AND(_xlpm.x&lt;&gt;0,_xlpm.y&lt;&gt;0),_xlpm.x,IF(AND(_xlpm.x-SUM(IF((INDIRECT($B$3)=$B118)*(INDIRECT($C$3)=$D118)*((INDIRECT($E$3)="TOTS")+(INDIRECT($E$3)=$E118)),INDIRECT(S$3)))&lt;&gt;0,_xlpm.y=0),-2,_xlpm.x)))),0))</f>
        <v>-1</v>
      </c>
      <c r="T118" s="199" cm="1">
        <f t="array" aca="1" ref="T118" ca="1">IF(OR($B118="",$B118="X",$D118="",$D118="X",$E118="",$E118="X"),0,IFERROR(_xlfn.LET(_xlpm.x,SUM(SUM(_xlfn._xlws.FILTER(VALUE(PptoSty[Sign]&amp;1)*(1/PptoSty[Division]),(PptoSty[Division]&lt;&gt;0)*(PptoSty[Division]&lt;&gt;"")*(PptoSty[Division]&lt;&gt;"X")*(PptoSty[Project]=$B118)*(PptoSty[Vrs]=$D118)*(PptoSty[PiRow]=_xlfn.TEXTAFTER($H118,":"))*(PptoSty[PiColumn]=T$54),0)),SUM(IF((INDIRECT($B$3)=$B118)*(INDIRECT($C$3)=$D118)*((INDIRECT($E$3)="TOTS")+(INDIRECT($E$3)=$E118)),INDIRECT(T$3)))),_xlpm.y,SUM(_xlfn.CHOOSECOLS(_xlfn._xlws.FILTER(F_RT14[],(F_RT14[PrjId]=$B118)*(F_RT14[Vrs]=$D118)*(_xlfn.TEXTAFTER(F_RT14[ActGrp],":")=_xlfn.TEXTAFTER($H118,":")),"X"),MATCH("*"&amp;T$54,F_RT14[#Headers],0))),IF(AND(_xlpm.x=0,_xlpm.y&lt;&gt;0),-1,IF(AND(_xlpm.x&lt;&gt;0,_xlpm.y&lt;&gt;0),_xlpm.x,IF(AND(_xlpm.x-SUM(IF((INDIRECT($B$3)=$B118)*(INDIRECT($C$3)=$D118)*((INDIRECT($E$3)="TOTS")+(INDIRECT($E$3)=$E118)),INDIRECT(T$3)))&lt;&gt;0,_xlpm.y=0),-2,_xlpm.x)))),0))</f>
        <v>0</v>
      </c>
      <c r="U118" s="199" cm="1">
        <f t="array" aca="1" ref="U118" ca="1">IF(OR($B118="",$B118="X",$D118="",$D118="X",$E118="",$E118="X"),0,IFERROR(_xlfn.LET(_xlpm.x,SUM(SUM(_xlfn._xlws.FILTER(VALUE(PptoSty[Sign]&amp;1)*(1/PptoSty[Division]),(PptoSty[Division]&lt;&gt;0)*(PptoSty[Division]&lt;&gt;"")*(PptoSty[Division]&lt;&gt;"X")*(PptoSty[Project]=$B118)*(PptoSty[Vrs]=$D118)*(PptoSty[PiRow]=_xlfn.TEXTAFTER($H118,":"))*(PptoSty[PiColumn]=U$54),0)),SUM(IF((INDIRECT($B$3)=$B118)*(INDIRECT($C$3)=$D118)*((INDIRECT($E$3)="TOTS")+(INDIRECT($E$3)=$E118)),INDIRECT(U$3)))),_xlpm.y,SUM(_xlfn.CHOOSECOLS(_xlfn._xlws.FILTER(F_RT14[],(F_RT14[PrjId]=$B118)*(F_RT14[Vrs]=$D118)*(_xlfn.TEXTAFTER(F_RT14[ActGrp],":")=_xlfn.TEXTAFTER($H118,":")),"X"),MATCH("*"&amp;U$54,F_RT14[#Headers],0))),IF(AND(_xlpm.x=0,_xlpm.y&lt;&gt;0),-1,IF(AND(_xlpm.x&lt;&gt;0,_xlpm.y&lt;&gt;0),_xlpm.x,IF(AND(_xlpm.x-SUM(IF((INDIRECT($B$3)=$B118)*(INDIRECT($C$3)=$D118)*((INDIRECT($E$3)="TOTS")+(INDIRECT($E$3)=$E118)),INDIRECT(U$3)))&lt;&gt;0,_xlpm.y=0),-2,_xlpm.x)))),0))</f>
        <v>0</v>
      </c>
      <c r="V118" s="199" cm="1">
        <f t="array" aca="1" ref="V118" ca="1">IF(OR($B118="",$B118="X",$D118="",$D118="X",$E118="",$E118="X"),0,IFERROR(_xlfn.LET(_xlpm.x,SUM(SUM(_xlfn._xlws.FILTER(VALUE(PptoSty[Sign]&amp;1)*(1/PptoSty[Division]),(PptoSty[Division]&lt;&gt;0)*(PptoSty[Division]&lt;&gt;"")*(PptoSty[Division]&lt;&gt;"X")*(PptoSty[Project]=$B118)*(PptoSty[Vrs]=$D118)*(PptoSty[PiRow]=_xlfn.TEXTAFTER($H118,":"))*(PptoSty[PiColumn]=V$54),0)),SUM(IF((INDIRECT($B$3)=$B118)*(INDIRECT($C$3)=$D118)*((INDIRECT($E$3)="TOTS")+(INDIRECT($E$3)=$E118)),INDIRECT(V$3)))),_xlpm.y,SUM(_xlfn.CHOOSECOLS(_xlfn._xlws.FILTER(F_RT14[],(F_RT14[PrjId]=$B118)*(F_RT14[Vrs]=$D118)*(_xlfn.TEXTAFTER(F_RT14[ActGrp],":")=_xlfn.TEXTAFTER($H118,":")),"X"),MATCH("*"&amp;V$54,F_RT14[#Headers],0))),IF(AND(_xlpm.x=0,_xlpm.y&lt;&gt;0),-1,IF(AND(_xlpm.x&lt;&gt;0,_xlpm.y&lt;&gt;0),_xlpm.x,IF(AND(_xlpm.x-SUM(IF((INDIRECT($B$3)=$B118)*(INDIRECT($C$3)=$D118)*((INDIRECT($E$3)="TOTS")+(INDIRECT($E$3)=$E118)),INDIRECT(V$3)))&lt;&gt;0,_xlpm.y=0),-2,_xlpm.x)))),0))</f>
        <v>0</v>
      </c>
      <c r="W118" s="199" cm="1">
        <f t="array" aca="1" ref="W118" ca="1">IF(OR($B118="",$B118="X",$D118="",$D118="X",$E118="",$E118="X"),0,IFERROR(_xlfn.LET(_xlpm.x,SUM(SUM(_xlfn._xlws.FILTER(VALUE(PptoSty[Sign]&amp;1)*(1/PptoSty[Division]),(PptoSty[Division]&lt;&gt;0)*(PptoSty[Division]&lt;&gt;"")*(PptoSty[Division]&lt;&gt;"X")*(PptoSty[Project]=$B118)*(PptoSty[Vrs]=$D118)*(PptoSty[PiRow]=_xlfn.TEXTAFTER($H118,":"))*(PptoSty[PiColumn]=W$54),0)),SUM(IF((INDIRECT($B$3)=$B118)*(INDIRECT($C$3)=$D118)*((INDIRECT($E$3)="TOTS")+(INDIRECT($E$3)=$E118)),INDIRECT(W$3)))),_xlpm.y,SUM(_xlfn.CHOOSECOLS(_xlfn._xlws.FILTER(F_RT14[],(F_RT14[PrjId]=$B118)*(F_RT14[Vrs]=$D118)*(_xlfn.TEXTAFTER(F_RT14[ActGrp],":")=_xlfn.TEXTAFTER($H118,":")),"X"),MATCH("*"&amp;W$54,F_RT14[#Headers],0))),IF(AND(_xlpm.x=0,_xlpm.y&lt;&gt;0),-1,IF(AND(_xlpm.x&lt;&gt;0,_xlpm.y&lt;&gt;0),_xlpm.x,IF(AND(_xlpm.x-SUM(IF((INDIRECT($B$3)=$B118)*(INDIRECT($C$3)=$D118)*((INDIRECT($E$3)="TOTS")+(INDIRECT($E$3)=$E118)),INDIRECT(W$3)))&lt;&gt;0,_xlpm.y=0),-2,_xlpm.x)))),0))</f>
        <v>-1</v>
      </c>
      <c r="X118" s="199" cm="1">
        <f t="array" aca="1" ref="X118" ca="1">IF(OR($B118="",$B118="X",$D118="",$D118="X",$E118="",$E118="X"),0,IFERROR(_xlfn.LET(_xlpm.x,SUM(SUM(_xlfn._xlws.FILTER(VALUE(PptoSty[Sign]&amp;1)*(1/PptoSty[Division]),(PptoSty[Division]&lt;&gt;0)*(PptoSty[Division]&lt;&gt;"")*(PptoSty[Division]&lt;&gt;"X")*(PptoSty[Project]=$B118)*(PptoSty[Vrs]=$D118)*(PptoSty[PiRow]=_xlfn.TEXTAFTER($H118,":"))*(PptoSty[PiColumn]=X$54),0)),SUM(IF((INDIRECT($B$3)=$B118)*(INDIRECT($C$3)=$D118)*((INDIRECT($E$3)="TOTS")+(INDIRECT($E$3)=$E118)),INDIRECT(X$3)))),_xlpm.y,SUM(_xlfn.CHOOSECOLS(_xlfn._xlws.FILTER(F_RT14[],(F_RT14[PrjId]=$B118)*(F_RT14[Vrs]=$D118)*(_xlfn.TEXTAFTER(F_RT14[ActGrp],":")=_xlfn.TEXTAFTER($H118,":")),"X"),MATCH("*"&amp;X$54,F_RT14[#Headers],0))),IF(AND(_xlpm.x=0,_xlpm.y&lt;&gt;0),-1,IF(AND(_xlpm.x&lt;&gt;0,_xlpm.y&lt;&gt;0),_xlpm.x,IF(AND(_xlpm.x-SUM(IF((INDIRECT($B$3)=$B118)*(INDIRECT($C$3)=$D118)*((INDIRECT($E$3)="TOTS")+(INDIRECT($E$3)=$E118)),INDIRECT(X$3)))&lt;&gt;0,_xlpm.y=0),-2,_xlpm.x)))),0))</f>
        <v>0</v>
      </c>
      <c r="Y118" s="199" cm="1">
        <f t="array" aca="1" ref="Y118" ca="1">IF(OR($B118="",$B118="X",$D118="",$D118="X",$E118="",$E118="X"),0,IFERROR(_xlfn.LET(_xlpm.x,SUM(SUM(_xlfn._xlws.FILTER(VALUE(PptoSty[Sign]&amp;1)*(1/PptoSty[Division]),(PptoSty[Division]&lt;&gt;0)*(PptoSty[Division]&lt;&gt;"")*(PptoSty[Division]&lt;&gt;"X")*(PptoSty[Project]=$B118)*(PptoSty[Vrs]=$D118)*(PptoSty[PiRow]=_xlfn.TEXTAFTER($H118,":"))*(PptoSty[PiColumn]=Y$54),0)),SUM(IF((INDIRECT($B$3)=$B118)*(INDIRECT($C$3)=$D118)*((INDIRECT($E$3)="TOTS")+(INDIRECT($E$3)=$E118)),INDIRECT(Y$3)))),_xlpm.y,SUM(_xlfn.CHOOSECOLS(_xlfn._xlws.FILTER(F_RT14[],(F_RT14[PrjId]=$B118)*(F_RT14[Vrs]=$D118)*(_xlfn.TEXTAFTER(F_RT14[ActGrp],":")=_xlfn.TEXTAFTER($H118,":")),"X"),MATCH("*"&amp;Y$54,F_RT14[#Headers],0))),IF(AND(_xlpm.x=0,_xlpm.y&lt;&gt;0),-1,IF(AND(_xlpm.x&lt;&gt;0,_xlpm.y&lt;&gt;0),_xlpm.x,IF(AND(_xlpm.x-SUM(IF((INDIRECT($B$3)=$B118)*(INDIRECT($C$3)=$D118)*((INDIRECT($E$3)="TOTS")+(INDIRECT($E$3)=$E118)),INDIRECT(Y$3)))&lt;&gt;0,_xlpm.y=0),-2,_xlpm.x)))),0))</f>
        <v>0</v>
      </c>
      <c r="Z118" s="198" t="str">
        <f t="shared" ca="1" si="3"/>
        <v>Fback!B118:Y118</v>
      </c>
    </row>
    <row r="119" spans="2:26" ht="21" customHeight="1" outlineLevel="1">
      <c r="B119" s="128" t="str">
        <v>31200</v>
      </c>
      <c r="C119" s="128" t="str">
        <v>Sp</v>
      </c>
      <c r="D119" s="128">
        <v>15</v>
      </c>
      <c r="E119" s="128" t="str">
        <v>TOOL</v>
      </c>
      <c r="F119" s="139" t="str">
        <v>SERRA</v>
      </c>
      <c r="G119" s="139" t="str">
        <v>CurPpto</v>
      </c>
      <c r="H119" s="139" t="str">
        <v>P022:OP-405.1+2 WELDING (GEO)</v>
      </c>
      <c r="I119" s="199" cm="1">
        <f t="array" aca="1" ref="I119" ca="1">IF(OR($B119="",$B119="X",$D119="",$D119="X",$E119="",$E119="X"),0,IFERROR(_xlfn.LET(_xlpm.x,SUM(SUM(_xlfn._xlws.FILTER(VALUE(PptoSty[Sign]&amp;1)*(1/PptoSty[Division]),(PptoSty[Division]&lt;&gt;0)*(PptoSty[Division]&lt;&gt;"")*(PptoSty[Division]&lt;&gt;"X")*(PptoSty[Project]=$B119)*(PptoSty[Vrs]=$D119)*(PptoSty[PiRow]=_xlfn.TEXTAFTER($H119,":"))*(PptoSty[PiColumn]=I$54),0)),SUM(IF((INDIRECT($B$3)=$B119)*(INDIRECT($C$3)=$D119)*((INDIRECT($E$3)="TOTS")+(INDIRECT($E$3)=$E119)),INDIRECT(I$3)))),_xlpm.y,SUM(_xlfn.CHOOSECOLS(_xlfn._xlws.FILTER(F_RT14[],(F_RT14[PrjId]=$B119)*(F_RT14[Vrs]=$D119)*(_xlfn.TEXTAFTER(F_RT14[ActGrp],":")=_xlfn.TEXTAFTER($H119,":")),"X"),MATCH("*"&amp;I$54,F_RT14[#Headers],0))),IF(AND(_xlpm.x=0,_xlpm.y&lt;&gt;0),-1,IF(AND(_xlpm.x&lt;&gt;0,_xlpm.y&lt;&gt;0),_xlpm.x,IF(AND(_xlpm.x-SUM(IF((INDIRECT($B$3)=$B119)*(INDIRECT($C$3)=$D119)*((INDIRECT($E$3)="TOTS")+(INDIRECT($E$3)=$E119)),INDIRECT(I$3)))&lt;&gt;0,_xlpm.y=0),-2,_xlpm.x)))),0))</f>
        <v>0</v>
      </c>
      <c r="J119" s="199" cm="1">
        <f t="array" aca="1" ref="J119" ca="1">IF(OR($B119="",$B119="X",$D119="",$D119="X",$E119="",$E119="X"),0,IFERROR(_xlfn.LET(_xlpm.x,SUM(SUM(_xlfn._xlws.FILTER(VALUE(PptoSty[Sign]&amp;1)*(1/PptoSty[Division]),(PptoSty[Division]&lt;&gt;0)*(PptoSty[Division]&lt;&gt;"")*(PptoSty[Division]&lt;&gt;"X")*(PptoSty[Project]=$B119)*(PptoSty[Vrs]=$D119)*(PptoSty[PiRow]=_xlfn.TEXTAFTER($H119,":"))*(PptoSty[PiColumn]=J$54),0)),SUM(IF((INDIRECT($B$3)=$B119)*(INDIRECT($C$3)=$D119)*((INDIRECT($E$3)="TOTS")+(INDIRECT($E$3)=$E119)),INDIRECT(J$3)))),_xlpm.y,SUM(_xlfn.CHOOSECOLS(_xlfn._xlws.FILTER(F_RT14[],(F_RT14[PrjId]=$B119)*(F_RT14[Vrs]=$D119)*(_xlfn.TEXTAFTER(F_RT14[ActGrp],":")=_xlfn.TEXTAFTER($H119,":")),"X"),MATCH("*"&amp;J$54,F_RT14[#Headers],0))),IF(AND(_xlpm.x=0,_xlpm.y&lt;&gt;0),-1,IF(AND(_xlpm.x&lt;&gt;0,_xlpm.y&lt;&gt;0),_xlpm.x,IF(AND(_xlpm.x-SUM(IF((INDIRECT($B$3)=$B119)*(INDIRECT($C$3)=$D119)*((INDIRECT($E$3)="TOTS")+(INDIRECT($E$3)=$E119)),INDIRECT(J$3)))&lt;&gt;0,_xlpm.y=0),-2,_xlpm.x)))),0))</f>
        <v>0</v>
      </c>
      <c r="K119" s="199" cm="1">
        <f t="array" aca="1" ref="K119" ca="1">IF(OR($B119="",$B119="X",$D119="",$D119="X",$E119="",$E119="X"),0,IFERROR(_xlfn.LET(_xlpm.x,SUM(SUM(_xlfn._xlws.FILTER(VALUE(PptoSty[Sign]&amp;1)*(1/PptoSty[Division]),(PptoSty[Division]&lt;&gt;0)*(PptoSty[Division]&lt;&gt;"")*(PptoSty[Division]&lt;&gt;"X")*(PptoSty[Project]=$B119)*(PptoSty[Vrs]=$D119)*(PptoSty[PiRow]=_xlfn.TEXTAFTER($H119,":"))*(PptoSty[PiColumn]=K$54),0)),SUM(IF((INDIRECT($B$3)=$B119)*(INDIRECT($C$3)=$D119)*((INDIRECT($E$3)="TOTS")+(INDIRECT($E$3)=$E119)),INDIRECT(K$3)))),_xlpm.y,SUM(_xlfn.CHOOSECOLS(_xlfn._xlws.FILTER(F_RT14[],(F_RT14[PrjId]=$B119)*(F_RT14[Vrs]=$D119)*(_xlfn.TEXTAFTER(F_RT14[ActGrp],":")=_xlfn.TEXTAFTER($H119,":")),"X"),MATCH("*"&amp;K$54,F_RT14[#Headers],0))),IF(AND(_xlpm.x=0,_xlpm.y&lt;&gt;0),-1,IF(AND(_xlpm.x&lt;&gt;0,_xlpm.y&lt;&gt;0),_xlpm.x,IF(AND(_xlpm.x-SUM(IF((INDIRECT($B$3)=$B119)*(INDIRECT($C$3)=$D119)*((INDIRECT($E$3)="TOTS")+(INDIRECT($E$3)=$E119)),INDIRECT(K$3)))&lt;&gt;0,_xlpm.y=0),-2,_xlpm.x)))),0))</f>
        <v>-1</v>
      </c>
      <c r="L119" s="199" cm="1">
        <f t="array" aca="1" ref="L119" ca="1">IF(OR($B119="",$B119="X",$D119="",$D119="X",$E119="",$E119="X"),0,IFERROR(_xlfn.LET(_xlpm.x,SUM(SUM(_xlfn._xlws.FILTER(VALUE(PptoSty[Sign]&amp;1)*(1/PptoSty[Division]),(PptoSty[Division]&lt;&gt;0)*(PptoSty[Division]&lt;&gt;"")*(PptoSty[Division]&lt;&gt;"X")*(PptoSty[Project]=$B119)*(PptoSty[Vrs]=$D119)*(PptoSty[PiRow]=_xlfn.TEXTAFTER($H119,":"))*(PptoSty[PiColumn]=L$54),0)),SUM(IF((INDIRECT($B$3)=$B119)*(INDIRECT($C$3)=$D119)*((INDIRECT($E$3)="TOTS")+(INDIRECT($E$3)=$E119)),INDIRECT(L$3)))),_xlpm.y,SUM(_xlfn.CHOOSECOLS(_xlfn._xlws.FILTER(F_RT14[],(F_RT14[PrjId]=$B119)*(F_RT14[Vrs]=$D119)*(_xlfn.TEXTAFTER(F_RT14[ActGrp],":")=_xlfn.TEXTAFTER($H119,":")),"X"),MATCH("*"&amp;L$54,F_RT14[#Headers],0))),IF(AND(_xlpm.x=0,_xlpm.y&lt;&gt;0),-1,IF(AND(_xlpm.x&lt;&gt;0,_xlpm.y&lt;&gt;0),_xlpm.x,IF(AND(_xlpm.x-SUM(IF((INDIRECT($B$3)=$B119)*(INDIRECT($C$3)=$D119)*((INDIRECT($E$3)="TOTS")+(INDIRECT($E$3)=$E119)),INDIRECT(L$3)))&lt;&gt;0,_xlpm.y=0),-2,_xlpm.x)))),0))</f>
        <v>0</v>
      </c>
      <c r="M119" s="199" cm="1">
        <f t="array" aca="1" ref="M119" ca="1">IF(OR($B119="",$B119="X",$D119="",$D119="X",$E119="",$E119="X"),0,IFERROR(_xlfn.LET(_xlpm.x,SUM(SUM(_xlfn._xlws.FILTER(VALUE(PptoSty[Sign]&amp;1)*(1/PptoSty[Division]),(PptoSty[Division]&lt;&gt;0)*(PptoSty[Division]&lt;&gt;"")*(PptoSty[Division]&lt;&gt;"X")*(PptoSty[Project]=$B119)*(PptoSty[Vrs]=$D119)*(PptoSty[PiRow]=_xlfn.TEXTAFTER($H119,":"))*(PptoSty[PiColumn]=M$54),0)),SUM(IF((INDIRECT($B$3)=$B119)*(INDIRECT($C$3)=$D119)*((INDIRECT($E$3)="TOTS")+(INDIRECT($E$3)=$E119)),INDIRECT(M$3)))),_xlpm.y,SUM(_xlfn.CHOOSECOLS(_xlfn._xlws.FILTER(F_RT14[],(F_RT14[PrjId]=$B119)*(F_RT14[Vrs]=$D119)*(_xlfn.TEXTAFTER(F_RT14[ActGrp],":")=_xlfn.TEXTAFTER($H119,":")),"X"),MATCH("*"&amp;M$54,F_RT14[#Headers],0))),IF(AND(_xlpm.x=0,_xlpm.y&lt;&gt;0),-1,IF(AND(_xlpm.x&lt;&gt;0,_xlpm.y&lt;&gt;0),_xlpm.x,IF(AND(_xlpm.x-SUM(IF((INDIRECT($B$3)=$B119)*(INDIRECT($C$3)=$D119)*((INDIRECT($E$3)="TOTS")+(INDIRECT($E$3)=$E119)),INDIRECT(M$3)))&lt;&gt;0,_xlpm.y=0),-2,_xlpm.x)))),0))</f>
        <v>0</v>
      </c>
      <c r="N119" s="199" cm="1">
        <f t="array" aca="1" ref="N119" ca="1">IF(OR($B119="",$B119="X",$D119="",$D119="X",$E119="",$E119="X"),0,IFERROR(_xlfn.LET(_xlpm.x,SUM(SUM(_xlfn._xlws.FILTER(VALUE(PptoSty[Sign]&amp;1)*(1/PptoSty[Division]),(PptoSty[Division]&lt;&gt;0)*(PptoSty[Division]&lt;&gt;"")*(PptoSty[Division]&lt;&gt;"X")*(PptoSty[Project]=$B119)*(PptoSty[Vrs]=$D119)*(PptoSty[PiRow]=_xlfn.TEXTAFTER($H119,":"))*(PptoSty[PiColumn]=N$54),0)),SUM(IF((INDIRECT($B$3)=$B119)*(INDIRECT($C$3)=$D119)*((INDIRECT($E$3)="TOTS")+(INDIRECT($E$3)=$E119)),INDIRECT(N$3)))),_xlpm.y,SUM(_xlfn.CHOOSECOLS(_xlfn._xlws.FILTER(F_RT14[],(F_RT14[PrjId]=$B119)*(F_RT14[Vrs]=$D119)*(_xlfn.TEXTAFTER(F_RT14[ActGrp],":")=_xlfn.TEXTAFTER($H119,":")),"X"),MATCH("*"&amp;N$54,F_RT14[#Headers],0))),IF(AND(_xlpm.x=0,_xlpm.y&lt;&gt;0),-1,IF(AND(_xlpm.x&lt;&gt;0,_xlpm.y&lt;&gt;0),_xlpm.x,IF(AND(_xlpm.x-SUM(IF((INDIRECT($B$3)=$B119)*(INDIRECT($C$3)=$D119)*((INDIRECT($E$3)="TOTS")+(INDIRECT($E$3)=$E119)),INDIRECT(N$3)))&lt;&gt;0,_xlpm.y=0),-2,_xlpm.x)))),0))</f>
        <v>0</v>
      </c>
      <c r="O119" s="199" cm="1">
        <f t="array" aca="1" ref="O119" ca="1">IF(OR($B119="",$B119="X",$D119="",$D119="X",$E119="",$E119="X"),0,IFERROR(_xlfn.LET(_xlpm.x,SUM(SUM(_xlfn._xlws.FILTER(VALUE(PptoSty[Sign]&amp;1)*(1/PptoSty[Division]),(PptoSty[Division]&lt;&gt;0)*(PptoSty[Division]&lt;&gt;"")*(PptoSty[Division]&lt;&gt;"X")*(PptoSty[Project]=$B119)*(PptoSty[Vrs]=$D119)*(PptoSty[PiRow]=_xlfn.TEXTAFTER($H119,":"))*(PptoSty[PiColumn]=O$54),0)),SUM(IF((INDIRECT($B$3)=$B119)*(INDIRECT($C$3)=$D119)*((INDIRECT($E$3)="TOTS")+(INDIRECT($E$3)=$E119)),INDIRECT(O$3)))),_xlpm.y,SUM(_xlfn.CHOOSECOLS(_xlfn._xlws.FILTER(F_RT14[],(F_RT14[PrjId]=$B119)*(F_RT14[Vrs]=$D119)*(_xlfn.TEXTAFTER(F_RT14[ActGrp],":")=_xlfn.TEXTAFTER($H119,":")),"X"),MATCH("*"&amp;O$54,F_RT14[#Headers],0))),IF(AND(_xlpm.x=0,_xlpm.y&lt;&gt;0),-1,IF(AND(_xlpm.x&lt;&gt;0,_xlpm.y&lt;&gt;0),_xlpm.x,IF(AND(_xlpm.x-SUM(IF((INDIRECT($B$3)=$B119)*(INDIRECT($C$3)=$D119)*((INDIRECT($E$3)="TOTS")+(INDIRECT($E$3)=$E119)),INDIRECT(O$3)))&lt;&gt;0,_xlpm.y=0),-2,_xlpm.x)))),0))</f>
        <v>0</v>
      </c>
      <c r="P119" s="199" cm="1">
        <f t="array" aca="1" ref="P119" ca="1">IF(OR($B119="",$B119="X",$D119="",$D119="X",$E119="",$E119="X"),0,IFERROR(_xlfn.LET(_xlpm.x,SUM(SUM(_xlfn._xlws.FILTER(VALUE(PptoSty[Sign]&amp;1)*(1/PptoSty[Division]),(PptoSty[Division]&lt;&gt;0)*(PptoSty[Division]&lt;&gt;"")*(PptoSty[Division]&lt;&gt;"X")*(PptoSty[Project]=$B119)*(PptoSty[Vrs]=$D119)*(PptoSty[PiRow]=_xlfn.TEXTAFTER($H119,":"))*(PptoSty[PiColumn]=P$54),0)),SUM(IF((INDIRECT($B$3)=$B119)*(INDIRECT($C$3)=$D119)*((INDIRECT($E$3)="TOTS")+(INDIRECT($E$3)=$E119)),INDIRECT(P$3)))),_xlpm.y,SUM(_xlfn.CHOOSECOLS(_xlfn._xlws.FILTER(F_RT14[],(F_RT14[PrjId]=$B119)*(F_RT14[Vrs]=$D119)*(_xlfn.TEXTAFTER(F_RT14[ActGrp],":")=_xlfn.TEXTAFTER($H119,":")),"X"),MATCH("*"&amp;P$54,F_RT14[#Headers],0))),IF(AND(_xlpm.x=0,_xlpm.y&lt;&gt;0),-1,IF(AND(_xlpm.x&lt;&gt;0,_xlpm.y&lt;&gt;0),_xlpm.x,IF(AND(_xlpm.x-SUM(IF((INDIRECT($B$3)=$B119)*(INDIRECT($C$3)=$D119)*((INDIRECT($E$3)="TOTS")+(INDIRECT($E$3)=$E119)),INDIRECT(P$3)))&lt;&gt;0,_xlpm.y=0),-2,_xlpm.x)))),0))</f>
        <v>-1</v>
      </c>
      <c r="Q119" s="199" cm="1">
        <f t="array" aca="1" ref="Q119" ca="1">IF(OR($B119="",$B119="X",$D119="",$D119="X",$E119="",$E119="X"),0,IFERROR(_xlfn.LET(_xlpm.x,SUM(SUM(_xlfn._xlws.FILTER(VALUE(PptoSty[Sign]&amp;1)*(1/PptoSty[Division]),(PptoSty[Division]&lt;&gt;0)*(PptoSty[Division]&lt;&gt;"")*(PptoSty[Division]&lt;&gt;"X")*(PptoSty[Project]=$B119)*(PptoSty[Vrs]=$D119)*(PptoSty[PiRow]=_xlfn.TEXTAFTER($H119,":"))*(PptoSty[PiColumn]=Q$54),0)),SUM(IF((INDIRECT($B$3)=$B119)*(INDIRECT($C$3)=$D119)*((INDIRECT($E$3)="TOTS")+(INDIRECT($E$3)=$E119)),INDIRECT(Q$3)))),_xlpm.y,SUM(_xlfn.CHOOSECOLS(_xlfn._xlws.FILTER(F_RT14[],(F_RT14[PrjId]=$B119)*(F_RT14[Vrs]=$D119)*(_xlfn.TEXTAFTER(F_RT14[ActGrp],":")=_xlfn.TEXTAFTER($H119,":")),"X"),MATCH("*"&amp;Q$54,F_RT14[#Headers],0))),IF(AND(_xlpm.x=0,_xlpm.y&lt;&gt;0),-1,IF(AND(_xlpm.x&lt;&gt;0,_xlpm.y&lt;&gt;0),_xlpm.x,IF(AND(_xlpm.x-SUM(IF((INDIRECT($B$3)=$B119)*(INDIRECT($C$3)=$D119)*((INDIRECT($E$3)="TOTS")+(INDIRECT($E$3)=$E119)),INDIRECT(Q$3)))&lt;&gt;0,_xlpm.y=0),-2,_xlpm.x)))),0))</f>
        <v>-1</v>
      </c>
      <c r="R119" s="199" cm="1">
        <f t="array" aca="1" ref="R119" ca="1">IF(OR($B119="",$B119="X",$D119="",$D119="X",$E119="",$E119="X"),0,IFERROR(_xlfn.LET(_xlpm.x,SUM(SUM(_xlfn._xlws.FILTER(VALUE(PptoSty[Sign]&amp;1)*(1/PptoSty[Division]),(PptoSty[Division]&lt;&gt;0)*(PptoSty[Division]&lt;&gt;"")*(PptoSty[Division]&lt;&gt;"X")*(PptoSty[Project]=$B119)*(PptoSty[Vrs]=$D119)*(PptoSty[PiRow]=_xlfn.TEXTAFTER($H119,":"))*(PptoSty[PiColumn]=R$54),0)),SUM(IF((INDIRECT($B$3)=$B119)*(INDIRECT($C$3)=$D119)*((INDIRECT($E$3)="TOTS")+(INDIRECT($E$3)=$E119)),INDIRECT(R$3)))),_xlpm.y,SUM(_xlfn.CHOOSECOLS(_xlfn._xlws.FILTER(F_RT14[],(F_RT14[PrjId]=$B119)*(F_RT14[Vrs]=$D119)*(_xlfn.TEXTAFTER(F_RT14[ActGrp],":")=_xlfn.TEXTAFTER($H119,":")),"X"),MATCH("*"&amp;R$54,F_RT14[#Headers],0))),IF(AND(_xlpm.x=0,_xlpm.y&lt;&gt;0),-1,IF(AND(_xlpm.x&lt;&gt;0,_xlpm.y&lt;&gt;0),_xlpm.x,IF(AND(_xlpm.x-SUM(IF((INDIRECT($B$3)=$B119)*(INDIRECT($C$3)=$D119)*((INDIRECT($E$3)="TOTS")+(INDIRECT($E$3)=$E119)),INDIRECT(R$3)))&lt;&gt;0,_xlpm.y=0),-2,_xlpm.x)))),0))</f>
        <v>-1</v>
      </c>
      <c r="S119" s="199" cm="1">
        <f t="array" aca="1" ref="S119" ca="1">IF(OR($B119="",$B119="X",$D119="",$D119="X",$E119="",$E119="X"),0,IFERROR(_xlfn.LET(_xlpm.x,SUM(SUM(_xlfn._xlws.FILTER(VALUE(PptoSty[Sign]&amp;1)*(1/PptoSty[Division]),(PptoSty[Division]&lt;&gt;0)*(PptoSty[Division]&lt;&gt;"")*(PptoSty[Division]&lt;&gt;"X")*(PptoSty[Project]=$B119)*(PptoSty[Vrs]=$D119)*(PptoSty[PiRow]=_xlfn.TEXTAFTER($H119,":"))*(PptoSty[PiColumn]=S$54),0)),SUM(IF((INDIRECT($B$3)=$B119)*(INDIRECT($C$3)=$D119)*((INDIRECT($E$3)="TOTS")+(INDIRECT($E$3)=$E119)),INDIRECT(S$3)))),_xlpm.y,SUM(_xlfn.CHOOSECOLS(_xlfn._xlws.FILTER(F_RT14[],(F_RT14[PrjId]=$B119)*(F_RT14[Vrs]=$D119)*(_xlfn.TEXTAFTER(F_RT14[ActGrp],":")=_xlfn.TEXTAFTER($H119,":")),"X"),MATCH("*"&amp;S$54,F_RT14[#Headers],0))),IF(AND(_xlpm.x=0,_xlpm.y&lt;&gt;0),-1,IF(AND(_xlpm.x&lt;&gt;0,_xlpm.y&lt;&gt;0),_xlpm.x,IF(AND(_xlpm.x-SUM(IF((INDIRECT($B$3)=$B119)*(INDIRECT($C$3)=$D119)*((INDIRECT($E$3)="TOTS")+(INDIRECT($E$3)=$E119)),INDIRECT(S$3)))&lt;&gt;0,_xlpm.y=0),-2,_xlpm.x)))),0))</f>
        <v>0</v>
      </c>
      <c r="T119" s="199" cm="1">
        <f t="array" aca="1" ref="T119" ca="1">IF(OR($B119="",$B119="X",$D119="",$D119="X",$E119="",$E119="X"),0,IFERROR(_xlfn.LET(_xlpm.x,SUM(SUM(_xlfn._xlws.FILTER(VALUE(PptoSty[Sign]&amp;1)*(1/PptoSty[Division]),(PptoSty[Division]&lt;&gt;0)*(PptoSty[Division]&lt;&gt;"")*(PptoSty[Division]&lt;&gt;"X")*(PptoSty[Project]=$B119)*(PptoSty[Vrs]=$D119)*(PptoSty[PiRow]=_xlfn.TEXTAFTER($H119,":"))*(PptoSty[PiColumn]=T$54),0)),SUM(IF((INDIRECT($B$3)=$B119)*(INDIRECT($C$3)=$D119)*((INDIRECT($E$3)="TOTS")+(INDIRECT($E$3)=$E119)),INDIRECT(T$3)))),_xlpm.y,SUM(_xlfn.CHOOSECOLS(_xlfn._xlws.FILTER(F_RT14[],(F_RT14[PrjId]=$B119)*(F_RT14[Vrs]=$D119)*(_xlfn.TEXTAFTER(F_RT14[ActGrp],":")=_xlfn.TEXTAFTER($H119,":")),"X"),MATCH("*"&amp;T$54,F_RT14[#Headers],0))),IF(AND(_xlpm.x=0,_xlpm.y&lt;&gt;0),-1,IF(AND(_xlpm.x&lt;&gt;0,_xlpm.y&lt;&gt;0),_xlpm.x,IF(AND(_xlpm.x-SUM(IF((INDIRECT($B$3)=$B119)*(INDIRECT($C$3)=$D119)*((INDIRECT($E$3)="TOTS")+(INDIRECT($E$3)=$E119)),INDIRECT(T$3)))&lt;&gt;0,_xlpm.y=0),-2,_xlpm.x)))),0))</f>
        <v>0</v>
      </c>
      <c r="U119" s="199" cm="1">
        <f t="array" aca="1" ref="U119" ca="1">IF(OR($B119="",$B119="X",$D119="",$D119="X",$E119="",$E119="X"),0,IFERROR(_xlfn.LET(_xlpm.x,SUM(SUM(_xlfn._xlws.FILTER(VALUE(PptoSty[Sign]&amp;1)*(1/PptoSty[Division]),(PptoSty[Division]&lt;&gt;0)*(PptoSty[Division]&lt;&gt;"")*(PptoSty[Division]&lt;&gt;"X")*(PptoSty[Project]=$B119)*(PptoSty[Vrs]=$D119)*(PptoSty[PiRow]=_xlfn.TEXTAFTER($H119,":"))*(PptoSty[PiColumn]=U$54),0)),SUM(IF((INDIRECT($B$3)=$B119)*(INDIRECT($C$3)=$D119)*((INDIRECT($E$3)="TOTS")+(INDIRECT($E$3)=$E119)),INDIRECT(U$3)))),_xlpm.y,SUM(_xlfn.CHOOSECOLS(_xlfn._xlws.FILTER(F_RT14[],(F_RT14[PrjId]=$B119)*(F_RT14[Vrs]=$D119)*(_xlfn.TEXTAFTER(F_RT14[ActGrp],":")=_xlfn.TEXTAFTER($H119,":")),"X"),MATCH("*"&amp;U$54,F_RT14[#Headers],0))),IF(AND(_xlpm.x=0,_xlpm.y&lt;&gt;0),-1,IF(AND(_xlpm.x&lt;&gt;0,_xlpm.y&lt;&gt;0),_xlpm.x,IF(AND(_xlpm.x-SUM(IF((INDIRECT($B$3)=$B119)*(INDIRECT($C$3)=$D119)*((INDIRECT($E$3)="TOTS")+(INDIRECT($E$3)=$E119)),INDIRECT(U$3)))&lt;&gt;0,_xlpm.y=0),-2,_xlpm.x)))),0))</f>
        <v>0</v>
      </c>
      <c r="V119" s="199" cm="1">
        <f t="array" aca="1" ref="V119" ca="1">IF(OR($B119="",$B119="X",$D119="",$D119="X",$E119="",$E119="X"),0,IFERROR(_xlfn.LET(_xlpm.x,SUM(SUM(_xlfn._xlws.FILTER(VALUE(PptoSty[Sign]&amp;1)*(1/PptoSty[Division]),(PptoSty[Division]&lt;&gt;0)*(PptoSty[Division]&lt;&gt;"")*(PptoSty[Division]&lt;&gt;"X")*(PptoSty[Project]=$B119)*(PptoSty[Vrs]=$D119)*(PptoSty[PiRow]=_xlfn.TEXTAFTER($H119,":"))*(PptoSty[PiColumn]=V$54),0)),SUM(IF((INDIRECT($B$3)=$B119)*(INDIRECT($C$3)=$D119)*((INDIRECT($E$3)="TOTS")+(INDIRECT($E$3)=$E119)),INDIRECT(V$3)))),_xlpm.y,SUM(_xlfn.CHOOSECOLS(_xlfn._xlws.FILTER(F_RT14[],(F_RT14[PrjId]=$B119)*(F_RT14[Vrs]=$D119)*(_xlfn.TEXTAFTER(F_RT14[ActGrp],":")=_xlfn.TEXTAFTER($H119,":")),"X"),MATCH("*"&amp;V$54,F_RT14[#Headers],0))),IF(AND(_xlpm.x=0,_xlpm.y&lt;&gt;0),-1,IF(AND(_xlpm.x&lt;&gt;0,_xlpm.y&lt;&gt;0),_xlpm.x,IF(AND(_xlpm.x-SUM(IF((INDIRECT($B$3)=$B119)*(INDIRECT($C$3)=$D119)*((INDIRECT($E$3)="TOTS")+(INDIRECT($E$3)=$E119)),INDIRECT(V$3)))&lt;&gt;0,_xlpm.y=0),-2,_xlpm.x)))),0))</f>
        <v>-1</v>
      </c>
      <c r="W119" s="199" cm="1">
        <f t="array" aca="1" ref="W119" ca="1">IF(OR($B119="",$B119="X",$D119="",$D119="X",$E119="",$E119="X"),0,IFERROR(_xlfn.LET(_xlpm.x,SUM(SUM(_xlfn._xlws.FILTER(VALUE(PptoSty[Sign]&amp;1)*(1/PptoSty[Division]),(PptoSty[Division]&lt;&gt;0)*(PptoSty[Division]&lt;&gt;"")*(PptoSty[Division]&lt;&gt;"X")*(PptoSty[Project]=$B119)*(PptoSty[Vrs]=$D119)*(PptoSty[PiRow]=_xlfn.TEXTAFTER($H119,":"))*(PptoSty[PiColumn]=W$54),0)),SUM(IF((INDIRECT($B$3)=$B119)*(INDIRECT($C$3)=$D119)*((INDIRECT($E$3)="TOTS")+(INDIRECT($E$3)=$E119)),INDIRECT(W$3)))),_xlpm.y,SUM(_xlfn.CHOOSECOLS(_xlfn._xlws.FILTER(F_RT14[],(F_RT14[PrjId]=$B119)*(F_RT14[Vrs]=$D119)*(_xlfn.TEXTAFTER(F_RT14[ActGrp],":")=_xlfn.TEXTAFTER($H119,":")),"X"),MATCH("*"&amp;W$54,F_RT14[#Headers],0))),IF(AND(_xlpm.x=0,_xlpm.y&lt;&gt;0),-1,IF(AND(_xlpm.x&lt;&gt;0,_xlpm.y&lt;&gt;0),_xlpm.x,IF(AND(_xlpm.x-SUM(IF((INDIRECT($B$3)=$B119)*(INDIRECT($C$3)=$D119)*((INDIRECT($E$3)="TOTS")+(INDIRECT($E$3)=$E119)),INDIRECT(W$3)))&lt;&gt;0,_xlpm.y=0),-2,_xlpm.x)))),0))</f>
        <v>0</v>
      </c>
      <c r="X119" s="199" cm="1">
        <f t="array" aca="1" ref="X119" ca="1">IF(OR($B119="",$B119="X",$D119="",$D119="X",$E119="",$E119="X"),0,IFERROR(_xlfn.LET(_xlpm.x,SUM(SUM(_xlfn._xlws.FILTER(VALUE(PptoSty[Sign]&amp;1)*(1/PptoSty[Division]),(PptoSty[Division]&lt;&gt;0)*(PptoSty[Division]&lt;&gt;"")*(PptoSty[Division]&lt;&gt;"X")*(PptoSty[Project]=$B119)*(PptoSty[Vrs]=$D119)*(PptoSty[PiRow]=_xlfn.TEXTAFTER($H119,":"))*(PptoSty[PiColumn]=X$54),0)),SUM(IF((INDIRECT($B$3)=$B119)*(INDIRECT($C$3)=$D119)*((INDIRECT($E$3)="TOTS")+(INDIRECT($E$3)=$E119)),INDIRECT(X$3)))),_xlpm.y,SUM(_xlfn.CHOOSECOLS(_xlfn._xlws.FILTER(F_RT14[],(F_RT14[PrjId]=$B119)*(F_RT14[Vrs]=$D119)*(_xlfn.TEXTAFTER(F_RT14[ActGrp],":")=_xlfn.TEXTAFTER($H119,":")),"X"),MATCH("*"&amp;X$54,F_RT14[#Headers],0))),IF(AND(_xlpm.x=0,_xlpm.y&lt;&gt;0),-1,IF(AND(_xlpm.x&lt;&gt;0,_xlpm.y&lt;&gt;0),_xlpm.x,IF(AND(_xlpm.x-SUM(IF((INDIRECT($B$3)=$B119)*(INDIRECT($C$3)=$D119)*((INDIRECT($E$3)="TOTS")+(INDIRECT($E$3)=$E119)),INDIRECT(X$3)))&lt;&gt;0,_xlpm.y=0),-2,_xlpm.x)))),0))</f>
        <v>0</v>
      </c>
      <c r="Y119" s="199" cm="1">
        <f t="array" aca="1" ref="Y119" ca="1">IF(OR($B119="",$B119="X",$D119="",$D119="X",$E119="",$E119="X"),0,IFERROR(_xlfn.LET(_xlpm.x,SUM(SUM(_xlfn._xlws.FILTER(VALUE(PptoSty[Sign]&amp;1)*(1/PptoSty[Division]),(PptoSty[Division]&lt;&gt;0)*(PptoSty[Division]&lt;&gt;"")*(PptoSty[Division]&lt;&gt;"X")*(PptoSty[Project]=$B119)*(PptoSty[Vrs]=$D119)*(PptoSty[PiRow]=_xlfn.TEXTAFTER($H119,":"))*(PptoSty[PiColumn]=Y$54),0)),SUM(IF((INDIRECT($B$3)=$B119)*(INDIRECT($C$3)=$D119)*((INDIRECT($E$3)="TOTS")+(INDIRECT($E$3)=$E119)),INDIRECT(Y$3)))),_xlpm.y,SUM(_xlfn.CHOOSECOLS(_xlfn._xlws.FILTER(F_RT14[],(F_RT14[PrjId]=$B119)*(F_RT14[Vrs]=$D119)*(_xlfn.TEXTAFTER(F_RT14[ActGrp],":")=_xlfn.TEXTAFTER($H119,":")),"X"),MATCH("*"&amp;Y$54,F_RT14[#Headers],0))),IF(AND(_xlpm.x=0,_xlpm.y&lt;&gt;0),-1,IF(AND(_xlpm.x&lt;&gt;0,_xlpm.y&lt;&gt;0),_xlpm.x,IF(AND(_xlpm.x-SUM(IF((INDIRECT($B$3)=$B119)*(INDIRECT($C$3)=$D119)*((INDIRECT($E$3)="TOTS")+(INDIRECT($E$3)=$E119)),INDIRECT(Y$3)))&lt;&gt;0,_xlpm.y=0),-2,_xlpm.x)))),0))</f>
        <v>0</v>
      </c>
      <c r="Z119" s="198" t="str">
        <f t="shared" ca="1" si="3"/>
        <v>Fback!B119:Y119</v>
      </c>
    </row>
    <row r="120" spans="2:26" ht="21" customHeight="1" outlineLevel="1">
      <c r="B120" s="128" t="str">
        <v>31200</v>
      </c>
      <c r="C120" s="128" t="str">
        <v>Sp</v>
      </c>
      <c r="D120" s="128">
        <v>15</v>
      </c>
      <c r="E120" s="128" t="str">
        <v>TOOL</v>
      </c>
      <c r="F120" s="139" t="str">
        <v>SERRA</v>
      </c>
      <c r="G120" s="139" t="str">
        <v>CurPpto</v>
      </c>
      <c r="H120" s="139" t="str">
        <v>P023:OP-401 MARKING</v>
      </c>
      <c r="I120" s="199" cm="1">
        <f t="array" aca="1" ref="I120" ca="1">IF(OR($B120="",$B120="X",$D120="",$D120="X",$E120="",$E120="X"),0,IFERROR(_xlfn.LET(_xlpm.x,SUM(SUM(_xlfn._xlws.FILTER(VALUE(PptoSty[Sign]&amp;1)*(1/PptoSty[Division]),(PptoSty[Division]&lt;&gt;0)*(PptoSty[Division]&lt;&gt;"")*(PptoSty[Division]&lt;&gt;"X")*(PptoSty[Project]=$B120)*(PptoSty[Vrs]=$D120)*(PptoSty[PiRow]=_xlfn.TEXTAFTER($H120,":"))*(PptoSty[PiColumn]=I$54),0)),SUM(IF((INDIRECT($B$3)=$B120)*(INDIRECT($C$3)=$D120)*((INDIRECT($E$3)="TOTS")+(INDIRECT($E$3)=$E120)),INDIRECT(I$3)))),_xlpm.y,SUM(_xlfn.CHOOSECOLS(_xlfn._xlws.FILTER(F_RT14[],(F_RT14[PrjId]=$B120)*(F_RT14[Vrs]=$D120)*(_xlfn.TEXTAFTER(F_RT14[ActGrp],":")=_xlfn.TEXTAFTER($H120,":")),"X"),MATCH("*"&amp;I$54,F_RT14[#Headers],0))),IF(AND(_xlpm.x=0,_xlpm.y&lt;&gt;0),-1,IF(AND(_xlpm.x&lt;&gt;0,_xlpm.y&lt;&gt;0),_xlpm.x,IF(AND(_xlpm.x-SUM(IF((INDIRECT($B$3)=$B120)*(INDIRECT($C$3)=$D120)*((INDIRECT($E$3)="TOTS")+(INDIRECT($E$3)=$E120)),INDIRECT(I$3)))&lt;&gt;0,_xlpm.y=0),-2,_xlpm.x)))),0))</f>
        <v>0</v>
      </c>
      <c r="J120" s="199" cm="1">
        <f t="array" aca="1" ref="J120" ca="1">IF(OR($B120="",$B120="X",$D120="",$D120="X",$E120="",$E120="X"),0,IFERROR(_xlfn.LET(_xlpm.x,SUM(SUM(_xlfn._xlws.FILTER(VALUE(PptoSty[Sign]&amp;1)*(1/PptoSty[Division]),(PptoSty[Division]&lt;&gt;0)*(PptoSty[Division]&lt;&gt;"")*(PptoSty[Division]&lt;&gt;"X")*(PptoSty[Project]=$B120)*(PptoSty[Vrs]=$D120)*(PptoSty[PiRow]=_xlfn.TEXTAFTER($H120,":"))*(PptoSty[PiColumn]=J$54),0)),SUM(IF((INDIRECT($B$3)=$B120)*(INDIRECT($C$3)=$D120)*((INDIRECT($E$3)="TOTS")+(INDIRECT($E$3)=$E120)),INDIRECT(J$3)))),_xlpm.y,SUM(_xlfn.CHOOSECOLS(_xlfn._xlws.FILTER(F_RT14[],(F_RT14[PrjId]=$B120)*(F_RT14[Vrs]=$D120)*(_xlfn.TEXTAFTER(F_RT14[ActGrp],":")=_xlfn.TEXTAFTER($H120,":")),"X"),MATCH("*"&amp;J$54,F_RT14[#Headers],0))),IF(AND(_xlpm.x=0,_xlpm.y&lt;&gt;0),-1,IF(AND(_xlpm.x&lt;&gt;0,_xlpm.y&lt;&gt;0),_xlpm.x,IF(AND(_xlpm.x-SUM(IF((INDIRECT($B$3)=$B120)*(INDIRECT($C$3)=$D120)*((INDIRECT($E$3)="TOTS")+(INDIRECT($E$3)=$E120)),INDIRECT(J$3)))&lt;&gt;0,_xlpm.y=0),-2,_xlpm.x)))),0))</f>
        <v>0</v>
      </c>
      <c r="K120" s="199" cm="1">
        <f t="array" aca="1" ref="K120" ca="1">IF(OR($B120="",$B120="X",$D120="",$D120="X",$E120="",$E120="X"),0,IFERROR(_xlfn.LET(_xlpm.x,SUM(SUM(_xlfn._xlws.FILTER(VALUE(PptoSty[Sign]&amp;1)*(1/PptoSty[Division]),(PptoSty[Division]&lt;&gt;0)*(PptoSty[Division]&lt;&gt;"")*(PptoSty[Division]&lt;&gt;"X")*(PptoSty[Project]=$B120)*(PptoSty[Vrs]=$D120)*(PptoSty[PiRow]=_xlfn.TEXTAFTER($H120,":"))*(PptoSty[PiColumn]=K$54),0)),SUM(IF((INDIRECT($B$3)=$B120)*(INDIRECT($C$3)=$D120)*((INDIRECT($E$3)="TOTS")+(INDIRECT($E$3)=$E120)),INDIRECT(K$3)))),_xlpm.y,SUM(_xlfn.CHOOSECOLS(_xlfn._xlws.FILTER(F_RT14[],(F_RT14[PrjId]=$B120)*(F_RT14[Vrs]=$D120)*(_xlfn.TEXTAFTER(F_RT14[ActGrp],":")=_xlfn.TEXTAFTER($H120,":")),"X"),MATCH("*"&amp;K$54,F_RT14[#Headers],0))),IF(AND(_xlpm.x=0,_xlpm.y&lt;&gt;0),-1,IF(AND(_xlpm.x&lt;&gt;0,_xlpm.y&lt;&gt;0),_xlpm.x,IF(AND(_xlpm.x-SUM(IF((INDIRECT($B$3)=$B120)*(INDIRECT($C$3)=$D120)*((INDIRECT($E$3)="TOTS")+(INDIRECT($E$3)=$E120)),INDIRECT(K$3)))&lt;&gt;0,_xlpm.y=0),-2,_xlpm.x)))),0))</f>
        <v>-1</v>
      </c>
      <c r="L120" s="199" cm="1">
        <f t="array" aca="1" ref="L120" ca="1">IF(OR($B120="",$B120="X",$D120="",$D120="X",$E120="",$E120="X"),0,IFERROR(_xlfn.LET(_xlpm.x,SUM(SUM(_xlfn._xlws.FILTER(VALUE(PptoSty[Sign]&amp;1)*(1/PptoSty[Division]),(PptoSty[Division]&lt;&gt;0)*(PptoSty[Division]&lt;&gt;"")*(PptoSty[Division]&lt;&gt;"X")*(PptoSty[Project]=$B120)*(PptoSty[Vrs]=$D120)*(PptoSty[PiRow]=_xlfn.TEXTAFTER($H120,":"))*(PptoSty[PiColumn]=L$54),0)),SUM(IF((INDIRECT($B$3)=$B120)*(INDIRECT($C$3)=$D120)*((INDIRECT($E$3)="TOTS")+(INDIRECT($E$3)=$E120)),INDIRECT(L$3)))),_xlpm.y,SUM(_xlfn.CHOOSECOLS(_xlfn._xlws.FILTER(F_RT14[],(F_RT14[PrjId]=$B120)*(F_RT14[Vrs]=$D120)*(_xlfn.TEXTAFTER(F_RT14[ActGrp],":")=_xlfn.TEXTAFTER($H120,":")),"X"),MATCH("*"&amp;L$54,F_RT14[#Headers],0))),IF(AND(_xlpm.x=0,_xlpm.y&lt;&gt;0),-1,IF(AND(_xlpm.x&lt;&gt;0,_xlpm.y&lt;&gt;0),_xlpm.x,IF(AND(_xlpm.x-SUM(IF((INDIRECT($B$3)=$B120)*(INDIRECT($C$3)=$D120)*((INDIRECT($E$3)="TOTS")+(INDIRECT($E$3)=$E120)),INDIRECT(L$3)))&lt;&gt;0,_xlpm.y=0),-2,_xlpm.x)))),0))</f>
        <v>0</v>
      </c>
      <c r="M120" s="199" cm="1">
        <f t="array" aca="1" ref="M120" ca="1">IF(OR($B120="",$B120="X",$D120="",$D120="X",$E120="",$E120="X"),0,IFERROR(_xlfn.LET(_xlpm.x,SUM(SUM(_xlfn._xlws.FILTER(VALUE(PptoSty[Sign]&amp;1)*(1/PptoSty[Division]),(PptoSty[Division]&lt;&gt;0)*(PptoSty[Division]&lt;&gt;"")*(PptoSty[Division]&lt;&gt;"X")*(PptoSty[Project]=$B120)*(PptoSty[Vrs]=$D120)*(PptoSty[PiRow]=_xlfn.TEXTAFTER($H120,":"))*(PptoSty[PiColumn]=M$54),0)),SUM(IF((INDIRECT($B$3)=$B120)*(INDIRECT($C$3)=$D120)*((INDIRECT($E$3)="TOTS")+(INDIRECT($E$3)=$E120)),INDIRECT(M$3)))),_xlpm.y,SUM(_xlfn.CHOOSECOLS(_xlfn._xlws.FILTER(F_RT14[],(F_RT14[PrjId]=$B120)*(F_RT14[Vrs]=$D120)*(_xlfn.TEXTAFTER(F_RT14[ActGrp],":")=_xlfn.TEXTAFTER($H120,":")),"X"),MATCH("*"&amp;M$54,F_RT14[#Headers],0))),IF(AND(_xlpm.x=0,_xlpm.y&lt;&gt;0),-1,IF(AND(_xlpm.x&lt;&gt;0,_xlpm.y&lt;&gt;0),_xlpm.x,IF(AND(_xlpm.x-SUM(IF((INDIRECT($B$3)=$B120)*(INDIRECT($C$3)=$D120)*((INDIRECT($E$3)="TOTS")+(INDIRECT($E$3)=$E120)),INDIRECT(M$3)))&lt;&gt;0,_xlpm.y=0),-2,_xlpm.x)))),0))</f>
        <v>0</v>
      </c>
      <c r="N120" s="199" cm="1">
        <f t="array" aca="1" ref="N120" ca="1">IF(OR($B120="",$B120="X",$D120="",$D120="X",$E120="",$E120="X"),0,IFERROR(_xlfn.LET(_xlpm.x,SUM(SUM(_xlfn._xlws.FILTER(VALUE(PptoSty[Sign]&amp;1)*(1/PptoSty[Division]),(PptoSty[Division]&lt;&gt;0)*(PptoSty[Division]&lt;&gt;"")*(PptoSty[Division]&lt;&gt;"X")*(PptoSty[Project]=$B120)*(PptoSty[Vrs]=$D120)*(PptoSty[PiRow]=_xlfn.TEXTAFTER($H120,":"))*(PptoSty[PiColumn]=N$54),0)),SUM(IF((INDIRECT($B$3)=$B120)*(INDIRECT($C$3)=$D120)*((INDIRECT($E$3)="TOTS")+(INDIRECT($E$3)=$E120)),INDIRECT(N$3)))),_xlpm.y,SUM(_xlfn.CHOOSECOLS(_xlfn._xlws.FILTER(F_RT14[],(F_RT14[PrjId]=$B120)*(F_RT14[Vrs]=$D120)*(_xlfn.TEXTAFTER(F_RT14[ActGrp],":")=_xlfn.TEXTAFTER($H120,":")),"X"),MATCH("*"&amp;N$54,F_RT14[#Headers],0))),IF(AND(_xlpm.x=0,_xlpm.y&lt;&gt;0),-1,IF(AND(_xlpm.x&lt;&gt;0,_xlpm.y&lt;&gt;0),_xlpm.x,IF(AND(_xlpm.x-SUM(IF((INDIRECT($B$3)=$B120)*(INDIRECT($C$3)=$D120)*((INDIRECT($E$3)="TOTS")+(INDIRECT($E$3)=$E120)),INDIRECT(N$3)))&lt;&gt;0,_xlpm.y=0),-2,_xlpm.x)))),0))</f>
        <v>0</v>
      </c>
      <c r="O120" s="199" cm="1">
        <f t="array" aca="1" ref="O120" ca="1">IF(OR($B120="",$B120="X",$D120="",$D120="X",$E120="",$E120="X"),0,IFERROR(_xlfn.LET(_xlpm.x,SUM(SUM(_xlfn._xlws.FILTER(VALUE(PptoSty[Sign]&amp;1)*(1/PptoSty[Division]),(PptoSty[Division]&lt;&gt;0)*(PptoSty[Division]&lt;&gt;"")*(PptoSty[Division]&lt;&gt;"X")*(PptoSty[Project]=$B120)*(PptoSty[Vrs]=$D120)*(PptoSty[PiRow]=_xlfn.TEXTAFTER($H120,":"))*(PptoSty[PiColumn]=O$54),0)),SUM(IF((INDIRECT($B$3)=$B120)*(INDIRECT($C$3)=$D120)*((INDIRECT($E$3)="TOTS")+(INDIRECT($E$3)=$E120)),INDIRECT(O$3)))),_xlpm.y,SUM(_xlfn.CHOOSECOLS(_xlfn._xlws.FILTER(F_RT14[],(F_RT14[PrjId]=$B120)*(F_RT14[Vrs]=$D120)*(_xlfn.TEXTAFTER(F_RT14[ActGrp],":")=_xlfn.TEXTAFTER($H120,":")),"X"),MATCH("*"&amp;O$54,F_RT14[#Headers],0))),IF(AND(_xlpm.x=0,_xlpm.y&lt;&gt;0),-1,IF(AND(_xlpm.x&lt;&gt;0,_xlpm.y&lt;&gt;0),_xlpm.x,IF(AND(_xlpm.x-SUM(IF((INDIRECT($B$3)=$B120)*(INDIRECT($C$3)=$D120)*((INDIRECT($E$3)="TOTS")+(INDIRECT($E$3)=$E120)),INDIRECT(O$3)))&lt;&gt;0,_xlpm.y=0),-2,_xlpm.x)))),0))</f>
        <v>0</v>
      </c>
      <c r="P120" s="199" cm="1">
        <f t="array" aca="1" ref="P120" ca="1">IF(OR($B120="",$B120="X",$D120="",$D120="X",$E120="",$E120="X"),0,IFERROR(_xlfn.LET(_xlpm.x,SUM(SUM(_xlfn._xlws.FILTER(VALUE(PptoSty[Sign]&amp;1)*(1/PptoSty[Division]),(PptoSty[Division]&lt;&gt;0)*(PptoSty[Division]&lt;&gt;"")*(PptoSty[Division]&lt;&gt;"X")*(PptoSty[Project]=$B120)*(PptoSty[Vrs]=$D120)*(PptoSty[PiRow]=_xlfn.TEXTAFTER($H120,":"))*(PptoSty[PiColumn]=P$54),0)),SUM(IF((INDIRECT($B$3)=$B120)*(INDIRECT($C$3)=$D120)*((INDIRECT($E$3)="TOTS")+(INDIRECT($E$3)=$E120)),INDIRECT(P$3)))),_xlpm.y,SUM(_xlfn.CHOOSECOLS(_xlfn._xlws.FILTER(F_RT14[],(F_RT14[PrjId]=$B120)*(F_RT14[Vrs]=$D120)*(_xlfn.TEXTAFTER(F_RT14[ActGrp],":")=_xlfn.TEXTAFTER($H120,":")),"X"),MATCH("*"&amp;P$54,F_RT14[#Headers],0))),IF(AND(_xlpm.x=0,_xlpm.y&lt;&gt;0),-1,IF(AND(_xlpm.x&lt;&gt;0,_xlpm.y&lt;&gt;0),_xlpm.x,IF(AND(_xlpm.x-SUM(IF((INDIRECT($B$3)=$B120)*(INDIRECT($C$3)=$D120)*((INDIRECT($E$3)="TOTS")+(INDIRECT($E$3)=$E120)),INDIRECT(P$3)))&lt;&gt;0,_xlpm.y=0),-2,_xlpm.x)))),0))</f>
        <v>0</v>
      </c>
      <c r="Q120" s="199" cm="1">
        <f t="array" aca="1" ref="Q120" ca="1">IF(OR($B120="",$B120="X",$D120="",$D120="X",$E120="",$E120="X"),0,IFERROR(_xlfn.LET(_xlpm.x,SUM(SUM(_xlfn._xlws.FILTER(VALUE(PptoSty[Sign]&amp;1)*(1/PptoSty[Division]),(PptoSty[Division]&lt;&gt;0)*(PptoSty[Division]&lt;&gt;"")*(PptoSty[Division]&lt;&gt;"X")*(PptoSty[Project]=$B120)*(PptoSty[Vrs]=$D120)*(PptoSty[PiRow]=_xlfn.TEXTAFTER($H120,":"))*(PptoSty[PiColumn]=Q$54),0)),SUM(IF((INDIRECT($B$3)=$B120)*(INDIRECT($C$3)=$D120)*((INDIRECT($E$3)="TOTS")+(INDIRECT($E$3)=$E120)),INDIRECT(Q$3)))),_xlpm.y,SUM(_xlfn.CHOOSECOLS(_xlfn._xlws.FILTER(F_RT14[],(F_RT14[PrjId]=$B120)*(F_RT14[Vrs]=$D120)*(_xlfn.TEXTAFTER(F_RT14[ActGrp],":")=_xlfn.TEXTAFTER($H120,":")),"X"),MATCH("*"&amp;Q$54,F_RT14[#Headers],0))),IF(AND(_xlpm.x=0,_xlpm.y&lt;&gt;0),-1,IF(AND(_xlpm.x&lt;&gt;0,_xlpm.y&lt;&gt;0),_xlpm.x,IF(AND(_xlpm.x-SUM(IF((INDIRECT($B$3)=$B120)*(INDIRECT($C$3)=$D120)*((INDIRECT($E$3)="TOTS")+(INDIRECT($E$3)=$E120)),INDIRECT(Q$3)))&lt;&gt;0,_xlpm.y=0),-2,_xlpm.x)))),0))</f>
        <v>0</v>
      </c>
      <c r="R120" s="199" cm="1">
        <f t="array" aca="1" ref="R120" ca="1">IF(OR($B120="",$B120="X",$D120="",$D120="X",$E120="",$E120="X"),0,IFERROR(_xlfn.LET(_xlpm.x,SUM(SUM(_xlfn._xlws.FILTER(VALUE(PptoSty[Sign]&amp;1)*(1/PptoSty[Division]),(PptoSty[Division]&lt;&gt;0)*(PptoSty[Division]&lt;&gt;"")*(PptoSty[Division]&lt;&gt;"X")*(PptoSty[Project]=$B120)*(PptoSty[Vrs]=$D120)*(PptoSty[PiRow]=_xlfn.TEXTAFTER($H120,":"))*(PptoSty[PiColumn]=R$54),0)),SUM(IF((INDIRECT($B$3)=$B120)*(INDIRECT($C$3)=$D120)*((INDIRECT($E$3)="TOTS")+(INDIRECT($E$3)=$E120)),INDIRECT(R$3)))),_xlpm.y,SUM(_xlfn.CHOOSECOLS(_xlfn._xlws.FILTER(F_RT14[],(F_RT14[PrjId]=$B120)*(F_RT14[Vrs]=$D120)*(_xlfn.TEXTAFTER(F_RT14[ActGrp],":")=_xlfn.TEXTAFTER($H120,":")),"X"),MATCH("*"&amp;R$54,F_RT14[#Headers],0))),IF(AND(_xlpm.x=0,_xlpm.y&lt;&gt;0),-1,IF(AND(_xlpm.x&lt;&gt;0,_xlpm.y&lt;&gt;0),_xlpm.x,IF(AND(_xlpm.x-SUM(IF((INDIRECT($B$3)=$B120)*(INDIRECT($C$3)=$D120)*((INDIRECT($E$3)="TOTS")+(INDIRECT($E$3)=$E120)),INDIRECT(R$3)))&lt;&gt;0,_xlpm.y=0),-2,_xlpm.x)))),0))</f>
        <v>0</v>
      </c>
      <c r="S120" s="199" cm="1">
        <f t="array" aca="1" ref="S120" ca="1">IF(OR($B120="",$B120="X",$D120="",$D120="X",$E120="",$E120="X"),0,IFERROR(_xlfn.LET(_xlpm.x,SUM(SUM(_xlfn._xlws.FILTER(VALUE(PptoSty[Sign]&amp;1)*(1/PptoSty[Division]),(PptoSty[Division]&lt;&gt;0)*(PptoSty[Division]&lt;&gt;"")*(PptoSty[Division]&lt;&gt;"X")*(PptoSty[Project]=$B120)*(PptoSty[Vrs]=$D120)*(PptoSty[PiRow]=_xlfn.TEXTAFTER($H120,":"))*(PptoSty[PiColumn]=S$54),0)),SUM(IF((INDIRECT($B$3)=$B120)*(INDIRECT($C$3)=$D120)*((INDIRECT($E$3)="TOTS")+(INDIRECT($E$3)=$E120)),INDIRECT(S$3)))),_xlpm.y,SUM(_xlfn.CHOOSECOLS(_xlfn._xlws.FILTER(F_RT14[],(F_RT14[PrjId]=$B120)*(F_RT14[Vrs]=$D120)*(_xlfn.TEXTAFTER(F_RT14[ActGrp],":")=_xlfn.TEXTAFTER($H120,":")),"X"),MATCH("*"&amp;S$54,F_RT14[#Headers],0))),IF(AND(_xlpm.x=0,_xlpm.y&lt;&gt;0),-1,IF(AND(_xlpm.x&lt;&gt;0,_xlpm.y&lt;&gt;0),_xlpm.x,IF(AND(_xlpm.x-SUM(IF((INDIRECT($B$3)=$B120)*(INDIRECT($C$3)=$D120)*((INDIRECT($E$3)="TOTS")+(INDIRECT($E$3)=$E120)),INDIRECT(S$3)))&lt;&gt;0,_xlpm.y=0),-2,_xlpm.x)))),0))</f>
        <v>0</v>
      </c>
      <c r="T120" s="199" cm="1">
        <f t="array" aca="1" ref="T120" ca="1">IF(OR($B120="",$B120="X",$D120="",$D120="X",$E120="",$E120="X"),0,IFERROR(_xlfn.LET(_xlpm.x,SUM(SUM(_xlfn._xlws.FILTER(VALUE(PptoSty[Sign]&amp;1)*(1/PptoSty[Division]),(PptoSty[Division]&lt;&gt;0)*(PptoSty[Division]&lt;&gt;"")*(PptoSty[Division]&lt;&gt;"X")*(PptoSty[Project]=$B120)*(PptoSty[Vrs]=$D120)*(PptoSty[PiRow]=_xlfn.TEXTAFTER($H120,":"))*(PptoSty[PiColumn]=T$54),0)),SUM(IF((INDIRECT($B$3)=$B120)*(INDIRECT($C$3)=$D120)*((INDIRECT($E$3)="TOTS")+(INDIRECT($E$3)=$E120)),INDIRECT(T$3)))),_xlpm.y,SUM(_xlfn.CHOOSECOLS(_xlfn._xlws.FILTER(F_RT14[],(F_RT14[PrjId]=$B120)*(F_RT14[Vrs]=$D120)*(_xlfn.TEXTAFTER(F_RT14[ActGrp],":")=_xlfn.TEXTAFTER($H120,":")),"X"),MATCH("*"&amp;T$54,F_RT14[#Headers],0))),IF(AND(_xlpm.x=0,_xlpm.y&lt;&gt;0),-1,IF(AND(_xlpm.x&lt;&gt;0,_xlpm.y&lt;&gt;0),_xlpm.x,IF(AND(_xlpm.x-SUM(IF((INDIRECT($B$3)=$B120)*(INDIRECT($C$3)=$D120)*((INDIRECT($E$3)="TOTS")+(INDIRECT($E$3)=$E120)),INDIRECT(T$3)))&lt;&gt;0,_xlpm.y=0),-2,_xlpm.x)))),0))</f>
        <v>0</v>
      </c>
      <c r="U120" s="199" cm="1">
        <f t="array" aca="1" ref="U120" ca="1">IF(OR($B120="",$B120="X",$D120="",$D120="X",$E120="",$E120="X"),0,IFERROR(_xlfn.LET(_xlpm.x,SUM(SUM(_xlfn._xlws.FILTER(VALUE(PptoSty[Sign]&amp;1)*(1/PptoSty[Division]),(PptoSty[Division]&lt;&gt;0)*(PptoSty[Division]&lt;&gt;"")*(PptoSty[Division]&lt;&gt;"X")*(PptoSty[Project]=$B120)*(PptoSty[Vrs]=$D120)*(PptoSty[PiRow]=_xlfn.TEXTAFTER($H120,":"))*(PptoSty[PiColumn]=U$54),0)),SUM(IF((INDIRECT($B$3)=$B120)*(INDIRECT($C$3)=$D120)*((INDIRECT($E$3)="TOTS")+(INDIRECT($E$3)=$E120)),INDIRECT(U$3)))),_xlpm.y,SUM(_xlfn.CHOOSECOLS(_xlfn._xlws.FILTER(F_RT14[],(F_RT14[PrjId]=$B120)*(F_RT14[Vrs]=$D120)*(_xlfn.TEXTAFTER(F_RT14[ActGrp],":")=_xlfn.TEXTAFTER($H120,":")),"X"),MATCH("*"&amp;U$54,F_RT14[#Headers],0))),IF(AND(_xlpm.x=0,_xlpm.y&lt;&gt;0),-1,IF(AND(_xlpm.x&lt;&gt;0,_xlpm.y&lt;&gt;0),_xlpm.x,IF(AND(_xlpm.x-SUM(IF((INDIRECT($B$3)=$B120)*(INDIRECT($C$3)=$D120)*((INDIRECT($E$3)="TOTS")+(INDIRECT($E$3)=$E120)),INDIRECT(U$3)))&lt;&gt;0,_xlpm.y=0),-2,_xlpm.x)))),0))</f>
        <v>0</v>
      </c>
      <c r="V120" s="199" cm="1">
        <f t="array" aca="1" ref="V120" ca="1">IF(OR($B120="",$B120="X",$D120="",$D120="X",$E120="",$E120="X"),0,IFERROR(_xlfn.LET(_xlpm.x,SUM(SUM(_xlfn._xlws.FILTER(VALUE(PptoSty[Sign]&amp;1)*(1/PptoSty[Division]),(PptoSty[Division]&lt;&gt;0)*(PptoSty[Division]&lt;&gt;"")*(PptoSty[Division]&lt;&gt;"X")*(PptoSty[Project]=$B120)*(PptoSty[Vrs]=$D120)*(PptoSty[PiRow]=_xlfn.TEXTAFTER($H120,":"))*(PptoSty[PiColumn]=V$54),0)),SUM(IF((INDIRECT($B$3)=$B120)*(INDIRECT($C$3)=$D120)*((INDIRECT($E$3)="TOTS")+(INDIRECT($E$3)=$E120)),INDIRECT(V$3)))),_xlpm.y,SUM(_xlfn.CHOOSECOLS(_xlfn._xlws.FILTER(F_RT14[],(F_RT14[PrjId]=$B120)*(F_RT14[Vrs]=$D120)*(_xlfn.TEXTAFTER(F_RT14[ActGrp],":")=_xlfn.TEXTAFTER($H120,":")),"X"),MATCH("*"&amp;V$54,F_RT14[#Headers],0))),IF(AND(_xlpm.x=0,_xlpm.y&lt;&gt;0),-1,IF(AND(_xlpm.x&lt;&gt;0,_xlpm.y&lt;&gt;0),_xlpm.x,IF(AND(_xlpm.x-SUM(IF((INDIRECT($B$3)=$B120)*(INDIRECT($C$3)=$D120)*((INDIRECT($E$3)="TOTS")+(INDIRECT($E$3)=$E120)),INDIRECT(V$3)))&lt;&gt;0,_xlpm.y=0),-2,_xlpm.x)))),0))</f>
        <v>0</v>
      </c>
      <c r="W120" s="199" cm="1">
        <f t="array" aca="1" ref="W120" ca="1">IF(OR($B120="",$B120="X",$D120="",$D120="X",$E120="",$E120="X"),0,IFERROR(_xlfn.LET(_xlpm.x,SUM(SUM(_xlfn._xlws.FILTER(VALUE(PptoSty[Sign]&amp;1)*(1/PptoSty[Division]),(PptoSty[Division]&lt;&gt;0)*(PptoSty[Division]&lt;&gt;"")*(PptoSty[Division]&lt;&gt;"X")*(PptoSty[Project]=$B120)*(PptoSty[Vrs]=$D120)*(PptoSty[PiRow]=_xlfn.TEXTAFTER($H120,":"))*(PptoSty[PiColumn]=W$54),0)),SUM(IF((INDIRECT($B$3)=$B120)*(INDIRECT($C$3)=$D120)*((INDIRECT($E$3)="TOTS")+(INDIRECT($E$3)=$E120)),INDIRECT(W$3)))),_xlpm.y,SUM(_xlfn.CHOOSECOLS(_xlfn._xlws.FILTER(F_RT14[],(F_RT14[PrjId]=$B120)*(F_RT14[Vrs]=$D120)*(_xlfn.TEXTAFTER(F_RT14[ActGrp],":")=_xlfn.TEXTAFTER($H120,":")),"X"),MATCH("*"&amp;W$54,F_RT14[#Headers],0))),IF(AND(_xlpm.x=0,_xlpm.y&lt;&gt;0),-1,IF(AND(_xlpm.x&lt;&gt;0,_xlpm.y&lt;&gt;0),_xlpm.x,IF(AND(_xlpm.x-SUM(IF((INDIRECT($B$3)=$B120)*(INDIRECT($C$3)=$D120)*((INDIRECT($E$3)="TOTS")+(INDIRECT($E$3)=$E120)),INDIRECT(W$3)))&lt;&gt;0,_xlpm.y=0),-2,_xlpm.x)))),0))</f>
        <v>0</v>
      </c>
      <c r="X120" s="199" cm="1">
        <f t="array" aca="1" ref="X120" ca="1">IF(OR($B120="",$B120="X",$D120="",$D120="X",$E120="",$E120="X"),0,IFERROR(_xlfn.LET(_xlpm.x,SUM(SUM(_xlfn._xlws.FILTER(VALUE(PptoSty[Sign]&amp;1)*(1/PptoSty[Division]),(PptoSty[Division]&lt;&gt;0)*(PptoSty[Division]&lt;&gt;"")*(PptoSty[Division]&lt;&gt;"X")*(PptoSty[Project]=$B120)*(PptoSty[Vrs]=$D120)*(PptoSty[PiRow]=_xlfn.TEXTAFTER($H120,":"))*(PptoSty[PiColumn]=X$54),0)),SUM(IF((INDIRECT($B$3)=$B120)*(INDIRECT($C$3)=$D120)*((INDIRECT($E$3)="TOTS")+(INDIRECT($E$3)=$E120)),INDIRECT(X$3)))),_xlpm.y,SUM(_xlfn.CHOOSECOLS(_xlfn._xlws.FILTER(F_RT14[],(F_RT14[PrjId]=$B120)*(F_RT14[Vrs]=$D120)*(_xlfn.TEXTAFTER(F_RT14[ActGrp],":")=_xlfn.TEXTAFTER($H120,":")),"X"),MATCH("*"&amp;X$54,F_RT14[#Headers],0))),IF(AND(_xlpm.x=0,_xlpm.y&lt;&gt;0),-1,IF(AND(_xlpm.x&lt;&gt;0,_xlpm.y&lt;&gt;0),_xlpm.x,IF(AND(_xlpm.x-SUM(IF((INDIRECT($B$3)=$B120)*(INDIRECT($C$3)=$D120)*((INDIRECT($E$3)="TOTS")+(INDIRECT($E$3)=$E120)),INDIRECT(X$3)))&lt;&gt;0,_xlpm.y=0),-2,_xlpm.x)))),0))</f>
        <v>0</v>
      </c>
      <c r="Y120" s="199" cm="1">
        <f t="array" aca="1" ref="Y120" ca="1">IF(OR($B120="",$B120="X",$D120="",$D120="X",$E120="",$E120="X"),0,IFERROR(_xlfn.LET(_xlpm.x,SUM(SUM(_xlfn._xlws.FILTER(VALUE(PptoSty[Sign]&amp;1)*(1/PptoSty[Division]),(PptoSty[Division]&lt;&gt;0)*(PptoSty[Division]&lt;&gt;"")*(PptoSty[Division]&lt;&gt;"X")*(PptoSty[Project]=$B120)*(PptoSty[Vrs]=$D120)*(PptoSty[PiRow]=_xlfn.TEXTAFTER($H120,":"))*(PptoSty[PiColumn]=Y$54),0)),SUM(IF((INDIRECT($B$3)=$B120)*(INDIRECT($C$3)=$D120)*((INDIRECT($E$3)="TOTS")+(INDIRECT($E$3)=$E120)),INDIRECT(Y$3)))),_xlpm.y,SUM(_xlfn.CHOOSECOLS(_xlfn._xlws.FILTER(F_RT14[],(F_RT14[PrjId]=$B120)*(F_RT14[Vrs]=$D120)*(_xlfn.TEXTAFTER(F_RT14[ActGrp],":")=_xlfn.TEXTAFTER($H120,":")),"X"),MATCH("*"&amp;Y$54,F_RT14[#Headers],0))),IF(AND(_xlpm.x=0,_xlpm.y&lt;&gt;0),-1,IF(AND(_xlpm.x&lt;&gt;0,_xlpm.y&lt;&gt;0),_xlpm.x,IF(AND(_xlpm.x-SUM(IF((INDIRECT($B$3)=$B120)*(INDIRECT($C$3)=$D120)*((INDIRECT($E$3)="TOTS")+(INDIRECT($E$3)=$E120)),INDIRECT(Y$3)))&lt;&gt;0,_xlpm.y=0),-2,_xlpm.x)))),0))</f>
        <v>0</v>
      </c>
      <c r="Z120" s="198" t="str">
        <f t="shared" ca="1" si="3"/>
        <v>Fback!B120:Y120</v>
      </c>
    </row>
    <row r="121" spans="2:26" ht="21" customHeight="1" outlineLevel="1">
      <c r="B121" s="128" t="str">
        <v>31200</v>
      </c>
      <c r="C121" s="128" t="str">
        <v>Sp</v>
      </c>
      <c r="D121" s="128">
        <v>15</v>
      </c>
      <c r="E121" s="128" t="str">
        <v>TOOL</v>
      </c>
      <c r="F121" s="139" t="str">
        <v>SERRA</v>
      </c>
      <c r="G121" s="139" t="str">
        <v>CurPpto</v>
      </c>
      <c r="H121" s="139" t="str">
        <v>P024:OP-920.1+2 INSPECTION</v>
      </c>
      <c r="I121" s="199" cm="1">
        <f t="array" aca="1" ref="I121" ca="1">IF(OR($B121="",$B121="X",$D121="",$D121="X",$E121="",$E121="X"),0,IFERROR(_xlfn.LET(_xlpm.x,SUM(SUM(_xlfn._xlws.FILTER(VALUE(PptoSty[Sign]&amp;1)*(1/PptoSty[Division]),(PptoSty[Division]&lt;&gt;0)*(PptoSty[Division]&lt;&gt;"")*(PptoSty[Division]&lt;&gt;"X")*(PptoSty[Project]=$B121)*(PptoSty[Vrs]=$D121)*(PptoSty[PiRow]=_xlfn.TEXTAFTER($H121,":"))*(PptoSty[PiColumn]=I$54),0)),SUM(IF((INDIRECT($B$3)=$B121)*(INDIRECT($C$3)=$D121)*((INDIRECT($E$3)="TOTS")+(INDIRECT($E$3)=$E121)),INDIRECT(I$3)))),_xlpm.y,SUM(_xlfn.CHOOSECOLS(_xlfn._xlws.FILTER(F_RT14[],(F_RT14[PrjId]=$B121)*(F_RT14[Vrs]=$D121)*(_xlfn.TEXTAFTER(F_RT14[ActGrp],":")=_xlfn.TEXTAFTER($H121,":")),"X"),MATCH("*"&amp;I$54,F_RT14[#Headers],0))),IF(AND(_xlpm.x=0,_xlpm.y&lt;&gt;0),-1,IF(AND(_xlpm.x&lt;&gt;0,_xlpm.y&lt;&gt;0),_xlpm.x,IF(AND(_xlpm.x-SUM(IF((INDIRECT($B$3)=$B121)*(INDIRECT($C$3)=$D121)*((INDIRECT($E$3)="TOTS")+(INDIRECT($E$3)=$E121)),INDIRECT(I$3)))&lt;&gt;0,_xlpm.y=0),-2,_xlpm.x)))),0))</f>
        <v>0</v>
      </c>
      <c r="J121" s="199" cm="1">
        <f t="array" aca="1" ref="J121" ca="1">IF(OR($B121="",$B121="X",$D121="",$D121="X",$E121="",$E121="X"),0,IFERROR(_xlfn.LET(_xlpm.x,SUM(SUM(_xlfn._xlws.FILTER(VALUE(PptoSty[Sign]&amp;1)*(1/PptoSty[Division]),(PptoSty[Division]&lt;&gt;0)*(PptoSty[Division]&lt;&gt;"")*(PptoSty[Division]&lt;&gt;"X")*(PptoSty[Project]=$B121)*(PptoSty[Vrs]=$D121)*(PptoSty[PiRow]=_xlfn.TEXTAFTER($H121,":"))*(PptoSty[PiColumn]=J$54),0)),SUM(IF((INDIRECT($B$3)=$B121)*(INDIRECT($C$3)=$D121)*((INDIRECT($E$3)="TOTS")+(INDIRECT($E$3)=$E121)),INDIRECT(J$3)))),_xlpm.y,SUM(_xlfn.CHOOSECOLS(_xlfn._xlws.FILTER(F_RT14[],(F_RT14[PrjId]=$B121)*(F_RT14[Vrs]=$D121)*(_xlfn.TEXTAFTER(F_RT14[ActGrp],":")=_xlfn.TEXTAFTER($H121,":")),"X"),MATCH("*"&amp;J$54,F_RT14[#Headers],0))),IF(AND(_xlpm.x=0,_xlpm.y&lt;&gt;0),-1,IF(AND(_xlpm.x&lt;&gt;0,_xlpm.y&lt;&gt;0),_xlpm.x,IF(AND(_xlpm.x-SUM(IF((INDIRECT($B$3)=$B121)*(INDIRECT($C$3)=$D121)*((INDIRECT($E$3)="TOTS")+(INDIRECT($E$3)=$E121)),INDIRECT(J$3)))&lt;&gt;0,_xlpm.y=0),-2,_xlpm.x)))),0))</f>
        <v>0</v>
      </c>
      <c r="K121" s="199" cm="1">
        <f t="array" aca="1" ref="K121" ca="1">IF(OR($B121="",$B121="X",$D121="",$D121="X",$E121="",$E121="X"),0,IFERROR(_xlfn.LET(_xlpm.x,SUM(SUM(_xlfn._xlws.FILTER(VALUE(PptoSty[Sign]&amp;1)*(1/PptoSty[Division]),(PptoSty[Division]&lt;&gt;0)*(PptoSty[Division]&lt;&gt;"")*(PptoSty[Division]&lt;&gt;"X")*(PptoSty[Project]=$B121)*(PptoSty[Vrs]=$D121)*(PptoSty[PiRow]=_xlfn.TEXTAFTER($H121,":"))*(PptoSty[PiColumn]=K$54),0)),SUM(IF((INDIRECT($B$3)=$B121)*(INDIRECT($C$3)=$D121)*((INDIRECT($E$3)="TOTS")+(INDIRECT($E$3)=$E121)),INDIRECT(K$3)))),_xlpm.y,SUM(_xlfn.CHOOSECOLS(_xlfn._xlws.FILTER(F_RT14[],(F_RT14[PrjId]=$B121)*(F_RT14[Vrs]=$D121)*(_xlfn.TEXTAFTER(F_RT14[ActGrp],":")=_xlfn.TEXTAFTER($H121,":")),"X"),MATCH("*"&amp;K$54,F_RT14[#Headers],0))),IF(AND(_xlpm.x=0,_xlpm.y&lt;&gt;0),-1,IF(AND(_xlpm.x&lt;&gt;0,_xlpm.y&lt;&gt;0),_xlpm.x,IF(AND(_xlpm.x-SUM(IF((INDIRECT($B$3)=$B121)*(INDIRECT($C$3)=$D121)*((INDIRECT($E$3)="TOTS")+(INDIRECT($E$3)=$E121)),INDIRECT(K$3)))&lt;&gt;0,_xlpm.y=0),-2,_xlpm.x)))),0))</f>
        <v>-1</v>
      </c>
      <c r="L121" s="199" cm="1">
        <f t="array" aca="1" ref="L121" ca="1">IF(OR($B121="",$B121="X",$D121="",$D121="X",$E121="",$E121="X"),0,IFERROR(_xlfn.LET(_xlpm.x,SUM(SUM(_xlfn._xlws.FILTER(VALUE(PptoSty[Sign]&amp;1)*(1/PptoSty[Division]),(PptoSty[Division]&lt;&gt;0)*(PptoSty[Division]&lt;&gt;"")*(PptoSty[Division]&lt;&gt;"X")*(PptoSty[Project]=$B121)*(PptoSty[Vrs]=$D121)*(PptoSty[PiRow]=_xlfn.TEXTAFTER($H121,":"))*(PptoSty[PiColumn]=L$54),0)),SUM(IF((INDIRECT($B$3)=$B121)*(INDIRECT($C$3)=$D121)*((INDIRECT($E$3)="TOTS")+(INDIRECT($E$3)=$E121)),INDIRECT(L$3)))),_xlpm.y,SUM(_xlfn.CHOOSECOLS(_xlfn._xlws.FILTER(F_RT14[],(F_RT14[PrjId]=$B121)*(F_RT14[Vrs]=$D121)*(_xlfn.TEXTAFTER(F_RT14[ActGrp],":")=_xlfn.TEXTAFTER($H121,":")),"X"),MATCH("*"&amp;L$54,F_RT14[#Headers],0))),IF(AND(_xlpm.x=0,_xlpm.y&lt;&gt;0),-1,IF(AND(_xlpm.x&lt;&gt;0,_xlpm.y&lt;&gt;0),_xlpm.x,IF(AND(_xlpm.x-SUM(IF((INDIRECT($B$3)=$B121)*(INDIRECT($C$3)=$D121)*((INDIRECT($E$3)="TOTS")+(INDIRECT($E$3)=$E121)),INDIRECT(L$3)))&lt;&gt;0,_xlpm.y=0),-2,_xlpm.x)))),0))</f>
        <v>0</v>
      </c>
      <c r="M121" s="199" cm="1">
        <f t="array" aca="1" ref="M121" ca="1">IF(OR($B121="",$B121="X",$D121="",$D121="X",$E121="",$E121="X"),0,IFERROR(_xlfn.LET(_xlpm.x,SUM(SUM(_xlfn._xlws.FILTER(VALUE(PptoSty[Sign]&amp;1)*(1/PptoSty[Division]),(PptoSty[Division]&lt;&gt;0)*(PptoSty[Division]&lt;&gt;"")*(PptoSty[Division]&lt;&gt;"X")*(PptoSty[Project]=$B121)*(PptoSty[Vrs]=$D121)*(PptoSty[PiRow]=_xlfn.TEXTAFTER($H121,":"))*(PptoSty[PiColumn]=M$54),0)),SUM(IF((INDIRECT($B$3)=$B121)*(INDIRECT($C$3)=$D121)*((INDIRECT($E$3)="TOTS")+(INDIRECT($E$3)=$E121)),INDIRECT(M$3)))),_xlpm.y,SUM(_xlfn.CHOOSECOLS(_xlfn._xlws.FILTER(F_RT14[],(F_RT14[PrjId]=$B121)*(F_RT14[Vrs]=$D121)*(_xlfn.TEXTAFTER(F_RT14[ActGrp],":")=_xlfn.TEXTAFTER($H121,":")),"X"),MATCH("*"&amp;M$54,F_RT14[#Headers],0))),IF(AND(_xlpm.x=0,_xlpm.y&lt;&gt;0),-1,IF(AND(_xlpm.x&lt;&gt;0,_xlpm.y&lt;&gt;0),_xlpm.x,IF(AND(_xlpm.x-SUM(IF((INDIRECT($B$3)=$B121)*(INDIRECT($C$3)=$D121)*((INDIRECT($E$3)="TOTS")+(INDIRECT($E$3)=$E121)),INDIRECT(M$3)))&lt;&gt;0,_xlpm.y=0),-2,_xlpm.x)))),0))</f>
        <v>0</v>
      </c>
      <c r="N121" s="199" cm="1">
        <f t="array" aca="1" ref="N121" ca="1">IF(OR($B121="",$B121="X",$D121="",$D121="X",$E121="",$E121="X"),0,IFERROR(_xlfn.LET(_xlpm.x,SUM(SUM(_xlfn._xlws.FILTER(VALUE(PptoSty[Sign]&amp;1)*(1/PptoSty[Division]),(PptoSty[Division]&lt;&gt;0)*(PptoSty[Division]&lt;&gt;"")*(PptoSty[Division]&lt;&gt;"X")*(PptoSty[Project]=$B121)*(PptoSty[Vrs]=$D121)*(PptoSty[PiRow]=_xlfn.TEXTAFTER($H121,":"))*(PptoSty[PiColumn]=N$54),0)),SUM(IF((INDIRECT($B$3)=$B121)*(INDIRECT($C$3)=$D121)*((INDIRECT($E$3)="TOTS")+(INDIRECT($E$3)=$E121)),INDIRECT(N$3)))),_xlpm.y,SUM(_xlfn.CHOOSECOLS(_xlfn._xlws.FILTER(F_RT14[],(F_RT14[PrjId]=$B121)*(F_RT14[Vrs]=$D121)*(_xlfn.TEXTAFTER(F_RT14[ActGrp],":")=_xlfn.TEXTAFTER($H121,":")),"X"),MATCH("*"&amp;N$54,F_RT14[#Headers],0))),IF(AND(_xlpm.x=0,_xlpm.y&lt;&gt;0),-1,IF(AND(_xlpm.x&lt;&gt;0,_xlpm.y&lt;&gt;0),_xlpm.x,IF(AND(_xlpm.x-SUM(IF((INDIRECT($B$3)=$B121)*(INDIRECT($C$3)=$D121)*((INDIRECT($E$3)="TOTS")+(INDIRECT($E$3)=$E121)),INDIRECT(N$3)))&lt;&gt;0,_xlpm.y=0),-2,_xlpm.x)))),0))</f>
        <v>0</v>
      </c>
      <c r="O121" s="199" cm="1">
        <f t="array" aca="1" ref="O121" ca="1">IF(OR($B121="",$B121="X",$D121="",$D121="X",$E121="",$E121="X"),0,IFERROR(_xlfn.LET(_xlpm.x,SUM(SUM(_xlfn._xlws.FILTER(VALUE(PptoSty[Sign]&amp;1)*(1/PptoSty[Division]),(PptoSty[Division]&lt;&gt;0)*(PptoSty[Division]&lt;&gt;"")*(PptoSty[Division]&lt;&gt;"X")*(PptoSty[Project]=$B121)*(PptoSty[Vrs]=$D121)*(PptoSty[PiRow]=_xlfn.TEXTAFTER($H121,":"))*(PptoSty[PiColumn]=O$54),0)),SUM(IF((INDIRECT($B$3)=$B121)*(INDIRECT($C$3)=$D121)*((INDIRECT($E$3)="TOTS")+(INDIRECT($E$3)=$E121)),INDIRECT(O$3)))),_xlpm.y,SUM(_xlfn.CHOOSECOLS(_xlfn._xlws.FILTER(F_RT14[],(F_RT14[PrjId]=$B121)*(F_RT14[Vrs]=$D121)*(_xlfn.TEXTAFTER(F_RT14[ActGrp],":")=_xlfn.TEXTAFTER($H121,":")),"X"),MATCH("*"&amp;O$54,F_RT14[#Headers],0))),IF(AND(_xlpm.x=0,_xlpm.y&lt;&gt;0),-1,IF(AND(_xlpm.x&lt;&gt;0,_xlpm.y&lt;&gt;0),_xlpm.x,IF(AND(_xlpm.x-SUM(IF((INDIRECT($B$3)=$B121)*(INDIRECT($C$3)=$D121)*((INDIRECT($E$3)="TOTS")+(INDIRECT($E$3)=$E121)),INDIRECT(O$3)))&lt;&gt;0,_xlpm.y=0),-2,_xlpm.x)))),0))</f>
        <v>0</v>
      </c>
      <c r="P121" s="199" cm="1">
        <f t="array" aca="1" ref="P121" ca="1">IF(OR($B121="",$B121="X",$D121="",$D121="X",$E121="",$E121="X"),0,IFERROR(_xlfn.LET(_xlpm.x,SUM(SUM(_xlfn._xlws.FILTER(VALUE(PptoSty[Sign]&amp;1)*(1/PptoSty[Division]),(PptoSty[Division]&lt;&gt;0)*(PptoSty[Division]&lt;&gt;"")*(PptoSty[Division]&lt;&gt;"X")*(PptoSty[Project]=$B121)*(PptoSty[Vrs]=$D121)*(PptoSty[PiRow]=_xlfn.TEXTAFTER($H121,":"))*(PptoSty[PiColumn]=P$54),0)),SUM(IF((INDIRECT($B$3)=$B121)*(INDIRECT($C$3)=$D121)*((INDIRECT($E$3)="TOTS")+(INDIRECT($E$3)=$E121)),INDIRECT(P$3)))),_xlpm.y,SUM(_xlfn.CHOOSECOLS(_xlfn._xlws.FILTER(F_RT14[],(F_RT14[PrjId]=$B121)*(F_RT14[Vrs]=$D121)*(_xlfn.TEXTAFTER(F_RT14[ActGrp],":")=_xlfn.TEXTAFTER($H121,":")),"X"),MATCH("*"&amp;P$54,F_RT14[#Headers],0))),IF(AND(_xlpm.x=0,_xlpm.y&lt;&gt;0),-1,IF(AND(_xlpm.x&lt;&gt;0,_xlpm.y&lt;&gt;0),_xlpm.x,IF(AND(_xlpm.x-SUM(IF((INDIRECT($B$3)=$B121)*(INDIRECT($C$3)=$D121)*((INDIRECT($E$3)="TOTS")+(INDIRECT($E$3)=$E121)),INDIRECT(P$3)))&lt;&gt;0,_xlpm.y=0),-2,_xlpm.x)))),0))</f>
        <v>-1</v>
      </c>
      <c r="Q121" s="199" cm="1">
        <f t="array" aca="1" ref="Q121" ca="1">IF(OR($B121="",$B121="X",$D121="",$D121="X",$E121="",$E121="X"),0,IFERROR(_xlfn.LET(_xlpm.x,SUM(SUM(_xlfn._xlws.FILTER(VALUE(PptoSty[Sign]&amp;1)*(1/PptoSty[Division]),(PptoSty[Division]&lt;&gt;0)*(PptoSty[Division]&lt;&gt;"")*(PptoSty[Division]&lt;&gt;"X")*(PptoSty[Project]=$B121)*(PptoSty[Vrs]=$D121)*(PptoSty[PiRow]=_xlfn.TEXTAFTER($H121,":"))*(PptoSty[PiColumn]=Q$54),0)),SUM(IF((INDIRECT($B$3)=$B121)*(INDIRECT($C$3)=$D121)*((INDIRECT($E$3)="TOTS")+(INDIRECT($E$3)=$E121)),INDIRECT(Q$3)))),_xlpm.y,SUM(_xlfn.CHOOSECOLS(_xlfn._xlws.FILTER(F_RT14[],(F_RT14[PrjId]=$B121)*(F_RT14[Vrs]=$D121)*(_xlfn.TEXTAFTER(F_RT14[ActGrp],":")=_xlfn.TEXTAFTER($H121,":")),"X"),MATCH("*"&amp;Q$54,F_RT14[#Headers],0))),IF(AND(_xlpm.x=0,_xlpm.y&lt;&gt;0),-1,IF(AND(_xlpm.x&lt;&gt;0,_xlpm.y&lt;&gt;0),_xlpm.x,IF(AND(_xlpm.x-SUM(IF((INDIRECT($B$3)=$B121)*(INDIRECT($C$3)=$D121)*((INDIRECT($E$3)="TOTS")+(INDIRECT($E$3)=$E121)),INDIRECT(Q$3)))&lt;&gt;0,_xlpm.y=0),-2,_xlpm.x)))),0))</f>
        <v>-1</v>
      </c>
      <c r="R121" s="199" cm="1">
        <f t="array" aca="1" ref="R121" ca="1">IF(OR($B121="",$B121="X",$D121="",$D121="X",$E121="",$E121="X"),0,IFERROR(_xlfn.LET(_xlpm.x,SUM(SUM(_xlfn._xlws.FILTER(VALUE(PptoSty[Sign]&amp;1)*(1/PptoSty[Division]),(PptoSty[Division]&lt;&gt;0)*(PptoSty[Division]&lt;&gt;"")*(PptoSty[Division]&lt;&gt;"X")*(PptoSty[Project]=$B121)*(PptoSty[Vrs]=$D121)*(PptoSty[PiRow]=_xlfn.TEXTAFTER($H121,":"))*(PptoSty[PiColumn]=R$54),0)),SUM(IF((INDIRECT($B$3)=$B121)*(INDIRECT($C$3)=$D121)*((INDIRECT($E$3)="TOTS")+(INDIRECT($E$3)=$E121)),INDIRECT(R$3)))),_xlpm.y,SUM(_xlfn.CHOOSECOLS(_xlfn._xlws.FILTER(F_RT14[],(F_RT14[PrjId]=$B121)*(F_RT14[Vrs]=$D121)*(_xlfn.TEXTAFTER(F_RT14[ActGrp],":")=_xlfn.TEXTAFTER($H121,":")),"X"),MATCH("*"&amp;R$54,F_RT14[#Headers],0))),IF(AND(_xlpm.x=0,_xlpm.y&lt;&gt;0),-1,IF(AND(_xlpm.x&lt;&gt;0,_xlpm.y&lt;&gt;0),_xlpm.x,IF(AND(_xlpm.x-SUM(IF((INDIRECT($B$3)=$B121)*(INDIRECT($C$3)=$D121)*((INDIRECT($E$3)="TOTS")+(INDIRECT($E$3)=$E121)),INDIRECT(R$3)))&lt;&gt;0,_xlpm.y=0),-2,_xlpm.x)))),0))</f>
        <v>-1</v>
      </c>
      <c r="S121" s="199" cm="1">
        <f t="array" aca="1" ref="S121" ca="1">IF(OR($B121="",$B121="X",$D121="",$D121="X",$E121="",$E121="X"),0,IFERROR(_xlfn.LET(_xlpm.x,SUM(SUM(_xlfn._xlws.FILTER(VALUE(PptoSty[Sign]&amp;1)*(1/PptoSty[Division]),(PptoSty[Division]&lt;&gt;0)*(PptoSty[Division]&lt;&gt;"")*(PptoSty[Division]&lt;&gt;"X")*(PptoSty[Project]=$B121)*(PptoSty[Vrs]=$D121)*(PptoSty[PiRow]=_xlfn.TEXTAFTER($H121,":"))*(PptoSty[PiColumn]=S$54),0)),SUM(IF((INDIRECT($B$3)=$B121)*(INDIRECT($C$3)=$D121)*((INDIRECT($E$3)="TOTS")+(INDIRECT($E$3)=$E121)),INDIRECT(S$3)))),_xlpm.y,SUM(_xlfn.CHOOSECOLS(_xlfn._xlws.FILTER(F_RT14[],(F_RT14[PrjId]=$B121)*(F_RT14[Vrs]=$D121)*(_xlfn.TEXTAFTER(F_RT14[ActGrp],":")=_xlfn.TEXTAFTER($H121,":")),"X"),MATCH("*"&amp;S$54,F_RT14[#Headers],0))),IF(AND(_xlpm.x=0,_xlpm.y&lt;&gt;0),-1,IF(AND(_xlpm.x&lt;&gt;0,_xlpm.y&lt;&gt;0),_xlpm.x,IF(AND(_xlpm.x-SUM(IF((INDIRECT($B$3)=$B121)*(INDIRECT($C$3)=$D121)*((INDIRECT($E$3)="TOTS")+(INDIRECT($E$3)=$E121)),INDIRECT(S$3)))&lt;&gt;0,_xlpm.y=0),-2,_xlpm.x)))),0))</f>
        <v>0</v>
      </c>
      <c r="T121" s="199" cm="1">
        <f t="array" aca="1" ref="T121" ca="1">IF(OR($B121="",$B121="X",$D121="",$D121="X",$E121="",$E121="X"),0,IFERROR(_xlfn.LET(_xlpm.x,SUM(SUM(_xlfn._xlws.FILTER(VALUE(PptoSty[Sign]&amp;1)*(1/PptoSty[Division]),(PptoSty[Division]&lt;&gt;0)*(PptoSty[Division]&lt;&gt;"")*(PptoSty[Division]&lt;&gt;"X")*(PptoSty[Project]=$B121)*(PptoSty[Vrs]=$D121)*(PptoSty[PiRow]=_xlfn.TEXTAFTER($H121,":"))*(PptoSty[PiColumn]=T$54),0)),SUM(IF((INDIRECT($B$3)=$B121)*(INDIRECT($C$3)=$D121)*((INDIRECT($E$3)="TOTS")+(INDIRECT($E$3)=$E121)),INDIRECT(T$3)))),_xlpm.y,SUM(_xlfn.CHOOSECOLS(_xlfn._xlws.FILTER(F_RT14[],(F_RT14[PrjId]=$B121)*(F_RT14[Vrs]=$D121)*(_xlfn.TEXTAFTER(F_RT14[ActGrp],":")=_xlfn.TEXTAFTER($H121,":")),"X"),MATCH("*"&amp;T$54,F_RT14[#Headers],0))),IF(AND(_xlpm.x=0,_xlpm.y&lt;&gt;0),-1,IF(AND(_xlpm.x&lt;&gt;0,_xlpm.y&lt;&gt;0),_xlpm.x,IF(AND(_xlpm.x-SUM(IF((INDIRECT($B$3)=$B121)*(INDIRECT($C$3)=$D121)*((INDIRECT($E$3)="TOTS")+(INDIRECT($E$3)=$E121)),INDIRECT(T$3)))&lt;&gt;0,_xlpm.y=0),-2,_xlpm.x)))),0))</f>
        <v>0</v>
      </c>
      <c r="U121" s="199" cm="1">
        <f t="array" aca="1" ref="U121" ca="1">IF(OR($B121="",$B121="X",$D121="",$D121="X",$E121="",$E121="X"),0,IFERROR(_xlfn.LET(_xlpm.x,SUM(SUM(_xlfn._xlws.FILTER(VALUE(PptoSty[Sign]&amp;1)*(1/PptoSty[Division]),(PptoSty[Division]&lt;&gt;0)*(PptoSty[Division]&lt;&gt;"")*(PptoSty[Division]&lt;&gt;"X")*(PptoSty[Project]=$B121)*(PptoSty[Vrs]=$D121)*(PptoSty[PiRow]=_xlfn.TEXTAFTER($H121,":"))*(PptoSty[PiColumn]=U$54),0)),SUM(IF((INDIRECT($B$3)=$B121)*(INDIRECT($C$3)=$D121)*((INDIRECT($E$3)="TOTS")+(INDIRECT($E$3)=$E121)),INDIRECT(U$3)))),_xlpm.y,SUM(_xlfn.CHOOSECOLS(_xlfn._xlws.FILTER(F_RT14[],(F_RT14[PrjId]=$B121)*(F_RT14[Vrs]=$D121)*(_xlfn.TEXTAFTER(F_RT14[ActGrp],":")=_xlfn.TEXTAFTER($H121,":")),"X"),MATCH("*"&amp;U$54,F_RT14[#Headers],0))),IF(AND(_xlpm.x=0,_xlpm.y&lt;&gt;0),-1,IF(AND(_xlpm.x&lt;&gt;0,_xlpm.y&lt;&gt;0),_xlpm.x,IF(AND(_xlpm.x-SUM(IF((INDIRECT($B$3)=$B121)*(INDIRECT($C$3)=$D121)*((INDIRECT($E$3)="TOTS")+(INDIRECT($E$3)=$E121)),INDIRECT(U$3)))&lt;&gt;0,_xlpm.y=0),-2,_xlpm.x)))),0))</f>
        <v>0</v>
      </c>
      <c r="V121" s="199" cm="1">
        <f t="array" aca="1" ref="V121" ca="1">IF(OR($B121="",$B121="X",$D121="",$D121="X",$E121="",$E121="X"),0,IFERROR(_xlfn.LET(_xlpm.x,SUM(SUM(_xlfn._xlws.FILTER(VALUE(PptoSty[Sign]&amp;1)*(1/PptoSty[Division]),(PptoSty[Division]&lt;&gt;0)*(PptoSty[Division]&lt;&gt;"")*(PptoSty[Division]&lt;&gt;"X")*(PptoSty[Project]=$B121)*(PptoSty[Vrs]=$D121)*(PptoSty[PiRow]=_xlfn.TEXTAFTER($H121,":"))*(PptoSty[PiColumn]=V$54),0)),SUM(IF((INDIRECT($B$3)=$B121)*(INDIRECT($C$3)=$D121)*((INDIRECT($E$3)="TOTS")+(INDIRECT($E$3)=$E121)),INDIRECT(V$3)))),_xlpm.y,SUM(_xlfn.CHOOSECOLS(_xlfn._xlws.FILTER(F_RT14[],(F_RT14[PrjId]=$B121)*(F_RT14[Vrs]=$D121)*(_xlfn.TEXTAFTER(F_RT14[ActGrp],":")=_xlfn.TEXTAFTER($H121,":")),"X"),MATCH("*"&amp;V$54,F_RT14[#Headers],0))),IF(AND(_xlpm.x=0,_xlpm.y&lt;&gt;0),-1,IF(AND(_xlpm.x&lt;&gt;0,_xlpm.y&lt;&gt;0),_xlpm.x,IF(AND(_xlpm.x-SUM(IF((INDIRECT($B$3)=$B121)*(INDIRECT($C$3)=$D121)*((INDIRECT($E$3)="TOTS")+(INDIRECT($E$3)=$E121)),INDIRECT(V$3)))&lt;&gt;0,_xlpm.y=0),-2,_xlpm.x)))),0))</f>
        <v>-1</v>
      </c>
      <c r="W121" s="199" cm="1">
        <f t="array" aca="1" ref="W121" ca="1">IF(OR($B121="",$B121="X",$D121="",$D121="X",$E121="",$E121="X"),0,IFERROR(_xlfn.LET(_xlpm.x,SUM(SUM(_xlfn._xlws.FILTER(VALUE(PptoSty[Sign]&amp;1)*(1/PptoSty[Division]),(PptoSty[Division]&lt;&gt;0)*(PptoSty[Division]&lt;&gt;"")*(PptoSty[Division]&lt;&gt;"X")*(PptoSty[Project]=$B121)*(PptoSty[Vrs]=$D121)*(PptoSty[PiRow]=_xlfn.TEXTAFTER($H121,":"))*(PptoSty[PiColumn]=W$54),0)),SUM(IF((INDIRECT($B$3)=$B121)*(INDIRECT($C$3)=$D121)*((INDIRECT($E$3)="TOTS")+(INDIRECT($E$3)=$E121)),INDIRECT(W$3)))),_xlpm.y,SUM(_xlfn.CHOOSECOLS(_xlfn._xlws.FILTER(F_RT14[],(F_RT14[PrjId]=$B121)*(F_RT14[Vrs]=$D121)*(_xlfn.TEXTAFTER(F_RT14[ActGrp],":")=_xlfn.TEXTAFTER($H121,":")),"X"),MATCH("*"&amp;W$54,F_RT14[#Headers],0))),IF(AND(_xlpm.x=0,_xlpm.y&lt;&gt;0),-1,IF(AND(_xlpm.x&lt;&gt;0,_xlpm.y&lt;&gt;0),_xlpm.x,IF(AND(_xlpm.x-SUM(IF((INDIRECT($B$3)=$B121)*(INDIRECT($C$3)=$D121)*((INDIRECT($E$3)="TOTS")+(INDIRECT($E$3)=$E121)),INDIRECT(W$3)))&lt;&gt;0,_xlpm.y=0),-2,_xlpm.x)))),0))</f>
        <v>0</v>
      </c>
      <c r="X121" s="199" cm="1">
        <f t="array" aca="1" ref="X121" ca="1">IF(OR($B121="",$B121="X",$D121="",$D121="X",$E121="",$E121="X"),0,IFERROR(_xlfn.LET(_xlpm.x,SUM(SUM(_xlfn._xlws.FILTER(VALUE(PptoSty[Sign]&amp;1)*(1/PptoSty[Division]),(PptoSty[Division]&lt;&gt;0)*(PptoSty[Division]&lt;&gt;"")*(PptoSty[Division]&lt;&gt;"X")*(PptoSty[Project]=$B121)*(PptoSty[Vrs]=$D121)*(PptoSty[PiRow]=_xlfn.TEXTAFTER($H121,":"))*(PptoSty[PiColumn]=X$54),0)),SUM(IF((INDIRECT($B$3)=$B121)*(INDIRECT($C$3)=$D121)*((INDIRECT($E$3)="TOTS")+(INDIRECT($E$3)=$E121)),INDIRECT(X$3)))),_xlpm.y,SUM(_xlfn.CHOOSECOLS(_xlfn._xlws.FILTER(F_RT14[],(F_RT14[PrjId]=$B121)*(F_RT14[Vrs]=$D121)*(_xlfn.TEXTAFTER(F_RT14[ActGrp],":")=_xlfn.TEXTAFTER($H121,":")),"X"),MATCH("*"&amp;X$54,F_RT14[#Headers],0))),IF(AND(_xlpm.x=0,_xlpm.y&lt;&gt;0),-1,IF(AND(_xlpm.x&lt;&gt;0,_xlpm.y&lt;&gt;0),_xlpm.x,IF(AND(_xlpm.x-SUM(IF((INDIRECT($B$3)=$B121)*(INDIRECT($C$3)=$D121)*((INDIRECT($E$3)="TOTS")+(INDIRECT($E$3)=$E121)),INDIRECT(X$3)))&lt;&gt;0,_xlpm.y=0),-2,_xlpm.x)))),0))</f>
        <v>0</v>
      </c>
      <c r="Y121" s="199" cm="1">
        <f t="array" aca="1" ref="Y121" ca="1">IF(OR($B121="",$B121="X",$D121="",$D121="X",$E121="",$E121="X"),0,IFERROR(_xlfn.LET(_xlpm.x,SUM(SUM(_xlfn._xlws.FILTER(VALUE(PptoSty[Sign]&amp;1)*(1/PptoSty[Division]),(PptoSty[Division]&lt;&gt;0)*(PptoSty[Division]&lt;&gt;"")*(PptoSty[Division]&lt;&gt;"X")*(PptoSty[Project]=$B121)*(PptoSty[Vrs]=$D121)*(PptoSty[PiRow]=_xlfn.TEXTAFTER($H121,":"))*(PptoSty[PiColumn]=Y$54),0)),SUM(IF((INDIRECT($B$3)=$B121)*(INDIRECT($C$3)=$D121)*((INDIRECT($E$3)="TOTS")+(INDIRECT($E$3)=$E121)),INDIRECT(Y$3)))),_xlpm.y,SUM(_xlfn.CHOOSECOLS(_xlfn._xlws.FILTER(F_RT14[],(F_RT14[PrjId]=$B121)*(F_RT14[Vrs]=$D121)*(_xlfn.TEXTAFTER(F_RT14[ActGrp],":")=_xlfn.TEXTAFTER($H121,":")),"X"),MATCH("*"&amp;Y$54,F_RT14[#Headers],0))),IF(AND(_xlpm.x=0,_xlpm.y&lt;&gt;0),-1,IF(AND(_xlpm.x&lt;&gt;0,_xlpm.y&lt;&gt;0),_xlpm.x,IF(AND(_xlpm.x-SUM(IF((INDIRECT($B$3)=$B121)*(INDIRECT($C$3)=$D121)*((INDIRECT($E$3)="TOTS")+(INDIRECT($E$3)=$E121)),INDIRECT(Y$3)))&lt;&gt;0,_xlpm.y=0),-2,_xlpm.x)))),0))</f>
        <v>0</v>
      </c>
      <c r="Z121" s="198" t="str">
        <f t="shared" ca="1" si="3"/>
        <v>Fback!B121:Y121</v>
      </c>
    </row>
    <row r="122" spans="2:26" ht="21" customHeight="1" outlineLevel="1">
      <c r="B122" s="128" t="str">
        <v>31200</v>
      </c>
      <c r="C122" s="128" t="str">
        <v>Sp</v>
      </c>
      <c r="D122" s="128">
        <v>15</v>
      </c>
      <c r="E122" s="128" t="str">
        <v>CELL</v>
      </c>
      <c r="F122" s="139" t="str">
        <v>SERRA</v>
      </c>
      <c r="G122" s="139" t="str">
        <v>CurPpto</v>
      </c>
      <c r="H122" s="139" t="str">
        <v>P025:TURN TABLE REWORKS PR-31200:15</v>
      </c>
      <c r="I122" s="199" cm="1">
        <f t="array" aca="1" ref="I122" ca="1">IF(OR($B122="",$B122="X",$D122="",$D122="X",$E122="",$E122="X"),0,IFERROR(_xlfn.LET(_xlpm.x,SUM(SUM(_xlfn._xlws.FILTER(VALUE(PptoSty[Sign]&amp;1)*(1/PptoSty[Division]),(PptoSty[Division]&lt;&gt;0)*(PptoSty[Division]&lt;&gt;"")*(PptoSty[Division]&lt;&gt;"X")*(PptoSty[Project]=$B122)*(PptoSty[Vrs]=$D122)*(PptoSty[PiRow]=_xlfn.TEXTAFTER($H122,":"))*(PptoSty[PiColumn]=I$54),0)),SUM(IF((INDIRECT($B$3)=$B122)*(INDIRECT($C$3)=$D122)*((INDIRECT($E$3)="TOTS")+(INDIRECT($E$3)=$E122)),INDIRECT(I$3)))),_xlpm.y,SUM(_xlfn.CHOOSECOLS(_xlfn._xlws.FILTER(F_RT14[],(F_RT14[PrjId]=$B122)*(F_RT14[Vrs]=$D122)*(_xlfn.TEXTAFTER(F_RT14[ActGrp],":")=_xlfn.TEXTAFTER($H122,":")),"X"),MATCH("*"&amp;I$54,F_RT14[#Headers],0))),IF(AND(_xlpm.x=0,_xlpm.y&lt;&gt;0),-1,IF(AND(_xlpm.x&lt;&gt;0,_xlpm.y&lt;&gt;0),_xlpm.x,IF(AND(_xlpm.x-SUM(IF((INDIRECT($B$3)=$B122)*(INDIRECT($C$3)=$D122)*((INDIRECT($E$3)="TOTS")+(INDIRECT($E$3)=$E122)),INDIRECT(I$3)))&lt;&gt;0,_xlpm.y=0),-2,_xlpm.x)))),0))</f>
        <v>0</v>
      </c>
      <c r="J122" s="199" cm="1">
        <f t="array" aca="1" ref="J122" ca="1">IF(OR($B122="",$B122="X",$D122="",$D122="X",$E122="",$E122="X"),0,IFERROR(_xlfn.LET(_xlpm.x,SUM(SUM(_xlfn._xlws.FILTER(VALUE(PptoSty[Sign]&amp;1)*(1/PptoSty[Division]),(PptoSty[Division]&lt;&gt;0)*(PptoSty[Division]&lt;&gt;"")*(PptoSty[Division]&lt;&gt;"X")*(PptoSty[Project]=$B122)*(PptoSty[Vrs]=$D122)*(PptoSty[PiRow]=_xlfn.TEXTAFTER($H122,":"))*(PptoSty[PiColumn]=J$54),0)),SUM(IF((INDIRECT($B$3)=$B122)*(INDIRECT($C$3)=$D122)*((INDIRECT($E$3)="TOTS")+(INDIRECT($E$3)=$E122)),INDIRECT(J$3)))),_xlpm.y,SUM(_xlfn.CHOOSECOLS(_xlfn._xlws.FILTER(F_RT14[],(F_RT14[PrjId]=$B122)*(F_RT14[Vrs]=$D122)*(_xlfn.TEXTAFTER(F_RT14[ActGrp],":")=_xlfn.TEXTAFTER($H122,":")),"X"),MATCH("*"&amp;J$54,F_RT14[#Headers],0))),IF(AND(_xlpm.x=0,_xlpm.y&lt;&gt;0),-1,IF(AND(_xlpm.x&lt;&gt;0,_xlpm.y&lt;&gt;0),_xlpm.x,IF(AND(_xlpm.x-SUM(IF((INDIRECT($B$3)=$B122)*(INDIRECT($C$3)=$D122)*((INDIRECT($E$3)="TOTS")+(INDIRECT($E$3)=$E122)),INDIRECT(J$3)))&lt;&gt;0,_xlpm.y=0),-2,_xlpm.x)))),0))</f>
        <v>0</v>
      </c>
      <c r="K122" s="199" cm="1">
        <f t="array" aca="1" ref="K122" ca="1">IF(OR($B122="",$B122="X",$D122="",$D122="X",$E122="",$E122="X"),0,IFERROR(_xlfn.LET(_xlpm.x,SUM(SUM(_xlfn._xlws.FILTER(VALUE(PptoSty[Sign]&amp;1)*(1/PptoSty[Division]),(PptoSty[Division]&lt;&gt;0)*(PptoSty[Division]&lt;&gt;"")*(PptoSty[Division]&lt;&gt;"X")*(PptoSty[Project]=$B122)*(PptoSty[Vrs]=$D122)*(PptoSty[PiRow]=_xlfn.TEXTAFTER($H122,":"))*(PptoSty[PiColumn]=K$54),0)),SUM(IF((INDIRECT($B$3)=$B122)*(INDIRECT($C$3)=$D122)*((INDIRECT($E$3)="TOTS")+(INDIRECT($E$3)=$E122)),INDIRECT(K$3)))),_xlpm.y,SUM(_xlfn.CHOOSECOLS(_xlfn._xlws.FILTER(F_RT14[],(F_RT14[PrjId]=$B122)*(F_RT14[Vrs]=$D122)*(_xlfn.TEXTAFTER(F_RT14[ActGrp],":")=_xlfn.TEXTAFTER($H122,":")),"X"),MATCH("*"&amp;K$54,F_RT14[#Headers],0))),IF(AND(_xlpm.x=0,_xlpm.y&lt;&gt;0),-1,IF(AND(_xlpm.x&lt;&gt;0,_xlpm.y&lt;&gt;0),_xlpm.x,IF(AND(_xlpm.x-SUM(IF((INDIRECT($B$3)=$B122)*(INDIRECT($C$3)=$D122)*((INDIRECT($E$3)="TOTS")+(INDIRECT($E$3)=$E122)),INDIRECT(K$3)))&lt;&gt;0,_xlpm.y=0),-2,_xlpm.x)))),0))</f>
        <v>-1</v>
      </c>
      <c r="L122" s="199" cm="1">
        <f t="array" aca="1" ref="L122" ca="1">IF(OR($B122="",$B122="X",$D122="",$D122="X",$E122="",$E122="X"),0,IFERROR(_xlfn.LET(_xlpm.x,SUM(SUM(_xlfn._xlws.FILTER(VALUE(PptoSty[Sign]&amp;1)*(1/PptoSty[Division]),(PptoSty[Division]&lt;&gt;0)*(PptoSty[Division]&lt;&gt;"")*(PptoSty[Division]&lt;&gt;"X")*(PptoSty[Project]=$B122)*(PptoSty[Vrs]=$D122)*(PptoSty[PiRow]=_xlfn.TEXTAFTER($H122,":"))*(PptoSty[PiColumn]=L$54),0)),SUM(IF((INDIRECT($B$3)=$B122)*(INDIRECT($C$3)=$D122)*((INDIRECT($E$3)="TOTS")+(INDIRECT($E$3)=$E122)),INDIRECT(L$3)))),_xlpm.y,SUM(_xlfn.CHOOSECOLS(_xlfn._xlws.FILTER(F_RT14[],(F_RT14[PrjId]=$B122)*(F_RT14[Vrs]=$D122)*(_xlfn.TEXTAFTER(F_RT14[ActGrp],":")=_xlfn.TEXTAFTER($H122,":")),"X"),MATCH("*"&amp;L$54,F_RT14[#Headers],0))),IF(AND(_xlpm.x=0,_xlpm.y&lt;&gt;0),-1,IF(AND(_xlpm.x&lt;&gt;0,_xlpm.y&lt;&gt;0),_xlpm.x,IF(AND(_xlpm.x-SUM(IF((INDIRECT($B$3)=$B122)*(INDIRECT($C$3)=$D122)*((INDIRECT($E$3)="TOTS")+(INDIRECT($E$3)=$E122)),INDIRECT(L$3)))&lt;&gt;0,_xlpm.y=0),-2,_xlpm.x)))),0))</f>
        <v>0</v>
      </c>
      <c r="M122" s="199" cm="1">
        <f t="array" aca="1" ref="M122" ca="1">IF(OR($B122="",$B122="X",$D122="",$D122="X",$E122="",$E122="X"),0,IFERROR(_xlfn.LET(_xlpm.x,SUM(SUM(_xlfn._xlws.FILTER(VALUE(PptoSty[Sign]&amp;1)*(1/PptoSty[Division]),(PptoSty[Division]&lt;&gt;0)*(PptoSty[Division]&lt;&gt;"")*(PptoSty[Division]&lt;&gt;"X")*(PptoSty[Project]=$B122)*(PptoSty[Vrs]=$D122)*(PptoSty[PiRow]=_xlfn.TEXTAFTER($H122,":"))*(PptoSty[PiColumn]=M$54),0)),SUM(IF((INDIRECT($B$3)=$B122)*(INDIRECT($C$3)=$D122)*((INDIRECT($E$3)="TOTS")+(INDIRECT($E$3)=$E122)),INDIRECT(M$3)))),_xlpm.y,SUM(_xlfn.CHOOSECOLS(_xlfn._xlws.FILTER(F_RT14[],(F_RT14[PrjId]=$B122)*(F_RT14[Vrs]=$D122)*(_xlfn.TEXTAFTER(F_RT14[ActGrp],":")=_xlfn.TEXTAFTER($H122,":")),"X"),MATCH("*"&amp;M$54,F_RT14[#Headers],0))),IF(AND(_xlpm.x=0,_xlpm.y&lt;&gt;0),-1,IF(AND(_xlpm.x&lt;&gt;0,_xlpm.y&lt;&gt;0),_xlpm.x,IF(AND(_xlpm.x-SUM(IF((INDIRECT($B$3)=$B122)*(INDIRECT($C$3)=$D122)*((INDIRECT($E$3)="TOTS")+(INDIRECT($E$3)=$E122)),INDIRECT(M$3)))&lt;&gt;0,_xlpm.y=0),-2,_xlpm.x)))),0))</f>
        <v>0</v>
      </c>
      <c r="N122" s="199" cm="1">
        <f t="array" aca="1" ref="N122" ca="1">IF(OR($B122="",$B122="X",$D122="",$D122="X",$E122="",$E122="X"),0,IFERROR(_xlfn.LET(_xlpm.x,SUM(SUM(_xlfn._xlws.FILTER(VALUE(PptoSty[Sign]&amp;1)*(1/PptoSty[Division]),(PptoSty[Division]&lt;&gt;0)*(PptoSty[Division]&lt;&gt;"")*(PptoSty[Division]&lt;&gt;"X")*(PptoSty[Project]=$B122)*(PptoSty[Vrs]=$D122)*(PptoSty[PiRow]=_xlfn.TEXTAFTER($H122,":"))*(PptoSty[PiColumn]=N$54),0)),SUM(IF((INDIRECT($B$3)=$B122)*(INDIRECT($C$3)=$D122)*((INDIRECT($E$3)="TOTS")+(INDIRECT($E$3)=$E122)),INDIRECT(N$3)))),_xlpm.y,SUM(_xlfn.CHOOSECOLS(_xlfn._xlws.FILTER(F_RT14[],(F_RT14[PrjId]=$B122)*(F_RT14[Vrs]=$D122)*(_xlfn.TEXTAFTER(F_RT14[ActGrp],":")=_xlfn.TEXTAFTER($H122,":")),"X"),MATCH("*"&amp;N$54,F_RT14[#Headers],0))),IF(AND(_xlpm.x=0,_xlpm.y&lt;&gt;0),-1,IF(AND(_xlpm.x&lt;&gt;0,_xlpm.y&lt;&gt;0),_xlpm.x,IF(AND(_xlpm.x-SUM(IF((INDIRECT($B$3)=$B122)*(INDIRECT($C$3)=$D122)*((INDIRECT($E$3)="TOTS")+(INDIRECT($E$3)=$E122)),INDIRECT(N$3)))&lt;&gt;0,_xlpm.y=0),-2,_xlpm.x)))),0))</f>
        <v>0</v>
      </c>
      <c r="O122" s="199" cm="1">
        <f t="array" aca="1" ref="O122" ca="1">IF(OR($B122="",$B122="X",$D122="",$D122="X",$E122="",$E122="X"),0,IFERROR(_xlfn.LET(_xlpm.x,SUM(SUM(_xlfn._xlws.FILTER(VALUE(PptoSty[Sign]&amp;1)*(1/PptoSty[Division]),(PptoSty[Division]&lt;&gt;0)*(PptoSty[Division]&lt;&gt;"")*(PptoSty[Division]&lt;&gt;"X")*(PptoSty[Project]=$B122)*(PptoSty[Vrs]=$D122)*(PptoSty[PiRow]=_xlfn.TEXTAFTER($H122,":"))*(PptoSty[PiColumn]=O$54),0)),SUM(IF((INDIRECT($B$3)=$B122)*(INDIRECT($C$3)=$D122)*((INDIRECT($E$3)="TOTS")+(INDIRECT($E$3)=$E122)),INDIRECT(O$3)))),_xlpm.y,SUM(_xlfn.CHOOSECOLS(_xlfn._xlws.FILTER(F_RT14[],(F_RT14[PrjId]=$B122)*(F_RT14[Vrs]=$D122)*(_xlfn.TEXTAFTER(F_RT14[ActGrp],":")=_xlfn.TEXTAFTER($H122,":")),"X"),MATCH("*"&amp;O$54,F_RT14[#Headers],0))),IF(AND(_xlpm.x=0,_xlpm.y&lt;&gt;0),-1,IF(AND(_xlpm.x&lt;&gt;0,_xlpm.y&lt;&gt;0),_xlpm.x,IF(AND(_xlpm.x-SUM(IF((INDIRECT($B$3)=$B122)*(INDIRECT($C$3)=$D122)*((INDIRECT($E$3)="TOTS")+(INDIRECT($E$3)=$E122)),INDIRECT(O$3)))&lt;&gt;0,_xlpm.y=0),-2,_xlpm.x)))),0))</f>
        <v>0</v>
      </c>
      <c r="P122" s="199" cm="1">
        <f t="array" aca="1" ref="P122" ca="1">IF(OR($B122="",$B122="X",$D122="",$D122="X",$E122="",$E122="X"),0,IFERROR(_xlfn.LET(_xlpm.x,SUM(SUM(_xlfn._xlws.FILTER(VALUE(PptoSty[Sign]&amp;1)*(1/PptoSty[Division]),(PptoSty[Division]&lt;&gt;0)*(PptoSty[Division]&lt;&gt;"")*(PptoSty[Division]&lt;&gt;"X")*(PptoSty[Project]=$B122)*(PptoSty[Vrs]=$D122)*(PptoSty[PiRow]=_xlfn.TEXTAFTER($H122,":"))*(PptoSty[PiColumn]=P$54),0)),SUM(IF((INDIRECT($B$3)=$B122)*(INDIRECT($C$3)=$D122)*((INDIRECT($E$3)="TOTS")+(INDIRECT($E$3)=$E122)),INDIRECT(P$3)))),_xlpm.y,SUM(_xlfn.CHOOSECOLS(_xlfn._xlws.FILTER(F_RT14[],(F_RT14[PrjId]=$B122)*(F_RT14[Vrs]=$D122)*(_xlfn.TEXTAFTER(F_RT14[ActGrp],":")=_xlfn.TEXTAFTER($H122,":")),"X"),MATCH("*"&amp;P$54,F_RT14[#Headers],0))),IF(AND(_xlpm.x=0,_xlpm.y&lt;&gt;0),-1,IF(AND(_xlpm.x&lt;&gt;0,_xlpm.y&lt;&gt;0),_xlpm.x,IF(AND(_xlpm.x-SUM(IF((INDIRECT($B$3)=$B122)*(INDIRECT($C$3)=$D122)*((INDIRECT($E$3)="TOTS")+(INDIRECT($E$3)=$E122)),INDIRECT(P$3)))&lt;&gt;0,_xlpm.y=0),-2,_xlpm.x)))),0))</f>
        <v>-1</v>
      </c>
      <c r="Q122" s="199" cm="1">
        <f t="array" aca="1" ref="Q122" ca="1">IF(OR($B122="",$B122="X",$D122="",$D122="X",$E122="",$E122="X"),0,IFERROR(_xlfn.LET(_xlpm.x,SUM(SUM(_xlfn._xlws.FILTER(VALUE(PptoSty[Sign]&amp;1)*(1/PptoSty[Division]),(PptoSty[Division]&lt;&gt;0)*(PptoSty[Division]&lt;&gt;"")*(PptoSty[Division]&lt;&gt;"X")*(PptoSty[Project]=$B122)*(PptoSty[Vrs]=$D122)*(PptoSty[PiRow]=_xlfn.TEXTAFTER($H122,":"))*(PptoSty[PiColumn]=Q$54),0)),SUM(IF((INDIRECT($B$3)=$B122)*(INDIRECT($C$3)=$D122)*((INDIRECT($E$3)="TOTS")+(INDIRECT($E$3)=$E122)),INDIRECT(Q$3)))),_xlpm.y,SUM(_xlfn.CHOOSECOLS(_xlfn._xlws.FILTER(F_RT14[],(F_RT14[PrjId]=$B122)*(F_RT14[Vrs]=$D122)*(_xlfn.TEXTAFTER(F_RT14[ActGrp],":")=_xlfn.TEXTAFTER($H122,":")),"X"),MATCH("*"&amp;Q$54,F_RT14[#Headers],0))),IF(AND(_xlpm.x=0,_xlpm.y&lt;&gt;0),-1,IF(AND(_xlpm.x&lt;&gt;0,_xlpm.y&lt;&gt;0),_xlpm.x,IF(AND(_xlpm.x-SUM(IF((INDIRECT($B$3)=$B122)*(INDIRECT($C$3)=$D122)*((INDIRECT($E$3)="TOTS")+(INDIRECT($E$3)=$E122)),INDIRECT(Q$3)))&lt;&gt;0,_xlpm.y=0),-2,_xlpm.x)))),0))</f>
        <v>-1</v>
      </c>
      <c r="R122" s="199" cm="1">
        <f t="array" aca="1" ref="R122" ca="1">IF(OR($B122="",$B122="X",$D122="",$D122="X",$E122="",$E122="X"),0,IFERROR(_xlfn.LET(_xlpm.x,SUM(SUM(_xlfn._xlws.FILTER(VALUE(PptoSty[Sign]&amp;1)*(1/PptoSty[Division]),(PptoSty[Division]&lt;&gt;0)*(PptoSty[Division]&lt;&gt;"")*(PptoSty[Division]&lt;&gt;"X")*(PptoSty[Project]=$B122)*(PptoSty[Vrs]=$D122)*(PptoSty[PiRow]=_xlfn.TEXTAFTER($H122,":"))*(PptoSty[PiColumn]=R$54),0)),SUM(IF((INDIRECT($B$3)=$B122)*(INDIRECT($C$3)=$D122)*((INDIRECT($E$3)="TOTS")+(INDIRECT($E$3)=$E122)),INDIRECT(R$3)))),_xlpm.y,SUM(_xlfn.CHOOSECOLS(_xlfn._xlws.FILTER(F_RT14[],(F_RT14[PrjId]=$B122)*(F_RT14[Vrs]=$D122)*(_xlfn.TEXTAFTER(F_RT14[ActGrp],":")=_xlfn.TEXTAFTER($H122,":")),"X"),MATCH("*"&amp;R$54,F_RT14[#Headers],0))),IF(AND(_xlpm.x=0,_xlpm.y&lt;&gt;0),-1,IF(AND(_xlpm.x&lt;&gt;0,_xlpm.y&lt;&gt;0),_xlpm.x,IF(AND(_xlpm.x-SUM(IF((INDIRECT($B$3)=$B122)*(INDIRECT($C$3)=$D122)*((INDIRECT($E$3)="TOTS")+(INDIRECT($E$3)=$E122)),INDIRECT(R$3)))&lt;&gt;0,_xlpm.y=0),-2,_xlpm.x)))),0))</f>
        <v>0</v>
      </c>
      <c r="S122" s="199" cm="1">
        <f t="array" aca="1" ref="S122" ca="1">IF(OR($B122="",$B122="X",$D122="",$D122="X",$E122="",$E122="X"),0,IFERROR(_xlfn.LET(_xlpm.x,SUM(SUM(_xlfn._xlws.FILTER(VALUE(PptoSty[Sign]&amp;1)*(1/PptoSty[Division]),(PptoSty[Division]&lt;&gt;0)*(PptoSty[Division]&lt;&gt;"")*(PptoSty[Division]&lt;&gt;"X")*(PptoSty[Project]=$B122)*(PptoSty[Vrs]=$D122)*(PptoSty[PiRow]=_xlfn.TEXTAFTER($H122,":"))*(PptoSty[PiColumn]=S$54),0)),SUM(IF((INDIRECT($B$3)=$B122)*(INDIRECT($C$3)=$D122)*((INDIRECT($E$3)="TOTS")+(INDIRECT($E$3)=$E122)),INDIRECT(S$3)))),_xlpm.y,SUM(_xlfn.CHOOSECOLS(_xlfn._xlws.FILTER(F_RT14[],(F_RT14[PrjId]=$B122)*(F_RT14[Vrs]=$D122)*(_xlfn.TEXTAFTER(F_RT14[ActGrp],":")=_xlfn.TEXTAFTER($H122,":")),"X"),MATCH("*"&amp;S$54,F_RT14[#Headers],0))),IF(AND(_xlpm.x=0,_xlpm.y&lt;&gt;0),-1,IF(AND(_xlpm.x&lt;&gt;0,_xlpm.y&lt;&gt;0),_xlpm.x,IF(AND(_xlpm.x-SUM(IF((INDIRECT($B$3)=$B122)*(INDIRECT($C$3)=$D122)*((INDIRECT($E$3)="TOTS")+(INDIRECT($E$3)=$E122)),INDIRECT(S$3)))&lt;&gt;0,_xlpm.y=0),-2,_xlpm.x)))),0))</f>
        <v>0</v>
      </c>
      <c r="T122" s="199" cm="1">
        <f t="array" aca="1" ref="T122" ca="1">IF(OR($B122="",$B122="X",$D122="",$D122="X",$E122="",$E122="X"),0,IFERROR(_xlfn.LET(_xlpm.x,SUM(SUM(_xlfn._xlws.FILTER(VALUE(PptoSty[Sign]&amp;1)*(1/PptoSty[Division]),(PptoSty[Division]&lt;&gt;0)*(PptoSty[Division]&lt;&gt;"")*(PptoSty[Division]&lt;&gt;"X")*(PptoSty[Project]=$B122)*(PptoSty[Vrs]=$D122)*(PptoSty[PiRow]=_xlfn.TEXTAFTER($H122,":"))*(PptoSty[PiColumn]=T$54),0)),SUM(IF((INDIRECT($B$3)=$B122)*(INDIRECT($C$3)=$D122)*((INDIRECT($E$3)="TOTS")+(INDIRECT($E$3)=$E122)),INDIRECT(T$3)))),_xlpm.y,SUM(_xlfn.CHOOSECOLS(_xlfn._xlws.FILTER(F_RT14[],(F_RT14[PrjId]=$B122)*(F_RT14[Vrs]=$D122)*(_xlfn.TEXTAFTER(F_RT14[ActGrp],":")=_xlfn.TEXTAFTER($H122,":")),"X"),MATCH("*"&amp;T$54,F_RT14[#Headers],0))),IF(AND(_xlpm.x=0,_xlpm.y&lt;&gt;0),-1,IF(AND(_xlpm.x&lt;&gt;0,_xlpm.y&lt;&gt;0),_xlpm.x,IF(AND(_xlpm.x-SUM(IF((INDIRECT($B$3)=$B122)*(INDIRECT($C$3)=$D122)*((INDIRECT($E$3)="TOTS")+(INDIRECT($E$3)=$E122)),INDIRECT(T$3)))&lt;&gt;0,_xlpm.y=0),-2,_xlpm.x)))),0))</f>
        <v>0</v>
      </c>
      <c r="U122" s="199" cm="1">
        <f t="array" aca="1" ref="U122" ca="1">IF(OR($B122="",$B122="X",$D122="",$D122="X",$E122="",$E122="X"),0,IFERROR(_xlfn.LET(_xlpm.x,SUM(SUM(_xlfn._xlws.FILTER(VALUE(PptoSty[Sign]&amp;1)*(1/PptoSty[Division]),(PptoSty[Division]&lt;&gt;0)*(PptoSty[Division]&lt;&gt;"")*(PptoSty[Division]&lt;&gt;"X")*(PptoSty[Project]=$B122)*(PptoSty[Vrs]=$D122)*(PptoSty[PiRow]=_xlfn.TEXTAFTER($H122,":"))*(PptoSty[PiColumn]=U$54),0)),SUM(IF((INDIRECT($B$3)=$B122)*(INDIRECT($C$3)=$D122)*((INDIRECT($E$3)="TOTS")+(INDIRECT($E$3)=$E122)),INDIRECT(U$3)))),_xlpm.y,SUM(_xlfn.CHOOSECOLS(_xlfn._xlws.FILTER(F_RT14[],(F_RT14[PrjId]=$B122)*(F_RT14[Vrs]=$D122)*(_xlfn.TEXTAFTER(F_RT14[ActGrp],":")=_xlfn.TEXTAFTER($H122,":")),"X"),MATCH("*"&amp;U$54,F_RT14[#Headers],0))),IF(AND(_xlpm.x=0,_xlpm.y&lt;&gt;0),-1,IF(AND(_xlpm.x&lt;&gt;0,_xlpm.y&lt;&gt;0),_xlpm.x,IF(AND(_xlpm.x-SUM(IF((INDIRECT($B$3)=$B122)*(INDIRECT($C$3)=$D122)*((INDIRECT($E$3)="TOTS")+(INDIRECT($E$3)=$E122)),INDIRECT(U$3)))&lt;&gt;0,_xlpm.y=0),-2,_xlpm.x)))),0))</f>
        <v>0</v>
      </c>
      <c r="V122" s="199" cm="1">
        <f t="array" aca="1" ref="V122" ca="1">IF(OR($B122="",$B122="X",$D122="",$D122="X",$E122="",$E122="X"),0,IFERROR(_xlfn.LET(_xlpm.x,SUM(SUM(_xlfn._xlws.FILTER(VALUE(PptoSty[Sign]&amp;1)*(1/PptoSty[Division]),(PptoSty[Division]&lt;&gt;0)*(PptoSty[Division]&lt;&gt;"")*(PptoSty[Division]&lt;&gt;"X")*(PptoSty[Project]=$B122)*(PptoSty[Vrs]=$D122)*(PptoSty[PiRow]=_xlfn.TEXTAFTER($H122,":"))*(PptoSty[PiColumn]=V$54),0)),SUM(IF((INDIRECT($B$3)=$B122)*(INDIRECT($C$3)=$D122)*((INDIRECT($E$3)="TOTS")+(INDIRECT($E$3)=$E122)),INDIRECT(V$3)))),_xlpm.y,SUM(_xlfn.CHOOSECOLS(_xlfn._xlws.FILTER(F_RT14[],(F_RT14[PrjId]=$B122)*(F_RT14[Vrs]=$D122)*(_xlfn.TEXTAFTER(F_RT14[ActGrp],":")=_xlfn.TEXTAFTER($H122,":")),"X"),MATCH("*"&amp;V$54,F_RT14[#Headers],0))),IF(AND(_xlpm.x=0,_xlpm.y&lt;&gt;0),-1,IF(AND(_xlpm.x&lt;&gt;0,_xlpm.y&lt;&gt;0),_xlpm.x,IF(AND(_xlpm.x-SUM(IF((INDIRECT($B$3)=$B122)*(INDIRECT($C$3)=$D122)*((INDIRECT($E$3)="TOTS")+(INDIRECT($E$3)=$E122)),INDIRECT(V$3)))&lt;&gt;0,_xlpm.y=0),-2,_xlpm.x)))),0))</f>
        <v>-1</v>
      </c>
      <c r="W122" s="199" cm="1">
        <f t="array" aca="1" ref="W122" ca="1">IF(OR($B122="",$B122="X",$D122="",$D122="X",$E122="",$E122="X"),0,IFERROR(_xlfn.LET(_xlpm.x,SUM(SUM(_xlfn._xlws.FILTER(VALUE(PptoSty[Sign]&amp;1)*(1/PptoSty[Division]),(PptoSty[Division]&lt;&gt;0)*(PptoSty[Division]&lt;&gt;"")*(PptoSty[Division]&lt;&gt;"X")*(PptoSty[Project]=$B122)*(PptoSty[Vrs]=$D122)*(PptoSty[PiRow]=_xlfn.TEXTAFTER($H122,":"))*(PptoSty[PiColumn]=W$54),0)),SUM(IF((INDIRECT($B$3)=$B122)*(INDIRECT($C$3)=$D122)*((INDIRECT($E$3)="TOTS")+(INDIRECT($E$3)=$E122)),INDIRECT(W$3)))),_xlpm.y,SUM(_xlfn.CHOOSECOLS(_xlfn._xlws.FILTER(F_RT14[],(F_RT14[PrjId]=$B122)*(F_RT14[Vrs]=$D122)*(_xlfn.TEXTAFTER(F_RT14[ActGrp],":")=_xlfn.TEXTAFTER($H122,":")),"X"),MATCH("*"&amp;W$54,F_RT14[#Headers],0))),IF(AND(_xlpm.x=0,_xlpm.y&lt;&gt;0),-1,IF(AND(_xlpm.x&lt;&gt;0,_xlpm.y&lt;&gt;0),_xlpm.x,IF(AND(_xlpm.x-SUM(IF((INDIRECT($B$3)=$B122)*(INDIRECT($C$3)=$D122)*((INDIRECT($E$3)="TOTS")+(INDIRECT($E$3)=$E122)),INDIRECT(W$3)))&lt;&gt;0,_xlpm.y=0),-2,_xlpm.x)))),0))</f>
        <v>0</v>
      </c>
      <c r="X122" s="199" cm="1">
        <f t="array" aca="1" ref="X122" ca="1">IF(OR($B122="",$B122="X",$D122="",$D122="X",$E122="",$E122="X"),0,IFERROR(_xlfn.LET(_xlpm.x,SUM(SUM(_xlfn._xlws.FILTER(VALUE(PptoSty[Sign]&amp;1)*(1/PptoSty[Division]),(PptoSty[Division]&lt;&gt;0)*(PptoSty[Division]&lt;&gt;"")*(PptoSty[Division]&lt;&gt;"X")*(PptoSty[Project]=$B122)*(PptoSty[Vrs]=$D122)*(PptoSty[PiRow]=_xlfn.TEXTAFTER($H122,":"))*(PptoSty[PiColumn]=X$54),0)),SUM(IF((INDIRECT($B$3)=$B122)*(INDIRECT($C$3)=$D122)*((INDIRECT($E$3)="TOTS")+(INDIRECT($E$3)=$E122)),INDIRECT(X$3)))),_xlpm.y,SUM(_xlfn.CHOOSECOLS(_xlfn._xlws.FILTER(F_RT14[],(F_RT14[PrjId]=$B122)*(F_RT14[Vrs]=$D122)*(_xlfn.TEXTAFTER(F_RT14[ActGrp],":")=_xlfn.TEXTAFTER($H122,":")),"X"),MATCH("*"&amp;X$54,F_RT14[#Headers],0))),IF(AND(_xlpm.x=0,_xlpm.y&lt;&gt;0),-1,IF(AND(_xlpm.x&lt;&gt;0,_xlpm.y&lt;&gt;0),_xlpm.x,IF(AND(_xlpm.x-SUM(IF((INDIRECT($B$3)=$B122)*(INDIRECT($C$3)=$D122)*((INDIRECT($E$3)="TOTS")+(INDIRECT($E$3)=$E122)),INDIRECT(X$3)))&lt;&gt;0,_xlpm.y=0),-2,_xlpm.x)))),0))</f>
        <v>0</v>
      </c>
      <c r="Y122" s="199" cm="1">
        <f t="array" aca="1" ref="Y122" ca="1">IF(OR($B122="",$B122="X",$D122="",$D122="X",$E122="",$E122="X"),0,IFERROR(_xlfn.LET(_xlpm.x,SUM(SUM(_xlfn._xlws.FILTER(VALUE(PptoSty[Sign]&amp;1)*(1/PptoSty[Division]),(PptoSty[Division]&lt;&gt;0)*(PptoSty[Division]&lt;&gt;"")*(PptoSty[Division]&lt;&gt;"X")*(PptoSty[Project]=$B122)*(PptoSty[Vrs]=$D122)*(PptoSty[PiRow]=_xlfn.TEXTAFTER($H122,":"))*(PptoSty[PiColumn]=Y$54),0)),SUM(IF((INDIRECT($B$3)=$B122)*(INDIRECT($C$3)=$D122)*((INDIRECT($E$3)="TOTS")+(INDIRECT($E$3)=$E122)),INDIRECT(Y$3)))),_xlpm.y,SUM(_xlfn.CHOOSECOLS(_xlfn._xlws.FILTER(F_RT14[],(F_RT14[PrjId]=$B122)*(F_RT14[Vrs]=$D122)*(_xlfn.TEXTAFTER(F_RT14[ActGrp],":")=_xlfn.TEXTAFTER($H122,":")),"X"),MATCH("*"&amp;Y$54,F_RT14[#Headers],0))),IF(AND(_xlpm.x=0,_xlpm.y&lt;&gt;0),-1,IF(AND(_xlpm.x&lt;&gt;0,_xlpm.y&lt;&gt;0),_xlpm.x,IF(AND(_xlpm.x-SUM(IF((INDIRECT($B$3)=$B122)*(INDIRECT($C$3)=$D122)*((INDIRECT($E$3)="TOTS")+(INDIRECT($E$3)=$E122)),INDIRECT(Y$3)))&lt;&gt;0,_xlpm.y=0),-2,_xlpm.x)))),0))</f>
        <v>0</v>
      </c>
      <c r="Z122" s="198" t="str">
        <f t="shared" ca="1" si="3"/>
        <v>Fback!B122:Y122</v>
      </c>
    </row>
    <row r="123" spans="2:26" ht="21" customHeight="1" outlineLevel="1">
      <c r="B123" s="128" t="str">
        <v>31200</v>
      </c>
      <c r="C123" s="128" t="str">
        <v>Sp</v>
      </c>
      <c r="D123" s="128">
        <v>15</v>
      </c>
      <c r="E123" s="128" t="str">
        <v>CELL</v>
      </c>
      <c r="F123" s="139" t="str">
        <v>SERRA</v>
      </c>
      <c r="G123" s="139" t="str">
        <v>CurPpto</v>
      </c>
      <c r="H123" s="139" t="str">
        <v>P029:OP-950 AGV DOCKING</v>
      </c>
      <c r="I123" s="199" cm="1">
        <f t="array" aca="1" ref="I123" ca="1">IF(OR($B123="",$B123="X",$D123="",$D123="X",$E123="",$E123="X"),0,IFERROR(_xlfn.LET(_xlpm.x,SUM(SUM(_xlfn._xlws.FILTER(VALUE(PptoSty[Sign]&amp;1)*(1/PptoSty[Division]),(PptoSty[Division]&lt;&gt;0)*(PptoSty[Division]&lt;&gt;"")*(PptoSty[Division]&lt;&gt;"X")*(PptoSty[Project]=$B123)*(PptoSty[Vrs]=$D123)*(PptoSty[PiRow]=_xlfn.TEXTAFTER($H123,":"))*(PptoSty[PiColumn]=I$54),0)),SUM(IF((INDIRECT($B$3)=$B123)*(INDIRECT($C$3)=$D123)*((INDIRECT($E$3)="TOTS")+(INDIRECT($E$3)=$E123)),INDIRECT(I$3)))),_xlpm.y,SUM(_xlfn.CHOOSECOLS(_xlfn._xlws.FILTER(F_RT14[],(F_RT14[PrjId]=$B123)*(F_RT14[Vrs]=$D123)*(_xlfn.TEXTAFTER(F_RT14[ActGrp],":")=_xlfn.TEXTAFTER($H123,":")),"X"),MATCH("*"&amp;I$54,F_RT14[#Headers],0))),IF(AND(_xlpm.x=0,_xlpm.y&lt;&gt;0),-1,IF(AND(_xlpm.x&lt;&gt;0,_xlpm.y&lt;&gt;0),_xlpm.x,IF(AND(_xlpm.x-SUM(IF((INDIRECT($B$3)=$B123)*(INDIRECT($C$3)=$D123)*((INDIRECT($E$3)="TOTS")+(INDIRECT($E$3)=$E123)),INDIRECT(I$3)))&lt;&gt;0,_xlpm.y=0),-2,_xlpm.x)))),0))</f>
        <v>0</v>
      </c>
      <c r="J123" s="199" cm="1">
        <f t="array" aca="1" ref="J123" ca="1">IF(OR($B123="",$B123="X",$D123="",$D123="X",$E123="",$E123="X"),0,IFERROR(_xlfn.LET(_xlpm.x,SUM(SUM(_xlfn._xlws.FILTER(VALUE(PptoSty[Sign]&amp;1)*(1/PptoSty[Division]),(PptoSty[Division]&lt;&gt;0)*(PptoSty[Division]&lt;&gt;"")*(PptoSty[Division]&lt;&gt;"X")*(PptoSty[Project]=$B123)*(PptoSty[Vrs]=$D123)*(PptoSty[PiRow]=_xlfn.TEXTAFTER($H123,":"))*(PptoSty[PiColumn]=J$54),0)),SUM(IF((INDIRECT($B$3)=$B123)*(INDIRECT($C$3)=$D123)*((INDIRECT($E$3)="TOTS")+(INDIRECT($E$3)=$E123)),INDIRECT(J$3)))),_xlpm.y,SUM(_xlfn.CHOOSECOLS(_xlfn._xlws.FILTER(F_RT14[],(F_RT14[PrjId]=$B123)*(F_RT14[Vrs]=$D123)*(_xlfn.TEXTAFTER(F_RT14[ActGrp],":")=_xlfn.TEXTAFTER($H123,":")),"X"),MATCH("*"&amp;J$54,F_RT14[#Headers],0))),IF(AND(_xlpm.x=0,_xlpm.y&lt;&gt;0),-1,IF(AND(_xlpm.x&lt;&gt;0,_xlpm.y&lt;&gt;0),_xlpm.x,IF(AND(_xlpm.x-SUM(IF((INDIRECT($B$3)=$B123)*(INDIRECT($C$3)=$D123)*((INDIRECT($E$3)="TOTS")+(INDIRECT($E$3)=$E123)),INDIRECT(J$3)))&lt;&gt;0,_xlpm.y=0),-2,_xlpm.x)))),0))</f>
        <v>0</v>
      </c>
      <c r="K123" s="199" cm="1">
        <f t="array" aca="1" ref="K123" ca="1">IF(OR($B123="",$B123="X",$D123="",$D123="X",$E123="",$E123="X"),0,IFERROR(_xlfn.LET(_xlpm.x,SUM(SUM(_xlfn._xlws.FILTER(VALUE(PptoSty[Sign]&amp;1)*(1/PptoSty[Division]),(PptoSty[Division]&lt;&gt;0)*(PptoSty[Division]&lt;&gt;"")*(PptoSty[Division]&lt;&gt;"X")*(PptoSty[Project]=$B123)*(PptoSty[Vrs]=$D123)*(PptoSty[PiRow]=_xlfn.TEXTAFTER($H123,":"))*(PptoSty[PiColumn]=K$54),0)),SUM(IF((INDIRECT($B$3)=$B123)*(INDIRECT($C$3)=$D123)*((INDIRECT($E$3)="TOTS")+(INDIRECT($E$3)=$E123)),INDIRECT(K$3)))),_xlpm.y,SUM(_xlfn.CHOOSECOLS(_xlfn._xlws.FILTER(F_RT14[],(F_RT14[PrjId]=$B123)*(F_RT14[Vrs]=$D123)*(_xlfn.TEXTAFTER(F_RT14[ActGrp],":")=_xlfn.TEXTAFTER($H123,":")),"X"),MATCH("*"&amp;K$54,F_RT14[#Headers],0))),IF(AND(_xlpm.x=0,_xlpm.y&lt;&gt;0),-1,IF(AND(_xlpm.x&lt;&gt;0,_xlpm.y&lt;&gt;0),_xlpm.x,IF(AND(_xlpm.x-SUM(IF((INDIRECT($B$3)=$B123)*(INDIRECT($C$3)=$D123)*((INDIRECT($E$3)="TOTS")+(INDIRECT($E$3)=$E123)),INDIRECT(K$3)))&lt;&gt;0,_xlpm.y=0),-2,_xlpm.x)))),0))</f>
        <v>-1</v>
      </c>
      <c r="L123" s="199" cm="1">
        <f t="array" aca="1" ref="L123" ca="1">IF(OR($B123="",$B123="X",$D123="",$D123="X",$E123="",$E123="X"),0,IFERROR(_xlfn.LET(_xlpm.x,SUM(SUM(_xlfn._xlws.FILTER(VALUE(PptoSty[Sign]&amp;1)*(1/PptoSty[Division]),(PptoSty[Division]&lt;&gt;0)*(PptoSty[Division]&lt;&gt;"")*(PptoSty[Division]&lt;&gt;"X")*(PptoSty[Project]=$B123)*(PptoSty[Vrs]=$D123)*(PptoSty[PiRow]=_xlfn.TEXTAFTER($H123,":"))*(PptoSty[PiColumn]=L$54),0)),SUM(IF((INDIRECT($B$3)=$B123)*(INDIRECT($C$3)=$D123)*((INDIRECT($E$3)="TOTS")+(INDIRECT($E$3)=$E123)),INDIRECT(L$3)))),_xlpm.y,SUM(_xlfn.CHOOSECOLS(_xlfn._xlws.FILTER(F_RT14[],(F_RT14[PrjId]=$B123)*(F_RT14[Vrs]=$D123)*(_xlfn.TEXTAFTER(F_RT14[ActGrp],":")=_xlfn.TEXTAFTER($H123,":")),"X"),MATCH("*"&amp;L$54,F_RT14[#Headers],0))),IF(AND(_xlpm.x=0,_xlpm.y&lt;&gt;0),-1,IF(AND(_xlpm.x&lt;&gt;0,_xlpm.y&lt;&gt;0),_xlpm.x,IF(AND(_xlpm.x-SUM(IF((INDIRECT($B$3)=$B123)*(INDIRECT($C$3)=$D123)*((INDIRECT($E$3)="TOTS")+(INDIRECT($E$3)=$E123)),INDIRECT(L$3)))&lt;&gt;0,_xlpm.y=0),-2,_xlpm.x)))),0))</f>
        <v>0</v>
      </c>
      <c r="M123" s="199" cm="1">
        <f t="array" aca="1" ref="M123" ca="1">IF(OR($B123="",$B123="X",$D123="",$D123="X",$E123="",$E123="X"),0,IFERROR(_xlfn.LET(_xlpm.x,SUM(SUM(_xlfn._xlws.FILTER(VALUE(PptoSty[Sign]&amp;1)*(1/PptoSty[Division]),(PptoSty[Division]&lt;&gt;0)*(PptoSty[Division]&lt;&gt;"")*(PptoSty[Division]&lt;&gt;"X")*(PptoSty[Project]=$B123)*(PptoSty[Vrs]=$D123)*(PptoSty[PiRow]=_xlfn.TEXTAFTER($H123,":"))*(PptoSty[PiColumn]=M$54),0)),SUM(IF((INDIRECT($B$3)=$B123)*(INDIRECT($C$3)=$D123)*((INDIRECT($E$3)="TOTS")+(INDIRECT($E$3)=$E123)),INDIRECT(M$3)))),_xlpm.y,SUM(_xlfn.CHOOSECOLS(_xlfn._xlws.FILTER(F_RT14[],(F_RT14[PrjId]=$B123)*(F_RT14[Vrs]=$D123)*(_xlfn.TEXTAFTER(F_RT14[ActGrp],":")=_xlfn.TEXTAFTER($H123,":")),"X"),MATCH("*"&amp;M$54,F_RT14[#Headers],0))),IF(AND(_xlpm.x=0,_xlpm.y&lt;&gt;0),-1,IF(AND(_xlpm.x&lt;&gt;0,_xlpm.y&lt;&gt;0),_xlpm.x,IF(AND(_xlpm.x-SUM(IF((INDIRECT($B$3)=$B123)*(INDIRECT($C$3)=$D123)*((INDIRECT($E$3)="TOTS")+(INDIRECT($E$3)=$E123)),INDIRECT(M$3)))&lt;&gt;0,_xlpm.y=0),-2,_xlpm.x)))),0))</f>
        <v>0</v>
      </c>
      <c r="N123" s="199" cm="1">
        <f t="array" aca="1" ref="N123" ca="1">IF(OR($B123="",$B123="X",$D123="",$D123="X",$E123="",$E123="X"),0,IFERROR(_xlfn.LET(_xlpm.x,SUM(SUM(_xlfn._xlws.FILTER(VALUE(PptoSty[Sign]&amp;1)*(1/PptoSty[Division]),(PptoSty[Division]&lt;&gt;0)*(PptoSty[Division]&lt;&gt;"")*(PptoSty[Division]&lt;&gt;"X")*(PptoSty[Project]=$B123)*(PptoSty[Vrs]=$D123)*(PptoSty[PiRow]=_xlfn.TEXTAFTER($H123,":"))*(PptoSty[PiColumn]=N$54),0)),SUM(IF((INDIRECT($B$3)=$B123)*(INDIRECT($C$3)=$D123)*((INDIRECT($E$3)="TOTS")+(INDIRECT($E$3)=$E123)),INDIRECT(N$3)))),_xlpm.y,SUM(_xlfn.CHOOSECOLS(_xlfn._xlws.FILTER(F_RT14[],(F_RT14[PrjId]=$B123)*(F_RT14[Vrs]=$D123)*(_xlfn.TEXTAFTER(F_RT14[ActGrp],":")=_xlfn.TEXTAFTER($H123,":")),"X"),MATCH("*"&amp;N$54,F_RT14[#Headers],0))),IF(AND(_xlpm.x=0,_xlpm.y&lt;&gt;0),-1,IF(AND(_xlpm.x&lt;&gt;0,_xlpm.y&lt;&gt;0),_xlpm.x,IF(AND(_xlpm.x-SUM(IF((INDIRECT($B$3)=$B123)*(INDIRECT($C$3)=$D123)*((INDIRECT($E$3)="TOTS")+(INDIRECT($E$3)=$E123)),INDIRECT(N$3)))&lt;&gt;0,_xlpm.y=0),-2,_xlpm.x)))),0))</f>
        <v>-1</v>
      </c>
      <c r="O123" s="199" cm="1">
        <f t="array" aca="1" ref="O123" ca="1">IF(OR($B123="",$B123="X",$D123="",$D123="X",$E123="",$E123="X"),0,IFERROR(_xlfn.LET(_xlpm.x,SUM(SUM(_xlfn._xlws.FILTER(VALUE(PptoSty[Sign]&amp;1)*(1/PptoSty[Division]),(PptoSty[Division]&lt;&gt;0)*(PptoSty[Division]&lt;&gt;"")*(PptoSty[Division]&lt;&gt;"X")*(PptoSty[Project]=$B123)*(PptoSty[Vrs]=$D123)*(PptoSty[PiRow]=_xlfn.TEXTAFTER($H123,":"))*(PptoSty[PiColumn]=O$54),0)),SUM(IF((INDIRECT($B$3)=$B123)*(INDIRECT($C$3)=$D123)*((INDIRECT($E$3)="TOTS")+(INDIRECT($E$3)=$E123)),INDIRECT(O$3)))),_xlpm.y,SUM(_xlfn.CHOOSECOLS(_xlfn._xlws.FILTER(F_RT14[],(F_RT14[PrjId]=$B123)*(F_RT14[Vrs]=$D123)*(_xlfn.TEXTAFTER(F_RT14[ActGrp],":")=_xlfn.TEXTAFTER($H123,":")),"X"),MATCH("*"&amp;O$54,F_RT14[#Headers],0))),IF(AND(_xlpm.x=0,_xlpm.y&lt;&gt;0),-1,IF(AND(_xlpm.x&lt;&gt;0,_xlpm.y&lt;&gt;0),_xlpm.x,IF(AND(_xlpm.x-SUM(IF((INDIRECT($B$3)=$B123)*(INDIRECT($C$3)=$D123)*((INDIRECT($E$3)="TOTS")+(INDIRECT($E$3)=$E123)),INDIRECT(O$3)))&lt;&gt;0,_xlpm.y=0),-2,_xlpm.x)))),0))</f>
        <v>0</v>
      </c>
      <c r="P123" s="199" cm="1">
        <f t="array" aca="1" ref="P123" ca="1">IF(OR($B123="",$B123="X",$D123="",$D123="X",$E123="",$E123="X"),0,IFERROR(_xlfn.LET(_xlpm.x,SUM(SUM(_xlfn._xlws.FILTER(VALUE(PptoSty[Sign]&amp;1)*(1/PptoSty[Division]),(PptoSty[Division]&lt;&gt;0)*(PptoSty[Division]&lt;&gt;"")*(PptoSty[Division]&lt;&gt;"X")*(PptoSty[Project]=$B123)*(PptoSty[Vrs]=$D123)*(PptoSty[PiRow]=_xlfn.TEXTAFTER($H123,":"))*(PptoSty[PiColumn]=P$54),0)),SUM(IF((INDIRECT($B$3)=$B123)*(INDIRECT($C$3)=$D123)*((INDIRECT($E$3)="TOTS")+(INDIRECT($E$3)=$E123)),INDIRECT(P$3)))),_xlpm.y,SUM(_xlfn.CHOOSECOLS(_xlfn._xlws.FILTER(F_RT14[],(F_RT14[PrjId]=$B123)*(F_RT14[Vrs]=$D123)*(_xlfn.TEXTAFTER(F_RT14[ActGrp],":")=_xlfn.TEXTAFTER($H123,":")),"X"),MATCH("*"&amp;P$54,F_RT14[#Headers],0))),IF(AND(_xlpm.x=0,_xlpm.y&lt;&gt;0),-1,IF(AND(_xlpm.x&lt;&gt;0,_xlpm.y&lt;&gt;0),_xlpm.x,IF(AND(_xlpm.x-SUM(IF((INDIRECT($B$3)=$B123)*(INDIRECT($C$3)=$D123)*((INDIRECT($E$3)="TOTS")+(INDIRECT($E$3)=$E123)),INDIRECT(P$3)))&lt;&gt;0,_xlpm.y=0),-2,_xlpm.x)))),0))</f>
        <v>-1</v>
      </c>
      <c r="Q123" s="199" cm="1">
        <f t="array" aca="1" ref="Q123" ca="1">IF(OR($B123="",$B123="X",$D123="",$D123="X",$E123="",$E123="X"),0,IFERROR(_xlfn.LET(_xlpm.x,SUM(SUM(_xlfn._xlws.FILTER(VALUE(PptoSty[Sign]&amp;1)*(1/PptoSty[Division]),(PptoSty[Division]&lt;&gt;0)*(PptoSty[Division]&lt;&gt;"")*(PptoSty[Division]&lt;&gt;"X")*(PptoSty[Project]=$B123)*(PptoSty[Vrs]=$D123)*(PptoSty[PiRow]=_xlfn.TEXTAFTER($H123,":"))*(PptoSty[PiColumn]=Q$54),0)),SUM(IF((INDIRECT($B$3)=$B123)*(INDIRECT($C$3)=$D123)*((INDIRECT($E$3)="TOTS")+(INDIRECT($E$3)=$E123)),INDIRECT(Q$3)))),_xlpm.y,SUM(_xlfn.CHOOSECOLS(_xlfn._xlws.FILTER(F_RT14[],(F_RT14[PrjId]=$B123)*(F_RT14[Vrs]=$D123)*(_xlfn.TEXTAFTER(F_RT14[ActGrp],":")=_xlfn.TEXTAFTER($H123,":")),"X"),MATCH("*"&amp;Q$54,F_RT14[#Headers],0))),IF(AND(_xlpm.x=0,_xlpm.y&lt;&gt;0),-1,IF(AND(_xlpm.x&lt;&gt;0,_xlpm.y&lt;&gt;0),_xlpm.x,IF(AND(_xlpm.x-SUM(IF((INDIRECT($B$3)=$B123)*(INDIRECT($C$3)=$D123)*((INDIRECT($E$3)="TOTS")+(INDIRECT($E$3)=$E123)),INDIRECT(Q$3)))&lt;&gt;0,_xlpm.y=0),-2,_xlpm.x)))),0))</f>
        <v>-1</v>
      </c>
      <c r="R123" s="199" cm="1">
        <f t="array" aca="1" ref="R123" ca="1">IF(OR($B123="",$B123="X",$D123="",$D123="X",$E123="",$E123="X"),0,IFERROR(_xlfn.LET(_xlpm.x,SUM(SUM(_xlfn._xlws.FILTER(VALUE(PptoSty[Sign]&amp;1)*(1/PptoSty[Division]),(PptoSty[Division]&lt;&gt;0)*(PptoSty[Division]&lt;&gt;"")*(PptoSty[Division]&lt;&gt;"X")*(PptoSty[Project]=$B123)*(PptoSty[Vrs]=$D123)*(PptoSty[PiRow]=_xlfn.TEXTAFTER($H123,":"))*(PptoSty[PiColumn]=R$54),0)),SUM(IF((INDIRECT($B$3)=$B123)*(INDIRECT($C$3)=$D123)*((INDIRECT($E$3)="TOTS")+(INDIRECT($E$3)=$E123)),INDIRECT(R$3)))),_xlpm.y,SUM(_xlfn.CHOOSECOLS(_xlfn._xlws.FILTER(F_RT14[],(F_RT14[PrjId]=$B123)*(F_RT14[Vrs]=$D123)*(_xlfn.TEXTAFTER(F_RT14[ActGrp],":")=_xlfn.TEXTAFTER($H123,":")),"X"),MATCH("*"&amp;R$54,F_RT14[#Headers],0))),IF(AND(_xlpm.x=0,_xlpm.y&lt;&gt;0),-1,IF(AND(_xlpm.x&lt;&gt;0,_xlpm.y&lt;&gt;0),_xlpm.x,IF(AND(_xlpm.x-SUM(IF((INDIRECT($B$3)=$B123)*(INDIRECT($C$3)=$D123)*((INDIRECT($E$3)="TOTS")+(INDIRECT($E$3)=$E123)),INDIRECT(R$3)))&lt;&gt;0,_xlpm.y=0),-2,_xlpm.x)))),0))</f>
        <v>-1</v>
      </c>
      <c r="S123" s="199" cm="1">
        <f t="array" aca="1" ref="S123" ca="1">IF(OR($B123="",$B123="X",$D123="",$D123="X",$E123="",$E123="X"),0,IFERROR(_xlfn.LET(_xlpm.x,SUM(SUM(_xlfn._xlws.FILTER(VALUE(PptoSty[Sign]&amp;1)*(1/PptoSty[Division]),(PptoSty[Division]&lt;&gt;0)*(PptoSty[Division]&lt;&gt;"")*(PptoSty[Division]&lt;&gt;"X")*(PptoSty[Project]=$B123)*(PptoSty[Vrs]=$D123)*(PptoSty[PiRow]=_xlfn.TEXTAFTER($H123,":"))*(PptoSty[PiColumn]=S$54),0)),SUM(IF((INDIRECT($B$3)=$B123)*(INDIRECT($C$3)=$D123)*((INDIRECT($E$3)="TOTS")+(INDIRECT($E$3)=$E123)),INDIRECT(S$3)))),_xlpm.y,SUM(_xlfn.CHOOSECOLS(_xlfn._xlws.FILTER(F_RT14[],(F_RT14[PrjId]=$B123)*(F_RT14[Vrs]=$D123)*(_xlfn.TEXTAFTER(F_RT14[ActGrp],":")=_xlfn.TEXTAFTER($H123,":")),"X"),MATCH("*"&amp;S$54,F_RT14[#Headers],0))),IF(AND(_xlpm.x=0,_xlpm.y&lt;&gt;0),-1,IF(AND(_xlpm.x&lt;&gt;0,_xlpm.y&lt;&gt;0),_xlpm.x,IF(AND(_xlpm.x-SUM(IF((INDIRECT($B$3)=$B123)*(INDIRECT($C$3)=$D123)*((INDIRECT($E$3)="TOTS")+(INDIRECT($E$3)=$E123)),INDIRECT(S$3)))&lt;&gt;0,_xlpm.y=0),-2,_xlpm.x)))),0))</f>
        <v>-1</v>
      </c>
      <c r="T123" s="199" cm="1">
        <f t="array" aca="1" ref="T123" ca="1">IF(OR($B123="",$B123="X",$D123="",$D123="X",$E123="",$E123="X"),0,IFERROR(_xlfn.LET(_xlpm.x,SUM(SUM(_xlfn._xlws.FILTER(VALUE(PptoSty[Sign]&amp;1)*(1/PptoSty[Division]),(PptoSty[Division]&lt;&gt;0)*(PptoSty[Division]&lt;&gt;"")*(PptoSty[Division]&lt;&gt;"X")*(PptoSty[Project]=$B123)*(PptoSty[Vrs]=$D123)*(PptoSty[PiRow]=_xlfn.TEXTAFTER($H123,":"))*(PptoSty[PiColumn]=T$54),0)),SUM(IF((INDIRECT($B$3)=$B123)*(INDIRECT($C$3)=$D123)*((INDIRECT($E$3)="TOTS")+(INDIRECT($E$3)=$E123)),INDIRECT(T$3)))),_xlpm.y,SUM(_xlfn.CHOOSECOLS(_xlfn._xlws.FILTER(F_RT14[],(F_RT14[PrjId]=$B123)*(F_RT14[Vrs]=$D123)*(_xlfn.TEXTAFTER(F_RT14[ActGrp],":")=_xlfn.TEXTAFTER($H123,":")),"X"),MATCH("*"&amp;T$54,F_RT14[#Headers],0))),IF(AND(_xlpm.x=0,_xlpm.y&lt;&gt;0),-1,IF(AND(_xlpm.x&lt;&gt;0,_xlpm.y&lt;&gt;0),_xlpm.x,IF(AND(_xlpm.x-SUM(IF((INDIRECT($B$3)=$B123)*(INDIRECT($C$3)=$D123)*((INDIRECT($E$3)="TOTS")+(INDIRECT($E$3)=$E123)),INDIRECT(T$3)))&lt;&gt;0,_xlpm.y=0),-2,_xlpm.x)))),0))</f>
        <v>-1</v>
      </c>
      <c r="U123" s="199" cm="1">
        <f t="array" aca="1" ref="U123" ca="1">IF(OR($B123="",$B123="X",$D123="",$D123="X",$E123="",$E123="X"),0,IFERROR(_xlfn.LET(_xlpm.x,SUM(SUM(_xlfn._xlws.FILTER(VALUE(PptoSty[Sign]&amp;1)*(1/PptoSty[Division]),(PptoSty[Division]&lt;&gt;0)*(PptoSty[Division]&lt;&gt;"")*(PptoSty[Division]&lt;&gt;"X")*(PptoSty[Project]=$B123)*(PptoSty[Vrs]=$D123)*(PptoSty[PiRow]=_xlfn.TEXTAFTER($H123,":"))*(PptoSty[PiColumn]=U$54),0)),SUM(IF((INDIRECT($B$3)=$B123)*(INDIRECT($C$3)=$D123)*((INDIRECT($E$3)="TOTS")+(INDIRECT($E$3)=$E123)),INDIRECT(U$3)))),_xlpm.y,SUM(_xlfn.CHOOSECOLS(_xlfn._xlws.FILTER(F_RT14[],(F_RT14[PrjId]=$B123)*(F_RT14[Vrs]=$D123)*(_xlfn.TEXTAFTER(F_RT14[ActGrp],":")=_xlfn.TEXTAFTER($H123,":")),"X"),MATCH("*"&amp;U$54,F_RT14[#Headers],0))),IF(AND(_xlpm.x=0,_xlpm.y&lt;&gt;0),-1,IF(AND(_xlpm.x&lt;&gt;0,_xlpm.y&lt;&gt;0),_xlpm.x,IF(AND(_xlpm.x-SUM(IF((INDIRECT($B$3)=$B123)*(INDIRECT($C$3)=$D123)*((INDIRECT($E$3)="TOTS")+(INDIRECT($E$3)=$E123)),INDIRECT(U$3)))&lt;&gt;0,_xlpm.y=0),-2,_xlpm.x)))),0))</f>
        <v>0</v>
      </c>
      <c r="V123" s="199" cm="1">
        <f t="array" aca="1" ref="V123" ca="1">IF(OR($B123="",$B123="X",$D123="",$D123="X",$E123="",$E123="X"),0,IFERROR(_xlfn.LET(_xlpm.x,SUM(SUM(_xlfn._xlws.FILTER(VALUE(PptoSty[Sign]&amp;1)*(1/PptoSty[Division]),(PptoSty[Division]&lt;&gt;0)*(PptoSty[Division]&lt;&gt;"")*(PptoSty[Division]&lt;&gt;"X")*(PptoSty[Project]=$B123)*(PptoSty[Vrs]=$D123)*(PptoSty[PiRow]=_xlfn.TEXTAFTER($H123,":"))*(PptoSty[PiColumn]=V$54),0)),SUM(IF((INDIRECT($B$3)=$B123)*(INDIRECT($C$3)=$D123)*((INDIRECT($E$3)="TOTS")+(INDIRECT($E$3)=$E123)),INDIRECT(V$3)))),_xlpm.y,SUM(_xlfn.CHOOSECOLS(_xlfn._xlws.FILTER(F_RT14[],(F_RT14[PrjId]=$B123)*(F_RT14[Vrs]=$D123)*(_xlfn.TEXTAFTER(F_RT14[ActGrp],":")=_xlfn.TEXTAFTER($H123,":")),"X"),MATCH("*"&amp;V$54,F_RT14[#Headers],0))),IF(AND(_xlpm.x=0,_xlpm.y&lt;&gt;0),-1,IF(AND(_xlpm.x&lt;&gt;0,_xlpm.y&lt;&gt;0),_xlpm.x,IF(AND(_xlpm.x-SUM(IF((INDIRECT($B$3)=$B123)*(INDIRECT($C$3)=$D123)*((INDIRECT($E$3)="TOTS")+(INDIRECT($E$3)=$E123)),INDIRECT(V$3)))&lt;&gt;0,_xlpm.y=0),-2,_xlpm.x)))),0))</f>
        <v>-1</v>
      </c>
      <c r="W123" s="199" cm="1">
        <f t="array" aca="1" ref="W123" ca="1">IF(OR($B123="",$B123="X",$D123="",$D123="X",$E123="",$E123="X"),0,IFERROR(_xlfn.LET(_xlpm.x,SUM(SUM(_xlfn._xlws.FILTER(VALUE(PptoSty[Sign]&amp;1)*(1/PptoSty[Division]),(PptoSty[Division]&lt;&gt;0)*(PptoSty[Division]&lt;&gt;"")*(PptoSty[Division]&lt;&gt;"X")*(PptoSty[Project]=$B123)*(PptoSty[Vrs]=$D123)*(PptoSty[PiRow]=_xlfn.TEXTAFTER($H123,":"))*(PptoSty[PiColumn]=W$54),0)),SUM(IF((INDIRECT($B$3)=$B123)*(INDIRECT($C$3)=$D123)*((INDIRECT($E$3)="TOTS")+(INDIRECT($E$3)=$E123)),INDIRECT(W$3)))),_xlpm.y,SUM(_xlfn.CHOOSECOLS(_xlfn._xlws.FILTER(F_RT14[],(F_RT14[PrjId]=$B123)*(F_RT14[Vrs]=$D123)*(_xlfn.TEXTAFTER(F_RT14[ActGrp],":")=_xlfn.TEXTAFTER($H123,":")),"X"),MATCH("*"&amp;W$54,F_RT14[#Headers],0))),IF(AND(_xlpm.x=0,_xlpm.y&lt;&gt;0),-1,IF(AND(_xlpm.x&lt;&gt;0,_xlpm.y&lt;&gt;0),_xlpm.x,IF(AND(_xlpm.x-SUM(IF((INDIRECT($B$3)=$B123)*(INDIRECT($C$3)=$D123)*((INDIRECT($E$3)="TOTS")+(INDIRECT($E$3)=$E123)),INDIRECT(W$3)))&lt;&gt;0,_xlpm.y=0),-2,_xlpm.x)))),0))</f>
        <v>-1</v>
      </c>
      <c r="X123" s="199" cm="1">
        <f t="array" aca="1" ref="X123" ca="1">IF(OR($B123="",$B123="X",$D123="",$D123="X",$E123="",$E123="X"),0,IFERROR(_xlfn.LET(_xlpm.x,SUM(SUM(_xlfn._xlws.FILTER(VALUE(PptoSty[Sign]&amp;1)*(1/PptoSty[Division]),(PptoSty[Division]&lt;&gt;0)*(PptoSty[Division]&lt;&gt;"")*(PptoSty[Division]&lt;&gt;"X")*(PptoSty[Project]=$B123)*(PptoSty[Vrs]=$D123)*(PptoSty[PiRow]=_xlfn.TEXTAFTER($H123,":"))*(PptoSty[PiColumn]=X$54),0)),SUM(IF((INDIRECT($B$3)=$B123)*(INDIRECT($C$3)=$D123)*((INDIRECT($E$3)="TOTS")+(INDIRECT($E$3)=$E123)),INDIRECT(X$3)))),_xlpm.y,SUM(_xlfn.CHOOSECOLS(_xlfn._xlws.FILTER(F_RT14[],(F_RT14[PrjId]=$B123)*(F_RT14[Vrs]=$D123)*(_xlfn.TEXTAFTER(F_RT14[ActGrp],":")=_xlfn.TEXTAFTER($H123,":")),"X"),MATCH("*"&amp;X$54,F_RT14[#Headers],0))),IF(AND(_xlpm.x=0,_xlpm.y&lt;&gt;0),-1,IF(AND(_xlpm.x&lt;&gt;0,_xlpm.y&lt;&gt;0),_xlpm.x,IF(AND(_xlpm.x-SUM(IF((INDIRECT($B$3)=$B123)*(INDIRECT($C$3)=$D123)*((INDIRECT($E$3)="TOTS")+(INDIRECT($E$3)=$E123)),INDIRECT(X$3)))&lt;&gt;0,_xlpm.y=0),-2,_xlpm.x)))),0))</f>
        <v>-1</v>
      </c>
      <c r="Y123" s="199" cm="1">
        <f t="array" aca="1" ref="Y123" ca="1">IF(OR($B123="",$B123="X",$D123="",$D123="X",$E123="",$E123="X"),0,IFERROR(_xlfn.LET(_xlpm.x,SUM(SUM(_xlfn._xlws.FILTER(VALUE(PptoSty[Sign]&amp;1)*(1/PptoSty[Division]),(PptoSty[Division]&lt;&gt;0)*(PptoSty[Division]&lt;&gt;"")*(PptoSty[Division]&lt;&gt;"X")*(PptoSty[Project]=$B123)*(PptoSty[Vrs]=$D123)*(PptoSty[PiRow]=_xlfn.TEXTAFTER($H123,":"))*(PptoSty[PiColumn]=Y$54),0)),SUM(IF((INDIRECT($B$3)=$B123)*(INDIRECT($C$3)=$D123)*((INDIRECT($E$3)="TOTS")+(INDIRECT($E$3)=$E123)),INDIRECT(Y$3)))),_xlpm.y,SUM(_xlfn.CHOOSECOLS(_xlfn._xlws.FILTER(F_RT14[],(F_RT14[PrjId]=$B123)*(F_RT14[Vrs]=$D123)*(_xlfn.TEXTAFTER(F_RT14[ActGrp],":")=_xlfn.TEXTAFTER($H123,":")),"X"),MATCH("*"&amp;Y$54,F_RT14[#Headers],0))),IF(AND(_xlpm.x=0,_xlpm.y&lt;&gt;0),-1,IF(AND(_xlpm.x&lt;&gt;0,_xlpm.y&lt;&gt;0),_xlpm.x,IF(AND(_xlpm.x-SUM(IF((INDIRECT($B$3)=$B123)*(INDIRECT($C$3)=$D123)*((INDIRECT($E$3)="TOTS")+(INDIRECT($E$3)=$E123)),INDIRECT(Y$3)))&lt;&gt;0,_xlpm.y=0),-2,_xlpm.x)))),0))</f>
        <v>0</v>
      </c>
      <c r="Z123" s="198" t="str">
        <f t="shared" ca="1" si="3"/>
        <v>Fback!B123:Y123</v>
      </c>
    </row>
    <row r="124" spans="2:26" ht="21" customHeight="1" outlineLevel="1">
      <c r="B124" s="128" t="str">
        <v>31200</v>
      </c>
      <c r="C124" s="128" t="str">
        <v>Sp</v>
      </c>
      <c r="D124" s="128">
        <v>15</v>
      </c>
      <c r="E124" s="128" t="str">
        <v>TOOL</v>
      </c>
      <c r="F124" s="139" t="str">
        <v>SERRA</v>
      </c>
      <c r="G124" s="139" t="str">
        <v>CurPpto</v>
      </c>
      <c r="H124" s="139" t="str">
        <v>P031:OP-205.1 MIG WELD (GEO)</v>
      </c>
      <c r="I124" s="199" cm="1">
        <f t="array" aca="1" ref="I124" ca="1">IF(OR($B124="",$B124="X",$D124="",$D124="X",$E124="",$E124="X"),0,IFERROR(_xlfn.LET(_xlpm.x,SUM(SUM(_xlfn._xlws.FILTER(VALUE(PptoSty[Sign]&amp;1)*(1/PptoSty[Division]),(PptoSty[Division]&lt;&gt;0)*(PptoSty[Division]&lt;&gt;"")*(PptoSty[Division]&lt;&gt;"X")*(PptoSty[Project]=$B124)*(PptoSty[Vrs]=$D124)*(PptoSty[PiRow]=_xlfn.TEXTAFTER($H124,":"))*(PptoSty[PiColumn]=I$54),0)),SUM(IF((INDIRECT($B$3)=$B124)*(INDIRECT($C$3)=$D124)*((INDIRECT($E$3)="TOTS")+(INDIRECT($E$3)=$E124)),INDIRECT(I$3)))),_xlpm.y,SUM(_xlfn.CHOOSECOLS(_xlfn._xlws.FILTER(F_RT14[],(F_RT14[PrjId]=$B124)*(F_RT14[Vrs]=$D124)*(_xlfn.TEXTAFTER(F_RT14[ActGrp],":")=_xlfn.TEXTAFTER($H124,":")),"X"),MATCH("*"&amp;I$54,F_RT14[#Headers],0))),IF(AND(_xlpm.x=0,_xlpm.y&lt;&gt;0),-1,IF(AND(_xlpm.x&lt;&gt;0,_xlpm.y&lt;&gt;0),_xlpm.x,IF(AND(_xlpm.x-SUM(IF((INDIRECT($B$3)=$B124)*(INDIRECT($C$3)=$D124)*((INDIRECT($E$3)="TOTS")+(INDIRECT($E$3)=$E124)),INDIRECT(I$3)))&lt;&gt;0,_xlpm.y=0),-2,_xlpm.x)))),0))</f>
        <v>0</v>
      </c>
      <c r="J124" s="199" cm="1">
        <f t="array" aca="1" ref="J124" ca="1">IF(OR($B124="",$B124="X",$D124="",$D124="X",$E124="",$E124="X"),0,IFERROR(_xlfn.LET(_xlpm.x,SUM(SUM(_xlfn._xlws.FILTER(VALUE(PptoSty[Sign]&amp;1)*(1/PptoSty[Division]),(PptoSty[Division]&lt;&gt;0)*(PptoSty[Division]&lt;&gt;"")*(PptoSty[Division]&lt;&gt;"X")*(PptoSty[Project]=$B124)*(PptoSty[Vrs]=$D124)*(PptoSty[PiRow]=_xlfn.TEXTAFTER($H124,":"))*(PptoSty[PiColumn]=J$54),0)),SUM(IF((INDIRECT($B$3)=$B124)*(INDIRECT($C$3)=$D124)*((INDIRECT($E$3)="TOTS")+(INDIRECT($E$3)=$E124)),INDIRECT(J$3)))),_xlpm.y,SUM(_xlfn.CHOOSECOLS(_xlfn._xlws.FILTER(F_RT14[],(F_RT14[PrjId]=$B124)*(F_RT14[Vrs]=$D124)*(_xlfn.TEXTAFTER(F_RT14[ActGrp],":")=_xlfn.TEXTAFTER($H124,":")),"X"),MATCH("*"&amp;J$54,F_RT14[#Headers],0))),IF(AND(_xlpm.x=0,_xlpm.y&lt;&gt;0),-1,IF(AND(_xlpm.x&lt;&gt;0,_xlpm.y&lt;&gt;0),_xlpm.x,IF(AND(_xlpm.x-SUM(IF((INDIRECT($B$3)=$B124)*(INDIRECT($C$3)=$D124)*((INDIRECT($E$3)="TOTS")+(INDIRECT($E$3)=$E124)),INDIRECT(J$3)))&lt;&gt;0,_xlpm.y=0),-2,_xlpm.x)))),0))</f>
        <v>0</v>
      </c>
      <c r="K124" s="199" cm="1">
        <f t="array" aca="1" ref="K124" ca="1">IF(OR($B124="",$B124="X",$D124="",$D124="X",$E124="",$E124="X"),0,IFERROR(_xlfn.LET(_xlpm.x,SUM(SUM(_xlfn._xlws.FILTER(VALUE(PptoSty[Sign]&amp;1)*(1/PptoSty[Division]),(PptoSty[Division]&lt;&gt;0)*(PptoSty[Division]&lt;&gt;"")*(PptoSty[Division]&lt;&gt;"X")*(PptoSty[Project]=$B124)*(PptoSty[Vrs]=$D124)*(PptoSty[PiRow]=_xlfn.TEXTAFTER($H124,":"))*(PptoSty[PiColumn]=K$54),0)),SUM(IF((INDIRECT($B$3)=$B124)*(INDIRECT($C$3)=$D124)*((INDIRECT($E$3)="TOTS")+(INDIRECT($E$3)=$E124)),INDIRECT(K$3)))),_xlpm.y,SUM(_xlfn.CHOOSECOLS(_xlfn._xlws.FILTER(F_RT14[],(F_RT14[PrjId]=$B124)*(F_RT14[Vrs]=$D124)*(_xlfn.TEXTAFTER(F_RT14[ActGrp],":")=_xlfn.TEXTAFTER($H124,":")),"X"),MATCH("*"&amp;K$54,F_RT14[#Headers],0))),IF(AND(_xlpm.x=0,_xlpm.y&lt;&gt;0),-1,IF(AND(_xlpm.x&lt;&gt;0,_xlpm.y&lt;&gt;0),_xlpm.x,IF(AND(_xlpm.x-SUM(IF((INDIRECT($B$3)=$B124)*(INDIRECT($C$3)=$D124)*((INDIRECT($E$3)="TOTS")+(INDIRECT($E$3)=$E124)),INDIRECT(K$3)))&lt;&gt;0,_xlpm.y=0),-2,_xlpm.x)))),0))</f>
        <v>-1</v>
      </c>
      <c r="L124" s="199" cm="1">
        <f t="array" aca="1" ref="L124" ca="1">IF(OR($B124="",$B124="X",$D124="",$D124="X",$E124="",$E124="X"),0,IFERROR(_xlfn.LET(_xlpm.x,SUM(SUM(_xlfn._xlws.FILTER(VALUE(PptoSty[Sign]&amp;1)*(1/PptoSty[Division]),(PptoSty[Division]&lt;&gt;0)*(PptoSty[Division]&lt;&gt;"")*(PptoSty[Division]&lt;&gt;"X")*(PptoSty[Project]=$B124)*(PptoSty[Vrs]=$D124)*(PptoSty[PiRow]=_xlfn.TEXTAFTER($H124,":"))*(PptoSty[PiColumn]=L$54),0)),SUM(IF((INDIRECT($B$3)=$B124)*(INDIRECT($C$3)=$D124)*((INDIRECT($E$3)="TOTS")+(INDIRECT($E$3)=$E124)),INDIRECT(L$3)))),_xlpm.y,SUM(_xlfn.CHOOSECOLS(_xlfn._xlws.FILTER(F_RT14[],(F_RT14[PrjId]=$B124)*(F_RT14[Vrs]=$D124)*(_xlfn.TEXTAFTER(F_RT14[ActGrp],":")=_xlfn.TEXTAFTER($H124,":")),"X"),MATCH("*"&amp;L$54,F_RT14[#Headers],0))),IF(AND(_xlpm.x=0,_xlpm.y&lt;&gt;0),-1,IF(AND(_xlpm.x&lt;&gt;0,_xlpm.y&lt;&gt;0),_xlpm.x,IF(AND(_xlpm.x-SUM(IF((INDIRECT($B$3)=$B124)*(INDIRECT($C$3)=$D124)*((INDIRECT($E$3)="TOTS")+(INDIRECT($E$3)=$E124)),INDIRECT(L$3)))&lt;&gt;0,_xlpm.y=0),-2,_xlpm.x)))),0))</f>
        <v>0</v>
      </c>
      <c r="M124" s="199" cm="1">
        <f t="array" aca="1" ref="M124" ca="1">IF(OR($B124="",$B124="X",$D124="",$D124="X",$E124="",$E124="X"),0,IFERROR(_xlfn.LET(_xlpm.x,SUM(SUM(_xlfn._xlws.FILTER(VALUE(PptoSty[Sign]&amp;1)*(1/PptoSty[Division]),(PptoSty[Division]&lt;&gt;0)*(PptoSty[Division]&lt;&gt;"")*(PptoSty[Division]&lt;&gt;"X")*(PptoSty[Project]=$B124)*(PptoSty[Vrs]=$D124)*(PptoSty[PiRow]=_xlfn.TEXTAFTER($H124,":"))*(PptoSty[PiColumn]=M$54),0)),SUM(IF((INDIRECT($B$3)=$B124)*(INDIRECT($C$3)=$D124)*((INDIRECT($E$3)="TOTS")+(INDIRECT($E$3)=$E124)),INDIRECT(M$3)))),_xlpm.y,SUM(_xlfn.CHOOSECOLS(_xlfn._xlws.FILTER(F_RT14[],(F_RT14[PrjId]=$B124)*(F_RT14[Vrs]=$D124)*(_xlfn.TEXTAFTER(F_RT14[ActGrp],":")=_xlfn.TEXTAFTER($H124,":")),"X"),MATCH("*"&amp;M$54,F_RT14[#Headers],0))),IF(AND(_xlpm.x=0,_xlpm.y&lt;&gt;0),-1,IF(AND(_xlpm.x&lt;&gt;0,_xlpm.y&lt;&gt;0),_xlpm.x,IF(AND(_xlpm.x-SUM(IF((INDIRECT($B$3)=$B124)*(INDIRECT($C$3)=$D124)*((INDIRECT($E$3)="TOTS")+(INDIRECT($E$3)=$E124)),INDIRECT(M$3)))&lt;&gt;0,_xlpm.y=0),-2,_xlpm.x)))),0))</f>
        <v>0</v>
      </c>
      <c r="N124" s="199" cm="1">
        <f t="array" aca="1" ref="N124" ca="1">IF(OR($B124="",$B124="X",$D124="",$D124="X",$E124="",$E124="X"),0,IFERROR(_xlfn.LET(_xlpm.x,SUM(SUM(_xlfn._xlws.FILTER(VALUE(PptoSty[Sign]&amp;1)*(1/PptoSty[Division]),(PptoSty[Division]&lt;&gt;0)*(PptoSty[Division]&lt;&gt;"")*(PptoSty[Division]&lt;&gt;"X")*(PptoSty[Project]=$B124)*(PptoSty[Vrs]=$D124)*(PptoSty[PiRow]=_xlfn.TEXTAFTER($H124,":"))*(PptoSty[PiColumn]=N$54),0)),SUM(IF((INDIRECT($B$3)=$B124)*(INDIRECT($C$3)=$D124)*((INDIRECT($E$3)="TOTS")+(INDIRECT($E$3)=$E124)),INDIRECT(N$3)))),_xlpm.y,SUM(_xlfn.CHOOSECOLS(_xlfn._xlws.FILTER(F_RT14[],(F_RT14[PrjId]=$B124)*(F_RT14[Vrs]=$D124)*(_xlfn.TEXTAFTER(F_RT14[ActGrp],":")=_xlfn.TEXTAFTER($H124,":")),"X"),MATCH("*"&amp;N$54,F_RT14[#Headers],0))),IF(AND(_xlpm.x=0,_xlpm.y&lt;&gt;0),-1,IF(AND(_xlpm.x&lt;&gt;0,_xlpm.y&lt;&gt;0),_xlpm.x,IF(AND(_xlpm.x-SUM(IF((INDIRECT($B$3)=$B124)*(INDIRECT($C$3)=$D124)*((INDIRECT($E$3)="TOTS")+(INDIRECT($E$3)=$E124)),INDIRECT(N$3)))&lt;&gt;0,_xlpm.y=0),-2,_xlpm.x)))),0))</f>
        <v>-1</v>
      </c>
      <c r="O124" s="199" cm="1">
        <f t="array" aca="1" ref="O124" ca="1">IF(OR($B124="",$B124="X",$D124="",$D124="X",$E124="",$E124="X"),0,IFERROR(_xlfn.LET(_xlpm.x,SUM(SUM(_xlfn._xlws.FILTER(VALUE(PptoSty[Sign]&amp;1)*(1/PptoSty[Division]),(PptoSty[Division]&lt;&gt;0)*(PptoSty[Division]&lt;&gt;"")*(PptoSty[Division]&lt;&gt;"X")*(PptoSty[Project]=$B124)*(PptoSty[Vrs]=$D124)*(PptoSty[PiRow]=_xlfn.TEXTAFTER($H124,":"))*(PptoSty[PiColumn]=O$54),0)),SUM(IF((INDIRECT($B$3)=$B124)*(INDIRECT($C$3)=$D124)*((INDIRECT($E$3)="TOTS")+(INDIRECT($E$3)=$E124)),INDIRECT(O$3)))),_xlpm.y,SUM(_xlfn.CHOOSECOLS(_xlfn._xlws.FILTER(F_RT14[],(F_RT14[PrjId]=$B124)*(F_RT14[Vrs]=$D124)*(_xlfn.TEXTAFTER(F_RT14[ActGrp],":")=_xlfn.TEXTAFTER($H124,":")),"X"),MATCH("*"&amp;O$54,F_RT14[#Headers],0))),IF(AND(_xlpm.x=0,_xlpm.y&lt;&gt;0),-1,IF(AND(_xlpm.x&lt;&gt;0,_xlpm.y&lt;&gt;0),_xlpm.x,IF(AND(_xlpm.x-SUM(IF((INDIRECT($B$3)=$B124)*(INDIRECT($C$3)=$D124)*((INDIRECT($E$3)="TOTS")+(INDIRECT($E$3)=$E124)),INDIRECT(O$3)))&lt;&gt;0,_xlpm.y=0),-2,_xlpm.x)))),0))</f>
        <v>0</v>
      </c>
      <c r="P124" s="199" cm="1">
        <f t="array" aca="1" ref="P124" ca="1">IF(OR($B124="",$B124="X",$D124="",$D124="X",$E124="",$E124="X"),0,IFERROR(_xlfn.LET(_xlpm.x,SUM(SUM(_xlfn._xlws.FILTER(VALUE(PptoSty[Sign]&amp;1)*(1/PptoSty[Division]),(PptoSty[Division]&lt;&gt;0)*(PptoSty[Division]&lt;&gt;"")*(PptoSty[Division]&lt;&gt;"X")*(PptoSty[Project]=$B124)*(PptoSty[Vrs]=$D124)*(PptoSty[PiRow]=_xlfn.TEXTAFTER($H124,":"))*(PptoSty[PiColumn]=P$54),0)),SUM(IF((INDIRECT($B$3)=$B124)*(INDIRECT($C$3)=$D124)*((INDIRECT($E$3)="TOTS")+(INDIRECT($E$3)=$E124)),INDIRECT(P$3)))),_xlpm.y,SUM(_xlfn.CHOOSECOLS(_xlfn._xlws.FILTER(F_RT14[],(F_RT14[PrjId]=$B124)*(F_RT14[Vrs]=$D124)*(_xlfn.TEXTAFTER(F_RT14[ActGrp],":")=_xlfn.TEXTAFTER($H124,":")),"X"),MATCH("*"&amp;P$54,F_RT14[#Headers],0))),IF(AND(_xlpm.x=0,_xlpm.y&lt;&gt;0),-1,IF(AND(_xlpm.x&lt;&gt;0,_xlpm.y&lt;&gt;0),_xlpm.x,IF(AND(_xlpm.x-SUM(IF((INDIRECT($B$3)=$B124)*(INDIRECT($C$3)=$D124)*((INDIRECT($E$3)="TOTS")+(INDIRECT($E$3)=$E124)),INDIRECT(P$3)))&lt;&gt;0,_xlpm.y=0),-2,_xlpm.x)))),0))</f>
        <v>-1</v>
      </c>
      <c r="Q124" s="199" cm="1">
        <f t="array" aca="1" ref="Q124" ca="1">IF(OR($B124="",$B124="X",$D124="",$D124="X",$E124="",$E124="X"),0,IFERROR(_xlfn.LET(_xlpm.x,SUM(SUM(_xlfn._xlws.FILTER(VALUE(PptoSty[Sign]&amp;1)*(1/PptoSty[Division]),(PptoSty[Division]&lt;&gt;0)*(PptoSty[Division]&lt;&gt;"")*(PptoSty[Division]&lt;&gt;"X")*(PptoSty[Project]=$B124)*(PptoSty[Vrs]=$D124)*(PptoSty[PiRow]=_xlfn.TEXTAFTER($H124,":"))*(PptoSty[PiColumn]=Q$54),0)),SUM(IF((INDIRECT($B$3)=$B124)*(INDIRECT($C$3)=$D124)*((INDIRECT($E$3)="TOTS")+(INDIRECT($E$3)=$E124)),INDIRECT(Q$3)))),_xlpm.y,SUM(_xlfn.CHOOSECOLS(_xlfn._xlws.FILTER(F_RT14[],(F_RT14[PrjId]=$B124)*(F_RT14[Vrs]=$D124)*(_xlfn.TEXTAFTER(F_RT14[ActGrp],":")=_xlfn.TEXTAFTER($H124,":")),"X"),MATCH("*"&amp;Q$54,F_RT14[#Headers],0))),IF(AND(_xlpm.x=0,_xlpm.y&lt;&gt;0),-1,IF(AND(_xlpm.x&lt;&gt;0,_xlpm.y&lt;&gt;0),_xlpm.x,IF(AND(_xlpm.x-SUM(IF((INDIRECT($B$3)=$B124)*(INDIRECT($C$3)=$D124)*((INDIRECT($E$3)="TOTS")+(INDIRECT($E$3)=$E124)),INDIRECT(Q$3)))&lt;&gt;0,_xlpm.y=0),-2,_xlpm.x)))),0))</f>
        <v>-1</v>
      </c>
      <c r="R124" s="199" cm="1">
        <f t="array" aca="1" ref="R124" ca="1">IF(OR($B124="",$B124="X",$D124="",$D124="X",$E124="",$E124="X"),0,IFERROR(_xlfn.LET(_xlpm.x,SUM(SUM(_xlfn._xlws.FILTER(VALUE(PptoSty[Sign]&amp;1)*(1/PptoSty[Division]),(PptoSty[Division]&lt;&gt;0)*(PptoSty[Division]&lt;&gt;"")*(PptoSty[Division]&lt;&gt;"X")*(PptoSty[Project]=$B124)*(PptoSty[Vrs]=$D124)*(PptoSty[PiRow]=_xlfn.TEXTAFTER($H124,":"))*(PptoSty[PiColumn]=R$54),0)),SUM(IF((INDIRECT($B$3)=$B124)*(INDIRECT($C$3)=$D124)*((INDIRECT($E$3)="TOTS")+(INDIRECT($E$3)=$E124)),INDIRECT(R$3)))),_xlpm.y,SUM(_xlfn.CHOOSECOLS(_xlfn._xlws.FILTER(F_RT14[],(F_RT14[PrjId]=$B124)*(F_RT14[Vrs]=$D124)*(_xlfn.TEXTAFTER(F_RT14[ActGrp],":")=_xlfn.TEXTAFTER($H124,":")),"X"),MATCH("*"&amp;R$54,F_RT14[#Headers],0))),IF(AND(_xlpm.x=0,_xlpm.y&lt;&gt;0),-1,IF(AND(_xlpm.x&lt;&gt;0,_xlpm.y&lt;&gt;0),_xlpm.x,IF(AND(_xlpm.x-SUM(IF((INDIRECT($B$3)=$B124)*(INDIRECT($C$3)=$D124)*((INDIRECT($E$3)="TOTS")+(INDIRECT($E$3)=$E124)),INDIRECT(R$3)))&lt;&gt;0,_xlpm.y=0),-2,_xlpm.x)))),0))</f>
        <v>-1</v>
      </c>
      <c r="S124" s="199" cm="1">
        <f t="array" aca="1" ref="S124" ca="1">IF(OR($B124="",$B124="X",$D124="",$D124="X",$E124="",$E124="X"),0,IFERROR(_xlfn.LET(_xlpm.x,SUM(SUM(_xlfn._xlws.FILTER(VALUE(PptoSty[Sign]&amp;1)*(1/PptoSty[Division]),(PptoSty[Division]&lt;&gt;0)*(PptoSty[Division]&lt;&gt;"")*(PptoSty[Division]&lt;&gt;"X")*(PptoSty[Project]=$B124)*(PptoSty[Vrs]=$D124)*(PptoSty[PiRow]=_xlfn.TEXTAFTER($H124,":"))*(PptoSty[PiColumn]=S$54),0)),SUM(IF((INDIRECT($B$3)=$B124)*(INDIRECT($C$3)=$D124)*((INDIRECT($E$3)="TOTS")+(INDIRECT($E$3)=$E124)),INDIRECT(S$3)))),_xlpm.y,SUM(_xlfn.CHOOSECOLS(_xlfn._xlws.FILTER(F_RT14[],(F_RT14[PrjId]=$B124)*(F_RT14[Vrs]=$D124)*(_xlfn.TEXTAFTER(F_RT14[ActGrp],":")=_xlfn.TEXTAFTER($H124,":")),"X"),MATCH("*"&amp;S$54,F_RT14[#Headers],0))),IF(AND(_xlpm.x=0,_xlpm.y&lt;&gt;0),-1,IF(AND(_xlpm.x&lt;&gt;0,_xlpm.y&lt;&gt;0),_xlpm.x,IF(AND(_xlpm.x-SUM(IF((INDIRECT($B$3)=$B124)*(INDIRECT($C$3)=$D124)*((INDIRECT($E$3)="TOTS")+(INDIRECT($E$3)=$E124)),INDIRECT(S$3)))&lt;&gt;0,_xlpm.y=0),-2,_xlpm.x)))),0))</f>
        <v>-1</v>
      </c>
      <c r="T124" s="199" cm="1">
        <f t="array" aca="1" ref="T124" ca="1">IF(OR($B124="",$B124="X",$D124="",$D124="X",$E124="",$E124="X"),0,IFERROR(_xlfn.LET(_xlpm.x,SUM(SUM(_xlfn._xlws.FILTER(VALUE(PptoSty[Sign]&amp;1)*(1/PptoSty[Division]),(PptoSty[Division]&lt;&gt;0)*(PptoSty[Division]&lt;&gt;"")*(PptoSty[Division]&lt;&gt;"X")*(PptoSty[Project]=$B124)*(PptoSty[Vrs]=$D124)*(PptoSty[PiRow]=_xlfn.TEXTAFTER($H124,":"))*(PptoSty[PiColumn]=T$54),0)),SUM(IF((INDIRECT($B$3)=$B124)*(INDIRECT($C$3)=$D124)*((INDIRECT($E$3)="TOTS")+(INDIRECT($E$3)=$E124)),INDIRECT(T$3)))),_xlpm.y,SUM(_xlfn.CHOOSECOLS(_xlfn._xlws.FILTER(F_RT14[],(F_RT14[PrjId]=$B124)*(F_RT14[Vrs]=$D124)*(_xlfn.TEXTAFTER(F_RT14[ActGrp],":")=_xlfn.TEXTAFTER($H124,":")),"X"),MATCH("*"&amp;T$54,F_RT14[#Headers],0))),IF(AND(_xlpm.x=0,_xlpm.y&lt;&gt;0),-1,IF(AND(_xlpm.x&lt;&gt;0,_xlpm.y&lt;&gt;0),_xlpm.x,IF(AND(_xlpm.x-SUM(IF((INDIRECT($B$3)=$B124)*(INDIRECT($C$3)=$D124)*((INDIRECT($E$3)="TOTS")+(INDIRECT($E$3)=$E124)),INDIRECT(T$3)))&lt;&gt;0,_xlpm.y=0),-2,_xlpm.x)))),0))</f>
        <v>-1</v>
      </c>
      <c r="U124" s="199" cm="1">
        <f t="array" aca="1" ref="U124" ca="1">IF(OR($B124="",$B124="X",$D124="",$D124="X",$E124="",$E124="X"),0,IFERROR(_xlfn.LET(_xlpm.x,SUM(SUM(_xlfn._xlws.FILTER(VALUE(PptoSty[Sign]&amp;1)*(1/PptoSty[Division]),(PptoSty[Division]&lt;&gt;0)*(PptoSty[Division]&lt;&gt;"")*(PptoSty[Division]&lt;&gt;"X")*(PptoSty[Project]=$B124)*(PptoSty[Vrs]=$D124)*(PptoSty[PiRow]=_xlfn.TEXTAFTER($H124,":"))*(PptoSty[PiColumn]=U$54),0)),SUM(IF((INDIRECT($B$3)=$B124)*(INDIRECT($C$3)=$D124)*((INDIRECT($E$3)="TOTS")+(INDIRECT($E$3)=$E124)),INDIRECT(U$3)))),_xlpm.y,SUM(_xlfn.CHOOSECOLS(_xlfn._xlws.FILTER(F_RT14[],(F_RT14[PrjId]=$B124)*(F_RT14[Vrs]=$D124)*(_xlfn.TEXTAFTER(F_RT14[ActGrp],":")=_xlfn.TEXTAFTER($H124,":")),"X"),MATCH("*"&amp;U$54,F_RT14[#Headers],0))),IF(AND(_xlpm.x=0,_xlpm.y&lt;&gt;0),-1,IF(AND(_xlpm.x&lt;&gt;0,_xlpm.y&lt;&gt;0),_xlpm.x,IF(AND(_xlpm.x-SUM(IF((INDIRECT($B$3)=$B124)*(INDIRECT($C$3)=$D124)*((INDIRECT($E$3)="TOTS")+(INDIRECT($E$3)=$E124)),INDIRECT(U$3)))&lt;&gt;0,_xlpm.y=0),-2,_xlpm.x)))),0))</f>
        <v>0</v>
      </c>
      <c r="V124" s="199" cm="1">
        <f t="array" aca="1" ref="V124" ca="1">IF(OR($B124="",$B124="X",$D124="",$D124="X",$E124="",$E124="X"),0,IFERROR(_xlfn.LET(_xlpm.x,SUM(SUM(_xlfn._xlws.FILTER(VALUE(PptoSty[Sign]&amp;1)*(1/PptoSty[Division]),(PptoSty[Division]&lt;&gt;0)*(PptoSty[Division]&lt;&gt;"")*(PptoSty[Division]&lt;&gt;"X")*(PptoSty[Project]=$B124)*(PptoSty[Vrs]=$D124)*(PptoSty[PiRow]=_xlfn.TEXTAFTER($H124,":"))*(PptoSty[PiColumn]=V$54),0)),SUM(IF((INDIRECT($B$3)=$B124)*(INDIRECT($C$3)=$D124)*((INDIRECT($E$3)="TOTS")+(INDIRECT($E$3)=$E124)),INDIRECT(V$3)))),_xlpm.y,SUM(_xlfn.CHOOSECOLS(_xlfn._xlws.FILTER(F_RT14[],(F_RT14[PrjId]=$B124)*(F_RT14[Vrs]=$D124)*(_xlfn.TEXTAFTER(F_RT14[ActGrp],":")=_xlfn.TEXTAFTER($H124,":")),"X"),MATCH("*"&amp;V$54,F_RT14[#Headers],0))),IF(AND(_xlpm.x=0,_xlpm.y&lt;&gt;0),-1,IF(AND(_xlpm.x&lt;&gt;0,_xlpm.y&lt;&gt;0),_xlpm.x,IF(AND(_xlpm.x-SUM(IF((INDIRECT($B$3)=$B124)*(INDIRECT($C$3)=$D124)*((INDIRECT($E$3)="TOTS")+(INDIRECT($E$3)=$E124)),INDIRECT(V$3)))&lt;&gt;0,_xlpm.y=0),-2,_xlpm.x)))),0))</f>
        <v>-1</v>
      </c>
      <c r="W124" s="199" cm="1">
        <f t="array" aca="1" ref="W124" ca="1">IF(OR($B124="",$B124="X",$D124="",$D124="X",$E124="",$E124="X"),0,IFERROR(_xlfn.LET(_xlpm.x,SUM(SUM(_xlfn._xlws.FILTER(VALUE(PptoSty[Sign]&amp;1)*(1/PptoSty[Division]),(PptoSty[Division]&lt;&gt;0)*(PptoSty[Division]&lt;&gt;"")*(PptoSty[Division]&lt;&gt;"X")*(PptoSty[Project]=$B124)*(PptoSty[Vrs]=$D124)*(PptoSty[PiRow]=_xlfn.TEXTAFTER($H124,":"))*(PptoSty[PiColumn]=W$54),0)),SUM(IF((INDIRECT($B$3)=$B124)*(INDIRECT($C$3)=$D124)*((INDIRECT($E$3)="TOTS")+(INDIRECT($E$3)=$E124)),INDIRECT(W$3)))),_xlpm.y,SUM(_xlfn.CHOOSECOLS(_xlfn._xlws.FILTER(F_RT14[],(F_RT14[PrjId]=$B124)*(F_RT14[Vrs]=$D124)*(_xlfn.TEXTAFTER(F_RT14[ActGrp],":")=_xlfn.TEXTAFTER($H124,":")),"X"),MATCH("*"&amp;W$54,F_RT14[#Headers],0))),IF(AND(_xlpm.x=0,_xlpm.y&lt;&gt;0),-1,IF(AND(_xlpm.x&lt;&gt;0,_xlpm.y&lt;&gt;0),_xlpm.x,IF(AND(_xlpm.x-SUM(IF((INDIRECT($B$3)=$B124)*(INDIRECT($C$3)=$D124)*((INDIRECT($E$3)="TOTS")+(INDIRECT($E$3)=$E124)),INDIRECT(W$3)))&lt;&gt;0,_xlpm.y=0),-2,_xlpm.x)))),0))</f>
        <v>-1</v>
      </c>
      <c r="X124" s="199" cm="1">
        <f t="array" aca="1" ref="X124" ca="1">IF(OR($B124="",$B124="X",$D124="",$D124="X",$E124="",$E124="X"),0,IFERROR(_xlfn.LET(_xlpm.x,SUM(SUM(_xlfn._xlws.FILTER(VALUE(PptoSty[Sign]&amp;1)*(1/PptoSty[Division]),(PptoSty[Division]&lt;&gt;0)*(PptoSty[Division]&lt;&gt;"")*(PptoSty[Division]&lt;&gt;"X")*(PptoSty[Project]=$B124)*(PptoSty[Vrs]=$D124)*(PptoSty[PiRow]=_xlfn.TEXTAFTER($H124,":"))*(PptoSty[PiColumn]=X$54),0)),SUM(IF((INDIRECT($B$3)=$B124)*(INDIRECT($C$3)=$D124)*((INDIRECT($E$3)="TOTS")+(INDIRECT($E$3)=$E124)),INDIRECT(X$3)))),_xlpm.y,SUM(_xlfn.CHOOSECOLS(_xlfn._xlws.FILTER(F_RT14[],(F_RT14[PrjId]=$B124)*(F_RT14[Vrs]=$D124)*(_xlfn.TEXTAFTER(F_RT14[ActGrp],":")=_xlfn.TEXTAFTER($H124,":")),"X"),MATCH("*"&amp;X$54,F_RT14[#Headers],0))),IF(AND(_xlpm.x=0,_xlpm.y&lt;&gt;0),-1,IF(AND(_xlpm.x&lt;&gt;0,_xlpm.y&lt;&gt;0),_xlpm.x,IF(AND(_xlpm.x-SUM(IF((INDIRECT($B$3)=$B124)*(INDIRECT($C$3)=$D124)*((INDIRECT($E$3)="TOTS")+(INDIRECT($E$3)=$E124)),INDIRECT(X$3)))&lt;&gt;0,_xlpm.y=0),-2,_xlpm.x)))),0))</f>
        <v>-1</v>
      </c>
      <c r="Y124" s="199" cm="1">
        <f t="array" aca="1" ref="Y124" ca="1">IF(OR($B124="",$B124="X",$D124="",$D124="X",$E124="",$E124="X"),0,IFERROR(_xlfn.LET(_xlpm.x,SUM(SUM(_xlfn._xlws.FILTER(VALUE(PptoSty[Sign]&amp;1)*(1/PptoSty[Division]),(PptoSty[Division]&lt;&gt;0)*(PptoSty[Division]&lt;&gt;"")*(PptoSty[Division]&lt;&gt;"X")*(PptoSty[Project]=$B124)*(PptoSty[Vrs]=$D124)*(PptoSty[PiRow]=_xlfn.TEXTAFTER($H124,":"))*(PptoSty[PiColumn]=Y$54),0)),SUM(IF((INDIRECT($B$3)=$B124)*(INDIRECT($C$3)=$D124)*((INDIRECT($E$3)="TOTS")+(INDIRECT($E$3)=$E124)),INDIRECT(Y$3)))),_xlpm.y,SUM(_xlfn.CHOOSECOLS(_xlfn._xlws.FILTER(F_RT14[],(F_RT14[PrjId]=$B124)*(F_RT14[Vrs]=$D124)*(_xlfn.TEXTAFTER(F_RT14[ActGrp],":")=_xlfn.TEXTAFTER($H124,":")),"X"),MATCH("*"&amp;Y$54,F_RT14[#Headers],0))),IF(AND(_xlpm.x=0,_xlpm.y&lt;&gt;0),-1,IF(AND(_xlpm.x&lt;&gt;0,_xlpm.y&lt;&gt;0),_xlpm.x,IF(AND(_xlpm.x-SUM(IF((INDIRECT($B$3)=$B124)*(INDIRECT($C$3)=$D124)*((INDIRECT($E$3)="TOTS")+(INDIRECT($E$3)=$E124)),INDIRECT(Y$3)))&lt;&gt;0,_xlpm.y=0),-2,_xlpm.x)))),0))</f>
        <v>0</v>
      </c>
      <c r="Z124" s="198" t="str">
        <f t="shared" ca="1" si="3"/>
        <v>Fback!B124:Y124</v>
      </c>
    </row>
    <row r="125" spans="2:26" ht="21" customHeight="1" outlineLevel="1">
      <c r="B125" s="128" t="str">
        <v>31200</v>
      </c>
      <c r="C125" s="128" t="str">
        <v>Sp</v>
      </c>
      <c r="D125" s="128">
        <v>15</v>
      </c>
      <c r="E125" s="128" t="str">
        <v>CELL</v>
      </c>
      <c r="F125" s="139" t="str">
        <v>SERRA</v>
      </c>
      <c r="G125" s="139" t="str">
        <v>CurPpto</v>
      </c>
      <c r="H125" s="139" t="str">
        <v>A001:MATERIAL UNP SERRA PR-31200:15</v>
      </c>
      <c r="I125" s="199" cm="1">
        <f t="array" aca="1" ref="I125" ca="1">IF(OR($B125="",$B125="X",$D125="",$D125="X",$E125="",$E125="X"),0,IFERROR(_xlfn.LET(_xlpm.x,SUM(SUM(_xlfn._xlws.FILTER(VALUE(PptoSty[Sign]&amp;1)*(1/PptoSty[Division]),(PptoSty[Division]&lt;&gt;0)*(PptoSty[Division]&lt;&gt;"")*(PptoSty[Division]&lt;&gt;"X")*(PptoSty[Project]=$B125)*(PptoSty[Vrs]=$D125)*(PptoSty[PiRow]=_xlfn.TEXTAFTER($H125,":"))*(PptoSty[PiColumn]=I$54),0)),SUM(IF((INDIRECT($B$3)=$B125)*(INDIRECT($C$3)=$D125)*((INDIRECT($E$3)="TOTS")+(INDIRECT($E$3)=$E125)),INDIRECT(I$3)))),_xlpm.y,SUM(_xlfn.CHOOSECOLS(_xlfn._xlws.FILTER(F_RT14[],(F_RT14[PrjId]=$B125)*(F_RT14[Vrs]=$D125)*(_xlfn.TEXTAFTER(F_RT14[ActGrp],":")=_xlfn.TEXTAFTER($H125,":")),"X"),MATCH("*"&amp;I$54,F_RT14[#Headers],0))),IF(AND(_xlpm.x=0,_xlpm.y&lt;&gt;0),-1,IF(AND(_xlpm.x&lt;&gt;0,_xlpm.y&lt;&gt;0),_xlpm.x,IF(AND(_xlpm.x-SUM(IF((INDIRECT($B$3)=$B125)*(INDIRECT($C$3)=$D125)*((INDIRECT($E$3)="TOTS")+(INDIRECT($E$3)=$E125)),INDIRECT(I$3)))&lt;&gt;0,_xlpm.y=0),-2,_xlpm.x)))),0))</f>
        <v>0</v>
      </c>
      <c r="J125" s="199" cm="1">
        <f t="array" aca="1" ref="J125" ca="1">IF(OR($B125="",$B125="X",$D125="",$D125="X",$E125="",$E125="X"),0,IFERROR(_xlfn.LET(_xlpm.x,SUM(SUM(_xlfn._xlws.FILTER(VALUE(PptoSty[Sign]&amp;1)*(1/PptoSty[Division]),(PptoSty[Division]&lt;&gt;0)*(PptoSty[Division]&lt;&gt;"")*(PptoSty[Division]&lt;&gt;"X")*(PptoSty[Project]=$B125)*(PptoSty[Vrs]=$D125)*(PptoSty[PiRow]=_xlfn.TEXTAFTER($H125,":"))*(PptoSty[PiColumn]=J$54),0)),SUM(IF((INDIRECT($B$3)=$B125)*(INDIRECT($C$3)=$D125)*((INDIRECT($E$3)="TOTS")+(INDIRECT($E$3)=$E125)),INDIRECT(J$3)))),_xlpm.y,SUM(_xlfn.CHOOSECOLS(_xlfn._xlws.FILTER(F_RT14[],(F_RT14[PrjId]=$B125)*(F_RT14[Vrs]=$D125)*(_xlfn.TEXTAFTER(F_RT14[ActGrp],":")=_xlfn.TEXTAFTER($H125,":")),"X"),MATCH("*"&amp;J$54,F_RT14[#Headers],0))),IF(AND(_xlpm.x=0,_xlpm.y&lt;&gt;0),-1,IF(AND(_xlpm.x&lt;&gt;0,_xlpm.y&lt;&gt;0),_xlpm.x,IF(AND(_xlpm.x-SUM(IF((INDIRECT($B$3)=$B125)*(INDIRECT($C$3)=$D125)*((INDIRECT($E$3)="TOTS")+(INDIRECT($E$3)=$E125)),INDIRECT(J$3)))&lt;&gt;0,_xlpm.y=0),-2,_xlpm.x)))),0))</f>
        <v>0</v>
      </c>
      <c r="K125" s="199" cm="1">
        <f t="array" aca="1" ref="K125" ca="1">IF(OR($B125="",$B125="X",$D125="",$D125="X",$E125="",$E125="X"),0,IFERROR(_xlfn.LET(_xlpm.x,SUM(SUM(_xlfn._xlws.FILTER(VALUE(PptoSty[Sign]&amp;1)*(1/PptoSty[Division]),(PptoSty[Division]&lt;&gt;0)*(PptoSty[Division]&lt;&gt;"")*(PptoSty[Division]&lt;&gt;"X")*(PptoSty[Project]=$B125)*(PptoSty[Vrs]=$D125)*(PptoSty[PiRow]=_xlfn.TEXTAFTER($H125,":"))*(PptoSty[PiColumn]=K$54),0)),SUM(IF((INDIRECT($B$3)=$B125)*(INDIRECT($C$3)=$D125)*((INDIRECT($E$3)="TOTS")+(INDIRECT($E$3)=$E125)),INDIRECT(K$3)))),_xlpm.y,SUM(_xlfn.CHOOSECOLS(_xlfn._xlws.FILTER(F_RT14[],(F_RT14[PrjId]=$B125)*(F_RT14[Vrs]=$D125)*(_xlfn.TEXTAFTER(F_RT14[ActGrp],":")=_xlfn.TEXTAFTER($H125,":")),"X"),MATCH("*"&amp;K$54,F_RT14[#Headers],0))),IF(AND(_xlpm.x=0,_xlpm.y&lt;&gt;0),-1,IF(AND(_xlpm.x&lt;&gt;0,_xlpm.y&lt;&gt;0),_xlpm.x,IF(AND(_xlpm.x-SUM(IF((INDIRECT($B$3)=$B125)*(INDIRECT($C$3)=$D125)*((INDIRECT($E$3)="TOTS")+(INDIRECT($E$3)=$E125)),INDIRECT(K$3)))&lt;&gt;0,_xlpm.y=0),-2,_xlpm.x)))),0))</f>
        <v>0</v>
      </c>
      <c r="L125" s="199" cm="1">
        <f t="array" aca="1" ref="L125" ca="1">IF(OR($B125="",$B125="X",$D125="",$D125="X",$E125="",$E125="X"),0,IFERROR(_xlfn.LET(_xlpm.x,SUM(SUM(_xlfn._xlws.FILTER(VALUE(PptoSty[Sign]&amp;1)*(1/PptoSty[Division]),(PptoSty[Division]&lt;&gt;0)*(PptoSty[Division]&lt;&gt;"")*(PptoSty[Division]&lt;&gt;"X")*(PptoSty[Project]=$B125)*(PptoSty[Vrs]=$D125)*(PptoSty[PiRow]=_xlfn.TEXTAFTER($H125,":"))*(PptoSty[PiColumn]=L$54),0)),SUM(IF((INDIRECT($B$3)=$B125)*(INDIRECT($C$3)=$D125)*((INDIRECT($E$3)="TOTS")+(INDIRECT($E$3)=$E125)),INDIRECT(L$3)))),_xlpm.y,SUM(_xlfn.CHOOSECOLS(_xlfn._xlws.FILTER(F_RT14[],(F_RT14[PrjId]=$B125)*(F_RT14[Vrs]=$D125)*(_xlfn.TEXTAFTER(F_RT14[ActGrp],":")=_xlfn.TEXTAFTER($H125,":")),"X"),MATCH("*"&amp;L$54,F_RT14[#Headers],0))),IF(AND(_xlpm.x=0,_xlpm.y&lt;&gt;0),-1,IF(AND(_xlpm.x&lt;&gt;0,_xlpm.y&lt;&gt;0),_xlpm.x,IF(AND(_xlpm.x-SUM(IF((INDIRECT($B$3)=$B125)*(INDIRECT($C$3)=$D125)*((INDIRECT($E$3)="TOTS")+(INDIRECT($E$3)=$E125)),INDIRECT(L$3)))&lt;&gt;0,_xlpm.y=0),-2,_xlpm.x)))),0))</f>
        <v>0</v>
      </c>
      <c r="M125" s="199" cm="1">
        <f t="array" aca="1" ref="M125" ca="1">IF(OR($B125="",$B125="X",$D125="",$D125="X",$E125="",$E125="X"),0,IFERROR(_xlfn.LET(_xlpm.x,SUM(SUM(_xlfn._xlws.FILTER(VALUE(PptoSty[Sign]&amp;1)*(1/PptoSty[Division]),(PptoSty[Division]&lt;&gt;0)*(PptoSty[Division]&lt;&gt;"")*(PptoSty[Division]&lt;&gt;"X")*(PptoSty[Project]=$B125)*(PptoSty[Vrs]=$D125)*(PptoSty[PiRow]=_xlfn.TEXTAFTER($H125,":"))*(PptoSty[PiColumn]=M$54),0)),SUM(IF((INDIRECT($B$3)=$B125)*(INDIRECT($C$3)=$D125)*((INDIRECT($E$3)="TOTS")+(INDIRECT($E$3)=$E125)),INDIRECT(M$3)))),_xlpm.y,SUM(_xlfn.CHOOSECOLS(_xlfn._xlws.FILTER(F_RT14[],(F_RT14[PrjId]=$B125)*(F_RT14[Vrs]=$D125)*(_xlfn.TEXTAFTER(F_RT14[ActGrp],":")=_xlfn.TEXTAFTER($H125,":")),"X"),MATCH("*"&amp;M$54,F_RT14[#Headers],0))),IF(AND(_xlpm.x=0,_xlpm.y&lt;&gt;0),-1,IF(AND(_xlpm.x&lt;&gt;0,_xlpm.y&lt;&gt;0),_xlpm.x,IF(AND(_xlpm.x-SUM(IF((INDIRECT($B$3)=$B125)*(INDIRECT($C$3)=$D125)*((INDIRECT($E$3)="TOTS")+(INDIRECT($E$3)=$E125)),INDIRECT(M$3)))&lt;&gt;0,_xlpm.y=0),-2,_xlpm.x)))),0))</f>
        <v>0</v>
      </c>
      <c r="N125" s="199" cm="1">
        <f t="array" aca="1" ref="N125" ca="1">IF(OR($B125="",$B125="X",$D125="",$D125="X",$E125="",$E125="X"),0,IFERROR(_xlfn.LET(_xlpm.x,SUM(SUM(_xlfn._xlws.FILTER(VALUE(PptoSty[Sign]&amp;1)*(1/PptoSty[Division]),(PptoSty[Division]&lt;&gt;0)*(PptoSty[Division]&lt;&gt;"")*(PptoSty[Division]&lt;&gt;"X")*(PptoSty[Project]=$B125)*(PptoSty[Vrs]=$D125)*(PptoSty[PiRow]=_xlfn.TEXTAFTER($H125,":"))*(PptoSty[PiColumn]=N$54),0)),SUM(IF((INDIRECT($B$3)=$B125)*(INDIRECT($C$3)=$D125)*((INDIRECT($E$3)="TOTS")+(INDIRECT($E$3)=$E125)),INDIRECT(N$3)))),_xlpm.y,SUM(_xlfn.CHOOSECOLS(_xlfn._xlws.FILTER(F_RT14[],(F_RT14[PrjId]=$B125)*(F_RT14[Vrs]=$D125)*(_xlfn.TEXTAFTER(F_RT14[ActGrp],":")=_xlfn.TEXTAFTER($H125,":")),"X"),MATCH("*"&amp;N$54,F_RT14[#Headers],0))),IF(AND(_xlpm.x=0,_xlpm.y&lt;&gt;0),-1,IF(AND(_xlpm.x&lt;&gt;0,_xlpm.y&lt;&gt;0),_xlpm.x,IF(AND(_xlpm.x-SUM(IF((INDIRECT($B$3)=$B125)*(INDIRECT($C$3)=$D125)*((INDIRECT($E$3)="TOTS")+(INDIRECT($E$3)=$E125)),INDIRECT(N$3)))&lt;&gt;0,_xlpm.y=0),-2,_xlpm.x)))),0))</f>
        <v>0</v>
      </c>
      <c r="O125" s="199" cm="1">
        <f t="array" aca="1" ref="O125" ca="1">IF(OR($B125="",$B125="X",$D125="",$D125="X",$E125="",$E125="X"),0,IFERROR(_xlfn.LET(_xlpm.x,SUM(SUM(_xlfn._xlws.FILTER(VALUE(PptoSty[Sign]&amp;1)*(1/PptoSty[Division]),(PptoSty[Division]&lt;&gt;0)*(PptoSty[Division]&lt;&gt;"")*(PptoSty[Division]&lt;&gt;"X")*(PptoSty[Project]=$B125)*(PptoSty[Vrs]=$D125)*(PptoSty[PiRow]=_xlfn.TEXTAFTER($H125,":"))*(PptoSty[PiColumn]=O$54),0)),SUM(IF((INDIRECT($B$3)=$B125)*(INDIRECT($C$3)=$D125)*((INDIRECT($E$3)="TOTS")+(INDIRECT($E$3)=$E125)),INDIRECT(O$3)))),_xlpm.y,SUM(_xlfn.CHOOSECOLS(_xlfn._xlws.FILTER(F_RT14[],(F_RT14[PrjId]=$B125)*(F_RT14[Vrs]=$D125)*(_xlfn.TEXTAFTER(F_RT14[ActGrp],":")=_xlfn.TEXTAFTER($H125,":")),"X"),MATCH("*"&amp;O$54,F_RT14[#Headers],0))),IF(AND(_xlpm.x=0,_xlpm.y&lt;&gt;0),-1,IF(AND(_xlpm.x&lt;&gt;0,_xlpm.y&lt;&gt;0),_xlpm.x,IF(AND(_xlpm.x-SUM(IF((INDIRECT($B$3)=$B125)*(INDIRECT($C$3)=$D125)*((INDIRECT($E$3)="TOTS")+(INDIRECT($E$3)=$E125)),INDIRECT(O$3)))&lt;&gt;0,_xlpm.y=0),-2,_xlpm.x)))),0))</f>
        <v>0</v>
      </c>
      <c r="P125" s="199" cm="1">
        <f t="array" aca="1" ref="P125" ca="1">IF(OR($B125="",$B125="X",$D125="",$D125="X",$E125="",$E125="X"),0,IFERROR(_xlfn.LET(_xlpm.x,SUM(SUM(_xlfn._xlws.FILTER(VALUE(PptoSty[Sign]&amp;1)*(1/PptoSty[Division]),(PptoSty[Division]&lt;&gt;0)*(PptoSty[Division]&lt;&gt;"")*(PptoSty[Division]&lt;&gt;"X")*(PptoSty[Project]=$B125)*(PptoSty[Vrs]=$D125)*(PptoSty[PiRow]=_xlfn.TEXTAFTER($H125,":"))*(PptoSty[PiColumn]=P$54),0)),SUM(IF((INDIRECT($B$3)=$B125)*(INDIRECT($C$3)=$D125)*((INDIRECT($E$3)="TOTS")+(INDIRECT($E$3)=$E125)),INDIRECT(P$3)))),_xlpm.y,SUM(_xlfn.CHOOSECOLS(_xlfn._xlws.FILTER(F_RT14[],(F_RT14[PrjId]=$B125)*(F_RT14[Vrs]=$D125)*(_xlfn.TEXTAFTER(F_RT14[ActGrp],":")=_xlfn.TEXTAFTER($H125,":")),"X"),MATCH("*"&amp;P$54,F_RT14[#Headers],0))),IF(AND(_xlpm.x=0,_xlpm.y&lt;&gt;0),-1,IF(AND(_xlpm.x&lt;&gt;0,_xlpm.y&lt;&gt;0),_xlpm.x,IF(AND(_xlpm.x-SUM(IF((INDIRECT($B$3)=$B125)*(INDIRECT($C$3)=$D125)*((INDIRECT($E$3)="TOTS")+(INDIRECT($E$3)=$E125)),INDIRECT(P$3)))&lt;&gt;0,_xlpm.y=0),-2,_xlpm.x)))),0))</f>
        <v>0</v>
      </c>
      <c r="Q125" s="199" cm="1">
        <f t="array" aca="1" ref="Q125" ca="1">IF(OR($B125="",$B125="X",$D125="",$D125="X",$E125="",$E125="X"),0,IFERROR(_xlfn.LET(_xlpm.x,SUM(SUM(_xlfn._xlws.FILTER(VALUE(PptoSty[Sign]&amp;1)*(1/PptoSty[Division]),(PptoSty[Division]&lt;&gt;0)*(PptoSty[Division]&lt;&gt;"")*(PptoSty[Division]&lt;&gt;"X")*(PptoSty[Project]=$B125)*(PptoSty[Vrs]=$D125)*(PptoSty[PiRow]=_xlfn.TEXTAFTER($H125,":"))*(PptoSty[PiColumn]=Q$54),0)),SUM(IF((INDIRECT($B$3)=$B125)*(INDIRECT($C$3)=$D125)*((INDIRECT($E$3)="TOTS")+(INDIRECT($E$3)=$E125)),INDIRECT(Q$3)))),_xlpm.y,SUM(_xlfn.CHOOSECOLS(_xlfn._xlws.FILTER(F_RT14[],(F_RT14[PrjId]=$B125)*(F_RT14[Vrs]=$D125)*(_xlfn.TEXTAFTER(F_RT14[ActGrp],":")=_xlfn.TEXTAFTER($H125,":")),"X"),MATCH("*"&amp;Q$54,F_RT14[#Headers],0))),IF(AND(_xlpm.x=0,_xlpm.y&lt;&gt;0),-1,IF(AND(_xlpm.x&lt;&gt;0,_xlpm.y&lt;&gt;0),_xlpm.x,IF(AND(_xlpm.x-SUM(IF((INDIRECT($B$3)=$B125)*(INDIRECT($C$3)=$D125)*((INDIRECT($E$3)="TOTS")+(INDIRECT($E$3)=$E125)),INDIRECT(Q$3)))&lt;&gt;0,_xlpm.y=0),-2,_xlpm.x)))),0))</f>
        <v>0</v>
      </c>
      <c r="R125" s="199" cm="1">
        <f t="array" aca="1" ref="R125" ca="1">IF(OR($B125="",$B125="X",$D125="",$D125="X",$E125="",$E125="X"),0,IFERROR(_xlfn.LET(_xlpm.x,SUM(SUM(_xlfn._xlws.FILTER(VALUE(PptoSty[Sign]&amp;1)*(1/PptoSty[Division]),(PptoSty[Division]&lt;&gt;0)*(PptoSty[Division]&lt;&gt;"")*(PptoSty[Division]&lt;&gt;"X")*(PptoSty[Project]=$B125)*(PptoSty[Vrs]=$D125)*(PptoSty[PiRow]=_xlfn.TEXTAFTER($H125,":"))*(PptoSty[PiColumn]=R$54),0)),SUM(IF((INDIRECT($B$3)=$B125)*(INDIRECT($C$3)=$D125)*((INDIRECT($E$3)="TOTS")+(INDIRECT($E$3)=$E125)),INDIRECT(R$3)))),_xlpm.y,SUM(_xlfn.CHOOSECOLS(_xlfn._xlws.FILTER(F_RT14[],(F_RT14[PrjId]=$B125)*(F_RT14[Vrs]=$D125)*(_xlfn.TEXTAFTER(F_RT14[ActGrp],":")=_xlfn.TEXTAFTER($H125,":")),"X"),MATCH("*"&amp;R$54,F_RT14[#Headers],0))),IF(AND(_xlpm.x=0,_xlpm.y&lt;&gt;0),-1,IF(AND(_xlpm.x&lt;&gt;0,_xlpm.y&lt;&gt;0),_xlpm.x,IF(AND(_xlpm.x-SUM(IF((INDIRECT($B$3)=$B125)*(INDIRECT($C$3)=$D125)*((INDIRECT($E$3)="TOTS")+(INDIRECT($E$3)=$E125)),INDIRECT(R$3)))&lt;&gt;0,_xlpm.y=0),-2,_xlpm.x)))),0))</f>
        <v>0</v>
      </c>
      <c r="S125" s="199" cm="1">
        <f t="array" aca="1" ref="S125" ca="1">IF(OR($B125="",$B125="X",$D125="",$D125="X",$E125="",$E125="X"),0,IFERROR(_xlfn.LET(_xlpm.x,SUM(SUM(_xlfn._xlws.FILTER(VALUE(PptoSty[Sign]&amp;1)*(1/PptoSty[Division]),(PptoSty[Division]&lt;&gt;0)*(PptoSty[Division]&lt;&gt;"")*(PptoSty[Division]&lt;&gt;"X")*(PptoSty[Project]=$B125)*(PptoSty[Vrs]=$D125)*(PptoSty[PiRow]=_xlfn.TEXTAFTER($H125,":"))*(PptoSty[PiColumn]=S$54),0)),SUM(IF((INDIRECT($B$3)=$B125)*(INDIRECT($C$3)=$D125)*((INDIRECT($E$3)="TOTS")+(INDIRECT($E$3)=$E125)),INDIRECT(S$3)))),_xlpm.y,SUM(_xlfn.CHOOSECOLS(_xlfn._xlws.FILTER(F_RT14[],(F_RT14[PrjId]=$B125)*(F_RT14[Vrs]=$D125)*(_xlfn.TEXTAFTER(F_RT14[ActGrp],":")=_xlfn.TEXTAFTER($H125,":")),"X"),MATCH("*"&amp;S$54,F_RT14[#Headers],0))),IF(AND(_xlpm.x=0,_xlpm.y&lt;&gt;0),-1,IF(AND(_xlpm.x&lt;&gt;0,_xlpm.y&lt;&gt;0),_xlpm.x,IF(AND(_xlpm.x-SUM(IF((INDIRECT($B$3)=$B125)*(INDIRECT($C$3)=$D125)*((INDIRECT($E$3)="TOTS")+(INDIRECT($E$3)=$E125)),INDIRECT(S$3)))&lt;&gt;0,_xlpm.y=0),-2,_xlpm.x)))),0))</f>
        <v>0</v>
      </c>
      <c r="T125" s="199" cm="1">
        <f t="array" aca="1" ref="T125" ca="1">IF(OR($B125="",$B125="X",$D125="",$D125="X",$E125="",$E125="X"),0,IFERROR(_xlfn.LET(_xlpm.x,SUM(SUM(_xlfn._xlws.FILTER(VALUE(PptoSty[Sign]&amp;1)*(1/PptoSty[Division]),(PptoSty[Division]&lt;&gt;0)*(PptoSty[Division]&lt;&gt;"")*(PptoSty[Division]&lt;&gt;"X")*(PptoSty[Project]=$B125)*(PptoSty[Vrs]=$D125)*(PptoSty[PiRow]=_xlfn.TEXTAFTER($H125,":"))*(PptoSty[PiColumn]=T$54),0)),SUM(IF((INDIRECT($B$3)=$B125)*(INDIRECT($C$3)=$D125)*((INDIRECT($E$3)="TOTS")+(INDIRECT($E$3)=$E125)),INDIRECT(T$3)))),_xlpm.y,SUM(_xlfn.CHOOSECOLS(_xlfn._xlws.FILTER(F_RT14[],(F_RT14[PrjId]=$B125)*(F_RT14[Vrs]=$D125)*(_xlfn.TEXTAFTER(F_RT14[ActGrp],":")=_xlfn.TEXTAFTER($H125,":")),"X"),MATCH("*"&amp;T$54,F_RT14[#Headers],0))),IF(AND(_xlpm.x=0,_xlpm.y&lt;&gt;0),-1,IF(AND(_xlpm.x&lt;&gt;0,_xlpm.y&lt;&gt;0),_xlpm.x,IF(AND(_xlpm.x-SUM(IF((INDIRECT($B$3)=$B125)*(INDIRECT($C$3)=$D125)*((INDIRECT($E$3)="TOTS")+(INDIRECT($E$3)=$E125)),INDIRECT(T$3)))&lt;&gt;0,_xlpm.y=0),-2,_xlpm.x)))),0))</f>
        <v>0</v>
      </c>
      <c r="U125" s="199" cm="1">
        <f t="array" aca="1" ref="U125" ca="1">IF(OR($B125="",$B125="X",$D125="",$D125="X",$E125="",$E125="X"),0,IFERROR(_xlfn.LET(_xlpm.x,SUM(SUM(_xlfn._xlws.FILTER(VALUE(PptoSty[Sign]&amp;1)*(1/PptoSty[Division]),(PptoSty[Division]&lt;&gt;0)*(PptoSty[Division]&lt;&gt;"")*(PptoSty[Division]&lt;&gt;"X")*(PptoSty[Project]=$B125)*(PptoSty[Vrs]=$D125)*(PptoSty[PiRow]=_xlfn.TEXTAFTER($H125,":"))*(PptoSty[PiColumn]=U$54),0)),SUM(IF((INDIRECT($B$3)=$B125)*(INDIRECT($C$3)=$D125)*((INDIRECT($E$3)="TOTS")+(INDIRECT($E$3)=$E125)),INDIRECT(U$3)))),_xlpm.y,SUM(_xlfn.CHOOSECOLS(_xlfn._xlws.FILTER(F_RT14[],(F_RT14[PrjId]=$B125)*(F_RT14[Vrs]=$D125)*(_xlfn.TEXTAFTER(F_RT14[ActGrp],":")=_xlfn.TEXTAFTER($H125,":")),"X"),MATCH("*"&amp;U$54,F_RT14[#Headers],0))),IF(AND(_xlpm.x=0,_xlpm.y&lt;&gt;0),-1,IF(AND(_xlpm.x&lt;&gt;0,_xlpm.y&lt;&gt;0),_xlpm.x,IF(AND(_xlpm.x-SUM(IF((INDIRECT($B$3)=$B125)*(INDIRECT($C$3)=$D125)*((INDIRECT($E$3)="TOTS")+(INDIRECT($E$3)=$E125)),INDIRECT(U$3)))&lt;&gt;0,_xlpm.y=0),-2,_xlpm.x)))),0))</f>
        <v>0</v>
      </c>
      <c r="V125" s="199" cm="1">
        <f t="array" aca="1" ref="V125" ca="1">IF(OR($B125="",$B125="X",$D125="",$D125="X",$E125="",$E125="X"),0,IFERROR(_xlfn.LET(_xlpm.x,SUM(SUM(_xlfn._xlws.FILTER(VALUE(PptoSty[Sign]&amp;1)*(1/PptoSty[Division]),(PptoSty[Division]&lt;&gt;0)*(PptoSty[Division]&lt;&gt;"")*(PptoSty[Division]&lt;&gt;"X")*(PptoSty[Project]=$B125)*(PptoSty[Vrs]=$D125)*(PptoSty[PiRow]=_xlfn.TEXTAFTER($H125,":"))*(PptoSty[PiColumn]=V$54),0)),SUM(IF((INDIRECT($B$3)=$B125)*(INDIRECT($C$3)=$D125)*((INDIRECT($E$3)="TOTS")+(INDIRECT($E$3)=$E125)),INDIRECT(V$3)))),_xlpm.y,SUM(_xlfn.CHOOSECOLS(_xlfn._xlws.FILTER(F_RT14[],(F_RT14[PrjId]=$B125)*(F_RT14[Vrs]=$D125)*(_xlfn.TEXTAFTER(F_RT14[ActGrp],":")=_xlfn.TEXTAFTER($H125,":")),"X"),MATCH("*"&amp;V$54,F_RT14[#Headers],0))),IF(AND(_xlpm.x=0,_xlpm.y&lt;&gt;0),-1,IF(AND(_xlpm.x&lt;&gt;0,_xlpm.y&lt;&gt;0),_xlpm.x,IF(AND(_xlpm.x-SUM(IF((INDIRECT($B$3)=$B125)*(INDIRECT($C$3)=$D125)*((INDIRECT($E$3)="TOTS")+(INDIRECT($E$3)=$E125)),INDIRECT(V$3)))&lt;&gt;0,_xlpm.y=0),-2,_xlpm.x)))),0))</f>
        <v>-1</v>
      </c>
      <c r="W125" s="199" cm="1">
        <f t="array" aca="1" ref="W125" ca="1">IF(OR($B125="",$B125="X",$D125="",$D125="X",$E125="",$E125="X"),0,IFERROR(_xlfn.LET(_xlpm.x,SUM(SUM(_xlfn._xlws.FILTER(VALUE(PptoSty[Sign]&amp;1)*(1/PptoSty[Division]),(PptoSty[Division]&lt;&gt;0)*(PptoSty[Division]&lt;&gt;"")*(PptoSty[Division]&lt;&gt;"X")*(PptoSty[Project]=$B125)*(PptoSty[Vrs]=$D125)*(PptoSty[PiRow]=_xlfn.TEXTAFTER($H125,":"))*(PptoSty[PiColumn]=W$54),0)),SUM(IF((INDIRECT($B$3)=$B125)*(INDIRECT($C$3)=$D125)*((INDIRECT($E$3)="TOTS")+(INDIRECT($E$3)=$E125)),INDIRECT(W$3)))),_xlpm.y,SUM(_xlfn.CHOOSECOLS(_xlfn._xlws.FILTER(F_RT14[],(F_RT14[PrjId]=$B125)*(F_RT14[Vrs]=$D125)*(_xlfn.TEXTAFTER(F_RT14[ActGrp],":")=_xlfn.TEXTAFTER($H125,":")),"X"),MATCH("*"&amp;W$54,F_RT14[#Headers],0))),IF(AND(_xlpm.x=0,_xlpm.y&lt;&gt;0),-1,IF(AND(_xlpm.x&lt;&gt;0,_xlpm.y&lt;&gt;0),_xlpm.x,IF(AND(_xlpm.x-SUM(IF((INDIRECT($B$3)=$B125)*(INDIRECT($C$3)=$D125)*((INDIRECT($E$3)="TOTS")+(INDIRECT($E$3)=$E125)),INDIRECT(W$3)))&lt;&gt;0,_xlpm.y=0),-2,_xlpm.x)))),0))</f>
        <v>0</v>
      </c>
      <c r="X125" s="199" cm="1">
        <f t="array" aca="1" ref="X125" ca="1">IF(OR($B125="",$B125="X",$D125="",$D125="X",$E125="",$E125="X"),0,IFERROR(_xlfn.LET(_xlpm.x,SUM(SUM(_xlfn._xlws.FILTER(VALUE(PptoSty[Sign]&amp;1)*(1/PptoSty[Division]),(PptoSty[Division]&lt;&gt;0)*(PptoSty[Division]&lt;&gt;"")*(PptoSty[Division]&lt;&gt;"X")*(PptoSty[Project]=$B125)*(PptoSty[Vrs]=$D125)*(PptoSty[PiRow]=_xlfn.TEXTAFTER($H125,":"))*(PptoSty[PiColumn]=X$54),0)),SUM(IF((INDIRECT($B$3)=$B125)*(INDIRECT($C$3)=$D125)*((INDIRECT($E$3)="TOTS")+(INDIRECT($E$3)=$E125)),INDIRECT(X$3)))),_xlpm.y,SUM(_xlfn.CHOOSECOLS(_xlfn._xlws.FILTER(F_RT14[],(F_RT14[PrjId]=$B125)*(F_RT14[Vrs]=$D125)*(_xlfn.TEXTAFTER(F_RT14[ActGrp],":")=_xlfn.TEXTAFTER($H125,":")),"X"),MATCH("*"&amp;X$54,F_RT14[#Headers],0))),IF(AND(_xlpm.x=0,_xlpm.y&lt;&gt;0),-1,IF(AND(_xlpm.x&lt;&gt;0,_xlpm.y&lt;&gt;0),_xlpm.x,IF(AND(_xlpm.x-SUM(IF((INDIRECT($B$3)=$B125)*(INDIRECT($C$3)=$D125)*((INDIRECT($E$3)="TOTS")+(INDIRECT($E$3)=$E125)),INDIRECT(X$3)))&lt;&gt;0,_xlpm.y=0),-2,_xlpm.x)))),0))</f>
        <v>0</v>
      </c>
      <c r="Y125" s="199" cm="1">
        <f t="array" aca="1" ref="Y125" ca="1">IF(OR($B125="",$B125="X",$D125="",$D125="X",$E125="",$E125="X"),0,IFERROR(_xlfn.LET(_xlpm.x,SUM(SUM(_xlfn._xlws.FILTER(VALUE(PptoSty[Sign]&amp;1)*(1/PptoSty[Division]),(PptoSty[Division]&lt;&gt;0)*(PptoSty[Division]&lt;&gt;"")*(PptoSty[Division]&lt;&gt;"X")*(PptoSty[Project]=$B125)*(PptoSty[Vrs]=$D125)*(PptoSty[PiRow]=_xlfn.TEXTAFTER($H125,":"))*(PptoSty[PiColumn]=Y$54),0)),SUM(IF((INDIRECT($B$3)=$B125)*(INDIRECT($C$3)=$D125)*((INDIRECT($E$3)="TOTS")+(INDIRECT($E$3)=$E125)),INDIRECT(Y$3)))),_xlpm.y,SUM(_xlfn.CHOOSECOLS(_xlfn._xlws.FILTER(F_RT14[],(F_RT14[PrjId]=$B125)*(F_RT14[Vrs]=$D125)*(_xlfn.TEXTAFTER(F_RT14[ActGrp],":")=_xlfn.TEXTAFTER($H125,":")),"X"),MATCH("*"&amp;Y$54,F_RT14[#Headers],0))),IF(AND(_xlpm.x=0,_xlpm.y&lt;&gt;0),-1,IF(AND(_xlpm.x&lt;&gt;0,_xlpm.y&lt;&gt;0),_xlpm.x,IF(AND(_xlpm.x-SUM(IF((INDIRECT($B$3)=$B125)*(INDIRECT($C$3)=$D125)*((INDIRECT($E$3)="TOTS")+(INDIRECT($E$3)=$E125)),INDIRECT(Y$3)))&lt;&gt;0,_xlpm.y=0),-2,_xlpm.x)))),0))</f>
        <v>0</v>
      </c>
      <c r="Z125" s="198" t="str">
        <f t="shared" ca="1" si="3"/>
        <v>Fback!B125:Y125</v>
      </c>
    </row>
    <row r="126" spans="2:26" ht="21" customHeight="1" outlineLevel="1">
      <c r="B126" s="128" t="str">
        <v>31199</v>
      </c>
      <c r="C126" s="128" t="str">
        <v>Sp</v>
      </c>
      <c r="D126" s="128">
        <v>0</v>
      </c>
      <c r="E126" s="128" t="str">
        <v>TOOL</v>
      </c>
      <c r="F126" s="139" t="str">
        <v>SERRA</v>
      </c>
      <c r="G126" s="139" t="str">
        <v>CurPpto</v>
      </c>
      <c r="H126" s="139" t="str">
        <v>A001:DISEÑO PALETAS PARA CONVEYORS</v>
      </c>
      <c r="I126" s="199" cm="1">
        <f t="array" aca="1" ref="I126" ca="1">IF(OR($B126="",$B126="X",$D126="",$D126="X",$E126="",$E126="X"),0,IFERROR(_xlfn.LET(_xlpm.x,SUM(SUM(_xlfn._xlws.FILTER(VALUE(PptoSty[Sign]&amp;1)*(1/PptoSty[Division]),(PptoSty[Division]&lt;&gt;0)*(PptoSty[Division]&lt;&gt;"")*(PptoSty[Division]&lt;&gt;"X")*(PptoSty[Project]=$B126)*(PptoSty[Vrs]=$D126)*(PptoSty[PiRow]=_xlfn.TEXTAFTER($H126,":"))*(PptoSty[PiColumn]=I$54),0)),SUM(IF((INDIRECT($B$3)=$B126)*(INDIRECT($C$3)=$D126)*((INDIRECT($E$3)="TOTS")+(INDIRECT($E$3)=$E126)),INDIRECT(I$3)))),_xlpm.y,SUM(_xlfn.CHOOSECOLS(_xlfn._xlws.FILTER(F_RT14[],(F_RT14[PrjId]=$B126)*(F_RT14[Vrs]=$D126)*(_xlfn.TEXTAFTER(F_RT14[ActGrp],":")=_xlfn.TEXTAFTER($H126,":")),"X"),MATCH("*"&amp;I$54,F_RT14[#Headers],0))),IF(AND(_xlpm.x=0,_xlpm.y&lt;&gt;0),-1,IF(AND(_xlpm.x&lt;&gt;0,_xlpm.y&lt;&gt;0),_xlpm.x,IF(AND(_xlpm.x-SUM(IF((INDIRECT($B$3)=$B126)*(INDIRECT($C$3)=$D126)*((INDIRECT($E$3)="TOTS")+(INDIRECT($E$3)=$E126)),INDIRECT(I$3)))&lt;&gt;0,_xlpm.y=0),-2,_xlpm.x)))),0))</f>
        <v>0</v>
      </c>
      <c r="J126" s="199" cm="1">
        <f t="array" aca="1" ref="J126" ca="1">IF(OR($B126="",$B126="X",$D126="",$D126="X",$E126="",$E126="X"),0,IFERROR(_xlfn.LET(_xlpm.x,SUM(SUM(_xlfn._xlws.FILTER(VALUE(PptoSty[Sign]&amp;1)*(1/PptoSty[Division]),(PptoSty[Division]&lt;&gt;0)*(PptoSty[Division]&lt;&gt;"")*(PptoSty[Division]&lt;&gt;"X")*(PptoSty[Project]=$B126)*(PptoSty[Vrs]=$D126)*(PptoSty[PiRow]=_xlfn.TEXTAFTER($H126,":"))*(PptoSty[PiColumn]=J$54),0)),SUM(IF((INDIRECT($B$3)=$B126)*(INDIRECT($C$3)=$D126)*((INDIRECT($E$3)="TOTS")+(INDIRECT($E$3)=$E126)),INDIRECT(J$3)))),_xlpm.y,SUM(_xlfn.CHOOSECOLS(_xlfn._xlws.FILTER(F_RT14[],(F_RT14[PrjId]=$B126)*(F_RT14[Vrs]=$D126)*(_xlfn.TEXTAFTER(F_RT14[ActGrp],":")=_xlfn.TEXTAFTER($H126,":")),"X"),MATCH("*"&amp;J$54,F_RT14[#Headers],0))),IF(AND(_xlpm.x=0,_xlpm.y&lt;&gt;0),-1,IF(AND(_xlpm.x&lt;&gt;0,_xlpm.y&lt;&gt;0),_xlpm.x,IF(AND(_xlpm.x-SUM(IF((INDIRECT($B$3)=$B126)*(INDIRECT($C$3)=$D126)*((INDIRECT($E$3)="TOTS")+(INDIRECT($E$3)=$E126)),INDIRECT(J$3)))&lt;&gt;0,_xlpm.y=0),-2,_xlpm.x)))),0))</f>
        <v>0</v>
      </c>
      <c r="K126" s="199" cm="1">
        <f t="array" aca="1" ref="K126" ca="1">IF(OR($B126="",$B126="X",$D126="",$D126="X",$E126="",$E126="X"),0,IFERROR(_xlfn.LET(_xlpm.x,SUM(SUM(_xlfn._xlws.FILTER(VALUE(PptoSty[Sign]&amp;1)*(1/PptoSty[Division]),(PptoSty[Division]&lt;&gt;0)*(PptoSty[Division]&lt;&gt;"")*(PptoSty[Division]&lt;&gt;"X")*(PptoSty[Project]=$B126)*(PptoSty[Vrs]=$D126)*(PptoSty[PiRow]=_xlfn.TEXTAFTER($H126,":"))*(PptoSty[PiColumn]=K$54),0)),SUM(IF((INDIRECT($B$3)=$B126)*(INDIRECT($C$3)=$D126)*((INDIRECT($E$3)="TOTS")+(INDIRECT($E$3)=$E126)),INDIRECT(K$3)))),_xlpm.y,SUM(_xlfn.CHOOSECOLS(_xlfn._xlws.FILTER(F_RT14[],(F_RT14[PrjId]=$B126)*(F_RT14[Vrs]=$D126)*(_xlfn.TEXTAFTER(F_RT14[ActGrp],":")=_xlfn.TEXTAFTER($H126,":")),"X"),MATCH("*"&amp;K$54,F_RT14[#Headers],0))),IF(AND(_xlpm.x=0,_xlpm.y&lt;&gt;0),-1,IF(AND(_xlpm.x&lt;&gt;0,_xlpm.y&lt;&gt;0),_xlpm.x,IF(AND(_xlpm.x-SUM(IF((INDIRECT($B$3)=$B126)*(INDIRECT($C$3)=$D126)*((INDIRECT($E$3)="TOTS")+(INDIRECT($E$3)=$E126)),INDIRECT(K$3)))&lt;&gt;0,_xlpm.y=0),-2,_xlpm.x)))),0))</f>
        <v>-1</v>
      </c>
      <c r="L126" s="199" cm="1">
        <f t="array" aca="1" ref="L126" ca="1">IF(OR($B126="",$B126="X",$D126="",$D126="X",$E126="",$E126="X"),0,IFERROR(_xlfn.LET(_xlpm.x,SUM(SUM(_xlfn._xlws.FILTER(VALUE(PptoSty[Sign]&amp;1)*(1/PptoSty[Division]),(PptoSty[Division]&lt;&gt;0)*(PptoSty[Division]&lt;&gt;"")*(PptoSty[Division]&lt;&gt;"X")*(PptoSty[Project]=$B126)*(PptoSty[Vrs]=$D126)*(PptoSty[PiRow]=_xlfn.TEXTAFTER($H126,":"))*(PptoSty[PiColumn]=L$54),0)),SUM(IF((INDIRECT($B$3)=$B126)*(INDIRECT($C$3)=$D126)*((INDIRECT($E$3)="TOTS")+(INDIRECT($E$3)=$E126)),INDIRECT(L$3)))),_xlpm.y,SUM(_xlfn.CHOOSECOLS(_xlfn._xlws.FILTER(F_RT14[],(F_RT14[PrjId]=$B126)*(F_RT14[Vrs]=$D126)*(_xlfn.TEXTAFTER(F_RT14[ActGrp],":")=_xlfn.TEXTAFTER($H126,":")),"X"),MATCH("*"&amp;L$54,F_RT14[#Headers],0))),IF(AND(_xlpm.x=0,_xlpm.y&lt;&gt;0),-1,IF(AND(_xlpm.x&lt;&gt;0,_xlpm.y&lt;&gt;0),_xlpm.x,IF(AND(_xlpm.x-SUM(IF((INDIRECT($B$3)=$B126)*(INDIRECT($C$3)=$D126)*((INDIRECT($E$3)="TOTS")+(INDIRECT($E$3)=$E126)),INDIRECT(L$3)))&lt;&gt;0,_xlpm.y=0),-2,_xlpm.x)))),0))</f>
        <v>0</v>
      </c>
      <c r="M126" s="199" cm="1">
        <f t="array" aca="1" ref="M126" ca="1">IF(OR($B126="",$B126="X",$D126="",$D126="X",$E126="",$E126="X"),0,IFERROR(_xlfn.LET(_xlpm.x,SUM(SUM(_xlfn._xlws.FILTER(VALUE(PptoSty[Sign]&amp;1)*(1/PptoSty[Division]),(PptoSty[Division]&lt;&gt;0)*(PptoSty[Division]&lt;&gt;"")*(PptoSty[Division]&lt;&gt;"X")*(PptoSty[Project]=$B126)*(PptoSty[Vrs]=$D126)*(PptoSty[PiRow]=_xlfn.TEXTAFTER($H126,":"))*(PptoSty[PiColumn]=M$54),0)),SUM(IF((INDIRECT($B$3)=$B126)*(INDIRECT($C$3)=$D126)*((INDIRECT($E$3)="TOTS")+(INDIRECT($E$3)=$E126)),INDIRECT(M$3)))),_xlpm.y,SUM(_xlfn.CHOOSECOLS(_xlfn._xlws.FILTER(F_RT14[],(F_RT14[PrjId]=$B126)*(F_RT14[Vrs]=$D126)*(_xlfn.TEXTAFTER(F_RT14[ActGrp],":")=_xlfn.TEXTAFTER($H126,":")),"X"),MATCH("*"&amp;M$54,F_RT14[#Headers],0))),IF(AND(_xlpm.x=0,_xlpm.y&lt;&gt;0),-1,IF(AND(_xlpm.x&lt;&gt;0,_xlpm.y&lt;&gt;0),_xlpm.x,IF(AND(_xlpm.x-SUM(IF((INDIRECT($B$3)=$B126)*(INDIRECT($C$3)=$D126)*((INDIRECT($E$3)="TOTS")+(INDIRECT($E$3)=$E126)),INDIRECT(M$3)))&lt;&gt;0,_xlpm.y=0),-2,_xlpm.x)))),0))</f>
        <v>0</v>
      </c>
      <c r="N126" s="199" cm="1">
        <f t="array" aca="1" ref="N126" ca="1">IF(OR($B126="",$B126="X",$D126="",$D126="X",$E126="",$E126="X"),0,IFERROR(_xlfn.LET(_xlpm.x,SUM(SUM(_xlfn._xlws.FILTER(VALUE(PptoSty[Sign]&amp;1)*(1/PptoSty[Division]),(PptoSty[Division]&lt;&gt;0)*(PptoSty[Division]&lt;&gt;"")*(PptoSty[Division]&lt;&gt;"X")*(PptoSty[Project]=$B126)*(PptoSty[Vrs]=$D126)*(PptoSty[PiRow]=_xlfn.TEXTAFTER($H126,":"))*(PptoSty[PiColumn]=N$54),0)),SUM(IF((INDIRECT($B$3)=$B126)*(INDIRECT($C$3)=$D126)*((INDIRECT($E$3)="TOTS")+(INDIRECT($E$3)=$E126)),INDIRECT(N$3)))),_xlpm.y,SUM(_xlfn.CHOOSECOLS(_xlfn._xlws.FILTER(F_RT14[],(F_RT14[PrjId]=$B126)*(F_RT14[Vrs]=$D126)*(_xlfn.TEXTAFTER(F_RT14[ActGrp],":")=_xlfn.TEXTAFTER($H126,":")),"X"),MATCH("*"&amp;N$54,F_RT14[#Headers],0))),IF(AND(_xlpm.x=0,_xlpm.y&lt;&gt;0),-1,IF(AND(_xlpm.x&lt;&gt;0,_xlpm.y&lt;&gt;0),_xlpm.x,IF(AND(_xlpm.x-SUM(IF((INDIRECT($B$3)=$B126)*(INDIRECT($C$3)=$D126)*((INDIRECT($E$3)="TOTS")+(INDIRECT($E$3)=$E126)),INDIRECT(N$3)))&lt;&gt;0,_xlpm.y=0),-2,_xlpm.x)))),0))</f>
        <v>0</v>
      </c>
      <c r="O126" s="199" cm="1">
        <f t="array" aca="1" ref="O126" ca="1">IF(OR($B126="",$B126="X",$D126="",$D126="X",$E126="",$E126="X"),0,IFERROR(_xlfn.LET(_xlpm.x,SUM(SUM(_xlfn._xlws.FILTER(VALUE(PptoSty[Sign]&amp;1)*(1/PptoSty[Division]),(PptoSty[Division]&lt;&gt;0)*(PptoSty[Division]&lt;&gt;"")*(PptoSty[Division]&lt;&gt;"X")*(PptoSty[Project]=$B126)*(PptoSty[Vrs]=$D126)*(PptoSty[PiRow]=_xlfn.TEXTAFTER($H126,":"))*(PptoSty[PiColumn]=O$54),0)),SUM(IF((INDIRECT($B$3)=$B126)*(INDIRECT($C$3)=$D126)*((INDIRECT($E$3)="TOTS")+(INDIRECT($E$3)=$E126)),INDIRECT(O$3)))),_xlpm.y,SUM(_xlfn.CHOOSECOLS(_xlfn._xlws.FILTER(F_RT14[],(F_RT14[PrjId]=$B126)*(F_RT14[Vrs]=$D126)*(_xlfn.TEXTAFTER(F_RT14[ActGrp],":")=_xlfn.TEXTAFTER($H126,":")),"X"),MATCH("*"&amp;O$54,F_RT14[#Headers],0))),IF(AND(_xlpm.x=0,_xlpm.y&lt;&gt;0),-1,IF(AND(_xlpm.x&lt;&gt;0,_xlpm.y&lt;&gt;0),_xlpm.x,IF(AND(_xlpm.x-SUM(IF((INDIRECT($B$3)=$B126)*(INDIRECT($C$3)=$D126)*((INDIRECT($E$3)="TOTS")+(INDIRECT($E$3)=$E126)),INDIRECT(O$3)))&lt;&gt;0,_xlpm.y=0),-2,_xlpm.x)))),0))</f>
        <v>0</v>
      </c>
      <c r="P126" s="199" cm="1">
        <f t="array" aca="1" ref="P126" ca="1">IF(OR($B126="",$B126="X",$D126="",$D126="X",$E126="",$E126="X"),0,IFERROR(_xlfn.LET(_xlpm.x,SUM(SUM(_xlfn._xlws.FILTER(VALUE(PptoSty[Sign]&amp;1)*(1/PptoSty[Division]),(PptoSty[Division]&lt;&gt;0)*(PptoSty[Division]&lt;&gt;"")*(PptoSty[Division]&lt;&gt;"X")*(PptoSty[Project]=$B126)*(PptoSty[Vrs]=$D126)*(PptoSty[PiRow]=_xlfn.TEXTAFTER($H126,":"))*(PptoSty[PiColumn]=P$54),0)),SUM(IF((INDIRECT($B$3)=$B126)*(INDIRECT($C$3)=$D126)*((INDIRECT($E$3)="TOTS")+(INDIRECT($E$3)=$E126)),INDIRECT(P$3)))),_xlpm.y,SUM(_xlfn.CHOOSECOLS(_xlfn._xlws.FILTER(F_RT14[],(F_RT14[PrjId]=$B126)*(F_RT14[Vrs]=$D126)*(_xlfn.TEXTAFTER(F_RT14[ActGrp],":")=_xlfn.TEXTAFTER($H126,":")),"X"),MATCH("*"&amp;P$54,F_RT14[#Headers],0))),IF(AND(_xlpm.x=0,_xlpm.y&lt;&gt;0),-1,IF(AND(_xlpm.x&lt;&gt;0,_xlpm.y&lt;&gt;0),_xlpm.x,IF(AND(_xlpm.x-SUM(IF((INDIRECT($B$3)=$B126)*(INDIRECT($C$3)=$D126)*((INDIRECT($E$3)="TOTS")+(INDIRECT($E$3)=$E126)),INDIRECT(P$3)))&lt;&gt;0,_xlpm.y=0),-2,_xlpm.x)))),0))</f>
        <v>0</v>
      </c>
      <c r="Q126" s="199" cm="1">
        <f t="array" aca="1" ref="Q126" ca="1">IF(OR($B126="",$B126="X",$D126="",$D126="X",$E126="",$E126="X"),0,IFERROR(_xlfn.LET(_xlpm.x,SUM(SUM(_xlfn._xlws.FILTER(VALUE(PptoSty[Sign]&amp;1)*(1/PptoSty[Division]),(PptoSty[Division]&lt;&gt;0)*(PptoSty[Division]&lt;&gt;"")*(PptoSty[Division]&lt;&gt;"X")*(PptoSty[Project]=$B126)*(PptoSty[Vrs]=$D126)*(PptoSty[PiRow]=_xlfn.TEXTAFTER($H126,":"))*(PptoSty[PiColumn]=Q$54),0)),SUM(IF((INDIRECT($B$3)=$B126)*(INDIRECT($C$3)=$D126)*((INDIRECT($E$3)="TOTS")+(INDIRECT($E$3)=$E126)),INDIRECT(Q$3)))),_xlpm.y,SUM(_xlfn.CHOOSECOLS(_xlfn._xlws.FILTER(F_RT14[],(F_RT14[PrjId]=$B126)*(F_RT14[Vrs]=$D126)*(_xlfn.TEXTAFTER(F_RT14[ActGrp],":")=_xlfn.TEXTAFTER($H126,":")),"X"),MATCH("*"&amp;Q$54,F_RT14[#Headers],0))),IF(AND(_xlpm.x=0,_xlpm.y&lt;&gt;0),-1,IF(AND(_xlpm.x&lt;&gt;0,_xlpm.y&lt;&gt;0),_xlpm.x,IF(AND(_xlpm.x-SUM(IF((INDIRECT($B$3)=$B126)*(INDIRECT($C$3)=$D126)*((INDIRECT($E$3)="TOTS")+(INDIRECT($E$3)=$E126)),INDIRECT(Q$3)))&lt;&gt;0,_xlpm.y=0),-2,_xlpm.x)))),0))</f>
        <v>0</v>
      </c>
      <c r="R126" s="199" cm="1">
        <f t="array" aca="1" ref="R126" ca="1">IF(OR($B126="",$B126="X",$D126="",$D126="X",$E126="",$E126="X"),0,IFERROR(_xlfn.LET(_xlpm.x,SUM(SUM(_xlfn._xlws.FILTER(VALUE(PptoSty[Sign]&amp;1)*(1/PptoSty[Division]),(PptoSty[Division]&lt;&gt;0)*(PptoSty[Division]&lt;&gt;"")*(PptoSty[Division]&lt;&gt;"X")*(PptoSty[Project]=$B126)*(PptoSty[Vrs]=$D126)*(PptoSty[PiRow]=_xlfn.TEXTAFTER($H126,":"))*(PptoSty[PiColumn]=R$54),0)),SUM(IF((INDIRECT($B$3)=$B126)*(INDIRECT($C$3)=$D126)*((INDIRECT($E$3)="TOTS")+(INDIRECT($E$3)=$E126)),INDIRECT(R$3)))),_xlpm.y,SUM(_xlfn.CHOOSECOLS(_xlfn._xlws.FILTER(F_RT14[],(F_RT14[PrjId]=$B126)*(F_RT14[Vrs]=$D126)*(_xlfn.TEXTAFTER(F_RT14[ActGrp],":")=_xlfn.TEXTAFTER($H126,":")),"X"),MATCH("*"&amp;R$54,F_RT14[#Headers],0))),IF(AND(_xlpm.x=0,_xlpm.y&lt;&gt;0),-1,IF(AND(_xlpm.x&lt;&gt;0,_xlpm.y&lt;&gt;0),_xlpm.x,IF(AND(_xlpm.x-SUM(IF((INDIRECT($B$3)=$B126)*(INDIRECT($C$3)=$D126)*((INDIRECT($E$3)="TOTS")+(INDIRECT($E$3)=$E126)),INDIRECT(R$3)))&lt;&gt;0,_xlpm.y=0),-2,_xlpm.x)))),0))</f>
        <v>0</v>
      </c>
      <c r="S126" s="199" cm="1">
        <f t="array" aca="1" ref="S126" ca="1">IF(OR($B126="",$B126="X",$D126="",$D126="X",$E126="",$E126="X"),0,IFERROR(_xlfn.LET(_xlpm.x,SUM(SUM(_xlfn._xlws.FILTER(VALUE(PptoSty[Sign]&amp;1)*(1/PptoSty[Division]),(PptoSty[Division]&lt;&gt;0)*(PptoSty[Division]&lt;&gt;"")*(PptoSty[Division]&lt;&gt;"X")*(PptoSty[Project]=$B126)*(PptoSty[Vrs]=$D126)*(PptoSty[PiRow]=_xlfn.TEXTAFTER($H126,":"))*(PptoSty[PiColumn]=S$54),0)),SUM(IF((INDIRECT($B$3)=$B126)*(INDIRECT($C$3)=$D126)*((INDIRECT($E$3)="TOTS")+(INDIRECT($E$3)=$E126)),INDIRECT(S$3)))),_xlpm.y,SUM(_xlfn.CHOOSECOLS(_xlfn._xlws.FILTER(F_RT14[],(F_RT14[PrjId]=$B126)*(F_RT14[Vrs]=$D126)*(_xlfn.TEXTAFTER(F_RT14[ActGrp],":")=_xlfn.TEXTAFTER($H126,":")),"X"),MATCH("*"&amp;S$54,F_RT14[#Headers],0))),IF(AND(_xlpm.x=0,_xlpm.y&lt;&gt;0),-1,IF(AND(_xlpm.x&lt;&gt;0,_xlpm.y&lt;&gt;0),_xlpm.x,IF(AND(_xlpm.x-SUM(IF((INDIRECT($B$3)=$B126)*(INDIRECT($C$3)=$D126)*((INDIRECT($E$3)="TOTS")+(INDIRECT($E$3)=$E126)),INDIRECT(S$3)))&lt;&gt;0,_xlpm.y=0),-2,_xlpm.x)))),0))</f>
        <v>0</v>
      </c>
      <c r="T126" s="199" cm="1">
        <f t="array" aca="1" ref="T126" ca="1">IF(OR($B126="",$B126="X",$D126="",$D126="X",$E126="",$E126="X"),0,IFERROR(_xlfn.LET(_xlpm.x,SUM(SUM(_xlfn._xlws.FILTER(VALUE(PptoSty[Sign]&amp;1)*(1/PptoSty[Division]),(PptoSty[Division]&lt;&gt;0)*(PptoSty[Division]&lt;&gt;"")*(PptoSty[Division]&lt;&gt;"X")*(PptoSty[Project]=$B126)*(PptoSty[Vrs]=$D126)*(PptoSty[PiRow]=_xlfn.TEXTAFTER($H126,":"))*(PptoSty[PiColumn]=T$54),0)),SUM(IF((INDIRECT($B$3)=$B126)*(INDIRECT($C$3)=$D126)*((INDIRECT($E$3)="TOTS")+(INDIRECT($E$3)=$E126)),INDIRECT(T$3)))),_xlpm.y,SUM(_xlfn.CHOOSECOLS(_xlfn._xlws.FILTER(F_RT14[],(F_RT14[PrjId]=$B126)*(F_RT14[Vrs]=$D126)*(_xlfn.TEXTAFTER(F_RT14[ActGrp],":")=_xlfn.TEXTAFTER($H126,":")),"X"),MATCH("*"&amp;T$54,F_RT14[#Headers],0))),IF(AND(_xlpm.x=0,_xlpm.y&lt;&gt;0),-1,IF(AND(_xlpm.x&lt;&gt;0,_xlpm.y&lt;&gt;0),_xlpm.x,IF(AND(_xlpm.x-SUM(IF((INDIRECT($B$3)=$B126)*(INDIRECT($C$3)=$D126)*((INDIRECT($E$3)="TOTS")+(INDIRECT($E$3)=$E126)),INDIRECT(T$3)))&lt;&gt;0,_xlpm.y=0),-2,_xlpm.x)))),0))</f>
        <v>0</v>
      </c>
      <c r="U126" s="199" cm="1">
        <f t="array" aca="1" ref="U126" ca="1">IF(OR($B126="",$B126="X",$D126="",$D126="X",$E126="",$E126="X"),0,IFERROR(_xlfn.LET(_xlpm.x,SUM(SUM(_xlfn._xlws.FILTER(VALUE(PptoSty[Sign]&amp;1)*(1/PptoSty[Division]),(PptoSty[Division]&lt;&gt;0)*(PptoSty[Division]&lt;&gt;"")*(PptoSty[Division]&lt;&gt;"X")*(PptoSty[Project]=$B126)*(PptoSty[Vrs]=$D126)*(PptoSty[PiRow]=_xlfn.TEXTAFTER($H126,":"))*(PptoSty[PiColumn]=U$54),0)),SUM(IF((INDIRECT($B$3)=$B126)*(INDIRECT($C$3)=$D126)*((INDIRECT($E$3)="TOTS")+(INDIRECT($E$3)=$E126)),INDIRECT(U$3)))),_xlpm.y,SUM(_xlfn.CHOOSECOLS(_xlfn._xlws.FILTER(F_RT14[],(F_RT14[PrjId]=$B126)*(F_RT14[Vrs]=$D126)*(_xlfn.TEXTAFTER(F_RT14[ActGrp],":")=_xlfn.TEXTAFTER($H126,":")),"X"),MATCH("*"&amp;U$54,F_RT14[#Headers],0))),IF(AND(_xlpm.x=0,_xlpm.y&lt;&gt;0),-1,IF(AND(_xlpm.x&lt;&gt;0,_xlpm.y&lt;&gt;0),_xlpm.x,IF(AND(_xlpm.x-SUM(IF((INDIRECT($B$3)=$B126)*(INDIRECT($C$3)=$D126)*((INDIRECT($E$3)="TOTS")+(INDIRECT($E$3)=$E126)),INDIRECT(U$3)))&lt;&gt;0,_xlpm.y=0),-2,_xlpm.x)))),0))</f>
        <v>0</v>
      </c>
      <c r="V126" s="199" cm="1">
        <f t="array" aca="1" ref="V126" ca="1">IF(OR($B126="",$B126="X",$D126="",$D126="X",$E126="",$E126="X"),0,IFERROR(_xlfn.LET(_xlpm.x,SUM(SUM(_xlfn._xlws.FILTER(VALUE(PptoSty[Sign]&amp;1)*(1/PptoSty[Division]),(PptoSty[Division]&lt;&gt;0)*(PptoSty[Division]&lt;&gt;"")*(PptoSty[Division]&lt;&gt;"X")*(PptoSty[Project]=$B126)*(PptoSty[Vrs]=$D126)*(PptoSty[PiRow]=_xlfn.TEXTAFTER($H126,":"))*(PptoSty[PiColumn]=V$54),0)),SUM(IF((INDIRECT($B$3)=$B126)*(INDIRECT($C$3)=$D126)*((INDIRECT($E$3)="TOTS")+(INDIRECT($E$3)=$E126)),INDIRECT(V$3)))),_xlpm.y,SUM(_xlfn.CHOOSECOLS(_xlfn._xlws.FILTER(F_RT14[],(F_RT14[PrjId]=$B126)*(F_RT14[Vrs]=$D126)*(_xlfn.TEXTAFTER(F_RT14[ActGrp],":")=_xlfn.TEXTAFTER($H126,":")),"X"),MATCH("*"&amp;V$54,F_RT14[#Headers],0))),IF(AND(_xlpm.x=0,_xlpm.y&lt;&gt;0),-1,IF(AND(_xlpm.x&lt;&gt;0,_xlpm.y&lt;&gt;0),_xlpm.x,IF(AND(_xlpm.x-SUM(IF((INDIRECT($B$3)=$B126)*(INDIRECT($C$3)=$D126)*((INDIRECT($E$3)="TOTS")+(INDIRECT($E$3)=$E126)),INDIRECT(V$3)))&lt;&gt;0,_xlpm.y=0),-2,_xlpm.x)))),0))</f>
        <v>0</v>
      </c>
      <c r="W126" s="199" cm="1">
        <f t="array" aca="1" ref="W126" ca="1">IF(OR($B126="",$B126="X",$D126="",$D126="X",$E126="",$E126="X"),0,IFERROR(_xlfn.LET(_xlpm.x,SUM(SUM(_xlfn._xlws.FILTER(VALUE(PptoSty[Sign]&amp;1)*(1/PptoSty[Division]),(PptoSty[Division]&lt;&gt;0)*(PptoSty[Division]&lt;&gt;"")*(PptoSty[Division]&lt;&gt;"X")*(PptoSty[Project]=$B126)*(PptoSty[Vrs]=$D126)*(PptoSty[PiRow]=_xlfn.TEXTAFTER($H126,":"))*(PptoSty[PiColumn]=W$54),0)),SUM(IF((INDIRECT($B$3)=$B126)*(INDIRECT($C$3)=$D126)*((INDIRECT($E$3)="TOTS")+(INDIRECT($E$3)=$E126)),INDIRECT(W$3)))),_xlpm.y,SUM(_xlfn.CHOOSECOLS(_xlfn._xlws.FILTER(F_RT14[],(F_RT14[PrjId]=$B126)*(F_RT14[Vrs]=$D126)*(_xlfn.TEXTAFTER(F_RT14[ActGrp],":")=_xlfn.TEXTAFTER($H126,":")),"X"),MATCH("*"&amp;W$54,F_RT14[#Headers],0))),IF(AND(_xlpm.x=0,_xlpm.y&lt;&gt;0),-1,IF(AND(_xlpm.x&lt;&gt;0,_xlpm.y&lt;&gt;0),_xlpm.x,IF(AND(_xlpm.x-SUM(IF((INDIRECT($B$3)=$B126)*(INDIRECT($C$3)=$D126)*((INDIRECT($E$3)="TOTS")+(INDIRECT($E$3)=$E126)),INDIRECT(W$3)))&lt;&gt;0,_xlpm.y=0),-2,_xlpm.x)))),0))</f>
        <v>0</v>
      </c>
      <c r="X126" s="199" cm="1">
        <f t="array" aca="1" ref="X126" ca="1">IF(OR($B126="",$B126="X",$D126="",$D126="X",$E126="",$E126="X"),0,IFERROR(_xlfn.LET(_xlpm.x,SUM(SUM(_xlfn._xlws.FILTER(VALUE(PptoSty[Sign]&amp;1)*(1/PptoSty[Division]),(PptoSty[Division]&lt;&gt;0)*(PptoSty[Division]&lt;&gt;"")*(PptoSty[Division]&lt;&gt;"X")*(PptoSty[Project]=$B126)*(PptoSty[Vrs]=$D126)*(PptoSty[PiRow]=_xlfn.TEXTAFTER($H126,":"))*(PptoSty[PiColumn]=X$54),0)),SUM(IF((INDIRECT($B$3)=$B126)*(INDIRECT($C$3)=$D126)*((INDIRECT($E$3)="TOTS")+(INDIRECT($E$3)=$E126)),INDIRECT(X$3)))),_xlpm.y,SUM(_xlfn.CHOOSECOLS(_xlfn._xlws.FILTER(F_RT14[],(F_RT14[PrjId]=$B126)*(F_RT14[Vrs]=$D126)*(_xlfn.TEXTAFTER(F_RT14[ActGrp],":")=_xlfn.TEXTAFTER($H126,":")),"X"),MATCH("*"&amp;X$54,F_RT14[#Headers],0))),IF(AND(_xlpm.x=0,_xlpm.y&lt;&gt;0),-1,IF(AND(_xlpm.x&lt;&gt;0,_xlpm.y&lt;&gt;0),_xlpm.x,IF(AND(_xlpm.x-SUM(IF((INDIRECT($B$3)=$B126)*(INDIRECT($C$3)=$D126)*((INDIRECT($E$3)="TOTS")+(INDIRECT($E$3)=$E126)),INDIRECT(X$3)))&lt;&gt;0,_xlpm.y=0),-2,_xlpm.x)))),0))</f>
        <v>0</v>
      </c>
      <c r="Y126" s="199" cm="1">
        <f t="array" aca="1" ref="Y126" ca="1">IF(OR($B126="",$B126="X",$D126="",$D126="X",$E126="",$E126="X"),0,IFERROR(_xlfn.LET(_xlpm.x,SUM(SUM(_xlfn._xlws.FILTER(VALUE(PptoSty[Sign]&amp;1)*(1/PptoSty[Division]),(PptoSty[Division]&lt;&gt;0)*(PptoSty[Division]&lt;&gt;"")*(PptoSty[Division]&lt;&gt;"X")*(PptoSty[Project]=$B126)*(PptoSty[Vrs]=$D126)*(PptoSty[PiRow]=_xlfn.TEXTAFTER($H126,":"))*(PptoSty[PiColumn]=Y$54),0)),SUM(IF((INDIRECT($B$3)=$B126)*(INDIRECT($C$3)=$D126)*((INDIRECT($E$3)="TOTS")+(INDIRECT($E$3)=$E126)),INDIRECT(Y$3)))),_xlpm.y,SUM(_xlfn.CHOOSECOLS(_xlfn._xlws.FILTER(F_RT14[],(F_RT14[PrjId]=$B126)*(F_RT14[Vrs]=$D126)*(_xlfn.TEXTAFTER(F_RT14[ActGrp],":")=_xlfn.TEXTAFTER($H126,":")),"X"),MATCH("*"&amp;Y$54,F_RT14[#Headers],0))),IF(AND(_xlpm.x=0,_xlpm.y&lt;&gt;0),-1,IF(AND(_xlpm.x&lt;&gt;0,_xlpm.y&lt;&gt;0),_xlpm.x,IF(AND(_xlpm.x-SUM(IF((INDIRECT($B$3)=$B126)*(INDIRECT($C$3)=$D126)*((INDIRECT($E$3)="TOTS")+(INDIRECT($E$3)=$E126)),INDIRECT(Y$3)))&lt;&gt;0,_xlpm.y=0),-2,_xlpm.x)))),0))</f>
        <v>0</v>
      </c>
      <c r="Z126" s="198" t="str">
        <f t="shared" ca="1" si="3"/>
        <v>Fback!B126:Y126</v>
      </c>
    </row>
    <row r="127" spans="2:26" ht="21" customHeight="1" outlineLevel="1">
      <c r="B127" s="128" t="str">
        <v>31200</v>
      </c>
      <c r="C127" s="128" t="str">
        <v>Sp</v>
      </c>
      <c r="D127" s="128">
        <v>15</v>
      </c>
      <c r="E127" s="128" t="str">
        <v>CELL</v>
      </c>
      <c r="F127" s="139" t="str">
        <v>SERRA</v>
      </c>
      <c r="G127" s="139" t="str">
        <v>CurPpto</v>
      </c>
      <c r="H127" s="139" t="str">
        <v>A002:TRANSPORTE LINEAL PR-31200:15</v>
      </c>
      <c r="I127" s="199" cm="1">
        <f t="array" aca="1" ref="I127" ca="1">IF(OR($B127="",$B127="X",$D127="",$D127="X",$E127="",$E127="X"),0,IFERROR(_xlfn.LET(_xlpm.x,SUM(SUM(_xlfn._xlws.FILTER(VALUE(PptoSty[Sign]&amp;1)*(1/PptoSty[Division]),(PptoSty[Division]&lt;&gt;0)*(PptoSty[Division]&lt;&gt;"")*(PptoSty[Division]&lt;&gt;"X")*(PptoSty[Project]=$B127)*(PptoSty[Vrs]=$D127)*(PptoSty[PiRow]=_xlfn.TEXTAFTER($H127,":"))*(PptoSty[PiColumn]=I$54),0)),SUM(IF((INDIRECT($B$3)=$B127)*(INDIRECT($C$3)=$D127)*((INDIRECT($E$3)="TOTS")+(INDIRECT($E$3)=$E127)),INDIRECT(I$3)))),_xlpm.y,SUM(_xlfn.CHOOSECOLS(_xlfn._xlws.FILTER(F_RT14[],(F_RT14[PrjId]=$B127)*(F_RT14[Vrs]=$D127)*(_xlfn.TEXTAFTER(F_RT14[ActGrp],":")=_xlfn.TEXTAFTER($H127,":")),"X"),MATCH("*"&amp;I$54,F_RT14[#Headers],0))),IF(AND(_xlpm.x=0,_xlpm.y&lt;&gt;0),-1,IF(AND(_xlpm.x&lt;&gt;0,_xlpm.y&lt;&gt;0),_xlpm.x,IF(AND(_xlpm.x-SUM(IF((INDIRECT($B$3)=$B127)*(INDIRECT($C$3)=$D127)*((INDIRECT($E$3)="TOTS")+(INDIRECT($E$3)=$E127)),INDIRECT(I$3)))&lt;&gt;0,_xlpm.y=0),-2,_xlpm.x)))),0))</f>
        <v>0</v>
      </c>
      <c r="J127" s="199" cm="1">
        <f t="array" aca="1" ref="J127" ca="1">IF(OR($B127="",$B127="X",$D127="",$D127="X",$E127="",$E127="X"),0,IFERROR(_xlfn.LET(_xlpm.x,SUM(SUM(_xlfn._xlws.FILTER(VALUE(PptoSty[Sign]&amp;1)*(1/PptoSty[Division]),(PptoSty[Division]&lt;&gt;0)*(PptoSty[Division]&lt;&gt;"")*(PptoSty[Division]&lt;&gt;"X")*(PptoSty[Project]=$B127)*(PptoSty[Vrs]=$D127)*(PptoSty[PiRow]=_xlfn.TEXTAFTER($H127,":"))*(PptoSty[PiColumn]=J$54),0)),SUM(IF((INDIRECT($B$3)=$B127)*(INDIRECT($C$3)=$D127)*((INDIRECT($E$3)="TOTS")+(INDIRECT($E$3)=$E127)),INDIRECT(J$3)))),_xlpm.y,SUM(_xlfn.CHOOSECOLS(_xlfn._xlws.FILTER(F_RT14[],(F_RT14[PrjId]=$B127)*(F_RT14[Vrs]=$D127)*(_xlfn.TEXTAFTER(F_RT14[ActGrp],":")=_xlfn.TEXTAFTER($H127,":")),"X"),MATCH("*"&amp;J$54,F_RT14[#Headers],0))),IF(AND(_xlpm.x=0,_xlpm.y&lt;&gt;0),-1,IF(AND(_xlpm.x&lt;&gt;0,_xlpm.y&lt;&gt;0),_xlpm.x,IF(AND(_xlpm.x-SUM(IF((INDIRECT($B$3)=$B127)*(INDIRECT($C$3)=$D127)*((INDIRECT($E$3)="TOTS")+(INDIRECT($E$3)=$E127)),INDIRECT(J$3)))&lt;&gt;0,_xlpm.y=0),-2,_xlpm.x)))),0))</f>
        <v>0</v>
      </c>
      <c r="K127" s="199" cm="1">
        <f t="array" aca="1" ref="K127" ca="1">IF(OR($B127="",$B127="X",$D127="",$D127="X",$E127="",$E127="X"),0,IFERROR(_xlfn.LET(_xlpm.x,SUM(SUM(_xlfn._xlws.FILTER(VALUE(PptoSty[Sign]&amp;1)*(1/PptoSty[Division]),(PptoSty[Division]&lt;&gt;0)*(PptoSty[Division]&lt;&gt;"")*(PptoSty[Division]&lt;&gt;"X")*(PptoSty[Project]=$B127)*(PptoSty[Vrs]=$D127)*(PptoSty[PiRow]=_xlfn.TEXTAFTER($H127,":"))*(PptoSty[PiColumn]=K$54),0)),SUM(IF((INDIRECT($B$3)=$B127)*(INDIRECT($C$3)=$D127)*((INDIRECT($E$3)="TOTS")+(INDIRECT($E$3)=$E127)),INDIRECT(K$3)))),_xlpm.y,SUM(_xlfn.CHOOSECOLS(_xlfn._xlws.FILTER(F_RT14[],(F_RT14[PrjId]=$B127)*(F_RT14[Vrs]=$D127)*(_xlfn.TEXTAFTER(F_RT14[ActGrp],":")=_xlfn.TEXTAFTER($H127,":")),"X"),MATCH("*"&amp;K$54,F_RT14[#Headers],0))),IF(AND(_xlpm.x=0,_xlpm.y&lt;&gt;0),-1,IF(AND(_xlpm.x&lt;&gt;0,_xlpm.y&lt;&gt;0),_xlpm.x,IF(AND(_xlpm.x-SUM(IF((INDIRECT($B$3)=$B127)*(INDIRECT($C$3)=$D127)*((INDIRECT($E$3)="TOTS")+(INDIRECT($E$3)=$E127)),INDIRECT(K$3)))&lt;&gt;0,_xlpm.y=0),-2,_xlpm.x)))),0))</f>
        <v>0</v>
      </c>
      <c r="L127" s="199" cm="1">
        <f t="array" aca="1" ref="L127" ca="1">IF(OR($B127="",$B127="X",$D127="",$D127="X",$E127="",$E127="X"),0,IFERROR(_xlfn.LET(_xlpm.x,SUM(SUM(_xlfn._xlws.FILTER(VALUE(PptoSty[Sign]&amp;1)*(1/PptoSty[Division]),(PptoSty[Division]&lt;&gt;0)*(PptoSty[Division]&lt;&gt;"")*(PptoSty[Division]&lt;&gt;"X")*(PptoSty[Project]=$B127)*(PptoSty[Vrs]=$D127)*(PptoSty[PiRow]=_xlfn.TEXTAFTER($H127,":"))*(PptoSty[PiColumn]=L$54),0)),SUM(IF((INDIRECT($B$3)=$B127)*(INDIRECT($C$3)=$D127)*((INDIRECT($E$3)="TOTS")+(INDIRECT($E$3)=$E127)),INDIRECT(L$3)))),_xlpm.y,SUM(_xlfn.CHOOSECOLS(_xlfn._xlws.FILTER(F_RT14[],(F_RT14[PrjId]=$B127)*(F_RT14[Vrs]=$D127)*(_xlfn.TEXTAFTER(F_RT14[ActGrp],":")=_xlfn.TEXTAFTER($H127,":")),"X"),MATCH("*"&amp;L$54,F_RT14[#Headers],0))),IF(AND(_xlpm.x=0,_xlpm.y&lt;&gt;0),-1,IF(AND(_xlpm.x&lt;&gt;0,_xlpm.y&lt;&gt;0),_xlpm.x,IF(AND(_xlpm.x-SUM(IF((INDIRECT($B$3)=$B127)*(INDIRECT($C$3)=$D127)*((INDIRECT($E$3)="TOTS")+(INDIRECT($E$3)=$E127)),INDIRECT(L$3)))&lt;&gt;0,_xlpm.y=0),-2,_xlpm.x)))),0))</f>
        <v>0</v>
      </c>
      <c r="M127" s="199" cm="1">
        <f t="array" aca="1" ref="M127" ca="1">IF(OR($B127="",$B127="X",$D127="",$D127="X",$E127="",$E127="X"),0,IFERROR(_xlfn.LET(_xlpm.x,SUM(SUM(_xlfn._xlws.FILTER(VALUE(PptoSty[Sign]&amp;1)*(1/PptoSty[Division]),(PptoSty[Division]&lt;&gt;0)*(PptoSty[Division]&lt;&gt;"")*(PptoSty[Division]&lt;&gt;"X")*(PptoSty[Project]=$B127)*(PptoSty[Vrs]=$D127)*(PptoSty[PiRow]=_xlfn.TEXTAFTER($H127,":"))*(PptoSty[PiColumn]=M$54),0)),SUM(IF((INDIRECT($B$3)=$B127)*(INDIRECT($C$3)=$D127)*((INDIRECT($E$3)="TOTS")+(INDIRECT($E$3)=$E127)),INDIRECT(M$3)))),_xlpm.y,SUM(_xlfn.CHOOSECOLS(_xlfn._xlws.FILTER(F_RT14[],(F_RT14[PrjId]=$B127)*(F_RT14[Vrs]=$D127)*(_xlfn.TEXTAFTER(F_RT14[ActGrp],":")=_xlfn.TEXTAFTER($H127,":")),"X"),MATCH("*"&amp;M$54,F_RT14[#Headers],0))),IF(AND(_xlpm.x=0,_xlpm.y&lt;&gt;0),-1,IF(AND(_xlpm.x&lt;&gt;0,_xlpm.y&lt;&gt;0),_xlpm.x,IF(AND(_xlpm.x-SUM(IF((INDIRECT($B$3)=$B127)*(INDIRECT($C$3)=$D127)*((INDIRECT($E$3)="TOTS")+(INDIRECT($E$3)=$E127)),INDIRECT(M$3)))&lt;&gt;0,_xlpm.y=0),-2,_xlpm.x)))),0))</f>
        <v>0</v>
      </c>
      <c r="N127" s="199" cm="1">
        <f t="array" aca="1" ref="N127" ca="1">IF(OR($B127="",$B127="X",$D127="",$D127="X",$E127="",$E127="X"),0,IFERROR(_xlfn.LET(_xlpm.x,SUM(SUM(_xlfn._xlws.FILTER(VALUE(PptoSty[Sign]&amp;1)*(1/PptoSty[Division]),(PptoSty[Division]&lt;&gt;0)*(PptoSty[Division]&lt;&gt;"")*(PptoSty[Division]&lt;&gt;"X")*(PptoSty[Project]=$B127)*(PptoSty[Vrs]=$D127)*(PptoSty[PiRow]=_xlfn.TEXTAFTER($H127,":"))*(PptoSty[PiColumn]=N$54),0)),SUM(IF((INDIRECT($B$3)=$B127)*(INDIRECT($C$3)=$D127)*((INDIRECT($E$3)="TOTS")+(INDIRECT($E$3)=$E127)),INDIRECT(N$3)))),_xlpm.y,SUM(_xlfn.CHOOSECOLS(_xlfn._xlws.FILTER(F_RT14[],(F_RT14[PrjId]=$B127)*(F_RT14[Vrs]=$D127)*(_xlfn.TEXTAFTER(F_RT14[ActGrp],":")=_xlfn.TEXTAFTER($H127,":")),"X"),MATCH("*"&amp;N$54,F_RT14[#Headers],0))),IF(AND(_xlpm.x=0,_xlpm.y&lt;&gt;0),-1,IF(AND(_xlpm.x&lt;&gt;0,_xlpm.y&lt;&gt;0),_xlpm.x,IF(AND(_xlpm.x-SUM(IF((INDIRECT($B$3)=$B127)*(INDIRECT($C$3)=$D127)*((INDIRECT($E$3)="TOTS")+(INDIRECT($E$3)=$E127)),INDIRECT(N$3)))&lt;&gt;0,_xlpm.y=0),-2,_xlpm.x)))),0))</f>
        <v>0</v>
      </c>
      <c r="O127" s="199" cm="1">
        <f t="array" aca="1" ref="O127" ca="1">IF(OR($B127="",$B127="X",$D127="",$D127="X",$E127="",$E127="X"),0,IFERROR(_xlfn.LET(_xlpm.x,SUM(SUM(_xlfn._xlws.FILTER(VALUE(PptoSty[Sign]&amp;1)*(1/PptoSty[Division]),(PptoSty[Division]&lt;&gt;0)*(PptoSty[Division]&lt;&gt;"")*(PptoSty[Division]&lt;&gt;"X")*(PptoSty[Project]=$B127)*(PptoSty[Vrs]=$D127)*(PptoSty[PiRow]=_xlfn.TEXTAFTER($H127,":"))*(PptoSty[PiColumn]=O$54),0)),SUM(IF((INDIRECT($B$3)=$B127)*(INDIRECT($C$3)=$D127)*((INDIRECT($E$3)="TOTS")+(INDIRECT($E$3)=$E127)),INDIRECT(O$3)))),_xlpm.y,SUM(_xlfn.CHOOSECOLS(_xlfn._xlws.FILTER(F_RT14[],(F_RT14[PrjId]=$B127)*(F_RT14[Vrs]=$D127)*(_xlfn.TEXTAFTER(F_RT14[ActGrp],":")=_xlfn.TEXTAFTER($H127,":")),"X"),MATCH("*"&amp;O$54,F_RT14[#Headers],0))),IF(AND(_xlpm.x=0,_xlpm.y&lt;&gt;0),-1,IF(AND(_xlpm.x&lt;&gt;0,_xlpm.y&lt;&gt;0),_xlpm.x,IF(AND(_xlpm.x-SUM(IF((INDIRECT($B$3)=$B127)*(INDIRECT($C$3)=$D127)*((INDIRECT($E$3)="TOTS")+(INDIRECT($E$3)=$E127)),INDIRECT(O$3)))&lt;&gt;0,_xlpm.y=0),-2,_xlpm.x)))),0))</f>
        <v>0</v>
      </c>
      <c r="P127" s="199" cm="1">
        <f t="array" aca="1" ref="P127" ca="1">IF(OR($B127="",$B127="X",$D127="",$D127="X",$E127="",$E127="X"),0,IFERROR(_xlfn.LET(_xlpm.x,SUM(SUM(_xlfn._xlws.FILTER(VALUE(PptoSty[Sign]&amp;1)*(1/PptoSty[Division]),(PptoSty[Division]&lt;&gt;0)*(PptoSty[Division]&lt;&gt;"")*(PptoSty[Division]&lt;&gt;"X")*(PptoSty[Project]=$B127)*(PptoSty[Vrs]=$D127)*(PptoSty[PiRow]=_xlfn.TEXTAFTER($H127,":"))*(PptoSty[PiColumn]=P$54),0)),SUM(IF((INDIRECT($B$3)=$B127)*(INDIRECT($C$3)=$D127)*((INDIRECT($E$3)="TOTS")+(INDIRECT($E$3)=$E127)),INDIRECT(P$3)))),_xlpm.y,SUM(_xlfn.CHOOSECOLS(_xlfn._xlws.FILTER(F_RT14[],(F_RT14[PrjId]=$B127)*(F_RT14[Vrs]=$D127)*(_xlfn.TEXTAFTER(F_RT14[ActGrp],":")=_xlfn.TEXTAFTER($H127,":")),"X"),MATCH("*"&amp;P$54,F_RT14[#Headers],0))),IF(AND(_xlpm.x=0,_xlpm.y&lt;&gt;0),-1,IF(AND(_xlpm.x&lt;&gt;0,_xlpm.y&lt;&gt;0),_xlpm.x,IF(AND(_xlpm.x-SUM(IF((INDIRECT($B$3)=$B127)*(INDIRECT($C$3)=$D127)*((INDIRECT($E$3)="TOTS")+(INDIRECT($E$3)=$E127)),INDIRECT(P$3)))&lt;&gt;0,_xlpm.y=0),-2,_xlpm.x)))),0))</f>
        <v>0</v>
      </c>
      <c r="Q127" s="199" cm="1">
        <f t="array" aca="1" ref="Q127" ca="1">IF(OR($B127="",$B127="X",$D127="",$D127="X",$E127="",$E127="X"),0,IFERROR(_xlfn.LET(_xlpm.x,SUM(SUM(_xlfn._xlws.FILTER(VALUE(PptoSty[Sign]&amp;1)*(1/PptoSty[Division]),(PptoSty[Division]&lt;&gt;0)*(PptoSty[Division]&lt;&gt;"")*(PptoSty[Division]&lt;&gt;"X")*(PptoSty[Project]=$B127)*(PptoSty[Vrs]=$D127)*(PptoSty[PiRow]=_xlfn.TEXTAFTER($H127,":"))*(PptoSty[PiColumn]=Q$54),0)),SUM(IF((INDIRECT($B$3)=$B127)*(INDIRECT($C$3)=$D127)*((INDIRECT($E$3)="TOTS")+(INDIRECT($E$3)=$E127)),INDIRECT(Q$3)))),_xlpm.y,SUM(_xlfn.CHOOSECOLS(_xlfn._xlws.FILTER(F_RT14[],(F_RT14[PrjId]=$B127)*(F_RT14[Vrs]=$D127)*(_xlfn.TEXTAFTER(F_RT14[ActGrp],":")=_xlfn.TEXTAFTER($H127,":")),"X"),MATCH("*"&amp;Q$54,F_RT14[#Headers],0))),IF(AND(_xlpm.x=0,_xlpm.y&lt;&gt;0),-1,IF(AND(_xlpm.x&lt;&gt;0,_xlpm.y&lt;&gt;0),_xlpm.x,IF(AND(_xlpm.x-SUM(IF((INDIRECT($B$3)=$B127)*(INDIRECT($C$3)=$D127)*((INDIRECT($E$3)="TOTS")+(INDIRECT($E$3)=$E127)),INDIRECT(Q$3)))&lt;&gt;0,_xlpm.y=0),-2,_xlpm.x)))),0))</f>
        <v>0</v>
      </c>
      <c r="R127" s="199" cm="1">
        <f t="array" aca="1" ref="R127" ca="1">IF(OR($B127="",$B127="X",$D127="",$D127="X",$E127="",$E127="X"),0,IFERROR(_xlfn.LET(_xlpm.x,SUM(SUM(_xlfn._xlws.FILTER(VALUE(PptoSty[Sign]&amp;1)*(1/PptoSty[Division]),(PptoSty[Division]&lt;&gt;0)*(PptoSty[Division]&lt;&gt;"")*(PptoSty[Division]&lt;&gt;"X")*(PptoSty[Project]=$B127)*(PptoSty[Vrs]=$D127)*(PptoSty[PiRow]=_xlfn.TEXTAFTER($H127,":"))*(PptoSty[PiColumn]=R$54),0)),SUM(IF((INDIRECT($B$3)=$B127)*(INDIRECT($C$3)=$D127)*((INDIRECT($E$3)="TOTS")+(INDIRECT($E$3)=$E127)),INDIRECT(R$3)))),_xlpm.y,SUM(_xlfn.CHOOSECOLS(_xlfn._xlws.FILTER(F_RT14[],(F_RT14[PrjId]=$B127)*(F_RT14[Vrs]=$D127)*(_xlfn.TEXTAFTER(F_RT14[ActGrp],":")=_xlfn.TEXTAFTER($H127,":")),"X"),MATCH("*"&amp;R$54,F_RT14[#Headers],0))),IF(AND(_xlpm.x=0,_xlpm.y&lt;&gt;0),-1,IF(AND(_xlpm.x&lt;&gt;0,_xlpm.y&lt;&gt;0),_xlpm.x,IF(AND(_xlpm.x-SUM(IF((INDIRECT($B$3)=$B127)*(INDIRECT($C$3)=$D127)*((INDIRECT($E$3)="TOTS")+(INDIRECT($E$3)=$E127)),INDIRECT(R$3)))&lt;&gt;0,_xlpm.y=0),-2,_xlpm.x)))),0))</f>
        <v>0</v>
      </c>
      <c r="S127" s="199" cm="1">
        <f t="array" aca="1" ref="S127" ca="1">IF(OR($B127="",$B127="X",$D127="",$D127="X",$E127="",$E127="X"),0,IFERROR(_xlfn.LET(_xlpm.x,SUM(SUM(_xlfn._xlws.FILTER(VALUE(PptoSty[Sign]&amp;1)*(1/PptoSty[Division]),(PptoSty[Division]&lt;&gt;0)*(PptoSty[Division]&lt;&gt;"")*(PptoSty[Division]&lt;&gt;"X")*(PptoSty[Project]=$B127)*(PptoSty[Vrs]=$D127)*(PptoSty[PiRow]=_xlfn.TEXTAFTER($H127,":"))*(PptoSty[PiColumn]=S$54),0)),SUM(IF((INDIRECT($B$3)=$B127)*(INDIRECT($C$3)=$D127)*((INDIRECT($E$3)="TOTS")+(INDIRECT($E$3)=$E127)),INDIRECT(S$3)))),_xlpm.y,SUM(_xlfn.CHOOSECOLS(_xlfn._xlws.FILTER(F_RT14[],(F_RT14[PrjId]=$B127)*(F_RT14[Vrs]=$D127)*(_xlfn.TEXTAFTER(F_RT14[ActGrp],":")=_xlfn.TEXTAFTER($H127,":")),"X"),MATCH("*"&amp;S$54,F_RT14[#Headers],0))),IF(AND(_xlpm.x=0,_xlpm.y&lt;&gt;0),-1,IF(AND(_xlpm.x&lt;&gt;0,_xlpm.y&lt;&gt;0),_xlpm.x,IF(AND(_xlpm.x-SUM(IF((INDIRECT($B$3)=$B127)*(INDIRECT($C$3)=$D127)*((INDIRECT($E$3)="TOTS")+(INDIRECT($E$3)=$E127)),INDIRECT(S$3)))&lt;&gt;0,_xlpm.y=0),-2,_xlpm.x)))),0))</f>
        <v>0</v>
      </c>
      <c r="T127" s="199" cm="1">
        <f t="array" aca="1" ref="T127" ca="1">IF(OR($B127="",$B127="X",$D127="",$D127="X",$E127="",$E127="X"),0,IFERROR(_xlfn.LET(_xlpm.x,SUM(SUM(_xlfn._xlws.FILTER(VALUE(PptoSty[Sign]&amp;1)*(1/PptoSty[Division]),(PptoSty[Division]&lt;&gt;0)*(PptoSty[Division]&lt;&gt;"")*(PptoSty[Division]&lt;&gt;"X")*(PptoSty[Project]=$B127)*(PptoSty[Vrs]=$D127)*(PptoSty[PiRow]=_xlfn.TEXTAFTER($H127,":"))*(PptoSty[PiColumn]=T$54),0)),SUM(IF((INDIRECT($B$3)=$B127)*(INDIRECT($C$3)=$D127)*((INDIRECT($E$3)="TOTS")+(INDIRECT($E$3)=$E127)),INDIRECT(T$3)))),_xlpm.y,SUM(_xlfn.CHOOSECOLS(_xlfn._xlws.FILTER(F_RT14[],(F_RT14[PrjId]=$B127)*(F_RT14[Vrs]=$D127)*(_xlfn.TEXTAFTER(F_RT14[ActGrp],":")=_xlfn.TEXTAFTER($H127,":")),"X"),MATCH("*"&amp;T$54,F_RT14[#Headers],0))),IF(AND(_xlpm.x=0,_xlpm.y&lt;&gt;0),-1,IF(AND(_xlpm.x&lt;&gt;0,_xlpm.y&lt;&gt;0),_xlpm.x,IF(AND(_xlpm.x-SUM(IF((INDIRECT($B$3)=$B127)*(INDIRECT($C$3)=$D127)*((INDIRECT($E$3)="TOTS")+(INDIRECT($E$3)=$E127)),INDIRECT(T$3)))&lt;&gt;0,_xlpm.y=0),-2,_xlpm.x)))),0))</f>
        <v>0</v>
      </c>
      <c r="U127" s="199" cm="1">
        <f t="array" aca="1" ref="U127" ca="1">IF(OR($B127="",$B127="X",$D127="",$D127="X",$E127="",$E127="X"),0,IFERROR(_xlfn.LET(_xlpm.x,SUM(SUM(_xlfn._xlws.FILTER(VALUE(PptoSty[Sign]&amp;1)*(1/PptoSty[Division]),(PptoSty[Division]&lt;&gt;0)*(PptoSty[Division]&lt;&gt;"")*(PptoSty[Division]&lt;&gt;"X")*(PptoSty[Project]=$B127)*(PptoSty[Vrs]=$D127)*(PptoSty[PiRow]=_xlfn.TEXTAFTER($H127,":"))*(PptoSty[PiColumn]=U$54),0)),SUM(IF((INDIRECT($B$3)=$B127)*(INDIRECT($C$3)=$D127)*((INDIRECT($E$3)="TOTS")+(INDIRECT($E$3)=$E127)),INDIRECT(U$3)))),_xlpm.y,SUM(_xlfn.CHOOSECOLS(_xlfn._xlws.FILTER(F_RT14[],(F_RT14[PrjId]=$B127)*(F_RT14[Vrs]=$D127)*(_xlfn.TEXTAFTER(F_RT14[ActGrp],":")=_xlfn.TEXTAFTER($H127,":")),"X"),MATCH("*"&amp;U$54,F_RT14[#Headers],0))),IF(AND(_xlpm.x=0,_xlpm.y&lt;&gt;0),-1,IF(AND(_xlpm.x&lt;&gt;0,_xlpm.y&lt;&gt;0),_xlpm.x,IF(AND(_xlpm.x-SUM(IF((INDIRECT($B$3)=$B127)*(INDIRECT($C$3)=$D127)*((INDIRECT($E$3)="TOTS")+(INDIRECT($E$3)=$E127)),INDIRECT(U$3)))&lt;&gt;0,_xlpm.y=0),-2,_xlpm.x)))),0))</f>
        <v>0</v>
      </c>
      <c r="V127" s="199" cm="1">
        <f t="array" aca="1" ref="V127" ca="1">IF(OR($B127="",$B127="X",$D127="",$D127="X",$E127="",$E127="X"),0,IFERROR(_xlfn.LET(_xlpm.x,SUM(SUM(_xlfn._xlws.FILTER(VALUE(PptoSty[Sign]&amp;1)*(1/PptoSty[Division]),(PptoSty[Division]&lt;&gt;0)*(PptoSty[Division]&lt;&gt;"")*(PptoSty[Division]&lt;&gt;"X")*(PptoSty[Project]=$B127)*(PptoSty[Vrs]=$D127)*(PptoSty[PiRow]=_xlfn.TEXTAFTER($H127,":"))*(PptoSty[PiColumn]=V$54),0)),SUM(IF((INDIRECT($B$3)=$B127)*(INDIRECT($C$3)=$D127)*((INDIRECT($E$3)="TOTS")+(INDIRECT($E$3)=$E127)),INDIRECT(V$3)))),_xlpm.y,SUM(_xlfn.CHOOSECOLS(_xlfn._xlws.FILTER(F_RT14[],(F_RT14[PrjId]=$B127)*(F_RT14[Vrs]=$D127)*(_xlfn.TEXTAFTER(F_RT14[ActGrp],":")=_xlfn.TEXTAFTER($H127,":")),"X"),MATCH("*"&amp;V$54,F_RT14[#Headers],0))),IF(AND(_xlpm.x=0,_xlpm.y&lt;&gt;0),-1,IF(AND(_xlpm.x&lt;&gt;0,_xlpm.y&lt;&gt;0),_xlpm.x,IF(AND(_xlpm.x-SUM(IF((INDIRECT($B$3)=$B127)*(INDIRECT($C$3)=$D127)*((INDIRECT($E$3)="TOTS")+(INDIRECT($E$3)=$E127)),INDIRECT(V$3)))&lt;&gt;0,_xlpm.y=0),-2,_xlpm.x)))),0))</f>
        <v>-1</v>
      </c>
      <c r="W127" s="199" cm="1">
        <f t="array" aca="1" ref="W127" ca="1">IF(OR($B127="",$B127="X",$D127="",$D127="X",$E127="",$E127="X"),0,IFERROR(_xlfn.LET(_xlpm.x,SUM(SUM(_xlfn._xlws.FILTER(VALUE(PptoSty[Sign]&amp;1)*(1/PptoSty[Division]),(PptoSty[Division]&lt;&gt;0)*(PptoSty[Division]&lt;&gt;"")*(PptoSty[Division]&lt;&gt;"X")*(PptoSty[Project]=$B127)*(PptoSty[Vrs]=$D127)*(PptoSty[PiRow]=_xlfn.TEXTAFTER($H127,":"))*(PptoSty[PiColumn]=W$54),0)),SUM(IF((INDIRECT($B$3)=$B127)*(INDIRECT($C$3)=$D127)*((INDIRECT($E$3)="TOTS")+(INDIRECT($E$3)=$E127)),INDIRECT(W$3)))),_xlpm.y,SUM(_xlfn.CHOOSECOLS(_xlfn._xlws.FILTER(F_RT14[],(F_RT14[PrjId]=$B127)*(F_RT14[Vrs]=$D127)*(_xlfn.TEXTAFTER(F_RT14[ActGrp],":")=_xlfn.TEXTAFTER($H127,":")),"X"),MATCH("*"&amp;W$54,F_RT14[#Headers],0))),IF(AND(_xlpm.x=0,_xlpm.y&lt;&gt;0),-1,IF(AND(_xlpm.x&lt;&gt;0,_xlpm.y&lt;&gt;0),_xlpm.x,IF(AND(_xlpm.x-SUM(IF((INDIRECT($B$3)=$B127)*(INDIRECT($C$3)=$D127)*((INDIRECT($E$3)="TOTS")+(INDIRECT($E$3)=$E127)),INDIRECT(W$3)))&lt;&gt;0,_xlpm.y=0),-2,_xlpm.x)))),0))</f>
        <v>0</v>
      </c>
      <c r="X127" s="199" cm="1">
        <f t="array" aca="1" ref="X127" ca="1">IF(OR($B127="",$B127="X",$D127="",$D127="X",$E127="",$E127="X"),0,IFERROR(_xlfn.LET(_xlpm.x,SUM(SUM(_xlfn._xlws.FILTER(VALUE(PptoSty[Sign]&amp;1)*(1/PptoSty[Division]),(PptoSty[Division]&lt;&gt;0)*(PptoSty[Division]&lt;&gt;"")*(PptoSty[Division]&lt;&gt;"X")*(PptoSty[Project]=$B127)*(PptoSty[Vrs]=$D127)*(PptoSty[PiRow]=_xlfn.TEXTAFTER($H127,":"))*(PptoSty[PiColumn]=X$54),0)),SUM(IF((INDIRECT($B$3)=$B127)*(INDIRECT($C$3)=$D127)*((INDIRECT($E$3)="TOTS")+(INDIRECT($E$3)=$E127)),INDIRECT(X$3)))),_xlpm.y,SUM(_xlfn.CHOOSECOLS(_xlfn._xlws.FILTER(F_RT14[],(F_RT14[PrjId]=$B127)*(F_RT14[Vrs]=$D127)*(_xlfn.TEXTAFTER(F_RT14[ActGrp],":")=_xlfn.TEXTAFTER($H127,":")),"X"),MATCH("*"&amp;X$54,F_RT14[#Headers],0))),IF(AND(_xlpm.x=0,_xlpm.y&lt;&gt;0),-1,IF(AND(_xlpm.x&lt;&gt;0,_xlpm.y&lt;&gt;0),_xlpm.x,IF(AND(_xlpm.x-SUM(IF((INDIRECT($B$3)=$B127)*(INDIRECT($C$3)=$D127)*((INDIRECT($E$3)="TOTS")+(INDIRECT($E$3)=$E127)),INDIRECT(X$3)))&lt;&gt;0,_xlpm.y=0),-2,_xlpm.x)))),0))</f>
        <v>0</v>
      </c>
      <c r="Y127" s="199" cm="1">
        <f t="array" aca="1" ref="Y127" ca="1">IF(OR($B127="",$B127="X",$D127="",$D127="X",$E127="",$E127="X"),0,IFERROR(_xlfn.LET(_xlpm.x,SUM(SUM(_xlfn._xlws.FILTER(VALUE(PptoSty[Sign]&amp;1)*(1/PptoSty[Division]),(PptoSty[Division]&lt;&gt;0)*(PptoSty[Division]&lt;&gt;"")*(PptoSty[Division]&lt;&gt;"X")*(PptoSty[Project]=$B127)*(PptoSty[Vrs]=$D127)*(PptoSty[PiRow]=_xlfn.TEXTAFTER($H127,":"))*(PptoSty[PiColumn]=Y$54),0)),SUM(IF((INDIRECT($B$3)=$B127)*(INDIRECT($C$3)=$D127)*((INDIRECT($E$3)="TOTS")+(INDIRECT($E$3)=$E127)),INDIRECT(Y$3)))),_xlpm.y,SUM(_xlfn.CHOOSECOLS(_xlfn._xlws.FILTER(F_RT14[],(F_RT14[PrjId]=$B127)*(F_RT14[Vrs]=$D127)*(_xlfn.TEXTAFTER(F_RT14[ActGrp],":")=_xlfn.TEXTAFTER($H127,":")),"X"),MATCH("*"&amp;Y$54,F_RT14[#Headers],0))),IF(AND(_xlpm.x=0,_xlpm.y&lt;&gt;0),-1,IF(AND(_xlpm.x&lt;&gt;0,_xlpm.y&lt;&gt;0),_xlpm.x,IF(AND(_xlpm.x-SUM(IF((INDIRECT($B$3)=$B127)*(INDIRECT($C$3)=$D127)*((INDIRECT($E$3)="TOTS")+(INDIRECT($E$3)=$E127)),INDIRECT(Y$3)))&lt;&gt;0,_xlpm.y=0),-2,_xlpm.x)))),0))</f>
        <v>0</v>
      </c>
      <c r="Z127" s="198" t="str">
        <f t="shared" ca="1" si="3"/>
        <v>Fback!B127:Y127</v>
      </c>
    </row>
    <row r="128" spans="2:26" ht="21" customHeight="1" outlineLevel="1">
      <c r="B128" s="128" t="str">
        <v>31199</v>
      </c>
      <c r="C128" s="128" t="str">
        <v>Sp</v>
      </c>
      <c r="D128" s="128">
        <v>0</v>
      </c>
      <c r="E128" s="128" t="str">
        <v>TOOL</v>
      </c>
      <c r="F128" s="139" t="str">
        <v>SERRA</v>
      </c>
      <c r="G128" s="139" t="str">
        <v>CurPpto</v>
      </c>
      <c r="H128" s="139" t="str">
        <v>A002:FABRICACIÓN PALETAS PARA CONVEYORS</v>
      </c>
      <c r="I128" s="199" cm="1">
        <f t="array" aca="1" ref="I128" ca="1">IF(OR($B128="",$B128="X",$D128="",$D128="X",$E128="",$E128="X"),0,IFERROR(_xlfn.LET(_xlpm.x,SUM(SUM(_xlfn._xlws.FILTER(VALUE(PptoSty[Sign]&amp;1)*(1/PptoSty[Division]),(PptoSty[Division]&lt;&gt;0)*(PptoSty[Division]&lt;&gt;"")*(PptoSty[Division]&lt;&gt;"X")*(PptoSty[Project]=$B128)*(PptoSty[Vrs]=$D128)*(PptoSty[PiRow]=_xlfn.TEXTAFTER($H128,":"))*(PptoSty[PiColumn]=I$54),0)),SUM(IF((INDIRECT($B$3)=$B128)*(INDIRECT($C$3)=$D128)*((INDIRECT($E$3)="TOTS")+(INDIRECT($E$3)=$E128)),INDIRECT(I$3)))),_xlpm.y,SUM(_xlfn.CHOOSECOLS(_xlfn._xlws.FILTER(F_RT14[],(F_RT14[PrjId]=$B128)*(F_RT14[Vrs]=$D128)*(_xlfn.TEXTAFTER(F_RT14[ActGrp],":")=_xlfn.TEXTAFTER($H128,":")),"X"),MATCH("*"&amp;I$54,F_RT14[#Headers],0))),IF(AND(_xlpm.x=0,_xlpm.y&lt;&gt;0),-1,IF(AND(_xlpm.x&lt;&gt;0,_xlpm.y&lt;&gt;0),_xlpm.x,IF(AND(_xlpm.x-SUM(IF((INDIRECT($B$3)=$B128)*(INDIRECT($C$3)=$D128)*((INDIRECT($E$3)="TOTS")+(INDIRECT($E$3)=$E128)),INDIRECT(I$3)))&lt;&gt;0,_xlpm.y=0),-2,_xlpm.x)))),0))</f>
        <v>0</v>
      </c>
      <c r="J128" s="199" cm="1">
        <f t="array" aca="1" ref="J128" ca="1">IF(OR($B128="",$B128="X",$D128="",$D128="X",$E128="",$E128="X"),0,IFERROR(_xlfn.LET(_xlpm.x,SUM(SUM(_xlfn._xlws.FILTER(VALUE(PptoSty[Sign]&amp;1)*(1/PptoSty[Division]),(PptoSty[Division]&lt;&gt;0)*(PptoSty[Division]&lt;&gt;"")*(PptoSty[Division]&lt;&gt;"X")*(PptoSty[Project]=$B128)*(PptoSty[Vrs]=$D128)*(PptoSty[PiRow]=_xlfn.TEXTAFTER($H128,":"))*(PptoSty[PiColumn]=J$54),0)),SUM(IF((INDIRECT($B$3)=$B128)*(INDIRECT($C$3)=$D128)*((INDIRECT($E$3)="TOTS")+(INDIRECT($E$3)=$E128)),INDIRECT(J$3)))),_xlpm.y,SUM(_xlfn.CHOOSECOLS(_xlfn._xlws.FILTER(F_RT14[],(F_RT14[PrjId]=$B128)*(F_RT14[Vrs]=$D128)*(_xlfn.TEXTAFTER(F_RT14[ActGrp],":")=_xlfn.TEXTAFTER($H128,":")),"X"),MATCH("*"&amp;J$54,F_RT14[#Headers],0))),IF(AND(_xlpm.x=0,_xlpm.y&lt;&gt;0),-1,IF(AND(_xlpm.x&lt;&gt;0,_xlpm.y&lt;&gt;0),_xlpm.x,IF(AND(_xlpm.x-SUM(IF((INDIRECT($B$3)=$B128)*(INDIRECT($C$3)=$D128)*((INDIRECT($E$3)="TOTS")+(INDIRECT($E$3)=$E128)),INDIRECT(J$3)))&lt;&gt;0,_xlpm.y=0),-2,_xlpm.x)))),0))</f>
        <v>0</v>
      </c>
      <c r="K128" s="199" cm="1">
        <f t="array" aca="1" ref="K128" ca="1">IF(OR($B128="",$B128="X",$D128="",$D128="X",$E128="",$E128="X"),0,IFERROR(_xlfn.LET(_xlpm.x,SUM(SUM(_xlfn._xlws.FILTER(VALUE(PptoSty[Sign]&amp;1)*(1/PptoSty[Division]),(PptoSty[Division]&lt;&gt;0)*(PptoSty[Division]&lt;&gt;"")*(PptoSty[Division]&lt;&gt;"X")*(PptoSty[Project]=$B128)*(PptoSty[Vrs]=$D128)*(PptoSty[PiRow]=_xlfn.TEXTAFTER($H128,":"))*(PptoSty[PiColumn]=K$54),0)),SUM(IF((INDIRECT($B$3)=$B128)*(INDIRECT($C$3)=$D128)*((INDIRECT($E$3)="TOTS")+(INDIRECT($E$3)=$E128)),INDIRECT(K$3)))),_xlpm.y,SUM(_xlfn.CHOOSECOLS(_xlfn._xlws.FILTER(F_RT14[],(F_RT14[PrjId]=$B128)*(F_RT14[Vrs]=$D128)*(_xlfn.TEXTAFTER(F_RT14[ActGrp],":")=_xlfn.TEXTAFTER($H128,":")),"X"),MATCH("*"&amp;K$54,F_RT14[#Headers],0))),IF(AND(_xlpm.x=0,_xlpm.y&lt;&gt;0),-1,IF(AND(_xlpm.x&lt;&gt;0,_xlpm.y&lt;&gt;0),_xlpm.x,IF(AND(_xlpm.x-SUM(IF((INDIRECT($B$3)=$B128)*(INDIRECT($C$3)=$D128)*((INDIRECT($E$3)="TOTS")+(INDIRECT($E$3)=$E128)),INDIRECT(K$3)))&lt;&gt;0,_xlpm.y=0),-2,_xlpm.x)))),0))</f>
        <v>0</v>
      </c>
      <c r="L128" s="199" cm="1">
        <f t="array" aca="1" ref="L128" ca="1">IF(OR($B128="",$B128="X",$D128="",$D128="X",$E128="",$E128="X"),0,IFERROR(_xlfn.LET(_xlpm.x,SUM(SUM(_xlfn._xlws.FILTER(VALUE(PptoSty[Sign]&amp;1)*(1/PptoSty[Division]),(PptoSty[Division]&lt;&gt;0)*(PptoSty[Division]&lt;&gt;"")*(PptoSty[Division]&lt;&gt;"X")*(PptoSty[Project]=$B128)*(PptoSty[Vrs]=$D128)*(PptoSty[PiRow]=_xlfn.TEXTAFTER($H128,":"))*(PptoSty[PiColumn]=L$54),0)),SUM(IF((INDIRECT($B$3)=$B128)*(INDIRECT($C$3)=$D128)*((INDIRECT($E$3)="TOTS")+(INDIRECT($E$3)=$E128)),INDIRECT(L$3)))),_xlpm.y,SUM(_xlfn.CHOOSECOLS(_xlfn._xlws.FILTER(F_RT14[],(F_RT14[PrjId]=$B128)*(F_RT14[Vrs]=$D128)*(_xlfn.TEXTAFTER(F_RT14[ActGrp],":")=_xlfn.TEXTAFTER($H128,":")),"X"),MATCH("*"&amp;L$54,F_RT14[#Headers],0))),IF(AND(_xlpm.x=0,_xlpm.y&lt;&gt;0),-1,IF(AND(_xlpm.x&lt;&gt;0,_xlpm.y&lt;&gt;0),_xlpm.x,IF(AND(_xlpm.x-SUM(IF((INDIRECT($B$3)=$B128)*(INDIRECT($C$3)=$D128)*((INDIRECT($E$3)="TOTS")+(INDIRECT($E$3)=$E128)),INDIRECT(L$3)))&lt;&gt;0,_xlpm.y=0),-2,_xlpm.x)))),0))</f>
        <v>0</v>
      </c>
      <c r="M128" s="199" cm="1">
        <f t="array" aca="1" ref="M128" ca="1">IF(OR($B128="",$B128="X",$D128="",$D128="X",$E128="",$E128="X"),0,IFERROR(_xlfn.LET(_xlpm.x,SUM(SUM(_xlfn._xlws.FILTER(VALUE(PptoSty[Sign]&amp;1)*(1/PptoSty[Division]),(PptoSty[Division]&lt;&gt;0)*(PptoSty[Division]&lt;&gt;"")*(PptoSty[Division]&lt;&gt;"X")*(PptoSty[Project]=$B128)*(PptoSty[Vrs]=$D128)*(PptoSty[PiRow]=_xlfn.TEXTAFTER($H128,":"))*(PptoSty[PiColumn]=M$54),0)),SUM(IF((INDIRECT($B$3)=$B128)*(INDIRECT($C$3)=$D128)*((INDIRECT($E$3)="TOTS")+(INDIRECT($E$3)=$E128)),INDIRECT(M$3)))),_xlpm.y,SUM(_xlfn.CHOOSECOLS(_xlfn._xlws.FILTER(F_RT14[],(F_RT14[PrjId]=$B128)*(F_RT14[Vrs]=$D128)*(_xlfn.TEXTAFTER(F_RT14[ActGrp],":")=_xlfn.TEXTAFTER($H128,":")),"X"),MATCH("*"&amp;M$54,F_RT14[#Headers],0))),IF(AND(_xlpm.x=0,_xlpm.y&lt;&gt;0),-1,IF(AND(_xlpm.x&lt;&gt;0,_xlpm.y&lt;&gt;0),_xlpm.x,IF(AND(_xlpm.x-SUM(IF((INDIRECT($B$3)=$B128)*(INDIRECT($C$3)=$D128)*((INDIRECT($E$3)="TOTS")+(INDIRECT($E$3)=$E128)),INDIRECT(M$3)))&lt;&gt;0,_xlpm.y=0),-2,_xlpm.x)))),0))</f>
        <v>0</v>
      </c>
      <c r="N128" s="199" cm="1">
        <f t="array" aca="1" ref="N128" ca="1">IF(OR($B128="",$B128="X",$D128="",$D128="X",$E128="",$E128="X"),0,IFERROR(_xlfn.LET(_xlpm.x,SUM(SUM(_xlfn._xlws.FILTER(VALUE(PptoSty[Sign]&amp;1)*(1/PptoSty[Division]),(PptoSty[Division]&lt;&gt;0)*(PptoSty[Division]&lt;&gt;"")*(PptoSty[Division]&lt;&gt;"X")*(PptoSty[Project]=$B128)*(PptoSty[Vrs]=$D128)*(PptoSty[PiRow]=_xlfn.TEXTAFTER($H128,":"))*(PptoSty[PiColumn]=N$54),0)),SUM(IF((INDIRECT($B$3)=$B128)*(INDIRECT($C$3)=$D128)*((INDIRECT($E$3)="TOTS")+(INDIRECT($E$3)=$E128)),INDIRECT(N$3)))),_xlpm.y,SUM(_xlfn.CHOOSECOLS(_xlfn._xlws.FILTER(F_RT14[],(F_RT14[PrjId]=$B128)*(F_RT14[Vrs]=$D128)*(_xlfn.TEXTAFTER(F_RT14[ActGrp],":")=_xlfn.TEXTAFTER($H128,":")),"X"),MATCH("*"&amp;N$54,F_RT14[#Headers],0))),IF(AND(_xlpm.x=0,_xlpm.y&lt;&gt;0),-1,IF(AND(_xlpm.x&lt;&gt;0,_xlpm.y&lt;&gt;0),_xlpm.x,IF(AND(_xlpm.x-SUM(IF((INDIRECT($B$3)=$B128)*(INDIRECT($C$3)=$D128)*((INDIRECT($E$3)="TOTS")+(INDIRECT($E$3)=$E128)),INDIRECT(N$3)))&lt;&gt;0,_xlpm.y=0),-2,_xlpm.x)))),0))</f>
        <v>0</v>
      </c>
      <c r="O128" s="199" cm="1">
        <f t="array" aca="1" ref="O128" ca="1">IF(OR($B128="",$B128="X",$D128="",$D128="X",$E128="",$E128="X"),0,IFERROR(_xlfn.LET(_xlpm.x,SUM(SUM(_xlfn._xlws.FILTER(VALUE(PptoSty[Sign]&amp;1)*(1/PptoSty[Division]),(PptoSty[Division]&lt;&gt;0)*(PptoSty[Division]&lt;&gt;"")*(PptoSty[Division]&lt;&gt;"X")*(PptoSty[Project]=$B128)*(PptoSty[Vrs]=$D128)*(PptoSty[PiRow]=_xlfn.TEXTAFTER($H128,":"))*(PptoSty[PiColumn]=O$54),0)),SUM(IF((INDIRECT($B$3)=$B128)*(INDIRECT($C$3)=$D128)*((INDIRECT($E$3)="TOTS")+(INDIRECT($E$3)=$E128)),INDIRECT(O$3)))),_xlpm.y,SUM(_xlfn.CHOOSECOLS(_xlfn._xlws.FILTER(F_RT14[],(F_RT14[PrjId]=$B128)*(F_RT14[Vrs]=$D128)*(_xlfn.TEXTAFTER(F_RT14[ActGrp],":")=_xlfn.TEXTAFTER($H128,":")),"X"),MATCH("*"&amp;O$54,F_RT14[#Headers],0))),IF(AND(_xlpm.x=0,_xlpm.y&lt;&gt;0),-1,IF(AND(_xlpm.x&lt;&gt;0,_xlpm.y&lt;&gt;0),_xlpm.x,IF(AND(_xlpm.x-SUM(IF((INDIRECT($B$3)=$B128)*(INDIRECT($C$3)=$D128)*((INDIRECT($E$3)="TOTS")+(INDIRECT($E$3)=$E128)),INDIRECT(O$3)))&lt;&gt;0,_xlpm.y=0),-2,_xlpm.x)))),0))</f>
        <v>0</v>
      </c>
      <c r="P128" s="199" cm="1">
        <f t="array" aca="1" ref="P128" ca="1">IF(OR($B128="",$B128="X",$D128="",$D128="X",$E128="",$E128="X"),0,IFERROR(_xlfn.LET(_xlpm.x,SUM(SUM(_xlfn._xlws.FILTER(VALUE(PptoSty[Sign]&amp;1)*(1/PptoSty[Division]),(PptoSty[Division]&lt;&gt;0)*(PptoSty[Division]&lt;&gt;"")*(PptoSty[Division]&lt;&gt;"X")*(PptoSty[Project]=$B128)*(PptoSty[Vrs]=$D128)*(PptoSty[PiRow]=_xlfn.TEXTAFTER($H128,":"))*(PptoSty[PiColumn]=P$54),0)),SUM(IF((INDIRECT($B$3)=$B128)*(INDIRECT($C$3)=$D128)*((INDIRECT($E$3)="TOTS")+(INDIRECT($E$3)=$E128)),INDIRECT(P$3)))),_xlpm.y,SUM(_xlfn.CHOOSECOLS(_xlfn._xlws.FILTER(F_RT14[],(F_RT14[PrjId]=$B128)*(F_RT14[Vrs]=$D128)*(_xlfn.TEXTAFTER(F_RT14[ActGrp],":")=_xlfn.TEXTAFTER($H128,":")),"X"),MATCH("*"&amp;P$54,F_RT14[#Headers],0))),IF(AND(_xlpm.x=0,_xlpm.y&lt;&gt;0),-1,IF(AND(_xlpm.x&lt;&gt;0,_xlpm.y&lt;&gt;0),_xlpm.x,IF(AND(_xlpm.x-SUM(IF((INDIRECT($B$3)=$B128)*(INDIRECT($C$3)=$D128)*((INDIRECT($E$3)="TOTS")+(INDIRECT($E$3)=$E128)),INDIRECT(P$3)))&lt;&gt;0,_xlpm.y=0),-2,_xlpm.x)))),0))</f>
        <v>0</v>
      </c>
      <c r="Q128" s="199" cm="1">
        <f t="array" aca="1" ref="Q128" ca="1">IF(OR($B128="",$B128="X",$D128="",$D128="X",$E128="",$E128="X"),0,IFERROR(_xlfn.LET(_xlpm.x,SUM(SUM(_xlfn._xlws.FILTER(VALUE(PptoSty[Sign]&amp;1)*(1/PptoSty[Division]),(PptoSty[Division]&lt;&gt;0)*(PptoSty[Division]&lt;&gt;"")*(PptoSty[Division]&lt;&gt;"X")*(PptoSty[Project]=$B128)*(PptoSty[Vrs]=$D128)*(PptoSty[PiRow]=_xlfn.TEXTAFTER($H128,":"))*(PptoSty[PiColumn]=Q$54),0)),SUM(IF((INDIRECT($B$3)=$B128)*(INDIRECT($C$3)=$D128)*((INDIRECT($E$3)="TOTS")+(INDIRECT($E$3)=$E128)),INDIRECT(Q$3)))),_xlpm.y,SUM(_xlfn.CHOOSECOLS(_xlfn._xlws.FILTER(F_RT14[],(F_RT14[PrjId]=$B128)*(F_RT14[Vrs]=$D128)*(_xlfn.TEXTAFTER(F_RT14[ActGrp],":")=_xlfn.TEXTAFTER($H128,":")),"X"),MATCH("*"&amp;Q$54,F_RT14[#Headers],0))),IF(AND(_xlpm.x=0,_xlpm.y&lt;&gt;0),-1,IF(AND(_xlpm.x&lt;&gt;0,_xlpm.y&lt;&gt;0),_xlpm.x,IF(AND(_xlpm.x-SUM(IF((INDIRECT($B$3)=$B128)*(INDIRECT($C$3)=$D128)*((INDIRECT($E$3)="TOTS")+(INDIRECT($E$3)=$E128)),INDIRECT(Q$3)))&lt;&gt;0,_xlpm.y=0),-2,_xlpm.x)))),0))</f>
        <v>0</v>
      </c>
      <c r="R128" s="199" cm="1">
        <f t="array" aca="1" ref="R128" ca="1">IF(OR($B128="",$B128="X",$D128="",$D128="X",$E128="",$E128="X"),0,IFERROR(_xlfn.LET(_xlpm.x,SUM(SUM(_xlfn._xlws.FILTER(VALUE(PptoSty[Sign]&amp;1)*(1/PptoSty[Division]),(PptoSty[Division]&lt;&gt;0)*(PptoSty[Division]&lt;&gt;"")*(PptoSty[Division]&lt;&gt;"X")*(PptoSty[Project]=$B128)*(PptoSty[Vrs]=$D128)*(PptoSty[PiRow]=_xlfn.TEXTAFTER($H128,":"))*(PptoSty[PiColumn]=R$54),0)),SUM(IF((INDIRECT($B$3)=$B128)*(INDIRECT($C$3)=$D128)*((INDIRECT($E$3)="TOTS")+(INDIRECT($E$3)=$E128)),INDIRECT(R$3)))),_xlpm.y,SUM(_xlfn.CHOOSECOLS(_xlfn._xlws.FILTER(F_RT14[],(F_RT14[PrjId]=$B128)*(F_RT14[Vrs]=$D128)*(_xlfn.TEXTAFTER(F_RT14[ActGrp],":")=_xlfn.TEXTAFTER($H128,":")),"X"),MATCH("*"&amp;R$54,F_RT14[#Headers],0))),IF(AND(_xlpm.x=0,_xlpm.y&lt;&gt;0),-1,IF(AND(_xlpm.x&lt;&gt;0,_xlpm.y&lt;&gt;0),_xlpm.x,IF(AND(_xlpm.x-SUM(IF((INDIRECT($B$3)=$B128)*(INDIRECT($C$3)=$D128)*((INDIRECT($E$3)="TOTS")+(INDIRECT($E$3)=$E128)),INDIRECT(R$3)))&lt;&gt;0,_xlpm.y=0),-2,_xlpm.x)))),0))</f>
        <v>0</v>
      </c>
      <c r="S128" s="199" cm="1">
        <f t="array" aca="1" ref="S128" ca="1">IF(OR($B128="",$B128="X",$D128="",$D128="X",$E128="",$E128="X"),0,IFERROR(_xlfn.LET(_xlpm.x,SUM(SUM(_xlfn._xlws.FILTER(VALUE(PptoSty[Sign]&amp;1)*(1/PptoSty[Division]),(PptoSty[Division]&lt;&gt;0)*(PptoSty[Division]&lt;&gt;"")*(PptoSty[Division]&lt;&gt;"X")*(PptoSty[Project]=$B128)*(PptoSty[Vrs]=$D128)*(PptoSty[PiRow]=_xlfn.TEXTAFTER($H128,":"))*(PptoSty[PiColumn]=S$54),0)),SUM(IF((INDIRECT($B$3)=$B128)*(INDIRECT($C$3)=$D128)*((INDIRECT($E$3)="TOTS")+(INDIRECT($E$3)=$E128)),INDIRECT(S$3)))),_xlpm.y,SUM(_xlfn.CHOOSECOLS(_xlfn._xlws.FILTER(F_RT14[],(F_RT14[PrjId]=$B128)*(F_RT14[Vrs]=$D128)*(_xlfn.TEXTAFTER(F_RT14[ActGrp],":")=_xlfn.TEXTAFTER($H128,":")),"X"),MATCH("*"&amp;S$54,F_RT14[#Headers],0))),IF(AND(_xlpm.x=0,_xlpm.y&lt;&gt;0),-1,IF(AND(_xlpm.x&lt;&gt;0,_xlpm.y&lt;&gt;0),_xlpm.x,IF(AND(_xlpm.x-SUM(IF((INDIRECT($B$3)=$B128)*(INDIRECT($C$3)=$D128)*((INDIRECT($E$3)="TOTS")+(INDIRECT($E$3)=$E128)),INDIRECT(S$3)))&lt;&gt;0,_xlpm.y=0),-2,_xlpm.x)))),0))</f>
        <v>0</v>
      </c>
      <c r="T128" s="199" cm="1">
        <f t="array" aca="1" ref="T128" ca="1">IF(OR($B128="",$B128="X",$D128="",$D128="X",$E128="",$E128="X"),0,IFERROR(_xlfn.LET(_xlpm.x,SUM(SUM(_xlfn._xlws.FILTER(VALUE(PptoSty[Sign]&amp;1)*(1/PptoSty[Division]),(PptoSty[Division]&lt;&gt;0)*(PptoSty[Division]&lt;&gt;"")*(PptoSty[Division]&lt;&gt;"X")*(PptoSty[Project]=$B128)*(PptoSty[Vrs]=$D128)*(PptoSty[PiRow]=_xlfn.TEXTAFTER($H128,":"))*(PptoSty[PiColumn]=T$54),0)),SUM(IF((INDIRECT($B$3)=$B128)*(INDIRECT($C$3)=$D128)*((INDIRECT($E$3)="TOTS")+(INDIRECT($E$3)=$E128)),INDIRECT(T$3)))),_xlpm.y,SUM(_xlfn.CHOOSECOLS(_xlfn._xlws.FILTER(F_RT14[],(F_RT14[PrjId]=$B128)*(F_RT14[Vrs]=$D128)*(_xlfn.TEXTAFTER(F_RT14[ActGrp],":")=_xlfn.TEXTAFTER($H128,":")),"X"),MATCH("*"&amp;T$54,F_RT14[#Headers],0))),IF(AND(_xlpm.x=0,_xlpm.y&lt;&gt;0),-1,IF(AND(_xlpm.x&lt;&gt;0,_xlpm.y&lt;&gt;0),_xlpm.x,IF(AND(_xlpm.x-SUM(IF((INDIRECT($B$3)=$B128)*(INDIRECT($C$3)=$D128)*((INDIRECT($E$3)="TOTS")+(INDIRECT($E$3)=$E128)),INDIRECT(T$3)))&lt;&gt;0,_xlpm.y=0),-2,_xlpm.x)))),0))</f>
        <v>0</v>
      </c>
      <c r="U128" s="199" cm="1">
        <f t="array" aca="1" ref="U128" ca="1">IF(OR($B128="",$B128="X",$D128="",$D128="X",$E128="",$E128="X"),0,IFERROR(_xlfn.LET(_xlpm.x,SUM(SUM(_xlfn._xlws.FILTER(VALUE(PptoSty[Sign]&amp;1)*(1/PptoSty[Division]),(PptoSty[Division]&lt;&gt;0)*(PptoSty[Division]&lt;&gt;"")*(PptoSty[Division]&lt;&gt;"X")*(PptoSty[Project]=$B128)*(PptoSty[Vrs]=$D128)*(PptoSty[PiRow]=_xlfn.TEXTAFTER($H128,":"))*(PptoSty[PiColumn]=U$54),0)),SUM(IF((INDIRECT($B$3)=$B128)*(INDIRECT($C$3)=$D128)*((INDIRECT($E$3)="TOTS")+(INDIRECT($E$3)=$E128)),INDIRECT(U$3)))),_xlpm.y,SUM(_xlfn.CHOOSECOLS(_xlfn._xlws.FILTER(F_RT14[],(F_RT14[PrjId]=$B128)*(F_RT14[Vrs]=$D128)*(_xlfn.TEXTAFTER(F_RT14[ActGrp],":")=_xlfn.TEXTAFTER($H128,":")),"X"),MATCH("*"&amp;U$54,F_RT14[#Headers],0))),IF(AND(_xlpm.x=0,_xlpm.y&lt;&gt;0),-1,IF(AND(_xlpm.x&lt;&gt;0,_xlpm.y&lt;&gt;0),_xlpm.x,IF(AND(_xlpm.x-SUM(IF((INDIRECT($B$3)=$B128)*(INDIRECT($C$3)=$D128)*((INDIRECT($E$3)="TOTS")+(INDIRECT($E$3)=$E128)),INDIRECT(U$3)))&lt;&gt;0,_xlpm.y=0),-2,_xlpm.x)))),0))</f>
        <v>0</v>
      </c>
      <c r="V128" s="199" cm="1">
        <f t="array" aca="1" ref="V128" ca="1">IF(OR($B128="",$B128="X",$D128="",$D128="X",$E128="",$E128="X"),0,IFERROR(_xlfn.LET(_xlpm.x,SUM(SUM(_xlfn._xlws.FILTER(VALUE(PptoSty[Sign]&amp;1)*(1/PptoSty[Division]),(PptoSty[Division]&lt;&gt;0)*(PptoSty[Division]&lt;&gt;"")*(PptoSty[Division]&lt;&gt;"X")*(PptoSty[Project]=$B128)*(PptoSty[Vrs]=$D128)*(PptoSty[PiRow]=_xlfn.TEXTAFTER($H128,":"))*(PptoSty[PiColumn]=V$54),0)),SUM(IF((INDIRECT($B$3)=$B128)*(INDIRECT($C$3)=$D128)*((INDIRECT($E$3)="TOTS")+(INDIRECT($E$3)=$E128)),INDIRECT(V$3)))),_xlpm.y,SUM(_xlfn.CHOOSECOLS(_xlfn._xlws.FILTER(F_RT14[],(F_RT14[PrjId]=$B128)*(F_RT14[Vrs]=$D128)*(_xlfn.TEXTAFTER(F_RT14[ActGrp],":")=_xlfn.TEXTAFTER($H128,":")),"X"),MATCH("*"&amp;V$54,F_RT14[#Headers],0))),IF(AND(_xlpm.x=0,_xlpm.y&lt;&gt;0),-1,IF(AND(_xlpm.x&lt;&gt;0,_xlpm.y&lt;&gt;0),_xlpm.x,IF(AND(_xlpm.x-SUM(IF((INDIRECT($B$3)=$B128)*(INDIRECT($C$3)=$D128)*((INDIRECT($E$3)="TOTS")+(INDIRECT($E$3)=$E128)),INDIRECT(V$3)))&lt;&gt;0,_xlpm.y=0),-2,_xlpm.x)))),0))</f>
        <v>-1</v>
      </c>
      <c r="W128" s="199" cm="1">
        <f t="array" aca="1" ref="W128" ca="1">IF(OR($B128="",$B128="X",$D128="",$D128="X",$E128="",$E128="X"),0,IFERROR(_xlfn.LET(_xlpm.x,SUM(SUM(_xlfn._xlws.FILTER(VALUE(PptoSty[Sign]&amp;1)*(1/PptoSty[Division]),(PptoSty[Division]&lt;&gt;0)*(PptoSty[Division]&lt;&gt;"")*(PptoSty[Division]&lt;&gt;"X")*(PptoSty[Project]=$B128)*(PptoSty[Vrs]=$D128)*(PptoSty[PiRow]=_xlfn.TEXTAFTER($H128,":"))*(PptoSty[PiColumn]=W$54),0)),SUM(IF((INDIRECT($B$3)=$B128)*(INDIRECT($C$3)=$D128)*((INDIRECT($E$3)="TOTS")+(INDIRECT($E$3)=$E128)),INDIRECT(W$3)))),_xlpm.y,SUM(_xlfn.CHOOSECOLS(_xlfn._xlws.FILTER(F_RT14[],(F_RT14[PrjId]=$B128)*(F_RT14[Vrs]=$D128)*(_xlfn.TEXTAFTER(F_RT14[ActGrp],":")=_xlfn.TEXTAFTER($H128,":")),"X"),MATCH("*"&amp;W$54,F_RT14[#Headers],0))),IF(AND(_xlpm.x=0,_xlpm.y&lt;&gt;0),-1,IF(AND(_xlpm.x&lt;&gt;0,_xlpm.y&lt;&gt;0),_xlpm.x,IF(AND(_xlpm.x-SUM(IF((INDIRECT($B$3)=$B128)*(INDIRECT($C$3)=$D128)*((INDIRECT($E$3)="TOTS")+(INDIRECT($E$3)=$E128)),INDIRECT(W$3)))&lt;&gt;0,_xlpm.y=0),-2,_xlpm.x)))),0))</f>
        <v>0</v>
      </c>
      <c r="X128" s="199" cm="1">
        <f t="array" aca="1" ref="X128" ca="1">IF(OR($B128="",$B128="X",$D128="",$D128="X",$E128="",$E128="X"),0,IFERROR(_xlfn.LET(_xlpm.x,SUM(SUM(_xlfn._xlws.FILTER(VALUE(PptoSty[Sign]&amp;1)*(1/PptoSty[Division]),(PptoSty[Division]&lt;&gt;0)*(PptoSty[Division]&lt;&gt;"")*(PptoSty[Division]&lt;&gt;"X")*(PptoSty[Project]=$B128)*(PptoSty[Vrs]=$D128)*(PptoSty[PiRow]=_xlfn.TEXTAFTER($H128,":"))*(PptoSty[PiColumn]=X$54),0)),SUM(IF((INDIRECT($B$3)=$B128)*(INDIRECT($C$3)=$D128)*((INDIRECT($E$3)="TOTS")+(INDIRECT($E$3)=$E128)),INDIRECT(X$3)))),_xlpm.y,SUM(_xlfn.CHOOSECOLS(_xlfn._xlws.FILTER(F_RT14[],(F_RT14[PrjId]=$B128)*(F_RT14[Vrs]=$D128)*(_xlfn.TEXTAFTER(F_RT14[ActGrp],":")=_xlfn.TEXTAFTER($H128,":")),"X"),MATCH("*"&amp;X$54,F_RT14[#Headers],0))),IF(AND(_xlpm.x=0,_xlpm.y&lt;&gt;0),-1,IF(AND(_xlpm.x&lt;&gt;0,_xlpm.y&lt;&gt;0),_xlpm.x,IF(AND(_xlpm.x-SUM(IF((INDIRECT($B$3)=$B128)*(INDIRECT($C$3)=$D128)*((INDIRECT($E$3)="TOTS")+(INDIRECT($E$3)=$E128)),INDIRECT(X$3)))&lt;&gt;0,_xlpm.y=0),-2,_xlpm.x)))),0))</f>
        <v>0</v>
      </c>
      <c r="Y128" s="199" cm="1">
        <f t="array" aca="1" ref="Y128" ca="1">IF(OR($B128="",$B128="X",$D128="",$D128="X",$E128="",$E128="X"),0,IFERROR(_xlfn.LET(_xlpm.x,SUM(SUM(_xlfn._xlws.FILTER(VALUE(PptoSty[Sign]&amp;1)*(1/PptoSty[Division]),(PptoSty[Division]&lt;&gt;0)*(PptoSty[Division]&lt;&gt;"")*(PptoSty[Division]&lt;&gt;"X")*(PptoSty[Project]=$B128)*(PptoSty[Vrs]=$D128)*(PptoSty[PiRow]=_xlfn.TEXTAFTER($H128,":"))*(PptoSty[PiColumn]=Y$54),0)),SUM(IF((INDIRECT($B$3)=$B128)*(INDIRECT($C$3)=$D128)*((INDIRECT($E$3)="TOTS")+(INDIRECT($E$3)=$E128)),INDIRECT(Y$3)))),_xlpm.y,SUM(_xlfn.CHOOSECOLS(_xlfn._xlws.FILTER(F_RT14[],(F_RT14[PrjId]=$B128)*(F_RT14[Vrs]=$D128)*(_xlfn.TEXTAFTER(F_RT14[ActGrp],":")=_xlfn.TEXTAFTER($H128,":")),"X"),MATCH("*"&amp;Y$54,F_RT14[#Headers],0))),IF(AND(_xlpm.x=0,_xlpm.y&lt;&gt;0),-1,IF(AND(_xlpm.x&lt;&gt;0,_xlpm.y&lt;&gt;0),_xlpm.x,IF(AND(_xlpm.x-SUM(IF((INDIRECT($B$3)=$B128)*(INDIRECT($C$3)=$D128)*((INDIRECT($E$3)="TOTS")+(INDIRECT($E$3)=$E128)),INDIRECT(Y$3)))&lt;&gt;0,_xlpm.y=0),-2,_xlpm.x)))),0))</f>
        <v>0</v>
      </c>
      <c r="Z128" s="198" t="str">
        <f t="shared" ca="1" si="3"/>
        <v>Fback!B128:Y128</v>
      </c>
    </row>
    <row r="129" spans="2:26" ht="21" customHeight="1" outlineLevel="1">
      <c r="B129" s="128" t="str">
        <v>31200</v>
      </c>
      <c r="C129" s="128" t="str">
        <v>Sp</v>
      </c>
      <c r="D129" s="128">
        <v>15</v>
      </c>
      <c r="E129" s="128" t="str">
        <v>CELL</v>
      </c>
      <c r="F129" s="139" t="str">
        <v>SERRA</v>
      </c>
      <c r="G129" s="139" t="str">
        <v>CurPpto</v>
      </c>
      <c r="H129" s="139" t="str">
        <v>A003:TRAZABILIDAD PR-31200:15</v>
      </c>
      <c r="I129" s="199" cm="1">
        <f t="array" aca="1" ref="I129" ca="1">IF(OR($B129="",$B129="X",$D129="",$D129="X",$E129="",$E129="X"),0,IFERROR(_xlfn.LET(_xlpm.x,SUM(SUM(_xlfn._xlws.FILTER(VALUE(PptoSty[Sign]&amp;1)*(1/PptoSty[Division]),(PptoSty[Division]&lt;&gt;0)*(PptoSty[Division]&lt;&gt;"")*(PptoSty[Division]&lt;&gt;"X")*(PptoSty[Project]=$B129)*(PptoSty[Vrs]=$D129)*(PptoSty[PiRow]=_xlfn.TEXTAFTER($H129,":"))*(PptoSty[PiColumn]=I$54),0)),SUM(IF((INDIRECT($B$3)=$B129)*(INDIRECT($C$3)=$D129)*((INDIRECT($E$3)="TOTS")+(INDIRECT($E$3)=$E129)),INDIRECT(I$3)))),_xlpm.y,SUM(_xlfn.CHOOSECOLS(_xlfn._xlws.FILTER(F_RT14[],(F_RT14[PrjId]=$B129)*(F_RT14[Vrs]=$D129)*(_xlfn.TEXTAFTER(F_RT14[ActGrp],":")=_xlfn.TEXTAFTER($H129,":")),"X"),MATCH("*"&amp;I$54,F_RT14[#Headers],0))),IF(AND(_xlpm.x=0,_xlpm.y&lt;&gt;0),-1,IF(AND(_xlpm.x&lt;&gt;0,_xlpm.y&lt;&gt;0),_xlpm.x,IF(AND(_xlpm.x-SUM(IF((INDIRECT($B$3)=$B129)*(INDIRECT($C$3)=$D129)*((INDIRECT($E$3)="TOTS")+(INDIRECT($E$3)=$E129)),INDIRECT(I$3)))&lt;&gt;0,_xlpm.y=0),-2,_xlpm.x)))),0))</f>
        <v>0</v>
      </c>
      <c r="J129" s="199" cm="1">
        <f t="array" aca="1" ref="J129" ca="1">IF(OR($B129="",$B129="X",$D129="",$D129="X",$E129="",$E129="X"),0,IFERROR(_xlfn.LET(_xlpm.x,SUM(SUM(_xlfn._xlws.FILTER(VALUE(PptoSty[Sign]&amp;1)*(1/PptoSty[Division]),(PptoSty[Division]&lt;&gt;0)*(PptoSty[Division]&lt;&gt;"")*(PptoSty[Division]&lt;&gt;"X")*(PptoSty[Project]=$B129)*(PptoSty[Vrs]=$D129)*(PptoSty[PiRow]=_xlfn.TEXTAFTER($H129,":"))*(PptoSty[PiColumn]=J$54),0)),SUM(IF((INDIRECT($B$3)=$B129)*(INDIRECT($C$3)=$D129)*((INDIRECT($E$3)="TOTS")+(INDIRECT($E$3)=$E129)),INDIRECT(J$3)))),_xlpm.y,SUM(_xlfn.CHOOSECOLS(_xlfn._xlws.FILTER(F_RT14[],(F_RT14[PrjId]=$B129)*(F_RT14[Vrs]=$D129)*(_xlfn.TEXTAFTER(F_RT14[ActGrp],":")=_xlfn.TEXTAFTER($H129,":")),"X"),MATCH("*"&amp;J$54,F_RT14[#Headers],0))),IF(AND(_xlpm.x=0,_xlpm.y&lt;&gt;0),-1,IF(AND(_xlpm.x&lt;&gt;0,_xlpm.y&lt;&gt;0),_xlpm.x,IF(AND(_xlpm.x-SUM(IF((INDIRECT($B$3)=$B129)*(INDIRECT($C$3)=$D129)*((INDIRECT($E$3)="TOTS")+(INDIRECT($E$3)=$E129)),INDIRECT(J$3)))&lt;&gt;0,_xlpm.y=0),-2,_xlpm.x)))),0))</f>
        <v>0</v>
      </c>
      <c r="K129" s="199" cm="1">
        <f t="array" aca="1" ref="K129" ca="1">IF(OR($B129="",$B129="X",$D129="",$D129="X",$E129="",$E129="X"),0,IFERROR(_xlfn.LET(_xlpm.x,SUM(SUM(_xlfn._xlws.FILTER(VALUE(PptoSty[Sign]&amp;1)*(1/PptoSty[Division]),(PptoSty[Division]&lt;&gt;0)*(PptoSty[Division]&lt;&gt;"")*(PptoSty[Division]&lt;&gt;"X")*(PptoSty[Project]=$B129)*(PptoSty[Vrs]=$D129)*(PptoSty[PiRow]=_xlfn.TEXTAFTER($H129,":"))*(PptoSty[PiColumn]=K$54),0)),SUM(IF((INDIRECT($B$3)=$B129)*(INDIRECT($C$3)=$D129)*((INDIRECT($E$3)="TOTS")+(INDIRECT($E$3)=$E129)),INDIRECT(K$3)))),_xlpm.y,SUM(_xlfn.CHOOSECOLS(_xlfn._xlws.FILTER(F_RT14[],(F_RT14[PrjId]=$B129)*(F_RT14[Vrs]=$D129)*(_xlfn.TEXTAFTER(F_RT14[ActGrp],":")=_xlfn.TEXTAFTER($H129,":")),"X"),MATCH("*"&amp;K$54,F_RT14[#Headers],0))),IF(AND(_xlpm.x=0,_xlpm.y&lt;&gt;0),-1,IF(AND(_xlpm.x&lt;&gt;0,_xlpm.y&lt;&gt;0),_xlpm.x,IF(AND(_xlpm.x-SUM(IF((INDIRECT($B$3)=$B129)*(INDIRECT($C$3)=$D129)*((INDIRECT($E$3)="TOTS")+(INDIRECT($E$3)=$E129)),INDIRECT(K$3)))&lt;&gt;0,_xlpm.y=0),-2,_xlpm.x)))),0))</f>
        <v>0</v>
      </c>
      <c r="L129" s="199" cm="1">
        <f t="array" aca="1" ref="L129" ca="1">IF(OR($B129="",$B129="X",$D129="",$D129="X",$E129="",$E129="X"),0,IFERROR(_xlfn.LET(_xlpm.x,SUM(SUM(_xlfn._xlws.FILTER(VALUE(PptoSty[Sign]&amp;1)*(1/PptoSty[Division]),(PptoSty[Division]&lt;&gt;0)*(PptoSty[Division]&lt;&gt;"")*(PptoSty[Division]&lt;&gt;"X")*(PptoSty[Project]=$B129)*(PptoSty[Vrs]=$D129)*(PptoSty[PiRow]=_xlfn.TEXTAFTER($H129,":"))*(PptoSty[PiColumn]=L$54),0)),SUM(IF((INDIRECT($B$3)=$B129)*(INDIRECT($C$3)=$D129)*((INDIRECT($E$3)="TOTS")+(INDIRECT($E$3)=$E129)),INDIRECT(L$3)))),_xlpm.y,SUM(_xlfn.CHOOSECOLS(_xlfn._xlws.FILTER(F_RT14[],(F_RT14[PrjId]=$B129)*(F_RT14[Vrs]=$D129)*(_xlfn.TEXTAFTER(F_RT14[ActGrp],":")=_xlfn.TEXTAFTER($H129,":")),"X"),MATCH("*"&amp;L$54,F_RT14[#Headers],0))),IF(AND(_xlpm.x=0,_xlpm.y&lt;&gt;0),-1,IF(AND(_xlpm.x&lt;&gt;0,_xlpm.y&lt;&gt;0),_xlpm.x,IF(AND(_xlpm.x-SUM(IF((INDIRECT($B$3)=$B129)*(INDIRECT($C$3)=$D129)*((INDIRECT($E$3)="TOTS")+(INDIRECT($E$3)=$E129)),INDIRECT(L$3)))&lt;&gt;0,_xlpm.y=0),-2,_xlpm.x)))),0))</f>
        <v>0</v>
      </c>
      <c r="M129" s="199" cm="1">
        <f t="array" aca="1" ref="M129" ca="1">IF(OR($B129="",$B129="X",$D129="",$D129="X",$E129="",$E129="X"),0,IFERROR(_xlfn.LET(_xlpm.x,SUM(SUM(_xlfn._xlws.FILTER(VALUE(PptoSty[Sign]&amp;1)*(1/PptoSty[Division]),(PptoSty[Division]&lt;&gt;0)*(PptoSty[Division]&lt;&gt;"")*(PptoSty[Division]&lt;&gt;"X")*(PptoSty[Project]=$B129)*(PptoSty[Vrs]=$D129)*(PptoSty[PiRow]=_xlfn.TEXTAFTER($H129,":"))*(PptoSty[PiColumn]=M$54),0)),SUM(IF((INDIRECT($B$3)=$B129)*(INDIRECT($C$3)=$D129)*((INDIRECT($E$3)="TOTS")+(INDIRECT($E$3)=$E129)),INDIRECT(M$3)))),_xlpm.y,SUM(_xlfn.CHOOSECOLS(_xlfn._xlws.FILTER(F_RT14[],(F_RT14[PrjId]=$B129)*(F_RT14[Vrs]=$D129)*(_xlfn.TEXTAFTER(F_RT14[ActGrp],":")=_xlfn.TEXTAFTER($H129,":")),"X"),MATCH("*"&amp;M$54,F_RT14[#Headers],0))),IF(AND(_xlpm.x=0,_xlpm.y&lt;&gt;0),-1,IF(AND(_xlpm.x&lt;&gt;0,_xlpm.y&lt;&gt;0),_xlpm.x,IF(AND(_xlpm.x-SUM(IF((INDIRECT($B$3)=$B129)*(INDIRECT($C$3)=$D129)*((INDIRECT($E$3)="TOTS")+(INDIRECT($E$3)=$E129)),INDIRECT(M$3)))&lt;&gt;0,_xlpm.y=0),-2,_xlpm.x)))),0))</f>
        <v>0</v>
      </c>
      <c r="N129" s="199" cm="1">
        <f t="array" aca="1" ref="N129" ca="1">IF(OR($B129="",$B129="X",$D129="",$D129="X",$E129="",$E129="X"),0,IFERROR(_xlfn.LET(_xlpm.x,SUM(SUM(_xlfn._xlws.FILTER(VALUE(PptoSty[Sign]&amp;1)*(1/PptoSty[Division]),(PptoSty[Division]&lt;&gt;0)*(PptoSty[Division]&lt;&gt;"")*(PptoSty[Division]&lt;&gt;"X")*(PptoSty[Project]=$B129)*(PptoSty[Vrs]=$D129)*(PptoSty[PiRow]=_xlfn.TEXTAFTER($H129,":"))*(PptoSty[PiColumn]=N$54),0)),SUM(IF((INDIRECT($B$3)=$B129)*(INDIRECT($C$3)=$D129)*((INDIRECT($E$3)="TOTS")+(INDIRECT($E$3)=$E129)),INDIRECT(N$3)))),_xlpm.y,SUM(_xlfn.CHOOSECOLS(_xlfn._xlws.FILTER(F_RT14[],(F_RT14[PrjId]=$B129)*(F_RT14[Vrs]=$D129)*(_xlfn.TEXTAFTER(F_RT14[ActGrp],":")=_xlfn.TEXTAFTER($H129,":")),"X"),MATCH("*"&amp;N$54,F_RT14[#Headers],0))),IF(AND(_xlpm.x=0,_xlpm.y&lt;&gt;0),-1,IF(AND(_xlpm.x&lt;&gt;0,_xlpm.y&lt;&gt;0),_xlpm.x,IF(AND(_xlpm.x-SUM(IF((INDIRECT($B$3)=$B129)*(INDIRECT($C$3)=$D129)*((INDIRECT($E$3)="TOTS")+(INDIRECT($E$3)=$E129)),INDIRECT(N$3)))&lt;&gt;0,_xlpm.y=0),-2,_xlpm.x)))),0))</f>
        <v>0</v>
      </c>
      <c r="O129" s="199" cm="1">
        <f t="array" aca="1" ref="O129" ca="1">IF(OR($B129="",$B129="X",$D129="",$D129="X",$E129="",$E129="X"),0,IFERROR(_xlfn.LET(_xlpm.x,SUM(SUM(_xlfn._xlws.FILTER(VALUE(PptoSty[Sign]&amp;1)*(1/PptoSty[Division]),(PptoSty[Division]&lt;&gt;0)*(PptoSty[Division]&lt;&gt;"")*(PptoSty[Division]&lt;&gt;"X")*(PptoSty[Project]=$B129)*(PptoSty[Vrs]=$D129)*(PptoSty[PiRow]=_xlfn.TEXTAFTER($H129,":"))*(PptoSty[PiColumn]=O$54),0)),SUM(IF((INDIRECT($B$3)=$B129)*(INDIRECT($C$3)=$D129)*((INDIRECT($E$3)="TOTS")+(INDIRECT($E$3)=$E129)),INDIRECT(O$3)))),_xlpm.y,SUM(_xlfn.CHOOSECOLS(_xlfn._xlws.FILTER(F_RT14[],(F_RT14[PrjId]=$B129)*(F_RT14[Vrs]=$D129)*(_xlfn.TEXTAFTER(F_RT14[ActGrp],":")=_xlfn.TEXTAFTER($H129,":")),"X"),MATCH("*"&amp;O$54,F_RT14[#Headers],0))),IF(AND(_xlpm.x=0,_xlpm.y&lt;&gt;0),-1,IF(AND(_xlpm.x&lt;&gt;0,_xlpm.y&lt;&gt;0),_xlpm.x,IF(AND(_xlpm.x-SUM(IF((INDIRECT($B$3)=$B129)*(INDIRECT($C$3)=$D129)*((INDIRECT($E$3)="TOTS")+(INDIRECT($E$3)=$E129)),INDIRECT(O$3)))&lt;&gt;0,_xlpm.y=0),-2,_xlpm.x)))),0))</f>
        <v>0</v>
      </c>
      <c r="P129" s="199" cm="1">
        <f t="array" aca="1" ref="P129" ca="1">IF(OR($B129="",$B129="X",$D129="",$D129="X",$E129="",$E129="X"),0,IFERROR(_xlfn.LET(_xlpm.x,SUM(SUM(_xlfn._xlws.FILTER(VALUE(PptoSty[Sign]&amp;1)*(1/PptoSty[Division]),(PptoSty[Division]&lt;&gt;0)*(PptoSty[Division]&lt;&gt;"")*(PptoSty[Division]&lt;&gt;"X")*(PptoSty[Project]=$B129)*(PptoSty[Vrs]=$D129)*(PptoSty[PiRow]=_xlfn.TEXTAFTER($H129,":"))*(PptoSty[PiColumn]=P$54),0)),SUM(IF((INDIRECT($B$3)=$B129)*(INDIRECT($C$3)=$D129)*((INDIRECT($E$3)="TOTS")+(INDIRECT($E$3)=$E129)),INDIRECT(P$3)))),_xlpm.y,SUM(_xlfn.CHOOSECOLS(_xlfn._xlws.FILTER(F_RT14[],(F_RT14[PrjId]=$B129)*(F_RT14[Vrs]=$D129)*(_xlfn.TEXTAFTER(F_RT14[ActGrp],":")=_xlfn.TEXTAFTER($H129,":")),"X"),MATCH("*"&amp;P$54,F_RT14[#Headers],0))),IF(AND(_xlpm.x=0,_xlpm.y&lt;&gt;0),-1,IF(AND(_xlpm.x&lt;&gt;0,_xlpm.y&lt;&gt;0),_xlpm.x,IF(AND(_xlpm.x-SUM(IF((INDIRECT($B$3)=$B129)*(INDIRECT($C$3)=$D129)*((INDIRECT($E$3)="TOTS")+(INDIRECT($E$3)=$E129)),INDIRECT(P$3)))&lt;&gt;0,_xlpm.y=0),-2,_xlpm.x)))),0))</f>
        <v>0</v>
      </c>
      <c r="Q129" s="199" cm="1">
        <f t="array" aca="1" ref="Q129" ca="1">IF(OR($B129="",$B129="X",$D129="",$D129="X",$E129="",$E129="X"),0,IFERROR(_xlfn.LET(_xlpm.x,SUM(SUM(_xlfn._xlws.FILTER(VALUE(PptoSty[Sign]&amp;1)*(1/PptoSty[Division]),(PptoSty[Division]&lt;&gt;0)*(PptoSty[Division]&lt;&gt;"")*(PptoSty[Division]&lt;&gt;"X")*(PptoSty[Project]=$B129)*(PptoSty[Vrs]=$D129)*(PptoSty[PiRow]=_xlfn.TEXTAFTER($H129,":"))*(PptoSty[PiColumn]=Q$54),0)),SUM(IF((INDIRECT($B$3)=$B129)*(INDIRECT($C$3)=$D129)*((INDIRECT($E$3)="TOTS")+(INDIRECT($E$3)=$E129)),INDIRECT(Q$3)))),_xlpm.y,SUM(_xlfn.CHOOSECOLS(_xlfn._xlws.FILTER(F_RT14[],(F_RT14[PrjId]=$B129)*(F_RT14[Vrs]=$D129)*(_xlfn.TEXTAFTER(F_RT14[ActGrp],":")=_xlfn.TEXTAFTER($H129,":")),"X"),MATCH("*"&amp;Q$54,F_RT14[#Headers],0))),IF(AND(_xlpm.x=0,_xlpm.y&lt;&gt;0),-1,IF(AND(_xlpm.x&lt;&gt;0,_xlpm.y&lt;&gt;0),_xlpm.x,IF(AND(_xlpm.x-SUM(IF((INDIRECT($B$3)=$B129)*(INDIRECT($C$3)=$D129)*((INDIRECT($E$3)="TOTS")+(INDIRECT($E$3)=$E129)),INDIRECT(Q$3)))&lt;&gt;0,_xlpm.y=0),-2,_xlpm.x)))),0))</f>
        <v>0</v>
      </c>
      <c r="R129" s="199" cm="1">
        <f t="array" aca="1" ref="R129" ca="1">IF(OR($B129="",$B129="X",$D129="",$D129="X",$E129="",$E129="X"),0,IFERROR(_xlfn.LET(_xlpm.x,SUM(SUM(_xlfn._xlws.FILTER(VALUE(PptoSty[Sign]&amp;1)*(1/PptoSty[Division]),(PptoSty[Division]&lt;&gt;0)*(PptoSty[Division]&lt;&gt;"")*(PptoSty[Division]&lt;&gt;"X")*(PptoSty[Project]=$B129)*(PptoSty[Vrs]=$D129)*(PptoSty[PiRow]=_xlfn.TEXTAFTER($H129,":"))*(PptoSty[PiColumn]=R$54),0)),SUM(IF((INDIRECT($B$3)=$B129)*(INDIRECT($C$3)=$D129)*((INDIRECT($E$3)="TOTS")+(INDIRECT($E$3)=$E129)),INDIRECT(R$3)))),_xlpm.y,SUM(_xlfn.CHOOSECOLS(_xlfn._xlws.FILTER(F_RT14[],(F_RT14[PrjId]=$B129)*(F_RT14[Vrs]=$D129)*(_xlfn.TEXTAFTER(F_RT14[ActGrp],":")=_xlfn.TEXTAFTER($H129,":")),"X"),MATCH("*"&amp;R$54,F_RT14[#Headers],0))),IF(AND(_xlpm.x=0,_xlpm.y&lt;&gt;0),-1,IF(AND(_xlpm.x&lt;&gt;0,_xlpm.y&lt;&gt;0),_xlpm.x,IF(AND(_xlpm.x-SUM(IF((INDIRECT($B$3)=$B129)*(INDIRECT($C$3)=$D129)*((INDIRECT($E$3)="TOTS")+(INDIRECT($E$3)=$E129)),INDIRECT(R$3)))&lt;&gt;0,_xlpm.y=0),-2,_xlpm.x)))),0))</f>
        <v>0</v>
      </c>
      <c r="S129" s="199" cm="1">
        <f t="array" aca="1" ref="S129" ca="1">IF(OR($B129="",$B129="X",$D129="",$D129="X",$E129="",$E129="X"),0,IFERROR(_xlfn.LET(_xlpm.x,SUM(SUM(_xlfn._xlws.FILTER(VALUE(PptoSty[Sign]&amp;1)*(1/PptoSty[Division]),(PptoSty[Division]&lt;&gt;0)*(PptoSty[Division]&lt;&gt;"")*(PptoSty[Division]&lt;&gt;"X")*(PptoSty[Project]=$B129)*(PptoSty[Vrs]=$D129)*(PptoSty[PiRow]=_xlfn.TEXTAFTER($H129,":"))*(PptoSty[PiColumn]=S$54),0)),SUM(IF((INDIRECT($B$3)=$B129)*(INDIRECT($C$3)=$D129)*((INDIRECT($E$3)="TOTS")+(INDIRECT($E$3)=$E129)),INDIRECT(S$3)))),_xlpm.y,SUM(_xlfn.CHOOSECOLS(_xlfn._xlws.FILTER(F_RT14[],(F_RT14[PrjId]=$B129)*(F_RT14[Vrs]=$D129)*(_xlfn.TEXTAFTER(F_RT14[ActGrp],":")=_xlfn.TEXTAFTER($H129,":")),"X"),MATCH("*"&amp;S$54,F_RT14[#Headers],0))),IF(AND(_xlpm.x=0,_xlpm.y&lt;&gt;0),-1,IF(AND(_xlpm.x&lt;&gt;0,_xlpm.y&lt;&gt;0),_xlpm.x,IF(AND(_xlpm.x-SUM(IF((INDIRECT($B$3)=$B129)*(INDIRECT($C$3)=$D129)*((INDIRECT($E$3)="TOTS")+(INDIRECT($E$3)=$E129)),INDIRECT(S$3)))&lt;&gt;0,_xlpm.y=0),-2,_xlpm.x)))),0))</f>
        <v>0</v>
      </c>
      <c r="T129" s="199" cm="1">
        <f t="array" aca="1" ref="T129" ca="1">IF(OR($B129="",$B129="X",$D129="",$D129="X",$E129="",$E129="X"),0,IFERROR(_xlfn.LET(_xlpm.x,SUM(SUM(_xlfn._xlws.FILTER(VALUE(PptoSty[Sign]&amp;1)*(1/PptoSty[Division]),(PptoSty[Division]&lt;&gt;0)*(PptoSty[Division]&lt;&gt;"")*(PptoSty[Division]&lt;&gt;"X")*(PptoSty[Project]=$B129)*(PptoSty[Vrs]=$D129)*(PptoSty[PiRow]=_xlfn.TEXTAFTER($H129,":"))*(PptoSty[PiColumn]=T$54),0)),SUM(IF((INDIRECT($B$3)=$B129)*(INDIRECT($C$3)=$D129)*((INDIRECT($E$3)="TOTS")+(INDIRECT($E$3)=$E129)),INDIRECT(T$3)))),_xlpm.y,SUM(_xlfn.CHOOSECOLS(_xlfn._xlws.FILTER(F_RT14[],(F_RT14[PrjId]=$B129)*(F_RT14[Vrs]=$D129)*(_xlfn.TEXTAFTER(F_RT14[ActGrp],":")=_xlfn.TEXTAFTER($H129,":")),"X"),MATCH("*"&amp;T$54,F_RT14[#Headers],0))),IF(AND(_xlpm.x=0,_xlpm.y&lt;&gt;0),-1,IF(AND(_xlpm.x&lt;&gt;0,_xlpm.y&lt;&gt;0),_xlpm.x,IF(AND(_xlpm.x-SUM(IF((INDIRECT($B$3)=$B129)*(INDIRECT($C$3)=$D129)*((INDIRECT($E$3)="TOTS")+(INDIRECT($E$3)=$E129)),INDIRECT(T$3)))&lt;&gt;0,_xlpm.y=0),-2,_xlpm.x)))),0))</f>
        <v>0</v>
      </c>
      <c r="U129" s="199" cm="1">
        <f t="array" aca="1" ref="U129" ca="1">IF(OR($B129="",$B129="X",$D129="",$D129="X",$E129="",$E129="X"),0,IFERROR(_xlfn.LET(_xlpm.x,SUM(SUM(_xlfn._xlws.FILTER(VALUE(PptoSty[Sign]&amp;1)*(1/PptoSty[Division]),(PptoSty[Division]&lt;&gt;0)*(PptoSty[Division]&lt;&gt;"")*(PptoSty[Division]&lt;&gt;"X")*(PptoSty[Project]=$B129)*(PptoSty[Vrs]=$D129)*(PptoSty[PiRow]=_xlfn.TEXTAFTER($H129,":"))*(PptoSty[PiColumn]=U$54),0)),SUM(IF((INDIRECT($B$3)=$B129)*(INDIRECT($C$3)=$D129)*((INDIRECT($E$3)="TOTS")+(INDIRECT($E$3)=$E129)),INDIRECT(U$3)))),_xlpm.y,SUM(_xlfn.CHOOSECOLS(_xlfn._xlws.FILTER(F_RT14[],(F_RT14[PrjId]=$B129)*(F_RT14[Vrs]=$D129)*(_xlfn.TEXTAFTER(F_RT14[ActGrp],":")=_xlfn.TEXTAFTER($H129,":")),"X"),MATCH("*"&amp;U$54,F_RT14[#Headers],0))),IF(AND(_xlpm.x=0,_xlpm.y&lt;&gt;0),-1,IF(AND(_xlpm.x&lt;&gt;0,_xlpm.y&lt;&gt;0),_xlpm.x,IF(AND(_xlpm.x-SUM(IF((INDIRECT($B$3)=$B129)*(INDIRECT($C$3)=$D129)*((INDIRECT($E$3)="TOTS")+(INDIRECT($E$3)=$E129)),INDIRECT(U$3)))&lt;&gt;0,_xlpm.y=0),-2,_xlpm.x)))),0))</f>
        <v>0</v>
      </c>
      <c r="V129" s="199" cm="1">
        <f t="array" aca="1" ref="V129" ca="1">IF(OR($B129="",$B129="X",$D129="",$D129="X",$E129="",$E129="X"),0,IFERROR(_xlfn.LET(_xlpm.x,SUM(SUM(_xlfn._xlws.FILTER(VALUE(PptoSty[Sign]&amp;1)*(1/PptoSty[Division]),(PptoSty[Division]&lt;&gt;0)*(PptoSty[Division]&lt;&gt;"")*(PptoSty[Division]&lt;&gt;"X")*(PptoSty[Project]=$B129)*(PptoSty[Vrs]=$D129)*(PptoSty[PiRow]=_xlfn.TEXTAFTER($H129,":"))*(PptoSty[PiColumn]=V$54),0)),SUM(IF((INDIRECT($B$3)=$B129)*(INDIRECT($C$3)=$D129)*((INDIRECT($E$3)="TOTS")+(INDIRECT($E$3)=$E129)),INDIRECT(V$3)))),_xlpm.y,SUM(_xlfn.CHOOSECOLS(_xlfn._xlws.FILTER(F_RT14[],(F_RT14[PrjId]=$B129)*(F_RT14[Vrs]=$D129)*(_xlfn.TEXTAFTER(F_RT14[ActGrp],":")=_xlfn.TEXTAFTER($H129,":")),"X"),MATCH("*"&amp;V$54,F_RT14[#Headers],0))),IF(AND(_xlpm.x=0,_xlpm.y&lt;&gt;0),-1,IF(AND(_xlpm.x&lt;&gt;0,_xlpm.y&lt;&gt;0),_xlpm.x,IF(AND(_xlpm.x-SUM(IF((INDIRECT($B$3)=$B129)*(INDIRECT($C$3)=$D129)*((INDIRECT($E$3)="TOTS")+(INDIRECT($E$3)=$E129)),INDIRECT(V$3)))&lt;&gt;0,_xlpm.y=0),-2,_xlpm.x)))),0))</f>
        <v>-1</v>
      </c>
      <c r="W129" s="199" cm="1">
        <f t="array" aca="1" ref="W129" ca="1">IF(OR($B129="",$B129="X",$D129="",$D129="X",$E129="",$E129="X"),0,IFERROR(_xlfn.LET(_xlpm.x,SUM(SUM(_xlfn._xlws.FILTER(VALUE(PptoSty[Sign]&amp;1)*(1/PptoSty[Division]),(PptoSty[Division]&lt;&gt;0)*(PptoSty[Division]&lt;&gt;"")*(PptoSty[Division]&lt;&gt;"X")*(PptoSty[Project]=$B129)*(PptoSty[Vrs]=$D129)*(PptoSty[PiRow]=_xlfn.TEXTAFTER($H129,":"))*(PptoSty[PiColumn]=W$54),0)),SUM(IF((INDIRECT($B$3)=$B129)*(INDIRECT($C$3)=$D129)*((INDIRECT($E$3)="TOTS")+(INDIRECT($E$3)=$E129)),INDIRECT(W$3)))),_xlpm.y,SUM(_xlfn.CHOOSECOLS(_xlfn._xlws.FILTER(F_RT14[],(F_RT14[PrjId]=$B129)*(F_RT14[Vrs]=$D129)*(_xlfn.TEXTAFTER(F_RT14[ActGrp],":")=_xlfn.TEXTAFTER($H129,":")),"X"),MATCH("*"&amp;W$54,F_RT14[#Headers],0))),IF(AND(_xlpm.x=0,_xlpm.y&lt;&gt;0),-1,IF(AND(_xlpm.x&lt;&gt;0,_xlpm.y&lt;&gt;0),_xlpm.x,IF(AND(_xlpm.x-SUM(IF((INDIRECT($B$3)=$B129)*(INDIRECT($C$3)=$D129)*((INDIRECT($E$3)="TOTS")+(INDIRECT($E$3)=$E129)),INDIRECT(W$3)))&lt;&gt;0,_xlpm.y=0),-2,_xlpm.x)))),0))</f>
        <v>0</v>
      </c>
      <c r="X129" s="199" cm="1">
        <f t="array" aca="1" ref="X129" ca="1">IF(OR($B129="",$B129="X",$D129="",$D129="X",$E129="",$E129="X"),0,IFERROR(_xlfn.LET(_xlpm.x,SUM(SUM(_xlfn._xlws.FILTER(VALUE(PptoSty[Sign]&amp;1)*(1/PptoSty[Division]),(PptoSty[Division]&lt;&gt;0)*(PptoSty[Division]&lt;&gt;"")*(PptoSty[Division]&lt;&gt;"X")*(PptoSty[Project]=$B129)*(PptoSty[Vrs]=$D129)*(PptoSty[PiRow]=_xlfn.TEXTAFTER($H129,":"))*(PptoSty[PiColumn]=X$54),0)),SUM(IF((INDIRECT($B$3)=$B129)*(INDIRECT($C$3)=$D129)*((INDIRECT($E$3)="TOTS")+(INDIRECT($E$3)=$E129)),INDIRECT(X$3)))),_xlpm.y,SUM(_xlfn.CHOOSECOLS(_xlfn._xlws.FILTER(F_RT14[],(F_RT14[PrjId]=$B129)*(F_RT14[Vrs]=$D129)*(_xlfn.TEXTAFTER(F_RT14[ActGrp],":")=_xlfn.TEXTAFTER($H129,":")),"X"),MATCH("*"&amp;X$54,F_RT14[#Headers],0))),IF(AND(_xlpm.x=0,_xlpm.y&lt;&gt;0),-1,IF(AND(_xlpm.x&lt;&gt;0,_xlpm.y&lt;&gt;0),_xlpm.x,IF(AND(_xlpm.x-SUM(IF((INDIRECT($B$3)=$B129)*(INDIRECT($C$3)=$D129)*((INDIRECT($E$3)="TOTS")+(INDIRECT($E$3)=$E129)),INDIRECT(X$3)))&lt;&gt;0,_xlpm.y=0),-2,_xlpm.x)))),0))</f>
        <v>0</v>
      </c>
      <c r="Y129" s="199" cm="1">
        <f t="array" aca="1" ref="Y129" ca="1">IF(OR($B129="",$B129="X",$D129="",$D129="X",$E129="",$E129="X"),0,IFERROR(_xlfn.LET(_xlpm.x,SUM(SUM(_xlfn._xlws.FILTER(VALUE(PptoSty[Sign]&amp;1)*(1/PptoSty[Division]),(PptoSty[Division]&lt;&gt;0)*(PptoSty[Division]&lt;&gt;"")*(PptoSty[Division]&lt;&gt;"X")*(PptoSty[Project]=$B129)*(PptoSty[Vrs]=$D129)*(PptoSty[PiRow]=_xlfn.TEXTAFTER($H129,":"))*(PptoSty[PiColumn]=Y$54),0)),SUM(IF((INDIRECT($B$3)=$B129)*(INDIRECT($C$3)=$D129)*((INDIRECT($E$3)="TOTS")+(INDIRECT($E$3)=$E129)),INDIRECT(Y$3)))),_xlpm.y,SUM(_xlfn.CHOOSECOLS(_xlfn._xlws.FILTER(F_RT14[],(F_RT14[PrjId]=$B129)*(F_RT14[Vrs]=$D129)*(_xlfn.TEXTAFTER(F_RT14[ActGrp],":")=_xlfn.TEXTAFTER($H129,":")),"X"),MATCH("*"&amp;Y$54,F_RT14[#Headers],0))),IF(AND(_xlpm.x=0,_xlpm.y&lt;&gt;0),-1,IF(AND(_xlpm.x&lt;&gt;0,_xlpm.y&lt;&gt;0),_xlpm.x,IF(AND(_xlpm.x-SUM(IF((INDIRECT($B$3)=$B129)*(INDIRECT($C$3)=$D129)*((INDIRECT($E$3)="TOTS")+(INDIRECT($E$3)=$E129)),INDIRECT(Y$3)))&lt;&gt;0,_xlpm.y=0),-2,_xlpm.x)))),0))</f>
        <v>0</v>
      </c>
      <c r="Z129" s="198" t="str">
        <f t="shared" ca="1" si="3"/>
        <v>Fback!B129:Y129</v>
      </c>
    </row>
    <row r="130" spans="2:26" ht="21" customHeight="1" outlineLevel="1">
      <c r="B130" s="128" t="str">
        <v>31200</v>
      </c>
      <c r="C130" s="128" t="str">
        <v>Sp</v>
      </c>
      <c r="D130" s="128">
        <v>16</v>
      </c>
      <c r="E130" s="128" t="str">
        <v>GSDF</v>
      </c>
      <c r="F130" s="139" t="str">
        <v>SERRA</v>
      </c>
      <c r="G130" s="139" t="str">
        <v>CurPpto</v>
      </c>
      <c r="H130" s="139" t="str">
        <v>G003:COORDINACIÓN DEL PROYECTO</v>
      </c>
      <c r="I130" s="199" cm="1">
        <f t="array" aca="1" ref="I130" ca="1">IF(OR($B130="",$B130="X",$D130="",$D130="X",$E130="",$E130="X"),0,IFERROR(_xlfn.LET(_xlpm.x,SUM(SUM(_xlfn._xlws.FILTER(VALUE(PptoSty[Sign]&amp;1)*(1/PptoSty[Division]),(PptoSty[Division]&lt;&gt;0)*(PptoSty[Division]&lt;&gt;"")*(PptoSty[Division]&lt;&gt;"X")*(PptoSty[Project]=$B130)*(PptoSty[Vrs]=$D130)*(PptoSty[PiRow]=_xlfn.TEXTAFTER($H130,":"))*(PptoSty[PiColumn]=I$54),0)),SUM(IF((INDIRECT($B$3)=$B130)*(INDIRECT($C$3)=$D130)*((INDIRECT($E$3)="TOTS")+(INDIRECT($E$3)=$E130)),INDIRECT(I$3)))),_xlpm.y,SUM(_xlfn.CHOOSECOLS(_xlfn._xlws.FILTER(F_RT14[],(F_RT14[PrjId]=$B130)*(F_RT14[Vrs]=$D130)*(_xlfn.TEXTAFTER(F_RT14[ActGrp],":")=_xlfn.TEXTAFTER($H130,":")),"X"),MATCH("*"&amp;I$54,F_RT14[#Headers],0))),IF(AND(_xlpm.x=0,_xlpm.y&lt;&gt;0),-1,IF(AND(_xlpm.x&lt;&gt;0,_xlpm.y&lt;&gt;0),_xlpm.x,IF(AND(_xlpm.x-SUM(IF((INDIRECT($B$3)=$B130)*(INDIRECT($C$3)=$D130)*((INDIRECT($E$3)="TOTS")+(INDIRECT($E$3)=$E130)),INDIRECT(I$3)))&lt;&gt;0,_xlpm.y=0),-2,_xlpm.x)))),0))</f>
        <v>1</v>
      </c>
      <c r="J130" s="199" cm="1">
        <f t="array" aca="1" ref="J130" ca="1">IF(OR($B130="",$B130="X",$D130="",$D130="X",$E130="",$E130="X"),0,IFERROR(_xlfn.LET(_xlpm.x,SUM(SUM(_xlfn._xlws.FILTER(VALUE(PptoSty[Sign]&amp;1)*(1/PptoSty[Division]),(PptoSty[Division]&lt;&gt;0)*(PptoSty[Division]&lt;&gt;"")*(PptoSty[Division]&lt;&gt;"X")*(PptoSty[Project]=$B130)*(PptoSty[Vrs]=$D130)*(PptoSty[PiRow]=_xlfn.TEXTAFTER($H130,":"))*(PptoSty[PiColumn]=J$54),0)),SUM(IF((INDIRECT($B$3)=$B130)*(INDIRECT($C$3)=$D130)*((INDIRECT($E$3)="TOTS")+(INDIRECT($E$3)=$E130)),INDIRECT(J$3)))),_xlpm.y,SUM(_xlfn.CHOOSECOLS(_xlfn._xlws.FILTER(F_RT14[],(F_RT14[PrjId]=$B130)*(F_RT14[Vrs]=$D130)*(_xlfn.TEXTAFTER(F_RT14[ActGrp],":")=_xlfn.TEXTAFTER($H130,":")),"X"),MATCH("*"&amp;J$54,F_RT14[#Headers],0))),IF(AND(_xlpm.x=0,_xlpm.y&lt;&gt;0),-1,IF(AND(_xlpm.x&lt;&gt;0,_xlpm.y&lt;&gt;0),_xlpm.x,IF(AND(_xlpm.x-SUM(IF((INDIRECT($B$3)=$B130)*(INDIRECT($C$3)=$D130)*((INDIRECT($E$3)="TOTS")+(INDIRECT($E$3)=$E130)),INDIRECT(J$3)))&lt;&gt;0,_xlpm.y=0),-2,_xlpm.x)))),0))</f>
        <v>0</v>
      </c>
      <c r="K130" s="199" cm="1">
        <f t="array" aca="1" ref="K130" ca="1">IF(OR($B130="",$B130="X",$D130="",$D130="X",$E130="",$E130="X"),0,IFERROR(_xlfn.LET(_xlpm.x,SUM(SUM(_xlfn._xlws.FILTER(VALUE(PptoSty[Sign]&amp;1)*(1/PptoSty[Division]),(PptoSty[Division]&lt;&gt;0)*(PptoSty[Division]&lt;&gt;"")*(PptoSty[Division]&lt;&gt;"X")*(PptoSty[Project]=$B130)*(PptoSty[Vrs]=$D130)*(PptoSty[PiRow]=_xlfn.TEXTAFTER($H130,":"))*(PptoSty[PiColumn]=K$54),0)),SUM(IF((INDIRECT($B$3)=$B130)*(INDIRECT($C$3)=$D130)*((INDIRECT($E$3)="TOTS")+(INDIRECT($E$3)=$E130)),INDIRECT(K$3)))),_xlpm.y,SUM(_xlfn.CHOOSECOLS(_xlfn._xlws.FILTER(F_RT14[],(F_RT14[PrjId]=$B130)*(F_RT14[Vrs]=$D130)*(_xlfn.TEXTAFTER(F_RT14[ActGrp],":")=_xlfn.TEXTAFTER($H130,":")),"X"),MATCH("*"&amp;K$54,F_RT14[#Headers],0))),IF(AND(_xlpm.x=0,_xlpm.y&lt;&gt;0),-1,IF(AND(_xlpm.x&lt;&gt;0,_xlpm.y&lt;&gt;0),_xlpm.x,IF(AND(_xlpm.x-SUM(IF((INDIRECT($B$3)=$B130)*(INDIRECT($C$3)=$D130)*((INDIRECT($E$3)="TOTS")+(INDIRECT($E$3)=$E130)),INDIRECT(K$3)))&lt;&gt;0,_xlpm.y=0),-2,_xlpm.x)))),0))</f>
        <v>0</v>
      </c>
      <c r="L130" s="199" cm="1">
        <f t="array" aca="1" ref="L130" ca="1">IF(OR($B130="",$B130="X",$D130="",$D130="X",$E130="",$E130="X"),0,IFERROR(_xlfn.LET(_xlpm.x,SUM(SUM(_xlfn._xlws.FILTER(VALUE(PptoSty[Sign]&amp;1)*(1/PptoSty[Division]),(PptoSty[Division]&lt;&gt;0)*(PptoSty[Division]&lt;&gt;"")*(PptoSty[Division]&lt;&gt;"X")*(PptoSty[Project]=$B130)*(PptoSty[Vrs]=$D130)*(PptoSty[PiRow]=_xlfn.TEXTAFTER($H130,":"))*(PptoSty[PiColumn]=L$54),0)),SUM(IF((INDIRECT($B$3)=$B130)*(INDIRECT($C$3)=$D130)*((INDIRECT($E$3)="TOTS")+(INDIRECT($E$3)=$E130)),INDIRECT(L$3)))),_xlpm.y,SUM(_xlfn.CHOOSECOLS(_xlfn._xlws.FILTER(F_RT14[],(F_RT14[PrjId]=$B130)*(F_RT14[Vrs]=$D130)*(_xlfn.TEXTAFTER(F_RT14[ActGrp],":")=_xlfn.TEXTAFTER($H130,":")),"X"),MATCH("*"&amp;L$54,F_RT14[#Headers],0))),IF(AND(_xlpm.x=0,_xlpm.y&lt;&gt;0),-1,IF(AND(_xlpm.x&lt;&gt;0,_xlpm.y&lt;&gt;0),_xlpm.x,IF(AND(_xlpm.x-SUM(IF((INDIRECT($B$3)=$B130)*(INDIRECT($C$3)=$D130)*((INDIRECT($E$3)="TOTS")+(INDIRECT($E$3)=$E130)),INDIRECT(L$3)))&lt;&gt;0,_xlpm.y=0),-2,_xlpm.x)))),0))</f>
        <v>0</v>
      </c>
      <c r="M130" s="199" cm="1">
        <f t="array" aca="1" ref="M130" ca="1">IF(OR($B130="",$B130="X",$D130="",$D130="X",$E130="",$E130="X"),0,IFERROR(_xlfn.LET(_xlpm.x,SUM(SUM(_xlfn._xlws.FILTER(VALUE(PptoSty[Sign]&amp;1)*(1/PptoSty[Division]),(PptoSty[Division]&lt;&gt;0)*(PptoSty[Division]&lt;&gt;"")*(PptoSty[Division]&lt;&gt;"X")*(PptoSty[Project]=$B130)*(PptoSty[Vrs]=$D130)*(PptoSty[PiRow]=_xlfn.TEXTAFTER($H130,":"))*(PptoSty[PiColumn]=M$54),0)),SUM(IF((INDIRECT($B$3)=$B130)*(INDIRECT($C$3)=$D130)*((INDIRECT($E$3)="TOTS")+(INDIRECT($E$3)=$E130)),INDIRECT(M$3)))),_xlpm.y,SUM(_xlfn.CHOOSECOLS(_xlfn._xlws.FILTER(F_RT14[],(F_RT14[PrjId]=$B130)*(F_RT14[Vrs]=$D130)*(_xlfn.TEXTAFTER(F_RT14[ActGrp],":")=_xlfn.TEXTAFTER($H130,":")),"X"),MATCH("*"&amp;M$54,F_RT14[#Headers],0))),IF(AND(_xlpm.x=0,_xlpm.y&lt;&gt;0),-1,IF(AND(_xlpm.x&lt;&gt;0,_xlpm.y&lt;&gt;0),_xlpm.x,IF(AND(_xlpm.x-SUM(IF((INDIRECT($B$3)=$B130)*(INDIRECT($C$3)=$D130)*((INDIRECT($E$3)="TOTS")+(INDIRECT($E$3)=$E130)),INDIRECT(M$3)))&lt;&gt;0,_xlpm.y=0),-2,_xlpm.x)))),0))</f>
        <v>0</v>
      </c>
      <c r="N130" s="199" cm="1">
        <f t="array" aca="1" ref="N130" ca="1">IF(OR($B130="",$B130="X",$D130="",$D130="X",$E130="",$E130="X"),0,IFERROR(_xlfn.LET(_xlpm.x,SUM(SUM(_xlfn._xlws.FILTER(VALUE(PptoSty[Sign]&amp;1)*(1/PptoSty[Division]),(PptoSty[Division]&lt;&gt;0)*(PptoSty[Division]&lt;&gt;"")*(PptoSty[Division]&lt;&gt;"X")*(PptoSty[Project]=$B130)*(PptoSty[Vrs]=$D130)*(PptoSty[PiRow]=_xlfn.TEXTAFTER($H130,":"))*(PptoSty[PiColumn]=N$54),0)),SUM(IF((INDIRECT($B$3)=$B130)*(INDIRECT($C$3)=$D130)*((INDIRECT($E$3)="TOTS")+(INDIRECT($E$3)=$E130)),INDIRECT(N$3)))),_xlpm.y,SUM(_xlfn.CHOOSECOLS(_xlfn._xlws.FILTER(F_RT14[],(F_RT14[PrjId]=$B130)*(F_RT14[Vrs]=$D130)*(_xlfn.TEXTAFTER(F_RT14[ActGrp],":")=_xlfn.TEXTAFTER($H130,":")),"X"),MATCH("*"&amp;N$54,F_RT14[#Headers],0))),IF(AND(_xlpm.x=0,_xlpm.y&lt;&gt;0),-1,IF(AND(_xlpm.x&lt;&gt;0,_xlpm.y&lt;&gt;0),_xlpm.x,IF(AND(_xlpm.x-SUM(IF((INDIRECT($B$3)=$B130)*(INDIRECT($C$3)=$D130)*((INDIRECT($E$3)="TOTS")+(INDIRECT($E$3)=$E130)),INDIRECT(N$3)))&lt;&gt;0,_xlpm.y=0),-2,_xlpm.x)))),0))</f>
        <v>0</v>
      </c>
      <c r="O130" s="199" cm="1">
        <f t="array" aca="1" ref="O130" ca="1">IF(OR($B130="",$B130="X",$D130="",$D130="X",$E130="",$E130="X"),0,IFERROR(_xlfn.LET(_xlpm.x,SUM(SUM(_xlfn._xlws.FILTER(VALUE(PptoSty[Sign]&amp;1)*(1/PptoSty[Division]),(PptoSty[Division]&lt;&gt;0)*(PptoSty[Division]&lt;&gt;"")*(PptoSty[Division]&lt;&gt;"X")*(PptoSty[Project]=$B130)*(PptoSty[Vrs]=$D130)*(PptoSty[PiRow]=_xlfn.TEXTAFTER($H130,":"))*(PptoSty[PiColumn]=O$54),0)),SUM(IF((INDIRECT($B$3)=$B130)*(INDIRECT($C$3)=$D130)*((INDIRECT($E$3)="TOTS")+(INDIRECT($E$3)=$E130)),INDIRECT(O$3)))),_xlpm.y,SUM(_xlfn.CHOOSECOLS(_xlfn._xlws.FILTER(F_RT14[],(F_RT14[PrjId]=$B130)*(F_RT14[Vrs]=$D130)*(_xlfn.TEXTAFTER(F_RT14[ActGrp],":")=_xlfn.TEXTAFTER($H130,":")),"X"),MATCH("*"&amp;O$54,F_RT14[#Headers],0))),IF(AND(_xlpm.x=0,_xlpm.y&lt;&gt;0),-1,IF(AND(_xlpm.x&lt;&gt;0,_xlpm.y&lt;&gt;0),_xlpm.x,IF(AND(_xlpm.x-SUM(IF((INDIRECT($B$3)=$B130)*(INDIRECT($C$3)=$D130)*((INDIRECT($E$3)="TOTS")+(INDIRECT($E$3)=$E130)),INDIRECT(O$3)))&lt;&gt;0,_xlpm.y=0),-2,_xlpm.x)))),0))</f>
        <v>0</v>
      </c>
      <c r="P130" s="199" cm="1">
        <f t="array" aca="1" ref="P130" ca="1">IF(OR($B130="",$B130="X",$D130="",$D130="X",$E130="",$E130="X"),0,IFERROR(_xlfn.LET(_xlpm.x,SUM(SUM(_xlfn._xlws.FILTER(VALUE(PptoSty[Sign]&amp;1)*(1/PptoSty[Division]),(PptoSty[Division]&lt;&gt;0)*(PptoSty[Division]&lt;&gt;"")*(PptoSty[Division]&lt;&gt;"X")*(PptoSty[Project]=$B130)*(PptoSty[Vrs]=$D130)*(PptoSty[PiRow]=_xlfn.TEXTAFTER($H130,":"))*(PptoSty[PiColumn]=P$54),0)),SUM(IF((INDIRECT($B$3)=$B130)*(INDIRECT($C$3)=$D130)*((INDIRECT($E$3)="TOTS")+(INDIRECT($E$3)=$E130)),INDIRECT(P$3)))),_xlpm.y,SUM(_xlfn.CHOOSECOLS(_xlfn._xlws.FILTER(F_RT14[],(F_RT14[PrjId]=$B130)*(F_RT14[Vrs]=$D130)*(_xlfn.TEXTAFTER(F_RT14[ActGrp],":")=_xlfn.TEXTAFTER($H130,":")),"X"),MATCH("*"&amp;P$54,F_RT14[#Headers],0))),IF(AND(_xlpm.x=0,_xlpm.y&lt;&gt;0),-1,IF(AND(_xlpm.x&lt;&gt;0,_xlpm.y&lt;&gt;0),_xlpm.x,IF(AND(_xlpm.x-SUM(IF((INDIRECT($B$3)=$B130)*(INDIRECT($C$3)=$D130)*((INDIRECT($E$3)="TOTS")+(INDIRECT($E$3)=$E130)),INDIRECT(P$3)))&lt;&gt;0,_xlpm.y=0),-2,_xlpm.x)))),0))</f>
        <v>0</v>
      </c>
      <c r="Q130" s="199" cm="1">
        <f t="array" aca="1" ref="Q130" ca="1">IF(OR($B130="",$B130="X",$D130="",$D130="X",$E130="",$E130="X"),0,IFERROR(_xlfn.LET(_xlpm.x,SUM(SUM(_xlfn._xlws.FILTER(VALUE(PptoSty[Sign]&amp;1)*(1/PptoSty[Division]),(PptoSty[Division]&lt;&gt;0)*(PptoSty[Division]&lt;&gt;"")*(PptoSty[Division]&lt;&gt;"X")*(PptoSty[Project]=$B130)*(PptoSty[Vrs]=$D130)*(PptoSty[PiRow]=_xlfn.TEXTAFTER($H130,":"))*(PptoSty[PiColumn]=Q$54),0)),SUM(IF((INDIRECT($B$3)=$B130)*(INDIRECT($C$3)=$D130)*((INDIRECT($E$3)="TOTS")+(INDIRECT($E$3)=$E130)),INDIRECT(Q$3)))),_xlpm.y,SUM(_xlfn.CHOOSECOLS(_xlfn._xlws.FILTER(F_RT14[],(F_RT14[PrjId]=$B130)*(F_RT14[Vrs]=$D130)*(_xlfn.TEXTAFTER(F_RT14[ActGrp],":")=_xlfn.TEXTAFTER($H130,":")),"X"),MATCH("*"&amp;Q$54,F_RT14[#Headers],0))),IF(AND(_xlpm.x=0,_xlpm.y&lt;&gt;0),-1,IF(AND(_xlpm.x&lt;&gt;0,_xlpm.y&lt;&gt;0),_xlpm.x,IF(AND(_xlpm.x-SUM(IF((INDIRECT($B$3)=$B130)*(INDIRECT($C$3)=$D130)*((INDIRECT($E$3)="TOTS")+(INDIRECT($E$3)=$E130)),INDIRECT(Q$3)))&lt;&gt;0,_xlpm.y=0),-2,_xlpm.x)))),0))</f>
        <v>0</v>
      </c>
      <c r="R130" s="199" cm="1">
        <f t="array" aca="1" ref="R130" ca="1">IF(OR($B130="",$B130="X",$D130="",$D130="X",$E130="",$E130="X"),0,IFERROR(_xlfn.LET(_xlpm.x,SUM(SUM(_xlfn._xlws.FILTER(VALUE(PptoSty[Sign]&amp;1)*(1/PptoSty[Division]),(PptoSty[Division]&lt;&gt;0)*(PptoSty[Division]&lt;&gt;"")*(PptoSty[Division]&lt;&gt;"X")*(PptoSty[Project]=$B130)*(PptoSty[Vrs]=$D130)*(PptoSty[PiRow]=_xlfn.TEXTAFTER($H130,":"))*(PptoSty[PiColumn]=R$54),0)),SUM(IF((INDIRECT($B$3)=$B130)*(INDIRECT($C$3)=$D130)*((INDIRECT($E$3)="TOTS")+(INDIRECT($E$3)=$E130)),INDIRECT(R$3)))),_xlpm.y,SUM(_xlfn.CHOOSECOLS(_xlfn._xlws.FILTER(F_RT14[],(F_RT14[PrjId]=$B130)*(F_RT14[Vrs]=$D130)*(_xlfn.TEXTAFTER(F_RT14[ActGrp],":")=_xlfn.TEXTAFTER($H130,":")),"X"),MATCH("*"&amp;R$54,F_RT14[#Headers],0))),IF(AND(_xlpm.x=0,_xlpm.y&lt;&gt;0),-1,IF(AND(_xlpm.x&lt;&gt;0,_xlpm.y&lt;&gt;0),_xlpm.x,IF(AND(_xlpm.x-SUM(IF((INDIRECT($B$3)=$B130)*(INDIRECT($C$3)=$D130)*((INDIRECT($E$3)="TOTS")+(INDIRECT($E$3)=$E130)),INDIRECT(R$3)))&lt;&gt;0,_xlpm.y=0),-2,_xlpm.x)))),0))</f>
        <v>0</v>
      </c>
      <c r="S130" s="199" cm="1">
        <f t="array" aca="1" ref="S130" ca="1">IF(OR($B130="",$B130="X",$D130="",$D130="X",$E130="",$E130="X"),0,IFERROR(_xlfn.LET(_xlpm.x,SUM(SUM(_xlfn._xlws.FILTER(VALUE(PptoSty[Sign]&amp;1)*(1/PptoSty[Division]),(PptoSty[Division]&lt;&gt;0)*(PptoSty[Division]&lt;&gt;"")*(PptoSty[Division]&lt;&gt;"X")*(PptoSty[Project]=$B130)*(PptoSty[Vrs]=$D130)*(PptoSty[PiRow]=_xlfn.TEXTAFTER($H130,":"))*(PptoSty[PiColumn]=S$54),0)),SUM(IF((INDIRECT($B$3)=$B130)*(INDIRECT($C$3)=$D130)*((INDIRECT($E$3)="TOTS")+(INDIRECT($E$3)=$E130)),INDIRECT(S$3)))),_xlpm.y,SUM(_xlfn.CHOOSECOLS(_xlfn._xlws.FILTER(F_RT14[],(F_RT14[PrjId]=$B130)*(F_RT14[Vrs]=$D130)*(_xlfn.TEXTAFTER(F_RT14[ActGrp],":")=_xlfn.TEXTAFTER($H130,":")),"X"),MATCH("*"&amp;S$54,F_RT14[#Headers],0))),IF(AND(_xlpm.x=0,_xlpm.y&lt;&gt;0),-1,IF(AND(_xlpm.x&lt;&gt;0,_xlpm.y&lt;&gt;0),_xlpm.x,IF(AND(_xlpm.x-SUM(IF((INDIRECT($B$3)=$B130)*(INDIRECT($C$3)=$D130)*((INDIRECT($E$3)="TOTS")+(INDIRECT($E$3)=$E130)),INDIRECT(S$3)))&lt;&gt;0,_xlpm.y=0),-2,_xlpm.x)))),0))</f>
        <v>0</v>
      </c>
      <c r="T130" s="199" cm="1">
        <f t="array" aca="1" ref="T130" ca="1">IF(OR($B130="",$B130="X",$D130="",$D130="X",$E130="",$E130="X"),0,IFERROR(_xlfn.LET(_xlpm.x,SUM(SUM(_xlfn._xlws.FILTER(VALUE(PptoSty[Sign]&amp;1)*(1/PptoSty[Division]),(PptoSty[Division]&lt;&gt;0)*(PptoSty[Division]&lt;&gt;"")*(PptoSty[Division]&lt;&gt;"X")*(PptoSty[Project]=$B130)*(PptoSty[Vrs]=$D130)*(PptoSty[PiRow]=_xlfn.TEXTAFTER($H130,":"))*(PptoSty[PiColumn]=T$54),0)),SUM(IF((INDIRECT($B$3)=$B130)*(INDIRECT($C$3)=$D130)*((INDIRECT($E$3)="TOTS")+(INDIRECT($E$3)=$E130)),INDIRECT(T$3)))),_xlpm.y,SUM(_xlfn.CHOOSECOLS(_xlfn._xlws.FILTER(F_RT14[],(F_RT14[PrjId]=$B130)*(F_RT14[Vrs]=$D130)*(_xlfn.TEXTAFTER(F_RT14[ActGrp],":")=_xlfn.TEXTAFTER($H130,":")),"X"),MATCH("*"&amp;T$54,F_RT14[#Headers],0))),IF(AND(_xlpm.x=0,_xlpm.y&lt;&gt;0),-1,IF(AND(_xlpm.x&lt;&gt;0,_xlpm.y&lt;&gt;0),_xlpm.x,IF(AND(_xlpm.x-SUM(IF((INDIRECT($B$3)=$B130)*(INDIRECT($C$3)=$D130)*((INDIRECT($E$3)="TOTS")+(INDIRECT($E$3)=$E130)),INDIRECT(T$3)))&lt;&gt;0,_xlpm.y=0),-2,_xlpm.x)))),0))</f>
        <v>0</v>
      </c>
      <c r="U130" s="199" cm="1">
        <f t="array" aca="1" ref="U130" ca="1">IF(OR($B130="",$B130="X",$D130="",$D130="X",$E130="",$E130="X"),0,IFERROR(_xlfn.LET(_xlpm.x,SUM(SUM(_xlfn._xlws.FILTER(VALUE(PptoSty[Sign]&amp;1)*(1/PptoSty[Division]),(PptoSty[Division]&lt;&gt;0)*(PptoSty[Division]&lt;&gt;"")*(PptoSty[Division]&lt;&gt;"X")*(PptoSty[Project]=$B130)*(PptoSty[Vrs]=$D130)*(PptoSty[PiRow]=_xlfn.TEXTAFTER($H130,":"))*(PptoSty[PiColumn]=U$54),0)),SUM(IF((INDIRECT($B$3)=$B130)*(INDIRECT($C$3)=$D130)*((INDIRECT($E$3)="TOTS")+(INDIRECT($E$3)=$E130)),INDIRECT(U$3)))),_xlpm.y,SUM(_xlfn.CHOOSECOLS(_xlfn._xlws.FILTER(F_RT14[],(F_RT14[PrjId]=$B130)*(F_RT14[Vrs]=$D130)*(_xlfn.TEXTAFTER(F_RT14[ActGrp],":")=_xlfn.TEXTAFTER($H130,":")),"X"),MATCH("*"&amp;U$54,F_RT14[#Headers],0))),IF(AND(_xlpm.x=0,_xlpm.y&lt;&gt;0),-1,IF(AND(_xlpm.x&lt;&gt;0,_xlpm.y&lt;&gt;0),_xlpm.x,IF(AND(_xlpm.x-SUM(IF((INDIRECT($B$3)=$B130)*(INDIRECT($C$3)=$D130)*((INDIRECT($E$3)="TOTS")+(INDIRECT($E$3)=$E130)),INDIRECT(U$3)))&lt;&gt;0,_xlpm.y=0),-2,_xlpm.x)))),0))</f>
        <v>0</v>
      </c>
      <c r="V130" s="199" cm="1">
        <f t="array" aca="1" ref="V130" ca="1">IF(OR($B130="",$B130="X",$D130="",$D130="X",$E130="",$E130="X"),0,IFERROR(_xlfn.LET(_xlpm.x,SUM(SUM(_xlfn._xlws.FILTER(VALUE(PptoSty[Sign]&amp;1)*(1/PptoSty[Division]),(PptoSty[Division]&lt;&gt;0)*(PptoSty[Division]&lt;&gt;"")*(PptoSty[Division]&lt;&gt;"X")*(PptoSty[Project]=$B130)*(PptoSty[Vrs]=$D130)*(PptoSty[PiRow]=_xlfn.TEXTAFTER($H130,":"))*(PptoSty[PiColumn]=V$54),0)),SUM(IF((INDIRECT($B$3)=$B130)*(INDIRECT($C$3)=$D130)*((INDIRECT($E$3)="TOTS")+(INDIRECT($E$3)=$E130)),INDIRECT(V$3)))),_xlpm.y,SUM(_xlfn.CHOOSECOLS(_xlfn._xlws.FILTER(F_RT14[],(F_RT14[PrjId]=$B130)*(F_RT14[Vrs]=$D130)*(_xlfn.TEXTAFTER(F_RT14[ActGrp],":")=_xlfn.TEXTAFTER($H130,":")),"X"),MATCH("*"&amp;V$54,F_RT14[#Headers],0))),IF(AND(_xlpm.x=0,_xlpm.y&lt;&gt;0),-1,IF(AND(_xlpm.x&lt;&gt;0,_xlpm.y&lt;&gt;0),_xlpm.x,IF(AND(_xlpm.x-SUM(IF((INDIRECT($B$3)=$B130)*(INDIRECT($C$3)=$D130)*((INDIRECT($E$3)="TOTS")+(INDIRECT($E$3)=$E130)),INDIRECT(V$3)))&lt;&gt;0,_xlpm.y=0),-2,_xlpm.x)))),0))</f>
        <v>0</v>
      </c>
      <c r="W130" s="199" cm="1">
        <f t="array" aca="1" ref="W130" ca="1">IF(OR($B130="",$B130="X",$D130="",$D130="X",$E130="",$E130="X"),0,IFERROR(_xlfn.LET(_xlpm.x,SUM(SUM(_xlfn._xlws.FILTER(VALUE(PptoSty[Sign]&amp;1)*(1/PptoSty[Division]),(PptoSty[Division]&lt;&gt;0)*(PptoSty[Division]&lt;&gt;"")*(PptoSty[Division]&lt;&gt;"X")*(PptoSty[Project]=$B130)*(PptoSty[Vrs]=$D130)*(PptoSty[PiRow]=_xlfn.TEXTAFTER($H130,":"))*(PptoSty[PiColumn]=W$54),0)),SUM(IF((INDIRECT($B$3)=$B130)*(INDIRECT($C$3)=$D130)*((INDIRECT($E$3)="TOTS")+(INDIRECT($E$3)=$E130)),INDIRECT(W$3)))),_xlpm.y,SUM(_xlfn.CHOOSECOLS(_xlfn._xlws.FILTER(F_RT14[],(F_RT14[PrjId]=$B130)*(F_RT14[Vrs]=$D130)*(_xlfn.TEXTAFTER(F_RT14[ActGrp],":")=_xlfn.TEXTAFTER($H130,":")),"X"),MATCH("*"&amp;W$54,F_RT14[#Headers],0))),IF(AND(_xlpm.x=0,_xlpm.y&lt;&gt;0),-1,IF(AND(_xlpm.x&lt;&gt;0,_xlpm.y&lt;&gt;0),_xlpm.x,IF(AND(_xlpm.x-SUM(IF((INDIRECT($B$3)=$B130)*(INDIRECT($C$3)=$D130)*((INDIRECT($E$3)="TOTS")+(INDIRECT($E$3)=$E130)),INDIRECT(W$3)))&lt;&gt;0,_xlpm.y=0),-2,_xlpm.x)))),0))</f>
        <v>0</v>
      </c>
      <c r="X130" s="199" cm="1">
        <f t="array" aca="1" ref="X130" ca="1">IF(OR($B130="",$B130="X",$D130="",$D130="X",$E130="",$E130="X"),0,IFERROR(_xlfn.LET(_xlpm.x,SUM(SUM(_xlfn._xlws.FILTER(VALUE(PptoSty[Sign]&amp;1)*(1/PptoSty[Division]),(PptoSty[Division]&lt;&gt;0)*(PptoSty[Division]&lt;&gt;"")*(PptoSty[Division]&lt;&gt;"X")*(PptoSty[Project]=$B130)*(PptoSty[Vrs]=$D130)*(PptoSty[PiRow]=_xlfn.TEXTAFTER($H130,":"))*(PptoSty[PiColumn]=X$54),0)),SUM(IF((INDIRECT($B$3)=$B130)*(INDIRECT($C$3)=$D130)*((INDIRECT($E$3)="TOTS")+(INDIRECT($E$3)=$E130)),INDIRECT(X$3)))),_xlpm.y,SUM(_xlfn.CHOOSECOLS(_xlfn._xlws.FILTER(F_RT14[],(F_RT14[PrjId]=$B130)*(F_RT14[Vrs]=$D130)*(_xlfn.TEXTAFTER(F_RT14[ActGrp],":")=_xlfn.TEXTAFTER($H130,":")),"X"),MATCH("*"&amp;X$54,F_RT14[#Headers],0))),IF(AND(_xlpm.x=0,_xlpm.y&lt;&gt;0),-1,IF(AND(_xlpm.x&lt;&gt;0,_xlpm.y&lt;&gt;0),_xlpm.x,IF(AND(_xlpm.x-SUM(IF((INDIRECT($B$3)=$B130)*(INDIRECT($C$3)=$D130)*((INDIRECT($E$3)="TOTS")+(INDIRECT($E$3)=$E130)),INDIRECT(X$3)))&lt;&gt;0,_xlpm.y=0),-2,_xlpm.x)))),0))</f>
        <v>0</v>
      </c>
      <c r="Y130" s="199" cm="1">
        <f t="array" aca="1" ref="Y130" ca="1">IF(OR($B130="",$B130="X",$D130="",$D130="X",$E130="",$E130="X"),0,IFERROR(_xlfn.LET(_xlpm.x,SUM(SUM(_xlfn._xlws.FILTER(VALUE(PptoSty[Sign]&amp;1)*(1/PptoSty[Division]),(PptoSty[Division]&lt;&gt;0)*(PptoSty[Division]&lt;&gt;"")*(PptoSty[Division]&lt;&gt;"X")*(PptoSty[Project]=$B130)*(PptoSty[Vrs]=$D130)*(PptoSty[PiRow]=_xlfn.TEXTAFTER($H130,":"))*(PptoSty[PiColumn]=Y$54),0)),SUM(IF((INDIRECT($B$3)=$B130)*(INDIRECT($C$3)=$D130)*((INDIRECT($E$3)="TOTS")+(INDIRECT($E$3)=$E130)),INDIRECT(Y$3)))),_xlpm.y,SUM(_xlfn.CHOOSECOLS(_xlfn._xlws.FILTER(F_RT14[],(F_RT14[PrjId]=$B130)*(F_RT14[Vrs]=$D130)*(_xlfn.TEXTAFTER(F_RT14[ActGrp],":")=_xlfn.TEXTAFTER($H130,":")),"X"),MATCH("*"&amp;Y$54,F_RT14[#Headers],0))),IF(AND(_xlpm.x=0,_xlpm.y&lt;&gt;0),-1,IF(AND(_xlpm.x&lt;&gt;0,_xlpm.y&lt;&gt;0),_xlpm.x,IF(AND(_xlpm.x-SUM(IF((INDIRECT($B$3)=$B130)*(INDIRECT($C$3)=$D130)*((INDIRECT($E$3)="TOTS")+(INDIRECT($E$3)=$E130)),INDIRECT(Y$3)))&lt;&gt;0,_xlpm.y=0),-2,_xlpm.x)))),0))</f>
        <v>0</v>
      </c>
      <c r="Z130" s="198" t="str">
        <f t="shared" ca="1" si="3"/>
        <v>Fback!B130:Y130</v>
      </c>
    </row>
    <row r="131" spans="2:26" ht="21" customHeight="1" outlineLevel="1">
      <c r="B131" s="128" t="str">
        <v>31200</v>
      </c>
      <c r="C131" s="128" t="str">
        <v>Sp</v>
      </c>
      <c r="D131" s="128">
        <v>16</v>
      </c>
      <c r="E131" s="128" t="str">
        <v>GSDF</v>
      </c>
      <c r="F131" s="139" t="str">
        <v>SERRA</v>
      </c>
      <c r="G131" s="139" t="str">
        <v>CurPpto</v>
      </c>
      <c r="H131" s="139" t="str">
        <v>G004:INGENIERÍA GESTIÓN DISEÑO</v>
      </c>
      <c r="I131" s="199" cm="1">
        <f t="array" aca="1" ref="I131" ca="1">IF(OR($B131="",$B131="X",$D131="",$D131="X",$E131="",$E131="X"),0,IFERROR(_xlfn.LET(_xlpm.x,SUM(SUM(_xlfn._xlws.FILTER(VALUE(PptoSty[Sign]&amp;1)*(1/PptoSty[Division]),(PptoSty[Division]&lt;&gt;0)*(PptoSty[Division]&lt;&gt;"")*(PptoSty[Division]&lt;&gt;"X")*(PptoSty[Project]=$B131)*(PptoSty[Vrs]=$D131)*(PptoSty[PiRow]=_xlfn.TEXTAFTER($H131,":"))*(PptoSty[PiColumn]=I$54),0)),SUM(IF((INDIRECT($B$3)=$B131)*(INDIRECT($C$3)=$D131)*((INDIRECT($E$3)="TOTS")+(INDIRECT($E$3)=$E131)),INDIRECT(I$3)))),_xlpm.y,SUM(_xlfn.CHOOSECOLS(_xlfn._xlws.FILTER(F_RT14[],(F_RT14[PrjId]=$B131)*(F_RT14[Vrs]=$D131)*(_xlfn.TEXTAFTER(F_RT14[ActGrp],":")=_xlfn.TEXTAFTER($H131,":")),"X"),MATCH("*"&amp;I$54,F_RT14[#Headers],0))),IF(AND(_xlpm.x=0,_xlpm.y&lt;&gt;0),-1,IF(AND(_xlpm.x&lt;&gt;0,_xlpm.y&lt;&gt;0),_xlpm.x,IF(AND(_xlpm.x-SUM(IF((INDIRECT($B$3)=$B131)*(INDIRECT($C$3)=$D131)*((INDIRECT($E$3)="TOTS")+(INDIRECT($E$3)=$E131)),INDIRECT(I$3)))&lt;&gt;0,_xlpm.y=0),-2,_xlpm.x)))),0))</f>
        <v>0</v>
      </c>
      <c r="J131" s="199" cm="1">
        <f t="array" aca="1" ref="J131" ca="1">IF(OR($B131="",$B131="X",$D131="",$D131="X",$E131="",$E131="X"),0,IFERROR(_xlfn.LET(_xlpm.x,SUM(SUM(_xlfn._xlws.FILTER(VALUE(PptoSty[Sign]&amp;1)*(1/PptoSty[Division]),(PptoSty[Division]&lt;&gt;0)*(PptoSty[Division]&lt;&gt;"")*(PptoSty[Division]&lt;&gt;"X")*(PptoSty[Project]=$B131)*(PptoSty[Vrs]=$D131)*(PptoSty[PiRow]=_xlfn.TEXTAFTER($H131,":"))*(PptoSty[PiColumn]=J$54),0)),SUM(IF((INDIRECT($B$3)=$B131)*(INDIRECT($C$3)=$D131)*((INDIRECT($E$3)="TOTS")+(INDIRECT($E$3)=$E131)),INDIRECT(J$3)))),_xlpm.y,SUM(_xlfn.CHOOSECOLS(_xlfn._xlws.FILTER(F_RT14[],(F_RT14[PrjId]=$B131)*(F_RT14[Vrs]=$D131)*(_xlfn.TEXTAFTER(F_RT14[ActGrp],":")=_xlfn.TEXTAFTER($H131,":")),"X"),MATCH("*"&amp;J$54,F_RT14[#Headers],0))),IF(AND(_xlpm.x=0,_xlpm.y&lt;&gt;0),-1,IF(AND(_xlpm.x&lt;&gt;0,_xlpm.y&lt;&gt;0),_xlpm.x,IF(AND(_xlpm.x-SUM(IF((INDIRECT($B$3)=$B131)*(INDIRECT($C$3)=$D131)*((INDIRECT($E$3)="TOTS")+(INDIRECT($E$3)=$E131)),INDIRECT(J$3)))&lt;&gt;0,_xlpm.y=0),-2,_xlpm.x)))),0))</f>
        <v>1</v>
      </c>
      <c r="K131" s="199" cm="1">
        <f t="array" aca="1" ref="K131" ca="1">IF(OR($B131="",$B131="X",$D131="",$D131="X",$E131="",$E131="X"),0,IFERROR(_xlfn.LET(_xlpm.x,SUM(SUM(_xlfn._xlws.FILTER(VALUE(PptoSty[Sign]&amp;1)*(1/PptoSty[Division]),(PptoSty[Division]&lt;&gt;0)*(PptoSty[Division]&lt;&gt;"")*(PptoSty[Division]&lt;&gt;"X")*(PptoSty[Project]=$B131)*(PptoSty[Vrs]=$D131)*(PptoSty[PiRow]=_xlfn.TEXTAFTER($H131,":"))*(PptoSty[PiColumn]=K$54),0)),SUM(IF((INDIRECT($B$3)=$B131)*(INDIRECT($C$3)=$D131)*((INDIRECT($E$3)="TOTS")+(INDIRECT($E$3)=$E131)),INDIRECT(K$3)))),_xlpm.y,SUM(_xlfn.CHOOSECOLS(_xlfn._xlws.FILTER(F_RT14[],(F_RT14[PrjId]=$B131)*(F_RT14[Vrs]=$D131)*(_xlfn.TEXTAFTER(F_RT14[ActGrp],":")=_xlfn.TEXTAFTER($H131,":")),"X"),MATCH("*"&amp;K$54,F_RT14[#Headers],0))),IF(AND(_xlpm.x=0,_xlpm.y&lt;&gt;0),-1,IF(AND(_xlpm.x&lt;&gt;0,_xlpm.y&lt;&gt;0),_xlpm.x,IF(AND(_xlpm.x-SUM(IF((INDIRECT($B$3)=$B131)*(INDIRECT($C$3)=$D131)*((INDIRECT($E$3)="TOTS")+(INDIRECT($E$3)=$E131)),INDIRECT(K$3)))&lt;&gt;0,_xlpm.y=0),-2,_xlpm.x)))),0))</f>
        <v>0</v>
      </c>
      <c r="L131" s="199" cm="1">
        <f t="array" aca="1" ref="L131" ca="1">IF(OR($B131="",$B131="X",$D131="",$D131="X",$E131="",$E131="X"),0,IFERROR(_xlfn.LET(_xlpm.x,SUM(SUM(_xlfn._xlws.FILTER(VALUE(PptoSty[Sign]&amp;1)*(1/PptoSty[Division]),(PptoSty[Division]&lt;&gt;0)*(PptoSty[Division]&lt;&gt;"")*(PptoSty[Division]&lt;&gt;"X")*(PptoSty[Project]=$B131)*(PptoSty[Vrs]=$D131)*(PptoSty[PiRow]=_xlfn.TEXTAFTER($H131,":"))*(PptoSty[PiColumn]=L$54),0)),SUM(IF((INDIRECT($B$3)=$B131)*(INDIRECT($C$3)=$D131)*((INDIRECT($E$3)="TOTS")+(INDIRECT($E$3)=$E131)),INDIRECT(L$3)))),_xlpm.y,SUM(_xlfn.CHOOSECOLS(_xlfn._xlws.FILTER(F_RT14[],(F_RT14[PrjId]=$B131)*(F_RT14[Vrs]=$D131)*(_xlfn.TEXTAFTER(F_RT14[ActGrp],":")=_xlfn.TEXTAFTER($H131,":")),"X"),MATCH("*"&amp;L$54,F_RT14[#Headers],0))),IF(AND(_xlpm.x=0,_xlpm.y&lt;&gt;0),-1,IF(AND(_xlpm.x&lt;&gt;0,_xlpm.y&lt;&gt;0),_xlpm.x,IF(AND(_xlpm.x-SUM(IF((INDIRECT($B$3)=$B131)*(INDIRECT($C$3)=$D131)*((INDIRECT($E$3)="TOTS")+(INDIRECT($E$3)=$E131)),INDIRECT(L$3)))&lt;&gt;0,_xlpm.y=0),-2,_xlpm.x)))),0))</f>
        <v>0</v>
      </c>
      <c r="M131" s="199" cm="1">
        <f t="array" aca="1" ref="M131" ca="1">IF(OR($B131="",$B131="X",$D131="",$D131="X",$E131="",$E131="X"),0,IFERROR(_xlfn.LET(_xlpm.x,SUM(SUM(_xlfn._xlws.FILTER(VALUE(PptoSty[Sign]&amp;1)*(1/PptoSty[Division]),(PptoSty[Division]&lt;&gt;0)*(PptoSty[Division]&lt;&gt;"")*(PptoSty[Division]&lt;&gt;"X")*(PptoSty[Project]=$B131)*(PptoSty[Vrs]=$D131)*(PptoSty[PiRow]=_xlfn.TEXTAFTER($H131,":"))*(PptoSty[PiColumn]=M$54),0)),SUM(IF((INDIRECT($B$3)=$B131)*(INDIRECT($C$3)=$D131)*((INDIRECT($E$3)="TOTS")+(INDIRECT($E$3)=$E131)),INDIRECT(M$3)))),_xlpm.y,SUM(_xlfn.CHOOSECOLS(_xlfn._xlws.FILTER(F_RT14[],(F_RT14[PrjId]=$B131)*(F_RT14[Vrs]=$D131)*(_xlfn.TEXTAFTER(F_RT14[ActGrp],":")=_xlfn.TEXTAFTER($H131,":")),"X"),MATCH("*"&amp;M$54,F_RT14[#Headers],0))),IF(AND(_xlpm.x=0,_xlpm.y&lt;&gt;0),-1,IF(AND(_xlpm.x&lt;&gt;0,_xlpm.y&lt;&gt;0),_xlpm.x,IF(AND(_xlpm.x-SUM(IF((INDIRECT($B$3)=$B131)*(INDIRECT($C$3)=$D131)*((INDIRECT($E$3)="TOTS")+(INDIRECT($E$3)=$E131)),INDIRECT(M$3)))&lt;&gt;0,_xlpm.y=0),-2,_xlpm.x)))),0))</f>
        <v>1</v>
      </c>
      <c r="N131" s="199" cm="1">
        <f t="array" aca="1" ref="N131" ca="1">IF(OR($B131="",$B131="X",$D131="",$D131="X",$E131="",$E131="X"),0,IFERROR(_xlfn.LET(_xlpm.x,SUM(SUM(_xlfn._xlws.FILTER(VALUE(PptoSty[Sign]&amp;1)*(1/PptoSty[Division]),(PptoSty[Division]&lt;&gt;0)*(PptoSty[Division]&lt;&gt;"")*(PptoSty[Division]&lt;&gt;"X")*(PptoSty[Project]=$B131)*(PptoSty[Vrs]=$D131)*(PptoSty[PiRow]=_xlfn.TEXTAFTER($H131,":"))*(PptoSty[PiColumn]=N$54),0)),SUM(IF((INDIRECT($B$3)=$B131)*(INDIRECT($C$3)=$D131)*((INDIRECT($E$3)="TOTS")+(INDIRECT($E$3)=$E131)),INDIRECT(N$3)))),_xlpm.y,SUM(_xlfn.CHOOSECOLS(_xlfn._xlws.FILTER(F_RT14[],(F_RT14[PrjId]=$B131)*(F_RT14[Vrs]=$D131)*(_xlfn.TEXTAFTER(F_RT14[ActGrp],":")=_xlfn.TEXTAFTER($H131,":")),"X"),MATCH("*"&amp;N$54,F_RT14[#Headers],0))),IF(AND(_xlpm.x=0,_xlpm.y&lt;&gt;0),-1,IF(AND(_xlpm.x&lt;&gt;0,_xlpm.y&lt;&gt;0),_xlpm.x,IF(AND(_xlpm.x-SUM(IF((INDIRECT($B$3)=$B131)*(INDIRECT($C$3)=$D131)*((INDIRECT($E$3)="TOTS")+(INDIRECT($E$3)=$E131)),INDIRECT(N$3)))&lt;&gt;0,_xlpm.y=0),-2,_xlpm.x)))),0))</f>
        <v>0</v>
      </c>
      <c r="O131" s="199" cm="1">
        <f t="array" aca="1" ref="O131" ca="1">IF(OR($B131="",$B131="X",$D131="",$D131="X",$E131="",$E131="X"),0,IFERROR(_xlfn.LET(_xlpm.x,SUM(SUM(_xlfn._xlws.FILTER(VALUE(PptoSty[Sign]&amp;1)*(1/PptoSty[Division]),(PptoSty[Division]&lt;&gt;0)*(PptoSty[Division]&lt;&gt;"")*(PptoSty[Division]&lt;&gt;"X")*(PptoSty[Project]=$B131)*(PptoSty[Vrs]=$D131)*(PptoSty[PiRow]=_xlfn.TEXTAFTER($H131,":"))*(PptoSty[PiColumn]=O$54),0)),SUM(IF((INDIRECT($B$3)=$B131)*(INDIRECT($C$3)=$D131)*((INDIRECT($E$3)="TOTS")+(INDIRECT($E$3)=$E131)),INDIRECT(O$3)))),_xlpm.y,SUM(_xlfn.CHOOSECOLS(_xlfn._xlws.FILTER(F_RT14[],(F_RT14[PrjId]=$B131)*(F_RT14[Vrs]=$D131)*(_xlfn.TEXTAFTER(F_RT14[ActGrp],":")=_xlfn.TEXTAFTER($H131,":")),"X"),MATCH("*"&amp;O$54,F_RT14[#Headers],0))),IF(AND(_xlpm.x=0,_xlpm.y&lt;&gt;0),-1,IF(AND(_xlpm.x&lt;&gt;0,_xlpm.y&lt;&gt;0),_xlpm.x,IF(AND(_xlpm.x-SUM(IF((INDIRECT($B$3)=$B131)*(INDIRECT($C$3)=$D131)*((INDIRECT($E$3)="TOTS")+(INDIRECT($E$3)=$E131)),INDIRECT(O$3)))&lt;&gt;0,_xlpm.y=0),-2,_xlpm.x)))),0))</f>
        <v>0</v>
      </c>
      <c r="P131" s="199" cm="1">
        <f t="array" aca="1" ref="P131" ca="1">IF(OR($B131="",$B131="X",$D131="",$D131="X",$E131="",$E131="X"),0,IFERROR(_xlfn.LET(_xlpm.x,SUM(SUM(_xlfn._xlws.FILTER(VALUE(PptoSty[Sign]&amp;1)*(1/PptoSty[Division]),(PptoSty[Division]&lt;&gt;0)*(PptoSty[Division]&lt;&gt;"")*(PptoSty[Division]&lt;&gt;"X")*(PptoSty[Project]=$B131)*(PptoSty[Vrs]=$D131)*(PptoSty[PiRow]=_xlfn.TEXTAFTER($H131,":"))*(PptoSty[PiColumn]=P$54),0)),SUM(IF((INDIRECT($B$3)=$B131)*(INDIRECT($C$3)=$D131)*((INDIRECT($E$3)="TOTS")+(INDIRECT($E$3)=$E131)),INDIRECT(P$3)))),_xlpm.y,SUM(_xlfn.CHOOSECOLS(_xlfn._xlws.FILTER(F_RT14[],(F_RT14[PrjId]=$B131)*(F_RT14[Vrs]=$D131)*(_xlfn.TEXTAFTER(F_RT14[ActGrp],":")=_xlfn.TEXTAFTER($H131,":")),"X"),MATCH("*"&amp;P$54,F_RT14[#Headers],0))),IF(AND(_xlpm.x=0,_xlpm.y&lt;&gt;0),-1,IF(AND(_xlpm.x&lt;&gt;0,_xlpm.y&lt;&gt;0),_xlpm.x,IF(AND(_xlpm.x-SUM(IF((INDIRECT($B$3)=$B131)*(INDIRECT($C$3)=$D131)*((INDIRECT($E$3)="TOTS")+(INDIRECT($E$3)=$E131)),INDIRECT(P$3)))&lt;&gt;0,_xlpm.y=0),-2,_xlpm.x)))),0))</f>
        <v>1</v>
      </c>
      <c r="Q131" s="199" cm="1">
        <f t="array" aca="1" ref="Q131" ca="1">IF(OR($B131="",$B131="X",$D131="",$D131="X",$E131="",$E131="X"),0,IFERROR(_xlfn.LET(_xlpm.x,SUM(SUM(_xlfn._xlws.FILTER(VALUE(PptoSty[Sign]&amp;1)*(1/PptoSty[Division]),(PptoSty[Division]&lt;&gt;0)*(PptoSty[Division]&lt;&gt;"")*(PptoSty[Division]&lt;&gt;"X")*(PptoSty[Project]=$B131)*(PptoSty[Vrs]=$D131)*(PptoSty[PiRow]=_xlfn.TEXTAFTER($H131,":"))*(PptoSty[PiColumn]=Q$54),0)),SUM(IF((INDIRECT($B$3)=$B131)*(INDIRECT($C$3)=$D131)*((INDIRECT($E$3)="TOTS")+(INDIRECT($E$3)=$E131)),INDIRECT(Q$3)))),_xlpm.y,SUM(_xlfn.CHOOSECOLS(_xlfn._xlws.FILTER(F_RT14[],(F_RT14[PrjId]=$B131)*(F_RT14[Vrs]=$D131)*(_xlfn.TEXTAFTER(F_RT14[ActGrp],":")=_xlfn.TEXTAFTER($H131,":")),"X"),MATCH("*"&amp;Q$54,F_RT14[#Headers],0))),IF(AND(_xlpm.x=0,_xlpm.y&lt;&gt;0),-1,IF(AND(_xlpm.x&lt;&gt;0,_xlpm.y&lt;&gt;0),_xlpm.x,IF(AND(_xlpm.x-SUM(IF((INDIRECT($B$3)=$B131)*(INDIRECT($C$3)=$D131)*((INDIRECT($E$3)="TOTS")+(INDIRECT($E$3)=$E131)),INDIRECT(Q$3)))&lt;&gt;0,_xlpm.y=0),-2,_xlpm.x)))),0))</f>
        <v>0</v>
      </c>
      <c r="R131" s="199" cm="1">
        <f t="array" aca="1" ref="R131" ca="1">IF(OR($B131="",$B131="X",$D131="",$D131="X",$E131="",$E131="X"),0,IFERROR(_xlfn.LET(_xlpm.x,SUM(SUM(_xlfn._xlws.FILTER(VALUE(PptoSty[Sign]&amp;1)*(1/PptoSty[Division]),(PptoSty[Division]&lt;&gt;0)*(PptoSty[Division]&lt;&gt;"")*(PptoSty[Division]&lt;&gt;"X")*(PptoSty[Project]=$B131)*(PptoSty[Vrs]=$D131)*(PptoSty[PiRow]=_xlfn.TEXTAFTER($H131,":"))*(PptoSty[PiColumn]=R$54),0)),SUM(IF((INDIRECT($B$3)=$B131)*(INDIRECT($C$3)=$D131)*((INDIRECT($E$3)="TOTS")+(INDIRECT($E$3)=$E131)),INDIRECT(R$3)))),_xlpm.y,SUM(_xlfn.CHOOSECOLS(_xlfn._xlws.FILTER(F_RT14[],(F_RT14[PrjId]=$B131)*(F_RT14[Vrs]=$D131)*(_xlfn.TEXTAFTER(F_RT14[ActGrp],":")=_xlfn.TEXTAFTER($H131,":")),"X"),MATCH("*"&amp;R$54,F_RT14[#Headers],0))),IF(AND(_xlpm.x=0,_xlpm.y&lt;&gt;0),-1,IF(AND(_xlpm.x&lt;&gt;0,_xlpm.y&lt;&gt;0),_xlpm.x,IF(AND(_xlpm.x-SUM(IF((INDIRECT($B$3)=$B131)*(INDIRECT($C$3)=$D131)*((INDIRECT($E$3)="TOTS")+(INDIRECT($E$3)=$E131)),INDIRECT(R$3)))&lt;&gt;0,_xlpm.y=0),-2,_xlpm.x)))),0))</f>
        <v>1</v>
      </c>
      <c r="S131" s="199" cm="1">
        <f t="array" aca="1" ref="S131" ca="1">IF(OR($B131="",$B131="X",$D131="",$D131="X",$E131="",$E131="X"),0,IFERROR(_xlfn.LET(_xlpm.x,SUM(SUM(_xlfn._xlws.FILTER(VALUE(PptoSty[Sign]&amp;1)*(1/PptoSty[Division]),(PptoSty[Division]&lt;&gt;0)*(PptoSty[Division]&lt;&gt;"")*(PptoSty[Division]&lt;&gt;"X")*(PptoSty[Project]=$B131)*(PptoSty[Vrs]=$D131)*(PptoSty[PiRow]=_xlfn.TEXTAFTER($H131,":"))*(PptoSty[PiColumn]=S$54),0)),SUM(IF((INDIRECT($B$3)=$B131)*(INDIRECT($C$3)=$D131)*((INDIRECT($E$3)="TOTS")+(INDIRECT($E$3)=$E131)),INDIRECT(S$3)))),_xlpm.y,SUM(_xlfn.CHOOSECOLS(_xlfn._xlws.FILTER(F_RT14[],(F_RT14[PrjId]=$B131)*(F_RT14[Vrs]=$D131)*(_xlfn.TEXTAFTER(F_RT14[ActGrp],":")=_xlfn.TEXTAFTER($H131,":")),"X"),MATCH("*"&amp;S$54,F_RT14[#Headers],0))),IF(AND(_xlpm.x=0,_xlpm.y&lt;&gt;0),-1,IF(AND(_xlpm.x&lt;&gt;0,_xlpm.y&lt;&gt;0),_xlpm.x,IF(AND(_xlpm.x-SUM(IF((INDIRECT($B$3)=$B131)*(INDIRECT($C$3)=$D131)*((INDIRECT($E$3)="TOTS")+(INDIRECT($E$3)=$E131)),INDIRECT(S$3)))&lt;&gt;0,_xlpm.y=0),-2,_xlpm.x)))),0))</f>
        <v>0</v>
      </c>
      <c r="T131" s="199" cm="1">
        <f t="array" aca="1" ref="T131" ca="1">IF(OR($B131="",$B131="X",$D131="",$D131="X",$E131="",$E131="X"),0,IFERROR(_xlfn.LET(_xlpm.x,SUM(SUM(_xlfn._xlws.FILTER(VALUE(PptoSty[Sign]&amp;1)*(1/PptoSty[Division]),(PptoSty[Division]&lt;&gt;0)*(PptoSty[Division]&lt;&gt;"")*(PptoSty[Division]&lt;&gt;"X")*(PptoSty[Project]=$B131)*(PptoSty[Vrs]=$D131)*(PptoSty[PiRow]=_xlfn.TEXTAFTER($H131,":"))*(PptoSty[PiColumn]=T$54),0)),SUM(IF((INDIRECT($B$3)=$B131)*(INDIRECT($C$3)=$D131)*((INDIRECT($E$3)="TOTS")+(INDIRECT($E$3)=$E131)),INDIRECT(T$3)))),_xlpm.y,SUM(_xlfn.CHOOSECOLS(_xlfn._xlws.FILTER(F_RT14[],(F_RT14[PrjId]=$B131)*(F_RT14[Vrs]=$D131)*(_xlfn.TEXTAFTER(F_RT14[ActGrp],":")=_xlfn.TEXTAFTER($H131,":")),"X"),MATCH("*"&amp;T$54,F_RT14[#Headers],0))),IF(AND(_xlpm.x=0,_xlpm.y&lt;&gt;0),-1,IF(AND(_xlpm.x&lt;&gt;0,_xlpm.y&lt;&gt;0),_xlpm.x,IF(AND(_xlpm.x-SUM(IF((INDIRECT($B$3)=$B131)*(INDIRECT($C$3)=$D131)*((INDIRECT($E$3)="TOTS")+(INDIRECT($E$3)=$E131)),INDIRECT(T$3)))&lt;&gt;0,_xlpm.y=0),-2,_xlpm.x)))),0))</f>
        <v>0</v>
      </c>
      <c r="U131" s="199" cm="1">
        <f t="array" aca="1" ref="U131" ca="1">IF(OR($B131="",$B131="X",$D131="",$D131="X",$E131="",$E131="X"),0,IFERROR(_xlfn.LET(_xlpm.x,SUM(SUM(_xlfn._xlws.FILTER(VALUE(PptoSty[Sign]&amp;1)*(1/PptoSty[Division]),(PptoSty[Division]&lt;&gt;0)*(PptoSty[Division]&lt;&gt;"")*(PptoSty[Division]&lt;&gt;"X")*(PptoSty[Project]=$B131)*(PptoSty[Vrs]=$D131)*(PptoSty[PiRow]=_xlfn.TEXTAFTER($H131,":"))*(PptoSty[PiColumn]=U$54),0)),SUM(IF((INDIRECT($B$3)=$B131)*(INDIRECT($C$3)=$D131)*((INDIRECT($E$3)="TOTS")+(INDIRECT($E$3)=$E131)),INDIRECT(U$3)))),_xlpm.y,SUM(_xlfn.CHOOSECOLS(_xlfn._xlws.FILTER(F_RT14[],(F_RT14[PrjId]=$B131)*(F_RT14[Vrs]=$D131)*(_xlfn.TEXTAFTER(F_RT14[ActGrp],":")=_xlfn.TEXTAFTER($H131,":")),"X"),MATCH("*"&amp;U$54,F_RT14[#Headers],0))),IF(AND(_xlpm.x=0,_xlpm.y&lt;&gt;0),-1,IF(AND(_xlpm.x&lt;&gt;0,_xlpm.y&lt;&gt;0),_xlpm.x,IF(AND(_xlpm.x-SUM(IF((INDIRECT($B$3)=$B131)*(INDIRECT($C$3)=$D131)*((INDIRECT($E$3)="TOTS")+(INDIRECT($E$3)=$E131)),INDIRECT(U$3)))&lt;&gt;0,_xlpm.y=0),-2,_xlpm.x)))),0))</f>
        <v>0</v>
      </c>
      <c r="V131" s="199" cm="1">
        <f t="array" aca="1" ref="V131" ca="1">IF(OR($B131="",$B131="X",$D131="",$D131="X",$E131="",$E131="X"),0,IFERROR(_xlfn.LET(_xlpm.x,SUM(SUM(_xlfn._xlws.FILTER(VALUE(PptoSty[Sign]&amp;1)*(1/PptoSty[Division]),(PptoSty[Division]&lt;&gt;0)*(PptoSty[Division]&lt;&gt;"")*(PptoSty[Division]&lt;&gt;"X")*(PptoSty[Project]=$B131)*(PptoSty[Vrs]=$D131)*(PptoSty[PiRow]=_xlfn.TEXTAFTER($H131,":"))*(PptoSty[PiColumn]=V$54),0)),SUM(IF((INDIRECT($B$3)=$B131)*(INDIRECT($C$3)=$D131)*((INDIRECT($E$3)="TOTS")+(INDIRECT($E$3)=$E131)),INDIRECT(V$3)))),_xlpm.y,SUM(_xlfn.CHOOSECOLS(_xlfn._xlws.FILTER(F_RT14[],(F_RT14[PrjId]=$B131)*(F_RT14[Vrs]=$D131)*(_xlfn.TEXTAFTER(F_RT14[ActGrp],":")=_xlfn.TEXTAFTER($H131,":")),"X"),MATCH("*"&amp;V$54,F_RT14[#Headers],0))),IF(AND(_xlpm.x=0,_xlpm.y&lt;&gt;0),-1,IF(AND(_xlpm.x&lt;&gt;0,_xlpm.y&lt;&gt;0),_xlpm.x,IF(AND(_xlpm.x-SUM(IF((INDIRECT($B$3)=$B131)*(INDIRECT($C$3)=$D131)*((INDIRECT($E$3)="TOTS")+(INDIRECT($E$3)=$E131)),INDIRECT(V$3)))&lt;&gt;0,_xlpm.y=0),-2,_xlpm.x)))),0))</f>
        <v>0</v>
      </c>
      <c r="W131" s="199" cm="1">
        <f t="array" aca="1" ref="W131" ca="1">IF(OR($B131="",$B131="X",$D131="",$D131="X",$E131="",$E131="X"),0,IFERROR(_xlfn.LET(_xlpm.x,SUM(SUM(_xlfn._xlws.FILTER(VALUE(PptoSty[Sign]&amp;1)*(1/PptoSty[Division]),(PptoSty[Division]&lt;&gt;0)*(PptoSty[Division]&lt;&gt;"")*(PptoSty[Division]&lt;&gt;"X")*(PptoSty[Project]=$B131)*(PptoSty[Vrs]=$D131)*(PptoSty[PiRow]=_xlfn.TEXTAFTER($H131,":"))*(PptoSty[PiColumn]=W$54),0)),SUM(IF((INDIRECT($B$3)=$B131)*(INDIRECT($C$3)=$D131)*((INDIRECT($E$3)="TOTS")+(INDIRECT($E$3)=$E131)),INDIRECT(W$3)))),_xlpm.y,SUM(_xlfn.CHOOSECOLS(_xlfn._xlws.FILTER(F_RT14[],(F_RT14[PrjId]=$B131)*(F_RT14[Vrs]=$D131)*(_xlfn.TEXTAFTER(F_RT14[ActGrp],":")=_xlfn.TEXTAFTER($H131,":")),"X"),MATCH("*"&amp;W$54,F_RT14[#Headers],0))),IF(AND(_xlpm.x=0,_xlpm.y&lt;&gt;0),-1,IF(AND(_xlpm.x&lt;&gt;0,_xlpm.y&lt;&gt;0),_xlpm.x,IF(AND(_xlpm.x-SUM(IF((INDIRECT($B$3)=$B131)*(INDIRECT($C$3)=$D131)*((INDIRECT($E$3)="TOTS")+(INDIRECT($E$3)=$E131)),INDIRECT(W$3)))&lt;&gt;0,_xlpm.y=0),-2,_xlpm.x)))),0))</f>
        <v>0</v>
      </c>
      <c r="X131" s="199" cm="1">
        <f t="array" aca="1" ref="X131" ca="1">IF(OR($B131="",$B131="X",$D131="",$D131="X",$E131="",$E131="X"),0,IFERROR(_xlfn.LET(_xlpm.x,SUM(SUM(_xlfn._xlws.FILTER(VALUE(PptoSty[Sign]&amp;1)*(1/PptoSty[Division]),(PptoSty[Division]&lt;&gt;0)*(PptoSty[Division]&lt;&gt;"")*(PptoSty[Division]&lt;&gt;"X")*(PptoSty[Project]=$B131)*(PptoSty[Vrs]=$D131)*(PptoSty[PiRow]=_xlfn.TEXTAFTER($H131,":"))*(PptoSty[PiColumn]=X$54),0)),SUM(IF((INDIRECT($B$3)=$B131)*(INDIRECT($C$3)=$D131)*((INDIRECT($E$3)="TOTS")+(INDIRECT($E$3)=$E131)),INDIRECT(X$3)))),_xlpm.y,SUM(_xlfn.CHOOSECOLS(_xlfn._xlws.FILTER(F_RT14[],(F_RT14[PrjId]=$B131)*(F_RT14[Vrs]=$D131)*(_xlfn.TEXTAFTER(F_RT14[ActGrp],":")=_xlfn.TEXTAFTER($H131,":")),"X"),MATCH("*"&amp;X$54,F_RT14[#Headers],0))),IF(AND(_xlpm.x=0,_xlpm.y&lt;&gt;0),-1,IF(AND(_xlpm.x&lt;&gt;0,_xlpm.y&lt;&gt;0),_xlpm.x,IF(AND(_xlpm.x-SUM(IF((INDIRECT($B$3)=$B131)*(INDIRECT($C$3)=$D131)*((INDIRECT($E$3)="TOTS")+(INDIRECT($E$3)=$E131)),INDIRECT(X$3)))&lt;&gt;0,_xlpm.y=0),-2,_xlpm.x)))),0))</f>
        <v>0</v>
      </c>
      <c r="Y131" s="199" cm="1">
        <f t="array" aca="1" ref="Y131" ca="1">IF(OR($B131="",$B131="X",$D131="",$D131="X",$E131="",$E131="X"),0,IFERROR(_xlfn.LET(_xlpm.x,SUM(SUM(_xlfn._xlws.FILTER(VALUE(PptoSty[Sign]&amp;1)*(1/PptoSty[Division]),(PptoSty[Division]&lt;&gt;0)*(PptoSty[Division]&lt;&gt;"")*(PptoSty[Division]&lt;&gt;"X")*(PptoSty[Project]=$B131)*(PptoSty[Vrs]=$D131)*(PptoSty[PiRow]=_xlfn.TEXTAFTER($H131,":"))*(PptoSty[PiColumn]=Y$54),0)),SUM(IF((INDIRECT($B$3)=$B131)*(INDIRECT($C$3)=$D131)*((INDIRECT($E$3)="TOTS")+(INDIRECT($E$3)=$E131)),INDIRECT(Y$3)))),_xlpm.y,SUM(_xlfn.CHOOSECOLS(_xlfn._xlws.FILTER(F_RT14[],(F_RT14[PrjId]=$B131)*(F_RT14[Vrs]=$D131)*(_xlfn.TEXTAFTER(F_RT14[ActGrp],":")=_xlfn.TEXTAFTER($H131,":")),"X"),MATCH("*"&amp;Y$54,F_RT14[#Headers],0))),IF(AND(_xlpm.x=0,_xlpm.y&lt;&gt;0),-1,IF(AND(_xlpm.x&lt;&gt;0,_xlpm.y&lt;&gt;0),_xlpm.x,IF(AND(_xlpm.x-SUM(IF((INDIRECT($B$3)=$B131)*(INDIRECT($C$3)=$D131)*((INDIRECT($E$3)="TOTS")+(INDIRECT($E$3)=$E131)),INDIRECT(Y$3)))&lt;&gt;0,_xlpm.y=0),-2,_xlpm.x)))),0))</f>
        <v>0</v>
      </c>
      <c r="Z131" s="198" t="str">
        <f t="shared" ca="1" si="3"/>
        <v>Fback!B131:Y131</v>
      </c>
    </row>
    <row r="132" spans="2:26" ht="21" customHeight="1" outlineLevel="1">
      <c r="B132" s="128" t="str">
        <v>31200</v>
      </c>
      <c r="C132" s="128" t="str">
        <v>Sp</v>
      </c>
      <c r="D132" s="128">
        <v>16</v>
      </c>
      <c r="E132" s="128" t="str">
        <v>PEMX</v>
      </c>
      <c r="F132" s="139" t="str">
        <v>SERRA</v>
      </c>
      <c r="G132" s="139" t="str">
        <v>CurPpto</v>
      </c>
      <c r="H132" s="139" t="str">
        <v>G005:PUESTA EN MARCHA EN SERRA</v>
      </c>
      <c r="I132" s="199" cm="1">
        <f t="array" aca="1" ref="I132" ca="1">IF(OR($B132="",$B132="X",$D132="",$D132="X",$E132="",$E132="X"),0,IFERROR(_xlfn.LET(_xlpm.x,SUM(SUM(_xlfn._xlws.FILTER(VALUE(PptoSty[Sign]&amp;1)*(1/PptoSty[Division]),(PptoSty[Division]&lt;&gt;0)*(PptoSty[Division]&lt;&gt;"")*(PptoSty[Division]&lt;&gt;"X")*(PptoSty[Project]=$B132)*(PptoSty[Vrs]=$D132)*(PptoSty[PiRow]=_xlfn.TEXTAFTER($H132,":"))*(PptoSty[PiColumn]=I$54),0)),SUM(IF((INDIRECT($B$3)=$B132)*(INDIRECT($C$3)=$D132)*((INDIRECT($E$3)="TOTS")+(INDIRECT($E$3)=$E132)),INDIRECT(I$3)))),_xlpm.y,SUM(_xlfn.CHOOSECOLS(_xlfn._xlws.FILTER(F_RT14[],(F_RT14[PrjId]=$B132)*(F_RT14[Vrs]=$D132)*(_xlfn.TEXTAFTER(F_RT14[ActGrp],":")=_xlfn.TEXTAFTER($H132,":")),"X"),MATCH("*"&amp;I$54,F_RT14[#Headers],0))),IF(AND(_xlpm.x=0,_xlpm.y&lt;&gt;0),-1,IF(AND(_xlpm.x&lt;&gt;0,_xlpm.y&lt;&gt;0),_xlpm.x,IF(AND(_xlpm.x-SUM(IF((INDIRECT($B$3)=$B132)*(INDIRECT($C$3)=$D132)*((INDIRECT($E$3)="TOTS")+(INDIRECT($E$3)=$E132)),INDIRECT(I$3)))&lt;&gt;0,_xlpm.y=0),-2,_xlpm.x)))),0))</f>
        <v>1</v>
      </c>
      <c r="J132" s="199" cm="1">
        <f t="array" aca="1" ref="J132" ca="1">IF(OR($B132="",$B132="X",$D132="",$D132="X",$E132="",$E132="X"),0,IFERROR(_xlfn.LET(_xlpm.x,SUM(SUM(_xlfn._xlws.FILTER(VALUE(PptoSty[Sign]&amp;1)*(1/PptoSty[Division]),(PptoSty[Division]&lt;&gt;0)*(PptoSty[Division]&lt;&gt;"")*(PptoSty[Division]&lt;&gt;"X")*(PptoSty[Project]=$B132)*(PptoSty[Vrs]=$D132)*(PptoSty[PiRow]=_xlfn.TEXTAFTER($H132,":"))*(PptoSty[PiColumn]=J$54),0)),SUM(IF((INDIRECT($B$3)=$B132)*(INDIRECT($C$3)=$D132)*((INDIRECT($E$3)="TOTS")+(INDIRECT($E$3)=$E132)),INDIRECT(J$3)))),_xlpm.y,SUM(_xlfn.CHOOSECOLS(_xlfn._xlws.FILTER(F_RT14[],(F_RT14[PrjId]=$B132)*(F_RT14[Vrs]=$D132)*(_xlfn.TEXTAFTER(F_RT14[ActGrp],":")=_xlfn.TEXTAFTER($H132,":")),"X"),MATCH("*"&amp;J$54,F_RT14[#Headers],0))),IF(AND(_xlpm.x=0,_xlpm.y&lt;&gt;0),-1,IF(AND(_xlpm.x&lt;&gt;0,_xlpm.y&lt;&gt;0),_xlpm.x,IF(AND(_xlpm.x-SUM(IF((INDIRECT($B$3)=$B132)*(INDIRECT($C$3)=$D132)*((INDIRECT($E$3)="TOTS")+(INDIRECT($E$3)=$E132)),INDIRECT(J$3)))&lt;&gt;0,_xlpm.y=0),-2,_xlpm.x)))),0))</f>
        <v>0</v>
      </c>
      <c r="K132" s="199" cm="1">
        <f t="array" aca="1" ref="K132" ca="1">IF(OR($B132="",$B132="X",$D132="",$D132="X",$E132="",$E132="X"),0,IFERROR(_xlfn.LET(_xlpm.x,SUM(SUM(_xlfn._xlws.FILTER(VALUE(PptoSty[Sign]&amp;1)*(1/PptoSty[Division]),(PptoSty[Division]&lt;&gt;0)*(PptoSty[Division]&lt;&gt;"")*(PptoSty[Division]&lt;&gt;"X")*(PptoSty[Project]=$B132)*(PptoSty[Vrs]=$D132)*(PptoSty[PiRow]=_xlfn.TEXTAFTER($H132,":"))*(PptoSty[PiColumn]=K$54),0)),SUM(IF((INDIRECT($B$3)=$B132)*(INDIRECT($C$3)=$D132)*((INDIRECT($E$3)="TOTS")+(INDIRECT($E$3)=$E132)),INDIRECT(K$3)))),_xlpm.y,SUM(_xlfn.CHOOSECOLS(_xlfn._xlws.FILTER(F_RT14[],(F_RT14[PrjId]=$B132)*(F_RT14[Vrs]=$D132)*(_xlfn.TEXTAFTER(F_RT14[ActGrp],":")=_xlfn.TEXTAFTER($H132,":")),"X"),MATCH("*"&amp;K$54,F_RT14[#Headers],0))),IF(AND(_xlpm.x=0,_xlpm.y&lt;&gt;0),-1,IF(AND(_xlpm.x&lt;&gt;0,_xlpm.y&lt;&gt;0),_xlpm.x,IF(AND(_xlpm.x-SUM(IF((INDIRECT($B$3)=$B132)*(INDIRECT($C$3)=$D132)*((INDIRECT($E$3)="TOTS")+(INDIRECT($E$3)=$E132)),INDIRECT(K$3)))&lt;&gt;0,_xlpm.y=0),-2,_xlpm.x)))),0))</f>
        <v>0</v>
      </c>
      <c r="L132" s="199" cm="1">
        <f t="array" aca="1" ref="L132" ca="1">IF(OR($B132="",$B132="X",$D132="",$D132="X",$E132="",$E132="X"),0,IFERROR(_xlfn.LET(_xlpm.x,SUM(SUM(_xlfn._xlws.FILTER(VALUE(PptoSty[Sign]&amp;1)*(1/PptoSty[Division]),(PptoSty[Division]&lt;&gt;0)*(PptoSty[Division]&lt;&gt;"")*(PptoSty[Division]&lt;&gt;"X")*(PptoSty[Project]=$B132)*(PptoSty[Vrs]=$D132)*(PptoSty[PiRow]=_xlfn.TEXTAFTER($H132,":"))*(PptoSty[PiColumn]=L$54),0)),SUM(IF((INDIRECT($B$3)=$B132)*(INDIRECT($C$3)=$D132)*((INDIRECT($E$3)="TOTS")+(INDIRECT($E$3)=$E132)),INDIRECT(L$3)))),_xlpm.y,SUM(_xlfn.CHOOSECOLS(_xlfn._xlws.FILTER(F_RT14[],(F_RT14[PrjId]=$B132)*(F_RT14[Vrs]=$D132)*(_xlfn.TEXTAFTER(F_RT14[ActGrp],":")=_xlfn.TEXTAFTER($H132,":")),"X"),MATCH("*"&amp;L$54,F_RT14[#Headers],0))),IF(AND(_xlpm.x=0,_xlpm.y&lt;&gt;0),-1,IF(AND(_xlpm.x&lt;&gt;0,_xlpm.y&lt;&gt;0),_xlpm.x,IF(AND(_xlpm.x-SUM(IF((INDIRECT($B$3)=$B132)*(INDIRECT($C$3)=$D132)*((INDIRECT($E$3)="TOTS")+(INDIRECT($E$3)=$E132)),INDIRECT(L$3)))&lt;&gt;0,_xlpm.y=0),-2,_xlpm.x)))),0))</f>
        <v>0</v>
      </c>
      <c r="M132" s="199" cm="1">
        <f t="array" aca="1" ref="M132" ca="1">IF(OR($B132="",$B132="X",$D132="",$D132="X",$E132="",$E132="X"),0,IFERROR(_xlfn.LET(_xlpm.x,SUM(SUM(_xlfn._xlws.FILTER(VALUE(PptoSty[Sign]&amp;1)*(1/PptoSty[Division]),(PptoSty[Division]&lt;&gt;0)*(PptoSty[Division]&lt;&gt;"")*(PptoSty[Division]&lt;&gt;"X")*(PptoSty[Project]=$B132)*(PptoSty[Vrs]=$D132)*(PptoSty[PiRow]=_xlfn.TEXTAFTER($H132,":"))*(PptoSty[PiColumn]=M$54),0)),SUM(IF((INDIRECT($B$3)=$B132)*(INDIRECT($C$3)=$D132)*((INDIRECT($E$3)="TOTS")+(INDIRECT($E$3)=$E132)),INDIRECT(M$3)))),_xlpm.y,SUM(_xlfn.CHOOSECOLS(_xlfn._xlws.FILTER(F_RT14[],(F_RT14[PrjId]=$B132)*(F_RT14[Vrs]=$D132)*(_xlfn.TEXTAFTER(F_RT14[ActGrp],":")=_xlfn.TEXTAFTER($H132,":")),"X"),MATCH("*"&amp;M$54,F_RT14[#Headers],0))),IF(AND(_xlpm.x=0,_xlpm.y&lt;&gt;0),-1,IF(AND(_xlpm.x&lt;&gt;0,_xlpm.y&lt;&gt;0),_xlpm.x,IF(AND(_xlpm.x-SUM(IF((INDIRECT($B$3)=$B132)*(INDIRECT($C$3)=$D132)*((INDIRECT($E$3)="TOTS")+(INDIRECT($E$3)=$E132)),INDIRECT(M$3)))&lt;&gt;0,_xlpm.y=0),-2,_xlpm.x)))),0))</f>
        <v>0</v>
      </c>
      <c r="N132" s="199" cm="1">
        <f t="array" aca="1" ref="N132" ca="1">IF(OR($B132="",$B132="X",$D132="",$D132="X",$E132="",$E132="X"),0,IFERROR(_xlfn.LET(_xlpm.x,SUM(SUM(_xlfn._xlws.FILTER(VALUE(PptoSty[Sign]&amp;1)*(1/PptoSty[Division]),(PptoSty[Division]&lt;&gt;0)*(PptoSty[Division]&lt;&gt;"")*(PptoSty[Division]&lt;&gt;"X")*(PptoSty[Project]=$B132)*(PptoSty[Vrs]=$D132)*(PptoSty[PiRow]=_xlfn.TEXTAFTER($H132,":"))*(PptoSty[PiColumn]=N$54),0)),SUM(IF((INDIRECT($B$3)=$B132)*(INDIRECT($C$3)=$D132)*((INDIRECT($E$3)="TOTS")+(INDIRECT($E$3)=$E132)),INDIRECT(N$3)))),_xlpm.y,SUM(_xlfn.CHOOSECOLS(_xlfn._xlws.FILTER(F_RT14[],(F_RT14[PrjId]=$B132)*(F_RT14[Vrs]=$D132)*(_xlfn.TEXTAFTER(F_RT14[ActGrp],":")=_xlfn.TEXTAFTER($H132,":")),"X"),MATCH("*"&amp;N$54,F_RT14[#Headers],0))),IF(AND(_xlpm.x=0,_xlpm.y&lt;&gt;0),-1,IF(AND(_xlpm.x&lt;&gt;0,_xlpm.y&lt;&gt;0),_xlpm.x,IF(AND(_xlpm.x-SUM(IF((INDIRECT($B$3)=$B132)*(INDIRECT($C$3)=$D132)*((INDIRECT($E$3)="TOTS")+(INDIRECT($E$3)=$E132)),INDIRECT(N$3)))&lt;&gt;0,_xlpm.y=0),-2,_xlpm.x)))),0))</f>
        <v>0</v>
      </c>
      <c r="O132" s="199" cm="1">
        <f t="array" aca="1" ref="O132" ca="1">IF(OR($B132="",$B132="X",$D132="",$D132="X",$E132="",$E132="X"),0,IFERROR(_xlfn.LET(_xlpm.x,SUM(SUM(_xlfn._xlws.FILTER(VALUE(PptoSty[Sign]&amp;1)*(1/PptoSty[Division]),(PptoSty[Division]&lt;&gt;0)*(PptoSty[Division]&lt;&gt;"")*(PptoSty[Division]&lt;&gt;"X")*(PptoSty[Project]=$B132)*(PptoSty[Vrs]=$D132)*(PptoSty[PiRow]=_xlfn.TEXTAFTER($H132,":"))*(PptoSty[PiColumn]=O$54),0)),SUM(IF((INDIRECT($B$3)=$B132)*(INDIRECT($C$3)=$D132)*((INDIRECT($E$3)="TOTS")+(INDIRECT($E$3)=$E132)),INDIRECT(O$3)))),_xlpm.y,SUM(_xlfn.CHOOSECOLS(_xlfn._xlws.FILTER(F_RT14[],(F_RT14[PrjId]=$B132)*(F_RT14[Vrs]=$D132)*(_xlfn.TEXTAFTER(F_RT14[ActGrp],":")=_xlfn.TEXTAFTER($H132,":")),"X"),MATCH("*"&amp;O$54,F_RT14[#Headers],0))),IF(AND(_xlpm.x=0,_xlpm.y&lt;&gt;0),-1,IF(AND(_xlpm.x&lt;&gt;0,_xlpm.y&lt;&gt;0),_xlpm.x,IF(AND(_xlpm.x-SUM(IF((INDIRECT($B$3)=$B132)*(INDIRECT($C$3)=$D132)*((INDIRECT($E$3)="TOTS")+(INDIRECT($E$3)=$E132)),INDIRECT(O$3)))&lt;&gt;0,_xlpm.y=0),-2,_xlpm.x)))),0))</f>
        <v>0</v>
      </c>
      <c r="P132" s="199" cm="1">
        <f t="array" aca="1" ref="P132" ca="1">IF(OR($B132="",$B132="X",$D132="",$D132="X",$E132="",$E132="X"),0,IFERROR(_xlfn.LET(_xlpm.x,SUM(SUM(_xlfn._xlws.FILTER(VALUE(PptoSty[Sign]&amp;1)*(1/PptoSty[Division]),(PptoSty[Division]&lt;&gt;0)*(PptoSty[Division]&lt;&gt;"")*(PptoSty[Division]&lt;&gt;"X")*(PptoSty[Project]=$B132)*(PptoSty[Vrs]=$D132)*(PptoSty[PiRow]=_xlfn.TEXTAFTER($H132,":"))*(PptoSty[PiColumn]=P$54),0)),SUM(IF((INDIRECT($B$3)=$B132)*(INDIRECT($C$3)=$D132)*((INDIRECT($E$3)="TOTS")+(INDIRECT($E$3)=$E132)),INDIRECT(P$3)))),_xlpm.y,SUM(_xlfn.CHOOSECOLS(_xlfn._xlws.FILTER(F_RT14[],(F_RT14[PrjId]=$B132)*(F_RT14[Vrs]=$D132)*(_xlfn.TEXTAFTER(F_RT14[ActGrp],":")=_xlfn.TEXTAFTER($H132,":")),"X"),MATCH("*"&amp;P$54,F_RT14[#Headers],0))),IF(AND(_xlpm.x=0,_xlpm.y&lt;&gt;0),-1,IF(AND(_xlpm.x&lt;&gt;0,_xlpm.y&lt;&gt;0),_xlpm.x,IF(AND(_xlpm.x-SUM(IF((INDIRECT($B$3)=$B132)*(INDIRECT($C$3)=$D132)*((INDIRECT($E$3)="TOTS")+(INDIRECT($E$3)=$E132)),INDIRECT(P$3)))&lt;&gt;0,_xlpm.y=0),-2,_xlpm.x)))),0))</f>
        <v>1</v>
      </c>
      <c r="Q132" s="199" cm="1">
        <f t="array" aca="1" ref="Q132" ca="1">IF(OR($B132="",$B132="X",$D132="",$D132="X",$E132="",$E132="X"),0,IFERROR(_xlfn.LET(_xlpm.x,SUM(SUM(_xlfn._xlws.FILTER(VALUE(PptoSty[Sign]&amp;1)*(1/PptoSty[Division]),(PptoSty[Division]&lt;&gt;0)*(PptoSty[Division]&lt;&gt;"")*(PptoSty[Division]&lt;&gt;"X")*(PptoSty[Project]=$B132)*(PptoSty[Vrs]=$D132)*(PptoSty[PiRow]=_xlfn.TEXTAFTER($H132,":"))*(PptoSty[PiColumn]=Q$54),0)),SUM(IF((INDIRECT($B$3)=$B132)*(INDIRECT($C$3)=$D132)*((INDIRECT($E$3)="TOTS")+(INDIRECT($E$3)=$E132)),INDIRECT(Q$3)))),_xlpm.y,SUM(_xlfn.CHOOSECOLS(_xlfn._xlws.FILTER(F_RT14[],(F_RT14[PrjId]=$B132)*(F_RT14[Vrs]=$D132)*(_xlfn.TEXTAFTER(F_RT14[ActGrp],":")=_xlfn.TEXTAFTER($H132,":")),"X"),MATCH("*"&amp;Q$54,F_RT14[#Headers],0))),IF(AND(_xlpm.x=0,_xlpm.y&lt;&gt;0),-1,IF(AND(_xlpm.x&lt;&gt;0,_xlpm.y&lt;&gt;0),_xlpm.x,IF(AND(_xlpm.x-SUM(IF((INDIRECT($B$3)=$B132)*(INDIRECT($C$3)=$D132)*((INDIRECT($E$3)="TOTS")+(INDIRECT($E$3)=$E132)),INDIRECT(Q$3)))&lt;&gt;0,_xlpm.y=0),-2,_xlpm.x)))),0))</f>
        <v>1</v>
      </c>
      <c r="R132" s="199" cm="1">
        <f t="array" aca="1" ref="R132" ca="1">IF(OR($B132="",$B132="X",$D132="",$D132="X",$E132="",$E132="X"),0,IFERROR(_xlfn.LET(_xlpm.x,SUM(SUM(_xlfn._xlws.FILTER(VALUE(PptoSty[Sign]&amp;1)*(1/PptoSty[Division]),(PptoSty[Division]&lt;&gt;0)*(PptoSty[Division]&lt;&gt;"")*(PptoSty[Division]&lt;&gt;"X")*(PptoSty[Project]=$B132)*(PptoSty[Vrs]=$D132)*(PptoSty[PiRow]=_xlfn.TEXTAFTER($H132,":"))*(PptoSty[PiColumn]=R$54),0)),SUM(IF((INDIRECT($B$3)=$B132)*(INDIRECT($C$3)=$D132)*((INDIRECT($E$3)="TOTS")+(INDIRECT($E$3)=$E132)),INDIRECT(R$3)))),_xlpm.y,SUM(_xlfn.CHOOSECOLS(_xlfn._xlws.FILTER(F_RT14[],(F_RT14[PrjId]=$B132)*(F_RT14[Vrs]=$D132)*(_xlfn.TEXTAFTER(F_RT14[ActGrp],":")=_xlfn.TEXTAFTER($H132,":")),"X"),MATCH("*"&amp;R$54,F_RT14[#Headers],0))),IF(AND(_xlpm.x=0,_xlpm.y&lt;&gt;0),-1,IF(AND(_xlpm.x&lt;&gt;0,_xlpm.y&lt;&gt;0),_xlpm.x,IF(AND(_xlpm.x-SUM(IF((INDIRECT($B$3)=$B132)*(INDIRECT($C$3)=$D132)*((INDIRECT($E$3)="TOTS")+(INDIRECT($E$3)=$E132)),INDIRECT(R$3)))&lt;&gt;0,_xlpm.y=0),-2,_xlpm.x)))),0))</f>
        <v>0</v>
      </c>
      <c r="S132" s="199" cm="1">
        <f t="array" aca="1" ref="S132" ca="1">IF(OR($B132="",$B132="X",$D132="",$D132="X",$E132="",$E132="X"),0,IFERROR(_xlfn.LET(_xlpm.x,SUM(SUM(_xlfn._xlws.FILTER(VALUE(PptoSty[Sign]&amp;1)*(1/PptoSty[Division]),(PptoSty[Division]&lt;&gt;0)*(PptoSty[Division]&lt;&gt;"")*(PptoSty[Division]&lt;&gt;"X")*(PptoSty[Project]=$B132)*(PptoSty[Vrs]=$D132)*(PptoSty[PiRow]=_xlfn.TEXTAFTER($H132,":"))*(PptoSty[PiColumn]=S$54),0)),SUM(IF((INDIRECT($B$3)=$B132)*(INDIRECT($C$3)=$D132)*((INDIRECT($E$3)="TOTS")+(INDIRECT($E$3)=$E132)),INDIRECT(S$3)))),_xlpm.y,SUM(_xlfn.CHOOSECOLS(_xlfn._xlws.FILTER(F_RT14[],(F_RT14[PrjId]=$B132)*(F_RT14[Vrs]=$D132)*(_xlfn.TEXTAFTER(F_RT14[ActGrp],":")=_xlfn.TEXTAFTER($H132,":")),"X"),MATCH("*"&amp;S$54,F_RT14[#Headers],0))),IF(AND(_xlpm.x=0,_xlpm.y&lt;&gt;0),-1,IF(AND(_xlpm.x&lt;&gt;0,_xlpm.y&lt;&gt;0),_xlpm.x,IF(AND(_xlpm.x-SUM(IF((INDIRECT($B$3)=$B132)*(INDIRECT($C$3)=$D132)*((INDIRECT($E$3)="TOTS")+(INDIRECT($E$3)=$E132)),INDIRECT(S$3)))&lt;&gt;0,_xlpm.y=0),-2,_xlpm.x)))),0))</f>
        <v>0</v>
      </c>
      <c r="T132" s="199" cm="1">
        <f t="array" aca="1" ref="T132" ca="1">IF(OR($B132="",$B132="X",$D132="",$D132="X",$E132="",$E132="X"),0,IFERROR(_xlfn.LET(_xlpm.x,SUM(SUM(_xlfn._xlws.FILTER(VALUE(PptoSty[Sign]&amp;1)*(1/PptoSty[Division]),(PptoSty[Division]&lt;&gt;0)*(PptoSty[Division]&lt;&gt;"")*(PptoSty[Division]&lt;&gt;"X")*(PptoSty[Project]=$B132)*(PptoSty[Vrs]=$D132)*(PptoSty[PiRow]=_xlfn.TEXTAFTER($H132,":"))*(PptoSty[PiColumn]=T$54),0)),SUM(IF((INDIRECT($B$3)=$B132)*(INDIRECT($C$3)=$D132)*((INDIRECT($E$3)="TOTS")+(INDIRECT($E$3)=$E132)),INDIRECT(T$3)))),_xlpm.y,SUM(_xlfn.CHOOSECOLS(_xlfn._xlws.FILTER(F_RT14[],(F_RT14[PrjId]=$B132)*(F_RT14[Vrs]=$D132)*(_xlfn.TEXTAFTER(F_RT14[ActGrp],":")=_xlfn.TEXTAFTER($H132,":")),"X"),MATCH("*"&amp;T$54,F_RT14[#Headers],0))),IF(AND(_xlpm.x=0,_xlpm.y&lt;&gt;0),-1,IF(AND(_xlpm.x&lt;&gt;0,_xlpm.y&lt;&gt;0),_xlpm.x,IF(AND(_xlpm.x-SUM(IF((INDIRECT($B$3)=$B132)*(INDIRECT($C$3)=$D132)*((INDIRECT($E$3)="TOTS")+(INDIRECT($E$3)=$E132)),INDIRECT(T$3)))&lt;&gt;0,_xlpm.y=0),-2,_xlpm.x)))),0))</f>
        <v>0</v>
      </c>
      <c r="U132" s="199" cm="1">
        <f t="array" aca="1" ref="U132" ca="1">IF(OR($B132="",$B132="X",$D132="",$D132="X",$E132="",$E132="X"),0,IFERROR(_xlfn.LET(_xlpm.x,SUM(SUM(_xlfn._xlws.FILTER(VALUE(PptoSty[Sign]&amp;1)*(1/PptoSty[Division]),(PptoSty[Division]&lt;&gt;0)*(PptoSty[Division]&lt;&gt;"")*(PptoSty[Division]&lt;&gt;"X")*(PptoSty[Project]=$B132)*(PptoSty[Vrs]=$D132)*(PptoSty[PiRow]=_xlfn.TEXTAFTER($H132,":"))*(PptoSty[PiColumn]=U$54),0)),SUM(IF((INDIRECT($B$3)=$B132)*(INDIRECT($C$3)=$D132)*((INDIRECT($E$3)="TOTS")+(INDIRECT($E$3)=$E132)),INDIRECT(U$3)))),_xlpm.y,SUM(_xlfn.CHOOSECOLS(_xlfn._xlws.FILTER(F_RT14[],(F_RT14[PrjId]=$B132)*(F_RT14[Vrs]=$D132)*(_xlfn.TEXTAFTER(F_RT14[ActGrp],":")=_xlfn.TEXTAFTER($H132,":")),"X"),MATCH("*"&amp;U$54,F_RT14[#Headers],0))),IF(AND(_xlpm.x=0,_xlpm.y&lt;&gt;0),-1,IF(AND(_xlpm.x&lt;&gt;0,_xlpm.y&lt;&gt;0),_xlpm.x,IF(AND(_xlpm.x-SUM(IF((INDIRECT($B$3)=$B132)*(INDIRECT($C$3)=$D132)*((INDIRECT($E$3)="TOTS")+(INDIRECT($E$3)=$E132)),INDIRECT(U$3)))&lt;&gt;0,_xlpm.y=0),-2,_xlpm.x)))),0))</f>
        <v>0</v>
      </c>
      <c r="V132" s="199" cm="1">
        <f t="array" aca="1" ref="V132" ca="1">IF(OR($B132="",$B132="X",$D132="",$D132="X",$E132="",$E132="X"),0,IFERROR(_xlfn.LET(_xlpm.x,SUM(SUM(_xlfn._xlws.FILTER(VALUE(PptoSty[Sign]&amp;1)*(1/PptoSty[Division]),(PptoSty[Division]&lt;&gt;0)*(PptoSty[Division]&lt;&gt;"")*(PptoSty[Division]&lt;&gt;"X")*(PptoSty[Project]=$B132)*(PptoSty[Vrs]=$D132)*(PptoSty[PiRow]=_xlfn.TEXTAFTER($H132,":"))*(PptoSty[PiColumn]=V$54),0)),SUM(IF((INDIRECT($B$3)=$B132)*(INDIRECT($C$3)=$D132)*((INDIRECT($E$3)="TOTS")+(INDIRECT($E$3)=$E132)),INDIRECT(V$3)))),_xlpm.y,SUM(_xlfn.CHOOSECOLS(_xlfn._xlws.FILTER(F_RT14[],(F_RT14[PrjId]=$B132)*(F_RT14[Vrs]=$D132)*(_xlfn.TEXTAFTER(F_RT14[ActGrp],":")=_xlfn.TEXTAFTER($H132,":")),"X"),MATCH("*"&amp;V$54,F_RT14[#Headers],0))),IF(AND(_xlpm.x=0,_xlpm.y&lt;&gt;0),-1,IF(AND(_xlpm.x&lt;&gt;0,_xlpm.y&lt;&gt;0),_xlpm.x,IF(AND(_xlpm.x-SUM(IF((INDIRECT($B$3)=$B132)*(INDIRECT($C$3)=$D132)*((INDIRECT($E$3)="TOTS")+(INDIRECT($E$3)=$E132)),INDIRECT(V$3)))&lt;&gt;0,_xlpm.y=0),-2,_xlpm.x)))),0))</f>
        <v>0</v>
      </c>
      <c r="W132" s="199" cm="1">
        <f t="array" aca="1" ref="W132" ca="1">IF(OR($B132="",$B132="X",$D132="",$D132="X",$E132="",$E132="X"),0,IFERROR(_xlfn.LET(_xlpm.x,SUM(SUM(_xlfn._xlws.FILTER(VALUE(PptoSty[Sign]&amp;1)*(1/PptoSty[Division]),(PptoSty[Division]&lt;&gt;0)*(PptoSty[Division]&lt;&gt;"")*(PptoSty[Division]&lt;&gt;"X")*(PptoSty[Project]=$B132)*(PptoSty[Vrs]=$D132)*(PptoSty[PiRow]=_xlfn.TEXTAFTER($H132,":"))*(PptoSty[PiColumn]=W$54),0)),SUM(IF((INDIRECT($B$3)=$B132)*(INDIRECT($C$3)=$D132)*((INDIRECT($E$3)="TOTS")+(INDIRECT($E$3)=$E132)),INDIRECT(W$3)))),_xlpm.y,SUM(_xlfn.CHOOSECOLS(_xlfn._xlws.FILTER(F_RT14[],(F_RT14[PrjId]=$B132)*(F_RT14[Vrs]=$D132)*(_xlfn.TEXTAFTER(F_RT14[ActGrp],":")=_xlfn.TEXTAFTER($H132,":")),"X"),MATCH("*"&amp;W$54,F_RT14[#Headers],0))),IF(AND(_xlpm.x=0,_xlpm.y&lt;&gt;0),-1,IF(AND(_xlpm.x&lt;&gt;0,_xlpm.y&lt;&gt;0),_xlpm.x,IF(AND(_xlpm.x-SUM(IF((INDIRECT($B$3)=$B132)*(INDIRECT($C$3)=$D132)*((INDIRECT($E$3)="TOTS")+(INDIRECT($E$3)=$E132)),INDIRECT(W$3)))&lt;&gt;0,_xlpm.y=0),-2,_xlpm.x)))),0))</f>
        <v>0</v>
      </c>
      <c r="X132" s="199" cm="1">
        <f t="array" aca="1" ref="X132" ca="1">IF(OR($B132="",$B132="X",$D132="",$D132="X",$E132="",$E132="X"),0,IFERROR(_xlfn.LET(_xlpm.x,SUM(SUM(_xlfn._xlws.FILTER(VALUE(PptoSty[Sign]&amp;1)*(1/PptoSty[Division]),(PptoSty[Division]&lt;&gt;0)*(PptoSty[Division]&lt;&gt;"")*(PptoSty[Division]&lt;&gt;"X")*(PptoSty[Project]=$B132)*(PptoSty[Vrs]=$D132)*(PptoSty[PiRow]=_xlfn.TEXTAFTER($H132,":"))*(PptoSty[PiColumn]=X$54),0)),SUM(IF((INDIRECT($B$3)=$B132)*(INDIRECT($C$3)=$D132)*((INDIRECT($E$3)="TOTS")+(INDIRECT($E$3)=$E132)),INDIRECT(X$3)))),_xlpm.y,SUM(_xlfn.CHOOSECOLS(_xlfn._xlws.FILTER(F_RT14[],(F_RT14[PrjId]=$B132)*(F_RT14[Vrs]=$D132)*(_xlfn.TEXTAFTER(F_RT14[ActGrp],":")=_xlfn.TEXTAFTER($H132,":")),"X"),MATCH("*"&amp;X$54,F_RT14[#Headers],0))),IF(AND(_xlpm.x=0,_xlpm.y&lt;&gt;0),-1,IF(AND(_xlpm.x&lt;&gt;0,_xlpm.y&lt;&gt;0),_xlpm.x,IF(AND(_xlpm.x-SUM(IF((INDIRECT($B$3)=$B132)*(INDIRECT($C$3)=$D132)*((INDIRECT($E$3)="TOTS")+(INDIRECT($E$3)=$E132)),INDIRECT(X$3)))&lt;&gt;0,_xlpm.y=0),-2,_xlpm.x)))),0))</f>
        <v>0</v>
      </c>
      <c r="Y132" s="199" cm="1">
        <f t="array" aca="1" ref="Y132" ca="1">IF(OR($B132="",$B132="X",$D132="",$D132="X",$E132="",$E132="X"),0,IFERROR(_xlfn.LET(_xlpm.x,SUM(SUM(_xlfn._xlws.FILTER(VALUE(PptoSty[Sign]&amp;1)*(1/PptoSty[Division]),(PptoSty[Division]&lt;&gt;0)*(PptoSty[Division]&lt;&gt;"")*(PptoSty[Division]&lt;&gt;"X")*(PptoSty[Project]=$B132)*(PptoSty[Vrs]=$D132)*(PptoSty[PiRow]=_xlfn.TEXTAFTER($H132,":"))*(PptoSty[PiColumn]=Y$54),0)),SUM(IF((INDIRECT($B$3)=$B132)*(INDIRECT($C$3)=$D132)*((INDIRECT($E$3)="TOTS")+(INDIRECT($E$3)=$E132)),INDIRECT(Y$3)))),_xlpm.y,SUM(_xlfn.CHOOSECOLS(_xlfn._xlws.FILTER(F_RT14[],(F_RT14[PrjId]=$B132)*(F_RT14[Vrs]=$D132)*(_xlfn.TEXTAFTER(F_RT14[ActGrp],":")=_xlfn.TEXTAFTER($H132,":")),"X"),MATCH("*"&amp;Y$54,F_RT14[#Headers],0))),IF(AND(_xlpm.x=0,_xlpm.y&lt;&gt;0),-1,IF(AND(_xlpm.x&lt;&gt;0,_xlpm.y&lt;&gt;0),_xlpm.x,IF(AND(_xlpm.x-SUM(IF((INDIRECT($B$3)=$B132)*(INDIRECT($C$3)=$D132)*((INDIRECT($E$3)="TOTS")+(INDIRECT($E$3)=$E132)),INDIRECT(Y$3)))&lt;&gt;0,_xlpm.y=0),-2,_xlpm.x)))),0))</f>
        <v>0</v>
      </c>
      <c r="Z132" s="198" t="str">
        <f t="shared" ca="1" si="3"/>
        <v>Fback!B132:Y132</v>
      </c>
    </row>
    <row r="133" spans="2:26" ht="21" customHeight="1" outlineLevel="1">
      <c r="B133" s="128" t="str">
        <v>31200</v>
      </c>
      <c r="C133" s="128" t="str">
        <v>Sp</v>
      </c>
      <c r="D133" s="128">
        <v>16</v>
      </c>
      <c r="E133" s="128" t="str">
        <v>DISI</v>
      </c>
      <c r="F133" s="139" t="str">
        <v>SERRA</v>
      </c>
      <c r="G133" s="139" t="str">
        <v>CurPpto</v>
      </c>
      <c r="H133" s="139" t="str">
        <v>G010:ROBCAD</v>
      </c>
      <c r="I133" s="199" cm="1">
        <f t="array" aca="1" ref="I133" ca="1">IF(OR($B133="",$B133="X",$D133="",$D133="X",$E133="",$E133="X"),0,IFERROR(_xlfn.LET(_xlpm.x,SUM(SUM(_xlfn._xlws.FILTER(VALUE(PptoSty[Sign]&amp;1)*(1/PptoSty[Division]),(PptoSty[Division]&lt;&gt;0)*(PptoSty[Division]&lt;&gt;"")*(PptoSty[Division]&lt;&gt;"X")*(PptoSty[Project]=$B133)*(PptoSty[Vrs]=$D133)*(PptoSty[PiRow]=_xlfn.TEXTAFTER($H133,":"))*(PptoSty[PiColumn]=I$54),0)),SUM(IF((INDIRECT($B$3)=$B133)*(INDIRECT($C$3)=$D133)*((INDIRECT($E$3)="TOTS")+(INDIRECT($E$3)=$E133)),INDIRECT(I$3)))),_xlpm.y,SUM(_xlfn.CHOOSECOLS(_xlfn._xlws.FILTER(F_RT14[],(F_RT14[PrjId]=$B133)*(F_RT14[Vrs]=$D133)*(_xlfn.TEXTAFTER(F_RT14[ActGrp],":")=_xlfn.TEXTAFTER($H133,":")),"X"),MATCH("*"&amp;I$54,F_RT14[#Headers],0))),IF(AND(_xlpm.x=0,_xlpm.y&lt;&gt;0),-1,IF(AND(_xlpm.x&lt;&gt;0,_xlpm.y&lt;&gt;0),_xlpm.x,IF(AND(_xlpm.x-SUM(IF((INDIRECT($B$3)=$B133)*(INDIRECT($C$3)=$D133)*((INDIRECT($E$3)="TOTS")+(INDIRECT($E$3)=$E133)),INDIRECT(I$3)))&lt;&gt;0,_xlpm.y=0),-2,_xlpm.x)))),0))</f>
        <v>0</v>
      </c>
      <c r="J133" s="199" cm="1">
        <f t="array" aca="1" ref="J133" ca="1">IF(OR($B133="",$B133="X",$D133="",$D133="X",$E133="",$E133="X"),0,IFERROR(_xlfn.LET(_xlpm.x,SUM(SUM(_xlfn._xlws.FILTER(VALUE(PptoSty[Sign]&amp;1)*(1/PptoSty[Division]),(PptoSty[Division]&lt;&gt;0)*(PptoSty[Division]&lt;&gt;"")*(PptoSty[Division]&lt;&gt;"X")*(PptoSty[Project]=$B133)*(PptoSty[Vrs]=$D133)*(PptoSty[PiRow]=_xlfn.TEXTAFTER($H133,":"))*(PptoSty[PiColumn]=J$54),0)),SUM(IF((INDIRECT($B$3)=$B133)*(INDIRECT($C$3)=$D133)*((INDIRECT($E$3)="TOTS")+(INDIRECT($E$3)=$E133)),INDIRECT(J$3)))),_xlpm.y,SUM(_xlfn.CHOOSECOLS(_xlfn._xlws.FILTER(F_RT14[],(F_RT14[PrjId]=$B133)*(F_RT14[Vrs]=$D133)*(_xlfn.TEXTAFTER(F_RT14[ActGrp],":")=_xlfn.TEXTAFTER($H133,":")),"X"),MATCH("*"&amp;J$54,F_RT14[#Headers],0))),IF(AND(_xlpm.x=0,_xlpm.y&lt;&gt;0),-1,IF(AND(_xlpm.x&lt;&gt;0,_xlpm.y&lt;&gt;0),_xlpm.x,IF(AND(_xlpm.x-SUM(IF((INDIRECT($B$3)=$B133)*(INDIRECT($C$3)=$D133)*((INDIRECT($E$3)="TOTS")+(INDIRECT($E$3)=$E133)),INDIRECT(J$3)))&lt;&gt;0,_xlpm.y=0),-2,_xlpm.x)))),0))</f>
        <v>0</v>
      </c>
      <c r="K133" s="199" cm="1">
        <f t="array" aca="1" ref="K133" ca="1">IF(OR($B133="",$B133="X",$D133="",$D133="X",$E133="",$E133="X"),0,IFERROR(_xlfn.LET(_xlpm.x,SUM(SUM(_xlfn._xlws.FILTER(VALUE(PptoSty[Sign]&amp;1)*(1/PptoSty[Division]),(PptoSty[Division]&lt;&gt;0)*(PptoSty[Division]&lt;&gt;"")*(PptoSty[Division]&lt;&gt;"X")*(PptoSty[Project]=$B133)*(PptoSty[Vrs]=$D133)*(PptoSty[PiRow]=_xlfn.TEXTAFTER($H133,":"))*(PptoSty[PiColumn]=K$54),0)),SUM(IF((INDIRECT($B$3)=$B133)*(INDIRECT($C$3)=$D133)*((INDIRECT($E$3)="TOTS")+(INDIRECT($E$3)=$E133)),INDIRECT(K$3)))),_xlpm.y,SUM(_xlfn.CHOOSECOLS(_xlfn._xlws.FILTER(F_RT14[],(F_RT14[PrjId]=$B133)*(F_RT14[Vrs]=$D133)*(_xlfn.TEXTAFTER(F_RT14[ActGrp],":")=_xlfn.TEXTAFTER($H133,":")),"X"),MATCH("*"&amp;K$54,F_RT14[#Headers],0))),IF(AND(_xlpm.x=0,_xlpm.y&lt;&gt;0),-1,IF(AND(_xlpm.x&lt;&gt;0,_xlpm.y&lt;&gt;0),_xlpm.x,IF(AND(_xlpm.x-SUM(IF((INDIRECT($B$3)=$B133)*(INDIRECT($C$3)=$D133)*((INDIRECT($E$3)="TOTS")+(INDIRECT($E$3)=$E133)),INDIRECT(K$3)))&lt;&gt;0,_xlpm.y=0),-2,_xlpm.x)))),0))</f>
        <v>0</v>
      </c>
      <c r="L133" s="199" cm="1">
        <f t="array" aca="1" ref="L133" ca="1">IF(OR($B133="",$B133="X",$D133="",$D133="X",$E133="",$E133="X"),0,IFERROR(_xlfn.LET(_xlpm.x,SUM(SUM(_xlfn._xlws.FILTER(VALUE(PptoSty[Sign]&amp;1)*(1/PptoSty[Division]),(PptoSty[Division]&lt;&gt;0)*(PptoSty[Division]&lt;&gt;"")*(PptoSty[Division]&lt;&gt;"X")*(PptoSty[Project]=$B133)*(PptoSty[Vrs]=$D133)*(PptoSty[PiRow]=_xlfn.TEXTAFTER($H133,":"))*(PptoSty[PiColumn]=L$54),0)),SUM(IF((INDIRECT($B$3)=$B133)*(INDIRECT($C$3)=$D133)*((INDIRECT($E$3)="TOTS")+(INDIRECT($E$3)=$E133)),INDIRECT(L$3)))),_xlpm.y,SUM(_xlfn.CHOOSECOLS(_xlfn._xlws.FILTER(F_RT14[],(F_RT14[PrjId]=$B133)*(F_RT14[Vrs]=$D133)*(_xlfn.TEXTAFTER(F_RT14[ActGrp],":")=_xlfn.TEXTAFTER($H133,":")),"X"),MATCH("*"&amp;L$54,F_RT14[#Headers],0))),IF(AND(_xlpm.x=0,_xlpm.y&lt;&gt;0),-1,IF(AND(_xlpm.x&lt;&gt;0,_xlpm.y&lt;&gt;0),_xlpm.x,IF(AND(_xlpm.x-SUM(IF((INDIRECT($B$3)=$B133)*(INDIRECT($C$3)=$D133)*((INDIRECT($E$3)="TOTS")+(INDIRECT($E$3)=$E133)),INDIRECT(L$3)))&lt;&gt;0,_xlpm.y=0),-2,_xlpm.x)))),0))</f>
        <v>1</v>
      </c>
      <c r="M133" s="199" cm="1">
        <f t="array" aca="1" ref="M133" ca="1">IF(OR($B133="",$B133="X",$D133="",$D133="X",$E133="",$E133="X"),0,IFERROR(_xlfn.LET(_xlpm.x,SUM(SUM(_xlfn._xlws.FILTER(VALUE(PptoSty[Sign]&amp;1)*(1/PptoSty[Division]),(PptoSty[Division]&lt;&gt;0)*(PptoSty[Division]&lt;&gt;"")*(PptoSty[Division]&lt;&gt;"X")*(PptoSty[Project]=$B133)*(PptoSty[Vrs]=$D133)*(PptoSty[PiRow]=_xlfn.TEXTAFTER($H133,":"))*(PptoSty[PiColumn]=M$54),0)),SUM(IF((INDIRECT($B$3)=$B133)*(INDIRECT($C$3)=$D133)*((INDIRECT($E$3)="TOTS")+(INDIRECT($E$3)=$E133)),INDIRECT(M$3)))),_xlpm.y,SUM(_xlfn.CHOOSECOLS(_xlfn._xlws.FILTER(F_RT14[],(F_RT14[PrjId]=$B133)*(F_RT14[Vrs]=$D133)*(_xlfn.TEXTAFTER(F_RT14[ActGrp],":")=_xlfn.TEXTAFTER($H133,":")),"X"),MATCH("*"&amp;M$54,F_RT14[#Headers],0))),IF(AND(_xlpm.x=0,_xlpm.y&lt;&gt;0),-1,IF(AND(_xlpm.x&lt;&gt;0,_xlpm.y&lt;&gt;0),_xlpm.x,IF(AND(_xlpm.x-SUM(IF((INDIRECT($B$3)=$B133)*(INDIRECT($C$3)=$D133)*((INDIRECT($E$3)="TOTS")+(INDIRECT($E$3)=$E133)),INDIRECT(M$3)))&lt;&gt;0,_xlpm.y=0),-2,_xlpm.x)))),0))</f>
        <v>0</v>
      </c>
      <c r="N133" s="199" cm="1">
        <f t="array" aca="1" ref="N133" ca="1">IF(OR($B133="",$B133="X",$D133="",$D133="X",$E133="",$E133="X"),0,IFERROR(_xlfn.LET(_xlpm.x,SUM(SUM(_xlfn._xlws.FILTER(VALUE(PptoSty[Sign]&amp;1)*(1/PptoSty[Division]),(PptoSty[Division]&lt;&gt;0)*(PptoSty[Division]&lt;&gt;"")*(PptoSty[Division]&lt;&gt;"X")*(PptoSty[Project]=$B133)*(PptoSty[Vrs]=$D133)*(PptoSty[PiRow]=_xlfn.TEXTAFTER($H133,":"))*(PptoSty[PiColumn]=N$54),0)),SUM(IF((INDIRECT($B$3)=$B133)*(INDIRECT($C$3)=$D133)*((INDIRECT($E$3)="TOTS")+(INDIRECT($E$3)=$E133)),INDIRECT(N$3)))),_xlpm.y,SUM(_xlfn.CHOOSECOLS(_xlfn._xlws.FILTER(F_RT14[],(F_RT14[PrjId]=$B133)*(F_RT14[Vrs]=$D133)*(_xlfn.TEXTAFTER(F_RT14[ActGrp],":")=_xlfn.TEXTAFTER($H133,":")),"X"),MATCH("*"&amp;N$54,F_RT14[#Headers],0))),IF(AND(_xlpm.x=0,_xlpm.y&lt;&gt;0),-1,IF(AND(_xlpm.x&lt;&gt;0,_xlpm.y&lt;&gt;0),_xlpm.x,IF(AND(_xlpm.x-SUM(IF((INDIRECT($B$3)=$B133)*(INDIRECT($C$3)=$D133)*((INDIRECT($E$3)="TOTS")+(INDIRECT($E$3)=$E133)),INDIRECT(N$3)))&lt;&gt;0,_xlpm.y=0),-2,_xlpm.x)))),0))</f>
        <v>0</v>
      </c>
      <c r="O133" s="199" cm="1">
        <f t="array" aca="1" ref="O133" ca="1">IF(OR($B133="",$B133="X",$D133="",$D133="X",$E133="",$E133="X"),0,IFERROR(_xlfn.LET(_xlpm.x,SUM(SUM(_xlfn._xlws.FILTER(VALUE(PptoSty[Sign]&amp;1)*(1/PptoSty[Division]),(PptoSty[Division]&lt;&gt;0)*(PptoSty[Division]&lt;&gt;"")*(PptoSty[Division]&lt;&gt;"X")*(PptoSty[Project]=$B133)*(PptoSty[Vrs]=$D133)*(PptoSty[PiRow]=_xlfn.TEXTAFTER($H133,":"))*(PptoSty[PiColumn]=O$54),0)),SUM(IF((INDIRECT($B$3)=$B133)*(INDIRECT($C$3)=$D133)*((INDIRECT($E$3)="TOTS")+(INDIRECT($E$3)=$E133)),INDIRECT(O$3)))),_xlpm.y,SUM(_xlfn.CHOOSECOLS(_xlfn._xlws.FILTER(F_RT14[],(F_RT14[PrjId]=$B133)*(F_RT14[Vrs]=$D133)*(_xlfn.TEXTAFTER(F_RT14[ActGrp],":")=_xlfn.TEXTAFTER($H133,":")),"X"),MATCH("*"&amp;O$54,F_RT14[#Headers],0))),IF(AND(_xlpm.x=0,_xlpm.y&lt;&gt;0),-1,IF(AND(_xlpm.x&lt;&gt;0,_xlpm.y&lt;&gt;0),_xlpm.x,IF(AND(_xlpm.x-SUM(IF((INDIRECT($B$3)=$B133)*(INDIRECT($C$3)=$D133)*((INDIRECT($E$3)="TOTS")+(INDIRECT($E$3)=$E133)),INDIRECT(O$3)))&lt;&gt;0,_xlpm.y=0),-2,_xlpm.x)))),0))</f>
        <v>0</v>
      </c>
      <c r="P133" s="199" cm="1">
        <f t="array" aca="1" ref="P133" ca="1">IF(OR($B133="",$B133="X",$D133="",$D133="X",$E133="",$E133="X"),0,IFERROR(_xlfn.LET(_xlpm.x,SUM(SUM(_xlfn._xlws.FILTER(VALUE(PptoSty[Sign]&amp;1)*(1/PptoSty[Division]),(PptoSty[Division]&lt;&gt;0)*(PptoSty[Division]&lt;&gt;"")*(PptoSty[Division]&lt;&gt;"X")*(PptoSty[Project]=$B133)*(PptoSty[Vrs]=$D133)*(PptoSty[PiRow]=_xlfn.TEXTAFTER($H133,":"))*(PptoSty[PiColumn]=P$54),0)),SUM(IF((INDIRECT($B$3)=$B133)*(INDIRECT($C$3)=$D133)*((INDIRECT($E$3)="TOTS")+(INDIRECT($E$3)=$E133)),INDIRECT(P$3)))),_xlpm.y,SUM(_xlfn.CHOOSECOLS(_xlfn._xlws.FILTER(F_RT14[],(F_RT14[PrjId]=$B133)*(F_RT14[Vrs]=$D133)*(_xlfn.TEXTAFTER(F_RT14[ActGrp],":")=_xlfn.TEXTAFTER($H133,":")),"X"),MATCH("*"&amp;P$54,F_RT14[#Headers],0))),IF(AND(_xlpm.x=0,_xlpm.y&lt;&gt;0),-1,IF(AND(_xlpm.x&lt;&gt;0,_xlpm.y&lt;&gt;0),_xlpm.x,IF(AND(_xlpm.x-SUM(IF((INDIRECT($B$3)=$B133)*(INDIRECT($C$3)=$D133)*((INDIRECT($E$3)="TOTS")+(INDIRECT($E$3)=$E133)),INDIRECT(P$3)))&lt;&gt;0,_xlpm.y=0),-2,_xlpm.x)))),0))</f>
        <v>0</v>
      </c>
      <c r="Q133" s="199" cm="1">
        <f t="array" aca="1" ref="Q133" ca="1">IF(OR($B133="",$B133="X",$D133="",$D133="X",$E133="",$E133="X"),0,IFERROR(_xlfn.LET(_xlpm.x,SUM(SUM(_xlfn._xlws.FILTER(VALUE(PptoSty[Sign]&amp;1)*(1/PptoSty[Division]),(PptoSty[Division]&lt;&gt;0)*(PptoSty[Division]&lt;&gt;"")*(PptoSty[Division]&lt;&gt;"X")*(PptoSty[Project]=$B133)*(PptoSty[Vrs]=$D133)*(PptoSty[PiRow]=_xlfn.TEXTAFTER($H133,":"))*(PptoSty[PiColumn]=Q$54),0)),SUM(IF((INDIRECT($B$3)=$B133)*(INDIRECT($C$3)=$D133)*((INDIRECT($E$3)="TOTS")+(INDIRECT($E$3)=$E133)),INDIRECT(Q$3)))),_xlpm.y,SUM(_xlfn.CHOOSECOLS(_xlfn._xlws.FILTER(F_RT14[],(F_RT14[PrjId]=$B133)*(F_RT14[Vrs]=$D133)*(_xlfn.TEXTAFTER(F_RT14[ActGrp],":")=_xlfn.TEXTAFTER($H133,":")),"X"),MATCH("*"&amp;Q$54,F_RT14[#Headers],0))),IF(AND(_xlpm.x=0,_xlpm.y&lt;&gt;0),-1,IF(AND(_xlpm.x&lt;&gt;0,_xlpm.y&lt;&gt;0),_xlpm.x,IF(AND(_xlpm.x-SUM(IF((INDIRECT($B$3)=$B133)*(INDIRECT($C$3)=$D133)*((INDIRECT($E$3)="TOTS")+(INDIRECT($E$3)=$E133)),INDIRECT(Q$3)))&lt;&gt;0,_xlpm.y=0),-2,_xlpm.x)))),0))</f>
        <v>0</v>
      </c>
      <c r="R133" s="199" cm="1">
        <f t="array" aca="1" ref="R133" ca="1">IF(OR($B133="",$B133="X",$D133="",$D133="X",$E133="",$E133="X"),0,IFERROR(_xlfn.LET(_xlpm.x,SUM(SUM(_xlfn._xlws.FILTER(VALUE(PptoSty[Sign]&amp;1)*(1/PptoSty[Division]),(PptoSty[Division]&lt;&gt;0)*(PptoSty[Division]&lt;&gt;"")*(PptoSty[Division]&lt;&gt;"X")*(PptoSty[Project]=$B133)*(PptoSty[Vrs]=$D133)*(PptoSty[PiRow]=_xlfn.TEXTAFTER($H133,":"))*(PptoSty[PiColumn]=R$54),0)),SUM(IF((INDIRECT($B$3)=$B133)*(INDIRECT($C$3)=$D133)*((INDIRECT($E$3)="TOTS")+(INDIRECT($E$3)=$E133)),INDIRECT(R$3)))),_xlpm.y,SUM(_xlfn.CHOOSECOLS(_xlfn._xlws.FILTER(F_RT14[],(F_RT14[PrjId]=$B133)*(F_RT14[Vrs]=$D133)*(_xlfn.TEXTAFTER(F_RT14[ActGrp],":")=_xlfn.TEXTAFTER($H133,":")),"X"),MATCH("*"&amp;R$54,F_RT14[#Headers],0))),IF(AND(_xlpm.x=0,_xlpm.y&lt;&gt;0),-1,IF(AND(_xlpm.x&lt;&gt;0,_xlpm.y&lt;&gt;0),_xlpm.x,IF(AND(_xlpm.x-SUM(IF((INDIRECT($B$3)=$B133)*(INDIRECT($C$3)=$D133)*((INDIRECT($E$3)="TOTS")+(INDIRECT($E$3)=$E133)),INDIRECT(R$3)))&lt;&gt;0,_xlpm.y=0),-2,_xlpm.x)))),0))</f>
        <v>0</v>
      </c>
      <c r="S133" s="199" cm="1">
        <f t="array" aca="1" ref="S133" ca="1">IF(OR($B133="",$B133="X",$D133="",$D133="X",$E133="",$E133="X"),0,IFERROR(_xlfn.LET(_xlpm.x,SUM(SUM(_xlfn._xlws.FILTER(VALUE(PptoSty[Sign]&amp;1)*(1/PptoSty[Division]),(PptoSty[Division]&lt;&gt;0)*(PptoSty[Division]&lt;&gt;"")*(PptoSty[Division]&lt;&gt;"X")*(PptoSty[Project]=$B133)*(PptoSty[Vrs]=$D133)*(PptoSty[PiRow]=_xlfn.TEXTAFTER($H133,":"))*(PptoSty[PiColumn]=S$54),0)),SUM(IF((INDIRECT($B$3)=$B133)*(INDIRECT($C$3)=$D133)*((INDIRECT($E$3)="TOTS")+(INDIRECT($E$3)=$E133)),INDIRECT(S$3)))),_xlpm.y,SUM(_xlfn.CHOOSECOLS(_xlfn._xlws.FILTER(F_RT14[],(F_RT14[PrjId]=$B133)*(F_RT14[Vrs]=$D133)*(_xlfn.TEXTAFTER(F_RT14[ActGrp],":")=_xlfn.TEXTAFTER($H133,":")),"X"),MATCH("*"&amp;S$54,F_RT14[#Headers],0))),IF(AND(_xlpm.x=0,_xlpm.y&lt;&gt;0),-1,IF(AND(_xlpm.x&lt;&gt;0,_xlpm.y&lt;&gt;0),_xlpm.x,IF(AND(_xlpm.x-SUM(IF((INDIRECT($B$3)=$B133)*(INDIRECT($C$3)=$D133)*((INDIRECT($E$3)="TOTS")+(INDIRECT($E$3)=$E133)),INDIRECT(S$3)))&lt;&gt;0,_xlpm.y=0),-2,_xlpm.x)))),0))</f>
        <v>0</v>
      </c>
      <c r="T133" s="199" cm="1">
        <f t="array" aca="1" ref="T133" ca="1">IF(OR($B133="",$B133="X",$D133="",$D133="X",$E133="",$E133="X"),0,IFERROR(_xlfn.LET(_xlpm.x,SUM(SUM(_xlfn._xlws.FILTER(VALUE(PptoSty[Sign]&amp;1)*(1/PptoSty[Division]),(PptoSty[Division]&lt;&gt;0)*(PptoSty[Division]&lt;&gt;"")*(PptoSty[Division]&lt;&gt;"X")*(PptoSty[Project]=$B133)*(PptoSty[Vrs]=$D133)*(PptoSty[PiRow]=_xlfn.TEXTAFTER($H133,":"))*(PptoSty[PiColumn]=T$54),0)),SUM(IF((INDIRECT($B$3)=$B133)*(INDIRECT($C$3)=$D133)*((INDIRECT($E$3)="TOTS")+(INDIRECT($E$3)=$E133)),INDIRECT(T$3)))),_xlpm.y,SUM(_xlfn.CHOOSECOLS(_xlfn._xlws.FILTER(F_RT14[],(F_RT14[PrjId]=$B133)*(F_RT14[Vrs]=$D133)*(_xlfn.TEXTAFTER(F_RT14[ActGrp],":")=_xlfn.TEXTAFTER($H133,":")),"X"),MATCH("*"&amp;T$54,F_RT14[#Headers],0))),IF(AND(_xlpm.x=0,_xlpm.y&lt;&gt;0),-1,IF(AND(_xlpm.x&lt;&gt;0,_xlpm.y&lt;&gt;0),_xlpm.x,IF(AND(_xlpm.x-SUM(IF((INDIRECT($B$3)=$B133)*(INDIRECT($C$3)=$D133)*((INDIRECT($E$3)="TOTS")+(INDIRECT($E$3)=$E133)),INDIRECT(T$3)))&lt;&gt;0,_xlpm.y=0),-2,_xlpm.x)))),0))</f>
        <v>0</v>
      </c>
      <c r="U133" s="199" cm="1">
        <f t="array" aca="1" ref="U133" ca="1">IF(OR($B133="",$B133="X",$D133="",$D133="X",$E133="",$E133="X"),0,IFERROR(_xlfn.LET(_xlpm.x,SUM(SUM(_xlfn._xlws.FILTER(VALUE(PptoSty[Sign]&amp;1)*(1/PptoSty[Division]),(PptoSty[Division]&lt;&gt;0)*(PptoSty[Division]&lt;&gt;"")*(PptoSty[Division]&lt;&gt;"X")*(PptoSty[Project]=$B133)*(PptoSty[Vrs]=$D133)*(PptoSty[PiRow]=_xlfn.TEXTAFTER($H133,":"))*(PptoSty[PiColumn]=U$54),0)),SUM(IF((INDIRECT($B$3)=$B133)*(INDIRECT($C$3)=$D133)*((INDIRECT($E$3)="TOTS")+(INDIRECT($E$3)=$E133)),INDIRECT(U$3)))),_xlpm.y,SUM(_xlfn.CHOOSECOLS(_xlfn._xlws.FILTER(F_RT14[],(F_RT14[PrjId]=$B133)*(F_RT14[Vrs]=$D133)*(_xlfn.TEXTAFTER(F_RT14[ActGrp],":")=_xlfn.TEXTAFTER($H133,":")),"X"),MATCH("*"&amp;U$54,F_RT14[#Headers],0))),IF(AND(_xlpm.x=0,_xlpm.y&lt;&gt;0),-1,IF(AND(_xlpm.x&lt;&gt;0,_xlpm.y&lt;&gt;0),_xlpm.x,IF(AND(_xlpm.x-SUM(IF((INDIRECT($B$3)=$B133)*(INDIRECT($C$3)=$D133)*((INDIRECT($E$3)="TOTS")+(INDIRECT($E$3)=$E133)),INDIRECT(U$3)))&lt;&gt;0,_xlpm.y=0),-2,_xlpm.x)))),0))</f>
        <v>0</v>
      </c>
      <c r="V133" s="199" cm="1">
        <f t="array" aca="1" ref="V133" ca="1">IF(OR($B133="",$B133="X",$D133="",$D133="X",$E133="",$E133="X"),0,IFERROR(_xlfn.LET(_xlpm.x,SUM(SUM(_xlfn._xlws.FILTER(VALUE(PptoSty[Sign]&amp;1)*(1/PptoSty[Division]),(PptoSty[Division]&lt;&gt;0)*(PptoSty[Division]&lt;&gt;"")*(PptoSty[Division]&lt;&gt;"X")*(PptoSty[Project]=$B133)*(PptoSty[Vrs]=$D133)*(PptoSty[PiRow]=_xlfn.TEXTAFTER($H133,":"))*(PptoSty[PiColumn]=V$54),0)),SUM(IF((INDIRECT($B$3)=$B133)*(INDIRECT($C$3)=$D133)*((INDIRECT($E$3)="TOTS")+(INDIRECT($E$3)=$E133)),INDIRECT(V$3)))),_xlpm.y,SUM(_xlfn.CHOOSECOLS(_xlfn._xlws.FILTER(F_RT14[],(F_RT14[PrjId]=$B133)*(F_RT14[Vrs]=$D133)*(_xlfn.TEXTAFTER(F_RT14[ActGrp],":")=_xlfn.TEXTAFTER($H133,":")),"X"),MATCH("*"&amp;V$54,F_RT14[#Headers],0))),IF(AND(_xlpm.x=0,_xlpm.y&lt;&gt;0),-1,IF(AND(_xlpm.x&lt;&gt;0,_xlpm.y&lt;&gt;0),_xlpm.x,IF(AND(_xlpm.x-SUM(IF((INDIRECT($B$3)=$B133)*(INDIRECT($C$3)=$D133)*((INDIRECT($E$3)="TOTS")+(INDIRECT($E$3)=$E133)),INDIRECT(V$3)))&lt;&gt;0,_xlpm.y=0),-2,_xlpm.x)))),0))</f>
        <v>0</v>
      </c>
      <c r="W133" s="199" cm="1">
        <f t="array" aca="1" ref="W133" ca="1">IF(OR($B133="",$B133="X",$D133="",$D133="X",$E133="",$E133="X"),0,IFERROR(_xlfn.LET(_xlpm.x,SUM(SUM(_xlfn._xlws.FILTER(VALUE(PptoSty[Sign]&amp;1)*(1/PptoSty[Division]),(PptoSty[Division]&lt;&gt;0)*(PptoSty[Division]&lt;&gt;"")*(PptoSty[Division]&lt;&gt;"X")*(PptoSty[Project]=$B133)*(PptoSty[Vrs]=$D133)*(PptoSty[PiRow]=_xlfn.TEXTAFTER($H133,":"))*(PptoSty[PiColumn]=W$54),0)),SUM(IF((INDIRECT($B$3)=$B133)*(INDIRECT($C$3)=$D133)*((INDIRECT($E$3)="TOTS")+(INDIRECT($E$3)=$E133)),INDIRECT(W$3)))),_xlpm.y,SUM(_xlfn.CHOOSECOLS(_xlfn._xlws.FILTER(F_RT14[],(F_RT14[PrjId]=$B133)*(F_RT14[Vrs]=$D133)*(_xlfn.TEXTAFTER(F_RT14[ActGrp],":")=_xlfn.TEXTAFTER($H133,":")),"X"),MATCH("*"&amp;W$54,F_RT14[#Headers],0))),IF(AND(_xlpm.x=0,_xlpm.y&lt;&gt;0),-1,IF(AND(_xlpm.x&lt;&gt;0,_xlpm.y&lt;&gt;0),_xlpm.x,IF(AND(_xlpm.x-SUM(IF((INDIRECT($B$3)=$B133)*(INDIRECT($C$3)=$D133)*((INDIRECT($E$3)="TOTS")+(INDIRECT($E$3)=$E133)),INDIRECT(W$3)))&lt;&gt;0,_xlpm.y=0),-2,_xlpm.x)))),0))</f>
        <v>0</v>
      </c>
      <c r="X133" s="199" cm="1">
        <f t="array" aca="1" ref="X133" ca="1">IF(OR($B133="",$B133="X",$D133="",$D133="X",$E133="",$E133="X"),0,IFERROR(_xlfn.LET(_xlpm.x,SUM(SUM(_xlfn._xlws.FILTER(VALUE(PptoSty[Sign]&amp;1)*(1/PptoSty[Division]),(PptoSty[Division]&lt;&gt;0)*(PptoSty[Division]&lt;&gt;"")*(PptoSty[Division]&lt;&gt;"X")*(PptoSty[Project]=$B133)*(PptoSty[Vrs]=$D133)*(PptoSty[PiRow]=_xlfn.TEXTAFTER($H133,":"))*(PptoSty[PiColumn]=X$54),0)),SUM(IF((INDIRECT($B$3)=$B133)*(INDIRECT($C$3)=$D133)*((INDIRECT($E$3)="TOTS")+(INDIRECT($E$3)=$E133)),INDIRECT(X$3)))),_xlpm.y,SUM(_xlfn.CHOOSECOLS(_xlfn._xlws.FILTER(F_RT14[],(F_RT14[PrjId]=$B133)*(F_RT14[Vrs]=$D133)*(_xlfn.TEXTAFTER(F_RT14[ActGrp],":")=_xlfn.TEXTAFTER($H133,":")),"X"),MATCH("*"&amp;X$54,F_RT14[#Headers],0))),IF(AND(_xlpm.x=0,_xlpm.y&lt;&gt;0),-1,IF(AND(_xlpm.x&lt;&gt;0,_xlpm.y&lt;&gt;0),_xlpm.x,IF(AND(_xlpm.x-SUM(IF((INDIRECT($B$3)=$B133)*(INDIRECT($C$3)=$D133)*((INDIRECT($E$3)="TOTS")+(INDIRECT($E$3)=$E133)),INDIRECT(X$3)))&lt;&gt;0,_xlpm.y=0),-2,_xlpm.x)))),0))</f>
        <v>0</v>
      </c>
      <c r="Y133" s="199" cm="1">
        <f t="array" aca="1" ref="Y133" ca="1">IF(OR($B133="",$B133="X",$D133="",$D133="X",$E133="",$E133="X"),0,IFERROR(_xlfn.LET(_xlpm.x,SUM(SUM(_xlfn._xlws.FILTER(VALUE(PptoSty[Sign]&amp;1)*(1/PptoSty[Division]),(PptoSty[Division]&lt;&gt;0)*(PptoSty[Division]&lt;&gt;"")*(PptoSty[Division]&lt;&gt;"X")*(PptoSty[Project]=$B133)*(PptoSty[Vrs]=$D133)*(PptoSty[PiRow]=_xlfn.TEXTAFTER($H133,":"))*(PptoSty[PiColumn]=Y$54),0)),SUM(IF((INDIRECT($B$3)=$B133)*(INDIRECT($C$3)=$D133)*((INDIRECT($E$3)="TOTS")+(INDIRECT($E$3)=$E133)),INDIRECT(Y$3)))),_xlpm.y,SUM(_xlfn.CHOOSECOLS(_xlfn._xlws.FILTER(F_RT14[],(F_RT14[PrjId]=$B133)*(F_RT14[Vrs]=$D133)*(_xlfn.TEXTAFTER(F_RT14[ActGrp],":")=_xlfn.TEXTAFTER($H133,":")),"X"),MATCH("*"&amp;Y$54,F_RT14[#Headers],0))),IF(AND(_xlpm.x=0,_xlpm.y&lt;&gt;0),-1,IF(AND(_xlpm.x&lt;&gt;0,_xlpm.y&lt;&gt;0),_xlpm.x,IF(AND(_xlpm.x-SUM(IF((INDIRECT($B$3)=$B133)*(INDIRECT($C$3)=$D133)*((INDIRECT($E$3)="TOTS")+(INDIRECT($E$3)=$E133)),INDIRECT(Y$3)))&lt;&gt;0,_xlpm.y=0),-2,_xlpm.x)))),0))</f>
        <v>0</v>
      </c>
      <c r="Z133" s="198" t="str">
        <f t="shared" ca="1" si="3"/>
        <v>Fback!B133:Y133</v>
      </c>
    </row>
    <row r="134" spans="2:26" ht="21" customHeight="1" outlineLevel="1">
      <c r="B134" s="128" t="str">
        <v>31200</v>
      </c>
      <c r="C134" s="128" t="str">
        <v>Sp</v>
      </c>
      <c r="D134" s="128">
        <v>16</v>
      </c>
      <c r="E134" s="128" t="str">
        <v>DISI</v>
      </c>
      <c r="F134" s="139" t="str">
        <v>SERRA</v>
      </c>
      <c r="G134" s="139" t="str">
        <v>CurPpto</v>
      </c>
      <c r="H134" s="139" t="str">
        <v>G011:PROYECTO ELÉCTRICO HARD</v>
      </c>
      <c r="I134" s="199" cm="1">
        <f t="array" aca="1" ref="I134" ca="1">IF(OR($B134="",$B134="X",$D134="",$D134="X",$E134="",$E134="X"),0,IFERROR(_xlfn.LET(_xlpm.x,SUM(SUM(_xlfn._xlws.FILTER(VALUE(PptoSty[Sign]&amp;1)*(1/PptoSty[Division]),(PptoSty[Division]&lt;&gt;0)*(PptoSty[Division]&lt;&gt;"")*(PptoSty[Division]&lt;&gt;"X")*(PptoSty[Project]=$B134)*(PptoSty[Vrs]=$D134)*(PptoSty[PiRow]=_xlfn.TEXTAFTER($H134,":"))*(PptoSty[PiColumn]=I$54),0)),SUM(IF((INDIRECT($B$3)=$B134)*(INDIRECT($C$3)=$D134)*((INDIRECT($E$3)="TOTS")+(INDIRECT($E$3)=$E134)),INDIRECT(I$3)))),_xlpm.y,SUM(_xlfn.CHOOSECOLS(_xlfn._xlws.FILTER(F_RT14[],(F_RT14[PrjId]=$B134)*(F_RT14[Vrs]=$D134)*(_xlfn.TEXTAFTER(F_RT14[ActGrp],":")=_xlfn.TEXTAFTER($H134,":")),"X"),MATCH("*"&amp;I$54,F_RT14[#Headers],0))),IF(AND(_xlpm.x=0,_xlpm.y&lt;&gt;0),-1,IF(AND(_xlpm.x&lt;&gt;0,_xlpm.y&lt;&gt;0),_xlpm.x,IF(AND(_xlpm.x-SUM(IF((INDIRECT($B$3)=$B134)*(INDIRECT($C$3)=$D134)*((INDIRECT($E$3)="TOTS")+(INDIRECT($E$3)=$E134)),INDIRECT(I$3)))&lt;&gt;0,_xlpm.y=0),-2,_xlpm.x)))),0))</f>
        <v>0</v>
      </c>
      <c r="J134" s="199" cm="1">
        <f t="array" aca="1" ref="J134" ca="1">IF(OR($B134="",$B134="X",$D134="",$D134="X",$E134="",$E134="X"),0,IFERROR(_xlfn.LET(_xlpm.x,SUM(SUM(_xlfn._xlws.FILTER(VALUE(PptoSty[Sign]&amp;1)*(1/PptoSty[Division]),(PptoSty[Division]&lt;&gt;0)*(PptoSty[Division]&lt;&gt;"")*(PptoSty[Division]&lt;&gt;"X")*(PptoSty[Project]=$B134)*(PptoSty[Vrs]=$D134)*(PptoSty[PiRow]=_xlfn.TEXTAFTER($H134,":"))*(PptoSty[PiColumn]=J$54),0)),SUM(IF((INDIRECT($B$3)=$B134)*(INDIRECT($C$3)=$D134)*((INDIRECT($E$3)="TOTS")+(INDIRECT($E$3)=$E134)),INDIRECT(J$3)))),_xlpm.y,SUM(_xlfn.CHOOSECOLS(_xlfn._xlws.FILTER(F_RT14[],(F_RT14[PrjId]=$B134)*(F_RT14[Vrs]=$D134)*(_xlfn.TEXTAFTER(F_RT14[ActGrp],":")=_xlfn.TEXTAFTER($H134,":")),"X"),MATCH("*"&amp;J$54,F_RT14[#Headers],0))),IF(AND(_xlpm.x=0,_xlpm.y&lt;&gt;0),-1,IF(AND(_xlpm.x&lt;&gt;0,_xlpm.y&lt;&gt;0),_xlpm.x,IF(AND(_xlpm.x-SUM(IF((INDIRECT($B$3)=$B134)*(INDIRECT($C$3)=$D134)*((INDIRECT($E$3)="TOTS")+(INDIRECT($E$3)=$E134)),INDIRECT(J$3)))&lt;&gt;0,_xlpm.y=0),-2,_xlpm.x)))),0))</f>
        <v>0</v>
      </c>
      <c r="K134" s="199" cm="1">
        <f t="array" aca="1" ref="K134" ca="1">IF(OR($B134="",$B134="X",$D134="",$D134="X",$E134="",$E134="X"),0,IFERROR(_xlfn.LET(_xlpm.x,SUM(SUM(_xlfn._xlws.FILTER(VALUE(PptoSty[Sign]&amp;1)*(1/PptoSty[Division]),(PptoSty[Division]&lt;&gt;0)*(PptoSty[Division]&lt;&gt;"")*(PptoSty[Division]&lt;&gt;"X")*(PptoSty[Project]=$B134)*(PptoSty[Vrs]=$D134)*(PptoSty[PiRow]=_xlfn.TEXTAFTER($H134,":"))*(PptoSty[PiColumn]=K$54),0)),SUM(IF((INDIRECT($B$3)=$B134)*(INDIRECT($C$3)=$D134)*((INDIRECT($E$3)="TOTS")+(INDIRECT($E$3)=$E134)),INDIRECT(K$3)))),_xlpm.y,SUM(_xlfn.CHOOSECOLS(_xlfn._xlws.FILTER(F_RT14[],(F_RT14[PrjId]=$B134)*(F_RT14[Vrs]=$D134)*(_xlfn.TEXTAFTER(F_RT14[ActGrp],":")=_xlfn.TEXTAFTER($H134,":")),"X"),MATCH("*"&amp;K$54,F_RT14[#Headers],0))),IF(AND(_xlpm.x=0,_xlpm.y&lt;&gt;0),-1,IF(AND(_xlpm.x&lt;&gt;0,_xlpm.y&lt;&gt;0),_xlpm.x,IF(AND(_xlpm.x-SUM(IF((INDIRECT($B$3)=$B134)*(INDIRECT($C$3)=$D134)*((INDIRECT($E$3)="TOTS")+(INDIRECT($E$3)=$E134)),INDIRECT(K$3)))&lt;&gt;0,_xlpm.y=0),-2,_xlpm.x)))),0))</f>
        <v>0</v>
      </c>
      <c r="L134" s="199" cm="1">
        <f t="array" aca="1" ref="L134" ca="1">IF(OR($B134="",$B134="X",$D134="",$D134="X",$E134="",$E134="X"),0,IFERROR(_xlfn.LET(_xlpm.x,SUM(SUM(_xlfn._xlws.FILTER(VALUE(PptoSty[Sign]&amp;1)*(1/PptoSty[Division]),(PptoSty[Division]&lt;&gt;0)*(PptoSty[Division]&lt;&gt;"")*(PptoSty[Division]&lt;&gt;"X")*(PptoSty[Project]=$B134)*(PptoSty[Vrs]=$D134)*(PptoSty[PiRow]=_xlfn.TEXTAFTER($H134,":"))*(PptoSty[PiColumn]=L$54),0)),SUM(IF((INDIRECT($B$3)=$B134)*(INDIRECT($C$3)=$D134)*((INDIRECT($E$3)="TOTS")+(INDIRECT($E$3)=$E134)),INDIRECT(L$3)))),_xlpm.y,SUM(_xlfn.CHOOSECOLS(_xlfn._xlws.FILTER(F_RT14[],(F_RT14[PrjId]=$B134)*(F_RT14[Vrs]=$D134)*(_xlfn.TEXTAFTER(F_RT14[ActGrp],":")=_xlfn.TEXTAFTER($H134,":")),"X"),MATCH("*"&amp;L$54,F_RT14[#Headers],0))),IF(AND(_xlpm.x=0,_xlpm.y&lt;&gt;0),-1,IF(AND(_xlpm.x&lt;&gt;0,_xlpm.y&lt;&gt;0),_xlpm.x,IF(AND(_xlpm.x-SUM(IF((INDIRECT($B$3)=$B134)*(INDIRECT($C$3)=$D134)*((INDIRECT($E$3)="TOTS")+(INDIRECT($E$3)=$E134)),INDIRECT(L$3)))&lt;&gt;0,_xlpm.y=0),-2,_xlpm.x)))),0))</f>
        <v>0</v>
      </c>
      <c r="M134" s="199" cm="1">
        <f t="array" aca="1" ref="M134" ca="1">IF(OR($B134="",$B134="X",$D134="",$D134="X",$E134="",$E134="X"),0,IFERROR(_xlfn.LET(_xlpm.x,SUM(SUM(_xlfn._xlws.FILTER(VALUE(PptoSty[Sign]&amp;1)*(1/PptoSty[Division]),(PptoSty[Division]&lt;&gt;0)*(PptoSty[Division]&lt;&gt;"")*(PptoSty[Division]&lt;&gt;"X")*(PptoSty[Project]=$B134)*(PptoSty[Vrs]=$D134)*(PptoSty[PiRow]=_xlfn.TEXTAFTER($H134,":"))*(PptoSty[PiColumn]=M$54),0)),SUM(IF((INDIRECT($B$3)=$B134)*(INDIRECT($C$3)=$D134)*((INDIRECT($E$3)="TOTS")+(INDIRECT($E$3)=$E134)),INDIRECT(M$3)))),_xlpm.y,SUM(_xlfn.CHOOSECOLS(_xlfn._xlws.FILTER(F_RT14[],(F_RT14[PrjId]=$B134)*(F_RT14[Vrs]=$D134)*(_xlfn.TEXTAFTER(F_RT14[ActGrp],":")=_xlfn.TEXTAFTER($H134,":")),"X"),MATCH("*"&amp;M$54,F_RT14[#Headers],0))),IF(AND(_xlpm.x=0,_xlpm.y&lt;&gt;0),-1,IF(AND(_xlpm.x&lt;&gt;0,_xlpm.y&lt;&gt;0),_xlpm.x,IF(AND(_xlpm.x-SUM(IF((INDIRECT($B$3)=$B134)*(INDIRECT($C$3)=$D134)*((INDIRECT($E$3)="TOTS")+(INDIRECT($E$3)=$E134)),INDIRECT(M$3)))&lt;&gt;0,_xlpm.y=0),-2,_xlpm.x)))),0))</f>
        <v>1</v>
      </c>
      <c r="N134" s="199" cm="1">
        <f t="array" aca="1" ref="N134" ca="1">IF(OR($B134="",$B134="X",$D134="",$D134="X",$E134="",$E134="X"),0,IFERROR(_xlfn.LET(_xlpm.x,SUM(SUM(_xlfn._xlws.FILTER(VALUE(PptoSty[Sign]&amp;1)*(1/PptoSty[Division]),(PptoSty[Division]&lt;&gt;0)*(PptoSty[Division]&lt;&gt;"")*(PptoSty[Division]&lt;&gt;"X")*(PptoSty[Project]=$B134)*(PptoSty[Vrs]=$D134)*(PptoSty[PiRow]=_xlfn.TEXTAFTER($H134,":"))*(PptoSty[PiColumn]=N$54),0)),SUM(IF((INDIRECT($B$3)=$B134)*(INDIRECT($C$3)=$D134)*((INDIRECT($E$3)="TOTS")+(INDIRECT($E$3)=$E134)),INDIRECT(N$3)))),_xlpm.y,SUM(_xlfn.CHOOSECOLS(_xlfn._xlws.FILTER(F_RT14[],(F_RT14[PrjId]=$B134)*(F_RT14[Vrs]=$D134)*(_xlfn.TEXTAFTER(F_RT14[ActGrp],":")=_xlfn.TEXTAFTER($H134,":")),"X"),MATCH("*"&amp;N$54,F_RT14[#Headers],0))),IF(AND(_xlpm.x=0,_xlpm.y&lt;&gt;0),-1,IF(AND(_xlpm.x&lt;&gt;0,_xlpm.y&lt;&gt;0),_xlpm.x,IF(AND(_xlpm.x-SUM(IF((INDIRECT($B$3)=$B134)*(INDIRECT($C$3)=$D134)*((INDIRECT($E$3)="TOTS")+(INDIRECT($E$3)=$E134)),INDIRECT(N$3)))&lt;&gt;0,_xlpm.y=0),-2,_xlpm.x)))),0))</f>
        <v>0</v>
      </c>
      <c r="O134" s="199" cm="1">
        <f t="array" aca="1" ref="O134" ca="1">IF(OR($B134="",$B134="X",$D134="",$D134="X",$E134="",$E134="X"),0,IFERROR(_xlfn.LET(_xlpm.x,SUM(SUM(_xlfn._xlws.FILTER(VALUE(PptoSty[Sign]&amp;1)*(1/PptoSty[Division]),(PptoSty[Division]&lt;&gt;0)*(PptoSty[Division]&lt;&gt;"")*(PptoSty[Division]&lt;&gt;"X")*(PptoSty[Project]=$B134)*(PptoSty[Vrs]=$D134)*(PptoSty[PiRow]=_xlfn.TEXTAFTER($H134,":"))*(PptoSty[PiColumn]=O$54),0)),SUM(IF((INDIRECT($B$3)=$B134)*(INDIRECT($C$3)=$D134)*((INDIRECT($E$3)="TOTS")+(INDIRECT($E$3)=$E134)),INDIRECT(O$3)))),_xlpm.y,SUM(_xlfn.CHOOSECOLS(_xlfn._xlws.FILTER(F_RT14[],(F_RT14[PrjId]=$B134)*(F_RT14[Vrs]=$D134)*(_xlfn.TEXTAFTER(F_RT14[ActGrp],":")=_xlfn.TEXTAFTER($H134,":")),"X"),MATCH("*"&amp;O$54,F_RT14[#Headers],0))),IF(AND(_xlpm.x=0,_xlpm.y&lt;&gt;0),-1,IF(AND(_xlpm.x&lt;&gt;0,_xlpm.y&lt;&gt;0),_xlpm.x,IF(AND(_xlpm.x-SUM(IF((INDIRECT($B$3)=$B134)*(INDIRECT($C$3)=$D134)*((INDIRECT($E$3)="TOTS")+(INDIRECT($E$3)=$E134)),INDIRECT(O$3)))&lt;&gt;0,_xlpm.y=0),-2,_xlpm.x)))),0))</f>
        <v>0</v>
      </c>
      <c r="P134" s="199" cm="1">
        <f t="array" aca="1" ref="P134" ca="1">IF(OR($B134="",$B134="X",$D134="",$D134="X",$E134="",$E134="X"),0,IFERROR(_xlfn.LET(_xlpm.x,SUM(SUM(_xlfn._xlws.FILTER(VALUE(PptoSty[Sign]&amp;1)*(1/PptoSty[Division]),(PptoSty[Division]&lt;&gt;0)*(PptoSty[Division]&lt;&gt;"")*(PptoSty[Division]&lt;&gt;"X")*(PptoSty[Project]=$B134)*(PptoSty[Vrs]=$D134)*(PptoSty[PiRow]=_xlfn.TEXTAFTER($H134,":"))*(PptoSty[PiColumn]=P$54),0)),SUM(IF((INDIRECT($B$3)=$B134)*(INDIRECT($C$3)=$D134)*((INDIRECT($E$3)="TOTS")+(INDIRECT($E$3)=$E134)),INDIRECT(P$3)))),_xlpm.y,SUM(_xlfn.CHOOSECOLS(_xlfn._xlws.FILTER(F_RT14[],(F_RT14[PrjId]=$B134)*(F_RT14[Vrs]=$D134)*(_xlfn.TEXTAFTER(F_RT14[ActGrp],":")=_xlfn.TEXTAFTER($H134,":")),"X"),MATCH("*"&amp;P$54,F_RT14[#Headers],0))),IF(AND(_xlpm.x=0,_xlpm.y&lt;&gt;0),-1,IF(AND(_xlpm.x&lt;&gt;0,_xlpm.y&lt;&gt;0),_xlpm.x,IF(AND(_xlpm.x-SUM(IF((INDIRECT($B$3)=$B134)*(INDIRECT($C$3)=$D134)*((INDIRECT($E$3)="TOTS")+(INDIRECT($E$3)=$E134)),INDIRECT(P$3)))&lt;&gt;0,_xlpm.y=0),-2,_xlpm.x)))),0))</f>
        <v>0</v>
      </c>
      <c r="Q134" s="199" cm="1">
        <f t="array" aca="1" ref="Q134" ca="1">IF(OR($B134="",$B134="X",$D134="",$D134="X",$E134="",$E134="X"),0,IFERROR(_xlfn.LET(_xlpm.x,SUM(SUM(_xlfn._xlws.FILTER(VALUE(PptoSty[Sign]&amp;1)*(1/PptoSty[Division]),(PptoSty[Division]&lt;&gt;0)*(PptoSty[Division]&lt;&gt;"")*(PptoSty[Division]&lt;&gt;"X")*(PptoSty[Project]=$B134)*(PptoSty[Vrs]=$D134)*(PptoSty[PiRow]=_xlfn.TEXTAFTER($H134,":"))*(PptoSty[PiColumn]=Q$54),0)),SUM(IF((INDIRECT($B$3)=$B134)*(INDIRECT($C$3)=$D134)*((INDIRECT($E$3)="TOTS")+(INDIRECT($E$3)=$E134)),INDIRECT(Q$3)))),_xlpm.y,SUM(_xlfn.CHOOSECOLS(_xlfn._xlws.FILTER(F_RT14[],(F_RT14[PrjId]=$B134)*(F_RT14[Vrs]=$D134)*(_xlfn.TEXTAFTER(F_RT14[ActGrp],":")=_xlfn.TEXTAFTER($H134,":")),"X"),MATCH("*"&amp;Q$54,F_RT14[#Headers],0))),IF(AND(_xlpm.x=0,_xlpm.y&lt;&gt;0),-1,IF(AND(_xlpm.x&lt;&gt;0,_xlpm.y&lt;&gt;0),_xlpm.x,IF(AND(_xlpm.x-SUM(IF((INDIRECT($B$3)=$B134)*(INDIRECT($C$3)=$D134)*((INDIRECT($E$3)="TOTS")+(INDIRECT($E$3)=$E134)),INDIRECT(Q$3)))&lt;&gt;0,_xlpm.y=0),-2,_xlpm.x)))),0))</f>
        <v>0</v>
      </c>
      <c r="R134" s="199" cm="1">
        <f t="array" aca="1" ref="R134" ca="1">IF(OR($B134="",$B134="X",$D134="",$D134="X",$E134="",$E134="X"),0,IFERROR(_xlfn.LET(_xlpm.x,SUM(SUM(_xlfn._xlws.FILTER(VALUE(PptoSty[Sign]&amp;1)*(1/PptoSty[Division]),(PptoSty[Division]&lt;&gt;0)*(PptoSty[Division]&lt;&gt;"")*(PptoSty[Division]&lt;&gt;"X")*(PptoSty[Project]=$B134)*(PptoSty[Vrs]=$D134)*(PptoSty[PiRow]=_xlfn.TEXTAFTER($H134,":"))*(PptoSty[PiColumn]=R$54),0)),SUM(IF((INDIRECT($B$3)=$B134)*(INDIRECT($C$3)=$D134)*((INDIRECT($E$3)="TOTS")+(INDIRECT($E$3)=$E134)),INDIRECT(R$3)))),_xlpm.y,SUM(_xlfn.CHOOSECOLS(_xlfn._xlws.FILTER(F_RT14[],(F_RT14[PrjId]=$B134)*(F_RT14[Vrs]=$D134)*(_xlfn.TEXTAFTER(F_RT14[ActGrp],":")=_xlfn.TEXTAFTER($H134,":")),"X"),MATCH("*"&amp;R$54,F_RT14[#Headers],0))),IF(AND(_xlpm.x=0,_xlpm.y&lt;&gt;0),-1,IF(AND(_xlpm.x&lt;&gt;0,_xlpm.y&lt;&gt;0),_xlpm.x,IF(AND(_xlpm.x-SUM(IF((INDIRECT($B$3)=$B134)*(INDIRECT($C$3)=$D134)*((INDIRECT($E$3)="TOTS")+(INDIRECT($E$3)=$E134)),INDIRECT(R$3)))&lt;&gt;0,_xlpm.y=0),-2,_xlpm.x)))),0))</f>
        <v>0</v>
      </c>
      <c r="S134" s="199" cm="1">
        <f t="array" aca="1" ref="S134" ca="1">IF(OR($B134="",$B134="X",$D134="",$D134="X",$E134="",$E134="X"),0,IFERROR(_xlfn.LET(_xlpm.x,SUM(SUM(_xlfn._xlws.FILTER(VALUE(PptoSty[Sign]&amp;1)*(1/PptoSty[Division]),(PptoSty[Division]&lt;&gt;0)*(PptoSty[Division]&lt;&gt;"")*(PptoSty[Division]&lt;&gt;"X")*(PptoSty[Project]=$B134)*(PptoSty[Vrs]=$D134)*(PptoSty[PiRow]=_xlfn.TEXTAFTER($H134,":"))*(PptoSty[PiColumn]=S$54),0)),SUM(IF((INDIRECT($B$3)=$B134)*(INDIRECT($C$3)=$D134)*((INDIRECT($E$3)="TOTS")+(INDIRECT($E$3)=$E134)),INDIRECT(S$3)))),_xlpm.y,SUM(_xlfn.CHOOSECOLS(_xlfn._xlws.FILTER(F_RT14[],(F_RT14[PrjId]=$B134)*(F_RT14[Vrs]=$D134)*(_xlfn.TEXTAFTER(F_RT14[ActGrp],":")=_xlfn.TEXTAFTER($H134,":")),"X"),MATCH("*"&amp;S$54,F_RT14[#Headers],0))),IF(AND(_xlpm.x=0,_xlpm.y&lt;&gt;0),-1,IF(AND(_xlpm.x&lt;&gt;0,_xlpm.y&lt;&gt;0),_xlpm.x,IF(AND(_xlpm.x-SUM(IF((INDIRECT($B$3)=$B134)*(INDIRECT($C$3)=$D134)*((INDIRECT($E$3)="TOTS")+(INDIRECT($E$3)=$E134)),INDIRECT(S$3)))&lt;&gt;0,_xlpm.y=0),-2,_xlpm.x)))),0))</f>
        <v>0</v>
      </c>
      <c r="T134" s="199" cm="1">
        <f t="array" aca="1" ref="T134" ca="1">IF(OR($B134="",$B134="X",$D134="",$D134="X",$E134="",$E134="X"),0,IFERROR(_xlfn.LET(_xlpm.x,SUM(SUM(_xlfn._xlws.FILTER(VALUE(PptoSty[Sign]&amp;1)*(1/PptoSty[Division]),(PptoSty[Division]&lt;&gt;0)*(PptoSty[Division]&lt;&gt;"")*(PptoSty[Division]&lt;&gt;"X")*(PptoSty[Project]=$B134)*(PptoSty[Vrs]=$D134)*(PptoSty[PiRow]=_xlfn.TEXTAFTER($H134,":"))*(PptoSty[PiColumn]=T$54),0)),SUM(IF((INDIRECT($B$3)=$B134)*(INDIRECT($C$3)=$D134)*((INDIRECT($E$3)="TOTS")+(INDIRECT($E$3)=$E134)),INDIRECT(T$3)))),_xlpm.y,SUM(_xlfn.CHOOSECOLS(_xlfn._xlws.FILTER(F_RT14[],(F_RT14[PrjId]=$B134)*(F_RT14[Vrs]=$D134)*(_xlfn.TEXTAFTER(F_RT14[ActGrp],":")=_xlfn.TEXTAFTER($H134,":")),"X"),MATCH("*"&amp;T$54,F_RT14[#Headers],0))),IF(AND(_xlpm.x=0,_xlpm.y&lt;&gt;0),-1,IF(AND(_xlpm.x&lt;&gt;0,_xlpm.y&lt;&gt;0),_xlpm.x,IF(AND(_xlpm.x-SUM(IF((INDIRECT($B$3)=$B134)*(INDIRECT($C$3)=$D134)*((INDIRECT($E$3)="TOTS")+(INDIRECT($E$3)=$E134)),INDIRECT(T$3)))&lt;&gt;0,_xlpm.y=0),-2,_xlpm.x)))),0))</f>
        <v>0</v>
      </c>
      <c r="U134" s="199" cm="1">
        <f t="array" aca="1" ref="U134" ca="1">IF(OR($B134="",$B134="X",$D134="",$D134="X",$E134="",$E134="X"),0,IFERROR(_xlfn.LET(_xlpm.x,SUM(SUM(_xlfn._xlws.FILTER(VALUE(PptoSty[Sign]&amp;1)*(1/PptoSty[Division]),(PptoSty[Division]&lt;&gt;0)*(PptoSty[Division]&lt;&gt;"")*(PptoSty[Division]&lt;&gt;"X")*(PptoSty[Project]=$B134)*(PptoSty[Vrs]=$D134)*(PptoSty[PiRow]=_xlfn.TEXTAFTER($H134,":"))*(PptoSty[PiColumn]=U$54),0)),SUM(IF((INDIRECT($B$3)=$B134)*(INDIRECT($C$3)=$D134)*((INDIRECT($E$3)="TOTS")+(INDIRECT($E$3)=$E134)),INDIRECT(U$3)))),_xlpm.y,SUM(_xlfn.CHOOSECOLS(_xlfn._xlws.FILTER(F_RT14[],(F_RT14[PrjId]=$B134)*(F_RT14[Vrs]=$D134)*(_xlfn.TEXTAFTER(F_RT14[ActGrp],":")=_xlfn.TEXTAFTER($H134,":")),"X"),MATCH("*"&amp;U$54,F_RT14[#Headers],0))),IF(AND(_xlpm.x=0,_xlpm.y&lt;&gt;0),-1,IF(AND(_xlpm.x&lt;&gt;0,_xlpm.y&lt;&gt;0),_xlpm.x,IF(AND(_xlpm.x-SUM(IF((INDIRECT($B$3)=$B134)*(INDIRECT($C$3)=$D134)*((INDIRECT($E$3)="TOTS")+(INDIRECT($E$3)=$E134)),INDIRECT(U$3)))&lt;&gt;0,_xlpm.y=0),-2,_xlpm.x)))),0))</f>
        <v>0</v>
      </c>
      <c r="V134" s="199" cm="1">
        <f t="array" aca="1" ref="V134" ca="1">IF(OR($B134="",$B134="X",$D134="",$D134="X",$E134="",$E134="X"),0,IFERROR(_xlfn.LET(_xlpm.x,SUM(SUM(_xlfn._xlws.FILTER(VALUE(PptoSty[Sign]&amp;1)*(1/PptoSty[Division]),(PptoSty[Division]&lt;&gt;0)*(PptoSty[Division]&lt;&gt;"")*(PptoSty[Division]&lt;&gt;"X")*(PptoSty[Project]=$B134)*(PptoSty[Vrs]=$D134)*(PptoSty[PiRow]=_xlfn.TEXTAFTER($H134,":"))*(PptoSty[PiColumn]=V$54),0)),SUM(IF((INDIRECT($B$3)=$B134)*(INDIRECT($C$3)=$D134)*((INDIRECT($E$3)="TOTS")+(INDIRECT($E$3)=$E134)),INDIRECT(V$3)))),_xlpm.y,SUM(_xlfn.CHOOSECOLS(_xlfn._xlws.FILTER(F_RT14[],(F_RT14[PrjId]=$B134)*(F_RT14[Vrs]=$D134)*(_xlfn.TEXTAFTER(F_RT14[ActGrp],":")=_xlfn.TEXTAFTER($H134,":")),"X"),MATCH("*"&amp;V$54,F_RT14[#Headers],0))),IF(AND(_xlpm.x=0,_xlpm.y&lt;&gt;0),-1,IF(AND(_xlpm.x&lt;&gt;0,_xlpm.y&lt;&gt;0),_xlpm.x,IF(AND(_xlpm.x-SUM(IF((INDIRECT($B$3)=$B134)*(INDIRECT($C$3)=$D134)*((INDIRECT($E$3)="TOTS")+(INDIRECT($E$3)=$E134)),INDIRECT(V$3)))&lt;&gt;0,_xlpm.y=0),-2,_xlpm.x)))),0))</f>
        <v>0</v>
      </c>
      <c r="W134" s="199" cm="1">
        <f t="array" aca="1" ref="W134" ca="1">IF(OR($B134="",$B134="X",$D134="",$D134="X",$E134="",$E134="X"),0,IFERROR(_xlfn.LET(_xlpm.x,SUM(SUM(_xlfn._xlws.FILTER(VALUE(PptoSty[Sign]&amp;1)*(1/PptoSty[Division]),(PptoSty[Division]&lt;&gt;0)*(PptoSty[Division]&lt;&gt;"")*(PptoSty[Division]&lt;&gt;"X")*(PptoSty[Project]=$B134)*(PptoSty[Vrs]=$D134)*(PptoSty[PiRow]=_xlfn.TEXTAFTER($H134,":"))*(PptoSty[PiColumn]=W$54),0)),SUM(IF((INDIRECT($B$3)=$B134)*(INDIRECT($C$3)=$D134)*((INDIRECT($E$3)="TOTS")+(INDIRECT($E$3)=$E134)),INDIRECT(W$3)))),_xlpm.y,SUM(_xlfn.CHOOSECOLS(_xlfn._xlws.FILTER(F_RT14[],(F_RT14[PrjId]=$B134)*(F_RT14[Vrs]=$D134)*(_xlfn.TEXTAFTER(F_RT14[ActGrp],":")=_xlfn.TEXTAFTER($H134,":")),"X"),MATCH("*"&amp;W$54,F_RT14[#Headers],0))),IF(AND(_xlpm.x=0,_xlpm.y&lt;&gt;0),-1,IF(AND(_xlpm.x&lt;&gt;0,_xlpm.y&lt;&gt;0),_xlpm.x,IF(AND(_xlpm.x-SUM(IF((INDIRECT($B$3)=$B134)*(INDIRECT($C$3)=$D134)*((INDIRECT($E$3)="TOTS")+(INDIRECT($E$3)=$E134)),INDIRECT(W$3)))&lt;&gt;0,_xlpm.y=0),-2,_xlpm.x)))),0))</f>
        <v>0</v>
      </c>
      <c r="X134" s="199" cm="1">
        <f t="array" aca="1" ref="X134" ca="1">IF(OR($B134="",$B134="X",$D134="",$D134="X",$E134="",$E134="X"),0,IFERROR(_xlfn.LET(_xlpm.x,SUM(SUM(_xlfn._xlws.FILTER(VALUE(PptoSty[Sign]&amp;1)*(1/PptoSty[Division]),(PptoSty[Division]&lt;&gt;0)*(PptoSty[Division]&lt;&gt;"")*(PptoSty[Division]&lt;&gt;"X")*(PptoSty[Project]=$B134)*(PptoSty[Vrs]=$D134)*(PptoSty[PiRow]=_xlfn.TEXTAFTER($H134,":"))*(PptoSty[PiColumn]=X$54),0)),SUM(IF((INDIRECT($B$3)=$B134)*(INDIRECT($C$3)=$D134)*((INDIRECT($E$3)="TOTS")+(INDIRECT($E$3)=$E134)),INDIRECT(X$3)))),_xlpm.y,SUM(_xlfn.CHOOSECOLS(_xlfn._xlws.FILTER(F_RT14[],(F_RT14[PrjId]=$B134)*(F_RT14[Vrs]=$D134)*(_xlfn.TEXTAFTER(F_RT14[ActGrp],":")=_xlfn.TEXTAFTER($H134,":")),"X"),MATCH("*"&amp;X$54,F_RT14[#Headers],0))),IF(AND(_xlpm.x=0,_xlpm.y&lt;&gt;0),-1,IF(AND(_xlpm.x&lt;&gt;0,_xlpm.y&lt;&gt;0),_xlpm.x,IF(AND(_xlpm.x-SUM(IF((INDIRECT($B$3)=$B134)*(INDIRECT($C$3)=$D134)*((INDIRECT($E$3)="TOTS")+(INDIRECT($E$3)=$E134)),INDIRECT(X$3)))&lt;&gt;0,_xlpm.y=0),-2,_xlpm.x)))),0))</f>
        <v>0</v>
      </c>
      <c r="Y134" s="199" cm="1">
        <f t="array" aca="1" ref="Y134" ca="1">IF(OR($B134="",$B134="X",$D134="",$D134="X",$E134="",$E134="X"),0,IFERROR(_xlfn.LET(_xlpm.x,SUM(SUM(_xlfn._xlws.FILTER(VALUE(PptoSty[Sign]&amp;1)*(1/PptoSty[Division]),(PptoSty[Division]&lt;&gt;0)*(PptoSty[Division]&lt;&gt;"")*(PptoSty[Division]&lt;&gt;"X")*(PptoSty[Project]=$B134)*(PptoSty[Vrs]=$D134)*(PptoSty[PiRow]=_xlfn.TEXTAFTER($H134,":"))*(PptoSty[PiColumn]=Y$54),0)),SUM(IF((INDIRECT($B$3)=$B134)*(INDIRECT($C$3)=$D134)*((INDIRECT($E$3)="TOTS")+(INDIRECT($E$3)=$E134)),INDIRECT(Y$3)))),_xlpm.y,SUM(_xlfn.CHOOSECOLS(_xlfn._xlws.FILTER(F_RT14[],(F_RT14[PrjId]=$B134)*(F_RT14[Vrs]=$D134)*(_xlfn.TEXTAFTER(F_RT14[ActGrp],":")=_xlfn.TEXTAFTER($H134,":")),"X"),MATCH("*"&amp;Y$54,F_RT14[#Headers],0))),IF(AND(_xlpm.x=0,_xlpm.y&lt;&gt;0),-1,IF(AND(_xlpm.x&lt;&gt;0,_xlpm.y&lt;&gt;0),_xlpm.x,IF(AND(_xlpm.x-SUM(IF((INDIRECT($B$3)=$B134)*(INDIRECT($C$3)=$D134)*((INDIRECT($E$3)="TOTS")+(INDIRECT($E$3)=$E134)),INDIRECT(Y$3)))&lt;&gt;0,_xlpm.y=0),-2,_xlpm.x)))),0))</f>
        <v>0</v>
      </c>
      <c r="Z134" s="198" t="str">
        <f t="shared" ca="1" si="3"/>
        <v>Fback!B134:Y134</v>
      </c>
    </row>
    <row r="135" spans="2:26" ht="21" customHeight="1" outlineLevel="1">
      <c r="B135" s="128" t="str">
        <v>31200</v>
      </c>
      <c r="C135" s="128" t="str">
        <v>Sp</v>
      </c>
      <c r="D135" s="128">
        <v>16</v>
      </c>
      <c r="E135" s="128" t="str">
        <v>DISI</v>
      </c>
      <c r="F135" s="139" t="str">
        <v>SERRA</v>
      </c>
      <c r="G135" s="139" t="str">
        <v>CurPpto</v>
      </c>
      <c r="H135" s="139" t="str">
        <v>G012:OFF LINE PLC &amp; ROBOTICA</v>
      </c>
      <c r="I135" s="199" cm="1">
        <f t="array" aca="1" ref="I135" ca="1">IF(OR($B135="",$B135="X",$D135="",$D135="X",$E135="",$E135="X"),0,IFERROR(_xlfn.LET(_xlpm.x,SUM(SUM(_xlfn._xlws.FILTER(VALUE(PptoSty[Sign]&amp;1)*(1/PptoSty[Division]),(PptoSty[Division]&lt;&gt;0)*(PptoSty[Division]&lt;&gt;"")*(PptoSty[Division]&lt;&gt;"X")*(PptoSty[Project]=$B135)*(PptoSty[Vrs]=$D135)*(PptoSty[PiRow]=_xlfn.TEXTAFTER($H135,":"))*(PptoSty[PiColumn]=I$54),0)),SUM(IF((INDIRECT($B$3)=$B135)*(INDIRECT($C$3)=$D135)*((INDIRECT($E$3)="TOTS")+(INDIRECT($E$3)=$E135)),INDIRECT(I$3)))),_xlpm.y,SUM(_xlfn.CHOOSECOLS(_xlfn._xlws.FILTER(F_RT14[],(F_RT14[PrjId]=$B135)*(F_RT14[Vrs]=$D135)*(_xlfn.TEXTAFTER(F_RT14[ActGrp],":")=_xlfn.TEXTAFTER($H135,":")),"X"),MATCH("*"&amp;I$54,F_RT14[#Headers],0))),IF(AND(_xlpm.x=0,_xlpm.y&lt;&gt;0),-1,IF(AND(_xlpm.x&lt;&gt;0,_xlpm.y&lt;&gt;0),_xlpm.x,IF(AND(_xlpm.x-SUM(IF((INDIRECT($B$3)=$B135)*(INDIRECT($C$3)=$D135)*((INDIRECT($E$3)="TOTS")+(INDIRECT($E$3)=$E135)),INDIRECT(I$3)))&lt;&gt;0,_xlpm.y=0),-2,_xlpm.x)))),0))</f>
        <v>0</v>
      </c>
      <c r="J135" s="199" cm="1">
        <f t="array" aca="1" ref="J135" ca="1">IF(OR($B135="",$B135="X",$D135="",$D135="X",$E135="",$E135="X"),0,IFERROR(_xlfn.LET(_xlpm.x,SUM(SUM(_xlfn._xlws.FILTER(VALUE(PptoSty[Sign]&amp;1)*(1/PptoSty[Division]),(PptoSty[Division]&lt;&gt;0)*(PptoSty[Division]&lt;&gt;"")*(PptoSty[Division]&lt;&gt;"X")*(PptoSty[Project]=$B135)*(PptoSty[Vrs]=$D135)*(PptoSty[PiRow]=_xlfn.TEXTAFTER($H135,":"))*(PptoSty[PiColumn]=J$54),0)),SUM(IF((INDIRECT($B$3)=$B135)*(INDIRECT($C$3)=$D135)*((INDIRECT($E$3)="TOTS")+(INDIRECT($E$3)=$E135)),INDIRECT(J$3)))),_xlpm.y,SUM(_xlfn.CHOOSECOLS(_xlfn._xlws.FILTER(F_RT14[],(F_RT14[PrjId]=$B135)*(F_RT14[Vrs]=$D135)*(_xlfn.TEXTAFTER(F_RT14[ActGrp],":")=_xlfn.TEXTAFTER($H135,":")),"X"),MATCH("*"&amp;J$54,F_RT14[#Headers],0))),IF(AND(_xlpm.x=0,_xlpm.y&lt;&gt;0),-1,IF(AND(_xlpm.x&lt;&gt;0,_xlpm.y&lt;&gt;0),_xlpm.x,IF(AND(_xlpm.x-SUM(IF((INDIRECT($B$3)=$B135)*(INDIRECT($C$3)=$D135)*((INDIRECT($E$3)="TOTS")+(INDIRECT($E$3)=$E135)),INDIRECT(J$3)))&lt;&gt;0,_xlpm.y=0),-2,_xlpm.x)))),0))</f>
        <v>0</v>
      </c>
      <c r="K135" s="199" cm="1">
        <f t="array" aca="1" ref="K135" ca="1">IF(OR($B135="",$B135="X",$D135="",$D135="X",$E135="",$E135="X"),0,IFERROR(_xlfn.LET(_xlpm.x,SUM(SUM(_xlfn._xlws.FILTER(VALUE(PptoSty[Sign]&amp;1)*(1/PptoSty[Division]),(PptoSty[Division]&lt;&gt;0)*(PptoSty[Division]&lt;&gt;"")*(PptoSty[Division]&lt;&gt;"X")*(PptoSty[Project]=$B135)*(PptoSty[Vrs]=$D135)*(PptoSty[PiRow]=_xlfn.TEXTAFTER($H135,":"))*(PptoSty[PiColumn]=K$54),0)),SUM(IF((INDIRECT($B$3)=$B135)*(INDIRECT($C$3)=$D135)*((INDIRECT($E$3)="TOTS")+(INDIRECT($E$3)=$E135)),INDIRECT(K$3)))),_xlpm.y,SUM(_xlfn.CHOOSECOLS(_xlfn._xlws.FILTER(F_RT14[],(F_RT14[PrjId]=$B135)*(F_RT14[Vrs]=$D135)*(_xlfn.TEXTAFTER(F_RT14[ActGrp],":")=_xlfn.TEXTAFTER($H135,":")),"X"),MATCH("*"&amp;K$54,F_RT14[#Headers],0))),IF(AND(_xlpm.x=0,_xlpm.y&lt;&gt;0),-1,IF(AND(_xlpm.x&lt;&gt;0,_xlpm.y&lt;&gt;0),_xlpm.x,IF(AND(_xlpm.x-SUM(IF((INDIRECT($B$3)=$B135)*(INDIRECT($C$3)=$D135)*((INDIRECT($E$3)="TOTS")+(INDIRECT($E$3)=$E135)),INDIRECT(K$3)))&lt;&gt;0,_xlpm.y=0),-2,_xlpm.x)))),0))</f>
        <v>0</v>
      </c>
      <c r="L135" s="199" cm="1">
        <f t="array" aca="1" ref="L135" ca="1">IF(OR($B135="",$B135="X",$D135="",$D135="X",$E135="",$E135="X"),0,IFERROR(_xlfn.LET(_xlpm.x,SUM(SUM(_xlfn._xlws.FILTER(VALUE(PptoSty[Sign]&amp;1)*(1/PptoSty[Division]),(PptoSty[Division]&lt;&gt;0)*(PptoSty[Division]&lt;&gt;"")*(PptoSty[Division]&lt;&gt;"X")*(PptoSty[Project]=$B135)*(PptoSty[Vrs]=$D135)*(PptoSty[PiRow]=_xlfn.TEXTAFTER($H135,":"))*(PptoSty[PiColumn]=L$54),0)),SUM(IF((INDIRECT($B$3)=$B135)*(INDIRECT($C$3)=$D135)*((INDIRECT($E$3)="TOTS")+(INDIRECT($E$3)=$E135)),INDIRECT(L$3)))),_xlpm.y,SUM(_xlfn.CHOOSECOLS(_xlfn._xlws.FILTER(F_RT14[],(F_RT14[PrjId]=$B135)*(F_RT14[Vrs]=$D135)*(_xlfn.TEXTAFTER(F_RT14[ActGrp],":")=_xlfn.TEXTAFTER($H135,":")),"X"),MATCH("*"&amp;L$54,F_RT14[#Headers],0))),IF(AND(_xlpm.x=0,_xlpm.y&lt;&gt;0),-1,IF(AND(_xlpm.x&lt;&gt;0,_xlpm.y&lt;&gt;0),_xlpm.x,IF(AND(_xlpm.x-SUM(IF((INDIRECT($B$3)=$B135)*(INDIRECT($C$3)=$D135)*((INDIRECT($E$3)="TOTS")+(INDIRECT($E$3)=$E135)),INDIRECT(L$3)))&lt;&gt;0,_xlpm.y=0),-2,_xlpm.x)))),0))</f>
        <v>0</v>
      </c>
      <c r="M135" s="199" cm="1">
        <f t="array" aca="1" ref="M135" ca="1">IF(OR($B135="",$B135="X",$D135="",$D135="X",$E135="",$E135="X"),0,IFERROR(_xlfn.LET(_xlpm.x,SUM(SUM(_xlfn._xlws.FILTER(VALUE(PptoSty[Sign]&amp;1)*(1/PptoSty[Division]),(PptoSty[Division]&lt;&gt;0)*(PptoSty[Division]&lt;&gt;"")*(PptoSty[Division]&lt;&gt;"X")*(PptoSty[Project]=$B135)*(PptoSty[Vrs]=$D135)*(PptoSty[PiRow]=_xlfn.TEXTAFTER($H135,":"))*(PptoSty[PiColumn]=M$54),0)),SUM(IF((INDIRECT($B$3)=$B135)*(INDIRECT($C$3)=$D135)*((INDIRECT($E$3)="TOTS")+(INDIRECT($E$3)=$E135)),INDIRECT(M$3)))),_xlpm.y,SUM(_xlfn.CHOOSECOLS(_xlfn._xlws.FILTER(F_RT14[],(F_RT14[PrjId]=$B135)*(F_RT14[Vrs]=$D135)*(_xlfn.TEXTAFTER(F_RT14[ActGrp],":")=_xlfn.TEXTAFTER($H135,":")),"X"),MATCH("*"&amp;M$54,F_RT14[#Headers],0))),IF(AND(_xlpm.x=0,_xlpm.y&lt;&gt;0),-1,IF(AND(_xlpm.x&lt;&gt;0,_xlpm.y&lt;&gt;0),_xlpm.x,IF(AND(_xlpm.x-SUM(IF((INDIRECT($B$3)=$B135)*(INDIRECT($C$3)=$D135)*((INDIRECT($E$3)="TOTS")+(INDIRECT($E$3)=$E135)),INDIRECT(M$3)))&lt;&gt;0,_xlpm.y=0),-2,_xlpm.x)))),0))</f>
        <v>1</v>
      </c>
      <c r="N135" s="199" cm="1">
        <f t="array" aca="1" ref="N135" ca="1">IF(OR($B135="",$B135="X",$D135="",$D135="X",$E135="",$E135="X"),0,IFERROR(_xlfn.LET(_xlpm.x,SUM(SUM(_xlfn._xlws.FILTER(VALUE(PptoSty[Sign]&amp;1)*(1/PptoSty[Division]),(PptoSty[Division]&lt;&gt;0)*(PptoSty[Division]&lt;&gt;"")*(PptoSty[Division]&lt;&gt;"X")*(PptoSty[Project]=$B135)*(PptoSty[Vrs]=$D135)*(PptoSty[PiRow]=_xlfn.TEXTAFTER($H135,":"))*(PptoSty[PiColumn]=N$54),0)),SUM(IF((INDIRECT($B$3)=$B135)*(INDIRECT($C$3)=$D135)*((INDIRECT($E$3)="TOTS")+(INDIRECT($E$3)=$E135)),INDIRECT(N$3)))),_xlpm.y,SUM(_xlfn.CHOOSECOLS(_xlfn._xlws.FILTER(F_RT14[],(F_RT14[PrjId]=$B135)*(F_RT14[Vrs]=$D135)*(_xlfn.TEXTAFTER(F_RT14[ActGrp],":")=_xlfn.TEXTAFTER($H135,":")),"X"),MATCH("*"&amp;N$54,F_RT14[#Headers],0))),IF(AND(_xlpm.x=0,_xlpm.y&lt;&gt;0),-1,IF(AND(_xlpm.x&lt;&gt;0,_xlpm.y&lt;&gt;0),_xlpm.x,IF(AND(_xlpm.x-SUM(IF((INDIRECT($B$3)=$B135)*(INDIRECT($C$3)=$D135)*((INDIRECT($E$3)="TOTS")+(INDIRECT($E$3)=$E135)),INDIRECT(N$3)))&lt;&gt;0,_xlpm.y=0),-2,_xlpm.x)))),0))</f>
        <v>0</v>
      </c>
      <c r="O135" s="199" cm="1">
        <f t="array" aca="1" ref="O135" ca="1">IF(OR($B135="",$B135="X",$D135="",$D135="X",$E135="",$E135="X"),0,IFERROR(_xlfn.LET(_xlpm.x,SUM(SUM(_xlfn._xlws.FILTER(VALUE(PptoSty[Sign]&amp;1)*(1/PptoSty[Division]),(PptoSty[Division]&lt;&gt;0)*(PptoSty[Division]&lt;&gt;"")*(PptoSty[Division]&lt;&gt;"X")*(PptoSty[Project]=$B135)*(PptoSty[Vrs]=$D135)*(PptoSty[PiRow]=_xlfn.TEXTAFTER($H135,":"))*(PptoSty[PiColumn]=O$54),0)),SUM(IF((INDIRECT($B$3)=$B135)*(INDIRECT($C$3)=$D135)*((INDIRECT($E$3)="TOTS")+(INDIRECT($E$3)=$E135)),INDIRECT(O$3)))),_xlpm.y,SUM(_xlfn.CHOOSECOLS(_xlfn._xlws.FILTER(F_RT14[],(F_RT14[PrjId]=$B135)*(F_RT14[Vrs]=$D135)*(_xlfn.TEXTAFTER(F_RT14[ActGrp],":")=_xlfn.TEXTAFTER($H135,":")),"X"),MATCH("*"&amp;O$54,F_RT14[#Headers],0))),IF(AND(_xlpm.x=0,_xlpm.y&lt;&gt;0),-1,IF(AND(_xlpm.x&lt;&gt;0,_xlpm.y&lt;&gt;0),_xlpm.x,IF(AND(_xlpm.x-SUM(IF((INDIRECT($B$3)=$B135)*(INDIRECT($C$3)=$D135)*((INDIRECT($E$3)="TOTS")+(INDIRECT($E$3)=$E135)),INDIRECT(O$3)))&lt;&gt;0,_xlpm.y=0),-2,_xlpm.x)))),0))</f>
        <v>1</v>
      </c>
      <c r="P135" s="199" cm="1">
        <f t="array" aca="1" ref="P135" ca="1">IF(OR($B135="",$B135="X",$D135="",$D135="X",$E135="",$E135="X"),0,IFERROR(_xlfn.LET(_xlpm.x,SUM(SUM(_xlfn._xlws.FILTER(VALUE(PptoSty[Sign]&amp;1)*(1/PptoSty[Division]),(PptoSty[Division]&lt;&gt;0)*(PptoSty[Division]&lt;&gt;"")*(PptoSty[Division]&lt;&gt;"X")*(PptoSty[Project]=$B135)*(PptoSty[Vrs]=$D135)*(PptoSty[PiRow]=_xlfn.TEXTAFTER($H135,":"))*(PptoSty[PiColumn]=P$54),0)),SUM(IF((INDIRECT($B$3)=$B135)*(INDIRECT($C$3)=$D135)*((INDIRECT($E$3)="TOTS")+(INDIRECT($E$3)=$E135)),INDIRECT(P$3)))),_xlpm.y,SUM(_xlfn.CHOOSECOLS(_xlfn._xlws.FILTER(F_RT14[],(F_RT14[PrjId]=$B135)*(F_RT14[Vrs]=$D135)*(_xlfn.TEXTAFTER(F_RT14[ActGrp],":")=_xlfn.TEXTAFTER($H135,":")),"X"),MATCH("*"&amp;P$54,F_RT14[#Headers],0))),IF(AND(_xlpm.x=0,_xlpm.y&lt;&gt;0),-1,IF(AND(_xlpm.x&lt;&gt;0,_xlpm.y&lt;&gt;0),_xlpm.x,IF(AND(_xlpm.x-SUM(IF((INDIRECT($B$3)=$B135)*(INDIRECT($C$3)=$D135)*((INDIRECT($E$3)="TOTS")+(INDIRECT($E$3)=$E135)),INDIRECT(P$3)))&lt;&gt;0,_xlpm.y=0),-2,_xlpm.x)))),0))</f>
        <v>0</v>
      </c>
      <c r="Q135" s="199" cm="1">
        <f t="array" aca="1" ref="Q135" ca="1">IF(OR($B135="",$B135="X",$D135="",$D135="X",$E135="",$E135="X"),0,IFERROR(_xlfn.LET(_xlpm.x,SUM(SUM(_xlfn._xlws.FILTER(VALUE(PptoSty[Sign]&amp;1)*(1/PptoSty[Division]),(PptoSty[Division]&lt;&gt;0)*(PptoSty[Division]&lt;&gt;"")*(PptoSty[Division]&lt;&gt;"X")*(PptoSty[Project]=$B135)*(PptoSty[Vrs]=$D135)*(PptoSty[PiRow]=_xlfn.TEXTAFTER($H135,":"))*(PptoSty[PiColumn]=Q$54),0)),SUM(IF((INDIRECT($B$3)=$B135)*(INDIRECT($C$3)=$D135)*((INDIRECT($E$3)="TOTS")+(INDIRECT($E$3)=$E135)),INDIRECT(Q$3)))),_xlpm.y,SUM(_xlfn.CHOOSECOLS(_xlfn._xlws.FILTER(F_RT14[],(F_RT14[PrjId]=$B135)*(F_RT14[Vrs]=$D135)*(_xlfn.TEXTAFTER(F_RT14[ActGrp],":")=_xlfn.TEXTAFTER($H135,":")),"X"),MATCH("*"&amp;Q$54,F_RT14[#Headers],0))),IF(AND(_xlpm.x=0,_xlpm.y&lt;&gt;0),-1,IF(AND(_xlpm.x&lt;&gt;0,_xlpm.y&lt;&gt;0),_xlpm.x,IF(AND(_xlpm.x-SUM(IF((INDIRECT($B$3)=$B135)*(INDIRECT($C$3)=$D135)*((INDIRECT($E$3)="TOTS")+(INDIRECT($E$3)=$E135)),INDIRECT(Q$3)))&lt;&gt;0,_xlpm.y=0),-2,_xlpm.x)))),0))</f>
        <v>0</v>
      </c>
      <c r="R135" s="199" cm="1">
        <f t="array" aca="1" ref="R135" ca="1">IF(OR($B135="",$B135="X",$D135="",$D135="X",$E135="",$E135="X"),0,IFERROR(_xlfn.LET(_xlpm.x,SUM(SUM(_xlfn._xlws.FILTER(VALUE(PptoSty[Sign]&amp;1)*(1/PptoSty[Division]),(PptoSty[Division]&lt;&gt;0)*(PptoSty[Division]&lt;&gt;"")*(PptoSty[Division]&lt;&gt;"X")*(PptoSty[Project]=$B135)*(PptoSty[Vrs]=$D135)*(PptoSty[PiRow]=_xlfn.TEXTAFTER($H135,":"))*(PptoSty[PiColumn]=R$54),0)),SUM(IF((INDIRECT($B$3)=$B135)*(INDIRECT($C$3)=$D135)*((INDIRECT($E$3)="TOTS")+(INDIRECT($E$3)=$E135)),INDIRECT(R$3)))),_xlpm.y,SUM(_xlfn.CHOOSECOLS(_xlfn._xlws.FILTER(F_RT14[],(F_RT14[PrjId]=$B135)*(F_RT14[Vrs]=$D135)*(_xlfn.TEXTAFTER(F_RT14[ActGrp],":")=_xlfn.TEXTAFTER($H135,":")),"X"),MATCH("*"&amp;R$54,F_RT14[#Headers],0))),IF(AND(_xlpm.x=0,_xlpm.y&lt;&gt;0),-1,IF(AND(_xlpm.x&lt;&gt;0,_xlpm.y&lt;&gt;0),_xlpm.x,IF(AND(_xlpm.x-SUM(IF((INDIRECT($B$3)=$B135)*(INDIRECT($C$3)=$D135)*((INDIRECT($E$3)="TOTS")+(INDIRECT($E$3)=$E135)),INDIRECT(R$3)))&lt;&gt;0,_xlpm.y=0),-2,_xlpm.x)))),0))</f>
        <v>0</v>
      </c>
      <c r="S135" s="199" cm="1">
        <f t="array" aca="1" ref="S135" ca="1">IF(OR($B135="",$B135="X",$D135="",$D135="X",$E135="",$E135="X"),0,IFERROR(_xlfn.LET(_xlpm.x,SUM(SUM(_xlfn._xlws.FILTER(VALUE(PptoSty[Sign]&amp;1)*(1/PptoSty[Division]),(PptoSty[Division]&lt;&gt;0)*(PptoSty[Division]&lt;&gt;"")*(PptoSty[Division]&lt;&gt;"X")*(PptoSty[Project]=$B135)*(PptoSty[Vrs]=$D135)*(PptoSty[PiRow]=_xlfn.TEXTAFTER($H135,":"))*(PptoSty[PiColumn]=S$54),0)),SUM(IF((INDIRECT($B$3)=$B135)*(INDIRECT($C$3)=$D135)*((INDIRECT($E$3)="TOTS")+(INDIRECT($E$3)=$E135)),INDIRECT(S$3)))),_xlpm.y,SUM(_xlfn.CHOOSECOLS(_xlfn._xlws.FILTER(F_RT14[],(F_RT14[PrjId]=$B135)*(F_RT14[Vrs]=$D135)*(_xlfn.TEXTAFTER(F_RT14[ActGrp],":")=_xlfn.TEXTAFTER($H135,":")),"X"),MATCH("*"&amp;S$54,F_RT14[#Headers],0))),IF(AND(_xlpm.x=0,_xlpm.y&lt;&gt;0),-1,IF(AND(_xlpm.x&lt;&gt;0,_xlpm.y&lt;&gt;0),_xlpm.x,IF(AND(_xlpm.x-SUM(IF((INDIRECT($B$3)=$B135)*(INDIRECT($C$3)=$D135)*((INDIRECT($E$3)="TOTS")+(INDIRECT($E$3)=$E135)),INDIRECT(S$3)))&lt;&gt;0,_xlpm.y=0),-2,_xlpm.x)))),0))</f>
        <v>0</v>
      </c>
      <c r="T135" s="199" cm="1">
        <f t="array" aca="1" ref="T135" ca="1">IF(OR($B135="",$B135="X",$D135="",$D135="X",$E135="",$E135="X"),0,IFERROR(_xlfn.LET(_xlpm.x,SUM(SUM(_xlfn._xlws.FILTER(VALUE(PptoSty[Sign]&amp;1)*(1/PptoSty[Division]),(PptoSty[Division]&lt;&gt;0)*(PptoSty[Division]&lt;&gt;"")*(PptoSty[Division]&lt;&gt;"X")*(PptoSty[Project]=$B135)*(PptoSty[Vrs]=$D135)*(PptoSty[PiRow]=_xlfn.TEXTAFTER($H135,":"))*(PptoSty[PiColumn]=T$54),0)),SUM(IF((INDIRECT($B$3)=$B135)*(INDIRECT($C$3)=$D135)*((INDIRECT($E$3)="TOTS")+(INDIRECT($E$3)=$E135)),INDIRECT(T$3)))),_xlpm.y,SUM(_xlfn.CHOOSECOLS(_xlfn._xlws.FILTER(F_RT14[],(F_RT14[PrjId]=$B135)*(F_RT14[Vrs]=$D135)*(_xlfn.TEXTAFTER(F_RT14[ActGrp],":")=_xlfn.TEXTAFTER($H135,":")),"X"),MATCH("*"&amp;T$54,F_RT14[#Headers],0))),IF(AND(_xlpm.x=0,_xlpm.y&lt;&gt;0),-1,IF(AND(_xlpm.x&lt;&gt;0,_xlpm.y&lt;&gt;0),_xlpm.x,IF(AND(_xlpm.x-SUM(IF((INDIRECT($B$3)=$B135)*(INDIRECT($C$3)=$D135)*((INDIRECT($E$3)="TOTS")+(INDIRECT($E$3)=$E135)),INDIRECT(T$3)))&lt;&gt;0,_xlpm.y=0),-2,_xlpm.x)))),0))</f>
        <v>0</v>
      </c>
      <c r="U135" s="199" cm="1">
        <f t="array" aca="1" ref="U135" ca="1">IF(OR($B135="",$B135="X",$D135="",$D135="X",$E135="",$E135="X"),0,IFERROR(_xlfn.LET(_xlpm.x,SUM(SUM(_xlfn._xlws.FILTER(VALUE(PptoSty[Sign]&amp;1)*(1/PptoSty[Division]),(PptoSty[Division]&lt;&gt;0)*(PptoSty[Division]&lt;&gt;"")*(PptoSty[Division]&lt;&gt;"X")*(PptoSty[Project]=$B135)*(PptoSty[Vrs]=$D135)*(PptoSty[PiRow]=_xlfn.TEXTAFTER($H135,":"))*(PptoSty[PiColumn]=U$54),0)),SUM(IF((INDIRECT($B$3)=$B135)*(INDIRECT($C$3)=$D135)*((INDIRECT($E$3)="TOTS")+(INDIRECT($E$3)=$E135)),INDIRECT(U$3)))),_xlpm.y,SUM(_xlfn.CHOOSECOLS(_xlfn._xlws.FILTER(F_RT14[],(F_RT14[PrjId]=$B135)*(F_RT14[Vrs]=$D135)*(_xlfn.TEXTAFTER(F_RT14[ActGrp],":")=_xlfn.TEXTAFTER($H135,":")),"X"),MATCH("*"&amp;U$54,F_RT14[#Headers],0))),IF(AND(_xlpm.x=0,_xlpm.y&lt;&gt;0),-1,IF(AND(_xlpm.x&lt;&gt;0,_xlpm.y&lt;&gt;0),_xlpm.x,IF(AND(_xlpm.x-SUM(IF((INDIRECT($B$3)=$B135)*(INDIRECT($C$3)=$D135)*((INDIRECT($E$3)="TOTS")+(INDIRECT($E$3)=$E135)),INDIRECT(U$3)))&lt;&gt;0,_xlpm.y=0),-2,_xlpm.x)))),0))</f>
        <v>0</v>
      </c>
      <c r="V135" s="199" cm="1">
        <f t="array" aca="1" ref="V135" ca="1">IF(OR($B135="",$B135="X",$D135="",$D135="X",$E135="",$E135="X"),0,IFERROR(_xlfn.LET(_xlpm.x,SUM(SUM(_xlfn._xlws.FILTER(VALUE(PptoSty[Sign]&amp;1)*(1/PptoSty[Division]),(PptoSty[Division]&lt;&gt;0)*(PptoSty[Division]&lt;&gt;"")*(PptoSty[Division]&lt;&gt;"X")*(PptoSty[Project]=$B135)*(PptoSty[Vrs]=$D135)*(PptoSty[PiRow]=_xlfn.TEXTAFTER($H135,":"))*(PptoSty[PiColumn]=V$54),0)),SUM(IF((INDIRECT($B$3)=$B135)*(INDIRECT($C$3)=$D135)*((INDIRECT($E$3)="TOTS")+(INDIRECT($E$3)=$E135)),INDIRECT(V$3)))),_xlpm.y,SUM(_xlfn.CHOOSECOLS(_xlfn._xlws.FILTER(F_RT14[],(F_RT14[PrjId]=$B135)*(F_RT14[Vrs]=$D135)*(_xlfn.TEXTAFTER(F_RT14[ActGrp],":")=_xlfn.TEXTAFTER($H135,":")),"X"),MATCH("*"&amp;V$54,F_RT14[#Headers],0))),IF(AND(_xlpm.x=0,_xlpm.y&lt;&gt;0),-1,IF(AND(_xlpm.x&lt;&gt;0,_xlpm.y&lt;&gt;0),_xlpm.x,IF(AND(_xlpm.x-SUM(IF((INDIRECT($B$3)=$B135)*(INDIRECT($C$3)=$D135)*((INDIRECT($E$3)="TOTS")+(INDIRECT($E$3)=$E135)),INDIRECT(V$3)))&lt;&gt;0,_xlpm.y=0),-2,_xlpm.x)))),0))</f>
        <v>0</v>
      </c>
      <c r="W135" s="199" cm="1">
        <f t="array" aca="1" ref="W135" ca="1">IF(OR($B135="",$B135="X",$D135="",$D135="X",$E135="",$E135="X"),0,IFERROR(_xlfn.LET(_xlpm.x,SUM(SUM(_xlfn._xlws.FILTER(VALUE(PptoSty[Sign]&amp;1)*(1/PptoSty[Division]),(PptoSty[Division]&lt;&gt;0)*(PptoSty[Division]&lt;&gt;"")*(PptoSty[Division]&lt;&gt;"X")*(PptoSty[Project]=$B135)*(PptoSty[Vrs]=$D135)*(PptoSty[PiRow]=_xlfn.TEXTAFTER($H135,":"))*(PptoSty[PiColumn]=W$54),0)),SUM(IF((INDIRECT($B$3)=$B135)*(INDIRECT($C$3)=$D135)*((INDIRECT($E$3)="TOTS")+(INDIRECT($E$3)=$E135)),INDIRECT(W$3)))),_xlpm.y,SUM(_xlfn.CHOOSECOLS(_xlfn._xlws.FILTER(F_RT14[],(F_RT14[PrjId]=$B135)*(F_RT14[Vrs]=$D135)*(_xlfn.TEXTAFTER(F_RT14[ActGrp],":")=_xlfn.TEXTAFTER($H135,":")),"X"),MATCH("*"&amp;W$54,F_RT14[#Headers],0))),IF(AND(_xlpm.x=0,_xlpm.y&lt;&gt;0),-1,IF(AND(_xlpm.x&lt;&gt;0,_xlpm.y&lt;&gt;0),_xlpm.x,IF(AND(_xlpm.x-SUM(IF((INDIRECT($B$3)=$B135)*(INDIRECT($C$3)=$D135)*((INDIRECT($E$3)="TOTS")+(INDIRECT($E$3)=$E135)),INDIRECT(W$3)))&lt;&gt;0,_xlpm.y=0),-2,_xlpm.x)))),0))</f>
        <v>0</v>
      </c>
      <c r="X135" s="199" cm="1">
        <f t="array" aca="1" ref="X135" ca="1">IF(OR($B135="",$B135="X",$D135="",$D135="X",$E135="",$E135="X"),0,IFERROR(_xlfn.LET(_xlpm.x,SUM(SUM(_xlfn._xlws.FILTER(VALUE(PptoSty[Sign]&amp;1)*(1/PptoSty[Division]),(PptoSty[Division]&lt;&gt;0)*(PptoSty[Division]&lt;&gt;"")*(PptoSty[Division]&lt;&gt;"X")*(PptoSty[Project]=$B135)*(PptoSty[Vrs]=$D135)*(PptoSty[PiRow]=_xlfn.TEXTAFTER($H135,":"))*(PptoSty[PiColumn]=X$54),0)),SUM(IF((INDIRECT($B$3)=$B135)*(INDIRECT($C$3)=$D135)*((INDIRECT($E$3)="TOTS")+(INDIRECT($E$3)=$E135)),INDIRECT(X$3)))),_xlpm.y,SUM(_xlfn.CHOOSECOLS(_xlfn._xlws.FILTER(F_RT14[],(F_RT14[PrjId]=$B135)*(F_RT14[Vrs]=$D135)*(_xlfn.TEXTAFTER(F_RT14[ActGrp],":")=_xlfn.TEXTAFTER($H135,":")),"X"),MATCH("*"&amp;X$54,F_RT14[#Headers],0))),IF(AND(_xlpm.x=0,_xlpm.y&lt;&gt;0),-1,IF(AND(_xlpm.x&lt;&gt;0,_xlpm.y&lt;&gt;0),_xlpm.x,IF(AND(_xlpm.x-SUM(IF((INDIRECT($B$3)=$B135)*(INDIRECT($C$3)=$D135)*((INDIRECT($E$3)="TOTS")+(INDIRECT($E$3)=$E135)),INDIRECT(X$3)))&lt;&gt;0,_xlpm.y=0),-2,_xlpm.x)))),0))</f>
        <v>0</v>
      </c>
      <c r="Y135" s="199" cm="1">
        <f t="array" aca="1" ref="Y135" ca="1">IF(OR($B135="",$B135="X",$D135="",$D135="X",$E135="",$E135="X"),0,IFERROR(_xlfn.LET(_xlpm.x,SUM(SUM(_xlfn._xlws.FILTER(VALUE(PptoSty[Sign]&amp;1)*(1/PptoSty[Division]),(PptoSty[Division]&lt;&gt;0)*(PptoSty[Division]&lt;&gt;"")*(PptoSty[Division]&lt;&gt;"X")*(PptoSty[Project]=$B135)*(PptoSty[Vrs]=$D135)*(PptoSty[PiRow]=_xlfn.TEXTAFTER($H135,":"))*(PptoSty[PiColumn]=Y$54),0)),SUM(IF((INDIRECT($B$3)=$B135)*(INDIRECT($C$3)=$D135)*((INDIRECT($E$3)="TOTS")+(INDIRECT($E$3)=$E135)),INDIRECT(Y$3)))),_xlpm.y,SUM(_xlfn.CHOOSECOLS(_xlfn._xlws.FILTER(F_RT14[],(F_RT14[PrjId]=$B135)*(F_RT14[Vrs]=$D135)*(_xlfn.TEXTAFTER(F_RT14[ActGrp],":")=_xlfn.TEXTAFTER($H135,":")),"X"),MATCH("*"&amp;Y$54,F_RT14[#Headers],0))),IF(AND(_xlpm.x=0,_xlpm.y&lt;&gt;0),-1,IF(AND(_xlpm.x&lt;&gt;0,_xlpm.y&lt;&gt;0),_xlpm.x,IF(AND(_xlpm.x-SUM(IF((INDIRECT($B$3)=$B135)*(INDIRECT($C$3)=$D135)*((INDIRECT($E$3)="TOTS")+(INDIRECT($E$3)=$E135)),INDIRECT(Y$3)))&lt;&gt;0,_xlpm.y=0),-2,_xlpm.x)))),0))</f>
        <v>0</v>
      </c>
      <c r="Z135" s="198" t="str">
        <f t="shared" ca="1" si="3"/>
        <v>Fback!B135:Y135</v>
      </c>
    </row>
    <row r="136" spans="2:26" ht="21" customHeight="1" outlineLevel="1">
      <c r="B136" s="128" t="str">
        <v>31200</v>
      </c>
      <c r="C136" s="128" t="str">
        <v>Sp</v>
      </c>
      <c r="D136" s="128">
        <v>16</v>
      </c>
      <c r="E136" s="128" t="str">
        <v>CELL</v>
      </c>
      <c r="F136" s="139" t="str">
        <v>SERRA</v>
      </c>
      <c r="G136" s="139" t="str">
        <v>CurPpto</v>
      </c>
      <c r="H136" s="139" t="str">
        <v>E001:ARMARIOS ELECTRICOS</v>
      </c>
      <c r="I136" s="199" cm="1">
        <f t="array" aca="1" ref="I136" ca="1">IF(OR($B136="",$B136="X",$D136="",$D136="X",$E136="",$E136="X"),0,IFERROR(_xlfn.LET(_xlpm.x,SUM(SUM(_xlfn._xlws.FILTER(VALUE(PptoSty[Sign]&amp;1)*(1/PptoSty[Division]),(PptoSty[Division]&lt;&gt;0)*(PptoSty[Division]&lt;&gt;"")*(PptoSty[Division]&lt;&gt;"X")*(PptoSty[Project]=$B136)*(PptoSty[Vrs]=$D136)*(PptoSty[PiRow]=_xlfn.TEXTAFTER($H136,":"))*(PptoSty[PiColumn]=I$54),0)),SUM(IF((INDIRECT($B$3)=$B136)*(INDIRECT($C$3)=$D136)*((INDIRECT($E$3)="TOTS")+(INDIRECT($E$3)=$E136)),INDIRECT(I$3)))),_xlpm.y,SUM(_xlfn.CHOOSECOLS(_xlfn._xlws.FILTER(F_RT14[],(F_RT14[PrjId]=$B136)*(F_RT14[Vrs]=$D136)*(_xlfn.TEXTAFTER(F_RT14[ActGrp],":")=_xlfn.TEXTAFTER($H136,":")),"X"),MATCH("*"&amp;I$54,F_RT14[#Headers],0))),IF(AND(_xlpm.x=0,_xlpm.y&lt;&gt;0),-1,IF(AND(_xlpm.x&lt;&gt;0,_xlpm.y&lt;&gt;0),_xlpm.x,IF(AND(_xlpm.x-SUM(IF((INDIRECT($B$3)=$B136)*(INDIRECT($C$3)=$D136)*((INDIRECT($E$3)="TOTS")+(INDIRECT($E$3)=$E136)),INDIRECT(I$3)))&lt;&gt;0,_xlpm.y=0),-2,_xlpm.x)))),0))</f>
        <v>0</v>
      </c>
      <c r="J136" s="199" cm="1">
        <f t="array" aca="1" ref="J136" ca="1">IF(OR($B136="",$B136="X",$D136="",$D136="X",$E136="",$E136="X"),0,IFERROR(_xlfn.LET(_xlpm.x,SUM(SUM(_xlfn._xlws.FILTER(VALUE(PptoSty[Sign]&amp;1)*(1/PptoSty[Division]),(PptoSty[Division]&lt;&gt;0)*(PptoSty[Division]&lt;&gt;"")*(PptoSty[Division]&lt;&gt;"X")*(PptoSty[Project]=$B136)*(PptoSty[Vrs]=$D136)*(PptoSty[PiRow]=_xlfn.TEXTAFTER($H136,":"))*(PptoSty[PiColumn]=J$54),0)),SUM(IF((INDIRECT($B$3)=$B136)*(INDIRECT($C$3)=$D136)*((INDIRECT($E$3)="TOTS")+(INDIRECT($E$3)=$E136)),INDIRECT(J$3)))),_xlpm.y,SUM(_xlfn.CHOOSECOLS(_xlfn._xlws.FILTER(F_RT14[],(F_RT14[PrjId]=$B136)*(F_RT14[Vrs]=$D136)*(_xlfn.TEXTAFTER(F_RT14[ActGrp],":")=_xlfn.TEXTAFTER($H136,":")),"X"),MATCH("*"&amp;J$54,F_RT14[#Headers],0))),IF(AND(_xlpm.x=0,_xlpm.y&lt;&gt;0),-1,IF(AND(_xlpm.x&lt;&gt;0,_xlpm.y&lt;&gt;0),_xlpm.x,IF(AND(_xlpm.x-SUM(IF((INDIRECT($B$3)=$B136)*(INDIRECT($C$3)=$D136)*((INDIRECT($E$3)="TOTS")+(INDIRECT($E$3)=$E136)),INDIRECT(J$3)))&lt;&gt;0,_xlpm.y=0),-2,_xlpm.x)))),0))</f>
        <v>0</v>
      </c>
      <c r="K136" s="199" cm="1">
        <f t="array" aca="1" ref="K136" ca="1">IF(OR($B136="",$B136="X",$D136="",$D136="X",$E136="",$E136="X"),0,IFERROR(_xlfn.LET(_xlpm.x,SUM(SUM(_xlfn._xlws.FILTER(VALUE(PptoSty[Sign]&amp;1)*(1/PptoSty[Division]),(PptoSty[Division]&lt;&gt;0)*(PptoSty[Division]&lt;&gt;"")*(PptoSty[Division]&lt;&gt;"X")*(PptoSty[Project]=$B136)*(PptoSty[Vrs]=$D136)*(PptoSty[PiRow]=_xlfn.TEXTAFTER($H136,":"))*(PptoSty[PiColumn]=K$54),0)),SUM(IF((INDIRECT($B$3)=$B136)*(INDIRECT($C$3)=$D136)*((INDIRECT($E$3)="TOTS")+(INDIRECT($E$3)=$E136)),INDIRECT(K$3)))),_xlpm.y,SUM(_xlfn.CHOOSECOLS(_xlfn._xlws.FILTER(F_RT14[],(F_RT14[PrjId]=$B136)*(F_RT14[Vrs]=$D136)*(_xlfn.TEXTAFTER(F_RT14[ActGrp],":")=_xlfn.TEXTAFTER($H136,":")),"X"),MATCH("*"&amp;K$54,F_RT14[#Headers],0))),IF(AND(_xlpm.x=0,_xlpm.y&lt;&gt;0),-1,IF(AND(_xlpm.x&lt;&gt;0,_xlpm.y&lt;&gt;0),_xlpm.x,IF(AND(_xlpm.x-SUM(IF((INDIRECT($B$3)=$B136)*(INDIRECT($C$3)=$D136)*((INDIRECT($E$3)="TOTS")+(INDIRECT($E$3)=$E136)),INDIRECT(K$3)))&lt;&gt;0,_xlpm.y=0),-2,_xlpm.x)))),0))</f>
        <v>0</v>
      </c>
      <c r="L136" s="199" cm="1">
        <f t="array" aca="1" ref="L136" ca="1">IF(OR($B136="",$B136="X",$D136="",$D136="X",$E136="",$E136="X"),0,IFERROR(_xlfn.LET(_xlpm.x,SUM(SUM(_xlfn._xlws.FILTER(VALUE(PptoSty[Sign]&amp;1)*(1/PptoSty[Division]),(PptoSty[Division]&lt;&gt;0)*(PptoSty[Division]&lt;&gt;"")*(PptoSty[Division]&lt;&gt;"X")*(PptoSty[Project]=$B136)*(PptoSty[Vrs]=$D136)*(PptoSty[PiRow]=_xlfn.TEXTAFTER($H136,":"))*(PptoSty[PiColumn]=L$54),0)),SUM(IF((INDIRECT($B$3)=$B136)*(INDIRECT($C$3)=$D136)*((INDIRECT($E$3)="TOTS")+(INDIRECT($E$3)=$E136)),INDIRECT(L$3)))),_xlpm.y,SUM(_xlfn.CHOOSECOLS(_xlfn._xlws.FILTER(F_RT14[],(F_RT14[PrjId]=$B136)*(F_RT14[Vrs]=$D136)*(_xlfn.TEXTAFTER(F_RT14[ActGrp],":")=_xlfn.TEXTAFTER($H136,":")),"X"),MATCH("*"&amp;L$54,F_RT14[#Headers],0))),IF(AND(_xlpm.x=0,_xlpm.y&lt;&gt;0),-1,IF(AND(_xlpm.x&lt;&gt;0,_xlpm.y&lt;&gt;0),_xlpm.x,IF(AND(_xlpm.x-SUM(IF((INDIRECT($B$3)=$B136)*(INDIRECT($C$3)=$D136)*((INDIRECT($E$3)="TOTS")+(INDIRECT($E$3)=$E136)),INDIRECT(L$3)))&lt;&gt;0,_xlpm.y=0),-2,_xlpm.x)))),0))</f>
        <v>0</v>
      </c>
      <c r="M136" s="199" cm="1">
        <f t="array" aca="1" ref="M136" ca="1">IF(OR($B136="",$B136="X",$D136="",$D136="X",$E136="",$E136="X"),0,IFERROR(_xlfn.LET(_xlpm.x,SUM(SUM(_xlfn._xlws.FILTER(VALUE(PptoSty[Sign]&amp;1)*(1/PptoSty[Division]),(PptoSty[Division]&lt;&gt;0)*(PptoSty[Division]&lt;&gt;"")*(PptoSty[Division]&lt;&gt;"X")*(PptoSty[Project]=$B136)*(PptoSty[Vrs]=$D136)*(PptoSty[PiRow]=_xlfn.TEXTAFTER($H136,":"))*(PptoSty[PiColumn]=M$54),0)),SUM(IF((INDIRECT($B$3)=$B136)*(INDIRECT($C$3)=$D136)*((INDIRECT($E$3)="TOTS")+(INDIRECT($E$3)=$E136)),INDIRECT(M$3)))),_xlpm.y,SUM(_xlfn.CHOOSECOLS(_xlfn._xlws.FILTER(F_RT14[],(F_RT14[PrjId]=$B136)*(F_RT14[Vrs]=$D136)*(_xlfn.TEXTAFTER(F_RT14[ActGrp],":")=_xlfn.TEXTAFTER($H136,":")),"X"),MATCH("*"&amp;M$54,F_RT14[#Headers],0))),IF(AND(_xlpm.x=0,_xlpm.y&lt;&gt;0),-1,IF(AND(_xlpm.x&lt;&gt;0,_xlpm.y&lt;&gt;0),_xlpm.x,IF(AND(_xlpm.x-SUM(IF((INDIRECT($B$3)=$B136)*(INDIRECT($C$3)=$D136)*((INDIRECT($E$3)="TOTS")+(INDIRECT($E$3)=$E136)),INDIRECT(M$3)))&lt;&gt;0,_xlpm.y=0),-2,_xlpm.x)))),0))</f>
        <v>0</v>
      </c>
      <c r="N136" s="199" cm="1">
        <f t="array" aca="1" ref="N136" ca="1">IF(OR($B136="",$B136="X",$D136="",$D136="X",$E136="",$E136="X"),0,IFERROR(_xlfn.LET(_xlpm.x,SUM(SUM(_xlfn._xlws.FILTER(VALUE(PptoSty[Sign]&amp;1)*(1/PptoSty[Division]),(PptoSty[Division]&lt;&gt;0)*(PptoSty[Division]&lt;&gt;"")*(PptoSty[Division]&lt;&gt;"X")*(PptoSty[Project]=$B136)*(PptoSty[Vrs]=$D136)*(PptoSty[PiRow]=_xlfn.TEXTAFTER($H136,":"))*(PptoSty[PiColumn]=N$54),0)),SUM(IF((INDIRECT($B$3)=$B136)*(INDIRECT($C$3)=$D136)*((INDIRECT($E$3)="TOTS")+(INDIRECT($E$3)=$E136)),INDIRECT(N$3)))),_xlpm.y,SUM(_xlfn.CHOOSECOLS(_xlfn._xlws.FILTER(F_RT14[],(F_RT14[PrjId]=$B136)*(F_RT14[Vrs]=$D136)*(_xlfn.TEXTAFTER(F_RT14[ActGrp],":")=_xlfn.TEXTAFTER($H136,":")),"X"),MATCH("*"&amp;N$54,F_RT14[#Headers],0))),IF(AND(_xlpm.x=0,_xlpm.y&lt;&gt;0),-1,IF(AND(_xlpm.x&lt;&gt;0,_xlpm.y&lt;&gt;0),_xlpm.x,IF(AND(_xlpm.x-SUM(IF((INDIRECT($B$3)=$B136)*(INDIRECT($C$3)=$D136)*((INDIRECT($E$3)="TOTS")+(INDIRECT($E$3)=$E136)),INDIRECT(N$3)))&lt;&gt;0,_xlpm.y=0),-2,_xlpm.x)))),0))</f>
        <v>0</v>
      </c>
      <c r="O136" s="199" cm="1">
        <f t="array" aca="1" ref="O136" ca="1">IF(OR($B136="",$B136="X",$D136="",$D136="X",$E136="",$E136="X"),0,IFERROR(_xlfn.LET(_xlpm.x,SUM(SUM(_xlfn._xlws.FILTER(VALUE(PptoSty[Sign]&amp;1)*(1/PptoSty[Division]),(PptoSty[Division]&lt;&gt;0)*(PptoSty[Division]&lt;&gt;"")*(PptoSty[Division]&lt;&gt;"X")*(PptoSty[Project]=$B136)*(PptoSty[Vrs]=$D136)*(PptoSty[PiRow]=_xlfn.TEXTAFTER($H136,":"))*(PptoSty[PiColumn]=O$54),0)),SUM(IF((INDIRECT($B$3)=$B136)*(INDIRECT($C$3)=$D136)*((INDIRECT($E$3)="TOTS")+(INDIRECT($E$3)=$E136)),INDIRECT(O$3)))),_xlpm.y,SUM(_xlfn.CHOOSECOLS(_xlfn._xlws.FILTER(F_RT14[],(F_RT14[PrjId]=$B136)*(F_RT14[Vrs]=$D136)*(_xlfn.TEXTAFTER(F_RT14[ActGrp],":")=_xlfn.TEXTAFTER($H136,":")),"X"),MATCH("*"&amp;O$54,F_RT14[#Headers],0))),IF(AND(_xlpm.x=0,_xlpm.y&lt;&gt;0),-1,IF(AND(_xlpm.x&lt;&gt;0,_xlpm.y&lt;&gt;0),_xlpm.x,IF(AND(_xlpm.x-SUM(IF((INDIRECT($B$3)=$B136)*(INDIRECT($C$3)=$D136)*((INDIRECT($E$3)="TOTS")+(INDIRECT($E$3)=$E136)),INDIRECT(O$3)))&lt;&gt;0,_xlpm.y=0),-2,_xlpm.x)))),0))</f>
        <v>0</v>
      </c>
      <c r="P136" s="199" cm="1">
        <f t="array" aca="1" ref="P136" ca="1">IF(OR($B136="",$B136="X",$D136="",$D136="X",$E136="",$E136="X"),0,IFERROR(_xlfn.LET(_xlpm.x,SUM(SUM(_xlfn._xlws.FILTER(VALUE(PptoSty[Sign]&amp;1)*(1/PptoSty[Division]),(PptoSty[Division]&lt;&gt;0)*(PptoSty[Division]&lt;&gt;"")*(PptoSty[Division]&lt;&gt;"X")*(PptoSty[Project]=$B136)*(PptoSty[Vrs]=$D136)*(PptoSty[PiRow]=_xlfn.TEXTAFTER($H136,":"))*(PptoSty[PiColumn]=P$54),0)),SUM(IF((INDIRECT($B$3)=$B136)*(INDIRECT($C$3)=$D136)*((INDIRECT($E$3)="TOTS")+(INDIRECT($E$3)=$E136)),INDIRECT(P$3)))),_xlpm.y,SUM(_xlfn.CHOOSECOLS(_xlfn._xlws.FILTER(F_RT14[],(F_RT14[PrjId]=$B136)*(F_RT14[Vrs]=$D136)*(_xlfn.TEXTAFTER(F_RT14[ActGrp],":")=_xlfn.TEXTAFTER($H136,":")),"X"),MATCH("*"&amp;P$54,F_RT14[#Headers],0))),IF(AND(_xlpm.x=0,_xlpm.y&lt;&gt;0),-1,IF(AND(_xlpm.x&lt;&gt;0,_xlpm.y&lt;&gt;0),_xlpm.x,IF(AND(_xlpm.x-SUM(IF((INDIRECT($B$3)=$B136)*(INDIRECT($C$3)=$D136)*((INDIRECT($E$3)="TOTS")+(INDIRECT($E$3)=$E136)),INDIRECT(P$3)))&lt;&gt;0,_xlpm.y=0),-2,_xlpm.x)))),0))</f>
        <v>0</v>
      </c>
      <c r="Q136" s="199" cm="1">
        <f t="array" aca="1" ref="Q136" ca="1">IF(OR($B136="",$B136="X",$D136="",$D136="X",$E136="",$E136="X"),0,IFERROR(_xlfn.LET(_xlpm.x,SUM(SUM(_xlfn._xlws.FILTER(VALUE(PptoSty[Sign]&amp;1)*(1/PptoSty[Division]),(PptoSty[Division]&lt;&gt;0)*(PptoSty[Division]&lt;&gt;"")*(PptoSty[Division]&lt;&gt;"X")*(PptoSty[Project]=$B136)*(PptoSty[Vrs]=$D136)*(PptoSty[PiRow]=_xlfn.TEXTAFTER($H136,":"))*(PptoSty[PiColumn]=Q$54),0)),SUM(IF((INDIRECT($B$3)=$B136)*(INDIRECT($C$3)=$D136)*((INDIRECT($E$3)="TOTS")+(INDIRECT($E$3)=$E136)),INDIRECT(Q$3)))),_xlpm.y,SUM(_xlfn.CHOOSECOLS(_xlfn._xlws.FILTER(F_RT14[],(F_RT14[PrjId]=$B136)*(F_RT14[Vrs]=$D136)*(_xlfn.TEXTAFTER(F_RT14[ActGrp],":")=_xlfn.TEXTAFTER($H136,":")),"X"),MATCH("*"&amp;Q$54,F_RT14[#Headers],0))),IF(AND(_xlpm.x=0,_xlpm.y&lt;&gt;0),-1,IF(AND(_xlpm.x&lt;&gt;0,_xlpm.y&lt;&gt;0),_xlpm.x,IF(AND(_xlpm.x-SUM(IF((INDIRECT($B$3)=$B136)*(INDIRECT($C$3)=$D136)*((INDIRECT($E$3)="TOTS")+(INDIRECT($E$3)=$E136)),INDIRECT(Q$3)))&lt;&gt;0,_xlpm.y=0),-2,_xlpm.x)))),0))</f>
        <v>0</v>
      </c>
      <c r="R136" s="199" cm="1">
        <f t="array" aca="1" ref="R136" ca="1">IF(OR($B136="",$B136="X",$D136="",$D136="X",$E136="",$E136="X"),0,IFERROR(_xlfn.LET(_xlpm.x,SUM(SUM(_xlfn._xlws.FILTER(VALUE(PptoSty[Sign]&amp;1)*(1/PptoSty[Division]),(PptoSty[Division]&lt;&gt;0)*(PptoSty[Division]&lt;&gt;"")*(PptoSty[Division]&lt;&gt;"X")*(PptoSty[Project]=$B136)*(PptoSty[Vrs]=$D136)*(PptoSty[PiRow]=_xlfn.TEXTAFTER($H136,":"))*(PptoSty[PiColumn]=R$54),0)),SUM(IF((INDIRECT($B$3)=$B136)*(INDIRECT($C$3)=$D136)*((INDIRECT($E$3)="TOTS")+(INDIRECT($E$3)=$E136)),INDIRECT(R$3)))),_xlpm.y,SUM(_xlfn.CHOOSECOLS(_xlfn._xlws.FILTER(F_RT14[],(F_RT14[PrjId]=$B136)*(F_RT14[Vrs]=$D136)*(_xlfn.TEXTAFTER(F_RT14[ActGrp],":")=_xlfn.TEXTAFTER($H136,":")),"X"),MATCH("*"&amp;R$54,F_RT14[#Headers],0))),IF(AND(_xlpm.x=0,_xlpm.y&lt;&gt;0),-1,IF(AND(_xlpm.x&lt;&gt;0,_xlpm.y&lt;&gt;0),_xlpm.x,IF(AND(_xlpm.x-SUM(IF((INDIRECT($B$3)=$B136)*(INDIRECT($C$3)=$D136)*((INDIRECT($E$3)="TOTS")+(INDIRECT($E$3)=$E136)),INDIRECT(R$3)))&lt;&gt;0,_xlpm.y=0),-2,_xlpm.x)))),0))</f>
        <v>0</v>
      </c>
      <c r="S136" s="199" cm="1">
        <f t="array" aca="1" ref="S136" ca="1">IF(OR($B136="",$B136="X",$D136="",$D136="X",$E136="",$E136="X"),0,IFERROR(_xlfn.LET(_xlpm.x,SUM(SUM(_xlfn._xlws.FILTER(VALUE(PptoSty[Sign]&amp;1)*(1/PptoSty[Division]),(PptoSty[Division]&lt;&gt;0)*(PptoSty[Division]&lt;&gt;"")*(PptoSty[Division]&lt;&gt;"X")*(PptoSty[Project]=$B136)*(PptoSty[Vrs]=$D136)*(PptoSty[PiRow]=_xlfn.TEXTAFTER($H136,":"))*(PptoSty[PiColumn]=S$54),0)),SUM(IF((INDIRECT($B$3)=$B136)*(INDIRECT($C$3)=$D136)*((INDIRECT($E$3)="TOTS")+(INDIRECT($E$3)=$E136)),INDIRECT(S$3)))),_xlpm.y,SUM(_xlfn.CHOOSECOLS(_xlfn._xlws.FILTER(F_RT14[],(F_RT14[PrjId]=$B136)*(F_RT14[Vrs]=$D136)*(_xlfn.TEXTAFTER(F_RT14[ActGrp],":")=_xlfn.TEXTAFTER($H136,":")),"X"),MATCH("*"&amp;S$54,F_RT14[#Headers],0))),IF(AND(_xlpm.x=0,_xlpm.y&lt;&gt;0),-1,IF(AND(_xlpm.x&lt;&gt;0,_xlpm.y&lt;&gt;0),_xlpm.x,IF(AND(_xlpm.x-SUM(IF((INDIRECT($B$3)=$B136)*(INDIRECT($C$3)=$D136)*((INDIRECT($E$3)="TOTS")+(INDIRECT($E$3)=$E136)),INDIRECT(S$3)))&lt;&gt;0,_xlpm.y=0),-2,_xlpm.x)))),0))</f>
        <v>-1</v>
      </c>
      <c r="T136" s="199" cm="1">
        <f t="array" aca="1" ref="T136" ca="1">IF(OR($B136="",$B136="X",$D136="",$D136="X",$E136="",$E136="X"),0,IFERROR(_xlfn.LET(_xlpm.x,SUM(SUM(_xlfn._xlws.FILTER(VALUE(PptoSty[Sign]&amp;1)*(1/PptoSty[Division]),(PptoSty[Division]&lt;&gt;0)*(PptoSty[Division]&lt;&gt;"")*(PptoSty[Division]&lt;&gt;"X")*(PptoSty[Project]=$B136)*(PptoSty[Vrs]=$D136)*(PptoSty[PiRow]=_xlfn.TEXTAFTER($H136,":"))*(PptoSty[PiColumn]=T$54),0)),SUM(IF((INDIRECT($B$3)=$B136)*(INDIRECT($C$3)=$D136)*((INDIRECT($E$3)="TOTS")+(INDIRECT($E$3)=$E136)),INDIRECT(T$3)))),_xlpm.y,SUM(_xlfn.CHOOSECOLS(_xlfn._xlws.FILTER(F_RT14[],(F_RT14[PrjId]=$B136)*(F_RT14[Vrs]=$D136)*(_xlfn.TEXTAFTER(F_RT14[ActGrp],":")=_xlfn.TEXTAFTER($H136,":")),"X"),MATCH("*"&amp;T$54,F_RT14[#Headers],0))),IF(AND(_xlpm.x=0,_xlpm.y&lt;&gt;0),-1,IF(AND(_xlpm.x&lt;&gt;0,_xlpm.y&lt;&gt;0),_xlpm.x,IF(AND(_xlpm.x-SUM(IF((INDIRECT($B$3)=$B136)*(INDIRECT($C$3)=$D136)*((INDIRECT($E$3)="TOTS")+(INDIRECT($E$3)=$E136)),INDIRECT(T$3)))&lt;&gt;0,_xlpm.y=0),-2,_xlpm.x)))),0))</f>
        <v>0</v>
      </c>
      <c r="U136" s="199" cm="1">
        <f t="array" aca="1" ref="U136" ca="1">IF(OR($B136="",$B136="X",$D136="",$D136="X",$E136="",$E136="X"),0,IFERROR(_xlfn.LET(_xlpm.x,SUM(SUM(_xlfn._xlws.FILTER(VALUE(PptoSty[Sign]&amp;1)*(1/PptoSty[Division]),(PptoSty[Division]&lt;&gt;0)*(PptoSty[Division]&lt;&gt;"")*(PptoSty[Division]&lt;&gt;"X")*(PptoSty[Project]=$B136)*(PptoSty[Vrs]=$D136)*(PptoSty[PiRow]=_xlfn.TEXTAFTER($H136,":"))*(PptoSty[PiColumn]=U$54),0)),SUM(IF((INDIRECT($B$3)=$B136)*(INDIRECT($C$3)=$D136)*((INDIRECT($E$3)="TOTS")+(INDIRECT($E$3)=$E136)),INDIRECT(U$3)))),_xlpm.y,SUM(_xlfn.CHOOSECOLS(_xlfn._xlws.FILTER(F_RT14[],(F_RT14[PrjId]=$B136)*(F_RT14[Vrs]=$D136)*(_xlfn.TEXTAFTER(F_RT14[ActGrp],":")=_xlfn.TEXTAFTER($H136,":")),"X"),MATCH("*"&amp;U$54,F_RT14[#Headers],0))),IF(AND(_xlpm.x=0,_xlpm.y&lt;&gt;0),-1,IF(AND(_xlpm.x&lt;&gt;0,_xlpm.y&lt;&gt;0),_xlpm.x,IF(AND(_xlpm.x-SUM(IF((INDIRECT($B$3)=$B136)*(INDIRECT($C$3)=$D136)*((INDIRECT($E$3)="TOTS")+(INDIRECT($E$3)=$E136)),INDIRECT(U$3)))&lt;&gt;0,_xlpm.y=0),-2,_xlpm.x)))),0))</f>
        <v>0</v>
      </c>
      <c r="V136" s="199" cm="1">
        <f t="array" aca="1" ref="V136" ca="1">IF(OR($B136="",$B136="X",$D136="",$D136="X",$E136="",$E136="X"),0,IFERROR(_xlfn.LET(_xlpm.x,SUM(SUM(_xlfn._xlws.FILTER(VALUE(PptoSty[Sign]&amp;1)*(1/PptoSty[Division]),(PptoSty[Division]&lt;&gt;0)*(PptoSty[Division]&lt;&gt;"")*(PptoSty[Division]&lt;&gt;"X")*(PptoSty[Project]=$B136)*(PptoSty[Vrs]=$D136)*(PptoSty[PiRow]=_xlfn.TEXTAFTER($H136,":"))*(PptoSty[PiColumn]=V$54),0)),SUM(IF((INDIRECT($B$3)=$B136)*(INDIRECT($C$3)=$D136)*((INDIRECT($E$3)="TOTS")+(INDIRECT($E$3)=$E136)),INDIRECT(V$3)))),_xlpm.y,SUM(_xlfn.CHOOSECOLS(_xlfn._xlws.FILTER(F_RT14[],(F_RT14[PrjId]=$B136)*(F_RT14[Vrs]=$D136)*(_xlfn.TEXTAFTER(F_RT14[ActGrp],":")=_xlfn.TEXTAFTER($H136,":")),"X"),MATCH("*"&amp;V$54,F_RT14[#Headers],0))),IF(AND(_xlpm.x=0,_xlpm.y&lt;&gt;0),-1,IF(AND(_xlpm.x&lt;&gt;0,_xlpm.y&lt;&gt;0),_xlpm.x,IF(AND(_xlpm.x-SUM(IF((INDIRECT($B$3)=$B136)*(INDIRECT($C$3)=$D136)*((INDIRECT($E$3)="TOTS")+(INDIRECT($E$3)=$E136)),INDIRECT(V$3)))&lt;&gt;0,_xlpm.y=0),-2,_xlpm.x)))),0))</f>
        <v>0</v>
      </c>
      <c r="W136" s="199" cm="1">
        <f t="array" aca="1" ref="W136" ca="1">IF(OR($B136="",$B136="X",$D136="",$D136="X",$E136="",$E136="X"),0,IFERROR(_xlfn.LET(_xlpm.x,SUM(SUM(_xlfn._xlws.FILTER(VALUE(PptoSty[Sign]&amp;1)*(1/PptoSty[Division]),(PptoSty[Division]&lt;&gt;0)*(PptoSty[Division]&lt;&gt;"")*(PptoSty[Division]&lt;&gt;"X")*(PptoSty[Project]=$B136)*(PptoSty[Vrs]=$D136)*(PptoSty[PiRow]=_xlfn.TEXTAFTER($H136,":"))*(PptoSty[PiColumn]=W$54),0)),SUM(IF((INDIRECT($B$3)=$B136)*(INDIRECT($C$3)=$D136)*((INDIRECT($E$3)="TOTS")+(INDIRECT($E$3)=$E136)),INDIRECT(W$3)))),_xlpm.y,SUM(_xlfn.CHOOSECOLS(_xlfn._xlws.FILTER(F_RT14[],(F_RT14[PrjId]=$B136)*(F_RT14[Vrs]=$D136)*(_xlfn.TEXTAFTER(F_RT14[ActGrp],":")=_xlfn.TEXTAFTER($H136,":")),"X"),MATCH("*"&amp;W$54,F_RT14[#Headers],0))),IF(AND(_xlpm.x=0,_xlpm.y&lt;&gt;0),-1,IF(AND(_xlpm.x&lt;&gt;0,_xlpm.y&lt;&gt;0),_xlpm.x,IF(AND(_xlpm.x-SUM(IF((INDIRECT($B$3)=$B136)*(INDIRECT($C$3)=$D136)*((INDIRECT($E$3)="TOTS")+(INDIRECT($E$3)=$E136)),INDIRECT(W$3)))&lt;&gt;0,_xlpm.y=0),-2,_xlpm.x)))),0))</f>
        <v>-1</v>
      </c>
      <c r="X136" s="199" cm="1">
        <f t="array" aca="1" ref="X136" ca="1">IF(OR($B136="",$B136="X",$D136="",$D136="X",$E136="",$E136="X"),0,IFERROR(_xlfn.LET(_xlpm.x,SUM(SUM(_xlfn._xlws.FILTER(VALUE(PptoSty[Sign]&amp;1)*(1/PptoSty[Division]),(PptoSty[Division]&lt;&gt;0)*(PptoSty[Division]&lt;&gt;"")*(PptoSty[Division]&lt;&gt;"X")*(PptoSty[Project]=$B136)*(PptoSty[Vrs]=$D136)*(PptoSty[PiRow]=_xlfn.TEXTAFTER($H136,":"))*(PptoSty[PiColumn]=X$54),0)),SUM(IF((INDIRECT($B$3)=$B136)*(INDIRECT($C$3)=$D136)*((INDIRECT($E$3)="TOTS")+(INDIRECT($E$3)=$E136)),INDIRECT(X$3)))),_xlpm.y,SUM(_xlfn.CHOOSECOLS(_xlfn._xlws.FILTER(F_RT14[],(F_RT14[PrjId]=$B136)*(F_RT14[Vrs]=$D136)*(_xlfn.TEXTAFTER(F_RT14[ActGrp],":")=_xlfn.TEXTAFTER($H136,":")),"X"),MATCH("*"&amp;X$54,F_RT14[#Headers],0))),IF(AND(_xlpm.x=0,_xlpm.y&lt;&gt;0),-1,IF(AND(_xlpm.x&lt;&gt;0,_xlpm.y&lt;&gt;0),_xlpm.x,IF(AND(_xlpm.x-SUM(IF((INDIRECT($B$3)=$B136)*(INDIRECT($C$3)=$D136)*((INDIRECT($E$3)="TOTS")+(INDIRECT($E$3)=$E136)),INDIRECT(X$3)))&lt;&gt;0,_xlpm.y=0),-2,_xlpm.x)))),0))</f>
        <v>0</v>
      </c>
      <c r="Y136" s="199" cm="1">
        <f t="array" aca="1" ref="Y136" ca="1">IF(OR($B136="",$B136="X",$D136="",$D136="X",$E136="",$E136="X"),0,IFERROR(_xlfn.LET(_xlpm.x,SUM(SUM(_xlfn._xlws.FILTER(VALUE(PptoSty[Sign]&amp;1)*(1/PptoSty[Division]),(PptoSty[Division]&lt;&gt;0)*(PptoSty[Division]&lt;&gt;"")*(PptoSty[Division]&lt;&gt;"X")*(PptoSty[Project]=$B136)*(PptoSty[Vrs]=$D136)*(PptoSty[PiRow]=_xlfn.TEXTAFTER($H136,":"))*(PptoSty[PiColumn]=Y$54),0)),SUM(IF((INDIRECT($B$3)=$B136)*(INDIRECT($C$3)=$D136)*((INDIRECT($E$3)="TOTS")+(INDIRECT($E$3)=$E136)),INDIRECT(Y$3)))),_xlpm.y,SUM(_xlfn.CHOOSECOLS(_xlfn._xlws.FILTER(F_RT14[],(F_RT14[PrjId]=$B136)*(F_RT14[Vrs]=$D136)*(_xlfn.TEXTAFTER(F_RT14[ActGrp],":")=_xlfn.TEXTAFTER($H136,":")),"X"),MATCH("*"&amp;Y$54,F_RT14[#Headers],0))),IF(AND(_xlpm.x=0,_xlpm.y&lt;&gt;0),-1,IF(AND(_xlpm.x&lt;&gt;0,_xlpm.y&lt;&gt;0),_xlpm.x,IF(AND(_xlpm.x-SUM(IF((INDIRECT($B$3)=$B136)*(INDIRECT($C$3)=$D136)*((INDIRECT($E$3)="TOTS")+(INDIRECT($E$3)=$E136)),INDIRECT(Y$3)))&lt;&gt;0,_xlpm.y=0),-2,_xlpm.x)))),0))</f>
        <v>0</v>
      </c>
      <c r="Z136" s="198" t="str">
        <f t="shared" ca="1" si="3"/>
        <v>Fback!B136:Y136</v>
      </c>
    </row>
    <row r="137" spans="2:26" ht="21" customHeight="1" outlineLevel="1">
      <c r="B137" s="128" t="str">
        <v>31200</v>
      </c>
      <c r="C137" s="128" t="str">
        <v>Sp</v>
      </c>
      <c r="D137" s="128">
        <v>16</v>
      </c>
      <c r="E137" s="128" t="str">
        <v>CELL</v>
      </c>
      <c r="F137" s="139" t="str">
        <v>SERRA</v>
      </c>
      <c r="G137" s="139" t="str">
        <v>CurPpto</v>
      </c>
      <c r="H137" s="139" t="str">
        <v>E002:VALLADOS &amp; SEGURIDADES</v>
      </c>
      <c r="I137" s="199" cm="1">
        <f t="array" aca="1" ref="I137" ca="1">IF(OR($B137="",$B137="X",$D137="",$D137="X",$E137="",$E137="X"),0,IFERROR(_xlfn.LET(_xlpm.x,SUM(SUM(_xlfn._xlws.FILTER(VALUE(PptoSty[Sign]&amp;1)*(1/PptoSty[Division]),(PptoSty[Division]&lt;&gt;0)*(PptoSty[Division]&lt;&gt;"")*(PptoSty[Division]&lt;&gt;"X")*(PptoSty[Project]=$B137)*(PptoSty[Vrs]=$D137)*(PptoSty[PiRow]=_xlfn.TEXTAFTER($H137,":"))*(PptoSty[PiColumn]=I$54),0)),SUM(IF((INDIRECT($B$3)=$B137)*(INDIRECT($C$3)=$D137)*((INDIRECT($E$3)="TOTS")+(INDIRECT($E$3)=$E137)),INDIRECT(I$3)))),_xlpm.y,SUM(_xlfn.CHOOSECOLS(_xlfn._xlws.FILTER(F_RT14[],(F_RT14[PrjId]=$B137)*(F_RT14[Vrs]=$D137)*(_xlfn.TEXTAFTER(F_RT14[ActGrp],":")=_xlfn.TEXTAFTER($H137,":")),"X"),MATCH("*"&amp;I$54,F_RT14[#Headers],0))),IF(AND(_xlpm.x=0,_xlpm.y&lt;&gt;0),-1,IF(AND(_xlpm.x&lt;&gt;0,_xlpm.y&lt;&gt;0),_xlpm.x,IF(AND(_xlpm.x-SUM(IF((INDIRECT($B$3)=$B137)*(INDIRECT($C$3)=$D137)*((INDIRECT($E$3)="TOTS")+(INDIRECT($E$3)=$E137)),INDIRECT(I$3)))&lt;&gt;0,_xlpm.y=0),-2,_xlpm.x)))),0))</f>
        <v>0</v>
      </c>
      <c r="J137" s="199" cm="1">
        <f t="array" aca="1" ref="J137" ca="1">IF(OR($B137="",$B137="X",$D137="",$D137="X",$E137="",$E137="X"),0,IFERROR(_xlfn.LET(_xlpm.x,SUM(SUM(_xlfn._xlws.FILTER(VALUE(PptoSty[Sign]&amp;1)*(1/PptoSty[Division]),(PptoSty[Division]&lt;&gt;0)*(PptoSty[Division]&lt;&gt;"")*(PptoSty[Division]&lt;&gt;"X")*(PptoSty[Project]=$B137)*(PptoSty[Vrs]=$D137)*(PptoSty[PiRow]=_xlfn.TEXTAFTER($H137,":"))*(PptoSty[PiColumn]=J$54),0)),SUM(IF((INDIRECT($B$3)=$B137)*(INDIRECT($C$3)=$D137)*((INDIRECT($E$3)="TOTS")+(INDIRECT($E$3)=$E137)),INDIRECT(J$3)))),_xlpm.y,SUM(_xlfn.CHOOSECOLS(_xlfn._xlws.FILTER(F_RT14[],(F_RT14[PrjId]=$B137)*(F_RT14[Vrs]=$D137)*(_xlfn.TEXTAFTER(F_RT14[ActGrp],":")=_xlfn.TEXTAFTER($H137,":")),"X"),MATCH("*"&amp;J$54,F_RT14[#Headers],0))),IF(AND(_xlpm.x=0,_xlpm.y&lt;&gt;0),-1,IF(AND(_xlpm.x&lt;&gt;0,_xlpm.y&lt;&gt;0),_xlpm.x,IF(AND(_xlpm.x-SUM(IF((INDIRECT($B$3)=$B137)*(INDIRECT($C$3)=$D137)*((INDIRECT($E$3)="TOTS")+(INDIRECT($E$3)=$E137)),INDIRECT(J$3)))&lt;&gt;0,_xlpm.y=0),-2,_xlpm.x)))),0))</f>
        <v>0</v>
      </c>
      <c r="K137" s="199" cm="1">
        <f t="array" aca="1" ref="K137" ca="1">IF(OR($B137="",$B137="X",$D137="",$D137="X",$E137="",$E137="X"),0,IFERROR(_xlfn.LET(_xlpm.x,SUM(SUM(_xlfn._xlws.FILTER(VALUE(PptoSty[Sign]&amp;1)*(1/PptoSty[Division]),(PptoSty[Division]&lt;&gt;0)*(PptoSty[Division]&lt;&gt;"")*(PptoSty[Division]&lt;&gt;"X")*(PptoSty[Project]=$B137)*(PptoSty[Vrs]=$D137)*(PptoSty[PiRow]=_xlfn.TEXTAFTER($H137,":"))*(PptoSty[PiColumn]=K$54),0)),SUM(IF((INDIRECT($B$3)=$B137)*(INDIRECT($C$3)=$D137)*((INDIRECT($E$3)="TOTS")+(INDIRECT($E$3)=$E137)),INDIRECT(K$3)))),_xlpm.y,SUM(_xlfn.CHOOSECOLS(_xlfn._xlws.FILTER(F_RT14[],(F_RT14[PrjId]=$B137)*(F_RT14[Vrs]=$D137)*(_xlfn.TEXTAFTER(F_RT14[ActGrp],":")=_xlfn.TEXTAFTER($H137,":")),"X"),MATCH("*"&amp;K$54,F_RT14[#Headers],0))),IF(AND(_xlpm.x=0,_xlpm.y&lt;&gt;0),-1,IF(AND(_xlpm.x&lt;&gt;0,_xlpm.y&lt;&gt;0),_xlpm.x,IF(AND(_xlpm.x-SUM(IF((INDIRECT($B$3)=$B137)*(INDIRECT($C$3)=$D137)*((INDIRECT($E$3)="TOTS")+(INDIRECT($E$3)=$E137)),INDIRECT(K$3)))&lt;&gt;0,_xlpm.y=0),-2,_xlpm.x)))),0))</f>
        <v>-1</v>
      </c>
      <c r="L137" s="199" cm="1">
        <f t="array" aca="1" ref="L137" ca="1">IF(OR($B137="",$B137="X",$D137="",$D137="X",$E137="",$E137="X"),0,IFERROR(_xlfn.LET(_xlpm.x,SUM(SUM(_xlfn._xlws.FILTER(VALUE(PptoSty[Sign]&amp;1)*(1/PptoSty[Division]),(PptoSty[Division]&lt;&gt;0)*(PptoSty[Division]&lt;&gt;"")*(PptoSty[Division]&lt;&gt;"X")*(PptoSty[Project]=$B137)*(PptoSty[Vrs]=$D137)*(PptoSty[PiRow]=_xlfn.TEXTAFTER($H137,":"))*(PptoSty[PiColumn]=L$54),0)),SUM(IF((INDIRECT($B$3)=$B137)*(INDIRECT($C$3)=$D137)*((INDIRECT($E$3)="TOTS")+(INDIRECT($E$3)=$E137)),INDIRECT(L$3)))),_xlpm.y,SUM(_xlfn.CHOOSECOLS(_xlfn._xlws.FILTER(F_RT14[],(F_RT14[PrjId]=$B137)*(F_RT14[Vrs]=$D137)*(_xlfn.TEXTAFTER(F_RT14[ActGrp],":")=_xlfn.TEXTAFTER($H137,":")),"X"),MATCH("*"&amp;L$54,F_RT14[#Headers],0))),IF(AND(_xlpm.x=0,_xlpm.y&lt;&gt;0),-1,IF(AND(_xlpm.x&lt;&gt;0,_xlpm.y&lt;&gt;0),_xlpm.x,IF(AND(_xlpm.x-SUM(IF((INDIRECT($B$3)=$B137)*(INDIRECT($C$3)=$D137)*((INDIRECT($E$3)="TOTS")+(INDIRECT($E$3)=$E137)),INDIRECT(L$3)))&lt;&gt;0,_xlpm.y=0),-2,_xlpm.x)))),0))</f>
        <v>0</v>
      </c>
      <c r="M137" s="199" cm="1">
        <f t="array" aca="1" ref="M137" ca="1">IF(OR($B137="",$B137="X",$D137="",$D137="X",$E137="",$E137="X"),0,IFERROR(_xlfn.LET(_xlpm.x,SUM(SUM(_xlfn._xlws.FILTER(VALUE(PptoSty[Sign]&amp;1)*(1/PptoSty[Division]),(PptoSty[Division]&lt;&gt;0)*(PptoSty[Division]&lt;&gt;"")*(PptoSty[Division]&lt;&gt;"X")*(PptoSty[Project]=$B137)*(PptoSty[Vrs]=$D137)*(PptoSty[PiRow]=_xlfn.TEXTAFTER($H137,":"))*(PptoSty[PiColumn]=M$54),0)),SUM(IF((INDIRECT($B$3)=$B137)*(INDIRECT($C$3)=$D137)*((INDIRECT($E$3)="TOTS")+(INDIRECT($E$3)=$E137)),INDIRECT(M$3)))),_xlpm.y,SUM(_xlfn.CHOOSECOLS(_xlfn._xlws.FILTER(F_RT14[],(F_RT14[PrjId]=$B137)*(F_RT14[Vrs]=$D137)*(_xlfn.TEXTAFTER(F_RT14[ActGrp],":")=_xlfn.TEXTAFTER($H137,":")),"X"),MATCH("*"&amp;M$54,F_RT14[#Headers],0))),IF(AND(_xlpm.x=0,_xlpm.y&lt;&gt;0),-1,IF(AND(_xlpm.x&lt;&gt;0,_xlpm.y&lt;&gt;0),_xlpm.x,IF(AND(_xlpm.x-SUM(IF((INDIRECT($B$3)=$B137)*(INDIRECT($C$3)=$D137)*((INDIRECT($E$3)="TOTS")+(INDIRECT($E$3)=$E137)),INDIRECT(M$3)))&lt;&gt;0,_xlpm.y=0),-2,_xlpm.x)))),0))</f>
        <v>0</v>
      </c>
      <c r="N137" s="199" cm="1">
        <f t="array" aca="1" ref="N137" ca="1">IF(OR($B137="",$B137="X",$D137="",$D137="X",$E137="",$E137="X"),0,IFERROR(_xlfn.LET(_xlpm.x,SUM(SUM(_xlfn._xlws.FILTER(VALUE(PptoSty[Sign]&amp;1)*(1/PptoSty[Division]),(PptoSty[Division]&lt;&gt;0)*(PptoSty[Division]&lt;&gt;"")*(PptoSty[Division]&lt;&gt;"X")*(PptoSty[Project]=$B137)*(PptoSty[Vrs]=$D137)*(PptoSty[PiRow]=_xlfn.TEXTAFTER($H137,":"))*(PptoSty[PiColumn]=N$54),0)),SUM(IF((INDIRECT($B$3)=$B137)*(INDIRECT($C$3)=$D137)*((INDIRECT($E$3)="TOTS")+(INDIRECT($E$3)=$E137)),INDIRECT(N$3)))),_xlpm.y,SUM(_xlfn.CHOOSECOLS(_xlfn._xlws.FILTER(F_RT14[],(F_RT14[PrjId]=$B137)*(F_RT14[Vrs]=$D137)*(_xlfn.TEXTAFTER(F_RT14[ActGrp],":")=_xlfn.TEXTAFTER($H137,":")),"X"),MATCH("*"&amp;N$54,F_RT14[#Headers],0))),IF(AND(_xlpm.x=0,_xlpm.y&lt;&gt;0),-1,IF(AND(_xlpm.x&lt;&gt;0,_xlpm.y&lt;&gt;0),_xlpm.x,IF(AND(_xlpm.x-SUM(IF((INDIRECT($B$3)=$B137)*(INDIRECT($C$3)=$D137)*((INDIRECT($E$3)="TOTS")+(INDIRECT($E$3)=$E137)),INDIRECT(N$3)))&lt;&gt;0,_xlpm.y=0),-2,_xlpm.x)))),0))</f>
        <v>0</v>
      </c>
      <c r="O137" s="199" cm="1">
        <f t="array" aca="1" ref="O137" ca="1">IF(OR($B137="",$B137="X",$D137="",$D137="X",$E137="",$E137="X"),0,IFERROR(_xlfn.LET(_xlpm.x,SUM(SUM(_xlfn._xlws.FILTER(VALUE(PptoSty[Sign]&amp;1)*(1/PptoSty[Division]),(PptoSty[Division]&lt;&gt;0)*(PptoSty[Division]&lt;&gt;"")*(PptoSty[Division]&lt;&gt;"X")*(PptoSty[Project]=$B137)*(PptoSty[Vrs]=$D137)*(PptoSty[PiRow]=_xlfn.TEXTAFTER($H137,":"))*(PptoSty[PiColumn]=O$54),0)),SUM(IF((INDIRECT($B$3)=$B137)*(INDIRECT($C$3)=$D137)*((INDIRECT($E$3)="TOTS")+(INDIRECT($E$3)=$E137)),INDIRECT(O$3)))),_xlpm.y,SUM(_xlfn.CHOOSECOLS(_xlfn._xlws.FILTER(F_RT14[],(F_RT14[PrjId]=$B137)*(F_RT14[Vrs]=$D137)*(_xlfn.TEXTAFTER(F_RT14[ActGrp],":")=_xlfn.TEXTAFTER($H137,":")),"X"),MATCH("*"&amp;O$54,F_RT14[#Headers],0))),IF(AND(_xlpm.x=0,_xlpm.y&lt;&gt;0),-1,IF(AND(_xlpm.x&lt;&gt;0,_xlpm.y&lt;&gt;0),_xlpm.x,IF(AND(_xlpm.x-SUM(IF((INDIRECT($B$3)=$B137)*(INDIRECT($C$3)=$D137)*((INDIRECT($E$3)="TOTS")+(INDIRECT($E$3)=$E137)),INDIRECT(O$3)))&lt;&gt;0,_xlpm.y=0),-2,_xlpm.x)))),0))</f>
        <v>0</v>
      </c>
      <c r="P137" s="199" cm="1">
        <f t="array" aca="1" ref="P137" ca="1">IF(OR($B137="",$B137="X",$D137="",$D137="X",$E137="",$E137="X"),0,IFERROR(_xlfn.LET(_xlpm.x,SUM(SUM(_xlfn._xlws.FILTER(VALUE(PptoSty[Sign]&amp;1)*(1/PptoSty[Division]),(PptoSty[Division]&lt;&gt;0)*(PptoSty[Division]&lt;&gt;"")*(PptoSty[Division]&lt;&gt;"X")*(PptoSty[Project]=$B137)*(PptoSty[Vrs]=$D137)*(PptoSty[PiRow]=_xlfn.TEXTAFTER($H137,":"))*(PptoSty[PiColumn]=P$54),0)),SUM(IF((INDIRECT($B$3)=$B137)*(INDIRECT($C$3)=$D137)*((INDIRECT($E$3)="TOTS")+(INDIRECT($E$3)=$E137)),INDIRECT(P$3)))),_xlpm.y,SUM(_xlfn.CHOOSECOLS(_xlfn._xlws.FILTER(F_RT14[],(F_RT14[PrjId]=$B137)*(F_RT14[Vrs]=$D137)*(_xlfn.TEXTAFTER(F_RT14[ActGrp],":")=_xlfn.TEXTAFTER($H137,":")),"X"),MATCH("*"&amp;P$54,F_RT14[#Headers],0))),IF(AND(_xlpm.x=0,_xlpm.y&lt;&gt;0),-1,IF(AND(_xlpm.x&lt;&gt;0,_xlpm.y&lt;&gt;0),_xlpm.x,IF(AND(_xlpm.x-SUM(IF((INDIRECT($B$3)=$B137)*(INDIRECT($C$3)=$D137)*((INDIRECT($E$3)="TOTS")+(INDIRECT($E$3)=$E137)),INDIRECT(P$3)))&lt;&gt;0,_xlpm.y=0),-2,_xlpm.x)))),0))</f>
        <v>0</v>
      </c>
      <c r="Q137" s="199" cm="1">
        <f t="array" aca="1" ref="Q137" ca="1">IF(OR($B137="",$B137="X",$D137="",$D137="X",$E137="",$E137="X"),0,IFERROR(_xlfn.LET(_xlpm.x,SUM(SUM(_xlfn._xlws.FILTER(VALUE(PptoSty[Sign]&amp;1)*(1/PptoSty[Division]),(PptoSty[Division]&lt;&gt;0)*(PptoSty[Division]&lt;&gt;"")*(PptoSty[Division]&lt;&gt;"X")*(PptoSty[Project]=$B137)*(PptoSty[Vrs]=$D137)*(PptoSty[PiRow]=_xlfn.TEXTAFTER($H137,":"))*(PptoSty[PiColumn]=Q$54),0)),SUM(IF((INDIRECT($B$3)=$B137)*(INDIRECT($C$3)=$D137)*((INDIRECT($E$3)="TOTS")+(INDIRECT($E$3)=$E137)),INDIRECT(Q$3)))),_xlpm.y,SUM(_xlfn.CHOOSECOLS(_xlfn._xlws.FILTER(F_RT14[],(F_RT14[PrjId]=$B137)*(F_RT14[Vrs]=$D137)*(_xlfn.TEXTAFTER(F_RT14[ActGrp],":")=_xlfn.TEXTAFTER($H137,":")),"X"),MATCH("*"&amp;Q$54,F_RT14[#Headers],0))),IF(AND(_xlpm.x=0,_xlpm.y&lt;&gt;0),-1,IF(AND(_xlpm.x&lt;&gt;0,_xlpm.y&lt;&gt;0),_xlpm.x,IF(AND(_xlpm.x-SUM(IF((INDIRECT($B$3)=$B137)*(INDIRECT($C$3)=$D137)*((INDIRECT($E$3)="TOTS")+(INDIRECT($E$3)=$E137)),INDIRECT(Q$3)))&lt;&gt;0,_xlpm.y=0),-2,_xlpm.x)))),0))</f>
        <v>0</v>
      </c>
      <c r="R137" s="199" cm="1">
        <f t="array" aca="1" ref="R137" ca="1">IF(OR($B137="",$B137="X",$D137="",$D137="X",$E137="",$E137="X"),0,IFERROR(_xlfn.LET(_xlpm.x,SUM(SUM(_xlfn._xlws.FILTER(VALUE(PptoSty[Sign]&amp;1)*(1/PptoSty[Division]),(PptoSty[Division]&lt;&gt;0)*(PptoSty[Division]&lt;&gt;"")*(PptoSty[Division]&lt;&gt;"X")*(PptoSty[Project]=$B137)*(PptoSty[Vrs]=$D137)*(PptoSty[PiRow]=_xlfn.TEXTAFTER($H137,":"))*(PptoSty[PiColumn]=R$54),0)),SUM(IF((INDIRECT($B$3)=$B137)*(INDIRECT($C$3)=$D137)*((INDIRECT($E$3)="TOTS")+(INDIRECT($E$3)=$E137)),INDIRECT(R$3)))),_xlpm.y,SUM(_xlfn.CHOOSECOLS(_xlfn._xlws.FILTER(F_RT14[],(F_RT14[PrjId]=$B137)*(F_RT14[Vrs]=$D137)*(_xlfn.TEXTAFTER(F_RT14[ActGrp],":")=_xlfn.TEXTAFTER($H137,":")),"X"),MATCH("*"&amp;R$54,F_RT14[#Headers],0))),IF(AND(_xlpm.x=0,_xlpm.y&lt;&gt;0),-1,IF(AND(_xlpm.x&lt;&gt;0,_xlpm.y&lt;&gt;0),_xlpm.x,IF(AND(_xlpm.x-SUM(IF((INDIRECT($B$3)=$B137)*(INDIRECT($C$3)=$D137)*((INDIRECT($E$3)="TOTS")+(INDIRECT($E$3)=$E137)),INDIRECT(R$3)))&lt;&gt;0,_xlpm.y=0),-2,_xlpm.x)))),0))</f>
        <v>0</v>
      </c>
      <c r="S137" s="199" cm="1">
        <f t="array" aca="1" ref="S137" ca="1">IF(OR($B137="",$B137="X",$D137="",$D137="X",$E137="",$E137="X"),0,IFERROR(_xlfn.LET(_xlpm.x,SUM(SUM(_xlfn._xlws.FILTER(VALUE(PptoSty[Sign]&amp;1)*(1/PptoSty[Division]),(PptoSty[Division]&lt;&gt;0)*(PptoSty[Division]&lt;&gt;"")*(PptoSty[Division]&lt;&gt;"X")*(PptoSty[Project]=$B137)*(PptoSty[Vrs]=$D137)*(PptoSty[PiRow]=_xlfn.TEXTAFTER($H137,":"))*(PptoSty[PiColumn]=S$54),0)),SUM(IF((INDIRECT($B$3)=$B137)*(INDIRECT($C$3)=$D137)*((INDIRECT($E$3)="TOTS")+(INDIRECT($E$3)=$E137)),INDIRECT(S$3)))),_xlpm.y,SUM(_xlfn.CHOOSECOLS(_xlfn._xlws.FILTER(F_RT14[],(F_RT14[PrjId]=$B137)*(F_RT14[Vrs]=$D137)*(_xlfn.TEXTAFTER(F_RT14[ActGrp],":")=_xlfn.TEXTAFTER($H137,":")),"X"),MATCH("*"&amp;S$54,F_RT14[#Headers],0))),IF(AND(_xlpm.x=0,_xlpm.y&lt;&gt;0),-1,IF(AND(_xlpm.x&lt;&gt;0,_xlpm.y&lt;&gt;0),_xlpm.x,IF(AND(_xlpm.x-SUM(IF((INDIRECT($B$3)=$B137)*(INDIRECT($C$3)=$D137)*((INDIRECT($E$3)="TOTS")+(INDIRECT($E$3)=$E137)),INDIRECT(S$3)))&lt;&gt;0,_xlpm.y=0),-2,_xlpm.x)))),0))</f>
        <v>-1</v>
      </c>
      <c r="T137" s="199" cm="1">
        <f t="array" aca="1" ref="T137" ca="1">IF(OR($B137="",$B137="X",$D137="",$D137="X",$E137="",$E137="X"),0,IFERROR(_xlfn.LET(_xlpm.x,SUM(SUM(_xlfn._xlws.FILTER(VALUE(PptoSty[Sign]&amp;1)*(1/PptoSty[Division]),(PptoSty[Division]&lt;&gt;0)*(PptoSty[Division]&lt;&gt;"")*(PptoSty[Division]&lt;&gt;"X")*(PptoSty[Project]=$B137)*(PptoSty[Vrs]=$D137)*(PptoSty[PiRow]=_xlfn.TEXTAFTER($H137,":"))*(PptoSty[PiColumn]=T$54),0)),SUM(IF((INDIRECT($B$3)=$B137)*(INDIRECT($C$3)=$D137)*((INDIRECT($E$3)="TOTS")+(INDIRECT($E$3)=$E137)),INDIRECT(T$3)))),_xlpm.y,SUM(_xlfn.CHOOSECOLS(_xlfn._xlws.FILTER(F_RT14[],(F_RT14[PrjId]=$B137)*(F_RT14[Vrs]=$D137)*(_xlfn.TEXTAFTER(F_RT14[ActGrp],":")=_xlfn.TEXTAFTER($H137,":")),"X"),MATCH("*"&amp;T$54,F_RT14[#Headers],0))),IF(AND(_xlpm.x=0,_xlpm.y&lt;&gt;0),-1,IF(AND(_xlpm.x&lt;&gt;0,_xlpm.y&lt;&gt;0),_xlpm.x,IF(AND(_xlpm.x-SUM(IF((INDIRECT($B$3)=$B137)*(INDIRECT($C$3)=$D137)*((INDIRECT($E$3)="TOTS")+(INDIRECT($E$3)=$E137)),INDIRECT(T$3)))&lt;&gt;0,_xlpm.y=0),-2,_xlpm.x)))),0))</f>
        <v>-1</v>
      </c>
      <c r="U137" s="199" cm="1">
        <f t="array" aca="1" ref="U137" ca="1">IF(OR($B137="",$B137="X",$D137="",$D137="X",$E137="",$E137="X"),0,IFERROR(_xlfn.LET(_xlpm.x,SUM(SUM(_xlfn._xlws.FILTER(VALUE(PptoSty[Sign]&amp;1)*(1/PptoSty[Division]),(PptoSty[Division]&lt;&gt;0)*(PptoSty[Division]&lt;&gt;"")*(PptoSty[Division]&lt;&gt;"X")*(PptoSty[Project]=$B137)*(PptoSty[Vrs]=$D137)*(PptoSty[PiRow]=_xlfn.TEXTAFTER($H137,":"))*(PptoSty[PiColumn]=U$54),0)),SUM(IF((INDIRECT($B$3)=$B137)*(INDIRECT($C$3)=$D137)*((INDIRECT($E$3)="TOTS")+(INDIRECT($E$3)=$E137)),INDIRECT(U$3)))),_xlpm.y,SUM(_xlfn.CHOOSECOLS(_xlfn._xlws.FILTER(F_RT14[],(F_RT14[PrjId]=$B137)*(F_RT14[Vrs]=$D137)*(_xlfn.TEXTAFTER(F_RT14[ActGrp],":")=_xlfn.TEXTAFTER($H137,":")),"X"),MATCH("*"&amp;U$54,F_RT14[#Headers],0))),IF(AND(_xlpm.x=0,_xlpm.y&lt;&gt;0),-1,IF(AND(_xlpm.x&lt;&gt;0,_xlpm.y&lt;&gt;0),_xlpm.x,IF(AND(_xlpm.x-SUM(IF((INDIRECT($B$3)=$B137)*(INDIRECT($C$3)=$D137)*((INDIRECT($E$3)="TOTS")+(INDIRECT($E$3)=$E137)),INDIRECT(U$3)))&lt;&gt;0,_xlpm.y=0),-2,_xlpm.x)))),0))</f>
        <v>0</v>
      </c>
      <c r="V137" s="199" cm="1">
        <f t="array" aca="1" ref="V137" ca="1">IF(OR($B137="",$B137="X",$D137="",$D137="X",$E137="",$E137="X"),0,IFERROR(_xlfn.LET(_xlpm.x,SUM(SUM(_xlfn._xlws.FILTER(VALUE(PptoSty[Sign]&amp;1)*(1/PptoSty[Division]),(PptoSty[Division]&lt;&gt;0)*(PptoSty[Division]&lt;&gt;"")*(PptoSty[Division]&lt;&gt;"X")*(PptoSty[Project]=$B137)*(PptoSty[Vrs]=$D137)*(PptoSty[PiRow]=_xlfn.TEXTAFTER($H137,":"))*(PptoSty[PiColumn]=V$54),0)),SUM(IF((INDIRECT($B$3)=$B137)*(INDIRECT($C$3)=$D137)*((INDIRECT($E$3)="TOTS")+(INDIRECT($E$3)=$E137)),INDIRECT(V$3)))),_xlpm.y,SUM(_xlfn.CHOOSECOLS(_xlfn._xlws.FILTER(F_RT14[],(F_RT14[PrjId]=$B137)*(F_RT14[Vrs]=$D137)*(_xlfn.TEXTAFTER(F_RT14[ActGrp],":")=_xlfn.TEXTAFTER($H137,":")),"X"),MATCH("*"&amp;V$54,F_RT14[#Headers],0))),IF(AND(_xlpm.x=0,_xlpm.y&lt;&gt;0),-1,IF(AND(_xlpm.x&lt;&gt;0,_xlpm.y&lt;&gt;0),_xlpm.x,IF(AND(_xlpm.x-SUM(IF((INDIRECT($B$3)=$B137)*(INDIRECT($C$3)=$D137)*((INDIRECT($E$3)="TOTS")+(INDIRECT($E$3)=$E137)),INDIRECT(V$3)))&lt;&gt;0,_xlpm.y=0),-2,_xlpm.x)))),0))</f>
        <v>-1</v>
      </c>
      <c r="W137" s="199" cm="1">
        <f t="array" aca="1" ref="W137" ca="1">IF(OR($B137="",$B137="X",$D137="",$D137="X",$E137="",$E137="X"),0,IFERROR(_xlfn.LET(_xlpm.x,SUM(SUM(_xlfn._xlws.FILTER(VALUE(PptoSty[Sign]&amp;1)*(1/PptoSty[Division]),(PptoSty[Division]&lt;&gt;0)*(PptoSty[Division]&lt;&gt;"")*(PptoSty[Division]&lt;&gt;"X")*(PptoSty[Project]=$B137)*(PptoSty[Vrs]=$D137)*(PptoSty[PiRow]=_xlfn.TEXTAFTER($H137,":"))*(PptoSty[PiColumn]=W$54),0)),SUM(IF((INDIRECT($B$3)=$B137)*(INDIRECT($C$3)=$D137)*((INDIRECT($E$3)="TOTS")+(INDIRECT($E$3)=$E137)),INDIRECT(W$3)))),_xlpm.y,SUM(_xlfn.CHOOSECOLS(_xlfn._xlws.FILTER(F_RT14[],(F_RT14[PrjId]=$B137)*(F_RT14[Vrs]=$D137)*(_xlfn.TEXTAFTER(F_RT14[ActGrp],":")=_xlfn.TEXTAFTER($H137,":")),"X"),MATCH("*"&amp;W$54,F_RT14[#Headers],0))),IF(AND(_xlpm.x=0,_xlpm.y&lt;&gt;0),-1,IF(AND(_xlpm.x&lt;&gt;0,_xlpm.y&lt;&gt;0),_xlpm.x,IF(AND(_xlpm.x-SUM(IF((INDIRECT($B$3)=$B137)*(INDIRECT($C$3)=$D137)*((INDIRECT($E$3)="TOTS")+(INDIRECT($E$3)=$E137)),INDIRECT(W$3)))&lt;&gt;0,_xlpm.y=0),-2,_xlpm.x)))),0))</f>
        <v>-1</v>
      </c>
      <c r="X137" s="199" cm="1">
        <f t="array" aca="1" ref="X137" ca="1">IF(OR($B137="",$B137="X",$D137="",$D137="X",$E137="",$E137="X"),0,IFERROR(_xlfn.LET(_xlpm.x,SUM(SUM(_xlfn._xlws.FILTER(VALUE(PptoSty[Sign]&amp;1)*(1/PptoSty[Division]),(PptoSty[Division]&lt;&gt;0)*(PptoSty[Division]&lt;&gt;"")*(PptoSty[Division]&lt;&gt;"X")*(PptoSty[Project]=$B137)*(PptoSty[Vrs]=$D137)*(PptoSty[PiRow]=_xlfn.TEXTAFTER($H137,":"))*(PptoSty[PiColumn]=X$54),0)),SUM(IF((INDIRECT($B$3)=$B137)*(INDIRECT($C$3)=$D137)*((INDIRECT($E$3)="TOTS")+(INDIRECT($E$3)=$E137)),INDIRECT(X$3)))),_xlpm.y,SUM(_xlfn.CHOOSECOLS(_xlfn._xlws.FILTER(F_RT14[],(F_RT14[PrjId]=$B137)*(F_RT14[Vrs]=$D137)*(_xlfn.TEXTAFTER(F_RT14[ActGrp],":")=_xlfn.TEXTAFTER($H137,":")),"X"),MATCH("*"&amp;X$54,F_RT14[#Headers],0))),IF(AND(_xlpm.x=0,_xlpm.y&lt;&gt;0),-1,IF(AND(_xlpm.x&lt;&gt;0,_xlpm.y&lt;&gt;0),_xlpm.x,IF(AND(_xlpm.x-SUM(IF((INDIRECT($B$3)=$B137)*(INDIRECT($C$3)=$D137)*((INDIRECT($E$3)="TOTS")+(INDIRECT($E$3)=$E137)),INDIRECT(X$3)))&lt;&gt;0,_xlpm.y=0),-2,_xlpm.x)))),0))</f>
        <v>0</v>
      </c>
      <c r="Y137" s="199" cm="1">
        <f t="array" aca="1" ref="Y137" ca="1">IF(OR($B137="",$B137="X",$D137="",$D137="X",$E137="",$E137="X"),0,IFERROR(_xlfn.LET(_xlpm.x,SUM(SUM(_xlfn._xlws.FILTER(VALUE(PptoSty[Sign]&amp;1)*(1/PptoSty[Division]),(PptoSty[Division]&lt;&gt;0)*(PptoSty[Division]&lt;&gt;"")*(PptoSty[Division]&lt;&gt;"X")*(PptoSty[Project]=$B137)*(PptoSty[Vrs]=$D137)*(PptoSty[PiRow]=_xlfn.TEXTAFTER($H137,":"))*(PptoSty[PiColumn]=Y$54),0)),SUM(IF((INDIRECT($B$3)=$B137)*(INDIRECT($C$3)=$D137)*((INDIRECT($E$3)="TOTS")+(INDIRECT($E$3)=$E137)),INDIRECT(Y$3)))),_xlpm.y,SUM(_xlfn.CHOOSECOLS(_xlfn._xlws.FILTER(F_RT14[],(F_RT14[PrjId]=$B137)*(F_RT14[Vrs]=$D137)*(_xlfn.TEXTAFTER(F_RT14[ActGrp],":")=_xlfn.TEXTAFTER($H137,":")),"X"),MATCH("*"&amp;Y$54,F_RT14[#Headers],0))),IF(AND(_xlpm.x=0,_xlpm.y&lt;&gt;0),-1,IF(AND(_xlpm.x&lt;&gt;0,_xlpm.y&lt;&gt;0),_xlpm.x,IF(AND(_xlpm.x-SUM(IF((INDIRECT($B$3)=$B137)*(INDIRECT($C$3)=$D137)*((INDIRECT($E$3)="TOTS")+(INDIRECT($E$3)=$E137)),INDIRECT(Y$3)))&lt;&gt;0,_xlpm.y=0),-2,_xlpm.x)))),0))</f>
        <v>0</v>
      </c>
      <c r="Z137" s="198" t="str">
        <f t="shared" ca="1" si="3"/>
        <v>Fback!B137:Y137</v>
      </c>
    </row>
    <row r="138" spans="2:26" ht="21" customHeight="1" outlineLevel="1">
      <c r="B138" s="128" t="str">
        <v>31200</v>
      </c>
      <c r="C138" s="128" t="str">
        <v>Sp</v>
      </c>
      <c r="D138" s="128">
        <v>16</v>
      </c>
      <c r="E138" s="128" t="str">
        <v>CELL</v>
      </c>
      <c r="F138" s="139" t="str">
        <v>SERRA</v>
      </c>
      <c r="G138" s="139" t="str">
        <v>CurPpto</v>
      </c>
      <c r="H138" s="139" t="str">
        <v>E003:IMPLANTACIÓN GENERAL</v>
      </c>
      <c r="I138" s="199" cm="1">
        <f t="array" aca="1" ref="I138" ca="1">IF(OR($B138="",$B138="X",$D138="",$D138="X",$E138="",$E138="X"),0,IFERROR(_xlfn.LET(_xlpm.x,SUM(SUM(_xlfn._xlws.FILTER(VALUE(PptoSty[Sign]&amp;1)*(1/PptoSty[Division]),(PptoSty[Division]&lt;&gt;0)*(PptoSty[Division]&lt;&gt;"")*(PptoSty[Division]&lt;&gt;"X")*(PptoSty[Project]=$B138)*(PptoSty[Vrs]=$D138)*(PptoSty[PiRow]=_xlfn.TEXTAFTER($H138,":"))*(PptoSty[PiColumn]=I$54),0)),SUM(IF((INDIRECT($B$3)=$B138)*(INDIRECT($C$3)=$D138)*((INDIRECT($E$3)="TOTS")+(INDIRECT($E$3)=$E138)),INDIRECT(I$3)))),_xlpm.y,SUM(_xlfn.CHOOSECOLS(_xlfn._xlws.FILTER(F_RT14[],(F_RT14[PrjId]=$B138)*(F_RT14[Vrs]=$D138)*(_xlfn.TEXTAFTER(F_RT14[ActGrp],":")=_xlfn.TEXTAFTER($H138,":")),"X"),MATCH("*"&amp;I$54,F_RT14[#Headers],0))),IF(AND(_xlpm.x=0,_xlpm.y&lt;&gt;0),-1,IF(AND(_xlpm.x&lt;&gt;0,_xlpm.y&lt;&gt;0),_xlpm.x,IF(AND(_xlpm.x-SUM(IF((INDIRECT($B$3)=$B138)*(INDIRECT($C$3)=$D138)*((INDIRECT($E$3)="TOTS")+(INDIRECT($E$3)=$E138)),INDIRECT(I$3)))&lt;&gt;0,_xlpm.y=0),-2,_xlpm.x)))),0))</f>
        <v>0</v>
      </c>
      <c r="J138" s="199" cm="1">
        <f t="array" aca="1" ref="J138" ca="1">IF(OR($B138="",$B138="X",$D138="",$D138="X",$E138="",$E138="X"),0,IFERROR(_xlfn.LET(_xlpm.x,SUM(SUM(_xlfn._xlws.FILTER(VALUE(PptoSty[Sign]&amp;1)*(1/PptoSty[Division]),(PptoSty[Division]&lt;&gt;0)*(PptoSty[Division]&lt;&gt;"")*(PptoSty[Division]&lt;&gt;"X")*(PptoSty[Project]=$B138)*(PptoSty[Vrs]=$D138)*(PptoSty[PiRow]=_xlfn.TEXTAFTER($H138,":"))*(PptoSty[PiColumn]=J$54),0)),SUM(IF((INDIRECT($B$3)=$B138)*(INDIRECT($C$3)=$D138)*((INDIRECT($E$3)="TOTS")+(INDIRECT($E$3)=$E138)),INDIRECT(J$3)))),_xlpm.y,SUM(_xlfn.CHOOSECOLS(_xlfn._xlws.FILTER(F_RT14[],(F_RT14[PrjId]=$B138)*(F_RT14[Vrs]=$D138)*(_xlfn.TEXTAFTER(F_RT14[ActGrp],":")=_xlfn.TEXTAFTER($H138,":")),"X"),MATCH("*"&amp;J$54,F_RT14[#Headers],0))),IF(AND(_xlpm.x=0,_xlpm.y&lt;&gt;0),-1,IF(AND(_xlpm.x&lt;&gt;0,_xlpm.y&lt;&gt;0),_xlpm.x,IF(AND(_xlpm.x-SUM(IF((INDIRECT($B$3)=$B138)*(INDIRECT($C$3)=$D138)*((INDIRECT($E$3)="TOTS")+(INDIRECT($E$3)=$E138)),INDIRECT(J$3)))&lt;&gt;0,_xlpm.y=0),-2,_xlpm.x)))),0))</f>
        <v>0</v>
      </c>
      <c r="K138" s="199" cm="1">
        <f t="array" aca="1" ref="K138" ca="1">IF(OR($B138="",$B138="X",$D138="",$D138="X",$E138="",$E138="X"),0,IFERROR(_xlfn.LET(_xlpm.x,SUM(SUM(_xlfn._xlws.FILTER(VALUE(PptoSty[Sign]&amp;1)*(1/PptoSty[Division]),(PptoSty[Division]&lt;&gt;0)*(PptoSty[Division]&lt;&gt;"")*(PptoSty[Division]&lt;&gt;"X")*(PptoSty[Project]=$B138)*(PptoSty[Vrs]=$D138)*(PptoSty[PiRow]=_xlfn.TEXTAFTER($H138,":"))*(PptoSty[PiColumn]=K$54),0)),SUM(IF((INDIRECT($B$3)=$B138)*(INDIRECT($C$3)=$D138)*((INDIRECT($E$3)="TOTS")+(INDIRECT($E$3)=$E138)),INDIRECT(K$3)))),_xlpm.y,SUM(_xlfn.CHOOSECOLS(_xlfn._xlws.FILTER(F_RT14[],(F_RT14[PrjId]=$B138)*(F_RT14[Vrs]=$D138)*(_xlfn.TEXTAFTER(F_RT14[ActGrp],":")=_xlfn.TEXTAFTER($H138,":")),"X"),MATCH("*"&amp;K$54,F_RT14[#Headers],0))),IF(AND(_xlpm.x=0,_xlpm.y&lt;&gt;0),-1,IF(AND(_xlpm.x&lt;&gt;0,_xlpm.y&lt;&gt;0),_xlpm.x,IF(AND(_xlpm.x-SUM(IF((INDIRECT($B$3)=$B138)*(INDIRECT($C$3)=$D138)*((INDIRECT($E$3)="TOTS")+(INDIRECT($E$3)=$E138)),INDIRECT(K$3)))&lt;&gt;0,_xlpm.y=0),-2,_xlpm.x)))),0))</f>
        <v>0</v>
      </c>
      <c r="L138" s="199" cm="1">
        <f t="array" aca="1" ref="L138" ca="1">IF(OR($B138="",$B138="X",$D138="",$D138="X",$E138="",$E138="X"),0,IFERROR(_xlfn.LET(_xlpm.x,SUM(SUM(_xlfn._xlws.FILTER(VALUE(PptoSty[Sign]&amp;1)*(1/PptoSty[Division]),(PptoSty[Division]&lt;&gt;0)*(PptoSty[Division]&lt;&gt;"")*(PptoSty[Division]&lt;&gt;"X")*(PptoSty[Project]=$B138)*(PptoSty[Vrs]=$D138)*(PptoSty[PiRow]=_xlfn.TEXTAFTER($H138,":"))*(PptoSty[PiColumn]=L$54),0)),SUM(IF((INDIRECT($B$3)=$B138)*(INDIRECT($C$3)=$D138)*((INDIRECT($E$3)="TOTS")+(INDIRECT($E$3)=$E138)),INDIRECT(L$3)))),_xlpm.y,SUM(_xlfn.CHOOSECOLS(_xlfn._xlws.FILTER(F_RT14[],(F_RT14[PrjId]=$B138)*(F_RT14[Vrs]=$D138)*(_xlfn.TEXTAFTER(F_RT14[ActGrp],":")=_xlfn.TEXTAFTER($H138,":")),"X"),MATCH("*"&amp;L$54,F_RT14[#Headers],0))),IF(AND(_xlpm.x=0,_xlpm.y&lt;&gt;0),-1,IF(AND(_xlpm.x&lt;&gt;0,_xlpm.y&lt;&gt;0),_xlpm.x,IF(AND(_xlpm.x-SUM(IF((INDIRECT($B$3)=$B138)*(INDIRECT($C$3)=$D138)*((INDIRECT($E$3)="TOTS")+(INDIRECT($E$3)=$E138)),INDIRECT(L$3)))&lt;&gt;0,_xlpm.y=0),-2,_xlpm.x)))),0))</f>
        <v>0</v>
      </c>
      <c r="M138" s="199" cm="1">
        <f t="array" aca="1" ref="M138" ca="1">IF(OR($B138="",$B138="X",$D138="",$D138="X",$E138="",$E138="X"),0,IFERROR(_xlfn.LET(_xlpm.x,SUM(SUM(_xlfn._xlws.FILTER(VALUE(PptoSty[Sign]&amp;1)*(1/PptoSty[Division]),(PptoSty[Division]&lt;&gt;0)*(PptoSty[Division]&lt;&gt;"")*(PptoSty[Division]&lt;&gt;"X")*(PptoSty[Project]=$B138)*(PptoSty[Vrs]=$D138)*(PptoSty[PiRow]=_xlfn.TEXTAFTER($H138,":"))*(PptoSty[PiColumn]=M$54),0)),SUM(IF((INDIRECT($B$3)=$B138)*(INDIRECT($C$3)=$D138)*((INDIRECT($E$3)="TOTS")+(INDIRECT($E$3)=$E138)),INDIRECT(M$3)))),_xlpm.y,SUM(_xlfn.CHOOSECOLS(_xlfn._xlws.FILTER(F_RT14[],(F_RT14[PrjId]=$B138)*(F_RT14[Vrs]=$D138)*(_xlfn.TEXTAFTER(F_RT14[ActGrp],":")=_xlfn.TEXTAFTER($H138,":")),"X"),MATCH("*"&amp;M$54,F_RT14[#Headers],0))),IF(AND(_xlpm.x=0,_xlpm.y&lt;&gt;0),-1,IF(AND(_xlpm.x&lt;&gt;0,_xlpm.y&lt;&gt;0),_xlpm.x,IF(AND(_xlpm.x-SUM(IF((INDIRECT($B$3)=$B138)*(INDIRECT($C$3)=$D138)*((INDIRECT($E$3)="TOTS")+(INDIRECT($E$3)=$E138)),INDIRECT(M$3)))&lt;&gt;0,_xlpm.y=0),-2,_xlpm.x)))),0))</f>
        <v>0</v>
      </c>
      <c r="N138" s="199" cm="1">
        <f t="array" aca="1" ref="N138" ca="1">IF(OR($B138="",$B138="X",$D138="",$D138="X",$E138="",$E138="X"),0,IFERROR(_xlfn.LET(_xlpm.x,SUM(SUM(_xlfn._xlws.FILTER(VALUE(PptoSty[Sign]&amp;1)*(1/PptoSty[Division]),(PptoSty[Division]&lt;&gt;0)*(PptoSty[Division]&lt;&gt;"")*(PptoSty[Division]&lt;&gt;"X")*(PptoSty[Project]=$B138)*(PptoSty[Vrs]=$D138)*(PptoSty[PiRow]=_xlfn.TEXTAFTER($H138,":"))*(PptoSty[PiColumn]=N$54),0)),SUM(IF((INDIRECT($B$3)=$B138)*(INDIRECT($C$3)=$D138)*((INDIRECT($E$3)="TOTS")+(INDIRECT($E$3)=$E138)),INDIRECT(N$3)))),_xlpm.y,SUM(_xlfn.CHOOSECOLS(_xlfn._xlws.FILTER(F_RT14[],(F_RT14[PrjId]=$B138)*(F_RT14[Vrs]=$D138)*(_xlfn.TEXTAFTER(F_RT14[ActGrp],":")=_xlfn.TEXTAFTER($H138,":")),"X"),MATCH("*"&amp;N$54,F_RT14[#Headers],0))),IF(AND(_xlpm.x=0,_xlpm.y&lt;&gt;0),-1,IF(AND(_xlpm.x&lt;&gt;0,_xlpm.y&lt;&gt;0),_xlpm.x,IF(AND(_xlpm.x-SUM(IF((INDIRECT($B$3)=$B138)*(INDIRECT($C$3)=$D138)*((INDIRECT($E$3)="TOTS")+(INDIRECT($E$3)=$E138)),INDIRECT(N$3)))&lt;&gt;0,_xlpm.y=0),-2,_xlpm.x)))),0))</f>
        <v>0</v>
      </c>
      <c r="O138" s="199" cm="1">
        <f t="array" aca="1" ref="O138" ca="1">IF(OR($B138="",$B138="X",$D138="",$D138="X",$E138="",$E138="X"),0,IFERROR(_xlfn.LET(_xlpm.x,SUM(SUM(_xlfn._xlws.FILTER(VALUE(PptoSty[Sign]&amp;1)*(1/PptoSty[Division]),(PptoSty[Division]&lt;&gt;0)*(PptoSty[Division]&lt;&gt;"")*(PptoSty[Division]&lt;&gt;"X")*(PptoSty[Project]=$B138)*(PptoSty[Vrs]=$D138)*(PptoSty[PiRow]=_xlfn.TEXTAFTER($H138,":"))*(PptoSty[PiColumn]=O$54),0)),SUM(IF((INDIRECT($B$3)=$B138)*(INDIRECT($C$3)=$D138)*((INDIRECT($E$3)="TOTS")+(INDIRECT($E$3)=$E138)),INDIRECT(O$3)))),_xlpm.y,SUM(_xlfn.CHOOSECOLS(_xlfn._xlws.FILTER(F_RT14[],(F_RT14[PrjId]=$B138)*(F_RT14[Vrs]=$D138)*(_xlfn.TEXTAFTER(F_RT14[ActGrp],":")=_xlfn.TEXTAFTER($H138,":")),"X"),MATCH("*"&amp;O$54,F_RT14[#Headers],0))),IF(AND(_xlpm.x=0,_xlpm.y&lt;&gt;0),-1,IF(AND(_xlpm.x&lt;&gt;0,_xlpm.y&lt;&gt;0),_xlpm.x,IF(AND(_xlpm.x-SUM(IF((INDIRECT($B$3)=$B138)*(INDIRECT($C$3)=$D138)*((INDIRECT($E$3)="TOTS")+(INDIRECT($E$3)=$E138)),INDIRECT(O$3)))&lt;&gt;0,_xlpm.y=0),-2,_xlpm.x)))),0))</f>
        <v>0</v>
      </c>
      <c r="P138" s="199" cm="1">
        <f t="array" aca="1" ref="P138" ca="1">IF(OR($B138="",$B138="X",$D138="",$D138="X",$E138="",$E138="X"),0,IFERROR(_xlfn.LET(_xlpm.x,SUM(SUM(_xlfn._xlws.FILTER(VALUE(PptoSty[Sign]&amp;1)*(1/PptoSty[Division]),(PptoSty[Division]&lt;&gt;0)*(PptoSty[Division]&lt;&gt;"")*(PptoSty[Division]&lt;&gt;"X")*(PptoSty[Project]=$B138)*(PptoSty[Vrs]=$D138)*(PptoSty[PiRow]=_xlfn.TEXTAFTER($H138,":"))*(PptoSty[PiColumn]=P$54),0)),SUM(IF((INDIRECT($B$3)=$B138)*(INDIRECT($C$3)=$D138)*((INDIRECT($E$3)="TOTS")+(INDIRECT($E$3)=$E138)),INDIRECT(P$3)))),_xlpm.y,SUM(_xlfn.CHOOSECOLS(_xlfn._xlws.FILTER(F_RT14[],(F_RT14[PrjId]=$B138)*(F_RT14[Vrs]=$D138)*(_xlfn.TEXTAFTER(F_RT14[ActGrp],":")=_xlfn.TEXTAFTER($H138,":")),"X"),MATCH("*"&amp;P$54,F_RT14[#Headers],0))),IF(AND(_xlpm.x=0,_xlpm.y&lt;&gt;0),-1,IF(AND(_xlpm.x&lt;&gt;0,_xlpm.y&lt;&gt;0),_xlpm.x,IF(AND(_xlpm.x-SUM(IF((INDIRECT($B$3)=$B138)*(INDIRECT($C$3)=$D138)*((INDIRECT($E$3)="TOTS")+(INDIRECT($E$3)=$E138)),INDIRECT(P$3)))&lt;&gt;0,_xlpm.y=0),-2,_xlpm.x)))),0))</f>
        <v>0</v>
      </c>
      <c r="Q138" s="199" cm="1">
        <f t="array" aca="1" ref="Q138" ca="1">IF(OR($B138="",$B138="X",$D138="",$D138="X",$E138="",$E138="X"),0,IFERROR(_xlfn.LET(_xlpm.x,SUM(SUM(_xlfn._xlws.FILTER(VALUE(PptoSty[Sign]&amp;1)*(1/PptoSty[Division]),(PptoSty[Division]&lt;&gt;0)*(PptoSty[Division]&lt;&gt;"")*(PptoSty[Division]&lt;&gt;"X")*(PptoSty[Project]=$B138)*(PptoSty[Vrs]=$D138)*(PptoSty[PiRow]=_xlfn.TEXTAFTER($H138,":"))*(PptoSty[PiColumn]=Q$54),0)),SUM(IF((INDIRECT($B$3)=$B138)*(INDIRECT($C$3)=$D138)*((INDIRECT($E$3)="TOTS")+(INDIRECT($E$3)=$E138)),INDIRECT(Q$3)))),_xlpm.y,SUM(_xlfn.CHOOSECOLS(_xlfn._xlws.FILTER(F_RT14[],(F_RT14[PrjId]=$B138)*(F_RT14[Vrs]=$D138)*(_xlfn.TEXTAFTER(F_RT14[ActGrp],":")=_xlfn.TEXTAFTER($H138,":")),"X"),MATCH("*"&amp;Q$54,F_RT14[#Headers],0))),IF(AND(_xlpm.x=0,_xlpm.y&lt;&gt;0),-1,IF(AND(_xlpm.x&lt;&gt;0,_xlpm.y&lt;&gt;0),_xlpm.x,IF(AND(_xlpm.x-SUM(IF((INDIRECT($B$3)=$B138)*(INDIRECT($C$3)=$D138)*((INDIRECT($E$3)="TOTS")+(INDIRECT($E$3)=$E138)),INDIRECT(Q$3)))&lt;&gt;0,_xlpm.y=0),-2,_xlpm.x)))),0))</f>
        <v>-1</v>
      </c>
      <c r="R138" s="199" cm="1">
        <f t="array" aca="1" ref="R138" ca="1">IF(OR($B138="",$B138="X",$D138="",$D138="X",$E138="",$E138="X"),0,IFERROR(_xlfn.LET(_xlpm.x,SUM(SUM(_xlfn._xlws.FILTER(VALUE(PptoSty[Sign]&amp;1)*(1/PptoSty[Division]),(PptoSty[Division]&lt;&gt;0)*(PptoSty[Division]&lt;&gt;"")*(PptoSty[Division]&lt;&gt;"X")*(PptoSty[Project]=$B138)*(PptoSty[Vrs]=$D138)*(PptoSty[PiRow]=_xlfn.TEXTAFTER($H138,":"))*(PptoSty[PiColumn]=R$54),0)),SUM(IF((INDIRECT($B$3)=$B138)*(INDIRECT($C$3)=$D138)*((INDIRECT($E$3)="TOTS")+(INDIRECT($E$3)=$E138)),INDIRECT(R$3)))),_xlpm.y,SUM(_xlfn.CHOOSECOLS(_xlfn._xlws.FILTER(F_RT14[],(F_RT14[PrjId]=$B138)*(F_RT14[Vrs]=$D138)*(_xlfn.TEXTAFTER(F_RT14[ActGrp],":")=_xlfn.TEXTAFTER($H138,":")),"X"),MATCH("*"&amp;R$54,F_RT14[#Headers],0))),IF(AND(_xlpm.x=0,_xlpm.y&lt;&gt;0),-1,IF(AND(_xlpm.x&lt;&gt;0,_xlpm.y&lt;&gt;0),_xlpm.x,IF(AND(_xlpm.x-SUM(IF((INDIRECT($B$3)=$B138)*(INDIRECT($C$3)=$D138)*((INDIRECT($E$3)="TOTS")+(INDIRECT($E$3)=$E138)),INDIRECT(R$3)))&lt;&gt;0,_xlpm.y=0),-2,_xlpm.x)))),0))</f>
        <v>0</v>
      </c>
      <c r="S138" s="199" cm="1">
        <f t="array" aca="1" ref="S138" ca="1">IF(OR($B138="",$B138="X",$D138="",$D138="X",$E138="",$E138="X"),0,IFERROR(_xlfn.LET(_xlpm.x,SUM(SUM(_xlfn._xlws.FILTER(VALUE(PptoSty[Sign]&amp;1)*(1/PptoSty[Division]),(PptoSty[Division]&lt;&gt;0)*(PptoSty[Division]&lt;&gt;"")*(PptoSty[Division]&lt;&gt;"X")*(PptoSty[Project]=$B138)*(PptoSty[Vrs]=$D138)*(PptoSty[PiRow]=_xlfn.TEXTAFTER($H138,":"))*(PptoSty[PiColumn]=S$54),0)),SUM(IF((INDIRECT($B$3)=$B138)*(INDIRECT($C$3)=$D138)*((INDIRECT($E$3)="TOTS")+(INDIRECT($E$3)=$E138)),INDIRECT(S$3)))),_xlpm.y,SUM(_xlfn.CHOOSECOLS(_xlfn._xlws.FILTER(F_RT14[],(F_RT14[PrjId]=$B138)*(F_RT14[Vrs]=$D138)*(_xlfn.TEXTAFTER(F_RT14[ActGrp],":")=_xlfn.TEXTAFTER($H138,":")),"X"),MATCH("*"&amp;S$54,F_RT14[#Headers],0))),IF(AND(_xlpm.x=0,_xlpm.y&lt;&gt;0),-1,IF(AND(_xlpm.x&lt;&gt;0,_xlpm.y&lt;&gt;0),_xlpm.x,IF(AND(_xlpm.x-SUM(IF((INDIRECT($B$3)=$B138)*(INDIRECT($C$3)=$D138)*((INDIRECT($E$3)="TOTS")+(INDIRECT($E$3)=$E138)),INDIRECT(S$3)))&lt;&gt;0,_xlpm.y=0),-2,_xlpm.x)))),0))</f>
        <v>0</v>
      </c>
      <c r="T138" s="199" cm="1">
        <f t="array" aca="1" ref="T138" ca="1">IF(OR($B138="",$B138="X",$D138="",$D138="X",$E138="",$E138="X"),0,IFERROR(_xlfn.LET(_xlpm.x,SUM(SUM(_xlfn._xlws.FILTER(VALUE(PptoSty[Sign]&amp;1)*(1/PptoSty[Division]),(PptoSty[Division]&lt;&gt;0)*(PptoSty[Division]&lt;&gt;"")*(PptoSty[Division]&lt;&gt;"X")*(PptoSty[Project]=$B138)*(PptoSty[Vrs]=$D138)*(PptoSty[PiRow]=_xlfn.TEXTAFTER($H138,":"))*(PptoSty[PiColumn]=T$54),0)),SUM(IF((INDIRECT($B$3)=$B138)*(INDIRECT($C$3)=$D138)*((INDIRECT($E$3)="TOTS")+(INDIRECT($E$3)=$E138)),INDIRECT(T$3)))),_xlpm.y,SUM(_xlfn.CHOOSECOLS(_xlfn._xlws.FILTER(F_RT14[],(F_RT14[PrjId]=$B138)*(F_RT14[Vrs]=$D138)*(_xlfn.TEXTAFTER(F_RT14[ActGrp],":")=_xlfn.TEXTAFTER($H138,":")),"X"),MATCH("*"&amp;T$54,F_RT14[#Headers],0))),IF(AND(_xlpm.x=0,_xlpm.y&lt;&gt;0),-1,IF(AND(_xlpm.x&lt;&gt;0,_xlpm.y&lt;&gt;0),_xlpm.x,IF(AND(_xlpm.x-SUM(IF((INDIRECT($B$3)=$B138)*(INDIRECT($C$3)=$D138)*((INDIRECT($E$3)="TOTS")+(INDIRECT($E$3)=$E138)),INDIRECT(T$3)))&lt;&gt;0,_xlpm.y=0),-2,_xlpm.x)))),0))</f>
        <v>0</v>
      </c>
      <c r="U138" s="199" cm="1">
        <f t="array" aca="1" ref="U138" ca="1">IF(OR($B138="",$B138="X",$D138="",$D138="X",$E138="",$E138="X"),0,IFERROR(_xlfn.LET(_xlpm.x,SUM(SUM(_xlfn._xlws.FILTER(VALUE(PptoSty[Sign]&amp;1)*(1/PptoSty[Division]),(PptoSty[Division]&lt;&gt;0)*(PptoSty[Division]&lt;&gt;"")*(PptoSty[Division]&lt;&gt;"X")*(PptoSty[Project]=$B138)*(PptoSty[Vrs]=$D138)*(PptoSty[PiRow]=_xlfn.TEXTAFTER($H138,":"))*(PptoSty[PiColumn]=U$54),0)),SUM(IF((INDIRECT($B$3)=$B138)*(INDIRECT($C$3)=$D138)*((INDIRECT($E$3)="TOTS")+(INDIRECT($E$3)=$E138)),INDIRECT(U$3)))),_xlpm.y,SUM(_xlfn.CHOOSECOLS(_xlfn._xlws.FILTER(F_RT14[],(F_RT14[PrjId]=$B138)*(F_RT14[Vrs]=$D138)*(_xlfn.TEXTAFTER(F_RT14[ActGrp],":")=_xlfn.TEXTAFTER($H138,":")),"X"),MATCH("*"&amp;U$54,F_RT14[#Headers],0))),IF(AND(_xlpm.x=0,_xlpm.y&lt;&gt;0),-1,IF(AND(_xlpm.x&lt;&gt;0,_xlpm.y&lt;&gt;0),_xlpm.x,IF(AND(_xlpm.x-SUM(IF((INDIRECT($B$3)=$B138)*(INDIRECT($C$3)=$D138)*((INDIRECT($E$3)="TOTS")+(INDIRECT($E$3)=$E138)),INDIRECT(U$3)))&lt;&gt;0,_xlpm.y=0),-2,_xlpm.x)))),0))</f>
        <v>0</v>
      </c>
      <c r="V138" s="199" cm="1">
        <f t="array" aca="1" ref="V138" ca="1">IF(OR($B138="",$B138="X",$D138="",$D138="X",$E138="",$E138="X"),0,IFERROR(_xlfn.LET(_xlpm.x,SUM(SUM(_xlfn._xlws.FILTER(VALUE(PptoSty[Sign]&amp;1)*(1/PptoSty[Division]),(PptoSty[Division]&lt;&gt;0)*(PptoSty[Division]&lt;&gt;"")*(PptoSty[Division]&lt;&gt;"X")*(PptoSty[Project]=$B138)*(PptoSty[Vrs]=$D138)*(PptoSty[PiRow]=_xlfn.TEXTAFTER($H138,":"))*(PptoSty[PiColumn]=V$54),0)),SUM(IF((INDIRECT($B$3)=$B138)*(INDIRECT($C$3)=$D138)*((INDIRECT($E$3)="TOTS")+(INDIRECT($E$3)=$E138)),INDIRECT(V$3)))),_xlpm.y,SUM(_xlfn.CHOOSECOLS(_xlfn._xlws.FILTER(F_RT14[],(F_RT14[PrjId]=$B138)*(F_RT14[Vrs]=$D138)*(_xlfn.TEXTAFTER(F_RT14[ActGrp],":")=_xlfn.TEXTAFTER($H138,":")),"X"),MATCH("*"&amp;V$54,F_RT14[#Headers],0))),IF(AND(_xlpm.x=0,_xlpm.y&lt;&gt;0),-1,IF(AND(_xlpm.x&lt;&gt;0,_xlpm.y&lt;&gt;0),_xlpm.x,IF(AND(_xlpm.x-SUM(IF((INDIRECT($B$3)=$B138)*(INDIRECT($C$3)=$D138)*((INDIRECT($E$3)="TOTS")+(INDIRECT($E$3)=$E138)),INDIRECT(V$3)))&lt;&gt;0,_xlpm.y=0),-2,_xlpm.x)))),0))</f>
        <v>0</v>
      </c>
      <c r="W138" s="199" cm="1">
        <f t="array" aca="1" ref="W138" ca="1">IF(OR($B138="",$B138="X",$D138="",$D138="X",$E138="",$E138="X"),0,IFERROR(_xlfn.LET(_xlpm.x,SUM(SUM(_xlfn._xlws.FILTER(VALUE(PptoSty[Sign]&amp;1)*(1/PptoSty[Division]),(PptoSty[Division]&lt;&gt;0)*(PptoSty[Division]&lt;&gt;"")*(PptoSty[Division]&lt;&gt;"X")*(PptoSty[Project]=$B138)*(PptoSty[Vrs]=$D138)*(PptoSty[PiRow]=_xlfn.TEXTAFTER($H138,":"))*(PptoSty[PiColumn]=W$54),0)),SUM(IF((INDIRECT($B$3)=$B138)*(INDIRECT($C$3)=$D138)*((INDIRECT($E$3)="TOTS")+(INDIRECT($E$3)=$E138)),INDIRECT(W$3)))),_xlpm.y,SUM(_xlfn.CHOOSECOLS(_xlfn._xlws.FILTER(F_RT14[],(F_RT14[PrjId]=$B138)*(F_RT14[Vrs]=$D138)*(_xlfn.TEXTAFTER(F_RT14[ActGrp],":")=_xlfn.TEXTAFTER($H138,":")),"X"),MATCH("*"&amp;W$54,F_RT14[#Headers],0))),IF(AND(_xlpm.x=0,_xlpm.y&lt;&gt;0),-1,IF(AND(_xlpm.x&lt;&gt;0,_xlpm.y&lt;&gt;0),_xlpm.x,IF(AND(_xlpm.x-SUM(IF((INDIRECT($B$3)=$B138)*(INDIRECT($C$3)=$D138)*((INDIRECT($E$3)="TOTS")+(INDIRECT($E$3)=$E138)),INDIRECT(W$3)))&lt;&gt;0,_xlpm.y=0),-2,_xlpm.x)))),0))</f>
        <v>-1</v>
      </c>
      <c r="X138" s="199" cm="1">
        <f t="array" aca="1" ref="X138" ca="1">IF(OR($B138="",$B138="X",$D138="",$D138="X",$E138="",$E138="X"),0,IFERROR(_xlfn.LET(_xlpm.x,SUM(SUM(_xlfn._xlws.FILTER(VALUE(PptoSty[Sign]&amp;1)*(1/PptoSty[Division]),(PptoSty[Division]&lt;&gt;0)*(PptoSty[Division]&lt;&gt;"")*(PptoSty[Division]&lt;&gt;"X")*(PptoSty[Project]=$B138)*(PptoSty[Vrs]=$D138)*(PptoSty[PiRow]=_xlfn.TEXTAFTER($H138,":"))*(PptoSty[PiColumn]=X$54),0)),SUM(IF((INDIRECT($B$3)=$B138)*(INDIRECT($C$3)=$D138)*((INDIRECT($E$3)="TOTS")+(INDIRECT($E$3)=$E138)),INDIRECT(X$3)))),_xlpm.y,SUM(_xlfn.CHOOSECOLS(_xlfn._xlws.FILTER(F_RT14[],(F_RT14[PrjId]=$B138)*(F_RT14[Vrs]=$D138)*(_xlfn.TEXTAFTER(F_RT14[ActGrp],":")=_xlfn.TEXTAFTER($H138,":")),"X"),MATCH("*"&amp;X$54,F_RT14[#Headers],0))),IF(AND(_xlpm.x=0,_xlpm.y&lt;&gt;0),-1,IF(AND(_xlpm.x&lt;&gt;0,_xlpm.y&lt;&gt;0),_xlpm.x,IF(AND(_xlpm.x-SUM(IF((INDIRECT($B$3)=$B138)*(INDIRECT($C$3)=$D138)*((INDIRECT($E$3)="TOTS")+(INDIRECT($E$3)=$E138)),INDIRECT(X$3)))&lt;&gt;0,_xlpm.y=0),-2,_xlpm.x)))),0))</f>
        <v>0</v>
      </c>
      <c r="Y138" s="199" cm="1">
        <f t="array" aca="1" ref="Y138" ca="1">IF(OR($B138="",$B138="X",$D138="",$D138="X",$E138="",$E138="X"),0,IFERROR(_xlfn.LET(_xlpm.x,SUM(SUM(_xlfn._xlws.FILTER(VALUE(PptoSty[Sign]&amp;1)*(1/PptoSty[Division]),(PptoSty[Division]&lt;&gt;0)*(PptoSty[Division]&lt;&gt;"")*(PptoSty[Division]&lt;&gt;"X")*(PptoSty[Project]=$B138)*(PptoSty[Vrs]=$D138)*(PptoSty[PiRow]=_xlfn.TEXTAFTER($H138,":"))*(PptoSty[PiColumn]=Y$54),0)),SUM(IF((INDIRECT($B$3)=$B138)*(INDIRECT($C$3)=$D138)*((INDIRECT($E$3)="TOTS")+(INDIRECT($E$3)=$E138)),INDIRECT(Y$3)))),_xlpm.y,SUM(_xlfn.CHOOSECOLS(_xlfn._xlws.FILTER(F_RT14[],(F_RT14[PrjId]=$B138)*(F_RT14[Vrs]=$D138)*(_xlfn.TEXTAFTER(F_RT14[ActGrp],":")=_xlfn.TEXTAFTER($H138,":")),"X"),MATCH("*"&amp;Y$54,F_RT14[#Headers],0))),IF(AND(_xlpm.x=0,_xlpm.y&lt;&gt;0),-1,IF(AND(_xlpm.x&lt;&gt;0,_xlpm.y&lt;&gt;0),_xlpm.x,IF(AND(_xlpm.x-SUM(IF((INDIRECT($B$3)=$B138)*(INDIRECT($C$3)=$D138)*((INDIRECT($E$3)="TOTS")+(INDIRECT($E$3)=$E138)),INDIRECT(Y$3)))&lt;&gt;0,_xlpm.y=0),-2,_xlpm.x)))),0))</f>
        <v>0</v>
      </c>
      <c r="Z138" s="198" t="str">
        <f t="shared" ca="1" si="3"/>
        <v>Fback!B138:Y138</v>
      </c>
    </row>
    <row r="139" spans="2:26" ht="21" customHeight="1" outlineLevel="1">
      <c r="B139" s="128" t="str">
        <v>31200</v>
      </c>
      <c r="C139" s="128" t="str">
        <v>Sp</v>
      </c>
      <c r="D139" s="128">
        <v>16</v>
      </c>
      <c r="E139" s="128" t="str">
        <v>CELL</v>
      </c>
      <c r="F139" s="139" t="str">
        <v>SERRA</v>
      </c>
      <c r="G139" s="139" t="str">
        <v>CurPpto</v>
      </c>
      <c r="H139" s="139" t="str">
        <v>E004:ROBOTS</v>
      </c>
      <c r="I139" s="199" cm="1">
        <f t="array" aca="1" ref="I139" ca="1">IF(OR($B139="",$B139="X",$D139="",$D139="X",$E139="",$E139="X"),0,IFERROR(_xlfn.LET(_xlpm.x,SUM(SUM(_xlfn._xlws.FILTER(VALUE(PptoSty[Sign]&amp;1)*(1/PptoSty[Division]),(PptoSty[Division]&lt;&gt;0)*(PptoSty[Division]&lt;&gt;"")*(PptoSty[Division]&lt;&gt;"X")*(PptoSty[Project]=$B139)*(PptoSty[Vrs]=$D139)*(PptoSty[PiRow]=_xlfn.TEXTAFTER($H139,":"))*(PptoSty[PiColumn]=I$54),0)),SUM(IF((INDIRECT($B$3)=$B139)*(INDIRECT($C$3)=$D139)*((INDIRECT($E$3)="TOTS")+(INDIRECT($E$3)=$E139)),INDIRECT(I$3)))),_xlpm.y,SUM(_xlfn.CHOOSECOLS(_xlfn._xlws.FILTER(F_RT14[],(F_RT14[PrjId]=$B139)*(F_RT14[Vrs]=$D139)*(_xlfn.TEXTAFTER(F_RT14[ActGrp],":")=_xlfn.TEXTAFTER($H139,":")),"X"),MATCH("*"&amp;I$54,F_RT14[#Headers],0))),IF(AND(_xlpm.x=0,_xlpm.y&lt;&gt;0),-1,IF(AND(_xlpm.x&lt;&gt;0,_xlpm.y&lt;&gt;0),_xlpm.x,IF(AND(_xlpm.x-SUM(IF((INDIRECT($B$3)=$B139)*(INDIRECT($C$3)=$D139)*((INDIRECT($E$3)="TOTS")+(INDIRECT($E$3)=$E139)),INDIRECT(I$3)))&lt;&gt;0,_xlpm.y=0),-2,_xlpm.x)))),0))</f>
        <v>0</v>
      </c>
      <c r="J139" s="199" cm="1">
        <f t="array" aca="1" ref="J139" ca="1">IF(OR($B139="",$B139="X",$D139="",$D139="X",$E139="",$E139="X"),0,IFERROR(_xlfn.LET(_xlpm.x,SUM(SUM(_xlfn._xlws.FILTER(VALUE(PptoSty[Sign]&amp;1)*(1/PptoSty[Division]),(PptoSty[Division]&lt;&gt;0)*(PptoSty[Division]&lt;&gt;"")*(PptoSty[Division]&lt;&gt;"X")*(PptoSty[Project]=$B139)*(PptoSty[Vrs]=$D139)*(PptoSty[PiRow]=_xlfn.TEXTAFTER($H139,":"))*(PptoSty[PiColumn]=J$54),0)),SUM(IF((INDIRECT($B$3)=$B139)*(INDIRECT($C$3)=$D139)*((INDIRECT($E$3)="TOTS")+(INDIRECT($E$3)=$E139)),INDIRECT(J$3)))),_xlpm.y,SUM(_xlfn.CHOOSECOLS(_xlfn._xlws.FILTER(F_RT14[],(F_RT14[PrjId]=$B139)*(F_RT14[Vrs]=$D139)*(_xlfn.TEXTAFTER(F_RT14[ActGrp],":")=_xlfn.TEXTAFTER($H139,":")),"X"),MATCH("*"&amp;J$54,F_RT14[#Headers],0))),IF(AND(_xlpm.x=0,_xlpm.y&lt;&gt;0),-1,IF(AND(_xlpm.x&lt;&gt;0,_xlpm.y&lt;&gt;0),_xlpm.x,IF(AND(_xlpm.x-SUM(IF((INDIRECT($B$3)=$B139)*(INDIRECT($C$3)=$D139)*((INDIRECT($E$3)="TOTS")+(INDIRECT($E$3)=$E139)),INDIRECT(J$3)))&lt;&gt;0,_xlpm.y=0),-2,_xlpm.x)))),0))</f>
        <v>0</v>
      </c>
      <c r="K139" s="199" cm="1">
        <f t="array" aca="1" ref="K139" ca="1">IF(OR($B139="",$B139="X",$D139="",$D139="X",$E139="",$E139="X"),0,IFERROR(_xlfn.LET(_xlpm.x,SUM(SUM(_xlfn._xlws.FILTER(VALUE(PptoSty[Sign]&amp;1)*(1/PptoSty[Division]),(PptoSty[Division]&lt;&gt;0)*(PptoSty[Division]&lt;&gt;"")*(PptoSty[Division]&lt;&gt;"X")*(PptoSty[Project]=$B139)*(PptoSty[Vrs]=$D139)*(PptoSty[PiRow]=_xlfn.TEXTAFTER($H139,":"))*(PptoSty[PiColumn]=K$54),0)),SUM(IF((INDIRECT($B$3)=$B139)*(INDIRECT($C$3)=$D139)*((INDIRECT($E$3)="TOTS")+(INDIRECT($E$3)=$E139)),INDIRECT(K$3)))),_xlpm.y,SUM(_xlfn.CHOOSECOLS(_xlfn._xlws.FILTER(F_RT14[],(F_RT14[PrjId]=$B139)*(F_RT14[Vrs]=$D139)*(_xlfn.TEXTAFTER(F_RT14[ActGrp],":")=_xlfn.TEXTAFTER($H139,":")),"X"),MATCH("*"&amp;K$54,F_RT14[#Headers],0))),IF(AND(_xlpm.x=0,_xlpm.y&lt;&gt;0),-1,IF(AND(_xlpm.x&lt;&gt;0,_xlpm.y&lt;&gt;0),_xlpm.x,IF(AND(_xlpm.x-SUM(IF((INDIRECT($B$3)=$B139)*(INDIRECT($C$3)=$D139)*((INDIRECT($E$3)="TOTS")+(INDIRECT($E$3)=$E139)),INDIRECT(K$3)))&lt;&gt;0,_xlpm.y=0),-2,_xlpm.x)))),0))</f>
        <v>-1</v>
      </c>
      <c r="L139" s="199" cm="1">
        <f t="array" aca="1" ref="L139" ca="1">IF(OR($B139="",$B139="X",$D139="",$D139="X",$E139="",$E139="X"),0,IFERROR(_xlfn.LET(_xlpm.x,SUM(SUM(_xlfn._xlws.FILTER(VALUE(PptoSty[Sign]&amp;1)*(1/PptoSty[Division]),(PptoSty[Division]&lt;&gt;0)*(PptoSty[Division]&lt;&gt;"")*(PptoSty[Division]&lt;&gt;"X")*(PptoSty[Project]=$B139)*(PptoSty[Vrs]=$D139)*(PptoSty[PiRow]=_xlfn.TEXTAFTER($H139,":"))*(PptoSty[PiColumn]=L$54),0)),SUM(IF((INDIRECT($B$3)=$B139)*(INDIRECT($C$3)=$D139)*((INDIRECT($E$3)="TOTS")+(INDIRECT($E$3)=$E139)),INDIRECT(L$3)))),_xlpm.y,SUM(_xlfn.CHOOSECOLS(_xlfn._xlws.FILTER(F_RT14[],(F_RT14[PrjId]=$B139)*(F_RT14[Vrs]=$D139)*(_xlfn.TEXTAFTER(F_RT14[ActGrp],":")=_xlfn.TEXTAFTER($H139,":")),"X"),MATCH("*"&amp;L$54,F_RT14[#Headers],0))),IF(AND(_xlpm.x=0,_xlpm.y&lt;&gt;0),-1,IF(AND(_xlpm.x&lt;&gt;0,_xlpm.y&lt;&gt;0),_xlpm.x,IF(AND(_xlpm.x-SUM(IF((INDIRECT($B$3)=$B139)*(INDIRECT($C$3)=$D139)*((INDIRECT($E$3)="TOTS")+(INDIRECT($E$3)=$E139)),INDIRECT(L$3)))&lt;&gt;0,_xlpm.y=0),-2,_xlpm.x)))),0))</f>
        <v>0</v>
      </c>
      <c r="M139" s="199" cm="1">
        <f t="array" aca="1" ref="M139" ca="1">IF(OR($B139="",$B139="X",$D139="",$D139="X",$E139="",$E139="X"),0,IFERROR(_xlfn.LET(_xlpm.x,SUM(SUM(_xlfn._xlws.FILTER(VALUE(PptoSty[Sign]&amp;1)*(1/PptoSty[Division]),(PptoSty[Division]&lt;&gt;0)*(PptoSty[Division]&lt;&gt;"")*(PptoSty[Division]&lt;&gt;"X")*(PptoSty[Project]=$B139)*(PptoSty[Vrs]=$D139)*(PptoSty[PiRow]=_xlfn.TEXTAFTER($H139,":"))*(PptoSty[PiColumn]=M$54),0)),SUM(IF((INDIRECT($B$3)=$B139)*(INDIRECT($C$3)=$D139)*((INDIRECT($E$3)="TOTS")+(INDIRECT($E$3)=$E139)),INDIRECT(M$3)))),_xlpm.y,SUM(_xlfn.CHOOSECOLS(_xlfn._xlws.FILTER(F_RT14[],(F_RT14[PrjId]=$B139)*(F_RT14[Vrs]=$D139)*(_xlfn.TEXTAFTER(F_RT14[ActGrp],":")=_xlfn.TEXTAFTER($H139,":")),"X"),MATCH("*"&amp;M$54,F_RT14[#Headers],0))),IF(AND(_xlpm.x=0,_xlpm.y&lt;&gt;0),-1,IF(AND(_xlpm.x&lt;&gt;0,_xlpm.y&lt;&gt;0),_xlpm.x,IF(AND(_xlpm.x-SUM(IF((INDIRECT($B$3)=$B139)*(INDIRECT($C$3)=$D139)*((INDIRECT($E$3)="TOTS")+(INDIRECT($E$3)=$E139)),INDIRECT(M$3)))&lt;&gt;0,_xlpm.y=0),-2,_xlpm.x)))),0))</f>
        <v>0</v>
      </c>
      <c r="N139" s="199" cm="1">
        <f t="array" aca="1" ref="N139" ca="1">IF(OR($B139="",$B139="X",$D139="",$D139="X",$E139="",$E139="X"),0,IFERROR(_xlfn.LET(_xlpm.x,SUM(SUM(_xlfn._xlws.FILTER(VALUE(PptoSty[Sign]&amp;1)*(1/PptoSty[Division]),(PptoSty[Division]&lt;&gt;0)*(PptoSty[Division]&lt;&gt;"")*(PptoSty[Division]&lt;&gt;"X")*(PptoSty[Project]=$B139)*(PptoSty[Vrs]=$D139)*(PptoSty[PiRow]=_xlfn.TEXTAFTER($H139,":"))*(PptoSty[PiColumn]=N$54),0)),SUM(IF((INDIRECT($B$3)=$B139)*(INDIRECT($C$3)=$D139)*((INDIRECT($E$3)="TOTS")+(INDIRECT($E$3)=$E139)),INDIRECT(N$3)))),_xlpm.y,SUM(_xlfn.CHOOSECOLS(_xlfn._xlws.FILTER(F_RT14[],(F_RT14[PrjId]=$B139)*(F_RT14[Vrs]=$D139)*(_xlfn.TEXTAFTER(F_RT14[ActGrp],":")=_xlfn.TEXTAFTER($H139,":")),"X"),MATCH("*"&amp;N$54,F_RT14[#Headers],0))),IF(AND(_xlpm.x=0,_xlpm.y&lt;&gt;0),-1,IF(AND(_xlpm.x&lt;&gt;0,_xlpm.y&lt;&gt;0),_xlpm.x,IF(AND(_xlpm.x-SUM(IF((INDIRECT($B$3)=$B139)*(INDIRECT($C$3)=$D139)*((INDIRECT($E$3)="TOTS")+(INDIRECT($E$3)=$E139)),INDIRECT(N$3)))&lt;&gt;0,_xlpm.y=0),-2,_xlpm.x)))),0))</f>
        <v>-1</v>
      </c>
      <c r="O139" s="199" cm="1">
        <f t="array" aca="1" ref="O139" ca="1">IF(OR($B139="",$B139="X",$D139="",$D139="X",$E139="",$E139="X"),0,IFERROR(_xlfn.LET(_xlpm.x,SUM(SUM(_xlfn._xlws.FILTER(VALUE(PptoSty[Sign]&amp;1)*(1/PptoSty[Division]),(PptoSty[Division]&lt;&gt;0)*(PptoSty[Division]&lt;&gt;"")*(PptoSty[Division]&lt;&gt;"X")*(PptoSty[Project]=$B139)*(PptoSty[Vrs]=$D139)*(PptoSty[PiRow]=_xlfn.TEXTAFTER($H139,":"))*(PptoSty[PiColumn]=O$54),0)),SUM(IF((INDIRECT($B$3)=$B139)*(INDIRECT($C$3)=$D139)*((INDIRECT($E$3)="TOTS")+(INDIRECT($E$3)=$E139)),INDIRECT(O$3)))),_xlpm.y,SUM(_xlfn.CHOOSECOLS(_xlfn._xlws.FILTER(F_RT14[],(F_RT14[PrjId]=$B139)*(F_RT14[Vrs]=$D139)*(_xlfn.TEXTAFTER(F_RT14[ActGrp],":")=_xlfn.TEXTAFTER($H139,":")),"X"),MATCH("*"&amp;O$54,F_RT14[#Headers],0))),IF(AND(_xlpm.x=0,_xlpm.y&lt;&gt;0),-1,IF(AND(_xlpm.x&lt;&gt;0,_xlpm.y&lt;&gt;0),_xlpm.x,IF(AND(_xlpm.x-SUM(IF((INDIRECT($B$3)=$B139)*(INDIRECT($C$3)=$D139)*((INDIRECT($E$3)="TOTS")+(INDIRECT($E$3)=$E139)),INDIRECT(O$3)))&lt;&gt;0,_xlpm.y=0),-2,_xlpm.x)))),0))</f>
        <v>0</v>
      </c>
      <c r="P139" s="199" cm="1">
        <f t="array" aca="1" ref="P139" ca="1">IF(OR($B139="",$B139="X",$D139="",$D139="X",$E139="",$E139="X"),0,IFERROR(_xlfn.LET(_xlpm.x,SUM(SUM(_xlfn._xlws.FILTER(VALUE(PptoSty[Sign]&amp;1)*(1/PptoSty[Division]),(PptoSty[Division]&lt;&gt;0)*(PptoSty[Division]&lt;&gt;"")*(PptoSty[Division]&lt;&gt;"X")*(PptoSty[Project]=$B139)*(PptoSty[Vrs]=$D139)*(PptoSty[PiRow]=_xlfn.TEXTAFTER($H139,":"))*(PptoSty[PiColumn]=P$54),0)),SUM(IF((INDIRECT($B$3)=$B139)*(INDIRECT($C$3)=$D139)*((INDIRECT($E$3)="TOTS")+(INDIRECT($E$3)=$E139)),INDIRECT(P$3)))),_xlpm.y,SUM(_xlfn.CHOOSECOLS(_xlfn._xlws.FILTER(F_RT14[],(F_RT14[PrjId]=$B139)*(F_RT14[Vrs]=$D139)*(_xlfn.TEXTAFTER(F_RT14[ActGrp],":")=_xlfn.TEXTAFTER($H139,":")),"X"),MATCH("*"&amp;P$54,F_RT14[#Headers],0))),IF(AND(_xlpm.x=0,_xlpm.y&lt;&gt;0),-1,IF(AND(_xlpm.x&lt;&gt;0,_xlpm.y&lt;&gt;0),_xlpm.x,IF(AND(_xlpm.x-SUM(IF((INDIRECT($B$3)=$B139)*(INDIRECT($C$3)=$D139)*((INDIRECT($E$3)="TOTS")+(INDIRECT($E$3)=$E139)),INDIRECT(P$3)))&lt;&gt;0,_xlpm.y=0),-2,_xlpm.x)))),0))</f>
        <v>-1</v>
      </c>
      <c r="Q139" s="199" cm="1">
        <f t="array" aca="1" ref="Q139" ca="1">IF(OR($B139="",$B139="X",$D139="",$D139="X",$E139="",$E139="X"),0,IFERROR(_xlfn.LET(_xlpm.x,SUM(SUM(_xlfn._xlws.FILTER(VALUE(PptoSty[Sign]&amp;1)*(1/PptoSty[Division]),(PptoSty[Division]&lt;&gt;0)*(PptoSty[Division]&lt;&gt;"")*(PptoSty[Division]&lt;&gt;"X")*(PptoSty[Project]=$B139)*(PptoSty[Vrs]=$D139)*(PptoSty[PiRow]=_xlfn.TEXTAFTER($H139,":"))*(PptoSty[PiColumn]=Q$54),0)),SUM(IF((INDIRECT($B$3)=$B139)*(INDIRECT($C$3)=$D139)*((INDIRECT($E$3)="TOTS")+(INDIRECT($E$3)=$E139)),INDIRECT(Q$3)))),_xlpm.y,SUM(_xlfn.CHOOSECOLS(_xlfn._xlws.FILTER(F_RT14[],(F_RT14[PrjId]=$B139)*(F_RT14[Vrs]=$D139)*(_xlfn.TEXTAFTER(F_RT14[ActGrp],":")=_xlfn.TEXTAFTER($H139,":")),"X"),MATCH("*"&amp;Q$54,F_RT14[#Headers],0))),IF(AND(_xlpm.x=0,_xlpm.y&lt;&gt;0),-1,IF(AND(_xlpm.x&lt;&gt;0,_xlpm.y&lt;&gt;0),_xlpm.x,IF(AND(_xlpm.x-SUM(IF((INDIRECT($B$3)=$B139)*(INDIRECT($C$3)=$D139)*((INDIRECT($E$3)="TOTS")+(INDIRECT($E$3)=$E139)),INDIRECT(Q$3)))&lt;&gt;0,_xlpm.y=0),-2,_xlpm.x)))),0))</f>
        <v>-1</v>
      </c>
      <c r="R139" s="199" cm="1">
        <f t="array" aca="1" ref="R139" ca="1">IF(OR($B139="",$B139="X",$D139="",$D139="X",$E139="",$E139="X"),0,IFERROR(_xlfn.LET(_xlpm.x,SUM(SUM(_xlfn._xlws.FILTER(VALUE(PptoSty[Sign]&amp;1)*(1/PptoSty[Division]),(PptoSty[Division]&lt;&gt;0)*(PptoSty[Division]&lt;&gt;"")*(PptoSty[Division]&lt;&gt;"X")*(PptoSty[Project]=$B139)*(PptoSty[Vrs]=$D139)*(PptoSty[PiRow]=_xlfn.TEXTAFTER($H139,":"))*(PptoSty[PiColumn]=R$54),0)),SUM(IF((INDIRECT($B$3)=$B139)*(INDIRECT($C$3)=$D139)*((INDIRECT($E$3)="TOTS")+(INDIRECT($E$3)=$E139)),INDIRECT(R$3)))),_xlpm.y,SUM(_xlfn.CHOOSECOLS(_xlfn._xlws.FILTER(F_RT14[],(F_RT14[PrjId]=$B139)*(F_RT14[Vrs]=$D139)*(_xlfn.TEXTAFTER(F_RT14[ActGrp],":")=_xlfn.TEXTAFTER($H139,":")),"X"),MATCH("*"&amp;R$54,F_RT14[#Headers],0))),IF(AND(_xlpm.x=0,_xlpm.y&lt;&gt;0),-1,IF(AND(_xlpm.x&lt;&gt;0,_xlpm.y&lt;&gt;0),_xlpm.x,IF(AND(_xlpm.x-SUM(IF((INDIRECT($B$3)=$B139)*(INDIRECT($C$3)=$D139)*((INDIRECT($E$3)="TOTS")+(INDIRECT($E$3)=$E139)),INDIRECT(R$3)))&lt;&gt;0,_xlpm.y=0),-2,_xlpm.x)))),0))</f>
        <v>0</v>
      </c>
      <c r="S139" s="199" cm="1">
        <f t="array" aca="1" ref="S139" ca="1">IF(OR($B139="",$B139="X",$D139="",$D139="X",$E139="",$E139="X"),0,IFERROR(_xlfn.LET(_xlpm.x,SUM(SUM(_xlfn._xlws.FILTER(VALUE(PptoSty[Sign]&amp;1)*(1/PptoSty[Division]),(PptoSty[Division]&lt;&gt;0)*(PptoSty[Division]&lt;&gt;"")*(PptoSty[Division]&lt;&gt;"X")*(PptoSty[Project]=$B139)*(PptoSty[Vrs]=$D139)*(PptoSty[PiRow]=_xlfn.TEXTAFTER($H139,":"))*(PptoSty[PiColumn]=S$54),0)),SUM(IF((INDIRECT($B$3)=$B139)*(INDIRECT($C$3)=$D139)*((INDIRECT($E$3)="TOTS")+(INDIRECT($E$3)=$E139)),INDIRECT(S$3)))),_xlpm.y,SUM(_xlfn.CHOOSECOLS(_xlfn._xlws.FILTER(F_RT14[],(F_RT14[PrjId]=$B139)*(F_RT14[Vrs]=$D139)*(_xlfn.TEXTAFTER(F_RT14[ActGrp],":")=_xlfn.TEXTAFTER($H139,":")),"X"),MATCH("*"&amp;S$54,F_RT14[#Headers],0))),IF(AND(_xlpm.x=0,_xlpm.y&lt;&gt;0),-1,IF(AND(_xlpm.x&lt;&gt;0,_xlpm.y&lt;&gt;0),_xlpm.x,IF(AND(_xlpm.x-SUM(IF((INDIRECT($B$3)=$B139)*(INDIRECT($C$3)=$D139)*((INDIRECT($E$3)="TOTS")+(INDIRECT($E$3)=$E139)),INDIRECT(S$3)))&lt;&gt;0,_xlpm.y=0),-2,_xlpm.x)))),0))</f>
        <v>0</v>
      </c>
      <c r="T139" s="199" cm="1">
        <f t="array" aca="1" ref="T139" ca="1">IF(OR($B139="",$B139="X",$D139="",$D139="X",$E139="",$E139="X"),0,IFERROR(_xlfn.LET(_xlpm.x,SUM(SUM(_xlfn._xlws.FILTER(VALUE(PptoSty[Sign]&amp;1)*(1/PptoSty[Division]),(PptoSty[Division]&lt;&gt;0)*(PptoSty[Division]&lt;&gt;"")*(PptoSty[Division]&lt;&gt;"X")*(PptoSty[Project]=$B139)*(PptoSty[Vrs]=$D139)*(PptoSty[PiRow]=_xlfn.TEXTAFTER($H139,":"))*(PptoSty[PiColumn]=T$54),0)),SUM(IF((INDIRECT($B$3)=$B139)*(INDIRECT($C$3)=$D139)*((INDIRECT($E$3)="TOTS")+(INDIRECT($E$3)=$E139)),INDIRECT(T$3)))),_xlpm.y,SUM(_xlfn.CHOOSECOLS(_xlfn._xlws.FILTER(F_RT14[],(F_RT14[PrjId]=$B139)*(F_RT14[Vrs]=$D139)*(_xlfn.TEXTAFTER(F_RT14[ActGrp],":")=_xlfn.TEXTAFTER($H139,":")),"X"),MATCH("*"&amp;T$54,F_RT14[#Headers],0))),IF(AND(_xlpm.x=0,_xlpm.y&lt;&gt;0),-1,IF(AND(_xlpm.x&lt;&gt;0,_xlpm.y&lt;&gt;0),_xlpm.x,IF(AND(_xlpm.x-SUM(IF((INDIRECT($B$3)=$B139)*(INDIRECT($C$3)=$D139)*((INDIRECT($E$3)="TOTS")+(INDIRECT($E$3)=$E139)),INDIRECT(T$3)))&lt;&gt;0,_xlpm.y=0),-2,_xlpm.x)))),0))</f>
        <v>0</v>
      </c>
      <c r="U139" s="199" cm="1">
        <f t="array" aca="1" ref="U139" ca="1">IF(OR($B139="",$B139="X",$D139="",$D139="X",$E139="",$E139="X"),0,IFERROR(_xlfn.LET(_xlpm.x,SUM(SUM(_xlfn._xlws.FILTER(VALUE(PptoSty[Sign]&amp;1)*(1/PptoSty[Division]),(PptoSty[Division]&lt;&gt;0)*(PptoSty[Division]&lt;&gt;"")*(PptoSty[Division]&lt;&gt;"X")*(PptoSty[Project]=$B139)*(PptoSty[Vrs]=$D139)*(PptoSty[PiRow]=_xlfn.TEXTAFTER($H139,":"))*(PptoSty[PiColumn]=U$54),0)),SUM(IF((INDIRECT($B$3)=$B139)*(INDIRECT($C$3)=$D139)*((INDIRECT($E$3)="TOTS")+(INDIRECT($E$3)=$E139)),INDIRECT(U$3)))),_xlpm.y,SUM(_xlfn.CHOOSECOLS(_xlfn._xlws.FILTER(F_RT14[],(F_RT14[PrjId]=$B139)*(F_RT14[Vrs]=$D139)*(_xlfn.TEXTAFTER(F_RT14[ActGrp],":")=_xlfn.TEXTAFTER($H139,":")),"X"),MATCH("*"&amp;U$54,F_RT14[#Headers],0))),IF(AND(_xlpm.x=0,_xlpm.y&lt;&gt;0),-1,IF(AND(_xlpm.x&lt;&gt;0,_xlpm.y&lt;&gt;0),_xlpm.x,IF(AND(_xlpm.x-SUM(IF((INDIRECT($B$3)=$B139)*(INDIRECT($C$3)=$D139)*((INDIRECT($E$3)="TOTS")+(INDIRECT($E$3)=$E139)),INDIRECT(U$3)))&lt;&gt;0,_xlpm.y=0),-2,_xlpm.x)))),0))</f>
        <v>0</v>
      </c>
      <c r="V139" s="199" cm="1">
        <f t="array" aca="1" ref="V139" ca="1">IF(OR($B139="",$B139="X",$D139="",$D139="X",$E139="",$E139="X"),0,IFERROR(_xlfn.LET(_xlpm.x,SUM(SUM(_xlfn._xlws.FILTER(VALUE(PptoSty[Sign]&amp;1)*(1/PptoSty[Division]),(PptoSty[Division]&lt;&gt;0)*(PptoSty[Division]&lt;&gt;"")*(PptoSty[Division]&lt;&gt;"X")*(PptoSty[Project]=$B139)*(PptoSty[Vrs]=$D139)*(PptoSty[PiRow]=_xlfn.TEXTAFTER($H139,":"))*(PptoSty[PiColumn]=V$54),0)),SUM(IF((INDIRECT($B$3)=$B139)*(INDIRECT($C$3)=$D139)*((INDIRECT($E$3)="TOTS")+(INDIRECT($E$3)=$E139)),INDIRECT(V$3)))),_xlpm.y,SUM(_xlfn.CHOOSECOLS(_xlfn._xlws.FILTER(F_RT14[],(F_RT14[PrjId]=$B139)*(F_RT14[Vrs]=$D139)*(_xlfn.TEXTAFTER(F_RT14[ActGrp],":")=_xlfn.TEXTAFTER($H139,":")),"X"),MATCH("*"&amp;V$54,F_RT14[#Headers],0))),IF(AND(_xlpm.x=0,_xlpm.y&lt;&gt;0),-1,IF(AND(_xlpm.x&lt;&gt;0,_xlpm.y&lt;&gt;0),_xlpm.x,IF(AND(_xlpm.x-SUM(IF((INDIRECT($B$3)=$B139)*(INDIRECT($C$3)=$D139)*((INDIRECT($E$3)="TOTS")+(INDIRECT($E$3)=$E139)),INDIRECT(V$3)))&lt;&gt;0,_xlpm.y=0),-2,_xlpm.x)))),0))</f>
        <v>-1</v>
      </c>
      <c r="W139" s="199" cm="1">
        <f t="array" aca="1" ref="W139" ca="1">IF(OR($B139="",$B139="X",$D139="",$D139="X",$E139="",$E139="X"),0,IFERROR(_xlfn.LET(_xlpm.x,SUM(SUM(_xlfn._xlws.FILTER(VALUE(PptoSty[Sign]&amp;1)*(1/PptoSty[Division]),(PptoSty[Division]&lt;&gt;0)*(PptoSty[Division]&lt;&gt;"")*(PptoSty[Division]&lt;&gt;"X")*(PptoSty[Project]=$B139)*(PptoSty[Vrs]=$D139)*(PptoSty[PiRow]=_xlfn.TEXTAFTER($H139,":"))*(PptoSty[PiColumn]=W$54),0)),SUM(IF((INDIRECT($B$3)=$B139)*(INDIRECT($C$3)=$D139)*((INDIRECT($E$3)="TOTS")+(INDIRECT($E$3)=$E139)),INDIRECT(W$3)))),_xlpm.y,SUM(_xlfn.CHOOSECOLS(_xlfn._xlws.FILTER(F_RT14[],(F_RT14[PrjId]=$B139)*(F_RT14[Vrs]=$D139)*(_xlfn.TEXTAFTER(F_RT14[ActGrp],":")=_xlfn.TEXTAFTER($H139,":")),"X"),MATCH("*"&amp;W$54,F_RT14[#Headers],0))),IF(AND(_xlpm.x=0,_xlpm.y&lt;&gt;0),-1,IF(AND(_xlpm.x&lt;&gt;0,_xlpm.y&lt;&gt;0),_xlpm.x,IF(AND(_xlpm.x-SUM(IF((INDIRECT($B$3)=$B139)*(INDIRECT($C$3)=$D139)*((INDIRECT($E$3)="TOTS")+(INDIRECT($E$3)=$E139)),INDIRECT(W$3)))&lt;&gt;0,_xlpm.y=0),-2,_xlpm.x)))),0))</f>
        <v>-1</v>
      </c>
      <c r="X139" s="199" cm="1">
        <f t="array" aca="1" ref="X139" ca="1">IF(OR($B139="",$B139="X",$D139="",$D139="X",$E139="",$E139="X"),0,IFERROR(_xlfn.LET(_xlpm.x,SUM(SUM(_xlfn._xlws.FILTER(VALUE(PptoSty[Sign]&amp;1)*(1/PptoSty[Division]),(PptoSty[Division]&lt;&gt;0)*(PptoSty[Division]&lt;&gt;"")*(PptoSty[Division]&lt;&gt;"X")*(PptoSty[Project]=$B139)*(PptoSty[Vrs]=$D139)*(PptoSty[PiRow]=_xlfn.TEXTAFTER($H139,":"))*(PptoSty[PiColumn]=X$54),0)),SUM(IF((INDIRECT($B$3)=$B139)*(INDIRECT($C$3)=$D139)*((INDIRECT($E$3)="TOTS")+(INDIRECT($E$3)=$E139)),INDIRECT(X$3)))),_xlpm.y,SUM(_xlfn.CHOOSECOLS(_xlfn._xlws.FILTER(F_RT14[],(F_RT14[PrjId]=$B139)*(F_RT14[Vrs]=$D139)*(_xlfn.TEXTAFTER(F_RT14[ActGrp],":")=_xlfn.TEXTAFTER($H139,":")),"X"),MATCH("*"&amp;X$54,F_RT14[#Headers],0))),IF(AND(_xlpm.x=0,_xlpm.y&lt;&gt;0),-1,IF(AND(_xlpm.x&lt;&gt;0,_xlpm.y&lt;&gt;0),_xlpm.x,IF(AND(_xlpm.x-SUM(IF((INDIRECT($B$3)=$B139)*(INDIRECT($C$3)=$D139)*((INDIRECT($E$3)="TOTS")+(INDIRECT($E$3)=$E139)),INDIRECT(X$3)))&lt;&gt;0,_xlpm.y=0),-2,_xlpm.x)))),0))</f>
        <v>-1</v>
      </c>
      <c r="Y139" s="199" cm="1">
        <f t="array" aca="1" ref="Y139" ca="1">IF(OR($B139="",$B139="X",$D139="",$D139="X",$E139="",$E139="X"),0,IFERROR(_xlfn.LET(_xlpm.x,SUM(SUM(_xlfn._xlws.FILTER(VALUE(PptoSty[Sign]&amp;1)*(1/PptoSty[Division]),(PptoSty[Division]&lt;&gt;0)*(PptoSty[Division]&lt;&gt;"")*(PptoSty[Division]&lt;&gt;"X")*(PptoSty[Project]=$B139)*(PptoSty[Vrs]=$D139)*(PptoSty[PiRow]=_xlfn.TEXTAFTER($H139,":"))*(PptoSty[PiColumn]=Y$54),0)),SUM(IF((INDIRECT($B$3)=$B139)*(INDIRECT($C$3)=$D139)*((INDIRECT($E$3)="TOTS")+(INDIRECT($E$3)=$E139)),INDIRECT(Y$3)))),_xlpm.y,SUM(_xlfn.CHOOSECOLS(_xlfn._xlws.FILTER(F_RT14[],(F_RT14[PrjId]=$B139)*(F_RT14[Vrs]=$D139)*(_xlfn.TEXTAFTER(F_RT14[ActGrp],":")=_xlfn.TEXTAFTER($H139,":")),"X"),MATCH("*"&amp;Y$54,F_RT14[#Headers],0))),IF(AND(_xlpm.x=0,_xlpm.y&lt;&gt;0),-1,IF(AND(_xlpm.x&lt;&gt;0,_xlpm.y&lt;&gt;0),_xlpm.x,IF(AND(_xlpm.x-SUM(IF((INDIRECT($B$3)=$B139)*(INDIRECT($C$3)=$D139)*((INDIRECT($E$3)="TOTS")+(INDIRECT($E$3)=$E139)),INDIRECT(Y$3)))&lt;&gt;0,_xlpm.y=0),-2,_xlpm.x)))),0))</f>
        <v>0</v>
      </c>
      <c r="Z139" s="198" t="str">
        <f t="shared" ca="1" si="3"/>
        <v>Fback!B139:Y139</v>
      </c>
    </row>
    <row r="140" spans="2:26" ht="21" customHeight="1" outlineLevel="1">
      <c r="B140" s="128" t="str">
        <v>31200</v>
      </c>
      <c r="C140" s="128" t="str">
        <v>Sp</v>
      </c>
      <c r="D140" s="128">
        <v>16</v>
      </c>
      <c r="E140" s="128" t="str">
        <v>TOOL</v>
      </c>
      <c r="F140" s="139" t="str">
        <v>SERRA</v>
      </c>
      <c r="G140" s="139" t="str">
        <v>CurPpto</v>
      </c>
      <c r="H140" s="139" t="str">
        <v>E005:GARRAS ROBOT</v>
      </c>
      <c r="I140" s="199" cm="1">
        <f t="array" aca="1" ref="I140" ca="1">IF(OR($B140="",$B140="X",$D140="",$D140="X",$E140="",$E140="X"),0,IFERROR(_xlfn.LET(_xlpm.x,SUM(SUM(_xlfn._xlws.FILTER(VALUE(PptoSty[Sign]&amp;1)*(1/PptoSty[Division]),(PptoSty[Division]&lt;&gt;0)*(PptoSty[Division]&lt;&gt;"")*(PptoSty[Division]&lt;&gt;"X")*(PptoSty[Project]=$B140)*(PptoSty[Vrs]=$D140)*(PptoSty[PiRow]=_xlfn.TEXTAFTER($H140,":"))*(PptoSty[PiColumn]=I$54),0)),SUM(IF((INDIRECT($B$3)=$B140)*(INDIRECT($C$3)=$D140)*((INDIRECT($E$3)="TOTS")+(INDIRECT($E$3)=$E140)),INDIRECT(I$3)))),_xlpm.y,SUM(_xlfn.CHOOSECOLS(_xlfn._xlws.FILTER(F_RT14[],(F_RT14[PrjId]=$B140)*(F_RT14[Vrs]=$D140)*(_xlfn.TEXTAFTER(F_RT14[ActGrp],":")=_xlfn.TEXTAFTER($H140,":")),"X"),MATCH("*"&amp;I$54,F_RT14[#Headers],0))),IF(AND(_xlpm.x=0,_xlpm.y&lt;&gt;0),-1,IF(AND(_xlpm.x&lt;&gt;0,_xlpm.y&lt;&gt;0),_xlpm.x,IF(AND(_xlpm.x-SUM(IF((INDIRECT($B$3)=$B140)*(INDIRECT($C$3)=$D140)*((INDIRECT($E$3)="TOTS")+(INDIRECT($E$3)=$E140)),INDIRECT(I$3)))&lt;&gt;0,_xlpm.y=0),-2,_xlpm.x)))),0))</f>
        <v>0</v>
      </c>
      <c r="J140" s="199" cm="1">
        <f t="array" aca="1" ref="J140" ca="1">IF(OR($B140="",$B140="X",$D140="",$D140="X",$E140="",$E140="X"),0,IFERROR(_xlfn.LET(_xlpm.x,SUM(SUM(_xlfn._xlws.FILTER(VALUE(PptoSty[Sign]&amp;1)*(1/PptoSty[Division]),(PptoSty[Division]&lt;&gt;0)*(PptoSty[Division]&lt;&gt;"")*(PptoSty[Division]&lt;&gt;"X")*(PptoSty[Project]=$B140)*(PptoSty[Vrs]=$D140)*(PptoSty[PiRow]=_xlfn.TEXTAFTER($H140,":"))*(PptoSty[PiColumn]=J$54),0)),SUM(IF((INDIRECT($B$3)=$B140)*(INDIRECT($C$3)=$D140)*((INDIRECT($E$3)="TOTS")+(INDIRECT($E$3)=$E140)),INDIRECT(J$3)))),_xlpm.y,SUM(_xlfn.CHOOSECOLS(_xlfn._xlws.FILTER(F_RT14[],(F_RT14[PrjId]=$B140)*(F_RT14[Vrs]=$D140)*(_xlfn.TEXTAFTER(F_RT14[ActGrp],":")=_xlfn.TEXTAFTER($H140,":")),"X"),MATCH("*"&amp;J$54,F_RT14[#Headers],0))),IF(AND(_xlpm.x=0,_xlpm.y&lt;&gt;0),-1,IF(AND(_xlpm.x&lt;&gt;0,_xlpm.y&lt;&gt;0),_xlpm.x,IF(AND(_xlpm.x-SUM(IF((INDIRECT($B$3)=$B140)*(INDIRECT($C$3)=$D140)*((INDIRECT($E$3)="TOTS")+(INDIRECT($E$3)=$E140)),INDIRECT(J$3)))&lt;&gt;0,_xlpm.y=0),-2,_xlpm.x)))),0))</f>
        <v>0</v>
      </c>
      <c r="K140" s="199" cm="1">
        <f t="array" aca="1" ref="K140" ca="1">IF(OR($B140="",$B140="X",$D140="",$D140="X",$E140="",$E140="X"),0,IFERROR(_xlfn.LET(_xlpm.x,SUM(SUM(_xlfn._xlws.FILTER(VALUE(PptoSty[Sign]&amp;1)*(1/PptoSty[Division]),(PptoSty[Division]&lt;&gt;0)*(PptoSty[Division]&lt;&gt;"")*(PptoSty[Division]&lt;&gt;"X")*(PptoSty[Project]=$B140)*(PptoSty[Vrs]=$D140)*(PptoSty[PiRow]=_xlfn.TEXTAFTER($H140,":"))*(PptoSty[PiColumn]=K$54),0)),SUM(IF((INDIRECT($B$3)=$B140)*(INDIRECT($C$3)=$D140)*((INDIRECT($E$3)="TOTS")+(INDIRECT($E$3)=$E140)),INDIRECT(K$3)))),_xlpm.y,SUM(_xlfn.CHOOSECOLS(_xlfn._xlws.FILTER(F_RT14[],(F_RT14[PrjId]=$B140)*(F_RT14[Vrs]=$D140)*(_xlfn.TEXTAFTER(F_RT14[ActGrp],":")=_xlfn.TEXTAFTER($H140,":")),"X"),MATCH("*"&amp;K$54,F_RT14[#Headers],0))),IF(AND(_xlpm.x=0,_xlpm.y&lt;&gt;0),-1,IF(AND(_xlpm.x&lt;&gt;0,_xlpm.y&lt;&gt;0),_xlpm.x,IF(AND(_xlpm.x-SUM(IF((INDIRECT($B$3)=$B140)*(INDIRECT($C$3)=$D140)*((INDIRECT($E$3)="TOTS")+(INDIRECT($E$3)=$E140)),INDIRECT(K$3)))&lt;&gt;0,_xlpm.y=0),-2,_xlpm.x)))),0))</f>
        <v>-1</v>
      </c>
      <c r="L140" s="199" cm="1">
        <f t="array" aca="1" ref="L140" ca="1">IF(OR($B140="",$B140="X",$D140="",$D140="X",$E140="",$E140="X"),0,IFERROR(_xlfn.LET(_xlpm.x,SUM(SUM(_xlfn._xlws.FILTER(VALUE(PptoSty[Sign]&amp;1)*(1/PptoSty[Division]),(PptoSty[Division]&lt;&gt;0)*(PptoSty[Division]&lt;&gt;"")*(PptoSty[Division]&lt;&gt;"X")*(PptoSty[Project]=$B140)*(PptoSty[Vrs]=$D140)*(PptoSty[PiRow]=_xlfn.TEXTAFTER($H140,":"))*(PptoSty[PiColumn]=L$54),0)),SUM(IF((INDIRECT($B$3)=$B140)*(INDIRECT($C$3)=$D140)*((INDIRECT($E$3)="TOTS")+(INDIRECT($E$3)=$E140)),INDIRECT(L$3)))),_xlpm.y,SUM(_xlfn.CHOOSECOLS(_xlfn._xlws.FILTER(F_RT14[],(F_RT14[PrjId]=$B140)*(F_RT14[Vrs]=$D140)*(_xlfn.TEXTAFTER(F_RT14[ActGrp],":")=_xlfn.TEXTAFTER($H140,":")),"X"),MATCH("*"&amp;L$54,F_RT14[#Headers],0))),IF(AND(_xlpm.x=0,_xlpm.y&lt;&gt;0),-1,IF(AND(_xlpm.x&lt;&gt;0,_xlpm.y&lt;&gt;0),_xlpm.x,IF(AND(_xlpm.x-SUM(IF((INDIRECT($B$3)=$B140)*(INDIRECT($C$3)=$D140)*((INDIRECT($E$3)="TOTS")+(INDIRECT($E$3)=$E140)),INDIRECT(L$3)))&lt;&gt;0,_xlpm.y=0),-2,_xlpm.x)))),0))</f>
        <v>0</v>
      </c>
      <c r="M140" s="199" cm="1">
        <f t="array" aca="1" ref="M140" ca="1">IF(OR($B140="",$B140="X",$D140="",$D140="X",$E140="",$E140="X"),0,IFERROR(_xlfn.LET(_xlpm.x,SUM(SUM(_xlfn._xlws.FILTER(VALUE(PptoSty[Sign]&amp;1)*(1/PptoSty[Division]),(PptoSty[Division]&lt;&gt;0)*(PptoSty[Division]&lt;&gt;"")*(PptoSty[Division]&lt;&gt;"X")*(PptoSty[Project]=$B140)*(PptoSty[Vrs]=$D140)*(PptoSty[PiRow]=_xlfn.TEXTAFTER($H140,":"))*(PptoSty[PiColumn]=M$54),0)),SUM(IF((INDIRECT($B$3)=$B140)*(INDIRECT($C$3)=$D140)*((INDIRECT($E$3)="TOTS")+(INDIRECT($E$3)=$E140)),INDIRECT(M$3)))),_xlpm.y,SUM(_xlfn.CHOOSECOLS(_xlfn._xlws.FILTER(F_RT14[],(F_RT14[PrjId]=$B140)*(F_RT14[Vrs]=$D140)*(_xlfn.TEXTAFTER(F_RT14[ActGrp],":")=_xlfn.TEXTAFTER($H140,":")),"X"),MATCH("*"&amp;M$54,F_RT14[#Headers],0))),IF(AND(_xlpm.x=0,_xlpm.y&lt;&gt;0),-1,IF(AND(_xlpm.x&lt;&gt;0,_xlpm.y&lt;&gt;0),_xlpm.x,IF(AND(_xlpm.x-SUM(IF((INDIRECT($B$3)=$B140)*(INDIRECT($C$3)=$D140)*((INDIRECT($E$3)="TOTS")+(INDIRECT($E$3)=$E140)),INDIRECT(M$3)))&lt;&gt;0,_xlpm.y=0),-2,_xlpm.x)))),0))</f>
        <v>0</v>
      </c>
      <c r="N140" s="199" cm="1">
        <f t="array" aca="1" ref="N140" ca="1">IF(OR($B140="",$B140="X",$D140="",$D140="X",$E140="",$E140="X"),0,IFERROR(_xlfn.LET(_xlpm.x,SUM(SUM(_xlfn._xlws.FILTER(VALUE(PptoSty[Sign]&amp;1)*(1/PptoSty[Division]),(PptoSty[Division]&lt;&gt;0)*(PptoSty[Division]&lt;&gt;"")*(PptoSty[Division]&lt;&gt;"X")*(PptoSty[Project]=$B140)*(PptoSty[Vrs]=$D140)*(PptoSty[PiRow]=_xlfn.TEXTAFTER($H140,":"))*(PptoSty[PiColumn]=N$54),0)),SUM(IF((INDIRECT($B$3)=$B140)*(INDIRECT($C$3)=$D140)*((INDIRECT($E$3)="TOTS")+(INDIRECT($E$3)=$E140)),INDIRECT(N$3)))),_xlpm.y,SUM(_xlfn.CHOOSECOLS(_xlfn._xlws.FILTER(F_RT14[],(F_RT14[PrjId]=$B140)*(F_RT14[Vrs]=$D140)*(_xlfn.TEXTAFTER(F_RT14[ActGrp],":")=_xlfn.TEXTAFTER($H140,":")),"X"),MATCH("*"&amp;N$54,F_RT14[#Headers],0))),IF(AND(_xlpm.x=0,_xlpm.y&lt;&gt;0),-1,IF(AND(_xlpm.x&lt;&gt;0,_xlpm.y&lt;&gt;0),_xlpm.x,IF(AND(_xlpm.x-SUM(IF((INDIRECT($B$3)=$B140)*(INDIRECT($C$3)=$D140)*((INDIRECT($E$3)="TOTS")+(INDIRECT($E$3)=$E140)),INDIRECT(N$3)))&lt;&gt;0,_xlpm.y=0),-2,_xlpm.x)))),0))</f>
        <v>-1</v>
      </c>
      <c r="O140" s="199" cm="1">
        <f t="array" aca="1" ref="O140" ca="1">IF(OR($B140="",$B140="X",$D140="",$D140="X",$E140="",$E140="X"),0,IFERROR(_xlfn.LET(_xlpm.x,SUM(SUM(_xlfn._xlws.FILTER(VALUE(PptoSty[Sign]&amp;1)*(1/PptoSty[Division]),(PptoSty[Division]&lt;&gt;0)*(PptoSty[Division]&lt;&gt;"")*(PptoSty[Division]&lt;&gt;"X")*(PptoSty[Project]=$B140)*(PptoSty[Vrs]=$D140)*(PptoSty[PiRow]=_xlfn.TEXTAFTER($H140,":"))*(PptoSty[PiColumn]=O$54),0)),SUM(IF((INDIRECT($B$3)=$B140)*(INDIRECT($C$3)=$D140)*((INDIRECT($E$3)="TOTS")+(INDIRECT($E$3)=$E140)),INDIRECT(O$3)))),_xlpm.y,SUM(_xlfn.CHOOSECOLS(_xlfn._xlws.FILTER(F_RT14[],(F_RT14[PrjId]=$B140)*(F_RT14[Vrs]=$D140)*(_xlfn.TEXTAFTER(F_RT14[ActGrp],":")=_xlfn.TEXTAFTER($H140,":")),"X"),MATCH("*"&amp;O$54,F_RT14[#Headers],0))),IF(AND(_xlpm.x=0,_xlpm.y&lt;&gt;0),-1,IF(AND(_xlpm.x&lt;&gt;0,_xlpm.y&lt;&gt;0),_xlpm.x,IF(AND(_xlpm.x-SUM(IF((INDIRECT($B$3)=$B140)*(INDIRECT($C$3)=$D140)*((INDIRECT($E$3)="TOTS")+(INDIRECT($E$3)=$E140)),INDIRECT(O$3)))&lt;&gt;0,_xlpm.y=0),-2,_xlpm.x)))),0))</f>
        <v>0</v>
      </c>
      <c r="P140" s="199" cm="1">
        <f t="array" aca="1" ref="P140" ca="1">IF(OR($B140="",$B140="X",$D140="",$D140="X",$E140="",$E140="X"),0,IFERROR(_xlfn.LET(_xlpm.x,SUM(SUM(_xlfn._xlws.FILTER(VALUE(PptoSty[Sign]&amp;1)*(1/PptoSty[Division]),(PptoSty[Division]&lt;&gt;0)*(PptoSty[Division]&lt;&gt;"")*(PptoSty[Division]&lt;&gt;"X")*(PptoSty[Project]=$B140)*(PptoSty[Vrs]=$D140)*(PptoSty[PiRow]=_xlfn.TEXTAFTER($H140,":"))*(PptoSty[PiColumn]=P$54),0)),SUM(IF((INDIRECT($B$3)=$B140)*(INDIRECT($C$3)=$D140)*((INDIRECT($E$3)="TOTS")+(INDIRECT($E$3)=$E140)),INDIRECT(P$3)))),_xlpm.y,SUM(_xlfn.CHOOSECOLS(_xlfn._xlws.FILTER(F_RT14[],(F_RT14[PrjId]=$B140)*(F_RT14[Vrs]=$D140)*(_xlfn.TEXTAFTER(F_RT14[ActGrp],":")=_xlfn.TEXTAFTER($H140,":")),"X"),MATCH("*"&amp;P$54,F_RT14[#Headers],0))),IF(AND(_xlpm.x=0,_xlpm.y&lt;&gt;0),-1,IF(AND(_xlpm.x&lt;&gt;0,_xlpm.y&lt;&gt;0),_xlpm.x,IF(AND(_xlpm.x-SUM(IF((INDIRECT($B$3)=$B140)*(INDIRECT($C$3)=$D140)*((INDIRECT($E$3)="TOTS")+(INDIRECT($E$3)=$E140)),INDIRECT(P$3)))&lt;&gt;0,_xlpm.y=0),-2,_xlpm.x)))),0))</f>
        <v>-1</v>
      </c>
      <c r="Q140" s="199" cm="1">
        <f t="array" aca="1" ref="Q140" ca="1">IF(OR($B140="",$B140="X",$D140="",$D140="X",$E140="",$E140="X"),0,IFERROR(_xlfn.LET(_xlpm.x,SUM(SUM(_xlfn._xlws.FILTER(VALUE(PptoSty[Sign]&amp;1)*(1/PptoSty[Division]),(PptoSty[Division]&lt;&gt;0)*(PptoSty[Division]&lt;&gt;"")*(PptoSty[Division]&lt;&gt;"X")*(PptoSty[Project]=$B140)*(PptoSty[Vrs]=$D140)*(PptoSty[PiRow]=_xlfn.TEXTAFTER($H140,":"))*(PptoSty[PiColumn]=Q$54),0)),SUM(IF((INDIRECT($B$3)=$B140)*(INDIRECT($C$3)=$D140)*((INDIRECT($E$3)="TOTS")+(INDIRECT($E$3)=$E140)),INDIRECT(Q$3)))),_xlpm.y,SUM(_xlfn.CHOOSECOLS(_xlfn._xlws.FILTER(F_RT14[],(F_RT14[PrjId]=$B140)*(F_RT14[Vrs]=$D140)*(_xlfn.TEXTAFTER(F_RT14[ActGrp],":")=_xlfn.TEXTAFTER($H140,":")),"X"),MATCH("*"&amp;Q$54,F_RT14[#Headers],0))),IF(AND(_xlpm.x=0,_xlpm.y&lt;&gt;0),-1,IF(AND(_xlpm.x&lt;&gt;0,_xlpm.y&lt;&gt;0),_xlpm.x,IF(AND(_xlpm.x-SUM(IF((INDIRECT($B$3)=$B140)*(INDIRECT($C$3)=$D140)*((INDIRECT($E$3)="TOTS")+(INDIRECT($E$3)=$E140)),INDIRECT(Q$3)))&lt;&gt;0,_xlpm.y=0),-2,_xlpm.x)))),0))</f>
        <v>-1</v>
      </c>
      <c r="R140" s="199" cm="1">
        <f t="array" aca="1" ref="R140" ca="1">IF(OR($B140="",$B140="X",$D140="",$D140="X",$E140="",$E140="X"),0,IFERROR(_xlfn.LET(_xlpm.x,SUM(SUM(_xlfn._xlws.FILTER(VALUE(PptoSty[Sign]&amp;1)*(1/PptoSty[Division]),(PptoSty[Division]&lt;&gt;0)*(PptoSty[Division]&lt;&gt;"")*(PptoSty[Division]&lt;&gt;"X")*(PptoSty[Project]=$B140)*(PptoSty[Vrs]=$D140)*(PptoSty[PiRow]=_xlfn.TEXTAFTER($H140,":"))*(PptoSty[PiColumn]=R$54),0)),SUM(IF((INDIRECT($B$3)=$B140)*(INDIRECT($C$3)=$D140)*((INDIRECT($E$3)="TOTS")+(INDIRECT($E$3)=$E140)),INDIRECT(R$3)))),_xlpm.y,SUM(_xlfn.CHOOSECOLS(_xlfn._xlws.FILTER(F_RT14[],(F_RT14[PrjId]=$B140)*(F_RT14[Vrs]=$D140)*(_xlfn.TEXTAFTER(F_RT14[ActGrp],":")=_xlfn.TEXTAFTER($H140,":")),"X"),MATCH("*"&amp;R$54,F_RT14[#Headers],0))),IF(AND(_xlpm.x=0,_xlpm.y&lt;&gt;0),-1,IF(AND(_xlpm.x&lt;&gt;0,_xlpm.y&lt;&gt;0),_xlpm.x,IF(AND(_xlpm.x-SUM(IF((INDIRECT($B$3)=$B140)*(INDIRECT($C$3)=$D140)*((INDIRECT($E$3)="TOTS")+(INDIRECT($E$3)=$E140)),INDIRECT(R$3)))&lt;&gt;0,_xlpm.y=0),-2,_xlpm.x)))),0))</f>
        <v>-1</v>
      </c>
      <c r="S140" s="199" cm="1">
        <f t="array" aca="1" ref="S140" ca="1">IF(OR($B140="",$B140="X",$D140="",$D140="X",$E140="",$E140="X"),0,IFERROR(_xlfn.LET(_xlpm.x,SUM(SUM(_xlfn._xlws.FILTER(VALUE(PptoSty[Sign]&amp;1)*(1/PptoSty[Division]),(PptoSty[Division]&lt;&gt;0)*(PptoSty[Division]&lt;&gt;"")*(PptoSty[Division]&lt;&gt;"X")*(PptoSty[Project]=$B140)*(PptoSty[Vrs]=$D140)*(PptoSty[PiRow]=_xlfn.TEXTAFTER($H140,":"))*(PptoSty[PiColumn]=S$54),0)),SUM(IF((INDIRECT($B$3)=$B140)*(INDIRECT($C$3)=$D140)*((INDIRECT($E$3)="TOTS")+(INDIRECT($E$3)=$E140)),INDIRECT(S$3)))),_xlpm.y,SUM(_xlfn.CHOOSECOLS(_xlfn._xlws.FILTER(F_RT14[],(F_RT14[PrjId]=$B140)*(F_RT14[Vrs]=$D140)*(_xlfn.TEXTAFTER(F_RT14[ActGrp],":")=_xlfn.TEXTAFTER($H140,":")),"X"),MATCH("*"&amp;S$54,F_RT14[#Headers],0))),IF(AND(_xlpm.x=0,_xlpm.y&lt;&gt;0),-1,IF(AND(_xlpm.x&lt;&gt;0,_xlpm.y&lt;&gt;0),_xlpm.x,IF(AND(_xlpm.x-SUM(IF((INDIRECT($B$3)=$B140)*(INDIRECT($C$3)=$D140)*((INDIRECT($E$3)="TOTS")+(INDIRECT($E$3)=$E140)),INDIRECT(S$3)))&lt;&gt;0,_xlpm.y=0),-2,_xlpm.x)))),0))</f>
        <v>0</v>
      </c>
      <c r="T140" s="199" cm="1">
        <f t="array" aca="1" ref="T140" ca="1">IF(OR($B140="",$B140="X",$D140="",$D140="X",$E140="",$E140="X"),0,IFERROR(_xlfn.LET(_xlpm.x,SUM(SUM(_xlfn._xlws.FILTER(VALUE(PptoSty[Sign]&amp;1)*(1/PptoSty[Division]),(PptoSty[Division]&lt;&gt;0)*(PptoSty[Division]&lt;&gt;"")*(PptoSty[Division]&lt;&gt;"X")*(PptoSty[Project]=$B140)*(PptoSty[Vrs]=$D140)*(PptoSty[PiRow]=_xlfn.TEXTAFTER($H140,":"))*(PptoSty[PiColumn]=T$54),0)),SUM(IF((INDIRECT($B$3)=$B140)*(INDIRECT($C$3)=$D140)*((INDIRECT($E$3)="TOTS")+(INDIRECT($E$3)=$E140)),INDIRECT(T$3)))),_xlpm.y,SUM(_xlfn.CHOOSECOLS(_xlfn._xlws.FILTER(F_RT14[],(F_RT14[PrjId]=$B140)*(F_RT14[Vrs]=$D140)*(_xlfn.TEXTAFTER(F_RT14[ActGrp],":")=_xlfn.TEXTAFTER($H140,":")),"X"),MATCH("*"&amp;T$54,F_RT14[#Headers],0))),IF(AND(_xlpm.x=0,_xlpm.y&lt;&gt;0),-1,IF(AND(_xlpm.x&lt;&gt;0,_xlpm.y&lt;&gt;0),_xlpm.x,IF(AND(_xlpm.x-SUM(IF((INDIRECT($B$3)=$B140)*(INDIRECT($C$3)=$D140)*((INDIRECT($E$3)="TOTS")+(INDIRECT($E$3)=$E140)),INDIRECT(T$3)))&lt;&gt;0,_xlpm.y=0),-2,_xlpm.x)))),0))</f>
        <v>0</v>
      </c>
      <c r="U140" s="199" cm="1">
        <f t="array" aca="1" ref="U140" ca="1">IF(OR($B140="",$B140="X",$D140="",$D140="X",$E140="",$E140="X"),0,IFERROR(_xlfn.LET(_xlpm.x,SUM(SUM(_xlfn._xlws.FILTER(VALUE(PptoSty[Sign]&amp;1)*(1/PptoSty[Division]),(PptoSty[Division]&lt;&gt;0)*(PptoSty[Division]&lt;&gt;"")*(PptoSty[Division]&lt;&gt;"X")*(PptoSty[Project]=$B140)*(PptoSty[Vrs]=$D140)*(PptoSty[PiRow]=_xlfn.TEXTAFTER($H140,":"))*(PptoSty[PiColumn]=U$54),0)),SUM(IF((INDIRECT($B$3)=$B140)*(INDIRECT($C$3)=$D140)*((INDIRECT($E$3)="TOTS")+(INDIRECT($E$3)=$E140)),INDIRECT(U$3)))),_xlpm.y,SUM(_xlfn.CHOOSECOLS(_xlfn._xlws.FILTER(F_RT14[],(F_RT14[PrjId]=$B140)*(F_RT14[Vrs]=$D140)*(_xlfn.TEXTAFTER(F_RT14[ActGrp],":")=_xlfn.TEXTAFTER($H140,":")),"X"),MATCH("*"&amp;U$54,F_RT14[#Headers],0))),IF(AND(_xlpm.x=0,_xlpm.y&lt;&gt;0),-1,IF(AND(_xlpm.x&lt;&gt;0,_xlpm.y&lt;&gt;0),_xlpm.x,IF(AND(_xlpm.x-SUM(IF((INDIRECT($B$3)=$B140)*(INDIRECT($C$3)=$D140)*((INDIRECT($E$3)="TOTS")+(INDIRECT($E$3)=$E140)),INDIRECT(U$3)))&lt;&gt;0,_xlpm.y=0),-2,_xlpm.x)))),0))</f>
        <v>0</v>
      </c>
      <c r="V140" s="199" cm="1">
        <f t="array" aca="1" ref="V140" ca="1">IF(OR($B140="",$B140="X",$D140="",$D140="X",$E140="",$E140="X"),0,IFERROR(_xlfn.LET(_xlpm.x,SUM(SUM(_xlfn._xlws.FILTER(VALUE(PptoSty[Sign]&amp;1)*(1/PptoSty[Division]),(PptoSty[Division]&lt;&gt;0)*(PptoSty[Division]&lt;&gt;"")*(PptoSty[Division]&lt;&gt;"X")*(PptoSty[Project]=$B140)*(PptoSty[Vrs]=$D140)*(PptoSty[PiRow]=_xlfn.TEXTAFTER($H140,":"))*(PptoSty[PiColumn]=V$54),0)),SUM(IF((INDIRECT($B$3)=$B140)*(INDIRECT($C$3)=$D140)*((INDIRECT($E$3)="TOTS")+(INDIRECT($E$3)=$E140)),INDIRECT(V$3)))),_xlpm.y,SUM(_xlfn.CHOOSECOLS(_xlfn._xlws.FILTER(F_RT14[],(F_RT14[PrjId]=$B140)*(F_RT14[Vrs]=$D140)*(_xlfn.TEXTAFTER(F_RT14[ActGrp],":")=_xlfn.TEXTAFTER($H140,":")),"X"),MATCH("*"&amp;V$54,F_RT14[#Headers],0))),IF(AND(_xlpm.x=0,_xlpm.y&lt;&gt;0),-1,IF(AND(_xlpm.x&lt;&gt;0,_xlpm.y&lt;&gt;0),_xlpm.x,IF(AND(_xlpm.x-SUM(IF((INDIRECT($B$3)=$B140)*(INDIRECT($C$3)=$D140)*((INDIRECT($E$3)="TOTS")+(INDIRECT($E$3)=$E140)),INDIRECT(V$3)))&lt;&gt;0,_xlpm.y=0),-2,_xlpm.x)))),0))</f>
        <v>-1</v>
      </c>
      <c r="W140" s="199" cm="1">
        <f t="array" aca="1" ref="W140" ca="1">IF(OR($B140="",$B140="X",$D140="",$D140="X",$E140="",$E140="X"),0,IFERROR(_xlfn.LET(_xlpm.x,SUM(SUM(_xlfn._xlws.FILTER(VALUE(PptoSty[Sign]&amp;1)*(1/PptoSty[Division]),(PptoSty[Division]&lt;&gt;0)*(PptoSty[Division]&lt;&gt;"")*(PptoSty[Division]&lt;&gt;"X")*(PptoSty[Project]=$B140)*(PptoSty[Vrs]=$D140)*(PptoSty[PiRow]=_xlfn.TEXTAFTER($H140,":"))*(PptoSty[PiColumn]=W$54),0)),SUM(IF((INDIRECT($B$3)=$B140)*(INDIRECT($C$3)=$D140)*((INDIRECT($E$3)="TOTS")+(INDIRECT($E$3)=$E140)),INDIRECT(W$3)))),_xlpm.y,SUM(_xlfn.CHOOSECOLS(_xlfn._xlws.FILTER(F_RT14[],(F_RT14[PrjId]=$B140)*(F_RT14[Vrs]=$D140)*(_xlfn.TEXTAFTER(F_RT14[ActGrp],":")=_xlfn.TEXTAFTER($H140,":")),"X"),MATCH("*"&amp;W$54,F_RT14[#Headers],0))),IF(AND(_xlpm.x=0,_xlpm.y&lt;&gt;0),-1,IF(AND(_xlpm.x&lt;&gt;0,_xlpm.y&lt;&gt;0),_xlpm.x,IF(AND(_xlpm.x-SUM(IF((INDIRECT($B$3)=$B140)*(INDIRECT($C$3)=$D140)*((INDIRECT($E$3)="TOTS")+(INDIRECT($E$3)=$E140)),INDIRECT(W$3)))&lt;&gt;0,_xlpm.y=0),-2,_xlpm.x)))),0))</f>
        <v>-1</v>
      </c>
      <c r="X140" s="199" cm="1">
        <f t="array" aca="1" ref="X140" ca="1">IF(OR($B140="",$B140="X",$D140="",$D140="X",$E140="",$E140="X"),0,IFERROR(_xlfn.LET(_xlpm.x,SUM(SUM(_xlfn._xlws.FILTER(VALUE(PptoSty[Sign]&amp;1)*(1/PptoSty[Division]),(PptoSty[Division]&lt;&gt;0)*(PptoSty[Division]&lt;&gt;"")*(PptoSty[Division]&lt;&gt;"X")*(PptoSty[Project]=$B140)*(PptoSty[Vrs]=$D140)*(PptoSty[PiRow]=_xlfn.TEXTAFTER($H140,":"))*(PptoSty[PiColumn]=X$54),0)),SUM(IF((INDIRECT($B$3)=$B140)*(INDIRECT($C$3)=$D140)*((INDIRECT($E$3)="TOTS")+(INDIRECT($E$3)=$E140)),INDIRECT(X$3)))),_xlpm.y,SUM(_xlfn.CHOOSECOLS(_xlfn._xlws.FILTER(F_RT14[],(F_RT14[PrjId]=$B140)*(F_RT14[Vrs]=$D140)*(_xlfn.TEXTAFTER(F_RT14[ActGrp],":")=_xlfn.TEXTAFTER($H140,":")),"X"),MATCH("*"&amp;X$54,F_RT14[#Headers],0))),IF(AND(_xlpm.x=0,_xlpm.y&lt;&gt;0),-1,IF(AND(_xlpm.x&lt;&gt;0,_xlpm.y&lt;&gt;0),_xlpm.x,IF(AND(_xlpm.x-SUM(IF((INDIRECT($B$3)=$B140)*(INDIRECT($C$3)=$D140)*((INDIRECT($E$3)="TOTS")+(INDIRECT($E$3)=$E140)),INDIRECT(X$3)))&lt;&gt;0,_xlpm.y=0),-2,_xlpm.x)))),0))</f>
        <v>-1</v>
      </c>
      <c r="Y140" s="199" cm="1">
        <f t="array" aca="1" ref="Y140" ca="1">IF(OR($B140="",$B140="X",$D140="",$D140="X",$E140="",$E140="X"),0,IFERROR(_xlfn.LET(_xlpm.x,SUM(SUM(_xlfn._xlws.FILTER(VALUE(PptoSty[Sign]&amp;1)*(1/PptoSty[Division]),(PptoSty[Division]&lt;&gt;0)*(PptoSty[Division]&lt;&gt;"")*(PptoSty[Division]&lt;&gt;"X")*(PptoSty[Project]=$B140)*(PptoSty[Vrs]=$D140)*(PptoSty[PiRow]=_xlfn.TEXTAFTER($H140,":"))*(PptoSty[PiColumn]=Y$54),0)),SUM(IF((INDIRECT($B$3)=$B140)*(INDIRECT($C$3)=$D140)*((INDIRECT($E$3)="TOTS")+(INDIRECT($E$3)=$E140)),INDIRECT(Y$3)))),_xlpm.y,SUM(_xlfn.CHOOSECOLS(_xlfn._xlws.FILTER(F_RT14[],(F_RT14[PrjId]=$B140)*(F_RT14[Vrs]=$D140)*(_xlfn.TEXTAFTER(F_RT14[ActGrp],":")=_xlfn.TEXTAFTER($H140,":")),"X"),MATCH("*"&amp;Y$54,F_RT14[#Headers],0))),IF(AND(_xlpm.x=0,_xlpm.y&lt;&gt;0),-1,IF(AND(_xlpm.x&lt;&gt;0,_xlpm.y&lt;&gt;0),_xlpm.x,IF(AND(_xlpm.x-SUM(IF((INDIRECT($B$3)=$B140)*(INDIRECT($C$3)=$D140)*((INDIRECT($E$3)="TOTS")+(INDIRECT($E$3)=$E140)),INDIRECT(Y$3)))&lt;&gt;0,_xlpm.y=0),-2,_xlpm.x)))),0))</f>
        <v>0</v>
      </c>
      <c r="Z140" s="198" t="str">
        <f t="shared" ca="1" si="3"/>
        <v>Fback!B140:Y140</v>
      </c>
    </row>
    <row r="141" spans="2:26" ht="21" customHeight="1" outlineLevel="1">
      <c r="B141" s="128" t="str">
        <v>31200</v>
      </c>
      <c r="C141" s="128" t="str">
        <v>Sp</v>
      </c>
      <c r="D141" s="128">
        <v>16</v>
      </c>
      <c r="E141" s="128" t="str">
        <v>TOOL</v>
      </c>
      <c r="F141" s="139" t="str">
        <v>SERRA</v>
      </c>
      <c r="G141" s="139" t="str">
        <v>CurPpto</v>
      </c>
      <c r="H141" s="139" t="str">
        <v>P001:OP-230.1 MIG WELD (GEO)</v>
      </c>
      <c r="I141" s="199" cm="1">
        <f t="array" aca="1" ref="I141" ca="1">IF(OR($B141="",$B141="X",$D141="",$D141="X",$E141="",$E141="X"),0,IFERROR(_xlfn.LET(_xlpm.x,SUM(SUM(_xlfn._xlws.FILTER(VALUE(PptoSty[Sign]&amp;1)*(1/PptoSty[Division]),(PptoSty[Division]&lt;&gt;0)*(PptoSty[Division]&lt;&gt;"")*(PptoSty[Division]&lt;&gt;"X")*(PptoSty[Project]=$B141)*(PptoSty[Vrs]=$D141)*(PptoSty[PiRow]=_xlfn.TEXTAFTER($H141,":"))*(PptoSty[PiColumn]=I$54),0)),SUM(IF((INDIRECT($B$3)=$B141)*(INDIRECT($C$3)=$D141)*((INDIRECT($E$3)="TOTS")+(INDIRECT($E$3)=$E141)),INDIRECT(I$3)))),_xlpm.y,SUM(_xlfn.CHOOSECOLS(_xlfn._xlws.FILTER(F_RT14[],(F_RT14[PrjId]=$B141)*(F_RT14[Vrs]=$D141)*(_xlfn.TEXTAFTER(F_RT14[ActGrp],":")=_xlfn.TEXTAFTER($H141,":")),"X"),MATCH("*"&amp;I$54,F_RT14[#Headers],0))),IF(AND(_xlpm.x=0,_xlpm.y&lt;&gt;0),-1,IF(AND(_xlpm.x&lt;&gt;0,_xlpm.y&lt;&gt;0),_xlpm.x,IF(AND(_xlpm.x-SUM(IF((INDIRECT($B$3)=$B141)*(INDIRECT($C$3)=$D141)*((INDIRECT($E$3)="TOTS")+(INDIRECT($E$3)=$E141)),INDIRECT(I$3)))&lt;&gt;0,_xlpm.y=0),-2,_xlpm.x)))),0))</f>
        <v>0</v>
      </c>
      <c r="J141" s="199" cm="1">
        <f t="array" aca="1" ref="J141" ca="1">IF(OR($B141="",$B141="X",$D141="",$D141="X",$E141="",$E141="X"),0,IFERROR(_xlfn.LET(_xlpm.x,SUM(SUM(_xlfn._xlws.FILTER(VALUE(PptoSty[Sign]&amp;1)*(1/PptoSty[Division]),(PptoSty[Division]&lt;&gt;0)*(PptoSty[Division]&lt;&gt;"")*(PptoSty[Division]&lt;&gt;"X")*(PptoSty[Project]=$B141)*(PptoSty[Vrs]=$D141)*(PptoSty[PiRow]=_xlfn.TEXTAFTER($H141,":"))*(PptoSty[PiColumn]=J$54),0)),SUM(IF((INDIRECT($B$3)=$B141)*(INDIRECT($C$3)=$D141)*((INDIRECT($E$3)="TOTS")+(INDIRECT($E$3)=$E141)),INDIRECT(J$3)))),_xlpm.y,SUM(_xlfn.CHOOSECOLS(_xlfn._xlws.FILTER(F_RT14[],(F_RT14[PrjId]=$B141)*(F_RT14[Vrs]=$D141)*(_xlfn.TEXTAFTER(F_RT14[ActGrp],":")=_xlfn.TEXTAFTER($H141,":")),"X"),MATCH("*"&amp;J$54,F_RT14[#Headers],0))),IF(AND(_xlpm.x=0,_xlpm.y&lt;&gt;0),-1,IF(AND(_xlpm.x&lt;&gt;0,_xlpm.y&lt;&gt;0),_xlpm.x,IF(AND(_xlpm.x-SUM(IF((INDIRECT($B$3)=$B141)*(INDIRECT($C$3)=$D141)*((INDIRECT($E$3)="TOTS")+(INDIRECT($E$3)=$E141)),INDIRECT(J$3)))&lt;&gt;0,_xlpm.y=0),-2,_xlpm.x)))),0))</f>
        <v>0</v>
      </c>
      <c r="K141" s="199" cm="1">
        <f t="array" aca="1" ref="K141" ca="1">IF(OR($B141="",$B141="X",$D141="",$D141="X",$E141="",$E141="X"),0,IFERROR(_xlfn.LET(_xlpm.x,SUM(SUM(_xlfn._xlws.FILTER(VALUE(PptoSty[Sign]&amp;1)*(1/PptoSty[Division]),(PptoSty[Division]&lt;&gt;0)*(PptoSty[Division]&lt;&gt;"")*(PptoSty[Division]&lt;&gt;"X")*(PptoSty[Project]=$B141)*(PptoSty[Vrs]=$D141)*(PptoSty[PiRow]=_xlfn.TEXTAFTER($H141,":"))*(PptoSty[PiColumn]=K$54),0)),SUM(IF((INDIRECT($B$3)=$B141)*(INDIRECT($C$3)=$D141)*((INDIRECT($E$3)="TOTS")+(INDIRECT($E$3)=$E141)),INDIRECT(K$3)))),_xlpm.y,SUM(_xlfn.CHOOSECOLS(_xlfn._xlws.FILTER(F_RT14[],(F_RT14[PrjId]=$B141)*(F_RT14[Vrs]=$D141)*(_xlfn.TEXTAFTER(F_RT14[ActGrp],":")=_xlfn.TEXTAFTER($H141,":")),"X"),MATCH("*"&amp;K$54,F_RT14[#Headers],0))),IF(AND(_xlpm.x=0,_xlpm.y&lt;&gt;0),-1,IF(AND(_xlpm.x&lt;&gt;0,_xlpm.y&lt;&gt;0),_xlpm.x,IF(AND(_xlpm.x-SUM(IF((INDIRECT($B$3)=$B141)*(INDIRECT($C$3)=$D141)*((INDIRECT($E$3)="TOTS")+(INDIRECT($E$3)=$E141)),INDIRECT(K$3)))&lt;&gt;0,_xlpm.y=0),-2,_xlpm.x)))),0))</f>
        <v>-1</v>
      </c>
      <c r="L141" s="199" cm="1">
        <f t="array" aca="1" ref="L141" ca="1">IF(OR($B141="",$B141="X",$D141="",$D141="X",$E141="",$E141="X"),0,IFERROR(_xlfn.LET(_xlpm.x,SUM(SUM(_xlfn._xlws.FILTER(VALUE(PptoSty[Sign]&amp;1)*(1/PptoSty[Division]),(PptoSty[Division]&lt;&gt;0)*(PptoSty[Division]&lt;&gt;"")*(PptoSty[Division]&lt;&gt;"X")*(PptoSty[Project]=$B141)*(PptoSty[Vrs]=$D141)*(PptoSty[PiRow]=_xlfn.TEXTAFTER($H141,":"))*(PptoSty[PiColumn]=L$54),0)),SUM(IF((INDIRECT($B$3)=$B141)*(INDIRECT($C$3)=$D141)*((INDIRECT($E$3)="TOTS")+(INDIRECT($E$3)=$E141)),INDIRECT(L$3)))),_xlpm.y,SUM(_xlfn.CHOOSECOLS(_xlfn._xlws.FILTER(F_RT14[],(F_RT14[PrjId]=$B141)*(F_RT14[Vrs]=$D141)*(_xlfn.TEXTAFTER(F_RT14[ActGrp],":")=_xlfn.TEXTAFTER($H141,":")),"X"),MATCH("*"&amp;L$54,F_RT14[#Headers],0))),IF(AND(_xlpm.x=0,_xlpm.y&lt;&gt;0),-1,IF(AND(_xlpm.x&lt;&gt;0,_xlpm.y&lt;&gt;0),_xlpm.x,IF(AND(_xlpm.x-SUM(IF((INDIRECT($B$3)=$B141)*(INDIRECT($C$3)=$D141)*((INDIRECT($E$3)="TOTS")+(INDIRECT($E$3)=$E141)),INDIRECT(L$3)))&lt;&gt;0,_xlpm.y=0),-2,_xlpm.x)))),0))</f>
        <v>0</v>
      </c>
      <c r="M141" s="199" cm="1">
        <f t="array" aca="1" ref="M141" ca="1">IF(OR($B141="",$B141="X",$D141="",$D141="X",$E141="",$E141="X"),0,IFERROR(_xlfn.LET(_xlpm.x,SUM(SUM(_xlfn._xlws.FILTER(VALUE(PptoSty[Sign]&amp;1)*(1/PptoSty[Division]),(PptoSty[Division]&lt;&gt;0)*(PptoSty[Division]&lt;&gt;"")*(PptoSty[Division]&lt;&gt;"X")*(PptoSty[Project]=$B141)*(PptoSty[Vrs]=$D141)*(PptoSty[PiRow]=_xlfn.TEXTAFTER($H141,":"))*(PptoSty[PiColumn]=M$54),0)),SUM(IF((INDIRECT($B$3)=$B141)*(INDIRECT($C$3)=$D141)*((INDIRECT($E$3)="TOTS")+(INDIRECT($E$3)=$E141)),INDIRECT(M$3)))),_xlpm.y,SUM(_xlfn.CHOOSECOLS(_xlfn._xlws.FILTER(F_RT14[],(F_RT14[PrjId]=$B141)*(F_RT14[Vrs]=$D141)*(_xlfn.TEXTAFTER(F_RT14[ActGrp],":")=_xlfn.TEXTAFTER($H141,":")),"X"),MATCH("*"&amp;M$54,F_RT14[#Headers],0))),IF(AND(_xlpm.x=0,_xlpm.y&lt;&gt;0),-1,IF(AND(_xlpm.x&lt;&gt;0,_xlpm.y&lt;&gt;0),_xlpm.x,IF(AND(_xlpm.x-SUM(IF((INDIRECT($B$3)=$B141)*(INDIRECT($C$3)=$D141)*((INDIRECT($E$3)="TOTS")+(INDIRECT($E$3)=$E141)),INDIRECT(M$3)))&lt;&gt;0,_xlpm.y=0),-2,_xlpm.x)))),0))</f>
        <v>0</v>
      </c>
      <c r="N141" s="199" cm="1">
        <f t="array" aca="1" ref="N141" ca="1">IF(OR($B141="",$B141="X",$D141="",$D141="X",$E141="",$E141="X"),0,IFERROR(_xlfn.LET(_xlpm.x,SUM(SUM(_xlfn._xlws.FILTER(VALUE(PptoSty[Sign]&amp;1)*(1/PptoSty[Division]),(PptoSty[Division]&lt;&gt;0)*(PptoSty[Division]&lt;&gt;"")*(PptoSty[Division]&lt;&gt;"X")*(PptoSty[Project]=$B141)*(PptoSty[Vrs]=$D141)*(PptoSty[PiRow]=_xlfn.TEXTAFTER($H141,":"))*(PptoSty[PiColumn]=N$54),0)),SUM(IF((INDIRECT($B$3)=$B141)*(INDIRECT($C$3)=$D141)*((INDIRECT($E$3)="TOTS")+(INDIRECT($E$3)=$E141)),INDIRECT(N$3)))),_xlpm.y,SUM(_xlfn.CHOOSECOLS(_xlfn._xlws.FILTER(F_RT14[],(F_RT14[PrjId]=$B141)*(F_RT14[Vrs]=$D141)*(_xlfn.TEXTAFTER(F_RT14[ActGrp],":")=_xlfn.TEXTAFTER($H141,":")),"X"),MATCH("*"&amp;N$54,F_RT14[#Headers],0))),IF(AND(_xlpm.x=0,_xlpm.y&lt;&gt;0),-1,IF(AND(_xlpm.x&lt;&gt;0,_xlpm.y&lt;&gt;0),_xlpm.x,IF(AND(_xlpm.x-SUM(IF((INDIRECT($B$3)=$B141)*(INDIRECT($C$3)=$D141)*((INDIRECT($E$3)="TOTS")+(INDIRECT($E$3)=$E141)),INDIRECT(N$3)))&lt;&gt;0,_xlpm.y=0),-2,_xlpm.x)))),0))</f>
        <v>0</v>
      </c>
      <c r="O141" s="199" cm="1">
        <f t="array" aca="1" ref="O141" ca="1">IF(OR($B141="",$B141="X",$D141="",$D141="X",$E141="",$E141="X"),0,IFERROR(_xlfn.LET(_xlpm.x,SUM(SUM(_xlfn._xlws.FILTER(VALUE(PptoSty[Sign]&amp;1)*(1/PptoSty[Division]),(PptoSty[Division]&lt;&gt;0)*(PptoSty[Division]&lt;&gt;"")*(PptoSty[Division]&lt;&gt;"X")*(PptoSty[Project]=$B141)*(PptoSty[Vrs]=$D141)*(PptoSty[PiRow]=_xlfn.TEXTAFTER($H141,":"))*(PptoSty[PiColumn]=O$54),0)),SUM(IF((INDIRECT($B$3)=$B141)*(INDIRECT($C$3)=$D141)*((INDIRECT($E$3)="TOTS")+(INDIRECT($E$3)=$E141)),INDIRECT(O$3)))),_xlpm.y,SUM(_xlfn.CHOOSECOLS(_xlfn._xlws.FILTER(F_RT14[],(F_RT14[PrjId]=$B141)*(F_RT14[Vrs]=$D141)*(_xlfn.TEXTAFTER(F_RT14[ActGrp],":")=_xlfn.TEXTAFTER($H141,":")),"X"),MATCH("*"&amp;O$54,F_RT14[#Headers],0))),IF(AND(_xlpm.x=0,_xlpm.y&lt;&gt;0),-1,IF(AND(_xlpm.x&lt;&gt;0,_xlpm.y&lt;&gt;0),_xlpm.x,IF(AND(_xlpm.x-SUM(IF((INDIRECT($B$3)=$B141)*(INDIRECT($C$3)=$D141)*((INDIRECT($E$3)="TOTS")+(INDIRECT($E$3)=$E141)),INDIRECT(O$3)))&lt;&gt;0,_xlpm.y=0),-2,_xlpm.x)))),0))</f>
        <v>0</v>
      </c>
      <c r="P141" s="199" cm="1">
        <f t="array" aca="1" ref="P141" ca="1">IF(OR($B141="",$B141="X",$D141="",$D141="X",$E141="",$E141="X"),0,IFERROR(_xlfn.LET(_xlpm.x,SUM(SUM(_xlfn._xlws.FILTER(VALUE(PptoSty[Sign]&amp;1)*(1/PptoSty[Division]),(PptoSty[Division]&lt;&gt;0)*(PptoSty[Division]&lt;&gt;"")*(PptoSty[Division]&lt;&gt;"X")*(PptoSty[Project]=$B141)*(PptoSty[Vrs]=$D141)*(PptoSty[PiRow]=_xlfn.TEXTAFTER($H141,":"))*(PptoSty[PiColumn]=P$54),0)),SUM(IF((INDIRECT($B$3)=$B141)*(INDIRECT($C$3)=$D141)*((INDIRECT($E$3)="TOTS")+(INDIRECT($E$3)=$E141)),INDIRECT(P$3)))),_xlpm.y,SUM(_xlfn.CHOOSECOLS(_xlfn._xlws.FILTER(F_RT14[],(F_RT14[PrjId]=$B141)*(F_RT14[Vrs]=$D141)*(_xlfn.TEXTAFTER(F_RT14[ActGrp],":")=_xlfn.TEXTAFTER($H141,":")),"X"),MATCH("*"&amp;P$54,F_RT14[#Headers],0))),IF(AND(_xlpm.x=0,_xlpm.y&lt;&gt;0),-1,IF(AND(_xlpm.x&lt;&gt;0,_xlpm.y&lt;&gt;0),_xlpm.x,IF(AND(_xlpm.x-SUM(IF((INDIRECT($B$3)=$B141)*(INDIRECT($C$3)=$D141)*((INDIRECT($E$3)="TOTS")+(INDIRECT($E$3)=$E141)),INDIRECT(P$3)))&lt;&gt;0,_xlpm.y=0),-2,_xlpm.x)))),0))</f>
        <v>-1</v>
      </c>
      <c r="Q141" s="199" cm="1">
        <f t="array" aca="1" ref="Q141" ca="1">IF(OR($B141="",$B141="X",$D141="",$D141="X",$E141="",$E141="X"),0,IFERROR(_xlfn.LET(_xlpm.x,SUM(SUM(_xlfn._xlws.FILTER(VALUE(PptoSty[Sign]&amp;1)*(1/PptoSty[Division]),(PptoSty[Division]&lt;&gt;0)*(PptoSty[Division]&lt;&gt;"")*(PptoSty[Division]&lt;&gt;"X")*(PptoSty[Project]=$B141)*(PptoSty[Vrs]=$D141)*(PptoSty[PiRow]=_xlfn.TEXTAFTER($H141,":"))*(PptoSty[PiColumn]=Q$54),0)),SUM(IF((INDIRECT($B$3)=$B141)*(INDIRECT($C$3)=$D141)*((INDIRECT($E$3)="TOTS")+(INDIRECT($E$3)=$E141)),INDIRECT(Q$3)))),_xlpm.y,SUM(_xlfn.CHOOSECOLS(_xlfn._xlws.FILTER(F_RT14[],(F_RT14[PrjId]=$B141)*(F_RT14[Vrs]=$D141)*(_xlfn.TEXTAFTER(F_RT14[ActGrp],":")=_xlfn.TEXTAFTER($H141,":")),"X"),MATCH("*"&amp;Q$54,F_RT14[#Headers],0))),IF(AND(_xlpm.x=0,_xlpm.y&lt;&gt;0),-1,IF(AND(_xlpm.x&lt;&gt;0,_xlpm.y&lt;&gt;0),_xlpm.x,IF(AND(_xlpm.x-SUM(IF((INDIRECT($B$3)=$B141)*(INDIRECT($C$3)=$D141)*((INDIRECT($E$3)="TOTS")+(INDIRECT($E$3)=$E141)),INDIRECT(Q$3)))&lt;&gt;0,_xlpm.y=0),-2,_xlpm.x)))),0))</f>
        <v>0</v>
      </c>
      <c r="R141" s="199" cm="1">
        <f t="array" aca="1" ref="R141" ca="1">IF(OR($B141="",$B141="X",$D141="",$D141="X",$E141="",$E141="X"),0,IFERROR(_xlfn.LET(_xlpm.x,SUM(SUM(_xlfn._xlws.FILTER(VALUE(PptoSty[Sign]&amp;1)*(1/PptoSty[Division]),(PptoSty[Division]&lt;&gt;0)*(PptoSty[Division]&lt;&gt;"")*(PptoSty[Division]&lt;&gt;"X")*(PptoSty[Project]=$B141)*(PptoSty[Vrs]=$D141)*(PptoSty[PiRow]=_xlfn.TEXTAFTER($H141,":"))*(PptoSty[PiColumn]=R$54),0)),SUM(IF((INDIRECT($B$3)=$B141)*(INDIRECT($C$3)=$D141)*((INDIRECT($E$3)="TOTS")+(INDIRECT($E$3)=$E141)),INDIRECT(R$3)))),_xlpm.y,SUM(_xlfn.CHOOSECOLS(_xlfn._xlws.FILTER(F_RT14[],(F_RT14[PrjId]=$B141)*(F_RT14[Vrs]=$D141)*(_xlfn.TEXTAFTER(F_RT14[ActGrp],":")=_xlfn.TEXTAFTER($H141,":")),"X"),MATCH("*"&amp;R$54,F_RT14[#Headers],0))),IF(AND(_xlpm.x=0,_xlpm.y&lt;&gt;0),-1,IF(AND(_xlpm.x&lt;&gt;0,_xlpm.y&lt;&gt;0),_xlpm.x,IF(AND(_xlpm.x-SUM(IF((INDIRECT($B$3)=$B141)*(INDIRECT($C$3)=$D141)*((INDIRECT($E$3)="TOTS")+(INDIRECT($E$3)=$E141)),INDIRECT(R$3)))&lt;&gt;0,_xlpm.y=0),-2,_xlpm.x)))),0))</f>
        <v>0</v>
      </c>
      <c r="S141" s="199" cm="1">
        <f t="array" aca="1" ref="S141" ca="1">IF(OR($B141="",$B141="X",$D141="",$D141="X",$E141="",$E141="X"),0,IFERROR(_xlfn.LET(_xlpm.x,SUM(SUM(_xlfn._xlws.FILTER(VALUE(PptoSty[Sign]&amp;1)*(1/PptoSty[Division]),(PptoSty[Division]&lt;&gt;0)*(PptoSty[Division]&lt;&gt;"")*(PptoSty[Division]&lt;&gt;"X")*(PptoSty[Project]=$B141)*(PptoSty[Vrs]=$D141)*(PptoSty[PiRow]=_xlfn.TEXTAFTER($H141,":"))*(PptoSty[PiColumn]=S$54),0)),SUM(IF((INDIRECT($B$3)=$B141)*(INDIRECT($C$3)=$D141)*((INDIRECT($E$3)="TOTS")+(INDIRECT($E$3)=$E141)),INDIRECT(S$3)))),_xlpm.y,SUM(_xlfn.CHOOSECOLS(_xlfn._xlws.FILTER(F_RT14[],(F_RT14[PrjId]=$B141)*(F_RT14[Vrs]=$D141)*(_xlfn.TEXTAFTER(F_RT14[ActGrp],":")=_xlfn.TEXTAFTER($H141,":")),"X"),MATCH("*"&amp;S$54,F_RT14[#Headers],0))),IF(AND(_xlpm.x=0,_xlpm.y&lt;&gt;0),-1,IF(AND(_xlpm.x&lt;&gt;0,_xlpm.y&lt;&gt;0),_xlpm.x,IF(AND(_xlpm.x-SUM(IF((INDIRECT($B$3)=$B141)*(INDIRECT($C$3)=$D141)*((INDIRECT($E$3)="TOTS")+(INDIRECT($E$3)=$E141)),INDIRECT(S$3)))&lt;&gt;0,_xlpm.y=0),-2,_xlpm.x)))),0))</f>
        <v>0</v>
      </c>
      <c r="T141" s="199" cm="1">
        <f t="array" aca="1" ref="T141" ca="1">IF(OR($B141="",$B141="X",$D141="",$D141="X",$E141="",$E141="X"),0,IFERROR(_xlfn.LET(_xlpm.x,SUM(SUM(_xlfn._xlws.FILTER(VALUE(PptoSty[Sign]&amp;1)*(1/PptoSty[Division]),(PptoSty[Division]&lt;&gt;0)*(PptoSty[Division]&lt;&gt;"")*(PptoSty[Division]&lt;&gt;"X")*(PptoSty[Project]=$B141)*(PptoSty[Vrs]=$D141)*(PptoSty[PiRow]=_xlfn.TEXTAFTER($H141,":"))*(PptoSty[PiColumn]=T$54),0)),SUM(IF((INDIRECT($B$3)=$B141)*(INDIRECT($C$3)=$D141)*((INDIRECT($E$3)="TOTS")+(INDIRECT($E$3)=$E141)),INDIRECT(T$3)))),_xlpm.y,SUM(_xlfn.CHOOSECOLS(_xlfn._xlws.FILTER(F_RT14[],(F_RT14[PrjId]=$B141)*(F_RT14[Vrs]=$D141)*(_xlfn.TEXTAFTER(F_RT14[ActGrp],":")=_xlfn.TEXTAFTER($H141,":")),"X"),MATCH("*"&amp;T$54,F_RT14[#Headers],0))),IF(AND(_xlpm.x=0,_xlpm.y&lt;&gt;0),-1,IF(AND(_xlpm.x&lt;&gt;0,_xlpm.y&lt;&gt;0),_xlpm.x,IF(AND(_xlpm.x-SUM(IF((INDIRECT($B$3)=$B141)*(INDIRECT($C$3)=$D141)*((INDIRECT($E$3)="TOTS")+(INDIRECT($E$3)=$E141)),INDIRECT(T$3)))&lt;&gt;0,_xlpm.y=0),-2,_xlpm.x)))),0))</f>
        <v>0</v>
      </c>
      <c r="U141" s="199" cm="1">
        <f t="array" aca="1" ref="U141" ca="1">IF(OR($B141="",$B141="X",$D141="",$D141="X",$E141="",$E141="X"),0,IFERROR(_xlfn.LET(_xlpm.x,SUM(SUM(_xlfn._xlws.FILTER(VALUE(PptoSty[Sign]&amp;1)*(1/PptoSty[Division]),(PptoSty[Division]&lt;&gt;0)*(PptoSty[Division]&lt;&gt;"")*(PptoSty[Division]&lt;&gt;"X")*(PptoSty[Project]=$B141)*(PptoSty[Vrs]=$D141)*(PptoSty[PiRow]=_xlfn.TEXTAFTER($H141,":"))*(PptoSty[PiColumn]=U$54),0)),SUM(IF((INDIRECT($B$3)=$B141)*(INDIRECT($C$3)=$D141)*((INDIRECT($E$3)="TOTS")+(INDIRECT($E$3)=$E141)),INDIRECT(U$3)))),_xlpm.y,SUM(_xlfn.CHOOSECOLS(_xlfn._xlws.FILTER(F_RT14[],(F_RT14[PrjId]=$B141)*(F_RT14[Vrs]=$D141)*(_xlfn.TEXTAFTER(F_RT14[ActGrp],":")=_xlfn.TEXTAFTER($H141,":")),"X"),MATCH("*"&amp;U$54,F_RT14[#Headers],0))),IF(AND(_xlpm.x=0,_xlpm.y&lt;&gt;0),-1,IF(AND(_xlpm.x&lt;&gt;0,_xlpm.y&lt;&gt;0),_xlpm.x,IF(AND(_xlpm.x-SUM(IF((INDIRECT($B$3)=$B141)*(INDIRECT($C$3)=$D141)*((INDIRECT($E$3)="TOTS")+(INDIRECT($E$3)=$E141)),INDIRECT(U$3)))&lt;&gt;0,_xlpm.y=0),-2,_xlpm.x)))),0))</f>
        <v>0</v>
      </c>
      <c r="V141" s="199" cm="1">
        <f t="array" aca="1" ref="V141" ca="1">IF(OR($B141="",$B141="X",$D141="",$D141="X",$E141="",$E141="X"),0,IFERROR(_xlfn.LET(_xlpm.x,SUM(SUM(_xlfn._xlws.FILTER(VALUE(PptoSty[Sign]&amp;1)*(1/PptoSty[Division]),(PptoSty[Division]&lt;&gt;0)*(PptoSty[Division]&lt;&gt;"")*(PptoSty[Division]&lt;&gt;"X")*(PptoSty[Project]=$B141)*(PptoSty[Vrs]=$D141)*(PptoSty[PiRow]=_xlfn.TEXTAFTER($H141,":"))*(PptoSty[PiColumn]=V$54),0)),SUM(IF((INDIRECT($B$3)=$B141)*(INDIRECT($C$3)=$D141)*((INDIRECT($E$3)="TOTS")+(INDIRECT($E$3)=$E141)),INDIRECT(V$3)))),_xlpm.y,SUM(_xlfn.CHOOSECOLS(_xlfn._xlws.FILTER(F_RT14[],(F_RT14[PrjId]=$B141)*(F_RT14[Vrs]=$D141)*(_xlfn.TEXTAFTER(F_RT14[ActGrp],":")=_xlfn.TEXTAFTER($H141,":")),"X"),MATCH("*"&amp;V$54,F_RT14[#Headers],0))),IF(AND(_xlpm.x=0,_xlpm.y&lt;&gt;0),-1,IF(AND(_xlpm.x&lt;&gt;0,_xlpm.y&lt;&gt;0),_xlpm.x,IF(AND(_xlpm.x-SUM(IF((INDIRECT($B$3)=$B141)*(INDIRECT($C$3)=$D141)*((INDIRECT($E$3)="TOTS")+(INDIRECT($E$3)=$E141)),INDIRECT(V$3)))&lt;&gt;0,_xlpm.y=0),-2,_xlpm.x)))),0))</f>
        <v>-1</v>
      </c>
      <c r="W141" s="199" cm="1">
        <f t="array" aca="1" ref="W141" ca="1">IF(OR($B141="",$B141="X",$D141="",$D141="X",$E141="",$E141="X"),0,IFERROR(_xlfn.LET(_xlpm.x,SUM(SUM(_xlfn._xlws.FILTER(VALUE(PptoSty[Sign]&amp;1)*(1/PptoSty[Division]),(PptoSty[Division]&lt;&gt;0)*(PptoSty[Division]&lt;&gt;"")*(PptoSty[Division]&lt;&gt;"X")*(PptoSty[Project]=$B141)*(PptoSty[Vrs]=$D141)*(PptoSty[PiRow]=_xlfn.TEXTAFTER($H141,":"))*(PptoSty[PiColumn]=W$54),0)),SUM(IF((INDIRECT($B$3)=$B141)*(INDIRECT($C$3)=$D141)*((INDIRECT($E$3)="TOTS")+(INDIRECT($E$3)=$E141)),INDIRECT(W$3)))),_xlpm.y,SUM(_xlfn.CHOOSECOLS(_xlfn._xlws.FILTER(F_RT14[],(F_RT14[PrjId]=$B141)*(F_RT14[Vrs]=$D141)*(_xlfn.TEXTAFTER(F_RT14[ActGrp],":")=_xlfn.TEXTAFTER($H141,":")),"X"),MATCH("*"&amp;W$54,F_RT14[#Headers],0))),IF(AND(_xlpm.x=0,_xlpm.y&lt;&gt;0),-1,IF(AND(_xlpm.x&lt;&gt;0,_xlpm.y&lt;&gt;0),_xlpm.x,IF(AND(_xlpm.x-SUM(IF((INDIRECT($B$3)=$B141)*(INDIRECT($C$3)=$D141)*((INDIRECT($E$3)="TOTS")+(INDIRECT($E$3)=$E141)),INDIRECT(W$3)))&lt;&gt;0,_xlpm.y=0),-2,_xlpm.x)))),0))</f>
        <v>0</v>
      </c>
      <c r="X141" s="199" cm="1">
        <f t="array" aca="1" ref="X141" ca="1">IF(OR($B141="",$B141="X",$D141="",$D141="X",$E141="",$E141="X"),0,IFERROR(_xlfn.LET(_xlpm.x,SUM(SUM(_xlfn._xlws.FILTER(VALUE(PptoSty[Sign]&amp;1)*(1/PptoSty[Division]),(PptoSty[Division]&lt;&gt;0)*(PptoSty[Division]&lt;&gt;"")*(PptoSty[Division]&lt;&gt;"X")*(PptoSty[Project]=$B141)*(PptoSty[Vrs]=$D141)*(PptoSty[PiRow]=_xlfn.TEXTAFTER($H141,":"))*(PptoSty[PiColumn]=X$54),0)),SUM(IF((INDIRECT($B$3)=$B141)*(INDIRECT($C$3)=$D141)*((INDIRECT($E$3)="TOTS")+(INDIRECT($E$3)=$E141)),INDIRECT(X$3)))),_xlpm.y,SUM(_xlfn.CHOOSECOLS(_xlfn._xlws.FILTER(F_RT14[],(F_RT14[PrjId]=$B141)*(F_RT14[Vrs]=$D141)*(_xlfn.TEXTAFTER(F_RT14[ActGrp],":")=_xlfn.TEXTAFTER($H141,":")),"X"),MATCH("*"&amp;X$54,F_RT14[#Headers],0))),IF(AND(_xlpm.x=0,_xlpm.y&lt;&gt;0),-1,IF(AND(_xlpm.x&lt;&gt;0,_xlpm.y&lt;&gt;0),_xlpm.x,IF(AND(_xlpm.x-SUM(IF((INDIRECT($B$3)=$B141)*(INDIRECT($C$3)=$D141)*((INDIRECT($E$3)="TOTS")+(INDIRECT($E$3)=$E141)),INDIRECT(X$3)))&lt;&gt;0,_xlpm.y=0),-2,_xlpm.x)))),0))</f>
        <v>0</v>
      </c>
      <c r="Y141" s="199" cm="1">
        <f t="array" aca="1" ref="Y141" ca="1">IF(OR($B141="",$B141="X",$D141="",$D141="X",$E141="",$E141="X"),0,IFERROR(_xlfn.LET(_xlpm.x,SUM(SUM(_xlfn._xlws.FILTER(VALUE(PptoSty[Sign]&amp;1)*(1/PptoSty[Division]),(PptoSty[Division]&lt;&gt;0)*(PptoSty[Division]&lt;&gt;"")*(PptoSty[Division]&lt;&gt;"X")*(PptoSty[Project]=$B141)*(PptoSty[Vrs]=$D141)*(PptoSty[PiRow]=_xlfn.TEXTAFTER($H141,":"))*(PptoSty[PiColumn]=Y$54),0)),SUM(IF((INDIRECT($B$3)=$B141)*(INDIRECT($C$3)=$D141)*((INDIRECT($E$3)="TOTS")+(INDIRECT($E$3)=$E141)),INDIRECT(Y$3)))),_xlpm.y,SUM(_xlfn.CHOOSECOLS(_xlfn._xlws.FILTER(F_RT14[],(F_RT14[PrjId]=$B141)*(F_RT14[Vrs]=$D141)*(_xlfn.TEXTAFTER(F_RT14[ActGrp],":")=_xlfn.TEXTAFTER($H141,":")),"X"),MATCH("*"&amp;Y$54,F_RT14[#Headers],0))),IF(AND(_xlpm.x=0,_xlpm.y&lt;&gt;0),-1,IF(AND(_xlpm.x&lt;&gt;0,_xlpm.y&lt;&gt;0),_xlpm.x,IF(AND(_xlpm.x-SUM(IF((INDIRECT($B$3)=$B141)*(INDIRECT($C$3)=$D141)*((INDIRECT($E$3)="TOTS")+(INDIRECT($E$3)=$E141)),INDIRECT(Y$3)))&lt;&gt;0,_xlpm.y=0),-2,_xlpm.x)))),0))</f>
        <v>0</v>
      </c>
      <c r="Z141" s="198" t="str">
        <f t="shared" ca="1" si="3"/>
        <v>Fback!B141:Y141</v>
      </c>
    </row>
    <row r="142" spans="2:26" ht="21" customHeight="1" outlineLevel="1">
      <c r="B142" s="128" t="str">
        <v>31200</v>
      </c>
      <c r="C142" s="128" t="str">
        <v>Sp</v>
      </c>
      <c r="D142" s="128">
        <v>16</v>
      </c>
      <c r="E142" s="128" t="str">
        <v>TOOL</v>
      </c>
      <c r="F142" s="139" t="str">
        <v>SERRA</v>
      </c>
      <c r="G142" s="139" t="str">
        <v>CurPpto</v>
      </c>
      <c r="H142" s="139" t="str">
        <v>P002:OP-210.1 MIG WELD (GEO)</v>
      </c>
      <c r="I142" s="199" cm="1">
        <f t="array" aca="1" ref="I142" ca="1">IF(OR($B142="",$B142="X",$D142="",$D142="X",$E142="",$E142="X"),0,IFERROR(_xlfn.LET(_xlpm.x,SUM(SUM(_xlfn._xlws.FILTER(VALUE(PptoSty[Sign]&amp;1)*(1/PptoSty[Division]),(PptoSty[Division]&lt;&gt;0)*(PptoSty[Division]&lt;&gt;"")*(PptoSty[Division]&lt;&gt;"X")*(PptoSty[Project]=$B142)*(PptoSty[Vrs]=$D142)*(PptoSty[PiRow]=_xlfn.TEXTAFTER($H142,":"))*(PptoSty[PiColumn]=I$54),0)),SUM(IF((INDIRECT($B$3)=$B142)*(INDIRECT($C$3)=$D142)*((INDIRECT($E$3)="TOTS")+(INDIRECT($E$3)=$E142)),INDIRECT(I$3)))),_xlpm.y,SUM(_xlfn.CHOOSECOLS(_xlfn._xlws.FILTER(F_RT14[],(F_RT14[PrjId]=$B142)*(F_RT14[Vrs]=$D142)*(_xlfn.TEXTAFTER(F_RT14[ActGrp],":")=_xlfn.TEXTAFTER($H142,":")),"X"),MATCH("*"&amp;I$54,F_RT14[#Headers],0))),IF(AND(_xlpm.x=0,_xlpm.y&lt;&gt;0),-1,IF(AND(_xlpm.x&lt;&gt;0,_xlpm.y&lt;&gt;0),_xlpm.x,IF(AND(_xlpm.x-SUM(IF((INDIRECT($B$3)=$B142)*(INDIRECT($C$3)=$D142)*((INDIRECT($E$3)="TOTS")+(INDIRECT($E$3)=$E142)),INDIRECT(I$3)))&lt;&gt;0,_xlpm.y=0),-2,_xlpm.x)))),0))</f>
        <v>0</v>
      </c>
      <c r="J142" s="199" cm="1">
        <f t="array" aca="1" ref="J142" ca="1">IF(OR($B142="",$B142="X",$D142="",$D142="X",$E142="",$E142="X"),0,IFERROR(_xlfn.LET(_xlpm.x,SUM(SUM(_xlfn._xlws.FILTER(VALUE(PptoSty[Sign]&amp;1)*(1/PptoSty[Division]),(PptoSty[Division]&lt;&gt;0)*(PptoSty[Division]&lt;&gt;"")*(PptoSty[Division]&lt;&gt;"X")*(PptoSty[Project]=$B142)*(PptoSty[Vrs]=$D142)*(PptoSty[PiRow]=_xlfn.TEXTAFTER($H142,":"))*(PptoSty[PiColumn]=J$54),0)),SUM(IF((INDIRECT($B$3)=$B142)*(INDIRECT($C$3)=$D142)*((INDIRECT($E$3)="TOTS")+(INDIRECT($E$3)=$E142)),INDIRECT(J$3)))),_xlpm.y,SUM(_xlfn.CHOOSECOLS(_xlfn._xlws.FILTER(F_RT14[],(F_RT14[PrjId]=$B142)*(F_RT14[Vrs]=$D142)*(_xlfn.TEXTAFTER(F_RT14[ActGrp],":")=_xlfn.TEXTAFTER($H142,":")),"X"),MATCH("*"&amp;J$54,F_RT14[#Headers],0))),IF(AND(_xlpm.x=0,_xlpm.y&lt;&gt;0),-1,IF(AND(_xlpm.x&lt;&gt;0,_xlpm.y&lt;&gt;0),_xlpm.x,IF(AND(_xlpm.x-SUM(IF((INDIRECT($B$3)=$B142)*(INDIRECT($C$3)=$D142)*((INDIRECT($E$3)="TOTS")+(INDIRECT($E$3)=$E142)),INDIRECT(J$3)))&lt;&gt;0,_xlpm.y=0),-2,_xlpm.x)))),0))</f>
        <v>0</v>
      </c>
      <c r="K142" s="199" cm="1">
        <f t="array" aca="1" ref="K142" ca="1">IF(OR($B142="",$B142="X",$D142="",$D142="X",$E142="",$E142="X"),0,IFERROR(_xlfn.LET(_xlpm.x,SUM(SUM(_xlfn._xlws.FILTER(VALUE(PptoSty[Sign]&amp;1)*(1/PptoSty[Division]),(PptoSty[Division]&lt;&gt;0)*(PptoSty[Division]&lt;&gt;"")*(PptoSty[Division]&lt;&gt;"X")*(PptoSty[Project]=$B142)*(PptoSty[Vrs]=$D142)*(PptoSty[PiRow]=_xlfn.TEXTAFTER($H142,":"))*(PptoSty[PiColumn]=K$54),0)),SUM(IF((INDIRECT($B$3)=$B142)*(INDIRECT($C$3)=$D142)*((INDIRECT($E$3)="TOTS")+(INDIRECT($E$3)=$E142)),INDIRECT(K$3)))),_xlpm.y,SUM(_xlfn.CHOOSECOLS(_xlfn._xlws.FILTER(F_RT14[],(F_RT14[PrjId]=$B142)*(F_RT14[Vrs]=$D142)*(_xlfn.TEXTAFTER(F_RT14[ActGrp],":")=_xlfn.TEXTAFTER($H142,":")),"X"),MATCH("*"&amp;K$54,F_RT14[#Headers],0))),IF(AND(_xlpm.x=0,_xlpm.y&lt;&gt;0),-1,IF(AND(_xlpm.x&lt;&gt;0,_xlpm.y&lt;&gt;0),_xlpm.x,IF(AND(_xlpm.x-SUM(IF((INDIRECT($B$3)=$B142)*(INDIRECT($C$3)=$D142)*((INDIRECT($E$3)="TOTS")+(INDIRECT($E$3)=$E142)),INDIRECT(K$3)))&lt;&gt;0,_xlpm.y=0),-2,_xlpm.x)))),0))</f>
        <v>-1</v>
      </c>
      <c r="L142" s="199" cm="1">
        <f t="array" aca="1" ref="L142" ca="1">IF(OR($B142="",$B142="X",$D142="",$D142="X",$E142="",$E142="X"),0,IFERROR(_xlfn.LET(_xlpm.x,SUM(SUM(_xlfn._xlws.FILTER(VALUE(PptoSty[Sign]&amp;1)*(1/PptoSty[Division]),(PptoSty[Division]&lt;&gt;0)*(PptoSty[Division]&lt;&gt;"")*(PptoSty[Division]&lt;&gt;"X")*(PptoSty[Project]=$B142)*(PptoSty[Vrs]=$D142)*(PptoSty[PiRow]=_xlfn.TEXTAFTER($H142,":"))*(PptoSty[PiColumn]=L$54),0)),SUM(IF((INDIRECT($B$3)=$B142)*(INDIRECT($C$3)=$D142)*((INDIRECT($E$3)="TOTS")+(INDIRECT($E$3)=$E142)),INDIRECT(L$3)))),_xlpm.y,SUM(_xlfn.CHOOSECOLS(_xlfn._xlws.FILTER(F_RT14[],(F_RT14[PrjId]=$B142)*(F_RT14[Vrs]=$D142)*(_xlfn.TEXTAFTER(F_RT14[ActGrp],":")=_xlfn.TEXTAFTER($H142,":")),"X"),MATCH("*"&amp;L$54,F_RT14[#Headers],0))),IF(AND(_xlpm.x=0,_xlpm.y&lt;&gt;0),-1,IF(AND(_xlpm.x&lt;&gt;0,_xlpm.y&lt;&gt;0),_xlpm.x,IF(AND(_xlpm.x-SUM(IF((INDIRECT($B$3)=$B142)*(INDIRECT($C$3)=$D142)*((INDIRECT($E$3)="TOTS")+(INDIRECT($E$3)=$E142)),INDIRECT(L$3)))&lt;&gt;0,_xlpm.y=0),-2,_xlpm.x)))),0))</f>
        <v>0</v>
      </c>
      <c r="M142" s="199" cm="1">
        <f t="array" aca="1" ref="M142" ca="1">IF(OR($B142="",$B142="X",$D142="",$D142="X",$E142="",$E142="X"),0,IFERROR(_xlfn.LET(_xlpm.x,SUM(SUM(_xlfn._xlws.FILTER(VALUE(PptoSty[Sign]&amp;1)*(1/PptoSty[Division]),(PptoSty[Division]&lt;&gt;0)*(PptoSty[Division]&lt;&gt;"")*(PptoSty[Division]&lt;&gt;"X")*(PptoSty[Project]=$B142)*(PptoSty[Vrs]=$D142)*(PptoSty[PiRow]=_xlfn.TEXTAFTER($H142,":"))*(PptoSty[PiColumn]=M$54),0)),SUM(IF((INDIRECT($B$3)=$B142)*(INDIRECT($C$3)=$D142)*((INDIRECT($E$3)="TOTS")+(INDIRECT($E$3)=$E142)),INDIRECT(M$3)))),_xlpm.y,SUM(_xlfn.CHOOSECOLS(_xlfn._xlws.FILTER(F_RT14[],(F_RT14[PrjId]=$B142)*(F_RT14[Vrs]=$D142)*(_xlfn.TEXTAFTER(F_RT14[ActGrp],":")=_xlfn.TEXTAFTER($H142,":")),"X"),MATCH("*"&amp;M$54,F_RT14[#Headers],0))),IF(AND(_xlpm.x=0,_xlpm.y&lt;&gt;0),-1,IF(AND(_xlpm.x&lt;&gt;0,_xlpm.y&lt;&gt;0),_xlpm.x,IF(AND(_xlpm.x-SUM(IF((INDIRECT($B$3)=$B142)*(INDIRECT($C$3)=$D142)*((INDIRECT($E$3)="TOTS")+(INDIRECT($E$3)=$E142)),INDIRECT(M$3)))&lt;&gt;0,_xlpm.y=0),-2,_xlpm.x)))),0))</f>
        <v>0</v>
      </c>
      <c r="N142" s="199" cm="1">
        <f t="array" aca="1" ref="N142" ca="1">IF(OR($B142="",$B142="X",$D142="",$D142="X",$E142="",$E142="X"),0,IFERROR(_xlfn.LET(_xlpm.x,SUM(SUM(_xlfn._xlws.FILTER(VALUE(PptoSty[Sign]&amp;1)*(1/PptoSty[Division]),(PptoSty[Division]&lt;&gt;0)*(PptoSty[Division]&lt;&gt;"")*(PptoSty[Division]&lt;&gt;"X")*(PptoSty[Project]=$B142)*(PptoSty[Vrs]=$D142)*(PptoSty[PiRow]=_xlfn.TEXTAFTER($H142,":"))*(PptoSty[PiColumn]=N$54),0)),SUM(IF((INDIRECT($B$3)=$B142)*(INDIRECT($C$3)=$D142)*((INDIRECT($E$3)="TOTS")+(INDIRECT($E$3)=$E142)),INDIRECT(N$3)))),_xlpm.y,SUM(_xlfn.CHOOSECOLS(_xlfn._xlws.FILTER(F_RT14[],(F_RT14[PrjId]=$B142)*(F_RT14[Vrs]=$D142)*(_xlfn.TEXTAFTER(F_RT14[ActGrp],":")=_xlfn.TEXTAFTER($H142,":")),"X"),MATCH("*"&amp;N$54,F_RT14[#Headers],0))),IF(AND(_xlpm.x=0,_xlpm.y&lt;&gt;0),-1,IF(AND(_xlpm.x&lt;&gt;0,_xlpm.y&lt;&gt;0),_xlpm.x,IF(AND(_xlpm.x-SUM(IF((INDIRECT($B$3)=$B142)*(INDIRECT($C$3)=$D142)*((INDIRECT($E$3)="TOTS")+(INDIRECT($E$3)=$E142)),INDIRECT(N$3)))&lt;&gt;0,_xlpm.y=0),-2,_xlpm.x)))),0))</f>
        <v>-1</v>
      </c>
      <c r="O142" s="199" cm="1">
        <f t="array" aca="1" ref="O142" ca="1">IF(OR($B142="",$B142="X",$D142="",$D142="X",$E142="",$E142="X"),0,IFERROR(_xlfn.LET(_xlpm.x,SUM(SUM(_xlfn._xlws.FILTER(VALUE(PptoSty[Sign]&amp;1)*(1/PptoSty[Division]),(PptoSty[Division]&lt;&gt;0)*(PptoSty[Division]&lt;&gt;"")*(PptoSty[Division]&lt;&gt;"X")*(PptoSty[Project]=$B142)*(PptoSty[Vrs]=$D142)*(PptoSty[PiRow]=_xlfn.TEXTAFTER($H142,":"))*(PptoSty[PiColumn]=O$54),0)),SUM(IF((INDIRECT($B$3)=$B142)*(INDIRECT($C$3)=$D142)*((INDIRECT($E$3)="TOTS")+(INDIRECT($E$3)=$E142)),INDIRECT(O$3)))),_xlpm.y,SUM(_xlfn.CHOOSECOLS(_xlfn._xlws.FILTER(F_RT14[],(F_RT14[PrjId]=$B142)*(F_RT14[Vrs]=$D142)*(_xlfn.TEXTAFTER(F_RT14[ActGrp],":")=_xlfn.TEXTAFTER($H142,":")),"X"),MATCH("*"&amp;O$54,F_RT14[#Headers],0))),IF(AND(_xlpm.x=0,_xlpm.y&lt;&gt;0),-1,IF(AND(_xlpm.x&lt;&gt;0,_xlpm.y&lt;&gt;0),_xlpm.x,IF(AND(_xlpm.x-SUM(IF((INDIRECT($B$3)=$B142)*(INDIRECT($C$3)=$D142)*((INDIRECT($E$3)="TOTS")+(INDIRECT($E$3)=$E142)),INDIRECT(O$3)))&lt;&gt;0,_xlpm.y=0),-2,_xlpm.x)))),0))</f>
        <v>0</v>
      </c>
      <c r="P142" s="199" cm="1">
        <f t="array" aca="1" ref="P142" ca="1">IF(OR($B142="",$B142="X",$D142="",$D142="X",$E142="",$E142="X"),0,IFERROR(_xlfn.LET(_xlpm.x,SUM(SUM(_xlfn._xlws.FILTER(VALUE(PptoSty[Sign]&amp;1)*(1/PptoSty[Division]),(PptoSty[Division]&lt;&gt;0)*(PptoSty[Division]&lt;&gt;"")*(PptoSty[Division]&lt;&gt;"X")*(PptoSty[Project]=$B142)*(PptoSty[Vrs]=$D142)*(PptoSty[PiRow]=_xlfn.TEXTAFTER($H142,":"))*(PptoSty[PiColumn]=P$54),0)),SUM(IF((INDIRECT($B$3)=$B142)*(INDIRECT($C$3)=$D142)*((INDIRECT($E$3)="TOTS")+(INDIRECT($E$3)=$E142)),INDIRECT(P$3)))),_xlpm.y,SUM(_xlfn.CHOOSECOLS(_xlfn._xlws.FILTER(F_RT14[],(F_RT14[PrjId]=$B142)*(F_RT14[Vrs]=$D142)*(_xlfn.TEXTAFTER(F_RT14[ActGrp],":")=_xlfn.TEXTAFTER($H142,":")),"X"),MATCH("*"&amp;P$54,F_RT14[#Headers],0))),IF(AND(_xlpm.x=0,_xlpm.y&lt;&gt;0),-1,IF(AND(_xlpm.x&lt;&gt;0,_xlpm.y&lt;&gt;0),_xlpm.x,IF(AND(_xlpm.x-SUM(IF((INDIRECT($B$3)=$B142)*(INDIRECT($C$3)=$D142)*((INDIRECT($E$3)="TOTS")+(INDIRECT($E$3)=$E142)),INDIRECT(P$3)))&lt;&gt;0,_xlpm.y=0),-2,_xlpm.x)))),0))</f>
        <v>-1</v>
      </c>
      <c r="Q142" s="199" cm="1">
        <f t="array" aca="1" ref="Q142" ca="1">IF(OR($B142="",$B142="X",$D142="",$D142="X",$E142="",$E142="X"),0,IFERROR(_xlfn.LET(_xlpm.x,SUM(SUM(_xlfn._xlws.FILTER(VALUE(PptoSty[Sign]&amp;1)*(1/PptoSty[Division]),(PptoSty[Division]&lt;&gt;0)*(PptoSty[Division]&lt;&gt;"")*(PptoSty[Division]&lt;&gt;"X")*(PptoSty[Project]=$B142)*(PptoSty[Vrs]=$D142)*(PptoSty[PiRow]=_xlfn.TEXTAFTER($H142,":"))*(PptoSty[PiColumn]=Q$54),0)),SUM(IF((INDIRECT($B$3)=$B142)*(INDIRECT($C$3)=$D142)*((INDIRECT($E$3)="TOTS")+(INDIRECT($E$3)=$E142)),INDIRECT(Q$3)))),_xlpm.y,SUM(_xlfn.CHOOSECOLS(_xlfn._xlws.FILTER(F_RT14[],(F_RT14[PrjId]=$B142)*(F_RT14[Vrs]=$D142)*(_xlfn.TEXTAFTER(F_RT14[ActGrp],":")=_xlfn.TEXTAFTER($H142,":")),"X"),MATCH("*"&amp;Q$54,F_RT14[#Headers],0))),IF(AND(_xlpm.x=0,_xlpm.y&lt;&gt;0),-1,IF(AND(_xlpm.x&lt;&gt;0,_xlpm.y&lt;&gt;0),_xlpm.x,IF(AND(_xlpm.x-SUM(IF((INDIRECT($B$3)=$B142)*(INDIRECT($C$3)=$D142)*((INDIRECT($E$3)="TOTS")+(INDIRECT($E$3)=$E142)),INDIRECT(Q$3)))&lt;&gt;0,_xlpm.y=0),-2,_xlpm.x)))),0))</f>
        <v>0</v>
      </c>
      <c r="R142" s="199" cm="1">
        <f t="array" aca="1" ref="R142" ca="1">IF(OR($B142="",$B142="X",$D142="",$D142="X",$E142="",$E142="X"),0,IFERROR(_xlfn.LET(_xlpm.x,SUM(SUM(_xlfn._xlws.FILTER(VALUE(PptoSty[Sign]&amp;1)*(1/PptoSty[Division]),(PptoSty[Division]&lt;&gt;0)*(PptoSty[Division]&lt;&gt;"")*(PptoSty[Division]&lt;&gt;"X")*(PptoSty[Project]=$B142)*(PptoSty[Vrs]=$D142)*(PptoSty[PiRow]=_xlfn.TEXTAFTER($H142,":"))*(PptoSty[PiColumn]=R$54),0)),SUM(IF((INDIRECT($B$3)=$B142)*(INDIRECT($C$3)=$D142)*((INDIRECT($E$3)="TOTS")+(INDIRECT($E$3)=$E142)),INDIRECT(R$3)))),_xlpm.y,SUM(_xlfn.CHOOSECOLS(_xlfn._xlws.FILTER(F_RT14[],(F_RT14[PrjId]=$B142)*(F_RT14[Vrs]=$D142)*(_xlfn.TEXTAFTER(F_RT14[ActGrp],":")=_xlfn.TEXTAFTER($H142,":")),"X"),MATCH("*"&amp;R$54,F_RT14[#Headers],0))),IF(AND(_xlpm.x=0,_xlpm.y&lt;&gt;0),-1,IF(AND(_xlpm.x&lt;&gt;0,_xlpm.y&lt;&gt;0),_xlpm.x,IF(AND(_xlpm.x-SUM(IF((INDIRECT($B$3)=$B142)*(INDIRECT($C$3)=$D142)*((INDIRECT($E$3)="TOTS")+(INDIRECT($E$3)=$E142)),INDIRECT(R$3)))&lt;&gt;0,_xlpm.y=0),-2,_xlpm.x)))),0))</f>
        <v>0</v>
      </c>
      <c r="S142" s="199" cm="1">
        <f t="array" aca="1" ref="S142" ca="1">IF(OR($B142="",$B142="X",$D142="",$D142="X",$E142="",$E142="X"),0,IFERROR(_xlfn.LET(_xlpm.x,SUM(SUM(_xlfn._xlws.FILTER(VALUE(PptoSty[Sign]&amp;1)*(1/PptoSty[Division]),(PptoSty[Division]&lt;&gt;0)*(PptoSty[Division]&lt;&gt;"")*(PptoSty[Division]&lt;&gt;"X")*(PptoSty[Project]=$B142)*(PptoSty[Vrs]=$D142)*(PptoSty[PiRow]=_xlfn.TEXTAFTER($H142,":"))*(PptoSty[PiColumn]=S$54),0)),SUM(IF((INDIRECT($B$3)=$B142)*(INDIRECT($C$3)=$D142)*((INDIRECT($E$3)="TOTS")+(INDIRECT($E$3)=$E142)),INDIRECT(S$3)))),_xlpm.y,SUM(_xlfn.CHOOSECOLS(_xlfn._xlws.FILTER(F_RT14[],(F_RT14[PrjId]=$B142)*(F_RT14[Vrs]=$D142)*(_xlfn.TEXTAFTER(F_RT14[ActGrp],":")=_xlfn.TEXTAFTER($H142,":")),"X"),MATCH("*"&amp;S$54,F_RT14[#Headers],0))),IF(AND(_xlpm.x=0,_xlpm.y&lt;&gt;0),-1,IF(AND(_xlpm.x&lt;&gt;0,_xlpm.y&lt;&gt;0),_xlpm.x,IF(AND(_xlpm.x-SUM(IF((INDIRECT($B$3)=$B142)*(INDIRECT($C$3)=$D142)*((INDIRECT($E$3)="TOTS")+(INDIRECT($E$3)=$E142)),INDIRECT(S$3)))&lt;&gt;0,_xlpm.y=0),-2,_xlpm.x)))),0))</f>
        <v>0</v>
      </c>
      <c r="T142" s="199" cm="1">
        <f t="array" aca="1" ref="T142" ca="1">IF(OR($B142="",$B142="X",$D142="",$D142="X",$E142="",$E142="X"),0,IFERROR(_xlfn.LET(_xlpm.x,SUM(SUM(_xlfn._xlws.FILTER(VALUE(PptoSty[Sign]&amp;1)*(1/PptoSty[Division]),(PptoSty[Division]&lt;&gt;0)*(PptoSty[Division]&lt;&gt;"")*(PptoSty[Division]&lt;&gt;"X")*(PptoSty[Project]=$B142)*(PptoSty[Vrs]=$D142)*(PptoSty[PiRow]=_xlfn.TEXTAFTER($H142,":"))*(PptoSty[PiColumn]=T$54),0)),SUM(IF((INDIRECT($B$3)=$B142)*(INDIRECT($C$3)=$D142)*((INDIRECT($E$3)="TOTS")+(INDIRECT($E$3)=$E142)),INDIRECT(T$3)))),_xlpm.y,SUM(_xlfn.CHOOSECOLS(_xlfn._xlws.FILTER(F_RT14[],(F_RT14[PrjId]=$B142)*(F_RT14[Vrs]=$D142)*(_xlfn.TEXTAFTER(F_RT14[ActGrp],":")=_xlfn.TEXTAFTER($H142,":")),"X"),MATCH("*"&amp;T$54,F_RT14[#Headers],0))),IF(AND(_xlpm.x=0,_xlpm.y&lt;&gt;0),-1,IF(AND(_xlpm.x&lt;&gt;0,_xlpm.y&lt;&gt;0),_xlpm.x,IF(AND(_xlpm.x-SUM(IF((INDIRECT($B$3)=$B142)*(INDIRECT($C$3)=$D142)*((INDIRECT($E$3)="TOTS")+(INDIRECT($E$3)=$E142)),INDIRECT(T$3)))&lt;&gt;0,_xlpm.y=0),-2,_xlpm.x)))),0))</f>
        <v>0</v>
      </c>
      <c r="U142" s="199" cm="1">
        <f t="array" aca="1" ref="U142" ca="1">IF(OR($B142="",$B142="X",$D142="",$D142="X",$E142="",$E142="X"),0,IFERROR(_xlfn.LET(_xlpm.x,SUM(SUM(_xlfn._xlws.FILTER(VALUE(PptoSty[Sign]&amp;1)*(1/PptoSty[Division]),(PptoSty[Division]&lt;&gt;0)*(PptoSty[Division]&lt;&gt;"")*(PptoSty[Division]&lt;&gt;"X")*(PptoSty[Project]=$B142)*(PptoSty[Vrs]=$D142)*(PptoSty[PiRow]=_xlfn.TEXTAFTER($H142,":"))*(PptoSty[PiColumn]=U$54),0)),SUM(IF((INDIRECT($B$3)=$B142)*(INDIRECT($C$3)=$D142)*((INDIRECT($E$3)="TOTS")+(INDIRECT($E$3)=$E142)),INDIRECT(U$3)))),_xlpm.y,SUM(_xlfn.CHOOSECOLS(_xlfn._xlws.FILTER(F_RT14[],(F_RT14[PrjId]=$B142)*(F_RT14[Vrs]=$D142)*(_xlfn.TEXTAFTER(F_RT14[ActGrp],":")=_xlfn.TEXTAFTER($H142,":")),"X"),MATCH("*"&amp;U$54,F_RT14[#Headers],0))),IF(AND(_xlpm.x=0,_xlpm.y&lt;&gt;0),-1,IF(AND(_xlpm.x&lt;&gt;0,_xlpm.y&lt;&gt;0),_xlpm.x,IF(AND(_xlpm.x-SUM(IF((INDIRECT($B$3)=$B142)*(INDIRECT($C$3)=$D142)*((INDIRECT($E$3)="TOTS")+(INDIRECT($E$3)=$E142)),INDIRECT(U$3)))&lt;&gt;0,_xlpm.y=0),-2,_xlpm.x)))),0))</f>
        <v>0</v>
      </c>
      <c r="V142" s="199" cm="1">
        <f t="array" aca="1" ref="V142" ca="1">IF(OR($B142="",$B142="X",$D142="",$D142="X",$E142="",$E142="X"),0,IFERROR(_xlfn.LET(_xlpm.x,SUM(SUM(_xlfn._xlws.FILTER(VALUE(PptoSty[Sign]&amp;1)*(1/PptoSty[Division]),(PptoSty[Division]&lt;&gt;0)*(PptoSty[Division]&lt;&gt;"")*(PptoSty[Division]&lt;&gt;"X")*(PptoSty[Project]=$B142)*(PptoSty[Vrs]=$D142)*(PptoSty[PiRow]=_xlfn.TEXTAFTER($H142,":"))*(PptoSty[PiColumn]=V$54),0)),SUM(IF((INDIRECT($B$3)=$B142)*(INDIRECT($C$3)=$D142)*((INDIRECT($E$3)="TOTS")+(INDIRECT($E$3)=$E142)),INDIRECT(V$3)))),_xlpm.y,SUM(_xlfn.CHOOSECOLS(_xlfn._xlws.FILTER(F_RT14[],(F_RT14[PrjId]=$B142)*(F_RT14[Vrs]=$D142)*(_xlfn.TEXTAFTER(F_RT14[ActGrp],":")=_xlfn.TEXTAFTER($H142,":")),"X"),MATCH("*"&amp;V$54,F_RT14[#Headers],0))),IF(AND(_xlpm.x=0,_xlpm.y&lt;&gt;0),-1,IF(AND(_xlpm.x&lt;&gt;0,_xlpm.y&lt;&gt;0),_xlpm.x,IF(AND(_xlpm.x-SUM(IF((INDIRECT($B$3)=$B142)*(INDIRECT($C$3)=$D142)*((INDIRECT($E$3)="TOTS")+(INDIRECT($E$3)=$E142)),INDIRECT(V$3)))&lt;&gt;0,_xlpm.y=0),-2,_xlpm.x)))),0))</f>
        <v>-1</v>
      </c>
      <c r="W142" s="199" cm="1">
        <f t="array" aca="1" ref="W142" ca="1">IF(OR($B142="",$B142="X",$D142="",$D142="X",$E142="",$E142="X"),0,IFERROR(_xlfn.LET(_xlpm.x,SUM(SUM(_xlfn._xlws.FILTER(VALUE(PptoSty[Sign]&amp;1)*(1/PptoSty[Division]),(PptoSty[Division]&lt;&gt;0)*(PptoSty[Division]&lt;&gt;"")*(PptoSty[Division]&lt;&gt;"X")*(PptoSty[Project]=$B142)*(PptoSty[Vrs]=$D142)*(PptoSty[PiRow]=_xlfn.TEXTAFTER($H142,":"))*(PptoSty[PiColumn]=W$54),0)),SUM(IF((INDIRECT($B$3)=$B142)*(INDIRECT($C$3)=$D142)*((INDIRECT($E$3)="TOTS")+(INDIRECT($E$3)=$E142)),INDIRECT(W$3)))),_xlpm.y,SUM(_xlfn.CHOOSECOLS(_xlfn._xlws.FILTER(F_RT14[],(F_RT14[PrjId]=$B142)*(F_RT14[Vrs]=$D142)*(_xlfn.TEXTAFTER(F_RT14[ActGrp],":")=_xlfn.TEXTAFTER($H142,":")),"X"),MATCH("*"&amp;W$54,F_RT14[#Headers],0))),IF(AND(_xlpm.x=0,_xlpm.y&lt;&gt;0),-1,IF(AND(_xlpm.x&lt;&gt;0,_xlpm.y&lt;&gt;0),_xlpm.x,IF(AND(_xlpm.x-SUM(IF((INDIRECT($B$3)=$B142)*(INDIRECT($C$3)=$D142)*((INDIRECT($E$3)="TOTS")+(INDIRECT($E$3)=$E142)),INDIRECT(W$3)))&lt;&gt;0,_xlpm.y=0),-2,_xlpm.x)))),0))</f>
        <v>-1</v>
      </c>
      <c r="X142" s="199" cm="1">
        <f t="array" aca="1" ref="X142" ca="1">IF(OR($B142="",$B142="X",$D142="",$D142="X",$E142="",$E142="X"),0,IFERROR(_xlfn.LET(_xlpm.x,SUM(SUM(_xlfn._xlws.FILTER(VALUE(PptoSty[Sign]&amp;1)*(1/PptoSty[Division]),(PptoSty[Division]&lt;&gt;0)*(PptoSty[Division]&lt;&gt;"")*(PptoSty[Division]&lt;&gt;"X")*(PptoSty[Project]=$B142)*(PptoSty[Vrs]=$D142)*(PptoSty[PiRow]=_xlfn.TEXTAFTER($H142,":"))*(PptoSty[PiColumn]=X$54),0)),SUM(IF((INDIRECT($B$3)=$B142)*(INDIRECT($C$3)=$D142)*((INDIRECT($E$3)="TOTS")+(INDIRECT($E$3)=$E142)),INDIRECT(X$3)))),_xlpm.y,SUM(_xlfn.CHOOSECOLS(_xlfn._xlws.FILTER(F_RT14[],(F_RT14[PrjId]=$B142)*(F_RT14[Vrs]=$D142)*(_xlfn.TEXTAFTER(F_RT14[ActGrp],":")=_xlfn.TEXTAFTER($H142,":")),"X"),MATCH("*"&amp;X$54,F_RT14[#Headers],0))),IF(AND(_xlpm.x=0,_xlpm.y&lt;&gt;0),-1,IF(AND(_xlpm.x&lt;&gt;0,_xlpm.y&lt;&gt;0),_xlpm.x,IF(AND(_xlpm.x-SUM(IF((INDIRECT($B$3)=$B142)*(INDIRECT($C$3)=$D142)*((INDIRECT($E$3)="TOTS")+(INDIRECT($E$3)=$E142)),INDIRECT(X$3)))&lt;&gt;0,_xlpm.y=0),-2,_xlpm.x)))),0))</f>
        <v>-1</v>
      </c>
      <c r="Y142" s="199" cm="1">
        <f t="array" aca="1" ref="Y142" ca="1">IF(OR($B142="",$B142="X",$D142="",$D142="X",$E142="",$E142="X"),0,IFERROR(_xlfn.LET(_xlpm.x,SUM(SUM(_xlfn._xlws.FILTER(VALUE(PptoSty[Sign]&amp;1)*(1/PptoSty[Division]),(PptoSty[Division]&lt;&gt;0)*(PptoSty[Division]&lt;&gt;"")*(PptoSty[Division]&lt;&gt;"X")*(PptoSty[Project]=$B142)*(PptoSty[Vrs]=$D142)*(PptoSty[PiRow]=_xlfn.TEXTAFTER($H142,":"))*(PptoSty[PiColumn]=Y$54),0)),SUM(IF((INDIRECT($B$3)=$B142)*(INDIRECT($C$3)=$D142)*((INDIRECT($E$3)="TOTS")+(INDIRECT($E$3)=$E142)),INDIRECT(Y$3)))),_xlpm.y,SUM(_xlfn.CHOOSECOLS(_xlfn._xlws.FILTER(F_RT14[],(F_RT14[PrjId]=$B142)*(F_RT14[Vrs]=$D142)*(_xlfn.TEXTAFTER(F_RT14[ActGrp],":")=_xlfn.TEXTAFTER($H142,":")),"X"),MATCH("*"&amp;Y$54,F_RT14[#Headers],0))),IF(AND(_xlpm.x=0,_xlpm.y&lt;&gt;0),-1,IF(AND(_xlpm.x&lt;&gt;0,_xlpm.y&lt;&gt;0),_xlpm.x,IF(AND(_xlpm.x-SUM(IF((INDIRECT($B$3)=$B142)*(INDIRECT($C$3)=$D142)*((INDIRECT($E$3)="TOTS")+(INDIRECT($E$3)=$E142)),INDIRECT(Y$3)))&lt;&gt;0,_xlpm.y=0),-2,_xlpm.x)))),0))</f>
        <v>0</v>
      </c>
      <c r="Z142" s="198" t="str">
        <f t="shared" ca="1" si="3"/>
        <v>Fback!B142:Y142</v>
      </c>
    </row>
    <row r="143" spans="2:26" ht="21" customHeight="1" outlineLevel="1">
      <c r="B143" s="128" t="str">
        <v>31200</v>
      </c>
      <c r="C143" s="128" t="str">
        <v>Sp</v>
      </c>
      <c r="D143" s="128">
        <v>16</v>
      </c>
      <c r="E143" s="128" t="str">
        <v>TOOL</v>
      </c>
      <c r="F143" s="139" t="str">
        <v>SERRA</v>
      </c>
      <c r="G143" s="139" t="str">
        <v>CurPpto</v>
      </c>
      <c r="H143" s="139" t="str">
        <v>P004:OP-220.1 WELDING (GEO)</v>
      </c>
      <c r="I143" s="199" cm="1">
        <f t="array" aca="1" ref="I143" ca="1">IF(OR($B143="",$B143="X",$D143="",$D143="X",$E143="",$E143="X"),0,IFERROR(_xlfn.LET(_xlpm.x,SUM(SUM(_xlfn._xlws.FILTER(VALUE(PptoSty[Sign]&amp;1)*(1/PptoSty[Division]),(PptoSty[Division]&lt;&gt;0)*(PptoSty[Division]&lt;&gt;"")*(PptoSty[Division]&lt;&gt;"X")*(PptoSty[Project]=$B143)*(PptoSty[Vrs]=$D143)*(PptoSty[PiRow]=_xlfn.TEXTAFTER($H143,":"))*(PptoSty[PiColumn]=I$54),0)),SUM(IF((INDIRECT($B$3)=$B143)*(INDIRECT($C$3)=$D143)*((INDIRECT($E$3)="TOTS")+(INDIRECT($E$3)=$E143)),INDIRECT(I$3)))),_xlpm.y,SUM(_xlfn.CHOOSECOLS(_xlfn._xlws.FILTER(F_RT14[],(F_RT14[PrjId]=$B143)*(F_RT14[Vrs]=$D143)*(_xlfn.TEXTAFTER(F_RT14[ActGrp],":")=_xlfn.TEXTAFTER($H143,":")),"X"),MATCH("*"&amp;I$54,F_RT14[#Headers],0))),IF(AND(_xlpm.x=0,_xlpm.y&lt;&gt;0),-1,IF(AND(_xlpm.x&lt;&gt;0,_xlpm.y&lt;&gt;0),_xlpm.x,IF(AND(_xlpm.x-SUM(IF((INDIRECT($B$3)=$B143)*(INDIRECT($C$3)=$D143)*((INDIRECT($E$3)="TOTS")+(INDIRECT($E$3)=$E143)),INDIRECT(I$3)))&lt;&gt;0,_xlpm.y=0),-2,_xlpm.x)))),0))</f>
        <v>0</v>
      </c>
      <c r="J143" s="199" cm="1">
        <f t="array" aca="1" ref="J143" ca="1">IF(OR($B143="",$B143="X",$D143="",$D143="X",$E143="",$E143="X"),0,IFERROR(_xlfn.LET(_xlpm.x,SUM(SUM(_xlfn._xlws.FILTER(VALUE(PptoSty[Sign]&amp;1)*(1/PptoSty[Division]),(PptoSty[Division]&lt;&gt;0)*(PptoSty[Division]&lt;&gt;"")*(PptoSty[Division]&lt;&gt;"X")*(PptoSty[Project]=$B143)*(PptoSty[Vrs]=$D143)*(PptoSty[PiRow]=_xlfn.TEXTAFTER($H143,":"))*(PptoSty[PiColumn]=J$54),0)),SUM(IF((INDIRECT($B$3)=$B143)*(INDIRECT($C$3)=$D143)*((INDIRECT($E$3)="TOTS")+(INDIRECT($E$3)=$E143)),INDIRECT(J$3)))),_xlpm.y,SUM(_xlfn.CHOOSECOLS(_xlfn._xlws.FILTER(F_RT14[],(F_RT14[PrjId]=$B143)*(F_RT14[Vrs]=$D143)*(_xlfn.TEXTAFTER(F_RT14[ActGrp],":")=_xlfn.TEXTAFTER($H143,":")),"X"),MATCH("*"&amp;J$54,F_RT14[#Headers],0))),IF(AND(_xlpm.x=0,_xlpm.y&lt;&gt;0),-1,IF(AND(_xlpm.x&lt;&gt;0,_xlpm.y&lt;&gt;0),_xlpm.x,IF(AND(_xlpm.x-SUM(IF((INDIRECT($B$3)=$B143)*(INDIRECT($C$3)=$D143)*((INDIRECT($E$3)="TOTS")+(INDIRECT($E$3)=$E143)),INDIRECT(J$3)))&lt;&gt;0,_xlpm.y=0),-2,_xlpm.x)))),0))</f>
        <v>0</v>
      </c>
      <c r="K143" s="199" cm="1">
        <f t="array" aca="1" ref="K143" ca="1">IF(OR($B143="",$B143="X",$D143="",$D143="X",$E143="",$E143="X"),0,IFERROR(_xlfn.LET(_xlpm.x,SUM(SUM(_xlfn._xlws.FILTER(VALUE(PptoSty[Sign]&amp;1)*(1/PptoSty[Division]),(PptoSty[Division]&lt;&gt;0)*(PptoSty[Division]&lt;&gt;"")*(PptoSty[Division]&lt;&gt;"X")*(PptoSty[Project]=$B143)*(PptoSty[Vrs]=$D143)*(PptoSty[PiRow]=_xlfn.TEXTAFTER($H143,":"))*(PptoSty[PiColumn]=K$54),0)),SUM(IF((INDIRECT($B$3)=$B143)*(INDIRECT($C$3)=$D143)*((INDIRECT($E$3)="TOTS")+(INDIRECT($E$3)=$E143)),INDIRECT(K$3)))),_xlpm.y,SUM(_xlfn.CHOOSECOLS(_xlfn._xlws.FILTER(F_RT14[],(F_RT14[PrjId]=$B143)*(F_RT14[Vrs]=$D143)*(_xlfn.TEXTAFTER(F_RT14[ActGrp],":")=_xlfn.TEXTAFTER($H143,":")),"X"),MATCH("*"&amp;K$54,F_RT14[#Headers],0))),IF(AND(_xlpm.x=0,_xlpm.y&lt;&gt;0),-1,IF(AND(_xlpm.x&lt;&gt;0,_xlpm.y&lt;&gt;0),_xlpm.x,IF(AND(_xlpm.x-SUM(IF((INDIRECT($B$3)=$B143)*(INDIRECT($C$3)=$D143)*((INDIRECT($E$3)="TOTS")+(INDIRECT($E$3)=$E143)),INDIRECT(K$3)))&lt;&gt;0,_xlpm.y=0),-2,_xlpm.x)))),0))</f>
        <v>-1</v>
      </c>
      <c r="L143" s="199" cm="1">
        <f t="array" aca="1" ref="L143" ca="1">IF(OR($B143="",$B143="X",$D143="",$D143="X",$E143="",$E143="X"),0,IFERROR(_xlfn.LET(_xlpm.x,SUM(SUM(_xlfn._xlws.FILTER(VALUE(PptoSty[Sign]&amp;1)*(1/PptoSty[Division]),(PptoSty[Division]&lt;&gt;0)*(PptoSty[Division]&lt;&gt;"")*(PptoSty[Division]&lt;&gt;"X")*(PptoSty[Project]=$B143)*(PptoSty[Vrs]=$D143)*(PptoSty[PiRow]=_xlfn.TEXTAFTER($H143,":"))*(PptoSty[PiColumn]=L$54),0)),SUM(IF((INDIRECT($B$3)=$B143)*(INDIRECT($C$3)=$D143)*((INDIRECT($E$3)="TOTS")+(INDIRECT($E$3)=$E143)),INDIRECT(L$3)))),_xlpm.y,SUM(_xlfn.CHOOSECOLS(_xlfn._xlws.FILTER(F_RT14[],(F_RT14[PrjId]=$B143)*(F_RT14[Vrs]=$D143)*(_xlfn.TEXTAFTER(F_RT14[ActGrp],":")=_xlfn.TEXTAFTER($H143,":")),"X"),MATCH("*"&amp;L$54,F_RT14[#Headers],0))),IF(AND(_xlpm.x=0,_xlpm.y&lt;&gt;0),-1,IF(AND(_xlpm.x&lt;&gt;0,_xlpm.y&lt;&gt;0),_xlpm.x,IF(AND(_xlpm.x-SUM(IF((INDIRECT($B$3)=$B143)*(INDIRECT($C$3)=$D143)*((INDIRECT($E$3)="TOTS")+(INDIRECT($E$3)=$E143)),INDIRECT(L$3)))&lt;&gt;0,_xlpm.y=0),-2,_xlpm.x)))),0))</f>
        <v>0</v>
      </c>
      <c r="M143" s="199" cm="1">
        <f t="array" aca="1" ref="M143" ca="1">IF(OR($B143="",$B143="X",$D143="",$D143="X",$E143="",$E143="X"),0,IFERROR(_xlfn.LET(_xlpm.x,SUM(SUM(_xlfn._xlws.FILTER(VALUE(PptoSty[Sign]&amp;1)*(1/PptoSty[Division]),(PptoSty[Division]&lt;&gt;0)*(PptoSty[Division]&lt;&gt;"")*(PptoSty[Division]&lt;&gt;"X")*(PptoSty[Project]=$B143)*(PptoSty[Vrs]=$D143)*(PptoSty[PiRow]=_xlfn.TEXTAFTER($H143,":"))*(PptoSty[PiColumn]=M$54),0)),SUM(IF((INDIRECT($B$3)=$B143)*(INDIRECT($C$3)=$D143)*((INDIRECT($E$3)="TOTS")+(INDIRECT($E$3)=$E143)),INDIRECT(M$3)))),_xlpm.y,SUM(_xlfn.CHOOSECOLS(_xlfn._xlws.FILTER(F_RT14[],(F_RT14[PrjId]=$B143)*(F_RT14[Vrs]=$D143)*(_xlfn.TEXTAFTER(F_RT14[ActGrp],":")=_xlfn.TEXTAFTER($H143,":")),"X"),MATCH("*"&amp;M$54,F_RT14[#Headers],0))),IF(AND(_xlpm.x=0,_xlpm.y&lt;&gt;0),-1,IF(AND(_xlpm.x&lt;&gt;0,_xlpm.y&lt;&gt;0),_xlpm.x,IF(AND(_xlpm.x-SUM(IF((INDIRECT($B$3)=$B143)*(INDIRECT($C$3)=$D143)*((INDIRECT($E$3)="TOTS")+(INDIRECT($E$3)=$E143)),INDIRECT(M$3)))&lt;&gt;0,_xlpm.y=0),-2,_xlpm.x)))),0))</f>
        <v>0</v>
      </c>
      <c r="N143" s="199" cm="1">
        <f t="array" aca="1" ref="N143" ca="1">IF(OR($B143="",$B143="X",$D143="",$D143="X",$E143="",$E143="X"),0,IFERROR(_xlfn.LET(_xlpm.x,SUM(SUM(_xlfn._xlws.FILTER(VALUE(PptoSty[Sign]&amp;1)*(1/PptoSty[Division]),(PptoSty[Division]&lt;&gt;0)*(PptoSty[Division]&lt;&gt;"")*(PptoSty[Division]&lt;&gt;"X")*(PptoSty[Project]=$B143)*(PptoSty[Vrs]=$D143)*(PptoSty[PiRow]=_xlfn.TEXTAFTER($H143,":"))*(PptoSty[PiColumn]=N$54),0)),SUM(IF((INDIRECT($B$3)=$B143)*(INDIRECT($C$3)=$D143)*((INDIRECT($E$3)="TOTS")+(INDIRECT($E$3)=$E143)),INDIRECT(N$3)))),_xlpm.y,SUM(_xlfn.CHOOSECOLS(_xlfn._xlws.FILTER(F_RT14[],(F_RT14[PrjId]=$B143)*(F_RT14[Vrs]=$D143)*(_xlfn.TEXTAFTER(F_RT14[ActGrp],":")=_xlfn.TEXTAFTER($H143,":")),"X"),MATCH("*"&amp;N$54,F_RT14[#Headers],0))),IF(AND(_xlpm.x=0,_xlpm.y&lt;&gt;0),-1,IF(AND(_xlpm.x&lt;&gt;0,_xlpm.y&lt;&gt;0),_xlpm.x,IF(AND(_xlpm.x-SUM(IF((INDIRECT($B$3)=$B143)*(INDIRECT($C$3)=$D143)*((INDIRECT($E$3)="TOTS")+(INDIRECT($E$3)=$E143)),INDIRECT(N$3)))&lt;&gt;0,_xlpm.y=0),-2,_xlpm.x)))),0))</f>
        <v>-1</v>
      </c>
      <c r="O143" s="199" cm="1">
        <f t="array" aca="1" ref="O143" ca="1">IF(OR($B143="",$B143="X",$D143="",$D143="X",$E143="",$E143="X"),0,IFERROR(_xlfn.LET(_xlpm.x,SUM(SUM(_xlfn._xlws.FILTER(VALUE(PptoSty[Sign]&amp;1)*(1/PptoSty[Division]),(PptoSty[Division]&lt;&gt;0)*(PptoSty[Division]&lt;&gt;"")*(PptoSty[Division]&lt;&gt;"X")*(PptoSty[Project]=$B143)*(PptoSty[Vrs]=$D143)*(PptoSty[PiRow]=_xlfn.TEXTAFTER($H143,":"))*(PptoSty[PiColumn]=O$54),0)),SUM(IF((INDIRECT($B$3)=$B143)*(INDIRECT($C$3)=$D143)*((INDIRECT($E$3)="TOTS")+(INDIRECT($E$3)=$E143)),INDIRECT(O$3)))),_xlpm.y,SUM(_xlfn.CHOOSECOLS(_xlfn._xlws.FILTER(F_RT14[],(F_RT14[PrjId]=$B143)*(F_RT14[Vrs]=$D143)*(_xlfn.TEXTAFTER(F_RT14[ActGrp],":")=_xlfn.TEXTAFTER($H143,":")),"X"),MATCH("*"&amp;O$54,F_RT14[#Headers],0))),IF(AND(_xlpm.x=0,_xlpm.y&lt;&gt;0),-1,IF(AND(_xlpm.x&lt;&gt;0,_xlpm.y&lt;&gt;0),_xlpm.x,IF(AND(_xlpm.x-SUM(IF((INDIRECT($B$3)=$B143)*(INDIRECT($C$3)=$D143)*((INDIRECT($E$3)="TOTS")+(INDIRECT($E$3)=$E143)),INDIRECT(O$3)))&lt;&gt;0,_xlpm.y=0),-2,_xlpm.x)))),0))</f>
        <v>0</v>
      </c>
      <c r="P143" s="199" cm="1">
        <f t="array" aca="1" ref="P143" ca="1">IF(OR($B143="",$B143="X",$D143="",$D143="X",$E143="",$E143="X"),0,IFERROR(_xlfn.LET(_xlpm.x,SUM(SUM(_xlfn._xlws.FILTER(VALUE(PptoSty[Sign]&amp;1)*(1/PptoSty[Division]),(PptoSty[Division]&lt;&gt;0)*(PptoSty[Division]&lt;&gt;"")*(PptoSty[Division]&lt;&gt;"X")*(PptoSty[Project]=$B143)*(PptoSty[Vrs]=$D143)*(PptoSty[PiRow]=_xlfn.TEXTAFTER($H143,":"))*(PptoSty[PiColumn]=P$54),0)),SUM(IF((INDIRECT($B$3)=$B143)*(INDIRECT($C$3)=$D143)*((INDIRECT($E$3)="TOTS")+(INDIRECT($E$3)=$E143)),INDIRECT(P$3)))),_xlpm.y,SUM(_xlfn.CHOOSECOLS(_xlfn._xlws.FILTER(F_RT14[],(F_RT14[PrjId]=$B143)*(F_RT14[Vrs]=$D143)*(_xlfn.TEXTAFTER(F_RT14[ActGrp],":")=_xlfn.TEXTAFTER($H143,":")),"X"),MATCH("*"&amp;P$54,F_RT14[#Headers],0))),IF(AND(_xlpm.x=0,_xlpm.y&lt;&gt;0),-1,IF(AND(_xlpm.x&lt;&gt;0,_xlpm.y&lt;&gt;0),_xlpm.x,IF(AND(_xlpm.x-SUM(IF((INDIRECT($B$3)=$B143)*(INDIRECT($C$3)=$D143)*((INDIRECT($E$3)="TOTS")+(INDIRECT($E$3)=$E143)),INDIRECT(P$3)))&lt;&gt;0,_xlpm.y=0),-2,_xlpm.x)))),0))</f>
        <v>-1</v>
      </c>
      <c r="Q143" s="199" cm="1">
        <f t="array" aca="1" ref="Q143" ca="1">IF(OR($B143="",$B143="X",$D143="",$D143="X",$E143="",$E143="X"),0,IFERROR(_xlfn.LET(_xlpm.x,SUM(SUM(_xlfn._xlws.FILTER(VALUE(PptoSty[Sign]&amp;1)*(1/PptoSty[Division]),(PptoSty[Division]&lt;&gt;0)*(PptoSty[Division]&lt;&gt;"")*(PptoSty[Division]&lt;&gt;"X")*(PptoSty[Project]=$B143)*(PptoSty[Vrs]=$D143)*(PptoSty[PiRow]=_xlfn.TEXTAFTER($H143,":"))*(PptoSty[PiColumn]=Q$54),0)),SUM(IF((INDIRECT($B$3)=$B143)*(INDIRECT($C$3)=$D143)*((INDIRECT($E$3)="TOTS")+(INDIRECT($E$3)=$E143)),INDIRECT(Q$3)))),_xlpm.y,SUM(_xlfn.CHOOSECOLS(_xlfn._xlws.FILTER(F_RT14[],(F_RT14[PrjId]=$B143)*(F_RT14[Vrs]=$D143)*(_xlfn.TEXTAFTER(F_RT14[ActGrp],":")=_xlfn.TEXTAFTER($H143,":")),"X"),MATCH("*"&amp;Q$54,F_RT14[#Headers],0))),IF(AND(_xlpm.x=0,_xlpm.y&lt;&gt;0),-1,IF(AND(_xlpm.x&lt;&gt;0,_xlpm.y&lt;&gt;0),_xlpm.x,IF(AND(_xlpm.x-SUM(IF((INDIRECT($B$3)=$B143)*(INDIRECT($C$3)=$D143)*((INDIRECT($E$3)="TOTS")+(INDIRECT($E$3)=$E143)),INDIRECT(Q$3)))&lt;&gt;0,_xlpm.y=0),-2,_xlpm.x)))),0))</f>
        <v>-1</v>
      </c>
      <c r="R143" s="199" cm="1">
        <f t="array" aca="1" ref="R143" ca="1">IF(OR($B143="",$B143="X",$D143="",$D143="X",$E143="",$E143="X"),0,IFERROR(_xlfn.LET(_xlpm.x,SUM(SUM(_xlfn._xlws.FILTER(VALUE(PptoSty[Sign]&amp;1)*(1/PptoSty[Division]),(PptoSty[Division]&lt;&gt;0)*(PptoSty[Division]&lt;&gt;"")*(PptoSty[Division]&lt;&gt;"X")*(PptoSty[Project]=$B143)*(PptoSty[Vrs]=$D143)*(PptoSty[PiRow]=_xlfn.TEXTAFTER($H143,":"))*(PptoSty[PiColumn]=R$54),0)),SUM(IF((INDIRECT($B$3)=$B143)*(INDIRECT($C$3)=$D143)*((INDIRECT($E$3)="TOTS")+(INDIRECT($E$3)=$E143)),INDIRECT(R$3)))),_xlpm.y,SUM(_xlfn.CHOOSECOLS(_xlfn._xlws.FILTER(F_RT14[],(F_RT14[PrjId]=$B143)*(F_RT14[Vrs]=$D143)*(_xlfn.TEXTAFTER(F_RT14[ActGrp],":")=_xlfn.TEXTAFTER($H143,":")),"X"),MATCH("*"&amp;R$54,F_RT14[#Headers],0))),IF(AND(_xlpm.x=0,_xlpm.y&lt;&gt;0),-1,IF(AND(_xlpm.x&lt;&gt;0,_xlpm.y&lt;&gt;0),_xlpm.x,IF(AND(_xlpm.x-SUM(IF((INDIRECT($B$3)=$B143)*(INDIRECT($C$3)=$D143)*((INDIRECT($E$3)="TOTS")+(INDIRECT($E$3)=$E143)),INDIRECT(R$3)))&lt;&gt;0,_xlpm.y=0),-2,_xlpm.x)))),0))</f>
        <v>-1</v>
      </c>
      <c r="S143" s="199" cm="1">
        <f t="array" aca="1" ref="S143" ca="1">IF(OR($B143="",$B143="X",$D143="",$D143="X",$E143="",$E143="X"),0,IFERROR(_xlfn.LET(_xlpm.x,SUM(SUM(_xlfn._xlws.FILTER(VALUE(PptoSty[Sign]&amp;1)*(1/PptoSty[Division]),(PptoSty[Division]&lt;&gt;0)*(PptoSty[Division]&lt;&gt;"")*(PptoSty[Division]&lt;&gt;"X")*(PptoSty[Project]=$B143)*(PptoSty[Vrs]=$D143)*(PptoSty[PiRow]=_xlfn.TEXTAFTER($H143,":"))*(PptoSty[PiColumn]=S$54),0)),SUM(IF((INDIRECT($B$3)=$B143)*(INDIRECT($C$3)=$D143)*((INDIRECT($E$3)="TOTS")+(INDIRECT($E$3)=$E143)),INDIRECT(S$3)))),_xlpm.y,SUM(_xlfn.CHOOSECOLS(_xlfn._xlws.FILTER(F_RT14[],(F_RT14[PrjId]=$B143)*(F_RT14[Vrs]=$D143)*(_xlfn.TEXTAFTER(F_RT14[ActGrp],":")=_xlfn.TEXTAFTER($H143,":")),"X"),MATCH("*"&amp;S$54,F_RT14[#Headers],0))),IF(AND(_xlpm.x=0,_xlpm.y&lt;&gt;0),-1,IF(AND(_xlpm.x&lt;&gt;0,_xlpm.y&lt;&gt;0),_xlpm.x,IF(AND(_xlpm.x-SUM(IF((INDIRECT($B$3)=$B143)*(INDIRECT($C$3)=$D143)*((INDIRECT($E$3)="TOTS")+(INDIRECT($E$3)=$E143)),INDIRECT(S$3)))&lt;&gt;0,_xlpm.y=0),-2,_xlpm.x)))),0))</f>
        <v>0</v>
      </c>
      <c r="T143" s="199" cm="1">
        <f t="array" aca="1" ref="T143" ca="1">IF(OR($B143="",$B143="X",$D143="",$D143="X",$E143="",$E143="X"),0,IFERROR(_xlfn.LET(_xlpm.x,SUM(SUM(_xlfn._xlws.FILTER(VALUE(PptoSty[Sign]&amp;1)*(1/PptoSty[Division]),(PptoSty[Division]&lt;&gt;0)*(PptoSty[Division]&lt;&gt;"")*(PptoSty[Division]&lt;&gt;"X")*(PptoSty[Project]=$B143)*(PptoSty[Vrs]=$D143)*(PptoSty[PiRow]=_xlfn.TEXTAFTER($H143,":"))*(PptoSty[PiColumn]=T$54),0)),SUM(IF((INDIRECT($B$3)=$B143)*(INDIRECT($C$3)=$D143)*((INDIRECT($E$3)="TOTS")+(INDIRECT($E$3)=$E143)),INDIRECT(T$3)))),_xlpm.y,SUM(_xlfn.CHOOSECOLS(_xlfn._xlws.FILTER(F_RT14[],(F_RT14[PrjId]=$B143)*(F_RT14[Vrs]=$D143)*(_xlfn.TEXTAFTER(F_RT14[ActGrp],":")=_xlfn.TEXTAFTER($H143,":")),"X"),MATCH("*"&amp;T$54,F_RT14[#Headers],0))),IF(AND(_xlpm.x=0,_xlpm.y&lt;&gt;0),-1,IF(AND(_xlpm.x&lt;&gt;0,_xlpm.y&lt;&gt;0),_xlpm.x,IF(AND(_xlpm.x-SUM(IF((INDIRECT($B$3)=$B143)*(INDIRECT($C$3)=$D143)*((INDIRECT($E$3)="TOTS")+(INDIRECT($E$3)=$E143)),INDIRECT(T$3)))&lt;&gt;0,_xlpm.y=0),-2,_xlpm.x)))),0))</f>
        <v>0</v>
      </c>
      <c r="U143" s="199" cm="1">
        <f t="array" aca="1" ref="U143" ca="1">IF(OR($B143="",$B143="X",$D143="",$D143="X",$E143="",$E143="X"),0,IFERROR(_xlfn.LET(_xlpm.x,SUM(SUM(_xlfn._xlws.FILTER(VALUE(PptoSty[Sign]&amp;1)*(1/PptoSty[Division]),(PptoSty[Division]&lt;&gt;0)*(PptoSty[Division]&lt;&gt;"")*(PptoSty[Division]&lt;&gt;"X")*(PptoSty[Project]=$B143)*(PptoSty[Vrs]=$D143)*(PptoSty[PiRow]=_xlfn.TEXTAFTER($H143,":"))*(PptoSty[PiColumn]=U$54),0)),SUM(IF((INDIRECT($B$3)=$B143)*(INDIRECT($C$3)=$D143)*((INDIRECT($E$3)="TOTS")+(INDIRECT($E$3)=$E143)),INDIRECT(U$3)))),_xlpm.y,SUM(_xlfn.CHOOSECOLS(_xlfn._xlws.FILTER(F_RT14[],(F_RT14[PrjId]=$B143)*(F_RT14[Vrs]=$D143)*(_xlfn.TEXTAFTER(F_RT14[ActGrp],":")=_xlfn.TEXTAFTER($H143,":")),"X"),MATCH("*"&amp;U$54,F_RT14[#Headers],0))),IF(AND(_xlpm.x=0,_xlpm.y&lt;&gt;0),-1,IF(AND(_xlpm.x&lt;&gt;0,_xlpm.y&lt;&gt;0),_xlpm.x,IF(AND(_xlpm.x-SUM(IF((INDIRECT($B$3)=$B143)*(INDIRECT($C$3)=$D143)*((INDIRECT($E$3)="TOTS")+(INDIRECT($E$3)=$E143)),INDIRECT(U$3)))&lt;&gt;0,_xlpm.y=0),-2,_xlpm.x)))),0))</f>
        <v>0</v>
      </c>
      <c r="V143" s="199" cm="1">
        <f t="array" aca="1" ref="V143" ca="1">IF(OR($B143="",$B143="X",$D143="",$D143="X",$E143="",$E143="X"),0,IFERROR(_xlfn.LET(_xlpm.x,SUM(SUM(_xlfn._xlws.FILTER(VALUE(PptoSty[Sign]&amp;1)*(1/PptoSty[Division]),(PptoSty[Division]&lt;&gt;0)*(PptoSty[Division]&lt;&gt;"")*(PptoSty[Division]&lt;&gt;"X")*(PptoSty[Project]=$B143)*(PptoSty[Vrs]=$D143)*(PptoSty[PiRow]=_xlfn.TEXTAFTER($H143,":"))*(PptoSty[PiColumn]=V$54),0)),SUM(IF((INDIRECT($B$3)=$B143)*(INDIRECT($C$3)=$D143)*((INDIRECT($E$3)="TOTS")+(INDIRECT($E$3)=$E143)),INDIRECT(V$3)))),_xlpm.y,SUM(_xlfn.CHOOSECOLS(_xlfn._xlws.FILTER(F_RT14[],(F_RT14[PrjId]=$B143)*(F_RT14[Vrs]=$D143)*(_xlfn.TEXTAFTER(F_RT14[ActGrp],":")=_xlfn.TEXTAFTER($H143,":")),"X"),MATCH("*"&amp;V$54,F_RT14[#Headers],0))),IF(AND(_xlpm.x=0,_xlpm.y&lt;&gt;0),-1,IF(AND(_xlpm.x&lt;&gt;0,_xlpm.y&lt;&gt;0),_xlpm.x,IF(AND(_xlpm.x-SUM(IF((INDIRECT($B$3)=$B143)*(INDIRECT($C$3)=$D143)*((INDIRECT($E$3)="TOTS")+(INDIRECT($E$3)=$E143)),INDIRECT(V$3)))&lt;&gt;0,_xlpm.y=0),-2,_xlpm.x)))),0))</f>
        <v>-1</v>
      </c>
      <c r="W143" s="199" cm="1">
        <f t="array" aca="1" ref="W143" ca="1">IF(OR($B143="",$B143="X",$D143="",$D143="X",$E143="",$E143="X"),0,IFERROR(_xlfn.LET(_xlpm.x,SUM(SUM(_xlfn._xlws.FILTER(VALUE(PptoSty[Sign]&amp;1)*(1/PptoSty[Division]),(PptoSty[Division]&lt;&gt;0)*(PptoSty[Division]&lt;&gt;"")*(PptoSty[Division]&lt;&gt;"X")*(PptoSty[Project]=$B143)*(PptoSty[Vrs]=$D143)*(PptoSty[PiRow]=_xlfn.TEXTAFTER($H143,":"))*(PptoSty[PiColumn]=W$54),0)),SUM(IF((INDIRECT($B$3)=$B143)*(INDIRECT($C$3)=$D143)*((INDIRECT($E$3)="TOTS")+(INDIRECT($E$3)=$E143)),INDIRECT(W$3)))),_xlpm.y,SUM(_xlfn.CHOOSECOLS(_xlfn._xlws.FILTER(F_RT14[],(F_RT14[PrjId]=$B143)*(F_RT14[Vrs]=$D143)*(_xlfn.TEXTAFTER(F_RT14[ActGrp],":")=_xlfn.TEXTAFTER($H143,":")),"X"),MATCH("*"&amp;W$54,F_RT14[#Headers],0))),IF(AND(_xlpm.x=0,_xlpm.y&lt;&gt;0),-1,IF(AND(_xlpm.x&lt;&gt;0,_xlpm.y&lt;&gt;0),_xlpm.x,IF(AND(_xlpm.x-SUM(IF((INDIRECT($B$3)=$B143)*(INDIRECT($C$3)=$D143)*((INDIRECT($E$3)="TOTS")+(INDIRECT($E$3)=$E143)),INDIRECT(W$3)))&lt;&gt;0,_xlpm.y=0),-2,_xlpm.x)))),0))</f>
        <v>-1</v>
      </c>
      <c r="X143" s="199" cm="1">
        <f t="array" aca="1" ref="X143" ca="1">IF(OR($B143="",$B143="X",$D143="",$D143="X",$E143="",$E143="X"),0,IFERROR(_xlfn.LET(_xlpm.x,SUM(SUM(_xlfn._xlws.FILTER(VALUE(PptoSty[Sign]&amp;1)*(1/PptoSty[Division]),(PptoSty[Division]&lt;&gt;0)*(PptoSty[Division]&lt;&gt;"")*(PptoSty[Division]&lt;&gt;"X")*(PptoSty[Project]=$B143)*(PptoSty[Vrs]=$D143)*(PptoSty[PiRow]=_xlfn.TEXTAFTER($H143,":"))*(PptoSty[PiColumn]=X$54),0)),SUM(IF((INDIRECT($B$3)=$B143)*(INDIRECT($C$3)=$D143)*((INDIRECT($E$3)="TOTS")+(INDIRECT($E$3)=$E143)),INDIRECT(X$3)))),_xlpm.y,SUM(_xlfn.CHOOSECOLS(_xlfn._xlws.FILTER(F_RT14[],(F_RT14[PrjId]=$B143)*(F_RT14[Vrs]=$D143)*(_xlfn.TEXTAFTER(F_RT14[ActGrp],":")=_xlfn.TEXTAFTER($H143,":")),"X"),MATCH("*"&amp;X$54,F_RT14[#Headers],0))),IF(AND(_xlpm.x=0,_xlpm.y&lt;&gt;0),-1,IF(AND(_xlpm.x&lt;&gt;0,_xlpm.y&lt;&gt;0),_xlpm.x,IF(AND(_xlpm.x-SUM(IF((INDIRECT($B$3)=$B143)*(INDIRECT($C$3)=$D143)*((INDIRECT($E$3)="TOTS")+(INDIRECT($E$3)=$E143)),INDIRECT(X$3)))&lt;&gt;0,_xlpm.y=0),-2,_xlpm.x)))),0))</f>
        <v>-1</v>
      </c>
      <c r="Y143" s="199" cm="1">
        <f t="array" aca="1" ref="Y143" ca="1">IF(OR($B143="",$B143="X",$D143="",$D143="X",$E143="",$E143="X"),0,IFERROR(_xlfn.LET(_xlpm.x,SUM(SUM(_xlfn._xlws.FILTER(VALUE(PptoSty[Sign]&amp;1)*(1/PptoSty[Division]),(PptoSty[Division]&lt;&gt;0)*(PptoSty[Division]&lt;&gt;"")*(PptoSty[Division]&lt;&gt;"X")*(PptoSty[Project]=$B143)*(PptoSty[Vrs]=$D143)*(PptoSty[PiRow]=_xlfn.TEXTAFTER($H143,":"))*(PptoSty[PiColumn]=Y$54),0)),SUM(IF((INDIRECT($B$3)=$B143)*(INDIRECT($C$3)=$D143)*((INDIRECT($E$3)="TOTS")+(INDIRECT($E$3)=$E143)),INDIRECT(Y$3)))),_xlpm.y,SUM(_xlfn.CHOOSECOLS(_xlfn._xlws.FILTER(F_RT14[],(F_RT14[PrjId]=$B143)*(F_RT14[Vrs]=$D143)*(_xlfn.TEXTAFTER(F_RT14[ActGrp],":")=_xlfn.TEXTAFTER($H143,":")),"X"),MATCH("*"&amp;Y$54,F_RT14[#Headers],0))),IF(AND(_xlpm.x=0,_xlpm.y&lt;&gt;0),-1,IF(AND(_xlpm.x&lt;&gt;0,_xlpm.y&lt;&gt;0),_xlpm.x,IF(AND(_xlpm.x-SUM(IF((INDIRECT($B$3)=$B143)*(INDIRECT($C$3)=$D143)*((INDIRECT($E$3)="TOTS")+(INDIRECT($E$3)=$E143)),INDIRECT(Y$3)))&lt;&gt;0,_xlpm.y=0),-2,_xlpm.x)))),0))</f>
        <v>0</v>
      </c>
      <c r="Z143" s="198" t="str">
        <f t="shared" ca="1" si="3"/>
        <v>Fback!B143:Y143</v>
      </c>
    </row>
    <row r="144" spans="2:26" ht="21" customHeight="1" outlineLevel="1">
      <c r="B144" s="128" t="str">
        <v>31200</v>
      </c>
      <c r="C144" s="128" t="str">
        <v>Sp</v>
      </c>
      <c r="D144" s="128">
        <v>16</v>
      </c>
      <c r="E144" s="128" t="str">
        <v>TOOL</v>
      </c>
      <c r="F144" s="139" t="str">
        <v>SERRA</v>
      </c>
      <c r="G144" s="139" t="str">
        <v>CurPpto</v>
      </c>
      <c r="H144" s="139" t="str">
        <v>P007:OP-410.1 WELDING (REWELD)</v>
      </c>
      <c r="I144" s="199" cm="1">
        <f t="array" aca="1" ref="I144" ca="1">IF(OR($B144="",$B144="X",$D144="",$D144="X",$E144="",$E144="X"),0,IFERROR(_xlfn.LET(_xlpm.x,SUM(SUM(_xlfn._xlws.FILTER(VALUE(PptoSty[Sign]&amp;1)*(1/PptoSty[Division]),(PptoSty[Division]&lt;&gt;0)*(PptoSty[Division]&lt;&gt;"")*(PptoSty[Division]&lt;&gt;"X")*(PptoSty[Project]=$B144)*(PptoSty[Vrs]=$D144)*(PptoSty[PiRow]=_xlfn.TEXTAFTER($H144,":"))*(PptoSty[PiColumn]=I$54),0)),SUM(IF((INDIRECT($B$3)=$B144)*(INDIRECT($C$3)=$D144)*((INDIRECT($E$3)="TOTS")+(INDIRECT($E$3)=$E144)),INDIRECT(I$3)))),_xlpm.y,SUM(_xlfn.CHOOSECOLS(_xlfn._xlws.FILTER(F_RT14[],(F_RT14[PrjId]=$B144)*(F_RT14[Vrs]=$D144)*(_xlfn.TEXTAFTER(F_RT14[ActGrp],":")=_xlfn.TEXTAFTER($H144,":")),"X"),MATCH("*"&amp;I$54,F_RT14[#Headers],0))),IF(AND(_xlpm.x=0,_xlpm.y&lt;&gt;0),-1,IF(AND(_xlpm.x&lt;&gt;0,_xlpm.y&lt;&gt;0),_xlpm.x,IF(AND(_xlpm.x-SUM(IF((INDIRECT($B$3)=$B144)*(INDIRECT($C$3)=$D144)*((INDIRECT($E$3)="TOTS")+(INDIRECT($E$3)=$E144)),INDIRECT(I$3)))&lt;&gt;0,_xlpm.y=0),-2,_xlpm.x)))),0))</f>
        <v>0</v>
      </c>
      <c r="J144" s="199" cm="1">
        <f t="array" aca="1" ref="J144" ca="1">IF(OR($B144="",$B144="X",$D144="",$D144="X",$E144="",$E144="X"),0,IFERROR(_xlfn.LET(_xlpm.x,SUM(SUM(_xlfn._xlws.FILTER(VALUE(PptoSty[Sign]&amp;1)*(1/PptoSty[Division]),(PptoSty[Division]&lt;&gt;0)*(PptoSty[Division]&lt;&gt;"")*(PptoSty[Division]&lt;&gt;"X")*(PptoSty[Project]=$B144)*(PptoSty[Vrs]=$D144)*(PptoSty[PiRow]=_xlfn.TEXTAFTER($H144,":"))*(PptoSty[PiColumn]=J$54),0)),SUM(IF((INDIRECT($B$3)=$B144)*(INDIRECT($C$3)=$D144)*((INDIRECT($E$3)="TOTS")+(INDIRECT($E$3)=$E144)),INDIRECT(J$3)))),_xlpm.y,SUM(_xlfn.CHOOSECOLS(_xlfn._xlws.FILTER(F_RT14[],(F_RT14[PrjId]=$B144)*(F_RT14[Vrs]=$D144)*(_xlfn.TEXTAFTER(F_RT14[ActGrp],":")=_xlfn.TEXTAFTER($H144,":")),"X"),MATCH("*"&amp;J$54,F_RT14[#Headers],0))),IF(AND(_xlpm.x=0,_xlpm.y&lt;&gt;0),-1,IF(AND(_xlpm.x&lt;&gt;0,_xlpm.y&lt;&gt;0),_xlpm.x,IF(AND(_xlpm.x-SUM(IF((INDIRECT($B$3)=$B144)*(INDIRECT($C$3)=$D144)*((INDIRECT($E$3)="TOTS")+(INDIRECT($E$3)=$E144)),INDIRECT(J$3)))&lt;&gt;0,_xlpm.y=0),-2,_xlpm.x)))),0))</f>
        <v>0</v>
      </c>
      <c r="K144" s="199" cm="1">
        <f t="array" aca="1" ref="K144" ca="1">IF(OR($B144="",$B144="X",$D144="",$D144="X",$E144="",$E144="X"),0,IFERROR(_xlfn.LET(_xlpm.x,SUM(SUM(_xlfn._xlws.FILTER(VALUE(PptoSty[Sign]&amp;1)*(1/PptoSty[Division]),(PptoSty[Division]&lt;&gt;0)*(PptoSty[Division]&lt;&gt;"")*(PptoSty[Division]&lt;&gt;"X")*(PptoSty[Project]=$B144)*(PptoSty[Vrs]=$D144)*(PptoSty[PiRow]=_xlfn.TEXTAFTER($H144,":"))*(PptoSty[PiColumn]=K$54),0)),SUM(IF((INDIRECT($B$3)=$B144)*(INDIRECT($C$3)=$D144)*((INDIRECT($E$3)="TOTS")+(INDIRECT($E$3)=$E144)),INDIRECT(K$3)))),_xlpm.y,SUM(_xlfn.CHOOSECOLS(_xlfn._xlws.FILTER(F_RT14[],(F_RT14[PrjId]=$B144)*(F_RT14[Vrs]=$D144)*(_xlfn.TEXTAFTER(F_RT14[ActGrp],":")=_xlfn.TEXTAFTER($H144,":")),"X"),MATCH("*"&amp;K$54,F_RT14[#Headers],0))),IF(AND(_xlpm.x=0,_xlpm.y&lt;&gt;0),-1,IF(AND(_xlpm.x&lt;&gt;0,_xlpm.y&lt;&gt;0),_xlpm.x,IF(AND(_xlpm.x-SUM(IF((INDIRECT($B$3)=$B144)*(INDIRECT($C$3)=$D144)*((INDIRECT($E$3)="TOTS")+(INDIRECT($E$3)=$E144)),INDIRECT(K$3)))&lt;&gt;0,_xlpm.y=0),-2,_xlpm.x)))),0))</f>
        <v>-1</v>
      </c>
      <c r="L144" s="199" cm="1">
        <f t="array" aca="1" ref="L144" ca="1">IF(OR($B144="",$B144="X",$D144="",$D144="X",$E144="",$E144="X"),0,IFERROR(_xlfn.LET(_xlpm.x,SUM(SUM(_xlfn._xlws.FILTER(VALUE(PptoSty[Sign]&amp;1)*(1/PptoSty[Division]),(PptoSty[Division]&lt;&gt;0)*(PptoSty[Division]&lt;&gt;"")*(PptoSty[Division]&lt;&gt;"X")*(PptoSty[Project]=$B144)*(PptoSty[Vrs]=$D144)*(PptoSty[PiRow]=_xlfn.TEXTAFTER($H144,":"))*(PptoSty[PiColumn]=L$54),0)),SUM(IF((INDIRECT($B$3)=$B144)*(INDIRECT($C$3)=$D144)*((INDIRECT($E$3)="TOTS")+(INDIRECT($E$3)=$E144)),INDIRECT(L$3)))),_xlpm.y,SUM(_xlfn.CHOOSECOLS(_xlfn._xlws.FILTER(F_RT14[],(F_RT14[PrjId]=$B144)*(F_RT14[Vrs]=$D144)*(_xlfn.TEXTAFTER(F_RT14[ActGrp],":")=_xlfn.TEXTAFTER($H144,":")),"X"),MATCH("*"&amp;L$54,F_RT14[#Headers],0))),IF(AND(_xlpm.x=0,_xlpm.y&lt;&gt;0),-1,IF(AND(_xlpm.x&lt;&gt;0,_xlpm.y&lt;&gt;0),_xlpm.x,IF(AND(_xlpm.x-SUM(IF((INDIRECT($B$3)=$B144)*(INDIRECT($C$3)=$D144)*((INDIRECT($E$3)="TOTS")+(INDIRECT($E$3)=$E144)),INDIRECT(L$3)))&lt;&gt;0,_xlpm.y=0),-2,_xlpm.x)))),0))</f>
        <v>0</v>
      </c>
      <c r="M144" s="199" cm="1">
        <f t="array" aca="1" ref="M144" ca="1">IF(OR($B144="",$B144="X",$D144="",$D144="X",$E144="",$E144="X"),0,IFERROR(_xlfn.LET(_xlpm.x,SUM(SUM(_xlfn._xlws.FILTER(VALUE(PptoSty[Sign]&amp;1)*(1/PptoSty[Division]),(PptoSty[Division]&lt;&gt;0)*(PptoSty[Division]&lt;&gt;"")*(PptoSty[Division]&lt;&gt;"X")*(PptoSty[Project]=$B144)*(PptoSty[Vrs]=$D144)*(PptoSty[PiRow]=_xlfn.TEXTAFTER($H144,":"))*(PptoSty[PiColumn]=M$54),0)),SUM(IF((INDIRECT($B$3)=$B144)*(INDIRECT($C$3)=$D144)*((INDIRECT($E$3)="TOTS")+(INDIRECT($E$3)=$E144)),INDIRECT(M$3)))),_xlpm.y,SUM(_xlfn.CHOOSECOLS(_xlfn._xlws.FILTER(F_RT14[],(F_RT14[PrjId]=$B144)*(F_RT14[Vrs]=$D144)*(_xlfn.TEXTAFTER(F_RT14[ActGrp],":")=_xlfn.TEXTAFTER($H144,":")),"X"),MATCH("*"&amp;M$54,F_RT14[#Headers],0))),IF(AND(_xlpm.x=0,_xlpm.y&lt;&gt;0),-1,IF(AND(_xlpm.x&lt;&gt;0,_xlpm.y&lt;&gt;0),_xlpm.x,IF(AND(_xlpm.x-SUM(IF((INDIRECT($B$3)=$B144)*(INDIRECT($C$3)=$D144)*((INDIRECT($E$3)="TOTS")+(INDIRECT($E$3)=$E144)),INDIRECT(M$3)))&lt;&gt;0,_xlpm.y=0),-2,_xlpm.x)))),0))</f>
        <v>0</v>
      </c>
      <c r="N144" s="199" cm="1">
        <f t="array" aca="1" ref="N144" ca="1">IF(OR($B144="",$B144="X",$D144="",$D144="X",$E144="",$E144="X"),0,IFERROR(_xlfn.LET(_xlpm.x,SUM(SUM(_xlfn._xlws.FILTER(VALUE(PptoSty[Sign]&amp;1)*(1/PptoSty[Division]),(PptoSty[Division]&lt;&gt;0)*(PptoSty[Division]&lt;&gt;"")*(PptoSty[Division]&lt;&gt;"X")*(PptoSty[Project]=$B144)*(PptoSty[Vrs]=$D144)*(PptoSty[PiRow]=_xlfn.TEXTAFTER($H144,":"))*(PptoSty[PiColumn]=N$54),0)),SUM(IF((INDIRECT($B$3)=$B144)*(INDIRECT($C$3)=$D144)*((INDIRECT($E$3)="TOTS")+(INDIRECT($E$3)=$E144)),INDIRECT(N$3)))),_xlpm.y,SUM(_xlfn.CHOOSECOLS(_xlfn._xlws.FILTER(F_RT14[],(F_RT14[PrjId]=$B144)*(F_RT14[Vrs]=$D144)*(_xlfn.TEXTAFTER(F_RT14[ActGrp],":")=_xlfn.TEXTAFTER($H144,":")),"X"),MATCH("*"&amp;N$54,F_RT14[#Headers],0))),IF(AND(_xlpm.x=0,_xlpm.y&lt;&gt;0),-1,IF(AND(_xlpm.x&lt;&gt;0,_xlpm.y&lt;&gt;0),_xlpm.x,IF(AND(_xlpm.x-SUM(IF((INDIRECT($B$3)=$B144)*(INDIRECT($C$3)=$D144)*((INDIRECT($E$3)="TOTS")+(INDIRECT($E$3)=$E144)),INDIRECT(N$3)))&lt;&gt;0,_xlpm.y=0),-2,_xlpm.x)))),0))</f>
        <v>0</v>
      </c>
      <c r="O144" s="199" cm="1">
        <f t="array" aca="1" ref="O144" ca="1">IF(OR($B144="",$B144="X",$D144="",$D144="X",$E144="",$E144="X"),0,IFERROR(_xlfn.LET(_xlpm.x,SUM(SUM(_xlfn._xlws.FILTER(VALUE(PptoSty[Sign]&amp;1)*(1/PptoSty[Division]),(PptoSty[Division]&lt;&gt;0)*(PptoSty[Division]&lt;&gt;"")*(PptoSty[Division]&lt;&gt;"X")*(PptoSty[Project]=$B144)*(PptoSty[Vrs]=$D144)*(PptoSty[PiRow]=_xlfn.TEXTAFTER($H144,":"))*(PptoSty[PiColumn]=O$54),0)),SUM(IF((INDIRECT($B$3)=$B144)*(INDIRECT($C$3)=$D144)*((INDIRECT($E$3)="TOTS")+(INDIRECT($E$3)=$E144)),INDIRECT(O$3)))),_xlpm.y,SUM(_xlfn.CHOOSECOLS(_xlfn._xlws.FILTER(F_RT14[],(F_RT14[PrjId]=$B144)*(F_RT14[Vrs]=$D144)*(_xlfn.TEXTAFTER(F_RT14[ActGrp],":")=_xlfn.TEXTAFTER($H144,":")),"X"),MATCH("*"&amp;O$54,F_RT14[#Headers],0))),IF(AND(_xlpm.x=0,_xlpm.y&lt;&gt;0),-1,IF(AND(_xlpm.x&lt;&gt;0,_xlpm.y&lt;&gt;0),_xlpm.x,IF(AND(_xlpm.x-SUM(IF((INDIRECT($B$3)=$B144)*(INDIRECT($C$3)=$D144)*((INDIRECT($E$3)="TOTS")+(INDIRECT($E$3)=$E144)),INDIRECT(O$3)))&lt;&gt;0,_xlpm.y=0),-2,_xlpm.x)))),0))</f>
        <v>0</v>
      </c>
      <c r="P144" s="199" cm="1">
        <f t="array" aca="1" ref="P144" ca="1">IF(OR($B144="",$B144="X",$D144="",$D144="X",$E144="",$E144="X"),0,IFERROR(_xlfn.LET(_xlpm.x,SUM(SUM(_xlfn._xlws.FILTER(VALUE(PptoSty[Sign]&amp;1)*(1/PptoSty[Division]),(PptoSty[Division]&lt;&gt;0)*(PptoSty[Division]&lt;&gt;"")*(PptoSty[Division]&lt;&gt;"X")*(PptoSty[Project]=$B144)*(PptoSty[Vrs]=$D144)*(PptoSty[PiRow]=_xlfn.TEXTAFTER($H144,":"))*(PptoSty[PiColumn]=P$54),0)),SUM(IF((INDIRECT($B$3)=$B144)*(INDIRECT($C$3)=$D144)*((INDIRECT($E$3)="TOTS")+(INDIRECT($E$3)=$E144)),INDIRECT(P$3)))),_xlpm.y,SUM(_xlfn.CHOOSECOLS(_xlfn._xlws.FILTER(F_RT14[],(F_RT14[PrjId]=$B144)*(F_RT14[Vrs]=$D144)*(_xlfn.TEXTAFTER(F_RT14[ActGrp],":")=_xlfn.TEXTAFTER($H144,":")),"X"),MATCH("*"&amp;P$54,F_RT14[#Headers],0))),IF(AND(_xlpm.x=0,_xlpm.y&lt;&gt;0),-1,IF(AND(_xlpm.x&lt;&gt;0,_xlpm.y&lt;&gt;0),_xlpm.x,IF(AND(_xlpm.x-SUM(IF((INDIRECT($B$3)=$B144)*(INDIRECT($C$3)=$D144)*((INDIRECT($E$3)="TOTS")+(INDIRECT($E$3)=$E144)),INDIRECT(P$3)))&lt;&gt;0,_xlpm.y=0),-2,_xlpm.x)))),0))</f>
        <v>0</v>
      </c>
      <c r="Q144" s="199" cm="1">
        <f t="array" aca="1" ref="Q144" ca="1">IF(OR($B144="",$B144="X",$D144="",$D144="X",$E144="",$E144="X"),0,IFERROR(_xlfn.LET(_xlpm.x,SUM(SUM(_xlfn._xlws.FILTER(VALUE(PptoSty[Sign]&amp;1)*(1/PptoSty[Division]),(PptoSty[Division]&lt;&gt;0)*(PptoSty[Division]&lt;&gt;"")*(PptoSty[Division]&lt;&gt;"X")*(PptoSty[Project]=$B144)*(PptoSty[Vrs]=$D144)*(PptoSty[PiRow]=_xlfn.TEXTAFTER($H144,":"))*(PptoSty[PiColumn]=Q$54),0)),SUM(IF((INDIRECT($B$3)=$B144)*(INDIRECT($C$3)=$D144)*((INDIRECT($E$3)="TOTS")+(INDIRECT($E$3)=$E144)),INDIRECT(Q$3)))),_xlpm.y,SUM(_xlfn.CHOOSECOLS(_xlfn._xlws.FILTER(F_RT14[],(F_RT14[PrjId]=$B144)*(F_RT14[Vrs]=$D144)*(_xlfn.TEXTAFTER(F_RT14[ActGrp],":")=_xlfn.TEXTAFTER($H144,":")),"X"),MATCH("*"&amp;Q$54,F_RT14[#Headers],0))),IF(AND(_xlpm.x=0,_xlpm.y&lt;&gt;0),-1,IF(AND(_xlpm.x&lt;&gt;0,_xlpm.y&lt;&gt;0),_xlpm.x,IF(AND(_xlpm.x-SUM(IF((INDIRECT($B$3)=$B144)*(INDIRECT($C$3)=$D144)*((INDIRECT($E$3)="TOTS")+(INDIRECT($E$3)=$E144)),INDIRECT(Q$3)))&lt;&gt;0,_xlpm.y=0),-2,_xlpm.x)))),0))</f>
        <v>0</v>
      </c>
      <c r="R144" s="199" cm="1">
        <f t="array" aca="1" ref="R144" ca="1">IF(OR($B144="",$B144="X",$D144="",$D144="X",$E144="",$E144="X"),0,IFERROR(_xlfn.LET(_xlpm.x,SUM(SUM(_xlfn._xlws.FILTER(VALUE(PptoSty[Sign]&amp;1)*(1/PptoSty[Division]),(PptoSty[Division]&lt;&gt;0)*(PptoSty[Division]&lt;&gt;"")*(PptoSty[Division]&lt;&gt;"X")*(PptoSty[Project]=$B144)*(PptoSty[Vrs]=$D144)*(PptoSty[PiRow]=_xlfn.TEXTAFTER($H144,":"))*(PptoSty[PiColumn]=R$54),0)),SUM(IF((INDIRECT($B$3)=$B144)*(INDIRECT($C$3)=$D144)*((INDIRECT($E$3)="TOTS")+(INDIRECT($E$3)=$E144)),INDIRECT(R$3)))),_xlpm.y,SUM(_xlfn.CHOOSECOLS(_xlfn._xlws.FILTER(F_RT14[],(F_RT14[PrjId]=$B144)*(F_RT14[Vrs]=$D144)*(_xlfn.TEXTAFTER(F_RT14[ActGrp],":")=_xlfn.TEXTAFTER($H144,":")),"X"),MATCH("*"&amp;R$54,F_RT14[#Headers],0))),IF(AND(_xlpm.x=0,_xlpm.y&lt;&gt;0),-1,IF(AND(_xlpm.x&lt;&gt;0,_xlpm.y&lt;&gt;0),_xlpm.x,IF(AND(_xlpm.x-SUM(IF((INDIRECT($B$3)=$B144)*(INDIRECT($C$3)=$D144)*((INDIRECT($E$3)="TOTS")+(INDIRECT($E$3)=$E144)),INDIRECT(R$3)))&lt;&gt;0,_xlpm.y=0),-2,_xlpm.x)))),0))</f>
        <v>0</v>
      </c>
      <c r="S144" s="199" cm="1">
        <f t="array" aca="1" ref="S144" ca="1">IF(OR($B144="",$B144="X",$D144="",$D144="X",$E144="",$E144="X"),0,IFERROR(_xlfn.LET(_xlpm.x,SUM(SUM(_xlfn._xlws.FILTER(VALUE(PptoSty[Sign]&amp;1)*(1/PptoSty[Division]),(PptoSty[Division]&lt;&gt;0)*(PptoSty[Division]&lt;&gt;"")*(PptoSty[Division]&lt;&gt;"X")*(PptoSty[Project]=$B144)*(PptoSty[Vrs]=$D144)*(PptoSty[PiRow]=_xlfn.TEXTAFTER($H144,":"))*(PptoSty[PiColumn]=S$54),0)),SUM(IF((INDIRECT($B$3)=$B144)*(INDIRECT($C$3)=$D144)*((INDIRECT($E$3)="TOTS")+(INDIRECT($E$3)=$E144)),INDIRECT(S$3)))),_xlpm.y,SUM(_xlfn.CHOOSECOLS(_xlfn._xlws.FILTER(F_RT14[],(F_RT14[PrjId]=$B144)*(F_RT14[Vrs]=$D144)*(_xlfn.TEXTAFTER(F_RT14[ActGrp],":")=_xlfn.TEXTAFTER($H144,":")),"X"),MATCH("*"&amp;S$54,F_RT14[#Headers],0))),IF(AND(_xlpm.x=0,_xlpm.y&lt;&gt;0),-1,IF(AND(_xlpm.x&lt;&gt;0,_xlpm.y&lt;&gt;0),_xlpm.x,IF(AND(_xlpm.x-SUM(IF((INDIRECT($B$3)=$B144)*(INDIRECT($C$3)=$D144)*((INDIRECT($E$3)="TOTS")+(INDIRECT($E$3)=$E144)),INDIRECT(S$3)))&lt;&gt;0,_xlpm.y=0),-2,_xlpm.x)))),0))</f>
        <v>0</v>
      </c>
      <c r="T144" s="199" cm="1">
        <f t="array" aca="1" ref="T144" ca="1">IF(OR($B144="",$B144="X",$D144="",$D144="X",$E144="",$E144="X"),0,IFERROR(_xlfn.LET(_xlpm.x,SUM(SUM(_xlfn._xlws.FILTER(VALUE(PptoSty[Sign]&amp;1)*(1/PptoSty[Division]),(PptoSty[Division]&lt;&gt;0)*(PptoSty[Division]&lt;&gt;"")*(PptoSty[Division]&lt;&gt;"X")*(PptoSty[Project]=$B144)*(PptoSty[Vrs]=$D144)*(PptoSty[PiRow]=_xlfn.TEXTAFTER($H144,":"))*(PptoSty[PiColumn]=T$54),0)),SUM(IF((INDIRECT($B$3)=$B144)*(INDIRECT($C$3)=$D144)*((INDIRECT($E$3)="TOTS")+(INDIRECT($E$3)=$E144)),INDIRECT(T$3)))),_xlpm.y,SUM(_xlfn.CHOOSECOLS(_xlfn._xlws.FILTER(F_RT14[],(F_RT14[PrjId]=$B144)*(F_RT14[Vrs]=$D144)*(_xlfn.TEXTAFTER(F_RT14[ActGrp],":")=_xlfn.TEXTAFTER($H144,":")),"X"),MATCH("*"&amp;T$54,F_RT14[#Headers],0))),IF(AND(_xlpm.x=0,_xlpm.y&lt;&gt;0),-1,IF(AND(_xlpm.x&lt;&gt;0,_xlpm.y&lt;&gt;0),_xlpm.x,IF(AND(_xlpm.x-SUM(IF((INDIRECT($B$3)=$B144)*(INDIRECT($C$3)=$D144)*((INDIRECT($E$3)="TOTS")+(INDIRECT($E$3)=$E144)),INDIRECT(T$3)))&lt;&gt;0,_xlpm.y=0),-2,_xlpm.x)))),0))</f>
        <v>0</v>
      </c>
      <c r="U144" s="199" cm="1">
        <f t="array" aca="1" ref="U144" ca="1">IF(OR($B144="",$B144="X",$D144="",$D144="X",$E144="",$E144="X"),0,IFERROR(_xlfn.LET(_xlpm.x,SUM(SUM(_xlfn._xlws.FILTER(VALUE(PptoSty[Sign]&amp;1)*(1/PptoSty[Division]),(PptoSty[Division]&lt;&gt;0)*(PptoSty[Division]&lt;&gt;"")*(PptoSty[Division]&lt;&gt;"X")*(PptoSty[Project]=$B144)*(PptoSty[Vrs]=$D144)*(PptoSty[PiRow]=_xlfn.TEXTAFTER($H144,":"))*(PptoSty[PiColumn]=U$54),0)),SUM(IF((INDIRECT($B$3)=$B144)*(INDIRECT($C$3)=$D144)*((INDIRECT($E$3)="TOTS")+(INDIRECT($E$3)=$E144)),INDIRECT(U$3)))),_xlpm.y,SUM(_xlfn.CHOOSECOLS(_xlfn._xlws.FILTER(F_RT14[],(F_RT14[PrjId]=$B144)*(F_RT14[Vrs]=$D144)*(_xlfn.TEXTAFTER(F_RT14[ActGrp],":")=_xlfn.TEXTAFTER($H144,":")),"X"),MATCH("*"&amp;U$54,F_RT14[#Headers],0))),IF(AND(_xlpm.x=0,_xlpm.y&lt;&gt;0),-1,IF(AND(_xlpm.x&lt;&gt;0,_xlpm.y&lt;&gt;0),_xlpm.x,IF(AND(_xlpm.x-SUM(IF((INDIRECT($B$3)=$B144)*(INDIRECT($C$3)=$D144)*((INDIRECT($E$3)="TOTS")+(INDIRECT($E$3)=$E144)),INDIRECT(U$3)))&lt;&gt;0,_xlpm.y=0),-2,_xlpm.x)))),0))</f>
        <v>0</v>
      </c>
      <c r="V144" s="199" cm="1">
        <f t="array" aca="1" ref="V144" ca="1">IF(OR($B144="",$B144="X",$D144="",$D144="X",$E144="",$E144="X"),0,IFERROR(_xlfn.LET(_xlpm.x,SUM(SUM(_xlfn._xlws.FILTER(VALUE(PptoSty[Sign]&amp;1)*(1/PptoSty[Division]),(PptoSty[Division]&lt;&gt;0)*(PptoSty[Division]&lt;&gt;"")*(PptoSty[Division]&lt;&gt;"X")*(PptoSty[Project]=$B144)*(PptoSty[Vrs]=$D144)*(PptoSty[PiRow]=_xlfn.TEXTAFTER($H144,":"))*(PptoSty[PiColumn]=V$54),0)),SUM(IF((INDIRECT($B$3)=$B144)*(INDIRECT($C$3)=$D144)*((INDIRECT($E$3)="TOTS")+(INDIRECT($E$3)=$E144)),INDIRECT(V$3)))),_xlpm.y,SUM(_xlfn.CHOOSECOLS(_xlfn._xlws.FILTER(F_RT14[],(F_RT14[PrjId]=$B144)*(F_RT14[Vrs]=$D144)*(_xlfn.TEXTAFTER(F_RT14[ActGrp],":")=_xlfn.TEXTAFTER($H144,":")),"X"),MATCH("*"&amp;V$54,F_RT14[#Headers],0))),IF(AND(_xlpm.x=0,_xlpm.y&lt;&gt;0),-1,IF(AND(_xlpm.x&lt;&gt;0,_xlpm.y&lt;&gt;0),_xlpm.x,IF(AND(_xlpm.x-SUM(IF((INDIRECT($B$3)=$B144)*(INDIRECT($C$3)=$D144)*((INDIRECT($E$3)="TOTS")+(INDIRECT($E$3)=$E144)),INDIRECT(V$3)))&lt;&gt;0,_xlpm.y=0),-2,_xlpm.x)))),0))</f>
        <v>0</v>
      </c>
      <c r="W144" s="199" cm="1">
        <f t="array" aca="1" ref="W144" ca="1">IF(OR($B144="",$B144="X",$D144="",$D144="X",$E144="",$E144="X"),0,IFERROR(_xlfn.LET(_xlpm.x,SUM(SUM(_xlfn._xlws.FILTER(VALUE(PptoSty[Sign]&amp;1)*(1/PptoSty[Division]),(PptoSty[Division]&lt;&gt;0)*(PptoSty[Division]&lt;&gt;"")*(PptoSty[Division]&lt;&gt;"X")*(PptoSty[Project]=$B144)*(PptoSty[Vrs]=$D144)*(PptoSty[PiRow]=_xlfn.TEXTAFTER($H144,":"))*(PptoSty[PiColumn]=W$54),0)),SUM(IF((INDIRECT($B$3)=$B144)*(INDIRECT($C$3)=$D144)*((INDIRECT($E$3)="TOTS")+(INDIRECT($E$3)=$E144)),INDIRECT(W$3)))),_xlpm.y,SUM(_xlfn.CHOOSECOLS(_xlfn._xlws.FILTER(F_RT14[],(F_RT14[PrjId]=$B144)*(F_RT14[Vrs]=$D144)*(_xlfn.TEXTAFTER(F_RT14[ActGrp],":")=_xlfn.TEXTAFTER($H144,":")),"X"),MATCH("*"&amp;W$54,F_RT14[#Headers],0))),IF(AND(_xlpm.x=0,_xlpm.y&lt;&gt;0),-1,IF(AND(_xlpm.x&lt;&gt;0,_xlpm.y&lt;&gt;0),_xlpm.x,IF(AND(_xlpm.x-SUM(IF((INDIRECT($B$3)=$B144)*(INDIRECT($C$3)=$D144)*((INDIRECT($E$3)="TOTS")+(INDIRECT($E$3)=$E144)),INDIRECT(W$3)))&lt;&gt;0,_xlpm.y=0),-2,_xlpm.x)))),0))</f>
        <v>0</v>
      </c>
      <c r="X144" s="199" cm="1">
        <f t="array" aca="1" ref="X144" ca="1">IF(OR($B144="",$B144="X",$D144="",$D144="X",$E144="",$E144="X"),0,IFERROR(_xlfn.LET(_xlpm.x,SUM(SUM(_xlfn._xlws.FILTER(VALUE(PptoSty[Sign]&amp;1)*(1/PptoSty[Division]),(PptoSty[Division]&lt;&gt;0)*(PptoSty[Division]&lt;&gt;"")*(PptoSty[Division]&lt;&gt;"X")*(PptoSty[Project]=$B144)*(PptoSty[Vrs]=$D144)*(PptoSty[PiRow]=_xlfn.TEXTAFTER($H144,":"))*(PptoSty[PiColumn]=X$54),0)),SUM(IF((INDIRECT($B$3)=$B144)*(INDIRECT($C$3)=$D144)*((INDIRECT($E$3)="TOTS")+(INDIRECT($E$3)=$E144)),INDIRECT(X$3)))),_xlpm.y,SUM(_xlfn.CHOOSECOLS(_xlfn._xlws.FILTER(F_RT14[],(F_RT14[PrjId]=$B144)*(F_RT14[Vrs]=$D144)*(_xlfn.TEXTAFTER(F_RT14[ActGrp],":")=_xlfn.TEXTAFTER($H144,":")),"X"),MATCH("*"&amp;X$54,F_RT14[#Headers],0))),IF(AND(_xlpm.x=0,_xlpm.y&lt;&gt;0),-1,IF(AND(_xlpm.x&lt;&gt;0,_xlpm.y&lt;&gt;0),_xlpm.x,IF(AND(_xlpm.x-SUM(IF((INDIRECT($B$3)=$B144)*(INDIRECT($C$3)=$D144)*((INDIRECT($E$3)="TOTS")+(INDIRECT($E$3)=$E144)),INDIRECT(X$3)))&lt;&gt;0,_xlpm.y=0),-2,_xlpm.x)))),0))</f>
        <v>0</v>
      </c>
      <c r="Y144" s="199" cm="1">
        <f t="array" aca="1" ref="Y144" ca="1">IF(OR($B144="",$B144="X",$D144="",$D144="X",$E144="",$E144="X"),0,IFERROR(_xlfn.LET(_xlpm.x,SUM(SUM(_xlfn._xlws.FILTER(VALUE(PptoSty[Sign]&amp;1)*(1/PptoSty[Division]),(PptoSty[Division]&lt;&gt;0)*(PptoSty[Division]&lt;&gt;"")*(PptoSty[Division]&lt;&gt;"X")*(PptoSty[Project]=$B144)*(PptoSty[Vrs]=$D144)*(PptoSty[PiRow]=_xlfn.TEXTAFTER($H144,":"))*(PptoSty[PiColumn]=Y$54),0)),SUM(IF((INDIRECT($B$3)=$B144)*(INDIRECT($C$3)=$D144)*((INDIRECT($E$3)="TOTS")+(INDIRECT($E$3)=$E144)),INDIRECT(Y$3)))),_xlpm.y,SUM(_xlfn.CHOOSECOLS(_xlfn._xlws.FILTER(F_RT14[],(F_RT14[PrjId]=$B144)*(F_RT14[Vrs]=$D144)*(_xlfn.TEXTAFTER(F_RT14[ActGrp],":")=_xlfn.TEXTAFTER($H144,":")),"X"),MATCH("*"&amp;Y$54,F_RT14[#Headers],0))),IF(AND(_xlpm.x=0,_xlpm.y&lt;&gt;0),-1,IF(AND(_xlpm.x&lt;&gt;0,_xlpm.y&lt;&gt;0),_xlpm.x,IF(AND(_xlpm.x-SUM(IF((INDIRECT($B$3)=$B144)*(INDIRECT($C$3)=$D144)*((INDIRECT($E$3)="TOTS")+(INDIRECT($E$3)=$E144)),INDIRECT(Y$3)))&lt;&gt;0,_xlpm.y=0),-2,_xlpm.x)))),0))</f>
        <v>0</v>
      </c>
      <c r="Z144" s="198" t="str">
        <f t="shared" ca="1" si="3"/>
        <v>Fback!B144:Y144</v>
      </c>
    </row>
    <row r="145" spans="2:26" ht="21" customHeight="1" outlineLevel="1">
      <c r="B145" s="128" t="str">
        <v>31200</v>
      </c>
      <c r="C145" s="128" t="str">
        <v>Sp</v>
      </c>
      <c r="D145" s="128">
        <v>16</v>
      </c>
      <c r="E145" s="128" t="str">
        <v>TOOL</v>
      </c>
      <c r="F145" s="139" t="str">
        <v>SERRA</v>
      </c>
      <c r="G145" s="139" t="str">
        <v>CurPpto</v>
      </c>
      <c r="H145" s="139" t="str">
        <v>P008:OP-420.1+2 WELDING (GEO)</v>
      </c>
      <c r="I145" s="199" cm="1">
        <f t="array" aca="1" ref="I145" ca="1">IF(OR($B145="",$B145="X",$D145="",$D145="X",$E145="",$E145="X"),0,IFERROR(_xlfn.LET(_xlpm.x,SUM(SUM(_xlfn._xlws.FILTER(VALUE(PptoSty[Sign]&amp;1)*(1/PptoSty[Division]),(PptoSty[Division]&lt;&gt;0)*(PptoSty[Division]&lt;&gt;"")*(PptoSty[Division]&lt;&gt;"X")*(PptoSty[Project]=$B145)*(PptoSty[Vrs]=$D145)*(PptoSty[PiRow]=_xlfn.TEXTAFTER($H145,":"))*(PptoSty[PiColumn]=I$54),0)),SUM(IF((INDIRECT($B$3)=$B145)*(INDIRECT($C$3)=$D145)*((INDIRECT($E$3)="TOTS")+(INDIRECT($E$3)=$E145)),INDIRECT(I$3)))),_xlpm.y,SUM(_xlfn.CHOOSECOLS(_xlfn._xlws.FILTER(F_RT14[],(F_RT14[PrjId]=$B145)*(F_RT14[Vrs]=$D145)*(_xlfn.TEXTAFTER(F_RT14[ActGrp],":")=_xlfn.TEXTAFTER($H145,":")),"X"),MATCH("*"&amp;I$54,F_RT14[#Headers],0))),IF(AND(_xlpm.x=0,_xlpm.y&lt;&gt;0),-1,IF(AND(_xlpm.x&lt;&gt;0,_xlpm.y&lt;&gt;0),_xlpm.x,IF(AND(_xlpm.x-SUM(IF((INDIRECT($B$3)=$B145)*(INDIRECT($C$3)=$D145)*((INDIRECT($E$3)="TOTS")+(INDIRECT($E$3)=$E145)),INDIRECT(I$3)))&lt;&gt;0,_xlpm.y=0),-2,_xlpm.x)))),0))</f>
        <v>0</v>
      </c>
      <c r="J145" s="199" cm="1">
        <f t="array" aca="1" ref="J145" ca="1">IF(OR($B145="",$B145="X",$D145="",$D145="X",$E145="",$E145="X"),0,IFERROR(_xlfn.LET(_xlpm.x,SUM(SUM(_xlfn._xlws.FILTER(VALUE(PptoSty[Sign]&amp;1)*(1/PptoSty[Division]),(PptoSty[Division]&lt;&gt;0)*(PptoSty[Division]&lt;&gt;"")*(PptoSty[Division]&lt;&gt;"X")*(PptoSty[Project]=$B145)*(PptoSty[Vrs]=$D145)*(PptoSty[PiRow]=_xlfn.TEXTAFTER($H145,":"))*(PptoSty[PiColumn]=J$54),0)),SUM(IF((INDIRECT($B$3)=$B145)*(INDIRECT($C$3)=$D145)*((INDIRECT($E$3)="TOTS")+(INDIRECT($E$3)=$E145)),INDIRECT(J$3)))),_xlpm.y,SUM(_xlfn.CHOOSECOLS(_xlfn._xlws.FILTER(F_RT14[],(F_RT14[PrjId]=$B145)*(F_RT14[Vrs]=$D145)*(_xlfn.TEXTAFTER(F_RT14[ActGrp],":")=_xlfn.TEXTAFTER($H145,":")),"X"),MATCH("*"&amp;J$54,F_RT14[#Headers],0))),IF(AND(_xlpm.x=0,_xlpm.y&lt;&gt;0),-1,IF(AND(_xlpm.x&lt;&gt;0,_xlpm.y&lt;&gt;0),_xlpm.x,IF(AND(_xlpm.x-SUM(IF((INDIRECT($B$3)=$B145)*(INDIRECT($C$3)=$D145)*((INDIRECT($E$3)="TOTS")+(INDIRECT($E$3)=$E145)),INDIRECT(J$3)))&lt;&gt;0,_xlpm.y=0),-2,_xlpm.x)))),0))</f>
        <v>0</v>
      </c>
      <c r="K145" s="199" cm="1">
        <f t="array" aca="1" ref="K145" ca="1">IF(OR($B145="",$B145="X",$D145="",$D145="X",$E145="",$E145="X"),0,IFERROR(_xlfn.LET(_xlpm.x,SUM(SUM(_xlfn._xlws.FILTER(VALUE(PptoSty[Sign]&amp;1)*(1/PptoSty[Division]),(PptoSty[Division]&lt;&gt;0)*(PptoSty[Division]&lt;&gt;"")*(PptoSty[Division]&lt;&gt;"X")*(PptoSty[Project]=$B145)*(PptoSty[Vrs]=$D145)*(PptoSty[PiRow]=_xlfn.TEXTAFTER($H145,":"))*(PptoSty[PiColumn]=K$54),0)),SUM(IF((INDIRECT($B$3)=$B145)*(INDIRECT($C$3)=$D145)*((INDIRECT($E$3)="TOTS")+(INDIRECT($E$3)=$E145)),INDIRECT(K$3)))),_xlpm.y,SUM(_xlfn.CHOOSECOLS(_xlfn._xlws.FILTER(F_RT14[],(F_RT14[PrjId]=$B145)*(F_RT14[Vrs]=$D145)*(_xlfn.TEXTAFTER(F_RT14[ActGrp],":")=_xlfn.TEXTAFTER($H145,":")),"X"),MATCH("*"&amp;K$54,F_RT14[#Headers],0))),IF(AND(_xlpm.x=0,_xlpm.y&lt;&gt;0),-1,IF(AND(_xlpm.x&lt;&gt;0,_xlpm.y&lt;&gt;0),_xlpm.x,IF(AND(_xlpm.x-SUM(IF((INDIRECT($B$3)=$B145)*(INDIRECT($C$3)=$D145)*((INDIRECT($E$3)="TOTS")+(INDIRECT($E$3)=$E145)),INDIRECT(K$3)))&lt;&gt;0,_xlpm.y=0),-2,_xlpm.x)))),0))</f>
        <v>-1</v>
      </c>
      <c r="L145" s="199" cm="1">
        <f t="array" aca="1" ref="L145" ca="1">IF(OR($B145="",$B145="X",$D145="",$D145="X",$E145="",$E145="X"),0,IFERROR(_xlfn.LET(_xlpm.x,SUM(SUM(_xlfn._xlws.FILTER(VALUE(PptoSty[Sign]&amp;1)*(1/PptoSty[Division]),(PptoSty[Division]&lt;&gt;0)*(PptoSty[Division]&lt;&gt;"")*(PptoSty[Division]&lt;&gt;"X")*(PptoSty[Project]=$B145)*(PptoSty[Vrs]=$D145)*(PptoSty[PiRow]=_xlfn.TEXTAFTER($H145,":"))*(PptoSty[PiColumn]=L$54),0)),SUM(IF((INDIRECT($B$3)=$B145)*(INDIRECT($C$3)=$D145)*((INDIRECT($E$3)="TOTS")+(INDIRECT($E$3)=$E145)),INDIRECT(L$3)))),_xlpm.y,SUM(_xlfn.CHOOSECOLS(_xlfn._xlws.FILTER(F_RT14[],(F_RT14[PrjId]=$B145)*(F_RT14[Vrs]=$D145)*(_xlfn.TEXTAFTER(F_RT14[ActGrp],":")=_xlfn.TEXTAFTER($H145,":")),"X"),MATCH("*"&amp;L$54,F_RT14[#Headers],0))),IF(AND(_xlpm.x=0,_xlpm.y&lt;&gt;0),-1,IF(AND(_xlpm.x&lt;&gt;0,_xlpm.y&lt;&gt;0),_xlpm.x,IF(AND(_xlpm.x-SUM(IF((INDIRECT($B$3)=$B145)*(INDIRECT($C$3)=$D145)*((INDIRECT($E$3)="TOTS")+(INDIRECT($E$3)=$E145)),INDIRECT(L$3)))&lt;&gt;0,_xlpm.y=0),-2,_xlpm.x)))),0))</f>
        <v>0</v>
      </c>
      <c r="M145" s="199" cm="1">
        <f t="array" aca="1" ref="M145" ca="1">IF(OR($B145="",$B145="X",$D145="",$D145="X",$E145="",$E145="X"),0,IFERROR(_xlfn.LET(_xlpm.x,SUM(SUM(_xlfn._xlws.FILTER(VALUE(PptoSty[Sign]&amp;1)*(1/PptoSty[Division]),(PptoSty[Division]&lt;&gt;0)*(PptoSty[Division]&lt;&gt;"")*(PptoSty[Division]&lt;&gt;"X")*(PptoSty[Project]=$B145)*(PptoSty[Vrs]=$D145)*(PptoSty[PiRow]=_xlfn.TEXTAFTER($H145,":"))*(PptoSty[PiColumn]=M$54),0)),SUM(IF((INDIRECT($B$3)=$B145)*(INDIRECT($C$3)=$D145)*((INDIRECT($E$3)="TOTS")+(INDIRECT($E$3)=$E145)),INDIRECT(M$3)))),_xlpm.y,SUM(_xlfn.CHOOSECOLS(_xlfn._xlws.FILTER(F_RT14[],(F_RT14[PrjId]=$B145)*(F_RT14[Vrs]=$D145)*(_xlfn.TEXTAFTER(F_RT14[ActGrp],":")=_xlfn.TEXTAFTER($H145,":")),"X"),MATCH("*"&amp;M$54,F_RT14[#Headers],0))),IF(AND(_xlpm.x=0,_xlpm.y&lt;&gt;0),-1,IF(AND(_xlpm.x&lt;&gt;0,_xlpm.y&lt;&gt;0),_xlpm.x,IF(AND(_xlpm.x-SUM(IF((INDIRECT($B$3)=$B145)*(INDIRECT($C$3)=$D145)*((INDIRECT($E$3)="TOTS")+(INDIRECT($E$3)=$E145)),INDIRECT(M$3)))&lt;&gt;0,_xlpm.y=0),-2,_xlpm.x)))),0))</f>
        <v>0</v>
      </c>
      <c r="N145" s="199" cm="1">
        <f t="array" aca="1" ref="N145" ca="1">IF(OR($B145="",$B145="X",$D145="",$D145="X",$E145="",$E145="X"),0,IFERROR(_xlfn.LET(_xlpm.x,SUM(SUM(_xlfn._xlws.FILTER(VALUE(PptoSty[Sign]&amp;1)*(1/PptoSty[Division]),(PptoSty[Division]&lt;&gt;0)*(PptoSty[Division]&lt;&gt;"")*(PptoSty[Division]&lt;&gt;"X")*(PptoSty[Project]=$B145)*(PptoSty[Vrs]=$D145)*(PptoSty[PiRow]=_xlfn.TEXTAFTER($H145,":"))*(PptoSty[PiColumn]=N$54),0)),SUM(IF((INDIRECT($B$3)=$B145)*(INDIRECT($C$3)=$D145)*((INDIRECT($E$3)="TOTS")+(INDIRECT($E$3)=$E145)),INDIRECT(N$3)))),_xlpm.y,SUM(_xlfn.CHOOSECOLS(_xlfn._xlws.FILTER(F_RT14[],(F_RT14[PrjId]=$B145)*(F_RT14[Vrs]=$D145)*(_xlfn.TEXTAFTER(F_RT14[ActGrp],":")=_xlfn.TEXTAFTER($H145,":")),"X"),MATCH("*"&amp;N$54,F_RT14[#Headers],0))),IF(AND(_xlpm.x=0,_xlpm.y&lt;&gt;0),-1,IF(AND(_xlpm.x&lt;&gt;0,_xlpm.y&lt;&gt;0),_xlpm.x,IF(AND(_xlpm.x-SUM(IF((INDIRECT($B$3)=$B145)*(INDIRECT($C$3)=$D145)*((INDIRECT($E$3)="TOTS")+(INDIRECT($E$3)=$E145)),INDIRECT(N$3)))&lt;&gt;0,_xlpm.y=0),-2,_xlpm.x)))),0))</f>
        <v>0</v>
      </c>
      <c r="O145" s="199" cm="1">
        <f t="array" aca="1" ref="O145" ca="1">IF(OR($B145="",$B145="X",$D145="",$D145="X",$E145="",$E145="X"),0,IFERROR(_xlfn.LET(_xlpm.x,SUM(SUM(_xlfn._xlws.FILTER(VALUE(PptoSty[Sign]&amp;1)*(1/PptoSty[Division]),(PptoSty[Division]&lt;&gt;0)*(PptoSty[Division]&lt;&gt;"")*(PptoSty[Division]&lt;&gt;"X")*(PptoSty[Project]=$B145)*(PptoSty[Vrs]=$D145)*(PptoSty[PiRow]=_xlfn.TEXTAFTER($H145,":"))*(PptoSty[PiColumn]=O$54),0)),SUM(IF((INDIRECT($B$3)=$B145)*(INDIRECT($C$3)=$D145)*((INDIRECT($E$3)="TOTS")+(INDIRECT($E$3)=$E145)),INDIRECT(O$3)))),_xlpm.y,SUM(_xlfn.CHOOSECOLS(_xlfn._xlws.FILTER(F_RT14[],(F_RT14[PrjId]=$B145)*(F_RT14[Vrs]=$D145)*(_xlfn.TEXTAFTER(F_RT14[ActGrp],":")=_xlfn.TEXTAFTER($H145,":")),"X"),MATCH("*"&amp;O$54,F_RT14[#Headers],0))),IF(AND(_xlpm.x=0,_xlpm.y&lt;&gt;0),-1,IF(AND(_xlpm.x&lt;&gt;0,_xlpm.y&lt;&gt;0),_xlpm.x,IF(AND(_xlpm.x-SUM(IF((INDIRECT($B$3)=$B145)*(INDIRECT($C$3)=$D145)*((INDIRECT($E$3)="TOTS")+(INDIRECT($E$3)=$E145)),INDIRECT(O$3)))&lt;&gt;0,_xlpm.y=0),-2,_xlpm.x)))),0))</f>
        <v>0</v>
      </c>
      <c r="P145" s="199" cm="1">
        <f t="array" aca="1" ref="P145" ca="1">IF(OR($B145="",$B145="X",$D145="",$D145="X",$E145="",$E145="X"),0,IFERROR(_xlfn.LET(_xlpm.x,SUM(SUM(_xlfn._xlws.FILTER(VALUE(PptoSty[Sign]&amp;1)*(1/PptoSty[Division]),(PptoSty[Division]&lt;&gt;0)*(PptoSty[Division]&lt;&gt;"")*(PptoSty[Division]&lt;&gt;"X")*(PptoSty[Project]=$B145)*(PptoSty[Vrs]=$D145)*(PptoSty[PiRow]=_xlfn.TEXTAFTER($H145,":"))*(PptoSty[PiColumn]=P$54),0)),SUM(IF((INDIRECT($B$3)=$B145)*(INDIRECT($C$3)=$D145)*((INDIRECT($E$3)="TOTS")+(INDIRECT($E$3)=$E145)),INDIRECT(P$3)))),_xlpm.y,SUM(_xlfn.CHOOSECOLS(_xlfn._xlws.FILTER(F_RT14[],(F_RT14[PrjId]=$B145)*(F_RT14[Vrs]=$D145)*(_xlfn.TEXTAFTER(F_RT14[ActGrp],":")=_xlfn.TEXTAFTER($H145,":")),"X"),MATCH("*"&amp;P$54,F_RT14[#Headers],0))),IF(AND(_xlpm.x=0,_xlpm.y&lt;&gt;0),-1,IF(AND(_xlpm.x&lt;&gt;0,_xlpm.y&lt;&gt;0),_xlpm.x,IF(AND(_xlpm.x-SUM(IF((INDIRECT($B$3)=$B145)*(INDIRECT($C$3)=$D145)*((INDIRECT($E$3)="TOTS")+(INDIRECT($E$3)=$E145)),INDIRECT(P$3)))&lt;&gt;0,_xlpm.y=0),-2,_xlpm.x)))),0))</f>
        <v>0</v>
      </c>
      <c r="Q145" s="199" cm="1">
        <f t="array" aca="1" ref="Q145" ca="1">IF(OR($B145="",$B145="X",$D145="",$D145="X",$E145="",$E145="X"),0,IFERROR(_xlfn.LET(_xlpm.x,SUM(SUM(_xlfn._xlws.FILTER(VALUE(PptoSty[Sign]&amp;1)*(1/PptoSty[Division]),(PptoSty[Division]&lt;&gt;0)*(PptoSty[Division]&lt;&gt;"")*(PptoSty[Division]&lt;&gt;"X")*(PptoSty[Project]=$B145)*(PptoSty[Vrs]=$D145)*(PptoSty[PiRow]=_xlfn.TEXTAFTER($H145,":"))*(PptoSty[PiColumn]=Q$54),0)),SUM(IF((INDIRECT($B$3)=$B145)*(INDIRECT($C$3)=$D145)*((INDIRECT($E$3)="TOTS")+(INDIRECT($E$3)=$E145)),INDIRECT(Q$3)))),_xlpm.y,SUM(_xlfn.CHOOSECOLS(_xlfn._xlws.FILTER(F_RT14[],(F_RT14[PrjId]=$B145)*(F_RT14[Vrs]=$D145)*(_xlfn.TEXTAFTER(F_RT14[ActGrp],":")=_xlfn.TEXTAFTER($H145,":")),"X"),MATCH("*"&amp;Q$54,F_RT14[#Headers],0))),IF(AND(_xlpm.x=0,_xlpm.y&lt;&gt;0),-1,IF(AND(_xlpm.x&lt;&gt;0,_xlpm.y&lt;&gt;0),_xlpm.x,IF(AND(_xlpm.x-SUM(IF((INDIRECT($B$3)=$B145)*(INDIRECT($C$3)=$D145)*((INDIRECT($E$3)="TOTS")+(INDIRECT($E$3)=$E145)),INDIRECT(Q$3)))&lt;&gt;0,_xlpm.y=0),-2,_xlpm.x)))),0))</f>
        <v>0</v>
      </c>
      <c r="R145" s="199" cm="1">
        <f t="array" aca="1" ref="R145" ca="1">IF(OR($B145="",$B145="X",$D145="",$D145="X",$E145="",$E145="X"),0,IFERROR(_xlfn.LET(_xlpm.x,SUM(SUM(_xlfn._xlws.FILTER(VALUE(PptoSty[Sign]&amp;1)*(1/PptoSty[Division]),(PptoSty[Division]&lt;&gt;0)*(PptoSty[Division]&lt;&gt;"")*(PptoSty[Division]&lt;&gt;"X")*(PptoSty[Project]=$B145)*(PptoSty[Vrs]=$D145)*(PptoSty[PiRow]=_xlfn.TEXTAFTER($H145,":"))*(PptoSty[PiColumn]=R$54),0)),SUM(IF((INDIRECT($B$3)=$B145)*(INDIRECT($C$3)=$D145)*((INDIRECT($E$3)="TOTS")+(INDIRECT($E$3)=$E145)),INDIRECT(R$3)))),_xlpm.y,SUM(_xlfn.CHOOSECOLS(_xlfn._xlws.FILTER(F_RT14[],(F_RT14[PrjId]=$B145)*(F_RT14[Vrs]=$D145)*(_xlfn.TEXTAFTER(F_RT14[ActGrp],":")=_xlfn.TEXTAFTER($H145,":")),"X"),MATCH("*"&amp;R$54,F_RT14[#Headers],0))),IF(AND(_xlpm.x=0,_xlpm.y&lt;&gt;0),-1,IF(AND(_xlpm.x&lt;&gt;0,_xlpm.y&lt;&gt;0),_xlpm.x,IF(AND(_xlpm.x-SUM(IF((INDIRECT($B$3)=$B145)*(INDIRECT($C$3)=$D145)*((INDIRECT($E$3)="TOTS")+(INDIRECT($E$3)=$E145)),INDIRECT(R$3)))&lt;&gt;0,_xlpm.y=0),-2,_xlpm.x)))),0))</f>
        <v>0</v>
      </c>
      <c r="S145" s="199" cm="1">
        <f t="array" aca="1" ref="S145" ca="1">IF(OR($B145="",$B145="X",$D145="",$D145="X",$E145="",$E145="X"),0,IFERROR(_xlfn.LET(_xlpm.x,SUM(SUM(_xlfn._xlws.FILTER(VALUE(PptoSty[Sign]&amp;1)*(1/PptoSty[Division]),(PptoSty[Division]&lt;&gt;0)*(PptoSty[Division]&lt;&gt;"")*(PptoSty[Division]&lt;&gt;"X")*(PptoSty[Project]=$B145)*(PptoSty[Vrs]=$D145)*(PptoSty[PiRow]=_xlfn.TEXTAFTER($H145,":"))*(PptoSty[PiColumn]=S$54),0)),SUM(IF((INDIRECT($B$3)=$B145)*(INDIRECT($C$3)=$D145)*((INDIRECT($E$3)="TOTS")+(INDIRECT($E$3)=$E145)),INDIRECT(S$3)))),_xlpm.y,SUM(_xlfn.CHOOSECOLS(_xlfn._xlws.FILTER(F_RT14[],(F_RT14[PrjId]=$B145)*(F_RT14[Vrs]=$D145)*(_xlfn.TEXTAFTER(F_RT14[ActGrp],":")=_xlfn.TEXTAFTER($H145,":")),"X"),MATCH("*"&amp;S$54,F_RT14[#Headers],0))),IF(AND(_xlpm.x=0,_xlpm.y&lt;&gt;0),-1,IF(AND(_xlpm.x&lt;&gt;0,_xlpm.y&lt;&gt;0),_xlpm.x,IF(AND(_xlpm.x-SUM(IF((INDIRECT($B$3)=$B145)*(INDIRECT($C$3)=$D145)*((INDIRECT($E$3)="TOTS")+(INDIRECT($E$3)=$E145)),INDIRECT(S$3)))&lt;&gt;0,_xlpm.y=0),-2,_xlpm.x)))),0))</f>
        <v>0</v>
      </c>
      <c r="T145" s="199" cm="1">
        <f t="array" aca="1" ref="T145" ca="1">IF(OR($B145="",$B145="X",$D145="",$D145="X",$E145="",$E145="X"),0,IFERROR(_xlfn.LET(_xlpm.x,SUM(SUM(_xlfn._xlws.FILTER(VALUE(PptoSty[Sign]&amp;1)*(1/PptoSty[Division]),(PptoSty[Division]&lt;&gt;0)*(PptoSty[Division]&lt;&gt;"")*(PptoSty[Division]&lt;&gt;"X")*(PptoSty[Project]=$B145)*(PptoSty[Vrs]=$D145)*(PptoSty[PiRow]=_xlfn.TEXTAFTER($H145,":"))*(PptoSty[PiColumn]=T$54),0)),SUM(IF((INDIRECT($B$3)=$B145)*(INDIRECT($C$3)=$D145)*((INDIRECT($E$3)="TOTS")+(INDIRECT($E$3)=$E145)),INDIRECT(T$3)))),_xlpm.y,SUM(_xlfn.CHOOSECOLS(_xlfn._xlws.FILTER(F_RT14[],(F_RT14[PrjId]=$B145)*(F_RT14[Vrs]=$D145)*(_xlfn.TEXTAFTER(F_RT14[ActGrp],":")=_xlfn.TEXTAFTER($H145,":")),"X"),MATCH("*"&amp;T$54,F_RT14[#Headers],0))),IF(AND(_xlpm.x=0,_xlpm.y&lt;&gt;0),-1,IF(AND(_xlpm.x&lt;&gt;0,_xlpm.y&lt;&gt;0),_xlpm.x,IF(AND(_xlpm.x-SUM(IF((INDIRECT($B$3)=$B145)*(INDIRECT($C$3)=$D145)*((INDIRECT($E$3)="TOTS")+(INDIRECT($E$3)=$E145)),INDIRECT(T$3)))&lt;&gt;0,_xlpm.y=0),-2,_xlpm.x)))),0))</f>
        <v>0</v>
      </c>
      <c r="U145" s="199" cm="1">
        <f t="array" aca="1" ref="U145" ca="1">IF(OR($B145="",$B145="X",$D145="",$D145="X",$E145="",$E145="X"),0,IFERROR(_xlfn.LET(_xlpm.x,SUM(SUM(_xlfn._xlws.FILTER(VALUE(PptoSty[Sign]&amp;1)*(1/PptoSty[Division]),(PptoSty[Division]&lt;&gt;0)*(PptoSty[Division]&lt;&gt;"")*(PptoSty[Division]&lt;&gt;"X")*(PptoSty[Project]=$B145)*(PptoSty[Vrs]=$D145)*(PptoSty[PiRow]=_xlfn.TEXTAFTER($H145,":"))*(PptoSty[PiColumn]=U$54),0)),SUM(IF((INDIRECT($B$3)=$B145)*(INDIRECT($C$3)=$D145)*((INDIRECT($E$3)="TOTS")+(INDIRECT($E$3)=$E145)),INDIRECT(U$3)))),_xlpm.y,SUM(_xlfn.CHOOSECOLS(_xlfn._xlws.FILTER(F_RT14[],(F_RT14[PrjId]=$B145)*(F_RT14[Vrs]=$D145)*(_xlfn.TEXTAFTER(F_RT14[ActGrp],":")=_xlfn.TEXTAFTER($H145,":")),"X"),MATCH("*"&amp;U$54,F_RT14[#Headers],0))),IF(AND(_xlpm.x=0,_xlpm.y&lt;&gt;0),-1,IF(AND(_xlpm.x&lt;&gt;0,_xlpm.y&lt;&gt;0),_xlpm.x,IF(AND(_xlpm.x-SUM(IF((INDIRECT($B$3)=$B145)*(INDIRECT($C$3)=$D145)*((INDIRECT($E$3)="TOTS")+(INDIRECT($E$3)=$E145)),INDIRECT(U$3)))&lt;&gt;0,_xlpm.y=0),-2,_xlpm.x)))),0))</f>
        <v>0</v>
      </c>
      <c r="V145" s="199" cm="1">
        <f t="array" aca="1" ref="V145" ca="1">IF(OR($B145="",$B145="X",$D145="",$D145="X",$E145="",$E145="X"),0,IFERROR(_xlfn.LET(_xlpm.x,SUM(SUM(_xlfn._xlws.FILTER(VALUE(PptoSty[Sign]&amp;1)*(1/PptoSty[Division]),(PptoSty[Division]&lt;&gt;0)*(PptoSty[Division]&lt;&gt;"")*(PptoSty[Division]&lt;&gt;"X")*(PptoSty[Project]=$B145)*(PptoSty[Vrs]=$D145)*(PptoSty[PiRow]=_xlfn.TEXTAFTER($H145,":"))*(PptoSty[PiColumn]=V$54),0)),SUM(IF((INDIRECT($B$3)=$B145)*(INDIRECT($C$3)=$D145)*((INDIRECT($E$3)="TOTS")+(INDIRECT($E$3)=$E145)),INDIRECT(V$3)))),_xlpm.y,SUM(_xlfn.CHOOSECOLS(_xlfn._xlws.FILTER(F_RT14[],(F_RT14[PrjId]=$B145)*(F_RT14[Vrs]=$D145)*(_xlfn.TEXTAFTER(F_RT14[ActGrp],":")=_xlfn.TEXTAFTER($H145,":")),"X"),MATCH("*"&amp;V$54,F_RT14[#Headers],0))),IF(AND(_xlpm.x=0,_xlpm.y&lt;&gt;0),-1,IF(AND(_xlpm.x&lt;&gt;0,_xlpm.y&lt;&gt;0),_xlpm.x,IF(AND(_xlpm.x-SUM(IF((INDIRECT($B$3)=$B145)*(INDIRECT($C$3)=$D145)*((INDIRECT($E$3)="TOTS")+(INDIRECT($E$3)=$E145)),INDIRECT(V$3)))&lt;&gt;0,_xlpm.y=0),-2,_xlpm.x)))),0))</f>
        <v>0</v>
      </c>
      <c r="W145" s="199" cm="1">
        <f t="array" aca="1" ref="W145" ca="1">IF(OR($B145="",$B145="X",$D145="",$D145="X",$E145="",$E145="X"),0,IFERROR(_xlfn.LET(_xlpm.x,SUM(SUM(_xlfn._xlws.FILTER(VALUE(PptoSty[Sign]&amp;1)*(1/PptoSty[Division]),(PptoSty[Division]&lt;&gt;0)*(PptoSty[Division]&lt;&gt;"")*(PptoSty[Division]&lt;&gt;"X")*(PptoSty[Project]=$B145)*(PptoSty[Vrs]=$D145)*(PptoSty[PiRow]=_xlfn.TEXTAFTER($H145,":"))*(PptoSty[PiColumn]=W$54),0)),SUM(IF((INDIRECT($B$3)=$B145)*(INDIRECT($C$3)=$D145)*((INDIRECT($E$3)="TOTS")+(INDIRECT($E$3)=$E145)),INDIRECT(W$3)))),_xlpm.y,SUM(_xlfn.CHOOSECOLS(_xlfn._xlws.FILTER(F_RT14[],(F_RT14[PrjId]=$B145)*(F_RT14[Vrs]=$D145)*(_xlfn.TEXTAFTER(F_RT14[ActGrp],":")=_xlfn.TEXTAFTER($H145,":")),"X"),MATCH("*"&amp;W$54,F_RT14[#Headers],0))),IF(AND(_xlpm.x=0,_xlpm.y&lt;&gt;0),-1,IF(AND(_xlpm.x&lt;&gt;0,_xlpm.y&lt;&gt;0),_xlpm.x,IF(AND(_xlpm.x-SUM(IF((INDIRECT($B$3)=$B145)*(INDIRECT($C$3)=$D145)*((INDIRECT($E$3)="TOTS")+(INDIRECT($E$3)=$E145)),INDIRECT(W$3)))&lt;&gt;0,_xlpm.y=0),-2,_xlpm.x)))),0))</f>
        <v>0</v>
      </c>
      <c r="X145" s="199" cm="1">
        <f t="array" aca="1" ref="X145" ca="1">IF(OR($B145="",$B145="X",$D145="",$D145="X",$E145="",$E145="X"),0,IFERROR(_xlfn.LET(_xlpm.x,SUM(SUM(_xlfn._xlws.FILTER(VALUE(PptoSty[Sign]&amp;1)*(1/PptoSty[Division]),(PptoSty[Division]&lt;&gt;0)*(PptoSty[Division]&lt;&gt;"")*(PptoSty[Division]&lt;&gt;"X")*(PptoSty[Project]=$B145)*(PptoSty[Vrs]=$D145)*(PptoSty[PiRow]=_xlfn.TEXTAFTER($H145,":"))*(PptoSty[PiColumn]=X$54),0)),SUM(IF((INDIRECT($B$3)=$B145)*(INDIRECT($C$3)=$D145)*((INDIRECT($E$3)="TOTS")+(INDIRECT($E$3)=$E145)),INDIRECT(X$3)))),_xlpm.y,SUM(_xlfn.CHOOSECOLS(_xlfn._xlws.FILTER(F_RT14[],(F_RT14[PrjId]=$B145)*(F_RT14[Vrs]=$D145)*(_xlfn.TEXTAFTER(F_RT14[ActGrp],":")=_xlfn.TEXTAFTER($H145,":")),"X"),MATCH("*"&amp;X$54,F_RT14[#Headers],0))),IF(AND(_xlpm.x=0,_xlpm.y&lt;&gt;0),-1,IF(AND(_xlpm.x&lt;&gt;0,_xlpm.y&lt;&gt;0),_xlpm.x,IF(AND(_xlpm.x-SUM(IF((INDIRECT($B$3)=$B145)*(INDIRECT($C$3)=$D145)*((INDIRECT($E$3)="TOTS")+(INDIRECT($E$3)=$E145)),INDIRECT(X$3)))&lt;&gt;0,_xlpm.y=0),-2,_xlpm.x)))),0))</f>
        <v>0</v>
      </c>
      <c r="Y145" s="199" cm="1">
        <f t="array" aca="1" ref="Y145" ca="1">IF(OR($B145="",$B145="X",$D145="",$D145="X",$E145="",$E145="X"),0,IFERROR(_xlfn.LET(_xlpm.x,SUM(SUM(_xlfn._xlws.FILTER(VALUE(PptoSty[Sign]&amp;1)*(1/PptoSty[Division]),(PptoSty[Division]&lt;&gt;0)*(PptoSty[Division]&lt;&gt;"")*(PptoSty[Division]&lt;&gt;"X")*(PptoSty[Project]=$B145)*(PptoSty[Vrs]=$D145)*(PptoSty[PiRow]=_xlfn.TEXTAFTER($H145,":"))*(PptoSty[PiColumn]=Y$54),0)),SUM(IF((INDIRECT($B$3)=$B145)*(INDIRECT($C$3)=$D145)*((INDIRECT($E$3)="TOTS")+(INDIRECT($E$3)=$E145)),INDIRECT(Y$3)))),_xlpm.y,SUM(_xlfn.CHOOSECOLS(_xlfn._xlws.FILTER(F_RT14[],(F_RT14[PrjId]=$B145)*(F_RT14[Vrs]=$D145)*(_xlfn.TEXTAFTER(F_RT14[ActGrp],":")=_xlfn.TEXTAFTER($H145,":")),"X"),MATCH("*"&amp;Y$54,F_RT14[#Headers],0))),IF(AND(_xlpm.x=0,_xlpm.y&lt;&gt;0),-1,IF(AND(_xlpm.x&lt;&gt;0,_xlpm.y&lt;&gt;0),_xlpm.x,IF(AND(_xlpm.x-SUM(IF((INDIRECT($B$3)=$B145)*(INDIRECT($C$3)=$D145)*((INDIRECT($E$3)="TOTS")+(INDIRECT($E$3)=$E145)),INDIRECT(Y$3)))&lt;&gt;0,_xlpm.y=0),-2,_xlpm.x)))),0))</f>
        <v>0</v>
      </c>
      <c r="Z145" s="198" t="str">
        <f t="shared" ca="1" si="3"/>
        <v>Fback!B145:Y145</v>
      </c>
    </row>
    <row r="146" spans="2:26" ht="21" customHeight="1" outlineLevel="1">
      <c r="B146" s="128" t="str">
        <v>31200</v>
      </c>
      <c r="C146" s="128" t="str">
        <v>Sp</v>
      </c>
      <c r="D146" s="128">
        <v>16</v>
      </c>
      <c r="E146" s="128" t="str">
        <v>TOOL</v>
      </c>
      <c r="F146" s="139" t="str">
        <v>SERRA</v>
      </c>
      <c r="G146" s="139" t="str">
        <v>CurPpto</v>
      </c>
      <c r="H146" s="139" t="str">
        <v>P009:OP-510.1+2 WELDING (GEO)</v>
      </c>
      <c r="I146" s="199" cm="1">
        <f t="array" aca="1" ref="I146" ca="1">IF(OR($B146="",$B146="X",$D146="",$D146="X",$E146="",$E146="X"),0,IFERROR(_xlfn.LET(_xlpm.x,SUM(SUM(_xlfn._xlws.FILTER(VALUE(PptoSty[Sign]&amp;1)*(1/PptoSty[Division]),(PptoSty[Division]&lt;&gt;0)*(PptoSty[Division]&lt;&gt;"")*(PptoSty[Division]&lt;&gt;"X")*(PptoSty[Project]=$B146)*(PptoSty[Vrs]=$D146)*(PptoSty[PiRow]=_xlfn.TEXTAFTER($H146,":"))*(PptoSty[PiColumn]=I$54),0)),SUM(IF((INDIRECT($B$3)=$B146)*(INDIRECT($C$3)=$D146)*((INDIRECT($E$3)="TOTS")+(INDIRECT($E$3)=$E146)),INDIRECT(I$3)))),_xlpm.y,SUM(_xlfn.CHOOSECOLS(_xlfn._xlws.FILTER(F_RT14[],(F_RT14[PrjId]=$B146)*(F_RT14[Vrs]=$D146)*(_xlfn.TEXTAFTER(F_RT14[ActGrp],":")=_xlfn.TEXTAFTER($H146,":")),"X"),MATCH("*"&amp;I$54,F_RT14[#Headers],0))),IF(AND(_xlpm.x=0,_xlpm.y&lt;&gt;0),-1,IF(AND(_xlpm.x&lt;&gt;0,_xlpm.y&lt;&gt;0),_xlpm.x,IF(AND(_xlpm.x-SUM(IF((INDIRECT($B$3)=$B146)*(INDIRECT($C$3)=$D146)*((INDIRECT($E$3)="TOTS")+(INDIRECT($E$3)=$E146)),INDIRECT(I$3)))&lt;&gt;0,_xlpm.y=0),-2,_xlpm.x)))),0))</f>
        <v>0</v>
      </c>
      <c r="J146" s="199" cm="1">
        <f t="array" aca="1" ref="J146" ca="1">IF(OR($B146="",$B146="X",$D146="",$D146="X",$E146="",$E146="X"),0,IFERROR(_xlfn.LET(_xlpm.x,SUM(SUM(_xlfn._xlws.FILTER(VALUE(PptoSty[Sign]&amp;1)*(1/PptoSty[Division]),(PptoSty[Division]&lt;&gt;0)*(PptoSty[Division]&lt;&gt;"")*(PptoSty[Division]&lt;&gt;"X")*(PptoSty[Project]=$B146)*(PptoSty[Vrs]=$D146)*(PptoSty[PiRow]=_xlfn.TEXTAFTER($H146,":"))*(PptoSty[PiColumn]=J$54),0)),SUM(IF((INDIRECT($B$3)=$B146)*(INDIRECT($C$3)=$D146)*((INDIRECT($E$3)="TOTS")+(INDIRECT($E$3)=$E146)),INDIRECT(J$3)))),_xlpm.y,SUM(_xlfn.CHOOSECOLS(_xlfn._xlws.FILTER(F_RT14[],(F_RT14[PrjId]=$B146)*(F_RT14[Vrs]=$D146)*(_xlfn.TEXTAFTER(F_RT14[ActGrp],":")=_xlfn.TEXTAFTER($H146,":")),"X"),MATCH("*"&amp;J$54,F_RT14[#Headers],0))),IF(AND(_xlpm.x=0,_xlpm.y&lt;&gt;0),-1,IF(AND(_xlpm.x&lt;&gt;0,_xlpm.y&lt;&gt;0),_xlpm.x,IF(AND(_xlpm.x-SUM(IF((INDIRECT($B$3)=$B146)*(INDIRECT($C$3)=$D146)*((INDIRECT($E$3)="TOTS")+(INDIRECT($E$3)=$E146)),INDIRECT(J$3)))&lt;&gt;0,_xlpm.y=0),-2,_xlpm.x)))),0))</f>
        <v>0</v>
      </c>
      <c r="K146" s="199" cm="1">
        <f t="array" aca="1" ref="K146" ca="1">IF(OR($B146="",$B146="X",$D146="",$D146="X",$E146="",$E146="X"),0,IFERROR(_xlfn.LET(_xlpm.x,SUM(SUM(_xlfn._xlws.FILTER(VALUE(PptoSty[Sign]&amp;1)*(1/PptoSty[Division]),(PptoSty[Division]&lt;&gt;0)*(PptoSty[Division]&lt;&gt;"")*(PptoSty[Division]&lt;&gt;"X")*(PptoSty[Project]=$B146)*(PptoSty[Vrs]=$D146)*(PptoSty[PiRow]=_xlfn.TEXTAFTER($H146,":"))*(PptoSty[PiColumn]=K$54),0)),SUM(IF((INDIRECT($B$3)=$B146)*(INDIRECT($C$3)=$D146)*((INDIRECT($E$3)="TOTS")+(INDIRECT($E$3)=$E146)),INDIRECT(K$3)))),_xlpm.y,SUM(_xlfn.CHOOSECOLS(_xlfn._xlws.FILTER(F_RT14[],(F_RT14[PrjId]=$B146)*(F_RT14[Vrs]=$D146)*(_xlfn.TEXTAFTER(F_RT14[ActGrp],":")=_xlfn.TEXTAFTER($H146,":")),"X"),MATCH("*"&amp;K$54,F_RT14[#Headers],0))),IF(AND(_xlpm.x=0,_xlpm.y&lt;&gt;0),-1,IF(AND(_xlpm.x&lt;&gt;0,_xlpm.y&lt;&gt;0),_xlpm.x,IF(AND(_xlpm.x-SUM(IF((INDIRECT($B$3)=$B146)*(INDIRECT($C$3)=$D146)*((INDIRECT($E$3)="TOTS")+(INDIRECT($E$3)=$E146)),INDIRECT(K$3)))&lt;&gt;0,_xlpm.y=0),-2,_xlpm.x)))),0))</f>
        <v>-1</v>
      </c>
      <c r="L146" s="199" cm="1">
        <f t="array" aca="1" ref="L146" ca="1">IF(OR($B146="",$B146="X",$D146="",$D146="X",$E146="",$E146="X"),0,IFERROR(_xlfn.LET(_xlpm.x,SUM(SUM(_xlfn._xlws.FILTER(VALUE(PptoSty[Sign]&amp;1)*(1/PptoSty[Division]),(PptoSty[Division]&lt;&gt;0)*(PptoSty[Division]&lt;&gt;"")*(PptoSty[Division]&lt;&gt;"X")*(PptoSty[Project]=$B146)*(PptoSty[Vrs]=$D146)*(PptoSty[PiRow]=_xlfn.TEXTAFTER($H146,":"))*(PptoSty[PiColumn]=L$54),0)),SUM(IF((INDIRECT($B$3)=$B146)*(INDIRECT($C$3)=$D146)*((INDIRECT($E$3)="TOTS")+(INDIRECT($E$3)=$E146)),INDIRECT(L$3)))),_xlpm.y,SUM(_xlfn.CHOOSECOLS(_xlfn._xlws.FILTER(F_RT14[],(F_RT14[PrjId]=$B146)*(F_RT14[Vrs]=$D146)*(_xlfn.TEXTAFTER(F_RT14[ActGrp],":")=_xlfn.TEXTAFTER($H146,":")),"X"),MATCH("*"&amp;L$54,F_RT14[#Headers],0))),IF(AND(_xlpm.x=0,_xlpm.y&lt;&gt;0),-1,IF(AND(_xlpm.x&lt;&gt;0,_xlpm.y&lt;&gt;0),_xlpm.x,IF(AND(_xlpm.x-SUM(IF((INDIRECT($B$3)=$B146)*(INDIRECT($C$3)=$D146)*((INDIRECT($E$3)="TOTS")+(INDIRECT($E$3)=$E146)),INDIRECT(L$3)))&lt;&gt;0,_xlpm.y=0),-2,_xlpm.x)))),0))</f>
        <v>0</v>
      </c>
      <c r="M146" s="199" cm="1">
        <f t="array" aca="1" ref="M146" ca="1">IF(OR($B146="",$B146="X",$D146="",$D146="X",$E146="",$E146="X"),0,IFERROR(_xlfn.LET(_xlpm.x,SUM(SUM(_xlfn._xlws.FILTER(VALUE(PptoSty[Sign]&amp;1)*(1/PptoSty[Division]),(PptoSty[Division]&lt;&gt;0)*(PptoSty[Division]&lt;&gt;"")*(PptoSty[Division]&lt;&gt;"X")*(PptoSty[Project]=$B146)*(PptoSty[Vrs]=$D146)*(PptoSty[PiRow]=_xlfn.TEXTAFTER($H146,":"))*(PptoSty[PiColumn]=M$54),0)),SUM(IF((INDIRECT($B$3)=$B146)*(INDIRECT($C$3)=$D146)*((INDIRECT($E$3)="TOTS")+(INDIRECT($E$3)=$E146)),INDIRECT(M$3)))),_xlpm.y,SUM(_xlfn.CHOOSECOLS(_xlfn._xlws.FILTER(F_RT14[],(F_RT14[PrjId]=$B146)*(F_RT14[Vrs]=$D146)*(_xlfn.TEXTAFTER(F_RT14[ActGrp],":")=_xlfn.TEXTAFTER($H146,":")),"X"),MATCH("*"&amp;M$54,F_RT14[#Headers],0))),IF(AND(_xlpm.x=0,_xlpm.y&lt;&gt;0),-1,IF(AND(_xlpm.x&lt;&gt;0,_xlpm.y&lt;&gt;0),_xlpm.x,IF(AND(_xlpm.x-SUM(IF((INDIRECT($B$3)=$B146)*(INDIRECT($C$3)=$D146)*((INDIRECT($E$3)="TOTS")+(INDIRECT($E$3)=$E146)),INDIRECT(M$3)))&lt;&gt;0,_xlpm.y=0),-2,_xlpm.x)))),0))</f>
        <v>0</v>
      </c>
      <c r="N146" s="199" cm="1">
        <f t="array" aca="1" ref="N146" ca="1">IF(OR($B146="",$B146="X",$D146="",$D146="X",$E146="",$E146="X"),0,IFERROR(_xlfn.LET(_xlpm.x,SUM(SUM(_xlfn._xlws.FILTER(VALUE(PptoSty[Sign]&amp;1)*(1/PptoSty[Division]),(PptoSty[Division]&lt;&gt;0)*(PptoSty[Division]&lt;&gt;"")*(PptoSty[Division]&lt;&gt;"X")*(PptoSty[Project]=$B146)*(PptoSty[Vrs]=$D146)*(PptoSty[PiRow]=_xlfn.TEXTAFTER($H146,":"))*(PptoSty[PiColumn]=N$54),0)),SUM(IF((INDIRECT($B$3)=$B146)*(INDIRECT($C$3)=$D146)*((INDIRECT($E$3)="TOTS")+(INDIRECT($E$3)=$E146)),INDIRECT(N$3)))),_xlpm.y,SUM(_xlfn.CHOOSECOLS(_xlfn._xlws.FILTER(F_RT14[],(F_RT14[PrjId]=$B146)*(F_RT14[Vrs]=$D146)*(_xlfn.TEXTAFTER(F_RT14[ActGrp],":")=_xlfn.TEXTAFTER($H146,":")),"X"),MATCH("*"&amp;N$54,F_RT14[#Headers],0))),IF(AND(_xlpm.x=0,_xlpm.y&lt;&gt;0),-1,IF(AND(_xlpm.x&lt;&gt;0,_xlpm.y&lt;&gt;0),_xlpm.x,IF(AND(_xlpm.x-SUM(IF((INDIRECT($B$3)=$B146)*(INDIRECT($C$3)=$D146)*((INDIRECT($E$3)="TOTS")+(INDIRECT($E$3)=$E146)),INDIRECT(N$3)))&lt;&gt;0,_xlpm.y=0),-2,_xlpm.x)))),0))</f>
        <v>0</v>
      </c>
      <c r="O146" s="199" cm="1">
        <f t="array" aca="1" ref="O146" ca="1">IF(OR($B146="",$B146="X",$D146="",$D146="X",$E146="",$E146="X"),0,IFERROR(_xlfn.LET(_xlpm.x,SUM(SUM(_xlfn._xlws.FILTER(VALUE(PptoSty[Sign]&amp;1)*(1/PptoSty[Division]),(PptoSty[Division]&lt;&gt;0)*(PptoSty[Division]&lt;&gt;"")*(PptoSty[Division]&lt;&gt;"X")*(PptoSty[Project]=$B146)*(PptoSty[Vrs]=$D146)*(PptoSty[PiRow]=_xlfn.TEXTAFTER($H146,":"))*(PptoSty[PiColumn]=O$54),0)),SUM(IF((INDIRECT($B$3)=$B146)*(INDIRECT($C$3)=$D146)*((INDIRECT($E$3)="TOTS")+(INDIRECT($E$3)=$E146)),INDIRECT(O$3)))),_xlpm.y,SUM(_xlfn.CHOOSECOLS(_xlfn._xlws.FILTER(F_RT14[],(F_RT14[PrjId]=$B146)*(F_RT14[Vrs]=$D146)*(_xlfn.TEXTAFTER(F_RT14[ActGrp],":")=_xlfn.TEXTAFTER($H146,":")),"X"),MATCH("*"&amp;O$54,F_RT14[#Headers],0))),IF(AND(_xlpm.x=0,_xlpm.y&lt;&gt;0),-1,IF(AND(_xlpm.x&lt;&gt;0,_xlpm.y&lt;&gt;0),_xlpm.x,IF(AND(_xlpm.x-SUM(IF((INDIRECT($B$3)=$B146)*(INDIRECT($C$3)=$D146)*((INDIRECT($E$3)="TOTS")+(INDIRECT($E$3)=$E146)),INDIRECT(O$3)))&lt;&gt;0,_xlpm.y=0),-2,_xlpm.x)))),0))</f>
        <v>0</v>
      </c>
      <c r="P146" s="199" cm="1">
        <f t="array" aca="1" ref="P146" ca="1">IF(OR($B146="",$B146="X",$D146="",$D146="X",$E146="",$E146="X"),0,IFERROR(_xlfn.LET(_xlpm.x,SUM(SUM(_xlfn._xlws.FILTER(VALUE(PptoSty[Sign]&amp;1)*(1/PptoSty[Division]),(PptoSty[Division]&lt;&gt;0)*(PptoSty[Division]&lt;&gt;"")*(PptoSty[Division]&lt;&gt;"X")*(PptoSty[Project]=$B146)*(PptoSty[Vrs]=$D146)*(PptoSty[PiRow]=_xlfn.TEXTAFTER($H146,":"))*(PptoSty[PiColumn]=P$54),0)),SUM(IF((INDIRECT($B$3)=$B146)*(INDIRECT($C$3)=$D146)*((INDIRECT($E$3)="TOTS")+(INDIRECT($E$3)=$E146)),INDIRECT(P$3)))),_xlpm.y,SUM(_xlfn.CHOOSECOLS(_xlfn._xlws.FILTER(F_RT14[],(F_RT14[PrjId]=$B146)*(F_RT14[Vrs]=$D146)*(_xlfn.TEXTAFTER(F_RT14[ActGrp],":")=_xlfn.TEXTAFTER($H146,":")),"X"),MATCH("*"&amp;P$54,F_RT14[#Headers],0))),IF(AND(_xlpm.x=0,_xlpm.y&lt;&gt;0),-1,IF(AND(_xlpm.x&lt;&gt;0,_xlpm.y&lt;&gt;0),_xlpm.x,IF(AND(_xlpm.x-SUM(IF((INDIRECT($B$3)=$B146)*(INDIRECT($C$3)=$D146)*((INDIRECT($E$3)="TOTS")+(INDIRECT($E$3)=$E146)),INDIRECT(P$3)))&lt;&gt;0,_xlpm.y=0),-2,_xlpm.x)))),0))</f>
        <v>-1</v>
      </c>
      <c r="Q146" s="199" cm="1">
        <f t="array" aca="1" ref="Q146" ca="1">IF(OR($B146="",$B146="X",$D146="",$D146="X",$E146="",$E146="X"),0,IFERROR(_xlfn.LET(_xlpm.x,SUM(SUM(_xlfn._xlws.FILTER(VALUE(PptoSty[Sign]&amp;1)*(1/PptoSty[Division]),(PptoSty[Division]&lt;&gt;0)*(PptoSty[Division]&lt;&gt;"")*(PptoSty[Division]&lt;&gt;"X")*(PptoSty[Project]=$B146)*(PptoSty[Vrs]=$D146)*(PptoSty[PiRow]=_xlfn.TEXTAFTER($H146,":"))*(PptoSty[PiColumn]=Q$54),0)),SUM(IF((INDIRECT($B$3)=$B146)*(INDIRECT($C$3)=$D146)*((INDIRECT($E$3)="TOTS")+(INDIRECT($E$3)=$E146)),INDIRECT(Q$3)))),_xlpm.y,SUM(_xlfn.CHOOSECOLS(_xlfn._xlws.FILTER(F_RT14[],(F_RT14[PrjId]=$B146)*(F_RT14[Vrs]=$D146)*(_xlfn.TEXTAFTER(F_RT14[ActGrp],":")=_xlfn.TEXTAFTER($H146,":")),"X"),MATCH("*"&amp;Q$54,F_RT14[#Headers],0))),IF(AND(_xlpm.x=0,_xlpm.y&lt;&gt;0),-1,IF(AND(_xlpm.x&lt;&gt;0,_xlpm.y&lt;&gt;0),_xlpm.x,IF(AND(_xlpm.x-SUM(IF((INDIRECT($B$3)=$B146)*(INDIRECT($C$3)=$D146)*((INDIRECT($E$3)="TOTS")+(INDIRECT($E$3)=$E146)),INDIRECT(Q$3)))&lt;&gt;0,_xlpm.y=0),-2,_xlpm.x)))),0))</f>
        <v>0</v>
      </c>
      <c r="R146" s="199" cm="1">
        <f t="array" aca="1" ref="R146" ca="1">IF(OR($B146="",$B146="X",$D146="",$D146="X",$E146="",$E146="X"),0,IFERROR(_xlfn.LET(_xlpm.x,SUM(SUM(_xlfn._xlws.FILTER(VALUE(PptoSty[Sign]&amp;1)*(1/PptoSty[Division]),(PptoSty[Division]&lt;&gt;0)*(PptoSty[Division]&lt;&gt;"")*(PptoSty[Division]&lt;&gt;"X")*(PptoSty[Project]=$B146)*(PptoSty[Vrs]=$D146)*(PptoSty[PiRow]=_xlfn.TEXTAFTER($H146,":"))*(PptoSty[PiColumn]=R$54),0)),SUM(IF((INDIRECT($B$3)=$B146)*(INDIRECT($C$3)=$D146)*((INDIRECT($E$3)="TOTS")+(INDIRECT($E$3)=$E146)),INDIRECT(R$3)))),_xlpm.y,SUM(_xlfn.CHOOSECOLS(_xlfn._xlws.FILTER(F_RT14[],(F_RT14[PrjId]=$B146)*(F_RT14[Vrs]=$D146)*(_xlfn.TEXTAFTER(F_RT14[ActGrp],":")=_xlfn.TEXTAFTER($H146,":")),"X"),MATCH("*"&amp;R$54,F_RT14[#Headers],0))),IF(AND(_xlpm.x=0,_xlpm.y&lt;&gt;0),-1,IF(AND(_xlpm.x&lt;&gt;0,_xlpm.y&lt;&gt;0),_xlpm.x,IF(AND(_xlpm.x-SUM(IF((INDIRECT($B$3)=$B146)*(INDIRECT($C$3)=$D146)*((INDIRECT($E$3)="TOTS")+(INDIRECT($E$3)=$E146)),INDIRECT(R$3)))&lt;&gt;0,_xlpm.y=0),-2,_xlpm.x)))),0))</f>
        <v>0</v>
      </c>
      <c r="S146" s="199" cm="1">
        <f t="array" aca="1" ref="S146" ca="1">IF(OR($B146="",$B146="X",$D146="",$D146="X",$E146="",$E146="X"),0,IFERROR(_xlfn.LET(_xlpm.x,SUM(SUM(_xlfn._xlws.FILTER(VALUE(PptoSty[Sign]&amp;1)*(1/PptoSty[Division]),(PptoSty[Division]&lt;&gt;0)*(PptoSty[Division]&lt;&gt;"")*(PptoSty[Division]&lt;&gt;"X")*(PptoSty[Project]=$B146)*(PptoSty[Vrs]=$D146)*(PptoSty[PiRow]=_xlfn.TEXTAFTER($H146,":"))*(PptoSty[PiColumn]=S$54),0)),SUM(IF((INDIRECT($B$3)=$B146)*(INDIRECT($C$3)=$D146)*((INDIRECT($E$3)="TOTS")+(INDIRECT($E$3)=$E146)),INDIRECT(S$3)))),_xlpm.y,SUM(_xlfn.CHOOSECOLS(_xlfn._xlws.FILTER(F_RT14[],(F_RT14[PrjId]=$B146)*(F_RT14[Vrs]=$D146)*(_xlfn.TEXTAFTER(F_RT14[ActGrp],":")=_xlfn.TEXTAFTER($H146,":")),"X"),MATCH("*"&amp;S$54,F_RT14[#Headers],0))),IF(AND(_xlpm.x=0,_xlpm.y&lt;&gt;0),-1,IF(AND(_xlpm.x&lt;&gt;0,_xlpm.y&lt;&gt;0),_xlpm.x,IF(AND(_xlpm.x-SUM(IF((INDIRECT($B$3)=$B146)*(INDIRECT($C$3)=$D146)*((INDIRECT($E$3)="TOTS")+(INDIRECT($E$3)=$E146)),INDIRECT(S$3)))&lt;&gt;0,_xlpm.y=0),-2,_xlpm.x)))),0))</f>
        <v>0</v>
      </c>
      <c r="T146" s="199" cm="1">
        <f t="array" aca="1" ref="T146" ca="1">IF(OR($B146="",$B146="X",$D146="",$D146="X",$E146="",$E146="X"),0,IFERROR(_xlfn.LET(_xlpm.x,SUM(SUM(_xlfn._xlws.FILTER(VALUE(PptoSty[Sign]&amp;1)*(1/PptoSty[Division]),(PptoSty[Division]&lt;&gt;0)*(PptoSty[Division]&lt;&gt;"")*(PptoSty[Division]&lt;&gt;"X")*(PptoSty[Project]=$B146)*(PptoSty[Vrs]=$D146)*(PptoSty[PiRow]=_xlfn.TEXTAFTER($H146,":"))*(PptoSty[PiColumn]=T$54),0)),SUM(IF((INDIRECT($B$3)=$B146)*(INDIRECT($C$3)=$D146)*((INDIRECT($E$3)="TOTS")+(INDIRECT($E$3)=$E146)),INDIRECT(T$3)))),_xlpm.y,SUM(_xlfn.CHOOSECOLS(_xlfn._xlws.FILTER(F_RT14[],(F_RT14[PrjId]=$B146)*(F_RT14[Vrs]=$D146)*(_xlfn.TEXTAFTER(F_RT14[ActGrp],":")=_xlfn.TEXTAFTER($H146,":")),"X"),MATCH("*"&amp;T$54,F_RT14[#Headers],0))),IF(AND(_xlpm.x=0,_xlpm.y&lt;&gt;0),-1,IF(AND(_xlpm.x&lt;&gt;0,_xlpm.y&lt;&gt;0),_xlpm.x,IF(AND(_xlpm.x-SUM(IF((INDIRECT($B$3)=$B146)*(INDIRECT($C$3)=$D146)*((INDIRECT($E$3)="TOTS")+(INDIRECT($E$3)=$E146)),INDIRECT(T$3)))&lt;&gt;0,_xlpm.y=0),-2,_xlpm.x)))),0))</f>
        <v>0</v>
      </c>
      <c r="U146" s="199" cm="1">
        <f t="array" aca="1" ref="U146" ca="1">IF(OR($B146="",$B146="X",$D146="",$D146="X",$E146="",$E146="X"),0,IFERROR(_xlfn.LET(_xlpm.x,SUM(SUM(_xlfn._xlws.FILTER(VALUE(PptoSty[Sign]&amp;1)*(1/PptoSty[Division]),(PptoSty[Division]&lt;&gt;0)*(PptoSty[Division]&lt;&gt;"")*(PptoSty[Division]&lt;&gt;"X")*(PptoSty[Project]=$B146)*(PptoSty[Vrs]=$D146)*(PptoSty[PiRow]=_xlfn.TEXTAFTER($H146,":"))*(PptoSty[PiColumn]=U$54),0)),SUM(IF((INDIRECT($B$3)=$B146)*(INDIRECT($C$3)=$D146)*((INDIRECT($E$3)="TOTS")+(INDIRECT($E$3)=$E146)),INDIRECT(U$3)))),_xlpm.y,SUM(_xlfn.CHOOSECOLS(_xlfn._xlws.FILTER(F_RT14[],(F_RT14[PrjId]=$B146)*(F_RT14[Vrs]=$D146)*(_xlfn.TEXTAFTER(F_RT14[ActGrp],":")=_xlfn.TEXTAFTER($H146,":")),"X"),MATCH("*"&amp;U$54,F_RT14[#Headers],0))),IF(AND(_xlpm.x=0,_xlpm.y&lt;&gt;0),-1,IF(AND(_xlpm.x&lt;&gt;0,_xlpm.y&lt;&gt;0),_xlpm.x,IF(AND(_xlpm.x-SUM(IF((INDIRECT($B$3)=$B146)*(INDIRECT($C$3)=$D146)*((INDIRECT($E$3)="TOTS")+(INDIRECT($E$3)=$E146)),INDIRECT(U$3)))&lt;&gt;0,_xlpm.y=0),-2,_xlpm.x)))),0))</f>
        <v>0</v>
      </c>
      <c r="V146" s="199" cm="1">
        <f t="array" aca="1" ref="V146" ca="1">IF(OR($B146="",$B146="X",$D146="",$D146="X",$E146="",$E146="X"),0,IFERROR(_xlfn.LET(_xlpm.x,SUM(SUM(_xlfn._xlws.FILTER(VALUE(PptoSty[Sign]&amp;1)*(1/PptoSty[Division]),(PptoSty[Division]&lt;&gt;0)*(PptoSty[Division]&lt;&gt;"")*(PptoSty[Division]&lt;&gt;"X")*(PptoSty[Project]=$B146)*(PptoSty[Vrs]=$D146)*(PptoSty[PiRow]=_xlfn.TEXTAFTER($H146,":"))*(PptoSty[PiColumn]=V$54),0)),SUM(IF((INDIRECT($B$3)=$B146)*(INDIRECT($C$3)=$D146)*((INDIRECT($E$3)="TOTS")+(INDIRECT($E$3)=$E146)),INDIRECT(V$3)))),_xlpm.y,SUM(_xlfn.CHOOSECOLS(_xlfn._xlws.FILTER(F_RT14[],(F_RT14[PrjId]=$B146)*(F_RT14[Vrs]=$D146)*(_xlfn.TEXTAFTER(F_RT14[ActGrp],":")=_xlfn.TEXTAFTER($H146,":")),"X"),MATCH("*"&amp;V$54,F_RT14[#Headers],0))),IF(AND(_xlpm.x=0,_xlpm.y&lt;&gt;0),-1,IF(AND(_xlpm.x&lt;&gt;0,_xlpm.y&lt;&gt;0),_xlpm.x,IF(AND(_xlpm.x-SUM(IF((INDIRECT($B$3)=$B146)*(INDIRECT($C$3)=$D146)*((INDIRECT($E$3)="TOTS")+(INDIRECT($E$3)=$E146)),INDIRECT(V$3)))&lt;&gt;0,_xlpm.y=0),-2,_xlpm.x)))),0))</f>
        <v>-1</v>
      </c>
      <c r="W146" s="199" cm="1">
        <f t="array" aca="1" ref="W146" ca="1">IF(OR($B146="",$B146="X",$D146="",$D146="X",$E146="",$E146="X"),0,IFERROR(_xlfn.LET(_xlpm.x,SUM(SUM(_xlfn._xlws.FILTER(VALUE(PptoSty[Sign]&amp;1)*(1/PptoSty[Division]),(PptoSty[Division]&lt;&gt;0)*(PptoSty[Division]&lt;&gt;"")*(PptoSty[Division]&lt;&gt;"X")*(PptoSty[Project]=$B146)*(PptoSty[Vrs]=$D146)*(PptoSty[PiRow]=_xlfn.TEXTAFTER($H146,":"))*(PptoSty[PiColumn]=W$54),0)),SUM(IF((INDIRECT($B$3)=$B146)*(INDIRECT($C$3)=$D146)*((INDIRECT($E$3)="TOTS")+(INDIRECT($E$3)=$E146)),INDIRECT(W$3)))),_xlpm.y,SUM(_xlfn.CHOOSECOLS(_xlfn._xlws.FILTER(F_RT14[],(F_RT14[PrjId]=$B146)*(F_RT14[Vrs]=$D146)*(_xlfn.TEXTAFTER(F_RT14[ActGrp],":")=_xlfn.TEXTAFTER($H146,":")),"X"),MATCH("*"&amp;W$54,F_RT14[#Headers],0))),IF(AND(_xlpm.x=0,_xlpm.y&lt;&gt;0),-1,IF(AND(_xlpm.x&lt;&gt;0,_xlpm.y&lt;&gt;0),_xlpm.x,IF(AND(_xlpm.x-SUM(IF((INDIRECT($B$3)=$B146)*(INDIRECT($C$3)=$D146)*((INDIRECT($E$3)="TOTS")+(INDIRECT($E$3)=$E146)),INDIRECT(W$3)))&lt;&gt;0,_xlpm.y=0),-2,_xlpm.x)))),0))</f>
        <v>0</v>
      </c>
      <c r="X146" s="199" cm="1">
        <f t="array" aca="1" ref="X146" ca="1">IF(OR($B146="",$B146="X",$D146="",$D146="X",$E146="",$E146="X"),0,IFERROR(_xlfn.LET(_xlpm.x,SUM(SUM(_xlfn._xlws.FILTER(VALUE(PptoSty[Sign]&amp;1)*(1/PptoSty[Division]),(PptoSty[Division]&lt;&gt;0)*(PptoSty[Division]&lt;&gt;"")*(PptoSty[Division]&lt;&gt;"X")*(PptoSty[Project]=$B146)*(PptoSty[Vrs]=$D146)*(PptoSty[PiRow]=_xlfn.TEXTAFTER($H146,":"))*(PptoSty[PiColumn]=X$54),0)),SUM(IF((INDIRECT($B$3)=$B146)*(INDIRECT($C$3)=$D146)*((INDIRECT($E$3)="TOTS")+(INDIRECT($E$3)=$E146)),INDIRECT(X$3)))),_xlpm.y,SUM(_xlfn.CHOOSECOLS(_xlfn._xlws.FILTER(F_RT14[],(F_RT14[PrjId]=$B146)*(F_RT14[Vrs]=$D146)*(_xlfn.TEXTAFTER(F_RT14[ActGrp],":")=_xlfn.TEXTAFTER($H146,":")),"X"),MATCH("*"&amp;X$54,F_RT14[#Headers],0))),IF(AND(_xlpm.x=0,_xlpm.y&lt;&gt;0),-1,IF(AND(_xlpm.x&lt;&gt;0,_xlpm.y&lt;&gt;0),_xlpm.x,IF(AND(_xlpm.x-SUM(IF((INDIRECT($B$3)=$B146)*(INDIRECT($C$3)=$D146)*((INDIRECT($E$3)="TOTS")+(INDIRECT($E$3)=$E146)),INDIRECT(X$3)))&lt;&gt;0,_xlpm.y=0),-2,_xlpm.x)))),0))</f>
        <v>0</v>
      </c>
      <c r="Y146" s="199" cm="1">
        <f t="array" aca="1" ref="Y146" ca="1">IF(OR($B146="",$B146="X",$D146="",$D146="X",$E146="",$E146="X"),0,IFERROR(_xlfn.LET(_xlpm.x,SUM(SUM(_xlfn._xlws.FILTER(VALUE(PptoSty[Sign]&amp;1)*(1/PptoSty[Division]),(PptoSty[Division]&lt;&gt;0)*(PptoSty[Division]&lt;&gt;"")*(PptoSty[Division]&lt;&gt;"X")*(PptoSty[Project]=$B146)*(PptoSty[Vrs]=$D146)*(PptoSty[PiRow]=_xlfn.TEXTAFTER($H146,":"))*(PptoSty[PiColumn]=Y$54),0)),SUM(IF((INDIRECT($B$3)=$B146)*(INDIRECT($C$3)=$D146)*((INDIRECT($E$3)="TOTS")+(INDIRECT($E$3)=$E146)),INDIRECT(Y$3)))),_xlpm.y,SUM(_xlfn.CHOOSECOLS(_xlfn._xlws.FILTER(F_RT14[],(F_RT14[PrjId]=$B146)*(F_RT14[Vrs]=$D146)*(_xlfn.TEXTAFTER(F_RT14[ActGrp],":")=_xlfn.TEXTAFTER($H146,":")),"X"),MATCH("*"&amp;Y$54,F_RT14[#Headers],0))),IF(AND(_xlpm.x=0,_xlpm.y&lt;&gt;0),-1,IF(AND(_xlpm.x&lt;&gt;0,_xlpm.y&lt;&gt;0),_xlpm.x,IF(AND(_xlpm.x-SUM(IF((INDIRECT($B$3)=$B146)*(INDIRECT($C$3)=$D146)*((INDIRECT($E$3)="TOTS")+(INDIRECT($E$3)=$E146)),INDIRECT(Y$3)))&lt;&gt;0,_xlpm.y=0),-2,_xlpm.x)))),0))</f>
        <v>0</v>
      </c>
      <c r="Z146" s="198" t="str">
        <f t="shared" ca="1" si="3"/>
        <v>Fback!B146:Y146</v>
      </c>
    </row>
    <row r="147" spans="2:26" ht="21" customHeight="1" outlineLevel="1">
      <c r="B147" s="128" t="str">
        <v>31200</v>
      </c>
      <c r="C147" s="128" t="str">
        <v>Sp</v>
      </c>
      <c r="D147" s="128">
        <v>16</v>
      </c>
      <c r="E147" s="128" t="str">
        <v>TOOL</v>
      </c>
      <c r="F147" s="139" t="str">
        <v>SERRA</v>
      </c>
      <c r="G147" s="139" t="str">
        <v>CurPpto</v>
      </c>
      <c r="H147" s="139" t="str">
        <v>P011:OP-610.1+2 WELDING (GEO)</v>
      </c>
      <c r="I147" s="199" cm="1">
        <f t="array" aca="1" ref="I147" ca="1">IF(OR($B147="",$B147="X",$D147="",$D147="X",$E147="",$E147="X"),0,IFERROR(_xlfn.LET(_xlpm.x,SUM(SUM(_xlfn._xlws.FILTER(VALUE(PptoSty[Sign]&amp;1)*(1/PptoSty[Division]),(PptoSty[Division]&lt;&gt;0)*(PptoSty[Division]&lt;&gt;"")*(PptoSty[Division]&lt;&gt;"X")*(PptoSty[Project]=$B147)*(PptoSty[Vrs]=$D147)*(PptoSty[PiRow]=_xlfn.TEXTAFTER($H147,":"))*(PptoSty[PiColumn]=I$54),0)),SUM(IF((INDIRECT($B$3)=$B147)*(INDIRECT($C$3)=$D147)*((INDIRECT($E$3)="TOTS")+(INDIRECT($E$3)=$E147)),INDIRECT(I$3)))),_xlpm.y,SUM(_xlfn.CHOOSECOLS(_xlfn._xlws.FILTER(F_RT14[],(F_RT14[PrjId]=$B147)*(F_RT14[Vrs]=$D147)*(_xlfn.TEXTAFTER(F_RT14[ActGrp],":")=_xlfn.TEXTAFTER($H147,":")),"X"),MATCH("*"&amp;I$54,F_RT14[#Headers],0))),IF(AND(_xlpm.x=0,_xlpm.y&lt;&gt;0),-1,IF(AND(_xlpm.x&lt;&gt;0,_xlpm.y&lt;&gt;0),_xlpm.x,IF(AND(_xlpm.x-SUM(IF((INDIRECT($B$3)=$B147)*(INDIRECT($C$3)=$D147)*((INDIRECT($E$3)="TOTS")+(INDIRECT($E$3)=$E147)),INDIRECT(I$3)))&lt;&gt;0,_xlpm.y=0),-2,_xlpm.x)))),0))</f>
        <v>0</v>
      </c>
      <c r="J147" s="199" cm="1">
        <f t="array" aca="1" ref="J147" ca="1">IF(OR($B147="",$B147="X",$D147="",$D147="X",$E147="",$E147="X"),0,IFERROR(_xlfn.LET(_xlpm.x,SUM(SUM(_xlfn._xlws.FILTER(VALUE(PptoSty[Sign]&amp;1)*(1/PptoSty[Division]),(PptoSty[Division]&lt;&gt;0)*(PptoSty[Division]&lt;&gt;"")*(PptoSty[Division]&lt;&gt;"X")*(PptoSty[Project]=$B147)*(PptoSty[Vrs]=$D147)*(PptoSty[PiRow]=_xlfn.TEXTAFTER($H147,":"))*(PptoSty[PiColumn]=J$54),0)),SUM(IF((INDIRECT($B$3)=$B147)*(INDIRECT($C$3)=$D147)*((INDIRECT($E$3)="TOTS")+(INDIRECT($E$3)=$E147)),INDIRECT(J$3)))),_xlpm.y,SUM(_xlfn.CHOOSECOLS(_xlfn._xlws.FILTER(F_RT14[],(F_RT14[PrjId]=$B147)*(F_RT14[Vrs]=$D147)*(_xlfn.TEXTAFTER(F_RT14[ActGrp],":")=_xlfn.TEXTAFTER($H147,":")),"X"),MATCH("*"&amp;J$54,F_RT14[#Headers],0))),IF(AND(_xlpm.x=0,_xlpm.y&lt;&gt;0),-1,IF(AND(_xlpm.x&lt;&gt;0,_xlpm.y&lt;&gt;0),_xlpm.x,IF(AND(_xlpm.x-SUM(IF((INDIRECT($B$3)=$B147)*(INDIRECT($C$3)=$D147)*((INDIRECT($E$3)="TOTS")+(INDIRECT($E$3)=$E147)),INDIRECT(J$3)))&lt;&gt;0,_xlpm.y=0),-2,_xlpm.x)))),0))</f>
        <v>0</v>
      </c>
      <c r="K147" s="199" cm="1">
        <f t="array" aca="1" ref="K147" ca="1">IF(OR($B147="",$B147="X",$D147="",$D147="X",$E147="",$E147="X"),0,IFERROR(_xlfn.LET(_xlpm.x,SUM(SUM(_xlfn._xlws.FILTER(VALUE(PptoSty[Sign]&amp;1)*(1/PptoSty[Division]),(PptoSty[Division]&lt;&gt;0)*(PptoSty[Division]&lt;&gt;"")*(PptoSty[Division]&lt;&gt;"X")*(PptoSty[Project]=$B147)*(PptoSty[Vrs]=$D147)*(PptoSty[PiRow]=_xlfn.TEXTAFTER($H147,":"))*(PptoSty[PiColumn]=K$54),0)),SUM(IF((INDIRECT($B$3)=$B147)*(INDIRECT($C$3)=$D147)*((INDIRECT($E$3)="TOTS")+(INDIRECT($E$3)=$E147)),INDIRECT(K$3)))),_xlpm.y,SUM(_xlfn.CHOOSECOLS(_xlfn._xlws.FILTER(F_RT14[],(F_RT14[PrjId]=$B147)*(F_RT14[Vrs]=$D147)*(_xlfn.TEXTAFTER(F_RT14[ActGrp],":")=_xlfn.TEXTAFTER($H147,":")),"X"),MATCH("*"&amp;K$54,F_RT14[#Headers],0))),IF(AND(_xlpm.x=0,_xlpm.y&lt;&gt;0),-1,IF(AND(_xlpm.x&lt;&gt;0,_xlpm.y&lt;&gt;0),_xlpm.x,IF(AND(_xlpm.x-SUM(IF((INDIRECT($B$3)=$B147)*(INDIRECT($C$3)=$D147)*((INDIRECT($E$3)="TOTS")+(INDIRECT($E$3)=$E147)),INDIRECT(K$3)))&lt;&gt;0,_xlpm.y=0),-2,_xlpm.x)))),0))</f>
        <v>-1</v>
      </c>
      <c r="L147" s="199" cm="1">
        <f t="array" aca="1" ref="L147" ca="1">IF(OR($B147="",$B147="X",$D147="",$D147="X",$E147="",$E147="X"),0,IFERROR(_xlfn.LET(_xlpm.x,SUM(SUM(_xlfn._xlws.FILTER(VALUE(PptoSty[Sign]&amp;1)*(1/PptoSty[Division]),(PptoSty[Division]&lt;&gt;0)*(PptoSty[Division]&lt;&gt;"")*(PptoSty[Division]&lt;&gt;"X")*(PptoSty[Project]=$B147)*(PptoSty[Vrs]=$D147)*(PptoSty[PiRow]=_xlfn.TEXTAFTER($H147,":"))*(PptoSty[PiColumn]=L$54),0)),SUM(IF((INDIRECT($B$3)=$B147)*(INDIRECT($C$3)=$D147)*((INDIRECT($E$3)="TOTS")+(INDIRECT($E$3)=$E147)),INDIRECT(L$3)))),_xlpm.y,SUM(_xlfn.CHOOSECOLS(_xlfn._xlws.FILTER(F_RT14[],(F_RT14[PrjId]=$B147)*(F_RT14[Vrs]=$D147)*(_xlfn.TEXTAFTER(F_RT14[ActGrp],":")=_xlfn.TEXTAFTER($H147,":")),"X"),MATCH("*"&amp;L$54,F_RT14[#Headers],0))),IF(AND(_xlpm.x=0,_xlpm.y&lt;&gt;0),-1,IF(AND(_xlpm.x&lt;&gt;0,_xlpm.y&lt;&gt;0),_xlpm.x,IF(AND(_xlpm.x-SUM(IF((INDIRECT($B$3)=$B147)*(INDIRECT($C$3)=$D147)*((INDIRECT($E$3)="TOTS")+(INDIRECT($E$3)=$E147)),INDIRECT(L$3)))&lt;&gt;0,_xlpm.y=0),-2,_xlpm.x)))),0))</f>
        <v>0</v>
      </c>
      <c r="M147" s="199" cm="1">
        <f t="array" aca="1" ref="M147" ca="1">IF(OR($B147="",$B147="X",$D147="",$D147="X",$E147="",$E147="X"),0,IFERROR(_xlfn.LET(_xlpm.x,SUM(SUM(_xlfn._xlws.FILTER(VALUE(PptoSty[Sign]&amp;1)*(1/PptoSty[Division]),(PptoSty[Division]&lt;&gt;0)*(PptoSty[Division]&lt;&gt;"")*(PptoSty[Division]&lt;&gt;"X")*(PptoSty[Project]=$B147)*(PptoSty[Vrs]=$D147)*(PptoSty[PiRow]=_xlfn.TEXTAFTER($H147,":"))*(PptoSty[PiColumn]=M$54),0)),SUM(IF((INDIRECT($B$3)=$B147)*(INDIRECT($C$3)=$D147)*((INDIRECT($E$3)="TOTS")+(INDIRECT($E$3)=$E147)),INDIRECT(M$3)))),_xlpm.y,SUM(_xlfn.CHOOSECOLS(_xlfn._xlws.FILTER(F_RT14[],(F_RT14[PrjId]=$B147)*(F_RT14[Vrs]=$D147)*(_xlfn.TEXTAFTER(F_RT14[ActGrp],":")=_xlfn.TEXTAFTER($H147,":")),"X"),MATCH("*"&amp;M$54,F_RT14[#Headers],0))),IF(AND(_xlpm.x=0,_xlpm.y&lt;&gt;0),-1,IF(AND(_xlpm.x&lt;&gt;0,_xlpm.y&lt;&gt;0),_xlpm.x,IF(AND(_xlpm.x-SUM(IF((INDIRECT($B$3)=$B147)*(INDIRECT($C$3)=$D147)*((INDIRECT($E$3)="TOTS")+(INDIRECT($E$3)=$E147)),INDIRECT(M$3)))&lt;&gt;0,_xlpm.y=0),-2,_xlpm.x)))),0))</f>
        <v>0</v>
      </c>
      <c r="N147" s="199" cm="1">
        <f t="array" aca="1" ref="N147" ca="1">IF(OR($B147="",$B147="X",$D147="",$D147="X",$E147="",$E147="X"),0,IFERROR(_xlfn.LET(_xlpm.x,SUM(SUM(_xlfn._xlws.FILTER(VALUE(PptoSty[Sign]&amp;1)*(1/PptoSty[Division]),(PptoSty[Division]&lt;&gt;0)*(PptoSty[Division]&lt;&gt;"")*(PptoSty[Division]&lt;&gt;"X")*(PptoSty[Project]=$B147)*(PptoSty[Vrs]=$D147)*(PptoSty[PiRow]=_xlfn.TEXTAFTER($H147,":"))*(PptoSty[PiColumn]=N$54),0)),SUM(IF((INDIRECT($B$3)=$B147)*(INDIRECT($C$3)=$D147)*((INDIRECT($E$3)="TOTS")+(INDIRECT($E$3)=$E147)),INDIRECT(N$3)))),_xlpm.y,SUM(_xlfn.CHOOSECOLS(_xlfn._xlws.FILTER(F_RT14[],(F_RT14[PrjId]=$B147)*(F_RT14[Vrs]=$D147)*(_xlfn.TEXTAFTER(F_RT14[ActGrp],":")=_xlfn.TEXTAFTER($H147,":")),"X"),MATCH("*"&amp;N$54,F_RT14[#Headers],0))),IF(AND(_xlpm.x=0,_xlpm.y&lt;&gt;0),-1,IF(AND(_xlpm.x&lt;&gt;0,_xlpm.y&lt;&gt;0),_xlpm.x,IF(AND(_xlpm.x-SUM(IF((INDIRECT($B$3)=$B147)*(INDIRECT($C$3)=$D147)*((INDIRECT($E$3)="TOTS")+(INDIRECT($E$3)=$E147)),INDIRECT(N$3)))&lt;&gt;0,_xlpm.y=0),-2,_xlpm.x)))),0))</f>
        <v>0</v>
      </c>
      <c r="O147" s="199" cm="1">
        <f t="array" aca="1" ref="O147" ca="1">IF(OR($B147="",$B147="X",$D147="",$D147="X",$E147="",$E147="X"),0,IFERROR(_xlfn.LET(_xlpm.x,SUM(SUM(_xlfn._xlws.FILTER(VALUE(PptoSty[Sign]&amp;1)*(1/PptoSty[Division]),(PptoSty[Division]&lt;&gt;0)*(PptoSty[Division]&lt;&gt;"")*(PptoSty[Division]&lt;&gt;"X")*(PptoSty[Project]=$B147)*(PptoSty[Vrs]=$D147)*(PptoSty[PiRow]=_xlfn.TEXTAFTER($H147,":"))*(PptoSty[PiColumn]=O$54),0)),SUM(IF((INDIRECT($B$3)=$B147)*(INDIRECT($C$3)=$D147)*((INDIRECT($E$3)="TOTS")+(INDIRECT($E$3)=$E147)),INDIRECT(O$3)))),_xlpm.y,SUM(_xlfn.CHOOSECOLS(_xlfn._xlws.FILTER(F_RT14[],(F_RT14[PrjId]=$B147)*(F_RT14[Vrs]=$D147)*(_xlfn.TEXTAFTER(F_RT14[ActGrp],":")=_xlfn.TEXTAFTER($H147,":")),"X"),MATCH("*"&amp;O$54,F_RT14[#Headers],0))),IF(AND(_xlpm.x=0,_xlpm.y&lt;&gt;0),-1,IF(AND(_xlpm.x&lt;&gt;0,_xlpm.y&lt;&gt;0),_xlpm.x,IF(AND(_xlpm.x-SUM(IF((INDIRECT($B$3)=$B147)*(INDIRECT($C$3)=$D147)*((INDIRECT($E$3)="TOTS")+(INDIRECT($E$3)=$E147)),INDIRECT(O$3)))&lt;&gt;0,_xlpm.y=0),-2,_xlpm.x)))),0))</f>
        <v>0</v>
      </c>
      <c r="P147" s="199" cm="1">
        <f t="array" aca="1" ref="P147" ca="1">IF(OR($B147="",$B147="X",$D147="",$D147="X",$E147="",$E147="X"),0,IFERROR(_xlfn.LET(_xlpm.x,SUM(SUM(_xlfn._xlws.FILTER(VALUE(PptoSty[Sign]&amp;1)*(1/PptoSty[Division]),(PptoSty[Division]&lt;&gt;0)*(PptoSty[Division]&lt;&gt;"")*(PptoSty[Division]&lt;&gt;"X")*(PptoSty[Project]=$B147)*(PptoSty[Vrs]=$D147)*(PptoSty[PiRow]=_xlfn.TEXTAFTER($H147,":"))*(PptoSty[PiColumn]=P$54),0)),SUM(IF((INDIRECT($B$3)=$B147)*(INDIRECT($C$3)=$D147)*((INDIRECT($E$3)="TOTS")+(INDIRECT($E$3)=$E147)),INDIRECT(P$3)))),_xlpm.y,SUM(_xlfn.CHOOSECOLS(_xlfn._xlws.FILTER(F_RT14[],(F_RT14[PrjId]=$B147)*(F_RT14[Vrs]=$D147)*(_xlfn.TEXTAFTER(F_RT14[ActGrp],":")=_xlfn.TEXTAFTER($H147,":")),"X"),MATCH("*"&amp;P$54,F_RT14[#Headers],0))),IF(AND(_xlpm.x=0,_xlpm.y&lt;&gt;0),-1,IF(AND(_xlpm.x&lt;&gt;0,_xlpm.y&lt;&gt;0),_xlpm.x,IF(AND(_xlpm.x-SUM(IF((INDIRECT($B$3)=$B147)*(INDIRECT($C$3)=$D147)*((INDIRECT($E$3)="TOTS")+(INDIRECT($E$3)=$E147)),INDIRECT(P$3)))&lt;&gt;0,_xlpm.y=0),-2,_xlpm.x)))),0))</f>
        <v>-1</v>
      </c>
      <c r="Q147" s="199" cm="1">
        <f t="array" aca="1" ref="Q147" ca="1">IF(OR($B147="",$B147="X",$D147="",$D147="X",$E147="",$E147="X"),0,IFERROR(_xlfn.LET(_xlpm.x,SUM(SUM(_xlfn._xlws.FILTER(VALUE(PptoSty[Sign]&amp;1)*(1/PptoSty[Division]),(PptoSty[Division]&lt;&gt;0)*(PptoSty[Division]&lt;&gt;"")*(PptoSty[Division]&lt;&gt;"X")*(PptoSty[Project]=$B147)*(PptoSty[Vrs]=$D147)*(PptoSty[PiRow]=_xlfn.TEXTAFTER($H147,":"))*(PptoSty[PiColumn]=Q$54),0)),SUM(IF((INDIRECT($B$3)=$B147)*(INDIRECT($C$3)=$D147)*((INDIRECT($E$3)="TOTS")+(INDIRECT($E$3)=$E147)),INDIRECT(Q$3)))),_xlpm.y,SUM(_xlfn.CHOOSECOLS(_xlfn._xlws.FILTER(F_RT14[],(F_RT14[PrjId]=$B147)*(F_RT14[Vrs]=$D147)*(_xlfn.TEXTAFTER(F_RT14[ActGrp],":")=_xlfn.TEXTAFTER($H147,":")),"X"),MATCH("*"&amp;Q$54,F_RT14[#Headers],0))),IF(AND(_xlpm.x=0,_xlpm.y&lt;&gt;0),-1,IF(AND(_xlpm.x&lt;&gt;0,_xlpm.y&lt;&gt;0),_xlpm.x,IF(AND(_xlpm.x-SUM(IF((INDIRECT($B$3)=$B147)*(INDIRECT($C$3)=$D147)*((INDIRECT($E$3)="TOTS")+(INDIRECT($E$3)=$E147)),INDIRECT(Q$3)))&lt;&gt;0,_xlpm.y=0),-2,_xlpm.x)))),0))</f>
        <v>0</v>
      </c>
      <c r="R147" s="199" cm="1">
        <f t="array" aca="1" ref="R147" ca="1">IF(OR($B147="",$B147="X",$D147="",$D147="X",$E147="",$E147="X"),0,IFERROR(_xlfn.LET(_xlpm.x,SUM(SUM(_xlfn._xlws.FILTER(VALUE(PptoSty[Sign]&amp;1)*(1/PptoSty[Division]),(PptoSty[Division]&lt;&gt;0)*(PptoSty[Division]&lt;&gt;"")*(PptoSty[Division]&lt;&gt;"X")*(PptoSty[Project]=$B147)*(PptoSty[Vrs]=$D147)*(PptoSty[PiRow]=_xlfn.TEXTAFTER($H147,":"))*(PptoSty[PiColumn]=R$54),0)),SUM(IF((INDIRECT($B$3)=$B147)*(INDIRECT($C$3)=$D147)*((INDIRECT($E$3)="TOTS")+(INDIRECT($E$3)=$E147)),INDIRECT(R$3)))),_xlpm.y,SUM(_xlfn.CHOOSECOLS(_xlfn._xlws.FILTER(F_RT14[],(F_RT14[PrjId]=$B147)*(F_RT14[Vrs]=$D147)*(_xlfn.TEXTAFTER(F_RT14[ActGrp],":")=_xlfn.TEXTAFTER($H147,":")),"X"),MATCH("*"&amp;R$54,F_RT14[#Headers],0))),IF(AND(_xlpm.x=0,_xlpm.y&lt;&gt;0),-1,IF(AND(_xlpm.x&lt;&gt;0,_xlpm.y&lt;&gt;0),_xlpm.x,IF(AND(_xlpm.x-SUM(IF((INDIRECT($B$3)=$B147)*(INDIRECT($C$3)=$D147)*((INDIRECT($E$3)="TOTS")+(INDIRECT($E$3)=$E147)),INDIRECT(R$3)))&lt;&gt;0,_xlpm.y=0),-2,_xlpm.x)))),0))</f>
        <v>0</v>
      </c>
      <c r="S147" s="199" cm="1">
        <f t="array" aca="1" ref="S147" ca="1">IF(OR($B147="",$B147="X",$D147="",$D147="X",$E147="",$E147="X"),0,IFERROR(_xlfn.LET(_xlpm.x,SUM(SUM(_xlfn._xlws.FILTER(VALUE(PptoSty[Sign]&amp;1)*(1/PptoSty[Division]),(PptoSty[Division]&lt;&gt;0)*(PptoSty[Division]&lt;&gt;"")*(PptoSty[Division]&lt;&gt;"X")*(PptoSty[Project]=$B147)*(PptoSty[Vrs]=$D147)*(PptoSty[PiRow]=_xlfn.TEXTAFTER($H147,":"))*(PptoSty[PiColumn]=S$54),0)),SUM(IF((INDIRECT($B$3)=$B147)*(INDIRECT($C$3)=$D147)*((INDIRECT($E$3)="TOTS")+(INDIRECT($E$3)=$E147)),INDIRECT(S$3)))),_xlpm.y,SUM(_xlfn.CHOOSECOLS(_xlfn._xlws.FILTER(F_RT14[],(F_RT14[PrjId]=$B147)*(F_RT14[Vrs]=$D147)*(_xlfn.TEXTAFTER(F_RT14[ActGrp],":")=_xlfn.TEXTAFTER($H147,":")),"X"),MATCH("*"&amp;S$54,F_RT14[#Headers],0))),IF(AND(_xlpm.x=0,_xlpm.y&lt;&gt;0),-1,IF(AND(_xlpm.x&lt;&gt;0,_xlpm.y&lt;&gt;0),_xlpm.x,IF(AND(_xlpm.x-SUM(IF((INDIRECT($B$3)=$B147)*(INDIRECT($C$3)=$D147)*((INDIRECT($E$3)="TOTS")+(INDIRECT($E$3)=$E147)),INDIRECT(S$3)))&lt;&gt;0,_xlpm.y=0),-2,_xlpm.x)))),0))</f>
        <v>0</v>
      </c>
      <c r="T147" s="199" cm="1">
        <f t="array" aca="1" ref="T147" ca="1">IF(OR($B147="",$B147="X",$D147="",$D147="X",$E147="",$E147="X"),0,IFERROR(_xlfn.LET(_xlpm.x,SUM(SUM(_xlfn._xlws.FILTER(VALUE(PptoSty[Sign]&amp;1)*(1/PptoSty[Division]),(PptoSty[Division]&lt;&gt;0)*(PptoSty[Division]&lt;&gt;"")*(PptoSty[Division]&lt;&gt;"X")*(PptoSty[Project]=$B147)*(PptoSty[Vrs]=$D147)*(PptoSty[PiRow]=_xlfn.TEXTAFTER($H147,":"))*(PptoSty[PiColumn]=T$54),0)),SUM(IF((INDIRECT($B$3)=$B147)*(INDIRECT($C$3)=$D147)*((INDIRECT($E$3)="TOTS")+(INDIRECT($E$3)=$E147)),INDIRECT(T$3)))),_xlpm.y,SUM(_xlfn.CHOOSECOLS(_xlfn._xlws.FILTER(F_RT14[],(F_RT14[PrjId]=$B147)*(F_RT14[Vrs]=$D147)*(_xlfn.TEXTAFTER(F_RT14[ActGrp],":")=_xlfn.TEXTAFTER($H147,":")),"X"),MATCH("*"&amp;T$54,F_RT14[#Headers],0))),IF(AND(_xlpm.x=0,_xlpm.y&lt;&gt;0),-1,IF(AND(_xlpm.x&lt;&gt;0,_xlpm.y&lt;&gt;0),_xlpm.x,IF(AND(_xlpm.x-SUM(IF((INDIRECT($B$3)=$B147)*(INDIRECT($C$3)=$D147)*((INDIRECT($E$3)="TOTS")+(INDIRECT($E$3)=$E147)),INDIRECT(T$3)))&lt;&gt;0,_xlpm.y=0),-2,_xlpm.x)))),0))</f>
        <v>0</v>
      </c>
      <c r="U147" s="199" cm="1">
        <f t="array" aca="1" ref="U147" ca="1">IF(OR($B147="",$B147="X",$D147="",$D147="X",$E147="",$E147="X"),0,IFERROR(_xlfn.LET(_xlpm.x,SUM(SUM(_xlfn._xlws.FILTER(VALUE(PptoSty[Sign]&amp;1)*(1/PptoSty[Division]),(PptoSty[Division]&lt;&gt;0)*(PptoSty[Division]&lt;&gt;"")*(PptoSty[Division]&lt;&gt;"X")*(PptoSty[Project]=$B147)*(PptoSty[Vrs]=$D147)*(PptoSty[PiRow]=_xlfn.TEXTAFTER($H147,":"))*(PptoSty[PiColumn]=U$54),0)),SUM(IF((INDIRECT($B$3)=$B147)*(INDIRECT($C$3)=$D147)*((INDIRECT($E$3)="TOTS")+(INDIRECT($E$3)=$E147)),INDIRECT(U$3)))),_xlpm.y,SUM(_xlfn.CHOOSECOLS(_xlfn._xlws.FILTER(F_RT14[],(F_RT14[PrjId]=$B147)*(F_RT14[Vrs]=$D147)*(_xlfn.TEXTAFTER(F_RT14[ActGrp],":")=_xlfn.TEXTAFTER($H147,":")),"X"),MATCH("*"&amp;U$54,F_RT14[#Headers],0))),IF(AND(_xlpm.x=0,_xlpm.y&lt;&gt;0),-1,IF(AND(_xlpm.x&lt;&gt;0,_xlpm.y&lt;&gt;0),_xlpm.x,IF(AND(_xlpm.x-SUM(IF((INDIRECT($B$3)=$B147)*(INDIRECT($C$3)=$D147)*((INDIRECT($E$3)="TOTS")+(INDIRECT($E$3)=$E147)),INDIRECT(U$3)))&lt;&gt;0,_xlpm.y=0),-2,_xlpm.x)))),0))</f>
        <v>0</v>
      </c>
      <c r="V147" s="199" cm="1">
        <f t="array" aca="1" ref="V147" ca="1">IF(OR($B147="",$B147="X",$D147="",$D147="X",$E147="",$E147="X"),0,IFERROR(_xlfn.LET(_xlpm.x,SUM(SUM(_xlfn._xlws.FILTER(VALUE(PptoSty[Sign]&amp;1)*(1/PptoSty[Division]),(PptoSty[Division]&lt;&gt;0)*(PptoSty[Division]&lt;&gt;"")*(PptoSty[Division]&lt;&gt;"X")*(PptoSty[Project]=$B147)*(PptoSty[Vrs]=$D147)*(PptoSty[PiRow]=_xlfn.TEXTAFTER($H147,":"))*(PptoSty[PiColumn]=V$54),0)),SUM(IF((INDIRECT($B$3)=$B147)*(INDIRECT($C$3)=$D147)*((INDIRECT($E$3)="TOTS")+(INDIRECT($E$3)=$E147)),INDIRECT(V$3)))),_xlpm.y,SUM(_xlfn.CHOOSECOLS(_xlfn._xlws.FILTER(F_RT14[],(F_RT14[PrjId]=$B147)*(F_RT14[Vrs]=$D147)*(_xlfn.TEXTAFTER(F_RT14[ActGrp],":")=_xlfn.TEXTAFTER($H147,":")),"X"),MATCH("*"&amp;V$54,F_RT14[#Headers],0))),IF(AND(_xlpm.x=0,_xlpm.y&lt;&gt;0),-1,IF(AND(_xlpm.x&lt;&gt;0,_xlpm.y&lt;&gt;0),_xlpm.x,IF(AND(_xlpm.x-SUM(IF((INDIRECT($B$3)=$B147)*(INDIRECT($C$3)=$D147)*((INDIRECT($E$3)="TOTS")+(INDIRECT($E$3)=$E147)),INDIRECT(V$3)))&lt;&gt;0,_xlpm.y=0),-2,_xlpm.x)))),0))</f>
        <v>-1</v>
      </c>
      <c r="W147" s="199" cm="1">
        <f t="array" aca="1" ref="W147" ca="1">IF(OR($B147="",$B147="X",$D147="",$D147="X",$E147="",$E147="X"),0,IFERROR(_xlfn.LET(_xlpm.x,SUM(SUM(_xlfn._xlws.FILTER(VALUE(PptoSty[Sign]&amp;1)*(1/PptoSty[Division]),(PptoSty[Division]&lt;&gt;0)*(PptoSty[Division]&lt;&gt;"")*(PptoSty[Division]&lt;&gt;"X")*(PptoSty[Project]=$B147)*(PptoSty[Vrs]=$D147)*(PptoSty[PiRow]=_xlfn.TEXTAFTER($H147,":"))*(PptoSty[PiColumn]=W$54),0)),SUM(IF((INDIRECT($B$3)=$B147)*(INDIRECT($C$3)=$D147)*((INDIRECT($E$3)="TOTS")+(INDIRECT($E$3)=$E147)),INDIRECT(W$3)))),_xlpm.y,SUM(_xlfn.CHOOSECOLS(_xlfn._xlws.FILTER(F_RT14[],(F_RT14[PrjId]=$B147)*(F_RT14[Vrs]=$D147)*(_xlfn.TEXTAFTER(F_RT14[ActGrp],":")=_xlfn.TEXTAFTER($H147,":")),"X"),MATCH("*"&amp;W$54,F_RT14[#Headers],0))),IF(AND(_xlpm.x=0,_xlpm.y&lt;&gt;0),-1,IF(AND(_xlpm.x&lt;&gt;0,_xlpm.y&lt;&gt;0),_xlpm.x,IF(AND(_xlpm.x-SUM(IF((INDIRECT($B$3)=$B147)*(INDIRECT($C$3)=$D147)*((INDIRECT($E$3)="TOTS")+(INDIRECT($E$3)=$E147)),INDIRECT(W$3)))&lt;&gt;0,_xlpm.y=0),-2,_xlpm.x)))),0))</f>
        <v>0</v>
      </c>
      <c r="X147" s="199" cm="1">
        <f t="array" aca="1" ref="X147" ca="1">IF(OR($B147="",$B147="X",$D147="",$D147="X",$E147="",$E147="X"),0,IFERROR(_xlfn.LET(_xlpm.x,SUM(SUM(_xlfn._xlws.FILTER(VALUE(PptoSty[Sign]&amp;1)*(1/PptoSty[Division]),(PptoSty[Division]&lt;&gt;0)*(PptoSty[Division]&lt;&gt;"")*(PptoSty[Division]&lt;&gt;"X")*(PptoSty[Project]=$B147)*(PptoSty[Vrs]=$D147)*(PptoSty[PiRow]=_xlfn.TEXTAFTER($H147,":"))*(PptoSty[PiColumn]=X$54),0)),SUM(IF((INDIRECT($B$3)=$B147)*(INDIRECT($C$3)=$D147)*((INDIRECT($E$3)="TOTS")+(INDIRECT($E$3)=$E147)),INDIRECT(X$3)))),_xlpm.y,SUM(_xlfn.CHOOSECOLS(_xlfn._xlws.FILTER(F_RT14[],(F_RT14[PrjId]=$B147)*(F_RT14[Vrs]=$D147)*(_xlfn.TEXTAFTER(F_RT14[ActGrp],":")=_xlfn.TEXTAFTER($H147,":")),"X"),MATCH("*"&amp;X$54,F_RT14[#Headers],0))),IF(AND(_xlpm.x=0,_xlpm.y&lt;&gt;0),-1,IF(AND(_xlpm.x&lt;&gt;0,_xlpm.y&lt;&gt;0),_xlpm.x,IF(AND(_xlpm.x-SUM(IF((INDIRECT($B$3)=$B147)*(INDIRECT($C$3)=$D147)*((INDIRECT($E$3)="TOTS")+(INDIRECT($E$3)=$E147)),INDIRECT(X$3)))&lt;&gt;0,_xlpm.y=0),-2,_xlpm.x)))),0))</f>
        <v>0</v>
      </c>
      <c r="Y147" s="199" cm="1">
        <f t="array" aca="1" ref="Y147" ca="1">IF(OR($B147="",$B147="X",$D147="",$D147="X",$E147="",$E147="X"),0,IFERROR(_xlfn.LET(_xlpm.x,SUM(SUM(_xlfn._xlws.FILTER(VALUE(PptoSty[Sign]&amp;1)*(1/PptoSty[Division]),(PptoSty[Division]&lt;&gt;0)*(PptoSty[Division]&lt;&gt;"")*(PptoSty[Division]&lt;&gt;"X")*(PptoSty[Project]=$B147)*(PptoSty[Vrs]=$D147)*(PptoSty[PiRow]=_xlfn.TEXTAFTER($H147,":"))*(PptoSty[PiColumn]=Y$54),0)),SUM(IF((INDIRECT($B$3)=$B147)*(INDIRECT($C$3)=$D147)*((INDIRECT($E$3)="TOTS")+(INDIRECT($E$3)=$E147)),INDIRECT(Y$3)))),_xlpm.y,SUM(_xlfn.CHOOSECOLS(_xlfn._xlws.FILTER(F_RT14[],(F_RT14[PrjId]=$B147)*(F_RT14[Vrs]=$D147)*(_xlfn.TEXTAFTER(F_RT14[ActGrp],":")=_xlfn.TEXTAFTER($H147,":")),"X"),MATCH("*"&amp;Y$54,F_RT14[#Headers],0))),IF(AND(_xlpm.x=0,_xlpm.y&lt;&gt;0),-1,IF(AND(_xlpm.x&lt;&gt;0,_xlpm.y&lt;&gt;0),_xlpm.x,IF(AND(_xlpm.x-SUM(IF((INDIRECT($B$3)=$B147)*(INDIRECT($C$3)=$D147)*((INDIRECT($E$3)="TOTS")+(INDIRECT($E$3)=$E147)),INDIRECT(Y$3)))&lt;&gt;0,_xlpm.y=0),-2,_xlpm.x)))),0))</f>
        <v>0</v>
      </c>
      <c r="Z147" s="198" t="str">
        <f t="shared" ca="1" si="3"/>
        <v>Fback!B147:Y147</v>
      </c>
    </row>
    <row r="148" spans="2:26" ht="21" customHeight="1" outlineLevel="1">
      <c r="B148" s="128" t="str">
        <v>31200</v>
      </c>
      <c r="C148" s="128" t="str">
        <v>Sp</v>
      </c>
      <c r="D148" s="128">
        <v>16</v>
      </c>
      <c r="E148" s="128" t="str">
        <v>TOOL</v>
      </c>
      <c r="F148" s="139" t="str">
        <v>SERRA</v>
      </c>
      <c r="G148" s="139" t="str">
        <v>CurPpto</v>
      </c>
      <c r="H148" s="139" t="str">
        <v>P013:OP-630.1 WELDING (REWELD)</v>
      </c>
      <c r="I148" s="199" cm="1">
        <f t="array" aca="1" ref="I148" ca="1">IF(OR($B148="",$B148="X",$D148="",$D148="X",$E148="",$E148="X"),0,IFERROR(_xlfn.LET(_xlpm.x,SUM(SUM(_xlfn._xlws.FILTER(VALUE(PptoSty[Sign]&amp;1)*(1/PptoSty[Division]),(PptoSty[Division]&lt;&gt;0)*(PptoSty[Division]&lt;&gt;"")*(PptoSty[Division]&lt;&gt;"X")*(PptoSty[Project]=$B148)*(PptoSty[Vrs]=$D148)*(PptoSty[PiRow]=_xlfn.TEXTAFTER($H148,":"))*(PptoSty[PiColumn]=I$54),0)),SUM(IF((INDIRECT($B$3)=$B148)*(INDIRECT($C$3)=$D148)*((INDIRECT($E$3)="TOTS")+(INDIRECT($E$3)=$E148)),INDIRECT(I$3)))),_xlpm.y,SUM(_xlfn.CHOOSECOLS(_xlfn._xlws.FILTER(F_RT14[],(F_RT14[PrjId]=$B148)*(F_RT14[Vrs]=$D148)*(_xlfn.TEXTAFTER(F_RT14[ActGrp],":")=_xlfn.TEXTAFTER($H148,":")),"X"),MATCH("*"&amp;I$54,F_RT14[#Headers],0))),IF(AND(_xlpm.x=0,_xlpm.y&lt;&gt;0),-1,IF(AND(_xlpm.x&lt;&gt;0,_xlpm.y&lt;&gt;0),_xlpm.x,IF(AND(_xlpm.x-SUM(IF((INDIRECT($B$3)=$B148)*(INDIRECT($C$3)=$D148)*((INDIRECT($E$3)="TOTS")+(INDIRECT($E$3)=$E148)),INDIRECT(I$3)))&lt;&gt;0,_xlpm.y=0),-2,_xlpm.x)))),0))</f>
        <v>0</v>
      </c>
      <c r="J148" s="199" cm="1">
        <f t="array" aca="1" ref="J148" ca="1">IF(OR($B148="",$B148="X",$D148="",$D148="X",$E148="",$E148="X"),0,IFERROR(_xlfn.LET(_xlpm.x,SUM(SUM(_xlfn._xlws.FILTER(VALUE(PptoSty[Sign]&amp;1)*(1/PptoSty[Division]),(PptoSty[Division]&lt;&gt;0)*(PptoSty[Division]&lt;&gt;"")*(PptoSty[Division]&lt;&gt;"X")*(PptoSty[Project]=$B148)*(PptoSty[Vrs]=$D148)*(PptoSty[PiRow]=_xlfn.TEXTAFTER($H148,":"))*(PptoSty[PiColumn]=J$54),0)),SUM(IF((INDIRECT($B$3)=$B148)*(INDIRECT($C$3)=$D148)*((INDIRECT($E$3)="TOTS")+(INDIRECT($E$3)=$E148)),INDIRECT(J$3)))),_xlpm.y,SUM(_xlfn.CHOOSECOLS(_xlfn._xlws.FILTER(F_RT14[],(F_RT14[PrjId]=$B148)*(F_RT14[Vrs]=$D148)*(_xlfn.TEXTAFTER(F_RT14[ActGrp],":")=_xlfn.TEXTAFTER($H148,":")),"X"),MATCH("*"&amp;J$54,F_RT14[#Headers],0))),IF(AND(_xlpm.x=0,_xlpm.y&lt;&gt;0),-1,IF(AND(_xlpm.x&lt;&gt;0,_xlpm.y&lt;&gt;0),_xlpm.x,IF(AND(_xlpm.x-SUM(IF((INDIRECT($B$3)=$B148)*(INDIRECT($C$3)=$D148)*((INDIRECT($E$3)="TOTS")+(INDIRECT($E$3)=$E148)),INDIRECT(J$3)))&lt;&gt;0,_xlpm.y=0),-2,_xlpm.x)))),0))</f>
        <v>0</v>
      </c>
      <c r="K148" s="199" cm="1">
        <f t="array" aca="1" ref="K148" ca="1">IF(OR($B148="",$B148="X",$D148="",$D148="X",$E148="",$E148="X"),0,IFERROR(_xlfn.LET(_xlpm.x,SUM(SUM(_xlfn._xlws.FILTER(VALUE(PptoSty[Sign]&amp;1)*(1/PptoSty[Division]),(PptoSty[Division]&lt;&gt;0)*(PptoSty[Division]&lt;&gt;"")*(PptoSty[Division]&lt;&gt;"X")*(PptoSty[Project]=$B148)*(PptoSty[Vrs]=$D148)*(PptoSty[PiRow]=_xlfn.TEXTAFTER($H148,":"))*(PptoSty[PiColumn]=K$54),0)),SUM(IF((INDIRECT($B$3)=$B148)*(INDIRECT($C$3)=$D148)*((INDIRECT($E$3)="TOTS")+(INDIRECT($E$3)=$E148)),INDIRECT(K$3)))),_xlpm.y,SUM(_xlfn.CHOOSECOLS(_xlfn._xlws.FILTER(F_RT14[],(F_RT14[PrjId]=$B148)*(F_RT14[Vrs]=$D148)*(_xlfn.TEXTAFTER(F_RT14[ActGrp],":")=_xlfn.TEXTAFTER($H148,":")),"X"),MATCH("*"&amp;K$54,F_RT14[#Headers],0))),IF(AND(_xlpm.x=0,_xlpm.y&lt;&gt;0),-1,IF(AND(_xlpm.x&lt;&gt;0,_xlpm.y&lt;&gt;0),_xlpm.x,IF(AND(_xlpm.x-SUM(IF((INDIRECT($B$3)=$B148)*(INDIRECT($C$3)=$D148)*((INDIRECT($E$3)="TOTS")+(INDIRECT($E$3)=$E148)),INDIRECT(K$3)))&lt;&gt;0,_xlpm.y=0),-2,_xlpm.x)))),0))</f>
        <v>-1</v>
      </c>
      <c r="L148" s="199" cm="1">
        <f t="array" aca="1" ref="L148" ca="1">IF(OR($B148="",$B148="X",$D148="",$D148="X",$E148="",$E148="X"),0,IFERROR(_xlfn.LET(_xlpm.x,SUM(SUM(_xlfn._xlws.FILTER(VALUE(PptoSty[Sign]&amp;1)*(1/PptoSty[Division]),(PptoSty[Division]&lt;&gt;0)*(PptoSty[Division]&lt;&gt;"")*(PptoSty[Division]&lt;&gt;"X")*(PptoSty[Project]=$B148)*(PptoSty[Vrs]=$D148)*(PptoSty[PiRow]=_xlfn.TEXTAFTER($H148,":"))*(PptoSty[PiColumn]=L$54),0)),SUM(IF((INDIRECT($B$3)=$B148)*(INDIRECT($C$3)=$D148)*((INDIRECT($E$3)="TOTS")+(INDIRECT($E$3)=$E148)),INDIRECT(L$3)))),_xlpm.y,SUM(_xlfn.CHOOSECOLS(_xlfn._xlws.FILTER(F_RT14[],(F_RT14[PrjId]=$B148)*(F_RT14[Vrs]=$D148)*(_xlfn.TEXTAFTER(F_RT14[ActGrp],":")=_xlfn.TEXTAFTER($H148,":")),"X"),MATCH("*"&amp;L$54,F_RT14[#Headers],0))),IF(AND(_xlpm.x=0,_xlpm.y&lt;&gt;0),-1,IF(AND(_xlpm.x&lt;&gt;0,_xlpm.y&lt;&gt;0),_xlpm.x,IF(AND(_xlpm.x-SUM(IF((INDIRECT($B$3)=$B148)*(INDIRECT($C$3)=$D148)*((INDIRECT($E$3)="TOTS")+(INDIRECT($E$3)=$E148)),INDIRECT(L$3)))&lt;&gt;0,_xlpm.y=0),-2,_xlpm.x)))),0))</f>
        <v>0</v>
      </c>
      <c r="M148" s="199" cm="1">
        <f t="array" aca="1" ref="M148" ca="1">IF(OR($B148="",$B148="X",$D148="",$D148="X",$E148="",$E148="X"),0,IFERROR(_xlfn.LET(_xlpm.x,SUM(SUM(_xlfn._xlws.FILTER(VALUE(PptoSty[Sign]&amp;1)*(1/PptoSty[Division]),(PptoSty[Division]&lt;&gt;0)*(PptoSty[Division]&lt;&gt;"")*(PptoSty[Division]&lt;&gt;"X")*(PptoSty[Project]=$B148)*(PptoSty[Vrs]=$D148)*(PptoSty[PiRow]=_xlfn.TEXTAFTER($H148,":"))*(PptoSty[PiColumn]=M$54),0)),SUM(IF((INDIRECT($B$3)=$B148)*(INDIRECT($C$3)=$D148)*((INDIRECT($E$3)="TOTS")+(INDIRECT($E$3)=$E148)),INDIRECT(M$3)))),_xlpm.y,SUM(_xlfn.CHOOSECOLS(_xlfn._xlws.FILTER(F_RT14[],(F_RT14[PrjId]=$B148)*(F_RT14[Vrs]=$D148)*(_xlfn.TEXTAFTER(F_RT14[ActGrp],":")=_xlfn.TEXTAFTER($H148,":")),"X"),MATCH("*"&amp;M$54,F_RT14[#Headers],0))),IF(AND(_xlpm.x=0,_xlpm.y&lt;&gt;0),-1,IF(AND(_xlpm.x&lt;&gt;0,_xlpm.y&lt;&gt;0),_xlpm.x,IF(AND(_xlpm.x-SUM(IF((INDIRECT($B$3)=$B148)*(INDIRECT($C$3)=$D148)*((INDIRECT($E$3)="TOTS")+(INDIRECT($E$3)=$E148)),INDIRECT(M$3)))&lt;&gt;0,_xlpm.y=0),-2,_xlpm.x)))),0))</f>
        <v>0</v>
      </c>
      <c r="N148" s="199" cm="1">
        <f t="array" aca="1" ref="N148" ca="1">IF(OR($B148="",$B148="X",$D148="",$D148="X",$E148="",$E148="X"),0,IFERROR(_xlfn.LET(_xlpm.x,SUM(SUM(_xlfn._xlws.FILTER(VALUE(PptoSty[Sign]&amp;1)*(1/PptoSty[Division]),(PptoSty[Division]&lt;&gt;0)*(PptoSty[Division]&lt;&gt;"")*(PptoSty[Division]&lt;&gt;"X")*(PptoSty[Project]=$B148)*(PptoSty[Vrs]=$D148)*(PptoSty[PiRow]=_xlfn.TEXTAFTER($H148,":"))*(PptoSty[PiColumn]=N$54),0)),SUM(IF((INDIRECT($B$3)=$B148)*(INDIRECT($C$3)=$D148)*((INDIRECT($E$3)="TOTS")+(INDIRECT($E$3)=$E148)),INDIRECT(N$3)))),_xlpm.y,SUM(_xlfn.CHOOSECOLS(_xlfn._xlws.FILTER(F_RT14[],(F_RT14[PrjId]=$B148)*(F_RT14[Vrs]=$D148)*(_xlfn.TEXTAFTER(F_RT14[ActGrp],":")=_xlfn.TEXTAFTER($H148,":")),"X"),MATCH("*"&amp;N$54,F_RT14[#Headers],0))),IF(AND(_xlpm.x=0,_xlpm.y&lt;&gt;0),-1,IF(AND(_xlpm.x&lt;&gt;0,_xlpm.y&lt;&gt;0),_xlpm.x,IF(AND(_xlpm.x-SUM(IF((INDIRECT($B$3)=$B148)*(INDIRECT($C$3)=$D148)*((INDIRECT($E$3)="TOTS")+(INDIRECT($E$3)=$E148)),INDIRECT(N$3)))&lt;&gt;0,_xlpm.y=0),-2,_xlpm.x)))),0))</f>
        <v>-1</v>
      </c>
      <c r="O148" s="199" cm="1">
        <f t="array" aca="1" ref="O148" ca="1">IF(OR($B148="",$B148="X",$D148="",$D148="X",$E148="",$E148="X"),0,IFERROR(_xlfn.LET(_xlpm.x,SUM(SUM(_xlfn._xlws.FILTER(VALUE(PptoSty[Sign]&amp;1)*(1/PptoSty[Division]),(PptoSty[Division]&lt;&gt;0)*(PptoSty[Division]&lt;&gt;"")*(PptoSty[Division]&lt;&gt;"X")*(PptoSty[Project]=$B148)*(PptoSty[Vrs]=$D148)*(PptoSty[PiRow]=_xlfn.TEXTAFTER($H148,":"))*(PptoSty[PiColumn]=O$54),0)),SUM(IF((INDIRECT($B$3)=$B148)*(INDIRECT($C$3)=$D148)*((INDIRECT($E$3)="TOTS")+(INDIRECT($E$3)=$E148)),INDIRECT(O$3)))),_xlpm.y,SUM(_xlfn.CHOOSECOLS(_xlfn._xlws.FILTER(F_RT14[],(F_RT14[PrjId]=$B148)*(F_RT14[Vrs]=$D148)*(_xlfn.TEXTAFTER(F_RT14[ActGrp],":")=_xlfn.TEXTAFTER($H148,":")),"X"),MATCH("*"&amp;O$54,F_RT14[#Headers],0))),IF(AND(_xlpm.x=0,_xlpm.y&lt;&gt;0),-1,IF(AND(_xlpm.x&lt;&gt;0,_xlpm.y&lt;&gt;0),_xlpm.x,IF(AND(_xlpm.x-SUM(IF((INDIRECT($B$3)=$B148)*(INDIRECT($C$3)=$D148)*((INDIRECT($E$3)="TOTS")+(INDIRECT($E$3)=$E148)),INDIRECT(O$3)))&lt;&gt;0,_xlpm.y=0),-2,_xlpm.x)))),0))</f>
        <v>0</v>
      </c>
      <c r="P148" s="199" cm="1">
        <f t="array" aca="1" ref="P148" ca="1">IF(OR($B148="",$B148="X",$D148="",$D148="X",$E148="",$E148="X"),0,IFERROR(_xlfn.LET(_xlpm.x,SUM(SUM(_xlfn._xlws.FILTER(VALUE(PptoSty[Sign]&amp;1)*(1/PptoSty[Division]),(PptoSty[Division]&lt;&gt;0)*(PptoSty[Division]&lt;&gt;"")*(PptoSty[Division]&lt;&gt;"X")*(PptoSty[Project]=$B148)*(PptoSty[Vrs]=$D148)*(PptoSty[PiRow]=_xlfn.TEXTAFTER($H148,":"))*(PptoSty[PiColumn]=P$54),0)),SUM(IF((INDIRECT($B$3)=$B148)*(INDIRECT($C$3)=$D148)*((INDIRECT($E$3)="TOTS")+(INDIRECT($E$3)=$E148)),INDIRECT(P$3)))),_xlpm.y,SUM(_xlfn.CHOOSECOLS(_xlfn._xlws.FILTER(F_RT14[],(F_RT14[PrjId]=$B148)*(F_RT14[Vrs]=$D148)*(_xlfn.TEXTAFTER(F_RT14[ActGrp],":")=_xlfn.TEXTAFTER($H148,":")),"X"),MATCH("*"&amp;P$54,F_RT14[#Headers],0))),IF(AND(_xlpm.x=0,_xlpm.y&lt;&gt;0),-1,IF(AND(_xlpm.x&lt;&gt;0,_xlpm.y&lt;&gt;0),_xlpm.x,IF(AND(_xlpm.x-SUM(IF((INDIRECT($B$3)=$B148)*(INDIRECT($C$3)=$D148)*((INDIRECT($E$3)="TOTS")+(INDIRECT($E$3)=$E148)),INDIRECT(P$3)))&lt;&gt;0,_xlpm.y=0),-2,_xlpm.x)))),0))</f>
        <v>-1</v>
      </c>
      <c r="Q148" s="199" cm="1">
        <f t="array" aca="1" ref="Q148" ca="1">IF(OR($B148="",$B148="X",$D148="",$D148="X",$E148="",$E148="X"),0,IFERROR(_xlfn.LET(_xlpm.x,SUM(SUM(_xlfn._xlws.FILTER(VALUE(PptoSty[Sign]&amp;1)*(1/PptoSty[Division]),(PptoSty[Division]&lt;&gt;0)*(PptoSty[Division]&lt;&gt;"")*(PptoSty[Division]&lt;&gt;"X")*(PptoSty[Project]=$B148)*(PptoSty[Vrs]=$D148)*(PptoSty[PiRow]=_xlfn.TEXTAFTER($H148,":"))*(PptoSty[PiColumn]=Q$54),0)),SUM(IF((INDIRECT($B$3)=$B148)*(INDIRECT($C$3)=$D148)*((INDIRECT($E$3)="TOTS")+(INDIRECT($E$3)=$E148)),INDIRECT(Q$3)))),_xlpm.y,SUM(_xlfn.CHOOSECOLS(_xlfn._xlws.FILTER(F_RT14[],(F_RT14[PrjId]=$B148)*(F_RT14[Vrs]=$D148)*(_xlfn.TEXTAFTER(F_RT14[ActGrp],":")=_xlfn.TEXTAFTER($H148,":")),"X"),MATCH("*"&amp;Q$54,F_RT14[#Headers],0))),IF(AND(_xlpm.x=0,_xlpm.y&lt;&gt;0),-1,IF(AND(_xlpm.x&lt;&gt;0,_xlpm.y&lt;&gt;0),_xlpm.x,IF(AND(_xlpm.x-SUM(IF((INDIRECT($B$3)=$B148)*(INDIRECT($C$3)=$D148)*((INDIRECT($E$3)="TOTS")+(INDIRECT($E$3)=$E148)),INDIRECT(Q$3)))&lt;&gt;0,_xlpm.y=0),-2,_xlpm.x)))),0))</f>
        <v>0</v>
      </c>
      <c r="R148" s="199" cm="1">
        <f t="array" aca="1" ref="R148" ca="1">IF(OR($B148="",$B148="X",$D148="",$D148="X",$E148="",$E148="X"),0,IFERROR(_xlfn.LET(_xlpm.x,SUM(SUM(_xlfn._xlws.FILTER(VALUE(PptoSty[Sign]&amp;1)*(1/PptoSty[Division]),(PptoSty[Division]&lt;&gt;0)*(PptoSty[Division]&lt;&gt;"")*(PptoSty[Division]&lt;&gt;"X")*(PptoSty[Project]=$B148)*(PptoSty[Vrs]=$D148)*(PptoSty[PiRow]=_xlfn.TEXTAFTER($H148,":"))*(PptoSty[PiColumn]=R$54),0)),SUM(IF((INDIRECT($B$3)=$B148)*(INDIRECT($C$3)=$D148)*((INDIRECT($E$3)="TOTS")+(INDIRECT($E$3)=$E148)),INDIRECT(R$3)))),_xlpm.y,SUM(_xlfn.CHOOSECOLS(_xlfn._xlws.FILTER(F_RT14[],(F_RT14[PrjId]=$B148)*(F_RT14[Vrs]=$D148)*(_xlfn.TEXTAFTER(F_RT14[ActGrp],":")=_xlfn.TEXTAFTER($H148,":")),"X"),MATCH("*"&amp;R$54,F_RT14[#Headers],0))),IF(AND(_xlpm.x=0,_xlpm.y&lt;&gt;0),-1,IF(AND(_xlpm.x&lt;&gt;0,_xlpm.y&lt;&gt;0),_xlpm.x,IF(AND(_xlpm.x-SUM(IF((INDIRECT($B$3)=$B148)*(INDIRECT($C$3)=$D148)*((INDIRECT($E$3)="TOTS")+(INDIRECT($E$3)=$E148)),INDIRECT(R$3)))&lt;&gt;0,_xlpm.y=0),-2,_xlpm.x)))),0))</f>
        <v>0</v>
      </c>
      <c r="S148" s="199" cm="1">
        <f t="array" aca="1" ref="S148" ca="1">IF(OR($B148="",$B148="X",$D148="",$D148="X",$E148="",$E148="X"),0,IFERROR(_xlfn.LET(_xlpm.x,SUM(SUM(_xlfn._xlws.FILTER(VALUE(PptoSty[Sign]&amp;1)*(1/PptoSty[Division]),(PptoSty[Division]&lt;&gt;0)*(PptoSty[Division]&lt;&gt;"")*(PptoSty[Division]&lt;&gt;"X")*(PptoSty[Project]=$B148)*(PptoSty[Vrs]=$D148)*(PptoSty[PiRow]=_xlfn.TEXTAFTER($H148,":"))*(PptoSty[PiColumn]=S$54),0)),SUM(IF((INDIRECT($B$3)=$B148)*(INDIRECT($C$3)=$D148)*((INDIRECT($E$3)="TOTS")+(INDIRECT($E$3)=$E148)),INDIRECT(S$3)))),_xlpm.y,SUM(_xlfn.CHOOSECOLS(_xlfn._xlws.FILTER(F_RT14[],(F_RT14[PrjId]=$B148)*(F_RT14[Vrs]=$D148)*(_xlfn.TEXTAFTER(F_RT14[ActGrp],":")=_xlfn.TEXTAFTER($H148,":")),"X"),MATCH("*"&amp;S$54,F_RT14[#Headers],0))),IF(AND(_xlpm.x=0,_xlpm.y&lt;&gt;0),-1,IF(AND(_xlpm.x&lt;&gt;0,_xlpm.y&lt;&gt;0),_xlpm.x,IF(AND(_xlpm.x-SUM(IF((INDIRECT($B$3)=$B148)*(INDIRECT($C$3)=$D148)*((INDIRECT($E$3)="TOTS")+(INDIRECT($E$3)=$E148)),INDIRECT(S$3)))&lt;&gt;0,_xlpm.y=0),-2,_xlpm.x)))),0))</f>
        <v>0</v>
      </c>
      <c r="T148" s="199" cm="1">
        <f t="array" aca="1" ref="T148" ca="1">IF(OR($B148="",$B148="X",$D148="",$D148="X",$E148="",$E148="X"),0,IFERROR(_xlfn.LET(_xlpm.x,SUM(SUM(_xlfn._xlws.FILTER(VALUE(PptoSty[Sign]&amp;1)*(1/PptoSty[Division]),(PptoSty[Division]&lt;&gt;0)*(PptoSty[Division]&lt;&gt;"")*(PptoSty[Division]&lt;&gt;"X")*(PptoSty[Project]=$B148)*(PptoSty[Vrs]=$D148)*(PptoSty[PiRow]=_xlfn.TEXTAFTER($H148,":"))*(PptoSty[PiColumn]=T$54),0)),SUM(IF((INDIRECT($B$3)=$B148)*(INDIRECT($C$3)=$D148)*((INDIRECT($E$3)="TOTS")+(INDIRECT($E$3)=$E148)),INDIRECT(T$3)))),_xlpm.y,SUM(_xlfn.CHOOSECOLS(_xlfn._xlws.FILTER(F_RT14[],(F_RT14[PrjId]=$B148)*(F_RT14[Vrs]=$D148)*(_xlfn.TEXTAFTER(F_RT14[ActGrp],":")=_xlfn.TEXTAFTER($H148,":")),"X"),MATCH("*"&amp;T$54,F_RT14[#Headers],0))),IF(AND(_xlpm.x=0,_xlpm.y&lt;&gt;0),-1,IF(AND(_xlpm.x&lt;&gt;0,_xlpm.y&lt;&gt;0),_xlpm.x,IF(AND(_xlpm.x-SUM(IF((INDIRECT($B$3)=$B148)*(INDIRECT($C$3)=$D148)*((INDIRECT($E$3)="TOTS")+(INDIRECT($E$3)=$E148)),INDIRECT(T$3)))&lt;&gt;0,_xlpm.y=0),-2,_xlpm.x)))),0))</f>
        <v>0</v>
      </c>
      <c r="U148" s="199" cm="1">
        <f t="array" aca="1" ref="U148" ca="1">IF(OR($B148="",$B148="X",$D148="",$D148="X",$E148="",$E148="X"),0,IFERROR(_xlfn.LET(_xlpm.x,SUM(SUM(_xlfn._xlws.FILTER(VALUE(PptoSty[Sign]&amp;1)*(1/PptoSty[Division]),(PptoSty[Division]&lt;&gt;0)*(PptoSty[Division]&lt;&gt;"")*(PptoSty[Division]&lt;&gt;"X")*(PptoSty[Project]=$B148)*(PptoSty[Vrs]=$D148)*(PptoSty[PiRow]=_xlfn.TEXTAFTER($H148,":"))*(PptoSty[PiColumn]=U$54),0)),SUM(IF((INDIRECT($B$3)=$B148)*(INDIRECT($C$3)=$D148)*((INDIRECT($E$3)="TOTS")+(INDIRECT($E$3)=$E148)),INDIRECT(U$3)))),_xlpm.y,SUM(_xlfn.CHOOSECOLS(_xlfn._xlws.FILTER(F_RT14[],(F_RT14[PrjId]=$B148)*(F_RT14[Vrs]=$D148)*(_xlfn.TEXTAFTER(F_RT14[ActGrp],":")=_xlfn.TEXTAFTER($H148,":")),"X"),MATCH("*"&amp;U$54,F_RT14[#Headers],0))),IF(AND(_xlpm.x=0,_xlpm.y&lt;&gt;0),-1,IF(AND(_xlpm.x&lt;&gt;0,_xlpm.y&lt;&gt;0),_xlpm.x,IF(AND(_xlpm.x-SUM(IF((INDIRECT($B$3)=$B148)*(INDIRECT($C$3)=$D148)*((INDIRECT($E$3)="TOTS")+(INDIRECT($E$3)=$E148)),INDIRECT(U$3)))&lt;&gt;0,_xlpm.y=0),-2,_xlpm.x)))),0))</f>
        <v>0</v>
      </c>
      <c r="V148" s="199" cm="1">
        <f t="array" aca="1" ref="V148" ca="1">IF(OR($B148="",$B148="X",$D148="",$D148="X",$E148="",$E148="X"),0,IFERROR(_xlfn.LET(_xlpm.x,SUM(SUM(_xlfn._xlws.FILTER(VALUE(PptoSty[Sign]&amp;1)*(1/PptoSty[Division]),(PptoSty[Division]&lt;&gt;0)*(PptoSty[Division]&lt;&gt;"")*(PptoSty[Division]&lt;&gt;"X")*(PptoSty[Project]=$B148)*(PptoSty[Vrs]=$D148)*(PptoSty[PiRow]=_xlfn.TEXTAFTER($H148,":"))*(PptoSty[PiColumn]=V$54),0)),SUM(IF((INDIRECT($B$3)=$B148)*(INDIRECT($C$3)=$D148)*((INDIRECT($E$3)="TOTS")+(INDIRECT($E$3)=$E148)),INDIRECT(V$3)))),_xlpm.y,SUM(_xlfn.CHOOSECOLS(_xlfn._xlws.FILTER(F_RT14[],(F_RT14[PrjId]=$B148)*(F_RT14[Vrs]=$D148)*(_xlfn.TEXTAFTER(F_RT14[ActGrp],":")=_xlfn.TEXTAFTER($H148,":")),"X"),MATCH("*"&amp;V$54,F_RT14[#Headers],0))),IF(AND(_xlpm.x=0,_xlpm.y&lt;&gt;0),-1,IF(AND(_xlpm.x&lt;&gt;0,_xlpm.y&lt;&gt;0),_xlpm.x,IF(AND(_xlpm.x-SUM(IF((INDIRECT($B$3)=$B148)*(INDIRECT($C$3)=$D148)*((INDIRECT($E$3)="TOTS")+(INDIRECT($E$3)=$E148)),INDIRECT(V$3)))&lt;&gt;0,_xlpm.y=0),-2,_xlpm.x)))),0))</f>
        <v>-1</v>
      </c>
      <c r="W148" s="199" cm="1">
        <f t="array" aca="1" ref="W148" ca="1">IF(OR($B148="",$B148="X",$D148="",$D148="X",$E148="",$E148="X"),0,IFERROR(_xlfn.LET(_xlpm.x,SUM(SUM(_xlfn._xlws.FILTER(VALUE(PptoSty[Sign]&amp;1)*(1/PptoSty[Division]),(PptoSty[Division]&lt;&gt;0)*(PptoSty[Division]&lt;&gt;"")*(PptoSty[Division]&lt;&gt;"X")*(PptoSty[Project]=$B148)*(PptoSty[Vrs]=$D148)*(PptoSty[PiRow]=_xlfn.TEXTAFTER($H148,":"))*(PptoSty[PiColumn]=W$54),0)),SUM(IF((INDIRECT($B$3)=$B148)*(INDIRECT($C$3)=$D148)*((INDIRECT($E$3)="TOTS")+(INDIRECT($E$3)=$E148)),INDIRECT(W$3)))),_xlpm.y,SUM(_xlfn.CHOOSECOLS(_xlfn._xlws.FILTER(F_RT14[],(F_RT14[PrjId]=$B148)*(F_RT14[Vrs]=$D148)*(_xlfn.TEXTAFTER(F_RT14[ActGrp],":")=_xlfn.TEXTAFTER($H148,":")),"X"),MATCH("*"&amp;W$54,F_RT14[#Headers],0))),IF(AND(_xlpm.x=0,_xlpm.y&lt;&gt;0),-1,IF(AND(_xlpm.x&lt;&gt;0,_xlpm.y&lt;&gt;0),_xlpm.x,IF(AND(_xlpm.x-SUM(IF((INDIRECT($B$3)=$B148)*(INDIRECT($C$3)=$D148)*((INDIRECT($E$3)="TOTS")+(INDIRECT($E$3)=$E148)),INDIRECT(W$3)))&lt;&gt;0,_xlpm.y=0),-2,_xlpm.x)))),0))</f>
        <v>-1</v>
      </c>
      <c r="X148" s="199" cm="1">
        <f t="array" aca="1" ref="X148" ca="1">IF(OR($B148="",$B148="X",$D148="",$D148="X",$E148="",$E148="X"),0,IFERROR(_xlfn.LET(_xlpm.x,SUM(SUM(_xlfn._xlws.FILTER(VALUE(PptoSty[Sign]&amp;1)*(1/PptoSty[Division]),(PptoSty[Division]&lt;&gt;0)*(PptoSty[Division]&lt;&gt;"")*(PptoSty[Division]&lt;&gt;"X")*(PptoSty[Project]=$B148)*(PptoSty[Vrs]=$D148)*(PptoSty[PiRow]=_xlfn.TEXTAFTER($H148,":"))*(PptoSty[PiColumn]=X$54),0)),SUM(IF((INDIRECT($B$3)=$B148)*(INDIRECT($C$3)=$D148)*((INDIRECT($E$3)="TOTS")+(INDIRECT($E$3)=$E148)),INDIRECT(X$3)))),_xlpm.y,SUM(_xlfn.CHOOSECOLS(_xlfn._xlws.FILTER(F_RT14[],(F_RT14[PrjId]=$B148)*(F_RT14[Vrs]=$D148)*(_xlfn.TEXTAFTER(F_RT14[ActGrp],":")=_xlfn.TEXTAFTER($H148,":")),"X"),MATCH("*"&amp;X$54,F_RT14[#Headers],0))),IF(AND(_xlpm.x=0,_xlpm.y&lt;&gt;0),-1,IF(AND(_xlpm.x&lt;&gt;0,_xlpm.y&lt;&gt;0),_xlpm.x,IF(AND(_xlpm.x-SUM(IF((INDIRECT($B$3)=$B148)*(INDIRECT($C$3)=$D148)*((INDIRECT($E$3)="TOTS")+(INDIRECT($E$3)=$E148)),INDIRECT(X$3)))&lt;&gt;0,_xlpm.y=0),-2,_xlpm.x)))),0))</f>
        <v>-1</v>
      </c>
      <c r="Y148" s="199" cm="1">
        <f t="array" aca="1" ref="Y148" ca="1">IF(OR($B148="",$B148="X",$D148="",$D148="X",$E148="",$E148="X"),0,IFERROR(_xlfn.LET(_xlpm.x,SUM(SUM(_xlfn._xlws.FILTER(VALUE(PptoSty[Sign]&amp;1)*(1/PptoSty[Division]),(PptoSty[Division]&lt;&gt;0)*(PptoSty[Division]&lt;&gt;"")*(PptoSty[Division]&lt;&gt;"X")*(PptoSty[Project]=$B148)*(PptoSty[Vrs]=$D148)*(PptoSty[PiRow]=_xlfn.TEXTAFTER($H148,":"))*(PptoSty[PiColumn]=Y$54),0)),SUM(IF((INDIRECT($B$3)=$B148)*(INDIRECT($C$3)=$D148)*((INDIRECT($E$3)="TOTS")+(INDIRECT($E$3)=$E148)),INDIRECT(Y$3)))),_xlpm.y,SUM(_xlfn.CHOOSECOLS(_xlfn._xlws.FILTER(F_RT14[],(F_RT14[PrjId]=$B148)*(F_RT14[Vrs]=$D148)*(_xlfn.TEXTAFTER(F_RT14[ActGrp],":")=_xlfn.TEXTAFTER($H148,":")),"X"),MATCH("*"&amp;Y$54,F_RT14[#Headers],0))),IF(AND(_xlpm.x=0,_xlpm.y&lt;&gt;0),-1,IF(AND(_xlpm.x&lt;&gt;0,_xlpm.y&lt;&gt;0),_xlpm.x,IF(AND(_xlpm.x-SUM(IF((INDIRECT($B$3)=$B148)*(INDIRECT($C$3)=$D148)*((INDIRECT($E$3)="TOTS")+(INDIRECT($E$3)=$E148)),INDIRECT(Y$3)))&lt;&gt;0,_xlpm.y=0),-2,_xlpm.x)))),0))</f>
        <v>0</v>
      </c>
      <c r="Z148" s="198" t="str">
        <f t="shared" ca="1" si="3"/>
        <v>Fback!B148:Y148</v>
      </c>
    </row>
    <row r="149" spans="2:26" ht="21" customHeight="1" outlineLevel="1">
      <c r="B149" s="128" t="str">
        <v>31200</v>
      </c>
      <c r="C149" s="128" t="str">
        <v>Sp</v>
      </c>
      <c r="D149" s="128">
        <v>16</v>
      </c>
      <c r="E149" s="128" t="str">
        <v>CELL</v>
      </c>
      <c r="F149" s="139" t="str">
        <v>SERRA</v>
      </c>
      <c r="G149" s="139" t="str">
        <v>CurPpto</v>
      </c>
      <c r="H149" s="139" t="str">
        <v>P018:PLATFORMS PR-31200:11</v>
      </c>
      <c r="I149" s="199" cm="1">
        <f t="array" aca="1" ref="I149" ca="1">IF(OR($B149="",$B149="X",$D149="",$D149="X",$E149="",$E149="X"),0,IFERROR(_xlfn.LET(_xlpm.x,SUM(SUM(_xlfn._xlws.FILTER(VALUE(PptoSty[Sign]&amp;1)*(1/PptoSty[Division]),(PptoSty[Division]&lt;&gt;0)*(PptoSty[Division]&lt;&gt;"")*(PptoSty[Division]&lt;&gt;"X")*(PptoSty[Project]=$B149)*(PptoSty[Vrs]=$D149)*(PptoSty[PiRow]=_xlfn.TEXTAFTER($H149,":"))*(PptoSty[PiColumn]=I$54),0)),SUM(IF((INDIRECT($B$3)=$B149)*(INDIRECT($C$3)=$D149)*((INDIRECT($E$3)="TOTS")+(INDIRECT($E$3)=$E149)),INDIRECT(I$3)))),_xlpm.y,SUM(_xlfn.CHOOSECOLS(_xlfn._xlws.FILTER(F_RT14[],(F_RT14[PrjId]=$B149)*(F_RT14[Vrs]=$D149)*(_xlfn.TEXTAFTER(F_RT14[ActGrp],":")=_xlfn.TEXTAFTER($H149,":")),"X"),MATCH("*"&amp;I$54,F_RT14[#Headers],0))),IF(AND(_xlpm.x=0,_xlpm.y&lt;&gt;0),-1,IF(AND(_xlpm.x&lt;&gt;0,_xlpm.y&lt;&gt;0),_xlpm.x,IF(AND(_xlpm.x-SUM(IF((INDIRECT($B$3)=$B149)*(INDIRECT($C$3)=$D149)*((INDIRECT($E$3)="TOTS")+(INDIRECT($E$3)=$E149)),INDIRECT(I$3)))&lt;&gt;0,_xlpm.y=0),-2,_xlpm.x)))),0))</f>
        <v>0</v>
      </c>
      <c r="J149" s="199" cm="1">
        <f t="array" aca="1" ref="J149" ca="1">IF(OR($B149="",$B149="X",$D149="",$D149="X",$E149="",$E149="X"),0,IFERROR(_xlfn.LET(_xlpm.x,SUM(SUM(_xlfn._xlws.FILTER(VALUE(PptoSty[Sign]&amp;1)*(1/PptoSty[Division]),(PptoSty[Division]&lt;&gt;0)*(PptoSty[Division]&lt;&gt;"")*(PptoSty[Division]&lt;&gt;"X")*(PptoSty[Project]=$B149)*(PptoSty[Vrs]=$D149)*(PptoSty[PiRow]=_xlfn.TEXTAFTER($H149,":"))*(PptoSty[PiColumn]=J$54),0)),SUM(IF((INDIRECT($B$3)=$B149)*(INDIRECT($C$3)=$D149)*((INDIRECT($E$3)="TOTS")+(INDIRECT($E$3)=$E149)),INDIRECT(J$3)))),_xlpm.y,SUM(_xlfn.CHOOSECOLS(_xlfn._xlws.FILTER(F_RT14[],(F_RT14[PrjId]=$B149)*(F_RT14[Vrs]=$D149)*(_xlfn.TEXTAFTER(F_RT14[ActGrp],":")=_xlfn.TEXTAFTER($H149,":")),"X"),MATCH("*"&amp;J$54,F_RT14[#Headers],0))),IF(AND(_xlpm.x=0,_xlpm.y&lt;&gt;0),-1,IF(AND(_xlpm.x&lt;&gt;0,_xlpm.y&lt;&gt;0),_xlpm.x,IF(AND(_xlpm.x-SUM(IF((INDIRECT($B$3)=$B149)*(INDIRECT($C$3)=$D149)*((INDIRECT($E$3)="TOTS")+(INDIRECT($E$3)=$E149)),INDIRECT(J$3)))&lt;&gt;0,_xlpm.y=0),-2,_xlpm.x)))),0))</f>
        <v>0</v>
      </c>
      <c r="K149" s="199" cm="1">
        <f t="array" aca="1" ref="K149" ca="1">IF(OR($B149="",$B149="X",$D149="",$D149="X",$E149="",$E149="X"),0,IFERROR(_xlfn.LET(_xlpm.x,SUM(SUM(_xlfn._xlws.FILTER(VALUE(PptoSty[Sign]&amp;1)*(1/PptoSty[Division]),(PptoSty[Division]&lt;&gt;0)*(PptoSty[Division]&lt;&gt;"")*(PptoSty[Division]&lt;&gt;"X")*(PptoSty[Project]=$B149)*(PptoSty[Vrs]=$D149)*(PptoSty[PiRow]=_xlfn.TEXTAFTER($H149,":"))*(PptoSty[PiColumn]=K$54),0)),SUM(IF((INDIRECT($B$3)=$B149)*(INDIRECT($C$3)=$D149)*((INDIRECT($E$3)="TOTS")+(INDIRECT($E$3)=$E149)),INDIRECT(K$3)))),_xlpm.y,SUM(_xlfn.CHOOSECOLS(_xlfn._xlws.FILTER(F_RT14[],(F_RT14[PrjId]=$B149)*(F_RT14[Vrs]=$D149)*(_xlfn.TEXTAFTER(F_RT14[ActGrp],":")=_xlfn.TEXTAFTER($H149,":")),"X"),MATCH("*"&amp;K$54,F_RT14[#Headers],0))),IF(AND(_xlpm.x=0,_xlpm.y&lt;&gt;0),-1,IF(AND(_xlpm.x&lt;&gt;0,_xlpm.y&lt;&gt;0),_xlpm.x,IF(AND(_xlpm.x-SUM(IF((INDIRECT($B$3)=$B149)*(INDIRECT($C$3)=$D149)*((INDIRECT($E$3)="TOTS")+(INDIRECT($E$3)=$E149)),INDIRECT(K$3)))&lt;&gt;0,_xlpm.y=0),-2,_xlpm.x)))),0))</f>
        <v>-1</v>
      </c>
      <c r="L149" s="199" cm="1">
        <f t="array" aca="1" ref="L149" ca="1">IF(OR($B149="",$B149="X",$D149="",$D149="X",$E149="",$E149="X"),0,IFERROR(_xlfn.LET(_xlpm.x,SUM(SUM(_xlfn._xlws.FILTER(VALUE(PptoSty[Sign]&amp;1)*(1/PptoSty[Division]),(PptoSty[Division]&lt;&gt;0)*(PptoSty[Division]&lt;&gt;"")*(PptoSty[Division]&lt;&gt;"X")*(PptoSty[Project]=$B149)*(PptoSty[Vrs]=$D149)*(PptoSty[PiRow]=_xlfn.TEXTAFTER($H149,":"))*(PptoSty[PiColumn]=L$54),0)),SUM(IF((INDIRECT($B$3)=$B149)*(INDIRECT($C$3)=$D149)*((INDIRECT($E$3)="TOTS")+(INDIRECT($E$3)=$E149)),INDIRECT(L$3)))),_xlpm.y,SUM(_xlfn.CHOOSECOLS(_xlfn._xlws.FILTER(F_RT14[],(F_RT14[PrjId]=$B149)*(F_RT14[Vrs]=$D149)*(_xlfn.TEXTAFTER(F_RT14[ActGrp],":")=_xlfn.TEXTAFTER($H149,":")),"X"),MATCH("*"&amp;L$54,F_RT14[#Headers],0))),IF(AND(_xlpm.x=0,_xlpm.y&lt;&gt;0),-1,IF(AND(_xlpm.x&lt;&gt;0,_xlpm.y&lt;&gt;0),_xlpm.x,IF(AND(_xlpm.x-SUM(IF((INDIRECT($B$3)=$B149)*(INDIRECT($C$3)=$D149)*((INDIRECT($E$3)="TOTS")+(INDIRECT($E$3)=$E149)),INDIRECT(L$3)))&lt;&gt;0,_xlpm.y=0),-2,_xlpm.x)))),0))</f>
        <v>0</v>
      </c>
      <c r="M149" s="199" cm="1">
        <f t="array" aca="1" ref="M149" ca="1">IF(OR($B149="",$B149="X",$D149="",$D149="X",$E149="",$E149="X"),0,IFERROR(_xlfn.LET(_xlpm.x,SUM(SUM(_xlfn._xlws.FILTER(VALUE(PptoSty[Sign]&amp;1)*(1/PptoSty[Division]),(PptoSty[Division]&lt;&gt;0)*(PptoSty[Division]&lt;&gt;"")*(PptoSty[Division]&lt;&gt;"X")*(PptoSty[Project]=$B149)*(PptoSty[Vrs]=$D149)*(PptoSty[PiRow]=_xlfn.TEXTAFTER($H149,":"))*(PptoSty[PiColumn]=M$54),0)),SUM(IF((INDIRECT($B$3)=$B149)*(INDIRECT($C$3)=$D149)*((INDIRECT($E$3)="TOTS")+(INDIRECT($E$3)=$E149)),INDIRECT(M$3)))),_xlpm.y,SUM(_xlfn.CHOOSECOLS(_xlfn._xlws.FILTER(F_RT14[],(F_RT14[PrjId]=$B149)*(F_RT14[Vrs]=$D149)*(_xlfn.TEXTAFTER(F_RT14[ActGrp],":")=_xlfn.TEXTAFTER($H149,":")),"X"),MATCH("*"&amp;M$54,F_RT14[#Headers],0))),IF(AND(_xlpm.x=0,_xlpm.y&lt;&gt;0),-1,IF(AND(_xlpm.x&lt;&gt;0,_xlpm.y&lt;&gt;0),_xlpm.x,IF(AND(_xlpm.x-SUM(IF((INDIRECT($B$3)=$B149)*(INDIRECT($C$3)=$D149)*((INDIRECT($E$3)="TOTS")+(INDIRECT($E$3)=$E149)),INDIRECT(M$3)))&lt;&gt;0,_xlpm.y=0),-2,_xlpm.x)))),0))</f>
        <v>0</v>
      </c>
      <c r="N149" s="199" cm="1">
        <f t="array" aca="1" ref="N149" ca="1">IF(OR($B149="",$B149="X",$D149="",$D149="X",$E149="",$E149="X"),0,IFERROR(_xlfn.LET(_xlpm.x,SUM(SUM(_xlfn._xlws.FILTER(VALUE(PptoSty[Sign]&amp;1)*(1/PptoSty[Division]),(PptoSty[Division]&lt;&gt;0)*(PptoSty[Division]&lt;&gt;"")*(PptoSty[Division]&lt;&gt;"X")*(PptoSty[Project]=$B149)*(PptoSty[Vrs]=$D149)*(PptoSty[PiRow]=_xlfn.TEXTAFTER($H149,":"))*(PptoSty[PiColumn]=N$54),0)),SUM(IF((INDIRECT($B$3)=$B149)*(INDIRECT($C$3)=$D149)*((INDIRECT($E$3)="TOTS")+(INDIRECT($E$3)=$E149)),INDIRECT(N$3)))),_xlpm.y,SUM(_xlfn.CHOOSECOLS(_xlfn._xlws.FILTER(F_RT14[],(F_RT14[PrjId]=$B149)*(F_RT14[Vrs]=$D149)*(_xlfn.TEXTAFTER(F_RT14[ActGrp],":")=_xlfn.TEXTAFTER($H149,":")),"X"),MATCH("*"&amp;N$54,F_RT14[#Headers],0))),IF(AND(_xlpm.x=0,_xlpm.y&lt;&gt;0),-1,IF(AND(_xlpm.x&lt;&gt;0,_xlpm.y&lt;&gt;0),_xlpm.x,IF(AND(_xlpm.x-SUM(IF((INDIRECT($B$3)=$B149)*(INDIRECT($C$3)=$D149)*((INDIRECT($E$3)="TOTS")+(INDIRECT($E$3)=$E149)),INDIRECT(N$3)))&lt;&gt;0,_xlpm.y=0),-2,_xlpm.x)))),0))</f>
        <v>0</v>
      </c>
      <c r="O149" s="199" cm="1">
        <f t="array" aca="1" ref="O149" ca="1">IF(OR($B149="",$B149="X",$D149="",$D149="X",$E149="",$E149="X"),0,IFERROR(_xlfn.LET(_xlpm.x,SUM(SUM(_xlfn._xlws.FILTER(VALUE(PptoSty[Sign]&amp;1)*(1/PptoSty[Division]),(PptoSty[Division]&lt;&gt;0)*(PptoSty[Division]&lt;&gt;"")*(PptoSty[Division]&lt;&gt;"X")*(PptoSty[Project]=$B149)*(PptoSty[Vrs]=$D149)*(PptoSty[PiRow]=_xlfn.TEXTAFTER($H149,":"))*(PptoSty[PiColumn]=O$54),0)),SUM(IF((INDIRECT($B$3)=$B149)*(INDIRECT($C$3)=$D149)*((INDIRECT($E$3)="TOTS")+(INDIRECT($E$3)=$E149)),INDIRECT(O$3)))),_xlpm.y,SUM(_xlfn.CHOOSECOLS(_xlfn._xlws.FILTER(F_RT14[],(F_RT14[PrjId]=$B149)*(F_RT14[Vrs]=$D149)*(_xlfn.TEXTAFTER(F_RT14[ActGrp],":")=_xlfn.TEXTAFTER($H149,":")),"X"),MATCH("*"&amp;O$54,F_RT14[#Headers],0))),IF(AND(_xlpm.x=0,_xlpm.y&lt;&gt;0),-1,IF(AND(_xlpm.x&lt;&gt;0,_xlpm.y&lt;&gt;0),_xlpm.x,IF(AND(_xlpm.x-SUM(IF((INDIRECT($B$3)=$B149)*(INDIRECT($C$3)=$D149)*((INDIRECT($E$3)="TOTS")+(INDIRECT($E$3)=$E149)),INDIRECT(O$3)))&lt;&gt;0,_xlpm.y=0),-2,_xlpm.x)))),0))</f>
        <v>0</v>
      </c>
      <c r="P149" s="199" cm="1">
        <f t="array" aca="1" ref="P149" ca="1">IF(OR($B149="",$B149="X",$D149="",$D149="X",$E149="",$E149="X"),0,IFERROR(_xlfn.LET(_xlpm.x,SUM(SUM(_xlfn._xlws.FILTER(VALUE(PptoSty[Sign]&amp;1)*(1/PptoSty[Division]),(PptoSty[Division]&lt;&gt;0)*(PptoSty[Division]&lt;&gt;"")*(PptoSty[Division]&lt;&gt;"X")*(PptoSty[Project]=$B149)*(PptoSty[Vrs]=$D149)*(PptoSty[PiRow]=_xlfn.TEXTAFTER($H149,":"))*(PptoSty[PiColumn]=P$54),0)),SUM(IF((INDIRECT($B$3)=$B149)*(INDIRECT($C$3)=$D149)*((INDIRECT($E$3)="TOTS")+(INDIRECT($E$3)=$E149)),INDIRECT(P$3)))),_xlpm.y,SUM(_xlfn.CHOOSECOLS(_xlfn._xlws.FILTER(F_RT14[],(F_RT14[PrjId]=$B149)*(F_RT14[Vrs]=$D149)*(_xlfn.TEXTAFTER(F_RT14[ActGrp],":")=_xlfn.TEXTAFTER($H149,":")),"X"),MATCH("*"&amp;P$54,F_RT14[#Headers],0))),IF(AND(_xlpm.x=0,_xlpm.y&lt;&gt;0),-1,IF(AND(_xlpm.x&lt;&gt;0,_xlpm.y&lt;&gt;0),_xlpm.x,IF(AND(_xlpm.x-SUM(IF((INDIRECT($B$3)=$B149)*(INDIRECT($C$3)=$D149)*((INDIRECT($E$3)="TOTS")+(INDIRECT($E$3)=$E149)),INDIRECT(P$3)))&lt;&gt;0,_xlpm.y=0),-2,_xlpm.x)))),0))</f>
        <v>-1</v>
      </c>
      <c r="Q149" s="199" cm="1">
        <f t="array" aca="1" ref="Q149" ca="1">IF(OR($B149="",$B149="X",$D149="",$D149="X",$E149="",$E149="X"),0,IFERROR(_xlfn.LET(_xlpm.x,SUM(SUM(_xlfn._xlws.FILTER(VALUE(PptoSty[Sign]&amp;1)*(1/PptoSty[Division]),(PptoSty[Division]&lt;&gt;0)*(PptoSty[Division]&lt;&gt;"")*(PptoSty[Division]&lt;&gt;"X")*(PptoSty[Project]=$B149)*(PptoSty[Vrs]=$D149)*(PptoSty[PiRow]=_xlfn.TEXTAFTER($H149,":"))*(PptoSty[PiColumn]=Q$54),0)),SUM(IF((INDIRECT($B$3)=$B149)*(INDIRECT($C$3)=$D149)*((INDIRECT($E$3)="TOTS")+(INDIRECT($E$3)=$E149)),INDIRECT(Q$3)))),_xlpm.y,SUM(_xlfn.CHOOSECOLS(_xlfn._xlws.FILTER(F_RT14[],(F_RT14[PrjId]=$B149)*(F_RT14[Vrs]=$D149)*(_xlfn.TEXTAFTER(F_RT14[ActGrp],":")=_xlfn.TEXTAFTER($H149,":")),"X"),MATCH("*"&amp;Q$54,F_RT14[#Headers],0))),IF(AND(_xlpm.x=0,_xlpm.y&lt;&gt;0),-1,IF(AND(_xlpm.x&lt;&gt;0,_xlpm.y&lt;&gt;0),_xlpm.x,IF(AND(_xlpm.x-SUM(IF((INDIRECT($B$3)=$B149)*(INDIRECT($C$3)=$D149)*((INDIRECT($E$3)="TOTS")+(INDIRECT($E$3)=$E149)),INDIRECT(Q$3)))&lt;&gt;0,_xlpm.y=0),-2,_xlpm.x)))),0))</f>
        <v>-1</v>
      </c>
      <c r="R149" s="199" cm="1">
        <f t="array" aca="1" ref="R149" ca="1">IF(OR($B149="",$B149="X",$D149="",$D149="X",$E149="",$E149="X"),0,IFERROR(_xlfn.LET(_xlpm.x,SUM(SUM(_xlfn._xlws.FILTER(VALUE(PptoSty[Sign]&amp;1)*(1/PptoSty[Division]),(PptoSty[Division]&lt;&gt;0)*(PptoSty[Division]&lt;&gt;"")*(PptoSty[Division]&lt;&gt;"X")*(PptoSty[Project]=$B149)*(PptoSty[Vrs]=$D149)*(PptoSty[PiRow]=_xlfn.TEXTAFTER($H149,":"))*(PptoSty[PiColumn]=R$54),0)),SUM(IF((INDIRECT($B$3)=$B149)*(INDIRECT($C$3)=$D149)*((INDIRECT($E$3)="TOTS")+(INDIRECT($E$3)=$E149)),INDIRECT(R$3)))),_xlpm.y,SUM(_xlfn.CHOOSECOLS(_xlfn._xlws.FILTER(F_RT14[],(F_RT14[PrjId]=$B149)*(F_RT14[Vrs]=$D149)*(_xlfn.TEXTAFTER(F_RT14[ActGrp],":")=_xlfn.TEXTAFTER($H149,":")),"X"),MATCH("*"&amp;R$54,F_RT14[#Headers],0))),IF(AND(_xlpm.x=0,_xlpm.y&lt;&gt;0),-1,IF(AND(_xlpm.x&lt;&gt;0,_xlpm.y&lt;&gt;0),_xlpm.x,IF(AND(_xlpm.x-SUM(IF((INDIRECT($B$3)=$B149)*(INDIRECT($C$3)=$D149)*((INDIRECT($E$3)="TOTS")+(INDIRECT($E$3)=$E149)),INDIRECT(R$3)))&lt;&gt;0,_xlpm.y=0),-2,_xlpm.x)))),0))</f>
        <v>0</v>
      </c>
      <c r="S149" s="199" cm="1">
        <f t="array" aca="1" ref="S149" ca="1">IF(OR($B149="",$B149="X",$D149="",$D149="X",$E149="",$E149="X"),0,IFERROR(_xlfn.LET(_xlpm.x,SUM(SUM(_xlfn._xlws.FILTER(VALUE(PptoSty[Sign]&amp;1)*(1/PptoSty[Division]),(PptoSty[Division]&lt;&gt;0)*(PptoSty[Division]&lt;&gt;"")*(PptoSty[Division]&lt;&gt;"X")*(PptoSty[Project]=$B149)*(PptoSty[Vrs]=$D149)*(PptoSty[PiRow]=_xlfn.TEXTAFTER($H149,":"))*(PptoSty[PiColumn]=S$54),0)),SUM(IF((INDIRECT($B$3)=$B149)*(INDIRECT($C$3)=$D149)*((INDIRECT($E$3)="TOTS")+(INDIRECT($E$3)=$E149)),INDIRECT(S$3)))),_xlpm.y,SUM(_xlfn.CHOOSECOLS(_xlfn._xlws.FILTER(F_RT14[],(F_RT14[PrjId]=$B149)*(F_RT14[Vrs]=$D149)*(_xlfn.TEXTAFTER(F_RT14[ActGrp],":")=_xlfn.TEXTAFTER($H149,":")),"X"),MATCH("*"&amp;S$54,F_RT14[#Headers],0))),IF(AND(_xlpm.x=0,_xlpm.y&lt;&gt;0),-1,IF(AND(_xlpm.x&lt;&gt;0,_xlpm.y&lt;&gt;0),_xlpm.x,IF(AND(_xlpm.x-SUM(IF((INDIRECT($B$3)=$B149)*(INDIRECT($C$3)=$D149)*((INDIRECT($E$3)="TOTS")+(INDIRECT($E$3)=$E149)),INDIRECT(S$3)))&lt;&gt;0,_xlpm.y=0),-2,_xlpm.x)))),0))</f>
        <v>0</v>
      </c>
      <c r="T149" s="199" cm="1">
        <f t="array" aca="1" ref="T149" ca="1">IF(OR($B149="",$B149="X",$D149="",$D149="X",$E149="",$E149="X"),0,IFERROR(_xlfn.LET(_xlpm.x,SUM(SUM(_xlfn._xlws.FILTER(VALUE(PptoSty[Sign]&amp;1)*(1/PptoSty[Division]),(PptoSty[Division]&lt;&gt;0)*(PptoSty[Division]&lt;&gt;"")*(PptoSty[Division]&lt;&gt;"X")*(PptoSty[Project]=$B149)*(PptoSty[Vrs]=$D149)*(PptoSty[PiRow]=_xlfn.TEXTAFTER($H149,":"))*(PptoSty[PiColumn]=T$54),0)),SUM(IF((INDIRECT($B$3)=$B149)*(INDIRECT($C$3)=$D149)*((INDIRECT($E$3)="TOTS")+(INDIRECT($E$3)=$E149)),INDIRECT(T$3)))),_xlpm.y,SUM(_xlfn.CHOOSECOLS(_xlfn._xlws.FILTER(F_RT14[],(F_RT14[PrjId]=$B149)*(F_RT14[Vrs]=$D149)*(_xlfn.TEXTAFTER(F_RT14[ActGrp],":")=_xlfn.TEXTAFTER($H149,":")),"X"),MATCH("*"&amp;T$54,F_RT14[#Headers],0))),IF(AND(_xlpm.x=0,_xlpm.y&lt;&gt;0),-1,IF(AND(_xlpm.x&lt;&gt;0,_xlpm.y&lt;&gt;0),_xlpm.x,IF(AND(_xlpm.x-SUM(IF((INDIRECT($B$3)=$B149)*(INDIRECT($C$3)=$D149)*((INDIRECT($E$3)="TOTS")+(INDIRECT($E$3)=$E149)),INDIRECT(T$3)))&lt;&gt;0,_xlpm.y=0),-2,_xlpm.x)))),0))</f>
        <v>0</v>
      </c>
      <c r="U149" s="199" cm="1">
        <f t="array" aca="1" ref="U149" ca="1">IF(OR($B149="",$B149="X",$D149="",$D149="X",$E149="",$E149="X"),0,IFERROR(_xlfn.LET(_xlpm.x,SUM(SUM(_xlfn._xlws.FILTER(VALUE(PptoSty[Sign]&amp;1)*(1/PptoSty[Division]),(PptoSty[Division]&lt;&gt;0)*(PptoSty[Division]&lt;&gt;"")*(PptoSty[Division]&lt;&gt;"X")*(PptoSty[Project]=$B149)*(PptoSty[Vrs]=$D149)*(PptoSty[PiRow]=_xlfn.TEXTAFTER($H149,":"))*(PptoSty[PiColumn]=U$54),0)),SUM(IF((INDIRECT($B$3)=$B149)*(INDIRECT($C$3)=$D149)*((INDIRECT($E$3)="TOTS")+(INDIRECT($E$3)=$E149)),INDIRECT(U$3)))),_xlpm.y,SUM(_xlfn.CHOOSECOLS(_xlfn._xlws.FILTER(F_RT14[],(F_RT14[PrjId]=$B149)*(F_RT14[Vrs]=$D149)*(_xlfn.TEXTAFTER(F_RT14[ActGrp],":")=_xlfn.TEXTAFTER($H149,":")),"X"),MATCH("*"&amp;U$54,F_RT14[#Headers],0))),IF(AND(_xlpm.x=0,_xlpm.y&lt;&gt;0),-1,IF(AND(_xlpm.x&lt;&gt;0,_xlpm.y&lt;&gt;0),_xlpm.x,IF(AND(_xlpm.x-SUM(IF((INDIRECT($B$3)=$B149)*(INDIRECT($C$3)=$D149)*((INDIRECT($E$3)="TOTS")+(INDIRECT($E$3)=$E149)),INDIRECT(U$3)))&lt;&gt;0,_xlpm.y=0),-2,_xlpm.x)))),0))</f>
        <v>0</v>
      </c>
      <c r="V149" s="199" cm="1">
        <f t="array" aca="1" ref="V149" ca="1">IF(OR($B149="",$B149="X",$D149="",$D149="X",$E149="",$E149="X"),0,IFERROR(_xlfn.LET(_xlpm.x,SUM(SUM(_xlfn._xlws.FILTER(VALUE(PptoSty[Sign]&amp;1)*(1/PptoSty[Division]),(PptoSty[Division]&lt;&gt;0)*(PptoSty[Division]&lt;&gt;"")*(PptoSty[Division]&lt;&gt;"X")*(PptoSty[Project]=$B149)*(PptoSty[Vrs]=$D149)*(PptoSty[PiRow]=_xlfn.TEXTAFTER($H149,":"))*(PptoSty[PiColumn]=V$54),0)),SUM(IF((INDIRECT($B$3)=$B149)*(INDIRECT($C$3)=$D149)*((INDIRECT($E$3)="TOTS")+(INDIRECT($E$3)=$E149)),INDIRECT(V$3)))),_xlpm.y,SUM(_xlfn.CHOOSECOLS(_xlfn._xlws.FILTER(F_RT14[],(F_RT14[PrjId]=$B149)*(F_RT14[Vrs]=$D149)*(_xlfn.TEXTAFTER(F_RT14[ActGrp],":")=_xlfn.TEXTAFTER($H149,":")),"X"),MATCH("*"&amp;V$54,F_RT14[#Headers],0))),IF(AND(_xlpm.x=0,_xlpm.y&lt;&gt;0),-1,IF(AND(_xlpm.x&lt;&gt;0,_xlpm.y&lt;&gt;0),_xlpm.x,IF(AND(_xlpm.x-SUM(IF((INDIRECT($B$3)=$B149)*(INDIRECT($C$3)=$D149)*((INDIRECT($E$3)="TOTS")+(INDIRECT($E$3)=$E149)),INDIRECT(V$3)))&lt;&gt;0,_xlpm.y=0),-2,_xlpm.x)))),0))</f>
        <v>0</v>
      </c>
      <c r="W149" s="199" cm="1">
        <f t="array" aca="1" ref="W149" ca="1">IF(OR($B149="",$B149="X",$D149="",$D149="X",$E149="",$E149="X"),0,IFERROR(_xlfn.LET(_xlpm.x,SUM(SUM(_xlfn._xlws.FILTER(VALUE(PptoSty[Sign]&amp;1)*(1/PptoSty[Division]),(PptoSty[Division]&lt;&gt;0)*(PptoSty[Division]&lt;&gt;"")*(PptoSty[Division]&lt;&gt;"X")*(PptoSty[Project]=$B149)*(PptoSty[Vrs]=$D149)*(PptoSty[PiRow]=_xlfn.TEXTAFTER($H149,":"))*(PptoSty[PiColumn]=W$54),0)),SUM(IF((INDIRECT($B$3)=$B149)*(INDIRECT($C$3)=$D149)*((INDIRECT($E$3)="TOTS")+(INDIRECT($E$3)=$E149)),INDIRECT(W$3)))),_xlpm.y,SUM(_xlfn.CHOOSECOLS(_xlfn._xlws.FILTER(F_RT14[],(F_RT14[PrjId]=$B149)*(F_RT14[Vrs]=$D149)*(_xlfn.TEXTAFTER(F_RT14[ActGrp],":")=_xlfn.TEXTAFTER($H149,":")),"X"),MATCH("*"&amp;W$54,F_RT14[#Headers],0))),IF(AND(_xlpm.x=0,_xlpm.y&lt;&gt;0),-1,IF(AND(_xlpm.x&lt;&gt;0,_xlpm.y&lt;&gt;0),_xlpm.x,IF(AND(_xlpm.x-SUM(IF((INDIRECT($B$3)=$B149)*(INDIRECT($C$3)=$D149)*((INDIRECT($E$3)="TOTS")+(INDIRECT($E$3)=$E149)),INDIRECT(W$3)))&lt;&gt;0,_xlpm.y=0),-2,_xlpm.x)))),0))</f>
        <v>0</v>
      </c>
      <c r="X149" s="199" cm="1">
        <f t="array" aca="1" ref="X149" ca="1">IF(OR($B149="",$B149="X",$D149="",$D149="X",$E149="",$E149="X"),0,IFERROR(_xlfn.LET(_xlpm.x,SUM(SUM(_xlfn._xlws.FILTER(VALUE(PptoSty[Sign]&amp;1)*(1/PptoSty[Division]),(PptoSty[Division]&lt;&gt;0)*(PptoSty[Division]&lt;&gt;"")*(PptoSty[Division]&lt;&gt;"X")*(PptoSty[Project]=$B149)*(PptoSty[Vrs]=$D149)*(PptoSty[PiRow]=_xlfn.TEXTAFTER($H149,":"))*(PptoSty[PiColumn]=X$54),0)),SUM(IF((INDIRECT($B$3)=$B149)*(INDIRECT($C$3)=$D149)*((INDIRECT($E$3)="TOTS")+(INDIRECT($E$3)=$E149)),INDIRECT(X$3)))),_xlpm.y,SUM(_xlfn.CHOOSECOLS(_xlfn._xlws.FILTER(F_RT14[],(F_RT14[PrjId]=$B149)*(F_RT14[Vrs]=$D149)*(_xlfn.TEXTAFTER(F_RT14[ActGrp],":")=_xlfn.TEXTAFTER($H149,":")),"X"),MATCH("*"&amp;X$54,F_RT14[#Headers],0))),IF(AND(_xlpm.x=0,_xlpm.y&lt;&gt;0),-1,IF(AND(_xlpm.x&lt;&gt;0,_xlpm.y&lt;&gt;0),_xlpm.x,IF(AND(_xlpm.x-SUM(IF((INDIRECT($B$3)=$B149)*(INDIRECT($C$3)=$D149)*((INDIRECT($E$3)="TOTS")+(INDIRECT($E$3)=$E149)),INDIRECT(X$3)))&lt;&gt;0,_xlpm.y=0),-2,_xlpm.x)))),0))</f>
        <v>0</v>
      </c>
      <c r="Y149" s="199" cm="1">
        <f t="array" aca="1" ref="Y149" ca="1">IF(OR($B149="",$B149="X",$D149="",$D149="X",$E149="",$E149="X"),0,IFERROR(_xlfn.LET(_xlpm.x,SUM(SUM(_xlfn._xlws.FILTER(VALUE(PptoSty[Sign]&amp;1)*(1/PptoSty[Division]),(PptoSty[Division]&lt;&gt;0)*(PptoSty[Division]&lt;&gt;"")*(PptoSty[Division]&lt;&gt;"X")*(PptoSty[Project]=$B149)*(PptoSty[Vrs]=$D149)*(PptoSty[PiRow]=_xlfn.TEXTAFTER($H149,":"))*(PptoSty[PiColumn]=Y$54),0)),SUM(IF((INDIRECT($B$3)=$B149)*(INDIRECT($C$3)=$D149)*((INDIRECT($E$3)="TOTS")+(INDIRECT($E$3)=$E149)),INDIRECT(Y$3)))),_xlpm.y,SUM(_xlfn.CHOOSECOLS(_xlfn._xlws.FILTER(F_RT14[],(F_RT14[PrjId]=$B149)*(F_RT14[Vrs]=$D149)*(_xlfn.TEXTAFTER(F_RT14[ActGrp],":")=_xlfn.TEXTAFTER($H149,":")),"X"),MATCH("*"&amp;Y$54,F_RT14[#Headers],0))),IF(AND(_xlpm.x=0,_xlpm.y&lt;&gt;0),-1,IF(AND(_xlpm.x&lt;&gt;0,_xlpm.y&lt;&gt;0),_xlpm.x,IF(AND(_xlpm.x-SUM(IF((INDIRECT($B$3)=$B149)*(INDIRECT($C$3)=$D149)*((INDIRECT($E$3)="TOTS")+(INDIRECT($E$3)=$E149)),INDIRECT(Y$3)))&lt;&gt;0,_xlpm.y=0),-2,_xlpm.x)))),0))</f>
        <v>0</v>
      </c>
      <c r="Z149" s="198" t="str">
        <f t="shared" ca="1" si="3"/>
        <v>Fback!B149:Y149</v>
      </c>
    </row>
    <row r="150" spans="2:26" ht="21" customHeight="1" outlineLevel="1">
      <c r="B150" s="128" t="str">
        <v>31200</v>
      </c>
      <c r="C150" s="128" t="str">
        <v>Sp</v>
      </c>
      <c r="D150" s="128">
        <v>16</v>
      </c>
      <c r="E150" s="128" t="str">
        <v>CELL</v>
      </c>
      <c r="F150" s="139" t="str">
        <v>SERRA</v>
      </c>
      <c r="G150" s="139" t="str">
        <v>CurPpto</v>
      </c>
      <c r="H150" s="139" t="str">
        <v>P019:FIXATIONS TOOLS PR-31200:11</v>
      </c>
      <c r="I150" s="199" cm="1">
        <f t="array" aca="1" ref="I150" ca="1">IF(OR($B150="",$B150="X",$D150="",$D150="X",$E150="",$E150="X"),0,IFERROR(_xlfn.LET(_xlpm.x,SUM(SUM(_xlfn._xlws.FILTER(VALUE(PptoSty[Sign]&amp;1)*(1/PptoSty[Division]),(PptoSty[Division]&lt;&gt;0)*(PptoSty[Division]&lt;&gt;"")*(PptoSty[Division]&lt;&gt;"X")*(PptoSty[Project]=$B150)*(PptoSty[Vrs]=$D150)*(PptoSty[PiRow]=_xlfn.TEXTAFTER($H150,":"))*(PptoSty[PiColumn]=I$54),0)),SUM(IF((INDIRECT($B$3)=$B150)*(INDIRECT($C$3)=$D150)*((INDIRECT($E$3)="TOTS")+(INDIRECT($E$3)=$E150)),INDIRECT(I$3)))),_xlpm.y,SUM(_xlfn.CHOOSECOLS(_xlfn._xlws.FILTER(F_RT14[],(F_RT14[PrjId]=$B150)*(F_RT14[Vrs]=$D150)*(_xlfn.TEXTAFTER(F_RT14[ActGrp],":")=_xlfn.TEXTAFTER($H150,":")),"X"),MATCH("*"&amp;I$54,F_RT14[#Headers],0))),IF(AND(_xlpm.x=0,_xlpm.y&lt;&gt;0),-1,IF(AND(_xlpm.x&lt;&gt;0,_xlpm.y&lt;&gt;0),_xlpm.x,IF(AND(_xlpm.x-SUM(IF((INDIRECT($B$3)=$B150)*(INDIRECT($C$3)=$D150)*((INDIRECT($E$3)="TOTS")+(INDIRECT($E$3)=$E150)),INDIRECT(I$3)))&lt;&gt;0,_xlpm.y=0),-2,_xlpm.x)))),0))</f>
        <v>0</v>
      </c>
      <c r="J150" s="199" cm="1">
        <f t="array" aca="1" ref="J150" ca="1">IF(OR($B150="",$B150="X",$D150="",$D150="X",$E150="",$E150="X"),0,IFERROR(_xlfn.LET(_xlpm.x,SUM(SUM(_xlfn._xlws.FILTER(VALUE(PptoSty[Sign]&amp;1)*(1/PptoSty[Division]),(PptoSty[Division]&lt;&gt;0)*(PptoSty[Division]&lt;&gt;"")*(PptoSty[Division]&lt;&gt;"X")*(PptoSty[Project]=$B150)*(PptoSty[Vrs]=$D150)*(PptoSty[PiRow]=_xlfn.TEXTAFTER($H150,":"))*(PptoSty[PiColumn]=J$54),0)),SUM(IF((INDIRECT($B$3)=$B150)*(INDIRECT($C$3)=$D150)*((INDIRECT($E$3)="TOTS")+(INDIRECT($E$3)=$E150)),INDIRECT(J$3)))),_xlpm.y,SUM(_xlfn.CHOOSECOLS(_xlfn._xlws.FILTER(F_RT14[],(F_RT14[PrjId]=$B150)*(F_RT14[Vrs]=$D150)*(_xlfn.TEXTAFTER(F_RT14[ActGrp],":")=_xlfn.TEXTAFTER($H150,":")),"X"),MATCH("*"&amp;J$54,F_RT14[#Headers],0))),IF(AND(_xlpm.x=0,_xlpm.y&lt;&gt;0),-1,IF(AND(_xlpm.x&lt;&gt;0,_xlpm.y&lt;&gt;0),_xlpm.x,IF(AND(_xlpm.x-SUM(IF((INDIRECT($B$3)=$B150)*(INDIRECT($C$3)=$D150)*((INDIRECT($E$3)="TOTS")+(INDIRECT($E$3)=$E150)),INDIRECT(J$3)))&lt;&gt;0,_xlpm.y=0),-2,_xlpm.x)))),0))</f>
        <v>0</v>
      </c>
      <c r="K150" s="199" cm="1">
        <f t="array" aca="1" ref="K150" ca="1">IF(OR($B150="",$B150="X",$D150="",$D150="X",$E150="",$E150="X"),0,IFERROR(_xlfn.LET(_xlpm.x,SUM(SUM(_xlfn._xlws.FILTER(VALUE(PptoSty[Sign]&amp;1)*(1/PptoSty[Division]),(PptoSty[Division]&lt;&gt;0)*(PptoSty[Division]&lt;&gt;"")*(PptoSty[Division]&lt;&gt;"X")*(PptoSty[Project]=$B150)*(PptoSty[Vrs]=$D150)*(PptoSty[PiRow]=_xlfn.TEXTAFTER($H150,":"))*(PptoSty[PiColumn]=K$54),0)),SUM(IF((INDIRECT($B$3)=$B150)*(INDIRECT($C$3)=$D150)*((INDIRECT($E$3)="TOTS")+(INDIRECT($E$3)=$E150)),INDIRECT(K$3)))),_xlpm.y,SUM(_xlfn.CHOOSECOLS(_xlfn._xlws.FILTER(F_RT14[],(F_RT14[PrjId]=$B150)*(F_RT14[Vrs]=$D150)*(_xlfn.TEXTAFTER(F_RT14[ActGrp],":")=_xlfn.TEXTAFTER($H150,":")),"X"),MATCH("*"&amp;K$54,F_RT14[#Headers],0))),IF(AND(_xlpm.x=0,_xlpm.y&lt;&gt;0),-1,IF(AND(_xlpm.x&lt;&gt;0,_xlpm.y&lt;&gt;0),_xlpm.x,IF(AND(_xlpm.x-SUM(IF((INDIRECT($B$3)=$B150)*(INDIRECT($C$3)=$D150)*((INDIRECT($E$3)="TOTS")+(INDIRECT($E$3)=$E150)),INDIRECT(K$3)))&lt;&gt;0,_xlpm.y=0),-2,_xlpm.x)))),0))</f>
        <v>0</v>
      </c>
      <c r="L150" s="199" cm="1">
        <f t="array" aca="1" ref="L150" ca="1">IF(OR($B150="",$B150="X",$D150="",$D150="X",$E150="",$E150="X"),0,IFERROR(_xlfn.LET(_xlpm.x,SUM(SUM(_xlfn._xlws.FILTER(VALUE(PptoSty[Sign]&amp;1)*(1/PptoSty[Division]),(PptoSty[Division]&lt;&gt;0)*(PptoSty[Division]&lt;&gt;"")*(PptoSty[Division]&lt;&gt;"X")*(PptoSty[Project]=$B150)*(PptoSty[Vrs]=$D150)*(PptoSty[PiRow]=_xlfn.TEXTAFTER($H150,":"))*(PptoSty[PiColumn]=L$54),0)),SUM(IF((INDIRECT($B$3)=$B150)*(INDIRECT($C$3)=$D150)*((INDIRECT($E$3)="TOTS")+(INDIRECT($E$3)=$E150)),INDIRECT(L$3)))),_xlpm.y,SUM(_xlfn.CHOOSECOLS(_xlfn._xlws.FILTER(F_RT14[],(F_RT14[PrjId]=$B150)*(F_RT14[Vrs]=$D150)*(_xlfn.TEXTAFTER(F_RT14[ActGrp],":")=_xlfn.TEXTAFTER($H150,":")),"X"),MATCH("*"&amp;L$54,F_RT14[#Headers],0))),IF(AND(_xlpm.x=0,_xlpm.y&lt;&gt;0),-1,IF(AND(_xlpm.x&lt;&gt;0,_xlpm.y&lt;&gt;0),_xlpm.x,IF(AND(_xlpm.x-SUM(IF((INDIRECT($B$3)=$B150)*(INDIRECT($C$3)=$D150)*((INDIRECT($E$3)="TOTS")+(INDIRECT($E$3)=$E150)),INDIRECT(L$3)))&lt;&gt;0,_xlpm.y=0),-2,_xlpm.x)))),0))</f>
        <v>0</v>
      </c>
      <c r="M150" s="199" cm="1">
        <f t="array" aca="1" ref="M150" ca="1">IF(OR($B150="",$B150="X",$D150="",$D150="X",$E150="",$E150="X"),0,IFERROR(_xlfn.LET(_xlpm.x,SUM(SUM(_xlfn._xlws.FILTER(VALUE(PptoSty[Sign]&amp;1)*(1/PptoSty[Division]),(PptoSty[Division]&lt;&gt;0)*(PptoSty[Division]&lt;&gt;"")*(PptoSty[Division]&lt;&gt;"X")*(PptoSty[Project]=$B150)*(PptoSty[Vrs]=$D150)*(PptoSty[PiRow]=_xlfn.TEXTAFTER($H150,":"))*(PptoSty[PiColumn]=M$54),0)),SUM(IF((INDIRECT($B$3)=$B150)*(INDIRECT($C$3)=$D150)*((INDIRECT($E$3)="TOTS")+(INDIRECT($E$3)=$E150)),INDIRECT(M$3)))),_xlpm.y,SUM(_xlfn.CHOOSECOLS(_xlfn._xlws.FILTER(F_RT14[],(F_RT14[PrjId]=$B150)*(F_RT14[Vrs]=$D150)*(_xlfn.TEXTAFTER(F_RT14[ActGrp],":")=_xlfn.TEXTAFTER($H150,":")),"X"),MATCH("*"&amp;M$54,F_RT14[#Headers],0))),IF(AND(_xlpm.x=0,_xlpm.y&lt;&gt;0),-1,IF(AND(_xlpm.x&lt;&gt;0,_xlpm.y&lt;&gt;0),_xlpm.x,IF(AND(_xlpm.x-SUM(IF((INDIRECT($B$3)=$B150)*(INDIRECT($C$3)=$D150)*((INDIRECT($E$3)="TOTS")+(INDIRECT($E$3)=$E150)),INDIRECT(M$3)))&lt;&gt;0,_xlpm.y=0),-2,_xlpm.x)))),0))</f>
        <v>0</v>
      </c>
      <c r="N150" s="199" cm="1">
        <f t="array" aca="1" ref="N150" ca="1">IF(OR($B150="",$B150="X",$D150="",$D150="X",$E150="",$E150="X"),0,IFERROR(_xlfn.LET(_xlpm.x,SUM(SUM(_xlfn._xlws.FILTER(VALUE(PptoSty[Sign]&amp;1)*(1/PptoSty[Division]),(PptoSty[Division]&lt;&gt;0)*(PptoSty[Division]&lt;&gt;"")*(PptoSty[Division]&lt;&gt;"X")*(PptoSty[Project]=$B150)*(PptoSty[Vrs]=$D150)*(PptoSty[PiRow]=_xlfn.TEXTAFTER($H150,":"))*(PptoSty[PiColumn]=N$54),0)),SUM(IF((INDIRECT($B$3)=$B150)*(INDIRECT($C$3)=$D150)*((INDIRECT($E$3)="TOTS")+(INDIRECT($E$3)=$E150)),INDIRECT(N$3)))),_xlpm.y,SUM(_xlfn.CHOOSECOLS(_xlfn._xlws.FILTER(F_RT14[],(F_RT14[PrjId]=$B150)*(F_RT14[Vrs]=$D150)*(_xlfn.TEXTAFTER(F_RT14[ActGrp],":")=_xlfn.TEXTAFTER($H150,":")),"X"),MATCH("*"&amp;N$54,F_RT14[#Headers],0))),IF(AND(_xlpm.x=0,_xlpm.y&lt;&gt;0),-1,IF(AND(_xlpm.x&lt;&gt;0,_xlpm.y&lt;&gt;0),_xlpm.x,IF(AND(_xlpm.x-SUM(IF((INDIRECT($B$3)=$B150)*(INDIRECT($C$3)=$D150)*((INDIRECT($E$3)="TOTS")+(INDIRECT($E$3)=$E150)),INDIRECT(N$3)))&lt;&gt;0,_xlpm.y=0),-2,_xlpm.x)))),0))</f>
        <v>0</v>
      </c>
      <c r="O150" s="199" cm="1">
        <f t="array" aca="1" ref="O150" ca="1">IF(OR($B150="",$B150="X",$D150="",$D150="X",$E150="",$E150="X"),0,IFERROR(_xlfn.LET(_xlpm.x,SUM(SUM(_xlfn._xlws.FILTER(VALUE(PptoSty[Sign]&amp;1)*(1/PptoSty[Division]),(PptoSty[Division]&lt;&gt;0)*(PptoSty[Division]&lt;&gt;"")*(PptoSty[Division]&lt;&gt;"X")*(PptoSty[Project]=$B150)*(PptoSty[Vrs]=$D150)*(PptoSty[PiRow]=_xlfn.TEXTAFTER($H150,":"))*(PptoSty[PiColumn]=O$54),0)),SUM(IF((INDIRECT($B$3)=$B150)*(INDIRECT($C$3)=$D150)*((INDIRECT($E$3)="TOTS")+(INDIRECT($E$3)=$E150)),INDIRECT(O$3)))),_xlpm.y,SUM(_xlfn.CHOOSECOLS(_xlfn._xlws.FILTER(F_RT14[],(F_RT14[PrjId]=$B150)*(F_RT14[Vrs]=$D150)*(_xlfn.TEXTAFTER(F_RT14[ActGrp],":")=_xlfn.TEXTAFTER($H150,":")),"X"),MATCH("*"&amp;O$54,F_RT14[#Headers],0))),IF(AND(_xlpm.x=0,_xlpm.y&lt;&gt;0),-1,IF(AND(_xlpm.x&lt;&gt;0,_xlpm.y&lt;&gt;0),_xlpm.x,IF(AND(_xlpm.x-SUM(IF((INDIRECT($B$3)=$B150)*(INDIRECT($C$3)=$D150)*((INDIRECT($E$3)="TOTS")+(INDIRECT($E$3)=$E150)),INDIRECT(O$3)))&lt;&gt;0,_xlpm.y=0),-2,_xlpm.x)))),0))</f>
        <v>0</v>
      </c>
      <c r="P150" s="199" cm="1">
        <f t="array" aca="1" ref="P150" ca="1">IF(OR($B150="",$B150="X",$D150="",$D150="X",$E150="",$E150="X"),0,IFERROR(_xlfn.LET(_xlpm.x,SUM(SUM(_xlfn._xlws.FILTER(VALUE(PptoSty[Sign]&amp;1)*(1/PptoSty[Division]),(PptoSty[Division]&lt;&gt;0)*(PptoSty[Division]&lt;&gt;"")*(PptoSty[Division]&lt;&gt;"X")*(PptoSty[Project]=$B150)*(PptoSty[Vrs]=$D150)*(PptoSty[PiRow]=_xlfn.TEXTAFTER($H150,":"))*(PptoSty[PiColumn]=P$54),0)),SUM(IF((INDIRECT($B$3)=$B150)*(INDIRECT($C$3)=$D150)*((INDIRECT($E$3)="TOTS")+(INDIRECT($E$3)=$E150)),INDIRECT(P$3)))),_xlpm.y,SUM(_xlfn.CHOOSECOLS(_xlfn._xlws.FILTER(F_RT14[],(F_RT14[PrjId]=$B150)*(F_RT14[Vrs]=$D150)*(_xlfn.TEXTAFTER(F_RT14[ActGrp],":")=_xlfn.TEXTAFTER($H150,":")),"X"),MATCH("*"&amp;P$54,F_RT14[#Headers],0))),IF(AND(_xlpm.x=0,_xlpm.y&lt;&gt;0),-1,IF(AND(_xlpm.x&lt;&gt;0,_xlpm.y&lt;&gt;0),_xlpm.x,IF(AND(_xlpm.x-SUM(IF((INDIRECT($B$3)=$B150)*(INDIRECT($C$3)=$D150)*((INDIRECT($E$3)="TOTS")+(INDIRECT($E$3)=$E150)),INDIRECT(P$3)))&lt;&gt;0,_xlpm.y=0),-2,_xlpm.x)))),0))</f>
        <v>-1</v>
      </c>
      <c r="Q150" s="199" cm="1">
        <f t="array" aca="1" ref="Q150" ca="1">IF(OR($B150="",$B150="X",$D150="",$D150="X",$E150="",$E150="X"),0,IFERROR(_xlfn.LET(_xlpm.x,SUM(SUM(_xlfn._xlws.FILTER(VALUE(PptoSty[Sign]&amp;1)*(1/PptoSty[Division]),(PptoSty[Division]&lt;&gt;0)*(PptoSty[Division]&lt;&gt;"")*(PptoSty[Division]&lt;&gt;"X")*(PptoSty[Project]=$B150)*(PptoSty[Vrs]=$D150)*(PptoSty[PiRow]=_xlfn.TEXTAFTER($H150,":"))*(PptoSty[PiColumn]=Q$54),0)),SUM(IF((INDIRECT($B$3)=$B150)*(INDIRECT($C$3)=$D150)*((INDIRECT($E$3)="TOTS")+(INDIRECT($E$3)=$E150)),INDIRECT(Q$3)))),_xlpm.y,SUM(_xlfn.CHOOSECOLS(_xlfn._xlws.FILTER(F_RT14[],(F_RT14[PrjId]=$B150)*(F_RT14[Vrs]=$D150)*(_xlfn.TEXTAFTER(F_RT14[ActGrp],":")=_xlfn.TEXTAFTER($H150,":")),"X"),MATCH("*"&amp;Q$54,F_RT14[#Headers],0))),IF(AND(_xlpm.x=0,_xlpm.y&lt;&gt;0),-1,IF(AND(_xlpm.x&lt;&gt;0,_xlpm.y&lt;&gt;0),_xlpm.x,IF(AND(_xlpm.x-SUM(IF((INDIRECT($B$3)=$B150)*(INDIRECT($C$3)=$D150)*((INDIRECT($E$3)="TOTS")+(INDIRECT($E$3)=$E150)),INDIRECT(Q$3)))&lt;&gt;0,_xlpm.y=0),-2,_xlpm.x)))),0))</f>
        <v>-1</v>
      </c>
      <c r="R150" s="199" cm="1">
        <f t="array" aca="1" ref="R150" ca="1">IF(OR($B150="",$B150="X",$D150="",$D150="X",$E150="",$E150="X"),0,IFERROR(_xlfn.LET(_xlpm.x,SUM(SUM(_xlfn._xlws.FILTER(VALUE(PptoSty[Sign]&amp;1)*(1/PptoSty[Division]),(PptoSty[Division]&lt;&gt;0)*(PptoSty[Division]&lt;&gt;"")*(PptoSty[Division]&lt;&gt;"X")*(PptoSty[Project]=$B150)*(PptoSty[Vrs]=$D150)*(PptoSty[PiRow]=_xlfn.TEXTAFTER($H150,":"))*(PptoSty[PiColumn]=R$54),0)),SUM(IF((INDIRECT($B$3)=$B150)*(INDIRECT($C$3)=$D150)*((INDIRECT($E$3)="TOTS")+(INDIRECT($E$3)=$E150)),INDIRECT(R$3)))),_xlpm.y,SUM(_xlfn.CHOOSECOLS(_xlfn._xlws.FILTER(F_RT14[],(F_RT14[PrjId]=$B150)*(F_RT14[Vrs]=$D150)*(_xlfn.TEXTAFTER(F_RT14[ActGrp],":")=_xlfn.TEXTAFTER($H150,":")),"X"),MATCH("*"&amp;R$54,F_RT14[#Headers],0))),IF(AND(_xlpm.x=0,_xlpm.y&lt;&gt;0),-1,IF(AND(_xlpm.x&lt;&gt;0,_xlpm.y&lt;&gt;0),_xlpm.x,IF(AND(_xlpm.x-SUM(IF((INDIRECT($B$3)=$B150)*(INDIRECT($C$3)=$D150)*((INDIRECT($E$3)="TOTS")+(INDIRECT($E$3)=$E150)),INDIRECT(R$3)))&lt;&gt;0,_xlpm.y=0),-2,_xlpm.x)))),0))</f>
        <v>0</v>
      </c>
      <c r="S150" s="199" cm="1">
        <f t="array" aca="1" ref="S150" ca="1">IF(OR($B150="",$B150="X",$D150="",$D150="X",$E150="",$E150="X"),0,IFERROR(_xlfn.LET(_xlpm.x,SUM(SUM(_xlfn._xlws.FILTER(VALUE(PptoSty[Sign]&amp;1)*(1/PptoSty[Division]),(PptoSty[Division]&lt;&gt;0)*(PptoSty[Division]&lt;&gt;"")*(PptoSty[Division]&lt;&gt;"X")*(PptoSty[Project]=$B150)*(PptoSty[Vrs]=$D150)*(PptoSty[PiRow]=_xlfn.TEXTAFTER($H150,":"))*(PptoSty[PiColumn]=S$54),0)),SUM(IF((INDIRECT($B$3)=$B150)*(INDIRECT($C$3)=$D150)*((INDIRECT($E$3)="TOTS")+(INDIRECT($E$3)=$E150)),INDIRECT(S$3)))),_xlpm.y,SUM(_xlfn.CHOOSECOLS(_xlfn._xlws.FILTER(F_RT14[],(F_RT14[PrjId]=$B150)*(F_RT14[Vrs]=$D150)*(_xlfn.TEXTAFTER(F_RT14[ActGrp],":")=_xlfn.TEXTAFTER($H150,":")),"X"),MATCH("*"&amp;S$54,F_RT14[#Headers],0))),IF(AND(_xlpm.x=0,_xlpm.y&lt;&gt;0),-1,IF(AND(_xlpm.x&lt;&gt;0,_xlpm.y&lt;&gt;0),_xlpm.x,IF(AND(_xlpm.x-SUM(IF((INDIRECT($B$3)=$B150)*(INDIRECT($C$3)=$D150)*((INDIRECT($E$3)="TOTS")+(INDIRECT($E$3)=$E150)),INDIRECT(S$3)))&lt;&gt;0,_xlpm.y=0),-2,_xlpm.x)))),0))</f>
        <v>0</v>
      </c>
      <c r="T150" s="199" cm="1">
        <f t="array" aca="1" ref="T150" ca="1">IF(OR($B150="",$B150="X",$D150="",$D150="X",$E150="",$E150="X"),0,IFERROR(_xlfn.LET(_xlpm.x,SUM(SUM(_xlfn._xlws.FILTER(VALUE(PptoSty[Sign]&amp;1)*(1/PptoSty[Division]),(PptoSty[Division]&lt;&gt;0)*(PptoSty[Division]&lt;&gt;"")*(PptoSty[Division]&lt;&gt;"X")*(PptoSty[Project]=$B150)*(PptoSty[Vrs]=$D150)*(PptoSty[PiRow]=_xlfn.TEXTAFTER($H150,":"))*(PptoSty[PiColumn]=T$54),0)),SUM(IF((INDIRECT($B$3)=$B150)*(INDIRECT($C$3)=$D150)*((INDIRECT($E$3)="TOTS")+(INDIRECT($E$3)=$E150)),INDIRECT(T$3)))),_xlpm.y,SUM(_xlfn.CHOOSECOLS(_xlfn._xlws.FILTER(F_RT14[],(F_RT14[PrjId]=$B150)*(F_RT14[Vrs]=$D150)*(_xlfn.TEXTAFTER(F_RT14[ActGrp],":")=_xlfn.TEXTAFTER($H150,":")),"X"),MATCH("*"&amp;T$54,F_RT14[#Headers],0))),IF(AND(_xlpm.x=0,_xlpm.y&lt;&gt;0),-1,IF(AND(_xlpm.x&lt;&gt;0,_xlpm.y&lt;&gt;0),_xlpm.x,IF(AND(_xlpm.x-SUM(IF((INDIRECT($B$3)=$B150)*(INDIRECT($C$3)=$D150)*((INDIRECT($E$3)="TOTS")+(INDIRECT($E$3)=$E150)),INDIRECT(T$3)))&lt;&gt;0,_xlpm.y=0),-2,_xlpm.x)))),0))</f>
        <v>0</v>
      </c>
      <c r="U150" s="199" cm="1">
        <f t="array" aca="1" ref="U150" ca="1">IF(OR($B150="",$B150="X",$D150="",$D150="X",$E150="",$E150="X"),0,IFERROR(_xlfn.LET(_xlpm.x,SUM(SUM(_xlfn._xlws.FILTER(VALUE(PptoSty[Sign]&amp;1)*(1/PptoSty[Division]),(PptoSty[Division]&lt;&gt;0)*(PptoSty[Division]&lt;&gt;"")*(PptoSty[Division]&lt;&gt;"X")*(PptoSty[Project]=$B150)*(PptoSty[Vrs]=$D150)*(PptoSty[PiRow]=_xlfn.TEXTAFTER($H150,":"))*(PptoSty[PiColumn]=U$54),0)),SUM(IF((INDIRECT($B$3)=$B150)*(INDIRECT($C$3)=$D150)*((INDIRECT($E$3)="TOTS")+(INDIRECT($E$3)=$E150)),INDIRECT(U$3)))),_xlpm.y,SUM(_xlfn.CHOOSECOLS(_xlfn._xlws.FILTER(F_RT14[],(F_RT14[PrjId]=$B150)*(F_RT14[Vrs]=$D150)*(_xlfn.TEXTAFTER(F_RT14[ActGrp],":")=_xlfn.TEXTAFTER($H150,":")),"X"),MATCH("*"&amp;U$54,F_RT14[#Headers],0))),IF(AND(_xlpm.x=0,_xlpm.y&lt;&gt;0),-1,IF(AND(_xlpm.x&lt;&gt;0,_xlpm.y&lt;&gt;0),_xlpm.x,IF(AND(_xlpm.x-SUM(IF((INDIRECT($B$3)=$B150)*(INDIRECT($C$3)=$D150)*((INDIRECT($E$3)="TOTS")+(INDIRECT($E$3)=$E150)),INDIRECT(U$3)))&lt;&gt;0,_xlpm.y=0),-2,_xlpm.x)))),0))</f>
        <v>0</v>
      </c>
      <c r="V150" s="199" cm="1">
        <f t="array" aca="1" ref="V150" ca="1">IF(OR($B150="",$B150="X",$D150="",$D150="X",$E150="",$E150="X"),0,IFERROR(_xlfn.LET(_xlpm.x,SUM(SUM(_xlfn._xlws.FILTER(VALUE(PptoSty[Sign]&amp;1)*(1/PptoSty[Division]),(PptoSty[Division]&lt;&gt;0)*(PptoSty[Division]&lt;&gt;"")*(PptoSty[Division]&lt;&gt;"X")*(PptoSty[Project]=$B150)*(PptoSty[Vrs]=$D150)*(PptoSty[PiRow]=_xlfn.TEXTAFTER($H150,":"))*(PptoSty[PiColumn]=V$54),0)),SUM(IF((INDIRECT($B$3)=$B150)*(INDIRECT($C$3)=$D150)*((INDIRECT($E$3)="TOTS")+(INDIRECT($E$3)=$E150)),INDIRECT(V$3)))),_xlpm.y,SUM(_xlfn.CHOOSECOLS(_xlfn._xlws.FILTER(F_RT14[],(F_RT14[PrjId]=$B150)*(F_RT14[Vrs]=$D150)*(_xlfn.TEXTAFTER(F_RT14[ActGrp],":")=_xlfn.TEXTAFTER($H150,":")),"X"),MATCH("*"&amp;V$54,F_RT14[#Headers],0))),IF(AND(_xlpm.x=0,_xlpm.y&lt;&gt;0),-1,IF(AND(_xlpm.x&lt;&gt;0,_xlpm.y&lt;&gt;0),_xlpm.x,IF(AND(_xlpm.x-SUM(IF((INDIRECT($B$3)=$B150)*(INDIRECT($C$3)=$D150)*((INDIRECT($E$3)="TOTS")+(INDIRECT($E$3)=$E150)),INDIRECT(V$3)))&lt;&gt;0,_xlpm.y=0),-2,_xlpm.x)))),0))</f>
        <v>0</v>
      </c>
      <c r="W150" s="199" cm="1">
        <f t="array" aca="1" ref="W150" ca="1">IF(OR($B150="",$B150="X",$D150="",$D150="X",$E150="",$E150="X"),0,IFERROR(_xlfn.LET(_xlpm.x,SUM(SUM(_xlfn._xlws.FILTER(VALUE(PptoSty[Sign]&amp;1)*(1/PptoSty[Division]),(PptoSty[Division]&lt;&gt;0)*(PptoSty[Division]&lt;&gt;"")*(PptoSty[Division]&lt;&gt;"X")*(PptoSty[Project]=$B150)*(PptoSty[Vrs]=$D150)*(PptoSty[PiRow]=_xlfn.TEXTAFTER($H150,":"))*(PptoSty[PiColumn]=W$54),0)),SUM(IF((INDIRECT($B$3)=$B150)*(INDIRECT($C$3)=$D150)*((INDIRECT($E$3)="TOTS")+(INDIRECT($E$3)=$E150)),INDIRECT(W$3)))),_xlpm.y,SUM(_xlfn.CHOOSECOLS(_xlfn._xlws.FILTER(F_RT14[],(F_RT14[PrjId]=$B150)*(F_RT14[Vrs]=$D150)*(_xlfn.TEXTAFTER(F_RT14[ActGrp],":")=_xlfn.TEXTAFTER($H150,":")),"X"),MATCH("*"&amp;W$54,F_RT14[#Headers],0))),IF(AND(_xlpm.x=0,_xlpm.y&lt;&gt;0),-1,IF(AND(_xlpm.x&lt;&gt;0,_xlpm.y&lt;&gt;0),_xlpm.x,IF(AND(_xlpm.x-SUM(IF((INDIRECT($B$3)=$B150)*(INDIRECT($C$3)=$D150)*((INDIRECT($E$3)="TOTS")+(INDIRECT($E$3)=$E150)),INDIRECT(W$3)))&lt;&gt;0,_xlpm.y=0),-2,_xlpm.x)))),0))</f>
        <v>0</v>
      </c>
      <c r="X150" s="199" cm="1">
        <f t="array" aca="1" ref="X150" ca="1">IF(OR($B150="",$B150="X",$D150="",$D150="X",$E150="",$E150="X"),0,IFERROR(_xlfn.LET(_xlpm.x,SUM(SUM(_xlfn._xlws.FILTER(VALUE(PptoSty[Sign]&amp;1)*(1/PptoSty[Division]),(PptoSty[Division]&lt;&gt;0)*(PptoSty[Division]&lt;&gt;"")*(PptoSty[Division]&lt;&gt;"X")*(PptoSty[Project]=$B150)*(PptoSty[Vrs]=$D150)*(PptoSty[PiRow]=_xlfn.TEXTAFTER($H150,":"))*(PptoSty[PiColumn]=X$54),0)),SUM(IF((INDIRECT($B$3)=$B150)*(INDIRECT($C$3)=$D150)*((INDIRECT($E$3)="TOTS")+(INDIRECT($E$3)=$E150)),INDIRECT(X$3)))),_xlpm.y,SUM(_xlfn.CHOOSECOLS(_xlfn._xlws.FILTER(F_RT14[],(F_RT14[PrjId]=$B150)*(F_RT14[Vrs]=$D150)*(_xlfn.TEXTAFTER(F_RT14[ActGrp],":")=_xlfn.TEXTAFTER($H150,":")),"X"),MATCH("*"&amp;X$54,F_RT14[#Headers],0))),IF(AND(_xlpm.x=0,_xlpm.y&lt;&gt;0),-1,IF(AND(_xlpm.x&lt;&gt;0,_xlpm.y&lt;&gt;0),_xlpm.x,IF(AND(_xlpm.x-SUM(IF((INDIRECT($B$3)=$B150)*(INDIRECT($C$3)=$D150)*((INDIRECT($E$3)="TOTS")+(INDIRECT($E$3)=$E150)),INDIRECT(X$3)))&lt;&gt;0,_xlpm.y=0),-2,_xlpm.x)))),0))</f>
        <v>0</v>
      </c>
      <c r="Y150" s="199" cm="1">
        <f t="array" aca="1" ref="Y150" ca="1">IF(OR($B150="",$B150="X",$D150="",$D150="X",$E150="",$E150="X"),0,IFERROR(_xlfn.LET(_xlpm.x,SUM(SUM(_xlfn._xlws.FILTER(VALUE(PptoSty[Sign]&amp;1)*(1/PptoSty[Division]),(PptoSty[Division]&lt;&gt;0)*(PptoSty[Division]&lt;&gt;"")*(PptoSty[Division]&lt;&gt;"X")*(PptoSty[Project]=$B150)*(PptoSty[Vrs]=$D150)*(PptoSty[PiRow]=_xlfn.TEXTAFTER($H150,":"))*(PptoSty[PiColumn]=Y$54),0)),SUM(IF((INDIRECT($B$3)=$B150)*(INDIRECT($C$3)=$D150)*((INDIRECT($E$3)="TOTS")+(INDIRECT($E$3)=$E150)),INDIRECT(Y$3)))),_xlpm.y,SUM(_xlfn.CHOOSECOLS(_xlfn._xlws.FILTER(F_RT14[],(F_RT14[PrjId]=$B150)*(F_RT14[Vrs]=$D150)*(_xlfn.TEXTAFTER(F_RT14[ActGrp],":")=_xlfn.TEXTAFTER($H150,":")),"X"),MATCH("*"&amp;Y$54,F_RT14[#Headers],0))),IF(AND(_xlpm.x=0,_xlpm.y&lt;&gt;0),-1,IF(AND(_xlpm.x&lt;&gt;0,_xlpm.y&lt;&gt;0),_xlpm.x,IF(AND(_xlpm.x-SUM(IF((INDIRECT($B$3)=$B150)*(INDIRECT($C$3)=$D150)*((INDIRECT($E$3)="TOTS")+(INDIRECT($E$3)=$E150)),INDIRECT(Y$3)))&lt;&gt;0,_xlpm.y=0),-2,_xlpm.x)))),0))</f>
        <v>0</v>
      </c>
      <c r="Z150" s="198" t="str">
        <f t="shared" ca="1" si="3"/>
        <v>Fback!B150:Y150</v>
      </c>
    </row>
    <row r="151" spans="2:26" ht="21" customHeight="1" outlineLevel="1">
      <c r="B151" s="128" t="str">
        <v>31200</v>
      </c>
      <c r="C151" s="128" t="str">
        <v>Sp</v>
      </c>
      <c r="D151" s="128">
        <v>16</v>
      </c>
      <c r="E151" s="128" t="str">
        <v>CELL</v>
      </c>
      <c r="F151" s="139" t="str">
        <v>SERRA</v>
      </c>
      <c r="G151" s="139" t="str">
        <v>CurPpto</v>
      </c>
      <c r="H151" s="139" t="str">
        <v>P020:KTL SHELVES PR-31200:11</v>
      </c>
      <c r="I151" s="199" cm="1">
        <f t="array" aca="1" ref="I151" ca="1">IF(OR($B151="",$B151="X",$D151="",$D151="X",$E151="",$E151="X"),0,IFERROR(_xlfn.LET(_xlpm.x,SUM(SUM(_xlfn._xlws.FILTER(VALUE(PptoSty[Sign]&amp;1)*(1/PptoSty[Division]),(PptoSty[Division]&lt;&gt;0)*(PptoSty[Division]&lt;&gt;"")*(PptoSty[Division]&lt;&gt;"X")*(PptoSty[Project]=$B151)*(PptoSty[Vrs]=$D151)*(PptoSty[PiRow]=_xlfn.TEXTAFTER($H151,":"))*(PptoSty[PiColumn]=I$54),0)),SUM(IF((INDIRECT($B$3)=$B151)*(INDIRECT($C$3)=$D151)*((INDIRECT($E$3)="TOTS")+(INDIRECT($E$3)=$E151)),INDIRECT(I$3)))),_xlpm.y,SUM(_xlfn.CHOOSECOLS(_xlfn._xlws.FILTER(F_RT14[],(F_RT14[PrjId]=$B151)*(F_RT14[Vrs]=$D151)*(_xlfn.TEXTAFTER(F_RT14[ActGrp],":")=_xlfn.TEXTAFTER($H151,":")),"X"),MATCH("*"&amp;I$54,F_RT14[#Headers],0))),IF(AND(_xlpm.x=0,_xlpm.y&lt;&gt;0),-1,IF(AND(_xlpm.x&lt;&gt;0,_xlpm.y&lt;&gt;0),_xlpm.x,IF(AND(_xlpm.x-SUM(IF((INDIRECT($B$3)=$B151)*(INDIRECT($C$3)=$D151)*((INDIRECT($E$3)="TOTS")+(INDIRECT($E$3)=$E151)),INDIRECT(I$3)))&lt;&gt;0,_xlpm.y=0),-2,_xlpm.x)))),0))</f>
        <v>0</v>
      </c>
      <c r="J151" s="199" cm="1">
        <f t="array" aca="1" ref="J151" ca="1">IF(OR($B151="",$B151="X",$D151="",$D151="X",$E151="",$E151="X"),0,IFERROR(_xlfn.LET(_xlpm.x,SUM(SUM(_xlfn._xlws.FILTER(VALUE(PptoSty[Sign]&amp;1)*(1/PptoSty[Division]),(PptoSty[Division]&lt;&gt;0)*(PptoSty[Division]&lt;&gt;"")*(PptoSty[Division]&lt;&gt;"X")*(PptoSty[Project]=$B151)*(PptoSty[Vrs]=$D151)*(PptoSty[PiRow]=_xlfn.TEXTAFTER($H151,":"))*(PptoSty[PiColumn]=J$54),0)),SUM(IF((INDIRECT($B$3)=$B151)*(INDIRECT($C$3)=$D151)*((INDIRECT($E$3)="TOTS")+(INDIRECT($E$3)=$E151)),INDIRECT(J$3)))),_xlpm.y,SUM(_xlfn.CHOOSECOLS(_xlfn._xlws.FILTER(F_RT14[],(F_RT14[PrjId]=$B151)*(F_RT14[Vrs]=$D151)*(_xlfn.TEXTAFTER(F_RT14[ActGrp],":")=_xlfn.TEXTAFTER($H151,":")),"X"),MATCH("*"&amp;J$54,F_RT14[#Headers],0))),IF(AND(_xlpm.x=0,_xlpm.y&lt;&gt;0),-1,IF(AND(_xlpm.x&lt;&gt;0,_xlpm.y&lt;&gt;0),_xlpm.x,IF(AND(_xlpm.x-SUM(IF((INDIRECT($B$3)=$B151)*(INDIRECT($C$3)=$D151)*((INDIRECT($E$3)="TOTS")+(INDIRECT($E$3)=$E151)),INDIRECT(J$3)))&lt;&gt;0,_xlpm.y=0),-2,_xlpm.x)))),0))</f>
        <v>0</v>
      </c>
      <c r="K151" s="199" cm="1">
        <f t="array" aca="1" ref="K151" ca="1">IF(OR($B151="",$B151="X",$D151="",$D151="X",$E151="",$E151="X"),0,IFERROR(_xlfn.LET(_xlpm.x,SUM(SUM(_xlfn._xlws.FILTER(VALUE(PptoSty[Sign]&amp;1)*(1/PptoSty[Division]),(PptoSty[Division]&lt;&gt;0)*(PptoSty[Division]&lt;&gt;"")*(PptoSty[Division]&lt;&gt;"X")*(PptoSty[Project]=$B151)*(PptoSty[Vrs]=$D151)*(PptoSty[PiRow]=_xlfn.TEXTAFTER($H151,":"))*(PptoSty[PiColumn]=K$54),0)),SUM(IF((INDIRECT($B$3)=$B151)*(INDIRECT($C$3)=$D151)*((INDIRECT($E$3)="TOTS")+(INDIRECT($E$3)=$E151)),INDIRECT(K$3)))),_xlpm.y,SUM(_xlfn.CHOOSECOLS(_xlfn._xlws.FILTER(F_RT14[],(F_RT14[PrjId]=$B151)*(F_RT14[Vrs]=$D151)*(_xlfn.TEXTAFTER(F_RT14[ActGrp],":")=_xlfn.TEXTAFTER($H151,":")),"X"),MATCH("*"&amp;K$54,F_RT14[#Headers],0))),IF(AND(_xlpm.x=0,_xlpm.y&lt;&gt;0),-1,IF(AND(_xlpm.x&lt;&gt;0,_xlpm.y&lt;&gt;0),_xlpm.x,IF(AND(_xlpm.x-SUM(IF((INDIRECT($B$3)=$B151)*(INDIRECT($C$3)=$D151)*((INDIRECT($E$3)="TOTS")+(INDIRECT($E$3)=$E151)),INDIRECT(K$3)))&lt;&gt;0,_xlpm.y=0),-2,_xlpm.x)))),0))</f>
        <v>-1</v>
      </c>
      <c r="L151" s="199" cm="1">
        <f t="array" aca="1" ref="L151" ca="1">IF(OR($B151="",$B151="X",$D151="",$D151="X",$E151="",$E151="X"),0,IFERROR(_xlfn.LET(_xlpm.x,SUM(SUM(_xlfn._xlws.FILTER(VALUE(PptoSty[Sign]&amp;1)*(1/PptoSty[Division]),(PptoSty[Division]&lt;&gt;0)*(PptoSty[Division]&lt;&gt;"")*(PptoSty[Division]&lt;&gt;"X")*(PptoSty[Project]=$B151)*(PptoSty[Vrs]=$D151)*(PptoSty[PiRow]=_xlfn.TEXTAFTER($H151,":"))*(PptoSty[PiColumn]=L$54),0)),SUM(IF((INDIRECT($B$3)=$B151)*(INDIRECT($C$3)=$D151)*((INDIRECT($E$3)="TOTS")+(INDIRECT($E$3)=$E151)),INDIRECT(L$3)))),_xlpm.y,SUM(_xlfn.CHOOSECOLS(_xlfn._xlws.FILTER(F_RT14[],(F_RT14[PrjId]=$B151)*(F_RT14[Vrs]=$D151)*(_xlfn.TEXTAFTER(F_RT14[ActGrp],":")=_xlfn.TEXTAFTER($H151,":")),"X"),MATCH("*"&amp;L$54,F_RT14[#Headers],0))),IF(AND(_xlpm.x=0,_xlpm.y&lt;&gt;0),-1,IF(AND(_xlpm.x&lt;&gt;0,_xlpm.y&lt;&gt;0),_xlpm.x,IF(AND(_xlpm.x-SUM(IF((INDIRECT($B$3)=$B151)*(INDIRECT($C$3)=$D151)*((INDIRECT($E$3)="TOTS")+(INDIRECT($E$3)=$E151)),INDIRECT(L$3)))&lt;&gt;0,_xlpm.y=0),-2,_xlpm.x)))),0))</f>
        <v>0</v>
      </c>
      <c r="M151" s="199" cm="1">
        <f t="array" aca="1" ref="M151" ca="1">IF(OR($B151="",$B151="X",$D151="",$D151="X",$E151="",$E151="X"),0,IFERROR(_xlfn.LET(_xlpm.x,SUM(SUM(_xlfn._xlws.FILTER(VALUE(PptoSty[Sign]&amp;1)*(1/PptoSty[Division]),(PptoSty[Division]&lt;&gt;0)*(PptoSty[Division]&lt;&gt;"")*(PptoSty[Division]&lt;&gt;"X")*(PptoSty[Project]=$B151)*(PptoSty[Vrs]=$D151)*(PptoSty[PiRow]=_xlfn.TEXTAFTER($H151,":"))*(PptoSty[PiColumn]=M$54),0)),SUM(IF((INDIRECT($B$3)=$B151)*(INDIRECT($C$3)=$D151)*((INDIRECT($E$3)="TOTS")+(INDIRECT($E$3)=$E151)),INDIRECT(M$3)))),_xlpm.y,SUM(_xlfn.CHOOSECOLS(_xlfn._xlws.FILTER(F_RT14[],(F_RT14[PrjId]=$B151)*(F_RT14[Vrs]=$D151)*(_xlfn.TEXTAFTER(F_RT14[ActGrp],":")=_xlfn.TEXTAFTER($H151,":")),"X"),MATCH("*"&amp;M$54,F_RT14[#Headers],0))),IF(AND(_xlpm.x=0,_xlpm.y&lt;&gt;0),-1,IF(AND(_xlpm.x&lt;&gt;0,_xlpm.y&lt;&gt;0),_xlpm.x,IF(AND(_xlpm.x-SUM(IF((INDIRECT($B$3)=$B151)*(INDIRECT($C$3)=$D151)*((INDIRECT($E$3)="TOTS")+(INDIRECT($E$3)=$E151)),INDIRECT(M$3)))&lt;&gt;0,_xlpm.y=0),-2,_xlpm.x)))),0))</f>
        <v>0</v>
      </c>
      <c r="N151" s="199" cm="1">
        <f t="array" aca="1" ref="N151" ca="1">IF(OR($B151="",$B151="X",$D151="",$D151="X",$E151="",$E151="X"),0,IFERROR(_xlfn.LET(_xlpm.x,SUM(SUM(_xlfn._xlws.FILTER(VALUE(PptoSty[Sign]&amp;1)*(1/PptoSty[Division]),(PptoSty[Division]&lt;&gt;0)*(PptoSty[Division]&lt;&gt;"")*(PptoSty[Division]&lt;&gt;"X")*(PptoSty[Project]=$B151)*(PptoSty[Vrs]=$D151)*(PptoSty[PiRow]=_xlfn.TEXTAFTER($H151,":"))*(PptoSty[PiColumn]=N$54),0)),SUM(IF((INDIRECT($B$3)=$B151)*(INDIRECT($C$3)=$D151)*((INDIRECT($E$3)="TOTS")+(INDIRECT($E$3)=$E151)),INDIRECT(N$3)))),_xlpm.y,SUM(_xlfn.CHOOSECOLS(_xlfn._xlws.FILTER(F_RT14[],(F_RT14[PrjId]=$B151)*(F_RT14[Vrs]=$D151)*(_xlfn.TEXTAFTER(F_RT14[ActGrp],":")=_xlfn.TEXTAFTER($H151,":")),"X"),MATCH("*"&amp;N$54,F_RT14[#Headers],0))),IF(AND(_xlpm.x=0,_xlpm.y&lt;&gt;0),-1,IF(AND(_xlpm.x&lt;&gt;0,_xlpm.y&lt;&gt;0),_xlpm.x,IF(AND(_xlpm.x-SUM(IF((INDIRECT($B$3)=$B151)*(INDIRECT($C$3)=$D151)*((INDIRECT($E$3)="TOTS")+(INDIRECT($E$3)=$E151)),INDIRECT(N$3)))&lt;&gt;0,_xlpm.y=0),-2,_xlpm.x)))),0))</f>
        <v>0</v>
      </c>
      <c r="O151" s="199" cm="1">
        <f t="array" aca="1" ref="O151" ca="1">IF(OR($B151="",$B151="X",$D151="",$D151="X",$E151="",$E151="X"),0,IFERROR(_xlfn.LET(_xlpm.x,SUM(SUM(_xlfn._xlws.FILTER(VALUE(PptoSty[Sign]&amp;1)*(1/PptoSty[Division]),(PptoSty[Division]&lt;&gt;0)*(PptoSty[Division]&lt;&gt;"")*(PptoSty[Division]&lt;&gt;"X")*(PptoSty[Project]=$B151)*(PptoSty[Vrs]=$D151)*(PptoSty[PiRow]=_xlfn.TEXTAFTER($H151,":"))*(PptoSty[PiColumn]=O$54),0)),SUM(IF((INDIRECT($B$3)=$B151)*(INDIRECT($C$3)=$D151)*((INDIRECT($E$3)="TOTS")+(INDIRECT($E$3)=$E151)),INDIRECT(O$3)))),_xlpm.y,SUM(_xlfn.CHOOSECOLS(_xlfn._xlws.FILTER(F_RT14[],(F_RT14[PrjId]=$B151)*(F_RT14[Vrs]=$D151)*(_xlfn.TEXTAFTER(F_RT14[ActGrp],":")=_xlfn.TEXTAFTER($H151,":")),"X"),MATCH("*"&amp;O$54,F_RT14[#Headers],0))),IF(AND(_xlpm.x=0,_xlpm.y&lt;&gt;0),-1,IF(AND(_xlpm.x&lt;&gt;0,_xlpm.y&lt;&gt;0),_xlpm.x,IF(AND(_xlpm.x-SUM(IF((INDIRECT($B$3)=$B151)*(INDIRECT($C$3)=$D151)*((INDIRECT($E$3)="TOTS")+(INDIRECT($E$3)=$E151)),INDIRECT(O$3)))&lt;&gt;0,_xlpm.y=0),-2,_xlpm.x)))),0))</f>
        <v>0</v>
      </c>
      <c r="P151" s="199" cm="1">
        <f t="array" aca="1" ref="P151" ca="1">IF(OR($B151="",$B151="X",$D151="",$D151="X",$E151="",$E151="X"),0,IFERROR(_xlfn.LET(_xlpm.x,SUM(SUM(_xlfn._xlws.FILTER(VALUE(PptoSty[Sign]&amp;1)*(1/PptoSty[Division]),(PptoSty[Division]&lt;&gt;0)*(PptoSty[Division]&lt;&gt;"")*(PptoSty[Division]&lt;&gt;"X")*(PptoSty[Project]=$B151)*(PptoSty[Vrs]=$D151)*(PptoSty[PiRow]=_xlfn.TEXTAFTER($H151,":"))*(PptoSty[PiColumn]=P$54),0)),SUM(IF((INDIRECT($B$3)=$B151)*(INDIRECT($C$3)=$D151)*((INDIRECT($E$3)="TOTS")+(INDIRECT($E$3)=$E151)),INDIRECT(P$3)))),_xlpm.y,SUM(_xlfn.CHOOSECOLS(_xlfn._xlws.FILTER(F_RT14[],(F_RT14[PrjId]=$B151)*(F_RT14[Vrs]=$D151)*(_xlfn.TEXTAFTER(F_RT14[ActGrp],":")=_xlfn.TEXTAFTER($H151,":")),"X"),MATCH("*"&amp;P$54,F_RT14[#Headers],0))),IF(AND(_xlpm.x=0,_xlpm.y&lt;&gt;0),-1,IF(AND(_xlpm.x&lt;&gt;0,_xlpm.y&lt;&gt;0),_xlpm.x,IF(AND(_xlpm.x-SUM(IF((INDIRECT($B$3)=$B151)*(INDIRECT($C$3)=$D151)*((INDIRECT($E$3)="TOTS")+(INDIRECT($E$3)=$E151)),INDIRECT(P$3)))&lt;&gt;0,_xlpm.y=0),-2,_xlpm.x)))),0))</f>
        <v>-1</v>
      </c>
      <c r="Q151" s="199" cm="1">
        <f t="array" aca="1" ref="Q151" ca="1">IF(OR($B151="",$B151="X",$D151="",$D151="X",$E151="",$E151="X"),0,IFERROR(_xlfn.LET(_xlpm.x,SUM(SUM(_xlfn._xlws.FILTER(VALUE(PptoSty[Sign]&amp;1)*(1/PptoSty[Division]),(PptoSty[Division]&lt;&gt;0)*(PptoSty[Division]&lt;&gt;"")*(PptoSty[Division]&lt;&gt;"X")*(PptoSty[Project]=$B151)*(PptoSty[Vrs]=$D151)*(PptoSty[PiRow]=_xlfn.TEXTAFTER($H151,":"))*(PptoSty[PiColumn]=Q$54),0)),SUM(IF((INDIRECT($B$3)=$B151)*(INDIRECT($C$3)=$D151)*((INDIRECT($E$3)="TOTS")+(INDIRECT($E$3)=$E151)),INDIRECT(Q$3)))),_xlpm.y,SUM(_xlfn.CHOOSECOLS(_xlfn._xlws.FILTER(F_RT14[],(F_RT14[PrjId]=$B151)*(F_RT14[Vrs]=$D151)*(_xlfn.TEXTAFTER(F_RT14[ActGrp],":")=_xlfn.TEXTAFTER($H151,":")),"X"),MATCH("*"&amp;Q$54,F_RT14[#Headers],0))),IF(AND(_xlpm.x=0,_xlpm.y&lt;&gt;0),-1,IF(AND(_xlpm.x&lt;&gt;0,_xlpm.y&lt;&gt;0),_xlpm.x,IF(AND(_xlpm.x-SUM(IF((INDIRECT($B$3)=$B151)*(INDIRECT($C$3)=$D151)*((INDIRECT($E$3)="TOTS")+(INDIRECT($E$3)=$E151)),INDIRECT(Q$3)))&lt;&gt;0,_xlpm.y=0),-2,_xlpm.x)))),0))</f>
        <v>-1</v>
      </c>
      <c r="R151" s="199" cm="1">
        <f t="array" aca="1" ref="R151" ca="1">IF(OR($B151="",$B151="X",$D151="",$D151="X",$E151="",$E151="X"),0,IFERROR(_xlfn.LET(_xlpm.x,SUM(SUM(_xlfn._xlws.FILTER(VALUE(PptoSty[Sign]&amp;1)*(1/PptoSty[Division]),(PptoSty[Division]&lt;&gt;0)*(PptoSty[Division]&lt;&gt;"")*(PptoSty[Division]&lt;&gt;"X")*(PptoSty[Project]=$B151)*(PptoSty[Vrs]=$D151)*(PptoSty[PiRow]=_xlfn.TEXTAFTER($H151,":"))*(PptoSty[PiColumn]=R$54),0)),SUM(IF((INDIRECT($B$3)=$B151)*(INDIRECT($C$3)=$D151)*((INDIRECT($E$3)="TOTS")+(INDIRECT($E$3)=$E151)),INDIRECT(R$3)))),_xlpm.y,SUM(_xlfn.CHOOSECOLS(_xlfn._xlws.FILTER(F_RT14[],(F_RT14[PrjId]=$B151)*(F_RT14[Vrs]=$D151)*(_xlfn.TEXTAFTER(F_RT14[ActGrp],":")=_xlfn.TEXTAFTER($H151,":")),"X"),MATCH("*"&amp;R$54,F_RT14[#Headers],0))),IF(AND(_xlpm.x=0,_xlpm.y&lt;&gt;0),-1,IF(AND(_xlpm.x&lt;&gt;0,_xlpm.y&lt;&gt;0),_xlpm.x,IF(AND(_xlpm.x-SUM(IF((INDIRECT($B$3)=$B151)*(INDIRECT($C$3)=$D151)*((INDIRECT($E$3)="TOTS")+(INDIRECT($E$3)=$E151)),INDIRECT(R$3)))&lt;&gt;0,_xlpm.y=0),-2,_xlpm.x)))),0))</f>
        <v>0</v>
      </c>
      <c r="S151" s="199" cm="1">
        <f t="array" aca="1" ref="S151" ca="1">IF(OR($B151="",$B151="X",$D151="",$D151="X",$E151="",$E151="X"),0,IFERROR(_xlfn.LET(_xlpm.x,SUM(SUM(_xlfn._xlws.FILTER(VALUE(PptoSty[Sign]&amp;1)*(1/PptoSty[Division]),(PptoSty[Division]&lt;&gt;0)*(PptoSty[Division]&lt;&gt;"")*(PptoSty[Division]&lt;&gt;"X")*(PptoSty[Project]=$B151)*(PptoSty[Vrs]=$D151)*(PptoSty[PiRow]=_xlfn.TEXTAFTER($H151,":"))*(PptoSty[PiColumn]=S$54),0)),SUM(IF((INDIRECT($B$3)=$B151)*(INDIRECT($C$3)=$D151)*((INDIRECT($E$3)="TOTS")+(INDIRECT($E$3)=$E151)),INDIRECT(S$3)))),_xlpm.y,SUM(_xlfn.CHOOSECOLS(_xlfn._xlws.FILTER(F_RT14[],(F_RT14[PrjId]=$B151)*(F_RT14[Vrs]=$D151)*(_xlfn.TEXTAFTER(F_RT14[ActGrp],":")=_xlfn.TEXTAFTER($H151,":")),"X"),MATCH("*"&amp;S$54,F_RT14[#Headers],0))),IF(AND(_xlpm.x=0,_xlpm.y&lt;&gt;0),-1,IF(AND(_xlpm.x&lt;&gt;0,_xlpm.y&lt;&gt;0),_xlpm.x,IF(AND(_xlpm.x-SUM(IF((INDIRECT($B$3)=$B151)*(INDIRECT($C$3)=$D151)*((INDIRECT($E$3)="TOTS")+(INDIRECT($E$3)=$E151)),INDIRECT(S$3)))&lt;&gt;0,_xlpm.y=0),-2,_xlpm.x)))),0))</f>
        <v>0</v>
      </c>
      <c r="T151" s="199" cm="1">
        <f t="array" aca="1" ref="T151" ca="1">IF(OR($B151="",$B151="X",$D151="",$D151="X",$E151="",$E151="X"),0,IFERROR(_xlfn.LET(_xlpm.x,SUM(SUM(_xlfn._xlws.FILTER(VALUE(PptoSty[Sign]&amp;1)*(1/PptoSty[Division]),(PptoSty[Division]&lt;&gt;0)*(PptoSty[Division]&lt;&gt;"")*(PptoSty[Division]&lt;&gt;"X")*(PptoSty[Project]=$B151)*(PptoSty[Vrs]=$D151)*(PptoSty[PiRow]=_xlfn.TEXTAFTER($H151,":"))*(PptoSty[PiColumn]=T$54),0)),SUM(IF((INDIRECT($B$3)=$B151)*(INDIRECT($C$3)=$D151)*((INDIRECT($E$3)="TOTS")+(INDIRECT($E$3)=$E151)),INDIRECT(T$3)))),_xlpm.y,SUM(_xlfn.CHOOSECOLS(_xlfn._xlws.FILTER(F_RT14[],(F_RT14[PrjId]=$B151)*(F_RT14[Vrs]=$D151)*(_xlfn.TEXTAFTER(F_RT14[ActGrp],":")=_xlfn.TEXTAFTER($H151,":")),"X"),MATCH("*"&amp;T$54,F_RT14[#Headers],0))),IF(AND(_xlpm.x=0,_xlpm.y&lt;&gt;0),-1,IF(AND(_xlpm.x&lt;&gt;0,_xlpm.y&lt;&gt;0),_xlpm.x,IF(AND(_xlpm.x-SUM(IF((INDIRECT($B$3)=$B151)*(INDIRECT($C$3)=$D151)*((INDIRECT($E$3)="TOTS")+(INDIRECT($E$3)=$E151)),INDIRECT(T$3)))&lt;&gt;0,_xlpm.y=0),-2,_xlpm.x)))),0))</f>
        <v>0</v>
      </c>
      <c r="U151" s="199" cm="1">
        <f t="array" aca="1" ref="U151" ca="1">IF(OR($B151="",$B151="X",$D151="",$D151="X",$E151="",$E151="X"),0,IFERROR(_xlfn.LET(_xlpm.x,SUM(SUM(_xlfn._xlws.FILTER(VALUE(PptoSty[Sign]&amp;1)*(1/PptoSty[Division]),(PptoSty[Division]&lt;&gt;0)*(PptoSty[Division]&lt;&gt;"")*(PptoSty[Division]&lt;&gt;"X")*(PptoSty[Project]=$B151)*(PptoSty[Vrs]=$D151)*(PptoSty[PiRow]=_xlfn.TEXTAFTER($H151,":"))*(PptoSty[PiColumn]=U$54),0)),SUM(IF((INDIRECT($B$3)=$B151)*(INDIRECT($C$3)=$D151)*((INDIRECT($E$3)="TOTS")+(INDIRECT($E$3)=$E151)),INDIRECT(U$3)))),_xlpm.y,SUM(_xlfn.CHOOSECOLS(_xlfn._xlws.FILTER(F_RT14[],(F_RT14[PrjId]=$B151)*(F_RT14[Vrs]=$D151)*(_xlfn.TEXTAFTER(F_RT14[ActGrp],":")=_xlfn.TEXTAFTER($H151,":")),"X"),MATCH("*"&amp;U$54,F_RT14[#Headers],0))),IF(AND(_xlpm.x=0,_xlpm.y&lt;&gt;0),-1,IF(AND(_xlpm.x&lt;&gt;0,_xlpm.y&lt;&gt;0),_xlpm.x,IF(AND(_xlpm.x-SUM(IF((INDIRECT($B$3)=$B151)*(INDIRECT($C$3)=$D151)*((INDIRECT($E$3)="TOTS")+(INDIRECT($E$3)=$E151)),INDIRECT(U$3)))&lt;&gt;0,_xlpm.y=0),-2,_xlpm.x)))),0))</f>
        <v>0</v>
      </c>
      <c r="V151" s="199" cm="1">
        <f t="array" aca="1" ref="V151" ca="1">IF(OR($B151="",$B151="X",$D151="",$D151="X",$E151="",$E151="X"),0,IFERROR(_xlfn.LET(_xlpm.x,SUM(SUM(_xlfn._xlws.FILTER(VALUE(PptoSty[Sign]&amp;1)*(1/PptoSty[Division]),(PptoSty[Division]&lt;&gt;0)*(PptoSty[Division]&lt;&gt;"")*(PptoSty[Division]&lt;&gt;"X")*(PptoSty[Project]=$B151)*(PptoSty[Vrs]=$D151)*(PptoSty[PiRow]=_xlfn.TEXTAFTER($H151,":"))*(PptoSty[PiColumn]=V$54),0)),SUM(IF((INDIRECT($B$3)=$B151)*(INDIRECT($C$3)=$D151)*((INDIRECT($E$3)="TOTS")+(INDIRECT($E$3)=$E151)),INDIRECT(V$3)))),_xlpm.y,SUM(_xlfn.CHOOSECOLS(_xlfn._xlws.FILTER(F_RT14[],(F_RT14[PrjId]=$B151)*(F_RT14[Vrs]=$D151)*(_xlfn.TEXTAFTER(F_RT14[ActGrp],":")=_xlfn.TEXTAFTER($H151,":")),"X"),MATCH("*"&amp;V$54,F_RT14[#Headers],0))),IF(AND(_xlpm.x=0,_xlpm.y&lt;&gt;0),-1,IF(AND(_xlpm.x&lt;&gt;0,_xlpm.y&lt;&gt;0),_xlpm.x,IF(AND(_xlpm.x-SUM(IF((INDIRECT($B$3)=$B151)*(INDIRECT($C$3)=$D151)*((INDIRECT($E$3)="TOTS")+(INDIRECT($E$3)=$E151)),INDIRECT(V$3)))&lt;&gt;0,_xlpm.y=0),-2,_xlpm.x)))),0))</f>
        <v>-1</v>
      </c>
      <c r="W151" s="199" cm="1">
        <f t="array" aca="1" ref="W151" ca="1">IF(OR($B151="",$B151="X",$D151="",$D151="X",$E151="",$E151="X"),0,IFERROR(_xlfn.LET(_xlpm.x,SUM(SUM(_xlfn._xlws.FILTER(VALUE(PptoSty[Sign]&amp;1)*(1/PptoSty[Division]),(PptoSty[Division]&lt;&gt;0)*(PptoSty[Division]&lt;&gt;"")*(PptoSty[Division]&lt;&gt;"X")*(PptoSty[Project]=$B151)*(PptoSty[Vrs]=$D151)*(PptoSty[PiRow]=_xlfn.TEXTAFTER($H151,":"))*(PptoSty[PiColumn]=W$54),0)),SUM(IF((INDIRECT($B$3)=$B151)*(INDIRECT($C$3)=$D151)*((INDIRECT($E$3)="TOTS")+(INDIRECT($E$3)=$E151)),INDIRECT(W$3)))),_xlpm.y,SUM(_xlfn.CHOOSECOLS(_xlfn._xlws.FILTER(F_RT14[],(F_RT14[PrjId]=$B151)*(F_RT14[Vrs]=$D151)*(_xlfn.TEXTAFTER(F_RT14[ActGrp],":")=_xlfn.TEXTAFTER($H151,":")),"X"),MATCH("*"&amp;W$54,F_RT14[#Headers],0))),IF(AND(_xlpm.x=0,_xlpm.y&lt;&gt;0),-1,IF(AND(_xlpm.x&lt;&gt;0,_xlpm.y&lt;&gt;0),_xlpm.x,IF(AND(_xlpm.x-SUM(IF((INDIRECT($B$3)=$B151)*(INDIRECT($C$3)=$D151)*((INDIRECT($E$3)="TOTS")+(INDIRECT($E$3)=$E151)),INDIRECT(W$3)))&lt;&gt;0,_xlpm.y=0),-2,_xlpm.x)))),0))</f>
        <v>0</v>
      </c>
      <c r="X151" s="199" cm="1">
        <f t="array" aca="1" ref="X151" ca="1">IF(OR($B151="",$B151="X",$D151="",$D151="X",$E151="",$E151="X"),0,IFERROR(_xlfn.LET(_xlpm.x,SUM(SUM(_xlfn._xlws.FILTER(VALUE(PptoSty[Sign]&amp;1)*(1/PptoSty[Division]),(PptoSty[Division]&lt;&gt;0)*(PptoSty[Division]&lt;&gt;"")*(PptoSty[Division]&lt;&gt;"X")*(PptoSty[Project]=$B151)*(PptoSty[Vrs]=$D151)*(PptoSty[PiRow]=_xlfn.TEXTAFTER($H151,":"))*(PptoSty[PiColumn]=X$54),0)),SUM(IF((INDIRECT($B$3)=$B151)*(INDIRECT($C$3)=$D151)*((INDIRECT($E$3)="TOTS")+(INDIRECT($E$3)=$E151)),INDIRECT(X$3)))),_xlpm.y,SUM(_xlfn.CHOOSECOLS(_xlfn._xlws.FILTER(F_RT14[],(F_RT14[PrjId]=$B151)*(F_RT14[Vrs]=$D151)*(_xlfn.TEXTAFTER(F_RT14[ActGrp],":")=_xlfn.TEXTAFTER($H151,":")),"X"),MATCH("*"&amp;X$54,F_RT14[#Headers],0))),IF(AND(_xlpm.x=0,_xlpm.y&lt;&gt;0),-1,IF(AND(_xlpm.x&lt;&gt;0,_xlpm.y&lt;&gt;0),_xlpm.x,IF(AND(_xlpm.x-SUM(IF((INDIRECT($B$3)=$B151)*(INDIRECT($C$3)=$D151)*((INDIRECT($E$3)="TOTS")+(INDIRECT($E$3)=$E151)),INDIRECT(X$3)))&lt;&gt;0,_xlpm.y=0),-2,_xlpm.x)))),0))</f>
        <v>0</v>
      </c>
      <c r="Y151" s="199" cm="1">
        <f t="array" aca="1" ref="Y151" ca="1">IF(OR($B151="",$B151="X",$D151="",$D151="X",$E151="",$E151="X"),0,IFERROR(_xlfn.LET(_xlpm.x,SUM(SUM(_xlfn._xlws.FILTER(VALUE(PptoSty[Sign]&amp;1)*(1/PptoSty[Division]),(PptoSty[Division]&lt;&gt;0)*(PptoSty[Division]&lt;&gt;"")*(PptoSty[Division]&lt;&gt;"X")*(PptoSty[Project]=$B151)*(PptoSty[Vrs]=$D151)*(PptoSty[PiRow]=_xlfn.TEXTAFTER($H151,":"))*(PptoSty[PiColumn]=Y$54),0)),SUM(IF((INDIRECT($B$3)=$B151)*(INDIRECT($C$3)=$D151)*((INDIRECT($E$3)="TOTS")+(INDIRECT($E$3)=$E151)),INDIRECT(Y$3)))),_xlpm.y,SUM(_xlfn.CHOOSECOLS(_xlfn._xlws.FILTER(F_RT14[],(F_RT14[PrjId]=$B151)*(F_RT14[Vrs]=$D151)*(_xlfn.TEXTAFTER(F_RT14[ActGrp],":")=_xlfn.TEXTAFTER($H151,":")),"X"),MATCH("*"&amp;Y$54,F_RT14[#Headers],0))),IF(AND(_xlpm.x=0,_xlpm.y&lt;&gt;0),-1,IF(AND(_xlpm.x&lt;&gt;0,_xlpm.y&lt;&gt;0),_xlpm.x,IF(AND(_xlpm.x-SUM(IF((INDIRECT($B$3)=$B151)*(INDIRECT($C$3)=$D151)*((INDIRECT($E$3)="TOTS")+(INDIRECT($E$3)=$E151)),INDIRECT(Y$3)))&lt;&gt;0,_xlpm.y=0),-2,_xlpm.x)))),0))</f>
        <v>0</v>
      </c>
      <c r="Z151" s="198" t="str">
        <f t="shared" ca="1" si="3"/>
        <v>Fback!B151:Y151</v>
      </c>
    </row>
    <row r="152" spans="2:26" ht="21" customHeight="1" outlineLevel="1">
      <c r="B152" s="128" t="str">
        <v>31200</v>
      </c>
      <c r="C152" s="128" t="str">
        <v>Sp</v>
      </c>
      <c r="D152" s="128">
        <v>16</v>
      </c>
      <c r="E152" s="128" t="str">
        <v>TOOL</v>
      </c>
      <c r="F152" s="139" t="str">
        <v>SERRA</v>
      </c>
      <c r="G152" s="139" t="str">
        <v>CurPpto</v>
      </c>
      <c r="H152" s="139" t="str">
        <v>P022:OP-415.1+2 WELDING (GEO)</v>
      </c>
      <c r="I152" s="199" cm="1">
        <f t="array" aca="1" ref="I152" ca="1">IF(OR($B152="",$B152="X",$D152="",$D152="X",$E152="",$E152="X"),0,IFERROR(_xlfn.LET(_xlpm.x,SUM(SUM(_xlfn._xlws.FILTER(VALUE(PptoSty[Sign]&amp;1)*(1/PptoSty[Division]),(PptoSty[Division]&lt;&gt;0)*(PptoSty[Division]&lt;&gt;"")*(PptoSty[Division]&lt;&gt;"X")*(PptoSty[Project]=$B152)*(PptoSty[Vrs]=$D152)*(PptoSty[PiRow]=_xlfn.TEXTAFTER($H152,":"))*(PptoSty[PiColumn]=I$54),0)),SUM(IF((INDIRECT($B$3)=$B152)*(INDIRECT($C$3)=$D152)*((INDIRECT($E$3)="TOTS")+(INDIRECT($E$3)=$E152)),INDIRECT(I$3)))),_xlpm.y,SUM(_xlfn.CHOOSECOLS(_xlfn._xlws.FILTER(F_RT14[],(F_RT14[PrjId]=$B152)*(F_RT14[Vrs]=$D152)*(_xlfn.TEXTAFTER(F_RT14[ActGrp],":")=_xlfn.TEXTAFTER($H152,":")),"X"),MATCH("*"&amp;I$54,F_RT14[#Headers],0))),IF(AND(_xlpm.x=0,_xlpm.y&lt;&gt;0),-1,IF(AND(_xlpm.x&lt;&gt;0,_xlpm.y&lt;&gt;0),_xlpm.x,IF(AND(_xlpm.x-SUM(IF((INDIRECT($B$3)=$B152)*(INDIRECT($C$3)=$D152)*((INDIRECT($E$3)="TOTS")+(INDIRECT($E$3)=$E152)),INDIRECT(I$3)))&lt;&gt;0,_xlpm.y=0),-2,_xlpm.x)))),0))</f>
        <v>0</v>
      </c>
      <c r="J152" s="199" cm="1">
        <f t="array" aca="1" ref="J152" ca="1">IF(OR($B152="",$B152="X",$D152="",$D152="X",$E152="",$E152="X"),0,IFERROR(_xlfn.LET(_xlpm.x,SUM(SUM(_xlfn._xlws.FILTER(VALUE(PptoSty[Sign]&amp;1)*(1/PptoSty[Division]),(PptoSty[Division]&lt;&gt;0)*(PptoSty[Division]&lt;&gt;"")*(PptoSty[Division]&lt;&gt;"X")*(PptoSty[Project]=$B152)*(PptoSty[Vrs]=$D152)*(PptoSty[PiRow]=_xlfn.TEXTAFTER($H152,":"))*(PptoSty[PiColumn]=J$54),0)),SUM(IF((INDIRECT($B$3)=$B152)*(INDIRECT($C$3)=$D152)*((INDIRECT($E$3)="TOTS")+(INDIRECT($E$3)=$E152)),INDIRECT(J$3)))),_xlpm.y,SUM(_xlfn.CHOOSECOLS(_xlfn._xlws.FILTER(F_RT14[],(F_RT14[PrjId]=$B152)*(F_RT14[Vrs]=$D152)*(_xlfn.TEXTAFTER(F_RT14[ActGrp],":")=_xlfn.TEXTAFTER($H152,":")),"X"),MATCH("*"&amp;J$54,F_RT14[#Headers],0))),IF(AND(_xlpm.x=0,_xlpm.y&lt;&gt;0),-1,IF(AND(_xlpm.x&lt;&gt;0,_xlpm.y&lt;&gt;0),_xlpm.x,IF(AND(_xlpm.x-SUM(IF((INDIRECT($B$3)=$B152)*(INDIRECT($C$3)=$D152)*((INDIRECT($E$3)="TOTS")+(INDIRECT($E$3)=$E152)),INDIRECT(J$3)))&lt;&gt;0,_xlpm.y=0),-2,_xlpm.x)))),0))</f>
        <v>0</v>
      </c>
      <c r="K152" s="199" cm="1">
        <f t="array" aca="1" ref="K152" ca="1">IF(OR($B152="",$B152="X",$D152="",$D152="X",$E152="",$E152="X"),0,IFERROR(_xlfn.LET(_xlpm.x,SUM(SUM(_xlfn._xlws.FILTER(VALUE(PptoSty[Sign]&amp;1)*(1/PptoSty[Division]),(PptoSty[Division]&lt;&gt;0)*(PptoSty[Division]&lt;&gt;"")*(PptoSty[Division]&lt;&gt;"X")*(PptoSty[Project]=$B152)*(PptoSty[Vrs]=$D152)*(PptoSty[PiRow]=_xlfn.TEXTAFTER($H152,":"))*(PptoSty[PiColumn]=K$54),0)),SUM(IF((INDIRECT($B$3)=$B152)*(INDIRECT($C$3)=$D152)*((INDIRECT($E$3)="TOTS")+(INDIRECT($E$3)=$E152)),INDIRECT(K$3)))),_xlpm.y,SUM(_xlfn.CHOOSECOLS(_xlfn._xlws.FILTER(F_RT14[],(F_RT14[PrjId]=$B152)*(F_RT14[Vrs]=$D152)*(_xlfn.TEXTAFTER(F_RT14[ActGrp],":")=_xlfn.TEXTAFTER($H152,":")),"X"),MATCH("*"&amp;K$54,F_RT14[#Headers],0))),IF(AND(_xlpm.x=0,_xlpm.y&lt;&gt;0),-1,IF(AND(_xlpm.x&lt;&gt;0,_xlpm.y&lt;&gt;0),_xlpm.x,IF(AND(_xlpm.x-SUM(IF((INDIRECT($B$3)=$B152)*(INDIRECT($C$3)=$D152)*((INDIRECT($E$3)="TOTS")+(INDIRECT($E$3)=$E152)),INDIRECT(K$3)))&lt;&gt;0,_xlpm.y=0),-2,_xlpm.x)))),0))</f>
        <v>-1</v>
      </c>
      <c r="L152" s="199" cm="1">
        <f t="array" aca="1" ref="L152" ca="1">IF(OR($B152="",$B152="X",$D152="",$D152="X",$E152="",$E152="X"),0,IFERROR(_xlfn.LET(_xlpm.x,SUM(SUM(_xlfn._xlws.FILTER(VALUE(PptoSty[Sign]&amp;1)*(1/PptoSty[Division]),(PptoSty[Division]&lt;&gt;0)*(PptoSty[Division]&lt;&gt;"")*(PptoSty[Division]&lt;&gt;"X")*(PptoSty[Project]=$B152)*(PptoSty[Vrs]=$D152)*(PptoSty[PiRow]=_xlfn.TEXTAFTER($H152,":"))*(PptoSty[PiColumn]=L$54),0)),SUM(IF((INDIRECT($B$3)=$B152)*(INDIRECT($C$3)=$D152)*((INDIRECT($E$3)="TOTS")+(INDIRECT($E$3)=$E152)),INDIRECT(L$3)))),_xlpm.y,SUM(_xlfn.CHOOSECOLS(_xlfn._xlws.FILTER(F_RT14[],(F_RT14[PrjId]=$B152)*(F_RT14[Vrs]=$D152)*(_xlfn.TEXTAFTER(F_RT14[ActGrp],":")=_xlfn.TEXTAFTER($H152,":")),"X"),MATCH("*"&amp;L$54,F_RT14[#Headers],0))),IF(AND(_xlpm.x=0,_xlpm.y&lt;&gt;0),-1,IF(AND(_xlpm.x&lt;&gt;0,_xlpm.y&lt;&gt;0),_xlpm.x,IF(AND(_xlpm.x-SUM(IF((INDIRECT($B$3)=$B152)*(INDIRECT($C$3)=$D152)*((INDIRECT($E$3)="TOTS")+(INDIRECT($E$3)=$E152)),INDIRECT(L$3)))&lt;&gt;0,_xlpm.y=0),-2,_xlpm.x)))),0))</f>
        <v>0</v>
      </c>
      <c r="M152" s="199" cm="1">
        <f t="array" aca="1" ref="M152" ca="1">IF(OR($B152="",$B152="X",$D152="",$D152="X",$E152="",$E152="X"),0,IFERROR(_xlfn.LET(_xlpm.x,SUM(SUM(_xlfn._xlws.FILTER(VALUE(PptoSty[Sign]&amp;1)*(1/PptoSty[Division]),(PptoSty[Division]&lt;&gt;0)*(PptoSty[Division]&lt;&gt;"")*(PptoSty[Division]&lt;&gt;"X")*(PptoSty[Project]=$B152)*(PptoSty[Vrs]=$D152)*(PptoSty[PiRow]=_xlfn.TEXTAFTER($H152,":"))*(PptoSty[PiColumn]=M$54),0)),SUM(IF((INDIRECT($B$3)=$B152)*(INDIRECT($C$3)=$D152)*((INDIRECT($E$3)="TOTS")+(INDIRECT($E$3)=$E152)),INDIRECT(M$3)))),_xlpm.y,SUM(_xlfn.CHOOSECOLS(_xlfn._xlws.FILTER(F_RT14[],(F_RT14[PrjId]=$B152)*(F_RT14[Vrs]=$D152)*(_xlfn.TEXTAFTER(F_RT14[ActGrp],":")=_xlfn.TEXTAFTER($H152,":")),"X"),MATCH("*"&amp;M$54,F_RT14[#Headers],0))),IF(AND(_xlpm.x=0,_xlpm.y&lt;&gt;0),-1,IF(AND(_xlpm.x&lt;&gt;0,_xlpm.y&lt;&gt;0),_xlpm.x,IF(AND(_xlpm.x-SUM(IF((INDIRECT($B$3)=$B152)*(INDIRECT($C$3)=$D152)*((INDIRECT($E$3)="TOTS")+(INDIRECT($E$3)=$E152)),INDIRECT(M$3)))&lt;&gt;0,_xlpm.y=0),-2,_xlpm.x)))),0))</f>
        <v>0</v>
      </c>
      <c r="N152" s="199" cm="1">
        <f t="array" aca="1" ref="N152" ca="1">IF(OR($B152="",$B152="X",$D152="",$D152="X",$E152="",$E152="X"),0,IFERROR(_xlfn.LET(_xlpm.x,SUM(SUM(_xlfn._xlws.FILTER(VALUE(PptoSty[Sign]&amp;1)*(1/PptoSty[Division]),(PptoSty[Division]&lt;&gt;0)*(PptoSty[Division]&lt;&gt;"")*(PptoSty[Division]&lt;&gt;"X")*(PptoSty[Project]=$B152)*(PptoSty[Vrs]=$D152)*(PptoSty[PiRow]=_xlfn.TEXTAFTER($H152,":"))*(PptoSty[PiColumn]=N$54),0)),SUM(IF((INDIRECT($B$3)=$B152)*(INDIRECT($C$3)=$D152)*((INDIRECT($E$3)="TOTS")+(INDIRECT($E$3)=$E152)),INDIRECT(N$3)))),_xlpm.y,SUM(_xlfn.CHOOSECOLS(_xlfn._xlws.FILTER(F_RT14[],(F_RT14[PrjId]=$B152)*(F_RT14[Vrs]=$D152)*(_xlfn.TEXTAFTER(F_RT14[ActGrp],":")=_xlfn.TEXTAFTER($H152,":")),"X"),MATCH("*"&amp;N$54,F_RT14[#Headers],0))),IF(AND(_xlpm.x=0,_xlpm.y&lt;&gt;0),-1,IF(AND(_xlpm.x&lt;&gt;0,_xlpm.y&lt;&gt;0),_xlpm.x,IF(AND(_xlpm.x-SUM(IF((INDIRECT($B$3)=$B152)*(INDIRECT($C$3)=$D152)*((INDIRECT($E$3)="TOTS")+(INDIRECT($E$3)=$E152)),INDIRECT(N$3)))&lt;&gt;0,_xlpm.y=0),-2,_xlpm.x)))),0))</f>
        <v>0</v>
      </c>
      <c r="O152" s="199" cm="1">
        <f t="array" aca="1" ref="O152" ca="1">IF(OR($B152="",$B152="X",$D152="",$D152="X",$E152="",$E152="X"),0,IFERROR(_xlfn.LET(_xlpm.x,SUM(SUM(_xlfn._xlws.FILTER(VALUE(PptoSty[Sign]&amp;1)*(1/PptoSty[Division]),(PptoSty[Division]&lt;&gt;0)*(PptoSty[Division]&lt;&gt;"")*(PptoSty[Division]&lt;&gt;"X")*(PptoSty[Project]=$B152)*(PptoSty[Vrs]=$D152)*(PptoSty[PiRow]=_xlfn.TEXTAFTER($H152,":"))*(PptoSty[PiColumn]=O$54),0)),SUM(IF((INDIRECT($B$3)=$B152)*(INDIRECT($C$3)=$D152)*((INDIRECT($E$3)="TOTS")+(INDIRECT($E$3)=$E152)),INDIRECT(O$3)))),_xlpm.y,SUM(_xlfn.CHOOSECOLS(_xlfn._xlws.FILTER(F_RT14[],(F_RT14[PrjId]=$B152)*(F_RT14[Vrs]=$D152)*(_xlfn.TEXTAFTER(F_RT14[ActGrp],":")=_xlfn.TEXTAFTER($H152,":")),"X"),MATCH("*"&amp;O$54,F_RT14[#Headers],0))),IF(AND(_xlpm.x=0,_xlpm.y&lt;&gt;0),-1,IF(AND(_xlpm.x&lt;&gt;0,_xlpm.y&lt;&gt;0),_xlpm.x,IF(AND(_xlpm.x-SUM(IF((INDIRECT($B$3)=$B152)*(INDIRECT($C$3)=$D152)*((INDIRECT($E$3)="TOTS")+(INDIRECT($E$3)=$E152)),INDIRECT(O$3)))&lt;&gt;0,_xlpm.y=0),-2,_xlpm.x)))),0))</f>
        <v>0</v>
      </c>
      <c r="P152" s="199" cm="1">
        <f t="array" aca="1" ref="P152" ca="1">IF(OR($B152="",$B152="X",$D152="",$D152="X",$E152="",$E152="X"),0,IFERROR(_xlfn.LET(_xlpm.x,SUM(SUM(_xlfn._xlws.FILTER(VALUE(PptoSty[Sign]&amp;1)*(1/PptoSty[Division]),(PptoSty[Division]&lt;&gt;0)*(PptoSty[Division]&lt;&gt;"")*(PptoSty[Division]&lt;&gt;"X")*(PptoSty[Project]=$B152)*(PptoSty[Vrs]=$D152)*(PptoSty[PiRow]=_xlfn.TEXTAFTER($H152,":"))*(PptoSty[PiColumn]=P$54),0)),SUM(IF((INDIRECT($B$3)=$B152)*(INDIRECT($C$3)=$D152)*((INDIRECT($E$3)="TOTS")+(INDIRECT($E$3)=$E152)),INDIRECT(P$3)))),_xlpm.y,SUM(_xlfn.CHOOSECOLS(_xlfn._xlws.FILTER(F_RT14[],(F_RT14[PrjId]=$B152)*(F_RT14[Vrs]=$D152)*(_xlfn.TEXTAFTER(F_RT14[ActGrp],":")=_xlfn.TEXTAFTER($H152,":")),"X"),MATCH("*"&amp;P$54,F_RT14[#Headers],0))),IF(AND(_xlpm.x=0,_xlpm.y&lt;&gt;0),-1,IF(AND(_xlpm.x&lt;&gt;0,_xlpm.y&lt;&gt;0),_xlpm.x,IF(AND(_xlpm.x-SUM(IF((INDIRECT($B$3)=$B152)*(INDIRECT($C$3)=$D152)*((INDIRECT($E$3)="TOTS")+(INDIRECT($E$3)=$E152)),INDIRECT(P$3)))&lt;&gt;0,_xlpm.y=0),-2,_xlpm.x)))),0))</f>
        <v>0</v>
      </c>
      <c r="Q152" s="199" cm="1">
        <f t="array" aca="1" ref="Q152" ca="1">IF(OR($B152="",$B152="X",$D152="",$D152="X",$E152="",$E152="X"),0,IFERROR(_xlfn.LET(_xlpm.x,SUM(SUM(_xlfn._xlws.FILTER(VALUE(PptoSty[Sign]&amp;1)*(1/PptoSty[Division]),(PptoSty[Division]&lt;&gt;0)*(PptoSty[Division]&lt;&gt;"")*(PptoSty[Division]&lt;&gt;"X")*(PptoSty[Project]=$B152)*(PptoSty[Vrs]=$D152)*(PptoSty[PiRow]=_xlfn.TEXTAFTER($H152,":"))*(PptoSty[PiColumn]=Q$54),0)),SUM(IF((INDIRECT($B$3)=$B152)*(INDIRECT($C$3)=$D152)*((INDIRECT($E$3)="TOTS")+(INDIRECT($E$3)=$E152)),INDIRECT(Q$3)))),_xlpm.y,SUM(_xlfn.CHOOSECOLS(_xlfn._xlws.FILTER(F_RT14[],(F_RT14[PrjId]=$B152)*(F_RT14[Vrs]=$D152)*(_xlfn.TEXTAFTER(F_RT14[ActGrp],":")=_xlfn.TEXTAFTER($H152,":")),"X"),MATCH("*"&amp;Q$54,F_RT14[#Headers],0))),IF(AND(_xlpm.x=0,_xlpm.y&lt;&gt;0),-1,IF(AND(_xlpm.x&lt;&gt;0,_xlpm.y&lt;&gt;0),_xlpm.x,IF(AND(_xlpm.x-SUM(IF((INDIRECT($B$3)=$B152)*(INDIRECT($C$3)=$D152)*((INDIRECT($E$3)="TOTS")+(INDIRECT($E$3)=$E152)),INDIRECT(Q$3)))&lt;&gt;0,_xlpm.y=0),-2,_xlpm.x)))),0))</f>
        <v>0</v>
      </c>
      <c r="R152" s="199" cm="1">
        <f t="array" aca="1" ref="R152" ca="1">IF(OR($B152="",$B152="X",$D152="",$D152="X",$E152="",$E152="X"),0,IFERROR(_xlfn.LET(_xlpm.x,SUM(SUM(_xlfn._xlws.FILTER(VALUE(PptoSty[Sign]&amp;1)*(1/PptoSty[Division]),(PptoSty[Division]&lt;&gt;0)*(PptoSty[Division]&lt;&gt;"")*(PptoSty[Division]&lt;&gt;"X")*(PptoSty[Project]=$B152)*(PptoSty[Vrs]=$D152)*(PptoSty[PiRow]=_xlfn.TEXTAFTER($H152,":"))*(PptoSty[PiColumn]=R$54),0)),SUM(IF((INDIRECT($B$3)=$B152)*(INDIRECT($C$3)=$D152)*((INDIRECT($E$3)="TOTS")+(INDIRECT($E$3)=$E152)),INDIRECT(R$3)))),_xlpm.y,SUM(_xlfn.CHOOSECOLS(_xlfn._xlws.FILTER(F_RT14[],(F_RT14[PrjId]=$B152)*(F_RT14[Vrs]=$D152)*(_xlfn.TEXTAFTER(F_RT14[ActGrp],":")=_xlfn.TEXTAFTER($H152,":")),"X"),MATCH("*"&amp;R$54,F_RT14[#Headers],0))),IF(AND(_xlpm.x=0,_xlpm.y&lt;&gt;0),-1,IF(AND(_xlpm.x&lt;&gt;0,_xlpm.y&lt;&gt;0),_xlpm.x,IF(AND(_xlpm.x-SUM(IF((INDIRECT($B$3)=$B152)*(INDIRECT($C$3)=$D152)*((INDIRECT($E$3)="TOTS")+(INDIRECT($E$3)=$E152)),INDIRECT(R$3)))&lt;&gt;0,_xlpm.y=0),-2,_xlpm.x)))),0))</f>
        <v>0</v>
      </c>
      <c r="S152" s="199" cm="1">
        <f t="array" aca="1" ref="S152" ca="1">IF(OR($B152="",$B152="X",$D152="",$D152="X",$E152="",$E152="X"),0,IFERROR(_xlfn.LET(_xlpm.x,SUM(SUM(_xlfn._xlws.FILTER(VALUE(PptoSty[Sign]&amp;1)*(1/PptoSty[Division]),(PptoSty[Division]&lt;&gt;0)*(PptoSty[Division]&lt;&gt;"")*(PptoSty[Division]&lt;&gt;"X")*(PptoSty[Project]=$B152)*(PptoSty[Vrs]=$D152)*(PptoSty[PiRow]=_xlfn.TEXTAFTER($H152,":"))*(PptoSty[PiColumn]=S$54),0)),SUM(IF((INDIRECT($B$3)=$B152)*(INDIRECT($C$3)=$D152)*((INDIRECT($E$3)="TOTS")+(INDIRECT($E$3)=$E152)),INDIRECT(S$3)))),_xlpm.y,SUM(_xlfn.CHOOSECOLS(_xlfn._xlws.FILTER(F_RT14[],(F_RT14[PrjId]=$B152)*(F_RT14[Vrs]=$D152)*(_xlfn.TEXTAFTER(F_RT14[ActGrp],":")=_xlfn.TEXTAFTER($H152,":")),"X"),MATCH("*"&amp;S$54,F_RT14[#Headers],0))),IF(AND(_xlpm.x=0,_xlpm.y&lt;&gt;0),-1,IF(AND(_xlpm.x&lt;&gt;0,_xlpm.y&lt;&gt;0),_xlpm.x,IF(AND(_xlpm.x-SUM(IF((INDIRECT($B$3)=$B152)*(INDIRECT($C$3)=$D152)*((INDIRECT($E$3)="TOTS")+(INDIRECT($E$3)=$E152)),INDIRECT(S$3)))&lt;&gt;0,_xlpm.y=0),-2,_xlpm.x)))),0))</f>
        <v>0</v>
      </c>
      <c r="T152" s="199" cm="1">
        <f t="array" aca="1" ref="T152" ca="1">IF(OR($B152="",$B152="X",$D152="",$D152="X",$E152="",$E152="X"),0,IFERROR(_xlfn.LET(_xlpm.x,SUM(SUM(_xlfn._xlws.FILTER(VALUE(PptoSty[Sign]&amp;1)*(1/PptoSty[Division]),(PptoSty[Division]&lt;&gt;0)*(PptoSty[Division]&lt;&gt;"")*(PptoSty[Division]&lt;&gt;"X")*(PptoSty[Project]=$B152)*(PptoSty[Vrs]=$D152)*(PptoSty[PiRow]=_xlfn.TEXTAFTER($H152,":"))*(PptoSty[PiColumn]=T$54),0)),SUM(IF((INDIRECT($B$3)=$B152)*(INDIRECT($C$3)=$D152)*((INDIRECT($E$3)="TOTS")+(INDIRECT($E$3)=$E152)),INDIRECT(T$3)))),_xlpm.y,SUM(_xlfn.CHOOSECOLS(_xlfn._xlws.FILTER(F_RT14[],(F_RT14[PrjId]=$B152)*(F_RT14[Vrs]=$D152)*(_xlfn.TEXTAFTER(F_RT14[ActGrp],":")=_xlfn.TEXTAFTER($H152,":")),"X"),MATCH("*"&amp;T$54,F_RT14[#Headers],0))),IF(AND(_xlpm.x=0,_xlpm.y&lt;&gt;0),-1,IF(AND(_xlpm.x&lt;&gt;0,_xlpm.y&lt;&gt;0),_xlpm.x,IF(AND(_xlpm.x-SUM(IF((INDIRECT($B$3)=$B152)*(INDIRECT($C$3)=$D152)*((INDIRECT($E$3)="TOTS")+(INDIRECT($E$3)=$E152)),INDIRECT(T$3)))&lt;&gt;0,_xlpm.y=0),-2,_xlpm.x)))),0))</f>
        <v>0</v>
      </c>
      <c r="U152" s="199" cm="1">
        <f t="array" aca="1" ref="U152" ca="1">IF(OR($B152="",$B152="X",$D152="",$D152="X",$E152="",$E152="X"),0,IFERROR(_xlfn.LET(_xlpm.x,SUM(SUM(_xlfn._xlws.FILTER(VALUE(PptoSty[Sign]&amp;1)*(1/PptoSty[Division]),(PptoSty[Division]&lt;&gt;0)*(PptoSty[Division]&lt;&gt;"")*(PptoSty[Division]&lt;&gt;"X")*(PptoSty[Project]=$B152)*(PptoSty[Vrs]=$D152)*(PptoSty[PiRow]=_xlfn.TEXTAFTER($H152,":"))*(PptoSty[PiColumn]=U$54),0)),SUM(IF((INDIRECT($B$3)=$B152)*(INDIRECT($C$3)=$D152)*((INDIRECT($E$3)="TOTS")+(INDIRECT($E$3)=$E152)),INDIRECT(U$3)))),_xlpm.y,SUM(_xlfn.CHOOSECOLS(_xlfn._xlws.FILTER(F_RT14[],(F_RT14[PrjId]=$B152)*(F_RT14[Vrs]=$D152)*(_xlfn.TEXTAFTER(F_RT14[ActGrp],":")=_xlfn.TEXTAFTER($H152,":")),"X"),MATCH("*"&amp;U$54,F_RT14[#Headers],0))),IF(AND(_xlpm.x=0,_xlpm.y&lt;&gt;0),-1,IF(AND(_xlpm.x&lt;&gt;0,_xlpm.y&lt;&gt;0),_xlpm.x,IF(AND(_xlpm.x-SUM(IF((INDIRECT($B$3)=$B152)*(INDIRECT($C$3)=$D152)*((INDIRECT($E$3)="TOTS")+(INDIRECT($E$3)=$E152)),INDIRECT(U$3)))&lt;&gt;0,_xlpm.y=0),-2,_xlpm.x)))),0))</f>
        <v>0</v>
      </c>
      <c r="V152" s="199" cm="1">
        <f t="array" aca="1" ref="V152" ca="1">IF(OR($B152="",$B152="X",$D152="",$D152="X",$E152="",$E152="X"),0,IFERROR(_xlfn.LET(_xlpm.x,SUM(SUM(_xlfn._xlws.FILTER(VALUE(PptoSty[Sign]&amp;1)*(1/PptoSty[Division]),(PptoSty[Division]&lt;&gt;0)*(PptoSty[Division]&lt;&gt;"")*(PptoSty[Division]&lt;&gt;"X")*(PptoSty[Project]=$B152)*(PptoSty[Vrs]=$D152)*(PptoSty[PiRow]=_xlfn.TEXTAFTER($H152,":"))*(PptoSty[PiColumn]=V$54),0)),SUM(IF((INDIRECT($B$3)=$B152)*(INDIRECT($C$3)=$D152)*((INDIRECT($E$3)="TOTS")+(INDIRECT($E$3)=$E152)),INDIRECT(V$3)))),_xlpm.y,SUM(_xlfn.CHOOSECOLS(_xlfn._xlws.FILTER(F_RT14[],(F_RT14[PrjId]=$B152)*(F_RT14[Vrs]=$D152)*(_xlfn.TEXTAFTER(F_RT14[ActGrp],":")=_xlfn.TEXTAFTER($H152,":")),"X"),MATCH("*"&amp;V$54,F_RT14[#Headers],0))),IF(AND(_xlpm.x=0,_xlpm.y&lt;&gt;0),-1,IF(AND(_xlpm.x&lt;&gt;0,_xlpm.y&lt;&gt;0),_xlpm.x,IF(AND(_xlpm.x-SUM(IF((INDIRECT($B$3)=$B152)*(INDIRECT($C$3)=$D152)*((INDIRECT($E$3)="TOTS")+(INDIRECT($E$3)=$E152)),INDIRECT(V$3)))&lt;&gt;0,_xlpm.y=0),-2,_xlpm.x)))),0))</f>
        <v>0</v>
      </c>
      <c r="W152" s="199" cm="1">
        <f t="array" aca="1" ref="W152" ca="1">IF(OR($B152="",$B152="X",$D152="",$D152="X",$E152="",$E152="X"),0,IFERROR(_xlfn.LET(_xlpm.x,SUM(SUM(_xlfn._xlws.FILTER(VALUE(PptoSty[Sign]&amp;1)*(1/PptoSty[Division]),(PptoSty[Division]&lt;&gt;0)*(PptoSty[Division]&lt;&gt;"")*(PptoSty[Division]&lt;&gt;"X")*(PptoSty[Project]=$B152)*(PptoSty[Vrs]=$D152)*(PptoSty[PiRow]=_xlfn.TEXTAFTER($H152,":"))*(PptoSty[PiColumn]=W$54),0)),SUM(IF((INDIRECT($B$3)=$B152)*(INDIRECT($C$3)=$D152)*((INDIRECT($E$3)="TOTS")+(INDIRECT($E$3)=$E152)),INDIRECT(W$3)))),_xlpm.y,SUM(_xlfn.CHOOSECOLS(_xlfn._xlws.FILTER(F_RT14[],(F_RT14[PrjId]=$B152)*(F_RT14[Vrs]=$D152)*(_xlfn.TEXTAFTER(F_RT14[ActGrp],":")=_xlfn.TEXTAFTER($H152,":")),"X"),MATCH("*"&amp;W$54,F_RT14[#Headers],0))),IF(AND(_xlpm.x=0,_xlpm.y&lt;&gt;0),-1,IF(AND(_xlpm.x&lt;&gt;0,_xlpm.y&lt;&gt;0),_xlpm.x,IF(AND(_xlpm.x-SUM(IF((INDIRECT($B$3)=$B152)*(INDIRECT($C$3)=$D152)*((INDIRECT($E$3)="TOTS")+(INDIRECT($E$3)=$E152)),INDIRECT(W$3)))&lt;&gt;0,_xlpm.y=0),-2,_xlpm.x)))),0))</f>
        <v>0</v>
      </c>
      <c r="X152" s="199" cm="1">
        <f t="array" aca="1" ref="X152" ca="1">IF(OR($B152="",$B152="X",$D152="",$D152="X",$E152="",$E152="X"),0,IFERROR(_xlfn.LET(_xlpm.x,SUM(SUM(_xlfn._xlws.FILTER(VALUE(PptoSty[Sign]&amp;1)*(1/PptoSty[Division]),(PptoSty[Division]&lt;&gt;0)*(PptoSty[Division]&lt;&gt;"")*(PptoSty[Division]&lt;&gt;"X")*(PptoSty[Project]=$B152)*(PptoSty[Vrs]=$D152)*(PptoSty[PiRow]=_xlfn.TEXTAFTER($H152,":"))*(PptoSty[PiColumn]=X$54),0)),SUM(IF((INDIRECT($B$3)=$B152)*(INDIRECT($C$3)=$D152)*((INDIRECT($E$3)="TOTS")+(INDIRECT($E$3)=$E152)),INDIRECT(X$3)))),_xlpm.y,SUM(_xlfn.CHOOSECOLS(_xlfn._xlws.FILTER(F_RT14[],(F_RT14[PrjId]=$B152)*(F_RT14[Vrs]=$D152)*(_xlfn.TEXTAFTER(F_RT14[ActGrp],":")=_xlfn.TEXTAFTER($H152,":")),"X"),MATCH("*"&amp;X$54,F_RT14[#Headers],0))),IF(AND(_xlpm.x=0,_xlpm.y&lt;&gt;0),-1,IF(AND(_xlpm.x&lt;&gt;0,_xlpm.y&lt;&gt;0),_xlpm.x,IF(AND(_xlpm.x-SUM(IF((INDIRECT($B$3)=$B152)*(INDIRECT($C$3)=$D152)*((INDIRECT($E$3)="TOTS")+(INDIRECT($E$3)=$E152)),INDIRECT(X$3)))&lt;&gt;0,_xlpm.y=0),-2,_xlpm.x)))),0))</f>
        <v>0</v>
      </c>
      <c r="Y152" s="199" cm="1">
        <f t="array" aca="1" ref="Y152" ca="1">IF(OR($B152="",$B152="X",$D152="",$D152="X",$E152="",$E152="X"),0,IFERROR(_xlfn.LET(_xlpm.x,SUM(SUM(_xlfn._xlws.FILTER(VALUE(PptoSty[Sign]&amp;1)*(1/PptoSty[Division]),(PptoSty[Division]&lt;&gt;0)*(PptoSty[Division]&lt;&gt;"")*(PptoSty[Division]&lt;&gt;"X")*(PptoSty[Project]=$B152)*(PptoSty[Vrs]=$D152)*(PptoSty[PiRow]=_xlfn.TEXTAFTER($H152,":"))*(PptoSty[PiColumn]=Y$54),0)),SUM(IF((INDIRECT($B$3)=$B152)*(INDIRECT($C$3)=$D152)*((INDIRECT($E$3)="TOTS")+(INDIRECT($E$3)=$E152)),INDIRECT(Y$3)))),_xlpm.y,SUM(_xlfn.CHOOSECOLS(_xlfn._xlws.FILTER(F_RT14[],(F_RT14[PrjId]=$B152)*(F_RT14[Vrs]=$D152)*(_xlfn.TEXTAFTER(F_RT14[ActGrp],":")=_xlfn.TEXTAFTER($H152,":")),"X"),MATCH("*"&amp;Y$54,F_RT14[#Headers],0))),IF(AND(_xlpm.x=0,_xlpm.y&lt;&gt;0),-1,IF(AND(_xlpm.x&lt;&gt;0,_xlpm.y&lt;&gt;0),_xlpm.x,IF(AND(_xlpm.x-SUM(IF((INDIRECT($B$3)=$B152)*(INDIRECT($C$3)=$D152)*((INDIRECT($E$3)="TOTS")+(INDIRECT($E$3)=$E152)),INDIRECT(Y$3)))&lt;&gt;0,_xlpm.y=0),-2,_xlpm.x)))),0))</f>
        <v>0</v>
      </c>
      <c r="Z152" s="198" t="str">
        <f t="shared" ca="1" si="3"/>
        <v>Fback!B152:Y152</v>
      </c>
    </row>
    <row r="153" spans="2:26" ht="21" customHeight="1" outlineLevel="1">
      <c r="B153" s="128" t="str">
        <v>31200</v>
      </c>
      <c r="C153" s="128" t="str">
        <v>Sp</v>
      </c>
      <c r="D153" s="128">
        <v>16</v>
      </c>
      <c r="E153" s="128" t="str">
        <v>TOOL</v>
      </c>
      <c r="F153" s="139" t="str">
        <v>SERRA</v>
      </c>
      <c r="G153" s="139" t="str">
        <v>CurPpto</v>
      </c>
      <c r="H153" s="139" t="str">
        <v>P027:OP-395 PALLET MOD AERIALS</v>
      </c>
      <c r="I153" s="199" cm="1">
        <f t="array" aca="1" ref="I153" ca="1">IF(OR($B153="",$B153="X",$D153="",$D153="X",$E153="",$E153="X"),0,IFERROR(_xlfn.LET(_xlpm.x,SUM(SUM(_xlfn._xlws.FILTER(VALUE(PptoSty[Sign]&amp;1)*(1/PptoSty[Division]),(PptoSty[Division]&lt;&gt;0)*(PptoSty[Division]&lt;&gt;"")*(PptoSty[Division]&lt;&gt;"X")*(PptoSty[Project]=$B153)*(PptoSty[Vrs]=$D153)*(PptoSty[PiRow]=_xlfn.TEXTAFTER($H153,":"))*(PptoSty[PiColumn]=I$54),0)),SUM(IF((INDIRECT($B$3)=$B153)*(INDIRECT($C$3)=$D153)*((INDIRECT($E$3)="TOTS")+(INDIRECT($E$3)=$E153)),INDIRECT(I$3)))),_xlpm.y,SUM(_xlfn.CHOOSECOLS(_xlfn._xlws.FILTER(F_RT14[],(F_RT14[PrjId]=$B153)*(F_RT14[Vrs]=$D153)*(_xlfn.TEXTAFTER(F_RT14[ActGrp],":")=_xlfn.TEXTAFTER($H153,":")),"X"),MATCH("*"&amp;I$54,F_RT14[#Headers],0))),IF(AND(_xlpm.x=0,_xlpm.y&lt;&gt;0),-1,IF(AND(_xlpm.x&lt;&gt;0,_xlpm.y&lt;&gt;0),_xlpm.x,IF(AND(_xlpm.x-SUM(IF((INDIRECT($B$3)=$B153)*(INDIRECT($C$3)=$D153)*((INDIRECT($E$3)="TOTS")+(INDIRECT($E$3)=$E153)),INDIRECT(I$3)))&lt;&gt;0,_xlpm.y=0),-2,_xlpm.x)))),0))</f>
        <v>0</v>
      </c>
      <c r="J153" s="199" cm="1">
        <f t="array" aca="1" ref="J153" ca="1">IF(OR($B153="",$B153="X",$D153="",$D153="X",$E153="",$E153="X"),0,IFERROR(_xlfn.LET(_xlpm.x,SUM(SUM(_xlfn._xlws.FILTER(VALUE(PptoSty[Sign]&amp;1)*(1/PptoSty[Division]),(PptoSty[Division]&lt;&gt;0)*(PptoSty[Division]&lt;&gt;"")*(PptoSty[Division]&lt;&gt;"X")*(PptoSty[Project]=$B153)*(PptoSty[Vrs]=$D153)*(PptoSty[PiRow]=_xlfn.TEXTAFTER($H153,":"))*(PptoSty[PiColumn]=J$54),0)),SUM(IF((INDIRECT($B$3)=$B153)*(INDIRECT($C$3)=$D153)*((INDIRECT($E$3)="TOTS")+(INDIRECT($E$3)=$E153)),INDIRECT(J$3)))),_xlpm.y,SUM(_xlfn.CHOOSECOLS(_xlfn._xlws.FILTER(F_RT14[],(F_RT14[PrjId]=$B153)*(F_RT14[Vrs]=$D153)*(_xlfn.TEXTAFTER(F_RT14[ActGrp],":")=_xlfn.TEXTAFTER($H153,":")),"X"),MATCH("*"&amp;J$54,F_RT14[#Headers],0))),IF(AND(_xlpm.x=0,_xlpm.y&lt;&gt;0),-1,IF(AND(_xlpm.x&lt;&gt;0,_xlpm.y&lt;&gt;0),_xlpm.x,IF(AND(_xlpm.x-SUM(IF((INDIRECT($B$3)=$B153)*(INDIRECT($C$3)=$D153)*((INDIRECT($E$3)="TOTS")+(INDIRECT($E$3)=$E153)),INDIRECT(J$3)))&lt;&gt;0,_xlpm.y=0),-2,_xlpm.x)))),0))</f>
        <v>0</v>
      </c>
      <c r="K153" s="199" cm="1">
        <f t="array" aca="1" ref="K153" ca="1">IF(OR($B153="",$B153="X",$D153="",$D153="X",$E153="",$E153="X"),0,IFERROR(_xlfn.LET(_xlpm.x,SUM(SUM(_xlfn._xlws.FILTER(VALUE(PptoSty[Sign]&amp;1)*(1/PptoSty[Division]),(PptoSty[Division]&lt;&gt;0)*(PptoSty[Division]&lt;&gt;"")*(PptoSty[Division]&lt;&gt;"X")*(PptoSty[Project]=$B153)*(PptoSty[Vrs]=$D153)*(PptoSty[PiRow]=_xlfn.TEXTAFTER($H153,":"))*(PptoSty[PiColumn]=K$54),0)),SUM(IF((INDIRECT($B$3)=$B153)*(INDIRECT($C$3)=$D153)*((INDIRECT($E$3)="TOTS")+(INDIRECT($E$3)=$E153)),INDIRECT(K$3)))),_xlpm.y,SUM(_xlfn.CHOOSECOLS(_xlfn._xlws.FILTER(F_RT14[],(F_RT14[PrjId]=$B153)*(F_RT14[Vrs]=$D153)*(_xlfn.TEXTAFTER(F_RT14[ActGrp],":")=_xlfn.TEXTAFTER($H153,":")),"X"),MATCH("*"&amp;K$54,F_RT14[#Headers],0))),IF(AND(_xlpm.x=0,_xlpm.y&lt;&gt;0),-1,IF(AND(_xlpm.x&lt;&gt;0,_xlpm.y&lt;&gt;0),_xlpm.x,IF(AND(_xlpm.x-SUM(IF((INDIRECT($B$3)=$B153)*(INDIRECT($C$3)=$D153)*((INDIRECT($E$3)="TOTS")+(INDIRECT($E$3)=$E153)),INDIRECT(K$3)))&lt;&gt;0,_xlpm.y=0),-2,_xlpm.x)))),0))</f>
        <v>-1</v>
      </c>
      <c r="L153" s="199" cm="1">
        <f t="array" aca="1" ref="L153" ca="1">IF(OR($B153="",$B153="X",$D153="",$D153="X",$E153="",$E153="X"),0,IFERROR(_xlfn.LET(_xlpm.x,SUM(SUM(_xlfn._xlws.FILTER(VALUE(PptoSty[Sign]&amp;1)*(1/PptoSty[Division]),(PptoSty[Division]&lt;&gt;0)*(PptoSty[Division]&lt;&gt;"")*(PptoSty[Division]&lt;&gt;"X")*(PptoSty[Project]=$B153)*(PptoSty[Vrs]=$D153)*(PptoSty[PiRow]=_xlfn.TEXTAFTER($H153,":"))*(PptoSty[PiColumn]=L$54),0)),SUM(IF((INDIRECT($B$3)=$B153)*(INDIRECT($C$3)=$D153)*((INDIRECT($E$3)="TOTS")+(INDIRECT($E$3)=$E153)),INDIRECT(L$3)))),_xlpm.y,SUM(_xlfn.CHOOSECOLS(_xlfn._xlws.FILTER(F_RT14[],(F_RT14[PrjId]=$B153)*(F_RT14[Vrs]=$D153)*(_xlfn.TEXTAFTER(F_RT14[ActGrp],":")=_xlfn.TEXTAFTER($H153,":")),"X"),MATCH("*"&amp;L$54,F_RT14[#Headers],0))),IF(AND(_xlpm.x=0,_xlpm.y&lt;&gt;0),-1,IF(AND(_xlpm.x&lt;&gt;0,_xlpm.y&lt;&gt;0),_xlpm.x,IF(AND(_xlpm.x-SUM(IF((INDIRECT($B$3)=$B153)*(INDIRECT($C$3)=$D153)*((INDIRECT($E$3)="TOTS")+(INDIRECT($E$3)=$E153)),INDIRECT(L$3)))&lt;&gt;0,_xlpm.y=0),-2,_xlpm.x)))),0))</f>
        <v>0</v>
      </c>
      <c r="M153" s="199" cm="1">
        <f t="array" aca="1" ref="M153" ca="1">IF(OR($B153="",$B153="X",$D153="",$D153="X",$E153="",$E153="X"),0,IFERROR(_xlfn.LET(_xlpm.x,SUM(SUM(_xlfn._xlws.FILTER(VALUE(PptoSty[Sign]&amp;1)*(1/PptoSty[Division]),(PptoSty[Division]&lt;&gt;0)*(PptoSty[Division]&lt;&gt;"")*(PptoSty[Division]&lt;&gt;"X")*(PptoSty[Project]=$B153)*(PptoSty[Vrs]=$D153)*(PptoSty[PiRow]=_xlfn.TEXTAFTER($H153,":"))*(PptoSty[PiColumn]=M$54),0)),SUM(IF((INDIRECT($B$3)=$B153)*(INDIRECT($C$3)=$D153)*((INDIRECT($E$3)="TOTS")+(INDIRECT($E$3)=$E153)),INDIRECT(M$3)))),_xlpm.y,SUM(_xlfn.CHOOSECOLS(_xlfn._xlws.FILTER(F_RT14[],(F_RT14[PrjId]=$B153)*(F_RT14[Vrs]=$D153)*(_xlfn.TEXTAFTER(F_RT14[ActGrp],":")=_xlfn.TEXTAFTER($H153,":")),"X"),MATCH("*"&amp;M$54,F_RT14[#Headers],0))),IF(AND(_xlpm.x=0,_xlpm.y&lt;&gt;0),-1,IF(AND(_xlpm.x&lt;&gt;0,_xlpm.y&lt;&gt;0),_xlpm.x,IF(AND(_xlpm.x-SUM(IF((INDIRECT($B$3)=$B153)*(INDIRECT($C$3)=$D153)*((INDIRECT($E$3)="TOTS")+(INDIRECT($E$3)=$E153)),INDIRECT(M$3)))&lt;&gt;0,_xlpm.y=0),-2,_xlpm.x)))),0))</f>
        <v>0</v>
      </c>
      <c r="N153" s="199" cm="1">
        <f t="array" aca="1" ref="N153" ca="1">IF(OR($B153="",$B153="X",$D153="",$D153="X",$E153="",$E153="X"),0,IFERROR(_xlfn.LET(_xlpm.x,SUM(SUM(_xlfn._xlws.FILTER(VALUE(PptoSty[Sign]&amp;1)*(1/PptoSty[Division]),(PptoSty[Division]&lt;&gt;0)*(PptoSty[Division]&lt;&gt;"")*(PptoSty[Division]&lt;&gt;"X")*(PptoSty[Project]=$B153)*(PptoSty[Vrs]=$D153)*(PptoSty[PiRow]=_xlfn.TEXTAFTER($H153,":"))*(PptoSty[PiColumn]=N$54),0)),SUM(IF((INDIRECT($B$3)=$B153)*(INDIRECT($C$3)=$D153)*((INDIRECT($E$3)="TOTS")+(INDIRECT($E$3)=$E153)),INDIRECT(N$3)))),_xlpm.y,SUM(_xlfn.CHOOSECOLS(_xlfn._xlws.FILTER(F_RT14[],(F_RT14[PrjId]=$B153)*(F_RT14[Vrs]=$D153)*(_xlfn.TEXTAFTER(F_RT14[ActGrp],":")=_xlfn.TEXTAFTER($H153,":")),"X"),MATCH("*"&amp;N$54,F_RT14[#Headers],0))),IF(AND(_xlpm.x=0,_xlpm.y&lt;&gt;0),-1,IF(AND(_xlpm.x&lt;&gt;0,_xlpm.y&lt;&gt;0),_xlpm.x,IF(AND(_xlpm.x-SUM(IF((INDIRECT($B$3)=$B153)*(INDIRECT($C$3)=$D153)*((INDIRECT($E$3)="TOTS")+(INDIRECT($E$3)=$E153)),INDIRECT(N$3)))&lt;&gt;0,_xlpm.y=0),-2,_xlpm.x)))),0))</f>
        <v>0</v>
      </c>
      <c r="O153" s="199" cm="1">
        <f t="array" aca="1" ref="O153" ca="1">IF(OR($B153="",$B153="X",$D153="",$D153="X",$E153="",$E153="X"),0,IFERROR(_xlfn.LET(_xlpm.x,SUM(SUM(_xlfn._xlws.FILTER(VALUE(PptoSty[Sign]&amp;1)*(1/PptoSty[Division]),(PptoSty[Division]&lt;&gt;0)*(PptoSty[Division]&lt;&gt;"")*(PptoSty[Division]&lt;&gt;"X")*(PptoSty[Project]=$B153)*(PptoSty[Vrs]=$D153)*(PptoSty[PiRow]=_xlfn.TEXTAFTER($H153,":"))*(PptoSty[PiColumn]=O$54),0)),SUM(IF((INDIRECT($B$3)=$B153)*(INDIRECT($C$3)=$D153)*((INDIRECT($E$3)="TOTS")+(INDIRECT($E$3)=$E153)),INDIRECT(O$3)))),_xlpm.y,SUM(_xlfn.CHOOSECOLS(_xlfn._xlws.FILTER(F_RT14[],(F_RT14[PrjId]=$B153)*(F_RT14[Vrs]=$D153)*(_xlfn.TEXTAFTER(F_RT14[ActGrp],":")=_xlfn.TEXTAFTER($H153,":")),"X"),MATCH("*"&amp;O$54,F_RT14[#Headers],0))),IF(AND(_xlpm.x=0,_xlpm.y&lt;&gt;0),-1,IF(AND(_xlpm.x&lt;&gt;0,_xlpm.y&lt;&gt;0),_xlpm.x,IF(AND(_xlpm.x-SUM(IF((INDIRECT($B$3)=$B153)*(INDIRECT($C$3)=$D153)*((INDIRECT($E$3)="TOTS")+(INDIRECT($E$3)=$E153)),INDIRECT(O$3)))&lt;&gt;0,_xlpm.y=0),-2,_xlpm.x)))),0))</f>
        <v>0</v>
      </c>
      <c r="P153" s="199" cm="1">
        <f t="array" aca="1" ref="P153" ca="1">IF(OR($B153="",$B153="X",$D153="",$D153="X",$E153="",$E153="X"),0,IFERROR(_xlfn.LET(_xlpm.x,SUM(SUM(_xlfn._xlws.FILTER(VALUE(PptoSty[Sign]&amp;1)*(1/PptoSty[Division]),(PptoSty[Division]&lt;&gt;0)*(PptoSty[Division]&lt;&gt;"")*(PptoSty[Division]&lt;&gt;"X")*(PptoSty[Project]=$B153)*(PptoSty[Vrs]=$D153)*(PptoSty[PiRow]=_xlfn.TEXTAFTER($H153,":"))*(PptoSty[PiColumn]=P$54),0)),SUM(IF((INDIRECT($B$3)=$B153)*(INDIRECT($C$3)=$D153)*((INDIRECT($E$3)="TOTS")+(INDIRECT($E$3)=$E153)),INDIRECT(P$3)))),_xlpm.y,SUM(_xlfn.CHOOSECOLS(_xlfn._xlws.FILTER(F_RT14[],(F_RT14[PrjId]=$B153)*(F_RT14[Vrs]=$D153)*(_xlfn.TEXTAFTER(F_RT14[ActGrp],":")=_xlfn.TEXTAFTER($H153,":")),"X"),MATCH("*"&amp;P$54,F_RT14[#Headers],0))),IF(AND(_xlpm.x=0,_xlpm.y&lt;&gt;0),-1,IF(AND(_xlpm.x&lt;&gt;0,_xlpm.y&lt;&gt;0),_xlpm.x,IF(AND(_xlpm.x-SUM(IF((INDIRECT($B$3)=$B153)*(INDIRECT($C$3)=$D153)*((INDIRECT($E$3)="TOTS")+(INDIRECT($E$3)=$E153)),INDIRECT(P$3)))&lt;&gt;0,_xlpm.y=0),-2,_xlpm.x)))),0))</f>
        <v>-1</v>
      </c>
      <c r="Q153" s="199" cm="1">
        <f t="array" aca="1" ref="Q153" ca="1">IF(OR($B153="",$B153="X",$D153="",$D153="X",$E153="",$E153="X"),0,IFERROR(_xlfn.LET(_xlpm.x,SUM(SUM(_xlfn._xlws.FILTER(VALUE(PptoSty[Sign]&amp;1)*(1/PptoSty[Division]),(PptoSty[Division]&lt;&gt;0)*(PptoSty[Division]&lt;&gt;"")*(PptoSty[Division]&lt;&gt;"X")*(PptoSty[Project]=$B153)*(PptoSty[Vrs]=$D153)*(PptoSty[PiRow]=_xlfn.TEXTAFTER($H153,":"))*(PptoSty[PiColumn]=Q$54),0)),SUM(IF((INDIRECT($B$3)=$B153)*(INDIRECT($C$3)=$D153)*((INDIRECT($E$3)="TOTS")+(INDIRECT($E$3)=$E153)),INDIRECT(Q$3)))),_xlpm.y,SUM(_xlfn.CHOOSECOLS(_xlfn._xlws.FILTER(F_RT14[],(F_RT14[PrjId]=$B153)*(F_RT14[Vrs]=$D153)*(_xlfn.TEXTAFTER(F_RT14[ActGrp],":")=_xlfn.TEXTAFTER($H153,":")),"X"),MATCH("*"&amp;Q$54,F_RT14[#Headers],0))),IF(AND(_xlpm.x=0,_xlpm.y&lt;&gt;0),-1,IF(AND(_xlpm.x&lt;&gt;0,_xlpm.y&lt;&gt;0),_xlpm.x,IF(AND(_xlpm.x-SUM(IF((INDIRECT($B$3)=$B153)*(INDIRECT($C$3)=$D153)*((INDIRECT($E$3)="TOTS")+(INDIRECT($E$3)=$E153)),INDIRECT(Q$3)))&lt;&gt;0,_xlpm.y=0),-2,_xlpm.x)))),0))</f>
        <v>0</v>
      </c>
      <c r="R153" s="199" cm="1">
        <f t="array" aca="1" ref="R153" ca="1">IF(OR($B153="",$B153="X",$D153="",$D153="X",$E153="",$E153="X"),0,IFERROR(_xlfn.LET(_xlpm.x,SUM(SUM(_xlfn._xlws.FILTER(VALUE(PptoSty[Sign]&amp;1)*(1/PptoSty[Division]),(PptoSty[Division]&lt;&gt;0)*(PptoSty[Division]&lt;&gt;"")*(PptoSty[Division]&lt;&gt;"X")*(PptoSty[Project]=$B153)*(PptoSty[Vrs]=$D153)*(PptoSty[PiRow]=_xlfn.TEXTAFTER($H153,":"))*(PptoSty[PiColumn]=R$54),0)),SUM(IF((INDIRECT($B$3)=$B153)*(INDIRECT($C$3)=$D153)*((INDIRECT($E$3)="TOTS")+(INDIRECT($E$3)=$E153)),INDIRECT(R$3)))),_xlpm.y,SUM(_xlfn.CHOOSECOLS(_xlfn._xlws.FILTER(F_RT14[],(F_RT14[PrjId]=$B153)*(F_RT14[Vrs]=$D153)*(_xlfn.TEXTAFTER(F_RT14[ActGrp],":")=_xlfn.TEXTAFTER($H153,":")),"X"),MATCH("*"&amp;R$54,F_RT14[#Headers],0))),IF(AND(_xlpm.x=0,_xlpm.y&lt;&gt;0),-1,IF(AND(_xlpm.x&lt;&gt;0,_xlpm.y&lt;&gt;0),_xlpm.x,IF(AND(_xlpm.x-SUM(IF((INDIRECT($B$3)=$B153)*(INDIRECT($C$3)=$D153)*((INDIRECT($E$3)="TOTS")+(INDIRECT($E$3)=$E153)),INDIRECT(R$3)))&lt;&gt;0,_xlpm.y=0),-2,_xlpm.x)))),0))</f>
        <v>0</v>
      </c>
      <c r="S153" s="199" cm="1">
        <f t="array" aca="1" ref="S153" ca="1">IF(OR($B153="",$B153="X",$D153="",$D153="X",$E153="",$E153="X"),0,IFERROR(_xlfn.LET(_xlpm.x,SUM(SUM(_xlfn._xlws.FILTER(VALUE(PptoSty[Sign]&amp;1)*(1/PptoSty[Division]),(PptoSty[Division]&lt;&gt;0)*(PptoSty[Division]&lt;&gt;"")*(PptoSty[Division]&lt;&gt;"X")*(PptoSty[Project]=$B153)*(PptoSty[Vrs]=$D153)*(PptoSty[PiRow]=_xlfn.TEXTAFTER($H153,":"))*(PptoSty[PiColumn]=S$54),0)),SUM(IF((INDIRECT($B$3)=$B153)*(INDIRECT($C$3)=$D153)*((INDIRECT($E$3)="TOTS")+(INDIRECT($E$3)=$E153)),INDIRECT(S$3)))),_xlpm.y,SUM(_xlfn.CHOOSECOLS(_xlfn._xlws.FILTER(F_RT14[],(F_RT14[PrjId]=$B153)*(F_RT14[Vrs]=$D153)*(_xlfn.TEXTAFTER(F_RT14[ActGrp],":")=_xlfn.TEXTAFTER($H153,":")),"X"),MATCH("*"&amp;S$54,F_RT14[#Headers],0))),IF(AND(_xlpm.x=0,_xlpm.y&lt;&gt;0),-1,IF(AND(_xlpm.x&lt;&gt;0,_xlpm.y&lt;&gt;0),_xlpm.x,IF(AND(_xlpm.x-SUM(IF((INDIRECT($B$3)=$B153)*(INDIRECT($C$3)=$D153)*((INDIRECT($E$3)="TOTS")+(INDIRECT($E$3)=$E153)),INDIRECT(S$3)))&lt;&gt;0,_xlpm.y=0),-2,_xlpm.x)))),0))</f>
        <v>0</v>
      </c>
      <c r="T153" s="199" cm="1">
        <f t="array" aca="1" ref="T153" ca="1">IF(OR($B153="",$B153="X",$D153="",$D153="X",$E153="",$E153="X"),0,IFERROR(_xlfn.LET(_xlpm.x,SUM(SUM(_xlfn._xlws.FILTER(VALUE(PptoSty[Sign]&amp;1)*(1/PptoSty[Division]),(PptoSty[Division]&lt;&gt;0)*(PptoSty[Division]&lt;&gt;"")*(PptoSty[Division]&lt;&gt;"X")*(PptoSty[Project]=$B153)*(PptoSty[Vrs]=$D153)*(PptoSty[PiRow]=_xlfn.TEXTAFTER($H153,":"))*(PptoSty[PiColumn]=T$54),0)),SUM(IF((INDIRECT($B$3)=$B153)*(INDIRECT($C$3)=$D153)*((INDIRECT($E$3)="TOTS")+(INDIRECT($E$3)=$E153)),INDIRECT(T$3)))),_xlpm.y,SUM(_xlfn.CHOOSECOLS(_xlfn._xlws.FILTER(F_RT14[],(F_RT14[PrjId]=$B153)*(F_RT14[Vrs]=$D153)*(_xlfn.TEXTAFTER(F_RT14[ActGrp],":")=_xlfn.TEXTAFTER($H153,":")),"X"),MATCH("*"&amp;T$54,F_RT14[#Headers],0))),IF(AND(_xlpm.x=0,_xlpm.y&lt;&gt;0),-1,IF(AND(_xlpm.x&lt;&gt;0,_xlpm.y&lt;&gt;0),_xlpm.x,IF(AND(_xlpm.x-SUM(IF((INDIRECT($B$3)=$B153)*(INDIRECT($C$3)=$D153)*((INDIRECT($E$3)="TOTS")+(INDIRECT($E$3)=$E153)),INDIRECT(T$3)))&lt;&gt;0,_xlpm.y=0),-2,_xlpm.x)))),0))</f>
        <v>0</v>
      </c>
      <c r="U153" s="199" cm="1">
        <f t="array" aca="1" ref="U153" ca="1">IF(OR($B153="",$B153="X",$D153="",$D153="X",$E153="",$E153="X"),0,IFERROR(_xlfn.LET(_xlpm.x,SUM(SUM(_xlfn._xlws.FILTER(VALUE(PptoSty[Sign]&amp;1)*(1/PptoSty[Division]),(PptoSty[Division]&lt;&gt;0)*(PptoSty[Division]&lt;&gt;"")*(PptoSty[Division]&lt;&gt;"X")*(PptoSty[Project]=$B153)*(PptoSty[Vrs]=$D153)*(PptoSty[PiRow]=_xlfn.TEXTAFTER($H153,":"))*(PptoSty[PiColumn]=U$54),0)),SUM(IF((INDIRECT($B$3)=$B153)*(INDIRECT($C$3)=$D153)*((INDIRECT($E$3)="TOTS")+(INDIRECT($E$3)=$E153)),INDIRECT(U$3)))),_xlpm.y,SUM(_xlfn.CHOOSECOLS(_xlfn._xlws.FILTER(F_RT14[],(F_RT14[PrjId]=$B153)*(F_RT14[Vrs]=$D153)*(_xlfn.TEXTAFTER(F_RT14[ActGrp],":")=_xlfn.TEXTAFTER($H153,":")),"X"),MATCH("*"&amp;U$54,F_RT14[#Headers],0))),IF(AND(_xlpm.x=0,_xlpm.y&lt;&gt;0),-1,IF(AND(_xlpm.x&lt;&gt;0,_xlpm.y&lt;&gt;0),_xlpm.x,IF(AND(_xlpm.x-SUM(IF((INDIRECT($B$3)=$B153)*(INDIRECT($C$3)=$D153)*((INDIRECT($E$3)="TOTS")+(INDIRECT($E$3)=$E153)),INDIRECT(U$3)))&lt;&gt;0,_xlpm.y=0),-2,_xlpm.x)))),0))</f>
        <v>0</v>
      </c>
      <c r="V153" s="199" cm="1">
        <f t="array" aca="1" ref="V153" ca="1">IF(OR($B153="",$B153="X",$D153="",$D153="X",$E153="",$E153="X"),0,IFERROR(_xlfn.LET(_xlpm.x,SUM(SUM(_xlfn._xlws.FILTER(VALUE(PptoSty[Sign]&amp;1)*(1/PptoSty[Division]),(PptoSty[Division]&lt;&gt;0)*(PptoSty[Division]&lt;&gt;"")*(PptoSty[Division]&lt;&gt;"X")*(PptoSty[Project]=$B153)*(PptoSty[Vrs]=$D153)*(PptoSty[PiRow]=_xlfn.TEXTAFTER($H153,":"))*(PptoSty[PiColumn]=V$54),0)),SUM(IF((INDIRECT($B$3)=$B153)*(INDIRECT($C$3)=$D153)*((INDIRECT($E$3)="TOTS")+(INDIRECT($E$3)=$E153)),INDIRECT(V$3)))),_xlpm.y,SUM(_xlfn.CHOOSECOLS(_xlfn._xlws.FILTER(F_RT14[],(F_RT14[PrjId]=$B153)*(F_RT14[Vrs]=$D153)*(_xlfn.TEXTAFTER(F_RT14[ActGrp],":")=_xlfn.TEXTAFTER($H153,":")),"X"),MATCH("*"&amp;V$54,F_RT14[#Headers],0))),IF(AND(_xlpm.x=0,_xlpm.y&lt;&gt;0),-1,IF(AND(_xlpm.x&lt;&gt;0,_xlpm.y&lt;&gt;0),_xlpm.x,IF(AND(_xlpm.x-SUM(IF((INDIRECT($B$3)=$B153)*(INDIRECT($C$3)=$D153)*((INDIRECT($E$3)="TOTS")+(INDIRECT($E$3)=$E153)),INDIRECT(V$3)))&lt;&gt;0,_xlpm.y=0),-2,_xlpm.x)))),0))</f>
        <v>0</v>
      </c>
      <c r="W153" s="199" cm="1">
        <f t="array" aca="1" ref="W153" ca="1">IF(OR($B153="",$B153="X",$D153="",$D153="X",$E153="",$E153="X"),0,IFERROR(_xlfn.LET(_xlpm.x,SUM(SUM(_xlfn._xlws.FILTER(VALUE(PptoSty[Sign]&amp;1)*(1/PptoSty[Division]),(PptoSty[Division]&lt;&gt;0)*(PptoSty[Division]&lt;&gt;"")*(PptoSty[Division]&lt;&gt;"X")*(PptoSty[Project]=$B153)*(PptoSty[Vrs]=$D153)*(PptoSty[PiRow]=_xlfn.TEXTAFTER($H153,":"))*(PptoSty[PiColumn]=W$54),0)),SUM(IF((INDIRECT($B$3)=$B153)*(INDIRECT($C$3)=$D153)*((INDIRECT($E$3)="TOTS")+(INDIRECT($E$3)=$E153)),INDIRECT(W$3)))),_xlpm.y,SUM(_xlfn.CHOOSECOLS(_xlfn._xlws.FILTER(F_RT14[],(F_RT14[PrjId]=$B153)*(F_RT14[Vrs]=$D153)*(_xlfn.TEXTAFTER(F_RT14[ActGrp],":")=_xlfn.TEXTAFTER($H153,":")),"X"),MATCH("*"&amp;W$54,F_RT14[#Headers],0))),IF(AND(_xlpm.x=0,_xlpm.y&lt;&gt;0),-1,IF(AND(_xlpm.x&lt;&gt;0,_xlpm.y&lt;&gt;0),_xlpm.x,IF(AND(_xlpm.x-SUM(IF((INDIRECT($B$3)=$B153)*(INDIRECT($C$3)=$D153)*((INDIRECT($E$3)="TOTS")+(INDIRECT($E$3)=$E153)),INDIRECT(W$3)))&lt;&gt;0,_xlpm.y=0),-2,_xlpm.x)))),0))</f>
        <v>0</v>
      </c>
      <c r="X153" s="199" cm="1">
        <f t="array" aca="1" ref="X153" ca="1">IF(OR($B153="",$B153="X",$D153="",$D153="X",$E153="",$E153="X"),0,IFERROR(_xlfn.LET(_xlpm.x,SUM(SUM(_xlfn._xlws.FILTER(VALUE(PptoSty[Sign]&amp;1)*(1/PptoSty[Division]),(PptoSty[Division]&lt;&gt;0)*(PptoSty[Division]&lt;&gt;"")*(PptoSty[Division]&lt;&gt;"X")*(PptoSty[Project]=$B153)*(PptoSty[Vrs]=$D153)*(PptoSty[PiRow]=_xlfn.TEXTAFTER($H153,":"))*(PptoSty[PiColumn]=X$54),0)),SUM(IF((INDIRECT($B$3)=$B153)*(INDIRECT($C$3)=$D153)*((INDIRECT($E$3)="TOTS")+(INDIRECT($E$3)=$E153)),INDIRECT(X$3)))),_xlpm.y,SUM(_xlfn.CHOOSECOLS(_xlfn._xlws.FILTER(F_RT14[],(F_RT14[PrjId]=$B153)*(F_RT14[Vrs]=$D153)*(_xlfn.TEXTAFTER(F_RT14[ActGrp],":")=_xlfn.TEXTAFTER($H153,":")),"X"),MATCH("*"&amp;X$54,F_RT14[#Headers],0))),IF(AND(_xlpm.x=0,_xlpm.y&lt;&gt;0),-1,IF(AND(_xlpm.x&lt;&gt;0,_xlpm.y&lt;&gt;0),_xlpm.x,IF(AND(_xlpm.x-SUM(IF((INDIRECT($B$3)=$B153)*(INDIRECT($C$3)=$D153)*((INDIRECT($E$3)="TOTS")+(INDIRECT($E$3)=$E153)),INDIRECT(X$3)))&lt;&gt;0,_xlpm.y=0),-2,_xlpm.x)))),0))</f>
        <v>0</v>
      </c>
      <c r="Y153" s="199" cm="1">
        <f t="array" aca="1" ref="Y153" ca="1">IF(OR($B153="",$B153="X",$D153="",$D153="X",$E153="",$E153="X"),0,IFERROR(_xlfn.LET(_xlpm.x,SUM(SUM(_xlfn._xlws.FILTER(VALUE(PptoSty[Sign]&amp;1)*(1/PptoSty[Division]),(PptoSty[Division]&lt;&gt;0)*(PptoSty[Division]&lt;&gt;"")*(PptoSty[Division]&lt;&gt;"X")*(PptoSty[Project]=$B153)*(PptoSty[Vrs]=$D153)*(PptoSty[PiRow]=_xlfn.TEXTAFTER($H153,":"))*(PptoSty[PiColumn]=Y$54),0)),SUM(IF((INDIRECT($B$3)=$B153)*(INDIRECT($C$3)=$D153)*((INDIRECT($E$3)="TOTS")+(INDIRECT($E$3)=$E153)),INDIRECT(Y$3)))),_xlpm.y,SUM(_xlfn.CHOOSECOLS(_xlfn._xlws.FILTER(F_RT14[],(F_RT14[PrjId]=$B153)*(F_RT14[Vrs]=$D153)*(_xlfn.TEXTAFTER(F_RT14[ActGrp],":")=_xlfn.TEXTAFTER($H153,":")),"X"),MATCH("*"&amp;Y$54,F_RT14[#Headers],0))),IF(AND(_xlpm.x=0,_xlpm.y&lt;&gt;0),-1,IF(AND(_xlpm.x&lt;&gt;0,_xlpm.y&lt;&gt;0),_xlpm.x,IF(AND(_xlpm.x-SUM(IF((INDIRECT($B$3)=$B153)*(INDIRECT($C$3)=$D153)*((INDIRECT($E$3)="TOTS")+(INDIRECT($E$3)=$E153)),INDIRECT(Y$3)))&lt;&gt;0,_xlpm.y=0),-2,_xlpm.x)))),0))</f>
        <v>0</v>
      </c>
      <c r="Z153" s="198" t="str">
        <f t="shared" ca="1" si="3"/>
        <v>Fback!B153:Y153</v>
      </c>
    </row>
    <row r="154" spans="2:26" ht="21" customHeight="1" outlineLevel="1">
      <c r="B154" s="128" t="str">
        <v>31200</v>
      </c>
      <c r="C154" s="128" t="str">
        <v>Sp</v>
      </c>
      <c r="D154" s="128">
        <v>16</v>
      </c>
      <c r="E154" s="128" t="str">
        <v>CELL</v>
      </c>
      <c r="F154" s="139" t="str">
        <v>SERRA</v>
      </c>
      <c r="G154" s="139" t="str">
        <v>CurPpto</v>
      </c>
      <c r="H154" s="139" t="str">
        <v>P029:OP-950 AGV DOCKING</v>
      </c>
      <c r="I154" s="199" cm="1">
        <f t="array" aca="1" ref="I154" ca="1">IF(OR($B154="",$B154="X",$D154="",$D154="X",$E154="",$E154="X"),0,IFERROR(_xlfn.LET(_xlpm.x,SUM(SUM(_xlfn._xlws.FILTER(VALUE(PptoSty[Sign]&amp;1)*(1/PptoSty[Division]),(PptoSty[Division]&lt;&gt;0)*(PptoSty[Division]&lt;&gt;"")*(PptoSty[Division]&lt;&gt;"X")*(PptoSty[Project]=$B154)*(PptoSty[Vrs]=$D154)*(PptoSty[PiRow]=_xlfn.TEXTAFTER($H154,":"))*(PptoSty[PiColumn]=I$54),0)),SUM(IF((INDIRECT($B$3)=$B154)*(INDIRECT($C$3)=$D154)*((INDIRECT($E$3)="TOTS")+(INDIRECT($E$3)=$E154)),INDIRECT(I$3)))),_xlpm.y,SUM(_xlfn.CHOOSECOLS(_xlfn._xlws.FILTER(F_RT14[],(F_RT14[PrjId]=$B154)*(F_RT14[Vrs]=$D154)*(_xlfn.TEXTAFTER(F_RT14[ActGrp],":")=_xlfn.TEXTAFTER($H154,":")),"X"),MATCH("*"&amp;I$54,F_RT14[#Headers],0))),IF(AND(_xlpm.x=0,_xlpm.y&lt;&gt;0),-1,IF(AND(_xlpm.x&lt;&gt;0,_xlpm.y&lt;&gt;0),_xlpm.x,IF(AND(_xlpm.x-SUM(IF((INDIRECT($B$3)=$B154)*(INDIRECT($C$3)=$D154)*((INDIRECT($E$3)="TOTS")+(INDIRECT($E$3)=$E154)),INDIRECT(I$3)))&lt;&gt;0,_xlpm.y=0),-2,_xlpm.x)))),0))</f>
        <v>0</v>
      </c>
      <c r="J154" s="199" cm="1">
        <f t="array" aca="1" ref="J154" ca="1">IF(OR($B154="",$B154="X",$D154="",$D154="X",$E154="",$E154="X"),0,IFERROR(_xlfn.LET(_xlpm.x,SUM(SUM(_xlfn._xlws.FILTER(VALUE(PptoSty[Sign]&amp;1)*(1/PptoSty[Division]),(PptoSty[Division]&lt;&gt;0)*(PptoSty[Division]&lt;&gt;"")*(PptoSty[Division]&lt;&gt;"X")*(PptoSty[Project]=$B154)*(PptoSty[Vrs]=$D154)*(PptoSty[PiRow]=_xlfn.TEXTAFTER($H154,":"))*(PptoSty[PiColumn]=J$54),0)),SUM(IF((INDIRECT($B$3)=$B154)*(INDIRECT($C$3)=$D154)*((INDIRECT($E$3)="TOTS")+(INDIRECT($E$3)=$E154)),INDIRECT(J$3)))),_xlpm.y,SUM(_xlfn.CHOOSECOLS(_xlfn._xlws.FILTER(F_RT14[],(F_RT14[PrjId]=$B154)*(F_RT14[Vrs]=$D154)*(_xlfn.TEXTAFTER(F_RT14[ActGrp],":")=_xlfn.TEXTAFTER($H154,":")),"X"),MATCH("*"&amp;J$54,F_RT14[#Headers],0))),IF(AND(_xlpm.x=0,_xlpm.y&lt;&gt;0),-1,IF(AND(_xlpm.x&lt;&gt;0,_xlpm.y&lt;&gt;0),_xlpm.x,IF(AND(_xlpm.x-SUM(IF((INDIRECT($B$3)=$B154)*(INDIRECT($C$3)=$D154)*((INDIRECT($E$3)="TOTS")+(INDIRECT($E$3)=$E154)),INDIRECT(J$3)))&lt;&gt;0,_xlpm.y=0),-2,_xlpm.x)))),0))</f>
        <v>0</v>
      </c>
      <c r="K154" s="199" cm="1">
        <f t="array" aca="1" ref="K154" ca="1">IF(OR($B154="",$B154="X",$D154="",$D154="X",$E154="",$E154="X"),0,IFERROR(_xlfn.LET(_xlpm.x,SUM(SUM(_xlfn._xlws.FILTER(VALUE(PptoSty[Sign]&amp;1)*(1/PptoSty[Division]),(PptoSty[Division]&lt;&gt;0)*(PptoSty[Division]&lt;&gt;"")*(PptoSty[Division]&lt;&gt;"X")*(PptoSty[Project]=$B154)*(PptoSty[Vrs]=$D154)*(PptoSty[PiRow]=_xlfn.TEXTAFTER($H154,":"))*(PptoSty[PiColumn]=K$54),0)),SUM(IF((INDIRECT($B$3)=$B154)*(INDIRECT($C$3)=$D154)*((INDIRECT($E$3)="TOTS")+(INDIRECT($E$3)=$E154)),INDIRECT(K$3)))),_xlpm.y,SUM(_xlfn.CHOOSECOLS(_xlfn._xlws.FILTER(F_RT14[],(F_RT14[PrjId]=$B154)*(F_RT14[Vrs]=$D154)*(_xlfn.TEXTAFTER(F_RT14[ActGrp],":")=_xlfn.TEXTAFTER($H154,":")),"X"),MATCH("*"&amp;K$54,F_RT14[#Headers],0))),IF(AND(_xlpm.x=0,_xlpm.y&lt;&gt;0),-1,IF(AND(_xlpm.x&lt;&gt;0,_xlpm.y&lt;&gt;0),_xlpm.x,IF(AND(_xlpm.x-SUM(IF((INDIRECT($B$3)=$B154)*(INDIRECT($C$3)=$D154)*((INDIRECT($E$3)="TOTS")+(INDIRECT($E$3)=$E154)),INDIRECT(K$3)))&lt;&gt;0,_xlpm.y=0),-2,_xlpm.x)))),0))</f>
        <v>-1</v>
      </c>
      <c r="L154" s="199" cm="1">
        <f t="array" aca="1" ref="L154" ca="1">IF(OR($B154="",$B154="X",$D154="",$D154="X",$E154="",$E154="X"),0,IFERROR(_xlfn.LET(_xlpm.x,SUM(SUM(_xlfn._xlws.FILTER(VALUE(PptoSty[Sign]&amp;1)*(1/PptoSty[Division]),(PptoSty[Division]&lt;&gt;0)*(PptoSty[Division]&lt;&gt;"")*(PptoSty[Division]&lt;&gt;"X")*(PptoSty[Project]=$B154)*(PptoSty[Vrs]=$D154)*(PptoSty[PiRow]=_xlfn.TEXTAFTER($H154,":"))*(PptoSty[PiColumn]=L$54),0)),SUM(IF((INDIRECT($B$3)=$B154)*(INDIRECT($C$3)=$D154)*((INDIRECT($E$3)="TOTS")+(INDIRECT($E$3)=$E154)),INDIRECT(L$3)))),_xlpm.y,SUM(_xlfn.CHOOSECOLS(_xlfn._xlws.FILTER(F_RT14[],(F_RT14[PrjId]=$B154)*(F_RT14[Vrs]=$D154)*(_xlfn.TEXTAFTER(F_RT14[ActGrp],":")=_xlfn.TEXTAFTER($H154,":")),"X"),MATCH("*"&amp;L$54,F_RT14[#Headers],0))),IF(AND(_xlpm.x=0,_xlpm.y&lt;&gt;0),-1,IF(AND(_xlpm.x&lt;&gt;0,_xlpm.y&lt;&gt;0),_xlpm.x,IF(AND(_xlpm.x-SUM(IF((INDIRECT($B$3)=$B154)*(INDIRECT($C$3)=$D154)*((INDIRECT($E$3)="TOTS")+(INDIRECT($E$3)=$E154)),INDIRECT(L$3)))&lt;&gt;0,_xlpm.y=0),-2,_xlpm.x)))),0))</f>
        <v>0</v>
      </c>
      <c r="M154" s="199" cm="1">
        <f t="array" aca="1" ref="M154" ca="1">IF(OR($B154="",$B154="X",$D154="",$D154="X",$E154="",$E154="X"),0,IFERROR(_xlfn.LET(_xlpm.x,SUM(SUM(_xlfn._xlws.FILTER(VALUE(PptoSty[Sign]&amp;1)*(1/PptoSty[Division]),(PptoSty[Division]&lt;&gt;0)*(PptoSty[Division]&lt;&gt;"")*(PptoSty[Division]&lt;&gt;"X")*(PptoSty[Project]=$B154)*(PptoSty[Vrs]=$D154)*(PptoSty[PiRow]=_xlfn.TEXTAFTER($H154,":"))*(PptoSty[PiColumn]=M$54),0)),SUM(IF((INDIRECT($B$3)=$B154)*(INDIRECT($C$3)=$D154)*((INDIRECT($E$3)="TOTS")+(INDIRECT($E$3)=$E154)),INDIRECT(M$3)))),_xlpm.y,SUM(_xlfn.CHOOSECOLS(_xlfn._xlws.FILTER(F_RT14[],(F_RT14[PrjId]=$B154)*(F_RT14[Vrs]=$D154)*(_xlfn.TEXTAFTER(F_RT14[ActGrp],":")=_xlfn.TEXTAFTER($H154,":")),"X"),MATCH("*"&amp;M$54,F_RT14[#Headers],0))),IF(AND(_xlpm.x=0,_xlpm.y&lt;&gt;0),-1,IF(AND(_xlpm.x&lt;&gt;0,_xlpm.y&lt;&gt;0),_xlpm.x,IF(AND(_xlpm.x-SUM(IF((INDIRECT($B$3)=$B154)*(INDIRECT($C$3)=$D154)*((INDIRECT($E$3)="TOTS")+(INDIRECT($E$3)=$E154)),INDIRECT(M$3)))&lt;&gt;0,_xlpm.y=0),-2,_xlpm.x)))),0))</f>
        <v>0</v>
      </c>
      <c r="N154" s="199" cm="1">
        <f t="array" aca="1" ref="N154" ca="1">IF(OR($B154="",$B154="X",$D154="",$D154="X",$E154="",$E154="X"),0,IFERROR(_xlfn.LET(_xlpm.x,SUM(SUM(_xlfn._xlws.FILTER(VALUE(PptoSty[Sign]&amp;1)*(1/PptoSty[Division]),(PptoSty[Division]&lt;&gt;0)*(PptoSty[Division]&lt;&gt;"")*(PptoSty[Division]&lt;&gt;"X")*(PptoSty[Project]=$B154)*(PptoSty[Vrs]=$D154)*(PptoSty[PiRow]=_xlfn.TEXTAFTER($H154,":"))*(PptoSty[PiColumn]=N$54),0)),SUM(IF((INDIRECT($B$3)=$B154)*(INDIRECT($C$3)=$D154)*((INDIRECT($E$3)="TOTS")+(INDIRECT($E$3)=$E154)),INDIRECT(N$3)))),_xlpm.y,SUM(_xlfn.CHOOSECOLS(_xlfn._xlws.FILTER(F_RT14[],(F_RT14[PrjId]=$B154)*(F_RT14[Vrs]=$D154)*(_xlfn.TEXTAFTER(F_RT14[ActGrp],":")=_xlfn.TEXTAFTER($H154,":")),"X"),MATCH("*"&amp;N$54,F_RT14[#Headers],0))),IF(AND(_xlpm.x=0,_xlpm.y&lt;&gt;0),-1,IF(AND(_xlpm.x&lt;&gt;0,_xlpm.y&lt;&gt;0),_xlpm.x,IF(AND(_xlpm.x-SUM(IF((INDIRECT($B$3)=$B154)*(INDIRECT($C$3)=$D154)*((INDIRECT($E$3)="TOTS")+(INDIRECT($E$3)=$E154)),INDIRECT(N$3)))&lt;&gt;0,_xlpm.y=0),-2,_xlpm.x)))),0))</f>
        <v>0</v>
      </c>
      <c r="O154" s="199" cm="1">
        <f t="array" aca="1" ref="O154" ca="1">IF(OR($B154="",$B154="X",$D154="",$D154="X",$E154="",$E154="X"),0,IFERROR(_xlfn.LET(_xlpm.x,SUM(SUM(_xlfn._xlws.FILTER(VALUE(PptoSty[Sign]&amp;1)*(1/PptoSty[Division]),(PptoSty[Division]&lt;&gt;0)*(PptoSty[Division]&lt;&gt;"")*(PptoSty[Division]&lt;&gt;"X")*(PptoSty[Project]=$B154)*(PptoSty[Vrs]=$D154)*(PptoSty[PiRow]=_xlfn.TEXTAFTER($H154,":"))*(PptoSty[PiColumn]=O$54),0)),SUM(IF((INDIRECT($B$3)=$B154)*(INDIRECT($C$3)=$D154)*((INDIRECT($E$3)="TOTS")+(INDIRECT($E$3)=$E154)),INDIRECT(O$3)))),_xlpm.y,SUM(_xlfn.CHOOSECOLS(_xlfn._xlws.FILTER(F_RT14[],(F_RT14[PrjId]=$B154)*(F_RT14[Vrs]=$D154)*(_xlfn.TEXTAFTER(F_RT14[ActGrp],":")=_xlfn.TEXTAFTER($H154,":")),"X"),MATCH("*"&amp;O$54,F_RT14[#Headers],0))),IF(AND(_xlpm.x=0,_xlpm.y&lt;&gt;0),-1,IF(AND(_xlpm.x&lt;&gt;0,_xlpm.y&lt;&gt;0),_xlpm.x,IF(AND(_xlpm.x-SUM(IF((INDIRECT($B$3)=$B154)*(INDIRECT($C$3)=$D154)*((INDIRECT($E$3)="TOTS")+(INDIRECT($E$3)=$E154)),INDIRECT(O$3)))&lt;&gt;0,_xlpm.y=0),-2,_xlpm.x)))),0))</f>
        <v>0</v>
      </c>
      <c r="P154" s="199" cm="1">
        <f t="array" aca="1" ref="P154" ca="1">IF(OR($B154="",$B154="X",$D154="",$D154="X",$E154="",$E154="X"),0,IFERROR(_xlfn.LET(_xlpm.x,SUM(SUM(_xlfn._xlws.FILTER(VALUE(PptoSty[Sign]&amp;1)*(1/PptoSty[Division]),(PptoSty[Division]&lt;&gt;0)*(PptoSty[Division]&lt;&gt;"")*(PptoSty[Division]&lt;&gt;"X")*(PptoSty[Project]=$B154)*(PptoSty[Vrs]=$D154)*(PptoSty[PiRow]=_xlfn.TEXTAFTER($H154,":"))*(PptoSty[PiColumn]=P$54),0)),SUM(IF((INDIRECT($B$3)=$B154)*(INDIRECT($C$3)=$D154)*((INDIRECT($E$3)="TOTS")+(INDIRECT($E$3)=$E154)),INDIRECT(P$3)))),_xlpm.y,SUM(_xlfn.CHOOSECOLS(_xlfn._xlws.FILTER(F_RT14[],(F_RT14[PrjId]=$B154)*(F_RT14[Vrs]=$D154)*(_xlfn.TEXTAFTER(F_RT14[ActGrp],":")=_xlfn.TEXTAFTER($H154,":")),"X"),MATCH("*"&amp;P$54,F_RT14[#Headers],0))),IF(AND(_xlpm.x=0,_xlpm.y&lt;&gt;0),-1,IF(AND(_xlpm.x&lt;&gt;0,_xlpm.y&lt;&gt;0),_xlpm.x,IF(AND(_xlpm.x-SUM(IF((INDIRECT($B$3)=$B154)*(INDIRECT($C$3)=$D154)*((INDIRECT($E$3)="TOTS")+(INDIRECT($E$3)=$E154)),INDIRECT(P$3)))&lt;&gt;0,_xlpm.y=0),-2,_xlpm.x)))),0))</f>
        <v>0</v>
      </c>
      <c r="Q154" s="199" cm="1">
        <f t="array" aca="1" ref="Q154" ca="1">IF(OR($B154="",$B154="X",$D154="",$D154="X",$E154="",$E154="X"),0,IFERROR(_xlfn.LET(_xlpm.x,SUM(SUM(_xlfn._xlws.FILTER(VALUE(PptoSty[Sign]&amp;1)*(1/PptoSty[Division]),(PptoSty[Division]&lt;&gt;0)*(PptoSty[Division]&lt;&gt;"")*(PptoSty[Division]&lt;&gt;"X")*(PptoSty[Project]=$B154)*(PptoSty[Vrs]=$D154)*(PptoSty[PiRow]=_xlfn.TEXTAFTER($H154,":"))*(PptoSty[PiColumn]=Q$54),0)),SUM(IF((INDIRECT($B$3)=$B154)*(INDIRECT($C$3)=$D154)*((INDIRECT($E$3)="TOTS")+(INDIRECT($E$3)=$E154)),INDIRECT(Q$3)))),_xlpm.y,SUM(_xlfn.CHOOSECOLS(_xlfn._xlws.FILTER(F_RT14[],(F_RT14[PrjId]=$B154)*(F_RT14[Vrs]=$D154)*(_xlfn.TEXTAFTER(F_RT14[ActGrp],":")=_xlfn.TEXTAFTER($H154,":")),"X"),MATCH("*"&amp;Q$54,F_RT14[#Headers],0))),IF(AND(_xlpm.x=0,_xlpm.y&lt;&gt;0),-1,IF(AND(_xlpm.x&lt;&gt;0,_xlpm.y&lt;&gt;0),_xlpm.x,IF(AND(_xlpm.x-SUM(IF((INDIRECT($B$3)=$B154)*(INDIRECT($C$3)=$D154)*((INDIRECT($E$3)="TOTS")+(INDIRECT($E$3)=$E154)),INDIRECT(Q$3)))&lt;&gt;0,_xlpm.y=0),-2,_xlpm.x)))),0))</f>
        <v>0</v>
      </c>
      <c r="R154" s="199" cm="1">
        <f t="array" aca="1" ref="R154" ca="1">IF(OR($B154="",$B154="X",$D154="",$D154="X",$E154="",$E154="X"),0,IFERROR(_xlfn.LET(_xlpm.x,SUM(SUM(_xlfn._xlws.FILTER(VALUE(PptoSty[Sign]&amp;1)*(1/PptoSty[Division]),(PptoSty[Division]&lt;&gt;0)*(PptoSty[Division]&lt;&gt;"")*(PptoSty[Division]&lt;&gt;"X")*(PptoSty[Project]=$B154)*(PptoSty[Vrs]=$D154)*(PptoSty[PiRow]=_xlfn.TEXTAFTER($H154,":"))*(PptoSty[PiColumn]=R$54),0)),SUM(IF((INDIRECT($B$3)=$B154)*(INDIRECT($C$3)=$D154)*((INDIRECT($E$3)="TOTS")+(INDIRECT($E$3)=$E154)),INDIRECT(R$3)))),_xlpm.y,SUM(_xlfn.CHOOSECOLS(_xlfn._xlws.FILTER(F_RT14[],(F_RT14[PrjId]=$B154)*(F_RT14[Vrs]=$D154)*(_xlfn.TEXTAFTER(F_RT14[ActGrp],":")=_xlfn.TEXTAFTER($H154,":")),"X"),MATCH("*"&amp;R$54,F_RT14[#Headers],0))),IF(AND(_xlpm.x=0,_xlpm.y&lt;&gt;0),-1,IF(AND(_xlpm.x&lt;&gt;0,_xlpm.y&lt;&gt;0),_xlpm.x,IF(AND(_xlpm.x-SUM(IF((INDIRECT($B$3)=$B154)*(INDIRECT($C$3)=$D154)*((INDIRECT($E$3)="TOTS")+(INDIRECT($E$3)=$E154)),INDIRECT(R$3)))&lt;&gt;0,_xlpm.y=0),-2,_xlpm.x)))),0))</f>
        <v>0</v>
      </c>
      <c r="S154" s="199" cm="1">
        <f t="array" aca="1" ref="S154" ca="1">IF(OR($B154="",$B154="X",$D154="",$D154="X",$E154="",$E154="X"),0,IFERROR(_xlfn.LET(_xlpm.x,SUM(SUM(_xlfn._xlws.FILTER(VALUE(PptoSty[Sign]&amp;1)*(1/PptoSty[Division]),(PptoSty[Division]&lt;&gt;0)*(PptoSty[Division]&lt;&gt;"")*(PptoSty[Division]&lt;&gt;"X")*(PptoSty[Project]=$B154)*(PptoSty[Vrs]=$D154)*(PptoSty[PiRow]=_xlfn.TEXTAFTER($H154,":"))*(PptoSty[PiColumn]=S$54),0)),SUM(IF((INDIRECT($B$3)=$B154)*(INDIRECT($C$3)=$D154)*((INDIRECT($E$3)="TOTS")+(INDIRECT($E$3)=$E154)),INDIRECT(S$3)))),_xlpm.y,SUM(_xlfn.CHOOSECOLS(_xlfn._xlws.FILTER(F_RT14[],(F_RT14[PrjId]=$B154)*(F_RT14[Vrs]=$D154)*(_xlfn.TEXTAFTER(F_RT14[ActGrp],":")=_xlfn.TEXTAFTER($H154,":")),"X"),MATCH("*"&amp;S$54,F_RT14[#Headers],0))),IF(AND(_xlpm.x=0,_xlpm.y&lt;&gt;0),-1,IF(AND(_xlpm.x&lt;&gt;0,_xlpm.y&lt;&gt;0),_xlpm.x,IF(AND(_xlpm.x-SUM(IF((INDIRECT($B$3)=$B154)*(INDIRECT($C$3)=$D154)*((INDIRECT($E$3)="TOTS")+(INDIRECT($E$3)=$E154)),INDIRECT(S$3)))&lt;&gt;0,_xlpm.y=0),-2,_xlpm.x)))),0))</f>
        <v>0</v>
      </c>
      <c r="T154" s="199" cm="1">
        <f t="array" aca="1" ref="T154" ca="1">IF(OR($B154="",$B154="X",$D154="",$D154="X",$E154="",$E154="X"),0,IFERROR(_xlfn.LET(_xlpm.x,SUM(SUM(_xlfn._xlws.FILTER(VALUE(PptoSty[Sign]&amp;1)*(1/PptoSty[Division]),(PptoSty[Division]&lt;&gt;0)*(PptoSty[Division]&lt;&gt;"")*(PptoSty[Division]&lt;&gt;"X")*(PptoSty[Project]=$B154)*(PptoSty[Vrs]=$D154)*(PptoSty[PiRow]=_xlfn.TEXTAFTER($H154,":"))*(PptoSty[PiColumn]=T$54),0)),SUM(IF((INDIRECT($B$3)=$B154)*(INDIRECT($C$3)=$D154)*((INDIRECT($E$3)="TOTS")+(INDIRECT($E$3)=$E154)),INDIRECT(T$3)))),_xlpm.y,SUM(_xlfn.CHOOSECOLS(_xlfn._xlws.FILTER(F_RT14[],(F_RT14[PrjId]=$B154)*(F_RT14[Vrs]=$D154)*(_xlfn.TEXTAFTER(F_RT14[ActGrp],":")=_xlfn.TEXTAFTER($H154,":")),"X"),MATCH("*"&amp;T$54,F_RT14[#Headers],0))),IF(AND(_xlpm.x=0,_xlpm.y&lt;&gt;0),-1,IF(AND(_xlpm.x&lt;&gt;0,_xlpm.y&lt;&gt;0),_xlpm.x,IF(AND(_xlpm.x-SUM(IF((INDIRECT($B$3)=$B154)*(INDIRECT($C$3)=$D154)*((INDIRECT($E$3)="TOTS")+(INDIRECT($E$3)=$E154)),INDIRECT(T$3)))&lt;&gt;0,_xlpm.y=0),-2,_xlpm.x)))),0))</f>
        <v>0</v>
      </c>
      <c r="U154" s="199" cm="1">
        <f t="array" aca="1" ref="U154" ca="1">IF(OR($B154="",$B154="X",$D154="",$D154="X",$E154="",$E154="X"),0,IFERROR(_xlfn.LET(_xlpm.x,SUM(SUM(_xlfn._xlws.FILTER(VALUE(PptoSty[Sign]&amp;1)*(1/PptoSty[Division]),(PptoSty[Division]&lt;&gt;0)*(PptoSty[Division]&lt;&gt;"")*(PptoSty[Division]&lt;&gt;"X")*(PptoSty[Project]=$B154)*(PptoSty[Vrs]=$D154)*(PptoSty[PiRow]=_xlfn.TEXTAFTER($H154,":"))*(PptoSty[PiColumn]=U$54),0)),SUM(IF((INDIRECT($B$3)=$B154)*(INDIRECT($C$3)=$D154)*((INDIRECT($E$3)="TOTS")+(INDIRECT($E$3)=$E154)),INDIRECT(U$3)))),_xlpm.y,SUM(_xlfn.CHOOSECOLS(_xlfn._xlws.FILTER(F_RT14[],(F_RT14[PrjId]=$B154)*(F_RT14[Vrs]=$D154)*(_xlfn.TEXTAFTER(F_RT14[ActGrp],":")=_xlfn.TEXTAFTER($H154,":")),"X"),MATCH("*"&amp;U$54,F_RT14[#Headers],0))),IF(AND(_xlpm.x=0,_xlpm.y&lt;&gt;0),-1,IF(AND(_xlpm.x&lt;&gt;0,_xlpm.y&lt;&gt;0),_xlpm.x,IF(AND(_xlpm.x-SUM(IF((INDIRECT($B$3)=$B154)*(INDIRECT($C$3)=$D154)*((INDIRECT($E$3)="TOTS")+(INDIRECT($E$3)=$E154)),INDIRECT(U$3)))&lt;&gt;0,_xlpm.y=0),-2,_xlpm.x)))),0))</f>
        <v>0</v>
      </c>
      <c r="V154" s="199" cm="1">
        <f t="array" aca="1" ref="V154" ca="1">IF(OR($B154="",$B154="X",$D154="",$D154="X",$E154="",$E154="X"),0,IFERROR(_xlfn.LET(_xlpm.x,SUM(SUM(_xlfn._xlws.FILTER(VALUE(PptoSty[Sign]&amp;1)*(1/PptoSty[Division]),(PptoSty[Division]&lt;&gt;0)*(PptoSty[Division]&lt;&gt;"")*(PptoSty[Division]&lt;&gt;"X")*(PptoSty[Project]=$B154)*(PptoSty[Vrs]=$D154)*(PptoSty[PiRow]=_xlfn.TEXTAFTER($H154,":"))*(PptoSty[PiColumn]=V$54),0)),SUM(IF((INDIRECT($B$3)=$B154)*(INDIRECT($C$3)=$D154)*((INDIRECT($E$3)="TOTS")+(INDIRECT($E$3)=$E154)),INDIRECT(V$3)))),_xlpm.y,SUM(_xlfn.CHOOSECOLS(_xlfn._xlws.FILTER(F_RT14[],(F_RT14[PrjId]=$B154)*(F_RT14[Vrs]=$D154)*(_xlfn.TEXTAFTER(F_RT14[ActGrp],":")=_xlfn.TEXTAFTER($H154,":")),"X"),MATCH("*"&amp;V$54,F_RT14[#Headers],0))),IF(AND(_xlpm.x=0,_xlpm.y&lt;&gt;0),-1,IF(AND(_xlpm.x&lt;&gt;0,_xlpm.y&lt;&gt;0),_xlpm.x,IF(AND(_xlpm.x-SUM(IF((INDIRECT($B$3)=$B154)*(INDIRECT($C$3)=$D154)*((INDIRECT($E$3)="TOTS")+(INDIRECT($E$3)=$E154)),INDIRECT(V$3)))&lt;&gt;0,_xlpm.y=0),-2,_xlpm.x)))),0))</f>
        <v>0</v>
      </c>
      <c r="W154" s="199" cm="1">
        <f t="array" aca="1" ref="W154" ca="1">IF(OR($B154="",$B154="X",$D154="",$D154="X",$E154="",$E154="X"),0,IFERROR(_xlfn.LET(_xlpm.x,SUM(SUM(_xlfn._xlws.FILTER(VALUE(PptoSty[Sign]&amp;1)*(1/PptoSty[Division]),(PptoSty[Division]&lt;&gt;0)*(PptoSty[Division]&lt;&gt;"")*(PptoSty[Division]&lt;&gt;"X")*(PptoSty[Project]=$B154)*(PptoSty[Vrs]=$D154)*(PptoSty[PiRow]=_xlfn.TEXTAFTER($H154,":"))*(PptoSty[PiColumn]=W$54),0)),SUM(IF((INDIRECT($B$3)=$B154)*(INDIRECT($C$3)=$D154)*((INDIRECT($E$3)="TOTS")+(INDIRECT($E$3)=$E154)),INDIRECT(W$3)))),_xlpm.y,SUM(_xlfn.CHOOSECOLS(_xlfn._xlws.FILTER(F_RT14[],(F_RT14[PrjId]=$B154)*(F_RT14[Vrs]=$D154)*(_xlfn.TEXTAFTER(F_RT14[ActGrp],":")=_xlfn.TEXTAFTER($H154,":")),"X"),MATCH("*"&amp;W$54,F_RT14[#Headers],0))),IF(AND(_xlpm.x=0,_xlpm.y&lt;&gt;0),-1,IF(AND(_xlpm.x&lt;&gt;0,_xlpm.y&lt;&gt;0),_xlpm.x,IF(AND(_xlpm.x-SUM(IF((INDIRECT($B$3)=$B154)*(INDIRECT($C$3)=$D154)*((INDIRECT($E$3)="TOTS")+(INDIRECT($E$3)=$E154)),INDIRECT(W$3)))&lt;&gt;0,_xlpm.y=0),-2,_xlpm.x)))),0))</f>
        <v>0</v>
      </c>
      <c r="X154" s="199" cm="1">
        <f t="array" aca="1" ref="X154" ca="1">IF(OR($B154="",$B154="X",$D154="",$D154="X",$E154="",$E154="X"),0,IFERROR(_xlfn.LET(_xlpm.x,SUM(SUM(_xlfn._xlws.FILTER(VALUE(PptoSty[Sign]&amp;1)*(1/PptoSty[Division]),(PptoSty[Division]&lt;&gt;0)*(PptoSty[Division]&lt;&gt;"")*(PptoSty[Division]&lt;&gt;"X")*(PptoSty[Project]=$B154)*(PptoSty[Vrs]=$D154)*(PptoSty[PiRow]=_xlfn.TEXTAFTER($H154,":"))*(PptoSty[PiColumn]=X$54),0)),SUM(IF((INDIRECT($B$3)=$B154)*(INDIRECT($C$3)=$D154)*((INDIRECT($E$3)="TOTS")+(INDIRECT($E$3)=$E154)),INDIRECT(X$3)))),_xlpm.y,SUM(_xlfn.CHOOSECOLS(_xlfn._xlws.FILTER(F_RT14[],(F_RT14[PrjId]=$B154)*(F_RT14[Vrs]=$D154)*(_xlfn.TEXTAFTER(F_RT14[ActGrp],":")=_xlfn.TEXTAFTER($H154,":")),"X"),MATCH("*"&amp;X$54,F_RT14[#Headers],0))),IF(AND(_xlpm.x=0,_xlpm.y&lt;&gt;0),-1,IF(AND(_xlpm.x&lt;&gt;0,_xlpm.y&lt;&gt;0),_xlpm.x,IF(AND(_xlpm.x-SUM(IF((INDIRECT($B$3)=$B154)*(INDIRECT($C$3)=$D154)*((INDIRECT($E$3)="TOTS")+(INDIRECT($E$3)=$E154)),INDIRECT(X$3)))&lt;&gt;0,_xlpm.y=0),-2,_xlpm.x)))),0))</f>
        <v>0</v>
      </c>
      <c r="Y154" s="199" cm="1">
        <f t="array" aca="1" ref="Y154" ca="1">IF(OR($B154="",$B154="X",$D154="",$D154="X",$E154="",$E154="X"),0,IFERROR(_xlfn.LET(_xlpm.x,SUM(SUM(_xlfn._xlws.FILTER(VALUE(PptoSty[Sign]&amp;1)*(1/PptoSty[Division]),(PptoSty[Division]&lt;&gt;0)*(PptoSty[Division]&lt;&gt;"")*(PptoSty[Division]&lt;&gt;"X")*(PptoSty[Project]=$B154)*(PptoSty[Vrs]=$D154)*(PptoSty[PiRow]=_xlfn.TEXTAFTER($H154,":"))*(PptoSty[PiColumn]=Y$54),0)),SUM(IF((INDIRECT($B$3)=$B154)*(INDIRECT($C$3)=$D154)*((INDIRECT($E$3)="TOTS")+(INDIRECT($E$3)=$E154)),INDIRECT(Y$3)))),_xlpm.y,SUM(_xlfn.CHOOSECOLS(_xlfn._xlws.FILTER(F_RT14[],(F_RT14[PrjId]=$B154)*(F_RT14[Vrs]=$D154)*(_xlfn.TEXTAFTER(F_RT14[ActGrp],":")=_xlfn.TEXTAFTER($H154,":")),"X"),MATCH("*"&amp;Y$54,F_RT14[#Headers],0))),IF(AND(_xlpm.x=0,_xlpm.y&lt;&gt;0),-1,IF(AND(_xlpm.x&lt;&gt;0,_xlpm.y&lt;&gt;0),_xlpm.x,IF(AND(_xlpm.x-SUM(IF((INDIRECT($B$3)=$B154)*(INDIRECT($C$3)=$D154)*((INDIRECT($E$3)="TOTS")+(INDIRECT($E$3)=$E154)),INDIRECT(Y$3)))&lt;&gt;0,_xlpm.y=0),-2,_xlpm.x)))),0))</f>
        <v>0</v>
      </c>
      <c r="Z154" s="198" t="str">
        <f t="shared" ca="1" si="3"/>
        <v>Fback!B154:Y154</v>
      </c>
    </row>
    <row r="155" spans="2:26" ht="21" customHeight="1" outlineLevel="1">
      <c r="B155" s="128" t="str">
        <v>31200</v>
      </c>
      <c r="C155" s="128" t="str">
        <v>Sp</v>
      </c>
      <c r="D155" s="128">
        <v>16</v>
      </c>
      <c r="E155" s="128" t="str">
        <v>CELL</v>
      </c>
      <c r="F155" s="139" t="str">
        <v>SERRA</v>
      </c>
      <c r="G155" s="139" t="str">
        <v>CurPpto</v>
      </c>
      <c r="H155" s="139" t="str">
        <v>P030:AGV STILLAGE PROTOTYPE PR-31200:11</v>
      </c>
      <c r="I155" s="199" cm="1">
        <f t="array" aca="1" ref="I155" ca="1">IF(OR($B155="",$B155="X",$D155="",$D155="X",$E155="",$E155="X"),0,IFERROR(_xlfn.LET(_xlpm.x,SUM(SUM(_xlfn._xlws.FILTER(VALUE(PptoSty[Sign]&amp;1)*(1/PptoSty[Division]),(PptoSty[Division]&lt;&gt;0)*(PptoSty[Division]&lt;&gt;"")*(PptoSty[Division]&lt;&gt;"X")*(PptoSty[Project]=$B155)*(PptoSty[Vrs]=$D155)*(PptoSty[PiRow]=_xlfn.TEXTAFTER($H155,":"))*(PptoSty[PiColumn]=I$54),0)),SUM(IF((INDIRECT($B$3)=$B155)*(INDIRECT($C$3)=$D155)*((INDIRECT($E$3)="TOTS")+(INDIRECT($E$3)=$E155)),INDIRECT(I$3)))),_xlpm.y,SUM(_xlfn.CHOOSECOLS(_xlfn._xlws.FILTER(F_RT14[],(F_RT14[PrjId]=$B155)*(F_RT14[Vrs]=$D155)*(_xlfn.TEXTAFTER(F_RT14[ActGrp],":")=_xlfn.TEXTAFTER($H155,":")),"X"),MATCH("*"&amp;I$54,F_RT14[#Headers],0))),IF(AND(_xlpm.x=0,_xlpm.y&lt;&gt;0),-1,IF(AND(_xlpm.x&lt;&gt;0,_xlpm.y&lt;&gt;0),_xlpm.x,IF(AND(_xlpm.x-SUM(IF((INDIRECT($B$3)=$B155)*(INDIRECT($C$3)=$D155)*((INDIRECT($E$3)="TOTS")+(INDIRECT($E$3)=$E155)),INDIRECT(I$3)))&lt;&gt;0,_xlpm.y=0),-2,_xlpm.x)))),0))</f>
        <v>0</v>
      </c>
      <c r="J155" s="199" cm="1">
        <f t="array" aca="1" ref="J155" ca="1">IF(OR($B155="",$B155="X",$D155="",$D155="X",$E155="",$E155="X"),0,IFERROR(_xlfn.LET(_xlpm.x,SUM(SUM(_xlfn._xlws.FILTER(VALUE(PptoSty[Sign]&amp;1)*(1/PptoSty[Division]),(PptoSty[Division]&lt;&gt;0)*(PptoSty[Division]&lt;&gt;"")*(PptoSty[Division]&lt;&gt;"X")*(PptoSty[Project]=$B155)*(PptoSty[Vrs]=$D155)*(PptoSty[PiRow]=_xlfn.TEXTAFTER($H155,":"))*(PptoSty[PiColumn]=J$54),0)),SUM(IF((INDIRECT($B$3)=$B155)*(INDIRECT($C$3)=$D155)*((INDIRECT($E$3)="TOTS")+(INDIRECT($E$3)=$E155)),INDIRECT(J$3)))),_xlpm.y,SUM(_xlfn.CHOOSECOLS(_xlfn._xlws.FILTER(F_RT14[],(F_RT14[PrjId]=$B155)*(F_RT14[Vrs]=$D155)*(_xlfn.TEXTAFTER(F_RT14[ActGrp],":")=_xlfn.TEXTAFTER($H155,":")),"X"),MATCH("*"&amp;J$54,F_RT14[#Headers],0))),IF(AND(_xlpm.x=0,_xlpm.y&lt;&gt;0),-1,IF(AND(_xlpm.x&lt;&gt;0,_xlpm.y&lt;&gt;0),_xlpm.x,IF(AND(_xlpm.x-SUM(IF((INDIRECT($B$3)=$B155)*(INDIRECT($C$3)=$D155)*((INDIRECT($E$3)="TOTS")+(INDIRECT($E$3)=$E155)),INDIRECT(J$3)))&lt;&gt;0,_xlpm.y=0),-2,_xlpm.x)))),0))</f>
        <v>0</v>
      </c>
      <c r="K155" s="199" cm="1">
        <f t="array" aca="1" ref="K155" ca="1">IF(OR($B155="",$B155="X",$D155="",$D155="X",$E155="",$E155="X"),0,IFERROR(_xlfn.LET(_xlpm.x,SUM(SUM(_xlfn._xlws.FILTER(VALUE(PptoSty[Sign]&amp;1)*(1/PptoSty[Division]),(PptoSty[Division]&lt;&gt;0)*(PptoSty[Division]&lt;&gt;"")*(PptoSty[Division]&lt;&gt;"X")*(PptoSty[Project]=$B155)*(PptoSty[Vrs]=$D155)*(PptoSty[PiRow]=_xlfn.TEXTAFTER($H155,":"))*(PptoSty[PiColumn]=K$54),0)),SUM(IF((INDIRECT($B$3)=$B155)*(INDIRECT($C$3)=$D155)*((INDIRECT($E$3)="TOTS")+(INDIRECT($E$3)=$E155)),INDIRECT(K$3)))),_xlpm.y,SUM(_xlfn.CHOOSECOLS(_xlfn._xlws.FILTER(F_RT14[],(F_RT14[PrjId]=$B155)*(F_RT14[Vrs]=$D155)*(_xlfn.TEXTAFTER(F_RT14[ActGrp],":")=_xlfn.TEXTAFTER($H155,":")),"X"),MATCH("*"&amp;K$54,F_RT14[#Headers],0))),IF(AND(_xlpm.x=0,_xlpm.y&lt;&gt;0),-1,IF(AND(_xlpm.x&lt;&gt;0,_xlpm.y&lt;&gt;0),_xlpm.x,IF(AND(_xlpm.x-SUM(IF((INDIRECT($B$3)=$B155)*(INDIRECT($C$3)=$D155)*((INDIRECT($E$3)="TOTS")+(INDIRECT($E$3)=$E155)),INDIRECT(K$3)))&lt;&gt;0,_xlpm.y=0),-2,_xlpm.x)))),0))</f>
        <v>-1</v>
      </c>
      <c r="L155" s="199" cm="1">
        <f t="array" aca="1" ref="L155" ca="1">IF(OR($B155="",$B155="X",$D155="",$D155="X",$E155="",$E155="X"),0,IFERROR(_xlfn.LET(_xlpm.x,SUM(SUM(_xlfn._xlws.FILTER(VALUE(PptoSty[Sign]&amp;1)*(1/PptoSty[Division]),(PptoSty[Division]&lt;&gt;0)*(PptoSty[Division]&lt;&gt;"")*(PptoSty[Division]&lt;&gt;"X")*(PptoSty[Project]=$B155)*(PptoSty[Vrs]=$D155)*(PptoSty[PiRow]=_xlfn.TEXTAFTER($H155,":"))*(PptoSty[PiColumn]=L$54),0)),SUM(IF((INDIRECT($B$3)=$B155)*(INDIRECT($C$3)=$D155)*((INDIRECT($E$3)="TOTS")+(INDIRECT($E$3)=$E155)),INDIRECT(L$3)))),_xlpm.y,SUM(_xlfn.CHOOSECOLS(_xlfn._xlws.FILTER(F_RT14[],(F_RT14[PrjId]=$B155)*(F_RT14[Vrs]=$D155)*(_xlfn.TEXTAFTER(F_RT14[ActGrp],":")=_xlfn.TEXTAFTER($H155,":")),"X"),MATCH("*"&amp;L$54,F_RT14[#Headers],0))),IF(AND(_xlpm.x=0,_xlpm.y&lt;&gt;0),-1,IF(AND(_xlpm.x&lt;&gt;0,_xlpm.y&lt;&gt;0),_xlpm.x,IF(AND(_xlpm.x-SUM(IF((INDIRECT($B$3)=$B155)*(INDIRECT($C$3)=$D155)*((INDIRECT($E$3)="TOTS")+(INDIRECT($E$3)=$E155)),INDIRECT(L$3)))&lt;&gt;0,_xlpm.y=0),-2,_xlpm.x)))),0))</f>
        <v>0</v>
      </c>
      <c r="M155" s="199" cm="1">
        <f t="array" aca="1" ref="M155" ca="1">IF(OR($B155="",$B155="X",$D155="",$D155="X",$E155="",$E155="X"),0,IFERROR(_xlfn.LET(_xlpm.x,SUM(SUM(_xlfn._xlws.FILTER(VALUE(PptoSty[Sign]&amp;1)*(1/PptoSty[Division]),(PptoSty[Division]&lt;&gt;0)*(PptoSty[Division]&lt;&gt;"")*(PptoSty[Division]&lt;&gt;"X")*(PptoSty[Project]=$B155)*(PptoSty[Vrs]=$D155)*(PptoSty[PiRow]=_xlfn.TEXTAFTER($H155,":"))*(PptoSty[PiColumn]=M$54),0)),SUM(IF((INDIRECT($B$3)=$B155)*(INDIRECT($C$3)=$D155)*((INDIRECT($E$3)="TOTS")+(INDIRECT($E$3)=$E155)),INDIRECT(M$3)))),_xlpm.y,SUM(_xlfn.CHOOSECOLS(_xlfn._xlws.FILTER(F_RT14[],(F_RT14[PrjId]=$B155)*(F_RT14[Vrs]=$D155)*(_xlfn.TEXTAFTER(F_RT14[ActGrp],":")=_xlfn.TEXTAFTER($H155,":")),"X"),MATCH("*"&amp;M$54,F_RT14[#Headers],0))),IF(AND(_xlpm.x=0,_xlpm.y&lt;&gt;0),-1,IF(AND(_xlpm.x&lt;&gt;0,_xlpm.y&lt;&gt;0),_xlpm.x,IF(AND(_xlpm.x-SUM(IF((INDIRECT($B$3)=$B155)*(INDIRECT($C$3)=$D155)*((INDIRECT($E$3)="TOTS")+(INDIRECT($E$3)=$E155)),INDIRECT(M$3)))&lt;&gt;0,_xlpm.y=0),-2,_xlpm.x)))),0))</f>
        <v>0</v>
      </c>
      <c r="N155" s="199" cm="1">
        <f t="array" aca="1" ref="N155" ca="1">IF(OR($B155="",$B155="X",$D155="",$D155="X",$E155="",$E155="X"),0,IFERROR(_xlfn.LET(_xlpm.x,SUM(SUM(_xlfn._xlws.FILTER(VALUE(PptoSty[Sign]&amp;1)*(1/PptoSty[Division]),(PptoSty[Division]&lt;&gt;0)*(PptoSty[Division]&lt;&gt;"")*(PptoSty[Division]&lt;&gt;"X")*(PptoSty[Project]=$B155)*(PptoSty[Vrs]=$D155)*(PptoSty[PiRow]=_xlfn.TEXTAFTER($H155,":"))*(PptoSty[PiColumn]=N$54),0)),SUM(IF((INDIRECT($B$3)=$B155)*(INDIRECT($C$3)=$D155)*((INDIRECT($E$3)="TOTS")+(INDIRECT($E$3)=$E155)),INDIRECT(N$3)))),_xlpm.y,SUM(_xlfn.CHOOSECOLS(_xlfn._xlws.FILTER(F_RT14[],(F_RT14[PrjId]=$B155)*(F_RT14[Vrs]=$D155)*(_xlfn.TEXTAFTER(F_RT14[ActGrp],":")=_xlfn.TEXTAFTER($H155,":")),"X"),MATCH("*"&amp;N$54,F_RT14[#Headers],0))),IF(AND(_xlpm.x=0,_xlpm.y&lt;&gt;0),-1,IF(AND(_xlpm.x&lt;&gt;0,_xlpm.y&lt;&gt;0),_xlpm.x,IF(AND(_xlpm.x-SUM(IF((INDIRECT($B$3)=$B155)*(INDIRECT($C$3)=$D155)*((INDIRECT($E$3)="TOTS")+(INDIRECT($E$3)=$E155)),INDIRECT(N$3)))&lt;&gt;0,_xlpm.y=0),-2,_xlpm.x)))),0))</f>
        <v>0</v>
      </c>
      <c r="O155" s="199" cm="1">
        <f t="array" aca="1" ref="O155" ca="1">IF(OR($B155="",$B155="X",$D155="",$D155="X",$E155="",$E155="X"),0,IFERROR(_xlfn.LET(_xlpm.x,SUM(SUM(_xlfn._xlws.FILTER(VALUE(PptoSty[Sign]&amp;1)*(1/PptoSty[Division]),(PptoSty[Division]&lt;&gt;0)*(PptoSty[Division]&lt;&gt;"")*(PptoSty[Division]&lt;&gt;"X")*(PptoSty[Project]=$B155)*(PptoSty[Vrs]=$D155)*(PptoSty[PiRow]=_xlfn.TEXTAFTER($H155,":"))*(PptoSty[PiColumn]=O$54),0)),SUM(IF((INDIRECT($B$3)=$B155)*(INDIRECT($C$3)=$D155)*((INDIRECT($E$3)="TOTS")+(INDIRECT($E$3)=$E155)),INDIRECT(O$3)))),_xlpm.y,SUM(_xlfn.CHOOSECOLS(_xlfn._xlws.FILTER(F_RT14[],(F_RT14[PrjId]=$B155)*(F_RT14[Vrs]=$D155)*(_xlfn.TEXTAFTER(F_RT14[ActGrp],":")=_xlfn.TEXTAFTER($H155,":")),"X"),MATCH("*"&amp;O$54,F_RT14[#Headers],0))),IF(AND(_xlpm.x=0,_xlpm.y&lt;&gt;0),-1,IF(AND(_xlpm.x&lt;&gt;0,_xlpm.y&lt;&gt;0),_xlpm.x,IF(AND(_xlpm.x-SUM(IF((INDIRECT($B$3)=$B155)*(INDIRECT($C$3)=$D155)*((INDIRECT($E$3)="TOTS")+(INDIRECT($E$3)=$E155)),INDIRECT(O$3)))&lt;&gt;0,_xlpm.y=0),-2,_xlpm.x)))),0))</f>
        <v>0</v>
      </c>
      <c r="P155" s="199" cm="1">
        <f t="array" aca="1" ref="P155" ca="1">IF(OR($B155="",$B155="X",$D155="",$D155="X",$E155="",$E155="X"),0,IFERROR(_xlfn.LET(_xlpm.x,SUM(SUM(_xlfn._xlws.FILTER(VALUE(PptoSty[Sign]&amp;1)*(1/PptoSty[Division]),(PptoSty[Division]&lt;&gt;0)*(PptoSty[Division]&lt;&gt;"")*(PptoSty[Division]&lt;&gt;"X")*(PptoSty[Project]=$B155)*(PptoSty[Vrs]=$D155)*(PptoSty[PiRow]=_xlfn.TEXTAFTER($H155,":"))*(PptoSty[PiColumn]=P$54),0)),SUM(IF((INDIRECT($B$3)=$B155)*(INDIRECT($C$3)=$D155)*((INDIRECT($E$3)="TOTS")+(INDIRECT($E$3)=$E155)),INDIRECT(P$3)))),_xlpm.y,SUM(_xlfn.CHOOSECOLS(_xlfn._xlws.FILTER(F_RT14[],(F_RT14[PrjId]=$B155)*(F_RT14[Vrs]=$D155)*(_xlfn.TEXTAFTER(F_RT14[ActGrp],":")=_xlfn.TEXTAFTER($H155,":")),"X"),MATCH("*"&amp;P$54,F_RT14[#Headers],0))),IF(AND(_xlpm.x=0,_xlpm.y&lt;&gt;0),-1,IF(AND(_xlpm.x&lt;&gt;0,_xlpm.y&lt;&gt;0),_xlpm.x,IF(AND(_xlpm.x-SUM(IF((INDIRECT($B$3)=$B155)*(INDIRECT($C$3)=$D155)*((INDIRECT($E$3)="TOTS")+(INDIRECT($E$3)=$E155)),INDIRECT(P$3)))&lt;&gt;0,_xlpm.y=0),-2,_xlpm.x)))),0))</f>
        <v>0</v>
      </c>
      <c r="Q155" s="199" cm="1">
        <f t="array" aca="1" ref="Q155" ca="1">IF(OR($B155="",$B155="X",$D155="",$D155="X",$E155="",$E155="X"),0,IFERROR(_xlfn.LET(_xlpm.x,SUM(SUM(_xlfn._xlws.FILTER(VALUE(PptoSty[Sign]&amp;1)*(1/PptoSty[Division]),(PptoSty[Division]&lt;&gt;0)*(PptoSty[Division]&lt;&gt;"")*(PptoSty[Division]&lt;&gt;"X")*(PptoSty[Project]=$B155)*(PptoSty[Vrs]=$D155)*(PptoSty[PiRow]=_xlfn.TEXTAFTER($H155,":"))*(PptoSty[PiColumn]=Q$54),0)),SUM(IF((INDIRECT($B$3)=$B155)*(INDIRECT($C$3)=$D155)*((INDIRECT($E$3)="TOTS")+(INDIRECT($E$3)=$E155)),INDIRECT(Q$3)))),_xlpm.y,SUM(_xlfn.CHOOSECOLS(_xlfn._xlws.FILTER(F_RT14[],(F_RT14[PrjId]=$B155)*(F_RT14[Vrs]=$D155)*(_xlfn.TEXTAFTER(F_RT14[ActGrp],":")=_xlfn.TEXTAFTER($H155,":")),"X"),MATCH("*"&amp;Q$54,F_RT14[#Headers],0))),IF(AND(_xlpm.x=0,_xlpm.y&lt;&gt;0),-1,IF(AND(_xlpm.x&lt;&gt;0,_xlpm.y&lt;&gt;0),_xlpm.x,IF(AND(_xlpm.x-SUM(IF((INDIRECT($B$3)=$B155)*(INDIRECT($C$3)=$D155)*((INDIRECT($E$3)="TOTS")+(INDIRECT($E$3)=$E155)),INDIRECT(Q$3)))&lt;&gt;0,_xlpm.y=0),-2,_xlpm.x)))),0))</f>
        <v>0</v>
      </c>
      <c r="R155" s="199" cm="1">
        <f t="array" aca="1" ref="R155" ca="1">IF(OR($B155="",$B155="X",$D155="",$D155="X",$E155="",$E155="X"),0,IFERROR(_xlfn.LET(_xlpm.x,SUM(SUM(_xlfn._xlws.FILTER(VALUE(PptoSty[Sign]&amp;1)*(1/PptoSty[Division]),(PptoSty[Division]&lt;&gt;0)*(PptoSty[Division]&lt;&gt;"")*(PptoSty[Division]&lt;&gt;"X")*(PptoSty[Project]=$B155)*(PptoSty[Vrs]=$D155)*(PptoSty[PiRow]=_xlfn.TEXTAFTER($H155,":"))*(PptoSty[PiColumn]=R$54),0)),SUM(IF((INDIRECT($B$3)=$B155)*(INDIRECT($C$3)=$D155)*((INDIRECT($E$3)="TOTS")+(INDIRECT($E$3)=$E155)),INDIRECT(R$3)))),_xlpm.y,SUM(_xlfn.CHOOSECOLS(_xlfn._xlws.FILTER(F_RT14[],(F_RT14[PrjId]=$B155)*(F_RT14[Vrs]=$D155)*(_xlfn.TEXTAFTER(F_RT14[ActGrp],":")=_xlfn.TEXTAFTER($H155,":")),"X"),MATCH("*"&amp;R$54,F_RT14[#Headers],0))),IF(AND(_xlpm.x=0,_xlpm.y&lt;&gt;0),-1,IF(AND(_xlpm.x&lt;&gt;0,_xlpm.y&lt;&gt;0),_xlpm.x,IF(AND(_xlpm.x-SUM(IF((INDIRECT($B$3)=$B155)*(INDIRECT($C$3)=$D155)*((INDIRECT($E$3)="TOTS")+(INDIRECT($E$3)=$E155)),INDIRECT(R$3)))&lt;&gt;0,_xlpm.y=0),-2,_xlpm.x)))),0))</f>
        <v>0</v>
      </c>
      <c r="S155" s="199" cm="1">
        <f t="array" aca="1" ref="S155" ca="1">IF(OR($B155="",$B155="X",$D155="",$D155="X",$E155="",$E155="X"),0,IFERROR(_xlfn.LET(_xlpm.x,SUM(SUM(_xlfn._xlws.FILTER(VALUE(PptoSty[Sign]&amp;1)*(1/PptoSty[Division]),(PptoSty[Division]&lt;&gt;0)*(PptoSty[Division]&lt;&gt;"")*(PptoSty[Division]&lt;&gt;"X")*(PptoSty[Project]=$B155)*(PptoSty[Vrs]=$D155)*(PptoSty[PiRow]=_xlfn.TEXTAFTER($H155,":"))*(PptoSty[PiColumn]=S$54),0)),SUM(IF((INDIRECT($B$3)=$B155)*(INDIRECT($C$3)=$D155)*((INDIRECT($E$3)="TOTS")+(INDIRECT($E$3)=$E155)),INDIRECT(S$3)))),_xlpm.y,SUM(_xlfn.CHOOSECOLS(_xlfn._xlws.FILTER(F_RT14[],(F_RT14[PrjId]=$B155)*(F_RT14[Vrs]=$D155)*(_xlfn.TEXTAFTER(F_RT14[ActGrp],":")=_xlfn.TEXTAFTER($H155,":")),"X"),MATCH("*"&amp;S$54,F_RT14[#Headers],0))),IF(AND(_xlpm.x=0,_xlpm.y&lt;&gt;0),-1,IF(AND(_xlpm.x&lt;&gt;0,_xlpm.y&lt;&gt;0),_xlpm.x,IF(AND(_xlpm.x-SUM(IF((INDIRECT($B$3)=$B155)*(INDIRECT($C$3)=$D155)*((INDIRECT($E$3)="TOTS")+(INDIRECT($E$3)=$E155)),INDIRECT(S$3)))&lt;&gt;0,_xlpm.y=0),-2,_xlpm.x)))),0))</f>
        <v>0</v>
      </c>
      <c r="T155" s="199" cm="1">
        <f t="array" aca="1" ref="T155" ca="1">IF(OR($B155="",$B155="X",$D155="",$D155="X",$E155="",$E155="X"),0,IFERROR(_xlfn.LET(_xlpm.x,SUM(SUM(_xlfn._xlws.FILTER(VALUE(PptoSty[Sign]&amp;1)*(1/PptoSty[Division]),(PptoSty[Division]&lt;&gt;0)*(PptoSty[Division]&lt;&gt;"")*(PptoSty[Division]&lt;&gt;"X")*(PptoSty[Project]=$B155)*(PptoSty[Vrs]=$D155)*(PptoSty[PiRow]=_xlfn.TEXTAFTER($H155,":"))*(PptoSty[PiColumn]=T$54),0)),SUM(IF((INDIRECT($B$3)=$B155)*(INDIRECT($C$3)=$D155)*((INDIRECT($E$3)="TOTS")+(INDIRECT($E$3)=$E155)),INDIRECT(T$3)))),_xlpm.y,SUM(_xlfn.CHOOSECOLS(_xlfn._xlws.FILTER(F_RT14[],(F_RT14[PrjId]=$B155)*(F_RT14[Vrs]=$D155)*(_xlfn.TEXTAFTER(F_RT14[ActGrp],":")=_xlfn.TEXTAFTER($H155,":")),"X"),MATCH("*"&amp;T$54,F_RT14[#Headers],0))),IF(AND(_xlpm.x=0,_xlpm.y&lt;&gt;0),-1,IF(AND(_xlpm.x&lt;&gt;0,_xlpm.y&lt;&gt;0),_xlpm.x,IF(AND(_xlpm.x-SUM(IF((INDIRECT($B$3)=$B155)*(INDIRECT($C$3)=$D155)*((INDIRECT($E$3)="TOTS")+(INDIRECT($E$3)=$E155)),INDIRECT(T$3)))&lt;&gt;0,_xlpm.y=0),-2,_xlpm.x)))),0))</f>
        <v>0</v>
      </c>
      <c r="U155" s="199" cm="1">
        <f t="array" aca="1" ref="U155" ca="1">IF(OR($B155="",$B155="X",$D155="",$D155="X",$E155="",$E155="X"),0,IFERROR(_xlfn.LET(_xlpm.x,SUM(SUM(_xlfn._xlws.FILTER(VALUE(PptoSty[Sign]&amp;1)*(1/PptoSty[Division]),(PptoSty[Division]&lt;&gt;0)*(PptoSty[Division]&lt;&gt;"")*(PptoSty[Division]&lt;&gt;"X")*(PptoSty[Project]=$B155)*(PptoSty[Vrs]=$D155)*(PptoSty[PiRow]=_xlfn.TEXTAFTER($H155,":"))*(PptoSty[PiColumn]=U$54),0)),SUM(IF((INDIRECT($B$3)=$B155)*(INDIRECT($C$3)=$D155)*((INDIRECT($E$3)="TOTS")+(INDIRECT($E$3)=$E155)),INDIRECT(U$3)))),_xlpm.y,SUM(_xlfn.CHOOSECOLS(_xlfn._xlws.FILTER(F_RT14[],(F_RT14[PrjId]=$B155)*(F_RT14[Vrs]=$D155)*(_xlfn.TEXTAFTER(F_RT14[ActGrp],":")=_xlfn.TEXTAFTER($H155,":")),"X"),MATCH("*"&amp;U$54,F_RT14[#Headers],0))),IF(AND(_xlpm.x=0,_xlpm.y&lt;&gt;0),-1,IF(AND(_xlpm.x&lt;&gt;0,_xlpm.y&lt;&gt;0),_xlpm.x,IF(AND(_xlpm.x-SUM(IF((INDIRECT($B$3)=$B155)*(INDIRECT($C$3)=$D155)*((INDIRECT($E$3)="TOTS")+(INDIRECT($E$3)=$E155)),INDIRECT(U$3)))&lt;&gt;0,_xlpm.y=0),-2,_xlpm.x)))),0))</f>
        <v>0</v>
      </c>
      <c r="V155" s="199" cm="1">
        <f t="array" aca="1" ref="V155" ca="1">IF(OR($B155="",$B155="X",$D155="",$D155="X",$E155="",$E155="X"),0,IFERROR(_xlfn.LET(_xlpm.x,SUM(SUM(_xlfn._xlws.FILTER(VALUE(PptoSty[Sign]&amp;1)*(1/PptoSty[Division]),(PptoSty[Division]&lt;&gt;0)*(PptoSty[Division]&lt;&gt;"")*(PptoSty[Division]&lt;&gt;"X")*(PptoSty[Project]=$B155)*(PptoSty[Vrs]=$D155)*(PptoSty[PiRow]=_xlfn.TEXTAFTER($H155,":"))*(PptoSty[PiColumn]=V$54),0)),SUM(IF((INDIRECT($B$3)=$B155)*(INDIRECT($C$3)=$D155)*((INDIRECT($E$3)="TOTS")+(INDIRECT($E$3)=$E155)),INDIRECT(V$3)))),_xlpm.y,SUM(_xlfn.CHOOSECOLS(_xlfn._xlws.FILTER(F_RT14[],(F_RT14[PrjId]=$B155)*(F_RT14[Vrs]=$D155)*(_xlfn.TEXTAFTER(F_RT14[ActGrp],":")=_xlfn.TEXTAFTER($H155,":")),"X"),MATCH("*"&amp;V$54,F_RT14[#Headers],0))),IF(AND(_xlpm.x=0,_xlpm.y&lt;&gt;0),-1,IF(AND(_xlpm.x&lt;&gt;0,_xlpm.y&lt;&gt;0),_xlpm.x,IF(AND(_xlpm.x-SUM(IF((INDIRECT($B$3)=$B155)*(INDIRECT($C$3)=$D155)*((INDIRECT($E$3)="TOTS")+(INDIRECT($E$3)=$E155)),INDIRECT(V$3)))&lt;&gt;0,_xlpm.y=0),-2,_xlpm.x)))),0))</f>
        <v>0</v>
      </c>
      <c r="W155" s="199" cm="1">
        <f t="array" aca="1" ref="W155" ca="1">IF(OR($B155="",$B155="X",$D155="",$D155="X",$E155="",$E155="X"),0,IFERROR(_xlfn.LET(_xlpm.x,SUM(SUM(_xlfn._xlws.FILTER(VALUE(PptoSty[Sign]&amp;1)*(1/PptoSty[Division]),(PptoSty[Division]&lt;&gt;0)*(PptoSty[Division]&lt;&gt;"")*(PptoSty[Division]&lt;&gt;"X")*(PptoSty[Project]=$B155)*(PptoSty[Vrs]=$D155)*(PptoSty[PiRow]=_xlfn.TEXTAFTER($H155,":"))*(PptoSty[PiColumn]=W$54),0)),SUM(IF((INDIRECT($B$3)=$B155)*(INDIRECT($C$3)=$D155)*((INDIRECT($E$3)="TOTS")+(INDIRECT($E$3)=$E155)),INDIRECT(W$3)))),_xlpm.y,SUM(_xlfn.CHOOSECOLS(_xlfn._xlws.FILTER(F_RT14[],(F_RT14[PrjId]=$B155)*(F_RT14[Vrs]=$D155)*(_xlfn.TEXTAFTER(F_RT14[ActGrp],":")=_xlfn.TEXTAFTER($H155,":")),"X"),MATCH("*"&amp;W$54,F_RT14[#Headers],0))),IF(AND(_xlpm.x=0,_xlpm.y&lt;&gt;0),-1,IF(AND(_xlpm.x&lt;&gt;0,_xlpm.y&lt;&gt;0),_xlpm.x,IF(AND(_xlpm.x-SUM(IF((INDIRECT($B$3)=$B155)*(INDIRECT($C$3)=$D155)*((INDIRECT($E$3)="TOTS")+(INDIRECT($E$3)=$E155)),INDIRECT(W$3)))&lt;&gt;0,_xlpm.y=0),-2,_xlpm.x)))),0))</f>
        <v>0</v>
      </c>
      <c r="X155" s="199" cm="1">
        <f t="array" aca="1" ref="X155" ca="1">IF(OR($B155="",$B155="X",$D155="",$D155="X",$E155="",$E155="X"),0,IFERROR(_xlfn.LET(_xlpm.x,SUM(SUM(_xlfn._xlws.FILTER(VALUE(PptoSty[Sign]&amp;1)*(1/PptoSty[Division]),(PptoSty[Division]&lt;&gt;0)*(PptoSty[Division]&lt;&gt;"")*(PptoSty[Division]&lt;&gt;"X")*(PptoSty[Project]=$B155)*(PptoSty[Vrs]=$D155)*(PptoSty[PiRow]=_xlfn.TEXTAFTER($H155,":"))*(PptoSty[PiColumn]=X$54),0)),SUM(IF((INDIRECT($B$3)=$B155)*(INDIRECT($C$3)=$D155)*((INDIRECT($E$3)="TOTS")+(INDIRECT($E$3)=$E155)),INDIRECT(X$3)))),_xlpm.y,SUM(_xlfn.CHOOSECOLS(_xlfn._xlws.FILTER(F_RT14[],(F_RT14[PrjId]=$B155)*(F_RT14[Vrs]=$D155)*(_xlfn.TEXTAFTER(F_RT14[ActGrp],":")=_xlfn.TEXTAFTER($H155,":")),"X"),MATCH("*"&amp;X$54,F_RT14[#Headers],0))),IF(AND(_xlpm.x=0,_xlpm.y&lt;&gt;0),-1,IF(AND(_xlpm.x&lt;&gt;0,_xlpm.y&lt;&gt;0),_xlpm.x,IF(AND(_xlpm.x-SUM(IF((INDIRECT($B$3)=$B155)*(INDIRECT($C$3)=$D155)*((INDIRECT($E$3)="TOTS")+(INDIRECT($E$3)=$E155)),INDIRECT(X$3)))&lt;&gt;0,_xlpm.y=0),-2,_xlpm.x)))),0))</f>
        <v>0</v>
      </c>
      <c r="Y155" s="199" cm="1">
        <f t="array" aca="1" ref="Y155" ca="1">IF(OR($B155="",$B155="X",$D155="",$D155="X",$E155="",$E155="X"),0,IFERROR(_xlfn.LET(_xlpm.x,SUM(SUM(_xlfn._xlws.FILTER(VALUE(PptoSty[Sign]&amp;1)*(1/PptoSty[Division]),(PptoSty[Division]&lt;&gt;0)*(PptoSty[Division]&lt;&gt;"")*(PptoSty[Division]&lt;&gt;"X")*(PptoSty[Project]=$B155)*(PptoSty[Vrs]=$D155)*(PptoSty[PiRow]=_xlfn.TEXTAFTER($H155,":"))*(PptoSty[PiColumn]=Y$54),0)),SUM(IF((INDIRECT($B$3)=$B155)*(INDIRECT($C$3)=$D155)*((INDIRECT($E$3)="TOTS")+(INDIRECT($E$3)=$E155)),INDIRECT(Y$3)))),_xlpm.y,SUM(_xlfn.CHOOSECOLS(_xlfn._xlws.FILTER(F_RT14[],(F_RT14[PrjId]=$B155)*(F_RT14[Vrs]=$D155)*(_xlfn.TEXTAFTER(F_RT14[ActGrp],":")=_xlfn.TEXTAFTER($H155,":")),"X"),MATCH("*"&amp;Y$54,F_RT14[#Headers],0))),IF(AND(_xlpm.x=0,_xlpm.y&lt;&gt;0),-1,IF(AND(_xlpm.x&lt;&gt;0,_xlpm.y&lt;&gt;0),_xlpm.x,IF(AND(_xlpm.x-SUM(IF((INDIRECT($B$3)=$B155)*(INDIRECT($C$3)=$D155)*((INDIRECT($E$3)="TOTS")+(INDIRECT($E$3)=$E155)),INDIRECT(Y$3)))&lt;&gt;0,_xlpm.y=0),-2,_xlpm.x)))),0))</f>
        <v>0</v>
      </c>
      <c r="Z155" s="198" t="str">
        <f t="shared" ca="1" si="3"/>
        <v>Fback!B155:Y155</v>
      </c>
    </row>
    <row r="156" spans="2:26" ht="21" customHeight="1" outlineLevel="1">
      <c r="B156" s="128" t="str">
        <v>31200</v>
      </c>
      <c r="C156" s="128" t="str">
        <v>Sp</v>
      </c>
      <c r="D156" s="128">
        <v>16</v>
      </c>
      <c r="E156" s="128" t="str">
        <v>TOOL</v>
      </c>
      <c r="F156" s="139" t="str">
        <v>SERRA</v>
      </c>
      <c r="G156" s="139" t="str">
        <v>CurPpto</v>
      </c>
      <c r="H156" s="139" t="str">
        <v>P031:OP-205.1 MIG WELD (GEO)</v>
      </c>
      <c r="I156" s="199" cm="1">
        <f t="array" aca="1" ref="I156" ca="1">IF(OR($B156="",$B156="X",$D156="",$D156="X",$E156="",$E156="X"),0,IFERROR(_xlfn.LET(_xlpm.x,SUM(SUM(_xlfn._xlws.FILTER(VALUE(PptoSty[Sign]&amp;1)*(1/PptoSty[Division]),(PptoSty[Division]&lt;&gt;0)*(PptoSty[Division]&lt;&gt;"")*(PptoSty[Division]&lt;&gt;"X")*(PptoSty[Project]=$B156)*(PptoSty[Vrs]=$D156)*(PptoSty[PiRow]=_xlfn.TEXTAFTER($H156,":"))*(PptoSty[PiColumn]=I$54),0)),SUM(IF((INDIRECT($B$3)=$B156)*(INDIRECT($C$3)=$D156)*((INDIRECT($E$3)="TOTS")+(INDIRECT($E$3)=$E156)),INDIRECT(I$3)))),_xlpm.y,SUM(_xlfn.CHOOSECOLS(_xlfn._xlws.FILTER(F_RT14[],(F_RT14[PrjId]=$B156)*(F_RT14[Vrs]=$D156)*(_xlfn.TEXTAFTER(F_RT14[ActGrp],":")=_xlfn.TEXTAFTER($H156,":")),"X"),MATCH("*"&amp;I$54,F_RT14[#Headers],0))),IF(AND(_xlpm.x=0,_xlpm.y&lt;&gt;0),-1,IF(AND(_xlpm.x&lt;&gt;0,_xlpm.y&lt;&gt;0),_xlpm.x,IF(AND(_xlpm.x-SUM(IF((INDIRECT($B$3)=$B156)*(INDIRECT($C$3)=$D156)*((INDIRECT($E$3)="TOTS")+(INDIRECT($E$3)=$E156)),INDIRECT(I$3)))&lt;&gt;0,_xlpm.y=0),-2,_xlpm.x)))),0))</f>
        <v>0</v>
      </c>
      <c r="J156" s="199" cm="1">
        <f t="array" aca="1" ref="J156" ca="1">IF(OR($B156="",$B156="X",$D156="",$D156="X",$E156="",$E156="X"),0,IFERROR(_xlfn.LET(_xlpm.x,SUM(SUM(_xlfn._xlws.FILTER(VALUE(PptoSty[Sign]&amp;1)*(1/PptoSty[Division]),(PptoSty[Division]&lt;&gt;0)*(PptoSty[Division]&lt;&gt;"")*(PptoSty[Division]&lt;&gt;"X")*(PptoSty[Project]=$B156)*(PptoSty[Vrs]=$D156)*(PptoSty[PiRow]=_xlfn.TEXTAFTER($H156,":"))*(PptoSty[PiColumn]=J$54),0)),SUM(IF((INDIRECT($B$3)=$B156)*(INDIRECT($C$3)=$D156)*((INDIRECT($E$3)="TOTS")+(INDIRECT($E$3)=$E156)),INDIRECT(J$3)))),_xlpm.y,SUM(_xlfn.CHOOSECOLS(_xlfn._xlws.FILTER(F_RT14[],(F_RT14[PrjId]=$B156)*(F_RT14[Vrs]=$D156)*(_xlfn.TEXTAFTER(F_RT14[ActGrp],":")=_xlfn.TEXTAFTER($H156,":")),"X"),MATCH("*"&amp;J$54,F_RT14[#Headers],0))),IF(AND(_xlpm.x=0,_xlpm.y&lt;&gt;0),-1,IF(AND(_xlpm.x&lt;&gt;0,_xlpm.y&lt;&gt;0),_xlpm.x,IF(AND(_xlpm.x-SUM(IF((INDIRECT($B$3)=$B156)*(INDIRECT($C$3)=$D156)*((INDIRECT($E$3)="TOTS")+(INDIRECT($E$3)=$E156)),INDIRECT(J$3)))&lt;&gt;0,_xlpm.y=0),-2,_xlpm.x)))),0))</f>
        <v>0</v>
      </c>
      <c r="K156" s="199" cm="1">
        <f t="array" aca="1" ref="K156" ca="1">IF(OR($B156="",$B156="X",$D156="",$D156="X",$E156="",$E156="X"),0,IFERROR(_xlfn.LET(_xlpm.x,SUM(SUM(_xlfn._xlws.FILTER(VALUE(PptoSty[Sign]&amp;1)*(1/PptoSty[Division]),(PptoSty[Division]&lt;&gt;0)*(PptoSty[Division]&lt;&gt;"")*(PptoSty[Division]&lt;&gt;"X")*(PptoSty[Project]=$B156)*(PptoSty[Vrs]=$D156)*(PptoSty[PiRow]=_xlfn.TEXTAFTER($H156,":"))*(PptoSty[PiColumn]=K$54),0)),SUM(IF((INDIRECT($B$3)=$B156)*(INDIRECT($C$3)=$D156)*((INDIRECT($E$3)="TOTS")+(INDIRECT($E$3)=$E156)),INDIRECT(K$3)))),_xlpm.y,SUM(_xlfn.CHOOSECOLS(_xlfn._xlws.FILTER(F_RT14[],(F_RT14[PrjId]=$B156)*(F_RT14[Vrs]=$D156)*(_xlfn.TEXTAFTER(F_RT14[ActGrp],":")=_xlfn.TEXTAFTER($H156,":")),"X"),MATCH("*"&amp;K$54,F_RT14[#Headers],0))),IF(AND(_xlpm.x=0,_xlpm.y&lt;&gt;0),-1,IF(AND(_xlpm.x&lt;&gt;0,_xlpm.y&lt;&gt;0),_xlpm.x,IF(AND(_xlpm.x-SUM(IF((INDIRECT($B$3)=$B156)*(INDIRECT($C$3)=$D156)*((INDIRECT($E$3)="TOTS")+(INDIRECT($E$3)=$E156)),INDIRECT(K$3)))&lt;&gt;0,_xlpm.y=0),-2,_xlpm.x)))),0))</f>
        <v>-1</v>
      </c>
      <c r="L156" s="199" cm="1">
        <f t="array" aca="1" ref="L156" ca="1">IF(OR($B156="",$B156="X",$D156="",$D156="X",$E156="",$E156="X"),0,IFERROR(_xlfn.LET(_xlpm.x,SUM(SUM(_xlfn._xlws.FILTER(VALUE(PptoSty[Sign]&amp;1)*(1/PptoSty[Division]),(PptoSty[Division]&lt;&gt;0)*(PptoSty[Division]&lt;&gt;"")*(PptoSty[Division]&lt;&gt;"X")*(PptoSty[Project]=$B156)*(PptoSty[Vrs]=$D156)*(PptoSty[PiRow]=_xlfn.TEXTAFTER($H156,":"))*(PptoSty[PiColumn]=L$54),0)),SUM(IF((INDIRECT($B$3)=$B156)*(INDIRECT($C$3)=$D156)*((INDIRECT($E$3)="TOTS")+(INDIRECT($E$3)=$E156)),INDIRECT(L$3)))),_xlpm.y,SUM(_xlfn.CHOOSECOLS(_xlfn._xlws.FILTER(F_RT14[],(F_RT14[PrjId]=$B156)*(F_RT14[Vrs]=$D156)*(_xlfn.TEXTAFTER(F_RT14[ActGrp],":")=_xlfn.TEXTAFTER($H156,":")),"X"),MATCH("*"&amp;L$54,F_RT14[#Headers],0))),IF(AND(_xlpm.x=0,_xlpm.y&lt;&gt;0),-1,IF(AND(_xlpm.x&lt;&gt;0,_xlpm.y&lt;&gt;0),_xlpm.x,IF(AND(_xlpm.x-SUM(IF((INDIRECT($B$3)=$B156)*(INDIRECT($C$3)=$D156)*((INDIRECT($E$3)="TOTS")+(INDIRECT($E$3)=$E156)),INDIRECT(L$3)))&lt;&gt;0,_xlpm.y=0),-2,_xlpm.x)))),0))</f>
        <v>0</v>
      </c>
      <c r="M156" s="199" cm="1">
        <f t="array" aca="1" ref="M156" ca="1">IF(OR($B156="",$B156="X",$D156="",$D156="X",$E156="",$E156="X"),0,IFERROR(_xlfn.LET(_xlpm.x,SUM(SUM(_xlfn._xlws.FILTER(VALUE(PptoSty[Sign]&amp;1)*(1/PptoSty[Division]),(PptoSty[Division]&lt;&gt;0)*(PptoSty[Division]&lt;&gt;"")*(PptoSty[Division]&lt;&gt;"X")*(PptoSty[Project]=$B156)*(PptoSty[Vrs]=$D156)*(PptoSty[PiRow]=_xlfn.TEXTAFTER($H156,":"))*(PptoSty[PiColumn]=M$54),0)),SUM(IF((INDIRECT($B$3)=$B156)*(INDIRECT($C$3)=$D156)*((INDIRECT($E$3)="TOTS")+(INDIRECT($E$3)=$E156)),INDIRECT(M$3)))),_xlpm.y,SUM(_xlfn.CHOOSECOLS(_xlfn._xlws.FILTER(F_RT14[],(F_RT14[PrjId]=$B156)*(F_RT14[Vrs]=$D156)*(_xlfn.TEXTAFTER(F_RT14[ActGrp],":")=_xlfn.TEXTAFTER($H156,":")),"X"),MATCH("*"&amp;M$54,F_RT14[#Headers],0))),IF(AND(_xlpm.x=0,_xlpm.y&lt;&gt;0),-1,IF(AND(_xlpm.x&lt;&gt;0,_xlpm.y&lt;&gt;0),_xlpm.x,IF(AND(_xlpm.x-SUM(IF((INDIRECT($B$3)=$B156)*(INDIRECT($C$3)=$D156)*((INDIRECT($E$3)="TOTS")+(INDIRECT($E$3)=$E156)),INDIRECT(M$3)))&lt;&gt;0,_xlpm.y=0),-2,_xlpm.x)))),0))</f>
        <v>0</v>
      </c>
      <c r="N156" s="199" cm="1">
        <f t="array" aca="1" ref="N156" ca="1">IF(OR($B156="",$B156="X",$D156="",$D156="X",$E156="",$E156="X"),0,IFERROR(_xlfn.LET(_xlpm.x,SUM(SUM(_xlfn._xlws.FILTER(VALUE(PptoSty[Sign]&amp;1)*(1/PptoSty[Division]),(PptoSty[Division]&lt;&gt;0)*(PptoSty[Division]&lt;&gt;"")*(PptoSty[Division]&lt;&gt;"X")*(PptoSty[Project]=$B156)*(PptoSty[Vrs]=$D156)*(PptoSty[PiRow]=_xlfn.TEXTAFTER($H156,":"))*(PptoSty[PiColumn]=N$54),0)),SUM(IF((INDIRECT($B$3)=$B156)*(INDIRECT($C$3)=$D156)*((INDIRECT($E$3)="TOTS")+(INDIRECT($E$3)=$E156)),INDIRECT(N$3)))),_xlpm.y,SUM(_xlfn.CHOOSECOLS(_xlfn._xlws.FILTER(F_RT14[],(F_RT14[PrjId]=$B156)*(F_RT14[Vrs]=$D156)*(_xlfn.TEXTAFTER(F_RT14[ActGrp],":")=_xlfn.TEXTAFTER($H156,":")),"X"),MATCH("*"&amp;N$54,F_RT14[#Headers],0))),IF(AND(_xlpm.x=0,_xlpm.y&lt;&gt;0),-1,IF(AND(_xlpm.x&lt;&gt;0,_xlpm.y&lt;&gt;0),_xlpm.x,IF(AND(_xlpm.x-SUM(IF((INDIRECT($B$3)=$B156)*(INDIRECT($C$3)=$D156)*((INDIRECT($E$3)="TOTS")+(INDIRECT($E$3)=$E156)),INDIRECT(N$3)))&lt;&gt;0,_xlpm.y=0),-2,_xlpm.x)))),0))</f>
        <v>0</v>
      </c>
      <c r="O156" s="199" cm="1">
        <f t="array" aca="1" ref="O156" ca="1">IF(OR($B156="",$B156="X",$D156="",$D156="X",$E156="",$E156="X"),0,IFERROR(_xlfn.LET(_xlpm.x,SUM(SUM(_xlfn._xlws.FILTER(VALUE(PptoSty[Sign]&amp;1)*(1/PptoSty[Division]),(PptoSty[Division]&lt;&gt;0)*(PptoSty[Division]&lt;&gt;"")*(PptoSty[Division]&lt;&gt;"X")*(PptoSty[Project]=$B156)*(PptoSty[Vrs]=$D156)*(PptoSty[PiRow]=_xlfn.TEXTAFTER($H156,":"))*(PptoSty[PiColumn]=O$54),0)),SUM(IF((INDIRECT($B$3)=$B156)*(INDIRECT($C$3)=$D156)*((INDIRECT($E$3)="TOTS")+(INDIRECT($E$3)=$E156)),INDIRECT(O$3)))),_xlpm.y,SUM(_xlfn.CHOOSECOLS(_xlfn._xlws.FILTER(F_RT14[],(F_RT14[PrjId]=$B156)*(F_RT14[Vrs]=$D156)*(_xlfn.TEXTAFTER(F_RT14[ActGrp],":")=_xlfn.TEXTAFTER($H156,":")),"X"),MATCH("*"&amp;O$54,F_RT14[#Headers],0))),IF(AND(_xlpm.x=0,_xlpm.y&lt;&gt;0),-1,IF(AND(_xlpm.x&lt;&gt;0,_xlpm.y&lt;&gt;0),_xlpm.x,IF(AND(_xlpm.x-SUM(IF((INDIRECT($B$3)=$B156)*(INDIRECT($C$3)=$D156)*((INDIRECT($E$3)="TOTS")+(INDIRECT($E$3)=$E156)),INDIRECT(O$3)))&lt;&gt;0,_xlpm.y=0),-2,_xlpm.x)))),0))</f>
        <v>0</v>
      </c>
      <c r="P156" s="199" cm="1">
        <f t="array" aca="1" ref="P156" ca="1">IF(OR($B156="",$B156="X",$D156="",$D156="X",$E156="",$E156="X"),0,IFERROR(_xlfn.LET(_xlpm.x,SUM(SUM(_xlfn._xlws.FILTER(VALUE(PptoSty[Sign]&amp;1)*(1/PptoSty[Division]),(PptoSty[Division]&lt;&gt;0)*(PptoSty[Division]&lt;&gt;"")*(PptoSty[Division]&lt;&gt;"X")*(PptoSty[Project]=$B156)*(PptoSty[Vrs]=$D156)*(PptoSty[PiRow]=_xlfn.TEXTAFTER($H156,":"))*(PptoSty[PiColumn]=P$54),0)),SUM(IF((INDIRECT($B$3)=$B156)*(INDIRECT($C$3)=$D156)*((INDIRECT($E$3)="TOTS")+(INDIRECT($E$3)=$E156)),INDIRECT(P$3)))),_xlpm.y,SUM(_xlfn.CHOOSECOLS(_xlfn._xlws.FILTER(F_RT14[],(F_RT14[PrjId]=$B156)*(F_RT14[Vrs]=$D156)*(_xlfn.TEXTAFTER(F_RT14[ActGrp],":")=_xlfn.TEXTAFTER($H156,":")),"X"),MATCH("*"&amp;P$54,F_RT14[#Headers],0))),IF(AND(_xlpm.x=0,_xlpm.y&lt;&gt;0),-1,IF(AND(_xlpm.x&lt;&gt;0,_xlpm.y&lt;&gt;0),_xlpm.x,IF(AND(_xlpm.x-SUM(IF((INDIRECT($B$3)=$B156)*(INDIRECT($C$3)=$D156)*((INDIRECT($E$3)="TOTS")+(INDIRECT($E$3)=$E156)),INDIRECT(P$3)))&lt;&gt;0,_xlpm.y=0),-2,_xlpm.x)))),0))</f>
        <v>-1</v>
      </c>
      <c r="Q156" s="199" cm="1">
        <f t="array" aca="1" ref="Q156" ca="1">IF(OR($B156="",$B156="X",$D156="",$D156="X",$E156="",$E156="X"),0,IFERROR(_xlfn.LET(_xlpm.x,SUM(SUM(_xlfn._xlws.FILTER(VALUE(PptoSty[Sign]&amp;1)*(1/PptoSty[Division]),(PptoSty[Division]&lt;&gt;0)*(PptoSty[Division]&lt;&gt;"")*(PptoSty[Division]&lt;&gt;"X")*(PptoSty[Project]=$B156)*(PptoSty[Vrs]=$D156)*(PptoSty[PiRow]=_xlfn.TEXTAFTER($H156,":"))*(PptoSty[PiColumn]=Q$54),0)),SUM(IF((INDIRECT($B$3)=$B156)*(INDIRECT($C$3)=$D156)*((INDIRECT($E$3)="TOTS")+(INDIRECT($E$3)=$E156)),INDIRECT(Q$3)))),_xlpm.y,SUM(_xlfn.CHOOSECOLS(_xlfn._xlws.FILTER(F_RT14[],(F_RT14[PrjId]=$B156)*(F_RT14[Vrs]=$D156)*(_xlfn.TEXTAFTER(F_RT14[ActGrp],":")=_xlfn.TEXTAFTER($H156,":")),"X"),MATCH("*"&amp;Q$54,F_RT14[#Headers],0))),IF(AND(_xlpm.x=0,_xlpm.y&lt;&gt;0),-1,IF(AND(_xlpm.x&lt;&gt;0,_xlpm.y&lt;&gt;0),_xlpm.x,IF(AND(_xlpm.x-SUM(IF((INDIRECT($B$3)=$B156)*(INDIRECT($C$3)=$D156)*((INDIRECT($E$3)="TOTS")+(INDIRECT($E$3)=$E156)),INDIRECT(Q$3)))&lt;&gt;0,_xlpm.y=0),-2,_xlpm.x)))),0))</f>
        <v>0</v>
      </c>
      <c r="R156" s="199" cm="1">
        <f t="array" aca="1" ref="R156" ca="1">IF(OR($B156="",$B156="X",$D156="",$D156="X",$E156="",$E156="X"),0,IFERROR(_xlfn.LET(_xlpm.x,SUM(SUM(_xlfn._xlws.FILTER(VALUE(PptoSty[Sign]&amp;1)*(1/PptoSty[Division]),(PptoSty[Division]&lt;&gt;0)*(PptoSty[Division]&lt;&gt;"")*(PptoSty[Division]&lt;&gt;"X")*(PptoSty[Project]=$B156)*(PptoSty[Vrs]=$D156)*(PptoSty[PiRow]=_xlfn.TEXTAFTER($H156,":"))*(PptoSty[PiColumn]=R$54),0)),SUM(IF((INDIRECT($B$3)=$B156)*(INDIRECT($C$3)=$D156)*((INDIRECT($E$3)="TOTS")+(INDIRECT($E$3)=$E156)),INDIRECT(R$3)))),_xlpm.y,SUM(_xlfn.CHOOSECOLS(_xlfn._xlws.FILTER(F_RT14[],(F_RT14[PrjId]=$B156)*(F_RT14[Vrs]=$D156)*(_xlfn.TEXTAFTER(F_RT14[ActGrp],":")=_xlfn.TEXTAFTER($H156,":")),"X"),MATCH("*"&amp;R$54,F_RT14[#Headers],0))),IF(AND(_xlpm.x=0,_xlpm.y&lt;&gt;0),-1,IF(AND(_xlpm.x&lt;&gt;0,_xlpm.y&lt;&gt;0),_xlpm.x,IF(AND(_xlpm.x-SUM(IF((INDIRECT($B$3)=$B156)*(INDIRECT($C$3)=$D156)*((INDIRECT($E$3)="TOTS")+(INDIRECT($E$3)=$E156)),INDIRECT(R$3)))&lt;&gt;0,_xlpm.y=0),-2,_xlpm.x)))),0))</f>
        <v>0</v>
      </c>
      <c r="S156" s="199" cm="1">
        <f t="array" aca="1" ref="S156" ca="1">IF(OR($B156="",$B156="X",$D156="",$D156="X",$E156="",$E156="X"),0,IFERROR(_xlfn.LET(_xlpm.x,SUM(SUM(_xlfn._xlws.FILTER(VALUE(PptoSty[Sign]&amp;1)*(1/PptoSty[Division]),(PptoSty[Division]&lt;&gt;0)*(PptoSty[Division]&lt;&gt;"")*(PptoSty[Division]&lt;&gt;"X")*(PptoSty[Project]=$B156)*(PptoSty[Vrs]=$D156)*(PptoSty[PiRow]=_xlfn.TEXTAFTER($H156,":"))*(PptoSty[PiColumn]=S$54),0)),SUM(IF((INDIRECT($B$3)=$B156)*(INDIRECT($C$3)=$D156)*((INDIRECT($E$3)="TOTS")+(INDIRECT($E$3)=$E156)),INDIRECT(S$3)))),_xlpm.y,SUM(_xlfn.CHOOSECOLS(_xlfn._xlws.FILTER(F_RT14[],(F_RT14[PrjId]=$B156)*(F_RT14[Vrs]=$D156)*(_xlfn.TEXTAFTER(F_RT14[ActGrp],":")=_xlfn.TEXTAFTER($H156,":")),"X"),MATCH("*"&amp;S$54,F_RT14[#Headers],0))),IF(AND(_xlpm.x=0,_xlpm.y&lt;&gt;0),-1,IF(AND(_xlpm.x&lt;&gt;0,_xlpm.y&lt;&gt;0),_xlpm.x,IF(AND(_xlpm.x-SUM(IF((INDIRECT($B$3)=$B156)*(INDIRECT($C$3)=$D156)*((INDIRECT($E$3)="TOTS")+(INDIRECT($E$3)=$E156)),INDIRECT(S$3)))&lt;&gt;0,_xlpm.y=0),-2,_xlpm.x)))),0))</f>
        <v>0</v>
      </c>
      <c r="T156" s="199" cm="1">
        <f t="array" aca="1" ref="T156" ca="1">IF(OR($B156="",$B156="X",$D156="",$D156="X",$E156="",$E156="X"),0,IFERROR(_xlfn.LET(_xlpm.x,SUM(SUM(_xlfn._xlws.FILTER(VALUE(PptoSty[Sign]&amp;1)*(1/PptoSty[Division]),(PptoSty[Division]&lt;&gt;0)*(PptoSty[Division]&lt;&gt;"")*(PptoSty[Division]&lt;&gt;"X")*(PptoSty[Project]=$B156)*(PptoSty[Vrs]=$D156)*(PptoSty[PiRow]=_xlfn.TEXTAFTER($H156,":"))*(PptoSty[PiColumn]=T$54),0)),SUM(IF((INDIRECT($B$3)=$B156)*(INDIRECT($C$3)=$D156)*((INDIRECT($E$3)="TOTS")+(INDIRECT($E$3)=$E156)),INDIRECT(T$3)))),_xlpm.y,SUM(_xlfn.CHOOSECOLS(_xlfn._xlws.FILTER(F_RT14[],(F_RT14[PrjId]=$B156)*(F_RT14[Vrs]=$D156)*(_xlfn.TEXTAFTER(F_RT14[ActGrp],":")=_xlfn.TEXTAFTER($H156,":")),"X"),MATCH("*"&amp;T$54,F_RT14[#Headers],0))),IF(AND(_xlpm.x=0,_xlpm.y&lt;&gt;0),-1,IF(AND(_xlpm.x&lt;&gt;0,_xlpm.y&lt;&gt;0),_xlpm.x,IF(AND(_xlpm.x-SUM(IF((INDIRECT($B$3)=$B156)*(INDIRECT($C$3)=$D156)*((INDIRECT($E$3)="TOTS")+(INDIRECT($E$3)=$E156)),INDIRECT(T$3)))&lt;&gt;0,_xlpm.y=0),-2,_xlpm.x)))),0))</f>
        <v>0</v>
      </c>
      <c r="U156" s="199" cm="1">
        <f t="array" aca="1" ref="U156" ca="1">IF(OR($B156="",$B156="X",$D156="",$D156="X",$E156="",$E156="X"),0,IFERROR(_xlfn.LET(_xlpm.x,SUM(SUM(_xlfn._xlws.FILTER(VALUE(PptoSty[Sign]&amp;1)*(1/PptoSty[Division]),(PptoSty[Division]&lt;&gt;0)*(PptoSty[Division]&lt;&gt;"")*(PptoSty[Division]&lt;&gt;"X")*(PptoSty[Project]=$B156)*(PptoSty[Vrs]=$D156)*(PptoSty[PiRow]=_xlfn.TEXTAFTER($H156,":"))*(PptoSty[PiColumn]=U$54),0)),SUM(IF((INDIRECT($B$3)=$B156)*(INDIRECT($C$3)=$D156)*((INDIRECT($E$3)="TOTS")+(INDIRECT($E$3)=$E156)),INDIRECT(U$3)))),_xlpm.y,SUM(_xlfn.CHOOSECOLS(_xlfn._xlws.FILTER(F_RT14[],(F_RT14[PrjId]=$B156)*(F_RT14[Vrs]=$D156)*(_xlfn.TEXTAFTER(F_RT14[ActGrp],":")=_xlfn.TEXTAFTER($H156,":")),"X"),MATCH("*"&amp;U$54,F_RT14[#Headers],0))),IF(AND(_xlpm.x=0,_xlpm.y&lt;&gt;0),-1,IF(AND(_xlpm.x&lt;&gt;0,_xlpm.y&lt;&gt;0),_xlpm.x,IF(AND(_xlpm.x-SUM(IF((INDIRECT($B$3)=$B156)*(INDIRECT($C$3)=$D156)*((INDIRECT($E$3)="TOTS")+(INDIRECT($E$3)=$E156)),INDIRECT(U$3)))&lt;&gt;0,_xlpm.y=0),-2,_xlpm.x)))),0))</f>
        <v>0</v>
      </c>
      <c r="V156" s="199" cm="1">
        <f t="array" aca="1" ref="V156" ca="1">IF(OR($B156="",$B156="X",$D156="",$D156="X",$E156="",$E156="X"),0,IFERROR(_xlfn.LET(_xlpm.x,SUM(SUM(_xlfn._xlws.FILTER(VALUE(PptoSty[Sign]&amp;1)*(1/PptoSty[Division]),(PptoSty[Division]&lt;&gt;0)*(PptoSty[Division]&lt;&gt;"")*(PptoSty[Division]&lt;&gt;"X")*(PptoSty[Project]=$B156)*(PptoSty[Vrs]=$D156)*(PptoSty[PiRow]=_xlfn.TEXTAFTER($H156,":"))*(PptoSty[PiColumn]=V$54),0)),SUM(IF((INDIRECT($B$3)=$B156)*(INDIRECT($C$3)=$D156)*((INDIRECT($E$3)="TOTS")+(INDIRECT($E$3)=$E156)),INDIRECT(V$3)))),_xlpm.y,SUM(_xlfn.CHOOSECOLS(_xlfn._xlws.FILTER(F_RT14[],(F_RT14[PrjId]=$B156)*(F_RT14[Vrs]=$D156)*(_xlfn.TEXTAFTER(F_RT14[ActGrp],":")=_xlfn.TEXTAFTER($H156,":")),"X"),MATCH("*"&amp;V$54,F_RT14[#Headers],0))),IF(AND(_xlpm.x=0,_xlpm.y&lt;&gt;0),-1,IF(AND(_xlpm.x&lt;&gt;0,_xlpm.y&lt;&gt;0),_xlpm.x,IF(AND(_xlpm.x-SUM(IF((INDIRECT($B$3)=$B156)*(INDIRECT($C$3)=$D156)*((INDIRECT($E$3)="TOTS")+(INDIRECT($E$3)=$E156)),INDIRECT(V$3)))&lt;&gt;0,_xlpm.y=0),-2,_xlpm.x)))),0))</f>
        <v>-1</v>
      </c>
      <c r="W156" s="199" cm="1">
        <f t="array" aca="1" ref="W156" ca="1">IF(OR($B156="",$B156="X",$D156="",$D156="X",$E156="",$E156="X"),0,IFERROR(_xlfn.LET(_xlpm.x,SUM(SUM(_xlfn._xlws.FILTER(VALUE(PptoSty[Sign]&amp;1)*(1/PptoSty[Division]),(PptoSty[Division]&lt;&gt;0)*(PptoSty[Division]&lt;&gt;"")*(PptoSty[Division]&lt;&gt;"X")*(PptoSty[Project]=$B156)*(PptoSty[Vrs]=$D156)*(PptoSty[PiRow]=_xlfn.TEXTAFTER($H156,":"))*(PptoSty[PiColumn]=W$54),0)),SUM(IF((INDIRECT($B$3)=$B156)*(INDIRECT($C$3)=$D156)*((INDIRECT($E$3)="TOTS")+(INDIRECT($E$3)=$E156)),INDIRECT(W$3)))),_xlpm.y,SUM(_xlfn.CHOOSECOLS(_xlfn._xlws.FILTER(F_RT14[],(F_RT14[PrjId]=$B156)*(F_RT14[Vrs]=$D156)*(_xlfn.TEXTAFTER(F_RT14[ActGrp],":")=_xlfn.TEXTAFTER($H156,":")),"X"),MATCH("*"&amp;W$54,F_RT14[#Headers],0))),IF(AND(_xlpm.x=0,_xlpm.y&lt;&gt;0),-1,IF(AND(_xlpm.x&lt;&gt;0,_xlpm.y&lt;&gt;0),_xlpm.x,IF(AND(_xlpm.x-SUM(IF((INDIRECT($B$3)=$B156)*(INDIRECT($C$3)=$D156)*((INDIRECT($E$3)="TOTS")+(INDIRECT($E$3)=$E156)),INDIRECT(W$3)))&lt;&gt;0,_xlpm.y=0),-2,_xlpm.x)))),0))</f>
        <v>0</v>
      </c>
      <c r="X156" s="199" cm="1">
        <f t="array" aca="1" ref="X156" ca="1">IF(OR($B156="",$B156="X",$D156="",$D156="X",$E156="",$E156="X"),0,IFERROR(_xlfn.LET(_xlpm.x,SUM(SUM(_xlfn._xlws.FILTER(VALUE(PptoSty[Sign]&amp;1)*(1/PptoSty[Division]),(PptoSty[Division]&lt;&gt;0)*(PptoSty[Division]&lt;&gt;"")*(PptoSty[Division]&lt;&gt;"X")*(PptoSty[Project]=$B156)*(PptoSty[Vrs]=$D156)*(PptoSty[PiRow]=_xlfn.TEXTAFTER($H156,":"))*(PptoSty[PiColumn]=X$54),0)),SUM(IF((INDIRECT($B$3)=$B156)*(INDIRECT($C$3)=$D156)*((INDIRECT($E$3)="TOTS")+(INDIRECT($E$3)=$E156)),INDIRECT(X$3)))),_xlpm.y,SUM(_xlfn.CHOOSECOLS(_xlfn._xlws.FILTER(F_RT14[],(F_RT14[PrjId]=$B156)*(F_RT14[Vrs]=$D156)*(_xlfn.TEXTAFTER(F_RT14[ActGrp],":")=_xlfn.TEXTAFTER($H156,":")),"X"),MATCH("*"&amp;X$54,F_RT14[#Headers],0))),IF(AND(_xlpm.x=0,_xlpm.y&lt;&gt;0),-1,IF(AND(_xlpm.x&lt;&gt;0,_xlpm.y&lt;&gt;0),_xlpm.x,IF(AND(_xlpm.x-SUM(IF((INDIRECT($B$3)=$B156)*(INDIRECT($C$3)=$D156)*((INDIRECT($E$3)="TOTS")+(INDIRECT($E$3)=$E156)),INDIRECT(X$3)))&lt;&gt;0,_xlpm.y=0),-2,_xlpm.x)))),0))</f>
        <v>0</v>
      </c>
      <c r="Y156" s="199" cm="1">
        <f t="array" aca="1" ref="Y156" ca="1">IF(OR($B156="",$B156="X",$D156="",$D156="X",$E156="",$E156="X"),0,IFERROR(_xlfn.LET(_xlpm.x,SUM(SUM(_xlfn._xlws.FILTER(VALUE(PptoSty[Sign]&amp;1)*(1/PptoSty[Division]),(PptoSty[Division]&lt;&gt;0)*(PptoSty[Division]&lt;&gt;"")*(PptoSty[Division]&lt;&gt;"X")*(PptoSty[Project]=$B156)*(PptoSty[Vrs]=$D156)*(PptoSty[PiRow]=_xlfn.TEXTAFTER($H156,":"))*(PptoSty[PiColumn]=Y$54),0)),SUM(IF((INDIRECT($B$3)=$B156)*(INDIRECT($C$3)=$D156)*((INDIRECT($E$3)="TOTS")+(INDIRECT($E$3)=$E156)),INDIRECT(Y$3)))),_xlpm.y,SUM(_xlfn.CHOOSECOLS(_xlfn._xlws.FILTER(F_RT14[],(F_RT14[PrjId]=$B156)*(F_RT14[Vrs]=$D156)*(_xlfn.TEXTAFTER(F_RT14[ActGrp],":")=_xlfn.TEXTAFTER($H156,":")),"X"),MATCH("*"&amp;Y$54,F_RT14[#Headers],0))),IF(AND(_xlpm.x=0,_xlpm.y&lt;&gt;0),-1,IF(AND(_xlpm.x&lt;&gt;0,_xlpm.y&lt;&gt;0),_xlpm.x,IF(AND(_xlpm.x-SUM(IF((INDIRECT($B$3)=$B156)*(INDIRECT($C$3)=$D156)*((INDIRECT($E$3)="TOTS")+(INDIRECT($E$3)=$E156)),INDIRECT(Y$3)))&lt;&gt;0,_xlpm.y=0),-2,_xlpm.x)))),0))</f>
        <v>0</v>
      </c>
      <c r="Z156" s="198" t="str">
        <f t="shared" ca="1" si="3"/>
        <v>Fback!B156:Y156</v>
      </c>
    </row>
    <row r="157" spans="2:26" ht="21" customHeight="1" outlineLevel="1">
      <c r="B157" s="128" t="str">
        <v>31200</v>
      </c>
      <c r="C157" s="128" t="str">
        <v>Sp</v>
      </c>
      <c r="D157" s="128">
        <v>0</v>
      </c>
      <c r="E157" s="128" t="str">
        <v>TRSL</v>
      </c>
      <c r="F157" s="139" t="str">
        <v>SERRA</v>
      </c>
      <c r="G157" s="139" t="str">
        <v>CurPpto</v>
      </c>
      <c r="H157" s="139" t="str">
        <v>G001:TRANSPORTES &amp; EMBALAJES</v>
      </c>
      <c r="I157" s="199" cm="1">
        <f t="array" aca="1" ref="I157" ca="1">IF(OR($B157="",$B157="X",$D157="",$D157="X",$E157="",$E157="X"),0,IFERROR(_xlfn.LET(_xlpm.x,SUM(SUM(_xlfn._xlws.FILTER(VALUE(PptoSty[Sign]&amp;1)*(1/PptoSty[Division]),(PptoSty[Division]&lt;&gt;0)*(PptoSty[Division]&lt;&gt;"")*(PptoSty[Division]&lt;&gt;"X")*(PptoSty[Project]=$B157)*(PptoSty[Vrs]=$D157)*(PptoSty[PiRow]=_xlfn.TEXTAFTER($H157,":"))*(PptoSty[PiColumn]=I$54),0)),SUM(IF((INDIRECT($B$3)=$B157)*(INDIRECT($C$3)=$D157)*((INDIRECT($E$3)="TOTS")+(INDIRECT($E$3)=$E157)),INDIRECT(I$3)))),_xlpm.y,SUM(_xlfn.CHOOSECOLS(_xlfn._xlws.FILTER(F_RT14[],(F_RT14[PrjId]=$B157)*(F_RT14[Vrs]=$D157)*(_xlfn.TEXTAFTER(F_RT14[ActGrp],":")=_xlfn.TEXTAFTER($H157,":")),"X"),MATCH("*"&amp;I$54,F_RT14[#Headers],0))),IF(AND(_xlpm.x=0,_xlpm.y&lt;&gt;0),-1,IF(AND(_xlpm.x&lt;&gt;0,_xlpm.y&lt;&gt;0),_xlpm.x,IF(AND(_xlpm.x-SUM(IF((INDIRECT($B$3)=$B157)*(INDIRECT($C$3)=$D157)*((INDIRECT($E$3)="TOTS")+(INDIRECT($E$3)=$E157)),INDIRECT(I$3)))&lt;&gt;0,_xlpm.y=0),-2,_xlpm.x)))),0))</f>
        <v>0</v>
      </c>
      <c r="J157" s="199" cm="1">
        <f t="array" aca="1" ref="J157" ca="1">IF(OR($B157="",$B157="X",$D157="",$D157="X",$E157="",$E157="X"),0,IFERROR(_xlfn.LET(_xlpm.x,SUM(SUM(_xlfn._xlws.FILTER(VALUE(PptoSty[Sign]&amp;1)*(1/PptoSty[Division]),(PptoSty[Division]&lt;&gt;0)*(PptoSty[Division]&lt;&gt;"")*(PptoSty[Division]&lt;&gt;"X")*(PptoSty[Project]=$B157)*(PptoSty[Vrs]=$D157)*(PptoSty[PiRow]=_xlfn.TEXTAFTER($H157,":"))*(PptoSty[PiColumn]=J$54),0)),SUM(IF((INDIRECT($B$3)=$B157)*(INDIRECT($C$3)=$D157)*((INDIRECT($E$3)="TOTS")+(INDIRECT($E$3)=$E157)),INDIRECT(J$3)))),_xlpm.y,SUM(_xlfn.CHOOSECOLS(_xlfn._xlws.FILTER(F_RT14[],(F_RT14[PrjId]=$B157)*(F_RT14[Vrs]=$D157)*(_xlfn.TEXTAFTER(F_RT14[ActGrp],":")=_xlfn.TEXTAFTER($H157,":")),"X"),MATCH("*"&amp;J$54,F_RT14[#Headers],0))),IF(AND(_xlpm.x=0,_xlpm.y&lt;&gt;0),-1,IF(AND(_xlpm.x&lt;&gt;0,_xlpm.y&lt;&gt;0),_xlpm.x,IF(AND(_xlpm.x-SUM(IF((INDIRECT($B$3)=$B157)*(INDIRECT($C$3)=$D157)*((INDIRECT($E$3)="TOTS")+(INDIRECT($E$3)=$E157)),INDIRECT(J$3)))&lt;&gt;0,_xlpm.y=0),-2,_xlpm.x)))),0))</f>
        <v>0</v>
      </c>
      <c r="K157" s="199" cm="1">
        <f t="array" aca="1" ref="K157" ca="1">IF(OR($B157="",$B157="X",$D157="",$D157="X",$E157="",$E157="X"),0,IFERROR(_xlfn.LET(_xlpm.x,SUM(SUM(_xlfn._xlws.FILTER(VALUE(PptoSty[Sign]&amp;1)*(1/PptoSty[Division]),(PptoSty[Division]&lt;&gt;0)*(PptoSty[Division]&lt;&gt;"")*(PptoSty[Division]&lt;&gt;"X")*(PptoSty[Project]=$B157)*(PptoSty[Vrs]=$D157)*(PptoSty[PiRow]=_xlfn.TEXTAFTER($H157,":"))*(PptoSty[PiColumn]=K$54),0)),SUM(IF((INDIRECT($B$3)=$B157)*(INDIRECT($C$3)=$D157)*((INDIRECT($E$3)="TOTS")+(INDIRECT($E$3)=$E157)),INDIRECT(K$3)))),_xlpm.y,SUM(_xlfn.CHOOSECOLS(_xlfn._xlws.FILTER(F_RT14[],(F_RT14[PrjId]=$B157)*(F_RT14[Vrs]=$D157)*(_xlfn.TEXTAFTER(F_RT14[ActGrp],":")=_xlfn.TEXTAFTER($H157,":")),"X"),MATCH("*"&amp;K$54,F_RT14[#Headers],0))),IF(AND(_xlpm.x=0,_xlpm.y&lt;&gt;0),-1,IF(AND(_xlpm.x&lt;&gt;0,_xlpm.y&lt;&gt;0),_xlpm.x,IF(AND(_xlpm.x-SUM(IF((INDIRECT($B$3)=$B157)*(INDIRECT($C$3)=$D157)*((INDIRECT($E$3)="TOTS")+(INDIRECT($E$3)=$E157)),INDIRECT(K$3)))&lt;&gt;0,_xlpm.y=0),-2,_xlpm.x)))),0))</f>
        <v>0</v>
      </c>
      <c r="L157" s="199" cm="1">
        <f t="array" aca="1" ref="L157" ca="1">IF(OR($B157="",$B157="X",$D157="",$D157="X",$E157="",$E157="X"),0,IFERROR(_xlfn.LET(_xlpm.x,SUM(SUM(_xlfn._xlws.FILTER(VALUE(PptoSty[Sign]&amp;1)*(1/PptoSty[Division]),(PptoSty[Division]&lt;&gt;0)*(PptoSty[Division]&lt;&gt;"")*(PptoSty[Division]&lt;&gt;"X")*(PptoSty[Project]=$B157)*(PptoSty[Vrs]=$D157)*(PptoSty[PiRow]=_xlfn.TEXTAFTER($H157,":"))*(PptoSty[PiColumn]=L$54),0)),SUM(IF((INDIRECT($B$3)=$B157)*(INDIRECT($C$3)=$D157)*((INDIRECT($E$3)="TOTS")+(INDIRECT($E$3)=$E157)),INDIRECT(L$3)))),_xlpm.y,SUM(_xlfn.CHOOSECOLS(_xlfn._xlws.FILTER(F_RT14[],(F_RT14[PrjId]=$B157)*(F_RT14[Vrs]=$D157)*(_xlfn.TEXTAFTER(F_RT14[ActGrp],":")=_xlfn.TEXTAFTER($H157,":")),"X"),MATCH("*"&amp;L$54,F_RT14[#Headers],0))),IF(AND(_xlpm.x=0,_xlpm.y&lt;&gt;0),-1,IF(AND(_xlpm.x&lt;&gt;0,_xlpm.y&lt;&gt;0),_xlpm.x,IF(AND(_xlpm.x-SUM(IF((INDIRECT($B$3)=$B157)*(INDIRECT($C$3)=$D157)*((INDIRECT($E$3)="TOTS")+(INDIRECT($E$3)=$E157)),INDIRECT(L$3)))&lt;&gt;0,_xlpm.y=0),-2,_xlpm.x)))),0))</f>
        <v>0</v>
      </c>
      <c r="M157" s="199" cm="1">
        <f t="array" aca="1" ref="M157" ca="1">IF(OR($B157="",$B157="X",$D157="",$D157="X",$E157="",$E157="X"),0,IFERROR(_xlfn.LET(_xlpm.x,SUM(SUM(_xlfn._xlws.FILTER(VALUE(PptoSty[Sign]&amp;1)*(1/PptoSty[Division]),(PptoSty[Division]&lt;&gt;0)*(PptoSty[Division]&lt;&gt;"")*(PptoSty[Division]&lt;&gt;"X")*(PptoSty[Project]=$B157)*(PptoSty[Vrs]=$D157)*(PptoSty[PiRow]=_xlfn.TEXTAFTER($H157,":"))*(PptoSty[PiColumn]=M$54),0)),SUM(IF((INDIRECT($B$3)=$B157)*(INDIRECT($C$3)=$D157)*((INDIRECT($E$3)="TOTS")+(INDIRECT($E$3)=$E157)),INDIRECT(M$3)))),_xlpm.y,SUM(_xlfn.CHOOSECOLS(_xlfn._xlws.FILTER(F_RT14[],(F_RT14[PrjId]=$B157)*(F_RT14[Vrs]=$D157)*(_xlfn.TEXTAFTER(F_RT14[ActGrp],":")=_xlfn.TEXTAFTER($H157,":")),"X"),MATCH("*"&amp;M$54,F_RT14[#Headers],0))),IF(AND(_xlpm.x=0,_xlpm.y&lt;&gt;0),-1,IF(AND(_xlpm.x&lt;&gt;0,_xlpm.y&lt;&gt;0),_xlpm.x,IF(AND(_xlpm.x-SUM(IF((INDIRECT($B$3)=$B157)*(INDIRECT($C$3)=$D157)*((INDIRECT($E$3)="TOTS")+(INDIRECT($E$3)=$E157)),INDIRECT(M$3)))&lt;&gt;0,_xlpm.y=0),-2,_xlpm.x)))),0))</f>
        <v>0</v>
      </c>
      <c r="N157" s="199" cm="1">
        <f t="array" aca="1" ref="N157" ca="1">IF(OR($B157="",$B157="X",$D157="",$D157="X",$E157="",$E157="X"),0,IFERROR(_xlfn.LET(_xlpm.x,SUM(SUM(_xlfn._xlws.FILTER(VALUE(PptoSty[Sign]&amp;1)*(1/PptoSty[Division]),(PptoSty[Division]&lt;&gt;0)*(PptoSty[Division]&lt;&gt;"")*(PptoSty[Division]&lt;&gt;"X")*(PptoSty[Project]=$B157)*(PptoSty[Vrs]=$D157)*(PptoSty[PiRow]=_xlfn.TEXTAFTER($H157,":"))*(PptoSty[PiColumn]=N$54),0)),SUM(IF((INDIRECT($B$3)=$B157)*(INDIRECT($C$3)=$D157)*((INDIRECT($E$3)="TOTS")+(INDIRECT($E$3)=$E157)),INDIRECT(N$3)))),_xlpm.y,SUM(_xlfn.CHOOSECOLS(_xlfn._xlws.FILTER(F_RT14[],(F_RT14[PrjId]=$B157)*(F_RT14[Vrs]=$D157)*(_xlfn.TEXTAFTER(F_RT14[ActGrp],":")=_xlfn.TEXTAFTER($H157,":")),"X"),MATCH("*"&amp;N$54,F_RT14[#Headers],0))),IF(AND(_xlpm.x=0,_xlpm.y&lt;&gt;0),-1,IF(AND(_xlpm.x&lt;&gt;0,_xlpm.y&lt;&gt;0),_xlpm.x,IF(AND(_xlpm.x-SUM(IF((INDIRECT($B$3)=$B157)*(INDIRECT($C$3)=$D157)*((INDIRECT($E$3)="TOTS")+(INDIRECT($E$3)=$E157)),INDIRECT(N$3)))&lt;&gt;0,_xlpm.y=0),-2,_xlpm.x)))),0))</f>
        <v>0</v>
      </c>
      <c r="O157" s="199" cm="1">
        <f t="array" aca="1" ref="O157" ca="1">IF(OR($B157="",$B157="X",$D157="",$D157="X",$E157="",$E157="X"),0,IFERROR(_xlfn.LET(_xlpm.x,SUM(SUM(_xlfn._xlws.FILTER(VALUE(PptoSty[Sign]&amp;1)*(1/PptoSty[Division]),(PptoSty[Division]&lt;&gt;0)*(PptoSty[Division]&lt;&gt;"")*(PptoSty[Division]&lt;&gt;"X")*(PptoSty[Project]=$B157)*(PptoSty[Vrs]=$D157)*(PptoSty[PiRow]=_xlfn.TEXTAFTER($H157,":"))*(PptoSty[PiColumn]=O$54),0)),SUM(IF((INDIRECT($B$3)=$B157)*(INDIRECT($C$3)=$D157)*((INDIRECT($E$3)="TOTS")+(INDIRECT($E$3)=$E157)),INDIRECT(O$3)))),_xlpm.y,SUM(_xlfn.CHOOSECOLS(_xlfn._xlws.FILTER(F_RT14[],(F_RT14[PrjId]=$B157)*(F_RT14[Vrs]=$D157)*(_xlfn.TEXTAFTER(F_RT14[ActGrp],":")=_xlfn.TEXTAFTER($H157,":")),"X"),MATCH("*"&amp;O$54,F_RT14[#Headers],0))),IF(AND(_xlpm.x=0,_xlpm.y&lt;&gt;0),-1,IF(AND(_xlpm.x&lt;&gt;0,_xlpm.y&lt;&gt;0),_xlpm.x,IF(AND(_xlpm.x-SUM(IF((INDIRECT($B$3)=$B157)*(INDIRECT($C$3)=$D157)*((INDIRECT($E$3)="TOTS")+(INDIRECT($E$3)=$E157)),INDIRECT(O$3)))&lt;&gt;0,_xlpm.y=0),-2,_xlpm.x)))),0))</f>
        <v>0</v>
      </c>
      <c r="P157" s="199" cm="1">
        <f t="array" aca="1" ref="P157" ca="1">IF(OR($B157="",$B157="X",$D157="",$D157="X",$E157="",$E157="X"),0,IFERROR(_xlfn.LET(_xlpm.x,SUM(SUM(_xlfn._xlws.FILTER(VALUE(PptoSty[Sign]&amp;1)*(1/PptoSty[Division]),(PptoSty[Division]&lt;&gt;0)*(PptoSty[Division]&lt;&gt;"")*(PptoSty[Division]&lt;&gt;"X")*(PptoSty[Project]=$B157)*(PptoSty[Vrs]=$D157)*(PptoSty[PiRow]=_xlfn.TEXTAFTER($H157,":"))*(PptoSty[PiColumn]=P$54),0)),SUM(IF((INDIRECT($B$3)=$B157)*(INDIRECT($C$3)=$D157)*((INDIRECT($E$3)="TOTS")+(INDIRECT($E$3)=$E157)),INDIRECT(P$3)))),_xlpm.y,SUM(_xlfn.CHOOSECOLS(_xlfn._xlws.FILTER(F_RT14[],(F_RT14[PrjId]=$B157)*(F_RT14[Vrs]=$D157)*(_xlfn.TEXTAFTER(F_RT14[ActGrp],":")=_xlfn.TEXTAFTER($H157,":")),"X"),MATCH("*"&amp;P$54,F_RT14[#Headers],0))),IF(AND(_xlpm.x=0,_xlpm.y&lt;&gt;0),-1,IF(AND(_xlpm.x&lt;&gt;0,_xlpm.y&lt;&gt;0),_xlpm.x,IF(AND(_xlpm.x-SUM(IF((INDIRECT($B$3)=$B157)*(INDIRECT($C$3)=$D157)*((INDIRECT($E$3)="TOTS")+(INDIRECT($E$3)=$E157)),INDIRECT(P$3)))&lt;&gt;0,_xlpm.y=0),-2,_xlpm.x)))),0))</f>
        <v>0</v>
      </c>
      <c r="Q157" s="199" cm="1">
        <f t="array" aca="1" ref="Q157" ca="1">IF(OR($B157="",$B157="X",$D157="",$D157="X",$E157="",$E157="X"),0,IFERROR(_xlfn.LET(_xlpm.x,SUM(SUM(_xlfn._xlws.FILTER(VALUE(PptoSty[Sign]&amp;1)*(1/PptoSty[Division]),(PptoSty[Division]&lt;&gt;0)*(PptoSty[Division]&lt;&gt;"")*(PptoSty[Division]&lt;&gt;"X")*(PptoSty[Project]=$B157)*(PptoSty[Vrs]=$D157)*(PptoSty[PiRow]=_xlfn.TEXTAFTER($H157,":"))*(PptoSty[PiColumn]=Q$54),0)),SUM(IF((INDIRECT($B$3)=$B157)*(INDIRECT($C$3)=$D157)*((INDIRECT($E$3)="TOTS")+(INDIRECT($E$3)=$E157)),INDIRECT(Q$3)))),_xlpm.y,SUM(_xlfn.CHOOSECOLS(_xlfn._xlws.FILTER(F_RT14[],(F_RT14[PrjId]=$B157)*(F_RT14[Vrs]=$D157)*(_xlfn.TEXTAFTER(F_RT14[ActGrp],":")=_xlfn.TEXTAFTER($H157,":")),"X"),MATCH("*"&amp;Q$54,F_RT14[#Headers],0))),IF(AND(_xlpm.x=0,_xlpm.y&lt;&gt;0),-1,IF(AND(_xlpm.x&lt;&gt;0,_xlpm.y&lt;&gt;0),_xlpm.x,IF(AND(_xlpm.x-SUM(IF((INDIRECT($B$3)=$B157)*(INDIRECT($C$3)=$D157)*((INDIRECT($E$3)="TOTS")+(INDIRECT($E$3)=$E157)),INDIRECT(Q$3)))&lt;&gt;0,_xlpm.y=0),-2,_xlpm.x)))),0))</f>
        <v>0</v>
      </c>
      <c r="R157" s="199" cm="1">
        <f t="array" aca="1" ref="R157" ca="1">IF(OR($B157="",$B157="X",$D157="",$D157="X",$E157="",$E157="X"),0,IFERROR(_xlfn.LET(_xlpm.x,SUM(SUM(_xlfn._xlws.FILTER(VALUE(PptoSty[Sign]&amp;1)*(1/PptoSty[Division]),(PptoSty[Division]&lt;&gt;0)*(PptoSty[Division]&lt;&gt;"")*(PptoSty[Division]&lt;&gt;"X")*(PptoSty[Project]=$B157)*(PptoSty[Vrs]=$D157)*(PptoSty[PiRow]=_xlfn.TEXTAFTER($H157,":"))*(PptoSty[PiColumn]=R$54),0)),SUM(IF((INDIRECT($B$3)=$B157)*(INDIRECT($C$3)=$D157)*((INDIRECT($E$3)="TOTS")+(INDIRECT($E$3)=$E157)),INDIRECT(R$3)))),_xlpm.y,SUM(_xlfn.CHOOSECOLS(_xlfn._xlws.FILTER(F_RT14[],(F_RT14[PrjId]=$B157)*(F_RT14[Vrs]=$D157)*(_xlfn.TEXTAFTER(F_RT14[ActGrp],":")=_xlfn.TEXTAFTER($H157,":")),"X"),MATCH("*"&amp;R$54,F_RT14[#Headers],0))),IF(AND(_xlpm.x=0,_xlpm.y&lt;&gt;0),-1,IF(AND(_xlpm.x&lt;&gt;0,_xlpm.y&lt;&gt;0),_xlpm.x,IF(AND(_xlpm.x-SUM(IF((INDIRECT($B$3)=$B157)*(INDIRECT($C$3)=$D157)*((INDIRECT($E$3)="TOTS")+(INDIRECT($E$3)=$E157)),INDIRECT(R$3)))&lt;&gt;0,_xlpm.y=0),-2,_xlpm.x)))),0))</f>
        <v>0</v>
      </c>
      <c r="S157" s="199" cm="1">
        <f t="array" aca="1" ref="S157" ca="1">IF(OR($B157="",$B157="X",$D157="",$D157="X",$E157="",$E157="X"),0,IFERROR(_xlfn.LET(_xlpm.x,SUM(SUM(_xlfn._xlws.FILTER(VALUE(PptoSty[Sign]&amp;1)*(1/PptoSty[Division]),(PptoSty[Division]&lt;&gt;0)*(PptoSty[Division]&lt;&gt;"")*(PptoSty[Division]&lt;&gt;"X")*(PptoSty[Project]=$B157)*(PptoSty[Vrs]=$D157)*(PptoSty[PiRow]=_xlfn.TEXTAFTER($H157,":"))*(PptoSty[PiColumn]=S$54),0)),SUM(IF((INDIRECT($B$3)=$B157)*(INDIRECT($C$3)=$D157)*((INDIRECT($E$3)="TOTS")+(INDIRECT($E$3)=$E157)),INDIRECT(S$3)))),_xlpm.y,SUM(_xlfn.CHOOSECOLS(_xlfn._xlws.FILTER(F_RT14[],(F_RT14[PrjId]=$B157)*(F_RT14[Vrs]=$D157)*(_xlfn.TEXTAFTER(F_RT14[ActGrp],":")=_xlfn.TEXTAFTER($H157,":")),"X"),MATCH("*"&amp;S$54,F_RT14[#Headers],0))),IF(AND(_xlpm.x=0,_xlpm.y&lt;&gt;0),-1,IF(AND(_xlpm.x&lt;&gt;0,_xlpm.y&lt;&gt;0),_xlpm.x,IF(AND(_xlpm.x-SUM(IF((INDIRECT($B$3)=$B157)*(INDIRECT($C$3)=$D157)*((INDIRECT($E$3)="TOTS")+(INDIRECT($E$3)=$E157)),INDIRECT(S$3)))&lt;&gt;0,_xlpm.y=0),-2,_xlpm.x)))),0))</f>
        <v>0</v>
      </c>
      <c r="T157" s="199" cm="1">
        <f t="array" aca="1" ref="T157" ca="1">IF(OR($B157="",$B157="X",$D157="",$D157="X",$E157="",$E157="X"),0,IFERROR(_xlfn.LET(_xlpm.x,SUM(SUM(_xlfn._xlws.FILTER(VALUE(PptoSty[Sign]&amp;1)*(1/PptoSty[Division]),(PptoSty[Division]&lt;&gt;0)*(PptoSty[Division]&lt;&gt;"")*(PptoSty[Division]&lt;&gt;"X")*(PptoSty[Project]=$B157)*(PptoSty[Vrs]=$D157)*(PptoSty[PiRow]=_xlfn.TEXTAFTER($H157,":"))*(PptoSty[PiColumn]=T$54),0)),SUM(IF((INDIRECT($B$3)=$B157)*(INDIRECT($C$3)=$D157)*((INDIRECT($E$3)="TOTS")+(INDIRECT($E$3)=$E157)),INDIRECT(T$3)))),_xlpm.y,SUM(_xlfn.CHOOSECOLS(_xlfn._xlws.FILTER(F_RT14[],(F_RT14[PrjId]=$B157)*(F_RT14[Vrs]=$D157)*(_xlfn.TEXTAFTER(F_RT14[ActGrp],":")=_xlfn.TEXTAFTER($H157,":")),"X"),MATCH("*"&amp;T$54,F_RT14[#Headers],0))),IF(AND(_xlpm.x=0,_xlpm.y&lt;&gt;0),-1,IF(AND(_xlpm.x&lt;&gt;0,_xlpm.y&lt;&gt;0),_xlpm.x,IF(AND(_xlpm.x-SUM(IF((INDIRECT($B$3)=$B157)*(INDIRECT($C$3)=$D157)*((INDIRECT($E$3)="TOTS")+(INDIRECT($E$3)=$E157)),INDIRECT(T$3)))&lt;&gt;0,_xlpm.y=0),-2,_xlpm.x)))),0))</f>
        <v>0</v>
      </c>
      <c r="U157" s="199" cm="1">
        <f t="array" aca="1" ref="U157" ca="1">IF(OR($B157="",$B157="X",$D157="",$D157="X",$E157="",$E157="X"),0,IFERROR(_xlfn.LET(_xlpm.x,SUM(SUM(_xlfn._xlws.FILTER(VALUE(PptoSty[Sign]&amp;1)*(1/PptoSty[Division]),(PptoSty[Division]&lt;&gt;0)*(PptoSty[Division]&lt;&gt;"")*(PptoSty[Division]&lt;&gt;"X")*(PptoSty[Project]=$B157)*(PptoSty[Vrs]=$D157)*(PptoSty[PiRow]=_xlfn.TEXTAFTER($H157,":"))*(PptoSty[PiColumn]=U$54),0)),SUM(IF((INDIRECT($B$3)=$B157)*(INDIRECT($C$3)=$D157)*((INDIRECT($E$3)="TOTS")+(INDIRECT($E$3)=$E157)),INDIRECT(U$3)))),_xlpm.y,SUM(_xlfn.CHOOSECOLS(_xlfn._xlws.FILTER(F_RT14[],(F_RT14[PrjId]=$B157)*(F_RT14[Vrs]=$D157)*(_xlfn.TEXTAFTER(F_RT14[ActGrp],":")=_xlfn.TEXTAFTER($H157,":")),"X"),MATCH("*"&amp;U$54,F_RT14[#Headers],0))),IF(AND(_xlpm.x=0,_xlpm.y&lt;&gt;0),-1,IF(AND(_xlpm.x&lt;&gt;0,_xlpm.y&lt;&gt;0),_xlpm.x,IF(AND(_xlpm.x-SUM(IF((INDIRECT($B$3)=$B157)*(INDIRECT($C$3)=$D157)*((INDIRECT($E$3)="TOTS")+(INDIRECT($E$3)=$E157)),INDIRECT(U$3)))&lt;&gt;0,_xlpm.y=0),-2,_xlpm.x)))),0))</f>
        <v>0</v>
      </c>
      <c r="V157" s="199" cm="1">
        <f t="array" aca="1" ref="V157" ca="1">IF(OR($B157="",$B157="X",$D157="",$D157="X",$E157="",$E157="X"),0,IFERROR(_xlfn.LET(_xlpm.x,SUM(SUM(_xlfn._xlws.FILTER(VALUE(PptoSty[Sign]&amp;1)*(1/PptoSty[Division]),(PptoSty[Division]&lt;&gt;0)*(PptoSty[Division]&lt;&gt;"")*(PptoSty[Division]&lt;&gt;"X")*(PptoSty[Project]=$B157)*(PptoSty[Vrs]=$D157)*(PptoSty[PiRow]=_xlfn.TEXTAFTER($H157,":"))*(PptoSty[PiColumn]=V$54),0)),SUM(IF((INDIRECT($B$3)=$B157)*(INDIRECT($C$3)=$D157)*((INDIRECT($E$3)="TOTS")+(INDIRECT($E$3)=$E157)),INDIRECT(V$3)))),_xlpm.y,SUM(_xlfn.CHOOSECOLS(_xlfn._xlws.FILTER(F_RT14[],(F_RT14[PrjId]=$B157)*(F_RT14[Vrs]=$D157)*(_xlfn.TEXTAFTER(F_RT14[ActGrp],":")=_xlfn.TEXTAFTER($H157,":")),"X"),MATCH("*"&amp;V$54,F_RT14[#Headers],0))),IF(AND(_xlpm.x=0,_xlpm.y&lt;&gt;0),-1,IF(AND(_xlpm.x&lt;&gt;0,_xlpm.y&lt;&gt;0),_xlpm.x,IF(AND(_xlpm.x-SUM(IF((INDIRECT($B$3)=$B157)*(INDIRECT($C$3)=$D157)*((INDIRECT($E$3)="TOTS")+(INDIRECT($E$3)=$E157)),INDIRECT(V$3)))&lt;&gt;0,_xlpm.y=0),-2,_xlpm.x)))),0))</f>
        <v>0</v>
      </c>
      <c r="W157" s="199" cm="1">
        <f t="array" aca="1" ref="W157" ca="1">IF(OR($B157="",$B157="X",$D157="",$D157="X",$E157="",$E157="X"),0,IFERROR(_xlfn.LET(_xlpm.x,SUM(SUM(_xlfn._xlws.FILTER(VALUE(PptoSty[Sign]&amp;1)*(1/PptoSty[Division]),(PptoSty[Division]&lt;&gt;0)*(PptoSty[Division]&lt;&gt;"")*(PptoSty[Division]&lt;&gt;"X")*(PptoSty[Project]=$B157)*(PptoSty[Vrs]=$D157)*(PptoSty[PiRow]=_xlfn.TEXTAFTER($H157,":"))*(PptoSty[PiColumn]=W$54),0)),SUM(IF((INDIRECT($B$3)=$B157)*(INDIRECT($C$3)=$D157)*((INDIRECT($E$3)="TOTS")+(INDIRECT($E$3)=$E157)),INDIRECT(W$3)))),_xlpm.y,SUM(_xlfn.CHOOSECOLS(_xlfn._xlws.FILTER(F_RT14[],(F_RT14[PrjId]=$B157)*(F_RT14[Vrs]=$D157)*(_xlfn.TEXTAFTER(F_RT14[ActGrp],":")=_xlfn.TEXTAFTER($H157,":")),"X"),MATCH("*"&amp;W$54,F_RT14[#Headers],0))),IF(AND(_xlpm.x=0,_xlpm.y&lt;&gt;0),-1,IF(AND(_xlpm.x&lt;&gt;0,_xlpm.y&lt;&gt;0),_xlpm.x,IF(AND(_xlpm.x-SUM(IF((INDIRECT($B$3)=$B157)*(INDIRECT($C$3)=$D157)*((INDIRECT($E$3)="TOTS")+(INDIRECT($E$3)=$E157)),INDIRECT(W$3)))&lt;&gt;0,_xlpm.y=0),-2,_xlpm.x)))),0))</f>
        <v>0</v>
      </c>
      <c r="X157" s="199" cm="1">
        <f t="array" aca="1" ref="X157" ca="1">IF(OR($B157="",$B157="X",$D157="",$D157="X",$E157="",$E157="X"),0,IFERROR(_xlfn.LET(_xlpm.x,SUM(SUM(_xlfn._xlws.FILTER(VALUE(PptoSty[Sign]&amp;1)*(1/PptoSty[Division]),(PptoSty[Division]&lt;&gt;0)*(PptoSty[Division]&lt;&gt;"")*(PptoSty[Division]&lt;&gt;"X")*(PptoSty[Project]=$B157)*(PptoSty[Vrs]=$D157)*(PptoSty[PiRow]=_xlfn.TEXTAFTER($H157,":"))*(PptoSty[PiColumn]=X$54),0)),SUM(IF((INDIRECT($B$3)=$B157)*(INDIRECT($C$3)=$D157)*((INDIRECT($E$3)="TOTS")+(INDIRECT($E$3)=$E157)),INDIRECT(X$3)))),_xlpm.y,SUM(_xlfn.CHOOSECOLS(_xlfn._xlws.FILTER(F_RT14[],(F_RT14[PrjId]=$B157)*(F_RT14[Vrs]=$D157)*(_xlfn.TEXTAFTER(F_RT14[ActGrp],":")=_xlfn.TEXTAFTER($H157,":")),"X"),MATCH("*"&amp;X$54,F_RT14[#Headers],0))),IF(AND(_xlpm.x=0,_xlpm.y&lt;&gt;0),-1,IF(AND(_xlpm.x&lt;&gt;0,_xlpm.y&lt;&gt;0),_xlpm.x,IF(AND(_xlpm.x-SUM(IF((INDIRECT($B$3)=$B157)*(INDIRECT($C$3)=$D157)*((INDIRECT($E$3)="TOTS")+(INDIRECT($E$3)=$E157)),INDIRECT(X$3)))&lt;&gt;0,_xlpm.y=0),-2,_xlpm.x)))),0))</f>
        <v>0</v>
      </c>
      <c r="Y157" s="199" cm="1">
        <f t="array" aca="1" ref="Y157" ca="1">IF(OR($B157="",$B157="X",$D157="",$D157="X",$E157="",$E157="X"),0,IFERROR(_xlfn.LET(_xlpm.x,SUM(SUM(_xlfn._xlws.FILTER(VALUE(PptoSty[Sign]&amp;1)*(1/PptoSty[Division]),(PptoSty[Division]&lt;&gt;0)*(PptoSty[Division]&lt;&gt;"")*(PptoSty[Division]&lt;&gt;"X")*(PptoSty[Project]=$B157)*(PptoSty[Vrs]=$D157)*(PptoSty[PiRow]=_xlfn.TEXTAFTER($H157,":"))*(PptoSty[PiColumn]=Y$54),0)),SUM(IF((INDIRECT($B$3)=$B157)*(INDIRECT($C$3)=$D157)*((INDIRECT($E$3)="TOTS")+(INDIRECT($E$3)=$E157)),INDIRECT(Y$3)))),_xlpm.y,SUM(_xlfn.CHOOSECOLS(_xlfn._xlws.FILTER(F_RT14[],(F_RT14[PrjId]=$B157)*(F_RT14[Vrs]=$D157)*(_xlfn.TEXTAFTER(F_RT14[ActGrp],":")=_xlfn.TEXTAFTER($H157,":")),"X"),MATCH("*"&amp;Y$54,F_RT14[#Headers],0))),IF(AND(_xlpm.x=0,_xlpm.y&lt;&gt;0),-1,IF(AND(_xlpm.x&lt;&gt;0,_xlpm.y&lt;&gt;0),_xlpm.x,IF(AND(_xlpm.x-SUM(IF((INDIRECT($B$3)=$B157)*(INDIRECT($C$3)=$D157)*((INDIRECT($E$3)="TOTS")+(INDIRECT($E$3)=$E157)),INDIRECT(Y$3)))&lt;&gt;0,_xlpm.y=0),-2,_xlpm.x)))),0))</f>
        <v>-1</v>
      </c>
      <c r="Z157" s="198" t="str">
        <f t="shared" ca="1" si="3"/>
        <v>Fback!B157:Y157</v>
      </c>
    </row>
    <row r="158" spans="2:26" ht="21" customHeight="1" outlineLevel="1">
      <c r="B158" s="128" t="str">
        <v>31200</v>
      </c>
      <c r="C158" s="128" t="str">
        <v>Sp</v>
      </c>
      <c r="D158" s="128">
        <v>0</v>
      </c>
      <c r="E158" s="128" t="str">
        <v>TRSL</v>
      </c>
      <c r="F158" s="139" t="str">
        <v>PLANT</v>
      </c>
      <c r="G158" s="139" t="str">
        <v>CurPpto</v>
      </c>
      <c r="H158" s="139" t="str">
        <v>G002:DIETAS, DESPLAZAMIENTOS Y HOSPEDAJE</v>
      </c>
      <c r="I158" s="199" cm="1">
        <f t="array" aca="1" ref="I158" ca="1">IF(OR($B158="",$B158="X",$D158="",$D158="X",$E158="",$E158="X"),0,IFERROR(_xlfn.LET(_xlpm.x,SUM(SUM(_xlfn._xlws.FILTER(VALUE(PptoSty[Sign]&amp;1)*(1/PptoSty[Division]),(PptoSty[Division]&lt;&gt;0)*(PptoSty[Division]&lt;&gt;"")*(PptoSty[Division]&lt;&gt;"X")*(PptoSty[Project]=$B158)*(PptoSty[Vrs]=$D158)*(PptoSty[PiRow]=_xlfn.TEXTAFTER($H158,":"))*(PptoSty[PiColumn]=I$54),0)),SUM(IF((INDIRECT($B$3)=$B158)*(INDIRECT($C$3)=$D158)*((INDIRECT($E$3)="TOTS")+(INDIRECT($E$3)=$E158)),INDIRECT(I$3)))),_xlpm.y,SUM(_xlfn.CHOOSECOLS(_xlfn._xlws.FILTER(F_RT14[],(F_RT14[PrjId]=$B158)*(F_RT14[Vrs]=$D158)*(_xlfn.TEXTAFTER(F_RT14[ActGrp],":")=_xlfn.TEXTAFTER($H158,":")),"X"),MATCH("*"&amp;I$54,F_RT14[#Headers],0))),IF(AND(_xlpm.x=0,_xlpm.y&lt;&gt;0),-1,IF(AND(_xlpm.x&lt;&gt;0,_xlpm.y&lt;&gt;0),_xlpm.x,IF(AND(_xlpm.x-SUM(IF((INDIRECT($B$3)=$B158)*(INDIRECT($C$3)=$D158)*((INDIRECT($E$3)="TOTS")+(INDIRECT($E$3)=$E158)),INDIRECT(I$3)))&lt;&gt;0,_xlpm.y=0),-2,_xlpm.x)))),0))</f>
        <v>0</v>
      </c>
      <c r="J158" s="199" cm="1">
        <f t="array" aca="1" ref="J158" ca="1">IF(OR($B158="",$B158="X",$D158="",$D158="X",$E158="",$E158="X"),0,IFERROR(_xlfn.LET(_xlpm.x,SUM(SUM(_xlfn._xlws.FILTER(VALUE(PptoSty[Sign]&amp;1)*(1/PptoSty[Division]),(PptoSty[Division]&lt;&gt;0)*(PptoSty[Division]&lt;&gt;"")*(PptoSty[Division]&lt;&gt;"X")*(PptoSty[Project]=$B158)*(PptoSty[Vrs]=$D158)*(PptoSty[PiRow]=_xlfn.TEXTAFTER($H158,":"))*(PptoSty[PiColumn]=J$54),0)),SUM(IF((INDIRECT($B$3)=$B158)*(INDIRECT($C$3)=$D158)*((INDIRECT($E$3)="TOTS")+(INDIRECT($E$3)=$E158)),INDIRECT(J$3)))),_xlpm.y,SUM(_xlfn.CHOOSECOLS(_xlfn._xlws.FILTER(F_RT14[],(F_RT14[PrjId]=$B158)*(F_RT14[Vrs]=$D158)*(_xlfn.TEXTAFTER(F_RT14[ActGrp],":")=_xlfn.TEXTAFTER($H158,":")),"X"),MATCH("*"&amp;J$54,F_RT14[#Headers],0))),IF(AND(_xlpm.x=0,_xlpm.y&lt;&gt;0),-1,IF(AND(_xlpm.x&lt;&gt;0,_xlpm.y&lt;&gt;0),_xlpm.x,IF(AND(_xlpm.x-SUM(IF((INDIRECT($B$3)=$B158)*(INDIRECT($C$3)=$D158)*((INDIRECT($E$3)="TOTS")+(INDIRECT($E$3)=$E158)),INDIRECT(J$3)))&lt;&gt;0,_xlpm.y=0),-2,_xlpm.x)))),0))</f>
        <v>0</v>
      </c>
      <c r="K158" s="199" cm="1">
        <f t="array" aca="1" ref="K158" ca="1">IF(OR($B158="",$B158="X",$D158="",$D158="X",$E158="",$E158="X"),0,IFERROR(_xlfn.LET(_xlpm.x,SUM(SUM(_xlfn._xlws.FILTER(VALUE(PptoSty[Sign]&amp;1)*(1/PptoSty[Division]),(PptoSty[Division]&lt;&gt;0)*(PptoSty[Division]&lt;&gt;"")*(PptoSty[Division]&lt;&gt;"X")*(PptoSty[Project]=$B158)*(PptoSty[Vrs]=$D158)*(PptoSty[PiRow]=_xlfn.TEXTAFTER($H158,":"))*(PptoSty[PiColumn]=K$54),0)),SUM(IF((INDIRECT($B$3)=$B158)*(INDIRECT($C$3)=$D158)*((INDIRECT($E$3)="TOTS")+(INDIRECT($E$3)=$E158)),INDIRECT(K$3)))),_xlpm.y,SUM(_xlfn.CHOOSECOLS(_xlfn._xlws.FILTER(F_RT14[],(F_RT14[PrjId]=$B158)*(F_RT14[Vrs]=$D158)*(_xlfn.TEXTAFTER(F_RT14[ActGrp],":")=_xlfn.TEXTAFTER($H158,":")),"X"),MATCH("*"&amp;K$54,F_RT14[#Headers],0))),IF(AND(_xlpm.x=0,_xlpm.y&lt;&gt;0),-1,IF(AND(_xlpm.x&lt;&gt;0,_xlpm.y&lt;&gt;0),_xlpm.x,IF(AND(_xlpm.x-SUM(IF((INDIRECT($B$3)=$B158)*(INDIRECT($C$3)=$D158)*((INDIRECT($E$3)="TOTS")+(INDIRECT($E$3)=$E158)),INDIRECT(K$3)))&lt;&gt;0,_xlpm.y=0),-2,_xlpm.x)))),0))</f>
        <v>0</v>
      </c>
      <c r="L158" s="199" cm="1">
        <f t="array" aca="1" ref="L158" ca="1">IF(OR($B158="",$B158="X",$D158="",$D158="X",$E158="",$E158="X"),0,IFERROR(_xlfn.LET(_xlpm.x,SUM(SUM(_xlfn._xlws.FILTER(VALUE(PptoSty[Sign]&amp;1)*(1/PptoSty[Division]),(PptoSty[Division]&lt;&gt;0)*(PptoSty[Division]&lt;&gt;"")*(PptoSty[Division]&lt;&gt;"X")*(PptoSty[Project]=$B158)*(PptoSty[Vrs]=$D158)*(PptoSty[PiRow]=_xlfn.TEXTAFTER($H158,":"))*(PptoSty[PiColumn]=L$54),0)),SUM(IF((INDIRECT($B$3)=$B158)*(INDIRECT($C$3)=$D158)*((INDIRECT($E$3)="TOTS")+(INDIRECT($E$3)=$E158)),INDIRECT(L$3)))),_xlpm.y,SUM(_xlfn.CHOOSECOLS(_xlfn._xlws.FILTER(F_RT14[],(F_RT14[PrjId]=$B158)*(F_RT14[Vrs]=$D158)*(_xlfn.TEXTAFTER(F_RT14[ActGrp],":")=_xlfn.TEXTAFTER($H158,":")),"X"),MATCH("*"&amp;L$54,F_RT14[#Headers],0))),IF(AND(_xlpm.x=0,_xlpm.y&lt;&gt;0),-1,IF(AND(_xlpm.x&lt;&gt;0,_xlpm.y&lt;&gt;0),_xlpm.x,IF(AND(_xlpm.x-SUM(IF((INDIRECT($B$3)=$B158)*(INDIRECT($C$3)=$D158)*((INDIRECT($E$3)="TOTS")+(INDIRECT($E$3)=$E158)),INDIRECT(L$3)))&lt;&gt;0,_xlpm.y=0),-2,_xlpm.x)))),0))</f>
        <v>0</v>
      </c>
      <c r="M158" s="199" cm="1">
        <f t="array" aca="1" ref="M158" ca="1">IF(OR($B158="",$B158="X",$D158="",$D158="X",$E158="",$E158="X"),0,IFERROR(_xlfn.LET(_xlpm.x,SUM(SUM(_xlfn._xlws.FILTER(VALUE(PptoSty[Sign]&amp;1)*(1/PptoSty[Division]),(PptoSty[Division]&lt;&gt;0)*(PptoSty[Division]&lt;&gt;"")*(PptoSty[Division]&lt;&gt;"X")*(PptoSty[Project]=$B158)*(PptoSty[Vrs]=$D158)*(PptoSty[PiRow]=_xlfn.TEXTAFTER($H158,":"))*(PptoSty[PiColumn]=M$54),0)),SUM(IF((INDIRECT($B$3)=$B158)*(INDIRECT($C$3)=$D158)*((INDIRECT($E$3)="TOTS")+(INDIRECT($E$3)=$E158)),INDIRECT(M$3)))),_xlpm.y,SUM(_xlfn.CHOOSECOLS(_xlfn._xlws.FILTER(F_RT14[],(F_RT14[PrjId]=$B158)*(F_RT14[Vrs]=$D158)*(_xlfn.TEXTAFTER(F_RT14[ActGrp],":")=_xlfn.TEXTAFTER($H158,":")),"X"),MATCH("*"&amp;M$54,F_RT14[#Headers],0))),IF(AND(_xlpm.x=0,_xlpm.y&lt;&gt;0),-1,IF(AND(_xlpm.x&lt;&gt;0,_xlpm.y&lt;&gt;0),_xlpm.x,IF(AND(_xlpm.x-SUM(IF((INDIRECT($B$3)=$B158)*(INDIRECT($C$3)=$D158)*((INDIRECT($E$3)="TOTS")+(INDIRECT($E$3)=$E158)),INDIRECT(M$3)))&lt;&gt;0,_xlpm.y=0),-2,_xlpm.x)))),0))</f>
        <v>0</v>
      </c>
      <c r="N158" s="199" cm="1">
        <f t="array" aca="1" ref="N158" ca="1">IF(OR($B158="",$B158="X",$D158="",$D158="X",$E158="",$E158="X"),0,IFERROR(_xlfn.LET(_xlpm.x,SUM(SUM(_xlfn._xlws.FILTER(VALUE(PptoSty[Sign]&amp;1)*(1/PptoSty[Division]),(PptoSty[Division]&lt;&gt;0)*(PptoSty[Division]&lt;&gt;"")*(PptoSty[Division]&lt;&gt;"X")*(PptoSty[Project]=$B158)*(PptoSty[Vrs]=$D158)*(PptoSty[PiRow]=_xlfn.TEXTAFTER($H158,":"))*(PptoSty[PiColumn]=N$54),0)),SUM(IF((INDIRECT($B$3)=$B158)*(INDIRECT($C$3)=$D158)*((INDIRECT($E$3)="TOTS")+(INDIRECT($E$3)=$E158)),INDIRECT(N$3)))),_xlpm.y,SUM(_xlfn.CHOOSECOLS(_xlfn._xlws.FILTER(F_RT14[],(F_RT14[PrjId]=$B158)*(F_RT14[Vrs]=$D158)*(_xlfn.TEXTAFTER(F_RT14[ActGrp],":")=_xlfn.TEXTAFTER($H158,":")),"X"),MATCH("*"&amp;N$54,F_RT14[#Headers],0))),IF(AND(_xlpm.x=0,_xlpm.y&lt;&gt;0),-1,IF(AND(_xlpm.x&lt;&gt;0,_xlpm.y&lt;&gt;0),_xlpm.x,IF(AND(_xlpm.x-SUM(IF((INDIRECT($B$3)=$B158)*(INDIRECT($C$3)=$D158)*((INDIRECT($E$3)="TOTS")+(INDIRECT($E$3)=$E158)),INDIRECT(N$3)))&lt;&gt;0,_xlpm.y=0),-2,_xlpm.x)))),0))</f>
        <v>0</v>
      </c>
      <c r="O158" s="199" cm="1">
        <f t="array" aca="1" ref="O158" ca="1">IF(OR($B158="",$B158="X",$D158="",$D158="X",$E158="",$E158="X"),0,IFERROR(_xlfn.LET(_xlpm.x,SUM(SUM(_xlfn._xlws.FILTER(VALUE(PptoSty[Sign]&amp;1)*(1/PptoSty[Division]),(PptoSty[Division]&lt;&gt;0)*(PptoSty[Division]&lt;&gt;"")*(PptoSty[Division]&lt;&gt;"X")*(PptoSty[Project]=$B158)*(PptoSty[Vrs]=$D158)*(PptoSty[PiRow]=_xlfn.TEXTAFTER($H158,":"))*(PptoSty[PiColumn]=O$54),0)),SUM(IF((INDIRECT($B$3)=$B158)*(INDIRECT($C$3)=$D158)*((INDIRECT($E$3)="TOTS")+(INDIRECT($E$3)=$E158)),INDIRECT(O$3)))),_xlpm.y,SUM(_xlfn.CHOOSECOLS(_xlfn._xlws.FILTER(F_RT14[],(F_RT14[PrjId]=$B158)*(F_RT14[Vrs]=$D158)*(_xlfn.TEXTAFTER(F_RT14[ActGrp],":")=_xlfn.TEXTAFTER($H158,":")),"X"),MATCH("*"&amp;O$54,F_RT14[#Headers],0))),IF(AND(_xlpm.x=0,_xlpm.y&lt;&gt;0),-1,IF(AND(_xlpm.x&lt;&gt;0,_xlpm.y&lt;&gt;0),_xlpm.x,IF(AND(_xlpm.x-SUM(IF((INDIRECT($B$3)=$B158)*(INDIRECT($C$3)=$D158)*((INDIRECT($E$3)="TOTS")+(INDIRECT($E$3)=$E158)),INDIRECT(O$3)))&lt;&gt;0,_xlpm.y=0),-2,_xlpm.x)))),0))</f>
        <v>0</v>
      </c>
      <c r="P158" s="199" cm="1">
        <f t="array" aca="1" ref="P158" ca="1">IF(OR($B158="",$B158="X",$D158="",$D158="X",$E158="",$E158="X"),0,IFERROR(_xlfn.LET(_xlpm.x,SUM(SUM(_xlfn._xlws.FILTER(VALUE(PptoSty[Sign]&amp;1)*(1/PptoSty[Division]),(PptoSty[Division]&lt;&gt;0)*(PptoSty[Division]&lt;&gt;"")*(PptoSty[Division]&lt;&gt;"X")*(PptoSty[Project]=$B158)*(PptoSty[Vrs]=$D158)*(PptoSty[PiRow]=_xlfn.TEXTAFTER($H158,":"))*(PptoSty[PiColumn]=P$54),0)),SUM(IF((INDIRECT($B$3)=$B158)*(INDIRECT($C$3)=$D158)*((INDIRECT($E$3)="TOTS")+(INDIRECT($E$3)=$E158)),INDIRECT(P$3)))),_xlpm.y,SUM(_xlfn.CHOOSECOLS(_xlfn._xlws.FILTER(F_RT14[],(F_RT14[PrjId]=$B158)*(F_RT14[Vrs]=$D158)*(_xlfn.TEXTAFTER(F_RT14[ActGrp],":")=_xlfn.TEXTAFTER($H158,":")),"X"),MATCH("*"&amp;P$54,F_RT14[#Headers],0))),IF(AND(_xlpm.x=0,_xlpm.y&lt;&gt;0),-1,IF(AND(_xlpm.x&lt;&gt;0,_xlpm.y&lt;&gt;0),_xlpm.x,IF(AND(_xlpm.x-SUM(IF((INDIRECT($B$3)=$B158)*(INDIRECT($C$3)=$D158)*((INDIRECT($E$3)="TOTS")+(INDIRECT($E$3)=$E158)),INDIRECT(P$3)))&lt;&gt;0,_xlpm.y=0),-2,_xlpm.x)))),0))</f>
        <v>0</v>
      </c>
      <c r="Q158" s="199" cm="1">
        <f t="array" aca="1" ref="Q158" ca="1">IF(OR($B158="",$B158="X",$D158="",$D158="X",$E158="",$E158="X"),0,IFERROR(_xlfn.LET(_xlpm.x,SUM(SUM(_xlfn._xlws.FILTER(VALUE(PptoSty[Sign]&amp;1)*(1/PptoSty[Division]),(PptoSty[Division]&lt;&gt;0)*(PptoSty[Division]&lt;&gt;"")*(PptoSty[Division]&lt;&gt;"X")*(PptoSty[Project]=$B158)*(PptoSty[Vrs]=$D158)*(PptoSty[PiRow]=_xlfn.TEXTAFTER($H158,":"))*(PptoSty[PiColumn]=Q$54),0)),SUM(IF((INDIRECT($B$3)=$B158)*(INDIRECT($C$3)=$D158)*((INDIRECT($E$3)="TOTS")+(INDIRECT($E$3)=$E158)),INDIRECT(Q$3)))),_xlpm.y,SUM(_xlfn.CHOOSECOLS(_xlfn._xlws.FILTER(F_RT14[],(F_RT14[PrjId]=$B158)*(F_RT14[Vrs]=$D158)*(_xlfn.TEXTAFTER(F_RT14[ActGrp],":")=_xlfn.TEXTAFTER($H158,":")),"X"),MATCH("*"&amp;Q$54,F_RT14[#Headers],0))),IF(AND(_xlpm.x=0,_xlpm.y&lt;&gt;0),-1,IF(AND(_xlpm.x&lt;&gt;0,_xlpm.y&lt;&gt;0),_xlpm.x,IF(AND(_xlpm.x-SUM(IF((INDIRECT($B$3)=$B158)*(INDIRECT($C$3)=$D158)*((INDIRECT($E$3)="TOTS")+(INDIRECT($E$3)=$E158)),INDIRECT(Q$3)))&lt;&gt;0,_xlpm.y=0),-2,_xlpm.x)))),0))</f>
        <v>0</v>
      </c>
      <c r="R158" s="199" cm="1">
        <f t="array" aca="1" ref="R158" ca="1">IF(OR($B158="",$B158="X",$D158="",$D158="X",$E158="",$E158="X"),0,IFERROR(_xlfn.LET(_xlpm.x,SUM(SUM(_xlfn._xlws.FILTER(VALUE(PptoSty[Sign]&amp;1)*(1/PptoSty[Division]),(PptoSty[Division]&lt;&gt;0)*(PptoSty[Division]&lt;&gt;"")*(PptoSty[Division]&lt;&gt;"X")*(PptoSty[Project]=$B158)*(PptoSty[Vrs]=$D158)*(PptoSty[PiRow]=_xlfn.TEXTAFTER($H158,":"))*(PptoSty[PiColumn]=R$54),0)),SUM(IF((INDIRECT($B$3)=$B158)*(INDIRECT($C$3)=$D158)*((INDIRECT($E$3)="TOTS")+(INDIRECT($E$3)=$E158)),INDIRECT(R$3)))),_xlpm.y,SUM(_xlfn.CHOOSECOLS(_xlfn._xlws.FILTER(F_RT14[],(F_RT14[PrjId]=$B158)*(F_RT14[Vrs]=$D158)*(_xlfn.TEXTAFTER(F_RT14[ActGrp],":")=_xlfn.TEXTAFTER($H158,":")),"X"),MATCH("*"&amp;R$54,F_RT14[#Headers],0))),IF(AND(_xlpm.x=0,_xlpm.y&lt;&gt;0),-1,IF(AND(_xlpm.x&lt;&gt;0,_xlpm.y&lt;&gt;0),_xlpm.x,IF(AND(_xlpm.x-SUM(IF((INDIRECT($B$3)=$B158)*(INDIRECT($C$3)=$D158)*((INDIRECT($E$3)="TOTS")+(INDIRECT($E$3)=$E158)),INDIRECT(R$3)))&lt;&gt;0,_xlpm.y=0),-2,_xlpm.x)))),0))</f>
        <v>0</v>
      </c>
      <c r="S158" s="199" cm="1">
        <f t="array" aca="1" ref="S158" ca="1">IF(OR($B158="",$B158="X",$D158="",$D158="X",$E158="",$E158="X"),0,IFERROR(_xlfn.LET(_xlpm.x,SUM(SUM(_xlfn._xlws.FILTER(VALUE(PptoSty[Sign]&amp;1)*(1/PptoSty[Division]),(PptoSty[Division]&lt;&gt;0)*(PptoSty[Division]&lt;&gt;"")*(PptoSty[Division]&lt;&gt;"X")*(PptoSty[Project]=$B158)*(PptoSty[Vrs]=$D158)*(PptoSty[PiRow]=_xlfn.TEXTAFTER($H158,":"))*(PptoSty[PiColumn]=S$54),0)),SUM(IF((INDIRECT($B$3)=$B158)*(INDIRECT($C$3)=$D158)*((INDIRECT($E$3)="TOTS")+(INDIRECT($E$3)=$E158)),INDIRECT(S$3)))),_xlpm.y,SUM(_xlfn.CHOOSECOLS(_xlfn._xlws.FILTER(F_RT14[],(F_RT14[PrjId]=$B158)*(F_RT14[Vrs]=$D158)*(_xlfn.TEXTAFTER(F_RT14[ActGrp],":")=_xlfn.TEXTAFTER($H158,":")),"X"),MATCH("*"&amp;S$54,F_RT14[#Headers],0))),IF(AND(_xlpm.x=0,_xlpm.y&lt;&gt;0),-1,IF(AND(_xlpm.x&lt;&gt;0,_xlpm.y&lt;&gt;0),_xlpm.x,IF(AND(_xlpm.x-SUM(IF((INDIRECT($B$3)=$B158)*(INDIRECT($C$3)=$D158)*((INDIRECT($E$3)="TOTS")+(INDIRECT($E$3)=$E158)),INDIRECT(S$3)))&lt;&gt;0,_xlpm.y=0),-2,_xlpm.x)))),0))</f>
        <v>0</v>
      </c>
      <c r="T158" s="199" cm="1">
        <f t="array" aca="1" ref="T158" ca="1">IF(OR($B158="",$B158="X",$D158="",$D158="X",$E158="",$E158="X"),0,IFERROR(_xlfn.LET(_xlpm.x,SUM(SUM(_xlfn._xlws.FILTER(VALUE(PptoSty[Sign]&amp;1)*(1/PptoSty[Division]),(PptoSty[Division]&lt;&gt;0)*(PptoSty[Division]&lt;&gt;"")*(PptoSty[Division]&lt;&gt;"X")*(PptoSty[Project]=$B158)*(PptoSty[Vrs]=$D158)*(PptoSty[PiRow]=_xlfn.TEXTAFTER($H158,":"))*(PptoSty[PiColumn]=T$54),0)),SUM(IF((INDIRECT($B$3)=$B158)*(INDIRECT($C$3)=$D158)*((INDIRECT($E$3)="TOTS")+(INDIRECT($E$3)=$E158)),INDIRECT(T$3)))),_xlpm.y,SUM(_xlfn.CHOOSECOLS(_xlfn._xlws.FILTER(F_RT14[],(F_RT14[PrjId]=$B158)*(F_RT14[Vrs]=$D158)*(_xlfn.TEXTAFTER(F_RT14[ActGrp],":")=_xlfn.TEXTAFTER($H158,":")),"X"),MATCH("*"&amp;T$54,F_RT14[#Headers],0))),IF(AND(_xlpm.x=0,_xlpm.y&lt;&gt;0),-1,IF(AND(_xlpm.x&lt;&gt;0,_xlpm.y&lt;&gt;0),_xlpm.x,IF(AND(_xlpm.x-SUM(IF((INDIRECT($B$3)=$B158)*(INDIRECT($C$3)=$D158)*((INDIRECT($E$3)="TOTS")+(INDIRECT($E$3)=$E158)),INDIRECT(T$3)))&lt;&gt;0,_xlpm.y=0),-2,_xlpm.x)))),0))</f>
        <v>0</v>
      </c>
      <c r="U158" s="199" cm="1">
        <f t="array" aca="1" ref="U158" ca="1">IF(OR($B158="",$B158="X",$D158="",$D158="X",$E158="",$E158="X"),0,IFERROR(_xlfn.LET(_xlpm.x,SUM(SUM(_xlfn._xlws.FILTER(VALUE(PptoSty[Sign]&amp;1)*(1/PptoSty[Division]),(PptoSty[Division]&lt;&gt;0)*(PptoSty[Division]&lt;&gt;"")*(PptoSty[Division]&lt;&gt;"X")*(PptoSty[Project]=$B158)*(PptoSty[Vrs]=$D158)*(PptoSty[PiRow]=_xlfn.TEXTAFTER($H158,":"))*(PptoSty[PiColumn]=U$54),0)),SUM(IF((INDIRECT($B$3)=$B158)*(INDIRECT($C$3)=$D158)*((INDIRECT($E$3)="TOTS")+(INDIRECT($E$3)=$E158)),INDIRECT(U$3)))),_xlpm.y,SUM(_xlfn.CHOOSECOLS(_xlfn._xlws.FILTER(F_RT14[],(F_RT14[PrjId]=$B158)*(F_RT14[Vrs]=$D158)*(_xlfn.TEXTAFTER(F_RT14[ActGrp],":")=_xlfn.TEXTAFTER($H158,":")),"X"),MATCH("*"&amp;U$54,F_RT14[#Headers],0))),IF(AND(_xlpm.x=0,_xlpm.y&lt;&gt;0),-1,IF(AND(_xlpm.x&lt;&gt;0,_xlpm.y&lt;&gt;0),_xlpm.x,IF(AND(_xlpm.x-SUM(IF((INDIRECT($B$3)=$B158)*(INDIRECT($C$3)=$D158)*((INDIRECT($E$3)="TOTS")+(INDIRECT($E$3)=$E158)),INDIRECT(U$3)))&lt;&gt;0,_xlpm.y=0),-2,_xlpm.x)))),0))</f>
        <v>0</v>
      </c>
      <c r="V158" s="199" cm="1">
        <f t="array" aca="1" ref="V158" ca="1">IF(OR($B158="",$B158="X",$D158="",$D158="X",$E158="",$E158="X"),0,IFERROR(_xlfn.LET(_xlpm.x,SUM(SUM(_xlfn._xlws.FILTER(VALUE(PptoSty[Sign]&amp;1)*(1/PptoSty[Division]),(PptoSty[Division]&lt;&gt;0)*(PptoSty[Division]&lt;&gt;"")*(PptoSty[Division]&lt;&gt;"X")*(PptoSty[Project]=$B158)*(PptoSty[Vrs]=$D158)*(PptoSty[PiRow]=_xlfn.TEXTAFTER($H158,":"))*(PptoSty[PiColumn]=V$54),0)),SUM(IF((INDIRECT($B$3)=$B158)*(INDIRECT($C$3)=$D158)*((INDIRECT($E$3)="TOTS")+(INDIRECT($E$3)=$E158)),INDIRECT(V$3)))),_xlpm.y,SUM(_xlfn.CHOOSECOLS(_xlfn._xlws.FILTER(F_RT14[],(F_RT14[PrjId]=$B158)*(F_RT14[Vrs]=$D158)*(_xlfn.TEXTAFTER(F_RT14[ActGrp],":")=_xlfn.TEXTAFTER($H158,":")),"X"),MATCH("*"&amp;V$54,F_RT14[#Headers],0))),IF(AND(_xlpm.x=0,_xlpm.y&lt;&gt;0),-1,IF(AND(_xlpm.x&lt;&gt;0,_xlpm.y&lt;&gt;0),_xlpm.x,IF(AND(_xlpm.x-SUM(IF((INDIRECT($B$3)=$B158)*(INDIRECT($C$3)=$D158)*((INDIRECT($E$3)="TOTS")+(INDIRECT($E$3)=$E158)),INDIRECT(V$3)))&lt;&gt;0,_xlpm.y=0),-2,_xlpm.x)))),0))</f>
        <v>0</v>
      </c>
      <c r="W158" s="199" cm="1">
        <f t="array" aca="1" ref="W158" ca="1">IF(OR($B158="",$B158="X",$D158="",$D158="X",$E158="",$E158="X"),0,IFERROR(_xlfn.LET(_xlpm.x,SUM(SUM(_xlfn._xlws.FILTER(VALUE(PptoSty[Sign]&amp;1)*(1/PptoSty[Division]),(PptoSty[Division]&lt;&gt;0)*(PptoSty[Division]&lt;&gt;"")*(PptoSty[Division]&lt;&gt;"X")*(PptoSty[Project]=$B158)*(PptoSty[Vrs]=$D158)*(PptoSty[PiRow]=_xlfn.TEXTAFTER($H158,":"))*(PptoSty[PiColumn]=W$54),0)),SUM(IF((INDIRECT($B$3)=$B158)*(INDIRECT($C$3)=$D158)*((INDIRECT($E$3)="TOTS")+(INDIRECT($E$3)=$E158)),INDIRECT(W$3)))),_xlpm.y,SUM(_xlfn.CHOOSECOLS(_xlfn._xlws.FILTER(F_RT14[],(F_RT14[PrjId]=$B158)*(F_RT14[Vrs]=$D158)*(_xlfn.TEXTAFTER(F_RT14[ActGrp],":")=_xlfn.TEXTAFTER($H158,":")),"X"),MATCH("*"&amp;W$54,F_RT14[#Headers],0))),IF(AND(_xlpm.x=0,_xlpm.y&lt;&gt;0),-1,IF(AND(_xlpm.x&lt;&gt;0,_xlpm.y&lt;&gt;0),_xlpm.x,IF(AND(_xlpm.x-SUM(IF((INDIRECT($B$3)=$B158)*(INDIRECT($C$3)=$D158)*((INDIRECT($E$3)="TOTS")+(INDIRECT($E$3)=$E158)),INDIRECT(W$3)))&lt;&gt;0,_xlpm.y=0),-2,_xlpm.x)))),0))</f>
        <v>0</v>
      </c>
      <c r="X158" s="199" cm="1">
        <f t="array" aca="1" ref="X158" ca="1">IF(OR($B158="",$B158="X",$D158="",$D158="X",$E158="",$E158="X"),0,IFERROR(_xlfn.LET(_xlpm.x,SUM(SUM(_xlfn._xlws.FILTER(VALUE(PptoSty[Sign]&amp;1)*(1/PptoSty[Division]),(PptoSty[Division]&lt;&gt;0)*(PptoSty[Division]&lt;&gt;"")*(PptoSty[Division]&lt;&gt;"X")*(PptoSty[Project]=$B158)*(PptoSty[Vrs]=$D158)*(PptoSty[PiRow]=_xlfn.TEXTAFTER($H158,":"))*(PptoSty[PiColumn]=X$54),0)),SUM(IF((INDIRECT($B$3)=$B158)*(INDIRECT($C$3)=$D158)*((INDIRECT($E$3)="TOTS")+(INDIRECT($E$3)=$E158)),INDIRECT(X$3)))),_xlpm.y,SUM(_xlfn.CHOOSECOLS(_xlfn._xlws.FILTER(F_RT14[],(F_RT14[PrjId]=$B158)*(F_RT14[Vrs]=$D158)*(_xlfn.TEXTAFTER(F_RT14[ActGrp],":")=_xlfn.TEXTAFTER($H158,":")),"X"),MATCH("*"&amp;X$54,F_RT14[#Headers],0))),IF(AND(_xlpm.x=0,_xlpm.y&lt;&gt;0),-1,IF(AND(_xlpm.x&lt;&gt;0,_xlpm.y&lt;&gt;0),_xlpm.x,IF(AND(_xlpm.x-SUM(IF((INDIRECT($B$3)=$B158)*(INDIRECT($C$3)=$D158)*((INDIRECT($E$3)="TOTS")+(INDIRECT($E$3)=$E158)),INDIRECT(X$3)))&lt;&gt;0,_xlpm.y=0),-2,_xlpm.x)))),0))</f>
        <v>0</v>
      </c>
      <c r="Y158" s="199" cm="1">
        <f t="array" aca="1" ref="Y158" ca="1">IF(OR($B158="",$B158="X",$D158="",$D158="X",$E158="",$E158="X"),0,IFERROR(_xlfn.LET(_xlpm.x,SUM(SUM(_xlfn._xlws.FILTER(VALUE(PptoSty[Sign]&amp;1)*(1/PptoSty[Division]),(PptoSty[Division]&lt;&gt;0)*(PptoSty[Division]&lt;&gt;"")*(PptoSty[Division]&lt;&gt;"X")*(PptoSty[Project]=$B158)*(PptoSty[Vrs]=$D158)*(PptoSty[PiRow]=_xlfn.TEXTAFTER($H158,":"))*(PptoSty[PiColumn]=Y$54),0)),SUM(IF((INDIRECT($B$3)=$B158)*(INDIRECT($C$3)=$D158)*((INDIRECT($E$3)="TOTS")+(INDIRECT($E$3)=$E158)),INDIRECT(Y$3)))),_xlpm.y,SUM(_xlfn.CHOOSECOLS(_xlfn._xlws.FILTER(F_RT14[],(F_RT14[PrjId]=$B158)*(F_RT14[Vrs]=$D158)*(_xlfn.TEXTAFTER(F_RT14[ActGrp],":")=_xlfn.TEXTAFTER($H158,":")),"X"),MATCH("*"&amp;Y$54,F_RT14[#Headers],0))),IF(AND(_xlpm.x=0,_xlpm.y&lt;&gt;0),-1,IF(AND(_xlpm.x&lt;&gt;0,_xlpm.y&lt;&gt;0),_xlpm.x,IF(AND(_xlpm.x-SUM(IF((INDIRECT($B$3)=$B158)*(INDIRECT($C$3)=$D158)*((INDIRECT($E$3)="TOTS")+(INDIRECT($E$3)=$E158)),INDIRECT(Y$3)))&lt;&gt;0,_xlpm.y=0),-2,_xlpm.x)))),0))</f>
        <v>-1</v>
      </c>
      <c r="Z158" s="198" t="str">
        <f t="shared" ca="1" si="3"/>
        <v>Fback!B158:Y158</v>
      </c>
    </row>
    <row r="159" spans="2:26" ht="21" customHeight="1" outlineLevel="1">
      <c r="B159" s="128" t="str">
        <v>31200</v>
      </c>
      <c r="C159" s="128" t="str">
        <v>Sp</v>
      </c>
      <c r="D159" s="128">
        <v>0</v>
      </c>
      <c r="E159" s="128" t="str">
        <v>GSDF</v>
      </c>
      <c r="F159" s="139" t="str">
        <v>SERRA</v>
      </c>
      <c r="G159" s="139" t="str">
        <v>CurPpto</v>
      </c>
      <c r="H159" s="139" t="str">
        <v>G003:COORDINACIÓN DEL PROYECTO</v>
      </c>
      <c r="I159" s="199" cm="1">
        <f t="array" aca="1" ref="I159" ca="1">IF(OR($B159="",$B159="X",$D159="",$D159="X",$E159="",$E159="X"),0,IFERROR(_xlfn.LET(_xlpm.x,SUM(SUM(_xlfn._xlws.FILTER(VALUE(PptoSty[Sign]&amp;1)*(1/PptoSty[Division]),(PptoSty[Division]&lt;&gt;0)*(PptoSty[Division]&lt;&gt;"")*(PptoSty[Division]&lt;&gt;"X")*(PptoSty[Project]=$B159)*(PptoSty[Vrs]=$D159)*(PptoSty[PiRow]=_xlfn.TEXTAFTER($H159,":"))*(PptoSty[PiColumn]=I$54),0)),SUM(IF((INDIRECT($B$3)=$B159)*(INDIRECT($C$3)=$D159)*((INDIRECT($E$3)="TOTS")+(INDIRECT($E$3)=$E159)),INDIRECT(I$3)))),_xlpm.y,SUM(_xlfn.CHOOSECOLS(_xlfn._xlws.FILTER(F_RT14[],(F_RT14[PrjId]=$B159)*(F_RT14[Vrs]=$D159)*(_xlfn.TEXTAFTER(F_RT14[ActGrp],":")=_xlfn.TEXTAFTER($H159,":")),"X"),MATCH("*"&amp;I$54,F_RT14[#Headers],0))),IF(AND(_xlpm.x=0,_xlpm.y&lt;&gt;0),-1,IF(AND(_xlpm.x&lt;&gt;0,_xlpm.y&lt;&gt;0),_xlpm.x,IF(AND(_xlpm.x-SUM(IF((INDIRECT($B$3)=$B159)*(INDIRECT($C$3)=$D159)*((INDIRECT($E$3)="TOTS")+(INDIRECT($E$3)=$E159)),INDIRECT(I$3)))&lt;&gt;0,_xlpm.y=0),-2,_xlpm.x)))),0))</f>
        <v>-1</v>
      </c>
      <c r="J159" s="199" cm="1">
        <f t="array" aca="1" ref="J159" ca="1">IF(OR($B159="",$B159="X",$D159="",$D159="X",$E159="",$E159="X"),0,IFERROR(_xlfn.LET(_xlpm.x,SUM(SUM(_xlfn._xlws.FILTER(VALUE(PptoSty[Sign]&amp;1)*(1/PptoSty[Division]),(PptoSty[Division]&lt;&gt;0)*(PptoSty[Division]&lt;&gt;"")*(PptoSty[Division]&lt;&gt;"X")*(PptoSty[Project]=$B159)*(PptoSty[Vrs]=$D159)*(PptoSty[PiRow]=_xlfn.TEXTAFTER($H159,":"))*(PptoSty[PiColumn]=J$54),0)),SUM(IF((INDIRECT($B$3)=$B159)*(INDIRECT($C$3)=$D159)*((INDIRECT($E$3)="TOTS")+(INDIRECT($E$3)=$E159)),INDIRECT(J$3)))),_xlpm.y,SUM(_xlfn.CHOOSECOLS(_xlfn._xlws.FILTER(F_RT14[],(F_RT14[PrjId]=$B159)*(F_RT14[Vrs]=$D159)*(_xlfn.TEXTAFTER(F_RT14[ActGrp],":")=_xlfn.TEXTAFTER($H159,":")),"X"),MATCH("*"&amp;J$54,F_RT14[#Headers],0))),IF(AND(_xlpm.x=0,_xlpm.y&lt;&gt;0),-1,IF(AND(_xlpm.x&lt;&gt;0,_xlpm.y&lt;&gt;0),_xlpm.x,IF(AND(_xlpm.x-SUM(IF((INDIRECT($B$3)=$B159)*(INDIRECT($C$3)=$D159)*((INDIRECT($E$3)="TOTS")+(INDIRECT($E$3)=$E159)),INDIRECT(J$3)))&lt;&gt;0,_xlpm.y=0),-2,_xlpm.x)))),0))</f>
        <v>0</v>
      </c>
      <c r="K159" s="199" cm="1">
        <f t="array" aca="1" ref="K159" ca="1">IF(OR($B159="",$B159="X",$D159="",$D159="X",$E159="",$E159="X"),0,IFERROR(_xlfn.LET(_xlpm.x,SUM(SUM(_xlfn._xlws.FILTER(VALUE(PptoSty[Sign]&amp;1)*(1/PptoSty[Division]),(PptoSty[Division]&lt;&gt;0)*(PptoSty[Division]&lt;&gt;"")*(PptoSty[Division]&lt;&gt;"X")*(PptoSty[Project]=$B159)*(PptoSty[Vrs]=$D159)*(PptoSty[PiRow]=_xlfn.TEXTAFTER($H159,":"))*(PptoSty[PiColumn]=K$54),0)),SUM(IF((INDIRECT($B$3)=$B159)*(INDIRECT($C$3)=$D159)*((INDIRECT($E$3)="TOTS")+(INDIRECT($E$3)=$E159)),INDIRECT(K$3)))),_xlpm.y,SUM(_xlfn.CHOOSECOLS(_xlfn._xlws.FILTER(F_RT14[],(F_RT14[PrjId]=$B159)*(F_RT14[Vrs]=$D159)*(_xlfn.TEXTAFTER(F_RT14[ActGrp],":")=_xlfn.TEXTAFTER($H159,":")),"X"),MATCH("*"&amp;K$54,F_RT14[#Headers],0))),IF(AND(_xlpm.x=0,_xlpm.y&lt;&gt;0),-1,IF(AND(_xlpm.x&lt;&gt;0,_xlpm.y&lt;&gt;0),_xlpm.x,IF(AND(_xlpm.x-SUM(IF((INDIRECT($B$3)=$B159)*(INDIRECT($C$3)=$D159)*((INDIRECT($E$3)="TOTS")+(INDIRECT($E$3)=$E159)),INDIRECT(K$3)))&lt;&gt;0,_xlpm.y=0),-2,_xlpm.x)))),0))</f>
        <v>0</v>
      </c>
      <c r="L159" s="199" cm="1">
        <f t="array" aca="1" ref="L159" ca="1">IF(OR($B159="",$B159="X",$D159="",$D159="X",$E159="",$E159="X"),0,IFERROR(_xlfn.LET(_xlpm.x,SUM(SUM(_xlfn._xlws.FILTER(VALUE(PptoSty[Sign]&amp;1)*(1/PptoSty[Division]),(PptoSty[Division]&lt;&gt;0)*(PptoSty[Division]&lt;&gt;"")*(PptoSty[Division]&lt;&gt;"X")*(PptoSty[Project]=$B159)*(PptoSty[Vrs]=$D159)*(PptoSty[PiRow]=_xlfn.TEXTAFTER($H159,":"))*(PptoSty[PiColumn]=L$54),0)),SUM(IF((INDIRECT($B$3)=$B159)*(INDIRECT($C$3)=$D159)*((INDIRECT($E$3)="TOTS")+(INDIRECT($E$3)=$E159)),INDIRECT(L$3)))),_xlpm.y,SUM(_xlfn.CHOOSECOLS(_xlfn._xlws.FILTER(F_RT14[],(F_RT14[PrjId]=$B159)*(F_RT14[Vrs]=$D159)*(_xlfn.TEXTAFTER(F_RT14[ActGrp],":")=_xlfn.TEXTAFTER($H159,":")),"X"),MATCH("*"&amp;L$54,F_RT14[#Headers],0))),IF(AND(_xlpm.x=0,_xlpm.y&lt;&gt;0),-1,IF(AND(_xlpm.x&lt;&gt;0,_xlpm.y&lt;&gt;0),_xlpm.x,IF(AND(_xlpm.x-SUM(IF((INDIRECT($B$3)=$B159)*(INDIRECT($C$3)=$D159)*((INDIRECT($E$3)="TOTS")+(INDIRECT($E$3)=$E159)),INDIRECT(L$3)))&lt;&gt;0,_xlpm.y=0),-2,_xlpm.x)))),0))</f>
        <v>0</v>
      </c>
      <c r="M159" s="199" cm="1">
        <f t="array" aca="1" ref="M159" ca="1">IF(OR($B159="",$B159="X",$D159="",$D159="X",$E159="",$E159="X"),0,IFERROR(_xlfn.LET(_xlpm.x,SUM(SUM(_xlfn._xlws.FILTER(VALUE(PptoSty[Sign]&amp;1)*(1/PptoSty[Division]),(PptoSty[Division]&lt;&gt;0)*(PptoSty[Division]&lt;&gt;"")*(PptoSty[Division]&lt;&gt;"X")*(PptoSty[Project]=$B159)*(PptoSty[Vrs]=$D159)*(PptoSty[PiRow]=_xlfn.TEXTAFTER($H159,":"))*(PptoSty[PiColumn]=M$54),0)),SUM(IF((INDIRECT($B$3)=$B159)*(INDIRECT($C$3)=$D159)*((INDIRECT($E$3)="TOTS")+(INDIRECT($E$3)=$E159)),INDIRECT(M$3)))),_xlpm.y,SUM(_xlfn.CHOOSECOLS(_xlfn._xlws.FILTER(F_RT14[],(F_RT14[PrjId]=$B159)*(F_RT14[Vrs]=$D159)*(_xlfn.TEXTAFTER(F_RT14[ActGrp],":")=_xlfn.TEXTAFTER($H159,":")),"X"),MATCH("*"&amp;M$54,F_RT14[#Headers],0))),IF(AND(_xlpm.x=0,_xlpm.y&lt;&gt;0),-1,IF(AND(_xlpm.x&lt;&gt;0,_xlpm.y&lt;&gt;0),_xlpm.x,IF(AND(_xlpm.x-SUM(IF((INDIRECT($B$3)=$B159)*(INDIRECT($C$3)=$D159)*((INDIRECT($E$3)="TOTS")+(INDIRECT($E$3)=$E159)),INDIRECT(M$3)))&lt;&gt;0,_xlpm.y=0),-2,_xlpm.x)))),0))</f>
        <v>0</v>
      </c>
      <c r="N159" s="199" cm="1">
        <f t="array" aca="1" ref="N159" ca="1">IF(OR($B159="",$B159="X",$D159="",$D159="X",$E159="",$E159="X"),0,IFERROR(_xlfn.LET(_xlpm.x,SUM(SUM(_xlfn._xlws.FILTER(VALUE(PptoSty[Sign]&amp;1)*(1/PptoSty[Division]),(PptoSty[Division]&lt;&gt;0)*(PptoSty[Division]&lt;&gt;"")*(PptoSty[Division]&lt;&gt;"X")*(PptoSty[Project]=$B159)*(PptoSty[Vrs]=$D159)*(PptoSty[PiRow]=_xlfn.TEXTAFTER($H159,":"))*(PptoSty[PiColumn]=N$54),0)),SUM(IF((INDIRECT($B$3)=$B159)*(INDIRECT($C$3)=$D159)*((INDIRECT($E$3)="TOTS")+(INDIRECT($E$3)=$E159)),INDIRECT(N$3)))),_xlpm.y,SUM(_xlfn.CHOOSECOLS(_xlfn._xlws.FILTER(F_RT14[],(F_RT14[PrjId]=$B159)*(F_RT14[Vrs]=$D159)*(_xlfn.TEXTAFTER(F_RT14[ActGrp],":")=_xlfn.TEXTAFTER($H159,":")),"X"),MATCH("*"&amp;N$54,F_RT14[#Headers],0))),IF(AND(_xlpm.x=0,_xlpm.y&lt;&gt;0),-1,IF(AND(_xlpm.x&lt;&gt;0,_xlpm.y&lt;&gt;0),_xlpm.x,IF(AND(_xlpm.x-SUM(IF((INDIRECT($B$3)=$B159)*(INDIRECT($C$3)=$D159)*((INDIRECT($E$3)="TOTS")+(INDIRECT($E$3)=$E159)),INDIRECT(N$3)))&lt;&gt;0,_xlpm.y=0),-2,_xlpm.x)))),0))</f>
        <v>0</v>
      </c>
      <c r="O159" s="199" cm="1">
        <f t="array" aca="1" ref="O159" ca="1">IF(OR($B159="",$B159="X",$D159="",$D159="X",$E159="",$E159="X"),0,IFERROR(_xlfn.LET(_xlpm.x,SUM(SUM(_xlfn._xlws.FILTER(VALUE(PptoSty[Sign]&amp;1)*(1/PptoSty[Division]),(PptoSty[Division]&lt;&gt;0)*(PptoSty[Division]&lt;&gt;"")*(PptoSty[Division]&lt;&gt;"X")*(PptoSty[Project]=$B159)*(PptoSty[Vrs]=$D159)*(PptoSty[PiRow]=_xlfn.TEXTAFTER($H159,":"))*(PptoSty[PiColumn]=O$54),0)),SUM(IF((INDIRECT($B$3)=$B159)*(INDIRECT($C$3)=$D159)*((INDIRECT($E$3)="TOTS")+(INDIRECT($E$3)=$E159)),INDIRECT(O$3)))),_xlpm.y,SUM(_xlfn.CHOOSECOLS(_xlfn._xlws.FILTER(F_RT14[],(F_RT14[PrjId]=$B159)*(F_RT14[Vrs]=$D159)*(_xlfn.TEXTAFTER(F_RT14[ActGrp],":")=_xlfn.TEXTAFTER($H159,":")),"X"),MATCH("*"&amp;O$54,F_RT14[#Headers],0))),IF(AND(_xlpm.x=0,_xlpm.y&lt;&gt;0),-1,IF(AND(_xlpm.x&lt;&gt;0,_xlpm.y&lt;&gt;0),_xlpm.x,IF(AND(_xlpm.x-SUM(IF((INDIRECT($B$3)=$B159)*(INDIRECT($C$3)=$D159)*((INDIRECT($E$3)="TOTS")+(INDIRECT($E$3)=$E159)),INDIRECT(O$3)))&lt;&gt;0,_xlpm.y=0),-2,_xlpm.x)))),0))</f>
        <v>0</v>
      </c>
      <c r="P159" s="199" cm="1">
        <f t="array" aca="1" ref="P159" ca="1">IF(OR($B159="",$B159="X",$D159="",$D159="X",$E159="",$E159="X"),0,IFERROR(_xlfn.LET(_xlpm.x,SUM(SUM(_xlfn._xlws.FILTER(VALUE(PptoSty[Sign]&amp;1)*(1/PptoSty[Division]),(PptoSty[Division]&lt;&gt;0)*(PptoSty[Division]&lt;&gt;"")*(PptoSty[Division]&lt;&gt;"X")*(PptoSty[Project]=$B159)*(PptoSty[Vrs]=$D159)*(PptoSty[PiRow]=_xlfn.TEXTAFTER($H159,":"))*(PptoSty[PiColumn]=P$54),0)),SUM(IF((INDIRECT($B$3)=$B159)*(INDIRECT($C$3)=$D159)*((INDIRECT($E$3)="TOTS")+(INDIRECT($E$3)=$E159)),INDIRECT(P$3)))),_xlpm.y,SUM(_xlfn.CHOOSECOLS(_xlfn._xlws.FILTER(F_RT14[],(F_RT14[PrjId]=$B159)*(F_RT14[Vrs]=$D159)*(_xlfn.TEXTAFTER(F_RT14[ActGrp],":")=_xlfn.TEXTAFTER($H159,":")),"X"),MATCH("*"&amp;P$54,F_RT14[#Headers],0))),IF(AND(_xlpm.x=0,_xlpm.y&lt;&gt;0),-1,IF(AND(_xlpm.x&lt;&gt;0,_xlpm.y&lt;&gt;0),_xlpm.x,IF(AND(_xlpm.x-SUM(IF((INDIRECT($B$3)=$B159)*(INDIRECT($C$3)=$D159)*((INDIRECT($E$3)="TOTS")+(INDIRECT($E$3)=$E159)),INDIRECT(P$3)))&lt;&gt;0,_xlpm.y=0),-2,_xlpm.x)))),0))</f>
        <v>0</v>
      </c>
      <c r="Q159" s="199" cm="1">
        <f t="array" aca="1" ref="Q159" ca="1">IF(OR($B159="",$B159="X",$D159="",$D159="X",$E159="",$E159="X"),0,IFERROR(_xlfn.LET(_xlpm.x,SUM(SUM(_xlfn._xlws.FILTER(VALUE(PptoSty[Sign]&amp;1)*(1/PptoSty[Division]),(PptoSty[Division]&lt;&gt;0)*(PptoSty[Division]&lt;&gt;"")*(PptoSty[Division]&lt;&gt;"X")*(PptoSty[Project]=$B159)*(PptoSty[Vrs]=$D159)*(PptoSty[PiRow]=_xlfn.TEXTAFTER($H159,":"))*(PptoSty[PiColumn]=Q$54),0)),SUM(IF((INDIRECT($B$3)=$B159)*(INDIRECT($C$3)=$D159)*((INDIRECT($E$3)="TOTS")+(INDIRECT($E$3)=$E159)),INDIRECT(Q$3)))),_xlpm.y,SUM(_xlfn.CHOOSECOLS(_xlfn._xlws.FILTER(F_RT14[],(F_RT14[PrjId]=$B159)*(F_RT14[Vrs]=$D159)*(_xlfn.TEXTAFTER(F_RT14[ActGrp],":")=_xlfn.TEXTAFTER($H159,":")),"X"),MATCH("*"&amp;Q$54,F_RT14[#Headers],0))),IF(AND(_xlpm.x=0,_xlpm.y&lt;&gt;0),-1,IF(AND(_xlpm.x&lt;&gt;0,_xlpm.y&lt;&gt;0),_xlpm.x,IF(AND(_xlpm.x-SUM(IF((INDIRECT($B$3)=$B159)*(INDIRECT($C$3)=$D159)*((INDIRECT($E$3)="TOTS")+(INDIRECT($E$3)=$E159)),INDIRECT(Q$3)))&lt;&gt;0,_xlpm.y=0),-2,_xlpm.x)))),0))</f>
        <v>0</v>
      </c>
      <c r="R159" s="199" cm="1">
        <f t="array" aca="1" ref="R159" ca="1">IF(OR($B159="",$B159="X",$D159="",$D159="X",$E159="",$E159="X"),0,IFERROR(_xlfn.LET(_xlpm.x,SUM(SUM(_xlfn._xlws.FILTER(VALUE(PptoSty[Sign]&amp;1)*(1/PptoSty[Division]),(PptoSty[Division]&lt;&gt;0)*(PptoSty[Division]&lt;&gt;"")*(PptoSty[Division]&lt;&gt;"X")*(PptoSty[Project]=$B159)*(PptoSty[Vrs]=$D159)*(PptoSty[PiRow]=_xlfn.TEXTAFTER($H159,":"))*(PptoSty[PiColumn]=R$54),0)),SUM(IF((INDIRECT($B$3)=$B159)*(INDIRECT($C$3)=$D159)*((INDIRECT($E$3)="TOTS")+(INDIRECT($E$3)=$E159)),INDIRECT(R$3)))),_xlpm.y,SUM(_xlfn.CHOOSECOLS(_xlfn._xlws.FILTER(F_RT14[],(F_RT14[PrjId]=$B159)*(F_RT14[Vrs]=$D159)*(_xlfn.TEXTAFTER(F_RT14[ActGrp],":")=_xlfn.TEXTAFTER($H159,":")),"X"),MATCH("*"&amp;R$54,F_RT14[#Headers],0))),IF(AND(_xlpm.x=0,_xlpm.y&lt;&gt;0),-1,IF(AND(_xlpm.x&lt;&gt;0,_xlpm.y&lt;&gt;0),_xlpm.x,IF(AND(_xlpm.x-SUM(IF((INDIRECT($B$3)=$B159)*(INDIRECT($C$3)=$D159)*((INDIRECT($E$3)="TOTS")+(INDIRECT($E$3)=$E159)),INDIRECT(R$3)))&lt;&gt;0,_xlpm.y=0),-2,_xlpm.x)))),0))</f>
        <v>0</v>
      </c>
      <c r="S159" s="199" cm="1">
        <f t="array" aca="1" ref="S159" ca="1">IF(OR($B159="",$B159="X",$D159="",$D159="X",$E159="",$E159="X"),0,IFERROR(_xlfn.LET(_xlpm.x,SUM(SUM(_xlfn._xlws.FILTER(VALUE(PptoSty[Sign]&amp;1)*(1/PptoSty[Division]),(PptoSty[Division]&lt;&gt;0)*(PptoSty[Division]&lt;&gt;"")*(PptoSty[Division]&lt;&gt;"X")*(PptoSty[Project]=$B159)*(PptoSty[Vrs]=$D159)*(PptoSty[PiRow]=_xlfn.TEXTAFTER($H159,":"))*(PptoSty[PiColumn]=S$54),0)),SUM(IF((INDIRECT($B$3)=$B159)*(INDIRECT($C$3)=$D159)*((INDIRECT($E$3)="TOTS")+(INDIRECT($E$3)=$E159)),INDIRECT(S$3)))),_xlpm.y,SUM(_xlfn.CHOOSECOLS(_xlfn._xlws.FILTER(F_RT14[],(F_RT14[PrjId]=$B159)*(F_RT14[Vrs]=$D159)*(_xlfn.TEXTAFTER(F_RT14[ActGrp],":")=_xlfn.TEXTAFTER($H159,":")),"X"),MATCH("*"&amp;S$54,F_RT14[#Headers],0))),IF(AND(_xlpm.x=0,_xlpm.y&lt;&gt;0),-1,IF(AND(_xlpm.x&lt;&gt;0,_xlpm.y&lt;&gt;0),_xlpm.x,IF(AND(_xlpm.x-SUM(IF((INDIRECT($B$3)=$B159)*(INDIRECT($C$3)=$D159)*((INDIRECT($E$3)="TOTS")+(INDIRECT($E$3)=$E159)),INDIRECT(S$3)))&lt;&gt;0,_xlpm.y=0),-2,_xlpm.x)))),0))</f>
        <v>0</v>
      </c>
      <c r="T159" s="199" cm="1">
        <f t="array" aca="1" ref="T159" ca="1">IF(OR($B159="",$B159="X",$D159="",$D159="X",$E159="",$E159="X"),0,IFERROR(_xlfn.LET(_xlpm.x,SUM(SUM(_xlfn._xlws.FILTER(VALUE(PptoSty[Sign]&amp;1)*(1/PptoSty[Division]),(PptoSty[Division]&lt;&gt;0)*(PptoSty[Division]&lt;&gt;"")*(PptoSty[Division]&lt;&gt;"X")*(PptoSty[Project]=$B159)*(PptoSty[Vrs]=$D159)*(PptoSty[PiRow]=_xlfn.TEXTAFTER($H159,":"))*(PptoSty[PiColumn]=T$54),0)),SUM(IF((INDIRECT($B$3)=$B159)*(INDIRECT($C$3)=$D159)*((INDIRECT($E$3)="TOTS")+(INDIRECT($E$3)=$E159)),INDIRECT(T$3)))),_xlpm.y,SUM(_xlfn.CHOOSECOLS(_xlfn._xlws.FILTER(F_RT14[],(F_RT14[PrjId]=$B159)*(F_RT14[Vrs]=$D159)*(_xlfn.TEXTAFTER(F_RT14[ActGrp],":")=_xlfn.TEXTAFTER($H159,":")),"X"),MATCH("*"&amp;T$54,F_RT14[#Headers],0))),IF(AND(_xlpm.x=0,_xlpm.y&lt;&gt;0),-1,IF(AND(_xlpm.x&lt;&gt;0,_xlpm.y&lt;&gt;0),_xlpm.x,IF(AND(_xlpm.x-SUM(IF((INDIRECT($B$3)=$B159)*(INDIRECT($C$3)=$D159)*((INDIRECT($E$3)="TOTS")+(INDIRECT($E$3)=$E159)),INDIRECT(T$3)))&lt;&gt;0,_xlpm.y=0),-2,_xlpm.x)))),0))</f>
        <v>0</v>
      </c>
      <c r="U159" s="199" cm="1">
        <f t="array" aca="1" ref="U159" ca="1">IF(OR($B159="",$B159="X",$D159="",$D159="X",$E159="",$E159="X"),0,IFERROR(_xlfn.LET(_xlpm.x,SUM(SUM(_xlfn._xlws.FILTER(VALUE(PptoSty[Sign]&amp;1)*(1/PptoSty[Division]),(PptoSty[Division]&lt;&gt;0)*(PptoSty[Division]&lt;&gt;"")*(PptoSty[Division]&lt;&gt;"X")*(PptoSty[Project]=$B159)*(PptoSty[Vrs]=$D159)*(PptoSty[PiRow]=_xlfn.TEXTAFTER($H159,":"))*(PptoSty[PiColumn]=U$54),0)),SUM(IF((INDIRECT($B$3)=$B159)*(INDIRECT($C$3)=$D159)*((INDIRECT($E$3)="TOTS")+(INDIRECT($E$3)=$E159)),INDIRECT(U$3)))),_xlpm.y,SUM(_xlfn.CHOOSECOLS(_xlfn._xlws.FILTER(F_RT14[],(F_RT14[PrjId]=$B159)*(F_RT14[Vrs]=$D159)*(_xlfn.TEXTAFTER(F_RT14[ActGrp],":")=_xlfn.TEXTAFTER($H159,":")),"X"),MATCH("*"&amp;U$54,F_RT14[#Headers],0))),IF(AND(_xlpm.x=0,_xlpm.y&lt;&gt;0),-1,IF(AND(_xlpm.x&lt;&gt;0,_xlpm.y&lt;&gt;0),_xlpm.x,IF(AND(_xlpm.x-SUM(IF((INDIRECT($B$3)=$B159)*(INDIRECT($C$3)=$D159)*((INDIRECT($E$3)="TOTS")+(INDIRECT($E$3)=$E159)),INDIRECT(U$3)))&lt;&gt;0,_xlpm.y=0),-2,_xlpm.x)))),0))</f>
        <v>0</v>
      </c>
      <c r="V159" s="199" cm="1">
        <f t="array" aca="1" ref="V159" ca="1">IF(OR($B159="",$B159="X",$D159="",$D159="X",$E159="",$E159="X"),0,IFERROR(_xlfn.LET(_xlpm.x,SUM(SUM(_xlfn._xlws.FILTER(VALUE(PptoSty[Sign]&amp;1)*(1/PptoSty[Division]),(PptoSty[Division]&lt;&gt;0)*(PptoSty[Division]&lt;&gt;"")*(PptoSty[Division]&lt;&gt;"X")*(PptoSty[Project]=$B159)*(PptoSty[Vrs]=$D159)*(PptoSty[PiRow]=_xlfn.TEXTAFTER($H159,":"))*(PptoSty[PiColumn]=V$54),0)),SUM(IF((INDIRECT($B$3)=$B159)*(INDIRECT($C$3)=$D159)*((INDIRECT($E$3)="TOTS")+(INDIRECT($E$3)=$E159)),INDIRECT(V$3)))),_xlpm.y,SUM(_xlfn.CHOOSECOLS(_xlfn._xlws.FILTER(F_RT14[],(F_RT14[PrjId]=$B159)*(F_RT14[Vrs]=$D159)*(_xlfn.TEXTAFTER(F_RT14[ActGrp],":")=_xlfn.TEXTAFTER($H159,":")),"X"),MATCH("*"&amp;V$54,F_RT14[#Headers],0))),IF(AND(_xlpm.x=0,_xlpm.y&lt;&gt;0),-1,IF(AND(_xlpm.x&lt;&gt;0,_xlpm.y&lt;&gt;0),_xlpm.x,IF(AND(_xlpm.x-SUM(IF((INDIRECT($B$3)=$B159)*(INDIRECT($C$3)=$D159)*((INDIRECT($E$3)="TOTS")+(INDIRECT($E$3)=$E159)),INDIRECT(V$3)))&lt;&gt;0,_xlpm.y=0),-2,_xlpm.x)))),0))</f>
        <v>0</v>
      </c>
      <c r="W159" s="199" cm="1">
        <f t="array" aca="1" ref="W159" ca="1">IF(OR($B159="",$B159="X",$D159="",$D159="X",$E159="",$E159="X"),0,IFERROR(_xlfn.LET(_xlpm.x,SUM(SUM(_xlfn._xlws.FILTER(VALUE(PptoSty[Sign]&amp;1)*(1/PptoSty[Division]),(PptoSty[Division]&lt;&gt;0)*(PptoSty[Division]&lt;&gt;"")*(PptoSty[Division]&lt;&gt;"X")*(PptoSty[Project]=$B159)*(PptoSty[Vrs]=$D159)*(PptoSty[PiRow]=_xlfn.TEXTAFTER($H159,":"))*(PptoSty[PiColumn]=W$54),0)),SUM(IF((INDIRECT($B$3)=$B159)*(INDIRECT($C$3)=$D159)*((INDIRECT($E$3)="TOTS")+(INDIRECT($E$3)=$E159)),INDIRECT(W$3)))),_xlpm.y,SUM(_xlfn.CHOOSECOLS(_xlfn._xlws.FILTER(F_RT14[],(F_RT14[PrjId]=$B159)*(F_RT14[Vrs]=$D159)*(_xlfn.TEXTAFTER(F_RT14[ActGrp],":")=_xlfn.TEXTAFTER($H159,":")),"X"),MATCH("*"&amp;W$54,F_RT14[#Headers],0))),IF(AND(_xlpm.x=0,_xlpm.y&lt;&gt;0),-1,IF(AND(_xlpm.x&lt;&gt;0,_xlpm.y&lt;&gt;0),_xlpm.x,IF(AND(_xlpm.x-SUM(IF((INDIRECT($B$3)=$B159)*(INDIRECT($C$3)=$D159)*((INDIRECT($E$3)="TOTS")+(INDIRECT($E$3)=$E159)),INDIRECT(W$3)))&lt;&gt;0,_xlpm.y=0),-2,_xlpm.x)))),0))</f>
        <v>0</v>
      </c>
      <c r="X159" s="199" cm="1">
        <f t="array" aca="1" ref="X159" ca="1">IF(OR($B159="",$B159="X",$D159="",$D159="X",$E159="",$E159="X"),0,IFERROR(_xlfn.LET(_xlpm.x,SUM(SUM(_xlfn._xlws.FILTER(VALUE(PptoSty[Sign]&amp;1)*(1/PptoSty[Division]),(PptoSty[Division]&lt;&gt;0)*(PptoSty[Division]&lt;&gt;"")*(PptoSty[Division]&lt;&gt;"X")*(PptoSty[Project]=$B159)*(PptoSty[Vrs]=$D159)*(PptoSty[PiRow]=_xlfn.TEXTAFTER($H159,":"))*(PptoSty[PiColumn]=X$54),0)),SUM(IF((INDIRECT($B$3)=$B159)*(INDIRECT($C$3)=$D159)*((INDIRECT($E$3)="TOTS")+(INDIRECT($E$3)=$E159)),INDIRECT(X$3)))),_xlpm.y,SUM(_xlfn.CHOOSECOLS(_xlfn._xlws.FILTER(F_RT14[],(F_RT14[PrjId]=$B159)*(F_RT14[Vrs]=$D159)*(_xlfn.TEXTAFTER(F_RT14[ActGrp],":")=_xlfn.TEXTAFTER($H159,":")),"X"),MATCH("*"&amp;X$54,F_RT14[#Headers],0))),IF(AND(_xlpm.x=0,_xlpm.y&lt;&gt;0),-1,IF(AND(_xlpm.x&lt;&gt;0,_xlpm.y&lt;&gt;0),_xlpm.x,IF(AND(_xlpm.x-SUM(IF((INDIRECT($B$3)=$B159)*(INDIRECT($C$3)=$D159)*((INDIRECT($E$3)="TOTS")+(INDIRECT($E$3)=$E159)),INDIRECT(X$3)))&lt;&gt;0,_xlpm.y=0),-2,_xlpm.x)))),0))</f>
        <v>0</v>
      </c>
      <c r="Y159" s="199" cm="1">
        <f t="array" aca="1" ref="Y159" ca="1">IF(OR($B159="",$B159="X",$D159="",$D159="X",$E159="",$E159="X"),0,IFERROR(_xlfn.LET(_xlpm.x,SUM(SUM(_xlfn._xlws.FILTER(VALUE(PptoSty[Sign]&amp;1)*(1/PptoSty[Division]),(PptoSty[Division]&lt;&gt;0)*(PptoSty[Division]&lt;&gt;"")*(PptoSty[Division]&lt;&gt;"X")*(PptoSty[Project]=$B159)*(PptoSty[Vrs]=$D159)*(PptoSty[PiRow]=_xlfn.TEXTAFTER($H159,":"))*(PptoSty[PiColumn]=Y$54),0)),SUM(IF((INDIRECT($B$3)=$B159)*(INDIRECT($C$3)=$D159)*((INDIRECT($E$3)="TOTS")+(INDIRECT($E$3)=$E159)),INDIRECT(Y$3)))),_xlpm.y,SUM(_xlfn.CHOOSECOLS(_xlfn._xlws.FILTER(F_RT14[],(F_RT14[PrjId]=$B159)*(F_RT14[Vrs]=$D159)*(_xlfn.TEXTAFTER(F_RT14[ActGrp],":")=_xlfn.TEXTAFTER($H159,":")),"X"),MATCH("*"&amp;Y$54,F_RT14[#Headers],0))),IF(AND(_xlpm.x=0,_xlpm.y&lt;&gt;0),-1,IF(AND(_xlpm.x&lt;&gt;0,_xlpm.y&lt;&gt;0),_xlpm.x,IF(AND(_xlpm.x-SUM(IF((INDIRECT($B$3)=$B159)*(INDIRECT($C$3)=$D159)*((INDIRECT($E$3)="TOTS")+(INDIRECT($E$3)=$E159)),INDIRECT(Y$3)))&lt;&gt;0,_xlpm.y=0),-2,_xlpm.x)))),0))</f>
        <v>0</v>
      </c>
      <c r="Z159" s="198" t="str">
        <f t="shared" ca="1" si="3"/>
        <v>Fback!B159:Y159</v>
      </c>
    </row>
    <row r="160" spans="2:26" ht="21" customHeight="1" outlineLevel="1">
      <c r="B160" s="128" t="str">
        <v>31200</v>
      </c>
      <c r="C160" s="128" t="str">
        <v>Sp</v>
      </c>
      <c r="D160" s="128">
        <v>0</v>
      </c>
      <c r="E160" s="128" t="str">
        <v>GSDF</v>
      </c>
      <c r="F160" s="139" t="str">
        <v>SERRA</v>
      </c>
      <c r="G160" s="139" t="str">
        <v>CurPpto</v>
      </c>
      <c r="H160" s="139" t="str">
        <v>G004:INGENIERÍA GESTIÓN DISEÑO</v>
      </c>
      <c r="I160" s="199" cm="1">
        <f t="array" aca="1" ref="I160" ca="1">IF(OR($B160="",$B160="X",$D160="",$D160="X",$E160="",$E160="X"),0,IFERROR(_xlfn.LET(_xlpm.x,SUM(SUM(_xlfn._xlws.FILTER(VALUE(PptoSty[Sign]&amp;1)*(1/PptoSty[Division]),(PptoSty[Division]&lt;&gt;0)*(PptoSty[Division]&lt;&gt;"")*(PptoSty[Division]&lt;&gt;"X")*(PptoSty[Project]=$B160)*(PptoSty[Vrs]=$D160)*(PptoSty[PiRow]=_xlfn.TEXTAFTER($H160,":"))*(PptoSty[PiColumn]=I$54),0)),SUM(IF((INDIRECT($B$3)=$B160)*(INDIRECT($C$3)=$D160)*((INDIRECT($E$3)="TOTS")+(INDIRECT($E$3)=$E160)),INDIRECT(I$3)))),_xlpm.y,SUM(_xlfn.CHOOSECOLS(_xlfn._xlws.FILTER(F_RT14[],(F_RT14[PrjId]=$B160)*(F_RT14[Vrs]=$D160)*(_xlfn.TEXTAFTER(F_RT14[ActGrp],":")=_xlfn.TEXTAFTER($H160,":")),"X"),MATCH("*"&amp;I$54,F_RT14[#Headers],0))),IF(AND(_xlpm.x=0,_xlpm.y&lt;&gt;0),-1,IF(AND(_xlpm.x&lt;&gt;0,_xlpm.y&lt;&gt;0),_xlpm.x,IF(AND(_xlpm.x-SUM(IF((INDIRECT($B$3)=$B160)*(INDIRECT($C$3)=$D160)*((INDIRECT($E$3)="TOTS")+(INDIRECT($E$3)=$E160)),INDIRECT(I$3)))&lt;&gt;0,_xlpm.y=0),-2,_xlpm.x)))),0))</f>
        <v>0</v>
      </c>
      <c r="J160" s="199" cm="1">
        <f t="array" aca="1" ref="J160" ca="1">IF(OR($B160="",$B160="X",$D160="",$D160="X",$E160="",$E160="X"),0,IFERROR(_xlfn.LET(_xlpm.x,SUM(SUM(_xlfn._xlws.FILTER(VALUE(PptoSty[Sign]&amp;1)*(1/PptoSty[Division]),(PptoSty[Division]&lt;&gt;0)*(PptoSty[Division]&lt;&gt;"")*(PptoSty[Division]&lt;&gt;"X")*(PptoSty[Project]=$B160)*(PptoSty[Vrs]=$D160)*(PptoSty[PiRow]=_xlfn.TEXTAFTER($H160,":"))*(PptoSty[PiColumn]=J$54),0)),SUM(IF((INDIRECT($B$3)=$B160)*(INDIRECT($C$3)=$D160)*((INDIRECT($E$3)="TOTS")+(INDIRECT($E$3)=$E160)),INDIRECT(J$3)))),_xlpm.y,SUM(_xlfn.CHOOSECOLS(_xlfn._xlws.FILTER(F_RT14[],(F_RT14[PrjId]=$B160)*(F_RT14[Vrs]=$D160)*(_xlfn.TEXTAFTER(F_RT14[ActGrp],":")=_xlfn.TEXTAFTER($H160,":")),"X"),MATCH("*"&amp;J$54,F_RT14[#Headers],0))),IF(AND(_xlpm.x=0,_xlpm.y&lt;&gt;0),-1,IF(AND(_xlpm.x&lt;&gt;0,_xlpm.y&lt;&gt;0),_xlpm.x,IF(AND(_xlpm.x-SUM(IF((INDIRECT($B$3)=$B160)*(INDIRECT($C$3)=$D160)*((INDIRECT($E$3)="TOTS")+(INDIRECT($E$3)=$E160)),INDIRECT(J$3)))&lt;&gt;0,_xlpm.y=0),-2,_xlpm.x)))),0))</f>
        <v>-1</v>
      </c>
      <c r="K160" s="199" cm="1">
        <f t="array" aca="1" ref="K160" ca="1">IF(OR($B160="",$B160="X",$D160="",$D160="X",$E160="",$E160="X"),0,IFERROR(_xlfn.LET(_xlpm.x,SUM(SUM(_xlfn._xlws.FILTER(VALUE(PptoSty[Sign]&amp;1)*(1/PptoSty[Division]),(PptoSty[Division]&lt;&gt;0)*(PptoSty[Division]&lt;&gt;"")*(PptoSty[Division]&lt;&gt;"X")*(PptoSty[Project]=$B160)*(PptoSty[Vrs]=$D160)*(PptoSty[PiRow]=_xlfn.TEXTAFTER($H160,":"))*(PptoSty[PiColumn]=K$54),0)),SUM(IF((INDIRECT($B$3)=$B160)*(INDIRECT($C$3)=$D160)*((INDIRECT($E$3)="TOTS")+(INDIRECT($E$3)=$E160)),INDIRECT(K$3)))),_xlpm.y,SUM(_xlfn.CHOOSECOLS(_xlfn._xlws.FILTER(F_RT14[],(F_RT14[PrjId]=$B160)*(F_RT14[Vrs]=$D160)*(_xlfn.TEXTAFTER(F_RT14[ActGrp],":")=_xlfn.TEXTAFTER($H160,":")),"X"),MATCH("*"&amp;K$54,F_RT14[#Headers],0))),IF(AND(_xlpm.x=0,_xlpm.y&lt;&gt;0),-1,IF(AND(_xlpm.x&lt;&gt;0,_xlpm.y&lt;&gt;0),_xlpm.x,IF(AND(_xlpm.x-SUM(IF((INDIRECT($B$3)=$B160)*(INDIRECT($C$3)=$D160)*((INDIRECT($E$3)="TOTS")+(INDIRECT($E$3)=$E160)),INDIRECT(K$3)))&lt;&gt;0,_xlpm.y=0),-2,_xlpm.x)))),0))</f>
        <v>0</v>
      </c>
      <c r="L160" s="199" cm="1">
        <f t="array" aca="1" ref="L160" ca="1">IF(OR($B160="",$B160="X",$D160="",$D160="X",$E160="",$E160="X"),0,IFERROR(_xlfn.LET(_xlpm.x,SUM(SUM(_xlfn._xlws.FILTER(VALUE(PptoSty[Sign]&amp;1)*(1/PptoSty[Division]),(PptoSty[Division]&lt;&gt;0)*(PptoSty[Division]&lt;&gt;"")*(PptoSty[Division]&lt;&gt;"X")*(PptoSty[Project]=$B160)*(PptoSty[Vrs]=$D160)*(PptoSty[PiRow]=_xlfn.TEXTAFTER($H160,":"))*(PptoSty[PiColumn]=L$54),0)),SUM(IF((INDIRECT($B$3)=$B160)*(INDIRECT($C$3)=$D160)*((INDIRECT($E$3)="TOTS")+(INDIRECT($E$3)=$E160)),INDIRECT(L$3)))),_xlpm.y,SUM(_xlfn.CHOOSECOLS(_xlfn._xlws.FILTER(F_RT14[],(F_RT14[PrjId]=$B160)*(F_RT14[Vrs]=$D160)*(_xlfn.TEXTAFTER(F_RT14[ActGrp],":")=_xlfn.TEXTAFTER($H160,":")),"X"),MATCH("*"&amp;L$54,F_RT14[#Headers],0))),IF(AND(_xlpm.x=0,_xlpm.y&lt;&gt;0),-1,IF(AND(_xlpm.x&lt;&gt;0,_xlpm.y&lt;&gt;0),_xlpm.x,IF(AND(_xlpm.x-SUM(IF((INDIRECT($B$3)=$B160)*(INDIRECT($C$3)=$D160)*((INDIRECT($E$3)="TOTS")+(INDIRECT($E$3)=$E160)),INDIRECT(L$3)))&lt;&gt;0,_xlpm.y=0),-2,_xlpm.x)))),0))</f>
        <v>0</v>
      </c>
      <c r="M160" s="199" cm="1">
        <f t="array" aca="1" ref="M160" ca="1">IF(OR($B160="",$B160="X",$D160="",$D160="X",$E160="",$E160="X"),0,IFERROR(_xlfn.LET(_xlpm.x,SUM(SUM(_xlfn._xlws.FILTER(VALUE(PptoSty[Sign]&amp;1)*(1/PptoSty[Division]),(PptoSty[Division]&lt;&gt;0)*(PptoSty[Division]&lt;&gt;"")*(PptoSty[Division]&lt;&gt;"X")*(PptoSty[Project]=$B160)*(PptoSty[Vrs]=$D160)*(PptoSty[PiRow]=_xlfn.TEXTAFTER($H160,":"))*(PptoSty[PiColumn]=M$54),0)),SUM(IF((INDIRECT($B$3)=$B160)*(INDIRECT($C$3)=$D160)*((INDIRECT($E$3)="TOTS")+(INDIRECT($E$3)=$E160)),INDIRECT(M$3)))),_xlpm.y,SUM(_xlfn.CHOOSECOLS(_xlfn._xlws.FILTER(F_RT14[],(F_RT14[PrjId]=$B160)*(F_RT14[Vrs]=$D160)*(_xlfn.TEXTAFTER(F_RT14[ActGrp],":")=_xlfn.TEXTAFTER($H160,":")),"X"),MATCH("*"&amp;M$54,F_RT14[#Headers],0))),IF(AND(_xlpm.x=0,_xlpm.y&lt;&gt;0),-1,IF(AND(_xlpm.x&lt;&gt;0,_xlpm.y&lt;&gt;0),_xlpm.x,IF(AND(_xlpm.x-SUM(IF((INDIRECT($B$3)=$B160)*(INDIRECT($C$3)=$D160)*((INDIRECT($E$3)="TOTS")+(INDIRECT($E$3)=$E160)),INDIRECT(M$3)))&lt;&gt;0,_xlpm.y=0),-2,_xlpm.x)))),0))</f>
        <v>-1</v>
      </c>
      <c r="N160" s="199" cm="1">
        <f t="array" aca="1" ref="N160" ca="1">IF(OR($B160="",$B160="X",$D160="",$D160="X",$E160="",$E160="X"),0,IFERROR(_xlfn.LET(_xlpm.x,SUM(SUM(_xlfn._xlws.FILTER(VALUE(PptoSty[Sign]&amp;1)*(1/PptoSty[Division]),(PptoSty[Division]&lt;&gt;0)*(PptoSty[Division]&lt;&gt;"")*(PptoSty[Division]&lt;&gt;"X")*(PptoSty[Project]=$B160)*(PptoSty[Vrs]=$D160)*(PptoSty[PiRow]=_xlfn.TEXTAFTER($H160,":"))*(PptoSty[PiColumn]=N$54),0)),SUM(IF((INDIRECT($B$3)=$B160)*(INDIRECT($C$3)=$D160)*((INDIRECT($E$3)="TOTS")+(INDIRECT($E$3)=$E160)),INDIRECT(N$3)))),_xlpm.y,SUM(_xlfn.CHOOSECOLS(_xlfn._xlws.FILTER(F_RT14[],(F_RT14[PrjId]=$B160)*(F_RT14[Vrs]=$D160)*(_xlfn.TEXTAFTER(F_RT14[ActGrp],":")=_xlfn.TEXTAFTER($H160,":")),"X"),MATCH("*"&amp;N$54,F_RT14[#Headers],0))),IF(AND(_xlpm.x=0,_xlpm.y&lt;&gt;0),-1,IF(AND(_xlpm.x&lt;&gt;0,_xlpm.y&lt;&gt;0),_xlpm.x,IF(AND(_xlpm.x-SUM(IF((INDIRECT($B$3)=$B160)*(INDIRECT($C$3)=$D160)*((INDIRECT($E$3)="TOTS")+(INDIRECT($E$3)=$E160)),INDIRECT(N$3)))&lt;&gt;0,_xlpm.y=0),-2,_xlpm.x)))),0))</f>
        <v>0</v>
      </c>
      <c r="O160" s="199" cm="1">
        <f t="array" aca="1" ref="O160" ca="1">IF(OR($B160="",$B160="X",$D160="",$D160="X",$E160="",$E160="X"),0,IFERROR(_xlfn.LET(_xlpm.x,SUM(SUM(_xlfn._xlws.FILTER(VALUE(PptoSty[Sign]&amp;1)*(1/PptoSty[Division]),(PptoSty[Division]&lt;&gt;0)*(PptoSty[Division]&lt;&gt;"")*(PptoSty[Division]&lt;&gt;"X")*(PptoSty[Project]=$B160)*(PptoSty[Vrs]=$D160)*(PptoSty[PiRow]=_xlfn.TEXTAFTER($H160,":"))*(PptoSty[PiColumn]=O$54),0)),SUM(IF((INDIRECT($B$3)=$B160)*(INDIRECT($C$3)=$D160)*((INDIRECT($E$3)="TOTS")+(INDIRECT($E$3)=$E160)),INDIRECT(O$3)))),_xlpm.y,SUM(_xlfn.CHOOSECOLS(_xlfn._xlws.FILTER(F_RT14[],(F_RT14[PrjId]=$B160)*(F_RT14[Vrs]=$D160)*(_xlfn.TEXTAFTER(F_RT14[ActGrp],":")=_xlfn.TEXTAFTER($H160,":")),"X"),MATCH("*"&amp;O$54,F_RT14[#Headers],0))),IF(AND(_xlpm.x=0,_xlpm.y&lt;&gt;0),-1,IF(AND(_xlpm.x&lt;&gt;0,_xlpm.y&lt;&gt;0),_xlpm.x,IF(AND(_xlpm.x-SUM(IF((INDIRECT($B$3)=$B160)*(INDIRECT($C$3)=$D160)*((INDIRECT($E$3)="TOTS")+(INDIRECT($E$3)=$E160)),INDIRECT(O$3)))&lt;&gt;0,_xlpm.y=0),-2,_xlpm.x)))),0))</f>
        <v>0</v>
      </c>
      <c r="P160" s="199" cm="1">
        <f t="array" aca="1" ref="P160" ca="1">IF(OR($B160="",$B160="X",$D160="",$D160="X",$E160="",$E160="X"),0,IFERROR(_xlfn.LET(_xlpm.x,SUM(SUM(_xlfn._xlws.FILTER(VALUE(PptoSty[Sign]&amp;1)*(1/PptoSty[Division]),(PptoSty[Division]&lt;&gt;0)*(PptoSty[Division]&lt;&gt;"")*(PptoSty[Division]&lt;&gt;"X")*(PptoSty[Project]=$B160)*(PptoSty[Vrs]=$D160)*(PptoSty[PiRow]=_xlfn.TEXTAFTER($H160,":"))*(PptoSty[PiColumn]=P$54),0)),SUM(IF((INDIRECT($B$3)=$B160)*(INDIRECT($C$3)=$D160)*((INDIRECT($E$3)="TOTS")+(INDIRECT($E$3)=$E160)),INDIRECT(P$3)))),_xlpm.y,SUM(_xlfn.CHOOSECOLS(_xlfn._xlws.FILTER(F_RT14[],(F_RT14[PrjId]=$B160)*(F_RT14[Vrs]=$D160)*(_xlfn.TEXTAFTER(F_RT14[ActGrp],":")=_xlfn.TEXTAFTER($H160,":")),"X"),MATCH("*"&amp;P$54,F_RT14[#Headers],0))),IF(AND(_xlpm.x=0,_xlpm.y&lt;&gt;0),-1,IF(AND(_xlpm.x&lt;&gt;0,_xlpm.y&lt;&gt;0),_xlpm.x,IF(AND(_xlpm.x-SUM(IF((INDIRECT($B$3)=$B160)*(INDIRECT($C$3)=$D160)*((INDIRECT($E$3)="TOTS")+(INDIRECT($E$3)=$E160)),INDIRECT(P$3)))&lt;&gt;0,_xlpm.y=0),-2,_xlpm.x)))),0))</f>
        <v>-1</v>
      </c>
      <c r="Q160" s="199" cm="1">
        <f t="array" aca="1" ref="Q160" ca="1">IF(OR($B160="",$B160="X",$D160="",$D160="X",$E160="",$E160="X"),0,IFERROR(_xlfn.LET(_xlpm.x,SUM(SUM(_xlfn._xlws.FILTER(VALUE(PptoSty[Sign]&amp;1)*(1/PptoSty[Division]),(PptoSty[Division]&lt;&gt;0)*(PptoSty[Division]&lt;&gt;"")*(PptoSty[Division]&lt;&gt;"X")*(PptoSty[Project]=$B160)*(PptoSty[Vrs]=$D160)*(PptoSty[PiRow]=_xlfn.TEXTAFTER($H160,":"))*(PptoSty[PiColumn]=Q$54),0)),SUM(IF((INDIRECT($B$3)=$B160)*(INDIRECT($C$3)=$D160)*((INDIRECT($E$3)="TOTS")+(INDIRECT($E$3)=$E160)),INDIRECT(Q$3)))),_xlpm.y,SUM(_xlfn.CHOOSECOLS(_xlfn._xlws.FILTER(F_RT14[],(F_RT14[PrjId]=$B160)*(F_RT14[Vrs]=$D160)*(_xlfn.TEXTAFTER(F_RT14[ActGrp],":")=_xlfn.TEXTAFTER($H160,":")),"X"),MATCH("*"&amp;Q$54,F_RT14[#Headers],0))),IF(AND(_xlpm.x=0,_xlpm.y&lt;&gt;0),-1,IF(AND(_xlpm.x&lt;&gt;0,_xlpm.y&lt;&gt;0),_xlpm.x,IF(AND(_xlpm.x-SUM(IF((INDIRECT($B$3)=$B160)*(INDIRECT($C$3)=$D160)*((INDIRECT($E$3)="TOTS")+(INDIRECT($E$3)=$E160)),INDIRECT(Q$3)))&lt;&gt;0,_xlpm.y=0),-2,_xlpm.x)))),0))</f>
        <v>0</v>
      </c>
      <c r="R160" s="199" cm="1">
        <f t="array" aca="1" ref="R160" ca="1">IF(OR($B160="",$B160="X",$D160="",$D160="X",$E160="",$E160="X"),0,IFERROR(_xlfn.LET(_xlpm.x,SUM(SUM(_xlfn._xlws.FILTER(VALUE(PptoSty[Sign]&amp;1)*(1/PptoSty[Division]),(PptoSty[Division]&lt;&gt;0)*(PptoSty[Division]&lt;&gt;"")*(PptoSty[Division]&lt;&gt;"X")*(PptoSty[Project]=$B160)*(PptoSty[Vrs]=$D160)*(PptoSty[PiRow]=_xlfn.TEXTAFTER($H160,":"))*(PptoSty[PiColumn]=R$54),0)),SUM(IF((INDIRECT($B$3)=$B160)*(INDIRECT($C$3)=$D160)*((INDIRECT($E$3)="TOTS")+(INDIRECT($E$3)=$E160)),INDIRECT(R$3)))),_xlpm.y,SUM(_xlfn.CHOOSECOLS(_xlfn._xlws.FILTER(F_RT14[],(F_RT14[PrjId]=$B160)*(F_RT14[Vrs]=$D160)*(_xlfn.TEXTAFTER(F_RT14[ActGrp],":")=_xlfn.TEXTAFTER($H160,":")),"X"),MATCH("*"&amp;R$54,F_RT14[#Headers],0))),IF(AND(_xlpm.x=0,_xlpm.y&lt;&gt;0),-1,IF(AND(_xlpm.x&lt;&gt;0,_xlpm.y&lt;&gt;0),_xlpm.x,IF(AND(_xlpm.x-SUM(IF((INDIRECT($B$3)=$B160)*(INDIRECT($C$3)=$D160)*((INDIRECT($E$3)="TOTS")+(INDIRECT($E$3)=$E160)),INDIRECT(R$3)))&lt;&gt;0,_xlpm.y=0),-2,_xlpm.x)))),0))</f>
        <v>-1</v>
      </c>
      <c r="S160" s="199" cm="1">
        <f t="array" aca="1" ref="S160" ca="1">IF(OR($B160="",$B160="X",$D160="",$D160="X",$E160="",$E160="X"),0,IFERROR(_xlfn.LET(_xlpm.x,SUM(SUM(_xlfn._xlws.FILTER(VALUE(PptoSty[Sign]&amp;1)*(1/PptoSty[Division]),(PptoSty[Division]&lt;&gt;0)*(PptoSty[Division]&lt;&gt;"")*(PptoSty[Division]&lt;&gt;"X")*(PptoSty[Project]=$B160)*(PptoSty[Vrs]=$D160)*(PptoSty[PiRow]=_xlfn.TEXTAFTER($H160,":"))*(PptoSty[PiColumn]=S$54),0)),SUM(IF((INDIRECT($B$3)=$B160)*(INDIRECT($C$3)=$D160)*((INDIRECT($E$3)="TOTS")+(INDIRECT($E$3)=$E160)),INDIRECT(S$3)))),_xlpm.y,SUM(_xlfn.CHOOSECOLS(_xlfn._xlws.FILTER(F_RT14[],(F_RT14[PrjId]=$B160)*(F_RT14[Vrs]=$D160)*(_xlfn.TEXTAFTER(F_RT14[ActGrp],":")=_xlfn.TEXTAFTER($H160,":")),"X"),MATCH("*"&amp;S$54,F_RT14[#Headers],0))),IF(AND(_xlpm.x=0,_xlpm.y&lt;&gt;0),-1,IF(AND(_xlpm.x&lt;&gt;0,_xlpm.y&lt;&gt;0),_xlpm.x,IF(AND(_xlpm.x-SUM(IF((INDIRECT($B$3)=$B160)*(INDIRECT($C$3)=$D160)*((INDIRECT($E$3)="TOTS")+(INDIRECT($E$3)=$E160)),INDIRECT(S$3)))&lt;&gt;0,_xlpm.y=0),-2,_xlpm.x)))),0))</f>
        <v>0</v>
      </c>
      <c r="T160" s="199" cm="1">
        <f t="array" aca="1" ref="T160" ca="1">IF(OR($B160="",$B160="X",$D160="",$D160="X",$E160="",$E160="X"),0,IFERROR(_xlfn.LET(_xlpm.x,SUM(SUM(_xlfn._xlws.FILTER(VALUE(PptoSty[Sign]&amp;1)*(1/PptoSty[Division]),(PptoSty[Division]&lt;&gt;0)*(PptoSty[Division]&lt;&gt;"")*(PptoSty[Division]&lt;&gt;"X")*(PptoSty[Project]=$B160)*(PptoSty[Vrs]=$D160)*(PptoSty[PiRow]=_xlfn.TEXTAFTER($H160,":"))*(PptoSty[PiColumn]=T$54),0)),SUM(IF((INDIRECT($B$3)=$B160)*(INDIRECT($C$3)=$D160)*((INDIRECT($E$3)="TOTS")+(INDIRECT($E$3)=$E160)),INDIRECT(T$3)))),_xlpm.y,SUM(_xlfn.CHOOSECOLS(_xlfn._xlws.FILTER(F_RT14[],(F_RT14[PrjId]=$B160)*(F_RT14[Vrs]=$D160)*(_xlfn.TEXTAFTER(F_RT14[ActGrp],":")=_xlfn.TEXTAFTER($H160,":")),"X"),MATCH("*"&amp;T$54,F_RT14[#Headers],0))),IF(AND(_xlpm.x=0,_xlpm.y&lt;&gt;0),-1,IF(AND(_xlpm.x&lt;&gt;0,_xlpm.y&lt;&gt;0),_xlpm.x,IF(AND(_xlpm.x-SUM(IF((INDIRECT($B$3)=$B160)*(INDIRECT($C$3)=$D160)*((INDIRECT($E$3)="TOTS")+(INDIRECT($E$3)=$E160)),INDIRECT(T$3)))&lt;&gt;0,_xlpm.y=0),-2,_xlpm.x)))),0))</f>
        <v>0</v>
      </c>
      <c r="U160" s="199" cm="1">
        <f t="array" aca="1" ref="U160" ca="1">IF(OR($B160="",$B160="X",$D160="",$D160="X",$E160="",$E160="X"),0,IFERROR(_xlfn.LET(_xlpm.x,SUM(SUM(_xlfn._xlws.FILTER(VALUE(PptoSty[Sign]&amp;1)*(1/PptoSty[Division]),(PptoSty[Division]&lt;&gt;0)*(PptoSty[Division]&lt;&gt;"")*(PptoSty[Division]&lt;&gt;"X")*(PptoSty[Project]=$B160)*(PptoSty[Vrs]=$D160)*(PptoSty[PiRow]=_xlfn.TEXTAFTER($H160,":"))*(PptoSty[PiColumn]=U$54),0)),SUM(IF((INDIRECT($B$3)=$B160)*(INDIRECT($C$3)=$D160)*((INDIRECT($E$3)="TOTS")+(INDIRECT($E$3)=$E160)),INDIRECT(U$3)))),_xlpm.y,SUM(_xlfn.CHOOSECOLS(_xlfn._xlws.FILTER(F_RT14[],(F_RT14[PrjId]=$B160)*(F_RT14[Vrs]=$D160)*(_xlfn.TEXTAFTER(F_RT14[ActGrp],":")=_xlfn.TEXTAFTER($H160,":")),"X"),MATCH("*"&amp;U$54,F_RT14[#Headers],0))),IF(AND(_xlpm.x=0,_xlpm.y&lt;&gt;0),-1,IF(AND(_xlpm.x&lt;&gt;0,_xlpm.y&lt;&gt;0),_xlpm.x,IF(AND(_xlpm.x-SUM(IF((INDIRECT($B$3)=$B160)*(INDIRECT($C$3)=$D160)*((INDIRECT($E$3)="TOTS")+(INDIRECT($E$3)=$E160)),INDIRECT(U$3)))&lt;&gt;0,_xlpm.y=0),-2,_xlpm.x)))),0))</f>
        <v>0</v>
      </c>
      <c r="V160" s="199" cm="1">
        <f t="array" aca="1" ref="V160" ca="1">IF(OR($B160="",$B160="X",$D160="",$D160="X",$E160="",$E160="X"),0,IFERROR(_xlfn.LET(_xlpm.x,SUM(SUM(_xlfn._xlws.FILTER(VALUE(PptoSty[Sign]&amp;1)*(1/PptoSty[Division]),(PptoSty[Division]&lt;&gt;0)*(PptoSty[Division]&lt;&gt;"")*(PptoSty[Division]&lt;&gt;"X")*(PptoSty[Project]=$B160)*(PptoSty[Vrs]=$D160)*(PptoSty[PiRow]=_xlfn.TEXTAFTER($H160,":"))*(PptoSty[PiColumn]=V$54),0)),SUM(IF((INDIRECT($B$3)=$B160)*(INDIRECT($C$3)=$D160)*((INDIRECT($E$3)="TOTS")+(INDIRECT($E$3)=$E160)),INDIRECT(V$3)))),_xlpm.y,SUM(_xlfn.CHOOSECOLS(_xlfn._xlws.FILTER(F_RT14[],(F_RT14[PrjId]=$B160)*(F_RT14[Vrs]=$D160)*(_xlfn.TEXTAFTER(F_RT14[ActGrp],":")=_xlfn.TEXTAFTER($H160,":")),"X"),MATCH("*"&amp;V$54,F_RT14[#Headers],0))),IF(AND(_xlpm.x=0,_xlpm.y&lt;&gt;0),-1,IF(AND(_xlpm.x&lt;&gt;0,_xlpm.y&lt;&gt;0),_xlpm.x,IF(AND(_xlpm.x-SUM(IF((INDIRECT($B$3)=$B160)*(INDIRECT($C$3)=$D160)*((INDIRECT($E$3)="TOTS")+(INDIRECT($E$3)=$E160)),INDIRECT(V$3)))&lt;&gt;0,_xlpm.y=0),-2,_xlpm.x)))),0))</f>
        <v>0</v>
      </c>
      <c r="W160" s="199" cm="1">
        <f t="array" aca="1" ref="W160" ca="1">IF(OR($B160="",$B160="X",$D160="",$D160="X",$E160="",$E160="X"),0,IFERROR(_xlfn.LET(_xlpm.x,SUM(SUM(_xlfn._xlws.FILTER(VALUE(PptoSty[Sign]&amp;1)*(1/PptoSty[Division]),(PptoSty[Division]&lt;&gt;0)*(PptoSty[Division]&lt;&gt;"")*(PptoSty[Division]&lt;&gt;"X")*(PptoSty[Project]=$B160)*(PptoSty[Vrs]=$D160)*(PptoSty[PiRow]=_xlfn.TEXTAFTER($H160,":"))*(PptoSty[PiColumn]=W$54),0)),SUM(IF((INDIRECT($B$3)=$B160)*(INDIRECT($C$3)=$D160)*((INDIRECT($E$3)="TOTS")+(INDIRECT($E$3)=$E160)),INDIRECT(W$3)))),_xlpm.y,SUM(_xlfn.CHOOSECOLS(_xlfn._xlws.FILTER(F_RT14[],(F_RT14[PrjId]=$B160)*(F_RT14[Vrs]=$D160)*(_xlfn.TEXTAFTER(F_RT14[ActGrp],":")=_xlfn.TEXTAFTER($H160,":")),"X"),MATCH("*"&amp;W$54,F_RT14[#Headers],0))),IF(AND(_xlpm.x=0,_xlpm.y&lt;&gt;0),-1,IF(AND(_xlpm.x&lt;&gt;0,_xlpm.y&lt;&gt;0),_xlpm.x,IF(AND(_xlpm.x-SUM(IF((INDIRECT($B$3)=$B160)*(INDIRECT($C$3)=$D160)*((INDIRECT($E$3)="TOTS")+(INDIRECT($E$3)=$E160)),INDIRECT(W$3)))&lt;&gt;0,_xlpm.y=0),-2,_xlpm.x)))),0))</f>
        <v>0</v>
      </c>
      <c r="X160" s="199" cm="1">
        <f t="array" aca="1" ref="X160" ca="1">IF(OR($B160="",$B160="X",$D160="",$D160="X",$E160="",$E160="X"),0,IFERROR(_xlfn.LET(_xlpm.x,SUM(SUM(_xlfn._xlws.FILTER(VALUE(PptoSty[Sign]&amp;1)*(1/PptoSty[Division]),(PptoSty[Division]&lt;&gt;0)*(PptoSty[Division]&lt;&gt;"")*(PptoSty[Division]&lt;&gt;"X")*(PptoSty[Project]=$B160)*(PptoSty[Vrs]=$D160)*(PptoSty[PiRow]=_xlfn.TEXTAFTER($H160,":"))*(PptoSty[PiColumn]=X$54),0)),SUM(IF((INDIRECT($B$3)=$B160)*(INDIRECT($C$3)=$D160)*((INDIRECT($E$3)="TOTS")+(INDIRECT($E$3)=$E160)),INDIRECT(X$3)))),_xlpm.y,SUM(_xlfn.CHOOSECOLS(_xlfn._xlws.FILTER(F_RT14[],(F_RT14[PrjId]=$B160)*(F_RT14[Vrs]=$D160)*(_xlfn.TEXTAFTER(F_RT14[ActGrp],":")=_xlfn.TEXTAFTER($H160,":")),"X"),MATCH("*"&amp;X$54,F_RT14[#Headers],0))),IF(AND(_xlpm.x=0,_xlpm.y&lt;&gt;0),-1,IF(AND(_xlpm.x&lt;&gt;0,_xlpm.y&lt;&gt;0),_xlpm.x,IF(AND(_xlpm.x-SUM(IF((INDIRECT($B$3)=$B160)*(INDIRECT($C$3)=$D160)*((INDIRECT($E$3)="TOTS")+(INDIRECT($E$3)=$E160)),INDIRECT(X$3)))&lt;&gt;0,_xlpm.y=0),-2,_xlpm.x)))),0))</f>
        <v>0</v>
      </c>
      <c r="Y160" s="199" cm="1">
        <f t="array" aca="1" ref="Y160" ca="1">IF(OR($B160="",$B160="X",$D160="",$D160="X",$E160="",$E160="X"),0,IFERROR(_xlfn.LET(_xlpm.x,SUM(SUM(_xlfn._xlws.FILTER(VALUE(PptoSty[Sign]&amp;1)*(1/PptoSty[Division]),(PptoSty[Division]&lt;&gt;0)*(PptoSty[Division]&lt;&gt;"")*(PptoSty[Division]&lt;&gt;"X")*(PptoSty[Project]=$B160)*(PptoSty[Vrs]=$D160)*(PptoSty[PiRow]=_xlfn.TEXTAFTER($H160,":"))*(PptoSty[PiColumn]=Y$54),0)),SUM(IF((INDIRECT($B$3)=$B160)*(INDIRECT($C$3)=$D160)*((INDIRECT($E$3)="TOTS")+(INDIRECT($E$3)=$E160)),INDIRECT(Y$3)))),_xlpm.y,SUM(_xlfn.CHOOSECOLS(_xlfn._xlws.FILTER(F_RT14[],(F_RT14[PrjId]=$B160)*(F_RT14[Vrs]=$D160)*(_xlfn.TEXTAFTER(F_RT14[ActGrp],":")=_xlfn.TEXTAFTER($H160,":")),"X"),MATCH("*"&amp;Y$54,F_RT14[#Headers],0))),IF(AND(_xlpm.x=0,_xlpm.y&lt;&gt;0),-1,IF(AND(_xlpm.x&lt;&gt;0,_xlpm.y&lt;&gt;0),_xlpm.x,IF(AND(_xlpm.x-SUM(IF((INDIRECT($B$3)=$B160)*(INDIRECT($C$3)=$D160)*((INDIRECT($E$3)="TOTS")+(INDIRECT($E$3)=$E160)),INDIRECT(Y$3)))&lt;&gt;0,_xlpm.y=0),-2,_xlpm.x)))),0))</f>
        <v>0</v>
      </c>
      <c r="Z160" s="198" t="str">
        <f t="shared" ca="1" si="3"/>
        <v>Fback!B160:Y160</v>
      </c>
    </row>
    <row r="161" spans="2:26" ht="21" customHeight="1" outlineLevel="1">
      <c r="B161" s="128" t="str">
        <v>31200</v>
      </c>
      <c r="C161" s="128" t="str">
        <v>Sp</v>
      </c>
      <c r="D161" s="128">
        <v>0</v>
      </c>
      <c r="E161" s="128" t="str">
        <v>PEMX</v>
      </c>
      <c r="F161" s="139" t="str">
        <v>SERRA</v>
      </c>
      <c r="G161" s="139" t="str">
        <v>CurPpto</v>
      </c>
      <c r="H161" s="139" t="str">
        <v>G005:PUESTA EN MARCHA EN SERRA</v>
      </c>
      <c r="I161" s="199" cm="1">
        <f t="array" aca="1" ref="I161" ca="1">IF(OR($B161="",$B161="X",$D161="",$D161="X",$E161="",$E161="X"),0,IFERROR(_xlfn.LET(_xlpm.x,SUM(SUM(_xlfn._xlws.FILTER(VALUE(PptoSty[Sign]&amp;1)*(1/PptoSty[Division]),(PptoSty[Division]&lt;&gt;0)*(PptoSty[Division]&lt;&gt;"")*(PptoSty[Division]&lt;&gt;"X")*(PptoSty[Project]=$B161)*(PptoSty[Vrs]=$D161)*(PptoSty[PiRow]=_xlfn.TEXTAFTER($H161,":"))*(PptoSty[PiColumn]=I$54),0)),SUM(IF((INDIRECT($B$3)=$B161)*(INDIRECT($C$3)=$D161)*((INDIRECT($E$3)="TOTS")+(INDIRECT($E$3)=$E161)),INDIRECT(I$3)))),_xlpm.y,SUM(_xlfn.CHOOSECOLS(_xlfn._xlws.FILTER(F_RT14[],(F_RT14[PrjId]=$B161)*(F_RT14[Vrs]=$D161)*(_xlfn.TEXTAFTER(F_RT14[ActGrp],":")=_xlfn.TEXTAFTER($H161,":")),"X"),MATCH("*"&amp;I$54,F_RT14[#Headers],0))),IF(AND(_xlpm.x=0,_xlpm.y&lt;&gt;0),-1,IF(AND(_xlpm.x&lt;&gt;0,_xlpm.y&lt;&gt;0),_xlpm.x,IF(AND(_xlpm.x-SUM(IF((INDIRECT($B$3)=$B161)*(INDIRECT($C$3)=$D161)*((INDIRECT($E$3)="TOTS")+(INDIRECT($E$3)=$E161)),INDIRECT(I$3)))&lt;&gt;0,_xlpm.y=0),-2,_xlpm.x)))),0))</f>
        <v>-1</v>
      </c>
      <c r="J161" s="199" cm="1">
        <f t="array" aca="1" ref="J161" ca="1">IF(OR($B161="",$B161="X",$D161="",$D161="X",$E161="",$E161="X"),0,IFERROR(_xlfn.LET(_xlpm.x,SUM(SUM(_xlfn._xlws.FILTER(VALUE(PptoSty[Sign]&amp;1)*(1/PptoSty[Division]),(PptoSty[Division]&lt;&gt;0)*(PptoSty[Division]&lt;&gt;"")*(PptoSty[Division]&lt;&gt;"X")*(PptoSty[Project]=$B161)*(PptoSty[Vrs]=$D161)*(PptoSty[PiRow]=_xlfn.TEXTAFTER($H161,":"))*(PptoSty[PiColumn]=J$54),0)),SUM(IF((INDIRECT($B$3)=$B161)*(INDIRECT($C$3)=$D161)*((INDIRECT($E$3)="TOTS")+(INDIRECT($E$3)=$E161)),INDIRECT(J$3)))),_xlpm.y,SUM(_xlfn.CHOOSECOLS(_xlfn._xlws.FILTER(F_RT14[],(F_RT14[PrjId]=$B161)*(F_RT14[Vrs]=$D161)*(_xlfn.TEXTAFTER(F_RT14[ActGrp],":")=_xlfn.TEXTAFTER($H161,":")),"X"),MATCH("*"&amp;J$54,F_RT14[#Headers],0))),IF(AND(_xlpm.x=0,_xlpm.y&lt;&gt;0),-1,IF(AND(_xlpm.x&lt;&gt;0,_xlpm.y&lt;&gt;0),_xlpm.x,IF(AND(_xlpm.x-SUM(IF((INDIRECT($B$3)=$B161)*(INDIRECT($C$3)=$D161)*((INDIRECT($E$3)="TOTS")+(INDIRECT($E$3)=$E161)),INDIRECT(J$3)))&lt;&gt;0,_xlpm.y=0),-2,_xlpm.x)))),0))</f>
        <v>0</v>
      </c>
      <c r="K161" s="199" cm="1">
        <f t="array" aca="1" ref="K161" ca="1">IF(OR($B161="",$B161="X",$D161="",$D161="X",$E161="",$E161="X"),0,IFERROR(_xlfn.LET(_xlpm.x,SUM(SUM(_xlfn._xlws.FILTER(VALUE(PptoSty[Sign]&amp;1)*(1/PptoSty[Division]),(PptoSty[Division]&lt;&gt;0)*(PptoSty[Division]&lt;&gt;"")*(PptoSty[Division]&lt;&gt;"X")*(PptoSty[Project]=$B161)*(PptoSty[Vrs]=$D161)*(PptoSty[PiRow]=_xlfn.TEXTAFTER($H161,":"))*(PptoSty[PiColumn]=K$54),0)),SUM(IF((INDIRECT($B$3)=$B161)*(INDIRECT($C$3)=$D161)*((INDIRECT($E$3)="TOTS")+(INDIRECT($E$3)=$E161)),INDIRECT(K$3)))),_xlpm.y,SUM(_xlfn.CHOOSECOLS(_xlfn._xlws.FILTER(F_RT14[],(F_RT14[PrjId]=$B161)*(F_RT14[Vrs]=$D161)*(_xlfn.TEXTAFTER(F_RT14[ActGrp],":")=_xlfn.TEXTAFTER($H161,":")),"X"),MATCH("*"&amp;K$54,F_RT14[#Headers],0))),IF(AND(_xlpm.x=0,_xlpm.y&lt;&gt;0),-1,IF(AND(_xlpm.x&lt;&gt;0,_xlpm.y&lt;&gt;0),_xlpm.x,IF(AND(_xlpm.x-SUM(IF((INDIRECT($B$3)=$B161)*(INDIRECT($C$3)=$D161)*((INDIRECT($E$3)="TOTS")+(INDIRECT($E$3)=$E161)),INDIRECT(K$3)))&lt;&gt;0,_xlpm.y=0),-2,_xlpm.x)))),0))</f>
        <v>0</v>
      </c>
      <c r="L161" s="199" cm="1">
        <f t="array" aca="1" ref="L161" ca="1">IF(OR($B161="",$B161="X",$D161="",$D161="X",$E161="",$E161="X"),0,IFERROR(_xlfn.LET(_xlpm.x,SUM(SUM(_xlfn._xlws.FILTER(VALUE(PptoSty[Sign]&amp;1)*(1/PptoSty[Division]),(PptoSty[Division]&lt;&gt;0)*(PptoSty[Division]&lt;&gt;"")*(PptoSty[Division]&lt;&gt;"X")*(PptoSty[Project]=$B161)*(PptoSty[Vrs]=$D161)*(PptoSty[PiRow]=_xlfn.TEXTAFTER($H161,":"))*(PptoSty[PiColumn]=L$54),0)),SUM(IF((INDIRECT($B$3)=$B161)*(INDIRECT($C$3)=$D161)*((INDIRECT($E$3)="TOTS")+(INDIRECT($E$3)=$E161)),INDIRECT(L$3)))),_xlpm.y,SUM(_xlfn.CHOOSECOLS(_xlfn._xlws.FILTER(F_RT14[],(F_RT14[PrjId]=$B161)*(F_RT14[Vrs]=$D161)*(_xlfn.TEXTAFTER(F_RT14[ActGrp],":")=_xlfn.TEXTAFTER($H161,":")),"X"),MATCH("*"&amp;L$54,F_RT14[#Headers],0))),IF(AND(_xlpm.x=0,_xlpm.y&lt;&gt;0),-1,IF(AND(_xlpm.x&lt;&gt;0,_xlpm.y&lt;&gt;0),_xlpm.x,IF(AND(_xlpm.x-SUM(IF((INDIRECT($B$3)=$B161)*(INDIRECT($C$3)=$D161)*((INDIRECT($E$3)="TOTS")+(INDIRECT($E$3)=$E161)),INDIRECT(L$3)))&lt;&gt;0,_xlpm.y=0),-2,_xlpm.x)))),0))</f>
        <v>0</v>
      </c>
      <c r="M161" s="199" cm="1">
        <f t="array" aca="1" ref="M161" ca="1">IF(OR($B161="",$B161="X",$D161="",$D161="X",$E161="",$E161="X"),0,IFERROR(_xlfn.LET(_xlpm.x,SUM(SUM(_xlfn._xlws.FILTER(VALUE(PptoSty[Sign]&amp;1)*(1/PptoSty[Division]),(PptoSty[Division]&lt;&gt;0)*(PptoSty[Division]&lt;&gt;"")*(PptoSty[Division]&lt;&gt;"X")*(PptoSty[Project]=$B161)*(PptoSty[Vrs]=$D161)*(PptoSty[PiRow]=_xlfn.TEXTAFTER($H161,":"))*(PptoSty[PiColumn]=M$54),0)),SUM(IF((INDIRECT($B$3)=$B161)*(INDIRECT($C$3)=$D161)*((INDIRECT($E$3)="TOTS")+(INDIRECT($E$3)=$E161)),INDIRECT(M$3)))),_xlpm.y,SUM(_xlfn.CHOOSECOLS(_xlfn._xlws.FILTER(F_RT14[],(F_RT14[PrjId]=$B161)*(F_RT14[Vrs]=$D161)*(_xlfn.TEXTAFTER(F_RT14[ActGrp],":")=_xlfn.TEXTAFTER($H161,":")),"X"),MATCH("*"&amp;M$54,F_RT14[#Headers],0))),IF(AND(_xlpm.x=0,_xlpm.y&lt;&gt;0),-1,IF(AND(_xlpm.x&lt;&gt;0,_xlpm.y&lt;&gt;0),_xlpm.x,IF(AND(_xlpm.x-SUM(IF((INDIRECT($B$3)=$B161)*(INDIRECT($C$3)=$D161)*((INDIRECT($E$3)="TOTS")+(INDIRECT($E$3)=$E161)),INDIRECT(M$3)))&lt;&gt;0,_xlpm.y=0),-2,_xlpm.x)))),0))</f>
        <v>-1</v>
      </c>
      <c r="N161" s="199" cm="1">
        <f t="array" aca="1" ref="N161" ca="1">IF(OR($B161="",$B161="X",$D161="",$D161="X",$E161="",$E161="X"),0,IFERROR(_xlfn.LET(_xlpm.x,SUM(SUM(_xlfn._xlws.FILTER(VALUE(PptoSty[Sign]&amp;1)*(1/PptoSty[Division]),(PptoSty[Division]&lt;&gt;0)*(PptoSty[Division]&lt;&gt;"")*(PptoSty[Division]&lt;&gt;"X")*(PptoSty[Project]=$B161)*(PptoSty[Vrs]=$D161)*(PptoSty[PiRow]=_xlfn.TEXTAFTER($H161,":"))*(PptoSty[PiColumn]=N$54),0)),SUM(IF((INDIRECT($B$3)=$B161)*(INDIRECT($C$3)=$D161)*((INDIRECT($E$3)="TOTS")+(INDIRECT($E$3)=$E161)),INDIRECT(N$3)))),_xlpm.y,SUM(_xlfn.CHOOSECOLS(_xlfn._xlws.FILTER(F_RT14[],(F_RT14[PrjId]=$B161)*(F_RT14[Vrs]=$D161)*(_xlfn.TEXTAFTER(F_RT14[ActGrp],":")=_xlfn.TEXTAFTER($H161,":")),"X"),MATCH("*"&amp;N$54,F_RT14[#Headers],0))),IF(AND(_xlpm.x=0,_xlpm.y&lt;&gt;0),-1,IF(AND(_xlpm.x&lt;&gt;0,_xlpm.y&lt;&gt;0),_xlpm.x,IF(AND(_xlpm.x-SUM(IF((INDIRECT($B$3)=$B161)*(INDIRECT($C$3)=$D161)*((INDIRECT($E$3)="TOTS")+(INDIRECT($E$3)=$E161)),INDIRECT(N$3)))&lt;&gt;0,_xlpm.y=0),-2,_xlpm.x)))),0))</f>
        <v>0</v>
      </c>
      <c r="O161" s="199" cm="1">
        <f t="array" aca="1" ref="O161" ca="1">IF(OR($B161="",$B161="X",$D161="",$D161="X",$E161="",$E161="X"),0,IFERROR(_xlfn.LET(_xlpm.x,SUM(SUM(_xlfn._xlws.FILTER(VALUE(PptoSty[Sign]&amp;1)*(1/PptoSty[Division]),(PptoSty[Division]&lt;&gt;0)*(PptoSty[Division]&lt;&gt;"")*(PptoSty[Division]&lt;&gt;"X")*(PptoSty[Project]=$B161)*(PptoSty[Vrs]=$D161)*(PptoSty[PiRow]=_xlfn.TEXTAFTER($H161,":"))*(PptoSty[PiColumn]=O$54),0)),SUM(IF((INDIRECT($B$3)=$B161)*(INDIRECT($C$3)=$D161)*((INDIRECT($E$3)="TOTS")+(INDIRECT($E$3)=$E161)),INDIRECT(O$3)))),_xlpm.y,SUM(_xlfn.CHOOSECOLS(_xlfn._xlws.FILTER(F_RT14[],(F_RT14[PrjId]=$B161)*(F_RT14[Vrs]=$D161)*(_xlfn.TEXTAFTER(F_RT14[ActGrp],":")=_xlfn.TEXTAFTER($H161,":")),"X"),MATCH("*"&amp;O$54,F_RT14[#Headers],0))),IF(AND(_xlpm.x=0,_xlpm.y&lt;&gt;0),-1,IF(AND(_xlpm.x&lt;&gt;0,_xlpm.y&lt;&gt;0),_xlpm.x,IF(AND(_xlpm.x-SUM(IF((INDIRECT($B$3)=$B161)*(INDIRECT($C$3)=$D161)*((INDIRECT($E$3)="TOTS")+(INDIRECT($E$3)=$E161)),INDIRECT(O$3)))&lt;&gt;0,_xlpm.y=0),-2,_xlpm.x)))),0))</f>
        <v>-1</v>
      </c>
      <c r="P161" s="199" cm="1">
        <f t="array" aca="1" ref="P161" ca="1">IF(OR($B161="",$B161="X",$D161="",$D161="X",$E161="",$E161="X"),0,IFERROR(_xlfn.LET(_xlpm.x,SUM(SUM(_xlfn._xlws.FILTER(VALUE(PptoSty[Sign]&amp;1)*(1/PptoSty[Division]),(PptoSty[Division]&lt;&gt;0)*(PptoSty[Division]&lt;&gt;"")*(PptoSty[Division]&lt;&gt;"X")*(PptoSty[Project]=$B161)*(PptoSty[Vrs]=$D161)*(PptoSty[PiRow]=_xlfn.TEXTAFTER($H161,":"))*(PptoSty[PiColumn]=P$54),0)),SUM(IF((INDIRECT($B$3)=$B161)*(INDIRECT($C$3)=$D161)*((INDIRECT($E$3)="TOTS")+(INDIRECT($E$3)=$E161)),INDIRECT(P$3)))),_xlpm.y,SUM(_xlfn.CHOOSECOLS(_xlfn._xlws.FILTER(F_RT14[],(F_RT14[PrjId]=$B161)*(F_RT14[Vrs]=$D161)*(_xlfn.TEXTAFTER(F_RT14[ActGrp],":")=_xlfn.TEXTAFTER($H161,":")),"X"),MATCH("*"&amp;P$54,F_RT14[#Headers],0))),IF(AND(_xlpm.x=0,_xlpm.y&lt;&gt;0),-1,IF(AND(_xlpm.x&lt;&gt;0,_xlpm.y&lt;&gt;0),_xlpm.x,IF(AND(_xlpm.x-SUM(IF((INDIRECT($B$3)=$B161)*(INDIRECT($C$3)=$D161)*((INDIRECT($E$3)="TOTS")+(INDIRECT($E$3)=$E161)),INDIRECT(P$3)))&lt;&gt;0,_xlpm.y=0),-2,_xlpm.x)))),0))</f>
        <v>-1</v>
      </c>
      <c r="Q161" s="199" cm="1">
        <f t="array" aca="1" ref="Q161" ca="1">IF(OR($B161="",$B161="X",$D161="",$D161="X",$E161="",$E161="X"),0,IFERROR(_xlfn.LET(_xlpm.x,SUM(SUM(_xlfn._xlws.FILTER(VALUE(PptoSty[Sign]&amp;1)*(1/PptoSty[Division]),(PptoSty[Division]&lt;&gt;0)*(PptoSty[Division]&lt;&gt;"")*(PptoSty[Division]&lt;&gt;"X")*(PptoSty[Project]=$B161)*(PptoSty[Vrs]=$D161)*(PptoSty[PiRow]=_xlfn.TEXTAFTER($H161,":"))*(PptoSty[PiColumn]=Q$54),0)),SUM(IF((INDIRECT($B$3)=$B161)*(INDIRECT($C$3)=$D161)*((INDIRECT($E$3)="TOTS")+(INDIRECT($E$3)=$E161)),INDIRECT(Q$3)))),_xlpm.y,SUM(_xlfn.CHOOSECOLS(_xlfn._xlws.FILTER(F_RT14[],(F_RT14[PrjId]=$B161)*(F_RT14[Vrs]=$D161)*(_xlfn.TEXTAFTER(F_RT14[ActGrp],":")=_xlfn.TEXTAFTER($H161,":")),"X"),MATCH("*"&amp;Q$54,F_RT14[#Headers],0))),IF(AND(_xlpm.x=0,_xlpm.y&lt;&gt;0),-1,IF(AND(_xlpm.x&lt;&gt;0,_xlpm.y&lt;&gt;0),_xlpm.x,IF(AND(_xlpm.x-SUM(IF((INDIRECT($B$3)=$B161)*(INDIRECT($C$3)=$D161)*((INDIRECT($E$3)="TOTS")+(INDIRECT($E$3)=$E161)),INDIRECT(Q$3)))&lt;&gt;0,_xlpm.y=0),-2,_xlpm.x)))),0))</f>
        <v>-1</v>
      </c>
      <c r="R161" s="199" cm="1">
        <f t="array" aca="1" ref="R161" ca="1">IF(OR($B161="",$B161="X",$D161="",$D161="X",$E161="",$E161="X"),0,IFERROR(_xlfn.LET(_xlpm.x,SUM(SUM(_xlfn._xlws.FILTER(VALUE(PptoSty[Sign]&amp;1)*(1/PptoSty[Division]),(PptoSty[Division]&lt;&gt;0)*(PptoSty[Division]&lt;&gt;"")*(PptoSty[Division]&lt;&gt;"X")*(PptoSty[Project]=$B161)*(PptoSty[Vrs]=$D161)*(PptoSty[PiRow]=_xlfn.TEXTAFTER($H161,":"))*(PptoSty[PiColumn]=R$54),0)),SUM(IF((INDIRECT($B$3)=$B161)*(INDIRECT($C$3)=$D161)*((INDIRECT($E$3)="TOTS")+(INDIRECT($E$3)=$E161)),INDIRECT(R$3)))),_xlpm.y,SUM(_xlfn.CHOOSECOLS(_xlfn._xlws.FILTER(F_RT14[],(F_RT14[PrjId]=$B161)*(F_RT14[Vrs]=$D161)*(_xlfn.TEXTAFTER(F_RT14[ActGrp],":")=_xlfn.TEXTAFTER($H161,":")),"X"),MATCH("*"&amp;R$54,F_RT14[#Headers],0))),IF(AND(_xlpm.x=0,_xlpm.y&lt;&gt;0),-1,IF(AND(_xlpm.x&lt;&gt;0,_xlpm.y&lt;&gt;0),_xlpm.x,IF(AND(_xlpm.x-SUM(IF((INDIRECT($B$3)=$B161)*(INDIRECT($C$3)=$D161)*((INDIRECT($E$3)="TOTS")+(INDIRECT($E$3)=$E161)),INDIRECT(R$3)))&lt;&gt;0,_xlpm.y=0),-2,_xlpm.x)))),0))</f>
        <v>-1</v>
      </c>
      <c r="S161" s="199" cm="1">
        <f t="array" aca="1" ref="S161" ca="1">IF(OR($B161="",$B161="X",$D161="",$D161="X",$E161="",$E161="X"),0,IFERROR(_xlfn.LET(_xlpm.x,SUM(SUM(_xlfn._xlws.FILTER(VALUE(PptoSty[Sign]&amp;1)*(1/PptoSty[Division]),(PptoSty[Division]&lt;&gt;0)*(PptoSty[Division]&lt;&gt;"")*(PptoSty[Division]&lt;&gt;"X")*(PptoSty[Project]=$B161)*(PptoSty[Vrs]=$D161)*(PptoSty[PiRow]=_xlfn.TEXTAFTER($H161,":"))*(PptoSty[PiColumn]=S$54),0)),SUM(IF((INDIRECT($B$3)=$B161)*(INDIRECT($C$3)=$D161)*((INDIRECT($E$3)="TOTS")+(INDIRECT($E$3)=$E161)),INDIRECT(S$3)))),_xlpm.y,SUM(_xlfn.CHOOSECOLS(_xlfn._xlws.FILTER(F_RT14[],(F_RT14[PrjId]=$B161)*(F_RT14[Vrs]=$D161)*(_xlfn.TEXTAFTER(F_RT14[ActGrp],":")=_xlfn.TEXTAFTER($H161,":")),"X"),MATCH("*"&amp;S$54,F_RT14[#Headers],0))),IF(AND(_xlpm.x=0,_xlpm.y&lt;&gt;0),-1,IF(AND(_xlpm.x&lt;&gt;0,_xlpm.y&lt;&gt;0),_xlpm.x,IF(AND(_xlpm.x-SUM(IF((INDIRECT($B$3)=$B161)*(INDIRECT($C$3)=$D161)*((INDIRECT($E$3)="TOTS")+(INDIRECT($E$3)=$E161)),INDIRECT(S$3)))&lt;&gt;0,_xlpm.y=0),-2,_xlpm.x)))),0))</f>
        <v>0</v>
      </c>
      <c r="T161" s="199" cm="1">
        <f t="array" aca="1" ref="T161" ca="1">IF(OR($B161="",$B161="X",$D161="",$D161="X",$E161="",$E161="X"),0,IFERROR(_xlfn.LET(_xlpm.x,SUM(SUM(_xlfn._xlws.FILTER(VALUE(PptoSty[Sign]&amp;1)*(1/PptoSty[Division]),(PptoSty[Division]&lt;&gt;0)*(PptoSty[Division]&lt;&gt;"")*(PptoSty[Division]&lt;&gt;"X")*(PptoSty[Project]=$B161)*(PptoSty[Vrs]=$D161)*(PptoSty[PiRow]=_xlfn.TEXTAFTER($H161,":"))*(PptoSty[PiColumn]=T$54),0)),SUM(IF((INDIRECT($B$3)=$B161)*(INDIRECT($C$3)=$D161)*((INDIRECT($E$3)="TOTS")+(INDIRECT($E$3)=$E161)),INDIRECT(T$3)))),_xlpm.y,SUM(_xlfn.CHOOSECOLS(_xlfn._xlws.FILTER(F_RT14[],(F_RT14[PrjId]=$B161)*(F_RT14[Vrs]=$D161)*(_xlfn.TEXTAFTER(F_RT14[ActGrp],":")=_xlfn.TEXTAFTER($H161,":")),"X"),MATCH("*"&amp;T$54,F_RT14[#Headers],0))),IF(AND(_xlpm.x=0,_xlpm.y&lt;&gt;0),-1,IF(AND(_xlpm.x&lt;&gt;0,_xlpm.y&lt;&gt;0),_xlpm.x,IF(AND(_xlpm.x-SUM(IF((INDIRECT($B$3)=$B161)*(INDIRECT($C$3)=$D161)*((INDIRECT($E$3)="TOTS")+(INDIRECT($E$3)=$E161)),INDIRECT(T$3)))&lt;&gt;0,_xlpm.y=0),-2,_xlpm.x)))),0))</f>
        <v>0</v>
      </c>
      <c r="U161" s="199" cm="1">
        <f t="array" aca="1" ref="U161" ca="1">IF(OR($B161="",$B161="X",$D161="",$D161="X",$E161="",$E161="X"),0,IFERROR(_xlfn.LET(_xlpm.x,SUM(SUM(_xlfn._xlws.FILTER(VALUE(PptoSty[Sign]&amp;1)*(1/PptoSty[Division]),(PptoSty[Division]&lt;&gt;0)*(PptoSty[Division]&lt;&gt;"")*(PptoSty[Division]&lt;&gt;"X")*(PptoSty[Project]=$B161)*(PptoSty[Vrs]=$D161)*(PptoSty[PiRow]=_xlfn.TEXTAFTER($H161,":"))*(PptoSty[PiColumn]=U$54),0)),SUM(IF((INDIRECT($B$3)=$B161)*(INDIRECT($C$3)=$D161)*((INDIRECT($E$3)="TOTS")+(INDIRECT($E$3)=$E161)),INDIRECT(U$3)))),_xlpm.y,SUM(_xlfn.CHOOSECOLS(_xlfn._xlws.FILTER(F_RT14[],(F_RT14[PrjId]=$B161)*(F_RT14[Vrs]=$D161)*(_xlfn.TEXTAFTER(F_RT14[ActGrp],":")=_xlfn.TEXTAFTER($H161,":")),"X"),MATCH("*"&amp;U$54,F_RT14[#Headers],0))),IF(AND(_xlpm.x=0,_xlpm.y&lt;&gt;0),-1,IF(AND(_xlpm.x&lt;&gt;0,_xlpm.y&lt;&gt;0),_xlpm.x,IF(AND(_xlpm.x-SUM(IF((INDIRECT($B$3)=$B161)*(INDIRECT($C$3)=$D161)*((INDIRECT($E$3)="TOTS")+(INDIRECT($E$3)=$E161)),INDIRECT(U$3)))&lt;&gt;0,_xlpm.y=0),-2,_xlpm.x)))),0))</f>
        <v>0</v>
      </c>
      <c r="V161" s="199" cm="1">
        <f t="array" aca="1" ref="V161" ca="1">IF(OR($B161="",$B161="X",$D161="",$D161="X",$E161="",$E161="X"),0,IFERROR(_xlfn.LET(_xlpm.x,SUM(SUM(_xlfn._xlws.FILTER(VALUE(PptoSty[Sign]&amp;1)*(1/PptoSty[Division]),(PptoSty[Division]&lt;&gt;0)*(PptoSty[Division]&lt;&gt;"")*(PptoSty[Division]&lt;&gt;"X")*(PptoSty[Project]=$B161)*(PptoSty[Vrs]=$D161)*(PptoSty[PiRow]=_xlfn.TEXTAFTER($H161,":"))*(PptoSty[PiColumn]=V$54),0)),SUM(IF((INDIRECT($B$3)=$B161)*(INDIRECT($C$3)=$D161)*((INDIRECT($E$3)="TOTS")+(INDIRECT($E$3)=$E161)),INDIRECT(V$3)))),_xlpm.y,SUM(_xlfn.CHOOSECOLS(_xlfn._xlws.FILTER(F_RT14[],(F_RT14[PrjId]=$B161)*(F_RT14[Vrs]=$D161)*(_xlfn.TEXTAFTER(F_RT14[ActGrp],":")=_xlfn.TEXTAFTER($H161,":")),"X"),MATCH("*"&amp;V$54,F_RT14[#Headers],0))),IF(AND(_xlpm.x=0,_xlpm.y&lt;&gt;0),-1,IF(AND(_xlpm.x&lt;&gt;0,_xlpm.y&lt;&gt;0),_xlpm.x,IF(AND(_xlpm.x-SUM(IF((INDIRECT($B$3)=$B161)*(INDIRECT($C$3)=$D161)*((INDIRECT($E$3)="TOTS")+(INDIRECT($E$3)=$E161)),INDIRECT(V$3)))&lt;&gt;0,_xlpm.y=0),-2,_xlpm.x)))),0))</f>
        <v>0</v>
      </c>
      <c r="W161" s="199" cm="1">
        <f t="array" aca="1" ref="W161" ca="1">IF(OR($B161="",$B161="X",$D161="",$D161="X",$E161="",$E161="X"),0,IFERROR(_xlfn.LET(_xlpm.x,SUM(SUM(_xlfn._xlws.FILTER(VALUE(PptoSty[Sign]&amp;1)*(1/PptoSty[Division]),(PptoSty[Division]&lt;&gt;0)*(PptoSty[Division]&lt;&gt;"")*(PptoSty[Division]&lt;&gt;"X")*(PptoSty[Project]=$B161)*(PptoSty[Vrs]=$D161)*(PptoSty[PiRow]=_xlfn.TEXTAFTER($H161,":"))*(PptoSty[PiColumn]=W$54),0)),SUM(IF((INDIRECT($B$3)=$B161)*(INDIRECT($C$3)=$D161)*((INDIRECT($E$3)="TOTS")+(INDIRECT($E$3)=$E161)),INDIRECT(W$3)))),_xlpm.y,SUM(_xlfn.CHOOSECOLS(_xlfn._xlws.FILTER(F_RT14[],(F_RT14[PrjId]=$B161)*(F_RT14[Vrs]=$D161)*(_xlfn.TEXTAFTER(F_RT14[ActGrp],":")=_xlfn.TEXTAFTER($H161,":")),"X"),MATCH("*"&amp;W$54,F_RT14[#Headers],0))),IF(AND(_xlpm.x=0,_xlpm.y&lt;&gt;0),-1,IF(AND(_xlpm.x&lt;&gt;0,_xlpm.y&lt;&gt;0),_xlpm.x,IF(AND(_xlpm.x-SUM(IF((INDIRECT($B$3)=$B161)*(INDIRECT($C$3)=$D161)*((INDIRECT($E$3)="TOTS")+(INDIRECT($E$3)=$E161)),INDIRECT(W$3)))&lt;&gt;0,_xlpm.y=0),-2,_xlpm.x)))),0))</f>
        <v>0</v>
      </c>
      <c r="X161" s="199" cm="1">
        <f t="array" aca="1" ref="X161" ca="1">IF(OR($B161="",$B161="X",$D161="",$D161="X",$E161="",$E161="X"),0,IFERROR(_xlfn.LET(_xlpm.x,SUM(SUM(_xlfn._xlws.FILTER(VALUE(PptoSty[Sign]&amp;1)*(1/PptoSty[Division]),(PptoSty[Division]&lt;&gt;0)*(PptoSty[Division]&lt;&gt;"")*(PptoSty[Division]&lt;&gt;"X")*(PptoSty[Project]=$B161)*(PptoSty[Vrs]=$D161)*(PptoSty[PiRow]=_xlfn.TEXTAFTER($H161,":"))*(PptoSty[PiColumn]=X$54),0)),SUM(IF((INDIRECT($B$3)=$B161)*(INDIRECT($C$3)=$D161)*((INDIRECT($E$3)="TOTS")+(INDIRECT($E$3)=$E161)),INDIRECT(X$3)))),_xlpm.y,SUM(_xlfn.CHOOSECOLS(_xlfn._xlws.FILTER(F_RT14[],(F_RT14[PrjId]=$B161)*(F_RT14[Vrs]=$D161)*(_xlfn.TEXTAFTER(F_RT14[ActGrp],":")=_xlfn.TEXTAFTER($H161,":")),"X"),MATCH("*"&amp;X$54,F_RT14[#Headers],0))),IF(AND(_xlpm.x=0,_xlpm.y&lt;&gt;0),-1,IF(AND(_xlpm.x&lt;&gt;0,_xlpm.y&lt;&gt;0),_xlpm.x,IF(AND(_xlpm.x-SUM(IF((INDIRECT($B$3)=$B161)*(INDIRECT($C$3)=$D161)*((INDIRECT($E$3)="TOTS")+(INDIRECT($E$3)=$E161)),INDIRECT(X$3)))&lt;&gt;0,_xlpm.y=0),-2,_xlpm.x)))),0))</f>
        <v>0</v>
      </c>
      <c r="Y161" s="199" cm="1">
        <f t="array" aca="1" ref="Y161" ca="1">IF(OR($B161="",$B161="X",$D161="",$D161="X",$E161="",$E161="X"),0,IFERROR(_xlfn.LET(_xlpm.x,SUM(SUM(_xlfn._xlws.FILTER(VALUE(PptoSty[Sign]&amp;1)*(1/PptoSty[Division]),(PptoSty[Division]&lt;&gt;0)*(PptoSty[Division]&lt;&gt;"")*(PptoSty[Division]&lt;&gt;"X")*(PptoSty[Project]=$B161)*(PptoSty[Vrs]=$D161)*(PptoSty[PiRow]=_xlfn.TEXTAFTER($H161,":"))*(PptoSty[PiColumn]=Y$54),0)),SUM(IF((INDIRECT($B$3)=$B161)*(INDIRECT($C$3)=$D161)*((INDIRECT($E$3)="TOTS")+(INDIRECT($E$3)=$E161)),INDIRECT(Y$3)))),_xlpm.y,SUM(_xlfn.CHOOSECOLS(_xlfn._xlws.FILTER(F_RT14[],(F_RT14[PrjId]=$B161)*(F_RT14[Vrs]=$D161)*(_xlfn.TEXTAFTER(F_RT14[ActGrp],":")=_xlfn.TEXTAFTER($H161,":")),"X"),MATCH("*"&amp;Y$54,F_RT14[#Headers],0))),IF(AND(_xlpm.x=0,_xlpm.y&lt;&gt;0),-1,IF(AND(_xlpm.x&lt;&gt;0,_xlpm.y&lt;&gt;0),_xlpm.x,IF(AND(_xlpm.x-SUM(IF((INDIRECT($B$3)=$B161)*(INDIRECT($C$3)=$D161)*((INDIRECT($E$3)="TOTS")+(INDIRECT($E$3)=$E161)),INDIRECT(Y$3)))&lt;&gt;0,_xlpm.y=0),-2,_xlpm.x)))),0))</f>
        <v>0</v>
      </c>
      <c r="Z161" s="198" t="str">
        <f t="shared" ca="1" si="3"/>
        <v>Fback!B161:Y161</v>
      </c>
    </row>
    <row r="162" spans="2:26" ht="21" customHeight="1" outlineLevel="1">
      <c r="B162" s="128" t="str">
        <v>31200</v>
      </c>
      <c r="C162" s="128" t="str">
        <v>Sp</v>
      </c>
      <c r="D162" s="128">
        <v>0</v>
      </c>
      <c r="E162" s="128" t="str">
        <v>TRSL</v>
      </c>
      <c r="F162" s="139" t="str">
        <v>SERRA</v>
      </c>
      <c r="G162" s="139" t="str">
        <v>CurPpto</v>
      </c>
      <c r="H162" s="139" t="str">
        <v>G006:DESMONTAJE</v>
      </c>
      <c r="I162" s="199" cm="1">
        <f t="array" aca="1" ref="I162" ca="1">IF(OR($B162="",$B162="X",$D162="",$D162="X",$E162="",$E162="X"),0,IFERROR(_xlfn.LET(_xlpm.x,SUM(SUM(_xlfn._xlws.FILTER(VALUE(PptoSty[Sign]&amp;1)*(1/PptoSty[Division]),(PptoSty[Division]&lt;&gt;0)*(PptoSty[Division]&lt;&gt;"")*(PptoSty[Division]&lt;&gt;"X")*(PptoSty[Project]=$B162)*(PptoSty[Vrs]=$D162)*(PptoSty[PiRow]=_xlfn.TEXTAFTER($H162,":"))*(PptoSty[PiColumn]=I$54),0)),SUM(IF((INDIRECT($B$3)=$B162)*(INDIRECT($C$3)=$D162)*((INDIRECT($E$3)="TOTS")+(INDIRECT($E$3)=$E162)),INDIRECT(I$3)))),_xlpm.y,SUM(_xlfn.CHOOSECOLS(_xlfn._xlws.FILTER(F_RT14[],(F_RT14[PrjId]=$B162)*(F_RT14[Vrs]=$D162)*(_xlfn.TEXTAFTER(F_RT14[ActGrp],":")=_xlfn.TEXTAFTER($H162,":")),"X"),MATCH("*"&amp;I$54,F_RT14[#Headers],0))),IF(AND(_xlpm.x=0,_xlpm.y&lt;&gt;0),-1,IF(AND(_xlpm.x&lt;&gt;0,_xlpm.y&lt;&gt;0),_xlpm.x,IF(AND(_xlpm.x-SUM(IF((INDIRECT($B$3)=$B162)*(INDIRECT($C$3)=$D162)*((INDIRECT($E$3)="TOTS")+(INDIRECT($E$3)=$E162)),INDIRECT(I$3)))&lt;&gt;0,_xlpm.y=0),-2,_xlpm.x)))),0))</f>
        <v>0</v>
      </c>
      <c r="J162" s="199" cm="1">
        <f t="array" aca="1" ref="J162" ca="1">IF(OR($B162="",$B162="X",$D162="",$D162="X",$E162="",$E162="X"),0,IFERROR(_xlfn.LET(_xlpm.x,SUM(SUM(_xlfn._xlws.FILTER(VALUE(PptoSty[Sign]&amp;1)*(1/PptoSty[Division]),(PptoSty[Division]&lt;&gt;0)*(PptoSty[Division]&lt;&gt;"")*(PptoSty[Division]&lt;&gt;"X")*(PptoSty[Project]=$B162)*(PptoSty[Vrs]=$D162)*(PptoSty[PiRow]=_xlfn.TEXTAFTER($H162,":"))*(PptoSty[PiColumn]=J$54),0)),SUM(IF((INDIRECT($B$3)=$B162)*(INDIRECT($C$3)=$D162)*((INDIRECT($E$3)="TOTS")+(INDIRECT($E$3)=$E162)),INDIRECT(J$3)))),_xlpm.y,SUM(_xlfn.CHOOSECOLS(_xlfn._xlws.FILTER(F_RT14[],(F_RT14[PrjId]=$B162)*(F_RT14[Vrs]=$D162)*(_xlfn.TEXTAFTER(F_RT14[ActGrp],":")=_xlfn.TEXTAFTER($H162,":")),"X"),MATCH("*"&amp;J$54,F_RT14[#Headers],0))),IF(AND(_xlpm.x=0,_xlpm.y&lt;&gt;0),-1,IF(AND(_xlpm.x&lt;&gt;0,_xlpm.y&lt;&gt;0),_xlpm.x,IF(AND(_xlpm.x-SUM(IF((INDIRECT($B$3)=$B162)*(INDIRECT($C$3)=$D162)*((INDIRECT($E$3)="TOTS")+(INDIRECT($E$3)=$E162)),INDIRECT(J$3)))&lt;&gt;0,_xlpm.y=0),-2,_xlpm.x)))),0))</f>
        <v>0</v>
      </c>
      <c r="K162" s="199" cm="1">
        <f t="array" aca="1" ref="K162" ca="1">IF(OR($B162="",$B162="X",$D162="",$D162="X",$E162="",$E162="X"),0,IFERROR(_xlfn.LET(_xlpm.x,SUM(SUM(_xlfn._xlws.FILTER(VALUE(PptoSty[Sign]&amp;1)*(1/PptoSty[Division]),(PptoSty[Division]&lt;&gt;0)*(PptoSty[Division]&lt;&gt;"")*(PptoSty[Division]&lt;&gt;"X")*(PptoSty[Project]=$B162)*(PptoSty[Vrs]=$D162)*(PptoSty[PiRow]=_xlfn.TEXTAFTER($H162,":"))*(PptoSty[PiColumn]=K$54),0)),SUM(IF((INDIRECT($B$3)=$B162)*(INDIRECT($C$3)=$D162)*((INDIRECT($E$3)="TOTS")+(INDIRECT($E$3)=$E162)),INDIRECT(K$3)))),_xlpm.y,SUM(_xlfn.CHOOSECOLS(_xlfn._xlws.FILTER(F_RT14[],(F_RT14[PrjId]=$B162)*(F_RT14[Vrs]=$D162)*(_xlfn.TEXTAFTER(F_RT14[ActGrp],":")=_xlfn.TEXTAFTER($H162,":")),"X"),MATCH("*"&amp;K$54,F_RT14[#Headers],0))),IF(AND(_xlpm.x=0,_xlpm.y&lt;&gt;0),-1,IF(AND(_xlpm.x&lt;&gt;0,_xlpm.y&lt;&gt;0),_xlpm.x,IF(AND(_xlpm.x-SUM(IF((INDIRECT($B$3)=$B162)*(INDIRECT($C$3)=$D162)*((INDIRECT($E$3)="TOTS")+(INDIRECT($E$3)=$E162)),INDIRECT(K$3)))&lt;&gt;0,_xlpm.y=0),-2,_xlpm.x)))),0))</f>
        <v>0</v>
      </c>
      <c r="L162" s="199" cm="1">
        <f t="array" aca="1" ref="L162" ca="1">IF(OR($B162="",$B162="X",$D162="",$D162="X",$E162="",$E162="X"),0,IFERROR(_xlfn.LET(_xlpm.x,SUM(SUM(_xlfn._xlws.FILTER(VALUE(PptoSty[Sign]&amp;1)*(1/PptoSty[Division]),(PptoSty[Division]&lt;&gt;0)*(PptoSty[Division]&lt;&gt;"")*(PptoSty[Division]&lt;&gt;"X")*(PptoSty[Project]=$B162)*(PptoSty[Vrs]=$D162)*(PptoSty[PiRow]=_xlfn.TEXTAFTER($H162,":"))*(PptoSty[PiColumn]=L$54),0)),SUM(IF((INDIRECT($B$3)=$B162)*(INDIRECT($C$3)=$D162)*((INDIRECT($E$3)="TOTS")+(INDIRECT($E$3)=$E162)),INDIRECT(L$3)))),_xlpm.y,SUM(_xlfn.CHOOSECOLS(_xlfn._xlws.FILTER(F_RT14[],(F_RT14[PrjId]=$B162)*(F_RT14[Vrs]=$D162)*(_xlfn.TEXTAFTER(F_RT14[ActGrp],":")=_xlfn.TEXTAFTER($H162,":")),"X"),MATCH("*"&amp;L$54,F_RT14[#Headers],0))),IF(AND(_xlpm.x=0,_xlpm.y&lt;&gt;0),-1,IF(AND(_xlpm.x&lt;&gt;0,_xlpm.y&lt;&gt;0),_xlpm.x,IF(AND(_xlpm.x-SUM(IF((INDIRECT($B$3)=$B162)*(INDIRECT($C$3)=$D162)*((INDIRECT($E$3)="TOTS")+(INDIRECT($E$3)=$E162)),INDIRECT(L$3)))&lt;&gt;0,_xlpm.y=0),-2,_xlpm.x)))),0))</f>
        <v>0</v>
      </c>
      <c r="M162" s="199" cm="1">
        <f t="array" aca="1" ref="M162" ca="1">IF(OR($B162="",$B162="X",$D162="",$D162="X",$E162="",$E162="X"),0,IFERROR(_xlfn.LET(_xlpm.x,SUM(SUM(_xlfn._xlws.FILTER(VALUE(PptoSty[Sign]&amp;1)*(1/PptoSty[Division]),(PptoSty[Division]&lt;&gt;0)*(PptoSty[Division]&lt;&gt;"")*(PptoSty[Division]&lt;&gt;"X")*(PptoSty[Project]=$B162)*(PptoSty[Vrs]=$D162)*(PptoSty[PiRow]=_xlfn.TEXTAFTER($H162,":"))*(PptoSty[PiColumn]=M$54),0)),SUM(IF((INDIRECT($B$3)=$B162)*(INDIRECT($C$3)=$D162)*((INDIRECT($E$3)="TOTS")+(INDIRECT($E$3)=$E162)),INDIRECT(M$3)))),_xlpm.y,SUM(_xlfn.CHOOSECOLS(_xlfn._xlws.FILTER(F_RT14[],(F_RT14[PrjId]=$B162)*(F_RT14[Vrs]=$D162)*(_xlfn.TEXTAFTER(F_RT14[ActGrp],":")=_xlfn.TEXTAFTER($H162,":")),"X"),MATCH("*"&amp;M$54,F_RT14[#Headers],0))),IF(AND(_xlpm.x=0,_xlpm.y&lt;&gt;0),-1,IF(AND(_xlpm.x&lt;&gt;0,_xlpm.y&lt;&gt;0),_xlpm.x,IF(AND(_xlpm.x-SUM(IF((INDIRECT($B$3)=$B162)*(INDIRECT($C$3)=$D162)*((INDIRECT($E$3)="TOTS")+(INDIRECT($E$3)=$E162)),INDIRECT(M$3)))&lt;&gt;0,_xlpm.y=0),-2,_xlpm.x)))),0))</f>
        <v>0</v>
      </c>
      <c r="N162" s="199" cm="1">
        <f t="array" aca="1" ref="N162" ca="1">IF(OR($B162="",$B162="X",$D162="",$D162="X",$E162="",$E162="X"),0,IFERROR(_xlfn.LET(_xlpm.x,SUM(SUM(_xlfn._xlws.FILTER(VALUE(PptoSty[Sign]&amp;1)*(1/PptoSty[Division]),(PptoSty[Division]&lt;&gt;0)*(PptoSty[Division]&lt;&gt;"")*(PptoSty[Division]&lt;&gt;"X")*(PptoSty[Project]=$B162)*(PptoSty[Vrs]=$D162)*(PptoSty[PiRow]=_xlfn.TEXTAFTER($H162,":"))*(PptoSty[PiColumn]=N$54),0)),SUM(IF((INDIRECT($B$3)=$B162)*(INDIRECT($C$3)=$D162)*((INDIRECT($E$3)="TOTS")+(INDIRECT($E$3)=$E162)),INDIRECT(N$3)))),_xlpm.y,SUM(_xlfn.CHOOSECOLS(_xlfn._xlws.FILTER(F_RT14[],(F_RT14[PrjId]=$B162)*(F_RT14[Vrs]=$D162)*(_xlfn.TEXTAFTER(F_RT14[ActGrp],":")=_xlfn.TEXTAFTER($H162,":")),"X"),MATCH("*"&amp;N$54,F_RT14[#Headers],0))),IF(AND(_xlpm.x=0,_xlpm.y&lt;&gt;0),-1,IF(AND(_xlpm.x&lt;&gt;0,_xlpm.y&lt;&gt;0),_xlpm.x,IF(AND(_xlpm.x-SUM(IF((INDIRECT($B$3)=$B162)*(INDIRECT($C$3)=$D162)*((INDIRECT($E$3)="TOTS")+(INDIRECT($E$3)=$E162)),INDIRECT(N$3)))&lt;&gt;0,_xlpm.y=0),-2,_xlpm.x)))),0))</f>
        <v>0</v>
      </c>
      <c r="O162" s="199" cm="1">
        <f t="array" aca="1" ref="O162" ca="1">IF(OR($B162="",$B162="X",$D162="",$D162="X",$E162="",$E162="X"),0,IFERROR(_xlfn.LET(_xlpm.x,SUM(SUM(_xlfn._xlws.FILTER(VALUE(PptoSty[Sign]&amp;1)*(1/PptoSty[Division]),(PptoSty[Division]&lt;&gt;0)*(PptoSty[Division]&lt;&gt;"")*(PptoSty[Division]&lt;&gt;"X")*(PptoSty[Project]=$B162)*(PptoSty[Vrs]=$D162)*(PptoSty[PiRow]=_xlfn.TEXTAFTER($H162,":"))*(PptoSty[PiColumn]=O$54),0)),SUM(IF((INDIRECT($B$3)=$B162)*(INDIRECT($C$3)=$D162)*((INDIRECT($E$3)="TOTS")+(INDIRECT($E$3)=$E162)),INDIRECT(O$3)))),_xlpm.y,SUM(_xlfn.CHOOSECOLS(_xlfn._xlws.FILTER(F_RT14[],(F_RT14[PrjId]=$B162)*(F_RT14[Vrs]=$D162)*(_xlfn.TEXTAFTER(F_RT14[ActGrp],":")=_xlfn.TEXTAFTER($H162,":")),"X"),MATCH("*"&amp;O$54,F_RT14[#Headers],0))),IF(AND(_xlpm.x=0,_xlpm.y&lt;&gt;0),-1,IF(AND(_xlpm.x&lt;&gt;0,_xlpm.y&lt;&gt;0),_xlpm.x,IF(AND(_xlpm.x-SUM(IF((INDIRECT($B$3)=$B162)*(INDIRECT($C$3)=$D162)*((INDIRECT($E$3)="TOTS")+(INDIRECT($E$3)=$E162)),INDIRECT(O$3)))&lt;&gt;0,_xlpm.y=0),-2,_xlpm.x)))),0))</f>
        <v>0</v>
      </c>
      <c r="P162" s="199" cm="1">
        <f t="array" aca="1" ref="P162" ca="1">IF(OR($B162="",$B162="X",$D162="",$D162="X",$E162="",$E162="X"),0,IFERROR(_xlfn.LET(_xlpm.x,SUM(SUM(_xlfn._xlws.FILTER(VALUE(PptoSty[Sign]&amp;1)*(1/PptoSty[Division]),(PptoSty[Division]&lt;&gt;0)*(PptoSty[Division]&lt;&gt;"")*(PptoSty[Division]&lt;&gt;"X")*(PptoSty[Project]=$B162)*(PptoSty[Vrs]=$D162)*(PptoSty[PiRow]=_xlfn.TEXTAFTER($H162,":"))*(PptoSty[PiColumn]=P$54),0)),SUM(IF((INDIRECT($B$3)=$B162)*(INDIRECT($C$3)=$D162)*((INDIRECT($E$3)="TOTS")+(INDIRECT($E$3)=$E162)),INDIRECT(P$3)))),_xlpm.y,SUM(_xlfn.CHOOSECOLS(_xlfn._xlws.FILTER(F_RT14[],(F_RT14[PrjId]=$B162)*(F_RT14[Vrs]=$D162)*(_xlfn.TEXTAFTER(F_RT14[ActGrp],":")=_xlfn.TEXTAFTER($H162,":")),"X"),MATCH("*"&amp;P$54,F_RT14[#Headers],0))),IF(AND(_xlpm.x=0,_xlpm.y&lt;&gt;0),-1,IF(AND(_xlpm.x&lt;&gt;0,_xlpm.y&lt;&gt;0),_xlpm.x,IF(AND(_xlpm.x-SUM(IF((INDIRECT($B$3)=$B162)*(INDIRECT($C$3)=$D162)*((INDIRECT($E$3)="TOTS")+(INDIRECT($E$3)=$E162)),INDIRECT(P$3)))&lt;&gt;0,_xlpm.y=0),-2,_xlpm.x)))),0))</f>
        <v>0</v>
      </c>
      <c r="Q162" s="199" cm="1">
        <f t="array" aca="1" ref="Q162" ca="1">IF(OR($B162="",$B162="X",$D162="",$D162="X",$E162="",$E162="X"),0,IFERROR(_xlfn.LET(_xlpm.x,SUM(SUM(_xlfn._xlws.FILTER(VALUE(PptoSty[Sign]&amp;1)*(1/PptoSty[Division]),(PptoSty[Division]&lt;&gt;0)*(PptoSty[Division]&lt;&gt;"")*(PptoSty[Division]&lt;&gt;"X")*(PptoSty[Project]=$B162)*(PptoSty[Vrs]=$D162)*(PptoSty[PiRow]=_xlfn.TEXTAFTER($H162,":"))*(PptoSty[PiColumn]=Q$54),0)),SUM(IF((INDIRECT($B$3)=$B162)*(INDIRECT($C$3)=$D162)*((INDIRECT($E$3)="TOTS")+(INDIRECT($E$3)=$E162)),INDIRECT(Q$3)))),_xlpm.y,SUM(_xlfn.CHOOSECOLS(_xlfn._xlws.FILTER(F_RT14[],(F_RT14[PrjId]=$B162)*(F_RT14[Vrs]=$D162)*(_xlfn.TEXTAFTER(F_RT14[ActGrp],":")=_xlfn.TEXTAFTER($H162,":")),"X"),MATCH("*"&amp;Q$54,F_RT14[#Headers],0))),IF(AND(_xlpm.x=0,_xlpm.y&lt;&gt;0),-1,IF(AND(_xlpm.x&lt;&gt;0,_xlpm.y&lt;&gt;0),_xlpm.x,IF(AND(_xlpm.x-SUM(IF((INDIRECT($B$3)=$B162)*(INDIRECT($C$3)=$D162)*((INDIRECT($E$3)="TOTS")+(INDIRECT($E$3)=$E162)),INDIRECT(Q$3)))&lt;&gt;0,_xlpm.y=0),-2,_xlpm.x)))),0))</f>
        <v>-1</v>
      </c>
      <c r="R162" s="199" cm="1">
        <f t="array" aca="1" ref="R162" ca="1">IF(OR($B162="",$B162="X",$D162="",$D162="X",$E162="",$E162="X"),0,IFERROR(_xlfn.LET(_xlpm.x,SUM(SUM(_xlfn._xlws.FILTER(VALUE(PptoSty[Sign]&amp;1)*(1/PptoSty[Division]),(PptoSty[Division]&lt;&gt;0)*(PptoSty[Division]&lt;&gt;"")*(PptoSty[Division]&lt;&gt;"X")*(PptoSty[Project]=$B162)*(PptoSty[Vrs]=$D162)*(PptoSty[PiRow]=_xlfn.TEXTAFTER($H162,":"))*(PptoSty[PiColumn]=R$54),0)),SUM(IF((INDIRECT($B$3)=$B162)*(INDIRECT($C$3)=$D162)*((INDIRECT($E$3)="TOTS")+(INDIRECT($E$3)=$E162)),INDIRECT(R$3)))),_xlpm.y,SUM(_xlfn.CHOOSECOLS(_xlfn._xlws.FILTER(F_RT14[],(F_RT14[PrjId]=$B162)*(F_RT14[Vrs]=$D162)*(_xlfn.TEXTAFTER(F_RT14[ActGrp],":")=_xlfn.TEXTAFTER($H162,":")),"X"),MATCH("*"&amp;R$54,F_RT14[#Headers],0))),IF(AND(_xlpm.x=0,_xlpm.y&lt;&gt;0),-1,IF(AND(_xlpm.x&lt;&gt;0,_xlpm.y&lt;&gt;0),_xlpm.x,IF(AND(_xlpm.x-SUM(IF((INDIRECT($B$3)=$B162)*(INDIRECT($C$3)=$D162)*((INDIRECT($E$3)="TOTS")+(INDIRECT($E$3)=$E162)),INDIRECT(R$3)))&lt;&gt;0,_xlpm.y=0),-2,_xlpm.x)))),0))</f>
        <v>0</v>
      </c>
      <c r="S162" s="199" cm="1">
        <f t="array" aca="1" ref="S162" ca="1">IF(OR($B162="",$B162="X",$D162="",$D162="X",$E162="",$E162="X"),0,IFERROR(_xlfn.LET(_xlpm.x,SUM(SUM(_xlfn._xlws.FILTER(VALUE(PptoSty[Sign]&amp;1)*(1/PptoSty[Division]),(PptoSty[Division]&lt;&gt;0)*(PptoSty[Division]&lt;&gt;"")*(PptoSty[Division]&lt;&gt;"X")*(PptoSty[Project]=$B162)*(PptoSty[Vrs]=$D162)*(PptoSty[PiRow]=_xlfn.TEXTAFTER($H162,":"))*(PptoSty[PiColumn]=S$54),0)),SUM(IF((INDIRECT($B$3)=$B162)*(INDIRECT($C$3)=$D162)*((INDIRECT($E$3)="TOTS")+(INDIRECT($E$3)=$E162)),INDIRECT(S$3)))),_xlpm.y,SUM(_xlfn.CHOOSECOLS(_xlfn._xlws.FILTER(F_RT14[],(F_RT14[PrjId]=$B162)*(F_RT14[Vrs]=$D162)*(_xlfn.TEXTAFTER(F_RT14[ActGrp],":")=_xlfn.TEXTAFTER($H162,":")),"X"),MATCH("*"&amp;S$54,F_RT14[#Headers],0))),IF(AND(_xlpm.x=0,_xlpm.y&lt;&gt;0),-1,IF(AND(_xlpm.x&lt;&gt;0,_xlpm.y&lt;&gt;0),_xlpm.x,IF(AND(_xlpm.x-SUM(IF((INDIRECT($B$3)=$B162)*(INDIRECT($C$3)=$D162)*((INDIRECT($E$3)="TOTS")+(INDIRECT($E$3)=$E162)),INDIRECT(S$3)))&lt;&gt;0,_xlpm.y=0),-2,_xlpm.x)))),0))</f>
        <v>0</v>
      </c>
      <c r="T162" s="199" cm="1">
        <f t="array" aca="1" ref="T162" ca="1">IF(OR($B162="",$B162="X",$D162="",$D162="X",$E162="",$E162="X"),0,IFERROR(_xlfn.LET(_xlpm.x,SUM(SUM(_xlfn._xlws.FILTER(VALUE(PptoSty[Sign]&amp;1)*(1/PptoSty[Division]),(PptoSty[Division]&lt;&gt;0)*(PptoSty[Division]&lt;&gt;"")*(PptoSty[Division]&lt;&gt;"X")*(PptoSty[Project]=$B162)*(PptoSty[Vrs]=$D162)*(PptoSty[PiRow]=_xlfn.TEXTAFTER($H162,":"))*(PptoSty[PiColumn]=T$54),0)),SUM(IF((INDIRECT($B$3)=$B162)*(INDIRECT($C$3)=$D162)*((INDIRECT($E$3)="TOTS")+(INDIRECT($E$3)=$E162)),INDIRECT(T$3)))),_xlpm.y,SUM(_xlfn.CHOOSECOLS(_xlfn._xlws.FILTER(F_RT14[],(F_RT14[PrjId]=$B162)*(F_RT14[Vrs]=$D162)*(_xlfn.TEXTAFTER(F_RT14[ActGrp],":")=_xlfn.TEXTAFTER($H162,":")),"X"),MATCH("*"&amp;T$54,F_RT14[#Headers],0))),IF(AND(_xlpm.x=0,_xlpm.y&lt;&gt;0),-1,IF(AND(_xlpm.x&lt;&gt;0,_xlpm.y&lt;&gt;0),_xlpm.x,IF(AND(_xlpm.x-SUM(IF((INDIRECT($B$3)=$B162)*(INDIRECT($C$3)=$D162)*((INDIRECT($E$3)="TOTS")+(INDIRECT($E$3)=$E162)),INDIRECT(T$3)))&lt;&gt;0,_xlpm.y=0),-2,_xlpm.x)))),0))</f>
        <v>-1</v>
      </c>
      <c r="U162" s="199" cm="1">
        <f t="array" aca="1" ref="U162" ca="1">IF(OR($B162="",$B162="X",$D162="",$D162="X",$E162="",$E162="X"),0,IFERROR(_xlfn.LET(_xlpm.x,SUM(SUM(_xlfn._xlws.FILTER(VALUE(PptoSty[Sign]&amp;1)*(1/PptoSty[Division]),(PptoSty[Division]&lt;&gt;0)*(PptoSty[Division]&lt;&gt;"")*(PptoSty[Division]&lt;&gt;"X")*(PptoSty[Project]=$B162)*(PptoSty[Vrs]=$D162)*(PptoSty[PiRow]=_xlfn.TEXTAFTER($H162,":"))*(PptoSty[PiColumn]=U$54),0)),SUM(IF((INDIRECT($B$3)=$B162)*(INDIRECT($C$3)=$D162)*((INDIRECT($E$3)="TOTS")+(INDIRECT($E$3)=$E162)),INDIRECT(U$3)))),_xlpm.y,SUM(_xlfn.CHOOSECOLS(_xlfn._xlws.FILTER(F_RT14[],(F_RT14[PrjId]=$B162)*(F_RT14[Vrs]=$D162)*(_xlfn.TEXTAFTER(F_RT14[ActGrp],":")=_xlfn.TEXTAFTER($H162,":")),"X"),MATCH("*"&amp;U$54,F_RT14[#Headers],0))),IF(AND(_xlpm.x=0,_xlpm.y&lt;&gt;0),-1,IF(AND(_xlpm.x&lt;&gt;0,_xlpm.y&lt;&gt;0),_xlpm.x,IF(AND(_xlpm.x-SUM(IF((INDIRECT($B$3)=$B162)*(INDIRECT($C$3)=$D162)*((INDIRECT($E$3)="TOTS")+(INDIRECT($E$3)=$E162)),INDIRECT(U$3)))&lt;&gt;0,_xlpm.y=0),-2,_xlpm.x)))),0))</f>
        <v>0</v>
      </c>
      <c r="V162" s="199" cm="1">
        <f t="array" aca="1" ref="V162" ca="1">IF(OR($B162="",$B162="X",$D162="",$D162="X",$E162="",$E162="X"),0,IFERROR(_xlfn.LET(_xlpm.x,SUM(SUM(_xlfn._xlws.FILTER(VALUE(PptoSty[Sign]&amp;1)*(1/PptoSty[Division]),(PptoSty[Division]&lt;&gt;0)*(PptoSty[Division]&lt;&gt;"")*(PptoSty[Division]&lt;&gt;"X")*(PptoSty[Project]=$B162)*(PptoSty[Vrs]=$D162)*(PptoSty[PiRow]=_xlfn.TEXTAFTER($H162,":"))*(PptoSty[PiColumn]=V$54),0)),SUM(IF((INDIRECT($B$3)=$B162)*(INDIRECT($C$3)=$D162)*((INDIRECT($E$3)="TOTS")+(INDIRECT($E$3)=$E162)),INDIRECT(V$3)))),_xlpm.y,SUM(_xlfn.CHOOSECOLS(_xlfn._xlws.FILTER(F_RT14[],(F_RT14[PrjId]=$B162)*(F_RT14[Vrs]=$D162)*(_xlfn.TEXTAFTER(F_RT14[ActGrp],":")=_xlfn.TEXTAFTER($H162,":")),"X"),MATCH("*"&amp;V$54,F_RT14[#Headers],0))),IF(AND(_xlpm.x=0,_xlpm.y&lt;&gt;0),-1,IF(AND(_xlpm.x&lt;&gt;0,_xlpm.y&lt;&gt;0),_xlpm.x,IF(AND(_xlpm.x-SUM(IF((INDIRECT($B$3)=$B162)*(INDIRECT($C$3)=$D162)*((INDIRECT($E$3)="TOTS")+(INDIRECT($E$3)=$E162)),INDIRECT(V$3)))&lt;&gt;0,_xlpm.y=0),-2,_xlpm.x)))),0))</f>
        <v>0</v>
      </c>
      <c r="W162" s="199" cm="1">
        <f t="array" aca="1" ref="W162" ca="1">IF(OR($B162="",$B162="X",$D162="",$D162="X",$E162="",$E162="X"),0,IFERROR(_xlfn.LET(_xlpm.x,SUM(SUM(_xlfn._xlws.FILTER(VALUE(PptoSty[Sign]&amp;1)*(1/PptoSty[Division]),(PptoSty[Division]&lt;&gt;0)*(PptoSty[Division]&lt;&gt;"")*(PptoSty[Division]&lt;&gt;"X")*(PptoSty[Project]=$B162)*(PptoSty[Vrs]=$D162)*(PptoSty[PiRow]=_xlfn.TEXTAFTER($H162,":"))*(PptoSty[PiColumn]=W$54),0)),SUM(IF((INDIRECT($B$3)=$B162)*(INDIRECT($C$3)=$D162)*((INDIRECT($E$3)="TOTS")+(INDIRECT($E$3)=$E162)),INDIRECT(W$3)))),_xlpm.y,SUM(_xlfn.CHOOSECOLS(_xlfn._xlws.FILTER(F_RT14[],(F_RT14[PrjId]=$B162)*(F_RT14[Vrs]=$D162)*(_xlfn.TEXTAFTER(F_RT14[ActGrp],":")=_xlfn.TEXTAFTER($H162,":")),"X"),MATCH("*"&amp;W$54,F_RT14[#Headers],0))),IF(AND(_xlpm.x=0,_xlpm.y&lt;&gt;0),-1,IF(AND(_xlpm.x&lt;&gt;0,_xlpm.y&lt;&gt;0),_xlpm.x,IF(AND(_xlpm.x-SUM(IF((INDIRECT($B$3)=$B162)*(INDIRECT($C$3)=$D162)*((INDIRECT($E$3)="TOTS")+(INDIRECT($E$3)=$E162)),INDIRECT(W$3)))&lt;&gt;0,_xlpm.y=0),-2,_xlpm.x)))),0))</f>
        <v>0</v>
      </c>
      <c r="X162" s="199" cm="1">
        <f t="array" aca="1" ref="X162" ca="1">IF(OR($B162="",$B162="X",$D162="",$D162="X",$E162="",$E162="X"),0,IFERROR(_xlfn.LET(_xlpm.x,SUM(SUM(_xlfn._xlws.FILTER(VALUE(PptoSty[Sign]&amp;1)*(1/PptoSty[Division]),(PptoSty[Division]&lt;&gt;0)*(PptoSty[Division]&lt;&gt;"")*(PptoSty[Division]&lt;&gt;"X")*(PptoSty[Project]=$B162)*(PptoSty[Vrs]=$D162)*(PptoSty[PiRow]=_xlfn.TEXTAFTER($H162,":"))*(PptoSty[PiColumn]=X$54),0)),SUM(IF((INDIRECT($B$3)=$B162)*(INDIRECT($C$3)=$D162)*((INDIRECT($E$3)="TOTS")+(INDIRECT($E$3)=$E162)),INDIRECT(X$3)))),_xlpm.y,SUM(_xlfn.CHOOSECOLS(_xlfn._xlws.FILTER(F_RT14[],(F_RT14[PrjId]=$B162)*(F_RT14[Vrs]=$D162)*(_xlfn.TEXTAFTER(F_RT14[ActGrp],":")=_xlfn.TEXTAFTER($H162,":")),"X"),MATCH("*"&amp;X$54,F_RT14[#Headers],0))),IF(AND(_xlpm.x=0,_xlpm.y&lt;&gt;0),-1,IF(AND(_xlpm.x&lt;&gt;0,_xlpm.y&lt;&gt;0),_xlpm.x,IF(AND(_xlpm.x-SUM(IF((INDIRECT($B$3)=$B162)*(INDIRECT($C$3)=$D162)*((INDIRECT($E$3)="TOTS")+(INDIRECT($E$3)=$E162)),INDIRECT(X$3)))&lt;&gt;0,_xlpm.y=0),-2,_xlpm.x)))),0))</f>
        <v>0</v>
      </c>
      <c r="Y162" s="199" cm="1">
        <f t="array" aca="1" ref="Y162" ca="1">IF(OR($B162="",$B162="X",$D162="",$D162="X",$E162="",$E162="X"),0,IFERROR(_xlfn.LET(_xlpm.x,SUM(SUM(_xlfn._xlws.FILTER(VALUE(PptoSty[Sign]&amp;1)*(1/PptoSty[Division]),(PptoSty[Division]&lt;&gt;0)*(PptoSty[Division]&lt;&gt;"")*(PptoSty[Division]&lt;&gt;"X")*(PptoSty[Project]=$B162)*(PptoSty[Vrs]=$D162)*(PptoSty[PiRow]=_xlfn.TEXTAFTER($H162,":"))*(PptoSty[PiColumn]=Y$54),0)),SUM(IF((INDIRECT($B$3)=$B162)*(INDIRECT($C$3)=$D162)*((INDIRECT($E$3)="TOTS")+(INDIRECT($E$3)=$E162)),INDIRECT(Y$3)))),_xlpm.y,SUM(_xlfn.CHOOSECOLS(_xlfn._xlws.FILTER(F_RT14[],(F_RT14[PrjId]=$B162)*(F_RT14[Vrs]=$D162)*(_xlfn.TEXTAFTER(F_RT14[ActGrp],":")=_xlfn.TEXTAFTER($H162,":")),"X"),MATCH("*"&amp;Y$54,F_RT14[#Headers],0))),IF(AND(_xlpm.x=0,_xlpm.y&lt;&gt;0),-1,IF(AND(_xlpm.x&lt;&gt;0,_xlpm.y&lt;&gt;0),_xlpm.x,IF(AND(_xlpm.x-SUM(IF((INDIRECT($B$3)=$B162)*(INDIRECT($C$3)=$D162)*((INDIRECT($E$3)="TOTS")+(INDIRECT($E$3)=$E162)),INDIRECT(Y$3)))&lt;&gt;0,_xlpm.y=0),-2,_xlpm.x)))),0))</f>
        <v>0</v>
      </c>
      <c r="Z162" s="198" t="str">
        <f t="shared" ca="1" si="3"/>
        <v>Fback!B162:Y162</v>
      </c>
    </row>
    <row r="163" spans="2:26" ht="21" customHeight="1" outlineLevel="1">
      <c r="B163" s="128" t="str">
        <v>31200</v>
      </c>
      <c r="C163" s="128" t="str">
        <v>Sp</v>
      </c>
      <c r="D163" s="128">
        <v>0</v>
      </c>
      <c r="E163" s="128" t="str">
        <v>TRSL</v>
      </c>
      <c r="F163" s="139" t="str">
        <v>PLANT</v>
      </c>
      <c r="G163" s="139" t="str">
        <v>CurPpto</v>
      </c>
      <c r="H163" s="139" t="str">
        <v>G007:REMONTAJE</v>
      </c>
      <c r="I163" s="199" cm="1">
        <f t="array" aca="1" ref="I163" ca="1">IF(OR($B163="",$B163="X",$D163="",$D163="X",$E163="",$E163="X"),0,IFERROR(_xlfn.LET(_xlpm.x,SUM(SUM(_xlfn._xlws.FILTER(VALUE(PptoSty[Sign]&amp;1)*(1/PptoSty[Division]),(PptoSty[Division]&lt;&gt;0)*(PptoSty[Division]&lt;&gt;"")*(PptoSty[Division]&lt;&gt;"X")*(PptoSty[Project]=$B163)*(PptoSty[Vrs]=$D163)*(PptoSty[PiRow]=_xlfn.TEXTAFTER($H163,":"))*(PptoSty[PiColumn]=I$54),0)),SUM(IF((INDIRECT($B$3)=$B163)*(INDIRECT($C$3)=$D163)*((INDIRECT($E$3)="TOTS")+(INDIRECT($E$3)=$E163)),INDIRECT(I$3)))),_xlpm.y,SUM(_xlfn.CHOOSECOLS(_xlfn._xlws.FILTER(F_RT14[],(F_RT14[PrjId]=$B163)*(F_RT14[Vrs]=$D163)*(_xlfn.TEXTAFTER(F_RT14[ActGrp],":")=_xlfn.TEXTAFTER($H163,":")),"X"),MATCH("*"&amp;I$54,F_RT14[#Headers],0))),IF(AND(_xlpm.x=0,_xlpm.y&lt;&gt;0),-1,IF(AND(_xlpm.x&lt;&gt;0,_xlpm.y&lt;&gt;0),_xlpm.x,IF(AND(_xlpm.x-SUM(IF((INDIRECT($B$3)=$B163)*(INDIRECT($C$3)=$D163)*((INDIRECT($E$3)="TOTS")+(INDIRECT($E$3)=$E163)),INDIRECT(I$3)))&lt;&gt;0,_xlpm.y=0),-2,_xlpm.x)))),0))</f>
        <v>0</v>
      </c>
      <c r="J163" s="199" cm="1">
        <f t="array" aca="1" ref="J163" ca="1">IF(OR($B163="",$B163="X",$D163="",$D163="X",$E163="",$E163="X"),0,IFERROR(_xlfn.LET(_xlpm.x,SUM(SUM(_xlfn._xlws.FILTER(VALUE(PptoSty[Sign]&amp;1)*(1/PptoSty[Division]),(PptoSty[Division]&lt;&gt;0)*(PptoSty[Division]&lt;&gt;"")*(PptoSty[Division]&lt;&gt;"X")*(PptoSty[Project]=$B163)*(PptoSty[Vrs]=$D163)*(PptoSty[PiRow]=_xlfn.TEXTAFTER($H163,":"))*(PptoSty[PiColumn]=J$54),0)),SUM(IF((INDIRECT($B$3)=$B163)*(INDIRECT($C$3)=$D163)*((INDIRECT($E$3)="TOTS")+(INDIRECT($E$3)=$E163)),INDIRECT(J$3)))),_xlpm.y,SUM(_xlfn.CHOOSECOLS(_xlfn._xlws.FILTER(F_RT14[],(F_RT14[PrjId]=$B163)*(F_RT14[Vrs]=$D163)*(_xlfn.TEXTAFTER(F_RT14[ActGrp],":")=_xlfn.TEXTAFTER($H163,":")),"X"),MATCH("*"&amp;J$54,F_RT14[#Headers],0))),IF(AND(_xlpm.x=0,_xlpm.y&lt;&gt;0),-1,IF(AND(_xlpm.x&lt;&gt;0,_xlpm.y&lt;&gt;0),_xlpm.x,IF(AND(_xlpm.x-SUM(IF((INDIRECT($B$3)=$B163)*(INDIRECT($C$3)=$D163)*((INDIRECT($E$3)="TOTS")+(INDIRECT($E$3)=$E163)),INDIRECT(J$3)))&lt;&gt;0,_xlpm.y=0),-2,_xlpm.x)))),0))</f>
        <v>0</v>
      </c>
      <c r="K163" s="199" cm="1">
        <f t="array" aca="1" ref="K163" ca="1">IF(OR($B163="",$B163="X",$D163="",$D163="X",$E163="",$E163="X"),0,IFERROR(_xlfn.LET(_xlpm.x,SUM(SUM(_xlfn._xlws.FILTER(VALUE(PptoSty[Sign]&amp;1)*(1/PptoSty[Division]),(PptoSty[Division]&lt;&gt;0)*(PptoSty[Division]&lt;&gt;"")*(PptoSty[Division]&lt;&gt;"X")*(PptoSty[Project]=$B163)*(PptoSty[Vrs]=$D163)*(PptoSty[PiRow]=_xlfn.TEXTAFTER($H163,":"))*(PptoSty[PiColumn]=K$54),0)),SUM(IF((INDIRECT($B$3)=$B163)*(INDIRECT($C$3)=$D163)*((INDIRECT($E$3)="TOTS")+(INDIRECT($E$3)=$E163)),INDIRECT(K$3)))),_xlpm.y,SUM(_xlfn.CHOOSECOLS(_xlfn._xlws.FILTER(F_RT14[],(F_RT14[PrjId]=$B163)*(F_RT14[Vrs]=$D163)*(_xlfn.TEXTAFTER(F_RT14[ActGrp],":")=_xlfn.TEXTAFTER($H163,":")),"X"),MATCH("*"&amp;K$54,F_RT14[#Headers],0))),IF(AND(_xlpm.x=0,_xlpm.y&lt;&gt;0),-1,IF(AND(_xlpm.x&lt;&gt;0,_xlpm.y&lt;&gt;0),_xlpm.x,IF(AND(_xlpm.x-SUM(IF((INDIRECT($B$3)=$B163)*(INDIRECT($C$3)=$D163)*((INDIRECT($E$3)="TOTS")+(INDIRECT($E$3)=$E163)),INDIRECT(K$3)))&lt;&gt;0,_xlpm.y=0),-2,_xlpm.x)))),0))</f>
        <v>0</v>
      </c>
      <c r="L163" s="199" cm="1">
        <f t="array" aca="1" ref="L163" ca="1">IF(OR($B163="",$B163="X",$D163="",$D163="X",$E163="",$E163="X"),0,IFERROR(_xlfn.LET(_xlpm.x,SUM(SUM(_xlfn._xlws.FILTER(VALUE(PptoSty[Sign]&amp;1)*(1/PptoSty[Division]),(PptoSty[Division]&lt;&gt;0)*(PptoSty[Division]&lt;&gt;"")*(PptoSty[Division]&lt;&gt;"X")*(PptoSty[Project]=$B163)*(PptoSty[Vrs]=$D163)*(PptoSty[PiRow]=_xlfn.TEXTAFTER($H163,":"))*(PptoSty[PiColumn]=L$54),0)),SUM(IF((INDIRECT($B$3)=$B163)*(INDIRECT($C$3)=$D163)*((INDIRECT($E$3)="TOTS")+(INDIRECT($E$3)=$E163)),INDIRECT(L$3)))),_xlpm.y,SUM(_xlfn.CHOOSECOLS(_xlfn._xlws.FILTER(F_RT14[],(F_RT14[PrjId]=$B163)*(F_RT14[Vrs]=$D163)*(_xlfn.TEXTAFTER(F_RT14[ActGrp],":")=_xlfn.TEXTAFTER($H163,":")),"X"),MATCH("*"&amp;L$54,F_RT14[#Headers],0))),IF(AND(_xlpm.x=0,_xlpm.y&lt;&gt;0),-1,IF(AND(_xlpm.x&lt;&gt;0,_xlpm.y&lt;&gt;0),_xlpm.x,IF(AND(_xlpm.x-SUM(IF((INDIRECT($B$3)=$B163)*(INDIRECT($C$3)=$D163)*((INDIRECT($E$3)="TOTS")+(INDIRECT($E$3)=$E163)),INDIRECT(L$3)))&lt;&gt;0,_xlpm.y=0),-2,_xlpm.x)))),0))</f>
        <v>0</v>
      </c>
      <c r="M163" s="199" cm="1">
        <f t="array" aca="1" ref="M163" ca="1">IF(OR($B163="",$B163="X",$D163="",$D163="X",$E163="",$E163="X"),0,IFERROR(_xlfn.LET(_xlpm.x,SUM(SUM(_xlfn._xlws.FILTER(VALUE(PptoSty[Sign]&amp;1)*(1/PptoSty[Division]),(PptoSty[Division]&lt;&gt;0)*(PptoSty[Division]&lt;&gt;"")*(PptoSty[Division]&lt;&gt;"X")*(PptoSty[Project]=$B163)*(PptoSty[Vrs]=$D163)*(PptoSty[PiRow]=_xlfn.TEXTAFTER($H163,":"))*(PptoSty[PiColumn]=M$54),0)),SUM(IF((INDIRECT($B$3)=$B163)*(INDIRECT($C$3)=$D163)*((INDIRECT($E$3)="TOTS")+(INDIRECT($E$3)=$E163)),INDIRECT(M$3)))),_xlpm.y,SUM(_xlfn.CHOOSECOLS(_xlfn._xlws.FILTER(F_RT14[],(F_RT14[PrjId]=$B163)*(F_RT14[Vrs]=$D163)*(_xlfn.TEXTAFTER(F_RT14[ActGrp],":")=_xlfn.TEXTAFTER($H163,":")),"X"),MATCH("*"&amp;M$54,F_RT14[#Headers],0))),IF(AND(_xlpm.x=0,_xlpm.y&lt;&gt;0),-1,IF(AND(_xlpm.x&lt;&gt;0,_xlpm.y&lt;&gt;0),_xlpm.x,IF(AND(_xlpm.x-SUM(IF((INDIRECT($B$3)=$B163)*(INDIRECT($C$3)=$D163)*((INDIRECT($E$3)="TOTS")+(INDIRECT($E$3)=$E163)),INDIRECT(M$3)))&lt;&gt;0,_xlpm.y=0),-2,_xlpm.x)))),0))</f>
        <v>0</v>
      </c>
      <c r="N163" s="199" cm="1">
        <f t="array" aca="1" ref="N163" ca="1">IF(OR($B163="",$B163="X",$D163="",$D163="X",$E163="",$E163="X"),0,IFERROR(_xlfn.LET(_xlpm.x,SUM(SUM(_xlfn._xlws.FILTER(VALUE(PptoSty[Sign]&amp;1)*(1/PptoSty[Division]),(PptoSty[Division]&lt;&gt;0)*(PptoSty[Division]&lt;&gt;"")*(PptoSty[Division]&lt;&gt;"X")*(PptoSty[Project]=$B163)*(PptoSty[Vrs]=$D163)*(PptoSty[PiRow]=_xlfn.TEXTAFTER($H163,":"))*(PptoSty[PiColumn]=N$54),0)),SUM(IF((INDIRECT($B$3)=$B163)*(INDIRECT($C$3)=$D163)*((INDIRECT($E$3)="TOTS")+(INDIRECT($E$3)=$E163)),INDIRECT(N$3)))),_xlpm.y,SUM(_xlfn.CHOOSECOLS(_xlfn._xlws.FILTER(F_RT14[],(F_RT14[PrjId]=$B163)*(F_RT14[Vrs]=$D163)*(_xlfn.TEXTAFTER(F_RT14[ActGrp],":")=_xlfn.TEXTAFTER($H163,":")),"X"),MATCH("*"&amp;N$54,F_RT14[#Headers],0))),IF(AND(_xlpm.x=0,_xlpm.y&lt;&gt;0),-1,IF(AND(_xlpm.x&lt;&gt;0,_xlpm.y&lt;&gt;0),_xlpm.x,IF(AND(_xlpm.x-SUM(IF((INDIRECT($B$3)=$B163)*(INDIRECT($C$3)=$D163)*((INDIRECT($E$3)="TOTS")+(INDIRECT($E$3)=$E163)),INDIRECT(N$3)))&lt;&gt;0,_xlpm.y=0),-2,_xlpm.x)))),0))</f>
        <v>0</v>
      </c>
      <c r="O163" s="199" cm="1">
        <f t="array" aca="1" ref="O163" ca="1">IF(OR($B163="",$B163="X",$D163="",$D163="X",$E163="",$E163="X"),0,IFERROR(_xlfn.LET(_xlpm.x,SUM(SUM(_xlfn._xlws.FILTER(VALUE(PptoSty[Sign]&amp;1)*(1/PptoSty[Division]),(PptoSty[Division]&lt;&gt;0)*(PptoSty[Division]&lt;&gt;"")*(PptoSty[Division]&lt;&gt;"X")*(PptoSty[Project]=$B163)*(PptoSty[Vrs]=$D163)*(PptoSty[PiRow]=_xlfn.TEXTAFTER($H163,":"))*(PptoSty[PiColumn]=O$54),0)),SUM(IF((INDIRECT($B$3)=$B163)*(INDIRECT($C$3)=$D163)*((INDIRECT($E$3)="TOTS")+(INDIRECT($E$3)=$E163)),INDIRECT(O$3)))),_xlpm.y,SUM(_xlfn.CHOOSECOLS(_xlfn._xlws.FILTER(F_RT14[],(F_RT14[PrjId]=$B163)*(F_RT14[Vrs]=$D163)*(_xlfn.TEXTAFTER(F_RT14[ActGrp],":")=_xlfn.TEXTAFTER($H163,":")),"X"),MATCH("*"&amp;O$54,F_RT14[#Headers],0))),IF(AND(_xlpm.x=0,_xlpm.y&lt;&gt;0),-1,IF(AND(_xlpm.x&lt;&gt;0,_xlpm.y&lt;&gt;0),_xlpm.x,IF(AND(_xlpm.x-SUM(IF((INDIRECT($B$3)=$B163)*(INDIRECT($C$3)=$D163)*((INDIRECT($E$3)="TOTS")+(INDIRECT($E$3)=$E163)),INDIRECT(O$3)))&lt;&gt;0,_xlpm.y=0),-2,_xlpm.x)))),0))</f>
        <v>0</v>
      </c>
      <c r="P163" s="199" cm="1">
        <f t="array" aca="1" ref="P163" ca="1">IF(OR($B163="",$B163="X",$D163="",$D163="X",$E163="",$E163="X"),0,IFERROR(_xlfn.LET(_xlpm.x,SUM(SUM(_xlfn._xlws.FILTER(VALUE(PptoSty[Sign]&amp;1)*(1/PptoSty[Division]),(PptoSty[Division]&lt;&gt;0)*(PptoSty[Division]&lt;&gt;"")*(PptoSty[Division]&lt;&gt;"X")*(PptoSty[Project]=$B163)*(PptoSty[Vrs]=$D163)*(PptoSty[PiRow]=_xlfn.TEXTAFTER($H163,":"))*(PptoSty[PiColumn]=P$54),0)),SUM(IF((INDIRECT($B$3)=$B163)*(INDIRECT($C$3)=$D163)*((INDIRECT($E$3)="TOTS")+(INDIRECT($E$3)=$E163)),INDIRECT(P$3)))),_xlpm.y,SUM(_xlfn.CHOOSECOLS(_xlfn._xlws.FILTER(F_RT14[],(F_RT14[PrjId]=$B163)*(F_RT14[Vrs]=$D163)*(_xlfn.TEXTAFTER(F_RT14[ActGrp],":")=_xlfn.TEXTAFTER($H163,":")),"X"),MATCH("*"&amp;P$54,F_RT14[#Headers],0))),IF(AND(_xlpm.x=0,_xlpm.y&lt;&gt;0),-1,IF(AND(_xlpm.x&lt;&gt;0,_xlpm.y&lt;&gt;0),_xlpm.x,IF(AND(_xlpm.x-SUM(IF((INDIRECT($B$3)=$B163)*(INDIRECT($C$3)=$D163)*((INDIRECT($E$3)="TOTS")+(INDIRECT($E$3)=$E163)),INDIRECT(P$3)))&lt;&gt;0,_xlpm.y=0),-2,_xlpm.x)))),0))</f>
        <v>0</v>
      </c>
      <c r="Q163" s="199" cm="1">
        <f t="array" aca="1" ref="Q163" ca="1">IF(OR($B163="",$B163="X",$D163="",$D163="X",$E163="",$E163="X"),0,IFERROR(_xlfn.LET(_xlpm.x,SUM(SUM(_xlfn._xlws.FILTER(VALUE(PptoSty[Sign]&amp;1)*(1/PptoSty[Division]),(PptoSty[Division]&lt;&gt;0)*(PptoSty[Division]&lt;&gt;"")*(PptoSty[Division]&lt;&gt;"X")*(PptoSty[Project]=$B163)*(PptoSty[Vrs]=$D163)*(PptoSty[PiRow]=_xlfn.TEXTAFTER($H163,":"))*(PptoSty[PiColumn]=Q$54),0)),SUM(IF((INDIRECT($B$3)=$B163)*(INDIRECT($C$3)=$D163)*((INDIRECT($E$3)="TOTS")+(INDIRECT($E$3)=$E163)),INDIRECT(Q$3)))),_xlpm.y,SUM(_xlfn.CHOOSECOLS(_xlfn._xlws.FILTER(F_RT14[],(F_RT14[PrjId]=$B163)*(F_RT14[Vrs]=$D163)*(_xlfn.TEXTAFTER(F_RT14[ActGrp],":")=_xlfn.TEXTAFTER($H163,":")),"X"),MATCH("*"&amp;Q$54,F_RT14[#Headers],0))),IF(AND(_xlpm.x=0,_xlpm.y&lt;&gt;0),-1,IF(AND(_xlpm.x&lt;&gt;0,_xlpm.y&lt;&gt;0),_xlpm.x,IF(AND(_xlpm.x-SUM(IF((INDIRECT($B$3)=$B163)*(INDIRECT($C$3)=$D163)*((INDIRECT($E$3)="TOTS")+(INDIRECT($E$3)=$E163)),INDIRECT(Q$3)))&lt;&gt;0,_xlpm.y=0),-2,_xlpm.x)))),0))</f>
        <v>-1</v>
      </c>
      <c r="R163" s="199" cm="1">
        <f t="array" aca="1" ref="R163" ca="1">IF(OR($B163="",$B163="X",$D163="",$D163="X",$E163="",$E163="X"),0,IFERROR(_xlfn.LET(_xlpm.x,SUM(SUM(_xlfn._xlws.FILTER(VALUE(PptoSty[Sign]&amp;1)*(1/PptoSty[Division]),(PptoSty[Division]&lt;&gt;0)*(PptoSty[Division]&lt;&gt;"")*(PptoSty[Division]&lt;&gt;"X")*(PptoSty[Project]=$B163)*(PptoSty[Vrs]=$D163)*(PptoSty[PiRow]=_xlfn.TEXTAFTER($H163,":"))*(PptoSty[PiColumn]=R$54),0)),SUM(IF((INDIRECT($B$3)=$B163)*(INDIRECT($C$3)=$D163)*((INDIRECT($E$3)="TOTS")+(INDIRECT($E$3)=$E163)),INDIRECT(R$3)))),_xlpm.y,SUM(_xlfn.CHOOSECOLS(_xlfn._xlws.FILTER(F_RT14[],(F_RT14[PrjId]=$B163)*(F_RT14[Vrs]=$D163)*(_xlfn.TEXTAFTER(F_RT14[ActGrp],":")=_xlfn.TEXTAFTER($H163,":")),"X"),MATCH("*"&amp;R$54,F_RT14[#Headers],0))),IF(AND(_xlpm.x=0,_xlpm.y&lt;&gt;0),-1,IF(AND(_xlpm.x&lt;&gt;0,_xlpm.y&lt;&gt;0),_xlpm.x,IF(AND(_xlpm.x-SUM(IF((INDIRECT($B$3)=$B163)*(INDIRECT($C$3)=$D163)*((INDIRECT($E$3)="TOTS")+(INDIRECT($E$3)=$E163)),INDIRECT(R$3)))&lt;&gt;0,_xlpm.y=0),-2,_xlpm.x)))),0))</f>
        <v>0</v>
      </c>
      <c r="S163" s="199" cm="1">
        <f t="array" aca="1" ref="S163" ca="1">IF(OR($B163="",$B163="X",$D163="",$D163="X",$E163="",$E163="X"),0,IFERROR(_xlfn.LET(_xlpm.x,SUM(SUM(_xlfn._xlws.FILTER(VALUE(PptoSty[Sign]&amp;1)*(1/PptoSty[Division]),(PptoSty[Division]&lt;&gt;0)*(PptoSty[Division]&lt;&gt;"")*(PptoSty[Division]&lt;&gt;"X")*(PptoSty[Project]=$B163)*(PptoSty[Vrs]=$D163)*(PptoSty[PiRow]=_xlfn.TEXTAFTER($H163,":"))*(PptoSty[PiColumn]=S$54),0)),SUM(IF((INDIRECT($B$3)=$B163)*(INDIRECT($C$3)=$D163)*((INDIRECT($E$3)="TOTS")+(INDIRECT($E$3)=$E163)),INDIRECT(S$3)))),_xlpm.y,SUM(_xlfn.CHOOSECOLS(_xlfn._xlws.FILTER(F_RT14[],(F_RT14[PrjId]=$B163)*(F_RT14[Vrs]=$D163)*(_xlfn.TEXTAFTER(F_RT14[ActGrp],":")=_xlfn.TEXTAFTER($H163,":")),"X"),MATCH("*"&amp;S$54,F_RT14[#Headers],0))),IF(AND(_xlpm.x=0,_xlpm.y&lt;&gt;0),-1,IF(AND(_xlpm.x&lt;&gt;0,_xlpm.y&lt;&gt;0),_xlpm.x,IF(AND(_xlpm.x-SUM(IF((INDIRECT($B$3)=$B163)*(INDIRECT($C$3)=$D163)*((INDIRECT($E$3)="TOTS")+(INDIRECT($E$3)=$E163)),INDIRECT(S$3)))&lt;&gt;0,_xlpm.y=0),-2,_xlpm.x)))),0))</f>
        <v>0</v>
      </c>
      <c r="T163" s="199" cm="1">
        <f t="array" aca="1" ref="T163" ca="1">IF(OR($B163="",$B163="X",$D163="",$D163="X",$E163="",$E163="X"),0,IFERROR(_xlfn.LET(_xlpm.x,SUM(SUM(_xlfn._xlws.FILTER(VALUE(PptoSty[Sign]&amp;1)*(1/PptoSty[Division]),(PptoSty[Division]&lt;&gt;0)*(PptoSty[Division]&lt;&gt;"")*(PptoSty[Division]&lt;&gt;"X")*(PptoSty[Project]=$B163)*(PptoSty[Vrs]=$D163)*(PptoSty[PiRow]=_xlfn.TEXTAFTER($H163,":"))*(PptoSty[PiColumn]=T$54),0)),SUM(IF((INDIRECT($B$3)=$B163)*(INDIRECT($C$3)=$D163)*((INDIRECT($E$3)="TOTS")+(INDIRECT($E$3)=$E163)),INDIRECT(T$3)))),_xlpm.y,SUM(_xlfn.CHOOSECOLS(_xlfn._xlws.FILTER(F_RT14[],(F_RT14[PrjId]=$B163)*(F_RT14[Vrs]=$D163)*(_xlfn.TEXTAFTER(F_RT14[ActGrp],":")=_xlfn.TEXTAFTER($H163,":")),"X"),MATCH("*"&amp;T$54,F_RT14[#Headers],0))),IF(AND(_xlpm.x=0,_xlpm.y&lt;&gt;0),-1,IF(AND(_xlpm.x&lt;&gt;0,_xlpm.y&lt;&gt;0),_xlpm.x,IF(AND(_xlpm.x-SUM(IF((INDIRECT($B$3)=$B163)*(INDIRECT($C$3)=$D163)*((INDIRECT($E$3)="TOTS")+(INDIRECT($E$3)=$E163)),INDIRECT(T$3)))&lt;&gt;0,_xlpm.y=0),-2,_xlpm.x)))),0))</f>
        <v>-1</v>
      </c>
      <c r="U163" s="199" cm="1">
        <f t="array" aca="1" ref="U163" ca="1">IF(OR($B163="",$B163="X",$D163="",$D163="X",$E163="",$E163="X"),0,IFERROR(_xlfn.LET(_xlpm.x,SUM(SUM(_xlfn._xlws.FILTER(VALUE(PptoSty[Sign]&amp;1)*(1/PptoSty[Division]),(PptoSty[Division]&lt;&gt;0)*(PptoSty[Division]&lt;&gt;"")*(PptoSty[Division]&lt;&gt;"X")*(PptoSty[Project]=$B163)*(PptoSty[Vrs]=$D163)*(PptoSty[PiRow]=_xlfn.TEXTAFTER($H163,":"))*(PptoSty[PiColumn]=U$54),0)),SUM(IF((INDIRECT($B$3)=$B163)*(INDIRECT($C$3)=$D163)*((INDIRECT($E$3)="TOTS")+(INDIRECT($E$3)=$E163)),INDIRECT(U$3)))),_xlpm.y,SUM(_xlfn.CHOOSECOLS(_xlfn._xlws.FILTER(F_RT14[],(F_RT14[PrjId]=$B163)*(F_RT14[Vrs]=$D163)*(_xlfn.TEXTAFTER(F_RT14[ActGrp],":")=_xlfn.TEXTAFTER($H163,":")),"X"),MATCH("*"&amp;U$54,F_RT14[#Headers],0))),IF(AND(_xlpm.x=0,_xlpm.y&lt;&gt;0),-1,IF(AND(_xlpm.x&lt;&gt;0,_xlpm.y&lt;&gt;0),_xlpm.x,IF(AND(_xlpm.x-SUM(IF((INDIRECT($B$3)=$B163)*(INDIRECT($C$3)=$D163)*((INDIRECT($E$3)="TOTS")+(INDIRECT($E$3)=$E163)),INDIRECT(U$3)))&lt;&gt;0,_xlpm.y=0),-2,_xlpm.x)))),0))</f>
        <v>0</v>
      </c>
      <c r="V163" s="199" cm="1">
        <f t="array" aca="1" ref="V163" ca="1">IF(OR($B163="",$B163="X",$D163="",$D163="X",$E163="",$E163="X"),0,IFERROR(_xlfn.LET(_xlpm.x,SUM(SUM(_xlfn._xlws.FILTER(VALUE(PptoSty[Sign]&amp;1)*(1/PptoSty[Division]),(PptoSty[Division]&lt;&gt;0)*(PptoSty[Division]&lt;&gt;"")*(PptoSty[Division]&lt;&gt;"X")*(PptoSty[Project]=$B163)*(PptoSty[Vrs]=$D163)*(PptoSty[PiRow]=_xlfn.TEXTAFTER($H163,":"))*(PptoSty[PiColumn]=V$54),0)),SUM(IF((INDIRECT($B$3)=$B163)*(INDIRECT($C$3)=$D163)*((INDIRECT($E$3)="TOTS")+(INDIRECT($E$3)=$E163)),INDIRECT(V$3)))),_xlpm.y,SUM(_xlfn.CHOOSECOLS(_xlfn._xlws.FILTER(F_RT14[],(F_RT14[PrjId]=$B163)*(F_RT14[Vrs]=$D163)*(_xlfn.TEXTAFTER(F_RT14[ActGrp],":")=_xlfn.TEXTAFTER($H163,":")),"X"),MATCH("*"&amp;V$54,F_RT14[#Headers],0))),IF(AND(_xlpm.x=0,_xlpm.y&lt;&gt;0),-1,IF(AND(_xlpm.x&lt;&gt;0,_xlpm.y&lt;&gt;0),_xlpm.x,IF(AND(_xlpm.x-SUM(IF((INDIRECT($B$3)=$B163)*(INDIRECT($C$3)=$D163)*((INDIRECT($E$3)="TOTS")+(INDIRECT($E$3)=$E163)),INDIRECT(V$3)))&lt;&gt;0,_xlpm.y=0),-2,_xlpm.x)))),0))</f>
        <v>0</v>
      </c>
      <c r="W163" s="199" cm="1">
        <f t="array" aca="1" ref="W163" ca="1">IF(OR($B163="",$B163="X",$D163="",$D163="X",$E163="",$E163="X"),0,IFERROR(_xlfn.LET(_xlpm.x,SUM(SUM(_xlfn._xlws.FILTER(VALUE(PptoSty[Sign]&amp;1)*(1/PptoSty[Division]),(PptoSty[Division]&lt;&gt;0)*(PptoSty[Division]&lt;&gt;"")*(PptoSty[Division]&lt;&gt;"X")*(PptoSty[Project]=$B163)*(PptoSty[Vrs]=$D163)*(PptoSty[PiRow]=_xlfn.TEXTAFTER($H163,":"))*(PptoSty[PiColumn]=W$54),0)),SUM(IF((INDIRECT($B$3)=$B163)*(INDIRECT($C$3)=$D163)*((INDIRECT($E$3)="TOTS")+(INDIRECT($E$3)=$E163)),INDIRECT(W$3)))),_xlpm.y,SUM(_xlfn.CHOOSECOLS(_xlfn._xlws.FILTER(F_RT14[],(F_RT14[PrjId]=$B163)*(F_RT14[Vrs]=$D163)*(_xlfn.TEXTAFTER(F_RT14[ActGrp],":")=_xlfn.TEXTAFTER($H163,":")),"X"),MATCH("*"&amp;W$54,F_RT14[#Headers],0))),IF(AND(_xlpm.x=0,_xlpm.y&lt;&gt;0),-1,IF(AND(_xlpm.x&lt;&gt;0,_xlpm.y&lt;&gt;0),_xlpm.x,IF(AND(_xlpm.x-SUM(IF((INDIRECT($B$3)=$B163)*(INDIRECT($C$3)=$D163)*((INDIRECT($E$3)="TOTS")+(INDIRECT($E$3)=$E163)),INDIRECT(W$3)))&lt;&gt;0,_xlpm.y=0),-2,_xlpm.x)))),0))</f>
        <v>0</v>
      </c>
      <c r="X163" s="199" cm="1">
        <f t="array" aca="1" ref="X163" ca="1">IF(OR($B163="",$B163="X",$D163="",$D163="X",$E163="",$E163="X"),0,IFERROR(_xlfn.LET(_xlpm.x,SUM(SUM(_xlfn._xlws.FILTER(VALUE(PptoSty[Sign]&amp;1)*(1/PptoSty[Division]),(PptoSty[Division]&lt;&gt;0)*(PptoSty[Division]&lt;&gt;"")*(PptoSty[Division]&lt;&gt;"X")*(PptoSty[Project]=$B163)*(PptoSty[Vrs]=$D163)*(PptoSty[PiRow]=_xlfn.TEXTAFTER($H163,":"))*(PptoSty[PiColumn]=X$54),0)),SUM(IF((INDIRECT($B$3)=$B163)*(INDIRECT($C$3)=$D163)*((INDIRECT($E$3)="TOTS")+(INDIRECT($E$3)=$E163)),INDIRECT(X$3)))),_xlpm.y,SUM(_xlfn.CHOOSECOLS(_xlfn._xlws.FILTER(F_RT14[],(F_RT14[PrjId]=$B163)*(F_RT14[Vrs]=$D163)*(_xlfn.TEXTAFTER(F_RT14[ActGrp],":")=_xlfn.TEXTAFTER($H163,":")),"X"),MATCH("*"&amp;X$54,F_RT14[#Headers],0))),IF(AND(_xlpm.x=0,_xlpm.y&lt;&gt;0),-1,IF(AND(_xlpm.x&lt;&gt;0,_xlpm.y&lt;&gt;0),_xlpm.x,IF(AND(_xlpm.x-SUM(IF((INDIRECT($B$3)=$B163)*(INDIRECT($C$3)=$D163)*((INDIRECT($E$3)="TOTS")+(INDIRECT($E$3)=$E163)),INDIRECT(X$3)))&lt;&gt;0,_xlpm.y=0),-2,_xlpm.x)))),0))</f>
        <v>0</v>
      </c>
      <c r="Y163" s="199" cm="1">
        <f t="array" aca="1" ref="Y163" ca="1">IF(OR($B163="",$B163="X",$D163="",$D163="X",$E163="",$E163="X"),0,IFERROR(_xlfn.LET(_xlpm.x,SUM(SUM(_xlfn._xlws.FILTER(VALUE(PptoSty[Sign]&amp;1)*(1/PptoSty[Division]),(PptoSty[Division]&lt;&gt;0)*(PptoSty[Division]&lt;&gt;"")*(PptoSty[Division]&lt;&gt;"X")*(PptoSty[Project]=$B163)*(PptoSty[Vrs]=$D163)*(PptoSty[PiRow]=_xlfn.TEXTAFTER($H163,":"))*(PptoSty[PiColumn]=Y$54),0)),SUM(IF((INDIRECT($B$3)=$B163)*(INDIRECT($C$3)=$D163)*((INDIRECT($E$3)="TOTS")+(INDIRECT($E$3)=$E163)),INDIRECT(Y$3)))),_xlpm.y,SUM(_xlfn.CHOOSECOLS(_xlfn._xlws.FILTER(F_RT14[],(F_RT14[PrjId]=$B163)*(F_RT14[Vrs]=$D163)*(_xlfn.TEXTAFTER(F_RT14[ActGrp],":")=_xlfn.TEXTAFTER($H163,":")),"X"),MATCH("*"&amp;Y$54,F_RT14[#Headers],0))),IF(AND(_xlpm.x=0,_xlpm.y&lt;&gt;0),-1,IF(AND(_xlpm.x&lt;&gt;0,_xlpm.y&lt;&gt;0),_xlpm.x,IF(AND(_xlpm.x-SUM(IF((INDIRECT($B$3)=$B163)*(INDIRECT($C$3)=$D163)*((INDIRECT($E$3)="TOTS")+(INDIRECT($E$3)=$E163)),INDIRECT(Y$3)))&lt;&gt;0,_xlpm.y=0),-2,_xlpm.x)))),0))</f>
        <v>0</v>
      </c>
      <c r="Z163" s="198" t="str">
        <f t="shared" ca="1" si="3"/>
        <v>Fback!B163:Y163</v>
      </c>
    </row>
    <row r="164" spans="2:26" ht="21" customHeight="1" outlineLevel="1">
      <c r="B164" s="128" t="str">
        <v>31200</v>
      </c>
      <c r="C164" s="128" t="str">
        <v>Sp</v>
      </c>
      <c r="D164" s="128">
        <v>0</v>
      </c>
      <c r="E164" s="128" t="str">
        <v>PEMX</v>
      </c>
      <c r="F164" s="139" t="str">
        <v>PLANT</v>
      </c>
      <c r="G164" s="139" t="str">
        <v>CurPpto</v>
      </c>
      <c r="H164" s="139" t="str">
        <v>G008:PUESTA EN MARCHA EN PLANTA CLIENTE</v>
      </c>
      <c r="I164" s="199" cm="1">
        <f t="array" aca="1" ref="I164" ca="1">IF(OR($B164="",$B164="X",$D164="",$D164="X",$E164="",$E164="X"),0,IFERROR(_xlfn.LET(_xlpm.x,SUM(SUM(_xlfn._xlws.FILTER(VALUE(PptoSty[Sign]&amp;1)*(1/PptoSty[Division]),(PptoSty[Division]&lt;&gt;0)*(PptoSty[Division]&lt;&gt;"")*(PptoSty[Division]&lt;&gt;"X")*(PptoSty[Project]=$B164)*(PptoSty[Vrs]=$D164)*(PptoSty[PiRow]=_xlfn.TEXTAFTER($H164,":"))*(PptoSty[PiColumn]=I$54),0)),SUM(IF((INDIRECT($B$3)=$B164)*(INDIRECT($C$3)=$D164)*((INDIRECT($E$3)="TOTS")+(INDIRECT($E$3)=$E164)),INDIRECT(I$3)))),_xlpm.y,SUM(_xlfn.CHOOSECOLS(_xlfn._xlws.FILTER(F_RT14[],(F_RT14[PrjId]=$B164)*(F_RT14[Vrs]=$D164)*(_xlfn.TEXTAFTER(F_RT14[ActGrp],":")=_xlfn.TEXTAFTER($H164,":")),"X"),MATCH("*"&amp;I$54,F_RT14[#Headers],0))),IF(AND(_xlpm.x=0,_xlpm.y&lt;&gt;0),-1,IF(AND(_xlpm.x&lt;&gt;0,_xlpm.y&lt;&gt;0),_xlpm.x,IF(AND(_xlpm.x-SUM(IF((INDIRECT($B$3)=$B164)*(INDIRECT($C$3)=$D164)*((INDIRECT($E$3)="TOTS")+(INDIRECT($E$3)=$E164)),INDIRECT(I$3)))&lt;&gt;0,_xlpm.y=0),-2,_xlpm.x)))),0))</f>
        <v>-1</v>
      </c>
      <c r="J164" s="199" cm="1">
        <f t="array" aca="1" ref="J164" ca="1">IF(OR($B164="",$B164="X",$D164="",$D164="X",$E164="",$E164="X"),0,IFERROR(_xlfn.LET(_xlpm.x,SUM(SUM(_xlfn._xlws.FILTER(VALUE(PptoSty[Sign]&amp;1)*(1/PptoSty[Division]),(PptoSty[Division]&lt;&gt;0)*(PptoSty[Division]&lt;&gt;"")*(PptoSty[Division]&lt;&gt;"X")*(PptoSty[Project]=$B164)*(PptoSty[Vrs]=$D164)*(PptoSty[PiRow]=_xlfn.TEXTAFTER($H164,":"))*(PptoSty[PiColumn]=J$54),0)),SUM(IF((INDIRECT($B$3)=$B164)*(INDIRECT($C$3)=$D164)*((INDIRECT($E$3)="TOTS")+(INDIRECT($E$3)=$E164)),INDIRECT(J$3)))),_xlpm.y,SUM(_xlfn.CHOOSECOLS(_xlfn._xlws.FILTER(F_RT14[],(F_RT14[PrjId]=$B164)*(F_RT14[Vrs]=$D164)*(_xlfn.TEXTAFTER(F_RT14[ActGrp],":")=_xlfn.TEXTAFTER($H164,":")),"X"),MATCH("*"&amp;J$54,F_RT14[#Headers],0))),IF(AND(_xlpm.x=0,_xlpm.y&lt;&gt;0),-1,IF(AND(_xlpm.x&lt;&gt;0,_xlpm.y&lt;&gt;0),_xlpm.x,IF(AND(_xlpm.x-SUM(IF((INDIRECT($B$3)=$B164)*(INDIRECT($C$3)=$D164)*((INDIRECT($E$3)="TOTS")+(INDIRECT($E$3)=$E164)),INDIRECT(J$3)))&lt;&gt;0,_xlpm.y=0),-2,_xlpm.x)))),0))</f>
        <v>0</v>
      </c>
      <c r="K164" s="199" cm="1">
        <f t="array" aca="1" ref="K164" ca="1">IF(OR($B164="",$B164="X",$D164="",$D164="X",$E164="",$E164="X"),0,IFERROR(_xlfn.LET(_xlpm.x,SUM(SUM(_xlfn._xlws.FILTER(VALUE(PptoSty[Sign]&amp;1)*(1/PptoSty[Division]),(PptoSty[Division]&lt;&gt;0)*(PptoSty[Division]&lt;&gt;"")*(PptoSty[Division]&lt;&gt;"X")*(PptoSty[Project]=$B164)*(PptoSty[Vrs]=$D164)*(PptoSty[PiRow]=_xlfn.TEXTAFTER($H164,":"))*(PptoSty[PiColumn]=K$54),0)),SUM(IF((INDIRECT($B$3)=$B164)*(INDIRECT($C$3)=$D164)*((INDIRECT($E$3)="TOTS")+(INDIRECT($E$3)=$E164)),INDIRECT(K$3)))),_xlpm.y,SUM(_xlfn.CHOOSECOLS(_xlfn._xlws.FILTER(F_RT14[],(F_RT14[PrjId]=$B164)*(F_RT14[Vrs]=$D164)*(_xlfn.TEXTAFTER(F_RT14[ActGrp],":")=_xlfn.TEXTAFTER($H164,":")),"X"),MATCH("*"&amp;K$54,F_RT14[#Headers],0))),IF(AND(_xlpm.x=0,_xlpm.y&lt;&gt;0),-1,IF(AND(_xlpm.x&lt;&gt;0,_xlpm.y&lt;&gt;0),_xlpm.x,IF(AND(_xlpm.x-SUM(IF((INDIRECT($B$3)=$B164)*(INDIRECT($C$3)=$D164)*((INDIRECT($E$3)="TOTS")+(INDIRECT($E$3)=$E164)),INDIRECT(K$3)))&lt;&gt;0,_xlpm.y=0),-2,_xlpm.x)))),0))</f>
        <v>0</v>
      </c>
      <c r="L164" s="199" cm="1">
        <f t="array" aca="1" ref="L164" ca="1">IF(OR($B164="",$B164="X",$D164="",$D164="X",$E164="",$E164="X"),0,IFERROR(_xlfn.LET(_xlpm.x,SUM(SUM(_xlfn._xlws.FILTER(VALUE(PptoSty[Sign]&amp;1)*(1/PptoSty[Division]),(PptoSty[Division]&lt;&gt;0)*(PptoSty[Division]&lt;&gt;"")*(PptoSty[Division]&lt;&gt;"X")*(PptoSty[Project]=$B164)*(PptoSty[Vrs]=$D164)*(PptoSty[PiRow]=_xlfn.TEXTAFTER($H164,":"))*(PptoSty[PiColumn]=L$54),0)),SUM(IF((INDIRECT($B$3)=$B164)*(INDIRECT($C$3)=$D164)*((INDIRECT($E$3)="TOTS")+(INDIRECT($E$3)=$E164)),INDIRECT(L$3)))),_xlpm.y,SUM(_xlfn.CHOOSECOLS(_xlfn._xlws.FILTER(F_RT14[],(F_RT14[PrjId]=$B164)*(F_RT14[Vrs]=$D164)*(_xlfn.TEXTAFTER(F_RT14[ActGrp],":")=_xlfn.TEXTAFTER($H164,":")),"X"),MATCH("*"&amp;L$54,F_RT14[#Headers],0))),IF(AND(_xlpm.x=0,_xlpm.y&lt;&gt;0),-1,IF(AND(_xlpm.x&lt;&gt;0,_xlpm.y&lt;&gt;0),_xlpm.x,IF(AND(_xlpm.x-SUM(IF((INDIRECT($B$3)=$B164)*(INDIRECT($C$3)=$D164)*((INDIRECT($E$3)="TOTS")+(INDIRECT($E$3)=$E164)),INDIRECT(L$3)))&lt;&gt;0,_xlpm.y=0),-2,_xlpm.x)))),0))</f>
        <v>0</v>
      </c>
      <c r="M164" s="199" cm="1">
        <f t="array" aca="1" ref="M164" ca="1">IF(OR($B164="",$B164="X",$D164="",$D164="X",$E164="",$E164="X"),0,IFERROR(_xlfn.LET(_xlpm.x,SUM(SUM(_xlfn._xlws.FILTER(VALUE(PptoSty[Sign]&amp;1)*(1/PptoSty[Division]),(PptoSty[Division]&lt;&gt;0)*(PptoSty[Division]&lt;&gt;"")*(PptoSty[Division]&lt;&gt;"X")*(PptoSty[Project]=$B164)*(PptoSty[Vrs]=$D164)*(PptoSty[PiRow]=_xlfn.TEXTAFTER($H164,":"))*(PptoSty[PiColumn]=M$54),0)),SUM(IF((INDIRECT($B$3)=$B164)*(INDIRECT($C$3)=$D164)*((INDIRECT($E$3)="TOTS")+(INDIRECT($E$3)=$E164)),INDIRECT(M$3)))),_xlpm.y,SUM(_xlfn.CHOOSECOLS(_xlfn._xlws.FILTER(F_RT14[],(F_RT14[PrjId]=$B164)*(F_RT14[Vrs]=$D164)*(_xlfn.TEXTAFTER(F_RT14[ActGrp],":")=_xlfn.TEXTAFTER($H164,":")),"X"),MATCH("*"&amp;M$54,F_RT14[#Headers],0))),IF(AND(_xlpm.x=0,_xlpm.y&lt;&gt;0),-1,IF(AND(_xlpm.x&lt;&gt;0,_xlpm.y&lt;&gt;0),_xlpm.x,IF(AND(_xlpm.x-SUM(IF((INDIRECT($B$3)=$B164)*(INDIRECT($C$3)=$D164)*((INDIRECT($E$3)="TOTS")+(INDIRECT($E$3)=$E164)),INDIRECT(M$3)))&lt;&gt;0,_xlpm.y=0),-2,_xlpm.x)))),0))</f>
        <v>-1</v>
      </c>
      <c r="N164" s="199" cm="1">
        <f t="array" aca="1" ref="N164" ca="1">IF(OR($B164="",$B164="X",$D164="",$D164="X",$E164="",$E164="X"),0,IFERROR(_xlfn.LET(_xlpm.x,SUM(SUM(_xlfn._xlws.FILTER(VALUE(PptoSty[Sign]&amp;1)*(1/PptoSty[Division]),(PptoSty[Division]&lt;&gt;0)*(PptoSty[Division]&lt;&gt;"")*(PptoSty[Division]&lt;&gt;"X")*(PptoSty[Project]=$B164)*(PptoSty[Vrs]=$D164)*(PptoSty[PiRow]=_xlfn.TEXTAFTER($H164,":"))*(PptoSty[PiColumn]=N$54),0)),SUM(IF((INDIRECT($B$3)=$B164)*(INDIRECT($C$3)=$D164)*((INDIRECT($E$3)="TOTS")+(INDIRECT($E$3)=$E164)),INDIRECT(N$3)))),_xlpm.y,SUM(_xlfn.CHOOSECOLS(_xlfn._xlws.FILTER(F_RT14[],(F_RT14[PrjId]=$B164)*(F_RT14[Vrs]=$D164)*(_xlfn.TEXTAFTER(F_RT14[ActGrp],":")=_xlfn.TEXTAFTER($H164,":")),"X"),MATCH("*"&amp;N$54,F_RT14[#Headers],0))),IF(AND(_xlpm.x=0,_xlpm.y&lt;&gt;0),-1,IF(AND(_xlpm.x&lt;&gt;0,_xlpm.y&lt;&gt;0),_xlpm.x,IF(AND(_xlpm.x-SUM(IF((INDIRECT($B$3)=$B164)*(INDIRECT($C$3)=$D164)*((INDIRECT($E$3)="TOTS")+(INDIRECT($E$3)=$E164)),INDIRECT(N$3)))&lt;&gt;0,_xlpm.y=0),-2,_xlpm.x)))),0))</f>
        <v>0</v>
      </c>
      <c r="O164" s="199" cm="1">
        <f t="array" aca="1" ref="O164" ca="1">IF(OR($B164="",$B164="X",$D164="",$D164="X",$E164="",$E164="X"),0,IFERROR(_xlfn.LET(_xlpm.x,SUM(SUM(_xlfn._xlws.FILTER(VALUE(PptoSty[Sign]&amp;1)*(1/PptoSty[Division]),(PptoSty[Division]&lt;&gt;0)*(PptoSty[Division]&lt;&gt;"")*(PptoSty[Division]&lt;&gt;"X")*(PptoSty[Project]=$B164)*(PptoSty[Vrs]=$D164)*(PptoSty[PiRow]=_xlfn.TEXTAFTER($H164,":"))*(PptoSty[PiColumn]=O$54),0)),SUM(IF((INDIRECT($B$3)=$B164)*(INDIRECT($C$3)=$D164)*((INDIRECT($E$3)="TOTS")+(INDIRECT($E$3)=$E164)),INDIRECT(O$3)))),_xlpm.y,SUM(_xlfn.CHOOSECOLS(_xlfn._xlws.FILTER(F_RT14[],(F_RT14[PrjId]=$B164)*(F_RT14[Vrs]=$D164)*(_xlfn.TEXTAFTER(F_RT14[ActGrp],":")=_xlfn.TEXTAFTER($H164,":")),"X"),MATCH("*"&amp;O$54,F_RT14[#Headers],0))),IF(AND(_xlpm.x=0,_xlpm.y&lt;&gt;0),-1,IF(AND(_xlpm.x&lt;&gt;0,_xlpm.y&lt;&gt;0),_xlpm.x,IF(AND(_xlpm.x-SUM(IF((INDIRECT($B$3)=$B164)*(INDIRECT($C$3)=$D164)*((INDIRECT($E$3)="TOTS")+(INDIRECT($E$3)=$E164)),INDIRECT(O$3)))&lt;&gt;0,_xlpm.y=0),-2,_xlpm.x)))),0))</f>
        <v>-1</v>
      </c>
      <c r="P164" s="199" cm="1">
        <f t="array" aca="1" ref="P164" ca="1">IF(OR($B164="",$B164="X",$D164="",$D164="X",$E164="",$E164="X"),0,IFERROR(_xlfn.LET(_xlpm.x,SUM(SUM(_xlfn._xlws.FILTER(VALUE(PptoSty[Sign]&amp;1)*(1/PptoSty[Division]),(PptoSty[Division]&lt;&gt;0)*(PptoSty[Division]&lt;&gt;"")*(PptoSty[Division]&lt;&gt;"X")*(PptoSty[Project]=$B164)*(PptoSty[Vrs]=$D164)*(PptoSty[PiRow]=_xlfn.TEXTAFTER($H164,":"))*(PptoSty[PiColumn]=P$54),0)),SUM(IF((INDIRECT($B$3)=$B164)*(INDIRECT($C$3)=$D164)*((INDIRECT($E$3)="TOTS")+(INDIRECT($E$3)=$E164)),INDIRECT(P$3)))),_xlpm.y,SUM(_xlfn.CHOOSECOLS(_xlfn._xlws.FILTER(F_RT14[],(F_RT14[PrjId]=$B164)*(F_RT14[Vrs]=$D164)*(_xlfn.TEXTAFTER(F_RT14[ActGrp],":")=_xlfn.TEXTAFTER($H164,":")),"X"),MATCH("*"&amp;P$54,F_RT14[#Headers],0))),IF(AND(_xlpm.x=0,_xlpm.y&lt;&gt;0),-1,IF(AND(_xlpm.x&lt;&gt;0,_xlpm.y&lt;&gt;0),_xlpm.x,IF(AND(_xlpm.x-SUM(IF((INDIRECT($B$3)=$B164)*(INDIRECT($C$3)=$D164)*((INDIRECT($E$3)="TOTS")+(INDIRECT($E$3)=$E164)),INDIRECT(P$3)))&lt;&gt;0,_xlpm.y=0),-2,_xlpm.x)))),0))</f>
        <v>0</v>
      </c>
      <c r="Q164" s="199" cm="1">
        <f t="array" aca="1" ref="Q164" ca="1">IF(OR($B164="",$B164="X",$D164="",$D164="X",$E164="",$E164="X"),0,IFERROR(_xlfn.LET(_xlpm.x,SUM(SUM(_xlfn._xlws.FILTER(VALUE(PptoSty[Sign]&amp;1)*(1/PptoSty[Division]),(PptoSty[Division]&lt;&gt;0)*(PptoSty[Division]&lt;&gt;"")*(PptoSty[Division]&lt;&gt;"X")*(PptoSty[Project]=$B164)*(PptoSty[Vrs]=$D164)*(PptoSty[PiRow]=_xlfn.TEXTAFTER($H164,":"))*(PptoSty[PiColumn]=Q$54),0)),SUM(IF((INDIRECT($B$3)=$B164)*(INDIRECT($C$3)=$D164)*((INDIRECT($E$3)="TOTS")+(INDIRECT($E$3)=$E164)),INDIRECT(Q$3)))),_xlpm.y,SUM(_xlfn.CHOOSECOLS(_xlfn._xlws.FILTER(F_RT14[],(F_RT14[PrjId]=$B164)*(F_RT14[Vrs]=$D164)*(_xlfn.TEXTAFTER(F_RT14[ActGrp],":")=_xlfn.TEXTAFTER($H164,":")),"X"),MATCH("*"&amp;Q$54,F_RT14[#Headers],0))),IF(AND(_xlpm.x=0,_xlpm.y&lt;&gt;0),-1,IF(AND(_xlpm.x&lt;&gt;0,_xlpm.y&lt;&gt;0),_xlpm.x,IF(AND(_xlpm.x-SUM(IF((INDIRECT($B$3)=$B164)*(INDIRECT($C$3)=$D164)*((INDIRECT($E$3)="TOTS")+(INDIRECT($E$3)=$E164)),INDIRECT(Q$3)))&lt;&gt;0,_xlpm.y=0),-2,_xlpm.x)))),0))</f>
        <v>-1</v>
      </c>
      <c r="R164" s="199" cm="1">
        <f t="array" aca="1" ref="R164" ca="1">IF(OR($B164="",$B164="X",$D164="",$D164="X",$E164="",$E164="X"),0,IFERROR(_xlfn.LET(_xlpm.x,SUM(SUM(_xlfn._xlws.FILTER(VALUE(PptoSty[Sign]&amp;1)*(1/PptoSty[Division]),(PptoSty[Division]&lt;&gt;0)*(PptoSty[Division]&lt;&gt;"")*(PptoSty[Division]&lt;&gt;"X")*(PptoSty[Project]=$B164)*(PptoSty[Vrs]=$D164)*(PptoSty[PiRow]=_xlfn.TEXTAFTER($H164,":"))*(PptoSty[PiColumn]=R$54),0)),SUM(IF((INDIRECT($B$3)=$B164)*(INDIRECT($C$3)=$D164)*((INDIRECT($E$3)="TOTS")+(INDIRECT($E$3)=$E164)),INDIRECT(R$3)))),_xlpm.y,SUM(_xlfn.CHOOSECOLS(_xlfn._xlws.FILTER(F_RT14[],(F_RT14[PrjId]=$B164)*(F_RT14[Vrs]=$D164)*(_xlfn.TEXTAFTER(F_RT14[ActGrp],":")=_xlfn.TEXTAFTER($H164,":")),"X"),MATCH("*"&amp;R$54,F_RT14[#Headers],0))),IF(AND(_xlpm.x=0,_xlpm.y&lt;&gt;0),-1,IF(AND(_xlpm.x&lt;&gt;0,_xlpm.y&lt;&gt;0),_xlpm.x,IF(AND(_xlpm.x-SUM(IF((INDIRECT($B$3)=$B164)*(INDIRECT($C$3)=$D164)*((INDIRECT($E$3)="TOTS")+(INDIRECT($E$3)=$E164)),INDIRECT(R$3)))&lt;&gt;0,_xlpm.y=0),-2,_xlpm.x)))),0))</f>
        <v>0</v>
      </c>
      <c r="S164" s="199" cm="1">
        <f t="array" aca="1" ref="S164" ca="1">IF(OR($B164="",$B164="X",$D164="",$D164="X",$E164="",$E164="X"),0,IFERROR(_xlfn.LET(_xlpm.x,SUM(SUM(_xlfn._xlws.FILTER(VALUE(PptoSty[Sign]&amp;1)*(1/PptoSty[Division]),(PptoSty[Division]&lt;&gt;0)*(PptoSty[Division]&lt;&gt;"")*(PptoSty[Division]&lt;&gt;"X")*(PptoSty[Project]=$B164)*(PptoSty[Vrs]=$D164)*(PptoSty[PiRow]=_xlfn.TEXTAFTER($H164,":"))*(PptoSty[PiColumn]=S$54),0)),SUM(IF((INDIRECT($B$3)=$B164)*(INDIRECT($C$3)=$D164)*((INDIRECT($E$3)="TOTS")+(INDIRECT($E$3)=$E164)),INDIRECT(S$3)))),_xlpm.y,SUM(_xlfn.CHOOSECOLS(_xlfn._xlws.FILTER(F_RT14[],(F_RT14[PrjId]=$B164)*(F_RT14[Vrs]=$D164)*(_xlfn.TEXTAFTER(F_RT14[ActGrp],":")=_xlfn.TEXTAFTER($H164,":")),"X"),MATCH("*"&amp;S$54,F_RT14[#Headers],0))),IF(AND(_xlpm.x=0,_xlpm.y&lt;&gt;0),-1,IF(AND(_xlpm.x&lt;&gt;0,_xlpm.y&lt;&gt;0),_xlpm.x,IF(AND(_xlpm.x-SUM(IF((INDIRECT($B$3)=$B164)*(INDIRECT($C$3)=$D164)*((INDIRECT($E$3)="TOTS")+(INDIRECT($E$3)=$E164)),INDIRECT(S$3)))&lt;&gt;0,_xlpm.y=0),-2,_xlpm.x)))),0))</f>
        <v>0</v>
      </c>
      <c r="T164" s="199" cm="1">
        <f t="array" aca="1" ref="T164" ca="1">IF(OR($B164="",$B164="X",$D164="",$D164="X",$E164="",$E164="X"),0,IFERROR(_xlfn.LET(_xlpm.x,SUM(SUM(_xlfn._xlws.FILTER(VALUE(PptoSty[Sign]&amp;1)*(1/PptoSty[Division]),(PptoSty[Division]&lt;&gt;0)*(PptoSty[Division]&lt;&gt;"")*(PptoSty[Division]&lt;&gt;"X")*(PptoSty[Project]=$B164)*(PptoSty[Vrs]=$D164)*(PptoSty[PiRow]=_xlfn.TEXTAFTER($H164,":"))*(PptoSty[PiColumn]=T$54),0)),SUM(IF((INDIRECT($B$3)=$B164)*(INDIRECT($C$3)=$D164)*((INDIRECT($E$3)="TOTS")+(INDIRECT($E$3)=$E164)),INDIRECT(T$3)))),_xlpm.y,SUM(_xlfn.CHOOSECOLS(_xlfn._xlws.FILTER(F_RT14[],(F_RT14[PrjId]=$B164)*(F_RT14[Vrs]=$D164)*(_xlfn.TEXTAFTER(F_RT14[ActGrp],":")=_xlfn.TEXTAFTER($H164,":")),"X"),MATCH("*"&amp;T$54,F_RT14[#Headers],0))),IF(AND(_xlpm.x=0,_xlpm.y&lt;&gt;0),-1,IF(AND(_xlpm.x&lt;&gt;0,_xlpm.y&lt;&gt;0),_xlpm.x,IF(AND(_xlpm.x-SUM(IF((INDIRECT($B$3)=$B164)*(INDIRECT($C$3)=$D164)*((INDIRECT($E$3)="TOTS")+(INDIRECT($E$3)=$E164)),INDIRECT(T$3)))&lt;&gt;0,_xlpm.y=0),-2,_xlpm.x)))),0))</f>
        <v>0</v>
      </c>
      <c r="U164" s="199" cm="1">
        <f t="array" aca="1" ref="U164" ca="1">IF(OR($B164="",$B164="X",$D164="",$D164="X",$E164="",$E164="X"),0,IFERROR(_xlfn.LET(_xlpm.x,SUM(SUM(_xlfn._xlws.FILTER(VALUE(PptoSty[Sign]&amp;1)*(1/PptoSty[Division]),(PptoSty[Division]&lt;&gt;0)*(PptoSty[Division]&lt;&gt;"")*(PptoSty[Division]&lt;&gt;"X")*(PptoSty[Project]=$B164)*(PptoSty[Vrs]=$D164)*(PptoSty[PiRow]=_xlfn.TEXTAFTER($H164,":"))*(PptoSty[PiColumn]=U$54),0)),SUM(IF((INDIRECT($B$3)=$B164)*(INDIRECT($C$3)=$D164)*((INDIRECT($E$3)="TOTS")+(INDIRECT($E$3)=$E164)),INDIRECT(U$3)))),_xlpm.y,SUM(_xlfn.CHOOSECOLS(_xlfn._xlws.FILTER(F_RT14[],(F_RT14[PrjId]=$B164)*(F_RT14[Vrs]=$D164)*(_xlfn.TEXTAFTER(F_RT14[ActGrp],":")=_xlfn.TEXTAFTER($H164,":")),"X"),MATCH("*"&amp;U$54,F_RT14[#Headers],0))),IF(AND(_xlpm.x=0,_xlpm.y&lt;&gt;0),-1,IF(AND(_xlpm.x&lt;&gt;0,_xlpm.y&lt;&gt;0),_xlpm.x,IF(AND(_xlpm.x-SUM(IF((INDIRECT($B$3)=$B164)*(INDIRECT($C$3)=$D164)*((INDIRECT($E$3)="TOTS")+(INDIRECT($E$3)=$E164)),INDIRECT(U$3)))&lt;&gt;0,_xlpm.y=0),-2,_xlpm.x)))),0))</f>
        <v>0</v>
      </c>
      <c r="V164" s="199" cm="1">
        <f t="array" aca="1" ref="V164" ca="1">IF(OR($B164="",$B164="X",$D164="",$D164="X",$E164="",$E164="X"),0,IFERROR(_xlfn.LET(_xlpm.x,SUM(SUM(_xlfn._xlws.FILTER(VALUE(PptoSty[Sign]&amp;1)*(1/PptoSty[Division]),(PptoSty[Division]&lt;&gt;0)*(PptoSty[Division]&lt;&gt;"")*(PptoSty[Division]&lt;&gt;"X")*(PptoSty[Project]=$B164)*(PptoSty[Vrs]=$D164)*(PptoSty[PiRow]=_xlfn.TEXTAFTER($H164,":"))*(PptoSty[PiColumn]=V$54),0)),SUM(IF((INDIRECT($B$3)=$B164)*(INDIRECT($C$3)=$D164)*((INDIRECT($E$3)="TOTS")+(INDIRECT($E$3)=$E164)),INDIRECT(V$3)))),_xlpm.y,SUM(_xlfn.CHOOSECOLS(_xlfn._xlws.FILTER(F_RT14[],(F_RT14[PrjId]=$B164)*(F_RT14[Vrs]=$D164)*(_xlfn.TEXTAFTER(F_RT14[ActGrp],":")=_xlfn.TEXTAFTER($H164,":")),"X"),MATCH("*"&amp;V$54,F_RT14[#Headers],0))),IF(AND(_xlpm.x=0,_xlpm.y&lt;&gt;0),-1,IF(AND(_xlpm.x&lt;&gt;0,_xlpm.y&lt;&gt;0),_xlpm.x,IF(AND(_xlpm.x-SUM(IF((INDIRECT($B$3)=$B164)*(INDIRECT($C$3)=$D164)*((INDIRECT($E$3)="TOTS")+(INDIRECT($E$3)=$E164)),INDIRECT(V$3)))&lt;&gt;0,_xlpm.y=0),-2,_xlpm.x)))),0))</f>
        <v>0</v>
      </c>
      <c r="W164" s="199" cm="1">
        <f t="array" aca="1" ref="W164" ca="1">IF(OR($B164="",$B164="X",$D164="",$D164="X",$E164="",$E164="X"),0,IFERROR(_xlfn.LET(_xlpm.x,SUM(SUM(_xlfn._xlws.FILTER(VALUE(PptoSty[Sign]&amp;1)*(1/PptoSty[Division]),(PptoSty[Division]&lt;&gt;0)*(PptoSty[Division]&lt;&gt;"")*(PptoSty[Division]&lt;&gt;"X")*(PptoSty[Project]=$B164)*(PptoSty[Vrs]=$D164)*(PptoSty[PiRow]=_xlfn.TEXTAFTER($H164,":"))*(PptoSty[PiColumn]=W$54),0)),SUM(IF((INDIRECT($B$3)=$B164)*(INDIRECT($C$3)=$D164)*((INDIRECT($E$3)="TOTS")+(INDIRECT($E$3)=$E164)),INDIRECT(W$3)))),_xlpm.y,SUM(_xlfn.CHOOSECOLS(_xlfn._xlws.FILTER(F_RT14[],(F_RT14[PrjId]=$B164)*(F_RT14[Vrs]=$D164)*(_xlfn.TEXTAFTER(F_RT14[ActGrp],":")=_xlfn.TEXTAFTER($H164,":")),"X"),MATCH("*"&amp;W$54,F_RT14[#Headers],0))),IF(AND(_xlpm.x=0,_xlpm.y&lt;&gt;0),-1,IF(AND(_xlpm.x&lt;&gt;0,_xlpm.y&lt;&gt;0),_xlpm.x,IF(AND(_xlpm.x-SUM(IF((INDIRECT($B$3)=$B164)*(INDIRECT($C$3)=$D164)*((INDIRECT($E$3)="TOTS")+(INDIRECT($E$3)=$E164)),INDIRECT(W$3)))&lt;&gt;0,_xlpm.y=0),-2,_xlpm.x)))),0))</f>
        <v>0</v>
      </c>
      <c r="X164" s="199" cm="1">
        <f t="array" aca="1" ref="X164" ca="1">IF(OR($B164="",$B164="X",$D164="",$D164="X",$E164="",$E164="X"),0,IFERROR(_xlfn.LET(_xlpm.x,SUM(SUM(_xlfn._xlws.FILTER(VALUE(PptoSty[Sign]&amp;1)*(1/PptoSty[Division]),(PptoSty[Division]&lt;&gt;0)*(PptoSty[Division]&lt;&gt;"")*(PptoSty[Division]&lt;&gt;"X")*(PptoSty[Project]=$B164)*(PptoSty[Vrs]=$D164)*(PptoSty[PiRow]=_xlfn.TEXTAFTER($H164,":"))*(PptoSty[PiColumn]=X$54),0)),SUM(IF((INDIRECT($B$3)=$B164)*(INDIRECT($C$3)=$D164)*((INDIRECT($E$3)="TOTS")+(INDIRECT($E$3)=$E164)),INDIRECT(X$3)))),_xlpm.y,SUM(_xlfn.CHOOSECOLS(_xlfn._xlws.FILTER(F_RT14[],(F_RT14[PrjId]=$B164)*(F_RT14[Vrs]=$D164)*(_xlfn.TEXTAFTER(F_RT14[ActGrp],":")=_xlfn.TEXTAFTER($H164,":")),"X"),MATCH("*"&amp;X$54,F_RT14[#Headers],0))),IF(AND(_xlpm.x=0,_xlpm.y&lt;&gt;0),-1,IF(AND(_xlpm.x&lt;&gt;0,_xlpm.y&lt;&gt;0),_xlpm.x,IF(AND(_xlpm.x-SUM(IF((INDIRECT($B$3)=$B164)*(INDIRECT($C$3)=$D164)*((INDIRECT($E$3)="TOTS")+(INDIRECT($E$3)=$E164)),INDIRECT(X$3)))&lt;&gt;0,_xlpm.y=0),-2,_xlpm.x)))),0))</f>
        <v>0</v>
      </c>
      <c r="Y164" s="199" cm="1">
        <f t="array" aca="1" ref="Y164" ca="1">IF(OR($B164="",$B164="X",$D164="",$D164="X",$E164="",$E164="X"),0,IFERROR(_xlfn.LET(_xlpm.x,SUM(SUM(_xlfn._xlws.FILTER(VALUE(PptoSty[Sign]&amp;1)*(1/PptoSty[Division]),(PptoSty[Division]&lt;&gt;0)*(PptoSty[Division]&lt;&gt;"")*(PptoSty[Division]&lt;&gt;"X")*(PptoSty[Project]=$B164)*(PptoSty[Vrs]=$D164)*(PptoSty[PiRow]=_xlfn.TEXTAFTER($H164,":"))*(PptoSty[PiColumn]=Y$54),0)),SUM(IF((INDIRECT($B$3)=$B164)*(INDIRECT($C$3)=$D164)*((INDIRECT($E$3)="TOTS")+(INDIRECT($E$3)=$E164)),INDIRECT(Y$3)))),_xlpm.y,SUM(_xlfn.CHOOSECOLS(_xlfn._xlws.FILTER(F_RT14[],(F_RT14[PrjId]=$B164)*(F_RT14[Vrs]=$D164)*(_xlfn.TEXTAFTER(F_RT14[ActGrp],":")=_xlfn.TEXTAFTER($H164,":")),"X"),MATCH("*"&amp;Y$54,F_RT14[#Headers],0))),IF(AND(_xlpm.x=0,_xlpm.y&lt;&gt;0),-1,IF(AND(_xlpm.x&lt;&gt;0,_xlpm.y&lt;&gt;0),_xlpm.x,IF(AND(_xlpm.x-SUM(IF((INDIRECT($B$3)=$B164)*(INDIRECT($C$3)=$D164)*((INDIRECT($E$3)="TOTS")+(INDIRECT($E$3)=$E164)),INDIRECT(Y$3)))&lt;&gt;0,_xlpm.y=0),-2,_xlpm.x)))),0))</f>
        <v>0</v>
      </c>
      <c r="Z164" s="198" t="str">
        <f t="shared" ca="1" si="3"/>
        <v>Fback!B164:Y164</v>
      </c>
    </row>
    <row r="165" spans="2:26" ht="21" customHeight="1" outlineLevel="1">
      <c r="B165" s="128" t="str">
        <v>31200</v>
      </c>
      <c r="C165" s="128" t="str">
        <v>Sp</v>
      </c>
      <c r="D165" s="128">
        <v>0</v>
      </c>
      <c r="E165" s="128" t="str">
        <v>DISI</v>
      </c>
      <c r="F165" s="139" t="str">
        <v>SERRA</v>
      </c>
      <c r="G165" s="139" t="str">
        <v>CurPpto</v>
      </c>
      <c r="H165" s="139" t="str">
        <v>G010:ROBCAD</v>
      </c>
      <c r="I165" s="199" cm="1">
        <f t="array" aca="1" ref="I165" ca="1">IF(OR($B165="",$B165="X",$D165="",$D165="X",$E165="",$E165="X"),0,IFERROR(_xlfn.LET(_xlpm.x,SUM(SUM(_xlfn._xlws.FILTER(VALUE(PptoSty[Sign]&amp;1)*(1/PptoSty[Division]),(PptoSty[Division]&lt;&gt;0)*(PptoSty[Division]&lt;&gt;"")*(PptoSty[Division]&lt;&gt;"X")*(PptoSty[Project]=$B165)*(PptoSty[Vrs]=$D165)*(PptoSty[PiRow]=_xlfn.TEXTAFTER($H165,":"))*(PptoSty[PiColumn]=I$54),0)),SUM(IF((INDIRECT($B$3)=$B165)*(INDIRECT($C$3)=$D165)*((INDIRECT($E$3)="TOTS")+(INDIRECT($E$3)=$E165)),INDIRECT(I$3)))),_xlpm.y,SUM(_xlfn.CHOOSECOLS(_xlfn._xlws.FILTER(F_RT14[],(F_RT14[PrjId]=$B165)*(F_RT14[Vrs]=$D165)*(_xlfn.TEXTAFTER(F_RT14[ActGrp],":")=_xlfn.TEXTAFTER($H165,":")),"X"),MATCH("*"&amp;I$54,F_RT14[#Headers],0))),IF(AND(_xlpm.x=0,_xlpm.y&lt;&gt;0),-1,IF(AND(_xlpm.x&lt;&gt;0,_xlpm.y&lt;&gt;0),_xlpm.x,IF(AND(_xlpm.x-SUM(IF((INDIRECT($B$3)=$B165)*(INDIRECT($C$3)=$D165)*((INDIRECT($E$3)="TOTS")+(INDIRECT($E$3)=$E165)),INDIRECT(I$3)))&lt;&gt;0,_xlpm.y=0),-2,_xlpm.x)))),0))</f>
        <v>0</v>
      </c>
      <c r="J165" s="199" cm="1">
        <f t="array" aca="1" ref="J165" ca="1">IF(OR($B165="",$B165="X",$D165="",$D165="X",$E165="",$E165="X"),0,IFERROR(_xlfn.LET(_xlpm.x,SUM(SUM(_xlfn._xlws.FILTER(VALUE(PptoSty[Sign]&amp;1)*(1/PptoSty[Division]),(PptoSty[Division]&lt;&gt;0)*(PptoSty[Division]&lt;&gt;"")*(PptoSty[Division]&lt;&gt;"X")*(PptoSty[Project]=$B165)*(PptoSty[Vrs]=$D165)*(PptoSty[PiRow]=_xlfn.TEXTAFTER($H165,":"))*(PptoSty[PiColumn]=J$54),0)),SUM(IF((INDIRECT($B$3)=$B165)*(INDIRECT($C$3)=$D165)*((INDIRECT($E$3)="TOTS")+(INDIRECT($E$3)=$E165)),INDIRECT(J$3)))),_xlpm.y,SUM(_xlfn.CHOOSECOLS(_xlfn._xlws.FILTER(F_RT14[],(F_RT14[PrjId]=$B165)*(F_RT14[Vrs]=$D165)*(_xlfn.TEXTAFTER(F_RT14[ActGrp],":")=_xlfn.TEXTAFTER($H165,":")),"X"),MATCH("*"&amp;J$54,F_RT14[#Headers],0))),IF(AND(_xlpm.x=0,_xlpm.y&lt;&gt;0),-1,IF(AND(_xlpm.x&lt;&gt;0,_xlpm.y&lt;&gt;0),_xlpm.x,IF(AND(_xlpm.x-SUM(IF((INDIRECT($B$3)=$B165)*(INDIRECT($C$3)=$D165)*((INDIRECT($E$3)="TOTS")+(INDIRECT($E$3)=$E165)),INDIRECT(J$3)))&lt;&gt;0,_xlpm.y=0),-2,_xlpm.x)))),0))</f>
        <v>0</v>
      </c>
      <c r="K165" s="199" cm="1">
        <f t="array" aca="1" ref="K165" ca="1">IF(OR($B165="",$B165="X",$D165="",$D165="X",$E165="",$E165="X"),0,IFERROR(_xlfn.LET(_xlpm.x,SUM(SUM(_xlfn._xlws.FILTER(VALUE(PptoSty[Sign]&amp;1)*(1/PptoSty[Division]),(PptoSty[Division]&lt;&gt;0)*(PptoSty[Division]&lt;&gt;"")*(PptoSty[Division]&lt;&gt;"X")*(PptoSty[Project]=$B165)*(PptoSty[Vrs]=$D165)*(PptoSty[PiRow]=_xlfn.TEXTAFTER($H165,":"))*(PptoSty[PiColumn]=K$54),0)),SUM(IF((INDIRECT($B$3)=$B165)*(INDIRECT($C$3)=$D165)*((INDIRECT($E$3)="TOTS")+(INDIRECT($E$3)=$E165)),INDIRECT(K$3)))),_xlpm.y,SUM(_xlfn.CHOOSECOLS(_xlfn._xlws.FILTER(F_RT14[],(F_RT14[PrjId]=$B165)*(F_RT14[Vrs]=$D165)*(_xlfn.TEXTAFTER(F_RT14[ActGrp],":")=_xlfn.TEXTAFTER($H165,":")),"X"),MATCH("*"&amp;K$54,F_RT14[#Headers],0))),IF(AND(_xlpm.x=0,_xlpm.y&lt;&gt;0),-1,IF(AND(_xlpm.x&lt;&gt;0,_xlpm.y&lt;&gt;0),_xlpm.x,IF(AND(_xlpm.x-SUM(IF((INDIRECT($B$3)=$B165)*(INDIRECT($C$3)=$D165)*((INDIRECT($E$3)="TOTS")+(INDIRECT($E$3)=$E165)),INDIRECT(K$3)))&lt;&gt;0,_xlpm.y=0),-2,_xlpm.x)))),0))</f>
        <v>0</v>
      </c>
      <c r="L165" s="199" cm="1">
        <f t="array" aca="1" ref="L165" ca="1">IF(OR($B165="",$B165="X",$D165="",$D165="X",$E165="",$E165="X"),0,IFERROR(_xlfn.LET(_xlpm.x,SUM(SUM(_xlfn._xlws.FILTER(VALUE(PptoSty[Sign]&amp;1)*(1/PptoSty[Division]),(PptoSty[Division]&lt;&gt;0)*(PptoSty[Division]&lt;&gt;"")*(PptoSty[Division]&lt;&gt;"X")*(PptoSty[Project]=$B165)*(PptoSty[Vrs]=$D165)*(PptoSty[PiRow]=_xlfn.TEXTAFTER($H165,":"))*(PptoSty[PiColumn]=L$54),0)),SUM(IF((INDIRECT($B$3)=$B165)*(INDIRECT($C$3)=$D165)*((INDIRECT($E$3)="TOTS")+(INDIRECT($E$3)=$E165)),INDIRECT(L$3)))),_xlpm.y,SUM(_xlfn.CHOOSECOLS(_xlfn._xlws.FILTER(F_RT14[],(F_RT14[PrjId]=$B165)*(F_RT14[Vrs]=$D165)*(_xlfn.TEXTAFTER(F_RT14[ActGrp],":")=_xlfn.TEXTAFTER($H165,":")),"X"),MATCH("*"&amp;L$54,F_RT14[#Headers],0))),IF(AND(_xlpm.x=0,_xlpm.y&lt;&gt;0),-1,IF(AND(_xlpm.x&lt;&gt;0,_xlpm.y&lt;&gt;0),_xlpm.x,IF(AND(_xlpm.x-SUM(IF((INDIRECT($B$3)=$B165)*(INDIRECT($C$3)=$D165)*((INDIRECT($E$3)="TOTS")+(INDIRECT($E$3)=$E165)),INDIRECT(L$3)))&lt;&gt;0,_xlpm.y=0),-2,_xlpm.x)))),0))</f>
        <v>-1</v>
      </c>
      <c r="M165" s="199" cm="1">
        <f t="array" aca="1" ref="M165" ca="1">IF(OR($B165="",$B165="X",$D165="",$D165="X",$E165="",$E165="X"),0,IFERROR(_xlfn.LET(_xlpm.x,SUM(SUM(_xlfn._xlws.FILTER(VALUE(PptoSty[Sign]&amp;1)*(1/PptoSty[Division]),(PptoSty[Division]&lt;&gt;0)*(PptoSty[Division]&lt;&gt;"")*(PptoSty[Division]&lt;&gt;"X")*(PptoSty[Project]=$B165)*(PptoSty[Vrs]=$D165)*(PptoSty[PiRow]=_xlfn.TEXTAFTER($H165,":"))*(PptoSty[PiColumn]=M$54),0)),SUM(IF((INDIRECT($B$3)=$B165)*(INDIRECT($C$3)=$D165)*((INDIRECT($E$3)="TOTS")+(INDIRECT($E$3)=$E165)),INDIRECT(M$3)))),_xlpm.y,SUM(_xlfn.CHOOSECOLS(_xlfn._xlws.FILTER(F_RT14[],(F_RT14[PrjId]=$B165)*(F_RT14[Vrs]=$D165)*(_xlfn.TEXTAFTER(F_RT14[ActGrp],":")=_xlfn.TEXTAFTER($H165,":")),"X"),MATCH("*"&amp;M$54,F_RT14[#Headers],0))),IF(AND(_xlpm.x=0,_xlpm.y&lt;&gt;0),-1,IF(AND(_xlpm.x&lt;&gt;0,_xlpm.y&lt;&gt;0),_xlpm.x,IF(AND(_xlpm.x-SUM(IF((INDIRECT($B$3)=$B165)*(INDIRECT($C$3)=$D165)*((INDIRECT($E$3)="TOTS")+(INDIRECT($E$3)=$E165)),INDIRECT(M$3)))&lt;&gt;0,_xlpm.y=0),-2,_xlpm.x)))),0))</f>
        <v>0</v>
      </c>
      <c r="N165" s="199" cm="1">
        <f t="array" aca="1" ref="N165" ca="1">IF(OR($B165="",$B165="X",$D165="",$D165="X",$E165="",$E165="X"),0,IFERROR(_xlfn.LET(_xlpm.x,SUM(SUM(_xlfn._xlws.FILTER(VALUE(PptoSty[Sign]&amp;1)*(1/PptoSty[Division]),(PptoSty[Division]&lt;&gt;0)*(PptoSty[Division]&lt;&gt;"")*(PptoSty[Division]&lt;&gt;"X")*(PptoSty[Project]=$B165)*(PptoSty[Vrs]=$D165)*(PptoSty[PiRow]=_xlfn.TEXTAFTER($H165,":"))*(PptoSty[PiColumn]=N$54),0)),SUM(IF((INDIRECT($B$3)=$B165)*(INDIRECT($C$3)=$D165)*((INDIRECT($E$3)="TOTS")+(INDIRECT($E$3)=$E165)),INDIRECT(N$3)))),_xlpm.y,SUM(_xlfn.CHOOSECOLS(_xlfn._xlws.FILTER(F_RT14[],(F_RT14[PrjId]=$B165)*(F_RT14[Vrs]=$D165)*(_xlfn.TEXTAFTER(F_RT14[ActGrp],":")=_xlfn.TEXTAFTER($H165,":")),"X"),MATCH("*"&amp;N$54,F_RT14[#Headers],0))),IF(AND(_xlpm.x=0,_xlpm.y&lt;&gt;0),-1,IF(AND(_xlpm.x&lt;&gt;0,_xlpm.y&lt;&gt;0),_xlpm.x,IF(AND(_xlpm.x-SUM(IF((INDIRECT($B$3)=$B165)*(INDIRECT($C$3)=$D165)*((INDIRECT($E$3)="TOTS")+(INDIRECT($E$3)=$E165)),INDIRECT(N$3)))&lt;&gt;0,_xlpm.y=0),-2,_xlpm.x)))),0))</f>
        <v>0</v>
      </c>
      <c r="O165" s="199" cm="1">
        <f t="array" aca="1" ref="O165" ca="1">IF(OR($B165="",$B165="X",$D165="",$D165="X",$E165="",$E165="X"),0,IFERROR(_xlfn.LET(_xlpm.x,SUM(SUM(_xlfn._xlws.FILTER(VALUE(PptoSty[Sign]&amp;1)*(1/PptoSty[Division]),(PptoSty[Division]&lt;&gt;0)*(PptoSty[Division]&lt;&gt;"")*(PptoSty[Division]&lt;&gt;"X")*(PptoSty[Project]=$B165)*(PptoSty[Vrs]=$D165)*(PptoSty[PiRow]=_xlfn.TEXTAFTER($H165,":"))*(PptoSty[PiColumn]=O$54),0)),SUM(IF((INDIRECT($B$3)=$B165)*(INDIRECT($C$3)=$D165)*((INDIRECT($E$3)="TOTS")+(INDIRECT($E$3)=$E165)),INDIRECT(O$3)))),_xlpm.y,SUM(_xlfn.CHOOSECOLS(_xlfn._xlws.FILTER(F_RT14[],(F_RT14[PrjId]=$B165)*(F_RT14[Vrs]=$D165)*(_xlfn.TEXTAFTER(F_RT14[ActGrp],":")=_xlfn.TEXTAFTER($H165,":")),"X"),MATCH("*"&amp;O$54,F_RT14[#Headers],0))),IF(AND(_xlpm.x=0,_xlpm.y&lt;&gt;0),-1,IF(AND(_xlpm.x&lt;&gt;0,_xlpm.y&lt;&gt;0),_xlpm.x,IF(AND(_xlpm.x-SUM(IF((INDIRECT($B$3)=$B165)*(INDIRECT($C$3)=$D165)*((INDIRECT($E$3)="TOTS")+(INDIRECT($E$3)=$E165)),INDIRECT(O$3)))&lt;&gt;0,_xlpm.y=0),-2,_xlpm.x)))),0))</f>
        <v>0</v>
      </c>
      <c r="P165" s="199" cm="1">
        <f t="array" aca="1" ref="P165" ca="1">IF(OR($B165="",$B165="X",$D165="",$D165="X",$E165="",$E165="X"),0,IFERROR(_xlfn.LET(_xlpm.x,SUM(SUM(_xlfn._xlws.FILTER(VALUE(PptoSty[Sign]&amp;1)*(1/PptoSty[Division]),(PptoSty[Division]&lt;&gt;0)*(PptoSty[Division]&lt;&gt;"")*(PptoSty[Division]&lt;&gt;"X")*(PptoSty[Project]=$B165)*(PptoSty[Vrs]=$D165)*(PptoSty[PiRow]=_xlfn.TEXTAFTER($H165,":"))*(PptoSty[PiColumn]=P$54),0)),SUM(IF((INDIRECT($B$3)=$B165)*(INDIRECT($C$3)=$D165)*((INDIRECT($E$3)="TOTS")+(INDIRECT($E$3)=$E165)),INDIRECT(P$3)))),_xlpm.y,SUM(_xlfn.CHOOSECOLS(_xlfn._xlws.FILTER(F_RT14[],(F_RT14[PrjId]=$B165)*(F_RT14[Vrs]=$D165)*(_xlfn.TEXTAFTER(F_RT14[ActGrp],":")=_xlfn.TEXTAFTER($H165,":")),"X"),MATCH("*"&amp;P$54,F_RT14[#Headers],0))),IF(AND(_xlpm.x=0,_xlpm.y&lt;&gt;0),-1,IF(AND(_xlpm.x&lt;&gt;0,_xlpm.y&lt;&gt;0),_xlpm.x,IF(AND(_xlpm.x-SUM(IF((INDIRECT($B$3)=$B165)*(INDIRECT($C$3)=$D165)*((INDIRECT($E$3)="TOTS")+(INDIRECT($E$3)=$E165)),INDIRECT(P$3)))&lt;&gt;0,_xlpm.y=0),-2,_xlpm.x)))),0))</f>
        <v>0</v>
      </c>
      <c r="Q165" s="199" cm="1">
        <f t="array" aca="1" ref="Q165" ca="1">IF(OR($B165="",$B165="X",$D165="",$D165="X",$E165="",$E165="X"),0,IFERROR(_xlfn.LET(_xlpm.x,SUM(SUM(_xlfn._xlws.FILTER(VALUE(PptoSty[Sign]&amp;1)*(1/PptoSty[Division]),(PptoSty[Division]&lt;&gt;0)*(PptoSty[Division]&lt;&gt;"")*(PptoSty[Division]&lt;&gt;"X")*(PptoSty[Project]=$B165)*(PptoSty[Vrs]=$D165)*(PptoSty[PiRow]=_xlfn.TEXTAFTER($H165,":"))*(PptoSty[PiColumn]=Q$54),0)),SUM(IF((INDIRECT($B$3)=$B165)*(INDIRECT($C$3)=$D165)*((INDIRECT($E$3)="TOTS")+(INDIRECT($E$3)=$E165)),INDIRECT(Q$3)))),_xlpm.y,SUM(_xlfn.CHOOSECOLS(_xlfn._xlws.FILTER(F_RT14[],(F_RT14[PrjId]=$B165)*(F_RT14[Vrs]=$D165)*(_xlfn.TEXTAFTER(F_RT14[ActGrp],":")=_xlfn.TEXTAFTER($H165,":")),"X"),MATCH("*"&amp;Q$54,F_RT14[#Headers],0))),IF(AND(_xlpm.x=0,_xlpm.y&lt;&gt;0),-1,IF(AND(_xlpm.x&lt;&gt;0,_xlpm.y&lt;&gt;0),_xlpm.x,IF(AND(_xlpm.x-SUM(IF((INDIRECT($B$3)=$B165)*(INDIRECT($C$3)=$D165)*((INDIRECT($E$3)="TOTS")+(INDIRECT($E$3)=$E165)),INDIRECT(Q$3)))&lt;&gt;0,_xlpm.y=0),-2,_xlpm.x)))),0))</f>
        <v>0</v>
      </c>
      <c r="R165" s="199" cm="1">
        <f t="array" aca="1" ref="R165" ca="1">IF(OR($B165="",$B165="X",$D165="",$D165="X",$E165="",$E165="X"),0,IFERROR(_xlfn.LET(_xlpm.x,SUM(SUM(_xlfn._xlws.FILTER(VALUE(PptoSty[Sign]&amp;1)*(1/PptoSty[Division]),(PptoSty[Division]&lt;&gt;0)*(PptoSty[Division]&lt;&gt;"")*(PptoSty[Division]&lt;&gt;"X")*(PptoSty[Project]=$B165)*(PptoSty[Vrs]=$D165)*(PptoSty[PiRow]=_xlfn.TEXTAFTER($H165,":"))*(PptoSty[PiColumn]=R$54),0)),SUM(IF((INDIRECT($B$3)=$B165)*(INDIRECT($C$3)=$D165)*((INDIRECT($E$3)="TOTS")+(INDIRECT($E$3)=$E165)),INDIRECT(R$3)))),_xlpm.y,SUM(_xlfn.CHOOSECOLS(_xlfn._xlws.FILTER(F_RT14[],(F_RT14[PrjId]=$B165)*(F_RT14[Vrs]=$D165)*(_xlfn.TEXTAFTER(F_RT14[ActGrp],":")=_xlfn.TEXTAFTER($H165,":")),"X"),MATCH("*"&amp;R$54,F_RT14[#Headers],0))),IF(AND(_xlpm.x=0,_xlpm.y&lt;&gt;0),-1,IF(AND(_xlpm.x&lt;&gt;0,_xlpm.y&lt;&gt;0),_xlpm.x,IF(AND(_xlpm.x-SUM(IF((INDIRECT($B$3)=$B165)*(INDIRECT($C$3)=$D165)*((INDIRECT($E$3)="TOTS")+(INDIRECT($E$3)=$E165)),INDIRECT(R$3)))&lt;&gt;0,_xlpm.y=0),-2,_xlpm.x)))),0))</f>
        <v>0</v>
      </c>
      <c r="S165" s="199" cm="1">
        <f t="array" aca="1" ref="S165" ca="1">IF(OR($B165="",$B165="X",$D165="",$D165="X",$E165="",$E165="X"),0,IFERROR(_xlfn.LET(_xlpm.x,SUM(SUM(_xlfn._xlws.FILTER(VALUE(PptoSty[Sign]&amp;1)*(1/PptoSty[Division]),(PptoSty[Division]&lt;&gt;0)*(PptoSty[Division]&lt;&gt;"")*(PptoSty[Division]&lt;&gt;"X")*(PptoSty[Project]=$B165)*(PptoSty[Vrs]=$D165)*(PptoSty[PiRow]=_xlfn.TEXTAFTER($H165,":"))*(PptoSty[PiColumn]=S$54),0)),SUM(IF((INDIRECT($B$3)=$B165)*(INDIRECT($C$3)=$D165)*((INDIRECT($E$3)="TOTS")+(INDIRECT($E$3)=$E165)),INDIRECT(S$3)))),_xlpm.y,SUM(_xlfn.CHOOSECOLS(_xlfn._xlws.FILTER(F_RT14[],(F_RT14[PrjId]=$B165)*(F_RT14[Vrs]=$D165)*(_xlfn.TEXTAFTER(F_RT14[ActGrp],":")=_xlfn.TEXTAFTER($H165,":")),"X"),MATCH("*"&amp;S$54,F_RT14[#Headers],0))),IF(AND(_xlpm.x=0,_xlpm.y&lt;&gt;0),-1,IF(AND(_xlpm.x&lt;&gt;0,_xlpm.y&lt;&gt;0),_xlpm.x,IF(AND(_xlpm.x-SUM(IF((INDIRECT($B$3)=$B165)*(INDIRECT($C$3)=$D165)*((INDIRECT($E$3)="TOTS")+(INDIRECT($E$3)=$E165)),INDIRECT(S$3)))&lt;&gt;0,_xlpm.y=0),-2,_xlpm.x)))),0))</f>
        <v>0</v>
      </c>
      <c r="T165" s="199" cm="1">
        <f t="array" aca="1" ref="T165" ca="1">IF(OR($B165="",$B165="X",$D165="",$D165="X",$E165="",$E165="X"),0,IFERROR(_xlfn.LET(_xlpm.x,SUM(SUM(_xlfn._xlws.FILTER(VALUE(PptoSty[Sign]&amp;1)*(1/PptoSty[Division]),(PptoSty[Division]&lt;&gt;0)*(PptoSty[Division]&lt;&gt;"")*(PptoSty[Division]&lt;&gt;"X")*(PptoSty[Project]=$B165)*(PptoSty[Vrs]=$D165)*(PptoSty[PiRow]=_xlfn.TEXTAFTER($H165,":"))*(PptoSty[PiColumn]=T$54),0)),SUM(IF((INDIRECT($B$3)=$B165)*(INDIRECT($C$3)=$D165)*((INDIRECT($E$3)="TOTS")+(INDIRECT($E$3)=$E165)),INDIRECT(T$3)))),_xlpm.y,SUM(_xlfn.CHOOSECOLS(_xlfn._xlws.FILTER(F_RT14[],(F_RT14[PrjId]=$B165)*(F_RT14[Vrs]=$D165)*(_xlfn.TEXTAFTER(F_RT14[ActGrp],":")=_xlfn.TEXTAFTER($H165,":")),"X"),MATCH("*"&amp;T$54,F_RT14[#Headers],0))),IF(AND(_xlpm.x=0,_xlpm.y&lt;&gt;0),-1,IF(AND(_xlpm.x&lt;&gt;0,_xlpm.y&lt;&gt;0),_xlpm.x,IF(AND(_xlpm.x-SUM(IF((INDIRECT($B$3)=$B165)*(INDIRECT($C$3)=$D165)*((INDIRECT($E$3)="TOTS")+(INDIRECT($E$3)=$E165)),INDIRECT(T$3)))&lt;&gt;0,_xlpm.y=0),-2,_xlpm.x)))),0))</f>
        <v>0</v>
      </c>
      <c r="U165" s="199" cm="1">
        <f t="array" aca="1" ref="U165" ca="1">IF(OR($B165="",$B165="X",$D165="",$D165="X",$E165="",$E165="X"),0,IFERROR(_xlfn.LET(_xlpm.x,SUM(SUM(_xlfn._xlws.FILTER(VALUE(PptoSty[Sign]&amp;1)*(1/PptoSty[Division]),(PptoSty[Division]&lt;&gt;0)*(PptoSty[Division]&lt;&gt;"")*(PptoSty[Division]&lt;&gt;"X")*(PptoSty[Project]=$B165)*(PptoSty[Vrs]=$D165)*(PptoSty[PiRow]=_xlfn.TEXTAFTER($H165,":"))*(PptoSty[PiColumn]=U$54),0)),SUM(IF((INDIRECT($B$3)=$B165)*(INDIRECT($C$3)=$D165)*((INDIRECT($E$3)="TOTS")+(INDIRECT($E$3)=$E165)),INDIRECT(U$3)))),_xlpm.y,SUM(_xlfn.CHOOSECOLS(_xlfn._xlws.FILTER(F_RT14[],(F_RT14[PrjId]=$B165)*(F_RT14[Vrs]=$D165)*(_xlfn.TEXTAFTER(F_RT14[ActGrp],":")=_xlfn.TEXTAFTER($H165,":")),"X"),MATCH("*"&amp;U$54,F_RT14[#Headers],0))),IF(AND(_xlpm.x=0,_xlpm.y&lt;&gt;0),-1,IF(AND(_xlpm.x&lt;&gt;0,_xlpm.y&lt;&gt;0),_xlpm.x,IF(AND(_xlpm.x-SUM(IF((INDIRECT($B$3)=$B165)*(INDIRECT($C$3)=$D165)*((INDIRECT($E$3)="TOTS")+(INDIRECT($E$3)=$E165)),INDIRECT(U$3)))&lt;&gt;0,_xlpm.y=0),-2,_xlpm.x)))),0))</f>
        <v>0</v>
      </c>
      <c r="V165" s="199" cm="1">
        <f t="array" aca="1" ref="V165" ca="1">IF(OR($B165="",$B165="X",$D165="",$D165="X",$E165="",$E165="X"),0,IFERROR(_xlfn.LET(_xlpm.x,SUM(SUM(_xlfn._xlws.FILTER(VALUE(PptoSty[Sign]&amp;1)*(1/PptoSty[Division]),(PptoSty[Division]&lt;&gt;0)*(PptoSty[Division]&lt;&gt;"")*(PptoSty[Division]&lt;&gt;"X")*(PptoSty[Project]=$B165)*(PptoSty[Vrs]=$D165)*(PptoSty[PiRow]=_xlfn.TEXTAFTER($H165,":"))*(PptoSty[PiColumn]=V$54),0)),SUM(IF((INDIRECT($B$3)=$B165)*(INDIRECT($C$3)=$D165)*((INDIRECT($E$3)="TOTS")+(INDIRECT($E$3)=$E165)),INDIRECT(V$3)))),_xlpm.y,SUM(_xlfn.CHOOSECOLS(_xlfn._xlws.FILTER(F_RT14[],(F_RT14[PrjId]=$B165)*(F_RT14[Vrs]=$D165)*(_xlfn.TEXTAFTER(F_RT14[ActGrp],":")=_xlfn.TEXTAFTER($H165,":")),"X"),MATCH("*"&amp;V$54,F_RT14[#Headers],0))),IF(AND(_xlpm.x=0,_xlpm.y&lt;&gt;0),-1,IF(AND(_xlpm.x&lt;&gt;0,_xlpm.y&lt;&gt;0),_xlpm.x,IF(AND(_xlpm.x-SUM(IF((INDIRECT($B$3)=$B165)*(INDIRECT($C$3)=$D165)*((INDIRECT($E$3)="TOTS")+(INDIRECT($E$3)=$E165)),INDIRECT(V$3)))&lt;&gt;0,_xlpm.y=0),-2,_xlpm.x)))),0))</f>
        <v>0</v>
      </c>
      <c r="W165" s="199" cm="1">
        <f t="array" aca="1" ref="W165" ca="1">IF(OR($B165="",$B165="X",$D165="",$D165="X",$E165="",$E165="X"),0,IFERROR(_xlfn.LET(_xlpm.x,SUM(SUM(_xlfn._xlws.FILTER(VALUE(PptoSty[Sign]&amp;1)*(1/PptoSty[Division]),(PptoSty[Division]&lt;&gt;0)*(PptoSty[Division]&lt;&gt;"")*(PptoSty[Division]&lt;&gt;"X")*(PptoSty[Project]=$B165)*(PptoSty[Vrs]=$D165)*(PptoSty[PiRow]=_xlfn.TEXTAFTER($H165,":"))*(PptoSty[PiColumn]=W$54),0)),SUM(IF((INDIRECT($B$3)=$B165)*(INDIRECT($C$3)=$D165)*((INDIRECT($E$3)="TOTS")+(INDIRECT($E$3)=$E165)),INDIRECT(W$3)))),_xlpm.y,SUM(_xlfn.CHOOSECOLS(_xlfn._xlws.FILTER(F_RT14[],(F_RT14[PrjId]=$B165)*(F_RT14[Vrs]=$D165)*(_xlfn.TEXTAFTER(F_RT14[ActGrp],":")=_xlfn.TEXTAFTER($H165,":")),"X"),MATCH("*"&amp;W$54,F_RT14[#Headers],0))),IF(AND(_xlpm.x=0,_xlpm.y&lt;&gt;0),-1,IF(AND(_xlpm.x&lt;&gt;0,_xlpm.y&lt;&gt;0),_xlpm.x,IF(AND(_xlpm.x-SUM(IF((INDIRECT($B$3)=$B165)*(INDIRECT($C$3)=$D165)*((INDIRECT($E$3)="TOTS")+(INDIRECT($E$3)=$E165)),INDIRECT(W$3)))&lt;&gt;0,_xlpm.y=0),-2,_xlpm.x)))),0))</f>
        <v>0</v>
      </c>
      <c r="X165" s="199" cm="1">
        <f t="array" aca="1" ref="X165" ca="1">IF(OR($B165="",$B165="X",$D165="",$D165="X",$E165="",$E165="X"),0,IFERROR(_xlfn.LET(_xlpm.x,SUM(SUM(_xlfn._xlws.FILTER(VALUE(PptoSty[Sign]&amp;1)*(1/PptoSty[Division]),(PptoSty[Division]&lt;&gt;0)*(PptoSty[Division]&lt;&gt;"")*(PptoSty[Division]&lt;&gt;"X")*(PptoSty[Project]=$B165)*(PptoSty[Vrs]=$D165)*(PptoSty[PiRow]=_xlfn.TEXTAFTER($H165,":"))*(PptoSty[PiColumn]=X$54),0)),SUM(IF((INDIRECT($B$3)=$B165)*(INDIRECT($C$3)=$D165)*((INDIRECT($E$3)="TOTS")+(INDIRECT($E$3)=$E165)),INDIRECT(X$3)))),_xlpm.y,SUM(_xlfn.CHOOSECOLS(_xlfn._xlws.FILTER(F_RT14[],(F_RT14[PrjId]=$B165)*(F_RT14[Vrs]=$D165)*(_xlfn.TEXTAFTER(F_RT14[ActGrp],":")=_xlfn.TEXTAFTER($H165,":")),"X"),MATCH("*"&amp;X$54,F_RT14[#Headers],0))),IF(AND(_xlpm.x=0,_xlpm.y&lt;&gt;0),-1,IF(AND(_xlpm.x&lt;&gt;0,_xlpm.y&lt;&gt;0),_xlpm.x,IF(AND(_xlpm.x-SUM(IF((INDIRECT($B$3)=$B165)*(INDIRECT($C$3)=$D165)*((INDIRECT($E$3)="TOTS")+(INDIRECT($E$3)=$E165)),INDIRECT(X$3)))&lt;&gt;0,_xlpm.y=0),-2,_xlpm.x)))),0))</f>
        <v>0</v>
      </c>
      <c r="Y165" s="199" cm="1">
        <f t="array" aca="1" ref="Y165" ca="1">IF(OR($B165="",$B165="X",$D165="",$D165="X",$E165="",$E165="X"),0,IFERROR(_xlfn.LET(_xlpm.x,SUM(SUM(_xlfn._xlws.FILTER(VALUE(PptoSty[Sign]&amp;1)*(1/PptoSty[Division]),(PptoSty[Division]&lt;&gt;0)*(PptoSty[Division]&lt;&gt;"")*(PptoSty[Division]&lt;&gt;"X")*(PptoSty[Project]=$B165)*(PptoSty[Vrs]=$D165)*(PptoSty[PiRow]=_xlfn.TEXTAFTER($H165,":"))*(PptoSty[PiColumn]=Y$54),0)),SUM(IF((INDIRECT($B$3)=$B165)*(INDIRECT($C$3)=$D165)*((INDIRECT($E$3)="TOTS")+(INDIRECT($E$3)=$E165)),INDIRECT(Y$3)))),_xlpm.y,SUM(_xlfn.CHOOSECOLS(_xlfn._xlws.FILTER(F_RT14[],(F_RT14[PrjId]=$B165)*(F_RT14[Vrs]=$D165)*(_xlfn.TEXTAFTER(F_RT14[ActGrp],":")=_xlfn.TEXTAFTER($H165,":")),"X"),MATCH("*"&amp;Y$54,F_RT14[#Headers],0))),IF(AND(_xlpm.x=0,_xlpm.y&lt;&gt;0),-1,IF(AND(_xlpm.x&lt;&gt;0,_xlpm.y&lt;&gt;0),_xlpm.x,IF(AND(_xlpm.x-SUM(IF((INDIRECT($B$3)=$B165)*(INDIRECT($C$3)=$D165)*((INDIRECT($E$3)="TOTS")+(INDIRECT($E$3)=$E165)),INDIRECT(Y$3)))&lt;&gt;0,_xlpm.y=0),-2,_xlpm.x)))),0))</f>
        <v>0</v>
      </c>
      <c r="Z165" s="198" t="str">
        <f t="shared" ca="1" si="3"/>
        <v>Fback!B165:Y165</v>
      </c>
    </row>
    <row r="166" spans="2:26" ht="21" customHeight="1" outlineLevel="1">
      <c r="B166" s="128" t="str">
        <v>31200</v>
      </c>
      <c r="C166" s="128" t="str">
        <v>Sp</v>
      </c>
      <c r="D166" s="128">
        <v>0</v>
      </c>
      <c r="E166" s="128" t="str">
        <v>DISI</v>
      </c>
      <c r="F166" s="139" t="str">
        <v>SERRA</v>
      </c>
      <c r="G166" s="139" t="str">
        <v>CurPpto</v>
      </c>
      <c r="H166" s="139" t="str">
        <v>G011:PROYECTO ELÉCTRICO HARD</v>
      </c>
      <c r="I166" s="199" cm="1">
        <f t="array" aca="1" ref="I166" ca="1">IF(OR($B166="",$B166="X",$D166="",$D166="X",$E166="",$E166="X"),0,IFERROR(_xlfn.LET(_xlpm.x,SUM(SUM(_xlfn._xlws.FILTER(VALUE(PptoSty[Sign]&amp;1)*(1/PptoSty[Division]),(PptoSty[Division]&lt;&gt;0)*(PptoSty[Division]&lt;&gt;"")*(PptoSty[Division]&lt;&gt;"X")*(PptoSty[Project]=$B166)*(PptoSty[Vrs]=$D166)*(PptoSty[PiRow]=_xlfn.TEXTAFTER($H166,":"))*(PptoSty[PiColumn]=I$54),0)),SUM(IF((INDIRECT($B$3)=$B166)*(INDIRECT($C$3)=$D166)*((INDIRECT($E$3)="TOTS")+(INDIRECT($E$3)=$E166)),INDIRECT(I$3)))),_xlpm.y,SUM(_xlfn.CHOOSECOLS(_xlfn._xlws.FILTER(F_RT14[],(F_RT14[PrjId]=$B166)*(F_RT14[Vrs]=$D166)*(_xlfn.TEXTAFTER(F_RT14[ActGrp],":")=_xlfn.TEXTAFTER($H166,":")),"X"),MATCH("*"&amp;I$54,F_RT14[#Headers],0))),IF(AND(_xlpm.x=0,_xlpm.y&lt;&gt;0),-1,IF(AND(_xlpm.x&lt;&gt;0,_xlpm.y&lt;&gt;0),_xlpm.x,IF(AND(_xlpm.x-SUM(IF((INDIRECT($B$3)=$B166)*(INDIRECT($C$3)=$D166)*((INDIRECT($E$3)="TOTS")+(INDIRECT($E$3)=$E166)),INDIRECT(I$3)))&lt;&gt;0,_xlpm.y=0),-2,_xlpm.x)))),0))</f>
        <v>0</v>
      </c>
      <c r="J166" s="199" cm="1">
        <f t="array" aca="1" ref="J166" ca="1">IF(OR($B166="",$B166="X",$D166="",$D166="X",$E166="",$E166="X"),0,IFERROR(_xlfn.LET(_xlpm.x,SUM(SUM(_xlfn._xlws.FILTER(VALUE(PptoSty[Sign]&amp;1)*(1/PptoSty[Division]),(PptoSty[Division]&lt;&gt;0)*(PptoSty[Division]&lt;&gt;"")*(PptoSty[Division]&lt;&gt;"X")*(PptoSty[Project]=$B166)*(PptoSty[Vrs]=$D166)*(PptoSty[PiRow]=_xlfn.TEXTAFTER($H166,":"))*(PptoSty[PiColumn]=J$54),0)),SUM(IF((INDIRECT($B$3)=$B166)*(INDIRECT($C$3)=$D166)*((INDIRECT($E$3)="TOTS")+(INDIRECT($E$3)=$E166)),INDIRECT(J$3)))),_xlpm.y,SUM(_xlfn.CHOOSECOLS(_xlfn._xlws.FILTER(F_RT14[],(F_RT14[PrjId]=$B166)*(F_RT14[Vrs]=$D166)*(_xlfn.TEXTAFTER(F_RT14[ActGrp],":")=_xlfn.TEXTAFTER($H166,":")),"X"),MATCH("*"&amp;J$54,F_RT14[#Headers],0))),IF(AND(_xlpm.x=0,_xlpm.y&lt;&gt;0),-1,IF(AND(_xlpm.x&lt;&gt;0,_xlpm.y&lt;&gt;0),_xlpm.x,IF(AND(_xlpm.x-SUM(IF((INDIRECT($B$3)=$B166)*(INDIRECT($C$3)=$D166)*((INDIRECT($E$3)="TOTS")+(INDIRECT($E$3)=$E166)),INDIRECT(J$3)))&lt;&gt;0,_xlpm.y=0),-2,_xlpm.x)))),0))</f>
        <v>0</v>
      </c>
      <c r="K166" s="199" cm="1">
        <f t="array" aca="1" ref="K166" ca="1">IF(OR($B166="",$B166="X",$D166="",$D166="X",$E166="",$E166="X"),0,IFERROR(_xlfn.LET(_xlpm.x,SUM(SUM(_xlfn._xlws.FILTER(VALUE(PptoSty[Sign]&amp;1)*(1/PptoSty[Division]),(PptoSty[Division]&lt;&gt;0)*(PptoSty[Division]&lt;&gt;"")*(PptoSty[Division]&lt;&gt;"X")*(PptoSty[Project]=$B166)*(PptoSty[Vrs]=$D166)*(PptoSty[PiRow]=_xlfn.TEXTAFTER($H166,":"))*(PptoSty[PiColumn]=K$54),0)),SUM(IF((INDIRECT($B$3)=$B166)*(INDIRECT($C$3)=$D166)*((INDIRECT($E$3)="TOTS")+(INDIRECT($E$3)=$E166)),INDIRECT(K$3)))),_xlpm.y,SUM(_xlfn.CHOOSECOLS(_xlfn._xlws.FILTER(F_RT14[],(F_RT14[PrjId]=$B166)*(F_RT14[Vrs]=$D166)*(_xlfn.TEXTAFTER(F_RT14[ActGrp],":")=_xlfn.TEXTAFTER($H166,":")),"X"),MATCH("*"&amp;K$54,F_RT14[#Headers],0))),IF(AND(_xlpm.x=0,_xlpm.y&lt;&gt;0),-1,IF(AND(_xlpm.x&lt;&gt;0,_xlpm.y&lt;&gt;0),_xlpm.x,IF(AND(_xlpm.x-SUM(IF((INDIRECT($B$3)=$B166)*(INDIRECT($C$3)=$D166)*((INDIRECT($E$3)="TOTS")+(INDIRECT($E$3)=$E166)),INDIRECT(K$3)))&lt;&gt;0,_xlpm.y=0),-2,_xlpm.x)))),0))</f>
        <v>0</v>
      </c>
      <c r="L166" s="199" cm="1">
        <f t="array" aca="1" ref="L166" ca="1">IF(OR($B166="",$B166="X",$D166="",$D166="X",$E166="",$E166="X"),0,IFERROR(_xlfn.LET(_xlpm.x,SUM(SUM(_xlfn._xlws.FILTER(VALUE(PptoSty[Sign]&amp;1)*(1/PptoSty[Division]),(PptoSty[Division]&lt;&gt;0)*(PptoSty[Division]&lt;&gt;"")*(PptoSty[Division]&lt;&gt;"X")*(PptoSty[Project]=$B166)*(PptoSty[Vrs]=$D166)*(PptoSty[PiRow]=_xlfn.TEXTAFTER($H166,":"))*(PptoSty[PiColumn]=L$54),0)),SUM(IF((INDIRECT($B$3)=$B166)*(INDIRECT($C$3)=$D166)*((INDIRECT($E$3)="TOTS")+(INDIRECT($E$3)=$E166)),INDIRECT(L$3)))),_xlpm.y,SUM(_xlfn.CHOOSECOLS(_xlfn._xlws.FILTER(F_RT14[],(F_RT14[PrjId]=$B166)*(F_RT14[Vrs]=$D166)*(_xlfn.TEXTAFTER(F_RT14[ActGrp],":")=_xlfn.TEXTAFTER($H166,":")),"X"),MATCH("*"&amp;L$54,F_RT14[#Headers],0))),IF(AND(_xlpm.x=0,_xlpm.y&lt;&gt;0),-1,IF(AND(_xlpm.x&lt;&gt;0,_xlpm.y&lt;&gt;0),_xlpm.x,IF(AND(_xlpm.x-SUM(IF((INDIRECT($B$3)=$B166)*(INDIRECT($C$3)=$D166)*((INDIRECT($E$3)="TOTS")+(INDIRECT($E$3)=$E166)),INDIRECT(L$3)))&lt;&gt;0,_xlpm.y=0),-2,_xlpm.x)))),0))</f>
        <v>0</v>
      </c>
      <c r="M166" s="199" cm="1">
        <f t="array" aca="1" ref="M166" ca="1">IF(OR($B166="",$B166="X",$D166="",$D166="X",$E166="",$E166="X"),0,IFERROR(_xlfn.LET(_xlpm.x,SUM(SUM(_xlfn._xlws.FILTER(VALUE(PptoSty[Sign]&amp;1)*(1/PptoSty[Division]),(PptoSty[Division]&lt;&gt;0)*(PptoSty[Division]&lt;&gt;"")*(PptoSty[Division]&lt;&gt;"X")*(PptoSty[Project]=$B166)*(PptoSty[Vrs]=$D166)*(PptoSty[PiRow]=_xlfn.TEXTAFTER($H166,":"))*(PptoSty[PiColumn]=M$54),0)),SUM(IF((INDIRECT($B$3)=$B166)*(INDIRECT($C$3)=$D166)*((INDIRECT($E$3)="TOTS")+(INDIRECT($E$3)=$E166)),INDIRECT(M$3)))),_xlpm.y,SUM(_xlfn.CHOOSECOLS(_xlfn._xlws.FILTER(F_RT14[],(F_RT14[PrjId]=$B166)*(F_RT14[Vrs]=$D166)*(_xlfn.TEXTAFTER(F_RT14[ActGrp],":")=_xlfn.TEXTAFTER($H166,":")),"X"),MATCH("*"&amp;M$54,F_RT14[#Headers],0))),IF(AND(_xlpm.x=0,_xlpm.y&lt;&gt;0),-1,IF(AND(_xlpm.x&lt;&gt;0,_xlpm.y&lt;&gt;0),_xlpm.x,IF(AND(_xlpm.x-SUM(IF((INDIRECT($B$3)=$B166)*(INDIRECT($C$3)=$D166)*((INDIRECT($E$3)="TOTS")+(INDIRECT($E$3)=$E166)),INDIRECT(M$3)))&lt;&gt;0,_xlpm.y=0),-2,_xlpm.x)))),0))</f>
        <v>-1</v>
      </c>
      <c r="N166" s="199" cm="1">
        <f t="array" aca="1" ref="N166" ca="1">IF(OR($B166="",$B166="X",$D166="",$D166="X",$E166="",$E166="X"),0,IFERROR(_xlfn.LET(_xlpm.x,SUM(SUM(_xlfn._xlws.FILTER(VALUE(PptoSty[Sign]&amp;1)*(1/PptoSty[Division]),(PptoSty[Division]&lt;&gt;0)*(PptoSty[Division]&lt;&gt;"")*(PptoSty[Division]&lt;&gt;"X")*(PptoSty[Project]=$B166)*(PptoSty[Vrs]=$D166)*(PptoSty[PiRow]=_xlfn.TEXTAFTER($H166,":"))*(PptoSty[PiColumn]=N$54),0)),SUM(IF((INDIRECT($B$3)=$B166)*(INDIRECT($C$3)=$D166)*((INDIRECT($E$3)="TOTS")+(INDIRECT($E$3)=$E166)),INDIRECT(N$3)))),_xlpm.y,SUM(_xlfn.CHOOSECOLS(_xlfn._xlws.FILTER(F_RT14[],(F_RT14[PrjId]=$B166)*(F_RT14[Vrs]=$D166)*(_xlfn.TEXTAFTER(F_RT14[ActGrp],":")=_xlfn.TEXTAFTER($H166,":")),"X"),MATCH("*"&amp;N$54,F_RT14[#Headers],0))),IF(AND(_xlpm.x=0,_xlpm.y&lt;&gt;0),-1,IF(AND(_xlpm.x&lt;&gt;0,_xlpm.y&lt;&gt;0),_xlpm.x,IF(AND(_xlpm.x-SUM(IF((INDIRECT($B$3)=$B166)*(INDIRECT($C$3)=$D166)*((INDIRECT($E$3)="TOTS")+(INDIRECT($E$3)=$E166)),INDIRECT(N$3)))&lt;&gt;0,_xlpm.y=0),-2,_xlpm.x)))),0))</f>
        <v>0</v>
      </c>
      <c r="O166" s="199" cm="1">
        <f t="array" aca="1" ref="O166" ca="1">IF(OR($B166="",$B166="X",$D166="",$D166="X",$E166="",$E166="X"),0,IFERROR(_xlfn.LET(_xlpm.x,SUM(SUM(_xlfn._xlws.FILTER(VALUE(PptoSty[Sign]&amp;1)*(1/PptoSty[Division]),(PptoSty[Division]&lt;&gt;0)*(PptoSty[Division]&lt;&gt;"")*(PptoSty[Division]&lt;&gt;"X")*(PptoSty[Project]=$B166)*(PptoSty[Vrs]=$D166)*(PptoSty[PiRow]=_xlfn.TEXTAFTER($H166,":"))*(PptoSty[PiColumn]=O$54),0)),SUM(IF((INDIRECT($B$3)=$B166)*(INDIRECT($C$3)=$D166)*((INDIRECT($E$3)="TOTS")+(INDIRECT($E$3)=$E166)),INDIRECT(O$3)))),_xlpm.y,SUM(_xlfn.CHOOSECOLS(_xlfn._xlws.FILTER(F_RT14[],(F_RT14[PrjId]=$B166)*(F_RT14[Vrs]=$D166)*(_xlfn.TEXTAFTER(F_RT14[ActGrp],":")=_xlfn.TEXTAFTER($H166,":")),"X"),MATCH("*"&amp;O$54,F_RT14[#Headers],0))),IF(AND(_xlpm.x=0,_xlpm.y&lt;&gt;0),-1,IF(AND(_xlpm.x&lt;&gt;0,_xlpm.y&lt;&gt;0),_xlpm.x,IF(AND(_xlpm.x-SUM(IF((INDIRECT($B$3)=$B166)*(INDIRECT($C$3)=$D166)*((INDIRECT($E$3)="TOTS")+(INDIRECT($E$3)=$E166)),INDIRECT(O$3)))&lt;&gt;0,_xlpm.y=0),-2,_xlpm.x)))),0))</f>
        <v>0</v>
      </c>
      <c r="P166" s="199" cm="1">
        <f t="array" aca="1" ref="P166" ca="1">IF(OR($B166="",$B166="X",$D166="",$D166="X",$E166="",$E166="X"),0,IFERROR(_xlfn.LET(_xlpm.x,SUM(SUM(_xlfn._xlws.FILTER(VALUE(PptoSty[Sign]&amp;1)*(1/PptoSty[Division]),(PptoSty[Division]&lt;&gt;0)*(PptoSty[Division]&lt;&gt;"")*(PptoSty[Division]&lt;&gt;"X")*(PptoSty[Project]=$B166)*(PptoSty[Vrs]=$D166)*(PptoSty[PiRow]=_xlfn.TEXTAFTER($H166,":"))*(PptoSty[PiColumn]=P$54),0)),SUM(IF((INDIRECT($B$3)=$B166)*(INDIRECT($C$3)=$D166)*((INDIRECT($E$3)="TOTS")+(INDIRECT($E$3)=$E166)),INDIRECT(P$3)))),_xlpm.y,SUM(_xlfn.CHOOSECOLS(_xlfn._xlws.FILTER(F_RT14[],(F_RT14[PrjId]=$B166)*(F_RT14[Vrs]=$D166)*(_xlfn.TEXTAFTER(F_RT14[ActGrp],":")=_xlfn.TEXTAFTER($H166,":")),"X"),MATCH("*"&amp;P$54,F_RT14[#Headers],0))),IF(AND(_xlpm.x=0,_xlpm.y&lt;&gt;0),-1,IF(AND(_xlpm.x&lt;&gt;0,_xlpm.y&lt;&gt;0),_xlpm.x,IF(AND(_xlpm.x-SUM(IF((INDIRECT($B$3)=$B166)*(INDIRECT($C$3)=$D166)*((INDIRECT($E$3)="TOTS")+(INDIRECT($E$3)=$E166)),INDIRECT(P$3)))&lt;&gt;0,_xlpm.y=0),-2,_xlpm.x)))),0))</f>
        <v>0</v>
      </c>
      <c r="Q166" s="199" cm="1">
        <f t="array" aca="1" ref="Q166" ca="1">IF(OR($B166="",$B166="X",$D166="",$D166="X",$E166="",$E166="X"),0,IFERROR(_xlfn.LET(_xlpm.x,SUM(SUM(_xlfn._xlws.FILTER(VALUE(PptoSty[Sign]&amp;1)*(1/PptoSty[Division]),(PptoSty[Division]&lt;&gt;0)*(PptoSty[Division]&lt;&gt;"")*(PptoSty[Division]&lt;&gt;"X")*(PptoSty[Project]=$B166)*(PptoSty[Vrs]=$D166)*(PptoSty[PiRow]=_xlfn.TEXTAFTER($H166,":"))*(PptoSty[PiColumn]=Q$54),0)),SUM(IF((INDIRECT($B$3)=$B166)*(INDIRECT($C$3)=$D166)*((INDIRECT($E$3)="TOTS")+(INDIRECT($E$3)=$E166)),INDIRECT(Q$3)))),_xlpm.y,SUM(_xlfn.CHOOSECOLS(_xlfn._xlws.FILTER(F_RT14[],(F_RT14[PrjId]=$B166)*(F_RT14[Vrs]=$D166)*(_xlfn.TEXTAFTER(F_RT14[ActGrp],":")=_xlfn.TEXTAFTER($H166,":")),"X"),MATCH("*"&amp;Q$54,F_RT14[#Headers],0))),IF(AND(_xlpm.x=0,_xlpm.y&lt;&gt;0),-1,IF(AND(_xlpm.x&lt;&gt;0,_xlpm.y&lt;&gt;0),_xlpm.x,IF(AND(_xlpm.x-SUM(IF((INDIRECT($B$3)=$B166)*(INDIRECT($C$3)=$D166)*((INDIRECT($E$3)="TOTS")+(INDIRECT($E$3)=$E166)),INDIRECT(Q$3)))&lt;&gt;0,_xlpm.y=0),-2,_xlpm.x)))),0))</f>
        <v>0</v>
      </c>
      <c r="R166" s="199" cm="1">
        <f t="array" aca="1" ref="R166" ca="1">IF(OR($B166="",$B166="X",$D166="",$D166="X",$E166="",$E166="X"),0,IFERROR(_xlfn.LET(_xlpm.x,SUM(SUM(_xlfn._xlws.FILTER(VALUE(PptoSty[Sign]&amp;1)*(1/PptoSty[Division]),(PptoSty[Division]&lt;&gt;0)*(PptoSty[Division]&lt;&gt;"")*(PptoSty[Division]&lt;&gt;"X")*(PptoSty[Project]=$B166)*(PptoSty[Vrs]=$D166)*(PptoSty[PiRow]=_xlfn.TEXTAFTER($H166,":"))*(PptoSty[PiColumn]=R$54),0)),SUM(IF((INDIRECT($B$3)=$B166)*(INDIRECT($C$3)=$D166)*((INDIRECT($E$3)="TOTS")+(INDIRECT($E$3)=$E166)),INDIRECT(R$3)))),_xlpm.y,SUM(_xlfn.CHOOSECOLS(_xlfn._xlws.FILTER(F_RT14[],(F_RT14[PrjId]=$B166)*(F_RT14[Vrs]=$D166)*(_xlfn.TEXTAFTER(F_RT14[ActGrp],":")=_xlfn.TEXTAFTER($H166,":")),"X"),MATCH("*"&amp;R$54,F_RT14[#Headers],0))),IF(AND(_xlpm.x=0,_xlpm.y&lt;&gt;0),-1,IF(AND(_xlpm.x&lt;&gt;0,_xlpm.y&lt;&gt;0),_xlpm.x,IF(AND(_xlpm.x-SUM(IF((INDIRECT($B$3)=$B166)*(INDIRECT($C$3)=$D166)*((INDIRECT($E$3)="TOTS")+(INDIRECT($E$3)=$E166)),INDIRECT(R$3)))&lt;&gt;0,_xlpm.y=0),-2,_xlpm.x)))),0))</f>
        <v>0</v>
      </c>
      <c r="S166" s="199" cm="1">
        <f t="array" aca="1" ref="S166" ca="1">IF(OR($B166="",$B166="X",$D166="",$D166="X",$E166="",$E166="X"),0,IFERROR(_xlfn.LET(_xlpm.x,SUM(SUM(_xlfn._xlws.FILTER(VALUE(PptoSty[Sign]&amp;1)*(1/PptoSty[Division]),(PptoSty[Division]&lt;&gt;0)*(PptoSty[Division]&lt;&gt;"")*(PptoSty[Division]&lt;&gt;"X")*(PptoSty[Project]=$B166)*(PptoSty[Vrs]=$D166)*(PptoSty[PiRow]=_xlfn.TEXTAFTER($H166,":"))*(PptoSty[PiColumn]=S$54),0)),SUM(IF((INDIRECT($B$3)=$B166)*(INDIRECT($C$3)=$D166)*((INDIRECT($E$3)="TOTS")+(INDIRECT($E$3)=$E166)),INDIRECT(S$3)))),_xlpm.y,SUM(_xlfn.CHOOSECOLS(_xlfn._xlws.FILTER(F_RT14[],(F_RT14[PrjId]=$B166)*(F_RT14[Vrs]=$D166)*(_xlfn.TEXTAFTER(F_RT14[ActGrp],":")=_xlfn.TEXTAFTER($H166,":")),"X"),MATCH("*"&amp;S$54,F_RT14[#Headers],0))),IF(AND(_xlpm.x=0,_xlpm.y&lt;&gt;0),-1,IF(AND(_xlpm.x&lt;&gt;0,_xlpm.y&lt;&gt;0),_xlpm.x,IF(AND(_xlpm.x-SUM(IF((INDIRECT($B$3)=$B166)*(INDIRECT($C$3)=$D166)*((INDIRECT($E$3)="TOTS")+(INDIRECT($E$3)=$E166)),INDIRECT(S$3)))&lt;&gt;0,_xlpm.y=0),-2,_xlpm.x)))),0))</f>
        <v>0</v>
      </c>
      <c r="T166" s="199" cm="1">
        <f t="array" aca="1" ref="T166" ca="1">IF(OR($B166="",$B166="X",$D166="",$D166="X",$E166="",$E166="X"),0,IFERROR(_xlfn.LET(_xlpm.x,SUM(SUM(_xlfn._xlws.FILTER(VALUE(PptoSty[Sign]&amp;1)*(1/PptoSty[Division]),(PptoSty[Division]&lt;&gt;0)*(PptoSty[Division]&lt;&gt;"")*(PptoSty[Division]&lt;&gt;"X")*(PptoSty[Project]=$B166)*(PptoSty[Vrs]=$D166)*(PptoSty[PiRow]=_xlfn.TEXTAFTER($H166,":"))*(PptoSty[PiColumn]=T$54),0)),SUM(IF((INDIRECT($B$3)=$B166)*(INDIRECT($C$3)=$D166)*((INDIRECT($E$3)="TOTS")+(INDIRECT($E$3)=$E166)),INDIRECT(T$3)))),_xlpm.y,SUM(_xlfn.CHOOSECOLS(_xlfn._xlws.FILTER(F_RT14[],(F_RT14[PrjId]=$B166)*(F_RT14[Vrs]=$D166)*(_xlfn.TEXTAFTER(F_RT14[ActGrp],":")=_xlfn.TEXTAFTER($H166,":")),"X"),MATCH("*"&amp;T$54,F_RT14[#Headers],0))),IF(AND(_xlpm.x=0,_xlpm.y&lt;&gt;0),-1,IF(AND(_xlpm.x&lt;&gt;0,_xlpm.y&lt;&gt;0),_xlpm.x,IF(AND(_xlpm.x-SUM(IF((INDIRECT($B$3)=$B166)*(INDIRECT($C$3)=$D166)*((INDIRECT($E$3)="TOTS")+(INDIRECT($E$3)=$E166)),INDIRECT(T$3)))&lt;&gt;0,_xlpm.y=0),-2,_xlpm.x)))),0))</f>
        <v>0</v>
      </c>
      <c r="U166" s="199" cm="1">
        <f t="array" aca="1" ref="U166" ca="1">IF(OR($B166="",$B166="X",$D166="",$D166="X",$E166="",$E166="X"),0,IFERROR(_xlfn.LET(_xlpm.x,SUM(SUM(_xlfn._xlws.FILTER(VALUE(PptoSty[Sign]&amp;1)*(1/PptoSty[Division]),(PptoSty[Division]&lt;&gt;0)*(PptoSty[Division]&lt;&gt;"")*(PptoSty[Division]&lt;&gt;"X")*(PptoSty[Project]=$B166)*(PptoSty[Vrs]=$D166)*(PptoSty[PiRow]=_xlfn.TEXTAFTER($H166,":"))*(PptoSty[PiColumn]=U$54),0)),SUM(IF((INDIRECT($B$3)=$B166)*(INDIRECT($C$3)=$D166)*((INDIRECT($E$3)="TOTS")+(INDIRECT($E$3)=$E166)),INDIRECT(U$3)))),_xlpm.y,SUM(_xlfn.CHOOSECOLS(_xlfn._xlws.FILTER(F_RT14[],(F_RT14[PrjId]=$B166)*(F_RT14[Vrs]=$D166)*(_xlfn.TEXTAFTER(F_RT14[ActGrp],":")=_xlfn.TEXTAFTER($H166,":")),"X"),MATCH("*"&amp;U$54,F_RT14[#Headers],0))),IF(AND(_xlpm.x=0,_xlpm.y&lt;&gt;0),-1,IF(AND(_xlpm.x&lt;&gt;0,_xlpm.y&lt;&gt;0),_xlpm.x,IF(AND(_xlpm.x-SUM(IF((INDIRECT($B$3)=$B166)*(INDIRECT($C$3)=$D166)*((INDIRECT($E$3)="TOTS")+(INDIRECT($E$3)=$E166)),INDIRECT(U$3)))&lt;&gt;0,_xlpm.y=0),-2,_xlpm.x)))),0))</f>
        <v>0</v>
      </c>
      <c r="V166" s="199" cm="1">
        <f t="array" aca="1" ref="V166" ca="1">IF(OR($B166="",$B166="X",$D166="",$D166="X",$E166="",$E166="X"),0,IFERROR(_xlfn.LET(_xlpm.x,SUM(SUM(_xlfn._xlws.FILTER(VALUE(PptoSty[Sign]&amp;1)*(1/PptoSty[Division]),(PptoSty[Division]&lt;&gt;0)*(PptoSty[Division]&lt;&gt;"")*(PptoSty[Division]&lt;&gt;"X")*(PptoSty[Project]=$B166)*(PptoSty[Vrs]=$D166)*(PptoSty[PiRow]=_xlfn.TEXTAFTER($H166,":"))*(PptoSty[PiColumn]=V$54),0)),SUM(IF((INDIRECT($B$3)=$B166)*(INDIRECT($C$3)=$D166)*((INDIRECT($E$3)="TOTS")+(INDIRECT($E$3)=$E166)),INDIRECT(V$3)))),_xlpm.y,SUM(_xlfn.CHOOSECOLS(_xlfn._xlws.FILTER(F_RT14[],(F_RT14[PrjId]=$B166)*(F_RT14[Vrs]=$D166)*(_xlfn.TEXTAFTER(F_RT14[ActGrp],":")=_xlfn.TEXTAFTER($H166,":")),"X"),MATCH("*"&amp;V$54,F_RT14[#Headers],0))),IF(AND(_xlpm.x=0,_xlpm.y&lt;&gt;0),-1,IF(AND(_xlpm.x&lt;&gt;0,_xlpm.y&lt;&gt;0),_xlpm.x,IF(AND(_xlpm.x-SUM(IF((INDIRECT($B$3)=$B166)*(INDIRECT($C$3)=$D166)*((INDIRECT($E$3)="TOTS")+(INDIRECT($E$3)=$E166)),INDIRECT(V$3)))&lt;&gt;0,_xlpm.y=0),-2,_xlpm.x)))),0))</f>
        <v>0</v>
      </c>
      <c r="W166" s="199" cm="1">
        <f t="array" aca="1" ref="W166" ca="1">IF(OR($B166="",$B166="X",$D166="",$D166="X",$E166="",$E166="X"),0,IFERROR(_xlfn.LET(_xlpm.x,SUM(SUM(_xlfn._xlws.FILTER(VALUE(PptoSty[Sign]&amp;1)*(1/PptoSty[Division]),(PptoSty[Division]&lt;&gt;0)*(PptoSty[Division]&lt;&gt;"")*(PptoSty[Division]&lt;&gt;"X")*(PptoSty[Project]=$B166)*(PptoSty[Vrs]=$D166)*(PptoSty[PiRow]=_xlfn.TEXTAFTER($H166,":"))*(PptoSty[PiColumn]=W$54),0)),SUM(IF((INDIRECT($B$3)=$B166)*(INDIRECT($C$3)=$D166)*((INDIRECT($E$3)="TOTS")+(INDIRECT($E$3)=$E166)),INDIRECT(W$3)))),_xlpm.y,SUM(_xlfn.CHOOSECOLS(_xlfn._xlws.FILTER(F_RT14[],(F_RT14[PrjId]=$B166)*(F_RT14[Vrs]=$D166)*(_xlfn.TEXTAFTER(F_RT14[ActGrp],":")=_xlfn.TEXTAFTER($H166,":")),"X"),MATCH("*"&amp;W$54,F_RT14[#Headers],0))),IF(AND(_xlpm.x=0,_xlpm.y&lt;&gt;0),-1,IF(AND(_xlpm.x&lt;&gt;0,_xlpm.y&lt;&gt;0),_xlpm.x,IF(AND(_xlpm.x-SUM(IF((INDIRECT($B$3)=$B166)*(INDIRECT($C$3)=$D166)*((INDIRECT($E$3)="TOTS")+(INDIRECT($E$3)=$E166)),INDIRECT(W$3)))&lt;&gt;0,_xlpm.y=0),-2,_xlpm.x)))),0))</f>
        <v>0</v>
      </c>
      <c r="X166" s="199" cm="1">
        <f t="array" aca="1" ref="X166" ca="1">IF(OR($B166="",$B166="X",$D166="",$D166="X",$E166="",$E166="X"),0,IFERROR(_xlfn.LET(_xlpm.x,SUM(SUM(_xlfn._xlws.FILTER(VALUE(PptoSty[Sign]&amp;1)*(1/PptoSty[Division]),(PptoSty[Division]&lt;&gt;0)*(PptoSty[Division]&lt;&gt;"")*(PptoSty[Division]&lt;&gt;"X")*(PptoSty[Project]=$B166)*(PptoSty[Vrs]=$D166)*(PptoSty[PiRow]=_xlfn.TEXTAFTER($H166,":"))*(PptoSty[PiColumn]=X$54),0)),SUM(IF((INDIRECT($B$3)=$B166)*(INDIRECT($C$3)=$D166)*((INDIRECT($E$3)="TOTS")+(INDIRECT($E$3)=$E166)),INDIRECT(X$3)))),_xlpm.y,SUM(_xlfn.CHOOSECOLS(_xlfn._xlws.FILTER(F_RT14[],(F_RT14[PrjId]=$B166)*(F_RT14[Vrs]=$D166)*(_xlfn.TEXTAFTER(F_RT14[ActGrp],":")=_xlfn.TEXTAFTER($H166,":")),"X"),MATCH("*"&amp;X$54,F_RT14[#Headers],0))),IF(AND(_xlpm.x=0,_xlpm.y&lt;&gt;0),-1,IF(AND(_xlpm.x&lt;&gt;0,_xlpm.y&lt;&gt;0),_xlpm.x,IF(AND(_xlpm.x-SUM(IF((INDIRECT($B$3)=$B166)*(INDIRECT($C$3)=$D166)*((INDIRECT($E$3)="TOTS")+(INDIRECT($E$3)=$E166)),INDIRECT(X$3)))&lt;&gt;0,_xlpm.y=0),-2,_xlpm.x)))),0))</f>
        <v>0</v>
      </c>
      <c r="Y166" s="199" cm="1">
        <f t="array" aca="1" ref="Y166" ca="1">IF(OR($B166="",$B166="X",$D166="",$D166="X",$E166="",$E166="X"),0,IFERROR(_xlfn.LET(_xlpm.x,SUM(SUM(_xlfn._xlws.FILTER(VALUE(PptoSty[Sign]&amp;1)*(1/PptoSty[Division]),(PptoSty[Division]&lt;&gt;0)*(PptoSty[Division]&lt;&gt;"")*(PptoSty[Division]&lt;&gt;"X")*(PptoSty[Project]=$B166)*(PptoSty[Vrs]=$D166)*(PptoSty[PiRow]=_xlfn.TEXTAFTER($H166,":"))*(PptoSty[PiColumn]=Y$54),0)),SUM(IF((INDIRECT($B$3)=$B166)*(INDIRECT($C$3)=$D166)*((INDIRECT($E$3)="TOTS")+(INDIRECT($E$3)=$E166)),INDIRECT(Y$3)))),_xlpm.y,SUM(_xlfn.CHOOSECOLS(_xlfn._xlws.FILTER(F_RT14[],(F_RT14[PrjId]=$B166)*(F_RT14[Vrs]=$D166)*(_xlfn.TEXTAFTER(F_RT14[ActGrp],":")=_xlfn.TEXTAFTER($H166,":")),"X"),MATCH("*"&amp;Y$54,F_RT14[#Headers],0))),IF(AND(_xlpm.x=0,_xlpm.y&lt;&gt;0),-1,IF(AND(_xlpm.x&lt;&gt;0,_xlpm.y&lt;&gt;0),_xlpm.x,IF(AND(_xlpm.x-SUM(IF((INDIRECT($B$3)=$B166)*(INDIRECT($C$3)=$D166)*((INDIRECT($E$3)="TOTS")+(INDIRECT($E$3)=$E166)),INDIRECT(Y$3)))&lt;&gt;0,_xlpm.y=0),-2,_xlpm.x)))),0))</f>
        <v>0</v>
      </c>
      <c r="Z166" s="198" t="str">
        <f t="shared" ca="1" si="3"/>
        <v>Fback!B166:Y166</v>
      </c>
    </row>
    <row r="167" spans="2:26" ht="21" customHeight="1" outlineLevel="1">
      <c r="B167" s="128" t="str">
        <v>31200</v>
      </c>
      <c r="C167" s="128" t="str">
        <v>Sp</v>
      </c>
      <c r="D167" s="128">
        <v>0</v>
      </c>
      <c r="E167" s="128" t="str">
        <v>DISI</v>
      </c>
      <c r="F167" s="139" t="str">
        <v>SERRA</v>
      </c>
      <c r="G167" s="139" t="str">
        <v>CurPpto</v>
      </c>
      <c r="H167" s="139" t="str">
        <v>G012:OFF LINE PLC &amp; ROBOTICA</v>
      </c>
      <c r="I167" s="199" cm="1">
        <f t="array" aca="1" ref="I167" ca="1">IF(OR($B167="",$B167="X",$D167="",$D167="X",$E167="",$E167="X"),0,IFERROR(_xlfn.LET(_xlpm.x,SUM(SUM(_xlfn._xlws.FILTER(VALUE(PptoSty[Sign]&amp;1)*(1/PptoSty[Division]),(PptoSty[Division]&lt;&gt;0)*(PptoSty[Division]&lt;&gt;"")*(PptoSty[Division]&lt;&gt;"X")*(PptoSty[Project]=$B167)*(PptoSty[Vrs]=$D167)*(PptoSty[PiRow]=_xlfn.TEXTAFTER($H167,":"))*(PptoSty[PiColumn]=I$54),0)),SUM(IF((INDIRECT($B$3)=$B167)*(INDIRECT($C$3)=$D167)*((INDIRECT($E$3)="TOTS")+(INDIRECT($E$3)=$E167)),INDIRECT(I$3)))),_xlpm.y,SUM(_xlfn.CHOOSECOLS(_xlfn._xlws.FILTER(F_RT14[],(F_RT14[PrjId]=$B167)*(F_RT14[Vrs]=$D167)*(_xlfn.TEXTAFTER(F_RT14[ActGrp],":")=_xlfn.TEXTAFTER($H167,":")),"X"),MATCH("*"&amp;I$54,F_RT14[#Headers],0))),IF(AND(_xlpm.x=0,_xlpm.y&lt;&gt;0),-1,IF(AND(_xlpm.x&lt;&gt;0,_xlpm.y&lt;&gt;0),_xlpm.x,IF(AND(_xlpm.x-SUM(IF((INDIRECT($B$3)=$B167)*(INDIRECT($C$3)=$D167)*((INDIRECT($E$3)="TOTS")+(INDIRECT($E$3)=$E167)),INDIRECT(I$3)))&lt;&gt;0,_xlpm.y=0),-2,_xlpm.x)))),0))</f>
        <v>0</v>
      </c>
      <c r="J167" s="199" cm="1">
        <f t="array" aca="1" ref="J167" ca="1">IF(OR($B167="",$B167="X",$D167="",$D167="X",$E167="",$E167="X"),0,IFERROR(_xlfn.LET(_xlpm.x,SUM(SUM(_xlfn._xlws.FILTER(VALUE(PptoSty[Sign]&amp;1)*(1/PptoSty[Division]),(PptoSty[Division]&lt;&gt;0)*(PptoSty[Division]&lt;&gt;"")*(PptoSty[Division]&lt;&gt;"X")*(PptoSty[Project]=$B167)*(PptoSty[Vrs]=$D167)*(PptoSty[PiRow]=_xlfn.TEXTAFTER($H167,":"))*(PptoSty[PiColumn]=J$54),0)),SUM(IF((INDIRECT($B$3)=$B167)*(INDIRECT($C$3)=$D167)*((INDIRECT($E$3)="TOTS")+(INDIRECT($E$3)=$E167)),INDIRECT(J$3)))),_xlpm.y,SUM(_xlfn.CHOOSECOLS(_xlfn._xlws.FILTER(F_RT14[],(F_RT14[PrjId]=$B167)*(F_RT14[Vrs]=$D167)*(_xlfn.TEXTAFTER(F_RT14[ActGrp],":")=_xlfn.TEXTAFTER($H167,":")),"X"),MATCH("*"&amp;J$54,F_RT14[#Headers],0))),IF(AND(_xlpm.x=0,_xlpm.y&lt;&gt;0),-1,IF(AND(_xlpm.x&lt;&gt;0,_xlpm.y&lt;&gt;0),_xlpm.x,IF(AND(_xlpm.x-SUM(IF((INDIRECT($B$3)=$B167)*(INDIRECT($C$3)=$D167)*((INDIRECT($E$3)="TOTS")+(INDIRECT($E$3)=$E167)),INDIRECT(J$3)))&lt;&gt;0,_xlpm.y=0),-2,_xlpm.x)))),0))</f>
        <v>0</v>
      </c>
      <c r="K167" s="199" cm="1">
        <f t="array" aca="1" ref="K167" ca="1">IF(OR($B167="",$B167="X",$D167="",$D167="X",$E167="",$E167="X"),0,IFERROR(_xlfn.LET(_xlpm.x,SUM(SUM(_xlfn._xlws.FILTER(VALUE(PptoSty[Sign]&amp;1)*(1/PptoSty[Division]),(PptoSty[Division]&lt;&gt;0)*(PptoSty[Division]&lt;&gt;"")*(PptoSty[Division]&lt;&gt;"X")*(PptoSty[Project]=$B167)*(PptoSty[Vrs]=$D167)*(PptoSty[PiRow]=_xlfn.TEXTAFTER($H167,":"))*(PptoSty[PiColumn]=K$54),0)),SUM(IF((INDIRECT($B$3)=$B167)*(INDIRECT($C$3)=$D167)*((INDIRECT($E$3)="TOTS")+(INDIRECT($E$3)=$E167)),INDIRECT(K$3)))),_xlpm.y,SUM(_xlfn.CHOOSECOLS(_xlfn._xlws.FILTER(F_RT14[],(F_RT14[PrjId]=$B167)*(F_RT14[Vrs]=$D167)*(_xlfn.TEXTAFTER(F_RT14[ActGrp],":")=_xlfn.TEXTAFTER($H167,":")),"X"),MATCH("*"&amp;K$54,F_RT14[#Headers],0))),IF(AND(_xlpm.x=0,_xlpm.y&lt;&gt;0),-1,IF(AND(_xlpm.x&lt;&gt;0,_xlpm.y&lt;&gt;0),_xlpm.x,IF(AND(_xlpm.x-SUM(IF((INDIRECT($B$3)=$B167)*(INDIRECT($C$3)=$D167)*((INDIRECT($E$3)="TOTS")+(INDIRECT($E$3)=$E167)),INDIRECT(K$3)))&lt;&gt;0,_xlpm.y=0),-2,_xlpm.x)))),0))</f>
        <v>0</v>
      </c>
      <c r="L167" s="199" cm="1">
        <f t="array" aca="1" ref="L167" ca="1">IF(OR($B167="",$B167="X",$D167="",$D167="X",$E167="",$E167="X"),0,IFERROR(_xlfn.LET(_xlpm.x,SUM(SUM(_xlfn._xlws.FILTER(VALUE(PptoSty[Sign]&amp;1)*(1/PptoSty[Division]),(PptoSty[Division]&lt;&gt;0)*(PptoSty[Division]&lt;&gt;"")*(PptoSty[Division]&lt;&gt;"X")*(PptoSty[Project]=$B167)*(PptoSty[Vrs]=$D167)*(PptoSty[PiRow]=_xlfn.TEXTAFTER($H167,":"))*(PptoSty[PiColumn]=L$54),0)),SUM(IF((INDIRECT($B$3)=$B167)*(INDIRECT($C$3)=$D167)*((INDIRECT($E$3)="TOTS")+(INDIRECT($E$3)=$E167)),INDIRECT(L$3)))),_xlpm.y,SUM(_xlfn.CHOOSECOLS(_xlfn._xlws.FILTER(F_RT14[],(F_RT14[PrjId]=$B167)*(F_RT14[Vrs]=$D167)*(_xlfn.TEXTAFTER(F_RT14[ActGrp],":")=_xlfn.TEXTAFTER($H167,":")),"X"),MATCH("*"&amp;L$54,F_RT14[#Headers],0))),IF(AND(_xlpm.x=0,_xlpm.y&lt;&gt;0),-1,IF(AND(_xlpm.x&lt;&gt;0,_xlpm.y&lt;&gt;0),_xlpm.x,IF(AND(_xlpm.x-SUM(IF((INDIRECT($B$3)=$B167)*(INDIRECT($C$3)=$D167)*((INDIRECT($E$3)="TOTS")+(INDIRECT($E$3)=$E167)),INDIRECT(L$3)))&lt;&gt;0,_xlpm.y=0),-2,_xlpm.x)))),0))</f>
        <v>0</v>
      </c>
      <c r="M167" s="199" cm="1">
        <f t="array" aca="1" ref="M167" ca="1">IF(OR($B167="",$B167="X",$D167="",$D167="X",$E167="",$E167="X"),0,IFERROR(_xlfn.LET(_xlpm.x,SUM(SUM(_xlfn._xlws.FILTER(VALUE(PptoSty[Sign]&amp;1)*(1/PptoSty[Division]),(PptoSty[Division]&lt;&gt;0)*(PptoSty[Division]&lt;&gt;"")*(PptoSty[Division]&lt;&gt;"X")*(PptoSty[Project]=$B167)*(PptoSty[Vrs]=$D167)*(PptoSty[PiRow]=_xlfn.TEXTAFTER($H167,":"))*(PptoSty[PiColumn]=M$54),0)),SUM(IF((INDIRECT($B$3)=$B167)*(INDIRECT($C$3)=$D167)*((INDIRECT($E$3)="TOTS")+(INDIRECT($E$3)=$E167)),INDIRECT(M$3)))),_xlpm.y,SUM(_xlfn.CHOOSECOLS(_xlfn._xlws.FILTER(F_RT14[],(F_RT14[PrjId]=$B167)*(F_RT14[Vrs]=$D167)*(_xlfn.TEXTAFTER(F_RT14[ActGrp],":")=_xlfn.TEXTAFTER($H167,":")),"X"),MATCH("*"&amp;M$54,F_RT14[#Headers],0))),IF(AND(_xlpm.x=0,_xlpm.y&lt;&gt;0),-1,IF(AND(_xlpm.x&lt;&gt;0,_xlpm.y&lt;&gt;0),_xlpm.x,IF(AND(_xlpm.x-SUM(IF((INDIRECT($B$3)=$B167)*(INDIRECT($C$3)=$D167)*((INDIRECT($E$3)="TOTS")+(INDIRECT($E$3)=$E167)),INDIRECT(M$3)))&lt;&gt;0,_xlpm.y=0),-2,_xlpm.x)))),0))</f>
        <v>-1</v>
      </c>
      <c r="N167" s="199" cm="1">
        <f t="array" aca="1" ref="N167" ca="1">IF(OR($B167="",$B167="X",$D167="",$D167="X",$E167="",$E167="X"),0,IFERROR(_xlfn.LET(_xlpm.x,SUM(SUM(_xlfn._xlws.FILTER(VALUE(PptoSty[Sign]&amp;1)*(1/PptoSty[Division]),(PptoSty[Division]&lt;&gt;0)*(PptoSty[Division]&lt;&gt;"")*(PptoSty[Division]&lt;&gt;"X")*(PptoSty[Project]=$B167)*(PptoSty[Vrs]=$D167)*(PptoSty[PiRow]=_xlfn.TEXTAFTER($H167,":"))*(PptoSty[PiColumn]=N$54),0)),SUM(IF((INDIRECT($B$3)=$B167)*(INDIRECT($C$3)=$D167)*((INDIRECT($E$3)="TOTS")+(INDIRECT($E$3)=$E167)),INDIRECT(N$3)))),_xlpm.y,SUM(_xlfn.CHOOSECOLS(_xlfn._xlws.FILTER(F_RT14[],(F_RT14[PrjId]=$B167)*(F_RT14[Vrs]=$D167)*(_xlfn.TEXTAFTER(F_RT14[ActGrp],":")=_xlfn.TEXTAFTER($H167,":")),"X"),MATCH("*"&amp;N$54,F_RT14[#Headers],0))),IF(AND(_xlpm.x=0,_xlpm.y&lt;&gt;0),-1,IF(AND(_xlpm.x&lt;&gt;0,_xlpm.y&lt;&gt;0),_xlpm.x,IF(AND(_xlpm.x-SUM(IF((INDIRECT($B$3)=$B167)*(INDIRECT($C$3)=$D167)*((INDIRECT($E$3)="TOTS")+(INDIRECT($E$3)=$E167)),INDIRECT(N$3)))&lt;&gt;0,_xlpm.y=0),-2,_xlpm.x)))),0))</f>
        <v>0</v>
      </c>
      <c r="O167" s="199" cm="1">
        <f t="array" aca="1" ref="O167" ca="1">IF(OR($B167="",$B167="X",$D167="",$D167="X",$E167="",$E167="X"),0,IFERROR(_xlfn.LET(_xlpm.x,SUM(SUM(_xlfn._xlws.FILTER(VALUE(PptoSty[Sign]&amp;1)*(1/PptoSty[Division]),(PptoSty[Division]&lt;&gt;0)*(PptoSty[Division]&lt;&gt;"")*(PptoSty[Division]&lt;&gt;"X")*(PptoSty[Project]=$B167)*(PptoSty[Vrs]=$D167)*(PptoSty[PiRow]=_xlfn.TEXTAFTER($H167,":"))*(PptoSty[PiColumn]=O$54),0)),SUM(IF((INDIRECT($B$3)=$B167)*(INDIRECT($C$3)=$D167)*((INDIRECT($E$3)="TOTS")+(INDIRECT($E$3)=$E167)),INDIRECT(O$3)))),_xlpm.y,SUM(_xlfn.CHOOSECOLS(_xlfn._xlws.FILTER(F_RT14[],(F_RT14[PrjId]=$B167)*(F_RT14[Vrs]=$D167)*(_xlfn.TEXTAFTER(F_RT14[ActGrp],":")=_xlfn.TEXTAFTER($H167,":")),"X"),MATCH("*"&amp;O$54,F_RT14[#Headers],0))),IF(AND(_xlpm.x=0,_xlpm.y&lt;&gt;0),-1,IF(AND(_xlpm.x&lt;&gt;0,_xlpm.y&lt;&gt;0),_xlpm.x,IF(AND(_xlpm.x-SUM(IF((INDIRECT($B$3)=$B167)*(INDIRECT($C$3)=$D167)*((INDIRECT($E$3)="TOTS")+(INDIRECT($E$3)=$E167)),INDIRECT(O$3)))&lt;&gt;0,_xlpm.y=0),-2,_xlpm.x)))),0))</f>
        <v>-1</v>
      </c>
      <c r="P167" s="199" cm="1">
        <f t="array" aca="1" ref="P167" ca="1">IF(OR($B167="",$B167="X",$D167="",$D167="X",$E167="",$E167="X"),0,IFERROR(_xlfn.LET(_xlpm.x,SUM(SUM(_xlfn._xlws.FILTER(VALUE(PptoSty[Sign]&amp;1)*(1/PptoSty[Division]),(PptoSty[Division]&lt;&gt;0)*(PptoSty[Division]&lt;&gt;"")*(PptoSty[Division]&lt;&gt;"X")*(PptoSty[Project]=$B167)*(PptoSty[Vrs]=$D167)*(PptoSty[PiRow]=_xlfn.TEXTAFTER($H167,":"))*(PptoSty[PiColumn]=P$54),0)),SUM(IF((INDIRECT($B$3)=$B167)*(INDIRECT($C$3)=$D167)*((INDIRECT($E$3)="TOTS")+(INDIRECT($E$3)=$E167)),INDIRECT(P$3)))),_xlpm.y,SUM(_xlfn.CHOOSECOLS(_xlfn._xlws.FILTER(F_RT14[],(F_RT14[PrjId]=$B167)*(F_RT14[Vrs]=$D167)*(_xlfn.TEXTAFTER(F_RT14[ActGrp],":")=_xlfn.TEXTAFTER($H167,":")),"X"),MATCH("*"&amp;P$54,F_RT14[#Headers],0))),IF(AND(_xlpm.x=0,_xlpm.y&lt;&gt;0),-1,IF(AND(_xlpm.x&lt;&gt;0,_xlpm.y&lt;&gt;0),_xlpm.x,IF(AND(_xlpm.x-SUM(IF((INDIRECT($B$3)=$B167)*(INDIRECT($C$3)=$D167)*((INDIRECT($E$3)="TOTS")+(INDIRECT($E$3)=$E167)),INDIRECT(P$3)))&lt;&gt;0,_xlpm.y=0),-2,_xlpm.x)))),0))</f>
        <v>0</v>
      </c>
      <c r="Q167" s="199" cm="1">
        <f t="array" aca="1" ref="Q167" ca="1">IF(OR($B167="",$B167="X",$D167="",$D167="X",$E167="",$E167="X"),0,IFERROR(_xlfn.LET(_xlpm.x,SUM(SUM(_xlfn._xlws.FILTER(VALUE(PptoSty[Sign]&amp;1)*(1/PptoSty[Division]),(PptoSty[Division]&lt;&gt;0)*(PptoSty[Division]&lt;&gt;"")*(PptoSty[Division]&lt;&gt;"X")*(PptoSty[Project]=$B167)*(PptoSty[Vrs]=$D167)*(PptoSty[PiRow]=_xlfn.TEXTAFTER($H167,":"))*(PptoSty[PiColumn]=Q$54),0)),SUM(IF((INDIRECT($B$3)=$B167)*(INDIRECT($C$3)=$D167)*((INDIRECT($E$3)="TOTS")+(INDIRECT($E$3)=$E167)),INDIRECT(Q$3)))),_xlpm.y,SUM(_xlfn.CHOOSECOLS(_xlfn._xlws.FILTER(F_RT14[],(F_RT14[PrjId]=$B167)*(F_RT14[Vrs]=$D167)*(_xlfn.TEXTAFTER(F_RT14[ActGrp],":")=_xlfn.TEXTAFTER($H167,":")),"X"),MATCH("*"&amp;Q$54,F_RT14[#Headers],0))),IF(AND(_xlpm.x=0,_xlpm.y&lt;&gt;0),-1,IF(AND(_xlpm.x&lt;&gt;0,_xlpm.y&lt;&gt;0),_xlpm.x,IF(AND(_xlpm.x-SUM(IF((INDIRECT($B$3)=$B167)*(INDIRECT($C$3)=$D167)*((INDIRECT($E$3)="TOTS")+(INDIRECT($E$3)=$E167)),INDIRECT(Q$3)))&lt;&gt;0,_xlpm.y=0),-2,_xlpm.x)))),0))</f>
        <v>0</v>
      </c>
      <c r="R167" s="199" cm="1">
        <f t="array" aca="1" ref="R167" ca="1">IF(OR($B167="",$B167="X",$D167="",$D167="X",$E167="",$E167="X"),0,IFERROR(_xlfn.LET(_xlpm.x,SUM(SUM(_xlfn._xlws.FILTER(VALUE(PptoSty[Sign]&amp;1)*(1/PptoSty[Division]),(PptoSty[Division]&lt;&gt;0)*(PptoSty[Division]&lt;&gt;"")*(PptoSty[Division]&lt;&gt;"X")*(PptoSty[Project]=$B167)*(PptoSty[Vrs]=$D167)*(PptoSty[PiRow]=_xlfn.TEXTAFTER($H167,":"))*(PptoSty[PiColumn]=R$54),0)),SUM(IF((INDIRECT($B$3)=$B167)*(INDIRECT($C$3)=$D167)*((INDIRECT($E$3)="TOTS")+(INDIRECT($E$3)=$E167)),INDIRECT(R$3)))),_xlpm.y,SUM(_xlfn.CHOOSECOLS(_xlfn._xlws.FILTER(F_RT14[],(F_RT14[PrjId]=$B167)*(F_RT14[Vrs]=$D167)*(_xlfn.TEXTAFTER(F_RT14[ActGrp],":")=_xlfn.TEXTAFTER($H167,":")),"X"),MATCH("*"&amp;R$54,F_RT14[#Headers],0))),IF(AND(_xlpm.x=0,_xlpm.y&lt;&gt;0),-1,IF(AND(_xlpm.x&lt;&gt;0,_xlpm.y&lt;&gt;0),_xlpm.x,IF(AND(_xlpm.x-SUM(IF((INDIRECT($B$3)=$B167)*(INDIRECT($C$3)=$D167)*((INDIRECT($E$3)="TOTS")+(INDIRECT($E$3)=$E167)),INDIRECT(R$3)))&lt;&gt;0,_xlpm.y=0),-2,_xlpm.x)))),0))</f>
        <v>0</v>
      </c>
      <c r="S167" s="199" cm="1">
        <f t="array" aca="1" ref="S167" ca="1">IF(OR($B167="",$B167="X",$D167="",$D167="X",$E167="",$E167="X"),0,IFERROR(_xlfn.LET(_xlpm.x,SUM(SUM(_xlfn._xlws.FILTER(VALUE(PptoSty[Sign]&amp;1)*(1/PptoSty[Division]),(PptoSty[Division]&lt;&gt;0)*(PptoSty[Division]&lt;&gt;"")*(PptoSty[Division]&lt;&gt;"X")*(PptoSty[Project]=$B167)*(PptoSty[Vrs]=$D167)*(PptoSty[PiRow]=_xlfn.TEXTAFTER($H167,":"))*(PptoSty[PiColumn]=S$54),0)),SUM(IF((INDIRECT($B$3)=$B167)*(INDIRECT($C$3)=$D167)*((INDIRECT($E$3)="TOTS")+(INDIRECT($E$3)=$E167)),INDIRECT(S$3)))),_xlpm.y,SUM(_xlfn.CHOOSECOLS(_xlfn._xlws.FILTER(F_RT14[],(F_RT14[PrjId]=$B167)*(F_RT14[Vrs]=$D167)*(_xlfn.TEXTAFTER(F_RT14[ActGrp],":")=_xlfn.TEXTAFTER($H167,":")),"X"),MATCH("*"&amp;S$54,F_RT14[#Headers],0))),IF(AND(_xlpm.x=0,_xlpm.y&lt;&gt;0),-1,IF(AND(_xlpm.x&lt;&gt;0,_xlpm.y&lt;&gt;0),_xlpm.x,IF(AND(_xlpm.x-SUM(IF((INDIRECT($B$3)=$B167)*(INDIRECT($C$3)=$D167)*((INDIRECT($E$3)="TOTS")+(INDIRECT($E$3)=$E167)),INDIRECT(S$3)))&lt;&gt;0,_xlpm.y=0),-2,_xlpm.x)))),0))</f>
        <v>0</v>
      </c>
      <c r="T167" s="199" cm="1">
        <f t="array" aca="1" ref="T167" ca="1">IF(OR($B167="",$B167="X",$D167="",$D167="X",$E167="",$E167="X"),0,IFERROR(_xlfn.LET(_xlpm.x,SUM(SUM(_xlfn._xlws.FILTER(VALUE(PptoSty[Sign]&amp;1)*(1/PptoSty[Division]),(PptoSty[Division]&lt;&gt;0)*(PptoSty[Division]&lt;&gt;"")*(PptoSty[Division]&lt;&gt;"X")*(PptoSty[Project]=$B167)*(PptoSty[Vrs]=$D167)*(PptoSty[PiRow]=_xlfn.TEXTAFTER($H167,":"))*(PptoSty[PiColumn]=T$54),0)),SUM(IF((INDIRECT($B$3)=$B167)*(INDIRECT($C$3)=$D167)*((INDIRECT($E$3)="TOTS")+(INDIRECT($E$3)=$E167)),INDIRECT(T$3)))),_xlpm.y,SUM(_xlfn.CHOOSECOLS(_xlfn._xlws.FILTER(F_RT14[],(F_RT14[PrjId]=$B167)*(F_RT14[Vrs]=$D167)*(_xlfn.TEXTAFTER(F_RT14[ActGrp],":")=_xlfn.TEXTAFTER($H167,":")),"X"),MATCH("*"&amp;T$54,F_RT14[#Headers],0))),IF(AND(_xlpm.x=0,_xlpm.y&lt;&gt;0),-1,IF(AND(_xlpm.x&lt;&gt;0,_xlpm.y&lt;&gt;0),_xlpm.x,IF(AND(_xlpm.x-SUM(IF((INDIRECT($B$3)=$B167)*(INDIRECT($C$3)=$D167)*((INDIRECT($E$3)="TOTS")+(INDIRECT($E$3)=$E167)),INDIRECT(T$3)))&lt;&gt;0,_xlpm.y=0),-2,_xlpm.x)))),0))</f>
        <v>0</v>
      </c>
      <c r="U167" s="199" cm="1">
        <f t="array" aca="1" ref="U167" ca="1">IF(OR($B167="",$B167="X",$D167="",$D167="X",$E167="",$E167="X"),0,IFERROR(_xlfn.LET(_xlpm.x,SUM(SUM(_xlfn._xlws.FILTER(VALUE(PptoSty[Sign]&amp;1)*(1/PptoSty[Division]),(PptoSty[Division]&lt;&gt;0)*(PptoSty[Division]&lt;&gt;"")*(PptoSty[Division]&lt;&gt;"X")*(PptoSty[Project]=$B167)*(PptoSty[Vrs]=$D167)*(PptoSty[PiRow]=_xlfn.TEXTAFTER($H167,":"))*(PptoSty[PiColumn]=U$54),0)),SUM(IF((INDIRECT($B$3)=$B167)*(INDIRECT($C$3)=$D167)*((INDIRECT($E$3)="TOTS")+(INDIRECT($E$3)=$E167)),INDIRECT(U$3)))),_xlpm.y,SUM(_xlfn.CHOOSECOLS(_xlfn._xlws.FILTER(F_RT14[],(F_RT14[PrjId]=$B167)*(F_RT14[Vrs]=$D167)*(_xlfn.TEXTAFTER(F_RT14[ActGrp],":")=_xlfn.TEXTAFTER($H167,":")),"X"),MATCH("*"&amp;U$54,F_RT14[#Headers],0))),IF(AND(_xlpm.x=0,_xlpm.y&lt;&gt;0),-1,IF(AND(_xlpm.x&lt;&gt;0,_xlpm.y&lt;&gt;0),_xlpm.x,IF(AND(_xlpm.x-SUM(IF((INDIRECT($B$3)=$B167)*(INDIRECT($C$3)=$D167)*((INDIRECT($E$3)="TOTS")+(INDIRECT($E$3)=$E167)),INDIRECT(U$3)))&lt;&gt;0,_xlpm.y=0),-2,_xlpm.x)))),0))</f>
        <v>0</v>
      </c>
      <c r="V167" s="199" cm="1">
        <f t="array" aca="1" ref="V167" ca="1">IF(OR($B167="",$B167="X",$D167="",$D167="X",$E167="",$E167="X"),0,IFERROR(_xlfn.LET(_xlpm.x,SUM(SUM(_xlfn._xlws.FILTER(VALUE(PptoSty[Sign]&amp;1)*(1/PptoSty[Division]),(PptoSty[Division]&lt;&gt;0)*(PptoSty[Division]&lt;&gt;"")*(PptoSty[Division]&lt;&gt;"X")*(PptoSty[Project]=$B167)*(PptoSty[Vrs]=$D167)*(PptoSty[PiRow]=_xlfn.TEXTAFTER($H167,":"))*(PptoSty[PiColumn]=V$54),0)),SUM(IF((INDIRECT($B$3)=$B167)*(INDIRECT($C$3)=$D167)*((INDIRECT($E$3)="TOTS")+(INDIRECT($E$3)=$E167)),INDIRECT(V$3)))),_xlpm.y,SUM(_xlfn.CHOOSECOLS(_xlfn._xlws.FILTER(F_RT14[],(F_RT14[PrjId]=$B167)*(F_RT14[Vrs]=$D167)*(_xlfn.TEXTAFTER(F_RT14[ActGrp],":")=_xlfn.TEXTAFTER($H167,":")),"X"),MATCH("*"&amp;V$54,F_RT14[#Headers],0))),IF(AND(_xlpm.x=0,_xlpm.y&lt;&gt;0),-1,IF(AND(_xlpm.x&lt;&gt;0,_xlpm.y&lt;&gt;0),_xlpm.x,IF(AND(_xlpm.x-SUM(IF((INDIRECT($B$3)=$B167)*(INDIRECT($C$3)=$D167)*((INDIRECT($E$3)="TOTS")+(INDIRECT($E$3)=$E167)),INDIRECT(V$3)))&lt;&gt;0,_xlpm.y=0),-2,_xlpm.x)))),0))</f>
        <v>0</v>
      </c>
      <c r="W167" s="199" cm="1">
        <f t="array" aca="1" ref="W167" ca="1">IF(OR($B167="",$B167="X",$D167="",$D167="X",$E167="",$E167="X"),0,IFERROR(_xlfn.LET(_xlpm.x,SUM(SUM(_xlfn._xlws.FILTER(VALUE(PptoSty[Sign]&amp;1)*(1/PptoSty[Division]),(PptoSty[Division]&lt;&gt;0)*(PptoSty[Division]&lt;&gt;"")*(PptoSty[Division]&lt;&gt;"X")*(PptoSty[Project]=$B167)*(PptoSty[Vrs]=$D167)*(PptoSty[PiRow]=_xlfn.TEXTAFTER($H167,":"))*(PptoSty[PiColumn]=W$54),0)),SUM(IF((INDIRECT($B$3)=$B167)*(INDIRECT($C$3)=$D167)*((INDIRECT($E$3)="TOTS")+(INDIRECT($E$3)=$E167)),INDIRECT(W$3)))),_xlpm.y,SUM(_xlfn.CHOOSECOLS(_xlfn._xlws.FILTER(F_RT14[],(F_RT14[PrjId]=$B167)*(F_RT14[Vrs]=$D167)*(_xlfn.TEXTAFTER(F_RT14[ActGrp],":")=_xlfn.TEXTAFTER($H167,":")),"X"),MATCH("*"&amp;W$54,F_RT14[#Headers],0))),IF(AND(_xlpm.x=0,_xlpm.y&lt;&gt;0),-1,IF(AND(_xlpm.x&lt;&gt;0,_xlpm.y&lt;&gt;0),_xlpm.x,IF(AND(_xlpm.x-SUM(IF((INDIRECT($B$3)=$B167)*(INDIRECT($C$3)=$D167)*((INDIRECT($E$3)="TOTS")+(INDIRECT($E$3)=$E167)),INDIRECT(W$3)))&lt;&gt;0,_xlpm.y=0),-2,_xlpm.x)))),0))</f>
        <v>0</v>
      </c>
      <c r="X167" s="199" cm="1">
        <f t="array" aca="1" ref="X167" ca="1">IF(OR($B167="",$B167="X",$D167="",$D167="X",$E167="",$E167="X"),0,IFERROR(_xlfn.LET(_xlpm.x,SUM(SUM(_xlfn._xlws.FILTER(VALUE(PptoSty[Sign]&amp;1)*(1/PptoSty[Division]),(PptoSty[Division]&lt;&gt;0)*(PptoSty[Division]&lt;&gt;"")*(PptoSty[Division]&lt;&gt;"X")*(PptoSty[Project]=$B167)*(PptoSty[Vrs]=$D167)*(PptoSty[PiRow]=_xlfn.TEXTAFTER($H167,":"))*(PptoSty[PiColumn]=X$54),0)),SUM(IF((INDIRECT($B$3)=$B167)*(INDIRECT($C$3)=$D167)*((INDIRECT($E$3)="TOTS")+(INDIRECT($E$3)=$E167)),INDIRECT(X$3)))),_xlpm.y,SUM(_xlfn.CHOOSECOLS(_xlfn._xlws.FILTER(F_RT14[],(F_RT14[PrjId]=$B167)*(F_RT14[Vrs]=$D167)*(_xlfn.TEXTAFTER(F_RT14[ActGrp],":")=_xlfn.TEXTAFTER($H167,":")),"X"),MATCH("*"&amp;X$54,F_RT14[#Headers],0))),IF(AND(_xlpm.x=0,_xlpm.y&lt;&gt;0),-1,IF(AND(_xlpm.x&lt;&gt;0,_xlpm.y&lt;&gt;0),_xlpm.x,IF(AND(_xlpm.x-SUM(IF((INDIRECT($B$3)=$B167)*(INDIRECT($C$3)=$D167)*((INDIRECT($E$3)="TOTS")+(INDIRECT($E$3)=$E167)),INDIRECT(X$3)))&lt;&gt;0,_xlpm.y=0),-2,_xlpm.x)))),0))</f>
        <v>0</v>
      </c>
      <c r="Y167" s="199" cm="1">
        <f t="array" aca="1" ref="Y167" ca="1">IF(OR($B167="",$B167="X",$D167="",$D167="X",$E167="",$E167="X"),0,IFERROR(_xlfn.LET(_xlpm.x,SUM(SUM(_xlfn._xlws.FILTER(VALUE(PptoSty[Sign]&amp;1)*(1/PptoSty[Division]),(PptoSty[Division]&lt;&gt;0)*(PptoSty[Division]&lt;&gt;"")*(PptoSty[Division]&lt;&gt;"X")*(PptoSty[Project]=$B167)*(PptoSty[Vrs]=$D167)*(PptoSty[PiRow]=_xlfn.TEXTAFTER($H167,":"))*(PptoSty[PiColumn]=Y$54),0)),SUM(IF((INDIRECT($B$3)=$B167)*(INDIRECT($C$3)=$D167)*((INDIRECT($E$3)="TOTS")+(INDIRECT($E$3)=$E167)),INDIRECT(Y$3)))),_xlpm.y,SUM(_xlfn.CHOOSECOLS(_xlfn._xlws.FILTER(F_RT14[],(F_RT14[PrjId]=$B167)*(F_RT14[Vrs]=$D167)*(_xlfn.TEXTAFTER(F_RT14[ActGrp],":")=_xlfn.TEXTAFTER($H167,":")),"X"),MATCH("*"&amp;Y$54,F_RT14[#Headers],0))),IF(AND(_xlpm.x=0,_xlpm.y&lt;&gt;0),-1,IF(AND(_xlpm.x&lt;&gt;0,_xlpm.y&lt;&gt;0),_xlpm.x,IF(AND(_xlpm.x-SUM(IF((INDIRECT($B$3)=$B167)*(INDIRECT($C$3)=$D167)*((INDIRECT($E$3)="TOTS")+(INDIRECT($E$3)=$E167)),INDIRECT(Y$3)))&lt;&gt;0,_xlpm.y=0),-2,_xlpm.x)))),0))</f>
        <v>0</v>
      </c>
      <c r="Z167" s="198" t="str">
        <f t="shared" ca="1" si="3"/>
        <v>Fback!B167:Y167</v>
      </c>
    </row>
    <row r="168" spans="2:26" ht="21" customHeight="1" outlineLevel="1">
      <c r="B168" s="128" t="str">
        <v>31200</v>
      </c>
      <c r="C168" s="128" t="str">
        <v>Sp</v>
      </c>
      <c r="D168" s="128">
        <v>0</v>
      </c>
      <c r="E168" s="128" t="str">
        <v>CELL</v>
      </c>
      <c r="F168" s="139" t="str">
        <v>SERRA</v>
      </c>
      <c r="G168" s="139" t="str">
        <v>CurPpto</v>
      </c>
      <c r="H168" s="139" t="str">
        <v>E001:ARMARIOS ELECTRICOS</v>
      </c>
      <c r="I168" s="199" cm="1">
        <f t="array" aca="1" ref="I168" ca="1">IF(OR($B168="",$B168="X",$D168="",$D168="X",$E168="",$E168="X"),0,IFERROR(_xlfn.LET(_xlpm.x,SUM(SUM(_xlfn._xlws.FILTER(VALUE(PptoSty[Sign]&amp;1)*(1/PptoSty[Division]),(PptoSty[Division]&lt;&gt;0)*(PptoSty[Division]&lt;&gt;"")*(PptoSty[Division]&lt;&gt;"X")*(PptoSty[Project]=$B168)*(PptoSty[Vrs]=$D168)*(PptoSty[PiRow]=_xlfn.TEXTAFTER($H168,":"))*(PptoSty[PiColumn]=I$54),0)),SUM(IF((INDIRECT($B$3)=$B168)*(INDIRECT($C$3)=$D168)*((INDIRECT($E$3)="TOTS")+(INDIRECT($E$3)=$E168)),INDIRECT(I$3)))),_xlpm.y,SUM(_xlfn.CHOOSECOLS(_xlfn._xlws.FILTER(F_RT14[],(F_RT14[PrjId]=$B168)*(F_RT14[Vrs]=$D168)*(_xlfn.TEXTAFTER(F_RT14[ActGrp],":")=_xlfn.TEXTAFTER($H168,":")),"X"),MATCH("*"&amp;I$54,F_RT14[#Headers],0))),IF(AND(_xlpm.x=0,_xlpm.y&lt;&gt;0),-1,IF(AND(_xlpm.x&lt;&gt;0,_xlpm.y&lt;&gt;0),_xlpm.x,IF(AND(_xlpm.x-SUM(IF((INDIRECT($B$3)=$B168)*(INDIRECT($C$3)=$D168)*((INDIRECT($E$3)="TOTS")+(INDIRECT($E$3)=$E168)),INDIRECT(I$3)))&lt;&gt;0,_xlpm.y=0),-2,_xlpm.x)))),0))</f>
        <v>0</v>
      </c>
      <c r="J168" s="199" cm="1">
        <f t="array" aca="1" ref="J168" ca="1">IF(OR($B168="",$B168="X",$D168="",$D168="X",$E168="",$E168="X"),0,IFERROR(_xlfn.LET(_xlpm.x,SUM(SUM(_xlfn._xlws.FILTER(VALUE(PptoSty[Sign]&amp;1)*(1/PptoSty[Division]),(PptoSty[Division]&lt;&gt;0)*(PptoSty[Division]&lt;&gt;"")*(PptoSty[Division]&lt;&gt;"X")*(PptoSty[Project]=$B168)*(PptoSty[Vrs]=$D168)*(PptoSty[PiRow]=_xlfn.TEXTAFTER($H168,":"))*(PptoSty[PiColumn]=J$54),0)),SUM(IF((INDIRECT($B$3)=$B168)*(INDIRECT($C$3)=$D168)*((INDIRECT($E$3)="TOTS")+(INDIRECT($E$3)=$E168)),INDIRECT(J$3)))),_xlpm.y,SUM(_xlfn.CHOOSECOLS(_xlfn._xlws.FILTER(F_RT14[],(F_RT14[PrjId]=$B168)*(F_RT14[Vrs]=$D168)*(_xlfn.TEXTAFTER(F_RT14[ActGrp],":")=_xlfn.TEXTAFTER($H168,":")),"X"),MATCH("*"&amp;J$54,F_RT14[#Headers],0))),IF(AND(_xlpm.x=0,_xlpm.y&lt;&gt;0),-1,IF(AND(_xlpm.x&lt;&gt;0,_xlpm.y&lt;&gt;0),_xlpm.x,IF(AND(_xlpm.x-SUM(IF((INDIRECT($B$3)=$B168)*(INDIRECT($C$3)=$D168)*((INDIRECT($E$3)="TOTS")+(INDIRECT($E$3)=$E168)),INDIRECT(J$3)))&lt;&gt;0,_xlpm.y=0),-2,_xlpm.x)))),0))</f>
        <v>0</v>
      </c>
      <c r="K168" s="199" cm="1">
        <f t="array" aca="1" ref="K168" ca="1">IF(OR($B168="",$B168="X",$D168="",$D168="X",$E168="",$E168="X"),0,IFERROR(_xlfn.LET(_xlpm.x,SUM(SUM(_xlfn._xlws.FILTER(VALUE(PptoSty[Sign]&amp;1)*(1/PptoSty[Division]),(PptoSty[Division]&lt;&gt;0)*(PptoSty[Division]&lt;&gt;"")*(PptoSty[Division]&lt;&gt;"X")*(PptoSty[Project]=$B168)*(PptoSty[Vrs]=$D168)*(PptoSty[PiRow]=_xlfn.TEXTAFTER($H168,":"))*(PptoSty[PiColumn]=K$54),0)),SUM(IF((INDIRECT($B$3)=$B168)*(INDIRECT($C$3)=$D168)*((INDIRECT($E$3)="TOTS")+(INDIRECT($E$3)=$E168)),INDIRECT(K$3)))),_xlpm.y,SUM(_xlfn.CHOOSECOLS(_xlfn._xlws.FILTER(F_RT14[],(F_RT14[PrjId]=$B168)*(F_RT14[Vrs]=$D168)*(_xlfn.TEXTAFTER(F_RT14[ActGrp],":")=_xlfn.TEXTAFTER($H168,":")),"X"),MATCH("*"&amp;K$54,F_RT14[#Headers],0))),IF(AND(_xlpm.x=0,_xlpm.y&lt;&gt;0),-1,IF(AND(_xlpm.x&lt;&gt;0,_xlpm.y&lt;&gt;0),_xlpm.x,IF(AND(_xlpm.x-SUM(IF((INDIRECT($B$3)=$B168)*(INDIRECT($C$3)=$D168)*((INDIRECT($E$3)="TOTS")+(INDIRECT($E$3)=$E168)),INDIRECT(K$3)))&lt;&gt;0,_xlpm.y=0),-2,_xlpm.x)))),0))</f>
        <v>0</v>
      </c>
      <c r="L168" s="199" cm="1">
        <f t="array" aca="1" ref="L168" ca="1">IF(OR($B168="",$B168="X",$D168="",$D168="X",$E168="",$E168="X"),0,IFERROR(_xlfn.LET(_xlpm.x,SUM(SUM(_xlfn._xlws.FILTER(VALUE(PptoSty[Sign]&amp;1)*(1/PptoSty[Division]),(PptoSty[Division]&lt;&gt;0)*(PptoSty[Division]&lt;&gt;"")*(PptoSty[Division]&lt;&gt;"X")*(PptoSty[Project]=$B168)*(PptoSty[Vrs]=$D168)*(PptoSty[PiRow]=_xlfn.TEXTAFTER($H168,":"))*(PptoSty[PiColumn]=L$54),0)),SUM(IF((INDIRECT($B$3)=$B168)*(INDIRECT($C$3)=$D168)*((INDIRECT($E$3)="TOTS")+(INDIRECT($E$3)=$E168)),INDIRECT(L$3)))),_xlpm.y,SUM(_xlfn.CHOOSECOLS(_xlfn._xlws.FILTER(F_RT14[],(F_RT14[PrjId]=$B168)*(F_RT14[Vrs]=$D168)*(_xlfn.TEXTAFTER(F_RT14[ActGrp],":")=_xlfn.TEXTAFTER($H168,":")),"X"),MATCH("*"&amp;L$54,F_RT14[#Headers],0))),IF(AND(_xlpm.x=0,_xlpm.y&lt;&gt;0),-1,IF(AND(_xlpm.x&lt;&gt;0,_xlpm.y&lt;&gt;0),_xlpm.x,IF(AND(_xlpm.x-SUM(IF((INDIRECT($B$3)=$B168)*(INDIRECT($C$3)=$D168)*((INDIRECT($E$3)="TOTS")+(INDIRECT($E$3)=$E168)),INDIRECT(L$3)))&lt;&gt;0,_xlpm.y=0),-2,_xlpm.x)))),0))</f>
        <v>0</v>
      </c>
      <c r="M168" s="199" cm="1">
        <f t="array" aca="1" ref="M168" ca="1">IF(OR($B168="",$B168="X",$D168="",$D168="X",$E168="",$E168="X"),0,IFERROR(_xlfn.LET(_xlpm.x,SUM(SUM(_xlfn._xlws.FILTER(VALUE(PptoSty[Sign]&amp;1)*(1/PptoSty[Division]),(PptoSty[Division]&lt;&gt;0)*(PptoSty[Division]&lt;&gt;"")*(PptoSty[Division]&lt;&gt;"X")*(PptoSty[Project]=$B168)*(PptoSty[Vrs]=$D168)*(PptoSty[PiRow]=_xlfn.TEXTAFTER($H168,":"))*(PptoSty[PiColumn]=M$54),0)),SUM(IF((INDIRECT($B$3)=$B168)*(INDIRECT($C$3)=$D168)*((INDIRECT($E$3)="TOTS")+(INDIRECT($E$3)=$E168)),INDIRECT(M$3)))),_xlpm.y,SUM(_xlfn.CHOOSECOLS(_xlfn._xlws.FILTER(F_RT14[],(F_RT14[PrjId]=$B168)*(F_RT14[Vrs]=$D168)*(_xlfn.TEXTAFTER(F_RT14[ActGrp],":")=_xlfn.TEXTAFTER($H168,":")),"X"),MATCH("*"&amp;M$54,F_RT14[#Headers],0))),IF(AND(_xlpm.x=0,_xlpm.y&lt;&gt;0),-1,IF(AND(_xlpm.x&lt;&gt;0,_xlpm.y&lt;&gt;0),_xlpm.x,IF(AND(_xlpm.x-SUM(IF((INDIRECT($B$3)=$B168)*(INDIRECT($C$3)=$D168)*((INDIRECT($E$3)="TOTS")+(INDIRECT($E$3)=$E168)),INDIRECT(M$3)))&lt;&gt;0,_xlpm.y=0),-2,_xlpm.x)))),0))</f>
        <v>0</v>
      </c>
      <c r="N168" s="199" cm="1">
        <f t="array" aca="1" ref="N168" ca="1">IF(OR($B168="",$B168="X",$D168="",$D168="X",$E168="",$E168="X"),0,IFERROR(_xlfn.LET(_xlpm.x,SUM(SUM(_xlfn._xlws.FILTER(VALUE(PptoSty[Sign]&amp;1)*(1/PptoSty[Division]),(PptoSty[Division]&lt;&gt;0)*(PptoSty[Division]&lt;&gt;"")*(PptoSty[Division]&lt;&gt;"X")*(PptoSty[Project]=$B168)*(PptoSty[Vrs]=$D168)*(PptoSty[PiRow]=_xlfn.TEXTAFTER($H168,":"))*(PptoSty[PiColumn]=N$54),0)),SUM(IF((INDIRECT($B$3)=$B168)*(INDIRECT($C$3)=$D168)*((INDIRECT($E$3)="TOTS")+(INDIRECT($E$3)=$E168)),INDIRECT(N$3)))),_xlpm.y,SUM(_xlfn.CHOOSECOLS(_xlfn._xlws.FILTER(F_RT14[],(F_RT14[PrjId]=$B168)*(F_RT14[Vrs]=$D168)*(_xlfn.TEXTAFTER(F_RT14[ActGrp],":")=_xlfn.TEXTAFTER($H168,":")),"X"),MATCH("*"&amp;N$54,F_RT14[#Headers],0))),IF(AND(_xlpm.x=0,_xlpm.y&lt;&gt;0),-1,IF(AND(_xlpm.x&lt;&gt;0,_xlpm.y&lt;&gt;0),_xlpm.x,IF(AND(_xlpm.x-SUM(IF((INDIRECT($B$3)=$B168)*(INDIRECT($C$3)=$D168)*((INDIRECT($E$3)="TOTS")+(INDIRECT($E$3)=$E168)),INDIRECT(N$3)))&lt;&gt;0,_xlpm.y=0),-2,_xlpm.x)))),0))</f>
        <v>0</v>
      </c>
      <c r="O168" s="199" cm="1">
        <f t="array" aca="1" ref="O168" ca="1">IF(OR($B168="",$B168="X",$D168="",$D168="X",$E168="",$E168="X"),0,IFERROR(_xlfn.LET(_xlpm.x,SUM(SUM(_xlfn._xlws.FILTER(VALUE(PptoSty[Sign]&amp;1)*(1/PptoSty[Division]),(PptoSty[Division]&lt;&gt;0)*(PptoSty[Division]&lt;&gt;"")*(PptoSty[Division]&lt;&gt;"X")*(PptoSty[Project]=$B168)*(PptoSty[Vrs]=$D168)*(PptoSty[PiRow]=_xlfn.TEXTAFTER($H168,":"))*(PptoSty[PiColumn]=O$54),0)),SUM(IF((INDIRECT($B$3)=$B168)*(INDIRECT($C$3)=$D168)*((INDIRECT($E$3)="TOTS")+(INDIRECT($E$3)=$E168)),INDIRECT(O$3)))),_xlpm.y,SUM(_xlfn.CHOOSECOLS(_xlfn._xlws.FILTER(F_RT14[],(F_RT14[PrjId]=$B168)*(F_RT14[Vrs]=$D168)*(_xlfn.TEXTAFTER(F_RT14[ActGrp],":")=_xlfn.TEXTAFTER($H168,":")),"X"),MATCH("*"&amp;O$54,F_RT14[#Headers],0))),IF(AND(_xlpm.x=0,_xlpm.y&lt;&gt;0),-1,IF(AND(_xlpm.x&lt;&gt;0,_xlpm.y&lt;&gt;0),_xlpm.x,IF(AND(_xlpm.x-SUM(IF((INDIRECT($B$3)=$B168)*(INDIRECT($C$3)=$D168)*((INDIRECT($E$3)="TOTS")+(INDIRECT($E$3)=$E168)),INDIRECT(O$3)))&lt;&gt;0,_xlpm.y=0),-2,_xlpm.x)))),0))</f>
        <v>0</v>
      </c>
      <c r="P168" s="199" cm="1">
        <f t="array" aca="1" ref="P168" ca="1">IF(OR($B168="",$B168="X",$D168="",$D168="X",$E168="",$E168="X"),0,IFERROR(_xlfn.LET(_xlpm.x,SUM(SUM(_xlfn._xlws.FILTER(VALUE(PptoSty[Sign]&amp;1)*(1/PptoSty[Division]),(PptoSty[Division]&lt;&gt;0)*(PptoSty[Division]&lt;&gt;"")*(PptoSty[Division]&lt;&gt;"X")*(PptoSty[Project]=$B168)*(PptoSty[Vrs]=$D168)*(PptoSty[PiRow]=_xlfn.TEXTAFTER($H168,":"))*(PptoSty[PiColumn]=P$54),0)),SUM(IF((INDIRECT($B$3)=$B168)*(INDIRECT($C$3)=$D168)*((INDIRECT($E$3)="TOTS")+(INDIRECT($E$3)=$E168)),INDIRECT(P$3)))),_xlpm.y,SUM(_xlfn.CHOOSECOLS(_xlfn._xlws.FILTER(F_RT14[],(F_RT14[PrjId]=$B168)*(F_RT14[Vrs]=$D168)*(_xlfn.TEXTAFTER(F_RT14[ActGrp],":")=_xlfn.TEXTAFTER($H168,":")),"X"),MATCH("*"&amp;P$54,F_RT14[#Headers],0))),IF(AND(_xlpm.x=0,_xlpm.y&lt;&gt;0),-1,IF(AND(_xlpm.x&lt;&gt;0,_xlpm.y&lt;&gt;0),_xlpm.x,IF(AND(_xlpm.x-SUM(IF((INDIRECT($B$3)=$B168)*(INDIRECT($C$3)=$D168)*((INDIRECT($E$3)="TOTS")+(INDIRECT($E$3)=$E168)),INDIRECT(P$3)))&lt;&gt;0,_xlpm.y=0),-2,_xlpm.x)))),0))</f>
        <v>0</v>
      </c>
      <c r="Q168" s="199" cm="1">
        <f t="array" aca="1" ref="Q168" ca="1">IF(OR($B168="",$B168="X",$D168="",$D168="X",$E168="",$E168="X"),0,IFERROR(_xlfn.LET(_xlpm.x,SUM(SUM(_xlfn._xlws.FILTER(VALUE(PptoSty[Sign]&amp;1)*(1/PptoSty[Division]),(PptoSty[Division]&lt;&gt;0)*(PptoSty[Division]&lt;&gt;"")*(PptoSty[Division]&lt;&gt;"X")*(PptoSty[Project]=$B168)*(PptoSty[Vrs]=$D168)*(PptoSty[PiRow]=_xlfn.TEXTAFTER($H168,":"))*(PptoSty[PiColumn]=Q$54),0)),SUM(IF((INDIRECT($B$3)=$B168)*(INDIRECT($C$3)=$D168)*((INDIRECT($E$3)="TOTS")+(INDIRECT($E$3)=$E168)),INDIRECT(Q$3)))),_xlpm.y,SUM(_xlfn.CHOOSECOLS(_xlfn._xlws.FILTER(F_RT14[],(F_RT14[PrjId]=$B168)*(F_RT14[Vrs]=$D168)*(_xlfn.TEXTAFTER(F_RT14[ActGrp],":")=_xlfn.TEXTAFTER($H168,":")),"X"),MATCH("*"&amp;Q$54,F_RT14[#Headers],0))),IF(AND(_xlpm.x=0,_xlpm.y&lt;&gt;0),-1,IF(AND(_xlpm.x&lt;&gt;0,_xlpm.y&lt;&gt;0),_xlpm.x,IF(AND(_xlpm.x-SUM(IF((INDIRECT($B$3)=$B168)*(INDIRECT($C$3)=$D168)*((INDIRECT($E$3)="TOTS")+(INDIRECT($E$3)=$E168)),INDIRECT(Q$3)))&lt;&gt;0,_xlpm.y=0),-2,_xlpm.x)))),0))</f>
        <v>0</v>
      </c>
      <c r="R168" s="199" cm="1">
        <f t="array" aca="1" ref="R168" ca="1">IF(OR($B168="",$B168="X",$D168="",$D168="X",$E168="",$E168="X"),0,IFERROR(_xlfn.LET(_xlpm.x,SUM(SUM(_xlfn._xlws.FILTER(VALUE(PptoSty[Sign]&amp;1)*(1/PptoSty[Division]),(PptoSty[Division]&lt;&gt;0)*(PptoSty[Division]&lt;&gt;"")*(PptoSty[Division]&lt;&gt;"X")*(PptoSty[Project]=$B168)*(PptoSty[Vrs]=$D168)*(PptoSty[PiRow]=_xlfn.TEXTAFTER($H168,":"))*(PptoSty[PiColumn]=R$54),0)),SUM(IF((INDIRECT($B$3)=$B168)*(INDIRECT($C$3)=$D168)*((INDIRECT($E$3)="TOTS")+(INDIRECT($E$3)=$E168)),INDIRECT(R$3)))),_xlpm.y,SUM(_xlfn.CHOOSECOLS(_xlfn._xlws.FILTER(F_RT14[],(F_RT14[PrjId]=$B168)*(F_RT14[Vrs]=$D168)*(_xlfn.TEXTAFTER(F_RT14[ActGrp],":")=_xlfn.TEXTAFTER($H168,":")),"X"),MATCH("*"&amp;R$54,F_RT14[#Headers],0))),IF(AND(_xlpm.x=0,_xlpm.y&lt;&gt;0),-1,IF(AND(_xlpm.x&lt;&gt;0,_xlpm.y&lt;&gt;0),_xlpm.x,IF(AND(_xlpm.x-SUM(IF((INDIRECT($B$3)=$B168)*(INDIRECT($C$3)=$D168)*((INDIRECT($E$3)="TOTS")+(INDIRECT($E$3)=$E168)),INDIRECT(R$3)))&lt;&gt;0,_xlpm.y=0),-2,_xlpm.x)))),0))</f>
        <v>0</v>
      </c>
      <c r="S168" s="199" cm="1">
        <f t="array" aca="1" ref="S168" ca="1">IF(OR($B168="",$B168="X",$D168="",$D168="X",$E168="",$E168="X"),0,IFERROR(_xlfn.LET(_xlpm.x,SUM(SUM(_xlfn._xlws.FILTER(VALUE(PptoSty[Sign]&amp;1)*(1/PptoSty[Division]),(PptoSty[Division]&lt;&gt;0)*(PptoSty[Division]&lt;&gt;"")*(PptoSty[Division]&lt;&gt;"X")*(PptoSty[Project]=$B168)*(PptoSty[Vrs]=$D168)*(PptoSty[PiRow]=_xlfn.TEXTAFTER($H168,":"))*(PptoSty[PiColumn]=S$54),0)),SUM(IF((INDIRECT($B$3)=$B168)*(INDIRECT($C$3)=$D168)*((INDIRECT($E$3)="TOTS")+(INDIRECT($E$3)=$E168)),INDIRECT(S$3)))),_xlpm.y,SUM(_xlfn.CHOOSECOLS(_xlfn._xlws.FILTER(F_RT14[],(F_RT14[PrjId]=$B168)*(F_RT14[Vrs]=$D168)*(_xlfn.TEXTAFTER(F_RT14[ActGrp],":")=_xlfn.TEXTAFTER($H168,":")),"X"),MATCH("*"&amp;S$54,F_RT14[#Headers],0))),IF(AND(_xlpm.x=0,_xlpm.y&lt;&gt;0),-1,IF(AND(_xlpm.x&lt;&gt;0,_xlpm.y&lt;&gt;0),_xlpm.x,IF(AND(_xlpm.x-SUM(IF((INDIRECT($B$3)=$B168)*(INDIRECT($C$3)=$D168)*((INDIRECT($E$3)="TOTS")+(INDIRECT($E$3)=$E168)),INDIRECT(S$3)))&lt;&gt;0,_xlpm.y=0),-2,_xlpm.x)))),0))</f>
        <v>-1</v>
      </c>
      <c r="T168" s="199" cm="1">
        <f t="array" aca="1" ref="T168" ca="1">IF(OR($B168="",$B168="X",$D168="",$D168="X",$E168="",$E168="X"),0,IFERROR(_xlfn.LET(_xlpm.x,SUM(SUM(_xlfn._xlws.FILTER(VALUE(PptoSty[Sign]&amp;1)*(1/PptoSty[Division]),(PptoSty[Division]&lt;&gt;0)*(PptoSty[Division]&lt;&gt;"")*(PptoSty[Division]&lt;&gt;"X")*(PptoSty[Project]=$B168)*(PptoSty[Vrs]=$D168)*(PptoSty[PiRow]=_xlfn.TEXTAFTER($H168,":"))*(PptoSty[PiColumn]=T$54),0)),SUM(IF((INDIRECT($B$3)=$B168)*(INDIRECT($C$3)=$D168)*((INDIRECT($E$3)="TOTS")+(INDIRECT($E$3)=$E168)),INDIRECT(T$3)))),_xlpm.y,SUM(_xlfn.CHOOSECOLS(_xlfn._xlws.FILTER(F_RT14[],(F_RT14[PrjId]=$B168)*(F_RT14[Vrs]=$D168)*(_xlfn.TEXTAFTER(F_RT14[ActGrp],":")=_xlfn.TEXTAFTER($H168,":")),"X"),MATCH("*"&amp;T$54,F_RT14[#Headers],0))),IF(AND(_xlpm.x=0,_xlpm.y&lt;&gt;0),-1,IF(AND(_xlpm.x&lt;&gt;0,_xlpm.y&lt;&gt;0),_xlpm.x,IF(AND(_xlpm.x-SUM(IF((INDIRECT($B$3)=$B168)*(INDIRECT($C$3)=$D168)*((INDIRECT($E$3)="TOTS")+(INDIRECT($E$3)=$E168)),INDIRECT(T$3)))&lt;&gt;0,_xlpm.y=0),-2,_xlpm.x)))),0))</f>
        <v>0</v>
      </c>
      <c r="U168" s="199" cm="1">
        <f t="array" aca="1" ref="U168" ca="1">IF(OR($B168="",$B168="X",$D168="",$D168="X",$E168="",$E168="X"),0,IFERROR(_xlfn.LET(_xlpm.x,SUM(SUM(_xlfn._xlws.FILTER(VALUE(PptoSty[Sign]&amp;1)*(1/PptoSty[Division]),(PptoSty[Division]&lt;&gt;0)*(PptoSty[Division]&lt;&gt;"")*(PptoSty[Division]&lt;&gt;"X")*(PptoSty[Project]=$B168)*(PptoSty[Vrs]=$D168)*(PptoSty[PiRow]=_xlfn.TEXTAFTER($H168,":"))*(PptoSty[PiColumn]=U$54),0)),SUM(IF((INDIRECT($B$3)=$B168)*(INDIRECT($C$3)=$D168)*((INDIRECT($E$3)="TOTS")+(INDIRECT($E$3)=$E168)),INDIRECT(U$3)))),_xlpm.y,SUM(_xlfn.CHOOSECOLS(_xlfn._xlws.FILTER(F_RT14[],(F_RT14[PrjId]=$B168)*(F_RT14[Vrs]=$D168)*(_xlfn.TEXTAFTER(F_RT14[ActGrp],":")=_xlfn.TEXTAFTER($H168,":")),"X"),MATCH("*"&amp;U$54,F_RT14[#Headers],0))),IF(AND(_xlpm.x=0,_xlpm.y&lt;&gt;0),-1,IF(AND(_xlpm.x&lt;&gt;0,_xlpm.y&lt;&gt;0),_xlpm.x,IF(AND(_xlpm.x-SUM(IF((INDIRECT($B$3)=$B168)*(INDIRECT($C$3)=$D168)*((INDIRECT($E$3)="TOTS")+(INDIRECT($E$3)=$E168)),INDIRECT(U$3)))&lt;&gt;0,_xlpm.y=0),-2,_xlpm.x)))),0))</f>
        <v>0</v>
      </c>
      <c r="V168" s="199" cm="1">
        <f t="array" aca="1" ref="V168" ca="1">IF(OR($B168="",$B168="X",$D168="",$D168="X",$E168="",$E168="X"),0,IFERROR(_xlfn.LET(_xlpm.x,SUM(SUM(_xlfn._xlws.FILTER(VALUE(PptoSty[Sign]&amp;1)*(1/PptoSty[Division]),(PptoSty[Division]&lt;&gt;0)*(PptoSty[Division]&lt;&gt;"")*(PptoSty[Division]&lt;&gt;"X")*(PptoSty[Project]=$B168)*(PptoSty[Vrs]=$D168)*(PptoSty[PiRow]=_xlfn.TEXTAFTER($H168,":"))*(PptoSty[PiColumn]=V$54),0)),SUM(IF((INDIRECT($B$3)=$B168)*(INDIRECT($C$3)=$D168)*((INDIRECT($E$3)="TOTS")+(INDIRECT($E$3)=$E168)),INDIRECT(V$3)))),_xlpm.y,SUM(_xlfn.CHOOSECOLS(_xlfn._xlws.FILTER(F_RT14[],(F_RT14[PrjId]=$B168)*(F_RT14[Vrs]=$D168)*(_xlfn.TEXTAFTER(F_RT14[ActGrp],":")=_xlfn.TEXTAFTER($H168,":")),"X"),MATCH("*"&amp;V$54,F_RT14[#Headers],0))),IF(AND(_xlpm.x=0,_xlpm.y&lt;&gt;0),-1,IF(AND(_xlpm.x&lt;&gt;0,_xlpm.y&lt;&gt;0),_xlpm.x,IF(AND(_xlpm.x-SUM(IF((INDIRECT($B$3)=$B168)*(INDIRECT($C$3)=$D168)*((INDIRECT($E$3)="TOTS")+(INDIRECT($E$3)=$E168)),INDIRECT(V$3)))&lt;&gt;0,_xlpm.y=0),-2,_xlpm.x)))),0))</f>
        <v>0</v>
      </c>
      <c r="W168" s="199" cm="1">
        <f t="array" aca="1" ref="W168" ca="1">IF(OR($B168="",$B168="X",$D168="",$D168="X",$E168="",$E168="X"),0,IFERROR(_xlfn.LET(_xlpm.x,SUM(SUM(_xlfn._xlws.FILTER(VALUE(PptoSty[Sign]&amp;1)*(1/PptoSty[Division]),(PptoSty[Division]&lt;&gt;0)*(PptoSty[Division]&lt;&gt;"")*(PptoSty[Division]&lt;&gt;"X")*(PptoSty[Project]=$B168)*(PptoSty[Vrs]=$D168)*(PptoSty[PiRow]=_xlfn.TEXTAFTER($H168,":"))*(PptoSty[PiColumn]=W$54),0)),SUM(IF((INDIRECT($B$3)=$B168)*(INDIRECT($C$3)=$D168)*((INDIRECT($E$3)="TOTS")+(INDIRECT($E$3)=$E168)),INDIRECT(W$3)))),_xlpm.y,SUM(_xlfn.CHOOSECOLS(_xlfn._xlws.FILTER(F_RT14[],(F_RT14[PrjId]=$B168)*(F_RT14[Vrs]=$D168)*(_xlfn.TEXTAFTER(F_RT14[ActGrp],":")=_xlfn.TEXTAFTER($H168,":")),"X"),MATCH("*"&amp;W$54,F_RT14[#Headers],0))),IF(AND(_xlpm.x=0,_xlpm.y&lt;&gt;0),-1,IF(AND(_xlpm.x&lt;&gt;0,_xlpm.y&lt;&gt;0),_xlpm.x,IF(AND(_xlpm.x-SUM(IF((INDIRECT($B$3)=$B168)*(INDIRECT($C$3)=$D168)*((INDIRECT($E$3)="TOTS")+(INDIRECT($E$3)=$E168)),INDIRECT(W$3)))&lt;&gt;0,_xlpm.y=0),-2,_xlpm.x)))),0))</f>
        <v>-1</v>
      </c>
      <c r="X168" s="199" cm="1">
        <f t="array" aca="1" ref="X168" ca="1">IF(OR($B168="",$B168="X",$D168="",$D168="X",$E168="",$E168="X"),0,IFERROR(_xlfn.LET(_xlpm.x,SUM(SUM(_xlfn._xlws.FILTER(VALUE(PptoSty[Sign]&amp;1)*(1/PptoSty[Division]),(PptoSty[Division]&lt;&gt;0)*(PptoSty[Division]&lt;&gt;"")*(PptoSty[Division]&lt;&gt;"X")*(PptoSty[Project]=$B168)*(PptoSty[Vrs]=$D168)*(PptoSty[PiRow]=_xlfn.TEXTAFTER($H168,":"))*(PptoSty[PiColumn]=X$54),0)),SUM(IF((INDIRECT($B$3)=$B168)*(INDIRECT($C$3)=$D168)*((INDIRECT($E$3)="TOTS")+(INDIRECT($E$3)=$E168)),INDIRECT(X$3)))),_xlpm.y,SUM(_xlfn.CHOOSECOLS(_xlfn._xlws.FILTER(F_RT14[],(F_RT14[PrjId]=$B168)*(F_RT14[Vrs]=$D168)*(_xlfn.TEXTAFTER(F_RT14[ActGrp],":")=_xlfn.TEXTAFTER($H168,":")),"X"),MATCH("*"&amp;X$54,F_RT14[#Headers],0))),IF(AND(_xlpm.x=0,_xlpm.y&lt;&gt;0),-1,IF(AND(_xlpm.x&lt;&gt;0,_xlpm.y&lt;&gt;0),_xlpm.x,IF(AND(_xlpm.x-SUM(IF((INDIRECT($B$3)=$B168)*(INDIRECT($C$3)=$D168)*((INDIRECT($E$3)="TOTS")+(INDIRECT($E$3)=$E168)),INDIRECT(X$3)))&lt;&gt;0,_xlpm.y=0),-2,_xlpm.x)))),0))</f>
        <v>0</v>
      </c>
      <c r="Y168" s="199" cm="1">
        <f t="array" aca="1" ref="Y168" ca="1">IF(OR($B168="",$B168="X",$D168="",$D168="X",$E168="",$E168="X"),0,IFERROR(_xlfn.LET(_xlpm.x,SUM(SUM(_xlfn._xlws.FILTER(VALUE(PptoSty[Sign]&amp;1)*(1/PptoSty[Division]),(PptoSty[Division]&lt;&gt;0)*(PptoSty[Division]&lt;&gt;"")*(PptoSty[Division]&lt;&gt;"X")*(PptoSty[Project]=$B168)*(PptoSty[Vrs]=$D168)*(PptoSty[PiRow]=_xlfn.TEXTAFTER($H168,":"))*(PptoSty[PiColumn]=Y$54),0)),SUM(IF((INDIRECT($B$3)=$B168)*(INDIRECT($C$3)=$D168)*((INDIRECT($E$3)="TOTS")+(INDIRECT($E$3)=$E168)),INDIRECT(Y$3)))),_xlpm.y,SUM(_xlfn.CHOOSECOLS(_xlfn._xlws.FILTER(F_RT14[],(F_RT14[PrjId]=$B168)*(F_RT14[Vrs]=$D168)*(_xlfn.TEXTAFTER(F_RT14[ActGrp],":")=_xlfn.TEXTAFTER($H168,":")),"X"),MATCH("*"&amp;Y$54,F_RT14[#Headers],0))),IF(AND(_xlpm.x=0,_xlpm.y&lt;&gt;0),-1,IF(AND(_xlpm.x&lt;&gt;0,_xlpm.y&lt;&gt;0),_xlpm.x,IF(AND(_xlpm.x-SUM(IF((INDIRECT($B$3)=$B168)*(INDIRECT($C$3)=$D168)*((INDIRECT($E$3)="TOTS")+(INDIRECT($E$3)=$E168)),INDIRECT(Y$3)))&lt;&gt;0,_xlpm.y=0),-2,_xlpm.x)))),0))</f>
        <v>0</v>
      </c>
      <c r="Z168" s="198" t="str">
        <f t="shared" ca="1" si="3"/>
        <v>Fback!B168:Y168</v>
      </c>
    </row>
    <row r="169" spans="2:26" ht="21" customHeight="1" outlineLevel="1">
      <c r="B169" s="128" t="str">
        <v>31200</v>
      </c>
      <c r="C169" s="128" t="str">
        <v>Sp</v>
      </c>
      <c r="D169" s="128">
        <v>0</v>
      </c>
      <c r="E169" s="128" t="str">
        <v>CELL</v>
      </c>
      <c r="F169" s="139" t="str">
        <v>SERRA</v>
      </c>
      <c r="G169" s="139" t="str">
        <v>CurPpto</v>
      </c>
      <c r="H169" s="139" t="str">
        <v>E002:VALLADOS &amp; SEGURIDADES</v>
      </c>
      <c r="I169" s="199" cm="1">
        <f t="array" aca="1" ref="I169" ca="1">IF(OR($B169="",$B169="X",$D169="",$D169="X",$E169="",$E169="X"),0,IFERROR(_xlfn.LET(_xlpm.x,SUM(SUM(_xlfn._xlws.FILTER(VALUE(PptoSty[Sign]&amp;1)*(1/PptoSty[Division]),(PptoSty[Division]&lt;&gt;0)*(PptoSty[Division]&lt;&gt;"")*(PptoSty[Division]&lt;&gt;"X")*(PptoSty[Project]=$B169)*(PptoSty[Vrs]=$D169)*(PptoSty[PiRow]=_xlfn.TEXTAFTER($H169,":"))*(PptoSty[PiColumn]=I$54),0)),SUM(IF((INDIRECT($B$3)=$B169)*(INDIRECT($C$3)=$D169)*((INDIRECT($E$3)="TOTS")+(INDIRECT($E$3)=$E169)),INDIRECT(I$3)))),_xlpm.y,SUM(_xlfn.CHOOSECOLS(_xlfn._xlws.FILTER(F_RT14[],(F_RT14[PrjId]=$B169)*(F_RT14[Vrs]=$D169)*(_xlfn.TEXTAFTER(F_RT14[ActGrp],":")=_xlfn.TEXTAFTER($H169,":")),"X"),MATCH("*"&amp;I$54,F_RT14[#Headers],0))),IF(AND(_xlpm.x=0,_xlpm.y&lt;&gt;0),-1,IF(AND(_xlpm.x&lt;&gt;0,_xlpm.y&lt;&gt;0),_xlpm.x,IF(AND(_xlpm.x-SUM(IF((INDIRECT($B$3)=$B169)*(INDIRECT($C$3)=$D169)*((INDIRECT($E$3)="TOTS")+(INDIRECT($E$3)=$E169)),INDIRECT(I$3)))&lt;&gt;0,_xlpm.y=0),-2,_xlpm.x)))),0))</f>
        <v>0</v>
      </c>
      <c r="J169" s="199" cm="1">
        <f t="array" aca="1" ref="J169" ca="1">IF(OR($B169="",$B169="X",$D169="",$D169="X",$E169="",$E169="X"),0,IFERROR(_xlfn.LET(_xlpm.x,SUM(SUM(_xlfn._xlws.FILTER(VALUE(PptoSty[Sign]&amp;1)*(1/PptoSty[Division]),(PptoSty[Division]&lt;&gt;0)*(PptoSty[Division]&lt;&gt;"")*(PptoSty[Division]&lt;&gt;"X")*(PptoSty[Project]=$B169)*(PptoSty[Vrs]=$D169)*(PptoSty[PiRow]=_xlfn.TEXTAFTER($H169,":"))*(PptoSty[PiColumn]=J$54),0)),SUM(IF((INDIRECT($B$3)=$B169)*(INDIRECT($C$3)=$D169)*((INDIRECT($E$3)="TOTS")+(INDIRECT($E$3)=$E169)),INDIRECT(J$3)))),_xlpm.y,SUM(_xlfn.CHOOSECOLS(_xlfn._xlws.FILTER(F_RT14[],(F_RT14[PrjId]=$B169)*(F_RT14[Vrs]=$D169)*(_xlfn.TEXTAFTER(F_RT14[ActGrp],":")=_xlfn.TEXTAFTER($H169,":")),"X"),MATCH("*"&amp;J$54,F_RT14[#Headers],0))),IF(AND(_xlpm.x=0,_xlpm.y&lt;&gt;0),-1,IF(AND(_xlpm.x&lt;&gt;0,_xlpm.y&lt;&gt;0),_xlpm.x,IF(AND(_xlpm.x-SUM(IF((INDIRECT($B$3)=$B169)*(INDIRECT($C$3)=$D169)*((INDIRECT($E$3)="TOTS")+(INDIRECT($E$3)=$E169)),INDIRECT(J$3)))&lt;&gt;0,_xlpm.y=0),-2,_xlpm.x)))),0))</f>
        <v>0</v>
      </c>
      <c r="K169" s="199" cm="1">
        <f t="array" aca="1" ref="K169" ca="1">IF(OR($B169="",$B169="X",$D169="",$D169="X",$E169="",$E169="X"),0,IFERROR(_xlfn.LET(_xlpm.x,SUM(SUM(_xlfn._xlws.FILTER(VALUE(PptoSty[Sign]&amp;1)*(1/PptoSty[Division]),(PptoSty[Division]&lt;&gt;0)*(PptoSty[Division]&lt;&gt;"")*(PptoSty[Division]&lt;&gt;"X")*(PptoSty[Project]=$B169)*(PptoSty[Vrs]=$D169)*(PptoSty[PiRow]=_xlfn.TEXTAFTER($H169,":"))*(PptoSty[PiColumn]=K$54),0)),SUM(IF((INDIRECT($B$3)=$B169)*(INDIRECT($C$3)=$D169)*((INDIRECT($E$3)="TOTS")+(INDIRECT($E$3)=$E169)),INDIRECT(K$3)))),_xlpm.y,SUM(_xlfn.CHOOSECOLS(_xlfn._xlws.FILTER(F_RT14[],(F_RT14[PrjId]=$B169)*(F_RT14[Vrs]=$D169)*(_xlfn.TEXTAFTER(F_RT14[ActGrp],":")=_xlfn.TEXTAFTER($H169,":")),"X"),MATCH("*"&amp;K$54,F_RT14[#Headers],0))),IF(AND(_xlpm.x=0,_xlpm.y&lt;&gt;0),-1,IF(AND(_xlpm.x&lt;&gt;0,_xlpm.y&lt;&gt;0),_xlpm.x,IF(AND(_xlpm.x-SUM(IF((INDIRECT($B$3)=$B169)*(INDIRECT($C$3)=$D169)*((INDIRECT($E$3)="TOTS")+(INDIRECT($E$3)=$E169)),INDIRECT(K$3)))&lt;&gt;0,_xlpm.y=0),-2,_xlpm.x)))),0))</f>
        <v>-1</v>
      </c>
      <c r="L169" s="199" cm="1">
        <f t="array" aca="1" ref="L169" ca="1">IF(OR($B169="",$B169="X",$D169="",$D169="X",$E169="",$E169="X"),0,IFERROR(_xlfn.LET(_xlpm.x,SUM(SUM(_xlfn._xlws.FILTER(VALUE(PptoSty[Sign]&amp;1)*(1/PptoSty[Division]),(PptoSty[Division]&lt;&gt;0)*(PptoSty[Division]&lt;&gt;"")*(PptoSty[Division]&lt;&gt;"X")*(PptoSty[Project]=$B169)*(PptoSty[Vrs]=$D169)*(PptoSty[PiRow]=_xlfn.TEXTAFTER($H169,":"))*(PptoSty[PiColumn]=L$54),0)),SUM(IF((INDIRECT($B$3)=$B169)*(INDIRECT($C$3)=$D169)*((INDIRECT($E$3)="TOTS")+(INDIRECT($E$3)=$E169)),INDIRECT(L$3)))),_xlpm.y,SUM(_xlfn.CHOOSECOLS(_xlfn._xlws.FILTER(F_RT14[],(F_RT14[PrjId]=$B169)*(F_RT14[Vrs]=$D169)*(_xlfn.TEXTAFTER(F_RT14[ActGrp],":")=_xlfn.TEXTAFTER($H169,":")),"X"),MATCH("*"&amp;L$54,F_RT14[#Headers],0))),IF(AND(_xlpm.x=0,_xlpm.y&lt;&gt;0),-1,IF(AND(_xlpm.x&lt;&gt;0,_xlpm.y&lt;&gt;0),_xlpm.x,IF(AND(_xlpm.x-SUM(IF((INDIRECT($B$3)=$B169)*(INDIRECT($C$3)=$D169)*((INDIRECT($E$3)="TOTS")+(INDIRECT($E$3)=$E169)),INDIRECT(L$3)))&lt;&gt;0,_xlpm.y=0),-2,_xlpm.x)))),0))</f>
        <v>0</v>
      </c>
      <c r="M169" s="199" cm="1">
        <f t="array" aca="1" ref="M169" ca="1">IF(OR($B169="",$B169="X",$D169="",$D169="X",$E169="",$E169="X"),0,IFERROR(_xlfn.LET(_xlpm.x,SUM(SUM(_xlfn._xlws.FILTER(VALUE(PptoSty[Sign]&amp;1)*(1/PptoSty[Division]),(PptoSty[Division]&lt;&gt;0)*(PptoSty[Division]&lt;&gt;"")*(PptoSty[Division]&lt;&gt;"X")*(PptoSty[Project]=$B169)*(PptoSty[Vrs]=$D169)*(PptoSty[PiRow]=_xlfn.TEXTAFTER($H169,":"))*(PptoSty[PiColumn]=M$54),0)),SUM(IF((INDIRECT($B$3)=$B169)*(INDIRECT($C$3)=$D169)*((INDIRECT($E$3)="TOTS")+(INDIRECT($E$3)=$E169)),INDIRECT(M$3)))),_xlpm.y,SUM(_xlfn.CHOOSECOLS(_xlfn._xlws.FILTER(F_RT14[],(F_RT14[PrjId]=$B169)*(F_RT14[Vrs]=$D169)*(_xlfn.TEXTAFTER(F_RT14[ActGrp],":")=_xlfn.TEXTAFTER($H169,":")),"X"),MATCH("*"&amp;M$54,F_RT14[#Headers],0))),IF(AND(_xlpm.x=0,_xlpm.y&lt;&gt;0),-1,IF(AND(_xlpm.x&lt;&gt;0,_xlpm.y&lt;&gt;0),_xlpm.x,IF(AND(_xlpm.x-SUM(IF((INDIRECT($B$3)=$B169)*(INDIRECT($C$3)=$D169)*((INDIRECT($E$3)="TOTS")+(INDIRECT($E$3)=$E169)),INDIRECT(M$3)))&lt;&gt;0,_xlpm.y=0),-2,_xlpm.x)))),0))</f>
        <v>0</v>
      </c>
      <c r="N169" s="199" cm="1">
        <f t="array" aca="1" ref="N169" ca="1">IF(OR($B169="",$B169="X",$D169="",$D169="X",$E169="",$E169="X"),0,IFERROR(_xlfn.LET(_xlpm.x,SUM(SUM(_xlfn._xlws.FILTER(VALUE(PptoSty[Sign]&amp;1)*(1/PptoSty[Division]),(PptoSty[Division]&lt;&gt;0)*(PptoSty[Division]&lt;&gt;"")*(PptoSty[Division]&lt;&gt;"X")*(PptoSty[Project]=$B169)*(PptoSty[Vrs]=$D169)*(PptoSty[PiRow]=_xlfn.TEXTAFTER($H169,":"))*(PptoSty[PiColumn]=N$54),0)),SUM(IF((INDIRECT($B$3)=$B169)*(INDIRECT($C$3)=$D169)*((INDIRECT($E$3)="TOTS")+(INDIRECT($E$3)=$E169)),INDIRECT(N$3)))),_xlpm.y,SUM(_xlfn.CHOOSECOLS(_xlfn._xlws.FILTER(F_RT14[],(F_RT14[PrjId]=$B169)*(F_RT14[Vrs]=$D169)*(_xlfn.TEXTAFTER(F_RT14[ActGrp],":")=_xlfn.TEXTAFTER($H169,":")),"X"),MATCH("*"&amp;N$54,F_RT14[#Headers],0))),IF(AND(_xlpm.x=0,_xlpm.y&lt;&gt;0),-1,IF(AND(_xlpm.x&lt;&gt;0,_xlpm.y&lt;&gt;0),_xlpm.x,IF(AND(_xlpm.x-SUM(IF((INDIRECT($B$3)=$B169)*(INDIRECT($C$3)=$D169)*((INDIRECT($E$3)="TOTS")+(INDIRECT($E$3)=$E169)),INDIRECT(N$3)))&lt;&gt;0,_xlpm.y=0),-2,_xlpm.x)))),0))</f>
        <v>-1</v>
      </c>
      <c r="O169" s="199" cm="1">
        <f t="array" aca="1" ref="O169" ca="1">IF(OR($B169="",$B169="X",$D169="",$D169="X",$E169="",$E169="X"),0,IFERROR(_xlfn.LET(_xlpm.x,SUM(SUM(_xlfn._xlws.FILTER(VALUE(PptoSty[Sign]&amp;1)*(1/PptoSty[Division]),(PptoSty[Division]&lt;&gt;0)*(PptoSty[Division]&lt;&gt;"")*(PptoSty[Division]&lt;&gt;"X")*(PptoSty[Project]=$B169)*(PptoSty[Vrs]=$D169)*(PptoSty[PiRow]=_xlfn.TEXTAFTER($H169,":"))*(PptoSty[PiColumn]=O$54),0)),SUM(IF((INDIRECT($B$3)=$B169)*(INDIRECT($C$3)=$D169)*((INDIRECT($E$3)="TOTS")+(INDIRECT($E$3)=$E169)),INDIRECT(O$3)))),_xlpm.y,SUM(_xlfn.CHOOSECOLS(_xlfn._xlws.FILTER(F_RT14[],(F_RT14[PrjId]=$B169)*(F_RT14[Vrs]=$D169)*(_xlfn.TEXTAFTER(F_RT14[ActGrp],":")=_xlfn.TEXTAFTER($H169,":")),"X"),MATCH("*"&amp;O$54,F_RT14[#Headers],0))),IF(AND(_xlpm.x=0,_xlpm.y&lt;&gt;0),-1,IF(AND(_xlpm.x&lt;&gt;0,_xlpm.y&lt;&gt;0),_xlpm.x,IF(AND(_xlpm.x-SUM(IF((INDIRECT($B$3)=$B169)*(INDIRECT($C$3)=$D169)*((INDIRECT($E$3)="TOTS")+(INDIRECT($E$3)=$E169)),INDIRECT(O$3)))&lt;&gt;0,_xlpm.y=0),-2,_xlpm.x)))),0))</f>
        <v>0</v>
      </c>
      <c r="P169" s="199" cm="1">
        <f t="array" aca="1" ref="P169" ca="1">IF(OR($B169="",$B169="X",$D169="",$D169="X",$E169="",$E169="X"),0,IFERROR(_xlfn.LET(_xlpm.x,SUM(SUM(_xlfn._xlws.FILTER(VALUE(PptoSty[Sign]&amp;1)*(1/PptoSty[Division]),(PptoSty[Division]&lt;&gt;0)*(PptoSty[Division]&lt;&gt;"")*(PptoSty[Division]&lt;&gt;"X")*(PptoSty[Project]=$B169)*(PptoSty[Vrs]=$D169)*(PptoSty[PiRow]=_xlfn.TEXTAFTER($H169,":"))*(PptoSty[PiColumn]=P$54),0)),SUM(IF((INDIRECT($B$3)=$B169)*(INDIRECT($C$3)=$D169)*((INDIRECT($E$3)="TOTS")+(INDIRECT($E$3)=$E169)),INDIRECT(P$3)))),_xlpm.y,SUM(_xlfn.CHOOSECOLS(_xlfn._xlws.FILTER(F_RT14[],(F_RT14[PrjId]=$B169)*(F_RT14[Vrs]=$D169)*(_xlfn.TEXTAFTER(F_RT14[ActGrp],":")=_xlfn.TEXTAFTER($H169,":")),"X"),MATCH("*"&amp;P$54,F_RT14[#Headers],0))),IF(AND(_xlpm.x=0,_xlpm.y&lt;&gt;0),-1,IF(AND(_xlpm.x&lt;&gt;0,_xlpm.y&lt;&gt;0),_xlpm.x,IF(AND(_xlpm.x-SUM(IF((INDIRECT($B$3)=$B169)*(INDIRECT($C$3)=$D169)*((INDIRECT($E$3)="TOTS")+(INDIRECT($E$3)=$E169)),INDIRECT(P$3)))&lt;&gt;0,_xlpm.y=0),-2,_xlpm.x)))),0))</f>
        <v>-1</v>
      </c>
      <c r="Q169" s="199" cm="1">
        <f t="array" aca="1" ref="Q169" ca="1">IF(OR($B169="",$B169="X",$D169="",$D169="X",$E169="",$E169="X"),0,IFERROR(_xlfn.LET(_xlpm.x,SUM(SUM(_xlfn._xlws.FILTER(VALUE(PptoSty[Sign]&amp;1)*(1/PptoSty[Division]),(PptoSty[Division]&lt;&gt;0)*(PptoSty[Division]&lt;&gt;"")*(PptoSty[Division]&lt;&gt;"X")*(PptoSty[Project]=$B169)*(PptoSty[Vrs]=$D169)*(PptoSty[PiRow]=_xlfn.TEXTAFTER($H169,":"))*(PptoSty[PiColumn]=Q$54),0)),SUM(IF((INDIRECT($B$3)=$B169)*(INDIRECT($C$3)=$D169)*((INDIRECT($E$3)="TOTS")+(INDIRECT($E$3)=$E169)),INDIRECT(Q$3)))),_xlpm.y,SUM(_xlfn.CHOOSECOLS(_xlfn._xlws.FILTER(F_RT14[],(F_RT14[PrjId]=$B169)*(F_RT14[Vrs]=$D169)*(_xlfn.TEXTAFTER(F_RT14[ActGrp],":")=_xlfn.TEXTAFTER($H169,":")),"X"),MATCH("*"&amp;Q$54,F_RT14[#Headers],0))),IF(AND(_xlpm.x=0,_xlpm.y&lt;&gt;0),-1,IF(AND(_xlpm.x&lt;&gt;0,_xlpm.y&lt;&gt;0),_xlpm.x,IF(AND(_xlpm.x-SUM(IF((INDIRECT($B$3)=$B169)*(INDIRECT($C$3)=$D169)*((INDIRECT($E$3)="TOTS")+(INDIRECT($E$3)=$E169)),INDIRECT(Q$3)))&lt;&gt;0,_xlpm.y=0),-2,_xlpm.x)))),0))</f>
        <v>-1</v>
      </c>
      <c r="R169" s="199" cm="1">
        <f t="array" aca="1" ref="R169" ca="1">IF(OR($B169="",$B169="X",$D169="",$D169="X",$E169="",$E169="X"),0,IFERROR(_xlfn.LET(_xlpm.x,SUM(SUM(_xlfn._xlws.FILTER(VALUE(PptoSty[Sign]&amp;1)*(1/PptoSty[Division]),(PptoSty[Division]&lt;&gt;0)*(PptoSty[Division]&lt;&gt;"")*(PptoSty[Division]&lt;&gt;"X")*(PptoSty[Project]=$B169)*(PptoSty[Vrs]=$D169)*(PptoSty[PiRow]=_xlfn.TEXTAFTER($H169,":"))*(PptoSty[PiColumn]=R$54),0)),SUM(IF((INDIRECT($B$3)=$B169)*(INDIRECT($C$3)=$D169)*((INDIRECT($E$3)="TOTS")+(INDIRECT($E$3)=$E169)),INDIRECT(R$3)))),_xlpm.y,SUM(_xlfn.CHOOSECOLS(_xlfn._xlws.FILTER(F_RT14[],(F_RT14[PrjId]=$B169)*(F_RT14[Vrs]=$D169)*(_xlfn.TEXTAFTER(F_RT14[ActGrp],":")=_xlfn.TEXTAFTER($H169,":")),"X"),MATCH("*"&amp;R$54,F_RT14[#Headers],0))),IF(AND(_xlpm.x=0,_xlpm.y&lt;&gt;0),-1,IF(AND(_xlpm.x&lt;&gt;0,_xlpm.y&lt;&gt;0),_xlpm.x,IF(AND(_xlpm.x-SUM(IF((INDIRECT($B$3)=$B169)*(INDIRECT($C$3)=$D169)*((INDIRECT($E$3)="TOTS")+(INDIRECT($E$3)=$E169)),INDIRECT(R$3)))&lt;&gt;0,_xlpm.y=0),-2,_xlpm.x)))),0))</f>
        <v>0</v>
      </c>
      <c r="S169" s="199" cm="1">
        <f t="array" aca="1" ref="S169" ca="1">IF(OR($B169="",$B169="X",$D169="",$D169="X",$E169="",$E169="X"),0,IFERROR(_xlfn.LET(_xlpm.x,SUM(SUM(_xlfn._xlws.FILTER(VALUE(PptoSty[Sign]&amp;1)*(1/PptoSty[Division]),(PptoSty[Division]&lt;&gt;0)*(PptoSty[Division]&lt;&gt;"")*(PptoSty[Division]&lt;&gt;"X")*(PptoSty[Project]=$B169)*(PptoSty[Vrs]=$D169)*(PptoSty[PiRow]=_xlfn.TEXTAFTER($H169,":"))*(PptoSty[PiColumn]=S$54),0)),SUM(IF((INDIRECT($B$3)=$B169)*(INDIRECT($C$3)=$D169)*((INDIRECT($E$3)="TOTS")+(INDIRECT($E$3)=$E169)),INDIRECT(S$3)))),_xlpm.y,SUM(_xlfn.CHOOSECOLS(_xlfn._xlws.FILTER(F_RT14[],(F_RT14[PrjId]=$B169)*(F_RT14[Vrs]=$D169)*(_xlfn.TEXTAFTER(F_RT14[ActGrp],":")=_xlfn.TEXTAFTER($H169,":")),"X"),MATCH("*"&amp;S$54,F_RT14[#Headers],0))),IF(AND(_xlpm.x=0,_xlpm.y&lt;&gt;0),-1,IF(AND(_xlpm.x&lt;&gt;0,_xlpm.y&lt;&gt;0),_xlpm.x,IF(AND(_xlpm.x-SUM(IF((INDIRECT($B$3)=$B169)*(INDIRECT($C$3)=$D169)*((INDIRECT($E$3)="TOTS")+(INDIRECT($E$3)=$E169)),INDIRECT(S$3)))&lt;&gt;0,_xlpm.y=0),-2,_xlpm.x)))),0))</f>
        <v>-1</v>
      </c>
      <c r="T169" s="199" cm="1">
        <f t="array" aca="1" ref="T169" ca="1">IF(OR($B169="",$B169="X",$D169="",$D169="X",$E169="",$E169="X"),0,IFERROR(_xlfn.LET(_xlpm.x,SUM(SUM(_xlfn._xlws.FILTER(VALUE(PptoSty[Sign]&amp;1)*(1/PptoSty[Division]),(PptoSty[Division]&lt;&gt;0)*(PptoSty[Division]&lt;&gt;"")*(PptoSty[Division]&lt;&gt;"X")*(PptoSty[Project]=$B169)*(PptoSty[Vrs]=$D169)*(PptoSty[PiRow]=_xlfn.TEXTAFTER($H169,":"))*(PptoSty[PiColumn]=T$54),0)),SUM(IF((INDIRECT($B$3)=$B169)*(INDIRECT($C$3)=$D169)*((INDIRECT($E$3)="TOTS")+(INDIRECT($E$3)=$E169)),INDIRECT(T$3)))),_xlpm.y,SUM(_xlfn.CHOOSECOLS(_xlfn._xlws.FILTER(F_RT14[],(F_RT14[PrjId]=$B169)*(F_RT14[Vrs]=$D169)*(_xlfn.TEXTAFTER(F_RT14[ActGrp],":")=_xlfn.TEXTAFTER($H169,":")),"X"),MATCH("*"&amp;T$54,F_RT14[#Headers],0))),IF(AND(_xlpm.x=0,_xlpm.y&lt;&gt;0),-1,IF(AND(_xlpm.x&lt;&gt;0,_xlpm.y&lt;&gt;0),_xlpm.x,IF(AND(_xlpm.x-SUM(IF((INDIRECT($B$3)=$B169)*(INDIRECT($C$3)=$D169)*((INDIRECT($E$3)="TOTS")+(INDIRECT($E$3)=$E169)),INDIRECT(T$3)))&lt;&gt;0,_xlpm.y=0),-2,_xlpm.x)))),0))</f>
        <v>-1</v>
      </c>
      <c r="U169" s="199" cm="1">
        <f t="array" aca="1" ref="U169" ca="1">IF(OR($B169="",$B169="X",$D169="",$D169="X",$E169="",$E169="X"),0,IFERROR(_xlfn.LET(_xlpm.x,SUM(SUM(_xlfn._xlws.FILTER(VALUE(PptoSty[Sign]&amp;1)*(1/PptoSty[Division]),(PptoSty[Division]&lt;&gt;0)*(PptoSty[Division]&lt;&gt;"")*(PptoSty[Division]&lt;&gt;"X")*(PptoSty[Project]=$B169)*(PptoSty[Vrs]=$D169)*(PptoSty[PiRow]=_xlfn.TEXTAFTER($H169,":"))*(PptoSty[PiColumn]=U$54),0)),SUM(IF((INDIRECT($B$3)=$B169)*(INDIRECT($C$3)=$D169)*((INDIRECT($E$3)="TOTS")+(INDIRECT($E$3)=$E169)),INDIRECT(U$3)))),_xlpm.y,SUM(_xlfn.CHOOSECOLS(_xlfn._xlws.FILTER(F_RT14[],(F_RT14[PrjId]=$B169)*(F_RT14[Vrs]=$D169)*(_xlfn.TEXTAFTER(F_RT14[ActGrp],":")=_xlfn.TEXTAFTER($H169,":")),"X"),MATCH("*"&amp;U$54,F_RT14[#Headers],0))),IF(AND(_xlpm.x=0,_xlpm.y&lt;&gt;0),-1,IF(AND(_xlpm.x&lt;&gt;0,_xlpm.y&lt;&gt;0),_xlpm.x,IF(AND(_xlpm.x-SUM(IF((INDIRECT($B$3)=$B169)*(INDIRECT($C$3)=$D169)*((INDIRECT($E$3)="TOTS")+(INDIRECT($E$3)=$E169)),INDIRECT(U$3)))&lt;&gt;0,_xlpm.y=0),-2,_xlpm.x)))),0))</f>
        <v>0</v>
      </c>
      <c r="V169" s="199" cm="1">
        <f t="array" aca="1" ref="V169" ca="1">IF(OR($B169="",$B169="X",$D169="",$D169="X",$E169="",$E169="X"),0,IFERROR(_xlfn.LET(_xlpm.x,SUM(SUM(_xlfn._xlws.FILTER(VALUE(PptoSty[Sign]&amp;1)*(1/PptoSty[Division]),(PptoSty[Division]&lt;&gt;0)*(PptoSty[Division]&lt;&gt;"")*(PptoSty[Division]&lt;&gt;"X")*(PptoSty[Project]=$B169)*(PptoSty[Vrs]=$D169)*(PptoSty[PiRow]=_xlfn.TEXTAFTER($H169,":"))*(PptoSty[PiColumn]=V$54),0)),SUM(IF((INDIRECT($B$3)=$B169)*(INDIRECT($C$3)=$D169)*((INDIRECT($E$3)="TOTS")+(INDIRECT($E$3)=$E169)),INDIRECT(V$3)))),_xlpm.y,SUM(_xlfn.CHOOSECOLS(_xlfn._xlws.FILTER(F_RT14[],(F_RT14[PrjId]=$B169)*(F_RT14[Vrs]=$D169)*(_xlfn.TEXTAFTER(F_RT14[ActGrp],":")=_xlfn.TEXTAFTER($H169,":")),"X"),MATCH("*"&amp;V$54,F_RT14[#Headers],0))),IF(AND(_xlpm.x=0,_xlpm.y&lt;&gt;0),-1,IF(AND(_xlpm.x&lt;&gt;0,_xlpm.y&lt;&gt;0),_xlpm.x,IF(AND(_xlpm.x-SUM(IF((INDIRECT($B$3)=$B169)*(INDIRECT($C$3)=$D169)*((INDIRECT($E$3)="TOTS")+(INDIRECT($E$3)=$E169)),INDIRECT(V$3)))&lt;&gt;0,_xlpm.y=0),-2,_xlpm.x)))),0))</f>
        <v>-1</v>
      </c>
      <c r="W169" s="199" cm="1">
        <f t="array" aca="1" ref="W169" ca="1">IF(OR($B169="",$B169="X",$D169="",$D169="X",$E169="",$E169="X"),0,IFERROR(_xlfn.LET(_xlpm.x,SUM(SUM(_xlfn._xlws.FILTER(VALUE(PptoSty[Sign]&amp;1)*(1/PptoSty[Division]),(PptoSty[Division]&lt;&gt;0)*(PptoSty[Division]&lt;&gt;"")*(PptoSty[Division]&lt;&gt;"X")*(PptoSty[Project]=$B169)*(PptoSty[Vrs]=$D169)*(PptoSty[PiRow]=_xlfn.TEXTAFTER($H169,":"))*(PptoSty[PiColumn]=W$54),0)),SUM(IF((INDIRECT($B$3)=$B169)*(INDIRECT($C$3)=$D169)*((INDIRECT($E$3)="TOTS")+(INDIRECT($E$3)=$E169)),INDIRECT(W$3)))),_xlpm.y,SUM(_xlfn.CHOOSECOLS(_xlfn._xlws.FILTER(F_RT14[],(F_RT14[PrjId]=$B169)*(F_RT14[Vrs]=$D169)*(_xlfn.TEXTAFTER(F_RT14[ActGrp],":")=_xlfn.TEXTAFTER($H169,":")),"X"),MATCH("*"&amp;W$54,F_RT14[#Headers],0))),IF(AND(_xlpm.x=0,_xlpm.y&lt;&gt;0),-1,IF(AND(_xlpm.x&lt;&gt;0,_xlpm.y&lt;&gt;0),_xlpm.x,IF(AND(_xlpm.x-SUM(IF((INDIRECT($B$3)=$B169)*(INDIRECT($C$3)=$D169)*((INDIRECT($E$3)="TOTS")+(INDIRECT($E$3)=$E169)),INDIRECT(W$3)))&lt;&gt;0,_xlpm.y=0),-2,_xlpm.x)))),0))</f>
        <v>-1</v>
      </c>
      <c r="X169" s="199" cm="1">
        <f t="array" aca="1" ref="X169" ca="1">IF(OR($B169="",$B169="X",$D169="",$D169="X",$E169="",$E169="X"),0,IFERROR(_xlfn.LET(_xlpm.x,SUM(SUM(_xlfn._xlws.FILTER(VALUE(PptoSty[Sign]&amp;1)*(1/PptoSty[Division]),(PptoSty[Division]&lt;&gt;0)*(PptoSty[Division]&lt;&gt;"")*(PptoSty[Division]&lt;&gt;"X")*(PptoSty[Project]=$B169)*(PptoSty[Vrs]=$D169)*(PptoSty[PiRow]=_xlfn.TEXTAFTER($H169,":"))*(PptoSty[PiColumn]=X$54),0)),SUM(IF((INDIRECT($B$3)=$B169)*(INDIRECT($C$3)=$D169)*((INDIRECT($E$3)="TOTS")+(INDIRECT($E$3)=$E169)),INDIRECT(X$3)))),_xlpm.y,SUM(_xlfn.CHOOSECOLS(_xlfn._xlws.FILTER(F_RT14[],(F_RT14[PrjId]=$B169)*(F_RT14[Vrs]=$D169)*(_xlfn.TEXTAFTER(F_RT14[ActGrp],":")=_xlfn.TEXTAFTER($H169,":")),"X"),MATCH("*"&amp;X$54,F_RT14[#Headers],0))),IF(AND(_xlpm.x=0,_xlpm.y&lt;&gt;0),-1,IF(AND(_xlpm.x&lt;&gt;0,_xlpm.y&lt;&gt;0),_xlpm.x,IF(AND(_xlpm.x-SUM(IF((INDIRECT($B$3)=$B169)*(INDIRECT($C$3)=$D169)*((INDIRECT($E$3)="TOTS")+(INDIRECT($E$3)=$E169)),INDIRECT(X$3)))&lt;&gt;0,_xlpm.y=0),-2,_xlpm.x)))),0))</f>
        <v>-1</v>
      </c>
      <c r="Y169" s="199" cm="1">
        <f t="array" aca="1" ref="Y169" ca="1">IF(OR($B169="",$B169="X",$D169="",$D169="X",$E169="",$E169="X"),0,IFERROR(_xlfn.LET(_xlpm.x,SUM(SUM(_xlfn._xlws.FILTER(VALUE(PptoSty[Sign]&amp;1)*(1/PptoSty[Division]),(PptoSty[Division]&lt;&gt;0)*(PptoSty[Division]&lt;&gt;"")*(PptoSty[Division]&lt;&gt;"X")*(PptoSty[Project]=$B169)*(PptoSty[Vrs]=$D169)*(PptoSty[PiRow]=_xlfn.TEXTAFTER($H169,":"))*(PptoSty[PiColumn]=Y$54),0)),SUM(IF((INDIRECT($B$3)=$B169)*(INDIRECT($C$3)=$D169)*((INDIRECT($E$3)="TOTS")+(INDIRECT($E$3)=$E169)),INDIRECT(Y$3)))),_xlpm.y,SUM(_xlfn.CHOOSECOLS(_xlfn._xlws.FILTER(F_RT14[],(F_RT14[PrjId]=$B169)*(F_RT14[Vrs]=$D169)*(_xlfn.TEXTAFTER(F_RT14[ActGrp],":")=_xlfn.TEXTAFTER($H169,":")),"X"),MATCH("*"&amp;Y$54,F_RT14[#Headers],0))),IF(AND(_xlpm.x=0,_xlpm.y&lt;&gt;0),-1,IF(AND(_xlpm.x&lt;&gt;0,_xlpm.y&lt;&gt;0),_xlpm.x,IF(AND(_xlpm.x-SUM(IF((INDIRECT($B$3)=$B169)*(INDIRECT($C$3)=$D169)*((INDIRECT($E$3)="TOTS")+(INDIRECT($E$3)=$E169)),INDIRECT(Y$3)))&lt;&gt;0,_xlpm.y=0),-2,_xlpm.x)))),0))</f>
        <v>0</v>
      </c>
      <c r="Z169" s="198" t="str">
        <f t="shared" ca="1" si="3"/>
        <v>Fback!B169:Y169</v>
      </c>
    </row>
    <row r="170" spans="2:26" ht="21" customHeight="1" outlineLevel="1">
      <c r="B170" s="128" t="str">
        <v>31200</v>
      </c>
      <c r="C170" s="128" t="str">
        <v>Sp</v>
      </c>
      <c r="D170" s="128">
        <v>0</v>
      </c>
      <c r="E170" s="128" t="str">
        <v>CELL</v>
      </c>
      <c r="F170" s="139" t="str">
        <v>SERRA</v>
      </c>
      <c r="G170" s="139" t="str">
        <v>CurPpto</v>
      </c>
      <c r="H170" s="139" t="str">
        <v>E003:IMPLANTACIÓN GENERAL</v>
      </c>
      <c r="I170" s="199" cm="1">
        <f t="array" aca="1" ref="I170" ca="1">IF(OR($B170="",$B170="X",$D170="",$D170="X",$E170="",$E170="X"),0,IFERROR(_xlfn.LET(_xlpm.x,SUM(SUM(_xlfn._xlws.FILTER(VALUE(PptoSty[Sign]&amp;1)*(1/PptoSty[Division]),(PptoSty[Division]&lt;&gt;0)*(PptoSty[Division]&lt;&gt;"")*(PptoSty[Division]&lt;&gt;"X")*(PptoSty[Project]=$B170)*(PptoSty[Vrs]=$D170)*(PptoSty[PiRow]=_xlfn.TEXTAFTER($H170,":"))*(PptoSty[PiColumn]=I$54),0)),SUM(IF((INDIRECT($B$3)=$B170)*(INDIRECT($C$3)=$D170)*((INDIRECT($E$3)="TOTS")+(INDIRECT($E$3)=$E170)),INDIRECT(I$3)))),_xlpm.y,SUM(_xlfn.CHOOSECOLS(_xlfn._xlws.FILTER(F_RT14[],(F_RT14[PrjId]=$B170)*(F_RT14[Vrs]=$D170)*(_xlfn.TEXTAFTER(F_RT14[ActGrp],":")=_xlfn.TEXTAFTER($H170,":")),"X"),MATCH("*"&amp;I$54,F_RT14[#Headers],0))),IF(AND(_xlpm.x=0,_xlpm.y&lt;&gt;0),-1,IF(AND(_xlpm.x&lt;&gt;0,_xlpm.y&lt;&gt;0),_xlpm.x,IF(AND(_xlpm.x-SUM(IF((INDIRECT($B$3)=$B170)*(INDIRECT($C$3)=$D170)*((INDIRECT($E$3)="TOTS")+(INDIRECT($E$3)=$E170)),INDIRECT(I$3)))&lt;&gt;0,_xlpm.y=0),-2,_xlpm.x)))),0))</f>
        <v>0</v>
      </c>
      <c r="J170" s="199" cm="1">
        <f t="array" aca="1" ref="J170" ca="1">IF(OR($B170="",$B170="X",$D170="",$D170="X",$E170="",$E170="X"),0,IFERROR(_xlfn.LET(_xlpm.x,SUM(SUM(_xlfn._xlws.FILTER(VALUE(PptoSty[Sign]&amp;1)*(1/PptoSty[Division]),(PptoSty[Division]&lt;&gt;0)*(PptoSty[Division]&lt;&gt;"")*(PptoSty[Division]&lt;&gt;"X")*(PptoSty[Project]=$B170)*(PptoSty[Vrs]=$D170)*(PptoSty[PiRow]=_xlfn.TEXTAFTER($H170,":"))*(PptoSty[PiColumn]=J$54),0)),SUM(IF((INDIRECT($B$3)=$B170)*(INDIRECT($C$3)=$D170)*((INDIRECT($E$3)="TOTS")+(INDIRECT($E$3)=$E170)),INDIRECT(J$3)))),_xlpm.y,SUM(_xlfn.CHOOSECOLS(_xlfn._xlws.FILTER(F_RT14[],(F_RT14[PrjId]=$B170)*(F_RT14[Vrs]=$D170)*(_xlfn.TEXTAFTER(F_RT14[ActGrp],":")=_xlfn.TEXTAFTER($H170,":")),"X"),MATCH("*"&amp;J$54,F_RT14[#Headers],0))),IF(AND(_xlpm.x=0,_xlpm.y&lt;&gt;0),-1,IF(AND(_xlpm.x&lt;&gt;0,_xlpm.y&lt;&gt;0),_xlpm.x,IF(AND(_xlpm.x-SUM(IF((INDIRECT($B$3)=$B170)*(INDIRECT($C$3)=$D170)*((INDIRECT($E$3)="TOTS")+(INDIRECT($E$3)=$E170)),INDIRECT(J$3)))&lt;&gt;0,_xlpm.y=0),-2,_xlpm.x)))),0))</f>
        <v>0</v>
      </c>
      <c r="K170" s="199" cm="1">
        <f t="array" aca="1" ref="K170" ca="1">IF(OR($B170="",$B170="X",$D170="",$D170="X",$E170="",$E170="X"),0,IFERROR(_xlfn.LET(_xlpm.x,SUM(SUM(_xlfn._xlws.FILTER(VALUE(PptoSty[Sign]&amp;1)*(1/PptoSty[Division]),(PptoSty[Division]&lt;&gt;0)*(PptoSty[Division]&lt;&gt;"")*(PptoSty[Division]&lt;&gt;"X")*(PptoSty[Project]=$B170)*(PptoSty[Vrs]=$D170)*(PptoSty[PiRow]=_xlfn.TEXTAFTER($H170,":"))*(PptoSty[PiColumn]=K$54),0)),SUM(IF((INDIRECT($B$3)=$B170)*(INDIRECT($C$3)=$D170)*((INDIRECT($E$3)="TOTS")+(INDIRECT($E$3)=$E170)),INDIRECT(K$3)))),_xlpm.y,SUM(_xlfn.CHOOSECOLS(_xlfn._xlws.FILTER(F_RT14[],(F_RT14[PrjId]=$B170)*(F_RT14[Vrs]=$D170)*(_xlfn.TEXTAFTER(F_RT14[ActGrp],":")=_xlfn.TEXTAFTER($H170,":")),"X"),MATCH("*"&amp;K$54,F_RT14[#Headers],0))),IF(AND(_xlpm.x=0,_xlpm.y&lt;&gt;0),-1,IF(AND(_xlpm.x&lt;&gt;0,_xlpm.y&lt;&gt;0),_xlpm.x,IF(AND(_xlpm.x-SUM(IF((INDIRECT($B$3)=$B170)*(INDIRECT($C$3)=$D170)*((INDIRECT($E$3)="TOTS")+(INDIRECT($E$3)=$E170)),INDIRECT(K$3)))&lt;&gt;0,_xlpm.y=0),-2,_xlpm.x)))),0))</f>
        <v>0</v>
      </c>
      <c r="L170" s="199" cm="1">
        <f t="array" aca="1" ref="L170" ca="1">IF(OR($B170="",$B170="X",$D170="",$D170="X",$E170="",$E170="X"),0,IFERROR(_xlfn.LET(_xlpm.x,SUM(SUM(_xlfn._xlws.FILTER(VALUE(PptoSty[Sign]&amp;1)*(1/PptoSty[Division]),(PptoSty[Division]&lt;&gt;0)*(PptoSty[Division]&lt;&gt;"")*(PptoSty[Division]&lt;&gt;"X")*(PptoSty[Project]=$B170)*(PptoSty[Vrs]=$D170)*(PptoSty[PiRow]=_xlfn.TEXTAFTER($H170,":"))*(PptoSty[PiColumn]=L$54),0)),SUM(IF((INDIRECT($B$3)=$B170)*(INDIRECT($C$3)=$D170)*((INDIRECT($E$3)="TOTS")+(INDIRECT($E$3)=$E170)),INDIRECT(L$3)))),_xlpm.y,SUM(_xlfn.CHOOSECOLS(_xlfn._xlws.FILTER(F_RT14[],(F_RT14[PrjId]=$B170)*(F_RT14[Vrs]=$D170)*(_xlfn.TEXTAFTER(F_RT14[ActGrp],":")=_xlfn.TEXTAFTER($H170,":")),"X"),MATCH("*"&amp;L$54,F_RT14[#Headers],0))),IF(AND(_xlpm.x=0,_xlpm.y&lt;&gt;0),-1,IF(AND(_xlpm.x&lt;&gt;0,_xlpm.y&lt;&gt;0),_xlpm.x,IF(AND(_xlpm.x-SUM(IF((INDIRECT($B$3)=$B170)*(INDIRECT($C$3)=$D170)*((INDIRECT($E$3)="TOTS")+(INDIRECT($E$3)=$E170)),INDIRECT(L$3)))&lt;&gt;0,_xlpm.y=0),-2,_xlpm.x)))),0))</f>
        <v>0</v>
      </c>
      <c r="M170" s="199" cm="1">
        <f t="array" aca="1" ref="M170" ca="1">IF(OR($B170="",$B170="X",$D170="",$D170="X",$E170="",$E170="X"),0,IFERROR(_xlfn.LET(_xlpm.x,SUM(SUM(_xlfn._xlws.FILTER(VALUE(PptoSty[Sign]&amp;1)*(1/PptoSty[Division]),(PptoSty[Division]&lt;&gt;0)*(PptoSty[Division]&lt;&gt;"")*(PptoSty[Division]&lt;&gt;"X")*(PptoSty[Project]=$B170)*(PptoSty[Vrs]=$D170)*(PptoSty[PiRow]=_xlfn.TEXTAFTER($H170,":"))*(PptoSty[PiColumn]=M$54),0)),SUM(IF((INDIRECT($B$3)=$B170)*(INDIRECT($C$3)=$D170)*((INDIRECT($E$3)="TOTS")+(INDIRECT($E$3)=$E170)),INDIRECT(M$3)))),_xlpm.y,SUM(_xlfn.CHOOSECOLS(_xlfn._xlws.FILTER(F_RT14[],(F_RT14[PrjId]=$B170)*(F_RT14[Vrs]=$D170)*(_xlfn.TEXTAFTER(F_RT14[ActGrp],":")=_xlfn.TEXTAFTER($H170,":")),"X"),MATCH("*"&amp;M$54,F_RT14[#Headers],0))),IF(AND(_xlpm.x=0,_xlpm.y&lt;&gt;0),-1,IF(AND(_xlpm.x&lt;&gt;0,_xlpm.y&lt;&gt;0),_xlpm.x,IF(AND(_xlpm.x-SUM(IF((INDIRECT($B$3)=$B170)*(INDIRECT($C$3)=$D170)*((INDIRECT($E$3)="TOTS")+(INDIRECT($E$3)=$E170)),INDIRECT(M$3)))&lt;&gt;0,_xlpm.y=0),-2,_xlpm.x)))),0))</f>
        <v>0</v>
      </c>
      <c r="N170" s="199" cm="1">
        <f t="array" aca="1" ref="N170" ca="1">IF(OR($B170="",$B170="X",$D170="",$D170="X",$E170="",$E170="X"),0,IFERROR(_xlfn.LET(_xlpm.x,SUM(SUM(_xlfn._xlws.FILTER(VALUE(PptoSty[Sign]&amp;1)*(1/PptoSty[Division]),(PptoSty[Division]&lt;&gt;0)*(PptoSty[Division]&lt;&gt;"")*(PptoSty[Division]&lt;&gt;"X")*(PptoSty[Project]=$B170)*(PptoSty[Vrs]=$D170)*(PptoSty[PiRow]=_xlfn.TEXTAFTER($H170,":"))*(PptoSty[PiColumn]=N$54),0)),SUM(IF((INDIRECT($B$3)=$B170)*(INDIRECT($C$3)=$D170)*((INDIRECT($E$3)="TOTS")+(INDIRECT($E$3)=$E170)),INDIRECT(N$3)))),_xlpm.y,SUM(_xlfn.CHOOSECOLS(_xlfn._xlws.FILTER(F_RT14[],(F_RT14[PrjId]=$B170)*(F_RT14[Vrs]=$D170)*(_xlfn.TEXTAFTER(F_RT14[ActGrp],":")=_xlfn.TEXTAFTER($H170,":")),"X"),MATCH("*"&amp;N$54,F_RT14[#Headers],0))),IF(AND(_xlpm.x=0,_xlpm.y&lt;&gt;0),-1,IF(AND(_xlpm.x&lt;&gt;0,_xlpm.y&lt;&gt;0),_xlpm.x,IF(AND(_xlpm.x-SUM(IF((INDIRECT($B$3)=$B170)*(INDIRECT($C$3)=$D170)*((INDIRECT($E$3)="TOTS")+(INDIRECT($E$3)=$E170)),INDIRECT(N$3)))&lt;&gt;0,_xlpm.y=0),-2,_xlpm.x)))),0))</f>
        <v>-1</v>
      </c>
      <c r="O170" s="199" cm="1">
        <f t="array" aca="1" ref="O170" ca="1">IF(OR($B170="",$B170="X",$D170="",$D170="X",$E170="",$E170="X"),0,IFERROR(_xlfn.LET(_xlpm.x,SUM(SUM(_xlfn._xlws.FILTER(VALUE(PptoSty[Sign]&amp;1)*(1/PptoSty[Division]),(PptoSty[Division]&lt;&gt;0)*(PptoSty[Division]&lt;&gt;"")*(PptoSty[Division]&lt;&gt;"X")*(PptoSty[Project]=$B170)*(PptoSty[Vrs]=$D170)*(PptoSty[PiRow]=_xlfn.TEXTAFTER($H170,":"))*(PptoSty[PiColumn]=O$54),0)),SUM(IF((INDIRECT($B$3)=$B170)*(INDIRECT($C$3)=$D170)*((INDIRECT($E$3)="TOTS")+(INDIRECT($E$3)=$E170)),INDIRECT(O$3)))),_xlpm.y,SUM(_xlfn.CHOOSECOLS(_xlfn._xlws.FILTER(F_RT14[],(F_RT14[PrjId]=$B170)*(F_RT14[Vrs]=$D170)*(_xlfn.TEXTAFTER(F_RT14[ActGrp],":")=_xlfn.TEXTAFTER($H170,":")),"X"),MATCH("*"&amp;O$54,F_RT14[#Headers],0))),IF(AND(_xlpm.x=0,_xlpm.y&lt;&gt;0),-1,IF(AND(_xlpm.x&lt;&gt;0,_xlpm.y&lt;&gt;0),_xlpm.x,IF(AND(_xlpm.x-SUM(IF((INDIRECT($B$3)=$B170)*(INDIRECT($C$3)=$D170)*((INDIRECT($E$3)="TOTS")+(INDIRECT($E$3)=$E170)),INDIRECT(O$3)))&lt;&gt;0,_xlpm.y=0),-2,_xlpm.x)))),0))</f>
        <v>0</v>
      </c>
      <c r="P170" s="199" cm="1">
        <f t="array" aca="1" ref="P170" ca="1">IF(OR($B170="",$B170="X",$D170="",$D170="X",$E170="",$E170="X"),0,IFERROR(_xlfn.LET(_xlpm.x,SUM(SUM(_xlfn._xlws.FILTER(VALUE(PptoSty[Sign]&amp;1)*(1/PptoSty[Division]),(PptoSty[Division]&lt;&gt;0)*(PptoSty[Division]&lt;&gt;"")*(PptoSty[Division]&lt;&gt;"X")*(PptoSty[Project]=$B170)*(PptoSty[Vrs]=$D170)*(PptoSty[PiRow]=_xlfn.TEXTAFTER($H170,":"))*(PptoSty[PiColumn]=P$54),0)),SUM(IF((INDIRECT($B$3)=$B170)*(INDIRECT($C$3)=$D170)*((INDIRECT($E$3)="TOTS")+(INDIRECT($E$3)=$E170)),INDIRECT(P$3)))),_xlpm.y,SUM(_xlfn.CHOOSECOLS(_xlfn._xlws.FILTER(F_RT14[],(F_RT14[PrjId]=$B170)*(F_RT14[Vrs]=$D170)*(_xlfn.TEXTAFTER(F_RT14[ActGrp],":")=_xlfn.TEXTAFTER($H170,":")),"X"),MATCH("*"&amp;P$54,F_RT14[#Headers],0))),IF(AND(_xlpm.x=0,_xlpm.y&lt;&gt;0),-1,IF(AND(_xlpm.x&lt;&gt;0,_xlpm.y&lt;&gt;0),_xlpm.x,IF(AND(_xlpm.x-SUM(IF((INDIRECT($B$3)=$B170)*(INDIRECT($C$3)=$D170)*((INDIRECT($E$3)="TOTS")+(INDIRECT($E$3)=$E170)),INDIRECT(P$3)))&lt;&gt;0,_xlpm.y=0),-2,_xlpm.x)))),0))</f>
        <v>0</v>
      </c>
      <c r="Q170" s="199" cm="1">
        <f t="array" aca="1" ref="Q170" ca="1">IF(OR($B170="",$B170="X",$D170="",$D170="X",$E170="",$E170="X"),0,IFERROR(_xlfn.LET(_xlpm.x,SUM(SUM(_xlfn._xlws.FILTER(VALUE(PptoSty[Sign]&amp;1)*(1/PptoSty[Division]),(PptoSty[Division]&lt;&gt;0)*(PptoSty[Division]&lt;&gt;"")*(PptoSty[Division]&lt;&gt;"X")*(PptoSty[Project]=$B170)*(PptoSty[Vrs]=$D170)*(PptoSty[PiRow]=_xlfn.TEXTAFTER($H170,":"))*(PptoSty[PiColumn]=Q$54),0)),SUM(IF((INDIRECT($B$3)=$B170)*(INDIRECT($C$3)=$D170)*((INDIRECT($E$3)="TOTS")+(INDIRECT($E$3)=$E170)),INDIRECT(Q$3)))),_xlpm.y,SUM(_xlfn.CHOOSECOLS(_xlfn._xlws.FILTER(F_RT14[],(F_RT14[PrjId]=$B170)*(F_RT14[Vrs]=$D170)*(_xlfn.TEXTAFTER(F_RT14[ActGrp],":")=_xlfn.TEXTAFTER($H170,":")),"X"),MATCH("*"&amp;Q$54,F_RT14[#Headers],0))),IF(AND(_xlpm.x=0,_xlpm.y&lt;&gt;0),-1,IF(AND(_xlpm.x&lt;&gt;0,_xlpm.y&lt;&gt;0),_xlpm.x,IF(AND(_xlpm.x-SUM(IF((INDIRECT($B$3)=$B170)*(INDIRECT($C$3)=$D170)*((INDIRECT($E$3)="TOTS")+(INDIRECT($E$3)=$E170)),INDIRECT(Q$3)))&lt;&gt;0,_xlpm.y=0),-2,_xlpm.x)))),0))</f>
        <v>-1</v>
      </c>
      <c r="R170" s="199" cm="1">
        <f t="array" aca="1" ref="R170" ca="1">IF(OR($B170="",$B170="X",$D170="",$D170="X",$E170="",$E170="X"),0,IFERROR(_xlfn.LET(_xlpm.x,SUM(SUM(_xlfn._xlws.FILTER(VALUE(PptoSty[Sign]&amp;1)*(1/PptoSty[Division]),(PptoSty[Division]&lt;&gt;0)*(PptoSty[Division]&lt;&gt;"")*(PptoSty[Division]&lt;&gt;"X")*(PptoSty[Project]=$B170)*(PptoSty[Vrs]=$D170)*(PptoSty[PiRow]=_xlfn.TEXTAFTER($H170,":"))*(PptoSty[PiColumn]=R$54),0)),SUM(IF((INDIRECT($B$3)=$B170)*(INDIRECT($C$3)=$D170)*((INDIRECT($E$3)="TOTS")+(INDIRECT($E$3)=$E170)),INDIRECT(R$3)))),_xlpm.y,SUM(_xlfn.CHOOSECOLS(_xlfn._xlws.FILTER(F_RT14[],(F_RT14[PrjId]=$B170)*(F_RT14[Vrs]=$D170)*(_xlfn.TEXTAFTER(F_RT14[ActGrp],":")=_xlfn.TEXTAFTER($H170,":")),"X"),MATCH("*"&amp;R$54,F_RT14[#Headers],0))),IF(AND(_xlpm.x=0,_xlpm.y&lt;&gt;0),-1,IF(AND(_xlpm.x&lt;&gt;0,_xlpm.y&lt;&gt;0),_xlpm.x,IF(AND(_xlpm.x-SUM(IF((INDIRECT($B$3)=$B170)*(INDIRECT($C$3)=$D170)*((INDIRECT($E$3)="TOTS")+(INDIRECT($E$3)=$E170)),INDIRECT(R$3)))&lt;&gt;0,_xlpm.y=0),-2,_xlpm.x)))),0))</f>
        <v>0</v>
      </c>
      <c r="S170" s="199" cm="1">
        <f t="array" aca="1" ref="S170" ca="1">IF(OR($B170="",$B170="X",$D170="",$D170="X",$E170="",$E170="X"),0,IFERROR(_xlfn.LET(_xlpm.x,SUM(SUM(_xlfn._xlws.FILTER(VALUE(PptoSty[Sign]&amp;1)*(1/PptoSty[Division]),(PptoSty[Division]&lt;&gt;0)*(PptoSty[Division]&lt;&gt;"")*(PptoSty[Division]&lt;&gt;"X")*(PptoSty[Project]=$B170)*(PptoSty[Vrs]=$D170)*(PptoSty[PiRow]=_xlfn.TEXTAFTER($H170,":"))*(PptoSty[PiColumn]=S$54),0)),SUM(IF((INDIRECT($B$3)=$B170)*(INDIRECT($C$3)=$D170)*((INDIRECT($E$3)="TOTS")+(INDIRECT($E$3)=$E170)),INDIRECT(S$3)))),_xlpm.y,SUM(_xlfn.CHOOSECOLS(_xlfn._xlws.FILTER(F_RT14[],(F_RT14[PrjId]=$B170)*(F_RT14[Vrs]=$D170)*(_xlfn.TEXTAFTER(F_RT14[ActGrp],":")=_xlfn.TEXTAFTER($H170,":")),"X"),MATCH("*"&amp;S$54,F_RT14[#Headers],0))),IF(AND(_xlpm.x=0,_xlpm.y&lt;&gt;0),-1,IF(AND(_xlpm.x&lt;&gt;0,_xlpm.y&lt;&gt;0),_xlpm.x,IF(AND(_xlpm.x-SUM(IF((INDIRECT($B$3)=$B170)*(INDIRECT($C$3)=$D170)*((INDIRECT($E$3)="TOTS")+(INDIRECT($E$3)=$E170)),INDIRECT(S$3)))&lt;&gt;0,_xlpm.y=0),-2,_xlpm.x)))),0))</f>
        <v>0</v>
      </c>
      <c r="T170" s="199" cm="1">
        <f t="array" aca="1" ref="T170" ca="1">IF(OR($B170="",$B170="X",$D170="",$D170="X",$E170="",$E170="X"),0,IFERROR(_xlfn.LET(_xlpm.x,SUM(SUM(_xlfn._xlws.FILTER(VALUE(PptoSty[Sign]&amp;1)*(1/PptoSty[Division]),(PptoSty[Division]&lt;&gt;0)*(PptoSty[Division]&lt;&gt;"")*(PptoSty[Division]&lt;&gt;"X")*(PptoSty[Project]=$B170)*(PptoSty[Vrs]=$D170)*(PptoSty[PiRow]=_xlfn.TEXTAFTER($H170,":"))*(PptoSty[PiColumn]=T$54),0)),SUM(IF((INDIRECT($B$3)=$B170)*(INDIRECT($C$3)=$D170)*((INDIRECT($E$3)="TOTS")+(INDIRECT($E$3)=$E170)),INDIRECT(T$3)))),_xlpm.y,SUM(_xlfn.CHOOSECOLS(_xlfn._xlws.FILTER(F_RT14[],(F_RT14[PrjId]=$B170)*(F_RT14[Vrs]=$D170)*(_xlfn.TEXTAFTER(F_RT14[ActGrp],":")=_xlfn.TEXTAFTER($H170,":")),"X"),MATCH("*"&amp;T$54,F_RT14[#Headers],0))),IF(AND(_xlpm.x=0,_xlpm.y&lt;&gt;0),-1,IF(AND(_xlpm.x&lt;&gt;0,_xlpm.y&lt;&gt;0),_xlpm.x,IF(AND(_xlpm.x-SUM(IF((INDIRECT($B$3)=$B170)*(INDIRECT($C$3)=$D170)*((INDIRECT($E$3)="TOTS")+(INDIRECT($E$3)=$E170)),INDIRECT(T$3)))&lt;&gt;0,_xlpm.y=0),-2,_xlpm.x)))),0))</f>
        <v>-1</v>
      </c>
      <c r="U170" s="199" cm="1">
        <f t="array" aca="1" ref="U170" ca="1">IF(OR($B170="",$B170="X",$D170="",$D170="X",$E170="",$E170="X"),0,IFERROR(_xlfn.LET(_xlpm.x,SUM(SUM(_xlfn._xlws.FILTER(VALUE(PptoSty[Sign]&amp;1)*(1/PptoSty[Division]),(PptoSty[Division]&lt;&gt;0)*(PptoSty[Division]&lt;&gt;"")*(PptoSty[Division]&lt;&gt;"X")*(PptoSty[Project]=$B170)*(PptoSty[Vrs]=$D170)*(PptoSty[PiRow]=_xlfn.TEXTAFTER($H170,":"))*(PptoSty[PiColumn]=U$54),0)),SUM(IF((INDIRECT($B$3)=$B170)*(INDIRECT($C$3)=$D170)*((INDIRECT($E$3)="TOTS")+(INDIRECT($E$3)=$E170)),INDIRECT(U$3)))),_xlpm.y,SUM(_xlfn.CHOOSECOLS(_xlfn._xlws.FILTER(F_RT14[],(F_RT14[PrjId]=$B170)*(F_RT14[Vrs]=$D170)*(_xlfn.TEXTAFTER(F_RT14[ActGrp],":")=_xlfn.TEXTAFTER($H170,":")),"X"),MATCH("*"&amp;U$54,F_RT14[#Headers],0))),IF(AND(_xlpm.x=0,_xlpm.y&lt;&gt;0),-1,IF(AND(_xlpm.x&lt;&gt;0,_xlpm.y&lt;&gt;0),_xlpm.x,IF(AND(_xlpm.x-SUM(IF((INDIRECT($B$3)=$B170)*(INDIRECT($C$3)=$D170)*((INDIRECT($E$3)="TOTS")+(INDIRECT($E$3)=$E170)),INDIRECT(U$3)))&lt;&gt;0,_xlpm.y=0),-2,_xlpm.x)))),0))</f>
        <v>0</v>
      </c>
      <c r="V170" s="199" cm="1">
        <f t="array" aca="1" ref="V170" ca="1">IF(OR($B170="",$B170="X",$D170="",$D170="X",$E170="",$E170="X"),0,IFERROR(_xlfn.LET(_xlpm.x,SUM(SUM(_xlfn._xlws.FILTER(VALUE(PptoSty[Sign]&amp;1)*(1/PptoSty[Division]),(PptoSty[Division]&lt;&gt;0)*(PptoSty[Division]&lt;&gt;"")*(PptoSty[Division]&lt;&gt;"X")*(PptoSty[Project]=$B170)*(PptoSty[Vrs]=$D170)*(PptoSty[PiRow]=_xlfn.TEXTAFTER($H170,":"))*(PptoSty[PiColumn]=V$54),0)),SUM(IF((INDIRECT($B$3)=$B170)*(INDIRECT($C$3)=$D170)*((INDIRECT($E$3)="TOTS")+(INDIRECT($E$3)=$E170)),INDIRECT(V$3)))),_xlpm.y,SUM(_xlfn.CHOOSECOLS(_xlfn._xlws.FILTER(F_RT14[],(F_RT14[PrjId]=$B170)*(F_RT14[Vrs]=$D170)*(_xlfn.TEXTAFTER(F_RT14[ActGrp],":")=_xlfn.TEXTAFTER($H170,":")),"X"),MATCH("*"&amp;V$54,F_RT14[#Headers],0))),IF(AND(_xlpm.x=0,_xlpm.y&lt;&gt;0),-1,IF(AND(_xlpm.x&lt;&gt;0,_xlpm.y&lt;&gt;0),_xlpm.x,IF(AND(_xlpm.x-SUM(IF((INDIRECT($B$3)=$B170)*(INDIRECT($C$3)=$D170)*((INDIRECT($E$3)="TOTS")+(INDIRECT($E$3)=$E170)),INDIRECT(V$3)))&lt;&gt;0,_xlpm.y=0),-2,_xlpm.x)))),0))</f>
        <v>-1</v>
      </c>
      <c r="W170" s="199" cm="1">
        <f t="array" aca="1" ref="W170" ca="1">IF(OR($B170="",$B170="X",$D170="",$D170="X",$E170="",$E170="X"),0,IFERROR(_xlfn.LET(_xlpm.x,SUM(SUM(_xlfn._xlws.FILTER(VALUE(PptoSty[Sign]&amp;1)*(1/PptoSty[Division]),(PptoSty[Division]&lt;&gt;0)*(PptoSty[Division]&lt;&gt;"")*(PptoSty[Division]&lt;&gt;"X")*(PptoSty[Project]=$B170)*(PptoSty[Vrs]=$D170)*(PptoSty[PiRow]=_xlfn.TEXTAFTER($H170,":"))*(PptoSty[PiColumn]=W$54),0)),SUM(IF((INDIRECT($B$3)=$B170)*(INDIRECT($C$3)=$D170)*((INDIRECT($E$3)="TOTS")+(INDIRECT($E$3)=$E170)),INDIRECT(W$3)))),_xlpm.y,SUM(_xlfn.CHOOSECOLS(_xlfn._xlws.FILTER(F_RT14[],(F_RT14[PrjId]=$B170)*(F_RT14[Vrs]=$D170)*(_xlfn.TEXTAFTER(F_RT14[ActGrp],":")=_xlfn.TEXTAFTER($H170,":")),"X"),MATCH("*"&amp;W$54,F_RT14[#Headers],0))),IF(AND(_xlpm.x=0,_xlpm.y&lt;&gt;0),-1,IF(AND(_xlpm.x&lt;&gt;0,_xlpm.y&lt;&gt;0),_xlpm.x,IF(AND(_xlpm.x-SUM(IF((INDIRECT($B$3)=$B170)*(INDIRECT($C$3)=$D170)*((INDIRECT($E$3)="TOTS")+(INDIRECT($E$3)=$E170)),INDIRECT(W$3)))&lt;&gt;0,_xlpm.y=0),-2,_xlpm.x)))),0))</f>
        <v>-1</v>
      </c>
      <c r="X170" s="199" cm="1">
        <f t="array" aca="1" ref="X170" ca="1">IF(OR($B170="",$B170="X",$D170="",$D170="X",$E170="",$E170="X"),0,IFERROR(_xlfn.LET(_xlpm.x,SUM(SUM(_xlfn._xlws.FILTER(VALUE(PptoSty[Sign]&amp;1)*(1/PptoSty[Division]),(PptoSty[Division]&lt;&gt;0)*(PptoSty[Division]&lt;&gt;"")*(PptoSty[Division]&lt;&gt;"X")*(PptoSty[Project]=$B170)*(PptoSty[Vrs]=$D170)*(PptoSty[PiRow]=_xlfn.TEXTAFTER($H170,":"))*(PptoSty[PiColumn]=X$54),0)),SUM(IF((INDIRECT($B$3)=$B170)*(INDIRECT($C$3)=$D170)*((INDIRECT($E$3)="TOTS")+(INDIRECT($E$3)=$E170)),INDIRECT(X$3)))),_xlpm.y,SUM(_xlfn.CHOOSECOLS(_xlfn._xlws.FILTER(F_RT14[],(F_RT14[PrjId]=$B170)*(F_RT14[Vrs]=$D170)*(_xlfn.TEXTAFTER(F_RT14[ActGrp],":")=_xlfn.TEXTAFTER($H170,":")),"X"),MATCH("*"&amp;X$54,F_RT14[#Headers],0))),IF(AND(_xlpm.x=0,_xlpm.y&lt;&gt;0),-1,IF(AND(_xlpm.x&lt;&gt;0,_xlpm.y&lt;&gt;0),_xlpm.x,IF(AND(_xlpm.x-SUM(IF((INDIRECT($B$3)=$B170)*(INDIRECT($C$3)=$D170)*((INDIRECT($E$3)="TOTS")+(INDIRECT($E$3)=$E170)),INDIRECT(X$3)))&lt;&gt;0,_xlpm.y=0),-2,_xlpm.x)))),0))</f>
        <v>-1</v>
      </c>
      <c r="Y170" s="199" cm="1">
        <f t="array" aca="1" ref="Y170" ca="1">IF(OR($B170="",$B170="X",$D170="",$D170="X",$E170="",$E170="X"),0,IFERROR(_xlfn.LET(_xlpm.x,SUM(SUM(_xlfn._xlws.FILTER(VALUE(PptoSty[Sign]&amp;1)*(1/PptoSty[Division]),(PptoSty[Division]&lt;&gt;0)*(PptoSty[Division]&lt;&gt;"")*(PptoSty[Division]&lt;&gt;"X")*(PptoSty[Project]=$B170)*(PptoSty[Vrs]=$D170)*(PptoSty[PiRow]=_xlfn.TEXTAFTER($H170,":"))*(PptoSty[PiColumn]=Y$54),0)),SUM(IF((INDIRECT($B$3)=$B170)*(INDIRECT($C$3)=$D170)*((INDIRECT($E$3)="TOTS")+(INDIRECT($E$3)=$E170)),INDIRECT(Y$3)))),_xlpm.y,SUM(_xlfn.CHOOSECOLS(_xlfn._xlws.FILTER(F_RT14[],(F_RT14[PrjId]=$B170)*(F_RT14[Vrs]=$D170)*(_xlfn.TEXTAFTER(F_RT14[ActGrp],":")=_xlfn.TEXTAFTER($H170,":")),"X"),MATCH("*"&amp;Y$54,F_RT14[#Headers],0))),IF(AND(_xlpm.x=0,_xlpm.y&lt;&gt;0),-1,IF(AND(_xlpm.x&lt;&gt;0,_xlpm.y&lt;&gt;0),_xlpm.x,IF(AND(_xlpm.x-SUM(IF((INDIRECT($B$3)=$B170)*(INDIRECT($C$3)=$D170)*((INDIRECT($E$3)="TOTS")+(INDIRECT($E$3)=$E170)),INDIRECT(Y$3)))&lt;&gt;0,_xlpm.y=0),-2,_xlpm.x)))),0))</f>
        <v>0</v>
      </c>
      <c r="Z170" s="198" t="str">
        <f t="shared" ca="1" si="3"/>
        <v>Fback!B170:Y170</v>
      </c>
    </row>
    <row r="171" spans="2:26" ht="21" customHeight="1" outlineLevel="1">
      <c r="B171" s="128" t="str">
        <v>31200</v>
      </c>
      <c r="C171" s="128" t="str">
        <v>Sp</v>
      </c>
      <c r="D171" s="128">
        <v>0</v>
      </c>
      <c r="E171" s="128" t="str">
        <v>CELL</v>
      </c>
      <c r="F171" s="139" t="str">
        <v>SERRA</v>
      </c>
      <c r="G171" s="139" t="str">
        <v>CurPpto</v>
      </c>
      <c r="H171" s="139" t="str">
        <v>E004:ROBOTS</v>
      </c>
      <c r="I171" s="199" cm="1">
        <f t="array" aca="1" ref="I171" ca="1">IF(OR($B171="",$B171="X",$D171="",$D171="X",$E171="",$E171="X"),0,IFERROR(_xlfn.LET(_xlpm.x,SUM(SUM(_xlfn._xlws.FILTER(VALUE(PptoSty[Sign]&amp;1)*(1/PptoSty[Division]),(PptoSty[Division]&lt;&gt;0)*(PptoSty[Division]&lt;&gt;"")*(PptoSty[Division]&lt;&gt;"X")*(PptoSty[Project]=$B171)*(PptoSty[Vrs]=$D171)*(PptoSty[PiRow]=_xlfn.TEXTAFTER($H171,":"))*(PptoSty[PiColumn]=I$54),0)),SUM(IF((INDIRECT($B$3)=$B171)*(INDIRECT($C$3)=$D171)*((INDIRECT($E$3)="TOTS")+(INDIRECT($E$3)=$E171)),INDIRECT(I$3)))),_xlpm.y,SUM(_xlfn.CHOOSECOLS(_xlfn._xlws.FILTER(F_RT14[],(F_RT14[PrjId]=$B171)*(F_RT14[Vrs]=$D171)*(_xlfn.TEXTAFTER(F_RT14[ActGrp],":")=_xlfn.TEXTAFTER($H171,":")),"X"),MATCH("*"&amp;I$54,F_RT14[#Headers],0))),IF(AND(_xlpm.x=0,_xlpm.y&lt;&gt;0),-1,IF(AND(_xlpm.x&lt;&gt;0,_xlpm.y&lt;&gt;0),_xlpm.x,IF(AND(_xlpm.x-SUM(IF((INDIRECT($B$3)=$B171)*(INDIRECT($C$3)=$D171)*((INDIRECT($E$3)="TOTS")+(INDIRECT($E$3)=$E171)),INDIRECT(I$3)))&lt;&gt;0,_xlpm.y=0),-2,_xlpm.x)))),0))</f>
        <v>0</v>
      </c>
      <c r="J171" s="199" cm="1">
        <f t="array" aca="1" ref="J171" ca="1">IF(OR($B171="",$B171="X",$D171="",$D171="X",$E171="",$E171="X"),0,IFERROR(_xlfn.LET(_xlpm.x,SUM(SUM(_xlfn._xlws.FILTER(VALUE(PptoSty[Sign]&amp;1)*(1/PptoSty[Division]),(PptoSty[Division]&lt;&gt;0)*(PptoSty[Division]&lt;&gt;"")*(PptoSty[Division]&lt;&gt;"X")*(PptoSty[Project]=$B171)*(PptoSty[Vrs]=$D171)*(PptoSty[PiRow]=_xlfn.TEXTAFTER($H171,":"))*(PptoSty[PiColumn]=J$54),0)),SUM(IF((INDIRECT($B$3)=$B171)*(INDIRECT($C$3)=$D171)*((INDIRECT($E$3)="TOTS")+(INDIRECT($E$3)=$E171)),INDIRECT(J$3)))),_xlpm.y,SUM(_xlfn.CHOOSECOLS(_xlfn._xlws.FILTER(F_RT14[],(F_RT14[PrjId]=$B171)*(F_RT14[Vrs]=$D171)*(_xlfn.TEXTAFTER(F_RT14[ActGrp],":")=_xlfn.TEXTAFTER($H171,":")),"X"),MATCH("*"&amp;J$54,F_RT14[#Headers],0))),IF(AND(_xlpm.x=0,_xlpm.y&lt;&gt;0),-1,IF(AND(_xlpm.x&lt;&gt;0,_xlpm.y&lt;&gt;0),_xlpm.x,IF(AND(_xlpm.x-SUM(IF((INDIRECT($B$3)=$B171)*(INDIRECT($C$3)=$D171)*((INDIRECT($E$3)="TOTS")+(INDIRECT($E$3)=$E171)),INDIRECT(J$3)))&lt;&gt;0,_xlpm.y=0),-2,_xlpm.x)))),0))</f>
        <v>0</v>
      </c>
      <c r="K171" s="199" cm="1">
        <f t="array" aca="1" ref="K171" ca="1">IF(OR($B171="",$B171="X",$D171="",$D171="X",$E171="",$E171="X"),0,IFERROR(_xlfn.LET(_xlpm.x,SUM(SUM(_xlfn._xlws.FILTER(VALUE(PptoSty[Sign]&amp;1)*(1/PptoSty[Division]),(PptoSty[Division]&lt;&gt;0)*(PptoSty[Division]&lt;&gt;"")*(PptoSty[Division]&lt;&gt;"X")*(PptoSty[Project]=$B171)*(PptoSty[Vrs]=$D171)*(PptoSty[PiRow]=_xlfn.TEXTAFTER($H171,":"))*(PptoSty[PiColumn]=K$54),0)),SUM(IF((INDIRECT($B$3)=$B171)*(INDIRECT($C$3)=$D171)*((INDIRECT($E$3)="TOTS")+(INDIRECT($E$3)=$E171)),INDIRECT(K$3)))),_xlpm.y,SUM(_xlfn.CHOOSECOLS(_xlfn._xlws.FILTER(F_RT14[],(F_RT14[PrjId]=$B171)*(F_RT14[Vrs]=$D171)*(_xlfn.TEXTAFTER(F_RT14[ActGrp],":")=_xlfn.TEXTAFTER($H171,":")),"X"),MATCH("*"&amp;K$54,F_RT14[#Headers],0))),IF(AND(_xlpm.x=0,_xlpm.y&lt;&gt;0),-1,IF(AND(_xlpm.x&lt;&gt;0,_xlpm.y&lt;&gt;0),_xlpm.x,IF(AND(_xlpm.x-SUM(IF((INDIRECT($B$3)=$B171)*(INDIRECT($C$3)=$D171)*((INDIRECT($E$3)="TOTS")+(INDIRECT($E$3)=$E171)),INDIRECT(K$3)))&lt;&gt;0,_xlpm.y=0),-2,_xlpm.x)))),0))</f>
        <v>-1</v>
      </c>
      <c r="L171" s="199" cm="1">
        <f t="array" aca="1" ref="L171" ca="1">IF(OR($B171="",$B171="X",$D171="",$D171="X",$E171="",$E171="X"),0,IFERROR(_xlfn.LET(_xlpm.x,SUM(SUM(_xlfn._xlws.FILTER(VALUE(PptoSty[Sign]&amp;1)*(1/PptoSty[Division]),(PptoSty[Division]&lt;&gt;0)*(PptoSty[Division]&lt;&gt;"")*(PptoSty[Division]&lt;&gt;"X")*(PptoSty[Project]=$B171)*(PptoSty[Vrs]=$D171)*(PptoSty[PiRow]=_xlfn.TEXTAFTER($H171,":"))*(PptoSty[PiColumn]=L$54),0)),SUM(IF((INDIRECT($B$3)=$B171)*(INDIRECT($C$3)=$D171)*((INDIRECT($E$3)="TOTS")+(INDIRECT($E$3)=$E171)),INDIRECT(L$3)))),_xlpm.y,SUM(_xlfn.CHOOSECOLS(_xlfn._xlws.FILTER(F_RT14[],(F_RT14[PrjId]=$B171)*(F_RT14[Vrs]=$D171)*(_xlfn.TEXTAFTER(F_RT14[ActGrp],":")=_xlfn.TEXTAFTER($H171,":")),"X"),MATCH("*"&amp;L$54,F_RT14[#Headers],0))),IF(AND(_xlpm.x=0,_xlpm.y&lt;&gt;0),-1,IF(AND(_xlpm.x&lt;&gt;0,_xlpm.y&lt;&gt;0),_xlpm.x,IF(AND(_xlpm.x-SUM(IF((INDIRECT($B$3)=$B171)*(INDIRECT($C$3)=$D171)*((INDIRECT($E$3)="TOTS")+(INDIRECT($E$3)=$E171)),INDIRECT(L$3)))&lt;&gt;0,_xlpm.y=0),-2,_xlpm.x)))),0))</f>
        <v>0</v>
      </c>
      <c r="M171" s="199" cm="1">
        <f t="array" aca="1" ref="M171" ca="1">IF(OR($B171="",$B171="X",$D171="",$D171="X",$E171="",$E171="X"),0,IFERROR(_xlfn.LET(_xlpm.x,SUM(SUM(_xlfn._xlws.FILTER(VALUE(PptoSty[Sign]&amp;1)*(1/PptoSty[Division]),(PptoSty[Division]&lt;&gt;0)*(PptoSty[Division]&lt;&gt;"")*(PptoSty[Division]&lt;&gt;"X")*(PptoSty[Project]=$B171)*(PptoSty[Vrs]=$D171)*(PptoSty[PiRow]=_xlfn.TEXTAFTER($H171,":"))*(PptoSty[PiColumn]=M$54),0)),SUM(IF((INDIRECT($B$3)=$B171)*(INDIRECT($C$3)=$D171)*((INDIRECT($E$3)="TOTS")+(INDIRECT($E$3)=$E171)),INDIRECT(M$3)))),_xlpm.y,SUM(_xlfn.CHOOSECOLS(_xlfn._xlws.FILTER(F_RT14[],(F_RT14[PrjId]=$B171)*(F_RT14[Vrs]=$D171)*(_xlfn.TEXTAFTER(F_RT14[ActGrp],":")=_xlfn.TEXTAFTER($H171,":")),"X"),MATCH("*"&amp;M$54,F_RT14[#Headers],0))),IF(AND(_xlpm.x=0,_xlpm.y&lt;&gt;0),-1,IF(AND(_xlpm.x&lt;&gt;0,_xlpm.y&lt;&gt;0),_xlpm.x,IF(AND(_xlpm.x-SUM(IF((INDIRECT($B$3)=$B171)*(INDIRECT($C$3)=$D171)*((INDIRECT($E$3)="TOTS")+(INDIRECT($E$3)=$E171)),INDIRECT(M$3)))&lt;&gt;0,_xlpm.y=0),-2,_xlpm.x)))),0))</f>
        <v>0</v>
      </c>
      <c r="N171" s="199" cm="1">
        <f t="array" aca="1" ref="N171" ca="1">IF(OR($B171="",$B171="X",$D171="",$D171="X",$E171="",$E171="X"),0,IFERROR(_xlfn.LET(_xlpm.x,SUM(SUM(_xlfn._xlws.FILTER(VALUE(PptoSty[Sign]&amp;1)*(1/PptoSty[Division]),(PptoSty[Division]&lt;&gt;0)*(PptoSty[Division]&lt;&gt;"")*(PptoSty[Division]&lt;&gt;"X")*(PptoSty[Project]=$B171)*(PptoSty[Vrs]=$D171)*(PptoSty[PiRow]=_xlfn.TEXTAFTER($H171,":"))*(PptoSty[PiColumn]=N$54),0)),SUM(IF((INDIRECT($B$3)=$B171)*(INDIRECT($C$3)=$D171)*((INDIRECT($E$3)="TOTS")+(INDIRECT($E$3)=$E171)),INDIRECT(N$3)))),_xlpm.y,SUM(_xlfn.CHOOSECOLS(_xlfn._xlws.FILTER(F_RT14[],(F_RT14[PrjId]=$B171)*(F_RT14[Vrs]=$D171)*(_xlfn.TEXTAFTER(F_RT14[ActGrp],":")=_xlfn.TEXTAFTER($H171,":")),"X"),MATCH("*"&amp;N$54,F_RT14[#Headers],0))),IF(AND(_xlpm.x=0,_xlpm.y&lt;&gt;0),-1,IF(AND(_xlpm.x&lt;&gt;0,_xlpm.y&lt;&gt;0),_xlpm.x,IF(AND(_xlpm.x-SUM(IF((INDIRECT($B$3)=$B171)*(INDIRECT($C$3)=$D171)*((INDIRECT($E$3)="TOTS")+(INDIRECT($E$3)=$E171)),INDIRECT(N$3)))&lt;&gt;0,_xlpm.y=0),-2,_xlpm.x)))),0))</f>
        <v>-1</v>
      </c>
      <c r="O171" s="199" cm="1">
        <f t="array" aca="1" ref="O171" ca="1">IF(OR($B171="",$B171="X",$D171="",$D171="X",$E171="",$E171="X"),0,IFERROR(_xlfn.LET(_xlpm.x,SUM(SUM(_xlfn._xlws.FILTER(VALUE(PptoSty[Sign]&amp;1)*(1/PptoSty[Division]),(PptoSty[Division]&lt;&gt;0)*(PptoSty[Division]&lt;&gt;"")*(PptoSty[Division]&lt;&gt;"X")*(PptoSty[Project]=$B171)*(PptoSty[Vrs]=$D171)*(PptoSty[PiRow]=_xlfn.TEXTAFTER($H171,":"))*(PptoSty[PiColumn]=O$54),0)),SUM(IF((INDIRECT($B$3)=$B171)*(INDIRECT($C$3)=$D171)*((INDIRECT($E$3)="TOTS")+(INDIRECT($E$3)=$E171)),INDIRECT(O$3)))),_xlpm.y,SUM(_xlfn.CHOOSECOLS(_xlfn._xlws.FILTER(F_RT14[],(F_RT14[PrjId]=$B171)*(F_RT14[Vrs]=$D171)*(_xlfn.TEXTAFTER(F_RT14[ActGrp],":")=_xlfn.TEXTAFTER($H171,":")),"X"),MATCH("*"&amp;O$54,F_RT14[#Headers],0))),IF(AND(_xlpm.x=0,_xlpm.y&lt;&gt;0),-1,IF(AND(_xlpm.x&lt;&gt;0,_xlpm.y&lt;&gt;0),_xlpm.x,IF(AND(_xlpm.x-SUM(IF((INDIRECT($B$3)=$B171)*(INDIRECT($C$3)=$D171)*((INDIRECT($E$3)="TOTS")+(INDIRECT($E$3)=$E171)),INDIRECT(O$3)))&lt;&gt;0,_xlpm.y=0),-2,_xlpm.x)))),0))</f>
        <v>0</v>
      </c>
      <c r="P171" s="199" cm="1">
        <f t="array" aca="1" ref="P171" ca="1">IF(OR($B171="",$B171="X",$D171="",$D171="X",$E171="",$E171="X"),0,IFERROR(_xlfn.LET(_xlpm.x,SUM(SUM(_xlfn._xlws.FILTER(VALUE(PptoSty[Sign]&amp;1)*(1/PptoSty[Division]),(PptoSty[Division]&lt;&gt;0)*(PptoSty[Division]&lt;&gt;"")*(PptoSty[Division]&lt;&gt;"X")*(PptoSty[Project]=$B171)*(PptoSty[Vrs]=$D171)*(PptoSty[PiRow]=_xlfn.TEXTAFTER($H171,":"))*(PptoSty[PiColumn]=P$54),0)),SUM(IF((INDIRECT($B$3)=$B171)*(INDIRECT($C$3)=$D171)*((INDIRECT($E$3)="TOTS")+(INDIRECT($E$3)=$E171)),INDIRECT(P$3)))),_xlpm.y,SUM(_xlfn.CHOOSECOLS(_xlfn._xlws.FILTER(F_RT14[],(F_RT14[PrjId]=$B171)*(F_RT14[Vrs]=$D171)*(_xlfn.TEXTAFTER(F_RT14[ActGrp],":")=_xlfn.TEXTAFTER($H171,":")),"X"),MATCH("*"&amp;P$54,F_RT14[#Headers],0))),IF(AND(_xlpm.x=0,_xlpm.y&lt;&gt;0),-1,IF(AND(_xlpm.x&lt;&gt;0,_xlpm.y&lt;&gt;0),_xlpm.x,IF(AND(_xlpm.x-SUM(IF((INDIRECT($B$3)=$B171)*(INDIRECT($C$3)=$D171)*((INDIRECT($E$3)="TOTS")+(INDIRECT($E$3)=$E171)),INDIRECT(P$3)))&lt;&gt;0,_xlpm.y=0),-2,_xlpm.x)))),0))</f>
        <v>-1</v>
      </c>
      <c r="Q171" s="199" cm="1">
        <f t="array" aca="1" ref="Q171" ca="1">IF(OR($B171="",$B171="X",$D171="",$D171="X",$E171="",$E171="X"),0,IFERROR(_xlfn.LET(_xlpm.x,SUM(SUM(_xlfn._xlws.FILTER(VALUE(PptoSty[Sign]&amp;1)*(1/PptoSty[Division]),(PptoSty[Division]&lt;&gt;0)*(PptoSty[Division]&lt;&gt;"")*(PptoSty[Division]&lt;&gt;"X")*(PptoSty[Project]=$B171)*(PptoSty[Vrs]=$D171)*(PptoSty[PiRow]=_xlfn.TEXTAFTER($H171,":"))*(PptoSty[PiColumn]=Q$54),0)),SUM(IF((INDIRECT($B$3)=$B171)*(INDIRECT($C$3)=$D171)*((INDIRECT($E$3)="TOTS")+(INDIRECT($E$3)=$E171)),INDIRECT(Q$3)))),_xlpm.y,SUM(_xlfn.CHOOSECOLS(_xlfn._xlws.FILTER(F_RT14[],(F_RT14[PrjId]=$B171)*(F_RT14[Vrs]=$D171)*(_xlfn.TEXTAFTER(F_RT14[ActGrp],":")=_xlfn.TEXTAFTER($H171,":")),"X"),MATCH("*"&amp;Q$54,F_RT14[#Headers],0))),IF(AND(_xlpm.x=0,_xlpm.y&lt;&gt;0),-1,IF(AND(_xlpm.x&lt;&gt;0,_xlpm.y&lt;&gt;0),_xlpm.x,IF(AND(_xlpm.x-SUM(IF((INDIRECT($B$3)=$B171)*(INDIRECT($C$3)=$D171)*((INDIRECT($E$3)="TOTS")+(INDIRECT($E$3)=$E171)),INDIRECT(Q$3)))&lt;&gt;0,_xlpm.y=0),-2,_xlpm.x)))),0))</f>
        <v>-1</v>
      </c>
      <c r="R171" s="199" cm="1">
        <f t="array" aca="1" ref="R171" ca="1">IF(OR($B171="",$B171="X",$D171="",$D171="X",$E171="",$E171="X"),0,IFERROR(_xlfn.LET(_xlpm.x,SUM(SUM(_xlfn._xlws.FILTER(VALUE(PptoSty[Sign]&amp;1)*(1/PptoSty[Division]),(PptoSty[Division]&lt;&gt;0)*(PptoSty[Division]&lt;&gt;"")*(PptoSty[Division]&lt;&gt;"X")*(PptoSty[Project]=$B171)*(PptoSty[Vrs]=$D171)*(PptoSty[PiRow]=_xlfn.TEXTAFTER($H171,":"))*(PptoSty[PiColumn]=R$54),0)),SUM(IF((INDIRECT($B$3)=$B171)*(INDIRECT($C$3)=$D171)*((INDIRECT($E$3)="TOTS")+(INDIRECT($E$3)=$E171)),INDIRECT(R$3)))),_xlpm.y,SUM(_xlfn.CHOOSECOLS(_xlfn._xlws.FILTER(F_RT14[],(F_RT14[PrjId]=$B171)*(F_RT14[Vrs]=$D171)*(_xlfn.TEXTAFTER(F_RT14[ActGrp],":")=_xlfn.TEXTAFTER($H171,":")),"X"),MATCH("*"&amp;R$54,F_RT14[#Headers],0))),IF(AND(_xlpm.x=0,_xlpm.y&lt;&gt;0),-1,IF(AND(_xlpm.x&lt;&gt;0,_xlpm.y&lt;&gt;0),_xlpm.x,IF(AND(_xlpm.x-SUM(IF((INDIRECT($B$3)=$B171)*(INDIRECT($C$3)=$D171)*((INDIRECT($E$3)="TOTS")+(INDIRECT($E$3)=$E171)),INDIRECT(R$3)))&lt;&gt;0,_xlpm.y=0),-2,_xlpm.x)))),0))</f>
        <v>-1</v>
      </c>
      <c r="S171" s="199" cm="1">
        <f t="array" aca="1" ref="S171" ca="1">IF(OR($B171="",$B171="X",$D171="",$D171="X",$E171="",$E171="X"),0,IFERROR(_xlfn.LET(_xlpm.x,SUM(SUM(_xlfn._xlws.FILTER(VALUE(PptoSty[Sign]&amp;1)*(1/PptoSty[Division]),(PptoSty[Division]&lt;&gt;0)*(PptoSty[Division]&lt;&gt;"")*(PptoSty[Division]&lt;&gt;"X")*(PptoSty[Project]=$B171)*(PptoSty[Vrs]=$D171)*(PptoSty[PiRow]=_xlfn.TEXTAFTER($H171,":"))*(PptoSty[PiColumn]=S$54),0)),SUM(IF((INDIRECT($B$3)=$B171)*(INDIRECT($C$3)=$D171)*((INDIRECT($E$3)="TOTS")+(INDIRECT($E$3)=$E171)),INDIRECT(S$3)))),_xlpm.y,SUM(_xlfn.CHOOSECOLS(_xlfn._xlws.FILTER(F_RT14[],(F_RT14[PrjId]=$B171)*(F_RT14[Vrs]=$D171)*(_xlfn.TEXTAFTER(F_RT14[ActGrp],":")=_xlfn.TEXTAFTER($H171,":")),"X"),MATCH("*"&amp;S$54,F_RT14[#Headers],0))),IF(AND(_xlpm.x=0,_xlpm.y&lt;&gt;0),-1,IF(AND(_xlpm.x&lt;&gt;0,_xlpm.y&lt;&gt;0),_xlpm.x,IF(AND(_xlpm.x-SUM(IF((INDIRECT($B$3)=$B171)*(INDIRECT($C$3)=$D171)*((INDIRECT($E$3)="TOTS")+(INDIRECT($E$3)=$E171)),INDIRECT(S$3)))&lt;&gt;0,_xlpm.y=0),-2,_xlpm.x)))),0))</f>
        <v>0</v>
      </c>
      <c r="T171" s="199" cm="1">
        <f t="array" aca="1" ref="T171" ca="1">IF(OR($B171="",$B171="X",$D171="",$D171="X",$E171="",$E171="X"),0,IFERROR(_xlfn.LET(_xlpm.x,SUM(SUM(_xlfn._xlws.FILTER(VALUE(PptoSty[Sign]&amp;1)*(1/PptoSty[Division]),(PptoSty[Division]&lt;&gt;0)*(PptoSty[Division]&lt;&gt;"")*(PptoSty[Division]&lt;&gt;"X")*(PptoSty[Project]=$B171)*(PptoSty[Vrs]=$D171)*(PptoSty[PiRow]=_xlfn.TEXTAFTER($H171,":"))*(PptoSty[PiColumn]=T$54),0)),SUM(IF((INDIRECT($B$3)=$B171)*(INDIRECT($C$3)=$D171)*((INDIRECT($E$3)="TOTS")+(INDIRECT($E$3)=$E171)),INDIRECT(T$3)))),_xlpm.y,SUM(_xlfn.CHOOSECOLS(_xlfn._xlws.FILTER(F_RT14[],(F_RT14[PrjId]=$B171)*(F_RT14[Vrs]=$D171)*(_xlfn.TEXTAFTER(F_RT14[ActGrp],":")=_xlfn.TEXTAFTER($H171,":")),"X"),MATCH("*"&amp;T$54,F_RT14[#Headers],0))),IF(AND(_xlpm.x=0,_xlpm.y&lt;&gt;0),-1,IF(AND(_xlpm.x&lt;&gt;0,_xlpm.y&lt;&gt;0),_xlpm.x,IF(AND(_xlpm.x-SUM(IF((INDIRECT($B$3)=$B171)*(INDIRECT($C$3)=$D171)*((INDIRECT($E$3)="TOTS")+(INDIRECT($E$3)=$E171)),INDIRECT(T$3)))&lt;&gt;0,_xlpm.y=0),-2,_xlpm.x)))),0))</f>
        <v>-1</v>
      </c>
      <c r="U171" s="199" cm="1">
        <f t="array" aca="1" ref="U171" ca="1">IF(OR($B171="",$B171="X",$D171="",$D171="X",$E171="",$E171="X"),0,IFERROR(_xlfn.LET(_xlpm.x,SUM(SUM(_xlfn._xlws.FILTER(VALUE(PptoSty[Sign]&amp;1)*(1/PptoSty[Division]),(PptoSty[Division]&lt;&gt;0)*(PptoSty[Division]&lt;&gt;"")*(PptoSty[Division]&lt;&gt;"X")*(PptoSty[Project]=$B171)*(PptoSty[Vrs]=$D171)*(PptoSty[PiRow]=_xlfn.TEXTAFTER($H171,":"))*(PptoSty[PiColumn]=U$54),0)),SUM(IF((INDIRECT($B$3)=$B171)*(INDIRECT($C$3)=$D171)*((INDIRECT($E$3)="TOTS")+(INDIRECT($E$3)=$E171)),INDIRECT(U$3)))),_xlpm.y,SUM(_xlfn.CHOOSECOLS(_xlfn._xlws.FILTER(F_RT14[],(F_RT14[PrjId]=$B171)*(F_RT14[Vrs]=$D171)*(_xlfn.TEXTAFTER(F_RT14[ActGrp],":")=_xlfn.TEXTAFTER($H171,":")),"X"),MATCH("*"&amp;U$54,F_RT14[#Headers],0))),IF(AND(_xlpm.x=0,_xlpm.y&lt;&gt;0),-1,IF(AND(_xlpm.x&lt;&gt;0,_xlpm.y&lt;&gt;0),_xlpm.x,IF(AND(_xlpm.x-SUM(IF((INDIRECT($B$3)=$B171)*(INDIRECT($C$3)=$D171)*((INDIRECT($E$3)="TOTS")+(INDIRECT($E$3)=$E171)),INDIRECT(U$3)))&lt;&gt;0,_xlpm.y=0),-2,_xlpm.x)))),0))</f>
        <v>0</v>
      </c>
      <c r="V171" s="199" cm="1">
        <f t="array" aca="1" ref="V171" ca="1">IF(OR($B171="",$B171="X",$D171="",$D171="X",$E171="",$E171="X"),0,IFERROR(_xlfn.LET(_xlpm.x,SUM(SUM(_xlfn._xlws.FILTER(VALUE(PptoSty[Sign]&amp;1)*(1/PptoSty[Division]),(PptoSty[Division]&lt;&gt;0)*(PptoSty[Division]&lt;&gt;"")*(PptoSty[Division]&lt;&gt;"X")*(PptoSty[Project]=$B171)*(PptoSty[Vrs]=$D171)*(PptoSty[PiRow]=_xlfn.TEXTAFTER($H171,":"))*(PptoSty[PiColumn]=V$54),0)),SUM(IF((INDIRECT($B$3)=$B171)*(INDIRECT($C$3)=$D171)*((INDIRECT($E$3)="TOTS")+(INDIRECT($E$3)=$E171)),INDIRECT(V$3)))),_xlpm.y,SUM(_xlfn.CHOOSECOLS(_xlfn._xlws.FILTER(F_RT14[],(F_RT14[PrjId]=$B171)*(F_RT14[Vrs]=$D171)*(_xlfn.TEXTAFTER(F_RT14[ActGrp],":")=_xlfn.TEXTAFTER($H171,":")),"X"),MATCH("*"&amp;V$54,F_RT14[#Headers],0))),IF(AND(_xlpm.x=0,_xlpm.y&lt;&gt;0),-1,IF(AND(_xlpm.x&lt;&gt;0,_xlpm.y&lt;&gt;0),_xlpm.x,IF(AND(_xlpm.x-SUM(IF((INDIRECT($B$3)=$B171)*(INDIRECT($C$3)=$D171)*((INDIRECT($E$3)="TOTS")+(INDIRECT($E$3)=$E171)),INDIRECT(V$3)))&lt;&gt;0,_xlpm.y=0),-2,_xlpm.x)))),0))</f>
        <v>-1</v>
      </c>
      <c r="W171" s="199" cm="1">
        <f t="array" aca="1" ref="W171" ca="1">IF(OR($B171="",$B171="X",$D171="",$D171="X",$E171="",$E171="X"),0,IFERROR(_xlfn.LET(_xlpm.x,SUM(SUM(_xlfn._xlws.FILTER(VALUE(PptoSty[Sign]&amp;1)*(1/PptoSty[Division]),(PptoSty[Division]&lt;&gt;0)*(PptoSty[Division]&lt;&gt;"")*(PptoSty[Division]&lt;&gt;"X")*(PptoSty[Project]=$B171)*(PptoSty[Vrs]=$D171)*(PptoSty[PiRow]=_xlfn.TEXTAFTER($H171,":"))*(PptoSty[PiColumn]=W$54),0)),SUM(IF((INDIRECT($B$3)=$B171)*(INDIRECT($C$3)=$D171)*((INDIRECT($E$3)="TOTS")+(INDIRECT($E$3)=$E171)),INDIRECT(W$3)))),_xlpm.y,SUM(_xlfn.CHOOSECOLS(_xlfn._xlws.FILTER(F_RT14[],(F_RT14[PrjId]=$B171)*(F_RT14[Vrs]=$D171)*(_xlfn.TEXTAFTER(F_RT14[ActGrp],":")=_xlfn.TEXTAFTER($H171,":")),"X"),MATCH("*"&amp;W$54,F_RT14[#Headers],0))),IF(AND(_xlpm.x=0,_xlpm.y&lt;&gt;0),-1,IF(AND(_xlpm.x&lt;&gt;0,_xlpm.y&lt;&gt;0),_xlpm.x,IF(AND(_xlpm.x-SUM(IF((INDIRECT($B$3)=$B171)*(INDIRECT($C$3)=$D171)*((INDIRECT($E$3)="TOTS")+(INDIRECT($E$3)=$E171)),INDIRECT(W$3)))&lt;&gt;0,_xlpm.y=0),-2,_xlpm.x)))),0))</f>
        <v>-1</v>
      </c>
      <c r="X171" s="199" cm="1">
        <f t="array" aca="1" ref="X171" ca="1">IF(OR($B171="",$B171="X",$D171="",$D171="X",$E171="",$E171="X"),0,IFERROR(_xlfn.LET(_xlpm.x,SUM(SUM(_xlfn._xlws.FILTER(VALUE(PptoSty[Sign]&amp;1)*(1/PptoSty[Division]),(PptoSty[Division]&lt;&gt;0)*(PptoSty[Division]&lt;&gt;"")*(PptoSty[Division]&lt;&gt;"X")*(PptoSty[Project]=$B171)*(PptoSty[Vrs]=$D171)*(PptoSty[PiRow]=_xlfn.TEXTAFTER($H171,":"))*(PptoSty[PiColumn]=X$54),0)),SUM(IF((INDIRECT($B$3)=$B171)*(INDIRECT($C$3)=$D171)*((INDIRECT($E$3)="TOTS")+(INDIRECT($E$3)=$E171)),INDIRECT(X$3)))),_xlpm.y,SUM(_xlfn.CHOOSECOLS(_xlfn._xlws.FILTER(F_RT14[],(F_RT14[PrjId]=$B171)*(F_RT14[Vrs]=$D171)*(_xlfn.TEXTAFTER(F_RT14[ActGrp],":")=_xlfn.TEXTAFTER($H171,":")),"X"),MATCH("*"&amp;X$54,F_RT14[#Headers],0))),IF(AND(_xlpm.x=0,_xlpm.y&lt;&gt;0),-1,IF(AND(_xlpm.x&lt;&gt;0,_xlpm.y&lt;&gt;0),_xlpm.x,IF(AND(_xlpm.x-SUM(IF((INDIRECT($B$3)=$B171)*(INDIRECT($C$3)=$D171)*((INDIRECT($E$3)="TOTS")+(INDIRECT($E$3)=$E171)),INDIRECT(X$3)))&lt;&gt;0,_xlpm.y=0),-2,_xlpm.x)))),0))</f>
        <v>-1</v>
      </c>
      <c r="Y171" s="199" cm="1">
        <f t="array" aca="1" ref="Y171" ca="1">IF(OR($B171="",$B171="X",$D171="",$D171="X",$E171="",$E171="X"),0,IFERROR(_xlfn.LET(_xlpm.x,SUM(SUM(_xlfn._xlws.FILTER(VALUE(PptoSty[Sign]&amp;1)*(1/PptoSty[Division]),(PptoSty[Division]&lt;&gt;0)*(PptoSty[Division]&lt;&gt;"")*(PptoSty[Division]&lt;&gt;"X")*(PptoSty[Project]=$B171)*(PptoSty[Vrs]=$D171)*(PptoSty[PiRow]=_xlfn.TEXTAFTER($H171,":"))*(PptoSty[PiColumn]=Y$54),0)),SUM(IF((INDIRECT($B$3)=$B171)*(INDIRECT($C$3)=$D171)*((INDIRECT($E$3)="TOTS")+(INDIRECT($E$3)=$E171)),INDIRECT(Y$3)))),_xlpm.y,SUM(_xlfn.CHOOSECOLS(_xlfn._xlws.FILTER(F_RT14[],(F_RT14[PrjId]=$B171)*(F_RT14[Vrs]=$D171)*(_xlfn.TEXTAFTER(F_RT14[ActGrp],":")=_xlfn.TEXTAFTER($H171,":")),"X"),MATCH("*"&amp;Y$54,F_RT14[#Headers],0))),IF(AND(_xlpm.x=0,_xlpm.y&lt;&gt;0),-1,IF(AND(_xlpm.x&lt;&gt;0,_xlpm.y&lt;&gt;0),_xlpm.x,IF(AND(_xlpm.x-SUM(IF((INDIRECT($B$3)=$B171)*(INDIRECT($C$3)=$D171)*((INDIRECT($E$3)="TOTS")+(INDIRECT($E$3)=$E171)),INDIRECT(Y$3)))&lt;&gt;0,_xlpm.y=0),-2,_xlpm.x)))),0))</f>
        <v>0</v>
      </c>
      <c r="Z171" s="198" t="str">
        <f t="shared" ca="1" si="3"/>
        <v>Fback!B171:Y171</v>
      </c>
    </row>
    <row r="172" spans="2:26" ht="21" customHeight="1" outlineLevel="1">
      <c r="B172" s="128" t="str">
        <v>31200</v>
      </c>
      <c r="C172" s="128" t="str">
        <v>Sp</v>
      </c>
      <c r="D172" s="128">
        <v>0</v>
      </c>
      <c r="E172" s="128" t="str">
        <v>TOOL</v>
      </c>
      <c r="F172" s="139" t="str">
        <v>SERRA</v>
      </c>
      <c r="G172" s="139" t="str">
        <v>CurPpto</v>
      </c>
      <c r="H172" s="139" t="str">
        <v>E005:GARRAS ROBOT</v>
      </c>
      <c r="I172" s="199" cm="1">
        <f t="array" aca="1" ref="I172" ca="1">IF(OR($B172="",$B172="X",$D172="",$D172="X",$E172="",$E172="X"),0,IFERROR(_xlfn.LET(_xlpm.x,SUM(SUM(_xlfn._xlws.FILTER(VALUE(PptoSty[Sign]&amp;1)*(1/PptoSty[Division]),(PptoSty[Division]&lt;&gt;0)*(PptoSty[Division]&lt;&gt;"")*(PptoSty[Division]&lt;&gt;"X")*(PptoSty[Project]=$B172)*(PptoSty[Vrs]=$D172)*(PptoSty[PiRow]=_xlfn.TEXTAFTER($H172,":"))*(PptoSty[PiColumn]=I$54),0)),SUM(IF((INDIRECT($B$3)=$B172)*(INDIRECT($C$3)=$D172)*((INDIRECT($E$3)="TOTS")+(INDIRECT($E$3)=$E172)),INDIRECT(I$3)))),_xlpm.y,SUM(_xlfn.CHOOSECOLS(_xlfn._xlws.FILTER(F_RT14[],(F_RT14[PrjId]=$B172)*(F_RT14[Vrs]=$D172)*(_xlfn.TEXTAFTER(F_RT14[ActGrp],":")=_xlfn.TEXTAFTER($H172,":")),"X"),MATCH("*"&amp;I$54,F_RT14[#Headers],0))),IF(AND(_xlpm.x=0,_xlpm.y&lt;&gt;0),-1,IF(AND(_xlpm.x&lt;&gt;0,_xlpm.y&lt;&gt;0),_xlpm.x,IF(AND(_xlpm.x-SUM(IF((INDIRECT($B$3)=$B172)*(INDIRECT($C$3)=$D172)*((INDIRECT($E$3)="TOTS")+(INDIRECT($E$3)=$E172)),INDIRECT(I$3)))&lt;&gt;0,_xlpm.y=0),-2,_xlpm.x)))),0))</f>
        <v>0</v>
      </c>
      <c r="J172" s="199" cm="1">
        <f t="array" aca="1" ref="J172" ca="1">IF(OR($B172="",$B172="X",$D172="",$D172="X",$E172="",$E172="X"),0,IFERROR(_xlfn.LET(_xlpm.x,SUM(SUM(_xlfn._xlws.FILTER(VALUE(PptoSty[Sign]&amp;1)*(1/PptoSty[Division]),(PptoSty[Division]&lt;&gt;0)*(PptoSty[Division]&lt;&gt;"")*(PptoSty[Division]&lt;&gt;"X")*(PptoSty[Project]=$B172)*(PptoSty[Vrs]=$D172)*(PptoSty[PiRow]=_xlfn.TEXTAFTER($H172,":"))*(PptoSty[PiColumn]=J$54),0)),SUM(IF((INDIRECT($B$3)=$B172)*(INDIRECT($C$3)=$D172)*((INDIRECT($E$3)="TOTS")+(INDIRECT($E$3)=$E172)),INDIRECT(J$3)))),_xlpm.y,SUM(_xlfn.CHOOSECOLS(_xlfn._xlws.FILTER(F_RT14[],(F_RT14[PrjId]=$B172)*(F_RT14[Vrs]=$D172)*(_xlfn.TEXTAFTER(F_RT14[ActGrp],":")=_xlfn.TEXTAFTER($H172,":")),"X"),MATCH("*"&amp;J$54,F_RT14[#Headers],0))),IF(AND(_xlpm.x=0,_xlpm.y&lt;&gt;0),-1,IF(AND(_xlpm.x&lt;&gt;0,_xlpm.y&lt;&gt;0),_xlpm.x,IF(AND(_xlpm.x-SUM(IF((INDIRECT($B$3)=$B172)*(INDIRECT($C$3)=$D172)*((INDIRECT($E$3)="TOTS")+(INDIRECT($E$3)=$E172)),INDIRECT(J$3)))&lt;&gt;0,_xlpm.y=0),-2,_xlpm.x)))),0))</f>
        <v>0</v>
      </c>
      <c r="K172" s="199" cm="1">
        <f t="array" aca="1" ref="K172" ca="1">IF(OR($B172="",$B172="X",$D172="",$D172="X",$E172="",$E172="X"),0,IFERROR(_xlfn.LET(_xlpm.x,SUM(SUM(_xlfn._xlws.FILTER(VALUE(PptoSty[Sign]&amp;1)*(1/PptoSty[Division]),(PptoSty[Division]&lt;&gt;0)*(PptoSty[Division]&lt;&gt;"")*(PptoSty[Division]&lt;&gt;"X")*(PptoSty[Project]=$B172)*(PptoSty[Vrs]=$D172)*(PptoSty[PiRow]=_xlfn.TEXTAFTER($H172,":"))*(PptoSty[PiColumn]=K$54),0)),SUM(IF((INDIRECT($B$3)=$B172)*(INDIRECT($C$3)=$D172)*((INDIRECT($E$3)="TOTS")+(INDIRECT($E$3)=$E172)),INDIRECT(K$3)))),_xlpm.y,SUM(_xlfn.CHOOSECOLS(_xlfn._xlws.FILTER(F_RT14[],(F_RT14[PrjId]=$B172)*(F_RT14[Vrs]=$D172)*(_xlfn.TEXTAFTER(F_RT14[ActGrp],":")=_xlfn.TEXTAFTER($H172,":")),"X"),MATCH("*"&amp;K$54,F_RT14[#Headers],0))),IF(AND(_xlpm.x=0,_xlpm.y&lt;&gt;0),-1,IF(AND(_xlpm.x&lt;&gt;0,_xlpm.y&lt;&gt;0),_xlpm.x,IF(AND(_xlpm.x-SUM(IF((INDIRECT($B$3)=$B172)*(INDIRECT($C$3)=$D172)*((INDIRECT($E$3)="TOTS")+(INDIRECT($E$3)=$E172)),INDIRECT(K$3)))&lt;&gt;0,_xlpm.y=0),-2,_xlpm.x)))),0))</f>
        <v>-1</v>
      </c>
      <c r="L172" s="199" cm="1">
        <f t="array" aca="1" ref="L172" ca="1">IF(OR($B172="",$B172="X",$D172="",$D172="X",$E172="",$E172="X"),0,IFERROR(_xlfn.LET(_xlpm.x,SUM(SUM(_xlfn._xlws.FILTER(VALUE(PptoSty[Sign]&amp;1)*(1/PptoSty[Division]),(PptoSty[Division]&lt;&gt;0)*(PptoSty[Division]&lt;&gt;"")*(PptoSty[Division]&lt;&gt;"X")*(PptoSty[Project]=$B172)*(PptoSty[Vrs]=$D172)*(PptoSty[PiRow]=_xlfn.TEXTAFTER($H172,":"))*(PptoSty[PiColumn]=L$54),0)),SUM(IF((INDIRECT($B$3)=$B172)*(INDIRECT($C$3)=$D172)*((INDIRECT($E$3)="TOTS")+(INDIRECT($E$3)=$E172)),INDIRECT(L$3)))),_xlpm.y,SUM(_xlfn.CHOOSECOLS(_xlfn._xlws.FILTER(F_RT14[],(F_RT14[PrjId]=$B172)*(F_RT14[Vrs]=$D172)*(_xlfn.TEXTAFTER(F_RT14[ActGrp],":")=_xlfn.TEXTAFTER($H172,":")),"X"),MATCH("*"&amp;L$54,F_RT14[#Headers],0))),IF(AND(_xlpm.x=0,_xlpm.y&lt;&gt;0),-1,IF(AND(_xlpm.x&lt;&gt;0,_xlpm.y&lt;&gt;0),_xlpm.x,IF(AND(_xlpm.x-SUM(IF((INDIRECT($B$3)=$B172)*(INDIRECT($C$3)=$D172)*((INDIRECT($E$3)="TOTS")+(INDIRECT($E$3)=$E172)),INDIRECT(L$3)))&lt;&gt;0,_xlpm.y=0),-2,_xlpm.x)))),0))</f>
        <v>0</v>
      </c>
      <c r="M172" s="199" cm="1">
        <f t="array" aca="1" ref="M172" ca="1">IF(OR($B172="",$B172="X",$D172="",$D172="X",$E172="",$E172="X"),0,IFERROR(_xlfn.LET(_xlpm.x,SUM(SUM(_xlfn._xlws.FILTER(VALUE(PptoSty[Sign]&amp;1)*(1/PptoSty[Division]),(PptoSty[Division]&lt;&gt;0)*(PptoSty[Division]&lt;&gt;"")*(PptoSty[Division]&lt;&gt;"X")*(PptoSty[Project]=$B172)*(PptoSty[Vrs]=$D172)*(PptoSty[PiRow]=_xlfn.TEXTAFTER($H172,":"))*(PptoSty[PiColumn]=M$54),0)),SUM(IF((INDIRECT($B$3)=$B172)*(INDIRECT($C$3)=$D172)*((INDIRECT($E$3)="TOTS")+(INDIRECT($E$3)=$E172)),INDIRECT(M$3)))),_xlpm.y,SUM(_xlfn.CHOOSECOLS(_xlfn._xlws.FILTER(F_RT14[],(F_RT14[PrjId]=$B172)*(F_RT14[Vrs]=$D172)*(_xlfn.TEXTAFTER(F_RT14[ActGrp],":")=_xlfn.TEXTAFTER($H172,":")),"X"),MATCH("*"&amp;M$54,F_RT14[#Headers],0))),IF(AND(_xlpm.x=0,_xlpm.y&lt;&gt;0),-1,IF(AND(_xlpm.x&lt;&gt;0,_xlpm.y&lt;&gt;0),_xlpm.x,IF(AND(_xlpm.x-SUM(IF((INDIRECT($B$3)=$B172)*(INDIRECT($C$3)=$D172)*((INDIRECT($E$3)="TOTS")+(INDIRECT($E$3)=$E172)),INDIRECT(M$3)))&lt;&gt;0,_xlpm.y=0),-2,_xlpm.x)))),0))</f>
        <v>0</v>
      </c>
      <c r="N172" s="199" cm="1">
        <f t="array" aca="1" ref="N172" ca="1">IF(OR($B172="",$B172="X",$D172="",$D172="X",$E172="",$E172="X"),0,IFERROR(_xlfn.LET(_xlpm.x,SUM(SUM(_xlfn._xlws.FILTER(VALUE(PptoSty[Sign]&amp;1)*(1/PptoSty[Division]),(PptoSty[Division]&lt;&gt;0)*(PptoSty[Division]&lt;&gt;"")*(PptoSty[Division]&lt;&gt;"X")*(PptoSty[Project]=$B172)*(PptoSty[Vrs]=$D172)*(PptoSty[PiRow]=_xlfn.TEXTAFTER($H172,":"))*(PptoSty[PiColumn]=N$54),0)),SUM(IF((INDIRECT($B$3)=$B172)*(INDIRECT($C$3)=$D172)*((INDIRECT($E$3)="TOTS")+(INDIRECT($E$3)=$E172)),INDIRECT(N$3)))),_xlpm.y,SUM(_xlfn.CHOOSECOLS(_xlfn._xlws.FILTER(F_RT14[],(F_RT14[PrjId]=$B172)*(F_RT14[Vrs]=$D172)*(_xlfn.TEXTAFTER(F_RT14[ActGrp],":")=_xlfn.TEXTAFTER($H172,":")),"X"),MATCH("*"&amp;N$54,F_RT14[#Headers],0))),IF(AND(_xlpm.x=0,_xlpm.y&lt;&gt;0),-1,IF(AND(_xlpm.x&lt;&gt;0,_xlpm.y&lt;&gt;0),_xlpm.x,IF(AND(_xlpm.x-SUM(IF((INDIRECT($B$3)=$B172)*(INDIRECT($C$3)=$D172)*((INDIRECT($E$3)="TOTS")+(INDIRECT($E$3)=$E172)),INDIRECT(N$3)))&lt;&gt;0,_xlpm.y=0),-2,_xlpm.x)))),0))</f>
        <v>-1</v>
      </c>
      <c r="O172" s="199" cm="1">
        <f t="array" aca="1" ref="O172" ca="1">IF(OR($B172="",$B172="X",$D172="",$D172="X",$E172="",$E172="X"),0,IFERROR(_xlfn.LET(_xlpm.x,SUM(SUM(_xlfn._xlws.FILTER(VALUE(PptoSty[Sign]&amp;1)*(1/PptoSty[Division]),(PptoSty[Division]&lt;&gt;0)*(PptoSty[Division]&lt;&gt;"")*(PptoSty[Division]&lt;&gt;"X")*(PptoSty[Project]=$B172)*(PptoSty[Vrs]=$D172)*(PptoSty[PiRow]=_xlfn.TEXTAFTER($H172,":"))*(PptoSty[PiColumn]=O$54),0)),SUM(IF((INDIRECT($B$3)=$B172)*(INDIRECT($C$3)=$D172)*((INDIRECT($E$3)="TOTS")+(INDIRECT($E$3)=$E172)),INDIRECT(O$3)))),_xlpm.y,SUM(_xlfn.CHOOSECOLS(_xlfn._xlws.FILTER(F_RT14[],(F_RT14[PrjId]=$B172)*(F_RT14[Vrs]=$D172)*(_xlfn.TEXTAFTER(F_RT14[ActGrp],":")=_xlfn.TEXTAFTER($H172,":")),"X"),MATCH("*"&amp;O$54,F_RT14[#Headers],0))),IF(AND(_xlpm.x=0,_xlpm.y&lt;&gt;0),-1,IF(AND(_xlpm.x&lt;&gt;0,_xlpm.y&lt;&gt;0),_xlpm.x,IF(AND(_xlpm.x-SUM(IF((INDIRECT($B$3)=$B172)*(INDIRECT($C$3)=$D172)*((INDIRECT($E$3)="TOTS")+(INDIRECT($E$3)=$E172)),INDIRECT(O$3)))&lt;&gt;0,_xlpm.y=0),-2,_xlpm.x)))),0))</f>
        <v>0</v>
      </c>
      <c r="P172" s="199" cm="1">
        <f t="array" aca="1" ref="P172" ca="1">IF(OR($B172="",$B172="X",$D172="",$D172="X",$E172="",$E172="X"),0,IFERROR(_xlfn.LET(_xlpm.x,SUM(SUM(_xlfn._xlws.FILTER(VALUE(PptoSty[Sign]&amp;1)*(1/PptoSty[Division]),(PptoSty[Division]&lt;&gt;0)*(PptoSty[Division]&lt;&gt;"")*(PptoSty[Division]&lt;&gt;"X")*(PptoSty[Project]=$B172)*(PptoSty[Vrs]=$D172)*(PptoSty[PiRow]=_xlfn.TEXTAFTER($H172,":"))*(PptoSty[PiColumn]=P$54),0)),SUM(IF((INDIRECT($B$3)=$B172)*(INDIRECT($C$3)=$D172)*((INDIRECT($E$3)="TOTS")+(INDIRECT($E$3)=$E172)),INDIRECT(P$3)))),_xlpm.y,SUM(_xlfn.CHOOSECOLS(_xlfn._xlws.FILTER(F_RT14[],(F_RT14[PrjId]=$B172)*(F_RT14[Vrs]=$D172)*(_xlfn.TEXTAFTER(F_RT14[ActGrp],":")=_xlfn.TEXTAFTER($H172,":")),"X"),MATCH("*"&amp;P$54,F_RT14[#Headers],0))),IF(AND(_xlpm.x=0,_xlpm.y&lt;&gt;0),-1,IF(AND(_xlpm.x&lt;&gt;0,_xlpm.y&lt;&gt;0),_xlpm.x,IF(AND(_xlpm.x-SUM(IF((INDIRECT($B$3)=$B172)*(INDIRECT($C$3)=$D172)*((INDIRECT($E$3)="TOTS")+(INDIRECT($E$3)=$E172)),INDIRECT(P$3)))&lt;&gt;0,_xlpm.y=0),-2,_xlpm.x)))),0))</f>
        <v>-1</v>
      </c>
      <c r="Q172" s="199" cm="1">
        <f t="array" aca="1" ref="Q172" ca="1">IF(OR($B172="",$B172="X",$D172="",$D172="X",$E172="",$E172="X"),0,IFERROR(_xlfn.LET(_xlpm.x,SUM(SUM(_xlfn._xlws.FILTER(VALUE(PptoSty[Sign]&amp;1)*(1/PptoSty[Division]),(PptoSty[Division]&lt;&gt;0)*(PptoSty[Division]&lt;&gt;"")*(PptoSty[Division]&lt;&gt;"X")*(PptoSty[Project]=$B172)*(PptoSty[Vrs]=$D172)*(PptoSty[PiRow]=_xlfn.TEXTAFTER($H172,":"))*(PptoSty[PiColumn]=Q$54),0)),SUM(IF((INDIRECT($B$3)=$B172)*(INDIRECT($C$3)=$D172)*((INDIRECT($E$3)="TOTS")+(INDIRECT($E$3)=$E172)),INDIRECT(Q$3)))),_xlpm.y,SUM(_xlfn.CHOOSECOLS(_xlfn._xlws.FILTER(F_RT14[],(F_RT14[PrjId]=$B172)*(F_RT14[Vrs]=$D172)*(_xlfn.TEXTAFTER(F_RT14[ActGrp],":")=_xlfn.TEXTAFTER($H172,":")),"X"),MATCH("*"&amp;Q$54,F_RT14[#Headers],0))),IF(AND(_xlpm.x=0,_xlpm.y&lt;&gt;0),-1,IF(AND(_xlpm.x&lt;&gt;0,_xlpm.y&lt;&gt;0),_xlpm.x,IF(AND(_xlpm.x-SUM(IF((INDIRECT($B$3)=$B172)*(INDIRECT($C$3)=$D172)*((INDIRECT($E$3)="TOTS")+(INDIRECT($E$3)=$E172)),INDIRECT(Q$3)))&lt;&gt;0,_xlpm.y=0),-2,_xlpm.x)))),0))</f>
        <v>-1</v>
      </c>
      <c r="R172" s="199" cm="1">
        <f t="array" aca="1" ref="R172" ca="1">IF(OR($B172="",$B172="X",$D172="",$D172="X",$E172="",$E172="X"),0,IFERROR(_xlfn.LET(_xlpm.x,SUM(SUM(_xlfn._xlws.FILTER(VALUE(PptoSty[Sign]&amp;1)*(1/PptoSty[Division]),(PptoSty[Division]&lt;&gt;0)*(PptoSty[Division]&lt;&gt;"")*(PptoSty[Division]&lt;&gt;"X")*(PptoSty[Project]=$B172)*(PptoSty[Vrs]=$D172)*(PptoSty[PiRow]=_xlfn.TEXTAFTER($H172,":"))*(PptoSty[PiColumn]=R$54),0)),SUM(IF((INDIRECT($B$3)=$B172)*(INDIRECT($C$3)=$D172)*((INDIRECT($E$3)="TOTS")+(INDIRECT($E$3)=$E172)),INDIRECT(R$3)))),_xlpm.y,SUM(_xlfn.CHOOSECOLS(_xlfn._xlws.FILTER(F_RT14[],(F_RT14[PrjId]=$B172)*(F_RT14[Vrs]=$D172)*(_xlfn.TEXTAFTER(F_RT14[ActGrp],":")=_xlfn.TEXTAFTER($H172,":")),"X"),MATCH("*"&amp;R$54,F_RT14[#Headers],0))),IF(AND(_xlpm.x=0,_xlpm.y&lt;&gt;0),-1,IF(AND(_xlpm.x&lt;&gt;0,_xlpm.y&lt;&gt;0),_xlpm.x,IF(AND(_xlpm.x-SUM(IF((INDIRECT($B$3)=$B172)*(INDIRECT($C$3)=$D172)*((INDIRECT($E$3)="TOTS")+(INDIRECT($E$3)=$E172)),INDIRECT(R$3)))&lt;&gt;0,_xlpm.y=0),-2,_xlpm.x)))),0))</f>
        <v>-1</v>
      </c>
      <c r="S172" s="199" cm="1">
        <f t="array" aca="1" ref="S172" ca="1">IF(OR($B172="",$B172="X",$D172="",$D172="X",$E172="",$E172="X"),0,IFERROR(_xlfn.LET(_xlpm.x,SUM(SUM(_xlfn._xlws.FILTER(VALUE(PptoSty[Sign]&amp;1)*(1/PptoSty[Division]),(PptoSty[Division]&lt;&gt;0)*(PptoSty[Division]&lt;&gt;"")*(PptoSty[Division]&lt;&gt;"X")*(PptoSty[Project]=$B172)*(PptoSty[Vrs]=$D172)*(PptoSty[PiRow]=_xlfn.TEXTAFTER($H172,":"))*(PptoSty[PiColumn]=S$54),0)),SUM(IF((INDIRECT($B$3)=$B172)*(INDIRECT($C$3)=$D172)*((INDIRECT($E$3)="TOTS")+(INDIRECT($E$3)=$E172)),INDIRECT(S$3)))),_xlpm.y,SUM(_xlfn.CHOOSECOLS(_xlfn._xlws.FILTER(F_RT14[],(F_RT14[PrjId]=$B172)*(F_RT14[Vrs]=$D172)*(_xlfn.TEXTAFTER(F_RT14[ActGrp],":")=_xlfn.TEXTAFTER($H172,":")),"X"),MATCH("*"&amp;S$54,F_RT14[#Headers],0))),IF(AND(_xlpm.x=0,_xlpm.y&lt;&gt;0),-1,IF(AND(_xlpm.x&lt;&gt;0,_xlpm.y&lt;&gt;0),_xlpm.x,IF(AND(_xlpm.x-SUM(IF((INDIRECT($B$3)=$B172)*(INDIRECT($C$3)=$D172)*((INDIRECT($E$3)="TOTS")+(INDIRECT($E$3)=$E172)),INDIRECT(S$3)))&lt;&gt;0,_xlpm.y=0),-2,_xlpm.x)))),0))</f>
        <v>-1</v>
      </c>
      <c r="T172" s="199" cm="1">
        <f t="array" aca="1" ref="T172" ca="1">IF(OR($B172="",$B172="X",$D172="",$D172="X",$E172="",$E172="X"),0,IFERROR(_xlfn.LET(_xlpm.x,SUM(SUM(_xlfn._xlws.FILTER(VALUE(PptoSty[Sign]&amp;1)*(1/PptoSty[Division]),(PptoSty[Division]&lt;&gt;0)*(PptoSty[Division]&lt;&gt;"")*(PptoSty[Division]&lt;&gt;"X")*(PptoSty[Project]=$B172)*(PptoSty[Vrs]=$D172)*(PptoSty[PiRow]=_xlfn.TEXTAFTER($H172,":"))*(PptoSty[PiColumn]=T$54),0)),SUM(IF((INDIRECT($B$3)=$B172)*(INDIRECT($C$3)=$D172)*((INDIRECT($E$3)="TOTS")+(INDIRECT($E$3)=$E172)),INDIRECT(T$3)))),_xlpm.y,SUM(_xlfn.CHOOSECOLS(_xlfn._xlws.FILTER(F_RT14[],(F_RT14[PrjId]=$B172)*(F_RT14[Vrs]=$D172)*(_xlfn.TEXTAFTER(F_RT14[ActGrp],":")=_xlfn.TEXTAFTER($H172,":")),"X"),MATCH("*"&amp;T$54,F_RT14[#Headers],0))),IF(AND(_xlpm.x=0,_xlpm.y&lt;&gt;0),-1,IF(AND(_xlpm.x&lt;&gt;0,_xlpm.y&lt;&gt;0),_xlpm.x,IF(AND(_xlpm.x-SUM(IF((INDIRECT($B$3)=$B172)*(INDIRECT($C$3)=$D172)*((INDIRECT($E$3)="TOTS")+(INDIRECT($E$3)=$E172)),INDIRECT(T$3)))&lt;&gt;0,_xlpm.y=0),-2,_xlpm.x)))),0))</f>
        <v>-1</v>
      </c>
      <c r="U172" s="199" cm="1">
        <f t="array" aca="1" ref="U172" ca="1">IF(OR($B172="",$B172="X",$D172="",$D172="X",$E172="",$E172="X"),0,IFERROR(_xlfn.LET(_xlpm.x,SUM(SUM(_xlfn._xlws.FILTER(VALUE(PptoSty[Sign]&amp;1)*(1/PptoSty[Division]),(PptoSty[Division]&lt;&gt;0)*(PptoSty[Division]&lt;&gt;"")*(PptoSty[Division]&lt;&gt;"X")*(PptoSty[Project]=$B172)*(PptoSty[Vrs]=$D172)*(PptoSty[PiRow]=_xlfn.TEXTAFTER($H172,":"))*(PptoSty[PiColumn]=U$54),0)),SUM(IF((INDIRECT($B$3)=$B172)*(INDIRECT($C$3)=$D172)*((INDIRECT($E$3)="TOTS")+(INDIRECT($E$3)=$E172)),INDIRECT(U$3)))),_xlpm.y,SUM(_xlfn.CHOOSECOLS(_xlfn._xlws.FILTER(F_RT14[],(F_RT14[PrjId]=$B172)*(F_RT14[Vrs]=$D172)*(_xlfn.TEXTAFTER(F_RT14[ActGrp],":")=_xlfn.TEXTAFTER($H172,":")),"X"),MATCH("*"&amp;U$54,F_RT14[#Headers],0))),IF(AND(_xlpm.x=0,_xlpm.y&lt;&gt;0),-1,IF(AND(_xlpm.x&lt;&gt;0,_xlpm.y&lt;&gt;0),_xlpm.x,IF(AND(_xlpm.x-SUM(IF((INDIRECT($B$3)=$B172)*(INDIRECT($C$3)=$D172)*((INDIRECT($E$3)="TOTS")+(INDIRECT($E$3)=$E172)),INDIRECT(U$3)))&lt;&gt;0,_xlpm.y=0),-2,_xlpm.x)))),0))</f>
        <v>0</v>
      </c>
      <c r="V172" s="199" cm="1">
        <f t="array" aca="1" ref="V172" ca="1">IF(OR($B172="",$B172="X",$D172="",$D172="X",$E172="",$E172="X"),0,IFERROR(_xlfn.LET(_xlpm.x,SUM(SUM(_xlfn._xlws.FILTER(VALUE(PptoSty[Sign]&amp;1)*(1/PptoSty[Division]),(PptoSty[Division]&lt;&gt;0)*(PptoSty[Division]&lt;&gt;"")*(PptoSty[Division]&lt;&gt;"X")*(PptoSty[Project]=$B172)*(PptoSty[Vrs]=$D172)*(PptoSty[PiRow]=_xlfn.TEXTAFTER($H172,":"))*(PptoSty[PiColumn]=V$54),0)),SUM(IF((INDIRECT($B$3)=$B172)*(INDIRECT($C$3)=$D172)*((INDIRECT($E$3)="TOTS")+(INDIRECT($E$3)=$E172)),INDIRECT(V$3)))),_xlpm.y,SUM(_xlfn.CHOOSECOLS(_xlfn._xlws.FILTER(F_RT14[],(F_RT14[PrjId]=$B172)*(F_RT14[Vrs]=$D172)*(_xlfn.TEXTAFTER(F_RT14[ActGrp],":")=_xlfn.TEXTAFTER($H172,":")),"X"),MATCH("*"&amp;V$54,F_RT14[#Headers],0))),IF(AND(_xlpm.x=0,_xlpm.y&lt;&gt;0),-1,IF(AND(_xlpm.x&lt;&gt;0,_xlpm.y&lt;&gt;0),_xlpm.x,IF(AND(_xlpm.x-SUM(IF((INDIRECT($B$3)=$B172)*(INDIRECT($C$3)=$D172)*((INDIRECT($E$3)="TOTS")+(INDIRECT($E$3)=$E172)),INDIRECT(V$3)))&lt;&gt;0,_xlpm.y=0),-2,_xlpm.x)))),0))</f>
        <v>-1</v>
      </c>
      <c r="W172" s="199" cm="1">
        <f t="array" aca="1" ref="W172" ca="1">IF(OR($B172="",$B172="X",$D172="",$D172="X",$E172="",$E172="X"),0,IFERROR(_xlfn.LET(_xlpm.x,SUM(SUM(_xlfn._xlws.FILTER(VALUE(PptoSty[Sign]&amp;1)*(1/PptoSty[Division]),(PptoSty[Division]&lt;&gt;0)*(PptoSty[Division]&lt;&gt;"")*(PptoSty[Division]&lt;&gt;"X")*(PptoSty[Project]=$B172)*(PptoSty[Vrs]=$D172)*(PptoSty[PiRow]=_xlfn.TEXTAFTER($H172,":"))*(PptoSty[PiColumn]=W$54),0)),SUM(IF((INDIRECT($B$3)=$B172)*(INDIRECT($C$3)=$D172)*((INDIRECT($E$3)="TOTS")+(INDIRECT($E$3)=$E172)),INDIRECT(W$3)))),_xlpm.y,SUM(_xlfn.CHOOSECOLS(_xlfn._xlws.FILTER(F_RT14[],(F_RT14[PrjId]=$B172)*(F_RT14[Vrs]=$D172)*(_xlfn.TEXTAFTER(F_RT14[ActGrp],":")=_xlfn.TEXTAFTER($H172,":")),"X"),MATCH("*"&amp;W$54,F_RT14[#Headers],0))),IF(AND(_xlpm.x=0,_xlpm.y&lt;&gt;0),-1,IF(AND(_xlpm.x&lt;&gt;0,_xlpm.y&lt;&gt;0),_xlpm.x,IF(AND(_xlpm.x-SUM(IF((INDIRECT($B$3)=$B172)*(INDIRECT($C$3)=$D172)*((INDIRECT($E$3)="TOTS")+(INDIRECT($E$3)=$E172)),INDIRECT(W$3)))&lt;&gt;0,_xlpm.y=0),-2,_xlpm.x)))),0))</f>
        <v>-1</v>
      </c>
      <c r="X172" s="199" cm="1">
        <f t="array" aca="1" ref="X172" ca="1">IF(OR($B172="",$B172="X",$D172="",$D172="X",$E172="",$E172="X"),0,IFERROR(_xlfn.LET(_xlpm.x,SUM(SUM(_xlfn._xlws.FILTER(VALUE(PptoSty[Sign]&amp;1)*(1/PptoSty[Division]),(PptoSty[Division]&lt;&gt;0)*(PptoSty[Division]&lt;&gt;"")*(PptoSty[Division]&lt;&gt;"X")*(PptoSty[Project]=$B172)*(PptoSty[Vrs]=$D172)*(PptoSty[PiRow]=_xlfn.TEXTAFTER($H172,":"))*(PptoSty[PiColumn]=X$54),0)),SUM(IF((INDIRECT($B$3)=$B172)*(INDIRECT($C$3)=$D172)*((INDIRECT($E$3)="TOTS")+(INDIRECT($E$3)=$E172)),INDIRECT(X$3)))),_xlpm.y,SUM(_xlfn.CHOOSECOLS(_xlfn._xlws.FILTER(F_RT14[],(F_RT14[PrjId]=$B172)*(F_RT14[Vrs]=$D172)*(_xlfn.TEXTAFTER(F_RT14[ActGrp],":")=_xlfn.TEXTAFTER($H172,":")),"X"),MATCH("*"&amp;X$54,F_RT14[#Headers],0))),IF(AND(_xlpm.x=0,_xlpm.y&lt;&gt;0),-1,IF(AND(_xlpm.x&lt;&gt;0,_xlpm.y&lt;&gt;0),_xlpm.x,IF(AND(_xlpm.x-SUM(IF((INDIRECT($B$3)=$B172)*(INDIRECT($C$3)=$D172)*((INDIRECT($E$3)="TOTS")+(INDIRECT($E$3)=$E172)),INDIRECT(X$3)))&lt;&gt;0,_xlpm.y=0),-2,_xlpm.x)))),0))</f>
        <v>-1</v>
      </c>
      <c r="Y172" s="199" cm="1">
        <f t="array" aca="1" ref="Y172" ca="1">IF(OR($B172="",$B172="X",$D172="",$D172="X",$E172="",$E172="X"),0,IFERROR(_xlfn.LET(_xlpm.x,SUM(SUM(_xlfn._xlws.FILTER(VALUE(PptoSty[Sign]&amp;1)*(1/PptoSty[Division]),(PptoSty[Division]&lt;&gt;0)*(PptoSty[Division]&lt;&gt;"")*(PptoSty[Division]&lt;&gt;"X")*(PptoSty[Project]=$B172)*(PptoSty[Vrs]=$D172)*(PptoSty[PiRow]=_xlfn.TEXTAFTER($H172,":"))*(PptoSty[PiColumn]=Y$54),0)),SUM(IF((INDIRECT($B$3)=$B172)*(INDIRECT($C$3)=$D172)*((INDIRECT($E$3)="TOTS")+(INDIRECT($E$3)=$E172)),INDIRECT(Y$3)))),_xlpm.y,SUM(_xlfn.CHOOSECOLS(_xlfn._xlws.FILTER(F_RT14[],(F_RT14[PrjId]=$B172)*(F_RT14[Vrs]=$D172)*(_xlfn.TEXTAFTER(F_RT14[ActGrp],":")=_xlfn.TEXTAFTER($H172,":")),"X"),MATCH("*"&amp;Y$54,F_RT14[#Headers],0))),IF(AND(_xlpm.x=0,_xlpm.y&lt;&gt;0),-1,IF(AND(_xlpm.x&lt;&gt;0,_xlpm.y&lt;&gt;0),_xlpm.x,IF(AND(_xlpm.x-SUM(IF((INDIRECT($B$3)=$B172)*(INDIRECT($C$3)=$D172)*((INDIRECT($E$3)="TOTS")+(INDIRECT($E$3)=$E172)),INDIRECT(Y$3)))&lt;&gt;0,_xlpm.y=0),-2,_xlpm.x)))),0))</f>
        <v>0</v>
      </c>
      <c r="Z172" s="198" t="str">
        <f t="shared" ca="1" si="3"/>
        <v>Fback!B172:Y172</v>
      </c>
    </row>
    <row r="173" spans="2:26" ht="21" customHeight="1" outlineLevel="1">
      <c r="B173" s="128" t="str">
        <v>31200</v>
      </c>
      <c r="C173" s="128" t="str">
        <v>Sp</v>
      </c>
      <c r="D173" s="128">
        <v>0</v>
      </c>
      <c r="E173" s="128" t="str">
        <v>TOOL</v>
      </c>
      <c r="F173" s="139" t="str">
        <v>SERRA</v>
      </c>
      <c r="G173" s="139" t="str">
        <v>CurPpto</v>
      </c>
      <c r="H173" s="139" t="str">
        <v>P001:OP-10.1/2 GEO</v>
      </c>
      <c r="I173" s="199" cm="1">
        <f t="array" aca="1" ref="I173" ca="1">IF(OR($B173="",$B173="X",$D173="",$D173="X",$E173="",$E173="X"),0,IFERROR(_xlfn.LET(_xlpm.x,SUM(SUM(_xlfn._xlws.FILTER(VALUE(PptoSty[Sign]&amp;1)*(1/PptoSty[Division]),(PptoSty[Division]&lt;&gt;0)*(PptoSty[Division]&lt;&gt;"")*(PptoSty[Division]&lt;&gt;"X")*(PptoSty[Project]=$B173)*(PptoSty[Vrs]=$D173)*(PptoSty[PiRow]=_xlfn.TEXTAFTER($H173,":"))*(PptoSty[PiColumn]=I$54),0)),SUM(IF((INDIRECT($B$3)=$B173)*(INDIRECT($C$3)=$D173)*((INDIRECT($E$3)="TOTS")+(INDIRECT($E$3)=$E173)),INDIRECT(I$3)))),_xlpm.y,SUM(_xlfn.CHOOSECOLS(_xlfn._xlws.FILTER(F_RT14[],(F_RT14[PrjId]=$B173)*(F_RT14[Vrs]=$D173)*(_xlfn.TEXTAFTER(F_RT14[ActGrp],":")=_xlfn.TEXTAFTER($H173,":")),"X"),MATCH("*"&amp;I$54,F_RT14[#Headers],0))),IF(AND(_xlpm.x=0,_xlpm.y&lt;&gt;0),-1,IF(AND(_xlpm.x&lt;&gt;0,_xlpm.y&lt;&gt;0),_xlpm.x,IF(AND(_xlpm.x-SUM(IF((INDIRECT($B$3)=$B173)*(INDIRECT($C$3)=$D173)*((INDIRECT($E$3)="TOTS")+(INDIRECT($E$3)=$E173)),INDIRECT(I$3)))&lt;&gt;0,_xlpm.y=0),-2,_xlpm.x)))),0))</f>
        <v>0</v>
      </c>
      <c r="J173" s="199" cm="1">
        <f t="array" aca="1" ref="J173" ca="1">IF(OR($B173="",$B173="X",$D173="",$D173="X",$E173="",$E173="X"),0,IFERROR(_xlfn.LET(_xlpm.x,SUM(SUM(_xlfn._xlws.FILTER(VALUE(PptoSty[Sign]&amp;1)*(1/PptoSty[Division]),(PptoSty[Division]&lt;&gt;0)*(PptoSty[Division]&lt;&gt;"")*(PptoSty[Division]&lt;&gt;"X")*(PptoSty[Project]=$B173)*(PptoSty[Vrs]=$D173)*(PptoSty[PiRow]=_xlfn.TEXTAFTER($H173,":"))*(PptoSty[PiColumn]=J$54),0)),SUM(IF((INDIRECT($B$3)=$B173)*(INDIRECT($C$3)=$D173)*((INDIRECT($E$3)="TOTS")+(INDIRECT($E$3)=$E173)),INDIRECT(J$3)))),_xlpm.y,SUM(_xlfn.CHOOSECOLS(_xlfn._xlws.FILTER(F_RT14[],(F_RT14[PrjId]=$B173)*(F_RT14[Vrs]=$D173)*(_xlfn.TEXTAFTER(F_RT14[ActGrp],":")=_xlfn.TEXTAFTER($H173,":")),"X"),MATCH("*"&amp;J$54,F_RT14[#Headers],0))),IF(AND(_xlpm.x=0,_xlpm.y&lt;&gt;0),-1,IF(AND(_xlpm.x&lt;&gt;0,_xlpm.y&lt;&gt;0),_xlpm.x,IF(AND(_xlpm.x-SUM(IF((INDIRECT($B$3)=$B173)*(INDIRECT($C$3)=$D173)*((INDIRECT($E$3)="TOTS")+(INDIRECT($E$3)=$E173)),INDIRECT(J$3)))&lt;&gt;0,_xlpm.y=0),-2,_xlpm.x)))),0))</f>
        <v>0</v>
      </c>
      <c r="K173" s="199" cm="1">
        <f t="array" aca="1" ref="K173" ca="1">IF(OR($B173="",$B173="X",$D173="",$D173="X",$E173="",$E173="X"),0,IFERROR(_xlfn.LET(_xlpm.x,SUM(SUM(_xlfn._xlws.FILTER(VALUE(PptoSty[Sign]&amp;1)*(1/PptoSty[Division]),(PptoSty[Division]&lt;&gt;0)*(PptoSty[Division]&lt;&gt;"")*(PptoSty[Division]&lt;&gt;"X")*(PptoSty[Project]=$B173)*(PptoSty[Vrs]=$D173)*(PptoSty[PiRow]=_xlfn.TEXTAFTER($H173,":"))*(PptoSty[PiColumn]=K$54),0)),SUM(IF((INDIRECT($B$3)=$B173)*(INDIRECT($C$3)=$D173)*((INDIRECT($E$3)="TOTS")+(INDIRECT($E$3)=$E173)),INDIRECT(K$3)))),_xlpm.y,SUM(_xlfn.CHOOSECOLS(_xlfn._xlws.FILTER(F_RT14[],(F_RT14[PrjId]=$B173)*(F_RT14[Vrs]=$D173)*(_xlfn.TEXTAFTER(F_RT14[ActGrp],":")=_xlfn.TEXTAFTER($H173,":")),"X"),MATCH("*"&amp;K$54,F_RT14[#Headers],0))),IF(AND(_xlpm.x=0,_xlpm.y&lt;&gt;0),-1,IF(AND(_xlpm.x&lt;&gt;0,_xlpm.y&lt;&gt;0),_xlpm.x,IF(AND(_xlpm.x-SUM(IF((INDIRECT($B$3)=$B173)*(INDIRECT($C$3)=$D173)*((INDIRECT($E$3)="TOTS")+(INDIRECT($E$3)=$E173)),INDIRECT(K$3)))&lt;&gt;0,_xlpm.y=0),-2,_xlpm.x)))),0))</f>
        <v>-1</v>
      </c>
      <c r="L173" s="199" cm="1">
        <f t="array" aca="1" ref="L173" ca="1">IF(OR($B173="",$B173="X",$D173="",$D173="X",$E173="",$E173="X"),0,IFERROR(_xlfn.LET(_xlpm.x,SUM(SUM(_xlfn._xlws.FILTER(VALUE(PptoSty[Sign]&amp;1)*(1/PptoSty[Division]),(PptoSty[Division]&lt;&gt;0)*(PptoSty[Division]&lt;&gt;"")*(PptoSty[Division]&lt;&gt;"X")*(PptoSty[Project]=$B173)*(PptoSty[Vrs]=$D173)*(PptoSty[PiRow]=_xlfn.TEXTAFTER($H173,":"))*(PptoSty[PiColumn]=L$54),0)),SUM(IF((INDIRECT($B$3)=$B173)*(INDIRECT($C$3)=$D173)*((INDIRECT($E$3)="TOTS")+(INDIRECT($E$3)=$E173)),INDIRECT(L$3)))),_xlpm.y,SUM(_xlfn.CHOOSECOLS(_xlfn._xlws.FILTER(F_RT14[],(F_RT14[PrjId]=$B173)*(F_RT14[Vrs]=$D173)*(_xlfn.TEXTAFTER(F_RT14[ActGrp],":")=_xlfn.TEXTAFTER($H173,":")),"X"),MATCH("*"&amp;L$54,F_RT14[#Headers],0))),IF(AND(_xlpm.x=0,_xlpm.y&lt;&gt;0),-1,IF(AND(_xlpm.x&lt;&gt;0,_xlpm.y&lt;&gt;0),_xlpm.x,IF(AND(_xlpm.x-SUM(IF((INDIRECT($B$3)=$B173)*(INDIRECT($C$3)=$D173)*((INDIRECT($E$3)="TOTS")+(INDIRECT($E$3)=$E173)),INDIRECT(L$3)))&lt;&gt;0,_xlpm.y=0),-2,_xlpm.x)))),0))</f>
        <v>0</v>
      </c>
      <c r="M173" s="199" cm="1">
        <f t="array" aca="1" ref="M173" ca="1">IF(OR($B173="",$B173="X",$D173="",$D173="X",$E173="",$E173="X"),0,IFERROR(_xlfn.LET(_xlpm.x,SUM(SUM(_xlfn._xlws.FILTER(VALUE(PptoSty[Sign]&amp;1)*(1/PptoSty[Division]),(PptoSty[Division]&lt;&gt;0)*(PptoSty[Division]&lt;&gt;"")*(PptoSty[Division]&lt;&gt;"X")*(PptoSty[Project]=$B173)*(PptoSty[Vrs]=$D173)*(PptoSty[PiRow]=_xlfn.TEXTAFTER($H173,":"))*(PptoSty[PiColumn]=M$54),0)),SUM(IF((INDIRECT($B$3)=$B173)*(INDIRECT($C$3)=$D173)*((INDIRECT($E$3)="TOTS")+(INDIRECT($E$3)=$E173)),INDIRECT(M$3)))),_xlpm.y,SUM(_xlfn.CHOOSECOLS(_xlfn._xlws.FILTER(F_RT14[],(F_RT14[PrjId]=$B173)*(F_RT14[Vrs]=$D173)*(_xlfn.TEXTAFTER(F_RT14[ActGrp],":")=_xlfn.TEXTAFTER($H173,":")),"X"),MATCH("*"&amp;M$54,F_RT14[#Headers],0))),IF(AND(_xlpm.x=0,_xlpm.y&lt;&gt;0),-1,IF(AND(_xlpm.x&lt;&gt;0,_xlpm.y&lt;&gt;0),_xlpm.x,IF(AND(_xlpm.x-SUM(IF((INDIRECT($B$3)=$B173)*(INDIRECT($C$3)=$D173)*((INDIRECT($E$3)="TOTS")+(INDIRECT($E$3)=$E173)),INDIRECT(M$3)))&lt;&gt;0,_xlpm.y=0),-2,_xlpm.x)))),0))</f>
        <v>0</v>
      </c>
      <c r="N173" s="199" cm="1">
        <f t="array" aca="1" ref="N173" ca="1">IF(OR($B173="",$B173="X",$D173="",$D173="X",$E173="",$E173="X"),0,IFERROR(_xlfn.LET(_xlpm.x,SUM(SUM(_xlfn._xlws.FILTER(VALUE(PptoSty[Sign]&amp;1)*(1/PptoSty[Division]),(PptoSty[Division]&lt;&gt;0)*(PptoSty[Division]&lt;&gt;"")*(PptoSty[Division]&lt;&gt;"X")*(PptoSty[Project]=$B173)*(PptoSty[Vrs]=$D173)*(PptoSty[PiRow]=_xlfn.TEXTAFTER($H173,":"))*(PptoSty[PiColumn]=N$54),0)),SUM(IF((INDIRECT($B$3)=$B173)*(INDIRECT($C$3)=$D173)*((INDIRECT($E$3)="TOTS")+(INDIRECT($E$3)=$E173)),INDIRECT(N$3)))),_xlpm.y,SUM(_xlfn.CHOOSECOLS(_xlfn._xlws.FILTER(F_RT14[],(F_RT14[PrjId]=$B173)*(F_RT14[Vrs]=$D173)*(_xlfn.TEXTAFTER(F_RT14[ActGrp],":")=_xlfn.TEXTAFTER($H173,":")),"X"),MATCH("*"&amp;N$54,F_RT14[#Headers],0))),IF(AND(_xlpm.x=0,_xlpm.y&lt;&gt;0),-1,IF(AND(_xlpm.x&lt;&gt;0,_xlpm.y&lt;&gt;0),_xlpm.x,IF(AND(_xlpm.x-SUM(IF((INDIRECT($B$3)=$B173)*(INDIRECT($C$3)=$D173)*((INDIRECT($E$3)="TOTS")+(INDIRECT($E$3)=$E173)),INDIRECT(N$3)))&lt;&gt;0,_xlpm.y=0),-2,_xlpm.x)))),0))</f>
        <v>-1</v>
      </c>
      <c r="O173" s="199" cm="1">
        <f t="array" aca="1" ref="O173" ca="1">IF(OR($B173="",$B173="X",$D173="",$D173="X",$E173="",$E173="X"),0,IFERROR(_xlfn.LET(_xlpm.x,SUM(SUM(_xlfn._xlws.FILTER(VALUE(PptoSty[Sign]&amp;1)*(1/PptoSty[Division]),(PptoSty[Division]&lt;&gt;0)*(PptoSty[Division]&lt;&gt;"")*(PptoSty[Division]&lt;&gt;"X")*(PptoSty[Project]=$B173)*(PptoSty[Vrs]=$D173)*(PptoSty[PiRow]=_xlfn.TEXTAFTER($H173,":"))*(PptoSty[PiColumn]=O$54),0)),SUM(IF((INDIRECT($B$3)=$B173)*(INDIRECT($C$3)=$D173)*((INDIRECT($E$3)="TOTS")+(INDIRECT($E$3)=$E173)),INDIRECT(O$3)))),_xlpm.y,SUM(_xlfn.CHOOSECOLS(_xlfn._xlws.FILTER(F_RT14[],(F_RT14[PrjId]=$B173)*(F_RT14[Vrs]=$D173)*(_xlfn.TEXTAFTER(F_RT14[ActGrp],":")=_xlfn.TEXTAFTER($H173,":")),"X"),MATCH("*"&amp;O$54,F_RT14[#Headers],0))),IF(AND(_xlpm.x=0,_xlpm.y&lt;&gt;0),-1,IF(AND(_xlpm.x&lt;&gt;0,_xlpm.y&lt;&gt;0),_xlpm.x,IF(AND(_xlpm.x-SUM(IF((INDIRECT($B$3)=$B173)*(INDIRECT($C$3)=$D173)*((INDIRECT($E$3)="TOTS")+(INDIRECT($E$3)=$E173)),INDIRECT(O$3)))&lt;&gt;0,_xlpm.y=0),-2,_xlpm.x)))),0))</f>
        <v>0</v>
      </c>
      <c r="P173" s="199" cm="1">
        <f t="array" aca="1" ref="P173" ca="1">IF(OR($B173="",$B173="X",$D173="",$D173="X",$E173="",$E173="X"),0,IFERROR(_xlfn.LET(_xlpm.x,SUM(SUM(_xlfn._xlws.FILTER(VALUE(PptoSty[Sign]&amp;1)*(1/PptoSty[Division]),(PptoSty[Division]&lt;&gt;0)*(PptoSty[Division]&lt;&gt;"")*(PptoSty[Division]&lt;&gt;"X")*(PptoSty[Project]=$B173)*(PptoSty[Vrs]=$D173)*(PptoSty[PiRow]=_xlfn.TEXTAFTER($H173,":"))*(PptoSty[PiColumn]=P$54),0)),SUM(IF((INDIRECT($B$3)=$B173)*(INDIRECT($C$3)=$D173)*((INDIRECT($E$3)="TOTS")+(INDIRECT($E$3)=$E173)),INDIRECT(P$3)))),_xlpm.y,SUM(_xlfn.CHOOSECOLS(_xlfn._xlws.FILTER(F_RT14[],(F_RT14[PrjId]=$B173)*(F_RT14[Vrs]=$D173)*(_xlfn.TEXTAFTER(F_RT14[ActGrp],":")=_xlfn.TEXTAFTER($H173,":")),"X"),MATCH("*"&amp;P$54,F_RT14[#Headers],0))),IF(AND(_xlpm.x=0,_xlpm.y&lt;&gt;0),-1,IF(AND(_xlpm.x&lt;&gt;0,_xlpm.y&lt;&gt;0),_xlpm.x,IF(AND(_xlpm.x-SUM(IF((INDIRECT($B$3)=$B173)*(INDIRECT($C$3)=$D173)*((INDIRECT($E$3)="TOTS")+(INDIRECT($E$3)=$E173)),INDIRECT(P$3)))&lt;&gt;0,_xlpm.y=0),-2,_xlpm.x)))),0))</f>
        <v>-1</v>
      </c>
      <c r="Q173" s="199" cm="1">
        <f t="array" aca="1" ref="Q173" ca="1">IF(OR($B173="",$B173="X",$D173="",$D173="X",$E173="",$E173="X"),0,IFERROR(_xlfn.LET(_xlpm.x,SUM(SUM(_xlfn._xlws.FILTER(VALUE(PptoSty[Sign]&amp;1)*(1/PptoSty[Division]),(PptoSty[Division]&lt;&gt;0)*(PptoSty[Division]&lt;&gt;"")*(PptoSty[Division]&lt;&gt;"X")*(PptoSty[Project]=$B173)*(PptoSty[Vrs]=$D173)*(PptoSty[PiRow]=_xlfn.TEXTAFTER($H173,":"))*(PptoSty[PiColumn]=Q$54),0)),SUM(IF((INDIRECT($B$3)=$B173)*(INDIRECT($C$3)=$D173)*((INDIRECT($E$3)="TOTS")+(INDIRECT($E$3)=$E173)),INDIRECT(Q$3)))),_xlpm.y,SUM(_xlfn.CHOOSECOLS(_xlfn._xlws.FILTER(F_RT14[],(F_RT14[PrjId]=$B173)*(F_RT14[Vrs]=$D173)*(_xlfn.TEXTAFTER(F_RT14[ActGrp],":")=_xlfn.TEXTAFTER($H173,":")),"X"),MATCH("*"&amp;Q$54,F_RT14[#Headers],0))),IF(AND(_xlpm.x=0,_xlpm.y&lt;&gt;0),-1,IF(AND(_xlpm.x&lt;&gt;0,_xlpm.y&lt;&gt;0),_xlpm.x,IF(AND(_xlpm.x-SUM(IF((INDIRECT($B$3)=$B173)*(INDIRECT($C$3)=$D173)*((INDIRECT($E$3)="TOTS")+(INDIRECT($E$3)=$E173)),INDIRECT(Q$3)))&lt;&gt;0,_xlpm.y=0),-2,_xlpm.x)))),0))</f>
        <v>-1</v>
      </c>
      <c r="R173" s="199" cm="1">
        <f t="array" aca="1" ref="R173" ca="1">IF(OR($B173="",$B173="X",$D173="",$D173="X",$E173="",$E173="X"),0,IFERROR(_xlfn.LET(_xlpm.x,SUM(SUM(_xlfn._xlws.FILTER(VALUE(PptoSty[Sign]&amp;1)*(1/PptoSty[Division]),(PptoSty[Division]&lt;&gt;0)*(PptoSty[Division]&lt;&gt;"")*(PptoSty[Division]&lt;&gt;"X")*(PptoSty[Project]=$B173)*(PptoSty[Vrs]=$D173)*(PptoSty[PiRow]=_xlfn.TEXTAFTER($H173,":"))*(PptoSty[PiColumn]=R$54),0)),SUM(IF((INDIRECT($B$3)=$B173)*(INDIRECT($C$3)=$D173)*((INDIRECT($E$3)="TOTS")+(INDIRECT($E$3)=$E173)),INDIRECT(R$3)))),_xlpm.y,SUM(_xlfn.CHOOSECOLS(_xlfn._xlws.FILTER(F_RT14[],(F_RT14[PrjId]=$B173)*(F_RT14[Vrs]=$D173)*(_xlfn.TEXTAFTER(F_RT14[ActGrp],":")=_xlfn.TEXTAFTER($H173,":")),"X"),MATCH("*"&amp;R$54,F_RT14[#Headers],0))),IF(AND(_xlpm.x=0,_xlpm.y&lt;&gt;0),-1,IF(AND(_xlpm.x&lt;&gt;0,_xlpm.y&lt;&gt;0),_xlpm.x,IF(AND(_xlpm.x-SUM(IF((INDIRECT($B$3)=$B173)*(INDIRECT($C$3)=$D173)*((INDIRECT($E$3)="TOTS")+(INDIRECT($E$3)=$E173)),INDIRECT(R$3)))&lt;&gt;0,_xlpm.y=0),-2,_xlpm.x)))),0))</f>
        <v>-1</v>
      </c>
      <c r="S173" s="199" cm="1">
        <f t="array" aca="1" ref="S173" ca="1">IF(OR($B173="",$B173="X",$D173="",$D173="X",$E173="",$E173="X"),0,IFERROR(_xlfn.LET(_xlpm.x,SUM(SUM(_xlfn._xlws.FILTER(VALUE(PptoSty[Sign]&amp;1)*(1/PptoSty[Division]),(PptoSty[Division]&lt;&gt;0)*(PptoSty[Division]&lt;&gt;"")*(PptoSty[Division]&lt;&gt;"X")*(PptoSty[Project]=$B173)*(PptoSty[Vrs]=$D173)*(PptoSty[PiRow]=_xlfn.TEXTAFTER($H173,":"))*(PptoSty[PiColumn]=S$54),0)),SUM(IF((INDIRECT($B$3)=$B173)*(INDIRECT($C$3)=$D173)*((INDIRECT($E$3)="TOTS")+(INDIRECT($E$3)=$E173)),INDIRECT(S$3)))),_xlpm.y,SUM(_xlfn.CHOOSECOLS(_xlfn._xlws.FILTER(F_RT14[],(F_RT14[PrjId]=$B173)*(F_RT14[Vrs]=$D173)*(_xlfn.TEXTAFTER(F_RT14[ActGrp],":")=_xlfn.TEXTAFTER($H173,":")),"X"),MATCH("*"&amp;S$54,F_RT14[#Headers],0))),IF(AND(_xlpm.x=0,_xlpm.y&lt;&gt;0),-1,IF(AND(_xlpm.x&lt;&gt;0,_xlpm.y&lt;&gt;0),_xlpm.x,IF(AND(_xlpm.x-SUM(IF((INDIRECT($B$3)=$B173)*(INDIRECT($C$3)=$D173)*((INDIRECT($E$3)="TOTS")+(INDIRECT($E$3)=$E173)),INDIRECT(S$3)))&lt;&gt;0,_xlpm.y=0),-2,_xlpm.x)))),0))</f>
        <v>-1</v>
      </c>
      <c r="T173" s="199" cm="1">
        <f t="array" aca="1" ref="T173" ca="1">IF(OR($B173="",$B173="X",$D173="",$D173="X",$E173="",$E173="X"),0,IFERROR(_xlfn.LET(_xlpm.x,SUM(SUM(_xlfn._xlws.FILTER(VALUE(PptoSty[Sign]&amp;1)*(1/PptoSty[Division]),(PptoSty[Division]&lt;&gt;0)*(PptoSty[Division]&lt;&gt;"")*(PptoSty[Division]&lt;&gt;"X")*(PptoSty[Project]=$B173)*(PptoSty[Vrs]=$D173)*(PptoSty[PiRow]=_xlfn.TEXTAFTER($H173,":"))*(PptoSty[PiColumn]=T$54),0)),SUM(IF((INDIRECT($B$3)=$B173)*(INDIRECT($C$3)=$D173)*((INDIRECT($E$3)="TOTS")+(INDIRECT($E$3)=$E173)),INDIRECT(T$3)))),_xlpm.y,SUM(_xlfn.CHOOSECOLS(_xlfn._xlws.FILTER(F_RT14[],(F_RT14[PrjId]=$B173)*(F_RT14[Vrs]=$D173)*(_xlfn.TEXTAFTER(F_RT14[ActGrp],":")=_xlfn.TEXTAFTER($H173,":")),"X"),MATCH("*"&amp;T$54,F_RT14[#Headers],0))),IF(AND(_xlpm.x=0,_xlpm.y&lt;&gt;0),-1,IF(AND(_xlpm.x&lt;&gt;0,_xlpm.y&lt;&gt;0),_xlpm.x,IF(AND(_xlpm.x-SUM(IF((INDIRECT($B$3)=$B173)*(INDIRECT($C$3)=$D173)*((INDIRECT($E$3)="TOTS")+(INDIRECT($E$3)=$E173)),INDIRECT(T$3)))&lt;&gt;0,_xlpm.y=0),-2,_xlpm.x)))),0))</f>
        <v>-1</v>
      </c>
      <c r="U173" s="199" cm="1">
        <f t="array" aca="1" ref="U173" ca="1">IF(OR($B173="",$B173="X",$D173="",$D173="X",$E173="",$E173="X"),0,IFERROR(_xlfn.LET(_xlpm.x,SUM(SUM(_xlfn._xlws.FILTER(VALUE(PptoSty[Sign]&amp;1)*(1/PptoSty[Division]),(PptoSty[Division]&lt;&gt;0)*(PptoSty[Division]&lt;&gt;"")*(PptoSty[Division]&lt;&gt;"X")*(PptoSty[Project]=$B173)*(PptoSty[Vrs]=$D173)*(PptoSty[PiRow]=_xlfn.TEXTAFTER($H173,":"))*(PptoSty[PiColumn]=U$54),0)),SUM(IF((INDIRECT($B$3)=$B173)*(INDIRECT($C$3)=$D173)*((INDIRECT($E$3)="TOTS")+(INDIRECT($E$3)=$E173)),INDIRECT(U$3)))),_xlpm.y,SUM(_xlfn.CHOOSECOLS(_xlfn._xlws.FILTER(F_RT14[],(F_RT14[PrjId]=$B173)*(F_RT14[Vrs]=$D173)*(_xlfn.TEXTAFTER(F_RT14[ActGrp],":")=_xlfn.TEXTAFTER($H173,":")),"X"),MATCH("*"&amp;U$54,F_RT14[#Headers],0))),IF(AND(_xlpm.x=0,_xlpm.y&lt;&gt;0),-1,IF(AND(_xlpm.x&lt;&gt;0,_xlpm.y&lt;&gt;0),_xlpm.x,IF(AND(_xlpm.x-SUM(IF((INDIRECT($B$3)=$B173)*(INDIRECT($C$3)=$D173)*((INDIRECT($E$3)="TOTS")+(INDIRECT($E$3)=$E173)),INDIRECT(U$3)))&lt;&gt;0,_xlpm.y=0),-2,_xlpm.x)))),0))</f>
        <v>0</v>
      </c>
      <c r="V173" s="199" cm="1">
        <f t="array" aca="1" ref="V173" ca="1">IF(OR($B173="",$B173="X",$D173="",$D173="X",$E173="",$E173="X"),0,IFERROR(_xlfn.LET(_xlpm.x,SUM(SUM(_xlfn._xlws.FILTER(VALUE(PptoSty[Sign]&amp;1)*(1/PptoSty[Division]),(PptoSty[Division]&lt;&gt;0)*(PptoSty[Division]&lt;&gt;"")*(PptoSty[Division]&lt;&gt;"X")*(PptoSty[Project]=$B173)*(PptoSty[Vrs]=$D173)*(PptoSty[PiRow]=_xlfn.TEXTAFTER($H173,":"))*(PptoSty[PiColumn]=V$54),0)),SUM(IF((INDIRECT($B$3)=$B173)*(INDIRECT($C$3)=$D173)*((INDIRECT($E$3)="TOTS")+(INDIRECT($E$3)=$E173)),INDIRECT(V$3)))),_xlpm.y,SUM(_xlfn.CHOOSECOLS(_xlfn._xlws.FILTER(F_RT14[],(F_RT14[PrjId]=$B173)*(F_RT14[Vrs]=$D173)*(_xlfn.TEXTAFTER(F_RT14[ActGrp],":")=_xlfn.TEXTAFTER($H173,":")),"X"),MATCH("*"&amp;V$54,F_RT14[#Headers],0))),IF(AND(_xlpm.x=0,_xlpm.y&lt;&gt;0),-1,IF(AND(_xlpm.x&lt;&gt;0,_xlpm.y&lt;&gt;0),_xlpm.x,IF(AND(_xlpm.x-SUM(IF((INDIRECT($B$3)=$B173)*(INDIRECT($C$3)=$D173)*((INDIRECT($E$3)="TOTS")+(INDIRECT($E$3)=$E173)),INDIRECT(V$3)))&lt;&gt;0,_xlpm.y=0),-2,_xlpm.x)))),0))</f>
        <v>-1</v>
      </c>
      <c r="W173" s="199" cm="1">
        <f t="array" aca="1" ref="W173" ca="1">IF(OR($B173="",$B173="X",$D173="",$D173="X",$E173="",$E173="X"),0,IFERROR(_xlfn.LET(_xlpm.x,SUM(SUM(_xlfn._xlws.FILTER(VALUE(PptoSty[Sign]&amp;1)*(1/PptoSty[Division]),(PptoSty[Division]&lt;&gt;0)*(PptoSty[Division]&lt;&gt;"")*(PptoSty[Division]&lt;&gt;"X")*(PptoSty[Project]=$B173)*(PptoSty[Vrs]=$D173)*(PptoSty[PiRow]=_xlfn.TEXTAFTER($H173,":"))*(PptoSty[PiColumn]=W$54),0)),SUM(IF((INDIRECT($B$3)=$B173)*(INDIRECT($C$3)=$D173)*((INDIRECT($E$3)="TOTS")+(INDIRECT($E$3)=$E173)),INDIRECT(W$3)))),_xlpm.y,SUM(_xlfn.CHOOSECOLS(_xlfn._xlws.FILTER(F_RT14[],(F_RT14[PrjId]=$B173)*(F_RT14[Vrs]=$D173)*(_xlfn.TEXTAFTER(F_RT14[ActGrp],":")=_xlfn.TEXTAFTER($H173,":")),"X"),MATCH("*"&amp;W$54,F_RT14[#Headers],0))),IF(AND(_xlpm.x=0,_xlpm.y&lt;&gt;0),-1,IF(AND(_xlpm.x&lt;&gt;0,_xlpm.y&lt;&gt;0),_xlpm.x,IF(AND(_xlpm.x-SUM(IF((INDIRECT($B$3)=$B173)*(INDIRECT($C$3)=$D173)*((INDIRECT($E$3)="TOTS")+(INDIRECT($E$3)=$E173)),INDIRECT(W$3)))&lt;&gt;0,_xlpm.y=0),-2,_xlpm.x)))),0))</f>
        <v>-1</v>
      </c>
      <c r="X173" s="199" cm="1">
        <f t="array" aca="1" ref="X173" ca="1">IF(OR($B173="",$B173="X",$D173="",$D173="X",$E173="",$E173="X"),0,IFERROR(_xlfn.LET(_xlpm.x,SUM(SUM(_xlfn._xlws.FILTER(VALUE(PptoSty[Sign]&amp;1)*(1/PptoSty[Division]),(PptoSty[Division]&lt;&gt;0)*(PptoSty[Division]&lt;&gt;"")*(PptoSty[Division]&lt;&gt;"X")*(PptoSty[Project]=$B173)*(PptoSty[Vrs]=$D173)*(PptoSty[PiRow]=_xlfn.TEXTAFTER($H173,":"))*(PptoSty[PiColumn]=X$54),0)),SUM(IF((INDIRECT($B$3)=$B173)*(INDIRECT($C$3)=$D173)*((INDIRECT($E$3)="TOTS")+(INDIRECT($E$3)=$E173)),INDIRECT(X$3)))),_xlpm.y,SUM(_xlfn.CHOOSECOLS(_xlfn._xlws.FILTER(F_RT14[],(F_RT14[PrjId]=$B173)*(F_RT14[Vrs]=$D173)*(_xlfn.TEXTAFTER(F_RT14[ActGrp],":")=_xlfn.TEXTAFTER($H173,":")),"X"),MATCH("*"&amp;X$54,F_RT14[#Headers],0))),IF(AND(_xlpm.x=0,_xlpm.y&lt;&gt;0),-1,IF(AND(_xlpm.x&lt;&gt;0,_xlpm.y&lt;&gt;0),_xlpm.x,IF(AND(_xlpm.x-SUM(IF((INDIRECT($B$3)=$B173)*(INDIRECT($C$3)=$D173)*((INDIRECT($E$3)="TOTS")+(INDIRECT($E$3)=$E173)),INDIRECT(X$3)))&lt;&gt;0,_xlpm.y=0),-2,_xlpm.x)))),0))</f>
        <v>-1</v>
      </c>
      <c r="Y173" s="199" cm="1">
        <f t="array" aca="1" ref="Y173" ca="1">IF(OR($B173="",$B173="X",$D173="",$D173="X",$E173="",$E173="X"),0,IFERROR(_xlfn.LET(_xlpm.x,SUM(SUM(_xlfn._xlws.FILTER(VALUE(PptoSty[Sign]&amp;1)*(1/PptoSty[Division]),(PptoSty[Division]&lt;&gt;0)*(PptoSty[Division]&lt;&gt;"")*(PptoSty[Division]&lt;&gt;"X")*(PptoSty[Project]=$B173)*(PptoSty[Vrs]=$D173)*(PptoSty[PiRow]=_xlfn.TEXTAFTER($H173,":"))*(PptoSty[PiColumn]=Y$54),0)),SUM(IF((INDIRECT($B$3)=$B173)*(INDIRECT($C$3)=$D173)*((INDIRECT($E$3)="TOTS")+(INDIRECT($E$3)=$E173)),INDIRECT(Y$3)))),_xlpm.y,SUM(_xlfn.CHOOSECOLS(_xlfn._xlws.FILTER(F_RT14[],(F_RT14[PrjId]=$B173)*(F_RT14[Vrs]=$D173)*(_xlfn.TEXTAFTER(F_RT14[ActGrp],":")=_xlfn.TEXTAFTER($H173,":")),"X"),MATCH("*"&amp;Y$54,F_RT14[#Headers],0))),IF(AND(_xlpm.x=0,_xlpm.y&lt;&gt;0),-1,IF(AND(_xlpm.x&lt;&gt;0,_xlpm.y&lt;&gt;0),_xlpm.x,IF(AND(_xlpm.x-SUM(IF((INDIRECT($B$3)=$B173)*(INDIRECT($C$3)=$D173)*((INDIRECT($E$3)="TOTS")+(INDIRECT($E$3)=$E173)),INDIRECT(Y$3)))&lt;&gt;0,_xlpm.y=0),-2,_xlpm.x)))),0))</f>
        <v>0</v>
      </c>
      <c r="Z173" s="198" t="str">
        <f t="shared" ca="1" si="3"/>
        <v>Fback!B173:Y173</v>
      </c>
    </row>
    <row r="174" spans="2:26" ht="21" customHeight="1" outlineLevel="1">
      <c r="B174" s="128" t="str">
        <v>31200</v>
      </c>
      <c r="C174" s="128" t="str">
        <v>Sp</v>
      </c>
      <c r="D174" s="128">
        <v>0</v>
      </c>
      <c r="E174" s="128" t="str">
        <v>TOOL</v>
      </c>
      <c r="F174" s="139" t="str">
        <v>SERRA</v>
      </c>
      <c r="G174" s="139" t="str">
        <v>CurPpto</v>
      </c>
      <c r="H174" s="139" t="str">
        <v>P002:OP-20.1/2 GEO</v>
      </c>
      <c r="I174" s="199" cm="1">
        <f t="array" aca="1" ref="I174" ca="1">IF(OR($B174="",$B174="X",$D174="",$D174="X",$E174="",$E174="X"),0,IFERROR(_xlfn.LET(_xlpm.x,SUM(SUM(_xlfn._xlws.FILTER(VALUE(PptoSty[Sign]&amp;1)*(1/PptoSty[Division]),(PptoSty[Division]&lt;&gt;0)*(PptoSty[Division]&lt;&gt;"")*(PptoSty[Division]&lt;&gt;"X")*(PptoSty[Project]=$B174)*(PptoSty[Vrs]=$D174)*(PptoSty[PiRow]=_xlfn.TEXTAFTER($H174,":"))*(PptoSty[PiColumn]=I$54),0)),SUM(IF((INDIRECT($B$3)=$B174)*(INDIRECT($C$3)=$D174)*((INDIRECT($E$3)="TOTS")+(INDIRECT($E$3)=$E174)),INDIRECT(I$3)))),_xlpm.y,SUM(_xlfn.CHOOSECOLS(_xlfn._xlws.FILTER(F_RT14[],(F_RT14[PrjId]=$B174)*(F_RT14[Vrs]=$D174)*(_xlfn.TEXTAFTER(F_RT14[ActGrp],":")=_xlfn.TEXTAFTER($H174,":")),"X"),MATCH("*"&amp;I$54,F_RT14[#Headers],0))),IF(AND(_xlpm.x=0,_xlpm.y&lt;&gt;0),-1,IF(AND(_xlpm.x&lt;&gt;0,_xlpm.y&lt;&gt;0),_xlpm.x,IF(AND(_xlpm.x-SUM(IF((INDIRECT($B$3)=$B174)*(INDIRECT($C$3)=$D174)*((INDIRECT($E$3)="TOTS")+(INDIRECT($E$3)=$E174)),INDIRECT(I$3)))&lt;&gt;0,_xlpm.y=0),-2,_xlpm.x)))),0))</f>
        <v>0</v>
      </c>
      <c r="J174" s="199" cm="1">
        <f t="array" aca="1" ref="J174" ca="1">IF(OR($B174="",$B174="X",$D174="",$D174="X",$E174="",$E174="X"),0,IFERROR(_xlfn.LET(_xlpm.x,SUM(SUM(_xlfn._xlws.FILTER(VALUE(PptoSty[Sign]&amp;1)*(1/PptoSty[Division]),(PptoSty[Division]&lt;&gt;0)*(PptoSty[Division]&lt;&gt;"")*(PptoSty[Division]&lt;&gt;"X")*(PptoSty[Project]=$B174)*(PptoSty[Vrs]=$D174)*(PptoSty[PiRow]=_xlfn.TEXTAFTER($H174,":"))*(PptoSty[PiColumn]=J$54),0)),SUM(IF((INDIRECT($B$3)=$B174)*(INDIRECT($C$3)=$D174)*((INDIRECT($E$3)="TOTS")+(INDIRECT($E$3)=$E174)),INDIRECT(J$3)))),_xlpm.y,SUM(_xlfn.CHOOSECOLS(_xlfn._xlws.FILTER(F_RT14[],(F_RT14[PrjId]=$B174)*(F_RT14[Vrs]=$D174)*(_xlfn.TEXTAFTER(F_RT14[ActGrp],":")=_xlfn.TEXTAFTER($H174,":")),"X"),MATCH("*"&amp;J$54,F_RT14[#Headers],0))),IF(AND(_xlpm.x=0,_xlpm.y&lt;&gt;0),-1,IF(AND(_xlpm.x&lt;&gt;0,_xlpm.y&lt;&gt;0),_xlpm.x,IF(AND(_xlpm.x-SUM(IF((INDIRECT($B$3)=$B174)*(INDIRECT($C$3)=$D174)*((INDIRECT($E$3)="TOTS")+(INDIRECT($E$3)=$E174)),INDIRECT(J$3)))&lt;&gt;0,_xlpm.y=0),-2,_xlpm.x)))),0))</f>
        <v>0</v>
      </c>
      <c r="K174" s="199" cm="1">
        <f t="array" aca="1" ref="K174" ca="1">IF(OR($B174="",$B174="X",$D174="",$D174="X",$E174="",$E174="X"),0,IFERROR(_xlfn.LET(_xlpm.x,SUM(SUM(_xlfn._xlws.FILTER(VALUE(PptoSty[Sign]&amp;1)*(1/PptoSty[Division]),(PptoSty[Division]&lt;&gt;0)*(PptoSty[Division]&lt;&gt;"")*(PptoSty[Division]&lt;&gt;"X")*(PptoSty[Project]=$B174)*(PptoSty[Vrs]=$D174)*(PptoSty[PiRow]=_xlfn.TEXTAFTER($H174,":"))*(PptoSty[PiColumn]=K$54),0)),SUM(IF((INDIRECT($B$3)=$B174)*(INDIRECT($C$3)=$D174)*((INDIRECT($E$3)="TOTS")+(INDIRECT($E$3)=$E174)),INDIRECT(K$3)))),_xlpm.y,SUM(_xlfn.CHOOSECOLS(_xlfn._xlws.FILTER(F_RT14[],(F_RT14[PrjId]=$B174)*(F_RT14[Vrs]=$D174)*(_xlfn.TEXTAFTER(F_RT14[ActGrp],":")=_xlfn.TEXTAFTER($H174,":")),"X"),MATCH("*"&amp;K$54,F_RT14[#Headers],0))),IF(AND(_xlpm.x=0,_xlpm.y&lt;&gt;0),-1,IF(AND(_xlpm.x&lt;&gt;0,_xlpm.y&lt;&gt;0),_xlpm.x,IF(AND(_xlpm.x-SUM(IF((INDIRECT($B$3)=$B174)*(INDIRECT($C$3)=$D174)*((INDIRECT($E$3)="TOTS")+(INDIRECT($E$3)=$E174)),INDIRECT(K$3)))&lt;&gt;0,_xlpm.y=0),-2,_xlpm.x)))),0))</f>
        <v>-1</v>
      </c>
      <c r="L174" s="199" cm="1">
        <f t="array" aca="1" ref="L174" ca="1">IF(OR($B174="",$B174="X",$D174="",$D174="X",$E174="",$E174="X"),0,IFERROR(_xlfn.LET(_xlpm.x,SUM(SUM(_xlfn._xlws.FILTER(VALUE(PptoSty[Sign]&amp;1)*(1/PptoSty[Division]),(PptoSty[Division]&lt;&gt;0)*(PptoSty[Division]&lt;&gt;"")*(PptoSty[Division]&lt;&gt;"X")*(PptoSty[Project]=$B174)*(PptoSty[Vrs]=$D174)*(PptoSty[PiRow]=_xlfn.TEXTAFTER($H174,":"))*(PptoSty[PiColumn]=L$54),0)),SUM(IF((INDIRECT($B$3)=$B174)*(INDIRECT($C$3)=$D174)*((INDIRECT($E$3)="TOTS")+(INDIRECT($E$3)=$E174)),INDIRECT(L$3)))),_xlpm.y,SUM(_xlfn.CHOOSECOLS(_xlfn._xlws.FILTER(F_RT14[],(F_RT14[PrjId]=$B174)*(F_RT14[Vrs]=$D174)*(_xlfn.TEXTAFTER(F_RT14[ActGrp],":")=_xlfn.TEXTAFTER($H174,":")),"X"),MATCH("*"&amp;L$54,F_RT14[#Headers],0))),IF(AND(_xlpm.x=0,_xlpm.y&lt;&gt;0),-1,IF(AND(_xlpm.x&lt;&gt;0,_xlpm.y&lt;&gt;0),_xlpm.x,IF(AND(_xlpm.x-SUM(IF((INDIRECT($B$3)=$B174)*(INDIRECT($C$3)=$D174)*((INDIRECT($E$3)="TOTS")+(INDIRECT($E$3)=$E174)),INDIRECT(L$3)))&lt;&gt;0,_xlpm.y=0),-2,_xlpm.x)))),0))</f>
        <v>0</v>
      </c>
      <c r="M174" s="199" cm="1">
        <f t="array" aca="1" ref="M174" ca="1">IF(OR($B174="",$B174="X",$D174="",$D174="X",$E174="",$E174="X"),0,IFERROR(_xlfn.LET(_xlpm.x,SUM(SUM(_xlfn._xlws.FILTER(VALUE(PptoSty[Sign]&amp;1)*(1/PptoSty[Division]),(PptoSty[Division]&lt;&gt;0)*(PptoSty[Division]&lt;&gt;"")*(PptoSty[Division]&lt;&gt;"X")*(PptoSty[Project]=$B174)*(PptoSty[Vrs]=$D174)*(PptoSty[PiRow]=_xlfn.TEXTAFTER($H174,":"))*(PptoSty[PiColumn]=M$54),0)),SUM(IF((INDIRECT($B$3)=$B174)*(INDIRECT($C$3)=$D174)*((INDIRECT($E$3)="TOTS")+(INDIRECT($E$3)=$E174)),INDIRECT(M$3)))),_xlpm.y,SUM(_xlfn.CHOOSECOLS(_xlfn._xlws.FILTER(F_RT14[],(F_RT14[PrjId]=$B174)*(F_RT14[Vrs]=$D174)*(_xlfn.TEXTAFTER(F_RT14[ActGrp],":")=_xlfn.TEXTAFTER($H174,":")),"X"),MATCH("*"&amp;M$54,F_RT14[#Headers],0))),IF(AND(_xlpm.x=0,_xlpm.y&lt;&gt;0),-1,IF(AND(_xlpm.x&lt;&gt;0,_xlpm.y&lt;&gt;0),_xlpm.x,IF(AND(_xlpm.x-SUM(IF((INDIRECT($B$3)=$B174)*(INDIRECT($C$3)=$D174)*((INDIRECT($E$3)="TOTS")+(INDIRECT($E$3)=$E174)),INDIRECT(M$3)))&lt;&gt;0,_xlpm.y=0),-2,_xlpm.x)))),0))</f>
        <v>0</v>
      </c>
      <c r="N174" s="199" cm="1">
        <f t="array" aca="1" ref="N174" ca="1">IF(OR($B174="",$B174="X",$D174="",$D174="X",$E174="",$E174="X"),0,IFERROR(_xlfn.LET(_xlpm.x,SUM(SUM(_xlfn._xlws.FILTER(VALUE(PptoSty[Sign]&amp;1)*(1/PptoSty[Division]),(PptoSty[Division]&lt;&gt;0)*(PptoSty[Division]&lt;&gt;"")*(PptoSty[Division]&lt;&gt;"X")*(PptoSty[Project]=$B174)*(PptoSty[Vrs]=$D174)*(PptoSty[PiRow]=_xlfn.TEXTAFTER($H174,":"))*(PptoSty[PiColumn]=N$54),0)),SUM(IF((INDIRECT($B$3)=$B174)*(INDIRECT($C$3)=$D174)*((INDIRECT($E$3)="TOTS")+(INDIRECT($E$3)=$E174)),INDIRECT(N$3)))),_xlpm.y,SUM(_xlfn.CHOOSECOLS(_xlfn._xlws.FILTER(F_RT14[],(F_RT14[PrjId]=$B174)*(F_RT14[Vrs]=$D174)*(_xlfn.TEXTAFTER(F_RT14[ActGrp],":")=_xlfn.TEXTAFTER($H174,":")),"X"),MATCH("*"&amp;N$54,F_RT14[#Headers],0))),IF(AND(_xlpm.x=0,_xlpm.y&lt;&gt;0),-1,IF(AND(_xlpm.x&lt;&gt;0,_xlpm.y&lt;&gt;0),_xlpm.x,IF(AND(_xlpm.x-SUM(IF((INDIRECT($B$3)=$B174)*(INDIRECT($C$3)=$D174)*((INDIRECT($E$3)="TOTS")+(INDIRECT($E$3)=$E174)),INDIRECT(N$3)))&lt;&gt;0,_xlpm.y=0),-2,_xlpm.x)))),0))</f>
        <v>-1</v>
      </c>
      <c r="O174" s="199" cm="1">
        <f t="array" aca="1" ref="O174" ca="1">IF(OR($B174="",$B174="X",$D174="",$D174="X",$E174="",$E174="X"),0,IFERROR(_xlfn.LET(_xlpm.x,SUM(SUM(_xlfn._xlws.FILTER(VALUE(PptoSty[Sign]&amp;1)*(1/PptoSty[Division]),(PptoSty[Division]&lt;&gt;0)*(PptoSty[Division]&lt;&gt;"")*(PptoSty[Division]&lt;&gt;"X")*(PptoSty[Project]=$B174)*(PptoSty[Vrs]=$D174)*(PptoSty[PiRow]=_xlfn.TEXTAFTER($H174,":"))*(PptoSty[PiColumn]=O$54),0)),SUM(IF((INDIRECT($B$3)=$B174)*(INDIRECT($C$3)=$D174)*((INDIRECT($E$3)="TOTS")+(INDIRECT($E$3)=$E174)),INDIRECT(O$3)))),_xlpm.y,SUM(_xlfn.CHOOSECOLS(_xlfn._xlws.FILTER(F_RT14[],(F_RT14[PrjId]=$B174)*(F_RT14[Vrs]=$D174)*(_xlfn.TEXTAFTER(F_RT14[ActGrp],":")=_xlfn.TEXTAFTER($H174,":")),"X"),MATCH("*"&amp;O$54,F_RT14[#Headers],0))),IF(AND(_xlpm.x=0,_xlpm.y&lt;&gt;0),-1,IF(AND(_xlpm.x&lt;&gt;0,_xlpm.y&lt;&gt;0),_xlpm.x,IF(AND(_xlpm.x-SUM(IF((INDIRECT($B$3)=$B174)*(INDIRECT($C$3)=$D174)*((INDIRECT($E$3)="TOTS")+(INDIRECT($E$3)=$E174)),INDIRECT(O$3)))&lt;&gt;0,_xlpm.y=0),-2,_xlpm.x)))),0))</f>
        <v>0</v>
      </c>
      <c r="P174" s="199" cm="1">
        <f t="array" aca="1" ref="P174" ca="1">IF(OR($B174="",$B174="X",$D174="",$D174="X",$E174="",$E174="X"),0,IFERROR(_xlfn.LET(_xlpm.x,SUM(SUM(_xlfn._xlws.FILTER(VALUE(PptoSty[Sign]&amp;1)*(1/PptoSty[Division]),(PptoSty[Division]&lt;&gt;0)*(PptoSty[Division]&lt;&gt;"")*(PptoSty[Division]&lt;&gt;"X")*(PptoSty[Project]=$B174)*(PptoSty[Vrs]=$D174)*(PptoSty[PiRow]=_xlfn.TEXTAFTER($H174,":"))*(PptoSty[PiColumn]=P$54),0)),SUM(IF((INDIRECT($B$3)=$B174)*(INDIRECT($C$3)=$D174)*((INDIRECT($E$3)="TOTS")+(INDIRECT($E$3)=$E174)),INDIRECT(P$3)))),_xlpm.y,SUM(_xlfn.CHOOSECOLS(_xlfn._xlws.FILTER(F_RT14[],(F_RT14[PrjId]=$B174)*(F_RT14[Vrs]=$D174)*(_xlfn.TEXTAFTER(F_RT14[ActGrp],":")=_xlfn.TEXTAFTER($H174,":")),"X"),MATCH("*"&amp;P$54,F_RT14[#Headers],0))),IF(AND(_xlpm.x=0,_xlpm.y&lt;&gt;0),-1,IF(AND(_xlpm.x&lt;&gt;0,_xlpm.y&lt;&gt;0),_xlpm.x,IF(AND(_xlpm.x-SUM(IF((INDIRECT($B$3)=$B174)*(INDIRECT($C$3)=$D174)*((INDIRECT($E$3)="TOTS")+(INDIRECT($E$3)=$E174)),INDIRECT(P$3)))&lt;&gt;0,_xlpm.y=0),-2,_xlpm.x)))),0))</f>
        <v>-1</v>
      </c>
      <c r="Q174" s="199" cm="1">
        <f t="array" aca="1" ref="Q174" ca="1">IF(OR($B174="",$B174="X",$D174="",$D174="X",$E174="",$E174="X"),0,IFERROR(_xlfn.LET(_xlpm.x,SUM(SUM(_xlfn._xlws.FILTER(VALUE(PptoSty[Sign]&amp;1)*(1/PptoSty[Division]),(PptoSty[Division]&lt;&gt;0)*(PptoSty[Division]&lt;&gt;"")*(PptoSty[Division]&lt;&gt;"X")*(PptoSty[Project]=$B174)*(PptoSty[Vrs]=$D174)*(PptoSty[PiRow]=_xlfn.TEXTAFTER($H174,":"))*(PptoSty[PiColumn]=Q$54),0)),SUM(IF((INDIRECT($B$3)=$B174)*(INDIRECT($C$3)=$D174)*((INDIRECT($E$3)="TOTS")+(INDIRECT($E$3)=$E174)),INDIRECT(Q$3)))),_xlpm.y,SUM(_xlfn.CHOOSECOLS(_xlfn._xlws.FILTER(F_RT14[],(F_RT14[PrjId]=$B174)*(F_RT14[Vrs]=$D174)*(_xlfn.TEXTAFTER(F_RT14[ActGrp],":")=_xlfn.TEXTAFTER($H174,":")),"X"),MATCH("*"&amp;Q$54,F_RT14[#Headers],0))),IF(AND(_xlpm.x=0,_xlpm.y&lt;&gt;0),-1,IF(AND(_xlpm.x&lt;&gt;0,_xlpm.y&lt;&gt;0),_xlpm.x,IF(AND(_xlpm.x-SUM(IF((INDIRECT($B$3)=$B174)*(INDIRECT($C$3)=$D174)*((INDIRECT($E$3)="TOTS")+(INDIRECT($E$3)=$E174)),INDIRECT(Q$3)))&lt;&gt;0,_xlpm.y=0),-2,_xlpm.x)))),0))</f>
        <v>-1</v>
      </c>
      <c r="R174" s="199" cm="1">
        <f t="array" aca="1" ref="R174" ca="1">IF(OR($B174="",$B174="X",$D174="",$D174="X",$E174="",$E174="X"),0,IFERROR(_xlfn.LET(_xlpm.x,SUM(SUM(_xlfn._xlws.FILTER(VALUE(PptoSty[Sign]&amp;1)*(1/PptoSty[Division]),(PptoSty[Division]&lt;&gt;0)*(PptoSty[Division]&lt;&gt;"")*(PptoSty[Division]&lt;&gt;"X")*(PptoSty[Project]=$B174)*(PptoSty[Vrs]=$D174)*(PptoSty[PiRow]=_xlfn.TEXTAFTER($H174,":"))*(PptoSty[PiColumn]=R$54),0)),SUM(IF((INDIRECT($B$3)=$B174)*(INDIRECT($C$3)=$D174)*((INDIRECT($E$3)="TOTS")+(INDIRECT($E$3)=$E174)),INDIRECT(R$3)))),_xlpm.y,SUM(_xlfn.CHOOSECOLS(_xlfn._xlws.FILTER(F_RT14[],(F_RT14[PrjId]=$B174)*(F_RT14[Vrs]=$D174)*(_xlfn.TEXTAFTER(F_RT14[ActGrp],":")=_xlfn.TEXTAFTER($H174,":")),"X"),MATCH("*"&amp;R$54,F_RT14[#Headers],0))),IF(AND(_xlpm.x=0,_xlpm.y&lt;&gt;0),-1,IF(AND(_xlpm.x&lt;&gt;0,_xlpm.y&lt;&gt;0),_xlpm.x,IF(AND(_xlpm.x-SUM(IF((INDIRECT($B$3)=$B174)*(INDIRECT($C$3)=$D174)*((INDIRECT($E$3)="TOTS")+(INDIRECT($E$3)=$E174)),INDIRECT(R$3)))&lt;&gt;0,_xlpm.y=0),-2,_xlpm.x)))),0))</f>
        <v>-1</v>
      </c>
      <c r="S174" s="199" cm="1">
        <f t="array" aca="1" ref="S174" ca="1">IF(OR($B174="",$B174="X",$D174="",$D174="X",$E174="",$E174="X"),0,IFERROR(_xlfn.LET(_xlpm.x,SUM(SUM(_xlfn._xlws.FILTER(VALUE(PptoSty[Sign]&amp;1)*(1/PptoSty[Division]),(PptoSty[Division]&lt;&gt;0)*(PptoSty[Division]&lt;&gt;"")*(PptoSty[Division]&lt;&gt;"X")*(PptoSty[Project]=$B174)*(PptoSty[Vrs]=$D174)*(PptoSty[PiRow]=_xlfn.TEXTAFTER($H174,":"))*(PptoSty[PiColumn]=S$54),0)),SUM(IF((INDIRECT($B$3)=$B174)*(INDIRECT($C$3)=$D174)*((INDIRECT($E$3)="TOTS")+(INDIRECT($E$3)=$E174)),INDIRECT(S$3)))),_xlpm.y,SUM(_xlfn.CHOOSECOLS(_xlfn._xlws.FILTER(F_RT14[],(F_RT14[PrjId]=$B174)*(F_RT14[Vrs]=$D174)*(_xlfn.TEXTAFTER(F_RT14[ActGrp],":")=_xlfn.TEXTAFTER($H174,":")),"X"),MATCH("*"&amp;S$54,F_RT14[#Headers],0))),IF(AND(_xlpm.x=0,_xlpm.y&lt;&gt;0),-1,IF(AND(_xlpm.x&lt;&gt;0,_xlpm.y&lt;&gt;0),_xlpm.x,IF(AND(_xlpm.x-SUM(IF((INDIRECT($B$3)=$B174)*(INDIRECT($C$3)=$D174)*((INDIRECT($E$3)="TOTS")+(INDIRECT($E$3)=$E174)),INDIRECT(S$3)))&lt;&gt;0,_xlpm.y=0),-2,_xlpm.x)))),0))</f>
        <v>-1</v>
      </c>
      <c r="T174" s="199" cm="1">
        <f t="array" aca="1" ref="T174" ca="1">IF(OR($B174="",$B174="X",$D174="",$D174="X",$E174="",$E174="X"),0,IFERROR(_xlfn.LET(_xlpm.x,SUM(SUM(_xlfn._xlws.FILTER(VALUE(PptoSty[Sign]&amp;1)*(1/PptoSty[Division]),(PptoSty[Division]&lt;&gt;0)*(PptoSty[Division]&lt;&gt;"")*(PptoSty[Division]&lt;&gt;"X")*(PptoSty[Project]=$B174)*(PptoSty[Vrs]=$D174)*(PptoSty[PiRow]=_xlfn.TEXTAFTER($H174,":"))*(PptoSty[PiColumn]=T$54),0)),SUM(IF((INDIRECT($B$3)=$B174)*(INDIRECT($C$3)=$D174)*((INDIRECT($E$3)="TOTS")+(INDIRECT($E$3)=$E174)),INDIRECT(T$3)))),_xlpm.y,SUM(_xlfn.CHOOSECOLS(_xlfn._xlws.FILTER(F_RT14[],(F_RT14[PrjId]=$B174)*(F_RT14[Vrs]=$D174)*(_xlfn.TEXTAFTER(F_RT14[ActGrp],":")=_xlfn.TEXTAFTER($H174,":")),"X"),MATCH("*"&amp;T$54,F_RT14[#Headers],0))),IF(AND(_xlpm.x=0,_xlpm.y&lt;&gt;0),-1,IF(AND(_xlpm.x&lt;&gt;0,_xlpm.y&lt;&gt;0),_xlpm.x,IF(AND(_xlpm.x-SUM(IF((INDIRECT($B$3)=$B174)*(INDIRECT($C$3)=$D174)*((INDIRECT($E$3)="TOTS")+(INDIRECT($E$3)=$E174)),INDIRECT(T$3)))&lt;&gt;0,_xlpm.y=0),-2,_xlpm.x)))),0))</f>
        <v>-1</v>
      </c>
      <c r="U174" s="199" cm="1">
        <f t="array" aca="1" ref="U174" ca="1">IF(OR($B174="",$B174="X",$D174="",$D174="X",$E174="",$E174="X"),0,IFERROR(_xlfn.LET(_xlpm.x,SUM(SUM(_xlfn._xlws.FILTER(VALUE(PptoSty[Sign]&amp;1)*(1/PptoSty[Division]),(PptoSty[Division]&lt;&gt;0)*(PptoSty[Division]&lt;&gt;"")*(PptoSty[Division]&lt;&gt;"X")*(PptoSty[Project]=$B174)*(PptoSty[Vrs]=$D174)*(PptoSty[PiRow]=_xlfn.TEXTAFTER($H174,":"))*(PptoSty[PiColumn]=U$54),0)),SUM(IF((INDIRECT($B$3)=$B174)*(INDIRECT($C$3)=$D174)*((INDIRECT($E$3)="TOTS")+(INDIRECT($E$3)=$E174)),INDIRECT(U$3)))),_xlpm.y,SUM(_xlfn.CHOOSECOLS(_xlfn._xlws.FILTER(F_RT14[],(F_RT14[PrjId]=$B174)*(F_RT14[Vrs]=$D174)*(_xlfn.TEXTAFTER(F_RT14[ActGrp],":")=_xlfn.TEXTAFTER($H174,":")),"X"),MATCH("*"&amp;U$54,F_RT14[#Headers],0))),IF(AND(_xlpm.x=0,_xlpm.y&lt;&gt;0),-1,IF(AND(_xlpm.x&lt;&gt;0,_xlpm.y&lt;&gt;0),_xlpm.x,IF(AND(_xlpm.x-SUM(IF((INDIRECT($B$3)=$B174)*(INDIRECT($C$3)=$D174)*((INDIRECT($E$3)="TOTS")+(INDIRECT($E$3)=$E174)),INDIRECT(U$3)))&lt;&gt;0,_xlpm.y=0),-2,_xlpm.x)))),0))</f>
        <v>0</v>
      </c>
      <c r="V174" s="199" cm="1">
        <f t="array" aca="1" ref="V174" ca="1">IF(OR($B174="",$B174="X",$D174="",$D174="X",$E174="",$E174="X"),0,IFERROR(_xlfn.LET(_xlpm.x,SUM(SUM(_xlfn._xlws.FILTER(VALUE(PptoSty[Sign]&amp;1)*(1/PptoSty[Division]),(PptoSty[Division]&lt;&gt;0)*(PptoSty[Division]&lt;&gt;"")*(PptoSty[Division]&lt;&gt;"X")*(PptoSty[Project]=$B174)*(PptoSty[Vrs]=$D174)*(PptoSty[PiRow]=_xlfn.TEXTAFTER($H174,":"))*(PptoSty[PiColumn]=V$54),0)),SUM(IF((INDIRECT($B$3)=$B174)*(INDIRECT($C$3)=$D174)*((INDIRECT($E$3)="TOTS")+(INDIRECT($E$3)=$E174)),INDIRECT(V$3)))),_xlpm.y,SUM(_xlfn.CHOOSECOLS(_xlfn._xlws.FILTER(F_RT14[],(F_RT14[PrjId]=$B174)*(F_RT14[Vrs]=$D174)*(_xlfn.TEXTAFTER(F_RT14[ActGrp],":")=_xlfn.TEXTAFTER($H174,":")),"X"),MATCH("*"&amp;V$54,F_RT14[#Headers],0))),IF(AND(_xlpm.x=0,_xlpm.y&lt;&gt;0),-1,IF(AND(_xlpm.x&lt;&gt;0,_xlpm.y&lt;&gt;0),_xlpm.x,IF(AND(_xlpm.x-SUM(IF((INDIRECT($B$3)=$B174)*(INDIRECT($C$3)=$D174)*((INDIRECT($E$3)="TOTS")+(INDIRECT($E$3)=$E174)),INDIRECT(V$3)))&lt;&gt;0,_xlpm.y=0),-2,_xlpm.x)))),0))</f>
        <v>-1</v>
      </c>
      <c r="W174" s="199" cm="1">
        <f t="array" aca="1" ref="W174" ca="1">IF(OR($B174="",$B174="X",$D174="",$D174="X",$E174="",$E174="X"),0,IFERROR(_xlfn.LET(_xlpm.x,SUM(SUM(_xlfn._xlws.FILTER(VALUE(PptoSty[Sign]&amp;1)*(1/PptoSty[Division]),(PptoSty[Division]&lt;&gt;0)*(PptoSty[Division]&lt;&gt;"")*(PptoSty[Division]&lt;&gt;"X")*(PptoSty[Project]=$B174)*(PptoSty[Vrs]=$D174)*(PptoSty[PiRow]=_xlfn.TEXTAFTER($H174,":"))*(PptoSty[PiColumn]=W$54),0)),SUM(IF((INDIRECT($B$3)=$B174)*(INDIRECT($C$3)=$D174)*((INDIRECT($E$3)="TOTS")+(INDIRECT($E$3)=$E174)),INDIRECT(W$3)))),_xlpm.y,SUM(_xlfn.CHOOSECOLS(_xlfn._xlws.FILTER(F_RT14[],(F_RT14[PrjId]=$B174)*(F_RT14[Vrs]=$D174)*(_xlfn.TEXTAFTER(F_RT14[ActGrp],":")=_xlfn.TEXTAFTER($H174,":")),"X"),MATCH("*"&amp;W$54,F_RT14[#Headers],0))),IF(AND(_xlpm.x=0,_xlpm.y&lt;&gt;0),-1,IF(AND(_xlpm.x&lt;&gt;0,_xlpm.y&lt;&gt;0),_xlpm.x,IF(AND(_xlpm.x-SUM(IF((INDIRECT($B$3)=$B174)*(INDIRECT($C$3)=$D174)*((INDIRECT($E$3)="TOTS")+(INDIRECT($E$3)=$E174)),INDIRECT(W$3)))&lt;&gt;0,_xlpm.y=0),-2,_xlpm.x)))),0))</f>
        <v>-1</v>
      </c>
      <c r="X174" s="199" cm="1">
        <f t="array" aca="1" ref="X174" ca="1">IF(OR($B174="",$B174="X",$D174="",$D174="X",$E174="",$E174="X"),0,IFERROR(_xlfn.LET(_xlpm.x,SUM(SUM(_xlfn._xlws.FILTER(VALUE(PptoSty[Sign]&amp;1)*(1/PptoSty[Division]),(PptoSty[Division]&lt;&gt;0)*(PptoSty[Division]&lt;&gt;"")*(PptoSty[Division]&lt;&gt;"X")*(PptoSty[Project]=$B174)*(PptoSty[Vrs]=$D174)*(PptoSty[PiRow]=_xlfn.TEXTAFTER($H174,":"))*(PptoSty[PiColumn]=X$54),0)),SUM(IF((INDIRECT($B$3)=$B174)*(INDIRECT($C$3)=$D174)*((INDIRECT($E$3)="TOTS")+(INDIRECT($E$3)=$E174)),INDIRECT(X$3)))),_xlpm.y,SUM(_xlfn.CHOOSECOLS(_xlfn._xlws.FILTER(F_RT14[],(F_RT14[PrjId]=$B174)*(F_RT14[Vrs]=$D174)*(_xlfn.TEXTAFTER(F_RT14[ActGrp],":")=_xlfn.TEXTAFTER($H174,":")),"X"),MATCH("*"&amp;X$54,F_RT14[#Headers],0))),IF(AND(_xlpm.x=0,_xlpm.y&lt;&gt;0),-1,IF(AND(_xlpm.x&lt;&gt;0,_xlpm.y&lt;&gt;0),_xlpm.x,IF(AND(_xlpm.x-SUM(IF((INDIRECT($B$3)=$B174)*(INDIRECT($C$3)=$D174)*((INDIRECT($E$3)="TOTS")+(INDIRECT($E$3)=$E174)),INDIRECT(X$3)))&lt;&gt;0,_xlpm.y=0),-2,_xlpm.x)))),0))</f>
        <v>-1</v>
      </c>
      <c r="Y174" s="199" cm="1">
        <f t="array" aca="1" ref="Y174" ca="1">IF(OR($B174="",$B174="X",$D174="",$D174="X",$E174="",$E174="X"),0,IFERROR(_xlfn.LET(_xlpm.x,SUM(SUM(_xlfn._xlws.FILTER(VALUE(PptoSty[Sign]&amp;1)*(1/PptoSty[Division]),(PptoSty[Division]&lt;&gt;0)*(PptoSty[Division]&lt;&gt;"")*(PptoSty[Division]&lt;&gt;"X")*(PptoSty[Project]=$B174)*(PptoSty[Vrs]=$D174)*(PptoSty[PiRow]=_xlfn.TEXTAFTER($H174,":"))*(PptoSty[PiColumn]=Y$54),0)),SUM(IF((INDIRECT($B$3)=$B174)*(INDIRECT($C$3)=$D174)*((INDIRECT($E$3)="TOTS")+(INDIRECT($E$3)=$E174)),INDIRECT(Y$3)))),_xlpm.y,SUM(_xlfn.CHOOSECOLS(_xlfn._xlws.FILTER(F_RT14[],(F_RT14[PrjId]=$B174)*(F_RT14[Vrs]=$D174)*(_xlfn.TEXTAFTER(F_RT14[ActGrp],":")=_xlfn.TEXTAFTER($H174,":")),"X"),MATCH("*"&amp;Y$54,F_RT14[#Headers],0))),IF(AND(_xlpm.x=0,_xlpm.y&lt;&gt;0),-1,IF(AND(_xlpm.x&lt;&gt;0,_xlpm.y&lt;&gt;0),_xlpm.x,IF(AND(_xlpm.x-SUM(IF((INDIRECT($B$3)=$B174)*(INDIRECT($C$3)=$D174)*((INDIRECT($E$3)="TOTS")+(INDIRECT($E$3)=$E174)),INDIRECT(Y$3)))&lt;&gt;0,_xlpm.y=0),-2,_xlpm.x)))),0))</f>
        <v>0</v>
      </c>
      <c r="Z174" s="198" t="str">
        <f t="shared" ca="1" si="3"/>
        <v>Fback!B174:Y174</v>
      </c>
    </row>
    <row r="175" spans="2:26" ht="21" customHeight="1" outlineLevel="1">
      <c r="B175" s="128" t="str">
        <v>31200</v>
      </c>
      <c r="C175" s="128" t="str">
        <v>Sp</v>
      </c>
      <c r="D175" s="128">
        <v>0</v>
      </c>
      <c r="E175" s="128" t="str">
        <v>TOOL</v>
      </c>
      <c r="F175" s="139" t="str">
        <v>SERRA</v>
      </c>
      <c r="G175" s="139" t="str">
        <v>CurPpto</v>
      </c>
      <c r="H175" s="139" t="str">
        <v>P003:OP-25 MARKING FIXTURE</v>
      </c>
      <c r="I175" s="199" cm="1">
        <f t="array" aca="1" ref="I175" ca="1">IF(OR($B175="",$B175="X",$D175="",$D175="X",$E175="",$E175="X"),0,IFERROR(_xlfn.LET(_xlpm.x,SUM(SUM(_xlfn._xlws.FILTER(VALUE(PptoSty[Sign]&amp;1)*(1/PptoSty[Division]),(PptoSty[Division]&lt;&gt;0)*(PptoSty[Division]&lt;&gt;"")*(PptoSty[Division]&lt;&gt;"X")*(PptoSty[Project]=$B175)*(PptoSty[Vrs]=$D175)*(PptoSty[PiRow]=_xlfn.TEXTAFTER($H175,":"))*(PptoSty[PiColumn]=I$54),0)),SUM(IF((INDIRECT($B$3)=$B175)*(INDIRECT($C$3)=$D175)*((INDIRECT($E$3)="TOTS")+(INDIRECT($E$3)=$E175)),INDIRECT(I$3)))),_xlpm.y,SUM(_xlfn.CHOOSECOLS(_xlfn._xlws.FILTER(F_RT14[],(F_RT14[PrjId]=$B175)*(F_RT14[Vrs]=$D175)*(_xlfn.TEXTAFTER(F_RT14[ActGrp],":")=_xlfn.TEXTAFTER($H175,":")),"X"),MATCH("*"&amp;I$54,F_RT14[#Headers],0))),IF(AND(_xlpm.x=0,_xlpm.y&lt;&gt;0),-1,IF(AND(_xlpm.x&lt;&gt;0,_xlpm.y&lt;&gt;0),_xlpm.x,IF(AND(_xlpm.x-SUM(IF((INDIRECT($B$3)=$B175)*(INDIRECT($C$3)=$D175)*((INDIRECT($E$3)="TOTS")+(INDIRECT($E$3)=$E175)),INDIRECT(I$3)))&lt;&gt;0,_xlpm.y=0),-2,_xlpm.x)))),0))</f>
        <v>0</v>
      </c>
      <c r="J175" s="199" cm="1">
        <f t="array" aca="1" ref="J175" ca="1">IF(OR($B175="",$B175="X",$D175="",$D175="X",$E175="",$E175="X"),0,IFERROR(_xlfn.LET(_xlpm.x,SUM(SUM(_xlfn._xlws.FILTER(VALUE(PptoSty[Sign]&amp;1)*(1/PptoSty[Division]),(PptoSty[Division]&lt;&gt;0)*(PptoSty[Division]&lt;&gt;"")*(PptoSty[Division]&lt;&gt;"X")*(PptoSty[Project]=$B175)*(PptoSty[Vrs]=$D175)*(PptoSty[PiRow]=_xlfn.TEXTAFTER($H175,":"))*(PptoSty[PiColumn]=J$54),0)),SUM(IF((INDIRECT($B$3)=$B175)*(INDIRECT($C$3)=$D175)*((INDIRECT($E$3)="TOTS")+(INDIRECT($E$3)=$E175)),INDIRECT(J$3)))),_xlpm.y,SUM(_xlfn.CHOOSECOLS(_xlfn._xlws.FILTER(F_RT14[],(F_RT14[PrjId]=$B175)*(F_RT14[Vrs]=$D175)*(_xlfn.TEXTAFTER(F_RT14[ActGrp],":")=_xlfn.TEXTAFTER($H175,":")),"X"),MATCH("*"&amp;J$54,F_RT14[#Headers],0))),IF(AND(_xlpm.x=0,_xlpm.y&lt;&gt;0),-1,IF(AND(_xlpm.x&lt;&gt;0,_xlpm.y&lt;&gt;0),_xlpm.x,IF(AND(_xlpm.x-SUM(IF((INDIRECT($B$3)=$B175)*(INDIRECT($C$3)=$D175)*((INDIRECT($E$3)="TOTS")+(INDIRECT($E$3)=$E175)),INDIRECT(J$3)))&lt;&gt;0,_xlpm.y=0),-2,_xlpm.x)))),0))</f>
        <v>0</v>
      </c>
      <c r="K175" s="199" cm="1">
        <f t="array" aca="1" ref="K175" ca="1">IF(OR($B175="",$B175="X",$D175="",$D175="X",$E175="",$E175="X"),0,IFERROR(_xlfn.LET(_xlpm.x,SUM(SUM(_xlfn._xlws.FILTER(VALUE(PptoSty[Sign]&amp;1)*(1/PptoSty[Division]),(PptoSty[Division]&lt;&gt;0)*(PptoSty[Division]&lt;&gt;"")*(PptoSty[Division]&lt;&gt;"X")*(PptoSty[Project]=$B175)*(PptoSty[Vrs]=$D175)*(PptoSty[PiRow]=_xlfn.TEXTAFTER($H175,":"))*(PptoSty[PiColumn]=K$54),0)),SUM(IF((INDIRECT($B$3)=$B175)*(INDIRECT($C$3)=$D175)*((INDIRECT($E$3)="TOTS")+(INDIRECT($E$3)=$E175)),INDIRECT(K$3)))),_xlpm.y,SUM(_xlfn.CHOOSECOLS(_xlfn._xlws.FILTER(F_RT14[],(F_RT14[PrjId]=$B175)*(F_RT14[Vrs]=$D175)*(_xlfn.TEXTAFTER(F_RT14[ActGrp],":")=_xlfn.TEXTAFTER($H175,":")),"X"),MATCH("*"&amp;K$54,F_RT14[#Headers],0))),IF(AND(_xlpm.x=0,_xlpm.y&lt;&gt;0),-1,IF(AND(_xlpm.x&lt;&gt;0,_xlpm.y&lt;&gt;0),_xlpm.x,IF(AND(_xlpm.x-SUM(IF((INDIRECT($B$3)=$B175)*(INDIRECT($C$3)=$D175)*((INDIRECT($E$3)="TOTS")+(INDIRECT($E$3)=$E175)),INDIRECT(K$3)))&lt;&gt;0,_xlpm.y=0),-2,_xlpm.x)))),0))</f>
        <v>-1</v>
      </c>
      <c r="L175" s="199" cm="1">
        <f t="array" aca="1" ref="L175" ca="1">IF(OR($B175="",$B175="X",$D175="",$D175="X",$E175="",$E175="X"),0,IFERROR(_xlfn.LET(_xlpm.x,SUM(SUM(_xlfn._xlws.FILTER(VALUE(PptoSty[Sign]&amp;1)*(1/PptoSty[Division]),(PptoSty[Division]&lt;&gt;0)*(PptoSty[Division]&lt;&gt;"")*(PptoSty[Division]&lt;&gt;"X")*(PptoSty[Project]=$B175)*(PptoSty[Vrs]=$D175)*(PptoSty[PiRow]=_xlfn.TEXTAFTER($H175,":"))*(PptoSty[PiColumn]=L$54),0)),SUM(IF((INDIRECT($B$3)=$B175)*(INDIRECT($C$3)=$D175)*((INDIRECT($E$3)="TOTS")+(INDIRECT($E$3)=$E175)),INDIRECT(L$3)))),_xlpm.y,SUM(_xlfn.CHOOSECOLS(_xlfn._xlws.FILTER(F_RT14[],(F_RT14[PrjId]=$B175)*(F_RT14[Vrs]=$D175)*(_xlfn.TEXTAFTER(F_RT14[ActGrp],":")=_xlfn.TEXTAFTER($H175,":")),"X"),MATCH("*"&amp;L$54,F_RT14[#Headers],0))),IF(AND(_xlpm.x=0,_xlpm.y&lt;&gt;0),-1,IF(AND(_xlpm.x&lt;&gt;0,_xlpm.y&lt;&gt;0),_xlpm.x,IF(AND(_xlpm.x-SUM(IF((INDIRECT($B$3)=$B175)*(INDIRECT($C$3)=$D175)*((INDIRECT($E$3)="TOTS")+(INDIRECT($E$3)=$E175)),INDIRECT(L$3)))&lt;&gt;0,_xlpm.y=0),-2,_xlpm.x)))),0))</f>
        <v>0</v>
      </c>
      <c r="M175" s="199" cm="1">
        <f t="array" aca="1" ref="M175" ca="1">IF(OR($B175="",$B175="X",$D175="",$D175="X",$E175="",$E175="X"),0,IFERROR(_xlfn.LET(_xlpm.x,SUM(SUM(_xlfn._xlws.FILTER(VALUE(PptoSty[Sign]&amp;1)*(1/PptoSty[Division]),(PptoSty[Division]&lt;&gt;0)*(PptoSty[Division]&lt;&gt;"")*(PptoSty[Division]&lt;&gt;"X")*(PptoSty[Project]=$B175)*(PptoSty[Vrs]=$D175)*(PptoSty[PiRow]=_xlfn.TEXTAFTER($H175,":"))*(PptoSty[PiColumn]=M$54),0)),SUM(IF((INDIRECT($B$3)=$B175)*(INDIRECT($C$3)=$D175)*((INDIRECT($E$3)="TOTS")+(INDIRECT($E$3)=$E175)),INDIRECT(M$3)))),_xlpm.y,SUM(_xlfn.CHOOSECOLS(_xlfn._xlws.FILTER(F_RT14[],(F_RT14[PrjId]=$B175)*(F_RT14[Vrs]=$D175)*(_xlfn.TEXTAFTER(F_RT14[ActGrp],":")=_xlfn.TEXTAFTER($H175,":")),"X"),MATCH("*"&amp;M$54,F_RT14[#Headers],0))),IF(AND(_xlpm.x=0,_xlpm.y&lt;&gt;0),-1,IF(AND(_xlpm.x&lt;&gt;0,_xlpm.y&lt;&gt;0),_xlpm.x,IF(AND(_xlpm.x-SUM(IF((INDIRECT($B$3)=$B175)*(INDIRECT($C$3)=$D175)*((INDIRECT($E$3)="TOTS")+(INDIRECT($E$3)=$E175)),INDIRECT(M$3)))&lt;&gt;0,_xlpm.y=0),-2,_xlpm.x)))),0))</f>
        <v>0</v>
      </c>
      <c r="N175" s="199" cm="1">
        <f t="array" aca="1" ref="N175" ca="1">IF(OR($B175="",$B175="X",$D175="",$D175="X",$E175="",$E175="X"),0,IFERROR(_xlfn.LET(_xlpm.x,SUM(SUM(_xlfn._xlws.FILTER(VALUE(PptoSty[Sign]&amp;1)*(1/PptoSty[Division]),(PptoSty[Division]&lt;&gt;0)*(PptoSty[Division]&lt;&gt;"")*(PptoSty[Division]&lt;&gt;"X")*(PptoSty[Project]=$B175)*(PptoSty[Vrs]=$D175)*(PptoSty[PiRow]=_xlfn.TEXTAFTER($H175,":"))*(PptoSty[PiColumn]=N$54),0)),SUM(IF((INDIRECT($B$3)=$B175)*(INDIRECT($C$3)=$D175)*((INDIRECT($E$3)="TOTS")+(INDIRECT($E$3)=$E175)),INDIRECT(N$3)))),_xlpm.y,SUM(_xlfn.CHOOSECOLS(_xlfn._xlws.FILTER(F_RT14[],(F_RT14[PrjId]=$B175)*(F_RT14[Vrs]=$D175)*(_xlfn.TEXTAFTER(F_RT14[ActGrp],":")=_xlfn.TEXTAFTER($H175,":")),"X"),MATCH("*"&amp;N$54,F_RT14[#Headers],0))),IF(AND(_xlpm.x=0,_xlpm.y&lt;&gt;0),-1,IF(AND(_xlpm.x&lt;&gt;0,_xlpm.y&lt;&gt;0),_xlpm.x,IF(AND(_xlpm.x-SUM(IF((INDIRECT($B$3)=$B175)*(INDIRECT($C$3)=$D175)*((INDIRECT($E$3)="TOTS")+(INDIRECT($E$3)=$E175)),INDIRECT(N$3)))&lt;&gt;0,_xlpm.y=0),-2,_xlpm.x)))),0))</f>
        <v>-1</v>
      </c>
      <c r="O175" s="199" cm="1">
        <f t="array" aca="1" ref="O175" ca="1">IF(OR($B175="",$B175="X",$D175="",$D175="X",$E175="",$E175="X"),0,IFERROR(_xlfn.LET(_xlpm.x,SUM(SUM(_xlfn._xlws.FILTER(VALUE(PptoSty[Sign]&amp;1)*(1/PptoSty[Division]),(PptoSty[Division]&lt;&gt;0)*(PptoSty[Division]&lt;&gt;"")*(PptoSty[Division]&lt;&gt;"X")*(PptoSty[Project]=$B175)*(PptoSty[Vrs]=$D175)*(PptoSty[PiRow]=_xlfn.TEXTAFTER($H175,":"))*(PptoSty[PiColumn]=O$54),0)),SUM(IF((INDIRECT($B$3)=$B175)*(INDIRECT($C$3)=$D175)*((INDIRECT($E$3)="TOTS")+(INDIRECT($E$3)=$E175)),INDIRECT(O$3)))),_xlpm.y,SUM(_xlfn.CHOOSECOLS(_xlfn._xlws.FILTER(F_RT14[],(F_RT14[PrjId]=$B175)*(F_RT14[Vrs]=$D175)*(_xlfn.TEXTAFTER(F_RT14[ActGrp],":")=_xlfn.TEXTAFTER($H175,":")),"X"),MATCH("*"&amp;O$54,F_RT14[#Headers],0))),IF(AND(_xlpm.x=0,_xlpm.y&lt;&gt;0),-1,IF(AND(_xlpm.x&lt;&gt;0,_xlpm.y&lt;&gt;0),_xlpm.x,IF(AND(_xlpm.x-SUM(IF((INDIRECT($B$3)=$B175)*(INDIRECT($C$3)=$D175)*((INDIRECT($E$3)="TOTS")+(INDIRECT($E$3)=$E175)),INDIRECT(O$3)))&lt;&gt;0,_xlpm.y=0),-2,_xlpm.x)))),0))</f>
        <v>0</v>
      </c>
      <c r="P175" s="199" cm="1">
        <f t="array" aca="1" ref="P175" ca="1">IF(OR($B175="",$B175="X",$D175="",$D175="X",$E175="",$E175="X"),0,IFERROR(_xlfn.LET(_xlpm.x,SUM(SUM(_xlfn._xlws.FILTER(VALUE(PptoSty[Sign]&amp;1)*(1/PptoSty[Division]),(PptoSty[Division]&lt;&gt;0)*(PptoSty[Division]&lt;&gt;"")*(PptoSty[Division]&lt;&gt;"X")*(PptoSty[Project]=$B175)*(PptoSty[Vrs]=$D175)*(PptoSty[PiRow]=_xlfn.TEXTAFTER($H175,":"))*(PptoSty[PiColumn]=P$54),0)),SUM(IF((INDIRECT($B$3)=$B175)*(INDIRECT($C$3)=$D175)*((INDIRECT($E$3)="TOTS")+(INDIRECT($E$3)=$E175)),INDIRECT(P$3)))),_xlpm.y,SUM(_xlfn.CHOOSECOLS(_xlfn._xlws.FILTER(F_RT14[],(F_RT14[PrjId]=$B175)*(F_RT14[Vrs]=$D175)*(_xlfn.TEXTAFTER(F_RT14[ActGrp],":")=_xlfn.TEXTAFTER($H175,":")),"X"),MATCH("*"&amp;P$54,F_RT14[#Headers],0))),IF(AND(_xlpm.x=0,_xlpm.y&lt;&gt;0),-1,IF(AND(_xlpm.x&lt;&gt;0,_xlpm.y&lt;&gt;0),_xlpm.x,IF(AND(_xlpm.x-SUM(IF((INDIRECT($B$3)=$B175)*(INDIRECT($C$3)=$D175)*((INDIRECT($E$3)="TOTS")+(INDIRECT($E$3)=$E175)),INDIRECT(P$3)))&lt;&gt;0,_xlpm.y=0),-2,_xlpm.x)))),0))</f>
        <v>-1</v>
      </c>
      <c r="Q175" s="199" cm="1">
        <f t="array" aca="1" ref="Q175" ca="1">IF(OR($B175="",$B175="X",$D175="",$D175="X",$E175="",$E175="X"),0,IFERROR(_xlfn.LET(_xlpm.x,SUM(SUM(_xlfn._xlws.FILTER(VALUE(PptoSty[Sign]&amp;1)*(1/PptoSty[Division]),(PptoSty[Division]&lt;&gt;0)*(PptoSty[Division]&lt;&gt;"")*(PptoSty[Division]&lt;&gt;"X")*(PptoSty[Project]=$B175)*(PptoSty[Vrs]=$D175)*(PptoSty[PiRow]=_xlfn.TEXTAFTER($H175,":"))*(PptoSty[PiColumn]=Q$54),0)),SUM(IF((INDIRECT($B$3)=$B175)*(INDIRECT($C$3)=$D175)*((INDIRECT($E$3)="TOTS")+(INDIRECT($E$3)=$E175)),INDIRECT(Q$3)))),_xlpm.y,SUM(_xlfn.CHOOSECOLS(_xlfn._xlws.FILTER(F_RT14[],(F_RT14[PrjId]=$B175)*(F_RT14[Vrs]=$D175)*(_xlfn.TEXTAFTER(F_RT14[ActGrp],":")=_xlfn.TEXTAFTER($H175,":")),"X"),MATCH("*"&amp;Q$54,F_RT14[#Headers],0))),IF(AND(_xlpm.x=0,_xlpm.y&lt;&gt;0),-1,IF(AND(_xlpm.x&lt;&gt;0,_xlpm.y&lt;&gt;0),_xlpm.x,IF(AND(_xlpm.x-SUM(IF((INDIRECT($B$3)=$B175)*(INDIRECT($C$3)=$D175)*((INDIRECT($E$3)="TOTS")+(INDIRECT($E$3)=$E175)),INDIRECT(Q$3)))&lt;&gt;0,_xlpm.y=0),-2,_xlpm.x)))),0))</f>
        <v>-1</v>
      </c>
      <c r="R175" s="199" cm="1">
        <f t="array" aca="1" ref="R175" ca="1">IF(OR($B175="",$B175="X",$D175="",$D175="X",$E175="",$E175="X"),0,IFERROR(_xlfn.LET(_xlpm.x,SUM(SUM(_xlfn._xlws.FILTER(VALUE(PptoSty[Sign]&amp;1)*(1/PptoSty[Division]),(PptoSty[Division]&lt;&gt;0)*(PptoSty[Division]&lt;&gt;"")*(PptoSty[Division]&lt;&gt;"X")*(PptoSty[Project]=$B175)*(PptoSty[Vrs]=$D175)*(PptoSty[PiRow]=_xlfn.TEXTAFTER($H175,":"))*(PptoSty[PiColumn]=R$54),0)),SUM(IF((INDIRECT($B$3)=$B175)*(INDIRECT($C$3)=$D175)*((INDIRECT($E$3)="TOTS")+(INDIRECT($E$3)=$E175)),INDIRECT(R$3)))),_xlpm.y,SUM(_xlfn.CHOOSECOLS(_xlfn._xlws.FILTER(F_RT14[],(F_RT14[PrjId]=$B175)*(F_RT14[Vrs]=$D175)*(_xlfn.TEXTAFTER(F_RT14[ActGrp],":")=_xlfn.TEXTAFTER($H175,":")),"X"),MATCH("*"&amp;R$54,F_RT14[#Headers],0))),IF(AND(_xlpm.x=0,_xlpm.y&lt;&gt;0),-1,IF(AND(_xlpm.x&lt;&gt;0,_xlpm.y&lt;&gt;0),_xlpm.x,IF(AND(_xlpm.x-SUM(IF((INDIRECT($B$3)=$B175)*(INDIRECT($C$3)=$D175)*((INDIRECT($E$3)="TOTS")+(INDIRECT($E$3)=$E175)),INDIRECT(R$3)))&lt;&gt;0,_xlpm.y=0),-2,_xlpm.x)))),0))</f>
        <v>-1</v>
      </c>
      <c r="S175" s="199" cm="1">
        <f t="array" aca="1" ref="S175" ca="1">IF(OR($B175="",$B175="X",$D175="",$D175="X",$E175="",$E175="X"),0,IFERROR(_xlfn.LET(_xlpm.x,SUM(SUM(_xlfn._xlws.FILTER(VALUE(PptoSty[Sign]&amp;1)*(1/PptoSty[Division]),(PptoSty[Division]&lt;&gt;0)*(PptoSty[Division]&lt;&gt;"")*(PptoSty[Division]&lt;&gt;"X")*(PptoSty[Project]=$B175)*(PptoSty[Vrs]=$D175)*(PptoSty[PiRow]=_xlfn.TEXTAFTER($H175,":"))*(PptoSty[PiColumn]=S$54),0)),SUM(IF((INDIRECT($B$3)=$B175)*(INDIRECT($C$3)=$D175)*((INDIRECT($E$3)="TOTS")+(INDIRECT($E$3)=$E175)),INDIRECT(S$3)))),_xlpm.y,SUM(_xlfn.CHOOSECOLS(_xlfn._xlws.FILTER(F_RT14[],(F_RT14[PrjId]=$B175)*(F_RT14[Vrs]=$D175)*(_xlfn.TEXTAFTER(F_RT14[ActGrp],":")=_xlfn.TEXTAFTER($H175,":")),"X"),MATCH("*"&amp;S$54,F_RT14[#Headers],0))),IF(AND(_xlpm.x=0,_xlpm.y&lt;&gt;0),-1,IF(AND(_xlpm.x&lt;&gt;0,_xlpm.y&lt;&gt;0),_xlpm.x,IF(AND(_xlpm.x-SUM(IF((INDIRECT($B$3)=$B175)*(INDIRECT($C$3)=$D175)*((INDIRECT($E$3)="TOTS")+(INDIRECT($E$3)=$E175)),INDIRECT(S$3)))&lt;&gt;0,_xlpm.y=0),-2,_xlpm.x)))),0))</f>
        <v>-1</v>
      </c>
      <c r="T175" s="199" cm="1">
        <f t="array" aca="1" ref="T175" ca="1">IF(OR($B175="",$B175="X",$D175="",$D175="X",$E175="",$E175="X"),0,IFERROR(_xlfn.LET(_xlpm.x,SUM(SUM(_xlfn._xlws.FILTER(VALUE(PptoSty[Sign]&amp;1)*(1/PptoSty[Division]),(PptoSty[Division]&lt;&gt;0)*(PptoSty[Division]&lt;&gt;"")*(PptoSty[Division]&lt;&gt;"X")*(PptoSty[Project]=$B175)*(PptoSty[Vrs]=$D175)*(PptoSty[PiRow]=_xlfn.TEXTAFTER($H175,":"))*(PptoSty[PiColumn]=T$54),0)),SUM(IF((INDIRECT($B$3)=$B175)*(INDIRECT($C$3)=$D175)*((INDIRECT($E$3)="TOTS")+(INDIRECT($E$3)=$E175)),INDIRECT(T$3)))),_xlpm.y,SUM(_xlfn.CHOOSECOLS(_xlfn._xlws.FILTER(F_RT14[],(F_RT14[PrjId]=$B175)*(F_RT14[Vrs]=$D175)*(_xlfn.TEXTAFTER(F_RT14[ActGrp],":")=_xlfn.TEXTAFTER($H175,":")),"X"),MATCH("*"&amp;T$54,F_RT14[#Headers],0))),IF(AND(_xlpm.x=0,_xlpm.y&lt;&gt;0),-1,IF(AND(_xlpm.x&lt;&gt;0,_xlpm.y&lt;&gt;0),_xlpm.x,IF(AND(_xlpm.x-SUM(IF((INDIRECT($B$3)=$B175)*(INDIRECT($C$3)=$D175)*((INDIRECT($E$3)="TOTS")+(INDIRECT($E$3)=$E175)),INDIRECT(T$3)))&lt;&gt;0,_xlpm.y=0),-2,_xlpm.x)))),0))</f>
        <v>-1</v>
      </c>
      <c r="U175" s="199" cm="1">
        <f t="array" aca="1" ref="U175" ca="1">IF(OR($B175="",$B175="X",$D175="",$D175="X",$E175="",$E175="X"),0,IFERROR(_xlfn.LET(_xlpm.x,SUM(SUM(_xlfn._xlws.FILTER(VALUE(PptoSty[Sign]&amp;1)*(1/PptoSty[Division]),(PptoSty[Division]&lt;&gt;0)*(PptoSty[Division]&lt;&gt;"")*(PptoSty[Division]&lt;&gt;"X")*(PptoSty[Project]=$B175)*(PptoSty[Vrs]=$D175)*(PptoSty[PiRow]=_xlfn.TEXTAFTER($H175,":"))*(PptoSty[PiColumn]=U$54),0)),SUM(IF((INDIRECT($B$3)=$B175)*(INDIRECT($C$3)=$D175)*((INDIRECT($E$3)="TOTS")+(INDIRECT($E$3)=$E175)),INDIRECT(U$3)))),_xlpm.y,SUM(_xlfn.CHOOSECOLS(_xlfn._xlws.FILTER(F_RT14[],(F_RT14[PrjId]=$B175)*(F_RT14[Vrs]=$D175)*(_xlfn.TEXTAFTER(F_RT14[ActGrp],":")=_xlfn.TEXTAFTER($H175,":")),"X"),MATCH("*"&amp;U$54,F_RT14[#Headers],0))),IF(AND(_xlpm.x=0,_xlpm.y&lt;&gt;0),-1,IF(AND(_xlpm.x&lt;&gt;0,_xlpm.y&lt;&gt;0),_xlpm.x,IF(AND(_xlpm.x-SUM(IF((INDIRECT($B$3)=$B175)*(INDIRECT($C$3)=$D175)*((INDIRECT($E$3)="TOTS")+(INDIRECT($E$3)=$E175)),INDIRECT(U$3)))&lt;&gt;0,_xlpm.y=0),-2,_xlpm.x)))),0))</f>
        <v>0</v>
      </c>
      <c r="V175" s="199" cm="1">
        <f t="array" aca="1" ref="V175" ca="1">IF(OR($B175="",$B175="X",$D175="",$D175="X",$E175="",$E175="X"),0,IFERROR(_xlfn.LET(_xlpm.x,SUM(SUM(_xlfn._xlws.FILTER(VALUE(PptoSty[Sign]&amp;1)*(1/PptoSty[Division]),(PptoSty[Division]&lt;&gt;0)*(PptoSty[Division]&lt;&gt;"")*(PptoSty[Division]&lt;&gt;"X")*(PptoSty[Project]=$B175)*(PptoSty[Vrs]=$D175)*(PptoSty[PiRow]=_xlfn.TEXTAFTER($H175,":"))*(PptoSty[PiColumn]=V$54),0)),SUM(IF((INDIRECT($B$3)=$B175)*(INDIRECT($C$3)=$D175)*((INDIRECT($E$3)="TOTS")+(INDIRECT($E$3)=$E175)),INDIRECT(V$3)))),_xlpm.y,SUM(_xlfn.CHOOSECOLS(_xlfn._xlws.FILTER(F_RT14[],(F_RT14[PrjId]=$B175)*(F_RT14[Vrs]=$D175)*(_xlfn.TEXTAFTER(F_RT14[ActGrp],":")=_xlfn.TEXTAFTER($H175,":")),"X"),MATCH("*"&amp;V$54,F_RT14[#Headers],0))),IF(AND(_xlpm.x=0,_xlpm.y&lt;&gt;0),-1,IF(AND(_xlpm.x&lt;&gt;0,_xlpm.y&lt;&gt;0),_xlpm.x,IF(AND(_xlpm.x-SUM(IF((INDIRECT($B$3)=$B175)*(INDIRECT($C$3)=$D175)*((INDIRECT($E$3)="TOTS")+(INDIRECT($E$3)=$E175)),INDIRECT(V$3)))&lt;&gt;0,_xlpm.y=0),-2,_xlpm.x)))),0))</f>
        <v>-1</v>
      </c>
      <c r="W175" s="199" cm="1">
        <f t="array" aca="1" ref="W175" ca="1">IF(OR($B175="",$B175="X",$D175="",$D175="X",$E175="",$E175="X"),0,IFERROR(_xlfn.LET(_xlpm.x,SUM(SUM(_xlfn._xlws.FILTER(VALUE(PptoSty[Sign]&amp;1)*(1/PptoSty[Division]),(PptoSty[Division]&lt;&gt;0)*(PptoSty[Division]&lt;&gt;"")*(PptoSty[Division]&lt;&gt;"X")*(PptoSty[Project]=$B175)*(PptoSty[Vrs]=$D175)*(PptoSty[PiRow]=_xlfn.TEXTAFTER($H175,":"))*(PptoSty[PiColumn]=W$54),0)),SUM(IF((INDIRECT($B$3)=$B175)*(INDIRECT($C$3)=$D175)*((INDIRECT($E$3)="TOTS")+(INDIRECT($E$3)=$E175)),INDIRECT(W$3)))),_xlpm.y,SUM(_xlfn.CHOOSECOLS(_xlfn._xlws.FILTER(F_RT14[],(F_RT14[PrjId]=$B175)*(F_RT14[Vrs]=$D175)*(_xlfn.TEXTAFTER(F_RT14[ActGrp],":")=_xlfn.TEXTAFTER($H175,":")),"X"),MATCH("*"&amp;W$54,F_RT14[#Headers],0))),IF(AND(_xlpm.x=0,_xlpm.y&lt;&gt;0),-1,IF(AND(_xlpm.x&lt;&gt;0,_xlpm.y&lt;&gt;0),_xlpm.x,IF(AND(_xlpm.x-SUM(IF((INDIRECT($B$3)=$B175)*(INDIRECT($C$3)=$D175)*((INDIRECT($E$3)="TOTS")+(INDIRECT($E$3)=$E175)),INDIRECT(W$3)))&lt;&gt;0,_xlpm.y=0),-2,_xlpm.x)))),0))</f>
        <v>-1</v>
      </c>
      <c r="X175" s="199" cm="1">
        <f t="array" aca="1" ref="X175" ca="1">IF(OR($B175="",$B175="X",$D175="",$D175="X",$E175="",$E175="X"),0,IFERROR(_xlfn.LET(_xlpm.x,SUM(SUM(_xlfn._xlws.FILTER(VALUE(PptoSty[Sign]&amp;1)*(1/PptoSty[Division]),(PptoSty[Division]&lt;&gt;0)*(PptoSty[Division]&lt;&gt;"")*(PptoSty[Division]&lt;&gt;"X")*(PptoSty[Project]=$B175)*(PptoSty[Vrs]=$D175)*(PptoSty[PiRow]=_xlfn.TEXTAFTER($H175,":"))*(PptoSty[PiColumn]=X$54),0)),SUM(IF((INDIRECT($B$3)=$B175)*(INDIRECT($C$3)=$D175)*((INDIRECT($E$3)="TOTS")+(INDIRECT($E$3)=$E175)),INDIRECT(X$3)))),_xlpm.y,SUM(_xlfn.CHOOSECOLS(_xlfn._xlws.FILTER(F_RT14[],(F_RT14[PrjId]=$B175)*(F_RT14[Vrs]=$D175)*(_xlfn.TEXTAFTER(F_RT14[ActGrp],":")=_xlfn.TEXTAFTER($H175,":")),"X"),MATCH("*"&amp;X$54,F_RT14[#Headers],0))),IF(AND(_xlpm.x=0,_xlpm.y&lt;&gt;0),-1,IF(AND(_xlpm.x&lt;&gt;0,_xlpm.y&lt;&gt;0),_xlpm.x,IF(AND(_xlpm.x-SUM(IF((INDIRECT($B$3)=$B175)*(INDIRECT($C$3)=$D175)*((INDIRECT($E$3)="TOTS")+(INDIRECT($E$3)=$E175)),INDIRECT(X$3)))&lt;&gt;0,_xlpm.y=0),-2,_xlpm.x)))),0))</f>
        <v>-1</v>
      </c>
      <c r="Y175" s="199" cm="1">
        <f t="array" aca="1" ref="Y175" ca="1">IF(OR($B175="",$B175="X",$D175="",$D175="X",$E175="",$E175="X"),0,IFERROR(_xlfn.LET(_xlpm.x,SUM(SUM(_xlfn._xlws.FILTER(VALUE(PptoSty[Sign]&amp;1)*(1/PptoSty[Division]),(PptoSty[Division]&lt;&gt;0)*(PptoSty[Division]&lt;&gt;"")*(PptoSty[Division]&lt;&gt;"X")*(PptoSty[Project]=$B175)*(PptoSty[Vrs]=$D175)*(PptoSty[PiRow]=_xlfn.TEXTAFTER($H175,":"))*(PptoSty[PiColumn]=Y$54),0)),SUM(IF((INDIRECT($B$3)=$B175)*(INDIRECT($C$3)=$D175)*((INDIRECT($E$3)="TOTS")+(INDIRECT($E$3)=$E175)),INDIRECT(Y$3)))),_xlpm.y,SUM(_xlfn.CHOOSECOLS(_xlfn._xlws.FILTER(F_RT14[],(F_RT14[PrjId]=$B175)*(F_RT14[Vrs]=$D175)*(_xlfn.TEXTAFTER(F_RT14[ActGrp],":")=_xlfn.TEXTAFTER($H175,":")),"X"),MATCH("*"&amp;Y$54,F_RT14[#Headers],0))),IF(AND(_xlpm.x=0,_xlpm.y&lt;&gt;0),-1,IF(AND(_xlpm.x&lt;&gt;0,_xlpm.y&lt;&gt;0),_xlpm.x,IF(AND(_xlpm.x-SUM(IF((INDIRECT($B$3)=$B175)*(INDIRECT($C$3)=$D175)*((INDIRECT($E$3)="TOTS")+(INDIRECT($E$3)=$E175)),INDIRECT(Y$3)))&lt;&gt;0,_xlpm.y=0),-2,_xlpm.x)))),0))</f>
        <v>0</v>
      </c>
      <c r="Z175" s="198" t="str">
        <f t="shared" ca="1" si="3"/>
        <v>Fback!B175:Y175</v>
      </c>
    </row>
    <row r="176" spans="2:26" ht="21" customHeight="1" outlineLevel="1">
      <c r="B176" s="128" t="str">
        <v>31200</v>
      </c>
      <c r="C176" s="128" t="str">
        <v>Sp</v>
      </c>
      <c r="D176" s="128">
        <v>0</v>
      </c>
      <c r="E176" s="128" t="str">
        <v>TOOL</v>
      </c>
      <c r="F176" s="139" t="str">
        <v>SERRA</v>
      </c>
      <c r="G176" s="139" t="str">
        <v>CurPpto</v>
      </c>
      <c r="H176" s="139" t="str">
        <v>P004:OP-30.1/2 GEO</v>
      </c>
      <c r="I176" s="199" cm="1">
        <f t="array" aca="1" ref="I176" ca="1">IF(OR($B176="",$B176="X",$D176="",$D176="X",$E176="",$E176="X"),0,IFERROR(_xlfn.LET(_xlpm.x,SUM(SUM(_xlfn._xlws.FILTER(VALUE(PptoSty[Sign]&amp;1)*(1/PptoSty[Division]),(PptoSty[Division]&lt;&gt;0)*(PptoSty[Division]&lt;&gt;"")*(PptoSty[Division]&lt;&gt;"X")*(PptoSty[Project]=$B176)*(PptoSty[Vrs]=$D176)*(PptoSty[PiRow]=_xlfn.TEXTAFTER($H176,":"))*(PptoSty[PiColumn]=I$54),0)),SUM(IF((INDIRECT($B$3)=$B176)*(INDIRECT($C$3)=$D176)*((INDIRECT($E$3)="TOTS")+(INDIRECT($E$3)=$E176)),INDIRECT(I$3)))),_xlpm.y,SUM(_xlfn.CHOOSECOLS(_xlfn._xlws.FILTER(F_RT14[],(F_RT14[PrjId]=$B176)*(F_RT14[Vrs]=$D176)*(_xlfn.TEXTAFTER(F_RT14[ActGrp],":")=_xlfn.TEXTAFTER($H176,":")),"X"),MATCH("*"&amp;I$54,F_RT14[#Headers],0))),IF(AND(_xlpm.x=0,_xlpm.y&lt;&gt;0),-1,IF(AND(_xlpm.x&lt;&gt;0,_xlpm.y&lt;&gt;0),_xlpm.x,IF(AND(_xlpm.x-SUM(IF((INDIRECT($B$3)=$B176)*(INDIRECT($C$3)=$D176)*((INDIRECT($E$3)="TOTS")+(INDIRECT($E$3)=$E176)),INDIRECT(I$3)))&lt;&gt;0,_xlpm.y=0),-2,_xlpm.x)))),0))</f>
        <v>0</v>
      </c>
      <c r="J176" s="199" cm="1">
        <f t="array" aca="1" ref="J176" ca="1">IF(OR($B176="",$B176="X",$D176="",$D176="X",$E176="",$E176="X"),0,IFERROR(_xlfn.LET(_xlpm.x,SUM(SUM(_xlfn._xlws.FILTER(VALUE(PptoSty[Sign]&amp;1)*(1/PptoSty[Division]),(PptoSty[Division]&lt;&gt;0)*(PptoSty[Division]&lt;&gt;"")*(PptoSty[Division]&lt;&gt;"X")*(PptoSty[Project]=$B176)*(PptoSty[Vrs]=$D176)*(PptoSty[PiRow]=_xlfn.TEXTAFTER($H176,":"))*(PptoSty[PiColumn]=J$54),0)),SUM(IF((INDIRECT($B$3)=$B176)*(INDIRECT($C$3)=$D176)*((INDIRECT($E$3)="TOTS")+(INDIRECT($E$3)=$E176)),INDIRECT(J$3)))),_xlpm.y,SUM(_xlfn.CHOOSECOLS(_xlfn._xlws.FILTER(F_RT14[],(F_RT14[PrjId]=$B176)*(F_RT14[Vrs]=$D176)*(_xlfn.TEXTAFTER(F_RT14[ActGrp],":")=_xlfn.TEXTAFTER($H176,":")),"X"),MATCH("*"&amp;J$54,F_RT14[#Headers],0))),IF(AND(_xlpm.x=0,_xlpm.y&lt;&gt;0),-1,IF(AND(_xlpm.x&lt;&gt;0,_xlpm.y&lt;&gt;0),_xlpm.x,IF(AND(_xlpm.x-SUM(IF((INDIRECT($B$3)=$B176)*(INDIRECT($C$3)=$D176)*((INDIRECT($E$3)="TOTS")+(INDIRECT($E$3)=$E176)),INDIRECT(J$3)))&lt;&gt;0,_xlpm.y=0),-2,_xlpm.x)))),0))</f>
        <v>0</v>
      </c>
      <c r="K176" s="199" cm="1">
        <f t="array" aca="1" ref="K176" ca="1">IF(OR($B176="",$B176="X",$D176="",$D176="X",$E176="",$E176="X"),0,IFERROR(_xlfn.LET(_xlpm.x,SUM(SUM(_xlfn._xlws.FILTER(VALUE(PptoSty[Sign]&amp;1)*(1/PptoSty[Division]),(PptoSty[Division]&lt;&gt;0)*(PptoSty[Division]&lt;&gt;"")*(PptoSty[Division]&lt;&gt;"X")*(PptoSty[Project]=$B176)*(PptoSty[Vrs]=$D176)*(PptoSty[PiRow]=_xlfn.TEXTAFTER($H176,":"))*(PptoSty[PiColumn]=K$54),0)),SUM(IF((INDIRECT($B$3)=$B176)*(INDIRECT($C$3)=$D176)*((INDIRECT($E$3)="TOTS")+(INDIRECT($E$3)=$E176)),INDIRECT(K$3)))),_xlpm.y,SUM(_xlfn.CHOOSECOLS(_xlfn._xlws.FILTER(F_RT14[],(F_RT14[PrjId]=$B176)*(F_RT14[Vrs]=$D176)*(_xlfn.TEXTAFTER(F_RT14[ActGrp],":")=_xlfn.TEXTAFTER($H176,":")),"X"),MATCH("*"&amp;K$54,F_RT14[#Headers],0))),IF(AND(_xlpm.x=0,_xlpm.y&lt;&gt;0),-1,IF(AND(_xlpm.x&lt;&gt;0,_xlpm.y&lt;&gt;0),_xlpm.x,IF(AND(_xlpm.x-SUM(IF((INDIRECT($B$3)=$B176)*(INDIRECT($C$3)=$D176)*((INDIRECT($E$3)="TOTS")+(INDIRECT($E$3)=$E176)),INDIRECT(K$3)))&lt;&gt;0,_xlpm.y=0),-2,_xlpm.x)))),0))</f>
        <v>-1</v>
      </c>
      <c r="L176" s="199" cm="1">
        <f t="array" aca="1" ref="L176" ca="1">IF(OR($B176="",$B176="X",$D176="",$D176="X",$E176="",$E176="X"),0,IFERROR(_xlfn.LET(_xlpm.x,SUM(SUM(_xlfn._xlws.FILTER(VALUE(PptoSty[Sign]&amp;1)*(1/PptoSty[Division]),(PptoSty[Division]&lt;&gt;0)*(PptoSty[Division]&lt;&gt;"")*(PptoSty[Division]&lt;&gt;"X")*(PptoSty[Project]=$B176)*(PptoSty[Vrs]=$D176)*(PptoSty[PiRow]=_xlfn.TEXTAFTER($H176,":"))*(PptoSty[PiColumn]=L$54),0)),SUM(IF((INDIRECT($B$3)=$B176)*(INDIRECT($C$3)=$D176)*((INDIRECT($E$3)="TOTS")+(INDIRECT($E$3)=$E176)),INDIRECT(L$3)))),_xlpm.y,SUM(_xlfn.CHOOSECOLS(_xlfn._xlws.FILTER(F_RT14[],(F_RT14[PrjId]=$B176)*(F_RT14[Vrs]=$D176)*(_xlfn.TEXTAFTER(F_RT14[ActGrp],":")=_xlfn.TEXTAFTER($H176,":")),"X"),MATCH("*"&amp;L$54,F_RT14[#Headers],0))),IF(AND(_xlpm.x=0,_xlpm.y&lt;&gt;0),-1,IF(AND(_xlpm.x&lt;&gt;0,_xlpm.y&lt;&gt;0),_xlpm.x,IF(AND(_xlpm.x-SUM(IF((INDIRECT($B$3)=$B176)*(INDIRECT($C$3)=$D176)*((INDIRECT($E$3)="TOTS")+(INDIRECT($E$3)=$E176)),INDIRECT(L$3)))&lt;&gt;0,_xlpm.y=0),-2,_xlpm.x)))),0))</f>
        <v>0</v>
      </c>
      <c r="M176" s="199" cm="1">
        <f t="array" aca="1" ref="M176" ca="1">IF(OR($B176="",$B176="X",$D176="",$D176="X",$E176="",$E176="X"),0,IFERROR(_xlfn.LET(_xlpm.x,SUM(SUM(_xlfn._xlws.FILTER(VALUE(PptoSty[Sign]&amp;1)*(1/PptoSty[Division]),(PptoSty[Division]&lt;&gt;0)*(PptoSty[Division]&lt;&gt;"")*(PptoSty[Division]&lt;&gt;"X")*(PptoSty[Project]=$B176)*(PptoSty[Vrs]=$D176)*(PptoSty[PiRow]=_xlfn.TEXTAFTER($H176,":"))*(PptoSty[PiColumn]=M$54),0)),SUM(IF((INDIRECT($B$3)=$B176)*(INDIRECT($C$3)=$D176)*((INDIRECT($E$3)="TOTS")+(INDIRECT($E$3)=$E176)),INDIRECT(M$3)))),_xlpm.y,SUM(_xlfn.CHOOSECOLS(_xlfn._xlws.FILTER(F_RT14[],(F_RT14[PrjId]=$B176)*(F_RT14[Vrs]=$D176)*(_xlfn.TEXTAFTER(F_RT14[ActGrp],":")=_xlfn.TEXTAFTER($H176,":")),"X"),MATCH("*"&amp;M$54,F_RT14[#Headers],0))),IF(AND(_xlpm.x=0,_xlpm.y&lt;&gt;0),-1,IF(AND(_xlpm.x&lt;&gt;0,_xlpm.y&lt;&gt;0),_xlpm.x,IF(AND(_xlpm.x-SUM(IF((INDIRECT($B$3)=$B176)*(INDIRECT($C$3)=$D176)*((INDIRECT($E$3)="TOTS")+(INDIRECT($E$3)=$E176)),INDIRECT(M$3)))&lt;&gt;0,_xlpm.y=0),-2,_xlpm.x)))),0))</f>
        <v>0</v>
      </c>
      <c r="N176" s="199" cm="1">
        <f t="array" aca="1" ref="N176" ca="1">IF(OR($B176="",$B176="X",$D176="",$D176="X",$E176="",$E176="X"),0,IFERROR(_xlfn.LET(_xlpm.x,SUM(SUM(_xlfn._xlws.FILTER(VALUE(PptoSty[Sign]&amp;1)*(1/PptoSty[Division]),(PptoSty[Division]&lt;&gt;0)*(PptoSty[Division]&lt;&gt;"")*(PptoSty[Division]&lt;&gt;"X")*(PptoSty[Project]=$B176)*(PptoSty[Vrs]=$D176)*(PptoSty[PiRow]=_xlfn.TEXTAFTER($H176,":"))*(PptoSty[PiColumn]=N$54),0)),SUM(IF((INDIRECT($B$3)=$B176)*(INDIRECT($C$3)=$D176)*((INDIRECT($E$3)="TOTS")+(INDIRECT($E$3)=$E176)),INDIRECT(N$3)))),_xlpm.y,SUM(_xlfn.CHOOSECOLS(_xlfn._xlws.FILTER(F_RT14[],(F_RT14[PrjId]=$B176)*(F_RT14[Vrs]=$D176)*(_xlfn.TEXTAFTER(F_RT14[ActGrp],":")=_xlfn.TEXTAFTER($H176,":")),"X"),MATCH("*"&amp;N$54,F_RT14[#Headers],0))),IF(AND(_xlpm.x=0,_xlpm.y&lt;&gt;0),-1,IF(AND(_xlpm.x&lt;&gt;0,_xlpm.y&lt;&gt;0),_xlpm.x,IF(AND(_xlpm.x-SUM(IF((INDIRECT($B$3)=$B176)*(INDIRECT($C$3)=$D176)*((INDIRECT($E$3)="TOTS")+(INDIRECT($E$3)=$E176)),INDIRECT(N$3)))&lt;&gt;0,_xlpm.y=0),-2,_xlpm.x)))),0))</f>
        <v>-1</v>
      </c>
      <c r="O176" s="199" cm="1">
        <f t="array" aca="1" ref="O176" ca="1">IF(OR($B176="",$B176="X",$D176="",$D176="X",$E176="",$E176="X"),0,IFERROR(_xlfn.LET(_xlpm.x,SUM(SUM(_xlfn._xlws.FILTER(VALUE(PptoSty[Sign]&amp;1)*(1/PptoSty[Division]),(PptoSty[Division]&lt;&gt;0)*(PptoSty[Division]&lt;&gt;"")*(PptoSty[Division]&lt;&gt;"X")*(PptoSty[Project]=$B176)*(PptoSty[Vrs]=$D176)*(PptoSty[PiRow]=_xlfn.TEXTAFTER($H176,":"))*(PptoSty[PiColumn]=O$54),0)),SUM(IF((INDIRECT($B$3)=$B176)*(INDIRECT($C$3)=$D176)*((INDIRECT($E$3)="TOTS")+(INDIRECT($E$3)=$E176)),INDIRECT(O$3)))),_xlpm.y,SUM(_xlfn.CHOOSECOLS(_xlfn._xlws.FILTER(F_RT14[],(F_RT14[PrjId]=$B176)*(F_RT14[Vrs]=$D176)*(_xlfn.TEXTAFTER(F_RT14[ActGrp],":")=_xlfn.TEXTAFTER($H176,":")),"X"),MATCH("*"&amp;O$54,F_RT14[#Headers],0))),IF(AND(_xlpm.x=0,_xlpm.y&lt;&gt;0),-1,IF(AND(_xlpm.x&lt;&gt;0,_xlpm.y&lt;&gt;0),_xlpm.x,IF(AND(_xlpm.x-SUM(IF((INDIRECT($B$3)=$B176)*(INDIRECT($C$3)=$D176)*((INDIRECT($E$3)="TOTS")+(INDIRECT($E$3)=$E176)),INDIRECT(O$3)))&lt;&gt;0,_xlpm.y=0),-2,_xlpm.x)))),0))</f>
        <v>0</v>
      </c>
      <c r="P176" s="199" cm="1">
        <f t="array" aca="1" ref="P176" ca="1">IF(OR($B176="",$B176="X",$D176="",$D176="X",$E176="",$E176="X"),0,IFERROR(_xlfn.LET(_xlpm.x,SUM(SUM(_xlfn._xlws.FILTER(VALUE(PptoSty[Sign]&amp;1)*(1/PptoSty[Division]),(PptoSty[Division]&lt;&gt;0)*(PptoSty[Division]&lt;&gt;"")*(PptoSty[Division]&lt;&gt;"X")*(PptoSty[Project]=$B176)*(PptoSty[Vrs]=$D176)*(PptoSty[PiRow]=_xlfn.TEXTAFTER($H176,":"))*(PptoSty[PiColumn]=P$54),0)),SUM(IF((INDIRECT($B$3)=$B176)*(INDIRECT($C$3)=$D176)*((INDIRECT($E$3)="TOTS")+(INDIRECT($E$3)=$E176)),INDIRECT(P$3)))),_xlpm.y,SUM(_xlfn.CHOOSECOLS(_xlfn._xlws.FILTER(F_RT14[],(F_RT14[PrjId]=$B176)*(F_RT14[Vrs]=$D176)*(_xlfn.TEXTAFTER(F_RT14[ActGrp],":")=_xlfn.TEXTAFTER($H176,":")),"X"),MATCH("*"&amp;P$54,F_RT14[#Headers],0))),IF(AND(_xlpm.x=0,_xlpm.y&lt;&gt;0),-1,IF(AND(_xlpm.x&lt;&gt;0,_xlpm.y&lt;&gt;0),_xlpm.x,IF(AND(_xlpm.x-SUM(IF((INDIRECT($B$3)=$B176)*(INDIRECT($C$3)=$D176)*((INDIRECT($E$3)="TOTS")+(INDIRECT($E$3)=$E176)),INDIRECT(P$3)))&lt;&gt;0,_xlpm.y=0),-2,_xlpm.x)))),0))</f>
        <v>-1</v>
      </c>
      <c r="Q176" s="199" cm="1">
        <f t="array" aca="1" ref="Q176" ca="1">IF(OR($B176="",$B176="X",$D176="",$D176="X",$E176="",$E176="X"),0,IFERROR(_xlfn.LET(_xlpm.x,SUM(SUM(_xlfn._xlws.FILTER(VALUE(PptoSty[Sign]&amp;1)*(1/PptoSty[Division]),(PptoSty[Division]&lt;&gt;0)*(PptoSty[Division]&lt;&gt;"")*(PptoSty[Division]&lt;&gt;"X")*(PptoSty[Project]=$B176)*(PptoSty[Vrs]=$D176)*(PptoSty[PiRow]=_xlfn.TEXTAFTER($H176,":"))*(PptoSty[PiColumn]=Q$54),0)),SUM(IF((INDIRECT($B$3)=$B176)*(INDIRECT($C$3)=$D176)*((INDIRECT($E$3)="TOTS")+(INDIRECT($E$3)=$E176)),INDIRECT(Q$3)))),_xlpm.y,SUM(_xlfn.CHOOSECOLS(_xlfn._xlws.FILTER(F_RT14[],(F_RT14[PrjId]=$B176)*(F_RT14[Vrs]=$D176)*(_xlfn.TEXTAFTER(F_RT14[ActGrp],":")=_xlfn.TEXTAFTER($H176,":")),"X"),MATCH("*"&amp;Q$54,F_RT14[#Headers],0))),IF(AND(_xlpm.x=0,_xlpm.y&lt;&gt;0),-1,IF(AND(_xlpm.x&lt;&gt;0,_xlpm.y&lt;&gt;0),_xlpm.x,IF(AND(_xlpm.x-SUM(IF((INDIRECT($B$3)=$B176)*(INDIRECT($C$3)=$D176)*((INDIRECT($E$3)="TOTS")+(INDIRECT($E$3)=$E176)),INDIRECT(Q$3)))&lt;&gt;0,_xlpm.y=0),-2,_xlpm.x)))),0))</f>
        <v>-1</v>
      </c>
      <c r="R176" s="199" cm="1">
        <f t="array" aca="1" ref="R176" ca="1">IF(OR($B176="",$B176="X",$D176="",$D176="X",$E176="",$E176="X"),0,IFERROR(_xlfn.LET(_xlpm.x,SUM(SUM(_xlfn._xlws.FILTER(VALUE(PptoSty[Sign]&amp;1)*(1/PptoSty[Division]),(PptoSty[Division]&lt;&gt;0)*(PptoSty[Division]&lt;&gt;"")*(PptoSty[Division]&lt;&gt;"X")*(PptoSty[Project]=$B176)*(PptoSty[Vrs]=$D176)*(PptoSty[PiRow]=_xlfn.TEXTAFTER($H176,":"))*(PptoSty[PiColumn]=R$54),0)),SUM(IF((INDIRECT($B$3)=$B176)*(INDIRECT($C$3)=$D176)*((INDIRECT($E$3)="TOTS")+(INDIRECT($E$3)=$E176)),INDIRECT(R$3)))),_xlpm.y,SUM(_xlfn.CHOOSECOLS(_xlfn._xlws.FILTER(F_RT14[],(F_RT14[PrjId]=$B176)*(F_RT14[Vrs]=$D176)*(_xlfn.TEXTAFTER(F_RT14[ActGrp],":")=_xlfn.TEXTAFTER($H176,":")),"X"),MATCH("*"&amp;R$54,F_RT14[#Headers],0))),IF(AND(_xlpm.x=0,_xlpm.y&lt;&gt;0),-1,IF(AND(_xlpm.x&lt;&gt;0,_xlpm.y&lt;&gt;0),_xlpm.x,IF(AND(_xlpm.x-SUM(IF((INDIRECT($B$3)=$B176)*(INDIRECT($C$3)=$D176)*((INDIRECT($E$3)="TOTS")+(INDIRECT($E$3)=$E176)),INDIRECT(R$3)))&lt;&gt;0,_xlpm.y=0),-2,_xlpm.x)))),0))</f>
        <v>-1</v>
      </c>
      <c r="S176" s="199" cm="1">
        <f t="array" aca="1" ref="S176" ca="1">IF(OR($B176="",$B176="X",$D176="",$D176="X",$E176="",$E176="X"),0,IFERROR(_xlfn.LET(_xlpm.x,SUM(SUM(_xlfn._xlws.FILTER(VALUE(PptoSty[Sign]&amp;1)*(1/PptoSty[Division]),(PptoSty[Division]&lt;&gt;0)*(PptoSty[Division]&lt;&gt;"")*(PptoSty[Division]&lt;&gt;"X")*(PptoSty[Project]=$B176)*(PptoSty[Vrs]=$D176)*(PptoSty[PiRow]=_xlfn.TEXTAFTER($H176,":"))*(PptoSty[PiColumn]=S$54),0)),SUM(IF((INDIRECT($B$3)=$B176)*(INDIRECT($C$3)=$D176)*((INDIRECT($E$3)="TOTS")+(INDIRECT($E$3)=$E176)),INDIRECT(S$3)))),_xlpm.y,SUM(_xlfn.CHOOSECOLS(_xlfn._xlws.FILTER(F_RT14[],(F_RT14[PrjId]=$B176)*(F_RT14[Vrs]=$D176)*(_xlfn.TEXTAFTER(F_RT14[ActGrp],":")=_xlfn.TEXTAFTER($H176,":")),"X"),MATCH("*"&amp;S$54,F_RT14[#Headers],0))),IF(AND(_xlpm.x=0,_xlpm.y&lt;&gt;0),-1,IF(AND(_xlpm.x&lt;&gt;0,_xlpm.y&lt;&gt;0),_xlpm.x,IF(AND(_xlpm.x-SUM(IF((INDIRECT($B$3)=$B176)*(INDIRECT($C$3)=$D176)*((INDIRECT($E$3)="TOTS")+(INDIRECT($E$3)=$E176)),INDIRECT(S$3)))&lt;&gt;0,_xlpm.y=0),-2,_xlpm.x)))),0))</f>
        <v>-1</v>
      </c>
      <c r="T176" s="199" cm="1">
        <f t="array" aca="1" ref="T176" ca="1">IF(OR($B176="",$B176="X",$D176="",$D176="X",$E176="",$E176="X"),0,IFERROR(_xlfn.LET(_xlpm.x,SUM(SUM(_xlfn._xlws.FILTER(VALUE(PptoSty[Sign]&amp;1)*(1/PptoSty[Division]),(PptoSty[Division]&lt;&gt;0)*(PptoSty[Division]&lt;&gt;"")*(PptoSty[Division]&lt;&gt;"X")*(PptoSty[Project]=$B176)*(PptoSty[Vrs]=$D176)*(PptoSty[PiRow]=_xlfn.TEXTAFTER($H176,":"))*(PptoSty[PiColumn]=T$54),0)),SUM(IF((INDIRECT($B$3)=$B176)*(INDIRECT($C$3)=$D176)*((INDIRECT($E$3)="TOTS")+(INDIRECT($E$3)=$E176)),INDIRECT(T$3)))),_xlpm.y,SUM(_xlfn.CHOOSECOLS(_xlfn._xlws.FILTER(F_RT14[],(F_RT14[PrjId]=$B176)*(F_RT14[Vrs]=$D176)*(_xlfn.TEXTAFTER(F_RT14[ActGrp],":")=_xlfn.TEXTAFTER($H176,":")),"X"),MATCH("*"&amp;T$54,F_RT14[#Headers],0))),IF(AND(_xlpm.x=0,_xlpm.y&lt;&gt;0),-1,IF(AND(_xlpm.x&lt;&gt;0,_xlpm.y&lt;&gt;0),_xlpm.x,IF(AND(_xlpm.x-SUM(IF((INDIRECT($B$3)=$B176)*(INDIRECT($C$3)=$D176)*((INDIRECT($E$3)="TOTS")+(INDIRECT($E$3)=$E176)),INDIRECT(T$3)))&lt;&gt;0,_xlpm.y=0),-2,_xlpm.x)))),0))</f>
        <v>-1</v>
      </c>
      <c r="U176" s="199" cm="1">
        <f t="array" aca="1" ref="U176" ca="1">IF(OR($B176="",$B176="X",$D176="",$D176="X",$E176="",$E176="X"),0,IFERROR(_xlfn.LET(_xlpm.x,SUM(SUM(_xlfn._xlws.FILTER(VALUE(PptoSty[Sign]&amp;1)*(1/PptoSty[Division]),(PptoSty[Division]&lt;&gt;0)*(PptoSty[Division]&lt;&gt;"")*(PptoSty[Division]&lt;&gt;"X")*(PptoSty[Project]=$B176)*(PptoSty[Vrs]=$D176)*(PptoSty[PiRow]=_xlfn.TEXTAFTER($H176,":"))*(PptoSty[PiColumn]=U$54),0)),SUM(IF((INDIRECT($B$3)=$B176)*(INDIRECT($C$3)=$D176)*((INDIRECT($E$3)="TOTS")+(INDIRECT($E$3)=$E176)),INDIRECT(U$3)))),_xlpm.y,SUM(_xlfn.CHOOSECOLS(_xlfn._xlws.FILTER(F_RT14[],(F_RT14[PrjId]=$B176)*(F_RT14[Vrs]=$D176)*(_xlfn.TEXTAFTER(F_RT14[ActGrp],":")=_xlfn.TEXTAFTER($H176,":")),"X"),MATCH("*"&amp;U$54,F_RT14[#Headers],0))),IF(AND(_xlpm.x=0,_xlpm.y&lt;&gt;0),-1,IF(AND(_xlpm.x&lt;&gt;0,_xlpm.y&lt;&gt;0),_xlpm.x,IF(AND(_xlpm.x-SUM(IF((INDIRECT($B$3)=$B176)*(INDIRECT($C$3)=$D176)*((INDIRECT($E$3)="TOTS")+(INDIRECT($E$3)=$E176)),INDIRECT(U$3)))&lt;&gt;0,_xlpm.y=0),-2,_xlpm.x)))),0))</f>
        <v>0</v>
      </c>
      <c r="V176" s="199" cm="1">
        <f t="array" aca="1" ref="V176" ca="1">IF(OR($B176="",$B176="X",$D176="",$D176="X",$E176="",$E176="X"),0,IFERROR(_xlfn.LET(_xlpm.x,SUM(SUM(_xlfn._xlws.FILTER(VALUE(PptoSty[Sign]&amp;1)*(1/PptoSty[Division]),(PptoSty[Division]&lt;&gt;0)*(PptoSty[Division]&lt;&gt;"")*(PptoSty[Division]&lt;&gt;"X")*(PptoSty[Project]=$B176)*(PptoSty[Vrs]=$D176)*(PptoSty[PiRow]=_xlfn.TEXTAFTER($H176,":"))*(PptoSty[PiColumn]=V$54),0)),SUM(IF((INDIRECT($B$3)=$B176)*(INDIRECT($C$3)=$D176)*((INDIRECT($E$3)="TOTS")+(INDIRECT($E$3)=$E176)),INDIRECT(V$3)))),_xlpm.y,SUM(_xlfn.CHOOSECOLS(_xlfn._xlws.FILTER(F_RT14[],(F_RT14[PrjId]=$B176)*(F_RT14[Vrs]=$D176)*(_xlfn.TEXTAFTER(F_RT14[ActGrp],":")=_xlfn.TEXTAFTER($H176,":")),"X"),MATCH("*"&amp;V$54,F_RT14[#Headers],0))),IF(AND(_xlpm.x=0,_xlpm.y&lt;&gt;0),-1,IF(AND(_xlpm.x&lt;&gt;0,_xlpm.y&lt;&gt;0),_xlpm.x,IF(AND(_xlpm.x-SUM(IF((INDIRECT($B$3)=$B176)*(INDIRECT($C$3)=$D176)*((INDIRECT($E$3)="TOTS")+(INDIRECT($E$3)=$E176)),INDIRECT(V$3)))&lt;&gt;0,_xlpm.y=0),-2,_xlpm.x)))),0))</f>
        <v>-1</v>
      </c>
      <c r="W176" s="199" cm="1">
        <f t="array" aca="1" ref="W176" ca="1">IF(OR($B176="",$B176="X",$D176="",$D176="X",$E176="",$E176="X"),0,IFERROR(_xlfn.LET(_xlpm.x,SUM(SUM(_xlfn._xlws.FILTER(VALUE(PptoSty[Sign]&amp;1)*(1/PptoSty[Division]),(PptoSty[Division]&lt;&gt;0)*(PptoSty[Division]&lt;&gt;"")*(PptoSty[Division]&lt;&gt;"X")*(PptoSty[Project]=$B176)*(PptoSty[Vrs]=$D176)*(PptoSty[PiRow]=_xlfn.TEXTAFTER($H176,":"))*(PptoSty[PiColumn]=W$54),0)),SUM(IF((INDIRECT($B$3)=$B176)*(INDIRECT($C$3)=$D176)*((INDIRECT($E$3)="TOTS")+(INDIRECT($E$3)=$E176)),INDIRECT(W$3)))),_xlpm.y,SUM(_xlfn.CHOOSECOLS(_xlfn._xlws.FILTER(F_RT14[],(F_RT14[PrjId]=$B176)*(F_RT14[Vrs]=$D176)*(_xlfn.TEXTAFTER(F_RT14[ActGrp],":")=_xlfn.TEXTAFTER($H176,":")),"X"),MATCH("*"&amp;W$54,F_RT14[#Headers],0))),IF(AND(_xlpm.x=0,_xlpm.y&lt;&gt;0),-1,IF(AND(_xlpm.x&lt;&gt;0,_xlpm.y&lt;&gt;0),_xlpm.x,IF(AND(_xlpm.x-SUM(IF((INDIRECT($B$3)=$B176)*(INDIRECT($C$3)=$D176)*((INDIRECT($E$3)="TOTS")+(INDIRECT($E$3)=$E176)),INDIRECT(W$3)))&lt;&gt;0,_xlpm.y=0),-2,_xlpm.x)))),0))</f>
        <v>-1</v>
      </c>
      <c r="X176" s="199" cm="1">
        <f t="array" aca="1" ref="X176" ca="1">IF(OR($B176="",$B176="X",$D176="",$D176="X",$E176="",$E176="X"),0,IFERROR(_xlfn.LET(_xlpm.x,SUM(SUM(_xlfn._xlws.FILTER(VALUE(PptoSty[Sign]&amp;1)*(1/PptoSty[Division]),(PptoSty[Division]&lt;&gt;0)*(PptoSty[Division]&lt;&gt;"")*(PptoSty[Division]&lt;&gt;"X")*(PptoSty[Project]=$B176)*(PptoSty[Vrs]=$D176)*(PptoSty[PiRow]=_xlfn.TEXTAFTER($H176,":"))*(PptoSty[PiColumn]=X$54),0)),SUM(IF((INDIRECT($B$3)=$B176)*(INDIRECT($C$3)=$D176)*((INDIRECT($E$3)="TOTS")+(INDIRECT($E$3)=$E176)),INDIRECT(X$3)))),_xlpm.y,SUM(_xlfn.CHOOSECOLS(_xlfn._xlws.FILTER(F_RT14[],(F_RT14[PrjId]=$B176)*(F_RT14[Vrs]=$D176)*(_xlfn.TEXTAFTER(F_RT14[ActGrp],":")=_xlfn.TEXTAFTER($H176,":")),"X"),MATCH("*"&amp;X$54,F_RT14[#Headers],0))),IF(AND(_xlpm.x=0,_xlpm.y&lt;&gt;0),-1,IF(AND(_xlpm.x&lt;&gt;0,_xlpm.y&lt;&gt;0),_xlpm.x,IF(AND(_xlpm.x-SUM(IF((INDIRECT($B$3)=$B176)*(INDIRECT($C$3)=$D176)*((INDIRECT($E$3)="TOTS")+(INDIRECT($E$3)=$E176)),INDIRECT(X$3)))&lt;&gt;0,_xlpm.y=0),-2,_xlpm.x)))),0))</f>
        <v>-1</v>
      </c>
      <c r="Y176" s="199" cm="1">
        <f t="array" aca="1" ref="Y176" ca="1">IF(OR($B176="",$B176="X",$D176="",$D176="X",$E176="",$E176="X"),0,IFERROR(_xlfn.LET(_xlpm.x,SUM(SUM(_xlfn._xlws.FILTER(VALUE(PptoSty[Sign]&amp;1)*(1/PptoSty[Division]),(PptoSty[Division]&lt;&gt;0)*(PptoSty[Division]&lt;&gt;"")*(PptoSty[Division]&lt;&gt;"X")*(PptoSty[Project]=$B176)*(PptoSty[Vrs]=$D176)*(PptoSty[PiRow]=_xlfn.TEXTAFTER($H176,":"))*(PptoSty[PiColumn]=Y$54),0)),SUM(IF((INDIRECT($B$3)=$B176)*(INDIRECT($C$3)=$D176)*((INDIRECT($E$3)="TOTS")+(INDIRECT($E$3)=$E176)),INDIRECT(Y$3)))),_xlpm.y,SUM(_xlfn.CHOOSECOLS(_xlfn._xlws.FILTER(F_RT14[],(F_RT14[PrjId]=$B176)*(F_RT14[Vrs]=$D176)*(_xlfn.TEXTAFTER(F_RT14[ActGrp],":")=_xlfn.TEXTAFTER($H176,":")),"X"),MATCH("*"&amp;Y$54,F_RT14[#Headers],0))),IF(AND(_xlpm.x=0,_xlpm.y&lt;&gt;0),-1,IF(AND(_xlpm.x&lt;&gt;0,_xlpm.y&lt;&gt;0),_xlpm.x,IF(AND(_xlpm.x-SUM(IF((INDIRECT($B$3)=$B176)*(INDIRECT($C$3)=$D176)*((INDIRECT($E$3)="TOTS")+(INDIRECT($E$3)=$E176)),INDIRECT(Y$3)))&lt;&gt;0,_xlpm.y=0),-2,_xlpm.x)))),0))</f>
        <v>0</v>
      </c>
      <c r="Z176" s="198" t="str">
        <f t="shared" ca="1" si="3"/>
        <v>Fback!B176:Y176</v>
      </c>
    </row>
    <row r="177" spans="2:26" ht="21" customHeight="1" outlineLevel="1">
      <c r="B177" s="128" t="str">
        <v>31200</v>
      </c>
      <c r="C177" s="128" t="str">
        <v>Sp</v>
      </c>
      <c r="D177" s="128">
        <v>0</v>
      </c>
      <c r="E177" s="128" t="str">
        <v>TOOL</v>
      </c>
      <c r="F177" s="139" t="str">
        <v>SERRA</v>
      </c>
      <c r="G177" s="139" t="str">
        <v>CurPpto</v>
      </c>
      <c r="H177" s="139" t="str">
        <v>P005:OP-40.1/2 GEO</v>
      </c>
      <c r="I177" s="199" cm="1">
        <f t="array" aca="1" ref="I177" ca="1">IF(OR($B177="",$B177="X",$D177="",$D177="X",$E177="",$E177="X"),0,IFERROR(_xlfn.LET(_xlpm.x,SUM(SUM(_xlfn._xlws.FILTER(VALUE(PptoSty[Sign]&amp;1)*(1/PptoSty[Division]),(PptoSty[Division]&lt;&gt;0)*(PptoSty[Division]&lt;&gt;"")*(PptoSty[Division]&lt;&gt;"X")*(PptoSty[Project]=$B177)*(PptoSty[Vrs]=$D177)*(PptoSty[PiRow]=_xlfn.TEXTAFTER($H177,":"))*(PptoSty[PiColumn]=I$54),0)),SUM(IF((INDIRECT($B$3)=$B177)*(INDIRECT($C$3)=$D177)*((INDIRECT($E$3)="TOTS")+(INDIRECT($E$3)=$E177)),INDIRECT(I$3)))),_xlpm.y,SUM(_xlfn.CHOOSECOLS(_xlfn._xlws.FILTER(F_RT14[],(F_RT14[PrjId]=$B177)*(F_RT14[Vrs]=$D177)*(_xlfn.TEXTAFTER(F_RT14[ActGrp],":")=_xlfn.TEXTAFTER($H177,":")),"X"),MATCH("*"&amp;I$54,F_RT14[#Headers],0))),IF(AND(_xlpm.x=0,_xlpm.y&lt;&gt;0),-1,IF(AND(_xlpm.x&lt;&gt;0,_xlpm.y&lt;&gt;0),_xlpm.x,IF(AND(_xlpm.x-SUM(IF((INDIRECT($B$3)=$B177)*(INDIRECT($C$3)=$D177)*((INDIRECT($E$3)="TOTS")+(INDIRECT($E$3)=$E177)),INDIRECT(I$3)))&lt;&gt;0,_xlpm.y=0),-2,_xlpm.x)))),0))</f>
        <v>0</v>
      </c>
      <c r="J177" s="199" cm="1">
        <f t="array" aca="1" ref="J177" ca="1">IF(OR($B177="",$B177="X",$D177="",$D177="X",$E177="",$E177="X"),0,IFERROR(_xlfn.LET(_xlpm.x,SUM(SUM(_xlfn._xlws.FILTER(VALUE(PptoSty[Sign]&amp;1)*(1/PptoSty[Division]),(PptoSty[Division]&lt;&gt;0)*(PptoSty[Division]&lt;&gt;"")*(PptoSty[Division]&lt;&gt;"X")*(PptoSty[Project]=$B177)*(PptoSty[Vrs]=$D177)*(PptoSty[PiRow]=_xlfn.TEXTAFTER($H177,":"))*(PptoSty[PiColumn]=J$54),0)),SUM(IF((INDIRECT($B$3)=$B177)*(INDIRECT($C$3)=$D177)*((INDIRECT($E$3)="TOTS")+(INDIRECT($E$3)=$E177)),INDIRECT(J$3)))),_xlpm.y,SUM(_xlfn.CHOOSECOLS(_xlfn._xlws.FILTER(F_RT14[],(F_RT14[PrjId]=$B177)*(F_RT14[Vrs]=$D177)*(_xlfn.TEXTAFTER(F_RT14[ActGrp],":")=_xlfn.TEXTAFTER($H177,":")),"X"),MATCH("*"&amp;J$54,F_RT14[#Headers],0))),IF(AND(_xlpm.x=0,_xlpm.y&lt;&gt;0),-1,IF(AND(_xlpm.x&lt;&gt;0,_xlpm.y&lt;&gt;0),_xlpm.x,IF(AND(_xlpm.x-SUM(IF((INDIRECT($B$3)=$B177)*(INDIRECT($C$3)=$D177)*((INDIRECT($E$3)="TOTS")+(INDIRECT($E$3)=$E177)),INDIRECT(J$3)))&lt;&gt;0,_xlpm.y=0),-2,_xlpm.x)))),0))</f>
        <v>0</v>
      </c>
      <c r="K177" s="199" cm="1">
        <f t="array" aca="1" ref="K177" ca="1">IF(OR($B177="",$B177="X",$D177="",$D177="X",$E177="",$E177="X"),0,IFERROR(_xlfn.LET(_xlpm.x,SUM(SUM(_xlfn._xlws.FILTER(VALUE(PptoSty[Sign]&amp;1)*(1/PptoSty[Division]),(PptoSty[Division]&lt;&gt;0)*(PptoSty[Division]&lt;&gt;"")*(PptoSty[Division]&lt;&gt;"X")*(PptoSty[Project]=$B177)*(PptoSty[Vrs]=$D177)*(PptoSty[PiRow]=_xlfn.TEXTAFTER($H177,":"))*(PptoSty[PiColumn]=K$54),0)),SUM(IF((INDIRECT($B$3)=$B177)*(INDIRECT($C$3)=$D177)*((INDIRECT($E$3)="TOTS")+(INDIRECT($E$3)=$E177)),INDIRECT(K$3)))),_xlpm.y,SUM(_xlfn.CHOOSECOLS(_xlfn._xlws.FILTER(F_RT14[],(F_RT14[PrjId]=$B177)*(F_RT14[Vrs]=$D177)*(_xlfn.TEXTAFTER(F_RT14[ActGrp],":")=_xlfn.TEXTAFTER($H177,":")),"X"),MATCH("*"&amp;K$54,F_RT14[#Headers],0))),IF(AND(_xlpm.x=0,_xlpm.y&lt;&gt;0),-1,IF(AND(_xlpm.x&lt;&gt;0,_xlpm.y&lt;&gt;0),_xlpm.x,IF(AND(_xlpm.x-SUM(IF((INDIRECT($B$3)=$B177)*(INDIRECT($C$3)=$D177)*((INDIRECT($E$3)="TOTS")+(INDIRECT($E$3)=$E177)),INDIRECT(K$3)))&lt;&gt;0,_xlpm.y=0),-2,_xlpm.x)))),0))</f>
        <v>-1</v>
      </c>
      <c r="L177" s="199" cm="1">
        <f t="array" aca="1" ref="L177" ca="1">IF(OR($B177="",$B177="X",$D177="",$D177="X",$E177="",$E177="X"),0,IFERROR(_xlfn.LET(_xlpm.x,SUM(SUM(_xlfn._xlws.FILTER(VALUE(PptoSty[Sign]&amp;1)*(1/PptoSty[Division]),(PptoSty[Division]&lt;&gt;0)*(PptoSty[Division]&lt;&gt;"")*(PptoSty[Division]&lt;&gt;"X")*(PptoSty[Project]=$B177)*(PptoSty[Vrs]=$D177)*(PptoSty[PiRow]=_xlfn.TEXTAFTER($H177,":"))*(PptoSty[PiColumn]=L$54),0)),SUM(IF((INDIRECT($B$3)=$B177)*(INDIRECT($C$3)=$D177)*((INDIRECT($E$3)="TOTS")+(INDIRECT($E$3)=$E177)),INDIRECT(L$3)))),_xlpm.y,SUM(_xlfn.CHOOSECOLS(_xlfn._xlws.FILTER(F_RT14[],(F_RT14[PrjId]=$B177)*(F_RT14[Vrs]=$D177)*(_xlfn.TEXTAFTER(F_RT14[ActGrp],":")=_xlfn.TEXTAFTER($H177,":")),"X"),MATCH("*"&amp;L$54,F_RT14[#Headers],0))),IF(AND(_xlpm.x=0,_xlpm.y&lt;&gt;0),-1,IF(AND(_xlpm.x&lt;&gt;0,_xlpm.y&lt;&gt;0),_xlpm.x,IF(AND(_xlpm.x-SUM(IF((INDIRECT($B$3)=$B177)*(INDIRECT($C$3)=$D177)*((INDIRECT($E$3)="TOTS")+(INDIRECT($E$3)=$E177)),INDIRECT(L$3)))&lt;&gt;0,_xlpm.y=0),-2,_xlpm.x)))),0))</f>
        <v>0</v>
      </c>
      <c r="M177" s="199" cm="1">
        <f t="array" aca="1" ref="M177" ca="1">IF(OR($B177="",$B177="X",$D177="",$D177="X",$E177="",$E177="X"),0,IFERROR(_xlfn.LET(_xlpm.x,SUM(SUM(_xlfn._xlws.FILTER(VALUE(PptoSty[Sign]&amp;1)*(1/PptoSty[Division]),(PptoSty[Division]&lt;&gt;0)*(PptoSty[Division]&lt;&gt;"")*(PptoSty[Division]&lt;&gt;"X")*(PptoSty[Project]=$B177)*(PptoSty[Vrs]=$D177)*(PptoSty[PiRow]=_xlfn.TEXTAFTER($H177,":"))*(PptoSty[PiColumn]=M$54),0)),SUM(IF((INDIRECT($B$3)=$B177)*(INDIRECT($C$3)=$D177)*((INDIRECT($E$3)="TOTS")+(INDIRECT($E$3)=$E177)),INDIRECT(M$3)))),_xlpm.y,SUM(_xlfn.CHOOSECOLS(_xlfn._xlws.FILTER(F_RT14[],(F_RT14[PrjId]=$B177)*(F_RT14[Vrs]=$D177)*(_xlfn.TEXTAFTER(F_RT14[ActGrp],":")=_xlfn.TEXTAFTER($H177,":")),"X"),MATCH("*"&amp;M$54,F_RT14[#Headers],0))),IF(AND(_xlpm.x=0,_xlpm.y&lt;&gt;0),-1,IF(AND(_xlpm.x&lt;&gt;0,_xlpm.y&lt;&gt;0),_xlpm.x,IF(AND(_xlpm.x-SUM(IF((INDIRECT($B$3)=$B177)*(INDIRECT($C$3)=$D177)*((INDIRECT($E$3)="TOTS")+(INDIRECT($E$3)=$E177)),INDIRECT(M$3)))&lt;&gt;0,_xlpm.y=0),-2,_xlpm.x)))),0))</f>
        <v>0</v>
      </c>
      <c r="N177" s="199" cm="1">
        <f t="array" aca="1" ref="N177" ca="1">IF(OR($B177="",$B177="X",$D177="",$D177="X",$E177="",$E177="X"),0,IFERROR(_xlfn.LET(_xlpm.x,SUM(SUM(_xlfn._xlws.FILTER(VALUE(PptoSty[Sign]&amp;1)*(1/PptoSty[Division]),(PptoSty[Division]&lt;&gt;0)*(PptoSty[Division]&lt;&gt;"")*(PptoSty[Division]&lt;&gt;"X")*(PptoSty[Project]=$B177)*(PptoSty[Vrs]=$D177)*(PptoSty[PiRow]=_xlfn.TEXTAFTER($H177,":"))*(PptoSty[PiColumn]=N$54),0)),SUM(IF((INDIRECT($B$3)=$B177)*(INDIRECT($C$3)=$D177)*((INDIRECT($E$3)="TOTS")+(INDIRECT($E$3)=$E177)),INDIRECT(N$3)))),_xlpm.y,SUM(_xlfn.CHOOSECOLS(_xlfn._xlws.FILTER(F_RT14[],(F_RT14[PrjId]=$B177)*(F_RT14[Vrs]=$D177)*(_xlfn.TEXTAFTER(F_RT14[ActGrp],":")=_xlfn.TEXTAFTER($H177,":")),"X"),MATCH("*"&amp;N$54,F_RT14[#Headers],0))),IF(AND(_xlpm.x=0,_xlpm.y&lt;&gt;0),-1,IF(AND(_xlpm.x&lt;&gt;0,_xlpm.y&lt;&gt;0),_xlpm.x,IF(AND(_xlpm.x-SUM(IF((INDIRECT($B$3)=$B177)*(INDIRECT($C$3)=$D177)*((INDIRECT($E$3)="TOTS")+(INDIRECT($E$3)=$E177)),INDIRECT(N$3)))&lt;&gt;0,_xlpm.y=0),-2,_xlpm.x)))),0))</f>
        <v>-1</v>
      </c>
      <c r="O177" s="199" cm="1">
        <f t="array" aca="1" ref="O177" ca="1">IF(OR($B177="",$B177="X",$D177="",$D177="X",$E177="",$E177="X"),0,IFERROR(_xlfn.LET(_xlpm.x,SUM(SUM(_xlfn._xlws.FILTER(VALUE(PptoSty[Sign]&amp;1)*(1/PptoSty[Division]),(PptoSty[Division]&lt;&gt;0)*(PptoSty[Division]&lt;&gt;"")*(PptoSty[Division]&lt;&gt;"X")*(PptoSty[Project]=$B177)*(PptoSty[Vrs]=$D177)*(PptoSty[PiRow]=_xlfn.TEXTAFTER($H177,":"))*(PptoSty[PiColumn]=O$54),0)),SUM(IF((INDIRECT($B$3)=$B177)*(INDIRECT($C$3)=$D177)*((INDIRECT($E$3)="TOTS")+(INDIRECT($E$3)=$E177)),INDIRECT(O$3)))),_xlpm.y,SUM(_xlfn.CHOOSECOLS(_xlfn._xlws.FILTER(F_RT14[],(F_RT14[PrjId]=$B177)*(F_RT14[Vrs]=$D177)*(_xlfn.TEXTAFTER(F_RT14[ActGrp],":")=_xlfn.TEXTAFTER($H177,":")),"X"),MATCH("*"&amp;O$54,F_RT14[#Headers],0))),IF(AND(_xlpm.x=0,_xlpm.y&lt;&gt;0),-1,IF(AND(_xlpm.x&lt;&gt;0,_xlpm.y&lt;&gt;0),_xlpm.x,IF(AND(_xlpm.x-SUM(IF((INDIRECT($B$3)=$B177)*(INDIRECT($C$3)=$D177)*((INDIRECT($E$3)="TOTS")+(INDIRECT($E$3)=$E177)),INDIRECT(O$3)))&lt;&gt;0,_xlpm.y=0),-2,_xlpm.x)))),0))</f>
        <v>0</v>
      </c>
      <c r="P177" s="199" cm="1">
        <f t="array" aca="1" ref="P177" ca="1">IF(OR($B177="",$B177="X",$D177="",$D177="X",$E177="",$E177="X"),0,IFERROR(_xlfn.LET(_xlpm.x,SUM(SUM(_xlfn._xlws.FILTER(VALUE(PptoSty[Sign]&amp;1)*(1/PptoSty[Division]),(PptoSty[Division]&lt;&gt;0)*(PptoSty[Division]&lt;&gt;"")*(PptoSty[Division]&lt;&gt;"X")*(PptoSty[Project]=$B177)*(PptoSty[Vrs]=$D177)*(PptoSty[PiRow]=_xlfn.TEXTAFTER($H177,":"))*(PptoSty[PiColumn]=P$54),0)),SUM(IF((INDIRECT($B$3)=$B177)*(INDIRECT($C$3)=$D177)*((INDIRECT($E$3)="TOTS")+(INDIRECT($E$3)=$E177)),INDIRECT(P$3)))),_xlpm.y,SUM(_xlfn.CHOOSECOLS(_xlfn._xlws.FILTER(F_RT14[],(F_RT14[PrjId]=$B177)*(F_RT14[Vrs]=$D177)*(_xlfn.TEXTAFTER(F_RT14[ActGrp],":")=_xlfn.TEXTAFTER($H177,":")),"X"),MATCH("*"&amp;P$54,F_RT14[#Headers],0))),IF(AND(_xlpm.x=0,_xlpm.y&lt;&gt;0),-1,IF(AND(_xlpm.x&lt;&gt;0,_xlpm.y&lt;&gt;0),_xlpm.x,IF(AND(_xlpm.x-SUM(IF((INDIRECT($B$3)=$B177)*(INDIRECT($C$3)=$D177)*((INDIRECT($E$3)="TOTS")+(INDIRECT($E$3)=$E177)),INDIRECT(P$3)))&lt;&gt;0,_xlpm.y=0),-2,_xlpm.x)))),0))</f>
        <v>-1</v>
      </c>
      <c r="Q177" s="199" cm="1">
        <f t="array" aca="1" ref="Q177" ca="1">IF(OR($B177="",$B177="X",$D177="",$D177="X",$E177="",$E177="X"),0,IFERROR(_xlfn.LET(_xlpm.x,SUM(SUM(_xlfn._xlws.FILTER(VALUE(PptoSty[Sign]&amp;1)*(1/PptoSty[Division]),(PptoSty[Division]&lt;&gt;0)*(PptoSty[Division]&lt;&gt;"")*(PptoSty[Division]&lt;&gt;"X")*(PptoSty[Project]=$B177)*(PptoSty[Vrs]=$D177)*(PptoSty[PiRow]=_xlfn.TEXTAFTER($H177,":"))*(PptoSty[PiColumn]=Q$54),0)),SUM(IF((INDIRECT($B$3)=$B177)*(INDIRECT($C$3)=$D177)*((INDIRECT($E$3)="TOTS")+(INDIRECT($E$3)=$E177)),INDIRECT(Q$3)))),_xlpm.y,SUM(_xlfn.CHOOSECOLS(_xlfn._xlws.FILTER(F_RT14[],(F_RT14[PrjId]=$B177)*(F_RT14[Vrs]=$D177)*(_xlfn.TEXTAFTER(F_RT14[ActGrp],":")=_xlfn.TEXTAFTER($H177,":")),"X"),MATCH("*"&amp;Q$54,F_RT14[#Headers],0))),IF(AND(_xlpm.x=0,_xlpm.y&lt;&gt;0),-1,IF(AND(_xlpm.x&lt;&gt;0,_xlpm.y&lt;&gt;0),_xlpm.x,IF(AND(_xlpm.x-SUM(IF((INDIRECT($B$3)=$B177)*(INDIRECT($C$3)=$D177)*((INDIRECT($E$3)="TOTS")+(INDIRECT($E$3)=$E177)),INDIRECT(Q$3)))&lt;&gt;0,_xlpm.y=0),-2,_xlpm.x)))),0))</f>
        <v>-1</v>
      </c>
      <c r="R177" s="199" cm="1">
        <f t="array" aca="1" ref="R177" ca="1">IF(OR($B177="",$B177="X",$D177="",$D177="X",$E177="",$E177="X"),0,IFERROR(_xlfn.LET(_xlpm.x,SUM(SUM(_xlfn._xlws.FILTER(VALUE(PptoSty[Sign]&amp;1)*(1/PptoSty[Division]),(PptoSty[Division]&lt;&gt;0)*(PptoSty[Division]&lt;&gt;"")*(PptoSty[Division]&lt;&gt;"X")*(PptoSty[Project]=$B177)*(PptoSty[Vrs]=$D177)*(PptoSty[PiRow]=_xlfn.TEXTAFTER($H177,":"))*(PptoSty[PiColumn]=R$54),0)),SUM(IF((INDIRECT($B$3)=$B177)*(INDIRECT($C$3)=$D177)*((INDIRECT($E$3)="TOTS")+(INDIRECT($E$3)=$E177)),INDIRECT(R$3)))),_xlpm.y,SUM(_xlfn.CHOOSECOLS(_xlfn._xlws.FILTER(F_RT14[],(F_RT14[PrjId]=$B177)*(F_RT14[Vrs]=$D177)*(_xlfn.TEXTAFTER(F_RT14[ActGrp],":")=_xlfn.TEXTAFTER($H177,":")),"X"),MATCH("*"&amp;R$54,F_RT14[#Headers],0))),IF(AND(_xlpm.x=0,_xlpm.y&lt;&gt;0),-1,IF(AND(_xlpm.x&lt;&gt;0,_xlpm.y&lt;&gt;0),_xlpm.x,IF(AND(_xlpm.x-SUM(IF((INDIRECT($B$3)=$B177)*(INDIRECT($C$3)=$D177)*((INDIRECT($E$3)="TOTS")+(INDIRECT($E$3)=$E177)),INDIRECT(R$3)))&lt;&gt;0,_xlpm.y=0),-2,_xlpm.x)))),0))</f>
        <v>-1</v>
      </c>
      <c r="S177" s="199" cm="1">
        <f t="array" aca="1" ref="S177" ca="1">IF(OR($B177="",$B177="X",$D177="",$D177="X",$E177="",$E177="X"),0,IFERROR(_xlfn.LET(_xlpm.x,SUM(SUM(_xlfn._xlws.FILTER(VALUE(PptoSty[Sign]&amp;1)*(1/PptoSty[Division]),(PptoSty[Division]&lt;&gt;0)*(PptoSty[Division]&lt;&gt;"")*(PptoSty[Division]&lt;&gt;"X")*(PptoSty[Project]=$B177)*(PptoSty[Vrs]=$D177)*(PptoSty[PiRow]=_xlfn.TEXTAFTER($H177,":"))*(PptoSty[PiColumn]=S$54),0)),SUM(IF((INDIRECT($B$3)=$B177)*(INDIRECT($C$3)=$D177)*((INDIRECT($E$3)="TOTS")+(INDIRECT($E$3)=$E177)),INDIRECT(S$3)))),_xlpm.y,SUM(_xlfn.CHOOSECOLS(_xlfn._xlws.FILTER(F_RT14[],(F_RT14[PrjId]=$B177)*(F_RT14[Vrs]=$D177)*(_xlfn.TEXTAFTER(F_RT14[ActGrp],":")=_xlfn.TEXTAFTER($H177,":")),"X"),MATCH("*"&amp;S$54,F_RT14[#Headers],0))),IF(AND(_xlpm.x=0,_xlpm.y&lt;&gt;0),-1,IF(AND(_xlpm.x&lt;&gt;0,_xlpm.y&lt;&gt;0),_xlpm.x,IF(AND(_xlpm.x-SUM(IF((INDIRECT($B$3)=$B177)*(INDIRECT($C$3)=$D177)*((INDIRECT($E$3)="TOTS")+(INDIRECT($E$3)=$E177)),INDIRECT(S$3)))&lt;&gt;0,_xlpm.y=0),-2,_xlpm.x)))),0))</f>
        <v>-1</v>
      </c>
      <c r="T177" s="199" cm="1">
        <f t="array" aca="1" ref="T177" ca="1">IF(OR($B177="",$B177="X",$D177="",$D177="X",$E177="",$E177="X"),0,IFERROR(_xlfn.LET(_xlpm.x,SUM(SUM(_xlfn._xlws.FILTER(VALUE(PptoSty[Sign]&amp;1)*(1/PptoSty[Division]),(PptoSty[Division]&lt;&gt;0)*(PptoSty[Division]&lt;&gt;"")*(PptoSty[Division]&lt;&gt;"X")*(PptoSty[Project]=$B177)*(PptoSty[Vrs]=$D177)*(PptoSty[PiRow]=_xlfn.TEXTAFTER($H177,":"))*(PptoSty[PiColumn]=T$54),0)),SUM(IF((INDIRECT($B$3)=$B177)*(INDIRECT($C$3)=$D177)*((INDIRECT($E$3)="TOTS")+(INDIRECT($E$3)=$E177)),INDIRECT(T$3)))),_xlpm.y,SUM(_xlfn.CHOOSECOLS(_xlfn._xlws.FILTER(F_RT14[],(F_RT14[PrjId]=$B177)*(F_RT14[Vrs]=$D177)*(_xlfn.TEXTAFTER(F_RT14[ActGrp],":")=_xlfn.TEXTAFTER($H177,":")),"X"),MATCH("*"&amp;T$54,F_RT14[#Headers],0))),IF(AND(_xlpm.x=0,_xlpm.y&lt;&gt;0),-1,IF(AND(_xlpm.x&lt;&gt;0,_xlpm.y&lt;&gt;0),_xlpm.x,IF(AND(_xlpm.x-SUM(IF((INDIRECT($B$3)=$B177)*(INDIRECT($C$3)=$D177)*((INDIRECT($E$3)="TOTS")+(INDIRECT($E$3)=$E177)),INDIRECT(T$3)))&lt;&gt;0,_xlpm.y=0),-2,_xlpm.x)))),0))</f>
        <v>-1</v>
      </c>
      <c r="U177" s="199" cm="1">
        <f t="array" aca="1" ref="U177" ca="1">IF(OR($B177="",$B177="X",$D177="",$D177="X",$E177="",$E177="X"),0,IFERROR(_xlfn.LET(_xlpm.x,SUM(SUM(_xlfn._xlws.FILTER(VALUE(PptoSty[Sign]&amp;1)*(1/PptoSty[Division]),(PptoSty[Division]&lt;&gt;0)*(PptoSty[Division]&lt;&gt;"")*(PptoSty[Division]&lt;&gt;"X")*(PptoSty[Project]=$B177)*(PptoSty[Vrs]=$D177)*(PptoSty[PiRow]=_xlfn.TEXTAFTER($H177,":"))*(PptoSty[PiColumn]=U$54),0)),SUM(IF((INDIRECT($B$3)=$B177)*(INDIRECT($C$3)=$D177)*((INDIRECT($E$3)="TOTS")+(INDIRECT($E$3)=$E177)),INDIRECT(U$3)))),_xlpm.y,SUM(_xlfn.CHOOSECOLS(_xlfn._xlws.FILTER(F_RT14[],(F_RT14[PrjId]=$B177)*(F_RT14[Vrs]=$D177)*(_xlfn.TEXTAFTER(F_RT14[ActGrp],":")=_xlfn.TEXTAFTER($H177,":")),"X"),MATCH("*"&amp;U$54,F_RT14[#Headers],0))),IF(AND(_xlpm.x=0,_xlpm.y&lt;&gt;0),-1,IF(AND(_xlpm.x&lt;&gt;0,_xlpm.y&lt;&gt;0),_xlpm.x,IF(AND(_xlpm.x-SUM(IF((INDIRECT($B$3)=$B177)*(INDIRECT($C$3)=$D177)*((INDIRECT($E$3)="TOTS")+(INDIRECT($E$3)=$E177)),INDIRECT(U$3)))&lt;&gt;0,_xlpm.y=0),-2,_xlpm.x)))),0))</f>
        <v>0</v>
      </c>
      <c r="V177" s="199" cm="1">
        <f t="array" aca="1" ref="V177" ca="1">IF(OR($B177="",$B177="X",$D177="",$D177="X",$E177="",$E177="X"),0,IFERROR(_xlfn.LET(_xlpm.x,SUM(SUM(_xlfn._xlws.FILTER(VALUE(PptoSty[Sign]&amp;1)*(1/PptoSty[Division]),(PptoSty[Division]&lt;&gt;0)*(PptoSty[Division]&lt;&gt;"")*(PptoSty[Division]&lt;&gt;"X")*(PptoSty[Project]=$B177)*(PptoSty[Vrs]=$D177)*(PptoSty[PiRow]=_xlfn.TEXTAFTER($H177,":"))*(PptoSty[PiColumn]=V$54),0)),SUM(IF((INDIRECT($B$3)=$B177)*(INDIRECT($C$3)=$D177)*((INDIRECT($E$3)="TOTS")+(INDIRECT($E$3)=$E177)),INDIRECT(V$3)))),_xlpm.y,SUM(_xlfn.CHOOSECOLS(_xlfn._xlws.FILTER(F_RT14[],(F_RT14[PrjId]=$B177)*(F_RT14[Vrs]=$D177)*(_xlfn.TEXTAFTER(F_RT14[ActGrp],":")=_xlfn.TEXTAFTER($H177,":")),"X"),MATCH("*"&amp;V$54,F_RT14[#Headers],0))),IF(AND(_xlpm.x=0,_xlpm.y&lt;&gt;0),-1,IF(AND(_xlpm.x&lt;&gt;0,_xlpm.y&lt;&gt;0),_xlpm.x,IF(AND(_xlpm.x-SUM(IF((INDIRECT($B$3)=$B177)*(INDIRECT($C$3)=$D177)*((INDIRECT($E$3)="TOTS")+(INDIRECT($E$3)=$E177)),INDIRECT(V$3)))&lt;&gt;0,_xlpm.y=0),-2,_xlpm.x)))),0))</f>
        <v>-1</v>
      </c>
      <c r="W177" s="199" cm="1">
        <f t="array" aca="1" ref="W177" ca="1">IF(OR($B177="",$B177="X",$D177="",$D177="X",$E177="",$E177="X"),0,IFERROR(_xlfn.LET(_xlpm.x,SUM(SUM(_xlfn._xlws.FILTER(VALUE(PptoSty[Sign]&amp;1)*(1/PptoSty[Division]),(PptoSty[Division]&lt;&gt;0)*(PptoSty[Division]&lt;&gt;"")*(PptoSty[Division]&lt;&gt;"X")*(PptoSty[Project]=$B177)*(PptoSty[Vrs]=$D177)*(PptoSty[PiRow]=_xlfn.TEXTAFTER($H177,":"))*(PptoSty[PiColumn]=W$54),0)),SUM(IF((INDIRECT($B$3)=$B177)*(INDIRECT($C$3)=$D177)*((INDIRECT($E$3)="TOTS")+(INDIRECT($E$3)=$E177)),INDIRECT(W$3)))),_xlpm.y,SUM(_xlfn.CHOOSECOLS(_xlfn._xlws.FILTER(F_RT14[],(F_RT14[PrjId]=$B177)*(F_RT14[Vrs]=$D177)*(_xlfn.TEXTAFTER(F_RT14[ActGrp],":")=_xlfn.TEXTAFTER($H177,":")),"X"),MATCH("*"&amp;W$54,F_RT14[#Headers],0))),IF(AND(_xlpm.x=0,_xlpm.y&lt;&gt;0),-1,IF(AND(_xlpm.x&lt;&gt;0,_xlpm.y&lt;&gt;0),_xlpm.x,IF(AND(_xlpm.x-SUM(IF((INDIRECT($B$3)=$B177)*(INDIRECT($C$3)=$D177)*((INDIRECT($E$3)="TOTS")+(INDIRECT($E$3)=$E177)),INDIRECT(W$3)))&lt;&gt;0,_xlpm.y=0),-2,_xlpm.x)))),0))</f>
        <v>-1</v>
      </c>
      <c r="X177" s="199" cm="1">
        <f t="array" aca="1" ref="X177" ca="1">IF(OR($B177="",$B177="X",$D177="",$D177="X",$E177="",$E177="X"),0,IFERROR(_xlfn.LET(_xlpm.x,SUM(SUM(_xlfn._xlws.FILTER(VALUE(PptoSty[Sign]&amp;1)*(1/PptoSty[Division]),(PptoSty[Division]&lt;&gt;0)*(PptoSty[Division]&lt;&gt;"")*(PptoSty[Division]&lt;&gt;"X")*(PptoSty[Project]=$B177)*(PptoSty[Vrs]=$D177)*(PptoSty[PiRow]=_xlfn.TEXTAFTER($H177,":"))*(PptoSty[PiColumn]=X$54),0)),SUM(IF((INDIRECT($B$3)=$B177)*(INDIRECT($C$3)=$D177)*((INDIRECT($E$3)="TOTS")+(INDIRECT($E$3)=$E177)),INDIRECT(X$3)))),_xlpm.y,SUM(_xlfn.CHOOSECOLS(_xlfn._xlws.FILTER(F_RT14[],(F_RT14[PrjId]=$B177)*(F_RT14[Vrs]=$D177)*(_xlfn.TEXTAFTER(F_RT14[ActGrp],":")=_xlfn.TEXTAFTER($H177,":")),"X"),MATCH("*"&amp;X$54,F_RT14[#Headers],0))),IF(AND(_xlpm.x=0,_xlpm.y&lt;&gt;0),-1,IF(AND(_xlpm.x&lt;&gt;0,_xlpm.y&lt;&gt;0),_xlpm.x,IF(AND(_xlpm.x-SUM(IF((INDIRECT($B$3)=$B177)*(INDIRECT($C$3)=$D177)*((INDIRECT($E$3)="TOTS")+(INDIRECT($E$3)=$E177)),INDIRECT(X$3)))&lt;&gt;0,_xlpm.y=0),-2,_xlpm.x)))),0))</f>
        <v>-1</v>
      </c>
      <c r="Y177" s="199" cm="1">
        <f t="array" aca="1" ref="Y177" ca="1">IF(OR($B177="",$B177="X",$D177="",$D177="X",$E177="",$E177="X"),0,IFERROR(_xlfn.LET(_xlpm.x,SUM(SUM(_xlfn._xlws.FILTER(VALUE(PptoSty[Sign]&amp;1)*(1/PptoSty[Division]),(PptoSty[Division]&lt;&gt;0)*(PptoSty[Division]&lt;&gt;"")*(PptoSty[Division]&lt;&gt;"X")*(PptoSty[Project]=$B177)*(PptoSty[Vrs]=$D177)*(PptoSty[PiRow]=_xlfn.TEXTAFTER($H177,":"))*(PptoSty[PiColumn]=Y$54),0)),SUM(IF((INDIRECT($B$3)=$B177)*(INDIRECT($C$3)=$D177)*((INDIRECT($E$3)="TOTS")+(INDIRECT($E$3)=$E177)),INDIRECT(Y$3)))),_xlpm.y,SUM(_xlfn.CHOOSECOLS(_xlfn._xlws.FILTER(F_RT14[],(F_RT14[PrjId]=$B177)*(F_RT14[Vrs]=$D177)*(_xlfn.TEXTAFTER(F_RT14[ActGrp],":")=_xlfn.TEXTAFTER($H177,":")),"X"),MATCH("*"&amp;Y$54,F_RT14[#Headers],0))),IF(AND(_xlpm.x=0,_xlpm.y&lt;&gt;0),-1,IF(AND(_xlpm.x&lt;&gt;0,_xlpm.y&lt;&gt;0),_xlpm.x,IF(AND(_xlpm.x-SUM(IF((INDIRECT($B$3)=$B177)*(INDIRECT($C$3)=$D177)*((INDIRECT($E$3)="TOTS")+(INDIRECT($E$3)=$E177)),INDIRECT(Y$3)))&lt;&gt;0,_xlpm.y=0),-2,_xlpm.x)))),0))</f>
        <v>0</v>
      </c>
      <c r="Z177" s="198" t="str">
        <f t="shared" ca="1" si="3"/>
        <v>Fback!B177:Y177</v>
      </c>
    </row>
    <row r="178" spans="2:26" ht="21" customHeight="1" outlineLevel="1">
      <c r="B178" s="128" t="str">
        <v>31200</v>
      </c>
      <c r="C178" s="128" t="str">
        <v>Sp</v>
      </c>
      <c r="D178" s="128">
        <v>0</v>
      </c>
      <c r="E178" s="128" t="str">
        <v>TOOL</v>
      </c>
      <c r="F178" s="139" t="str">
        <v>SERRA</v>
      </c>
      <c r="G178" s="139" t="str">
        <v>CurPpto</v>
      </c>
      <c r="H178" s="139" t="str">
        <v>P006:OP-50.1/2 GEO</v>
      </c>
      <c r="I178" s="199" cm="1">
        <f t="array" aca="1" ref="I178" ca="1">IF(OR($B178="",$B178="X",$D178="",$D178="X",$E178="",$E178="X"),0,IFERROR(_xlfn.LET(_xlpm.x,SUM(SUM(_xlfn._xlws.FILTER(VALUE(PptoSty[Sign]&amp;1)*(1/PptoSty[Division]),(PptoSty[Division]&lt;&gt;0)*(PptoSty[Division]&lt;&gt;"")*(PptoSty[Division]&lt;&gt;"X")*(PptoSty[Project]=$B178)*(PptoSty[Vrs]=$D178)*(PptoSty[PiRow]=_xlfn.TEXTAFTER($H178,":"))*(PptoSty[PiColumn]=I$54),0)),SUM(IF((INDIRECT($B$3)=$B178)*(INDIRECT($C$3)=$D178)*((INDIRECT($E$3)="TOTS")+(INDIRECT($E$3)=$E178)),INDIRECT(I$3)))),_xlpm.y,SUM(_xlfn.CHOOSECOLS(_xlfn._xlws.FILTER(F_RT14[],(F_RT14[PrjId]=$B178)*(F_RT14[Vrs]=$D178)*(_xlfn.TEXTAFTER(F_RT14[ActGrp],":")=_xlfn.TEXTAFTER($H178,":")),"X"),MATCH("*"&amp;I$54,F_RT14[#Headers],0))),IF(AND(_xlpm.x=0,_xlpm.y&lt;&gt;0),-1,IF(AND(_xlpm.x&lt;&gt;0,_xlpm.y&lt;&gt;0),_xlpm.x,IF(AND(_xlpm.x-SUM(IF((INDIRECT($B$3)=$B178)*(INDIRECT($C$3)=$D178)*((INDIRECT($E$3)="TOTS")+(INDIRECT($E$3)=$E178)),INDIRECT(I$3)))&lt;&gt;0,_xlpm.y=0),-2,_xlpm.x)))),0))</f>
        <v>0</v>
      </c>
      <c r="J178" s="199" cm="1">
        <f t="array" aca="1" ref="J178" ca="1">IF(OR($B178="",$B178="X",$D178="",$D178="X",$E178="",$E178="X"),0,IFERROR(_xlfn.LET(_xlpm.x,SUM(SUM(_xlfn._xlws.FILTER(VALUE(PptoSty[Sign]&amp;1)*(1/PptoSty[Division]),(PptoSty[Division]&lt;&gt;0)*(PptoSty[Division]&lt;&gt;"")*(PptoSty[Division]&lt;&gt;"X")*(PptoSty[Project]=$B178)*(PptoSty[Vrs]=$D178)*(PptoSty[PiRow]=_xlfn.TEXTAFTER($H178,":"))*(PptoSty[PiColumn]=J$54),0)),SUM(IF((INDIRECT($B$3)=$B178)*(INDIRECT($C$3)=$D178)*((INDIRECT($E$3)="TOTS")+(INDIRECT($E$3)=$E178)),INDIRECT(J$3)))),_xlpm.y,SUM(_xlfn.CHOOSECOLS(_xlfn._xlws.FILTER(F_RT14[],(F_RT14[PrjId]=$B178)*(F_RT14[Vrs]=$D178)*(_xlfn.TEXTAFTER(F_RT14[ActGrp],":")=_xlfn.TEXTAFTER($H178,":")),"X"),MATCH("*"&amp;J$54,F_RT14[#Headers],0))),IF(AND(_xlpm.x=0,_xlpm.y&lt;&gt;0),-1,IF(AND(_xlpm.x&lt;&gt;0,_xlpm.y&lt;&gt;0),_xlpm.x,IF(AND(_xlpm.x-SUM(IF((INDIRECT($B$3)=$B178)*(INDIRECT($C$3)=$D178)*((INDIRECT($E$3)="TOTS")+(INDIRECT($E$3)=$E178)),INDIRECT(J$3)))&lt;&gt;0,_xlpm.y=0),-2,_xlpm.x)))),0))</f>
        <v>0</v>
      </c>
      <c r="K178" s="199" cm="1">
        <f t="array" aca="1" ref="K178" ca="1">IF(OR($B178="",$B178="X",$D178="",$D178="X",$E178="",$E178="X"),0,IFERROR(_xlfn.LET(_xlpm.x,SUM(SUM(_xlfn._xlws.FILTER(VALUE(PptoSty[Sign]&amp;1)*(1/PptoSty[Division]),(PptoSty[Division]&lt;&gt;0)*(PptoSty[Division]&lt;&gt;"")*(PptoSty[Division]&lt;&gt;"X")*(PptoSty[Project]=$B178)*(PptoSty[Vrs]=$D178)*(PptoSty[PiRow]=_xlfn.TEXTAFTER($H178,":"))*(PptoSty[PiColumn]=K$54),0)),SUM(IF((INDIRECT($B$3)=$B178)*(INDIRECT($C$3)=$D178)*((INDIRECT($E$3)="TOTS")+(INDIRECT($E$3)=$E178)),INDIRECT(K$3)))),_xlpm.y,SUM(_xlfn.CHOOSECOLS(_xlfn._xlws.FILTER(F_RT14[],(F_RT14[PrjId]=$B178)*(F_RT14[Vrs]=$D178)*(_xlfn.TEXTAFTER(F_RT14[ActGrp],":")=_xlfn.TEXTAFTER($H178,":")),"X"),MATCH("*"&amp;K$54,F_RT14[#Headers],0))),IF(AND(_xlpm.x=0,_xlpm.y&lt;&gt;0),-1,IF(AND(_xlpm.x&lt;&gt;0,_xlpm.y&lt;&gt;0),_xlpm.x,IF(AND(_xlpm.x-SUM(IF((INDIRECT($B$3)=$B178)*(INDIRECT($C$3)=$D178)*((INDIRECT($E$3)="TOTS")+(INDIRECT($E$3)=$E178)),INDIRECT(K$3)))&lt;&gt;0,_xlpm.y=0),-2,_xlpm.x)))),0))</f>
        <v>-1</v>
      </c>
      <c r="L178" s="199" cm="1">
        <f t="array" aca="1" ref="L178" ca="1">IF(OR($B178="",$B178="X",$D178="",$D178="X",$E178="",$E178="X"),0,IFERROR(_xlfn.LET(_xlpm.x,SUM(SUM(_xlfn._xlws.FILTER(VALUE(PptoSty[Sign]&amp;1)*(1/PptoSty[Division]),(PptoSty[Division]&lt;&gt;0)*(PptoSty[Division]&lt;&gt;"")*(PptoSty[Division]&lt;&gt;"X")*(PptoSty[Project]=$B178)*(PptoSty[Vrs]=$D178)*(PptoSty[PiRow]=_xlfn.TEXTAFTER($H178,":"))*(PptoSty[PiColumn]=L$54),0)),SUM(IF((INDIRECT($B$3)=$B178)*(INDIRECT($C$3)=$D178)*((INDIRECT($E$3)="TOTS")+(INDIRECT($E$3)=$E178)),INDIRECT(L$3)))),_xlpm.y,SUM(_xlfn.CHOOSECOLS(_xlfn._xlws.FILTER(F_RT14[],(F_RT14[PrjId]=$B178)*(F_RT14[Vrs]=$D178)*(_xlfn.TEXTAFTER(F_RT14[ActGrp],":")=_xlfn.TEXTAFTER($H178,":")),"X"),MATCH("*"&amp;L$54,F_RT14[#Headers],0))),IF(AND(_xlpm.x=0,_xlpm.y&lt;&gt;0),-1,IF(AND(_xlpm.x&lt;&gt;0,_xlpm.y&lt;&gt;0),_xlpm.x,IF(AND(_xlpm.x-SUM(IF((INDIRECT($B$3)=$B178)*(INDIRECT($C$3)=$D178)*((INDIRECT($E$3)="TOTS")+(INDIRECT($E$3)=$E178)),INDIRECT(L$3)))&lt;&gt;0,_xlpm.y=0),-2,_xlpm.x)))),0))</f>
        <v>0</v>
      </c>
      <c r="M178" s="199" cm="1">
        <f t="array" aca="1" ref="M178" ca="1">IF(OR($B178="",$B178="X",$D178="",$D178="X",$E178="",$E178="X"),0,IFERROR(_xlfn.LET(_xlpm.x,SUM(SUM(_xlfn._xlws.FILTER(VALUE(PptoSty[Sign]&amp;1)*(1/PptoSty[Division]),(PptoSty[Division]&lt;&gt;0)*(PptoSty[Division]&lt;&gt;"")*(PptoSty[Division]&lt;&gt;"X")*(PptoSty[Project]=$B178)*(PptoSty[Vrs]=$D178)*(PptoSty[PiRow]=_xlfn.TEXTAFTER($H178,":"))*(PptoSty[PiColumn]=M$54),0)),SUM(IF((INDIRECT($B$3)=$B178)*(INDIRECT($C$3)=$D178)*((INDIRECT($E$3)="TOTS")+(INDIRECT($E$3)=$E178)),INDIRECT(M$3)))),_xlpm.y,SUM(_xlfn.CHOOSECOLS(_xlfn._xlws.FILTER(F_RT14[],(F_RT14[PrjId]=$B178)*(F_RT14[Vrs]=$D178)*(_xlfn.TEXTAFTER(F_RT14[ActGrp],":")=_xlfn.TEXTAFTER($H178,":")),"X"),MATCH("*"&amp;M$54,F_RT14[#Headers],0))),IF(AND(_xlpm.x=0,_xlpm.y&lt;&gt;0),-1,IF(AND(_xlpm.x&lt;&gt;0,_xlpm.y&lt;&gt;0),_xlpm.x,IF(AND(_xlpm.x-SUM(IF((INDIRECT($B$3)=$B178)*(INDIRECT($C$3)=$D178)*((INDIRECT($E$3)="TOTS")+(INDIRECT($E$3)=$E178)),INDIRECT(M$3)))&lt;&gt;0,_xlpm.y=0),-2,_xlpm.x)))),0))</f>
        <v>0</v>
      </c>
      <c r="N178" s="199" cm="1">
        <f t="array" aca="1" ref="N178" ca="1">IF(OR($B178="",$B178="X",$D178="",$D178="X",$E178="",$E178="X"),0,IFERROR(_xlfn.LET(_xlpm.x,SUM(SUM(_xlfn._xlws.FILTER(VALUE(PptoSty[Sign]&amp;1)*(1/PptoSty[Division]),(PptoSty[Division]&lt;&gt;0)*(PptoSty[Division]&lt;&gt;"")*(PptoSty[Division]&lt;&gt;"X")*(PptoSty[Project]=$B178)*(PptoSty[Vrs]=$D178)*(PptoSty[PiRow]=_xlfn.TEXTAFTER($H178,":"))*(PptoSty[PiColumn]=N$54),0)),SUM(IF((INDIRECT($B$3)=$B178)*(INDIRECT($C$3)=$D178)*((INDIRECT($E$3)="TOTS")+(INDIRECT($E$3)=$E178)),INDIRECT(N$3)))),_xlpm.y,SUM(_xlfn.CHOOSECOLS(_xlfn._xlws.FILTER(F_RT14[],(F_RT14[PrjId]=$B178)*(F_RT14[Vrs]=$D178)*(_xlfn.TEXTAFTER(F_RT14[ActGrp],":")=_xlfn.TEXTAFTER($H178,":")),"X"),MATCH("*"&amp;N$54,F_RT14[#Headers],0))),IF(AND(_xlpm.x=0,_xlpm.y&lt;&gt;0),-1,IF(AND(_xlpm.x&lt;&gt;0,_xlpm.y&lt;&gt;0),_xlpm.x,IF(AND(_xlpm.x-SUM(IF((INDIRECT($B$3)=$B178)*(INDIRECT($C$3)=$D178)*((INDIRECT($E$3)="TOTS")+(INDIRECT($E$3)=$E178)),INDIRECT(N$3)))&lt;&gt;0,_xlpm.y=0),-2,_xlpm.x)))),0))</f>
        <v>-1</v>
      </c>
      <c r="O178" s="199" cm="1">
        <f t="array" aca="1" ref="O178" ca="1">IF(OR($B178="",$B178="X",$D178="",$D178="X",$E178="",$E178="X"),0,IFERROR(_xlfn.LET(_xlpm.x,SUM(SUM(_xlfn._xlws.FILTER(VALUE(PptoSty[Sign]&amp;1)*(1/PptoSty[Division]),(PptoSty[Division]&lt;&gt;0)*(PptoSty[Division]&lt;&gt;"")*(PptoSty[Division]&lt;&gt;"X")*(PptoSty[Project]=$B178)*(PptoSty[Vrs]=$D178)*(PptoSty[PiRow]=_xlfn.TEXTAFTER($H178,":"))*(PptoSty[PiColumn]=O$54),0)),SUM(IF((INDIRECT($B$3)=$B178)*(INDIRECT($C$3)=$D178)*((INDIRECT($E$3)="TOTS")+(INDIRECT($E$3)=$E178)),INDIRECT(O$3)))),_xlpm.y,SUM(_xlfn.CHOOSECOLS(_xlfn._xlws.FILTER(F_RT14[],(F_RT14[PrjId]=$B178)*(F_RT14[Vrs]=$D178)*(_xlfn.TEXTAFTER(F_RT14[ActGrp],":")=_xlfn.TEXTAFTER($H178,":")),"X"),MATCH("*"&amp;O$54,F_RT14[#Headers],0))),IF(AND(_xlpm.x=0,_xlpm.y&lt;&gt;0),-1,IF(AND(_xlpm.x&lt;&gt;0,_xlpm.y&lt;&gt;0),_xlpm.x,IF(AND(_xlpm.x-SUM(IF((INDIRECT($B$3)=$B178)*(INDIRECT($C$3)=$D178)*((INDIRECT($E$3)="TOTS")+(INDIRECT($E$3)=$E178)),INDIRECT(O$3)))&lt;&gt;0,_xlpm.y=0),-2,_xlpm.x)))),0))</f>
        <v>0</v>
      </c>
      <c r="P178" s="199" cm="1">
        <f t="array" aca="1" ref="P178" ca="1">IF(OR($B178="",$B178="X",$D178="",$D178="X",$E178="",$E178="X"),0,IFERROR(_xlfn.LET(_xlpm.x,SUM(SUM(_xlfn._xlws.FILTER(VALUE(PptoSty[Sign]&amp;1)*(1/PptoSty[Division]),(PptoSty[Division]&lt;&gt;0)*(PptoSty[Division]&lt;&gt;"")*(PptoSty[Division]&lt;&gt;"X")*(PptoSty[Project]=$B178)*(PptoSty[Vrs]=$D178)*(PptoSty[PiRow]=_xlfn.TEXTAFTER($H178,":"))*(PptoSty[PiColumn]=P$54),0)),SUM(IF((INDIRECT($B$3)=$B178)*(INDIRECT($C$3)=$D178)*((INDIRECT($E$3)="TOTS")+(INDIRECT($E$3)=$E178)),INDIRECT(P$3)))),_xlpm.y,SUM(_xlfn.CHOOSECOLS(_xlfn._xlws.FILTER(F_RT14[],(F_RT14[PrjId]=$B178)*(F_RT14[Vrs]=$D178)*(_xlfn.TEXTAFTER(F_RT14[ActGrp],":")=_xlfn.TEXTAFTER($H178,":")),"X"),MATCH("*"&amp;P$54,F_RT14[#Headers],0))),IF(AND(_xlpm.x=0,_xlpm.y&lt;&gt;0),-1,IF(AND(_xlpm.x&lt;&gt;0,_xlpm.y&lt;&gt;0),_xlpm.x,IF(AND(_xlpm.x-SUM(IF((INDIRECT($B$3)=$B178)*(INDIRECT($C$3)=$D178)*((INDIRECT($E$3)="TOTS")+(INDIRECT($E$3)=$E178)),INDIRECT(P$3)))&lt;&gt;0,_xlpm.y=0),-2,_xlpm.x)))),0))</f>
        <v>-1</v>
      </c>
      <c r="Q178" s="199" cm="1">
        <f t="array" aca="1" ref="Q178" ca="1">IF(OR($B178="",$B178="X",$D178="",$D178="X",$E178="",$E178="X"),0,IFERROR(_xlfn.LET(_xlpm.x,SUM(SUM(_xlfn._xlws.FILTER(VALUE(PptoSty[Sign]&amp;1)*(1/PptoSty[Division]),(PptoSty[Division]&lt;&gt;0)*(PptoSty[Division]&lt;&gt;"")*(PptoSty[Division]&lt;&gt;"X")*(PptoSty[Project]=$B178)*(PptoSty[Vrs]=$D178)*(PptoSty[PiRow]=_xlfn.TEXTAFTER($H178,":"))*(PptoSty[PiColumn]=Q$54),0)),SUM(IF((INDIRECT($B$3)=$B178)*(INDIRECT($C$3)=$D178)*((INDIRECT($E$3)="TOTS")+(INDIRECT($E$3)=$E178)),INDIRECT(Q$3)))),_xlpm.y,SUM(_xlfn.CHOOSECOLS(_xlfn._xlws.FILTER(F_RT14[],(F_RT14[PrjId]=$B178)*(F_RT14[Vrs]=$D178)*(_xlfn.TEXTAFTER(F_RT14[ActGrp],":")=_xlfn.TEXTAFTER($H178,":")),"X"),MATCH("*"&amp;Q$54,F_RT14[#Headers],0))),IF(AND(_xlpm.x=0,_xlpm.y&lt;&gt;0),-1,IF(AND(_xlpm.x&lt;&gt;0,_xlpm.y&lt;&gt;0),_xlpm.x,IF(AND(_xlpm.x-SUM(IF((INDIRECT($B$3)=$B178)*(INDIRECT($C$3)=$D178)*((INDIRECT($E$3)="TOTS")+(INDIRECT($E$3)=$E178)),INDIRECT(Q$3)))&lt;&gt;0,_xlpm.y=0),-2,_xlpm.x)))),0))</f>
        <v>-1</v>
      </c>
      <c r="R178" s="199" cm="1">
        <f t="array" aca="1" ref="R178" ca="1">IF(OR($B178="",$B178="X",$D178="",$D178="X",$E178="",$E178="X"),0,IFERROR(_xlfn.LET(_xlpm.x,SUM(SUM(_xlfn._xlws.FILTER(VALUE(PptoSty[Sign]&amp;1)*(1/PptoSty[Division]),(PptoSty[Division]&lt;&gt;0)*(PptoSty[Division]&lt;&gt;"")*(PptoSty[Division]&lt;&gt;"X")*(PptoSty[Project]=$B178)*(PptoSty[Vrs]=$D178)*(PptoSty[PiRow]=_xlfn.TEXTAFTER($H178,":"))*(PptoSty[PiColumn]=R$54),0)),SUM(IF((INDIRECT($B$3)=$B178)*(INDIRECT($C$3)=$D178)*((INDIRECT($E$3)="TOTS")+(INDIRECT($E$3)=$E178)),INDIRECT(R$3)))),_xlpm.y,SUM(_xlfn.CHOOSECOLS(_xlfn._xlws.FILTER(F_RT14[],(F_RT14[PrjId]=$B178)*(F_RT14[Vrs]=$D178)*(_xlfn.TEXTAFTER(F_RT14[ActGrp],":")=_xlfn.TEXTAFTER($H178,":")),"X"),MATCH("*"&amp;R$54,F_RT14[#Headers],0))),IF(AND(_xlpm.x=0,_xlpm.y&lt;&gt;0),-1,IF(AND(_xlpm.x&lt;&gt;0,_xlpm.y&lt;&gt;0),_xlpm.x,IF(AND(_xlpm.x-SUM(IF((INDIRECT($B$3)=$B178)*(INDIRECT($C$3)=$D178)*((INDIRECT($E$3)="TOTS")+(INDIRECT($E$3)=$E178)),INDIRECT(R$3)))&lt;&gt;0,_xlpm.y=0),-2,_xlpm.x)))),0))</f>
        <v>-1</v>
      </c>
      <c r="S178" s="199" cm="1">
        <f t="array" aca="1" ref="S178" ca="1">IF(OR($B178="",$B178="X",$D178="",$D178="X",$E178="",$E178="X"),0,IFERROR(_xlfn.LET(_xlpm.x,SUM(SUM(_xlfn._xlws.FILTER(VALUE(PptoSty[Sign]&amp;1)*(1/PptoSty[Division]),(PptoSty[Division]&lt;&gt;0)*(PptoSty[Division]&lt;&gt;"")*(PptoSty[Division]&lt;&gt;"X")*(PptoSty[Project]=$B178)*(PptoSty[Vrs]=$D178)*(PptoSty[PiRow]=_xlfn.TEXTAFTER($H178,":"))*(PptoSty[PiColumn]=S$54),0)),SUM(IF((INDIRECT($B$3)=$B178)*(INDIRECT($C$3)=$D178)*((INDIRECT($E$3)="TOTS")+(INDIRECT($E$3)=$E178)),INDIRECT(S$3)))),_xlpm.y,SUM(_xlfn.CHOOSECOLS(_xlfn._xlws.FILTER(F_RT14[],(F_RT14[PrjId]=$B178)*(F_RT14[Vrs]=$D178)*(_xlfn.TEXTAFTER(F_RT14[ActGrp],":")=_xlfn.TEXTAFTER($H178,":")),"X"),MATCH("*"&amp;S$54,F_RT14[#Headers],0))),IF(AND(_xlpm.x=0,_xlpm.y&lt;&gt;0),-1,IF(AND(_xlpm.x&lt;&gt;0,_xlpm.y&lt;&gt;0),_xlpm.x,IF(AND(_xlpm.x-SUM(IF((INDIRECT($B$3)=$B178)*(INDIRECT($C$3)=$D178)*((INDIRECT($E$3)="TOTS")+(INDIRECT($E$3)=$E178)),INDIRECT(S$3)))&lt;&gt;0,_xlpm.y=0),-2,_xlpm.x)))),0))</f>
        <v>-1</v>
      </c>
      <c r="T178" s="199" cm="1">
        <f t="array" aca="1" ref="T178" ca="1">IF(OR($B178="",$B178="X",$D178="",$D178="X",$E178="",$E178="X"),0,IFERROR(_xlfn.LET(_xlpm.x,SUM(SUM(_xlfn._xlws.FILTER(VALUE(PptoSty[Sign]&amp;1)*(1/PptoSty[Division]),(PptoSty[Division]&lt;&gt;0)*(PptoSty[Division]&lt;&gt;"")*(PptoSty[Division]&lt;&gt;"X")*(PptoSty[Project]=$B178)*(PptoSty[Vrs]=$D178)*(PptoSty[PiRow]=_xlfn.TEXTAFTER($H178,":"))*(PptoSty[PiColumn]=T$54),0)),SUM(IF((INDIRECT($B$3)=$B178)*(INDIRECT($C$3)=$D178)*((INDIRECT($E$3)="TOTS")+(INDIRECT($E$3)=$E178)),INDIRECT(T$3)))),_xlpm.y,SUM(_xlfn.CHOOSECOLS(_xlfn._xlws.FILTER(F_RT14[],(F_RT14[PrjId]=$B178)*(F_RT14[Vrs]=$D178)*(_xlfn.TEXTAFTER(F_RT14[ActGrp],":")=_xlfn.TEXTAFTER($H178,":")),"X"),MATCH("*"&amp;T$54,F_RT14[#Headers],0))),IF(AND(_xlpm.x=0,_xlpm.y&lt;&gt;0),-1,IF(AND(_xlpm.x&lt;&gt;0,_xlpm.y&lt;&gt;0),_xlpm.x,IF(AND(_xlpm.x-SUM(IF((INDIRECT($B$3)=$B178)*(INDIRECT($C$3)=$D178)*((INDIRECT($E$3)="TOTS")+(INDIRECT($E$3)=$E178)),INDIRECT(T$3)))&lt;&gt;0,_xlpm.y=0),-2,_xlpm.x)))),0))</f>
        <v>-1</v>
      </c>
      <c r="U178" s="199" cm="1">
        <f t="array" aca="1" ref="U178" ca="1">IF(OR($B178="",$B178="X",$D178="",$D178="X",$E178="",$E178="X"),0,IFERROR(_xlfn.LET(_xlpm.x,SUM(SUM(_xlfn._xlws.FILTER(VALUE(PptoSty[Sign]&amp;1)*(1/PptoSty[Division]),(PptoSty[Division]&lt;&gt;0)*(PptoSty[Division]&lt;&gt;"")*(PptoSty[Division]&lt;&gt;"X")*(PptoSty[Project]=$B178)*(PptoSty[Vrs]=$D178)*(PptoSty[PiRow]=_xlfn.TEXTAFTER($H178,":"))*(PptoSty[PiColumn]=U$54),0)),SUM(IF((INDIRECT($B$3)=$B178)*(INDIRECT($C$3)=$D178)*((INDIRECT($E$3)="TOTS")+(INDIRECT($E$3)=$E178)),INDIRECT(U$3)))),_xlpm.y,SUM(_xlfn.CHOOSECOLS(_xlfn._xlws.FILTER(F_RT14[],(F_RT14[PrjId]=$B178)*(F_RT14[Vrs]=$D178)*(_xlfn.TEXTAFTER(F_RT14[ActGrp],":")=_xlfn.TEXTAFTER($H178,":")),"X"),MATCH("*"&amp;U$54,F_RT14[#Headers],0))),IF(AND(_xlpm.x=0,_xlpm.y&lt;&gt;0),-1,IF(AND(_xlpm.x&lt;&gt;0,_xlpm.y&lt;&gt;0),_xlpm.x,IF(AND(_xlpm.x-SUM(IF((INDIRECT($B$3)=$B178)*(INDIRECT($C$3)=$D178)*((INDIRECT($E$3)="TOTS")+(INDIRECT($E$3)=$E178)),INDIRECT(U$3)))&lt;&gt;0,_xlpm.y=0),-2,_xlpm.x)))),0))</f>
        <v>0</v>
      </c>
      <c r="V178" s="199" cm="1">
        <f t="array" aca="1" ref="V178" ca="1">IF(OR($B178="",$B178="X",$D178="",$D178="X",$E178="",$E178="X"),0,IFERROR(_xlfn.LET(_xlpm.x,SUM(SUM(_xlfn._xlws.FILTER(VALUE(PptoSty[Sign]&amp;1)*(1/PptoSty[Division]),(PptoSty[Division]&lt;&gt;0)*(PptoSty[Division]&lt;&gt;"")*(PptoSty[Division]&lt;&gt;"X")*(PptoSty[Project]=$B178)*(PptoSty[Vrs]=$D178)*(PptoSty[PiRow]=_xlfn.TEXTAFTER($H178,":"))*(PptoSty[PiColumn]=V$54),0)),SUM(IF((INDIRECT($B$3)=$B178)*(INDIRECT($C$3)=$D178)*((INDIRECT($E$3)="TOTS")+(INDIRECT($E$3)=$E178)),INDIRECT(V$3)))),_xlpm.y,SUM(_xlfn.CHOOSECOLS(_xlfn._xlws.FILTER(F_RT14[],(F_RT14[PrjId]=$B178)*(F_RT14[Vrs]=$D178)*(_xlfn.TEXTAFTER(F_RT14[ActGrp],":")=_xlfn.TEXTAFTER($H178,":")),"X"),MATCH("*"&amp;V$54,F_RT14[#Headers],0))),IF(AND(_xlpm.x=0,_xlpm.y&lt;&gt;0),-1,IF(AND(_xlpm.x&lt;&gt;0,_xlpm.y&lt;&gt;0),_xlpm.x,IF(AND(_xlpm.x-SUM(IF((INDIRECT($B$3)=$B178)*(INDIRECT($C$3)=$D178)*((INDIRECT($E$3)="TOTS")+(INDIRECT($E$3)=$E178)),INDIRECT(V$3)))&lt;&gt;0,_xlpm.y=0),-2,_xlpm.x)))),0))</f>
        <v>-1</v>
      </c>
      <c r="W178" s="199" cm="1">
        <f t="array" aca="1" ref="W178" ca="1">IF(OR($B178="",$B178="X",$D178="",$D178="X",$E178="",$E178="X"),0,IFERROR(_xlfn.LET(_xlpm.x,SUM(SUM(_xlfn._xlws.FILTER(VALUE(PptoSty[Sign]&amp;1)*(1/PptoSty[Division]),(PptoSty[Division]&lt;&gt;0)*(PptoSty[Division]&lt;&gt;"")*(PptoSty[Division]&lt;&gt;"X")*(PptoSty[Project]=$B178)*(PptoSty[Vrs]=$D178)*(PptoSty[PiRow]=_xlfn.TEXTAFTER($H178,":"))*(PptoSty[PiColumn]=W$54),0)),SUM(IF((INDIRECT($B$3)=$B178)*(INDIRECT($C$3)=$D178)*((INDIRECT($E$3)="TOTS")+(INDIRECT($E$3)=$E178)),INDIRECT(W$3)))),_xlpm.y,SUM(_xlfn.CHOOSECOLS(_xlfn._xlws.FILTER(F_RT14[],(F_RT14[PrjId]=$B178)*(F_RT14[Vrs]=$D178)*(_xlfn.TEXTAFTER(F_RT14[ActGrp],":")=_xlfn.TEXTAFTER($H178,":")),"X"),MATCH("*"&amp;W$54,F_RT14[#Headers],0))),IF(AND(_xlpm.x=0,_xlpm.y&lt;&gt;0),-1,IF(AND(_xlpm.x&lt;&gt;0,_xlpm.y&lt;&gt;0),_xlpm.x,IF(AND(_xlpm.x-SUM(IF((INDIRECT($B$3)=$B178)*(INDIRECT($C$3)=$D178)*((INDIRECT($E$3)="TOTS")+(INDIRECT($E$3)=$E178)),INDIRECT(W$3)))&lt;&gt;0,_xlpm.y=0),-2,_xlpm.x)))),0))</f>
        <v>-1</v>
      </c>
      <c r="X178" s="199" cm="1">
        <f t="array" aca="1" ref="X178" ca="1">IF(OR($B178="",$B178="X",$D178="",$D178="X",$E178="",$E178="X"),0,IFERROR(_xlfn.LET(_xlpm.x,SUM(SUM(_xlfn._xlws.FILTER(VALUE(PptoSty[Sign]&amp;1)*(1/PptoSty[Division]),(PptoSty[Division]&lt;&gt;0)*(PptoSty[Division]&lt;&gt;"")*(PptoSty[Division]&lt;&gt;"X")*(PptoSty[Project]=$B178)*(PptoSty[Vrs]=$D178)*(PptoSty[PiRow]=_xlfn.TEXTAFTER($H178,":"))*(PptoSty[PiColumn]=X$54),0)),SUM(IF((INDIRECT($B$3)=$B178)*(INDIRECT($C$3)=$D178)*((INDIRECT($E$3)="TOTS")+(INDIRECT($E$3)=$E178)),INDIRECT(X$3)))),_xlpm.y,SUM(_xlfn.CHOOSECOLS(_xlfn._xlws.FILTER(F_RT14[],(F_RT14[PrjId]=$B178)*(F_RT14[Vrs]=$D178)*(_xlfn.TEXTAFTER(F_RT14[ActGrp],":")=_xlfn.TEXTAFTER($H178,":")),"X"),MATCH("*"&amp;X$54,F_RT14[#Headers],0))),IF(AND(_xlpm.x=0,_xlpm.y&lt;&gt;0),-1,IF(AND(_xlpm.x&lt;&gt;0,_xlpm.y&lt;&gt;0),_xlpm.x,IF(AND(_xlpm.x-SUM(IF((INDIRECT($B$3)=$B178)*(INDIRECT($C$3)=$D178)*((INDIRECT($E$3)="TOTS")+(INDIRECT($E$3)=$E178)),INDIRECT(X$3)))&lt;&gt;0,_xlpm.y=0),-2,_xlpm.x)))),0))</f>
        <v>-1</v>
      </c>
      <c r="Y178" s="199" cm="1">
        <f t="array" aca="1" ref="Y178" ca="1">IF(OR($B178="",$B178="X",$D178="",$D178="X",$E178="",$E178="X"),0,IFERROR(_xlfn.LET(_xlpm.x,SUM(SUM(_xlfn._xlws.FILTER(VALUE(PptoSty[Sign]&amp;1)*(1/PptoSty[Division]),(PptoSty[Division]&lt;&gt;0)*(PptoSty[Division]&lt;&gt;"")*(PptoSty[Division]&lt;&gt;"X")*(PptoSty[Project]=$B178)*(PptoSty[Vrs]=$D178)*(PptoSty[PiRow]=_xlfn.TEXTAFTER($H178,":"))*(PptoSty[PiColumn]=Y$54),0)),SUM(IF((INDIRECT($B$3)=$B178)*(INDIRECT($C$3)=$D178)*((INDIRECT($E$3)="TOTS")+(INDIRECT($E$3)=$E178)),INDIRECT(Y$3)))),_xlpm.y,SUM(_xlfn.CHOOSECOLS(_xlfn._xlws.FILTER(F_RT14[],(F_RT14[PrjId]=$B178)*(F_RT14[Vrs]=$D178)*(_xlfn.TEXTAFTER(F_RT14[ActGrp],":")=_xlfn.TEXTAFTER($H178,":")),"X"),MATCH("*"&amp;Y$54,F_RT14[#Headers],0))),IF(AND(_xlpm.x=0,_xlpm.y&lt;&gt;0),-1,IF(AND(_xlpm.x&lt;&gt;0,_xlpm.y&lt;&gt;0),_xlpm.x,IF(AND(_xlpm.x-SUM(IF((INDIRECT($B$3)=$B178)*(INDIRECT($C$3)=$D178)*((INDIRECT($E$3)="TOTS")+(INDIRECT($E$3)=$E178)),INDIRECT(Y$3)))&lt;&gt;0,_xlpm.y=0),-2,_xlpm.x)))),0))</f>
        <v>0</v>
      </c>
      <c r="Z178" s="198" t="str">
        <f t="shared" ca="1" si="3"/>
        <v>Fback!B178:Y178</v>
      </c>
    </row>
    <row r="179" spans="2:26" ht="21" customHeight="1" outlineLevel="1">
      <c r="B179" s="128" t="str">
        <v>31200</v>
      </c>
      <c r="C179" s="128" t="str">
        <v>Sp</v>
      </c>
      <c r="D179" s="128">
        <v>0</v>
      </c>
      <c r="E179" s="128" t="str">
        <v>TOOL</v>
      </c>
      <c r="F179" s="139" t="str">
        <v>SERRA</v>
      </c>
      <c r="G179" s="139" t="str">
        <v>CurPpto</v>
      </c>
      <c r="H179" s="139" t="str">
        <v>P007:OP-55.1/2 REWELD</v>
      </c>
      <c r="I179" s="199" cm="1">
        <f t="array" aca="1" ref="I179" ca="1">IF(OR($B179="",$B179="X",$D179="",$D179="X",$E179="",$E179="X"),0,IFERROR(_xlfn.LET(_xlpm.x,SUM(SUM(_xlfn._xlws.FILTER(VALUE(PptoSty[Sign]&amp;1)*(1/PptoSty[Division]),(PptoSty[Division]&lt;&gt;0)*(PptoSty[Division]&lt;&gt;"")*(PptoSty[Division]&lt;&gt;"X")*(PptoSty[Project]=$B179)*(PptoSty[Vrs]=$D179)*(PptoSty[PiRow]=_xlfn.TEXTAFTER($H179,":"))*(PptoSty[PiColumn]=I$54),0)),SUM(IF((INDIRECT($B$3)=$B179)*(INDIRECT($C$3)=$D179)*((INDIRECT($E$3)="TOTS")+(INDIRECT($E$3)=$E179)),INDIRECT(I$3)))),_xlpm.y,SUM(_xlfn.CHOOSECOLS(_xlfn._xlws.FILTER(F_RT14[],(F_RT14[PrjId]=$B179)*(F_RT14[Vrs]=$D179)*(_xlfn.TEXTAFTER(F_RT14[ActGrp],":")=_xlfn.TEXTAFTER($H179,":")),"X"),MATCH("*"&amp;I$54,F_RT14[#Headers],0))),IF(AND(_xlpm.x=0,_xlpm.y&lt;&gt;0),-1,IF(AND(_xlpm.x&lt;&gt;0,_xlpm.y&lt;&gt;0),_xlpm.x,IF(AND(_xlpm.x-SUM(IF((INDIRECT($B$3)=$B179)*(INDIRECT($C$3)=$D179)*((INDIRECT($E$3)="TOTS")+(INDIRECT($E$3)=$E179)),INDIRECT(I$3)))&lt;&gt;0,_xlpm.y=0),-2,_xlpm.x)))),0))</f>
        <v>0</v>
      </c>
      <c r="J179" s="199" cm="1">
        <f t="array" aca="1" ref="J179" ca="1">IF(OR($B179="",$B179="X",$D179="",$D179="X",$E179="",$E179="X"),0,IFERROR(_xlfn.LET(_xlpm.x,SUM(SUM(_xlfn._xlws.FILTER(VALUE(PptoSty[Sign]&amp;1)*(1/PptoSty[Division]),(PptoSty[Division]&lt;&gt;0)*(PptoSty[Division]&lt;&gt;"")*(PptoSty[Division]&lt;&gt;"X")*(PptoSty[Project]=$B179)*(PptoSty[Vrs]=$D179)*(PptoSty[PiRow]=_xlfn.TEXTAFTER($H179,":"))*(PptoSty[PiColumn]=J$54),0)),SUM(IF((INDIRECT($B$3)=$B179)*(INDIRECT($C$3)=$D179)*((INDIRECT($E$3)="TOTS")+(INDIRECT($E$3)=$E179)),INDIRECT(J$3)))),_xlpm.y,SUM(_xlfn.CHOOSECOLS(_xlfn._xlws.FILTER(F_RT14[],(F_RT14[PrjId]=$B179)*(F_RT14[Vrs]=$D179)*(_xlfn.TEXTAFTER(F_RT14[ActGrp],":")=_xlfn.TEXTAFTER($H179,":")),"X"),MATCH("*"&amp;J$54,F_RT14[#Headers],0))),IF(AND(_xlpm.x=0,_xlpm.y&lt;&gt;0),-1,IF(AND(_xlpm.x&lt;&gt;0,_xlpm.y&lt;&gt;0),_xlpm.x,IF(AND(_xlpm.x-SUM(IF((INDIRECT($B$3)=$B179)*(INDIRECT($C$3)=$D179)*((INDIRECT($E$3)="TOTS")+(INDIRECT($E$3)=$E179)),INDIRECT(J$3)))&lt;&gt;0,_xlpm.y=0),-2,_xlpm.x)))),0))</f>
        <v>0</v>
      </c>
      <c r="K179" s="199" cm="1">
        <f t="array" aca="1" ref="K179" ca="1">IF(OR($B179="",$B179="X",$D179="",$D179="X",$E179="",$E179="X"),0,IFERROR(_xlfn.LET(_xlpm.x,SUM(SUM(_xlfn._xlws.FILTER(VALUE(PptoSty[Sign]&amp;1)*(1/PptoSty[Division]),(PptoSty[Division]&lt;&gt;0)*(PptoSty[Division]&lt;&gt;"")*(PptoSty[Division]&lt;&gt;"X")*(PptoSty[Project]=$B179)*(PptoSty[Vrs]=$D179)*(PptoSty[PiRow]=_xlfn.TEXTAFTER($H179,":"))*(PptoSty[PiColumn]=K$54),0)),SUM(IF((INDIRECT($B$3)=$B179)*(INDIRECT($C$3)=$D179)*((INDIRECT($E$3)="TOTS")+(INDIRECT($E$3)=$E179)),INDIRECT(K$3)))),_xlpm.y,SUM(_xlfn.CHOOSECOLS(_xlfn._xlws.FILTER(F_RT14[],(F_RT14[PrjId]=$B179)*(F_RT14[Vrs]=$D179)*(_xlfn.TEXTAFTER(F_RT14[ActGrp],":")=_xlfn.TEXTAFTER($H179,":")),"X"),MATCH("*"&amp;K$54,F_RT14[#Headers],0))),IF(AND(_xlpm.x=0,_xlpm.y&lt;&gt;0),-1,IF(AND(_xlpm.x&lt;&gt;0,_xlpm.y&lt;&gt;0),_xlpm.x,IF(AND(_xlpm.x-SUM(IF((INDIRECT($B$3)=$B179)*(INDIRECT($C$3)=$D179)*((INDIRECT($E$3)="TOTS")+(INDIRECT($E$3)=$E179)),INDIRECT(K$3)))&lt;&gt;0,_xlpm.y=0),-2,_xlpm.x)))),0))</f>
        <v>-1</v>
      </c>
      <c r="L179" s="199" cm="1">
        <f t="array" aca="1" ref="L179" ca="1">IF(OR($B179="",$B179="X",$D179="",$D179="X",$E179="",$E179="X"),0,IFERROR(_xlfn.LET(_xlpm.x,SUM(SUM(_xlfn._xlws.FILTER(VALUE(PptoSty[Sign]&amp;1)*(1/PptoSty[Division]),(PptoSty[Division]&lt;&gt;0)*(PptoSty[Division]&lt;&gt;"")*(PptoSty[Division]&lt;&gt;"X")*(PptoSty[Project]=$B179)*(PptoSty[Vrs]=$D179)*(PptoSty[PiRow]=_xlfn.TEXTAFTER($H179,":"))*(PptoSty[PiColumn]=L$54),0)),SUM(IF((INDIRECT($B$3)=$B179)*(INDIRECT($C$3)=$D179)*((INDIRECT($E$3)="TOTS")+(INDIRECT($E$3)=$E179)),INDIRECT(L$3)))),_xlpm.y,SUM(_xlfn.CHOOSECOLS(_xlfn._xlws.FILTER(F_RT14[],(F_RT14[PrjId]=$B179)*(F_RT14[Vrs]=$D179)*(_xlfn.TEXTAFTER(F_RT14[ActGrp],":")=_xlfn.TEXTAFTER($H179,":")),"X"),MATCH("*"&amp;L$54,F_RT14[#Headers],0))),IF(AND(_xlpm.x=0,_xlpm.y&lt;&gt;0),-1,IF(AND(_xlpm.x&lt;&gt;0,_xlpm.y&lt;&gt;0),_xlpm.x,IF(AND(_xlpm.x-SUM(IF((INDIRECT($B$3)=$B179)*(INDIRECT($C$3)=$D179)*((INDIRECT($E$3)="TOTS")+(INDIRECT($E$3)=$E179)),INDIRECT(L$3)))&lt;&gt;0,_xlpm.y=0),-2,_xlpm.x)))),0))</f>
        <v>0</v>
      </c>
      <c r="M179" s="199" cm="1">
        <f t="array" aca="1" ref="M179" ca="1">IF(OR($B179="",$B179="X",$D179="",$D179="X",$E179="",$E179="X"),0,IFERROR(_xlfn.LET(_xlpm.x,SUM(SUM(_xlfn._xlws.FILTER(VALUE(PptoSty[Sign]&amp;1)*(1/PptoSty[Division]),(PptoSty[Division]&lt;&gt;0)*(PptoSty[Division]&lt;&gt;"")*(PptoSty[Division]&lt;&gt;"X")*(PptoSty[Project]=$B179)*(PptoSty[Vrs]=$D179)*(PptoSty[PiRow]=_xlfn.TEXTAFTER($H179,":"))*(PptoSty[PiColumn]=M$54),0)),SUM(IF((INDIRECT($B$3)=$B179)*(INDIRECT($C$3)=$D179)*((INDIRECT($E$3)="TOTS")+(INDIRECT($E$3)=$E179)),INDIRECT(M$3)))),_xlpm.y,SUM(_xlfn.CHOOSECOLS(_xlfn._xlws.FILTER(F_RT14[],(F_RT14[PrjId]=$B179)*(F_RT14[Vrs]=$D179)*(_xlfn.TEXTAFTER(F_RT14[ActGrp],":")=_xlfn.TEXTAFTER($H179,":")),"X"),MATCH("*"&amp;M$54,F_RT14[#Headers],0))),IF(AND(_xlpm.x=0,_xlpm.y&lt;&gt;0),-1,IF(AND(_xlpm.x&lt;&gt;0,_xlpm.y&lt;&gt;0),_xlpm.x,IF(AND(_xlpm.x-SUM(IF((INDIRECT($B$3)=$B179)*(INDIRECT($C$3)=$D179)*((INDIRECT($E$3)="TOTS")+(INDIRECT($E$3)=$E179)),INDIRECT(M$3)))&lt;&gt;0,_xlpm.y=0),-2,_xlpm.x)))),0))</f>
        <v>0</v>
      </c>
      <c r="N179" s="199" cm="1">
        <f t="array" aca="1" ref="N179" ca="1">IF(OR($B179="",$B179="X",$D179="",$D179="X",$E179="",$E179="X"),0,IFERROR(_xlfn.LET(_xlpm.x,SUM(SUM(_xlfn._xlws.FILTER(VALUE(PptoSty[Sign]&amp;1)*(1/PptoSty[Division]),(PptoSty[Division]&lt;&gt;0)*(PptoSty[Division]&lt;&gt;"")*(PptoSty[Division]&lt;&gt;"X")*(PptoSty[Project]=$B179)*(PptoSty[Vrs]=$D179)*(PptoSty[PiRow]=_xlfn.TEXTAFTER($H179,":"))*(PptoSty[PiColumn]=N$54),0)),SUM(IF((INDIRECT($B$3)=$B179)*(INDIRECT($C$3)=$D179)*((INDIRECT($E$3)="TOTS")+(INDIRECT($E$3)=$E179)),INDIRECT(N$3)))),_xlpm.y,SUM(_xlfn.CHOOSECOLS(_xlfn._xlws.FILTER(F_RT14[],(F_RT14[PrjId]=$B179)*(F_RT14[Vrs]=$D179)*(_xlfn.TEXTAFTER(F_RT14[ActGrp],":")=_xlfn.TEXTAFTER($H179,":")),"X"),MATCH("*"&amp;N$54,F_RT14[#Headers],0))),IF(AND(_xlpm.x=0,_xlpm.y&lt;&gt;0),-1,IF(AND(_xlpm.x&lt;&gt;0,_xlpm.y&lt;&gt;0),_xlpm.x,IF(AND(_xlpm.x-SUM(IF((INDIRECT($B$3)=$B179)*(INDIRECT($C$3)=$D179)*((INDIRECT($E$3)="TOTS")+(INDIRECT($E$3)=$E179)),INDIRECT(N$3)))&lt;&gt;0,_xlpm.y=0),-2,_xlpm.x)))),0))</f>
        <v>-1</v>
      </c>
      <c r="O179" s="199" cm="1">
        <f t="array" aca="1" ref="O179" ca="1">IF(OR($B179="",$B179="X",$D179="",$D179="X",$E179="",$E179="X"),0,IFERROR(_xlfn.LET(_xlpm.x,SUM(SUM(_xlfn._xlws.FILTER(VALUE(PptoSty[Sign]&amp;1)*(1/PptoSty[Division]),(PptoSty[Division]&lt;&gt;0)*(PptoSty[Division]&lt;&gt;"")*(PptoSty[Division]&lt;&gt;"X")*(PptoSty[Project]=$B179)*(PptoSty[Vrs]=$D179)*(PptoSty[PiRow]=_xlfn.TEXTAFTER($H179,":"))*(PptoSty[PiColumn]=O$54),0)),SUM(IF((INDIRECT($B$3)=$B179)*(INDIRECT($C$3)=$D179)*((INDIRECT($E$3)="TOTS")+(INDIRECT($E$3)=$E179)),INDIRECT(O$3)))),_xlpm.y,SUM(_xlfn.CHOOSECOLS(_xlfn._xlws.FILTER(F_RT14[],(F_RT14[PrjId]=$B179)*(F_RT14[Vrs]=$D179)*(_xlfn.TEXTAFTER(F_RT14[ActGrp],":")=_xlfn.TEXTAFTER($H179,":")),"X"),MATCH("*"&amp;O$54,F_RT14[#Headers],0))),IF(AND(_xlpm.x=0,_xlpm.y&lt;&gt;0),-1,IF(AND(_xlpm.x&lt;&gt;0,_xlpm.y&lt;&gt;0),_xlpm.x,IF(AND(_xlpm.x-SUM(IF((INDIRECT($B$3)=$B179)*(INDIRECT($C$3)=$D179)*((INDIRECT($E$3)="TOTS")+(INDIRECT($E$3)=$E179)),INDIRECT(O$3)))&lt;&gt;0,_xlpm.y=0),-2,_xlpm.x)))),0))</f>
        <v>0</v>
      </c>
      <c r="P179" s="199" cm="1">
        <f t="array" aca="1" ref="P179" ca="1">IF(OR($B179="",$B179="X",$D179="",$D179="X",$E179="",$E179="X"),0,IFERROR(_xlfn.LET(_xlpm.x,SUM(SUM(_xlfn._xlws.FILTER(VALUE(PptoSty[Sign]&amp;1)*(1/PptoSty[Division]),(PptoSty[Division]&lt;&gt;0)*(PptoSty[Division]&lt;&gt;"")*(PptoSty[Division]&lt;&gt;"X")*(PptoSty[Project]=$B179)*(PptoSty[Vrs]=$D179)*(PptoSty[PiRow]=_xlfn.TEXTAFTER($H179,":"))*(PptoSty[PiColumn]=P$54),0)),SUM(IF((INDIRECT($B$3)=$B179)*(INDIRECT($C$3)=$D179)*((INDIRECT($E$3)="TOTS")+(INDIRECT($E$3)=$E179)),INDIRECT(P$3)))),_xlpm.y,SUM(_xlfn.CHOOSECOLS(_xlfn._xlws.FILTER(F_RT14[],(F_RT14[PrjId]=$B179)*(F_RT14[Vrs]=$D179)*(_xlfn.TEXTAFTER(F_RT14[ActGrp],":")=_xlfn.TEXTAFTER($H179,":")),"X"),MATCH("*"&amp;P$54,F_RT14[#Headers],0))),IF(AND(_xlpm.x=0,_xlpm.y&lt;&gt;0),-1,IF(AND(_xlpm.x&lt;&gt;0,_xlpm.y&lt;&gt;0),_xlpm.x,IF(AND(_xlpm.x-SUM(IF((INDIRECT($B$3)=$B179)*(INDIRECT($C$3)=$D179)*((INDIRECT($E$3)="TOTS")+(INDIRECT($E$3)=$E179)),INDIRECT(P$3)))&lt;&gt;0,_xlpm.y=0),-2,_xlpm.x)))),0))</f>
        <v>-1</v>
      </c>
      <c r="Q179" s="199" cm="1">
        <f t="array" aca="1" ref="Q179" ca="1">IF(OR($B179="",$B179="X",$D179="",$D179="X",$E179="",$E179="X"),0,IFERROR(_xlfn.LET(_xlpm.x,SUM(SUM(_xlfn._xlws.FILTER(VALUE(PptoSty[Sign]&amp;1)*(1/PptoSty[Division]),(PptoSty[Division]&lt;&gt;0)*(PptoSty[Division]&lt;&gt;"")*(PptoSty[Division]&lt;&gt;"X")*(PptoSty[Project]=$B179)*(PptoSty[Vrs]=$D179)*(PptoSty[PiRow]=_xlfn.TEXTAFTER($H179,":"))*(PptoSty[PiColumn]=Q$54),0)),SUM(IF((INDIRECT($B$3)=$B179)*(INDIRECT($C$3)=$D179)*((INDIRECT($E$3)="TOTS")+(INDIRECT($E$3)=$E179)),INDIRECT(Q$3)))),_xlpm.y,SUM(_xlfn.CHOOSECOLS(_xlfn._xlws.FILTER(F_RT14[],(F_RT14[PrjId]=$B179)*(F_RT14[Vrs]=$D179)*(_xlfn.TEXTAFTER(F_RT14[ActGrp],":")=_xlfn.TEXTAFTER($H179,":")),"X"),MATCH("*"&amp;Q$54,F_RT14[#Headers],0))),IF(AND(_xlpm.x=0,_xlpm.y&lt;&gt;0),-1,IF(AND(_xlpm.x&lt;&gt;0,_xlpm.y&lt;&gt;0),_xlpm.x,IF(AND(_xlpm.x-SUM(IF((INDIRECT($B$3)=$B179)*(INDIRECT($C$3)=$D179)*((INDIRECT($E$3)="TOTS")+(INDIRECT($E$3)=$E179)),INDIRECT(Q$3)))&lt;&gt;0,_xlpm.y=0),-2,_xlpm.x)))),0))</f>
        <v>-1</v>
      </c>
      <c r="R179" s="199" cm="1">
        <f t="array" aca="1" ref="R179" ca="1">IF(OR($B179="",$B179="X",$D179="",$D179="X",$E179="",$E179="X"),0,IFERROR(_xlfn.LET(_xlpm.x,SUM(SUM(_xlfn._xlws.FILTER(VALUE(PptoSty[Sign]&amp;1)*(1/PptoSty[Division]),(PptoSty[Division]&lt;&gt;0)*(PptoSty[Division]&lt;&gt;"")*(PptoSty[Division]&lt;&gt;"X")*(PptoSty[Project]=$B179)*(PptoSty[Vrs]=$D179)*(PptoSty[PiRow]=_xlfn.TEXTAFTER($H179,":"))*(PptoSty[PiColumn]=R$54),0)),SUM(IF((INDIRECT($B$3)=$B179)*(INDIRECT($C$3)=$D179)*((INDIRECT($E$3)="TOTS")+(INDIRECT($E$3)=$E179)),INDIRECT(R$3)))),_xlpm.y,SUM(_xlfn.CHOOSECOLS(_xlfn._xlws.FILTER(F_RT14[],(F_RT14[PrjId]=$B179)*(F_RT14[Vrs]=$D179)*(_xlfn.TEXTAFTER(F_RT14[ActGrp],":")=_xlfn.TEXTAFTER($H179,":")),"X"),MATCH("*"&amp;R$54,F_RT14[#Headers],0))),IF(AND(_xlpm.x=0,_xlpm.y&lt;&gt;0),-1,IF(AND(_xlpm.x&lt;&gt;0,_xlpm.y&lt;&gt;0),_xlpm.x,IF(AND(_xlpm.x-SUM(IF((INDIRECT($B$3)=$B179)*(INDIRECT($C$3)=$D179)*((INDIRECT($E$3)="TOTS")+(INDIRECT($E$3)=$E179)),INDIRECT(R$3)))&lt;&gt;0,_xlpm.y=0),-2,_xlpm.x)))),0))</f>
        <v>-1</v>
      </c>
      <c r="S179" s="199" cm="1">
        <f t="array" aca="1" ref="S179" ca="1">IF(OR($B179="",$B179="X",$D179="",$D179="X",$E179="",$E179="X"),0,IFERROR(_xlfn.LET(_xlpm.x,SUM(SUM(_xlfn._xlws.FILTER(VALUE(PptoSty[Sign]&amp;1)*(1/PptoSty[Division]),(PptoSty[Division]&lt;&gt;0)*(PptoSty[Division]&lt;&gt;"")*(PptoSty[Division]&lt;&gt;"X")*(PptoSty[Project]=$B179)*(PptoSty[Vrs]=$D179)*(PptoSty[PiRow]=_xlfn.TEXTAFTER($H179,":"))*(PptoSty[PiColumn]=S$54),0)),SUM(IF((INDIRECT($B$3)=$B179)*(INDIRECT($C$3)=$D179)*((INDIRECT($E$3)="TOTS")+(INDIRECT($E$3)=$E179)),INDIRECT(S$3)))),_xlpm.y,SUM(_xlfn.CHOOSECOLS(_xlfn._xlws.FILTER(F_RT14[],(F_RT14[PrjId]=$B179)*(F_RT14[Vrs]=$D179)*(_xlfn.TEXTAFTER(F_RT14[ActGrp],":")=_xlfn.TEXTAFTER($H179,":")),"X"),MATCH("*"&amp;S$54,F_RT14[#Headers],0))),IF(AND(_xlpm.x=0,_xlpm.y&lt;&gt;0),-1,IF(AND(_xlpm.x&lt;&gt;0,_xlpm.y&lt;&gt;0),_xlpm.x,IF(AND(_xlpm.x-SUM(IF((INDIRECT($B$3)=$B179)*(INDIRECT($C$3)=$D179)*((INDIRECT($E$3)="TOTS")+(INDIRECT($E$3)=$E179)),INDIRECT(S$3)))&lt;&gt;0,_xlpm.y=0),-2,_xlpm.x)))),0))</f>
        <v>-1</v>
      </c>
      <c r="T179" s="199" cm="1">
        <f t="array" aca="1" ref="T179" ca="1">IF(OR($B179="",$B179="X",$D179="",$D179="X",$E179="",$E179="X"),0,IFERROR(_xlfn.LET(_xlpm.x,SUM(SUM(_xlfn._xlws.FILTER(VALUE(PptoSty[Sign]&amp;1)*(1/PptoSty[Division]),(PptoSty[Division]&lt;&gt;0)*(PptoSty[Division]&lt;&gt;"")*(PptoSty[Division]&lt;&gt;"X")*(PptoSty[Project]=$B179)*(PptoSty[Vrs]=$D179)*(PptoSty[PiRow]=_xlfn.TEXTAFTER($H179,":"))*(PptoSty[PiColumn]=T$54),0)),SUM(IF((INDIRECT($B$3)=$B179)*(INDIRECT($C$3)=$D179)*((INDIRECT($E$3)="TOTS")+(INDIRECT($E$3)=$E179)),INDIRECT(T$3)))),_xlpm.y,SUM(_xlfn.CHOOSECOLS(_xlfn._xlws.FILTER(F_RT14[],(F_RT14[PrjId]=$B179)*(F_RT14[Vrs]=$D179)*(_xlfn.TEXTAFTER(F_RT14[ActGrp],":")=_xlfn.TEXTAFTER($H179,":")),"X"),MATCH("*"&amp;T$54,F_RT14[#Headers],0))),IF(AND(_xlpm.x=0,_xlpm.y&lt;&gt;0),-1,IF(AND(_xlpm.x&lt;&gt;0,_xlpm.y&lt;&gt;0),_xlpm.x,IF(AND(_xlpm.x-SUM(IF((INDIRECT($B$3)=$B179)*(INDIRECT($C$3)=$D179)*((INDIRECT($E$3)="TOTS")+(INDIRECT($E$3)=$E179)),INDIRECT(T$3)))&lt;&gt;0,_xlpm.y=0),-2,_xlpm.x)))),0))</f>
        <v>-1</v>
      </c>
      <c r="U179" s="199" cm="1">
        <f t="array" aca="1" ref="U179" ca="1">IF(OR($B179="",$B179="X",$D179="",$D179="X",$E179="",$E179="X"),0,IFERROR(_xlfn.LET(_xlpm.x,SUM(SUM(_xlfn._xlws.FILTER(VALUE(PptoSty[Sign]&amp;1)*(1/PptoSty[Division]),(PptoSty[Division]&lt;&gt;0)*(PptoSty[Division]&lt;&gt;"")*(PptoSty[Division]&lt;&gt;"X")*(PptoSty[Project]=$B179)*(PptoSty[Vrs]=$D179)*(PptoSty[PiRow]=_xlfn.TEXTAFTER($H179,":"))*(PptoSty[PiColumn]=U$54),0)),SUM(IF((INDIRECT($B$3)=$B179)*(INDIRECT($C$3)=$D179)*((INDIRECT($E$3)="TOTS")+(INDIRECT($E$3)=$E179)),INDIRECT(U$3)))),_xlpm.y,SUM(_xlfn.CHOOSECOLS(_xlfn._xlws.FILTER(F_RT14[],(F_RT14[PrjId]=$B179)*(F_RT14[Vrs]=$D179)*(_xlfn.TEXTAFTER(F_RT14[ActGrp],":")=_xlfn.TEXTAFTER($H179,":")),"X"),MATCH("*"&amp;U$54,F_RT14[#Headers],0))),IF(AND(_xlpm.x=0,_xlpm.y&lt;&gt;0),-1,IF(AND(_xlpm.x&lt;&gt;0,_xlpm.y&lt;&gt;0),_xlpm.x,IF(AND(_xlpm.x-SUM(IF((INDIRECT($B$3)=$B179)*(INDIRECT($C$3)=$D179)*((INDIRECT($E$3)="TOTS")+(INDIRECT($E$3)=$E179)),INDIRECT(U$3)))&lt;&gt;0,_xlpm.y=0),-2,_xlpm.x)))),0))</f>
        <v>0</v>
      </c>
      <c r="V179" s="199" cm="1">
        <f t="array" aca="1" ref="V179" ca="1">IF(OR($B179="",$B179="X",$D179="",$D179="X",$E179="",$E179="X"),0,IFERROR(_xlfn.LET(_xlpm.x,SUM(SUM(_xlfn._xlws.FILTER(VALUE(PptoSty[Sign]&amp;1)*(1/PptoSty[Division]),(PptoSty[Division]&lt;&gt;0)*(PptoSty[Division]&lt;&gt;"")*(PptoSty[Division]&lt;&gt;"X")*(PptoSty[Project]=$B179)*(PptoSty[Vrs]=$D179)*(PptoSty[PiRow]=_xlfn.TEXTAFTER($H179,":"))*(PptoSty[PiColumn]=V$54),0)),SUM(IF((INDIRECT($B$3)=$B179)*(INDIRECT($C$3)=$D179)*((INDIRECT($E$3)="TOTS")+(INDIRECT($E$3)=$E179)),INDIRECT(V$3)))),_xlpm.y,SUM(_xlfn.CHOOSECOLS(_xlfn._xlws.FILTER(F_RT14[],(F_RT14[PrjId]=$B179)*(F_RT14[Vrs]=$D179)*(_xlfn.TEXTAFTER(F_RT14[ActGrp],":")=_xlfn.TEXTAFTER($H179,":")),"X"),MATCH("*"&amp;V$54,F_RT14[#Headers],0))),IF(AND(_xlpm.x=0,_xlpm.y&lt;&gt;0),-1,IF(AND(_xlpm.x&lt;&gt;0,_xlpm.y&lt;&gt;0),_xlpm.x,IF(AND(_xlpm.x-SUM(IF((INDIRECT($B$3)=$B179)*(INDIRECT($C$3)=$D179)*((INDIRECT($E$3)="TOTS")+(INDIRECT($E$3)=$E179)),INDIRECT(V$3)))&lt;&gt;0,_xlpm.y=0),-2,_xlpm.x)))),0))</f>
        <v>-1</v>
      </c>
      <c r="W179" s="199" cm="1">
        <f t="array" aca="1" ref="W179" ca="1">IF(OR($B179="",$B179="X",$D179="",$D179="X",$E179="",$E179="X"),0,IFERROR(_xlfn.LET(_xlpm.x,SUM(SUM(_xlfn._xlws.FILTER(VALUE(PptoSty[Sign]&amp;1)*(1/PptoSty[Division]),(PptoSty[Division]&lt;&gt;0)*(PptoSty[Division]&lt;&gt;"")*(PptoSty[Division]&lt;&gt;"X")*(PptoSty[Project]=$B179)*(PptoSty[Vrs]=$D179)*(PptoSty[PiRow]=_xlfn.TEXTAFTER($H179,":"))*(PptoSty[PiColumn]=W$54),0)),SUM(IF((INDIRECT($B$3)=$B179)*(INDIRECT($C$3)=$D179)*((INDIRECT($E$3)="TOTS")+(INDIRECT($E$3)=$E179)),INDIRECT(W$3)))),_xlpm.y,SUM(_xlfn.CHOOSECOLS(_xlfn._xlws.FILTER(F_RT14[],(F_RT14[PrjId]=$B179)*(F_RT14[Vrs]=$D179)*(_xlfn.TEXTAFTER(F_RT14[ActGrp],":")=_xlfn.TEXTAFTER($H179,":")),"X"),MATCH("*"&amp;W$54,F_RT14[#Headers],0))),IF(AND(_xlpm.x=0,_xlpm.y&lt;&gt;0),-1,IF(AND(_xlpm.x&lt;&gt;0,_xlpm.y&lt;&gt;0),_xlpm.x,IF(AND(_xlpm.x-SUM(IF((INDIRECT($B$3)=$B179)*(INDIRECT($C$3)=$D179)*((INDIRECT($E$3)="TOTS")+(INDIRECT($E$3)=$E179)),INDIRECT(W$3)))&lt;&gt;0,_xlpm.y=0),-2,_xlpm.x)))),0))</f>
        <v>-1</v>
      </c>
      <c r="X179" s="199" cm="1">
        <f t="array" aca="1" ref="X179" ca="1">IF(OR($B179="",$B179="X",$D179="",$D179="X",$E179="",$E179="X"),0,IFERROR(_xlfn.LET(_xlpm.x,SUM(SUM(_xlfn._xlws.FILTER(VALUE(PptoSty[Sign]&amp;1)*(1/PptoSty[Division]),(PptoSty[Division]&lt;&gt;0)*(PptoSty[Division]&lt;&gt;"")*(PptoSty[Division]&lt;&gt;"X")*(PptoSty[Project]=$B179)*(PptoSty[Vrs]=$D179)*(PptoSty[PiRow]=_xlfn.TEXTAFTER($H179,":"))*(PptoSty[PiColumn]=X$54),0)),SUM(IF((INDIRECT($B$3)=$B179)*(INDIRECT($C$3)=$D179)*((INDIRECT($E$3)="TOTS")+(INDIRECT($E$3)=$E179)),INDIRECT(X$3)))),_xlpm.y,SUM(_xlfn.CHOOSECOLS(_xlfn._xlws.FILTER(F_RT14[],(F_RT14[PrjId]=$B179)*(F_RT14[Vrs]=$D179)*(_xlfn.TEXTAFTER(F_RT14[ActGrp],":")=_xlfn.TEXTAFTER($H179,":")),"X"),MATCH("*"&amp;X$54,F_RT14[#Headers],0))),IF(AND(_xlpm.x=0,_xlpm.y&lt;&gt;0),-1,IF(AND(_xlpm.x&lt;&gt;0,_xlpm.y&lt;&gt;0),_xlpm.x,IF(AND(_xlpm.x-SUM(IF((INDIRECT($B$3)=$B179)*(INDIRECT($C$3)=$D179)*((INDIRECT($E$3)="TOTS")+(INDIRECT($E$3)=$E179)),INDIRECT(X$3)))&lt;&gt;0,_xlpm.y=0),-2,_xlpm.x)))),0))</f>
        <v>-1</v>
      </c>
      <c r="Y179" s="199" cm="1">
        <f t="array" aca="1" ref="Y179" ca="1">IF(OR($B179="",$B179="X",$D179="",$D179="X",$E179="",$E179="X"),0,IFERROR(_xlfn.LET(_xlpm.x,SUM(SUM(_xlfn._xlws.FILTER(VALUE(PptoSty[Sign]&amp;1)*(1/PptoSty[Division]),(PptoSty[Division]&lt;&gt;0)*(PptoSty[Division]&lt;&gt;"")*(PptoSty[Division]&lt;&gt;"X")*(PptoSty[Project]=$B179)*(PptoSty[Vrs]=$D179)*(PptoSty[PiRow]=_xlfn.TEXTAFTER($H179,":"))*(PptoSty[PiColumn]=Y$54),0)),SUM(IF((INDIRECT($B$3)=$B179)*(INDIRECT($C$3)=$D179)*((INDIRECT($E$3)="TOTS")+(INDIRECT($E$3)=$E179)),INDIRECT(Y$3)))),_xlpm.y,SUM(_xlfn.CHOOSECOLS(_xlfn._xlws.FILTER(F_RT14[],(F_RT14[PrjId]=$B179)*(F_RT14[Vrs]=$D179)*(_xlfn.TEXTAFTER(F_RT14[ActGrp],":")=_xlfn.TEXTAFTER($H179,":")),"X"),MATCH("*"&amp;Y$54,F_RT14[#Headers],0))),IF(AND(_xlpm.x=0,_xlpm.y&lt;&gt;0),-1,IF(AND(_xlpm.x&lt;&gt;0,_xlpm.y&lt;&gt;0),_xlpm.x,IF(AND(_xlpm.x-SUM(IF((INDIRECT($B$3)=$B179)*(INDIRECT($C$3)=$D179)*((INDIRECT($E$3)="TOTS")+(INDIRECT($E$3)=$E179)),INDIRECT(Y$3)))&lt;&gt;0,_xlpm.y=0),-2,_xlpm.x)))),0))</f>
        <v>0</v>
      </c>
      <c r="Z179" s="198" t="str">
        <f t="shared" ca="1" si="3"/>
        <v>Fback!B179:Y179</v>
      </c>
    </row>
    <row r="180" spans="2:26" ht="21" customHeight="1" outlineLevel="1">
      <c r="B180" s="128" t="str">
        <v>31200</v>
      </c>
      <c r="C180" s="128" t="str">
        <v>Sp</v>
      </c>
      <c r="D180" s="128">
        <v>0</v>
      </c>
      <c r="E180" s="128" t="str">
        <v>TOOL</v>
      </c>
      <c r="F180" s="139" t="str">
        <v>SERRA</v>
      </c>
      <c r="G180" s="139" t="str">
        <v>CurPpto</v>
      </c>
      <c r="H180" s="139" t="str">
        <v>P008:OP-60.1/2 GEO</v>
      </c>
      <c r="I180" s="199" cm="1">
        <f t="array" aca="1" ref="I180" ca="1">IF(OR($B180="",$B180="X",$D180="",$D180="X",$E180="",$E180="X"),0,IFERROR(_xlfn.LET(_xlpm.x,SUM(SUM(_xlfn._xlws.FILTER(VALUE(PptoSty[Sign]&amp;1)*(1/PptoSty[Division]),(PptoSty[Division]&lt;&gt;0)*(PptoSty[Division]&lt;&gt;"")*(PptoSty[Division]&lt;&gt;"X")*(PptoSty[Project]=$B180)*(PptoSty[Vrs]=$D180)*(PptoSty[PiRow]=_xlfn.TEXTAFTER($H180,":"))*(PptoSty[PiColumn]=I$54),0)),SUM(IF((INDIRECT($B$3)=$B180)*(INDIRECT($C$3)=$D180)*((INDIRECT($E$3)="TOTS")+(INDIRECT($E$3)=$E180)),INDIRECT(I$3)))),_xlpm.y,SUM(_xlfn.CHOOSECOLS(_xlfn._xlws.FILTER(F_RT14[],(F_RT14[PrjId]=$B180)*(F_RT14[Vrs]=$D180)*(_xlfn.TEXTAFTER(F_RT14[ActGrp],":")=_xlfn.TEXTAFTER($H180,":")),"X"),MATCH("*"&amp;I$54,F_RT14[#Headers],0))),IF(AND(_xlpm.x=0,_xlpm.y&lt;&gt;0),-1,IF(AND(_xlpm.x&lt;&gt;0,_xlpm.y&lt;&gt;0),_xlpm.x,IF(AND(_xlpm.x-SUM(IF((INDIRECT($B$3)=$B180)*(INDIRECT($C$3)=$D180)*((INDIRECT($E$3)="TOTS")+(INDIRECT($E$3)=$E180)),INDIRECT(I$3)))&lt;&gt;0,_xlpm.y=0),-2,_xlpm.x)))),0))</f>
        <v>0</v>
      </c>
      <c r="J180" s="199" cm="1">
        <f t="array" aca="1" ref="J180" ca="1">IF(OR($B180="",$B180="X",$D180="",$D180="X",$E180="",$E180="X"),0,IFERROR(_xlfn.LET(_xlpm.x,SUM(SUM(_xlfn._xlws.FILTER(VALUE(PptoSty[Sign]&amp;1)*(1/PptoSty[Division]),(PptoSty[Division]&lt;&gt;0)*(PptoSty[Division]&lt;&gt;"")*(PptoSty[Division]&lt;&gt;"X")*(PptoSty[Project]=$B180)*(PptoSty[Vrs]=$D180)*(PptoSty[PiRow]=_xlfn.TEXTAFTER($H180,":"))*(PptoSty[PiColumn]=J$54),0)),SUM(IF((INDIRECT($B$3)=$B180)*(INDIRECT($C$3)=$D180)*((INDIRECT($E$3)="TOTS")+(INDIRECT($E$3)=$E180)),INDIRECT(J$3)))),_xlpm.y,SUM(_xlfn.CHOOSECOLS(_xlfn._xlws.FILTER(F_RT14[],(F_RT14[PrjId]=$B180)*(F_RT14[Vrs]=$D180)*(_xlfn.TEXTAFTER(F_RT14[ActGrp],":")=_xlfn.TEXTAFTER($H180,":")),"X"),MATCH("*"&amp;J$54,F_RT14[#Headers],0))),IF(AND(_xlpm.x=0,_xlpm.y&lt;&gt;0),-1,IF(AND(_xlpm.x&lt;&gt;0,_xlpm.y&lt;&gt;0),_xlpm.x,IF(AND(_xlpm.x-SUM(IF((INDIRECT($B$3)=$B180)*(INDIRECT($C$3)=$D180)*((INDIRECT($E$3)="TOTS")+(INDIRECT($E$3)=$E180)),INDIRECT(J$3)))&lt;&gt;0,_xlpm.y=0),-2,_xlpm.x)))),0))</f>
        <v>0</v>
      </c>
      <c r="K180" s="199" cm="1">
        <f t="array" aca="1" ref="K180" ca="1">IF(OR($B180="",$B180="X",$D180="",$D180="X",$E180="",$E180="X"),0,IFERROR(_xlfn.LET(_xlpm.x,SUM(SUM(_xlfn._xlws.FILTER(VALUE(PptoSty[Sign]&amp;1)*(1/PptoSty[Division]),(PptoSty[Division]&lt;&gt;0)*(PptoSty[Division]&lt;&gt;"")*(PptoSty[Division]&lt;&gt;"X")*(PptoSty[Project]=$B180)*(PptoSty[Vrs]=$D180)*(PptoSty[PiRow]=_xlfn.TEXTAFTER($H180,":"))*(PptoSty[PiColumn]=K$54),0)),SUM(IF((INDIRECT($B$3)=$B180)*(INDIRECT($C$3)=$D180)*((INDIRECT($E$3)="TOTS")+(INDIRECT($E$3)=$E180)),INDIRECT(K$3)))),_xlpm.y,SUM(_xlfn.CHOOSECOLS(_xlfn._xlws.FILTER(F_RT14[],(F_RT14[PrjId]=$B180)*(F_RT14[Vrs]=$D180)*(_xlfn.TEXTAFTER(F_RT14[ActGrp],":")=_xlfn.TEXTAFTER($H180,":")),"X"),MATCH("*"&amp;K$54,F_RT14[#Headers],0))),IF(AND(_xlpm.x=0,_xlpm.y&lt;&gt;0),-1,IF(AND(_xlpm.x&lt;&gt;0,_xlpm.y&lt;&gt;0),_xlpm.x,IF(AND(_xlpm.x-SUM(IF((INDIRECT($B$3)=$B180)*(INDIRECT($C$3)=$D180)*((INDIRECT($E$3)="TOTS")+(INDIRECT($E$3)=$E180)),INDIRECT(K$3)))&lt;&gt;0,_xlpm.y=0),-2,_xlpm.x)))),0))</f>
        <v>-1</v>
      </c>
      <c r="L180" s="199" cm="1">
        <f t="array" aca="1" ref="L180" ca="1">IF(OR($B180="",$B180="X",$D180="",$D180="X",$E180="",$E180="X"),0,IFERROR(_xlfn.LET(_xlpm.x,SUM(SUM(_xlfn._xlws.FILTER(VALUE(PptoSty[Sign]&amp;1)*(1/PptoSty[Division]),(PptoSty[Division]&lt;&gt;0)*(PptoSty[Division]&lt;&gt;"")*(PptoSty[Division]&lt;&gt;"X")*(PptoSty[Project]=$B180)*(PptoSty[Vrs]=$D180)*(PptoSty[PiRow]=_xlfn.TEXTAFTER($H180,":"))*(PptoSty[PiColumn]=L$54),0)),SUM(IF((INDIRECT($B$3)=$B180)*(INDIRECT($C$3)=$D180)*((INDIRECT($E$3)="TOTS")+(INDIRECT($E$3)=$E180)),INDIRECT(L$3)))),_xlpm.y,SUM(_xlfn.CHOOSECOLS(_xlfn._xlws.FILTER(F_RT14[],(F_RT14[PrjId]=$B180)*(F_RT14[Vrs]=$D180)*(_xlfn.TEXTAFTER(F_RT14[ActGrp],":")=_xlfn.TEXTAFTER($H180,":")),"X"),MATCH("*"&amp;L$54,F_RT14[#Headers],0))),IF(AND(_xlpm.x=0,_xlpm.y&lt;&gt;0),-1,IF(AND(_xlpm.x&lt;&gt;0,_xlpm.y&lt;&gt;0),_xlpm.x,IF(AND(_xlpm.x-SUM(IF((INDIRECT($B$3)=$B180)*(INDIRECT($C$3)=$D180)*((INDIRECT($E$3)="TOTS")+(INDIRECT($E$3)=$E180)),INDIRECT(L$3)))&lt;&gt;0,_xlpm.y=0),-2,_xlpm.x)))),0))</f>
        <v>0</v>
      </c>
      <c r="M180" s="199" cm="1">
        <f t="array" aca="1" ref="M180" ca="1">IF(OR($B180="",$B180="X",$D180="",$D180="X",$E180="",$E180="X"),0,IFERROR(_xlfn.LET(_xlpm.x,SUM(SUM(_xlfn._xlws.FILTER(VALUE(PptoSty[Sign]&amp;1)*(1/PptoSty[Division]),(PptoSty[Division]&lt;&gt;0)*(PptoSty[Division]&lt;&gt;"")*(PptoSty[Division]&lt;&gt;"X")*(PptoSty[Project]=$B180)*(PptoSty[Vrs]=$D180)*(PptoSty[PiRow]=_xlfn.TEXTAFTER($H180,":"))*(PptoSty[PiColumn]=M$54),0)),SUM(IF((INDIRECT($B$3)=$B180)*(INDIRECT($C$3)=$D180)*((INDIRECT($E$3)="TOTS")+(INDIRECT($E$3)=$E180)),INDIRECT(M$3)))),_xlpm.y,SUM(_xlfn.CHOOSECOLS(_xlfn._xlws.FILTER(F_RT14[],(F_RT14[PrjId]=$B180)*(F_RT14[Vrs]=$D180)*(_xlfn.TEXTAFTER(F_RT14[ActGrp],":")=_xlfn.TEXTAFTER($H180,":")),"X"),MATCH("*"&amp;M$54,F_RT14[#Headers],0))),IF(AND(_xlpm.x=0,_xlpm.y&lt;&gt;0),-1,IF(AND(_xlpm.x&lt;&gt;0,_xlpm.y&lt;&gt;0),_xlpm.x,IF(AND(_xlpm.x-SUM(IF((INDIRECT($B$3)=$B180)*(INDIRECT($C$3)=$D180)*((INDIRECT($E$3)="TOTS")+(INDIRECT($E$3)=$E180)),INDIRECT(M$3)))&lt;&gt;0,_xlpm.y=0),-2,_xlpm.x)))),0))</f>
        <v>0</v>
      </c>
      <c r="N180" s="199" cm="1">
        <f t="array" aca="1" ref="N180" ca="1">IF(OR($B180="",$B180="X",$D180="",$D180="X",$E180="",$E180="X"),0,IFERROR(_xlfn.LET(_xlpm.x,SUM(SUM(_xlfn._xlws.FILTER(VALUE(PptoSty[Sign]&amp;1)*(1/PptoSty[Division]),(PptoSty[Division]&lt;&gt;0)*(PptoSty[Division]&lt;&gt;"")*(PptoSty[Division]&lt;&gt;"X")*(PptoSty[Project]=$B180)*(PptoSty[Vrs]=$D180)*(PptoSty[PiRow]=_xlfn.TEXTAFTER($H180,":"))*(PptoSty[PiColumn]=N$54),0)),SUM(IF((INDIRECT($B$3)=$B180)*(INDIRECT($C$3)=$D180)*((INDIRECT($E$3)="TOTS")+(INDIRECT($E$3)=$E180)),INDIRECT(N$3)))),_xlpm.y,SUM(_xlfn.CHOOSECOLS(_xlfn._xlws.FILTER(F_RT14[],(F_RT14[PrjId]=$B180)*(F_RT14[Vrs]=$D180)*(_xlfn.TEXTAFTER(F_RT14[ActGrp],":")=_xlfn.TEXTAFTER($H180,":")),"X"),MATCH("*"&amp;N$54,F_RT14[#Headers],0))),IF(AND(_xlpm.x=0,_xlpm.y&lt;&gt;0),-1,IF(AND(_xlpm.x&lt;&gt;0,_xlpm.y&lt;&gt;0),_xlpm.x,IF(AND(_xlpm.x-SUM(IF((INDIRECT($B$3)=$B180)*(INDIRECT($C$3)=$D180)*((INDIRECT($E$3)="TOTS")+(INDIRECT($E$3)=$E180)),INDIRECT(N$3)))&lt;&gt;0,_xlpm.y=0),-2,_xlpm.x)))),0))</f>
        <v>-1</v>
      </c>
      <c r="O180" s="199" cm="1">
        <f t="array" aca="1" ref="O180" ca="1">IF(OR($B180="",$B180="X",$D180="",$D180="X",$E180="",$E180="X"),0,IFERROR(_xlfn.LET(_xlpm.x,SUM(SUM(_xlfn._xlws.FILTER(VALUE(PptoSty[Sign]&amp;1)*(1/PptoSty[Division]),(PptoSty[Division]&lt;&gt;0)*(PptoSty[Division]&lt;&gt;"")*(PptoSty[Division]&lt;&gt;"X")*(PptoSty[Project]=$B180)*(PptoSty[Vrs]=$D180)*(PptoSty[PiRow]=_xlfn.TEXTAFTER($H180,":"))*(PptoSty[PiColumn]=O$54),0)),SUM(IF((INDIRECT($B$3)=$B180)*(INDIRECT($C$3)=$D180)*((INDIRECT($E$3)="TOTS")+(INDIRECT($E$3)=$E180)),INDIRECT(O$3)))),_xlpm.y,SUM(_xlfn.CHOOSECOLS(_xlfn._xlws.FILTER(F_RT14[],(F_RT14[PrjId]=$B180)*(F_RT14[Vrs]=$D180)*(_xlfn.TEXTAFTER(F_RT14[ActGrp],":")=_xlfn.TEXTAFTER($H180,":")),"X"),MATCH("*"&amp;O$54,F_RT14[#Headers],0))),IF(AND(_xlpm.x=0,_xlpm.y&lt;&gt;0),-1,IF(AND(_xlpm.x&lt;&gt;0,_xlpm.y&lt;&gt;0),_xlpm.x,IF(AND(_xlpm.x-SUM(IF((INDIRECT($B$3)=$B180)*(INDIRECT($C$3)=$D180)*((INDIRECT($E$3)="TOTS")+(INDIRECT($E$3)=$E180)),INDIRECT(O$3)))&lt;&gt;0,_xlpm.y=0),-2,_xlpm.x)))),0))</f>
        <v>0</v>
      </c>
      <c r="P180" s="199" cm="1">
        <f t="array" aca="1" ref="P180" ca="1">IF(OR($B180="",$B180="X",$D180="",$D180="X",$E180="",$E180="X"),0,IFERROR(_xlfn.LET(_xlpm.x,SUM(SUM(_xlfn._xlws.FILTER(VALUE(PptoSty[Sign]&amp;1)*(1/PptoSty[Division]),(PptoSty[Division]&lt;&gt;0)*(PptoSty[Division]&lt;&gt;"")*(PptoSty[Division]&lt;&gt;"X")*(PptoSty[Project]=$B180)*(PptoSty[Vrs]=$D180)*(PptoSty[PiRow]=_xlfn.TEXTAFTER($H180,":"))*(PptoSty[PiColumn]=P$54),0)),SUM(IF((INDIRECT($B$3)=$B180)*(INDIRECT($C$3)=$D180)*((INDIRECT($E$3)="TOTS")+(INDIRECT($E$3)=$E180)),INDIRECT(P$3)))),_xlpm.y,SUM(_xlfn.CHOOSECOLS(_xlfn._xlws.FILTER(F_RT14[],(F_RT14[PrjId]=$B180)*(F_RT14[Vrs]=$D180)*(_xlfn.TEXTAFTER(F_RT14[ActGrp],":")=_xlfn.TEXTAFTER($H180,":")),"X"),MATCH("*"&amp;P$54,F_RT14[#Headers],0))),IF(AND(_xlpm.x=0,_xlpm.y&lt;&gt;0),-1,IF(AND(_xlpm.x&lt;&gt;0,_xlpm.y&lt;&gt;0),_xlpm.x,IF(AND(_xlpm.x-SUM(IF((INDIRECT($B$3)=$B180)*(INDIRECT($C$3)=$D180)*((INDIRECT($E$3)="TOTS")+(INDIRECT($E$3)=$E180)),INDIRECT(P$3)))&lt;&gt;0,_xlpm.y=0),-2,_xlpm.x)))),0))</f>
        <v>-1</v>
      </c>
      <c r="Q180" s="199" cm="1">
        <f t="array" aca="1" ref="Q180" ca="1">IF(OR($B180="",$B180="X",$D180="",$D180="X",$E180="",$E180="X"),0,IFERROR(_xlfn.LET(_xlpm.x,SUM(SUM(_xlfn._xlws.FILTER(VALUE(PptoSty[Sign]&amp;1)*(1/PptoSty[Division]),(PptoSty[Division]&lt;&gt;0)*(PptoSty[Division]&lt;&gt;"")*(PptoSty[Division]&lt;&gt;"X")*(PptoSty[Project]=$B180)*(PptoSty[Vrs]=$D180)*(PptoSty[PiRow]=_xlfn.TEXTAFTER($H180,":"))*(PptoSty[PiColumn]=Q$54),0)),SUM(IF((INDIRECT($B$3)=$B180)*(INDIRECT($C$3)=$D180)*((INDIRECT($E$3)="TOTS")+(INDIRECT($E$3)=$E180)),INDIRECT(Q$3)))),_xlpm.y,SUM(_xlfn.CHOOSECOLS(_xlfn._xlws.FILTER(F_RT14[],(F_RT14[PrjId]=$B180)*(F_RT14[Vrs]=$D180)*(_xlfn.TEXTAFTER(F_RT14[ActGrp],":")=_xlfn.TEXTAFTER($H180,":")),"X"),MATCH("*"&amp;Q$54,F_RT14[#Headers],0))),IF(AND(_xlpm.x=0,_xlpm.y&lt;&gt;0),-1,IF(AND(_xlpm.x&lt;&gt;0,_xlpm.y&lt;&gt;0),_xlpm.x,IF(AND(_xlpm.x-SUM(IF((INDIRECT($B$3)=$B180)*(INDIRECT($C$3)=$D180)*((INDIRECT($E$3)="TOTS")+(INDIRECT($E$3)=$E180)),INDIRECT(Q$3)))&lt;&gt;0,_xlpm.y=0),-2,_xlpm.x)))),0))</f>
        <v>-1</v>
      </c>
      <c r="R180" s="199" cm="1">
        <f t="array" aca="1" ref="R180" ca="1">IF(OR($B180="",$B180="X",$D180="",$D180="X",$E180="",$E180="X"),0,IFERROR(_xlfn.LET(_xlpm.x,SUM(SUM(_xlfn._xlws.FILTER(VALUE(PptoSty[Sign]&amp;1)*(1/PptoSty[Division]),(PptoSty[Division]&lt;&gt;0)*(PptoSty[Division]&lt;&gt;"")*(PptoSty[Division]&lt;&gt;"X")*(PptoSty[Project]=$B180)*(PptoSty[Vrs]=$D180)*(PptoSty[PiRow]=_xlfn.TEXTAFTER($H180,":"))*(PptoSty[PiColumn]=R$54),0)),SUM(IF((INDIRECT($B$3)=$B180)*(INDIRECT($C$3)=$D180)*((INDIRECT($E$3)="TOTS")+(INDIRECT($E$3)=$E180)),INDIRECT(R$3)))),_xlpm.y,SUM(_xlfn.CHOOSECOLS(_xlfn._xlws.FILTER(F_RT14[],(F_RT14[PrjId]=$B180)*(F_RT14[Vrs]=$D180)*(_xlfn.TEXTAFTER(F_RT14[ActGrp],":")=_xlfn.TEXTAFTER($H180,":")),"X"),MATCH("*"&amp;R$54,F_RT14[#Headers],0))),IF(AND(_xlpm.x=0,_xlpm.y&lt;&gt;0),-1,IF(AND(_xlpm.x&lt;&gt;0,_xlpm.y&lt;&gt;0),_xlpm.x,IF(AND(_xlpm.x-SUM(IF((INDIRECT($B$3)=$B180)*(INDIRECT($C$3)=$D180)*((INDIRECT($E$3)="TOTS")+(INDIRECT($E$3)=$E180)),INDIRECT(R$3)))&lt;&gt;0,_xlpm.y=0),-2,_xlpm.x)))),0))</f>
        <v>-1</v>
      </c>
      <c r="S180" s="199" cm="1">
        <f t="array" aca="1" ref="S180" ca="1">IF(OR($B180="",$B180="X",$D180="",$D180="X",$E180="",$E180="X"),0,IFERROR(_xlfn.LET(_xlpm.x,SUM(SUM(_xlfn._xlws.FILTER(VALUE(PptoSty[Sign]&amp;1)*(1/PptoSty[Division]),(PptoSty[Division]&lt;&gt;0)*(PptoSty[Division]&lt;&gt;"")*(PptoSty[Division]&lt;&gt;"X")*(PptoSty[Project]=$B180)*(PptoSty[Vrs]=$D180)*(PptoSty[PiRow]=_xlfn.TEXTAFTER($H180,":"))*(PptoSty[PiColumn]=S$54),0)),SUM(IF((INDIRECT($B$3)=$B180)*(INDIRECT($C$3)=$D180)*((INDIRECT($E$3)="TOTS")+(INDIRECT($E$3)=$E180)),INDIRECT(S$3)))),_xlpm.y,SUM(_xlfn.CHOOSECOLS(_xlfn._xlws.FILTER(F_RT14[],(F_RT14[PrjId]=$B180)*(F_RT14[Vrs]=$D180)*(_xlfn.TEXTAFTER(F_RT14[ActGrp],":")=_xlfn.TEXTAFTER($H180,":")),"X"),MATCH("*"&amp;S$54,F_RT14[#Headers],0))),IF(AND(_xlpm.x=0,_xlpm.y&lt;&gt;0),-1,IF(AND(_xlpm.x&lt;&gt;0,_xlpm.y&lt;&gt;0),_xlpm.x,IF(AND(_xlpm.x-SUM(IF((INDIRECT($B$3)=$B180)*(INDIRECT($C$3)=$D180)*((INDIRECT($E$3)="TOTS")+(INDIRECT($E$3)=$E180)),INDIRECT(S$3)))&lt;&gt;0,_xlpm.y=0),-2,_xlpm.x)))),0))</f>
        <v>-1</v>
      </c>
      <c r="T180" s="199" cm="1">
        <f t="array" aca="1" ref="T180" ca="1">IF(OR($B180="",$B180="X",$D180="",$D180="X",$E180="",$E180="X"),0,IFERROR(_xlfn.LET(_xlpm.x,SUM(SUM(_xlfn._xlws.FILTER(VALUE(PptoSty[Sign]&amp;1)*(1/PptoSty[Division]),(PptoSty[Division]&lt;&gt;0)*(PptoSty[Division]&lt;&gt;"")*(PptoSty[Division]&lt;&gt;"X")*(PptoSty[Project]=$B180)*(PptoSty[Vrs]=$D180)*(PptoSty[PiRow]=_xlfn.TEXTAFTER($H180,":"))*(PptoSty[PiColumn]=T$54),0)),SUM(IF((INDIRECT($B$3)=$B180)*(INDIRECT($C$3)=$D180)*((INDIRECT($E$3)="TOTS")+(INDIRECT($E$3)=$E180)),INDIRECT(T$3)))),_xlpm.y,SUM(_xlfn.CHOOSECOLS(_xlfn._xlws.FILTER(F_RT14[],(F_RT14[PrjId]=$B180)*(F_RT14[Vrs]=$D180)*(_xlfn.TEXTAFTER(F_RT14[ActGrp],":")=_xlfn.TEXTAFTER($H180,":")),"X"),MATCH("*"&amp;T$54,F_RT14[#Headers],0))),IF(AND(_xlpm.x=0,_xlpm.y&lt;&gt;0),-1,IF(AND(_xlpm.x&lt;&gt;0,_xlpm.y&lt;&gt;0),_xlpm.x,IF(AND(_xlpm.x-SUM(IF((INDIRECT($B$3)=$B180)*(INDIRECT($C$3)=$D180)*((INDIRECT($E$3)="TOTS")+(INDIRECT($E$3)=$E180)),INDIRECT(T$3)))&lt;&gt;0,_xlpm.y=0),-2,_xlpm.x)))),0))</f>
        <v>-1</v>
      </c>
      <c r="U180" s="199" cm="1">
        <f t="array" aca="1" ref="U180" ca="1">IF(OR($B180="",$B180="X",$D180="",$D180="X",$E180="",$E180="X"),0,IFERROR(_xlfn.LET(_xlpm.x,SUM(SUM(_xlfn._xlws.FILTER(VALUE(PptoSty[Sign]&amp;1)*(1/PptoSty[Division]),(PptoSty[Division]&lt;&gt;0)*(PptoSty[Division]&lt;&gt;"")*(PptoSty[Division]&lt;&gt;"X")*(PptoSty[Project]=$B180)*(PptoSty[Vrs]=$D180)*(PptoSty[PiRow]=_xlfn.TEXTAFTER($H180,":"))*(PptoSty[PiColumn]=U$54),0)),SUM(IF((INDIRECT($B$3)=$B180)*(INDIRECT($C$3)=$D180)*((INDIRECT($E$3)="TOTS")+(INDIRECT($E$3)=$E180)),INDIRECT(U$3)))),_xlpm.y,SUM(_xlfn.CHOOSECOLS(_xlfn._xlws.FILTER(F_RT14[],(F_RT14[PrjId]=$B180)*(F_RT14[Vrs]=$D180)*(_xlfn.TEXTAFTER(F_RT14[ActGrp],":")=_xlfn.TEXTAFTER($H180,":")),"X"),MATCH("*"&amp;U$54,F_RT14[#Headers],0))),IF(AND(_xlpm.x=0,_xlpm.y&lt;&gt;0),-1,IF(AND(_xlpm.x&lt;&gt;0,_xlpm.y&lt;&gt;0),_xlpm.x,IF(AND(_xlpm.x-SUM(IF((INDIRECT($B$3)=$B180)*(INDIRECT($C$3)=$D180)*((INDIRECT($E$3)="TOTS")+(INDIRECT($E$3)=$E180)),INDIRECT(U$3)))&lt;&gt;0,_xlpm.y=0),-2,_xlpm.x)))),0))</f>
        <v>0</v>
      </c>
      <c r="V180" s="199" cm="1">
        <f t="array" aca="1" ref="V180" ca="1">IF(OR($B180="",$B180="X",$D180="",$D180="X",$E180="",$E180="X"),0,IFERROR(_xlfn.LET(_xlpm.x,SUM(SUM(_xlfn._xlws.FILTER(VALUE(PptoSty[Sign]&amp;1)*(1/PptoSty[Division]),(PptoSty[Division]&lt;&gt;0)*(PptoSty[Division]&lt;&gt;"")*(PptoSty[Division]&lt;&gt;"X")*(PptoSty[Project]=$B180)*(PptoSty[Vrs]=$D180)*(PptoSty[PiRow]=_xlfn.TEXTAFTER($H180,":"))*(PptoSty[PiColumn]=V$54),0)),SUM(IF((INDIRECT($B$3)=$B180)*(INDIRECT($C$3)=$D180)*((INDIRECT($E$3)="TOTS")+(INDIRECT($E$3)=$E180)),INDIRECT(V$3)))),_xlpm.y,SUM(_xlfn.CHOOSECOLS(_xlfn._xlws.FILTER(F_RT14[],(F_RT14[PrjId]=$B180)*(F_RT14[Vrs]=$D180)*(_xlfn.TEXTAFTER(F_RT14[ActGrp],":")=_xlfn.TEXTAFTER($H180,":")),"X"),MATCH("*"&amp;V$54,F_RT14[#Headers],0))),IF(AND(_xlpm.x=0,_xlpm.y&lt;&gt;0),-1,IF(AND(_xlpm.x&lt;&gt;0,_xlpm.y&lt;&gt;0),_xlpm.x,IF(AND(_xlpm.x-SUM(IF((INDIRECT($B$3)=$B180)*(INDIRECT($C$3)=$D180)*((INDIRECT($E$3)="TOTS")+(INDIRECT($E$3)=$E180)),INDIRECT(V$3)))&lt;&gt;0,_xlpm.y=0),-2,_xlpm.x)))),0))</f>
        <v>-1</v>
      </c>
      <c r="W180" s="199" cm="1">
        <f t="array" aca="1" ref="W180" ca="1">IF(OR($B180="",$B180="X",$D180="",$D180="X",$E180="",$E180="X"),0,IFERROR(_xlfn.LET(_xlpm.x,SUM(SUM(_xlfn._xlws.FILTER(VALUE(PptoSty[Sign]&amp;1)*(1/PptoSty[Division]),(PptoSty[Division]&lt;&gt;0)*(PptoSty[Division]&lt;&gt;"")*(PptoSty[Division]&lt;&gt;"X")*(PptoSty[Project]=$B180)*(PptoSty[Vrs]=$D180)*(PptoSty[PiRow]=_xlfn.TEXTAFTER($H180,":"))*(PptoSty[PiColumn]=W$54),0)),SUM(IF((INDIRECT($B$3)=$B180)*(INDIRECT($C$3)=$D180)*((INDIRECT($E$3)="TOTS")+(INDIRECT($E$3)=$E180)),INDIRECT(W$3)))),_xlpm.y,SUM(_xlfn.CHOOSECOLS(_xlfn._xlws.FILTER(F_RT14[],(F_RT14[PrjId]=$B180)*(F_RT14[Vrs]=$D180)*(_xlfn.TEXTAFTER(F_RT14[ActGrp],":")=_xlfn.TEXTAFTER($H180,":")),"X"),MATCH("*"&amp;W$54,F_RT14[#Headers],0))),IF(AND(_xlpm.x=0,_xlpm.y&lt;&gt;0),-1,IF(AND(_xlpm.x&lt;&gt;0,_xlpm.y&lt;&gt;0),_xlpm.x,IF(AND(_xlpm.x-SUM(IF((INDIRECT($B$3)=$B180)*(INDIRECT($C$3)=$D180)*((INDIRECT($E$3)="TOTS")+(INDIRECT($E$3)=$E180)),INDIRECT(W$3)))&lt;&gt;0,_xlpm.y=0),-2,_xlpm.x)))),0))</f>
        <v>-1</v>
      </c>
      <c r="X180" s="199" cm="1">
        <f t="array" aca="1" ref="X180" ca="1">IF(OR($B180="",$B180="X",$D180="",$D180="X",$E180="",$E180="X"),0,IFERROR(_xlfn.LET(_xlpm.x,SUM(SUM(_xlfn._xlws.FILTER(VALUE(PptoSty[Sign]&amp;1)*(1/PptoSty[Division]),(PptoSty[Division]&lt;&gt;0)*(PptoSty[Division]&lt;&gt;"")*(PptoSty[Division]&lt;&gt;"X")*(PptoSty[Project]=$B180)*(PptoSty[Vrs]=$D180)*(PptoSty[PiRow]=_xlfn.TEXTAFTER($H180,":"))*(PptoSty[PiColumn]=X$54),0)),SUM(IF((INDIRECT($B$3)=$B180)*(INDIRECT($C$3)=$D180)*((INDIRECT($E$3)="TOTS")+(INDIRECT($E$3)=$E180)),INDIRECT(X$3)))),_xlpm.y,SUM(_xlfn.CHOOSECOLS(_xlfn._xlws.FILTER(F_RT14[],(F_RT14[PrjId]=$B180)*(F_RT14[Vrs]=$D180)*(_xlfn.TEXTAFTER(F_RT14[ActGrp],":")=_xlfn.TEXTAFTER($H180,":")),"X"),MATCH("*"&amp;X$54,F_RT14[#Headers],0))),IF(AND(_xlpm.x=0,_xlpm.y&lt;&gt;0),-1,IF(AND(_xlpm.x&lt;&gt;0,_xlpm.y&lt;&gt;0),_xlpm.x,IF(AND(_xlpm.x-SUM(IF((INDIRECT($B$3)=$B180)*(INDIRECT($C$3)=$D180)*((INDIRECT($E$3)="TOTS")+(INDIRECT($E$3)=$E180)),INDIRECT(X$3)))&lt;&gt;0,_xlpm.y=0),-2,_xlpm.x)))),0))</f>
        <v>-1</v>
      </c>
      <c r="Y180" s="199" cm="1">
        <f t="array" aca="1" ref="Y180" ca="1">IF(OR($B180="",$B180="X",$D180="",$D180="X",$E180="",$E180="X"),0,IFERROR(_xlfn.LET(_xlpm.x,SUM(SUM(_xlfn._xlws.FILTER(VALUE(PptoSty[Sign]&amp;1)*(1/PptoSty[Division]),(PptoSty[Division]&lt;&gt;0)*(PptoSty[Division]&lt;&gt;"")*(PptoSty[Division]&lt;&gt;"X")*(PptoSty[Project]=$B180)*(PptoSty[Vrs]=$D180)*(PptoSty[PiRow]=_xlfn.TEXTAFTER($H180,":"))*(PptoSty[PiColumn]=Y$54),0)),SUM(IF((INDIRECT($B$3)=$B180)*(INDIRECT($C$3)=$D180)*((INDIRECT($E$3)="TOTS")+(INDIRECT($E$3)=$E180)),INDIRECT(Y$3)))),_xlpm.y,SUM(_xlfn.CHOOSECOLS(_xlfn._xlws.FILTER(F_RT14[],(F_RT14[PrjId]=$B180)*(F_RT14[Vrs]=$D180)*(_xlfn.TEXTAFTER(F_RT14[ActGrp],":")=_xlfn.TEXTAFTER($H180,":")),"X"),MATCH("*"&amp;Y$54,F_RT14[#Headers],0))),IF(AND(_xlpm.x=0,_xlpm.y&lt;&gt;0),-1,IF(AND(_xlpm.x&lt;&gt;0,_xlpm.y&lt;&gt;0),_xlpm.x,IF(AND(_xlpm.x-SUM(IF((INDIRECT($B$3)=$B180)*(INDIRECT($C$3)=$D180)*((INDIRECT($E$3)="TOTS")+(INDIRECT($E$3)=$E180)),INDIRECT(Y$3)))&lt;&gt;0,_xlpm.y=0),-2,_xlpm.x)))),0))</f>
        <v>0</v>
      </c>
      <c r="Z180" s="198" t="str">
        <f t="shared" ca="1" si="3"/>
        <v>Fback!B180:Y180</v>
      </c>
    </row>
    <row r="181" spans="2:26" ht="21" customHeight="1" outlineLevel="1">
      <c r="B181" s="128" t="str">
        <v>31200</v>
      </c>
      <c r="C181" s="128" t="str">
        <v>Sp</v>
      </c>
      <c r="D181" s="128">
        <v>0</v>
      </c>
      <c r="E181" s="128" t="str">
        <v>TOOL</v>
      </c>
      <c r="F181" s="139" t="str">
        <v>SERRA</v>
      </c>
      <c r="G181" s="139" t="str">
        <v>CurPpto</v>
      </c>
      <c r="H181" s="139" t="str">
        <v>P009:OP-70.1/2 GEO</v>
      </c>
      <c r="I181" s="199" cm="1">
        <f t="array" aca="1" ref="I181" ca="1">IF(OR($B181="",$B181="X",$D181="",$D181="X",$E181="",$E181="X"),0,IFERROR(_xlfn.LET(_xlpm.x,SUM(SUM(_xlfn._xlws.FILTER(VALUE(PptoSty[Sign]&amp;1)*(1/PptoSty[Division]),(PptoSty[Division]&lt;&gt;0)*(PptoSty[Division]&lt;&gt;"")*(PptoSty[Division]&lt;&gt;"X")*(PptoSty[Project]=$B181)*(PptoSty[Vrs]=$D181)*(PptoSty[PiRow]=_xlfn.TEXTAFTER($H181,":"))*(PptoSty[PiColumn]=I$54),0)),SUM(IF((INDIRECT($B$3)=$B181)*(INDIRECT($C$3)=$D181)*((INDIRECT($E$3)="TOTS")+(INDIRECT($E$3)=$E181)),INDIRECT(I$3)))),_xlpm.y,SUM(_xlfn.CHOOSECOLS(_xlfn._xlws.FILTER(F_RT14[],(F_RT14[PrjId]=$B181)*(F_RT14[Vrs]=$D181)*(_xlfn.TEXTAFTER(F_RT14[ActGrp],":")=_xlfn.TEXTAFTER($H181,":")),"X"),MATCH("*"&amp;I$54,F_RT14[#Headers],0))),IF(AND(_xlpm.x=0,_xlpm.y&lt;&gt;0),-1,IF(AND(_xlpm.x&lt;&gt;0,_xlpm.y&lt;&gt;0),_xlpm.x,IF(AND(_xlpm.x-SUM(IF((INDIRECT($B$3)=$B181)*(INDIRECT($C$3)=$D181)*((INDIRECT($E$3)="TOTS")+(INDIRECT($E$3)=$E181)),INDIRECT(I$3)))&lt;&gt;0,_xlpm.y=0),-2,_xlpm.x)))),0))</f>
        <v>0</v>
      </c>
      <c r="J181" s="199" cm="1">
        <f t="array" aca="1" ref="J181" ca="1">IF(OR($B181="",$B181="X",$D181="",$D181="X",$E181="",$E181="X"),0,IFERROR(_xlfn.LET(_xlpm.x,SUM(SUM(_xlfn._xlws.FILTER(VALUE(PptoSty[Sign]&amp;1)*(1/PptoSty[Division]),(PptoSty[Division]&lt;&gt;0)*(PptoSty[Division]&lt;&gt;"")*(PptoSty[Division]&lt;&gt;"X")*(PptoSty[Project]=$B181)*(PptoSty[Vrs]=$D181)*(PptoSty[PiRow]=_xlfn.TEXTAFTER($H181,":"))*(PptoSty[PiColumn]=J$54),0)),SUM(IF((INDIRECT($B$3)=$B181)*(INDIRECT($C$3)=$D181)*((INDIRECT($E$3)="TOTS")+(INDIRECT($E$3)=$E181)),INDIRECT(J$3)))),_xlpm.y,SUM(_xlfn.CHOOSECOLS(_xlfn._xlws.FILTER(F_RT14[],(F_RT14[PrjId]=$B181)*(F_RT14[Vrs]=$D181)*(_xlfn.TEXTAFTER(F_RT14[ActGrp],":")=_xlfn.TEXTAFTER($H181,":")),"X"),MATCH("*"&amp;J$54,F_RT14[#Headers],0))),IF(AND(_xlpm.x=0,_xlpm.y&lt;&gt;0),-1,IF(AND(_xlpm.x&lt;&gt;0,_xlpm.y&lt;&gt;0),_xlpm.x,IF(AND(_xlpm.x-SUM(IF((INDIRECT($B$3)=$B181)*(INDIRECT($C$3)=$D181)*((INDIRECT($E$3)="TOTS")+(INDIRECT($E$3)=$E181)),INDIRECT(J$3)))&lt;&gt;0,_xlpm.y=0),-2,_xlpm.x)))),0))</f>
        <v>0</v>
      </c>
      <c r="K181" s="199" cm="1">
        <f t="array" aca="1" ref="K181" ca="1">IF(OR($B181="",$B181="X",$D181="",$D181="X",$E181="",$E181="X"),0,IFERROR(_xlfn.LET(_xlpm.x,SUM(SUM(_xlfn._xlws.FILTER(VALUE(PptoSty[Sign]&amp;1)*(1/PptoSty[Division]),(PptoSty[Division]&lt;&gt;0)*(PptoSty[Division]&lt;&gt;"")*(PptoSty[Division]&lt;&gt;"X")*(PptoSty[Project]=$B181)*(PptoSty[Vrs]=$D181)*(PptoSty[PiRow]=_xlfn.TEXTAFTER($H181,":"))*(PptoSty[PiColumn]=K$54),0)),SUM(IF((INDIRECT($B$3)=$B181)*(INDIRECT($C$3)=$D181)*((INDIRECT($E$3)="TOTS")+(INDIRECT($E$3)=$E181)),INDIRECT(K$3)))),_xlpm.y,SUM(_xlfn.CHOOSECOLS(_xlfn._xlws.FILTER(F_RT14[],(F_RT14[PrjId]=$B181)*(F_RT14[Vrs]=$D181)*(_xlfn.TEXTAFTER(F_RT14[ActGrp],":")=_xlfn.TEXTAFTER($H181,":")),"X"),MATCH("*"&amp;K$54,F_RT14[#Headers],0))),IF(AND(_xlpm.x=0,_xlpm.y&lt;&gt;0),-1,IF(AND(_xlpm.x&lt;&gt;0,_xlpm.y&lt;&gt;0),_xlpm.x,IF(AND(_xlpm.x-SUM(IF((INDIRECT($B$3)=$B181)*(INDIRECT($C$3)=$D181)*((INDIRECT($E$3)="TOTS")+(INDIRECT($E$3)=$E181)),INDIRECT(K$3)))&lt;&gt;0,_xlpm.y=0),-2,_xlpm.x)))),0))</f>
        <v>-1</v>
      </c>
      <c r="L181" s="199" cm="1">
        <f t="array" aca="1" ref="L181" ca="1">IF(OR($B181="",$B181="X",$D181="",$D181="X",$E181="",$E181="X"),0,IFERROR(_xlfn.LET(_xlpm.x,SUM(SUM(_xlfn._xlws.FILTER(VALUE(PptoSty[Sign]&amp;1)*(1/PptoSty[Division]),(PptoSty[Division]&lt;&gt;0)*(PptoSty[Division]&lt;&gt;"")*(PptoSty[Division]&lt;&gt;"X")*(PptoSty[Project]=$B181)*(PptoSty[Vrs]=$D181)*(PptoSty[PiRow]=_xlfn.TEXTAFTER($H181,":"))*(PptoSty[PiColumn]=L$54),0)),SUM(IF((INDIRECT($B$3)=$B181)*(INDIRECT($C$3)=$D181)*((INDIRECT($E$3)="TOTS")+(INDIRECT($E$3)=$E181)),INDIRECT(L$3)))),_xlpm.y,SUM(_xlfn.CHOOSECOLS(_xlfn._xlws.FILTER(F_RT14[],(F_RT14[PrjId]=$B181)*(F_RT14[Vrs]=$D181)*(_xlfn.TEXTAFTER(F_RT14[ActGrp],":")=_xlfn.TEXTAFTER($H181,":")),"X"),MATCH("*"&amp;L$54,F_RT14[#Headers],0))),IF(AND(_xlpm.x=0,_xlpm.y&lt;&gt;0),-1,IF(AND(_xlpm.x&lt;&gt;0,_xlpm.y&lt;&gt;0),_xlpm.x,IF(AND(_xlpm.x-SUM(IF((INDIRECT($B$3)=$B181)*(INDIRECT($C$3)=$D181)*((INDIRECT($E$3)="TOTS")+(INDIRECT($E$3)=$E181)),INDIRECT(L$3)))&lt;&gt;0,_xlpm.y=0),-2,_xlpm.x)))),0))</f>
        <v>0</v>
      </c>
      <c r="M181" s="199" cm="1">
        <f t="array" aca="1" ref="M181" ca="1">IF(OR($B181="",$B181="X",$D181="",$D181="X",$E181="",$E181="X"),0,IFERROR(_xlfn.LET(_xlpm.x,SUM(SUM(_xlfn._xlws.FILTER(VALUE(PptoSty[Sign]&amp;1)*(1/PptoSty[Division]),(PptoSty[Division]&lt;&gt;0)*(PptoSty[Division]&lt;&gt;"")*(PptoSty[Division]&lt;&gt;"X")*(PptoSty[Project]=$B181)*(PptoSty[Vrs]=$D181)*(PptoSty[PiRow]=_xlfn.TEXTAFTER($H181,":"))*(PptoSty[PiColumn]=M$54),0)),SUM(IF((INDIRECT($B$3)=$B181)*(INDIRECT($C$3)=$D181)*((INDIRECT($E$3)="TOTS")+(INDIRECT($E$3)=$E181)),INDIRECT(M$3)))),_xlpm.y,SUM(_xlfn.CHOOSECOLS(_xlfn._xlws.FILTER(F_RT14[],(F_RT14[PrjId]=$B181)*(F_RT14[Vrs]=$D181)*(_xlfn.TEXTAFTER(F_RT14[ActGrp],":")=_xlfn.TEXTAFTER($H181,":")),"X"),MATCH("*"&amp;M$54,F_RT14[#Headers],0))),IF(AND(_xlpm.x=0,_xlpm.y&lt;&gt;0),-1,IF(AND(_xlpm.x&lt;&gt;0,_xlpm.y&lt;&gt;0),_xlpm.x,IF(AND(_xlpm.x-SUM(IF((INDIRECT($B$3)=$B181)*(INDIRECT($C$3)=$D181)*((INDIRECT($E$3)="TOTS")+(INDIRECT($E$3)=$E181)),INDIRECT(M$3)))&lt;&gt;0,_xlpm.y=0),-2,_xlpm.x)))),0))</f>
        <v>0</v>
      </c>
      <c r="N181" s="199" cm="1">
        <f t="array" aca="1" ref="N181" ca="1">IF(OR($B181="",$B181="X",$D181="",$D181="X",$E181="",$E181="X"),0,IFERROR(_xlfn.LET(_xlpm.x,SUM(SUM(_xlfn._xlws.FILTER(VALUE(PptoSty[Sign]&amp;1)*(1/PptoSty[Division]),(PptoSty[Division]&lt;&gt;0)*(PptoSty[Division]&lt;&gt;"")*(PptoSty[Division]&lt;&gt;"X")*(PptoSty[Project]=$B181)*(PptoSty[Vrs]=$D181)*(PptoSty[PiRow]=_xlfn.TEXTAFTER($H181,":"))*(PptoSty[PiColumn]=N$54),0)),SUM(IF((INDIRECT($B$3)=$B181)*(INDIRECT($C$3)=$D181)*((INDIRECT($E$3)="TOTS")+(INDIRECT($E$3)=$E181)),INDIRECT(N$3)))),_xlpm.y,SUM(_xlfn.CHOOSECOLS(_xlfn._xlws.FILTER(F_RT14[],(F_RT14[PrjId]=$B181)*(F_RT14[Vrs]=$D181)*(_xlfn.TEXTAFTER(F_RT14[ActGrp],":")=_xlfn.TEXTAFTER($H181,":")),"X"),MATCH("*"&amp;N$54,F_RT14[#Headers],0))),IF(AND(_xlpm.x=0,_xlpm.y&lt;&gt;0),-1,IF(AND(_xlpm.x&lt;&gt;0,_xlpm.y&lt;&gt;0),_xlpm.x,IF(AND(_xlpm.x-SUM(IF((INDIRECT($B$3)=$B181)*(INDIRECT($C$3)=$D181)*((INDIRECT($E$3)="TOTS")+(INDIRECT($E$3)=$E181)),INDIRECT(N$3)))&lt;&gt;0,_xlpm.y=0),-2,_xlpm.x)))),0))</f>
        <v>-1</v>
      </c>
      <c r="O181" s="199" cm="1">
        <f t="array" aca="1" ref="O181" ca="1">IF(OR($B181="",$B181="X",$D181="",$D181="X",$E181="",$E181="X"),0,IFERROR(_xlfn.LET(_xlpm.x,SUM(SUM(_xlfn._xlws.FILTER(VALUE(PptoSty[Sign]&amp;1)*(1/PptoSty[Division]),(PptoSty[Division]&lt;&gt;0)*(PptoSty[Division]&lt;&gt;"")*(PptoSty[Division]&lt;&gt;"X")*(PptoSty[Project]=$B181)*(PptoSty[Vrs]=$D181)*(PptoSty[PiRow]=_xlfn.TEXTAFTER($H181,":"))*(PptoSty[PiColumn]=O$54),0)),SUM(IF((INDIRECT($B$3)=$B181)*(INDIRECT($C$3)=$D181)*((INDIRECT($E$3)="TOTS")+(INDIRECT($E$3)=$E181)),INDIRECT(O$3)))),_xlpm.y,SUM(_xlfn.CHOOSECOLS(_xlfn._xlws.FILTER(F_RT14[],(F_RT14[PrjId]=$B181)*(F_RT14[Vrs]=$D181)*(_xlfn.TEXTAFTER(F_RT14[ActGrp],":")=_xlfn.TEXTAFTER($H181,":")),"X"),MATCH("*"&amp;O$54,F_RT14[#Headers],0))),IF(AND(_xlpm.x=0,_xlpm.y&lt;&gt;0),-1,IF(AND(_xlpm.x&lt;&gt;0,_xlpm.y&lt;&gt;0),_xlpm.x,IF(AND(_xlpm.x-SUM(IF((INDIRECT($B$3)=$B181)*(INDIRECT($C$3)=$D181)*((INDIRECT($E$3)="TOTS")+(INDIRECT($E$3)=$E181)),INDIRECT(O$3)))&lt;&gt;0,_xlpm.y=0),-2,_xlpm.x)))),0))</f>
        <v>0</v>
      </c>
      <c r="P181" s="199" cm="1">
        <f t="array" aca="1" ref="P181" ca="1">IF(OR($B181="",$B181="X",$D181="",$D181="X",$E181="",$E181="X"),0,IFERROR(_xlfn.LET(_xlpm.x,SUM(SUM(_xlfn._xlws.FILTER(VALUE(PptoSty[Sign]&amp;1)*(1/PptoSty[Division]),(PptoSty[Division]&lt;&gt;0)*(PptoSty[Division]&lt;&gt;"")*(PptoSty[Division]&lt;&gt;"X")*(PptoSty[Project]=$B181)*(PptoSty[Vrs]=$D181)*(PptoSty[PiRow]=_xlfn.TEXTAFTER($H181,":"))*(PptoSty[PiColumn]=P$54),0)),SUM(IF((INDIRECT($B$3)=$B181)*(INDIRECT($C$3)=$D181)*((INDIRECT($E$3)="TOTS")+(INDIRECT($E$3)=$E181)),INDIRECT(P$3)))),_xlpm.y,SUM(_xlfn.CHOOSECOLS(_xlfn._xlws.FILTER(F_RT14[],(F_RT14[PrjId]=$B181)*(F_RT14[Vrs]=$D181)*(_xlfn.TEXTAFTER(F_RT14[ActGrp],":")=_xlfn.TEXTAFTER($H181,":")),"X"),MATCH("*"&amp;P$54,F_RT14[#Headers],0))),IF(AND(_xlpm.x=0,_xlpm.y&lt;&gt;0),-1,IF(AND(_xlpm.x&lt;&gt;0,_xlpm.y&lt;&gt;0),_xlpm.x,IF(AND(_xlpm.x-SUM(IF((INDIRECT($B$3)=$B181)*(INDIRECT($C$3)=$D181)*((INDIRECT($E$3)="TOTS")+(INDIRECT($E$3)=$E181)),INDIRECT(P$3)))&lt;&gt;0,_xlpm.y=0),-2,_xlpm.x)))),0))</f>
        <v>-1</v>
      </c>
      <c r="Q181" s="199" cm="1">
        <f t="array" aca="1" ref="Q181" ca="1">IF(OR($B181="",$B181="X",$D181="",$D181="X",$E181="",$E181="X"),0,IFERROR(_xlfn.LET(_xlpm.x,SUM(SUM(_xlfn._xlws.FILTER(VALUE(PptoSty[Sign]&amp;1)*(1/PptoSty[Division]),(PptoSty[Division]&lt;&gt;0)*(PptoSty[Division]&lt;&gt;"")*(PptoSty[Division]&lt;&gt;"X")*(PptoSty[Project]=$B181)*(PptoSty[Vrs]=$D181)*(PptoSty[PiRow]=_xlfn.TEXTAFTER($H181,":"))*(PptoSty[PiColumn]=Q$54),0)),SUM(IF((INDIRECT($B$3)=$B181)*(INDIRECT($C$3)=$D181)*((INDIRECT($E$3)="TOTS")+(INDIRECT($E$3)=$E181)),INDIRECT(Q$3)))),_xlpm.y,SUM(_xlfn.CHOOSECOLS(_xlfn._xlws.FILTER(F_RT14[],(F_RT14[PrjId]=$B181)*(F_RT14[Vrs]=$D181)*(_xlfn.TEXTAFTER(F_RT14[ActGrp],":")=_xlfn.TEXTAFTER($H181,":")),"X"),MATCH("*"&amp;Q$54,F_RT14[#Headers],0))),IF(AND(_xlpm.x=0,_xlpm.y&lt;&gt;0),-1,IF(AND(_xlpm.x&lt;&gt;0,_xlpm.y&lt;&gt;0),_xlpm.x,IF(AND(_xlpm.x-SUM(IF((INDIRECT($B$3)=$B181)*(INDIRECT($C$3)=$D181)*((INDIRECT($E$3)="TOTS")+(INDIRECT($E$3)=$E181)),INDIRECT(Q$3)))&lt;&gt;0,_xlpm.y=0),-2,_xlpm.x)))),0))</f>
        <v>-1</v>
      </c>
      <c r="R181" s="199" cm="1">
        <f t="array" aca="1" ref="R181" ca="1">IF(OR($B181="",$B181="X",$D181="",$D181="X",$E181="",$E181="X"),0,IFERROR(_xlfn.LET(_xlpm.x,SUM(SUM(_xlfn._xlws.FILTER(VALUE(PptoSty[Sign]&amp;1)*(1/PptoSty[Division]),(PptoSty[Division]&lt;&gt;0)*(PptoSty[Division]&lt;&gt;"")*(PptoSty[Division]&lt;&gt;"X")*(PptoSty[Project]=$B181)*(PptoSty[Vrs]=$D181)*(PptoSty[PiRow]=_xlfn.TEXTAFTER($H181,":"))*(PptoSty[PiColumn]=R$54),0)),SUM(IF((INDIRECT($B$3)=$B181)*(INDIRECT($C$3)=$D181)*((INDIRECT($E$3)="TOTS")+(INDIRECT($E$3)=$E181)),INDIRECT(R$3)))),_xlpm.y,SUM(_xlfn.CHOOSECOLS(_xlfn._xlws.FILTER(F_RT14[],(F_RT14[PrjId]=$B181)*(F_RT14[Vrs]=$D181)*(_xlfn.TEXTAFTER(F_RT14[ActGrp],":")=_xlfn.TEXTAFTER($H181,":")),"X"),MATCH("*"&amp;R$54,F_RT14[#Headers],0))),IF(AND(_xlpm.x=0,_xlpm.y&lt;&gt;0),-1,IF(AND(_xlpm.x&lt;&gt;0,_xlpm.y&lt;&gt;0),_xlpm.x,IF(AND(_xlpm.x-SUM(IF((INDIRECT($B$3)=$B181)*(INDIRECT($C$3)=$D181)*((INDIRECT($E$3)="TOTS")+(INDIRECT($E$3)=$E181)),INDIRECT(R$3)))&lt;&gt;0,_xlpm.y=0),-2,_xlpm.x)))),0))</f>
        <v>-1</v>
      </c>
      <c r="S181" s="199" cm="1">
        <f t="array" aca="1" ref="S181" ca="1">IF(OR($B181="",$B181="X",$D181="",$D181="X",$E181="",$E181="X"),0,IFERROR(_xlfn.LET(_xlpm.x,SUM(SUM(_xlfn._xlws.FILTER(VALUE(PptoSty[Sign]&amp;1)*(1/PptoSty[Division]),(PptoSty[Division]&lt;&gt;0)*(PptoSty[Division]&lt;&gt;"")*(PptoSty[Division]&lt;&gt;"X")*(PptoSty[Project]=$B181)*(PptoSty[Vrs]=$D181)*(PptoSty[PiRow]=_xlfn.TEXTAFTER($H181,":"))*(PptoSty[PiColumn]=S$54),0)),SUM(IF((INDIRECT($B$3)=$B181)*(INDIRECT($C$3)=$D181)*((INDIRECT($E$3)="TOTS")+(INDIRECT($E$3)=$E181)),INDIRECT(S$3)))),_xlpm.y,SUM(_xlfn.CHOOSECOLS(_xlfn._xlws.FILTER(F_RT14[],(F_RT14[PrjId]=$B181)*(F_RT14[Vrs]=$D181)*(_xlfn.TEXTAFTER(F_RT14[ActGrp],":")=_xlfn.TEXTAFTER($H181,":")),"X"),MATCH("*"&amp;S$54,F_RT14[#Headers],0))),IF(AND(_xlpm.x=0,_xlpm.y&lt;&gt;0),-1,IF(AND(_xlpm.x&lt;&gt;0,_xlpm.y&lt;&gt;0),_xlpm.x,IF(AND(_xlpm.x-SUM(IF((INDIRECT($B$3)=$B181)*(INDIRECT($C$3)=$D181)*((INDIRECT($E$3)="TOTS")+(INDIRECT($E$3)=$E181)),INDIRECT(S$3)))&lt;&gt;0,_xlpm.y=0),-2,_xlpm.x)))),0))</f>
        <v>-1</v>
      </c>
      <c r="T181" s="199" cm="1">
        <f t="array" aca="1" ref="T181" ca="1">IF(OR($B181="",$B181="X",$D181="",$D181="X",$E181="",$E181="X"),0,IFERROR(_xlfn.LET(_xlpm.x,SUM(SUM(_xlfn._xlws.FILTER(VALUE(PptoSty[Sign]&amp;1)*(1/PptoSty[Division]),(PptoSty[Division]&lt;&gt;0)*(PptoSty[Division]&lt;&gt;"")*(PptoSty[Division]&lt;&gt;"X")*(PptoSty[Project]=$B181)*(PptoSty[Vrs]=$D181)*(PptoSty[PiRow]=_xlfn.TEXTAFTER($H181,":"))*(PptoSty[PiColumn]=T$54),0)),SUM(IF((INDIRECT($B$3)=$B181)*(INDIRECT($C$3)=$D181)*((INDIRECT($E$3)="TOTS")+(INDIRECT($E$3)=$E181)),INDIRECT(T$3)))),_xlpm.y,SUM(_xlfn.CHOOSECOLS(_xlfn._xlws.FILTER(F_RT14[],(F_RT14[PrjId]=$B181)*(F_RT14[Vrs]=$D181)*(_xlfn.TEXTAFTER(F_RT14[ActGrp],":")=_xlfn.TEXTAFTER($H181,":")),"X"),MATCH("*"&amp;T$54,F_RT14[#Headers],0))),IF(AND(_xlpm.x=0,_xlpm.y&lt;&gt;0),-1,IF(AND(_xlpm.x&lt;&gt;0,_xlpm.y&lt;&gt;0),_xlpm.x,IF(AND(_xlpm.x-SUM(IF((INDIRECT($B$3)=$B181)*(INDIRECT($C$3)=$D181)*((INDIRECT($E$3)="TOTS")+(INDIRECT($E$3)=$E181)),INDIRECT(T$3)))&lt;&gt;0,_xlpm.y=0),-2,_xlpm.x)))),0))</f>
        <v>-1</v>
      </c>
      <c r="U181" s="199" cm="1">
        <f t="array" aca="1" ref="U181" ca="1">IF(OR($B181="",$B181="X",$D181="",$D181="X",$E181="",$E181="X"),0,IFERROR(_xlfn.LET(_xlpm.x,SUM(SUM(_xlfn._xlws.FILTER(VALUE(PptoSty[Sign]&amp;1)*(1/PptoSty[Division]),(PptoSty[Division]&lt;&gt;0)*(PptoSty[Division]&lt;&gt;"")*(PptoSty[Division]&lt;&gt;"X")*(PptoSty[Project]=$B181)*(PptoSty[Vrs]=$D181)*(PptoSty[PiRow]=_xlfn.TEXTAFTER($H181,":"))*(PptoSty[PiColumn]=U$54),0)),SUM(IF((INDIRECT($B$3)=$B181)*(INDIRECT($C$3)=$D181)*((INDIRECT($E$3)="TOTS")+(INDIRECT($E$3)=$E181)),INDIRECT(U$3)))),_xlpm.y,SUM(_xlfn.CHOOSECOLS(_xlfn._xlws.FILTER(F_RT14[],(F_RT14[PrjId]=$B181)*(F_RT14[Vrs]=$D181)*(_xlfn.TEXTAFTER(F_RT14[ActGrp],":")=_xlfn.TEXTAFTER($H181,":")),"X"),MATCH("*"&amp;U$54,F_RT14[#Headers],0))),IF(AND(_xlpm.x=0,_xlpm.y&lt;&gt;0),-1,IF(AND(_xlpm.x&lt;&gt;0,_xlpm.y&lt;&gt;0),_xlpm.x,IF(AND(_xlpm.x-SUM(IF((INDIRECT($B$3)=$B181)*(INDIRECT($C$3)=$D181)*((INDIRECT($E$3)="TOTS")+(INDIRECT($E$3)=$E181)),INDIRECT(U$3)))&lt;&gt;0,_xlpm.y=0),-2,_xlpm.x)))),0))</f>
        <v>0</v>
      </c>
      <c r="V181" s="199" cm="1">
        <f t="array" aca="1" ref="V181" ca="1">IF(OR($B181="",$B181="X",$D181="",$D181="X",$E181="",$E181="X"),0,IFERROR(_xlfn.LET(_xlpm.x,SUM(SUM(_xlfn._xlws.FILTER(VALUE(PptoSty[Sign]&amp;1)*(1/PptoSty[Division]),(PptoSty[Division]&lt;&gt;0)*(PptoSty[Division]&lt;&gt;"")*(PptoSty[Division]&lt;&gt;"X")*(PptoSty[Project]=$B181)*(PptoSty[Vrs]=$D181)*(PptoSty[PiRow]=_xlfn.TEXTAFTER($H181,":"))*(PptoSty[PiColumn]=V$54),0)),SUM(IF((INDIRECT($B$3)=$B181)*(INDIRECT($C$3)=$D181)*((INDIRECT($E$3)="TOTS")+(INDIRECT($E$3)=$E181)),INDIRECT(V$3)))),_xlpm.y,SUM(_xlfn.CHOOSECOLS(_xlfn._xlws.FILTER(F_RT14[],(F_RT14[PrjId]=$B181)*(F_RT14[Vrs]=$D181)*(_xlfn.TEXTAFTER(F_RT14[ActGrp],":")=_xlfn.TEXTAFTER($H181,":")),"X"),MATCH("*"&amp;V$54,F_RT14[#Headers],0))),IF(AND(_xlpm.x=0,_xlpm.y&lt;&gt;0),-1,IF(AND(_xlpm.x&lt;&gt;0,_xlpm.y&lt;&gt;0),_xlpm.x,IF(AND(_xlpm.x-SUM(IF((INDIRECT($B$3)=$B181)*(INDIRECT($C$3)=$D181)*((INDIRECT($E$3)="TOTS")+(INDIRECT($E$3)=$E181)),INDIRECT(V$3)))&lt;&gt;0,_xlpm.y=0),-2,_xlpm.x)))),0))</f>
        <v>-1</v>
      </c>
      <c r="W181" s="199" cm="1">
        <f t="array" aca="1" ref="W181" ca="1">IF(OR($B181="",$B181="X",$D181="",$D181="X",$E181="",$E181="X"),0,IFERROR(_xlfn.LET(_xlpm.x,SUM(SUM(_xlfn._xlws.FILTER(VALUE(PptoSty[Sign]&amp;1)*(1/PptoSty[Division]),(PptoSty[Division]&lt;&gt;0)*(PptoSty[Division]&lt;&gt;"")*(PptoSty[Division]&lt;&gt;"X")*(PptoSty[Project]=$B181)*(PptoSty[Vrs]=$D181)*(PptoSty[PiRow]=_xlfn.TEXTAFTER($H181,":"))*(PptoSty[PiColumn]=W$54),0)),SUM(IF((INDIRECT($B$3)=$B181)*(INDIRECT($C$3)=$D181)*((INDIRECT($E$3)="TOTS")+(INDIRECT($E$3)=$E181)),INDIRECT(W$3)))),_xlpm.y,SUM(_xlfn.CHOOSECOLS(_xlfn._xlws.FILTER(F_RT14[],(F_RT14[PrjId]=$B181)*(F_RT14[Vrs]=$D181)*(_xlfn.TEXTAFTER(F_RT14[ActGrp],":")=_xlfn.TEXTAFTER($H181,":")),"X"),MATCH("*"&amp;W$54,F_RT14[#Headers],0))),IF(AND(_xlpm.x=0,_xlpm.y&lt;&gt;0),-1,IF(AND(_xlpm.x&lt;&gt;0,_xlpm.y&lt;&gt;0),_xlpm.x,IF(AND(_xlpm.x-SUM(IF((INDIRECT($B$3)=$B181)*(INDIRECT($C$3)=$D181)*((INDIRECT($E$3)="TOTS")+(INDIRECT($E$3)=$E181)),INDIRECT(W$3)))&lt;&gt;0,_xlpm.y=0),-2,_xlpm.x)))),0))</f>
        <v>-1</v>
      </c>
      <c r="X181" s="199" cm="1">
        <f t="array" aca="1" ref="X181" ca="1">IF(OR($B181="",$B181="X",$D181="",$D181="X",$E181="",$E181="X"),0,IFERROR(_xlfn.LET(_xlpm.x,SUM(SUM(_xlfn._xlws.FILTER(VALUE(PptoSty[Sign]&amp;1)*(1/PptoSty[Division]),(PptoSty[Division]&lt;&gt;0)*(PptoSty[Division]&lt;&gt;"")*(PptoSty[Division]&lt;&gt;"X")*(PptoSty[Project]=$B181)*(PptoSty[Vrs]=$D181)*(PptoSty[PiRow]=_xlfn.TEXTAFTER($H181,":"))*(PptoSty[PiColumn]=X$54),0)),SUM(IF((INDIRECT($B$3)=$B181)*(INDIRECT($C$3)=$D181)*((INDIRECT($E$3)="TOTS")+(INDIRECT($E$3)=$E181)),INDIRECT(X$3)))),_xlpm.y,SUM(_xlfn.CHOOSECOLS(_xlfn._xlws.FILTER(F_RT14[],(F_RT14[PrjId]=$B181)*(F_RT14[Vrs]=$D181)*(_xlfn.TEXTAFTER(F_RT14[ActGrp],":")=_xlfn.TEXTAFTER($H181,":")),"X"),MATCH("*"&amp;X$54,F_RT14[#Headers],0))),IF(AND(_xlpm.x=0,_xlpm.y&lt;&gt;0),-1,IF(AND(_xlpm.x&lt;&gt;0,_xlpm.y&lt;&gt;0),_xlpm.x,IF(AND(_xlpm.x-SUM(IF((INDIRECT($B$3)=$B181)*(INDIRECT($C$3)=$D181)*((INDIRECT($E$3)="TOTS")+(INDIRECT($E$3)=$E181)),INDIRECT(X$3)))&lt;&gt;0,_xlpm.y=0),-2,_xlpm.x)))),0))</f>
        <v>-1</v>
      </c>
      <c r="Y181" s="199" cm="1">
        <f t="array" aca="1" ref="Y181" ca="1">IF(OR($B181="",$B181="X",$D181="",$D181="X",$E181="",$E181="X"),0,IFERROR(_xlfn.LET(_xlpm.x,SUM(SUM(_xlfn._xlws.FILTER(VALUE(PptoSty[Sign]&amp;1)*(1/PptoSty[Division]),(PptoSty[Division]&lt;&gt;0)*(PptoSty[Division]&lt;&gt;"")*(PptoSty[Division]&lt;&gt;"X")*(PptoSty[Project]=$B181)*(PptoSty[Vrs]=$D181)*(PptoSty[PiRow]=_xlfn.TEXTAFTER($H181,":"))*(PptoSty[PiColumn]=Y$54),0)),SUM(IF((INDIRECT($B$3)=$B181)*(INDIRECT($C$3)=$D181)*((INDIRECT($E$3)="TOTS")+(INDIRECT($E$3)=$E181)),INDIRECT(Y$3)))),_xlpm.y,SUM(_xlfn.CHOOSECOLS(_xlfn._xlws.FILTER(F_RT14[],(F_RT14[PrjId]=$B181)*(F_RT14[Vrs]=$D181)*(_xlfn.TEXTAFTER(F_RT14[ActGrp],":")=_xlfn.TEXTAFTER($H181,":")),"X"),MATCH("*"&amp;Y$54,F_RT14[#Headers],0))),IF(AND(_xlpm.x=0,_xlpm.y&lt;&gt;0),-1,IF(AND(_xlpm.x&lt;&gt;0,_xlpm.y&lt;&gt;0),_xlpm.x,IF(AND(_xlpm.x-SUM(IF((INDIRECT($B$3)=$B181)*(INDIRECT($C$3)=$D181)*((INDIRECT($E$3)="TOTS")+(INDIRECT($E$3)=$E181)),INDIRECT(Y$3)))&lt;&gt;0,_xlpm.y=0),-2,_xlpm.x)))),0))</f>
        <v>0</v>
      </c>
      <c r="Z181" s="198" t="str">
        <f t="shared" ref="Z181:Z244" ca="1" si="4">ADDRESS(SUM(ROW()),MATCH("SOC",$1:$1,0)+1,4,1,$B$2)&amp;":"&amp;ADDRESS(SUM(ROW()),MATCH("EOC",$1:$1,0)-1,4)</f>
        <v>Fback!B181:Y181</v>
      </c>
    </row>
    <row r="182" spans="2:26" ht="21" customHeight="1" outlineLevel="1">
      <c r="B182" s="128" t="str">
        <v>31200</v>
      </c>
      <c r="C182" s="128" t="str">
        <v>Sp</v>
      </c>
      <c r="D182" s="128">
        <v>0</v>
      </c>
      <c r="E182" s="128" t="str">
        <v>TOOL</v>
      </c>
      <c r="F182" s="139" t="str">
        <v>SERRA</v>
      </c>
      <c r="G182" s="139" t="str">
        <v>CurPpto</v>
      </c>
      <c r="H182" s="139" t="str">
        <v>P010:OP-75.1 REWELD</v>
      </c>
      <c r="I182" s="199" cm="1">
        <f t="array" aca="1" ref="I182" ca="1">IF(OR($B182="",$B182="X",$D182="",$D182="X",$E182="",$E182="X"),0,IFERROR(_xlfn.LET(_xlpm.x,SUM(SUM(_xlfn._xlws.FILTER(VALUE(PptoSty[Sign]&amp;1)*(1/PptoSty[Division]),(PptoSty[Division]&lt;&gt;0)*(PptoSty[Division]&lt;&gt;"")*(PptoSty[Division]&lt;&gt;"X")*(PptoSty[Project]=$B182)*(PptoSty[Vrs]=$D182)*(PptoSty[PiRow]=_xlfn.TEXTAFTER($H182,":"))*(PptoSty[PiColumn]=I$54),0)),SUM(IF((INDIRECT($B$3)=$B182)*(INDIRECT($C$3)=$D182)*((INDIRECT($E$3)="TOTS")+(INDIRECT($E$3)=$E182)),INDIRECT(I$3)))),_xlpm.y,SUM(_xlfn.CHOOSECOLS(_xlfn._xlws.FILTER(F_RT14[],(F_RT14[PrjId]=$B182)*(F_RT14[Vrs]=$D182)*(_xlfn.TEXTAFTER(F_RT14[ActGrp],":")=_xlfn.TEXTAFTER($H182,":")),"X"),MATCH("*"&amp;I$54,F_RT14[#Headers],0))),IF(AND(_xlpm.x=0,_xlpm.y&lt;&gt;0),-1,IF(AND(_xlpm.x&lt;&gt;0,_xlpm.y&lt;&gt;0),_xlpm.x,IF(AND(_xlpm.x-SUM(IF((INDIRECT($B$3)=$B182)*(INDIRECT($C$3)=$D182)*((INDIRECT($E$3)="TOTS")+(INDIRECT($E$3)=$E182)),INDIRECT(I$3)))&lt;&gt;0,_xlpm.y=0),-2,_xlpm.x)))),0))</f>
        <v>0</v>
      </c>
      <c r="J182" s="199" cm="1">
        <f t="array" aca="1" ref="J182" ca="1">IF(OR($B182="",$B182="X",$D182="",$D182="X",$E182="",$E182="X"),0,IFERROR(_xlfn.LET(_xlpm.x,SUM(SUM(_xlfn._xlws.FILTER(VALUE(PptoSty[Sign]&amp;1)*(1/PptoSty[Division]),(PptoSty[Division]&lt;&gt;0)*(PptoSty[Division]&lt;&gt;"")*(PptoSty[Division]&lt;&gt;"X")*(PptoSty[Project]=$B182)*(PptoSty[Vrs]=$D182)*(PptoSty[PiRow]=_xlfn.TEXTAFTER($H182,":"))*(PptoSty[PiColumn]=J$54),0)),SUM(IF((INDIRECT($B$3)=$B182)*(INDIRECT($C$3)=$D182)*((INDIRECT($E$3)="TOTS")+(INDIRECT($E$3)=$E182)),INDIRECT(J$3)))),_xlpm.y,SUM(_xlfn.CHOOSECOLS(_xlfn._xlws.FILTER(F_RT14[],(F_RT14[PrjId]=$B182)*(F_RT14[Vrs]=$D182)*(_xlfn.TEXTAFTER(F_RT14[ActGrp],":")=_xlfn.TEXTAFTER($H182,":")),"X"),MATCH("*"&amp;J$54,F_RT14[#Headers],0))),IF(AND(_xlpm.x=0,_xlpm.y&lt;&gt;0),-1,IF(AND(_xlpm.x&lt;&gt;0,_xlpm.y&lt;&gt;0),_xlpm.x,IF(AND(_xlpm.x-SUM(IF((INDIRECT($B$3)=$B182)*(INDIRECT($C$3)=$D182)*((INDIRECT($E$3)="TOTS")+(INDIRECT($E$3)=$E182)),INDIRECT(J$3)))&lt;&gt;0,_xlpm.y=0),-2,_xlpm.x)))),0))</f>
        <v>0</v>
      </c>
      <c r="K182" s="199" cm="1">
        <f t="array" aca="1" ref="K182" ca="1">IF(OR($B182="",$B182="X",$D182="",$D182="X",$E182="",$E182="X"),0,IFERROR(_xlfn.LET(_xlpm.x,SUM(SUM(_xlfn._xlws.FILTER(VALUE(PptoSty[Sign]&amp;1)*(1/PptoSty[Division]),(PptoSty[Division]&lt;&gt;0)*(PptoSty[Division]&lt;&gt;"")*(PptoSty[Division]&lt;&gt;"X")*(PptoSty[Project]=$B182)*(PptoSty[Vrs]=$D182)*(PptoSty[PiRow]=_xlfn.TEXTAFTER($H182,":"))*(PptoSty[PiColumn]=K$54),0)),SUM(IF((INDIRECT($B$3)=$B182)*(INDIRECT($C$3)=$D182)*((INDIRECT($E$3)="TOTS")+(INDIRECT($E$3)=$E182)),INDIRECT(K$3)))),_xlpm.y,SUM(_xlfn.CHOOSECOLS(_xlfn._xlws.FILTER(F_RT14[],(F_RT14[PrjId]=$B182)*(F_RT14[Vrs]=$D182)*(_xlfn.TEXTAFTER(F_RT14[ActGrp],":")=_xlfn.TEXTAFTER($H182,":")),"X"),MATCH("*"&amp;K$54,F_RT14[#Headers],0))),IF(AND(_xlpm.x=0,_xlpm.y&lt;&gt;0),-1,IF(AND(_xlpm.x&lt;&gt;0,_xlpm.y&lt;&gt;0),_xlpm.x,IF(AND(_xlpm.x-SUM(IF((INDIRECT($B$3)=$B182)*(INDIRECT($C$3)=$D182)*((INDIRECT($E$3)="TOTS")+(INDIRECT($E$3)=$E182)),INDIRECT(K$3)))&lt;&gt;0,_xlpm.y=0),-2,_xlpm.x)))),0))</f>
        <v>-1</v>
      </c>
      <c r="L182" s="199" cm="1">
        <f t="array" aca="1" ref="L182" ca="1">IF(OR($B182="",$B182="X",$D182="",$D182="X",$E182="",$E182="X"),0,IFERROR(_xlfn.LET(_xlpm.x,SUM(SUM(_xlfn._xlws.FILTER(VALUE(PptoSty[Sign]&amp;1)*(1/PptoSty[Division]),(PptoSty[Division]&lt;&gt;0)*(PptoSty[Division]&lt;&gt;"")*(PptoSty[Division]&lt;&gt;"X")*(PptoSty[Project]=$B182)*(PptoSty[Vrs]=$D182)*(PptoSty[PiRow]=_xlfn.TEXTAFTER($H182,":"))*(PptoSty[PiColumn]=L$54),0)),SUM(IF((INDIRECT($B$3)=$B182)*(INDIRECT($C$3)=$D182)*((INDIRECT($E$3)="TOTS")+(INDIRECT($E$3)=$E182)),INDIRECT(L$3)))),_xlpm.y,SUM(_xlfn.CHOOSECOLS(_xlfn._xlws.FILTER(F_RT14[],(F_RT14[PrjId]=$B182)*(F_RT14[Vrs]=$D182)*(_xlfn.TEXTAFTER(F_RT14[ActGrp],":")=_xlfn.TEXTAFTER($H182,":")),"X"),MATCH("*"&amp;L$54,F_RT14[#Headers],0))),IF(AND(_xlpm.x=0,_xlpm.y&lt;&gt;0),-1,IF(AND(_xlpm.x&lt;&gt;0,_xlpm.y&lt;&gt;0),_xlpm.x,IF(AND(_xlpm.x-SUM(IF((INDIRECT($B$3)=$B182)*(INDIRECT($C$3)=$D182)*((INDIRECT($E$3)="TOTS")+(INDIRECT($E$3)=$E182)),INDIRECT(L$3)))&lt;&gt;0,_xlpm.y=0),-2,_xlpm.x)))),0))</f>
        <v>0</v>
      </c>
      <c r="M182" s="199" cm="1">
        <f t="array" aca="1" ref="M182" ca="1">IF(OR($B182="",$B182="X",$D182="",$D182="X",$E182="",$E182="X"),0,IFERROR(_xlfn.LET(_xlpm.x,SUM(SUM(_xlfn._xlws.FILTER(VALUE(PptoSty[Sign]&amp;1)*(1/PptoSty[Division]),(PptoSty[Division]&lt;&gt;0)*(PptoSty[Division]&lt;&gt;"")*(PptoSty[Division]&lt;&gt;"X")*(PptoSty[Project]=$B182)*(PptoSty[Vrs]=$D182)*(PptoSty[PiRow]=_xlfn.TEXTAFTER($H182,":"))*(PptoSty[PiColumn]=M$54),0)),SUM(IF((INDIRECT($B$3)=$B182)*(INDIRECT($C$3)=$D182)*((INDIRECT($E$3)="TOTS")+(INDIRECT($E$3)=$E182)),INDIRECT(M$3)))),_xlpm.y,SUM(_xlfn.CHOOSECOLS(_xlfn._xlws.FILTER(F_RT14[],(F_RT14[PrjId]=$B182)*(F_RT14[Vrs]=$D182)*(_xlfn.TEXTAFTER(F_RT14[ActGrp],":")=_xlfn.TEXTAFTER($H182,":")),"X"),MATCH("*"&amp;M$54,F_RT14[#Headers],0))),IF(AND(_xlpm.x=0,_xlpm.y&lt;&gt;0),-1,IF(AND(_xlpm.x&lt;&gt;0,_xlpm.y&lt;&gt;0),_xlpm.x,IF(AND(_xlpm.x-SUM(IF((INDIRECT($B$3)=$B182)*(INDIRECT($C$3)=$D182)*((INDIRECT($E$3)="TOTS")+(INDIRECT($E$3)=$E182)),INDIRECT(M$3)))&lt;&gt;0,_xlpm.y=0),-2,_xlpm.x)))),0))</f>
        <v>0</v>
      </c>
      <c r="N182" s="199" cm="1">
        <f t="array" aca="1" ref="N182" ca="1">IF(OR($B182="",$B182="X",$D182="",$D182="X",$E182="",$E182="X"),0,IFERROR(_xlfn.LET(_xlpm.x,SUM(SUM(_xlfn._xlws.FILTER(VALUE(PptoSty[Sign]&amp;1)*(1/PptoSty[Division]),(PptoSty[Division]&lt;&gt;0)*(PptoSty[Division]&lt;&gt;"")*(PptoSty[Division]&lt;&gt;"X")*(PptoSty[Project]=$B182)*(PptoSty[Vrs]=$D182)*(PptoSty[PiRow]=_xlfn.TEXTAFTER($H182,":"))*(PptoSty[PiColumn]=N$54),0)),SUM(IF((INDIRECT($B$3)=$B182)*(INDIRECT($C$3)=$D182)*((INDIRECT($E$3)="TOTS")+(INDIRECT($E$3)=$E182)),INDIRECT(N$3)))),_xlpm.y,SUM(_xlfn.CHOOSECOLS(_xlfn._xlws.FILTER(F_RT14[],(F_RT14[PrjId]=$B182)*(F_RT14[Vrs]=$D182)*(_xlfn.TEXTAFTER(F_RT14[ActGrp],":")=_xlfn.TEXTAFTER($H182,":")),"X"),MATCH("*"&amp;N$54,F_RT14[#Headers],0))),IF(AND(_xlpm.x=0,_xlpm.y&lt;&gt;0),-1,IF(AND(_xlpm.x&lt;&gt;0,_xlpm.y&lt;&gt;0),_xlpm.x,IF(AND(_xlpm.x-SUM(IF((INDIRECT($B$3)=$B182)*(INDIRECT($C$3)=$D182)*((INDIRECT($E$3)="TOTS")+(INDIRECT($E$3)=$E182)),INDIRECT(N$3)))&lt;&gt;0,_xlpm.y=0),-2,_xlpm.x)))),0))</f>
        <v>-1</v>
      </c>
      <c r="O182" s="199" cm="1">
        <f t="array" aca="1" ref="O182" ca="1">IF(OR($B182="",$B182="X",$D182="",$D182="X",$E182="",$E182="X"),0,IFERROR(_xlfn.LET(_xlpm.x,SUM(SUM(_xlfn._xlws.FILTER(VALUE(PptoSty[Sign]&amp;1)*(1/PptoSty[Division]),(PptoSty[Division]&lt;&gt;0)*(PptoSty[Division]&lt;&gt;"")*(PptoSty[Division]&lt;&gt;"X")*(PptoSty[Project]=$B182)*(PptoSty[Vrs]=$D182)*(PptoSty[PiRow]=_xlfn.TEXTAFTER($H182,":"))*(PptoSty[PiColumn]=O$54),0)),SUM(IF((INDIRECT($B$3)=$B182)*(INDIRECT($C$3)=$D182)*((INDIRECT($E$3)="TOTS")+(INDIRECT($E$3)=$E182)),INDIRECT(O$3)))),_xlpm.y,SUM(_xlfn.CHOOSECOLS(_xlfn._xlws.FILTER(F_RT14[],(F_RT14[PrjId]=$B182)*(F_RT14[Vrs]=$D182)*(_xlfn.TEXTAFTER(F_RT14[ActGrp],":")=_xlfn.TEXTAFTER($H182,":")),"X"),MATCH("*"&amp;O$54,F_RT14[#Headers],0))),IF(AND(_xlpm.x=0,_xlpm.y&lt;&gt;0),-1,IF(AND(_xlpm.x&lt;&gt;0,_xlpm.y&lt;&gt;0),_xlpm.x,IF(AND(_xlpm.x-SUM(IF((INDIRECT($B$3)=$B182)*(INDIRECT($C$3)=$D182)*((INDIRECT($E$3)="TOTS")+(INDIRECT($E$3)=$E182)),INDIRECT(O$3)))&lt;&gt;0,_xlpm.y=0),-2,_xlpm.x)))),0))</f>
        <v>0</v>
      </c>
      <c r="P182" s="199" cm="1">
        <f t="array" aca="1" ref="P182" ca="1">IF(OR($B182="",$B182="X",$D182="",$D182="X",$E182="",$E182="X"),0,IFERROR(_xlfn.LET(_xlpm.x,SUM(SUM(_xlfn._xlws.FILTER(VALUE(PptoSty[Sign]&amp;1)*(1/PptoSty[Division]),(PptoSty[Division]&lt;&gt;0)*(PptoSty[Division]&lt;&gt;"")*(PptoSty[Division]&lt;&gt;"X")*(PptoSty[Project]=$B182)*(PptoSty[Vrs]=$D182)*(PptoSty[PiRow]=_xlfn.TEXTAFTER($H182,":"))*(PptoSty[PiColumn]=P$54),0)),SUM(IF((INDIRECT($B$3)=$B182)*(INDIRECT($C$3)=$D182)*((INDIRECT($E$3)="TOTS")+(INDIRECT($E$3)=$E182)),INDIRECT(P$3)))),_xlpm.y,SUM(_xlfn.CHOOSECOLS(_xlfn._xlws.FILTER(F_RT14[],(F_RT14[PrjId]=$B182)*(F_RT14[Vrs]=$D182)*(_xlfn.TEXTAFTER(F_RT14[ActGrp],":")=_xlfn.TEXTAFTER($H182,":")),"X"),MATCH("*"&amp;P$54,F_RT14[#Headers],0))),IF(AND(_xlpm.x=0,_xlpm.y&lt;&gt;0),-1,IF(AND(_xlpm.x&lt;&gt;0,_xlpm.y&lt;&gt;0),_xlpm.x,IF(AND(_xlpm.x-SUM(IF((INDIRECT($B$3)=$B182)*(INDIRECT($C$3)=$D182)*((INDIRECT($E$3)="TOTS")+(INDIRECT($E$3)=$E182)),INDIRECT(P$3)))&lt;&gt;0,_xlpm.y=0),-2,_xlpm.x)))),0))</f>
        <v>-1</v>
      </c>
      <c r="Q182" s="199" cm="1">
        <f t="array" aca="1" ref="Q182" ca="1">IF(OR($B182="",$B182="X",$D182="",$D182="X",$E182="",$E182="X"),0,IFERROR(_xlfn.LET(_xlpm.x,SUM(SUM(_xlfn._xlws.FILTER(VALUE(PptoSty[Sign]&amp;1)*(1/PptoSty[Division]),(PptoSty[Division]&lt;&gt;0)*(PptoSty[Division]&lt;&gt;"")*(PptoSty[Division]&lt;&gt;"X")*(PptoSty[Project]=$B182)*(PptoSty[Vrs]=$D182)*(PptoSty[PiRow]=_xlfn.TEXTAFTER($H182,":"))*(PptoSty[PiColumn]=Q$54),0)),SUM(IF((INDIRECT($B$3)=$B182)*(INDIRECT($C$3)=$D182)*((INDIRECT($E$3)="TOTS")+(INDIRECT($E$3)=$E182)),INDIRECT(Q$3)))),_xlpm.y,SUM(_xlfn.CHOOSECOLS(_xlfn._xlws.FILTER(F_RT14[],(F_RT14[PrjId]=$B182)*(F_RT14[Vrs]=$D182)*(_xlfn.TEXTAFTER(F_RT14[ActGrp],":")=_xlfn.TEXTAFTER($H182,":")),"X"),MATCH("*"&amp;Q$54,F_RT14[#Headers],0))),IF(AND(_xlpm.x=0,_xlpm.y&lt;&gt;0),-1,IF(AND(_xlpm.x&lt;&gt;0,_xlpm.y&lt;&gt;0),_xlpm.x,IF(AND(_xlpm.x-SUM(IF((INDIRECT($B$3)=$B182)*(INDIRECT($C$3)=$D182)*((INDIRECT($E$3)="TOTS")+(INDIRECT($E$3)=$E182)),INDIRECT(Q$3)))&lt;&gt;0,_xlpm.y=0),-2,_xlpm.x)))),0))</f>
        <v>-1</v>
      </c>
      <c r="R182" s="199" cm="1">
        <f t="array" aca="1" ref="R182" ca="1">IF(OR($B182="",$B182="X",$D182="",$D182="X",$E182="",$E182="X"),0,IFERROR(_xlfn.LET(_xlpm.x,SUM(SUM(_xlfn._xlws.FILTER(VALUE(PptoSty[Sign]&amp;1)*(1/PptoSty[Division]),(PptoSty[Division]&lt;&gt;0)*(PptoSty[Division]&lt;&gt;"")*(PptoSty[Division]&lt;&gt;"X")*(PptoSty[Project]=$B182)*(PptoSty[Vrs]=$D182)*(PptoSty[PiRow]=_xlfn.TEXTAFTER($H182,":"))*(PptoSty[PiColumn]=R$54),0)),SUM(IF((INDIRECT($B$3)=$B182)*(INDIRECT($C$3)=$D182)*((INDIRECT($E$3)="TOTS")+(INDIRECT($E$3)=$E182)),INDIRECT(R$3)))),_xlpm.y,SUM(_xlfn.CHOOSECOLS(_xlfn._xlws.FILTER(F_RT14[],(F_RT14[PrjId]=$B182)*(F_RT14[Vrs]=$D182)*(_xlfn.TEXTAFTER(F_RT14[ActGrp],":")=_xlfn.TEXTAFTER($H182,":")),"X"),MATCH("*"&amp;R$54,F_RT14[#Headers],0))),IF(AND(_xlpm.x=0,_xlpm.y&lt;&gt;0),-1,IF(AND(_xlpm.x&lt;&gt;0,_xlpm.y&lt;&gt;0),_xlpm.x,IF(AND(_xlpm.x-SUM(IF((INDIRECT($B$3)=$B182)*(INDIRECT($C$3)=$D182)*((INDIRECT($E$3)="TOTS")+(INDIRECT($E$3)=$E182)),INDIRECT(R$3)))&lt;&gt;0,_xlpm.y=0),-2,_xlpm.x)))),0))</f>
        <v>-1</v>
      </c>
      <c r="S182" s="199" cm="1">
        <f t="array" aca="1" ref="S182" ca="1">IF(OR($B182="",$B182="X",$D182="",$D182="X",$E182="",$E182="X"),0,IFERROR(_xlfn.LET(_xlpm.x,SUM(SUM(_xlfn._xlws.FILTER(VALUE(PptoSty[Sign]&amp;1)*(1/PptoSty[Division]),(PptoSty[Division]&lt;&gt;0)*(PptoSty[Division]&lt;&gt;"")*(PptoSty[Division]&lt;&gt;"X")*(PptoSty[Project]=$B182)*(PptoSty[Vrs]=$D182)*(PptoSty[PiRow]=_xlfn.TEXTAFTER($H182,":"))*(PptoSty[PiColumn]=S$54),0)),SUM(IF((INDIRECT($B$3)=$B182)*(INDIRECT($C$3)=$D182)*((INDIRECT($E$3)="TOTS")+(INDIRECT($E$3)=$E182)),INDIRECT(S$3)))),_xlpm.y,SUM(_xlfn.CHOOSECOLS(_xlfn._xlws.FILTER(F_RT14[],(F_RT14[PrjId]=$B182)*(F_RT14[Vrs]=$D182)*(_xlfn.TEXTAFTER(F_RT14[ActGrp],":")=_xlfn.TEXTAFTER($H182,":")),"X"),MATCH("*"&amp;S$54,F_RT14[#Headers],0))),IF(AND(_xlpm.x=0,_xlpm.y&lt;&gt;0),-1,IF(AND(_xlpm.x&lt;&gt;0,_xlpm.y&lt;&gt;0),_xlpm.x,IF(AND(_xlpm.x-SUM(IF((INDIRECT($B$3)=$B182)*(INDIRECT($C$3)=$D182)*((INDIRECT($E$3)="TOTS")+(INDIRECT($E$3)=$E182)),INDIRECT(S$3)))&lt;&gt;0,_xlpm.y=0),-2,_xlpm.x)))),0))</f>
        <v>-1</v>
      </c>
      <c r="T182" s="199" cm="1">
        <f t="array" aca="1" ref="T182" ca="1">IF(OR($B182="",$B182="X",$D182="",$D182="X",$E182="",$E182="X"),0,IFERROR(_xlfn.LET(_xlpm.x,SUM(SUM(_xlfn._xlws.FILTER(VALUE(PptoSty[Sign]&amp;1)*(1/PptoSty[Division]),(PptoSty[Division]&lt;&gt;0)*(PptoSty[Division]&lt;&gt;"")*(PptoSty[Division]&lt;&gt;"X")*(PptoSty[Project]=$B182)*(PptoSty[Vrs]=$D182)*(PptoSty[PiRow]=_xlfn.TEXTAFTER($H182,":"))*(PptoSty[PiColumn]=T$54),0)),SUM(IF((INDIRECT($B$3)=$B182)*(INDIRECT($C$3)=$D182)*((INDIRECT($E$3)="TOTS")+(INDIRECT($E$3)=$E182)),INDIRECT(T$3)))),_xlpm.y,SUM(_xlfn.CHOOSECOLS(_xlfn._xlws.FILTER(F_RT14[],(F_RT14[PrjId]=$B182)*(F_RT14[Vrs]=$D182)*(_xlfn.TEXTAFTER(F_RT14[ActGrp],":")=_xlfn.TEXTAFTER($H182,":")),"X"),MATCH("*"&amp;T$54,F_RT14[#Headers],0))),IF(AND(_xlpm.x=0,_xlpm.y&lt;&gt;0),-1,IF(AND(_xlpm.x&lt;&gt;0,_xlpm.y&lt;&gt;0),_xlpm.x,IF(AND(_xlpm.x-SUM(IF((INDIRECT($B$3)=$B182)*(INDIRECT($C$3)=$D182)*((INDIRECT($E$3)="TOTS")+(INDIRECT($E$3)=$E182)),INDIRECT(T$3)))&lt;&gt;0,_xlpm.y=0),-2,_xlpm.x)))),0))</f>
        <v>-1</v>
      </c>
      <c r="U182" s="199" cm="1">
        <f t="array" aca="1" ref="U182" ca="1">IF(OR($B182="",$B182="X",$D182="",$D182="X",$E182="",$E182="X"),0,IFERROR(_xlfn.LET(_xlpm.x,SUM(SUM(_xlfn._xlws.FILTER(VALUE(PptoSty[Sign]&amp;1)*(1/PptoSty[Division]),(PptoSty[Division]&lt;&gt;0)*(PptoSty[Division]&lt;&gt;"")*(PptoSty[Division]&lt;&gt;"X")*(PptoSty[Project]=$B182)*(PptoSty[Vrs]=$D182)*(PptoSty[PiRow]=_xlfn.TEXTAFTER($H182,":"))*(PptoSty[PiColumn]=U$54),0)),SUM(IF((INDIRECT($B$3)=$B182)*(INDIRECT($C$3)=$D182)*((INDIRECT($E$3)="TOTS")+(INDIRECT($E$3)=$E182)),INDIRECT(U$3)))),_xlpm.y,SUM(_xlfn.CHOOSECOLS(_xlfn._xlws.FILTER(F_RT14[],(F_RT14[PrjId]=$B182)*(F_RT14[Vrs]=$D182)*(_xlfn.TEXTAFTER(F_RT14[ActGrp],":")=_xlfn.TEXTAFTER($H182,":")),"X"),MATCH("*"&amp;U$54,F_RT14[#Headers],0))),IF(AND(_xlpm.x=0,_xlpm.y&lt;&gt;0),-1,IF(AND(_xlpm.x&lt;&gt;0,_xlpm.y&lt;&gt;0),_xlpm.x,IF(AND(_xlpm.x-SUM(IF((INDIRECT($B$3)=$B182)*(INDIRECT($C$3)=$D182)*((INDIRECT($E$3)="TOTS")+(INDIRECT($E$3)=$E182)),INDIRECT(U$3)))&lt;&gt;0,_xlpm.y=0),-2,_xlpm.x)))),0))</f>
        <v>0</v>
      </c>
      <c r="V182" s="199" cm="1">
        <f t="array" aca="1" ref="V182" ca="1">IF(OR($B182="",$B182="X",$D182="",$D182="X",$E182="",$E182="X"),0,IFERROR(_xlfn.LET(_xlpm.x,SUM(SUM(_xlfn._xlws.FILTER(VALUE(PptoSty[Sign]&amp;1)*(1/PptoSty[Division]),(PptoSty[Division]&lt;&gt;0)*(PptoSty[Division]&lt;&gt;"")*(PptoSty[Division]&lt;&gt;"X")*(PptoSty[Project]=$B182)*(PptoSty[Vrs]=$D182)*(PptoSty[PiRow]=_xlfn.TEXTAFTER($H182,":"))*(PptoSty[PiColumn]=V$54),0)),SUM(IF((INDIRECT($B$3)=$B182)*(INDIRECT($C$3)=$D182)*((INDIRECT($E$3)="TOTS")+(INDIRECT($E$3)=$E182)),INDIRECT(V$3)))),_xlpm.y,SUM(_xlfn.CHOOSECOLS(_xlfn._xlws.FILTER(F_RT14[],(F_RT14[PrjId]=$B182)*(F_RT14[Vrs]=$D182)*(_xlfn.TEXTAFTER(F_RT14[ActGrp],":")=_xlfn.TEXTAFTER($H182,":")),"X"),MATCH("*"&amp;V$54,F_RT14[#Headers],0))),IF(AND(_xlpm.x=0,_xlpm.y&lt;&gt;0),-1,IF(AND(_xlpm.x&lt;&gt;0,_xlpm.y&lt;&gt;0),_xlpm.x,IF(AND(_xlpm.x-SUM(IF((INDIRECT($B$3)=$B182)*(INDIRECT($C$3)=$D182)*((INDIRECT($E$3)="TOTS")+(INDIRECT($E$3)=$E182)),INDIRECT(V$3)))&lt;&gt;0,_xlpm.y=0),-2,_xlpm.x)))),0))</f>
        <v>-1</v>
      </c>
      <c r="W182" s="199" cm="1">
        <f t="array" aca="1" ref="W182" ca="1">IF(OR($B182="",$B182="X",$D182="",$D182="X",$E182="",$E182="X"),0,IFERROR(_xlfn.LET(_xlpm.x,SUM(SUM(_xlfn._xlws.FILTER(VALUE(PptoSty[Sign]&amp;1)*(1/PptoSty[Division]),(PptoSty[Division]&lt;&gt;0)*(PptoSty[Division]&lt;&gt;"")*(PptoSty[Division]&lt;&gt;"X")*(PptoSty[Project]=$B182)*(PptoSty[Vrs]=$D182)*(PptoSty[PiRow]=_xlfn.TEXTAFTER($H182,":"))*(PptoSty[PiColumn]=W$54),0)),SUM(IF((INDIRECT($B$3)=$B182)*(INDIRECT($C$3)=$D182)*((INDIRECT($E$3)="TOTS")+(INDIRECT($E$3)=$E182)),INDIRECT(W$3)))),_xlpm.y,SUM(_xlfn.CHOOSECOLS(_xlfn._xlws.FILTER(F_RT14[],(F_RT14[PrjId]=$B182)*(F_RT14[Vrs]=$D182)*(_xlfn.TEXTAFTER(F_RT14[ActGrp],":")=_xlfn.TEXTAFTER($H182,":")),"X"),MATCH("*"&amp;W$54,F_RT14[#Headers],0))),IF(AND(_xlpm.x=0,_xlpm.y&lt;&gt;0),-1,IF(AND(_xlpm.x&lt;&gt;0,_xlpm.y&lt;&gt;0),_xlpm.x,IF(AND(_xlpm.x-SUM(IF((INDIRECT($B$3)=$B182)*(INDIRECT($C$3)=$D182)*((INDIRECT($E$3)="TOTS")+(INDIRECT($E$3)=$E182)),INDIRECT(W$3)))&lt;&gt;0,_xlpm.y=0),-2,_xlpm.x)))),0))</f>
        <v>-1</v>
      </c>
      <c r="X182" s="199" cm="1">
        <f t="array" aca="1" ref="X182" ca="1">IF(OR($B182="",$B182="X",$D182="",$D182="X",$E182="",$E182="X"),0,IFERROR(_xlfn.LET(_xlpm.x,SUM(SUM(_xlfn._xlws.FILTER(VALUE(PptoSty[Sign]&amp;1)*(1/PptoSty[Division]),(PptoSty[Division]&lt;&gt;0)*(PptoSty[Division]&lt;&gt;"")*(PptoSty[Division]&lt;&gt;"X")*(PptoSty[Project]=$B182)*(PptoSty[Vrs]=$D182)*(PptoSty[PiRow]=_xlfn.TEXTAFTER($H182,":"))*(PptoSty[PiColumn]=X$54),0)),SUM(IF((INDIRECT($B$3)=$B182)*(INDIRECT($C$3)=$D182)*((INDIRECT($E$3)="TOTS")+(INDIRECT($E$3)=$E182)),INDIRECT(X$3)))),_xlpm.y,SUM(_xlfn.CHOOSECOLS(_xlfn._xlws.FILTER(F_RT14[],(F_RT14[PrjId]=$B182)*(F_RT14[Vrs]=$D182)*(_xlfn.TEXTAFTER(F_RT14[ActGrp],":")=_xlfn.TEXTAFTER($H182,":")),"X"),MATCH("*"&amp;X$54,F_RT14[#Headers],0))),IF(AND(_xlpm.x=0,_xlpm.y&lt;&gt;0),-1,IF(AND(_xlpm.x&lt;&gt;0,_xlpm.y&lt;&gt;0),_xlpm.x,IF(AND(_xlpm.x-SUM(IF((INDIRECT($B$3)=$B182)*(INDIRECT($C$3)=$D182)*((INDIRECT($E$3)="TOTS")+(INDIRECT($E$3)=$E182)),INDIRECT(X$3)))&lt;&gt;0,_xlpm.y=0),-2,_xlpm.x)))),0))</f>
        <v>-1</v>
      </c>
      <c r="Y182" s="199" cm="1">
        <f t="array" aca="1" ref="Y182" ca="1">IF(OR($B182="",$B182="X",$D182="",$D182="X",$E182="",$E182="X"),0,IFERROR(_xlfn.LET(_xlpm.x,SUM(SUM(_xlfn._xlws.FILTER(VALUE(PptoSty[Sign]&amp;1)*(1/PptoSty[Division]),(PptoSty[Division]&lt;&gt;0)*(PptoSty[Division]&lt;&gt;"")*(PptoSty[Division]&lt;&gt;"X")*(PptoSty[Project]=$B182)*(PptoSty[Vrs]=$D182)*(PptoSty[PiRow]=_xlfn.TEXTAFTER($H182,":"))*(PptoSty[PiColumn]=Y$54),0)),SUM(IF((INDIRECT($B$3)=$B182)*(INDIRECT($C$3)=$D182)*((INDIRECT($E$3)="TOTS")+(INDIRECT($E$3)=$E182)),INDIRECT(Y$3)))),_xlpm.y,SUM(_xlfn.CHOOSECOLS(_xlfn._xlws.FILTER(F_RT14[],(F_RT14[PrjId]=$B182)*(F_RT14[Vrs]=$D182)*(_xlfn.TEXTAFTER(F_RT14[ActGrp],":")=_xlfn.TEXTAFTER($H182,":")),"X"),MATCH("*"&amp;Y$54,F_RT14[#Headers],0))),IF(AND(_xlpm.x=0,_xlpm.y&lt;&gt;0),-1,IF(AND(_xlpm.x&lt;&gt;0,_xlpm.y&lt;&gt;0),_xlpm.x,IF(AND(_xlpm.x-SUM(IF((INDIRECT($B$3)=$B182)*(INDIRECT($C$3)=$D182)*((INDIRECT($E$3)="TOTS")+(INDIRECT($E$3)=$E182)),INDIRECT(Y$3)))&lt;&gt;0,_xlpm.y=0),-2,_xlpm.x)))),0))</f>
        <v>0</v>
      </c>
      <c r="Z182" s="198" t="str">
        <f t="shared" ca="1" si="4"/>
        <v>Fback!B182:Y182</v>
      </c>
    </row>
    <row r="183" spans="2:26" ht="21" customHeight="1" outlineLevel="1">
      <c r="B183" s="128" t="str">
        <v>31200</v>
      </c>
      <c r="C183" s="128" t="str">
        <v>Sp</v>
      </c>
      <c r="D183" s="128">
        <v>0</v>
      </c>
      <c r="E183" s="128" t="str">
        <v>TOOL</v>
      </c>
      <c r="F183" s="139" t="str">
        <v>SERRA</v>
      </c>
      <c r="G183" s="139" t="str">
        <v>CurPpto</v>
      </c>
      <c r="H183" s="139" t="str">
        <v>P011:OP-80.1/2 GEO</v>
      </c>
      <c r="I183" s="199" cm="1">
        <f t="array" aca="1" ref="I183" ca="1">IF(OR($B183="",$B183="X",$D183="",$D183="X",$E183="",$E183="X"),0,IFERROR(_xlfn.LET(_xlpm.x,SUM(SUM(_xlfn._xlws.FILTER(VALUE(PptoSty[Sign]&amp;1)*(1/PptoSty[Division]),(PptoSty[Division]&lt;&gt;0)*(PptoSty[Division]&lt;&gt;"")*(PptoSty[Division]&lt;&gt;"X")*(PptoSty[Project]=$B183)*(PptoSty[Vrs]=$D183)*(PptoSty[PiRow]=_xlfn.TEXTAFTER($H183,":"))*(PptoSty[PiColumn]=I$54),0)),SUM(IF((INDIRECT($B$3)=$B183)*(INDIRECT($C$3)=$D183)*((INDIRECT($E$3)="TOTS")+(INDIRECT($E$3)=$E183)),INDIRECT(I$3)))),_xlpm.y,SUM(_xlfn.CHOOSECOLS(_xlfn._xlws.FILTER(F_RT14[],(F_RT14[PrjId]=$B183)*(F_RT14[Vrs]=$D183)*(_xlfn.TEXTAFTER(F_RT14[ActGrp],":")=_xlfn.TEXTAFTER($H183,":")),"X"),MATCH("*"&amp;I$54,F_RT14[#Headers],0))),IF(AND(_xlpm.x=0,_xlpm.y&lt;&gt;0),-1,IF(AND(_xlpm.x&lt;&gt;0,_xlpm.y&lt;&gt;0),_xlpm.x,IF(AND(_xlpm.x-SUM(IF((INDIRECT($B$3)=$B183)*(INDIRECT($C$3)=$D183)*((INDIRECT($E$3)="TOTS")+(INDIRECT($E$3)=$E183)),INDIRECT(I$3)))&lt;&gt;0,_xlpm.y=0),-2,_xlpm.x)))),0))</f>
        <v>0</v>
      </c>
      <c r="J183" s="199" cm="1">
        <f t="array" aca="1" ref="J183" ca="1">IF(OR($B183="",$B183="X",$D183="",$D183="X",$E183="",$E183="X"),0,IFERROR(_xlfn.LET(_xlpm.x,SUM(SUM(_xlfn._xlws.FILTER(VALUE(PptoSty[Sign]&amp;1)*(1/PptoSty[Division]),(PptoSty[Division]&lt;&gt;0)*(PptoSty[Division]&lt;&gt;"")*(PptoSty[Division]&lt;&gt;"X")*(PptoSty[Project]=$B183)*(PptoSty[Vrs]=$D183)*(PptoSty[PiRow]=_xlfn.TEXTAFTER($H183,":"))*(PptoSty[PiColumn]=J$54),0)),SUM(IF((INDIRECT($B$3)=$B183)*(INDIRECT($C$3)=$D183)*((INDIRECT($E$3)="TOTS")+(INDIRECT($E$3)=$E183)),INDIRECT(J$3)))),_xlpm.y,SUM(_xlfn.CHOOSECOLS(_xlfn._xlws.FILTER(F_RT14[],(F_RT14[PrjId]=$B183)*(F_RT14[Vrs]=$D183)*(_xlfn.TEXTAFTER(F_RT14[ActGrp],":")=_xlfn.TEXTAFTER($H183,":")),"X"),MATCH("*"&amp;J$54,F_RT14[#Headers],0))),IF(AND(_xlpm.x=0,_xlpm.y&lt;&gt;0),-1,IF(AND(_xlpm.x&lt;&gt;0,_xlpm.y&lt;&gt;0),_xlpm.x,IF(AND(_xlpm.x-SUM(IF((INDIRECT($B$3)=$B183)*(INDIRECT($C$3)=$D183)*((INDIRECT($E$3)="TOTS")+(INDIRECT($E$3)=$E183)),INDIRECT(J$3)))&lt;&gt;0,_xlpm.y=0),-2,_xlpm.x)))),0))</f>
        <v>0</v>
      </c>
      <c r="K183" s="199" cm="1">
        <f t="array" aca="1" ref="K183" ca="1">IF(OR($B183="",$B183="X",$D183="",$D183="X",$E183="",$E183="X"),0,IFERROR(_xlfn.LET(_xlpm.x,SUM(SUM(_xlfn._xlws.FILTER(VALUE(PptoSty[Sign]&amp;1)*(1/PptoSty[Division]),(PptoSty[Division]&lt;&gt;0)*(PptoSty[Division]&lt;&gt;"")*(PptoSty[Division]&lt;&gt;"X")*(PptoSty[Project]=$B183)*(PptoSty[Vrs]=$D183)*(PptoSty[PiRow]=_xlfn.TEXTAFTER($H183,":"))*(PptoSty[PiColumn]=K$54),0)),SUM(IF((INDIRECT($B$3)=$B183)*(INDIRECT($C$3)=$D183)*((INDIRECT($E$3)="TOTS")+(INDIRECT($E$3)=$E183)),INDIRECT(K$3)))),_xlpm.y,SUM(_xlfn.CHOOSECOLS(_xlfn._xlws.FILTER(F_RT14[],(F_RT14[PrjId]=$B183)*(F_RT14[Vrs]=$D183)*(_xlfn.TEXTAFTER(F_RT14[ActGrp],":")=_xlfn.TEXTAFTER($H183,":")),"X"),MATCH("*"&amp;K$54,F_RT14[#Headers],0))),IF(AND(_xlpm.x=0,_xlpm.y&lt;&gt;0),-1,IF(AND(_xlpm.x&lt;&gt;0,_xlpm.y&lt;&gt;0),_xlpm.x,IF(AND(_xlpm.x-SUM(IF((INDIRECT($B$3)=$B183)*(INDIRECT($C$3)=$D183)*((INDIRECT($E$3)="TOTS")+(INDIRECT($E$3)=$E183)),INDIRECT(K$3)))&lt;&gt;0,_xlpm.y=0),-2,_xlpm.x)))),0))</f>
        <v>-1</v>
      </c>
      <c r="L183" s="199" cm="1">
        <f t="array" aca="1" ref="L183" ca="1">IF(OR($B183="",$B183="X",$D183="",$D183="X",$E183="",$E183="X"),0,IFERROR(_xlfn.LET(_xlpm.x,SUM(SUM(_xlfn._xlws.FILTER(VALUE(PptoSty[Sign]&amp;1)*(1/PptoSty[Division]),(PptoSty[Division]&lt;&gt;0)*(PptoSty[Division]&lt;&gt;"")*(PptoSty[Division]&lt;&gt;"X")*(PptoSty[Project]=$B183)*(PptoSty[Vrs]=$D183)*(PptoSty[PiRow]=_xlfn.TEXTAFTER($H183,":"))*(PptoSty[PiColumn]=L$54),0)),SUM(IF((INDIRECT($B$3)=$B183)*(INDIRECT($C$3)=$D183)*((INDIRECT($E$3)="TOTS")+(INDIRECT($E$3)=$E183)),INDIRECT(L$3)))),_xlpm.y,SUM(_xlfn.CHOOSECOLS(_xlfn._xlws.FILTER(F_RT14[],(F_RT14[PrjId]=$B183)*(F_RT14[Vrs]=$D183)*(_xlfn.TEXTAFTER(F_RT14[ActGrp],":")=_xlfn.TEXTAFTER($H183,":")),"X"),MATCH("*"&amp;L$54,F_RT14[#Headers],0))),IF(AND(_xlpm.x=0,_xlpm.y&lt;&gt;0),-1,IF(AND(_xlpm.x&lt;&gt;0,_xlpm.y&lt;&gt;0),_xlpm.x,IF(AND(_xlpm.x-SUM(IF((INDIRECT($B$3)=$B183)*(INDIRECT($C$3)=$D183)*((INDIRECT($E$3)="TOTS")+(INDIRECT($E$3)=$E183)),INDIRECT(L$3)))&lt;&gt;0,_xlpm.y=0),-2,_xlpm.x)))),0))</f>
        <v>0</v>
      </c>
      <c r="M183" s="199" cm="1">
        <f t="array" aca="1" ref="M183" ca="1">IF(OR($B183="",$B183="X",$D183="",$D183="X",$E183="",$E183="X"),0,IFERROR(_xlfn.LET(_xlpm.x,SUM(SUM(_xlfn._xlws.FILTER(VALUE(PptoSty[Sign]&amp;1)*(1/PptoSty[Division]),(PptoSty[Division]&lt;&gt;0)*(PptoSty[Division]&lt;&gt;"")*(PptoSty[Division]&lt;&gt;"X")*(PptoSty[Project]=$B183)*(PptoSty[Vrs]=$D183)*(PptoSty[PiRow]=_xlfn.TEXTAFTER($H183,":"))*(PptoSty[PiColumn]=M$54),0)),SUM(IF((INDIRECT($B$3)=$B183)*(INDIRECT($C$3)=$D183)*((INDIRECT($E$3)="TOTS")+(INDIRECT($E$3)=$E183)),INDIRECT(M$3)))),_xlpm.y,SUM(_xlfn.CHOOSECOLS(_xlfn._xlws.FILTER(F_RT14[],(F_RT14[PrjId]=$B183)*(F_RT14[Vrs]=$D183)*(_xlfn.TEXTAFTER(F_RT14[ActGrp],":")=_xlfn.TEXTAFTER($H183,":")),"X"),MATCH("*"&amp;M$54,F_RT14[#Headers],0))),IF(AND(_xlpm.x=0,_xlpm.y&lt;&gt;0),-1,IF(AND(_xlpm.x&lt;&gt;0,_xlpm.y&lt;&gt;0),_xlpm.x,IF(AND(_xlpm.x-SUM(IF((INDIRECT($B$3)=$B183)*(INDIRECT($C$3)=$D183)*((INDIRECT($E$3)="TOTS")+(INDIRECT($E$3)=$E183)),INDIRECT(M$3)))&lt;&gt;0,_xlpm.y=0),-2,_xlpm.x)))),0))</f>
        <v>0</v>
      </c>
      <c r="N183" s="199" cm="1">
        <f t="array" aca="1" ref="N183" ca="1">IF(OR($B183="",$B183="X",$D183="",$D183="X",$E183="",$E183="X"),0,IFERROR(_xlfn.LET(_xlpm.x,SUM(SUM(_xlfn._xlws.FILTER(VALUE(PptoSty[Sign]&amp;1)*(1/PptoSty[Division]),(PptoSty[Division]&lt;&gt;0)*(PptoSty[Division]&lt;&gt;"")*(PptoSty[Division]&lt;&gt;"X")*(PptoSty[Project]=$B183)*(PptoSty[Vrs]=$D183)*(PptoSty[PiRow]=_xlfn.TEXTAFTER($H183,":"))*(PptoSty[PiColumn]=N$54),0)),SUM(IF((INDIRECT($B$3)=$B183)*(INDIRECT($C$3)=$D183)*((INDIRECT($E$3)="TOTS")+(INDIRECT($E$3)=$E183)),INDIRECT(N$3)))),_xlpm.y,SUM(_xlfn.CHOOSECOLS(_xlfn._xlws.FILTER(F_RT14[],(F_RT14[PrjId]=$B183)*(F_RT14[Vrs]=$D183)*(_xlfn.TEXTAFTER(F_RT14[ActGrp],":")=_xlfn.TEXTAFTER($H183,":")),"X"),MATCH("*"&amp;N$54,F_RT14[#Headers],0))),IF(AND(_xlpm.x=0,_xlpm.y&lt;&gt;0),-1,IF(AND(_xlpm.x&lt;&gt;0,_xlpm.y&lt;&gt;0),_xlpm.x,IF(AND(_xlpm.x-SUM(IF((INDIRECT($B$3)=$B183)*(INDIRECT($C$3)=$D183)*((INDIRECT($E$3)="TOTS")+(INDIRECT($E$3)=$E183)),INDIRECT(N$3)))&lt;&gt;0,_xlpm.y=0),-2,_xlpm.x)))),0))</f>
        <v>-1</v>
      </c>
      <c r="O183" s="199" cm="1">
        <f t="array" aca="1" ref="O183" ca="1">IF(OR($B183="",$B183="X",$D183="",$D183="X",$E183="",$E183="X"),0,IFERROR(_xlfn.LET(_xlpm.x,SUM(SUM(_xlfn._xlws.FILTER(VALUE(PptoSty[Sign]&amp;1)*(1/PptoSty[Division]),(PptoSty[Division]&lt;&gt;0)*(PptoSty[Division]&lt;&gt;"")*(PptoSty[Division]&lt;&gt;"X")*(PptoSty[Project]=$B183)*(PptoSty[Vrs]=$D183)*(PptoSty[PiRow]=_xlfn.TEXTAFTER($H183,":"))*(PptoSty[PiColumn]=O$54),0)),SUM(IF((INDIRECT($B$3)=$B183)*(INDIRECT($C$3)=$D183)*((INDIRECT($E$3)="TOTS")+(INDIRECT($E$3)=$E183)),INDIRECT(O$3)))),_xlpm.y,SUM(_xlfn.CHOOSECOLS(_xlfn._xlws.FILTER(F_RT14[],(F_RT14[PrjId]=$B183)*(F_RT14[Vrs]=$D183)*(_xlfn.TEXTAFTER(F_RT14[ActGrp],":")=_xlfn.TEXTAFTER($H183,":")),"X"),MATCH("*"&amp;O$54,F_RT14[#Headers],0))),IF(AND(_xlpm.x=0,_xlpm.y&lt;&gt;0),-1,IF(AND(_xlpm.x&lt;&gt;0,_xlpm.y&lt;&gt;0),_xlpm.x,IF(AND(_xlpm.x-SUM(IF((INDIRECT($B$3)=$B183)*(INDIRECT($C$3)=$D183)*((INDIRECT($E$3)="TOTS")+(INDIRECT($E$3)=$E183)),INDIRECT(O$3)))&lt;&gt;0,_xlpm.y=0),-2,_xlpm.x)))),0))</f>
        <v>0</v>
      </c>
      <c r="P183" s="199" cm="1">
        <f t="array" aca="1" ref="P183" ca="1">IF(OR($B183="",$B183="X",$D183="",$D183="X",$E183="",$E183="X"),0,IFERROR(_xlfn.LET(_xlpm.x,SUM(SUM(_xlfn._xlws.FILTER(VALUE(PptoSty[Sign]&amp;1)*(1/PptoSty[Division]),(PptoSty[Division]&lt;&gt;0)*(PptoSty[Division]&lt;&gt;"")*(PptoSty[Division]&lt;&gt;"X")*(PptoSty[Project]=$B183)*(PptoSty[Vrs]=$D183)*(PptoSty[PiRow]=_xlfn.TEXTAFTER($H183,":"))*(PptoSty[PiColumn]=P$54),0)),SUM(IF((INDIRECT($B$3)=$B183)*(INDIRECT($C$3)=$D183)*((INDIRECT($E$3)="TOTS")+(INDIRECT($E$3)=$E183)),INDIRECT(P$3)))),_xlpm.y,SUM(_xlfn.CHOOSECOLS(_xlfn._xlws.FILTER(F_RT14[],(F_RT14[PrjId]=$B183)*(F_RT14[Vrs]=$D183)*(_xlfn.TEXTAFTER(F_RT14[ActGrp],":")=_xlfn.TEXTAFTER($H183,":")),"X"),MATCH("*"&amp;P$54,F_RT14[#Headers],0))),IF(AND(_xlpm.x=0,_xlpm.y&lt;&gt;0),-1,IF(AND(_xlpm.x&lt;&gt;0,_xlpm.y&lt;&gt;0),_xlpm.x,IF(AND(_xlpm.x-SUM(IF((INDIRECT($B$3)=$B183)*(INDIRECT($C$3)=$D183)*((INDIRECT($E$3)="TOTS")+(INDIRECT($E$3)=$E183)),INDIRECT(P$3)))&lt;&gt;0,_xlpm.y=0),-2,_xlpm.x)))),0))</f>
        <v>-1</v>
      </c>
      <c r="Q183" s="199" cm="1">
        <f t="array" aca="1" ref="Q183" ca="1">IF(OR($B183="",$B183="X",$D183="",$D183="X",$E183="",$E183="X"),0,IFERROR(_xlfn.LET(_xlpm.x,SUM(SUM(_xlfn._xlws.FILTER(VALUE(PptoSty[Sign]&amp;1)*(1/PptoSty[Division]),(PptoSty[Division]&lt;&gt;0)*(PptoSty[Division]&lt;&gt;"")*(PptoSty[Division]&lt;&gt;"X")*(PptoSty[Project]=$B183)*(PptoSty[Vrs]=$D183)*(PptoSty[PiRow]=_xlfn.TEXTAFTER($H183,":"))*(PptoSty[PiColumn]=Q$54),0)),SUM(IF((INDIRECT($B$3)=$B183)*(INDIRECT($C$3)=$D183)*((INDIRECT($E$3)="TOTS")+(INDIRECT($E$3)=$E183)),INDIRECT(Q$3)))),_xlpm.y,SUM(_xlfn.CHOOSECOLS(_xlfn._xlws.FILTER(F_RT14[],(F_RT14[PrjId]=$B183)*(F_RT14[Vrs]=$D183)*(_xlfn.TEXTAFTER(F_RT14[ActGrp],":")=_xlfn.TEXTAFTER($H183,":")),"X"),MATCH("*"&amp;Q$54,F_RT14[#Headers],0))),IF(AND(_xlpm.x=0,_xlpm.y&lt;&gt;0),-1,IF(AND(_xlpm.x&lt;&gt;0,_xlpm.y&lt;&gt;0),_xlpm.x,IF(AND(_xlpm.x-SUM(IF((INDIRECT($B$3)=$B183)*(INDIRECT($C$3)=$D183)*((INDIRECT($E$3)="TOTS")+(INDIRECT($E$3)=$E183)),INDIRECT(Q$3)))&lt;&gt;0,_xlpm.y=0),-2,_xlpm.x)))),0))</f>
        <v>-1</v>
      </c>
      <c r="R183" s="199" cm="1">
        <f t="array" aca="1" ref="R183" ca="1">IF(OR($B183="",$B183="X",$D183="",$D183="X",$E183="",$E183="X"),0,IFERROR(_xlfn.LET(_xlpm.x,SUM(SUM(_xlfn._xlws.FILTER(VALUE(PptoSty[Sign]&amp;1)*(1/PptoSty[Division]),(PptoSty[Division]&lt;&gt;0)*(PptoSty[Division]&lt;&gt;"")*(PptoSty[Division]&lt;&gt;"X")*(PptoSty[Project]=$B183)*(PptoSty[Vrs]=$D183)*(PptoSty[PiRow]=_xlfn.TEXTAFTER($H183,":"))*(PptoSty[PiColumn]=R$54),0)),SUM(IF((INDIRECT($B$3)=$B183)*(INDIRECT($C$3)=$D183)*((INDIRECT($E$3)="TOTS")+(INDIRECT($E$3)=$E183)),INDIRECT(R$3)))),_xlpm.y,SUM(_xlfn.CHOOSECOLS(_xlfn._xlws.FILTER(F_RT14[],(F_RT14[PrjId]=$B183)*(F_RT14[Vrs]=$D183)*(_xlfn.TEXTAFTER(F_RT14[ActGrp],":")=_xlfn.TEXTAFTER($H183,":")),"X"),MATCH("*"&amp;R$54,F_RT14[#Headers],0))),IF(AND(_xlpm.x=0,_xlpm.y&lt;&gt;0),-1,IF(AND(_xlpm.x&lt;&gt;0,_xlpm.y&lt;&gt;0),_xlpm.x,IF(AND(_xlpm.x-SUM(IF((INDIRECT($B$3)=$B183)*(INDIRECT($C$3)=$D183)*((INDIRECT($E$3)="TOTS")+(INDIRECT($E$3)=$E183)),INDIRECT(R$3)))&lt;&gt;0,_xlpm.y=0),-2,_xlpm.x)))),0))</f>
        <v>-1</v>
      </c>
      <c r="S183" s="199" cm="1">
        <f t="array" aca="1" ref="S183" ca="1">IF(OR($B183="",$B183="X",$D183="",$D183="X",$E183="",$E183="X"),0,IFERROR(_xlfn.LET(_xlpm.x,SUM(SUM(_xlfn._xlws.FILTER(VALUE(PptoSty[Sign]&amp;1)*(1/PptoSty[Division]),(PptoSty[Division]&lt;&gt;0)*(PptoSty[Division]&lt;&gt;"")*(PptoSty[Division]&lt;&gt;"X")*(PptoSty[Project]=$B183)*(PptoSty[Vrs]=$D183)*(PptoSty[PiRow]=_xlfn.TEXTAFTER($H183,":"))*(PptoSty[PiColumn]=S$54),0)),SUM(IF((INDIRECT($B$3)=$B183)*(INDIRECT($C$3)=$D183)*((INDIRECT($E$3)="TOTS")+(INDIRECT($E$3)=$E183)),INDIRECT(S$3)))),_xlpm.y,SUM(_xlfn.CHOOSECOLS(_xlfn._xlws.FILTER(F_RT14[],(F_RT14[PrjId]=$B183)*(F_RT14[Vrs]=$D183)*(_xlfn.TEXTAFTER(F_RT14[ActGrp],":")=_xlfn.TEXTAFTER($H183,":")),"X"),MATCH("*"&amp;S$54,F_RT14[#Headers],0))),IF(AND(_xlpm.x=0,_xlpm.y&lt;&gt;0),-1,IF(AND(_xlpm.x&lt;&gt;0,_xlpm.y&lt;&gt;0),_xlpm.x,IF(AND(_xlpm.x-SUM(IF((INDIRECT($B$3)=$B183)*(INDIRECT($C$3)=$D183)*((INDIRECT($E$3)="TOTS")+(INDIRECT($E$3)=$E183)),INDIRECT(S$3)))&lt;&gt;0,_xlpm.y=0),-2,_xlpm.x)))),0))</f>
        <v>-1</v>
      </c>
      <c r="T183" s="199" cm="1">
        <f t="array" aca="1" ref="T183" ca="1">IF(OR($B183="",$B183="X",$D183="",$D183="X",$E183="",$E183="X"),0,IFERROR(_xlfn.LET(_xlpm.x,SUM(SUM(_xlfn._xlws.FILTER(VALUE(PptoSty[Sign]&amp;1)*(1/PptoSty[Division]),(PptoSty[Division]&lt;&gt;0)*(PptoSty[Division]&lt;&gt;"")*(PptoSty[Division]&lt;&gt;"X")*(PptoSty[Project]=$B183)*(PptoSty[Vrs]=$D183)*(PptoSty[PiRow]=_xlfn.TEXTAFTER($H183,":"))*(PptoSty[PiColumn]=T$54),0)),SUM(IF((INDIRECT($B$3)=$B183)*(INDIRECT($C$3)=$D183)*((INDIRECT($E$3)="TOTS")+(INDIRECT($E$3)=$E183)),INDIRECT(T$3)))),_xlpm.y,SUM(_xlfn.CHOOSECOLS(_xlfn._xlws.FILTER(F_RT14[],(F_RT14[PrjId]=$B183)*(F_RT14[Vrs]=$D183)*(_xlfn.TEXTAFTER(F_RT14[ActGrp],":")=_xlfn.TEXTAFTER($H183,":")),"X"),MATCH("*"&amp;T$54,F_RT14[#Headers],0))),IF(AND(_xlpm.x=0,_xlpm.y&lt;&gt;0),-1,IF(AND(_xlpm.x&lt;&gt;0,_xlpm.y&lt;&gt;0),_xlpm.x,IF(AND(_xlpm.x-SUM(IF((INDIRECT($B$3)=$B183)*(INDIRECT($C$3)=$D183)*((INDIRECT($E$3)="TOTS")+(INDIRECT($E$3)=$E183)),INDIRECT(T$3)))&lt;&gt;0,_xlpm.y=0),-2,_xlpm.x)))),0))</f>
        <v>-1</v>
      </c>
      <c r="U183" s="199" cm="1">
        <f t="array" aca="1" ref="U183" ca="1">IF(OR($B183="",$B183="X",$D183="",$D183="X",$E183="",$E183="X"),0,IFERROR(_xlfn.LET(_xlpm.x,SUM(SUM(_xlfn._xlws.FILTER(VALUE(PptoSty[Sign]&amp;1)*(1/PptoSty[Division]),(PptoSty[Division]&lt;&gt;0)*(PptoSty[Division]&lt;&gt;"")*(PptoSty[Division]&lt;&gt;"X")*(PptoSty[Project]=$B183)*(PptoSty[Vrs]=$D183)*(PptoSty[PiRow]=_xlfn.TEXTAFTER($H183,":"))*(PptoSty[PiColumn]=U$54),0)),SUM(IF((INDIRECT($B$3)=$B183)*(INDIRECT($C$3)=$D183)*((INDIRECT($E$3)="TOTS")+(INDIRECT($E$3)=$E183)),INDIRECT(U$3)))),_xlpm.y,SUM(_xlfn.CHOOSECOLS(_xlfn._xlws.FILTER(F_RT14[],(F_RT14[PrjId]=$B183)*(F_RT14[Vrs]=$D183)*(_xlfn.TEXTAFTER(F_RT14[ActGrp],":")=_xlfn.TEXTAFTER($H183,":")),"X"),MATCH("*"&amp;U$54,F_RT14[#Headers],0))),IF(AND(_xlpm.x=0,_xlpm.y&lt;&gt;0),-1,IF(AND(_xlpm.x&lt;&gt;0,_xlpm.y&lt;&gt;0),_xlpm.x,IF(AND(_xlpm.x-SUM(IF((INDIRECT($B$3)=$B183)*(INDIRECT($C$3)=$D183)*((INDIRECT($E$3)="TOTS")+(INDIRECT($E$3)=$E183)),INDIRECT(U$3)))&lt;&gt;0,_xlpm.y=0),-2,_xlpm.x)))),0))</f>
        <v>0</v>
      </c>
      <c r="V183" s="199" cm="1">
        <f t="array" aca="1" ref="V183" ca="1">IF(OR($B183="",$B183="X",$D183="",$D183="X",$E183="",$E183="X"),0,IFERROR(_xlfn.LET(_xlpm.x,SUM(SUM(_xlfn._xlws.FILTER(VALUE(PptoSty[Sign]&amp;1)*(1/PptoSty[Division]),(PptoSty[Division]&lt;&gt;0)*(PptoSty[Division]&lt;&gt;"")*(PptoSty[Division]&lt;&gt;"X")*(PptoSty[Project]=$B183)*(PptoSty[Vrs]=$D183)*(PptoSty[PiRow]=_xlfn.TEXTAFTER($H183,":"))*(PptoSty[PiColumn]=V$54),0)),SUM(IF((INDIRECT($B$3)=$B183)*(INDIRECT($C$3)=$D183)*((INDIRECT($E$3)="TOTS")+(INDIRECT($E$3)=$E183)),INDIRECT(V$3)))),_xlpm.y,SUM(_xlfn.CHOOSECOLS(_xlfn._xlws.FILTER(F_RT14[],(F_RT14[PrjId]=$B183)*(F_RT14[Vrs]=$D183)*(_xlfn.TEXTAFTER(F_RT14[ActGrp],":")=_xlfn.TEXTAFTER($H183,":")),"X"),MATCH("*"&amp;V$54,F_RT14[#Headers],0))),IF(AND(_xlpm.x=0,_xlpm.y&lt;&gt;0),-1,IF(AND(_xlpm.x&lt;&gt;0,_xlpm.y&lt;&gt;0),_xlpm.x,IF(AND(_xlpm.x-SUM(IF((INDIRECT($B$3)=$B183)*(INDIRECT($C$3)=$D183)*((INDIRECT($E$3)="TOTS")+(INDIRECT($E$3)=$E183)),INDIRECT(V$3)))&lt;&gt;0,_xlpm.y=0),-2,_xlpm.x)))),0))</f>
        <v>-1</v>
      </c>
      <c r="W183" s="199" cm="1">
        <f t="array" aca="1" ref="W183" ca="1">IF(OR($B183="",$B183="X",$D183="",$D183="X",$E183="",$E183="X"),0,IFERROR(_xlfn.LET(_xlpm.x,SUM(SUM(_xlfn._xlws.FILTER(VALUE(PptoSty[Sign]&amp;1)*(1/PptoSty[Division]),(PptoSty[Division]&lt;&gt;0)*(PptoSty[Division]&lt;&gt;"")*(PptoSty[Division]&lt;&gt;"X")*(PptoSty[Project]=$B183)*(PptoSty[Vrs]=$D183)*(PptoSty[PiRow]=_xlfn.TEXTAFTER($H183,":"))*(PptoSty[PiColumn]=W$54),0)),SUM(IF((INDIRECT($B$3)=$B183)*(INDIRECT($C$3)=$D183)*((INDIRECT($E$3)="TOTS")+(INDIRECT($E$3)=$E183)),INDIRECT(W$3)))),_xlpm.y,SUM(_xlfn.CHOOSECOLS(_xlfn._xlws.FILTER(F_RT14[],(F_RT14[PrjId]=$B183)*(F_RT14[Vrs]=$D183)*(_xlfn.TEXTAFTER(F_RT14[ActGrp],":")=_xlfn.TEXTAFTER($H183,":")),"X"),MATCH("*"&amp;W$54,F_RT14[#Headers],0))),IF(AND(_xlpm.x=0,_xlpm.y&lt;&gt;0),-1,IF(AND(_xlpm.x&lt;&gt;0,_xlpm.y&lt;&gt;0),_xlpm.x,IF(AND(_xlpm.x-SUM(IF((INDIRECT($B$3)=$B183)*(INDIRECT($C$3)=$D183)*((INDIRECT($E$3)="TOTS")+(INDIRECT($E$3)=$E183)),INDIRECT(W$3)))&lt;&gt;0,_xlpm.y=0),-2,_xlpm.x)))),0))</f>
        <v>-1</v>
      </c>
      <c r="X183" s="199" cm="1">
        <f t="array" aca="1" ref="X183" ca="1">IF(OR($B183="",$B183="X",$D183="",$D183="X",$E183="",$E183="X"),0,IFERROR(_xlfn.LET(_xlpm.x,SUM(SUM(_xlfn._xlws.FILTER(VALUE(PptoSty[Sign]&amp;1)*(1/PptoSty[Division]),(PptoSty[Division]&lt;&gt;0)*(PptoSty[Division]&lt;&gt;"")*(PptoSty[Division]&lt;&gt;"X")*(PptoSty[Project]=$B183)*(PptoSty[Vrs]=$D183)*(PptoSty[PiRow]=_xlfn.TEXTAFTER($H183,":"))*(PptoSty[PiColumn]=X$54),0)),SUM(IF((INDIRECT($B$3)=$B183)*(INDIRECT($C$3)=$D183)*((INDIRECT($E$3)="TOTS")+(INDIRECT($E$3)=$E183)),INDIRECT(X$3)))),_xlpm.y,SUM(_xlfn.CHOOSECOLS(_xlfn._xlws.FILTER(F_RT14[],(F_RT14[PrjId]=$B183)*(F_RT14[Vrs]=$D183)*(_xlfn.TEXTAFTER(F_RT14[ActGrp],":")=_xlfn.TEXTAFTER($H183,":")),"X"),MATCH("*"&amp;X$54,F_RT14[#Headers],0))),IF(AND(_xlpm.x=0,_xlpm.y&lt;&gt;0),-1,IF(AND(_xlpm.x&lt;&gt;0,_xlpm.y&lt;&gt;0),_xlpm.x,IF(AND(_xlpm.x-SUM(IF((INDIRECT($B$3)=$B183)*(INDIRECT($C$3)=$D183)*((INDIRECT($E$3)="TOTS")+(INDIRECT($E$3)=$E183)),INDIRECT(X$3)))&lt;&gt;0,_xlpm.y=0),-2,_xlpm.x)))),0))</f>
        <v>-1</v>
      </c>
      <c r="Y183" s="199" cm="1">
        <f t="array" aca="1" ref="Y183" ca="1">IF(OR($B183="",$B183="X",$D183="",$D183="X",$E183="",$E183="X"),0,IFERROR(_xlfn.LET(_xlpm.x,SUM(SUM(_xlfn._xlws.FILTER(VALUE(PptoSty[Sign]&amp;1)*(1/PptoSty[Division]),(PptoSty[Division]&lt;&gt;0)*(PptoSty[Division]&lt;&gt;"")*(PptoSty[Division]&lt;&gt;"X")*(PptoSty[Project]=$B183)*(PptoSty[Vrs]=$D183)*(PptoSty[PiRow]=_xlfn.TEXTAFTER($H183,":"))*(PptoSty[PiColumn]=Y$54),0)),SUM(IF((INDIRECT($B$3)=$B183)*(INDIRECT($C$3)=$D183)*((INDIRECT($E$3)="TOTS")+(INDIRECT($E$3)=$E183)),INDIRECT(Y$3)))),_xlpm.y,SUM(_xlfn.CHOOSECOLS(_xlfn._xlws.FILTER(F_RT14[],(F_RT14[PrjId]=$B183)*(F_RT14[Vrs]=$D183)*(_xlfn.TEXTAFTER(F_RT14[ActGrp],":")=_xlfn.TEXTAFTER($H183,":")),"X"),MATCH("*"&amp;Y$54,F_RT14[#Headers],0))),IF(AND(_xlpm.x=0,_xlpm.y&lt;&gt;0),-1,IF(AND(_xlpm.x&lt;&gt;0,_xlpm.y&lt;&gt;0),_xlpm.x,IF(AND(_xlpm.x-SUM(IF((INDIRECT($B$3)=$B183)*(INDIRECT($C$3)=$D183)*((INDIRECT($E$3)="TOTS")+(INDIRECT($E$3)=$E183)),INDIRECT(Y$3)))&lt;&gt;0,_xlpm.y=0),-2,_xlpm.x)))),0))</f>
        <v>0</v>
      </c>
      <c r="Z183" s="198" t="str">
        <f t="shared" ca="1" si="4"/>
        <v>Fback!B183:Y183</v>
      </c>
    </row>
    <row r="184" spans="2:26" ht="21" customHeight="1" outlineLevel="1">
      <c r="B184" s="128" t="str">
        <v>31200</v>
      </c>
      <c r="C184" s="128" t="str">
        <v>Sp</v>
      </c>
      <c r="D184" s="128">
        <v>0</v>
      </c>
      <c r="E184" s="128" t="str">
        <v>TOOL</v>
      </c>
      <c r="F184" s="139" t="str">
        <v>SERRA</v>
      </c>
      <c r="G184" s="139" t="str">
        <v>CurPpto</v>
      </c>
      <c r="H184" s="139" t="str">
        <v>P012:OP-85.1 REWELD</v>
      </c>
      <c r="I184" s="199" cm="1">
        <f t="array" aca="1" ref="I184" ca="1">IF(OR($B184="",$B184="X",$D184="",$D184="X",$E184="",$E184="X"),0,IFERROR(_xlfn.LET(_xlpm.x,SUM(SUM(_xlfn._xlws.FILTER(VALUE(PptoSty[Sign]&amp;1)*(1/PptoSty[Division]),(PptoSty[Division]&lt;&gt;0)*(PptoSty[Division]&lt;&gt;"")*(PptoSty[Division]&lt;&gt;"X")*(PptoSty[Project]=$B184)*(PptoSty[Vrs]=$D184)*(PptoSty[PiRow]=_xlfn.TEXTAFTER($H184,":"))*(PptoSty[PiColumn]=I$54),0)),SUM(IF((INDIRECT($B$3)=$B184)*(INDIRECT($C$3)=$D184)*((INDIRECT($E$3)="TOTS")+(INDIRECT($E$3)=$E184)),INDIRECT(I$3)))),_xlpm.y,SUM(_xlfn.CHOOSECOLS(_xlfn._xlws.FILTER(F_RT14[],(F_RT14[PrjId]=$B184)*(F_RT14[Vrs]=$D184)*(_xlfn.TEXTAFTER(F_RT14[ActGrp],":")=_xlfn.TEXTAFTER($H184,":")),"X"),MATCH("*"&amp;I$54,F_RT14[#Headers],0))),IF(AND(_xlpm.x=0,_xlpm.y&lt;&gt;0),-1,IF(AND(_xlpm.x&lt;&gt;0,_xlpm.y&lt;&gt;0),_xlpm.x,IF(AND(_xlpm.x-SUM(IF((INDIRECT($B$3)=$B184)*(INDIRECT($C$3)=$D184)*((INDIRECT($E$3)="TOTS")+(INDIRECT($E$3)=$E184)),INDIRECT(I$3)))&lt;&gt;0,_xlpm.y=0),-2,_xlpm.x)))),0))</f>
        <v>0</v>
      </c>
      <c r="J184" s="199" cm="1">
        <f t="array" aca="1" ref="J184" ca="1">IF(OR($B184="",$B184="X",$D184="",$D184="X",$E184="",$E184="X"),0,IFERROR(_xlfn.LET(_xlpm.x,SUM(SUM(_xlfn._xlws.FILTER(VALUE(PptoSty[Sign]&amp;1)*(1/PptoSty[Division]),(PptoSty[Division]&lt;&gt;0)*(PptoSty[Division]&lt;&gt;"")*(PptoSty[Division]&lt;&gt;"X")*(PptoSty[Project]=$B184)*(PptoSty[Vrs]=$D184)*(PptoSty[PiRow]=_xlfn.TEXTAFTER($H184,":"))*(PptoSty[PiColumn]=J$54),0)),SUM(IF((INDIRECT($B$3)=$B184)*(INDIRECT($C$3)=$D184)*((INDIRECT($E$3)="TOTS")+(INDIRECT($E$3)=$E184)),INDIRECT(J$3)))),_xlpm.y,SUM(_xlfn.CHOOSECOLS(_xlfn._xlws.FILTER(F_RT14[],(F_RT14[PrjId]=$B184)*(F_RT14[Vrs]=$D184)*(_xlfn.TEXTAFTER(F_RT14[ActGrp],":")=_xlfn.TEXTAFTER($H184,":")),"X"),MATCH("*"&amp;J$54,F_RT14[#Headers],0))),IF(AND(_xlpm.x=0,_xlpm.y&lt;&gt;0),-1,IF(AND(_xlpm.x&lt;&gt;0,_xlpm.y&lt;&gt;0),_xlpm.x,IF(AND(_xlpm.x-SUM(IF((INDIRECT($B$3)=$B184)*(INDIRECT($C$3)=$D184)*((INDIRECT($E$3)="TOTS")+(INDIRECT($E$3)=$E184)),INDIRECT(J$3)))&lt;&gt;0,_xlpm.y=0),-2,_xlpm.x)))),0))</f>
        <v>0</v>
      </c>
      <c r="K184" s="199" cm="1">
        <f t="array" aca="1" ref="K184" ca="1">IF(OR($B184="",$B184="X",$D184="",$D184="X",$E184="",$E184="X"),0,IFERROR(_xlfn.LET(_xlpm.x,SUM(SUM(_xlfn._xlws.FILTER(VALUE(PptoSty[Sign]&amp;1)*(1/PptoSty[Division]),(PptoSty[Division]&lt;&gt;0)*(PptoSty[Division]&lt;&gt;"")*(PptoSty[Division]&lt;&gt;"X")*(PptoSty[Project]=$B184)*(PptoSty[Vrs]=$D184)*(PptoSty[PiRow]=_xlfn.TEXTAFTER($H184,":"))*(PptoSty[PiColumn]=K$54),0)),SUM(IF((INDIRECT($B$3)=$B184)*(INDIRECT($C$3)=$D184)*((INDIRECT($E$3)="TOTS")+(INDIRECT($E$3)=$E184)),INDIRECT(K$3)))),_xlpm.y,SUM(_xlfn.CHOOSECOLS(_xlfn._xlws.FILTER(F_RT14[],(F_RT14[PrjId]=$B184)*(F_RT14[Vrs]=$D184)*(_xlfn.TEXTAFTER(F_RT14[ActGrp],":")=_xlfn.TEXTAFTER($H184,":")),"X"),MATCH("*"&amp;K$54,F_RT14[#Headers],0))),IF(AND(_xlpm.x=0,_xlpm.y&lt;&gt;0),-1,IF(AND(_xlpm.x&lt;&gt;0,_xlpm.y&lt;&gt;0),_xlpm.x,IF(AND(_xlpm.x-SUM(IF((INDIRECT($B$3)=$B184)*(INDIRECT($C$3)=$D184)*((INDIRECT($E$3)="TOTS")+(INDIRECT($E$3)=$E184)),INDIRECT(K$3)))&lt;&gt;0,_xlpm.y=0),-2,_xlpm.x)))),0))</f>
        <v>-1</v>
      </c>
      <c r="L184" s="199" cm="1">
        <f t="array" aca="1" ref="L184" ca="1">IF(OR($B184="",$B184="X",$D184="",$D184="X",$E184="",$E184="X"),0,IFERROR(_xlfn.LET(_xlpm.x,SUM(SUM(_xlfn._xlws.FILTER(VALUE(PptoSty[Sign]&amp;1)*(1/PptoSty[Division]),(PptoSty[Division]&lt;&gt;0)*(PptoSty[Division]&lt;&gt;"")*(PptoSty[Division]&lt;&gt;"X")*(PptoSty[Project]=$B184)*(PptoSty[Vrs]=$D184)*(PptoSty[PiRow]=_xlfn.TEXTAFTER($H184,":"))*(PptoSty[PiColumn]=L$54),0)),SUM(IF((INDIRECT($B$3)=$B184)*(INDIRECT($C$3)=$D184)*((INDIRECT($E$3)="TOTS")+(INDIRECT($E$3)=$E184)),INDIRECT(L$3)))),_xlpm.y,SUM(_xlfn.CHOOSECOLS(_xlfn._xlws.FILTER(F_RT14[],(F_RT14[PrjId]=$B184)*(F_RT14[Vrs]=$D184)*(_xlfn.TEXTAFTER(F_RT14[ActGrp],":")=_xlfn.TEXTAFTER($H184,":")),"X"),MATCH("*"&amp;L$54,F_RT14[#Headers],0))),IF(AND(_xlpm.x=0,_xlpm.y&lt;&gt;0),-1,IF(AND(_xlpm.x&lt;&gt;0,_xlpm.y&lt;&gt;0),_xlpm.x,IF(AND(_xlpm.x-SUM(IF((INDIRECT($B$3)=$B184)*(INDIRECT($C$3)=$D184)*((INDIRECT($E$3)="TOTS")+(INDIRECT($E$3)=$E184)),INDIRECT(L$3)))&lt;&gt;0,_xlpm.y=0),-2,_xlpm.x)))),0))</f>
        <v>0</v>
      </c>
      <c r="M184" s="199" cm="1">
        <f t="array" aca="1" ref="M184" ca="1">IF(OR($B184="",$B184="X",$D184="",$D184="X",$E184="",$E184="X"),0,IFERROR(_xlfn.LET(_xlpm.x,SUM(SUM(_xlfn._xlws.FILTER(VALUE(PptoSty[Sign]&amp;1)*(1/PptoSty[Division]),(PptoSty[Division]&lt;&gt;0)*(PptoSty[Division]&lt;&gt;"")*(PptoSty[Division]&lt;&gt;"X")*(PptoSty[Project]=$B184)*(PptoSty[Vrs]=$D184)*(PptoSty[PiRow]=_xlfn.TEXTAFTER($H184,":"))*(PptoSty[PiColumn]=M$54),0)),SUM(IF((INDIRECT($B$3)=$B184)*(INDIRECT($C$3)=$D184)*((INDIRECT($E$3)="TOTS")+(INDIRECT($E$3)=$E184)),INDIRECT(M$3)))),_xlpm.y,SUM(_xlfn.CHOOSECOLS(_xlfn._xlws.FILTER(F_RT14[],(F_RT14[PrjId]=$B184)*(F_RT14[Vrs]=$D184)*(_xlfn.TEXTAFTER(F_RT14[ActGrp],":")=_xlfn.TEXTAFTER($H184,":")),"X"),MATCH("*"&amp;M$54,F_RT14[#Headers],0))),IF(AND(_xlpm.x=0,_xlpm.y&lt;&gt;0),-1,IF(AND(_xlpm.x&lt;&gt;0,_xlpm.y&lt;&gt;0),_xlpm.x,IF(AND(_xlpm.x-SUM(IF((INDIRECT($B$3)=$B184)*(INDIRECT($C$3)=$D184)*((INDIRECT($E$3)="TOTS")+(INDIRECT($E$3)=$E184)),INDIRECT(M$3)))&lt;&gt;0,_xlpm.y=0),-2,_xlpm.x)))),0))</f>
        <v>0</v>
      </c>
      <c r="N184" s="199" cm="1">
        <f t="array" aca="1" ref="N184" ca="1">IF(OR($B184="",$B184="X",$D184="",$D184="X",$E184="",$E184="X"),0,IFERROR(_xlfn.LET(_xlpm.x,SUM(SUM(_xlfn._xlws.FILTER(VALUE(PptoSty[Sign]&amp;1)*(1/PptoSty[Division]),(PptoSty[Division]&lt;&gt;0)*(PptoSty[Division]&lt;&gt;"")*(PptoSty[Division]&lt;&gt;"X")*(PptoSty[Project]=$B184)*(PptoSty[Vrs]=$D184)*(PptoSty[PiRow]=_xlfn.TEXTAFTER($H184,":"))*(PptoSty[PiColumn]=N$54),0)),SUM(IF((INDIRECT($B$3)=$B184)*(INDIRECT($C$3)=$D184)*((INDIRECT($E$3)="TOTS")+(INDIRECT($E$3)=$E184)),INDIRECT(N$3)))),_xlpm.y,SUM(_xlfn.CHOOSECOLS(_xlfn._xlws.FILTER(F_RT14[],(F_RT14[PrjId]=$B184)*(F_RT14[Vrs]=$D184)*(_xlfn.TEXTAFTER(F_RT14[ActGrp],":")=_xlfn.TEXTAFTER($H184,":")),"X"),MATCH("*"&amp;N$54,F_RT14[#Headers],0))),IF(AND(_xlpm.x=0,_xlpm.y&lt;&gt;0),-1,IF(AND(_xlpm.x&lt;&gt;0,_xlpm.y&lt;&gt;0),_xlpm.x,IF(AND(_xlpm.x-SUM(IF((INDIRECT($B$3)=$B184)*(INDIRECT($C$3)=$D184)*((INDIRECT($E$3)="TOTS")+(INDIRECT($E$3)=$E184)),INDIRECT(N$3)))&lt;&gt;0,_xlpm.y=0),-2,_xlpm.x)))),0))</f>
        <v>-1</v>
      </c>
      <c r="O184" s="199" cm="1">
        <f t="array" aca="1" ref="O184" ca="1">IF(OR($B184="",$B184="X",$D184="",$D184="X",$E184="",$E184="X"),0,IFERROR(_xlfn.LET(_xlpm.x,SUM(SUM(_xlfn._xlws.FILTER(VALUE(PptoSty[Sign]&amp;1)*(1/PptoSty[Division]),(PptoSty[Division]&lt;&gt;0)*(PptoSty[Division]&lt;&gt;"")*(PptoSty[Division]&lt;&gt;"X")*(PptoSty[Project]=$B184)*(PptoSty[Vrs]=$D184)*(PptoSty[PiRow]=_xlfn.TEXTAFTER($H184,":"))*(PptoSty[PiColumn]=O$54),0)),SUM(IF((INDIRECT($B$3)=$B184)*(INDIRECT($C$3)=$D184)*((INDIRECT($E$3)="TOTS")+(INDIRECT($E$3)=$E184)),INDIRECT(O$3)))),_xlpm.y,SUM(_xlfn.CHOOSECOLS(_xlfn._xlws.FILTER(F_RT14[],(F_RT14[PrjId]=$B184)*(F_RT14[Vrs]=$D184)*(_xlfn.TEXTAFTER(F_RT14[ActGrp],":")=_xlfn.TEXTAFTER($H184,":")),"X"),MATCH("*"&amp;O$54,F_RT14[#Headers],0))),IF(AND(_xlpm.x=0,_xlpm.y&lt;&gt;0),-1,IF(AND(_xlpm.x&lt;&gt;0,_xlpm.y&lt;&gt;0),_xlpm.x,IF(AND(_xlpm.x-SUM(IF((INDIRECT($B$3)=$B184)*(INDIRECT($C$3)=$D184)*((INDIRECT($E$3)="TOTS")+(INDIRECT($E$3)=$E184)),INDIRECT(O$3)))&lt;&gt;0,_xlpm.y=0),-2,_xlpm.x)))),0))</f>
        <v>0</v>
      </c>
      <c r="P184" s="199" cm="1">
        <f t="array" aca="1" ref="P184" ca="1">IF(OR($B184="",$B184="X",$D184="",$D184="X",$E184="",$E184="X"),0,IFERROR(_xlfn.LET(_xlpm.x,SUM(SUM(_xlfn._xlws.FILTER(VALUE(PptoSty[Sign]&amp;1)*(1/PptoSty[Division]),(PptoSty[Division]&lt;&gt;0)*(PptoSty[Division]&lt;&gt;"")*(PptoSty[Division]&lt;&gt;"X")*(PptoSty[Project]=$B184)*(PptoSty[Vrs]=$D184)*(PptoSty[PiRow]=_xlfn.TEXTAFTER($H184,":"))*(PptoSty[PiColumn]=P$54),0)),SUM(IF((INDIRECT($B$3)=$B184)*(INDIRECT($C$3)=$D184)*((INDIRECT($E$3)="TOTS")+(INDIRECT($E$3)=$E184)),INDIRECT(P$3)))),_xlpm.y,SUM(_xlfn.CHOOSECOLS(_xlfn._xlws.FILTER(F_RT14[],(F_RT14[PrjId]=$B184)*(F_RT14[Vrs]=$D184)*(_xlfn.TEXTAFTER(F_RT14[ActGrp],":")=_xlfn.TEXTAFTER($H184,":")),"X"),MATCH("*"&amp;P$54,F_RT14[#Headers],0))),IF(AND(_xlpm.x=0,_xlpm.y&lt;&gt;0),-1,IF(AND(_xlpm.x&lt;&gt;0,_xlpm.y&lt;&gt;0),_xlpm.x,IF(AND(_xlpm.x-SUM(IF((INDIRECT($B$3)=$B184)*(INDIRECT($C$3)=$D184)*((INDIRECT($E$3)="TOTS")+(INDIRECT($E$3)=$E184)),INDIRECT(P$3)))&lt;&gt;0,_xlpm.y=0),-2,_xlpm.x)))),0))</f>
        <v>-1</v>
      </c>
      <c r="Q184" s="199" cm="1">
        <f t="array" aca="1" ref="Q184" ca="1">IF(OR($B184="",$B184="X",$D184="",$D184="X",$E184="",$E184="X"),0,IFERROR(_xlfn.LET(_xlpm.x,SUM(SUM(_xlfn._xlws.FILTER(VALUE(PptoSty[Sign]&amp;1)*(1/PptoSty[Division]),(PptoSty[Division]&lt;&gt;0)*(PptoSty[Division]&lt;&gt;"")*(PptoSty[Division]&lt;&gt;"X")*(PptoSty[Project]=$B184)*(PptoSty[Vrs]=$D184)*(PptoSty[PiRow]=_xlfn.TEXTAFTER($H184,":"))*(PptoSty[PiColumn]=Q$54),0)),SUM(IF((INDIRECT($B$3)=$B184)*(INDIRECT($C$3)=$D184)*((INDIRECT($E$3)="TOTS")+(INDIRECT($E$3)=$E184)),INDIRECT(Q$3)))),_xlpm.y,SUM(_xlfn.CHOOSECOLS(_xlfn._xlws.FILTER(F_RT14[],(F_RT14[PrjId]=$B184)*(F_RT14[Vrs]=$D184)*(_xlfn.TEXTAFTER(F_RT14[ActGrp],":")=_xlfn.TEXTAFTER($H184,":")),"X"),MATCH("*"&amp;Q$54,F_RT14[#Headers],0))),IF(AND(_xlpm.x=0,_xlpm.y&lt;&gt;0),-1,IF(AND(_xlpm.x&lt;&gt;0,_xlpm.y&lt;&gt;0),_xlpm.x,IF(AND(_xlpm.x-SUM(IF((INDIRECT($B$3)=$B184)*(INDIRECT($C$3)=$D184)*((INDIRECT($E$3)="TOTS")+(INDIRECT($E$3)=$E184)),INDIRECT(Q$3)))&lt;&gt;0,_xlpm.y=0),-2,_xlpm.x)))),0))</f>
        <v>-1</v>
      </c>
      <c r="R184" s="199" cm="1">
        <f t="array" aca="1" ref="R184" ca="1">IF(OR($B184="",$B184="X",$D184="",$D184="X",$E184="",$E184="X"),0,IFERROR(_xlfn.LET(_xlpm.x,SUM(SUM(_xlfn._xlws.FILTER(VALUE(PptoSty[Sign]&amp;1)*(1/PptoSty[Division]),(PptoSty[Division]&lt;&gt;0)*(PptoSty[Division]&lt;&gt;"")*(PptoSty[Division]&lt;&gt;"X")*(PptoSty[Project]=$B184)*(PptoSty[Vrs]=$D184)*(PptoSty[PiRow]=_xlfn.TEXTAFTER($H184,":"))*(PptoSty[PiColumn]=R$54),0)),SUM(IF((INDIRECT($B$3)=$B184)*(INDIRECT($C$3)=$D184)*((INDIRECT($E$3)="TOTS")+(INDIRECT($E$3)=$E184)),INDIRECT(R$3)))),_xlpm.y,SUM(_xlfn.CHOOSECOLS(_xlfn._xlws.FILTER(F_RT14[],(F_RT14[PrjId]=$B184)*(F_RT14[Vrs]=$D184)*(_xlfn.TEXTAFTER(F_RT14[ActGrp],":")=_xlfn.TEXTAFTER($H184,":")),"X"),MATCH("*"&amp;R$54,F_RT14[#Headers],0))),IF(AND(_xlpm.x=0,_xlpm.y&lt;&gt;0),-1,IF(AND(_xlpm.x&lt;&gt;0,_xlpm.y&lt;&gt;0),_xlpm.x,IF(AND(_xlpm.x-SUM(IF((INDIRECT($B$3)=$B184)*(INDIRECT($C$3)=$D184)*((INDIRECT($E$3)="TOTS")+(INDIRECT($E$3)=$E184)),INDIRECT(R$3)))&lt;&gt;0,_xlpm.y=0),-2,_xlpm.x)))),0))</f>
        <v>-1</v>
      </c>
      <c r="S184" s="199" cm="1">
        <f t="array" aca="1" ref="S184" ca="1">IF(OR($B184="",$B184="X",$D184="",$D184="X",$E184="",$E184="X"),0,IFERROR(_xlfn.LET(_xlpm.x,SUM(SUM(_xlfn._xlws.FILTER(VALUE(PptoSty[Sign]&amp;1)*(1/PptoSty[Division]),(PptoSty[Division]&lt;&gt;0)*(PptoSty[Division]&lt;&gt;"")*(PptoSty[Division]&lt;&gt;"X")*(PptoSty[Project]=$B184)*(PptoSty[Vrs]=$D184)*(PptoSty[PiRow]=_xlfn.TEXTAFTER($H184,":"))*(PptoSty[PiColumn]=S$54),0)),SUM(IF((INDIRECT($B$3)=$B184)*(INDIRECT($C$3)=$D184)*((INDIRECT($E$3)="TOTS")+(INDIRECT($E$3)=$E184)),INDIRECT(S$3)))),_xlpm.y,SUM(_xlfn.CHOOSECOLS(_xlfn._xlws.FILTER(F_RT14[],(F_RT14[PrjId]=$B184)*(F_RT14[Vrs]=$D184)*(_xlfn.TEXTAFTER(F_RT14[ActGrp],":")=_xlfn.TEXTAFTER($H184,":")),"X"),MATCH("*"&amp;S$54,F_RT14[#Headers],0))),IF(AND(_xlpm.x=0,_xlpm.y&lt;&gt;0),-1,IF(AND(_xlpm.x&lt;&gt;0,_xlpm.y&lt;&gt;0),_xlpm.x,IF(AND(_xlpm.x-SUM(IF((INDIRECT($B$3)=$B184)*(INDIRECT($C$3)=$D184)*((INDIRECT($E$3)="TOTS")+(INDIRECT($E$3)=$E184)),INDIRECT(S$3)))&lt;&gt;0,_xlpm.y=0),-2,_xlpm.x)))),0))</f>
        <v>-1</v>
      </c>
      <c r="T184" s="199" cm="1">
        <f t="array" aca="1" ref="T184" ca="1">IF(OR($B184="",$B184="X",$D184="",$D184="X",$E184="",$E184="X"),0,IFERROR(_xlfn.LET(_xlpm.x,SUM(SUM(_xlfn._xlws.FILTER(VALUE(PptoSty[Sign]&amp;1)*(1/PptoSty[Division]),(PptoSty[Division]&lt;&gt;0)*(PptoSty[Division]&lt;&gt;"")*(PptoSty[Division]&lt;&gt;"X")*(PptoSty[Project]=$B184)*(PptoSty[Vrs]=$D184)*(PptoSty[PiRow]=_xlfn.TEXTAFTER($H184,":"))*(PptoSty[PiColumn]=T$54),0)),SUM(IF((INDIRECT($B$3)=$B184)*(INDIRECT($C$3)=$D184)*((INDIRECT($E$3)="TOTS")+(INDIRECT($E$3)=$E184)),INDIRECT(T$3)))),_xlpm.y,SUM(_xlfn.CHOOSECOLS(_xlfn._xlws.FILTER(F_RT14[],(F_RT14[PrjId]=$B184)*(F_RT14[Vrs]=$D184)*(_xlfn.TEXTAFTER(F_RT14[ActGrp],":")=_xlfn.TEXTAFTER($H184,":")),"X"),MATCH("*"&amp;T$54,F_RT14[#Headers],0))),IF(AND(_xlpm.x=0,_xlpm.y&lt;&gt;0),-1,IF(AND(_xlpm.x&lt;&gt;0,_xlpm.y&lt;&gt;0),_xlpm.x,IF(AND(_xlpm.x-SUM(IF((INDIRECT($B$3)=$B184)*(INDIRECT($C$3)=$D184)*((INDIRECT($E$3)="TOTS")+(INDIRECT($E$3)=$E184)),INDIRECT(T$3)))&lt;&gt;0,_xlpm.y=0),-2,_xlpm.x)))),0))</f>
        <v>-1</v>
      </c>
      <c r="U184" s="199" cm="1">
        <f t="array" aca="1" ref="U184" ca="1">IF(OR($B184="",$B184="X",$D184="",$D184="X",$E184="",$E184="X"),0,IFERROR(_xlfn.LET(_xlpm.x,SUM(SUM(_xlfn._xlws.FILTER(VALUE(PptoSty[Sign]&amp;1)*(1/PptoSty[Division]),(PptoSty[Division]&lt;&gt;0)*(PptoSty[Division]&lt;&gt;"")*(PptoSty[Division]&lt;&gt;"X")*(PptoSty[Project]=$B184)*(PptoSty[Vrs]=$D184)*(PptoSty[PiRow]=_xlfn.TEXTAFTER($H184,":"))*(PptoSty[PiColumn]=U$54),0)),SUM(IF((INDIRECT($B$3)=$B184)*(INDIRECT($C$3)=$D184)*((INDIRECT($E$3)="TOTS")+(INDIRECT($E$3)=$E184)),INDIRECT(U$3)))),_xlpm.y,SUM(_xlfn.CHOOSECOLS(_xlfn._xlws.FILTER(F_RT14[],(F_RT14[PrjId]=$B184)*(F_RT14[Vrs]=$D184)*(_xlfn.TEXTAFTER(F_RT14[ActGrp],":")=_xlfn.TEXTAFTER($H184,":")),"X"),MATCH("*"&amp;U$54,F_RT14[#Headers],0))),IF(AND(_xlpm.x=0,_xlpm.y&lt;&gt;0),-1,IF(AND(_xlpm.x&lt;&gt;0,_xlpm.y&lt;&gt;0),_xlpm.x,IF(AND(_xlpm.x-SUM(IF((INDIRECT($B$3)=$B184)*(INDIRECT($C$3)=$D184)*((INDIRECT($E$3)="TOTS")+(INDIRECT($E$3)=$E184)),INDIRECT(U$3)))&lt;&gt;0,_xlpm.y=0),-2,_xlpm.x)))),0))</f>
        <v>0</v>
      </c>
      <c r="V184" s="199" cm="1">
        <f t="array" aca="1" ref="V184" ca="1">IF(OR($B184="",$B184="X",$D184="",$D184="X",$E184="",$E184="X"),0,IFERROR(_xlfn.LET(_xlpm.x,SUM(SUM(_xlfn._xlws.FILTER(VALUE(PptoSty[Sign]&amp;1)*(1/PptoSty[Division]),(PptoSty[Division]&lt;&gt;0)*(PptoSty[Division]&lt;&gt;"")*(PptoSty[Division]&lt;&gt;"X")*(PptoSty[Project]=$B184)*(PptoSty[Vrs]=$D184)*(PptoSty[PiRow]=_xlfn.TEXTAFTER($H184,":"))*(PptoSty[PiColumn]=V$54),0)),SUM(IF((INDIRECT($B$3)=$B184)*(INDIRECT($C$3)=$D184)*((INDIRECT($E$3)="TOTS")+(INDIRECT($E$3)=$E184)),INDIRECT(V$3)))),_xlpm.y,SUM(_xlfn.CHOOSECOLS(_xlfn._xlws.FILTER(F_RT14[],(F_RT14[PrjId]=$B184)*(F_RT14[Vrs]=$D184)*(_xlfn.TEXTAFTER(F_RT14[ActGrp],":")=_xlfn.TEXTAFTER($H184,":")),"X"),MATCH("*"&amp;V$54,F_RT14[#Headers],0))),IF(AND(_xlpm.x=0,_xlpm.y&lt;&gt;0),-1,IF(AND(_xlpm.x&lt;&gt;0,_xlpm.y&lt;&gt;0),_xlpm.x,IF(AND(_xlpm.x-SUM(IF((INDIRECT($B$3)=$B184)*(INDIRECT($C$3)=$D184)*((INDIRECT($E$3)="TOTS")+(INDIRECT($E$3)=$E184)),INDIRECT(V$3)))&lt;&gt;0,_xlpm.y=0),-2,_xlpm.x)))),0))</f>
        <v>-1</v>
      </c>
      <c r="W184" s="199" cm="1">
        <f t="array" aca="1" ref="W184" ca="1">IF(OR($B184="",$B184="X",$D184="",$D184="X",$E184="",$E184="X"),0,IFERROR(_xlfn.LET(_xlpm.x,SUM(SUM(_xlfn._xlws.FILTER(VALUE(PptoSty[Sign]&amp;1)*(1/PptoSty[Division]),(PptoSty[Division]&lt;&gt;0)*(PptoSty[Division]&lt;&gt;"")*(PptoSty[Division]&lt;&gt;"X")*(PptoSty[Project]=$B184)*(PptoSty[Vrs]=$D184)*(PptoSty[PiRow]=_xlfn.TEXTAFTER($H184,":"))*(PptoSty[PiColumn]=W$54),0)),SUM(IF((INDIRECT($B$3)=$B184)*(INDIRECT($C$3)=$D184)*((INDIRECT($E$3)="TOTS")+(INDIRECT($E$3)=$E184)),INDIRECT(W$3)))),_xlpm.y,SUM(_xlfn.CHOOSECOLS(_xlfn._xlws.FILTER(F_RT14[],(F_RT14[PrjId]=$B184)*(F_RT14[Vrs]=$D184)*(_xlfn.TEXTAFTER(F_RT14[ActGrp],":")=_xlfn.TEXTAFTER($H184,":")),"X"),MATCH("*"&amp;W$54,F_RT14[#Headers],0))),IF(AND(_xlpm.x=0,_xlpm.y&lt;&gt;0),-1,IF(AND(_xlpm.x&lt;&gt;0,_xlpm.y&lt;&gt;0),_xlpm.x,IF(AND(_xlpm.x-SUM(IF((INDIRECT($B$3)=$B184)*(INDIRECT($C$3)=$D184)*((INDIRECT($E$3)="TOTS")+(INDIRECT($E$3)=$E184)),INDIRECT(W$3)))&lt;&gt;0,_xlpm.y=0),-2,_xlpm.x)))),0))</f>
        <v>-1</v>
      </c>
      <c r="X184" s="199" cm="1">
        <f t="array" aca="1" ref="X184" ca="1">IF(OR($B184="",$B184="X",$D184="",$D184="X",$E184="",$E184="X"),0,IFERROR(_xlfn.LET(_xlpm.x,SUM(SUM(_xlfn._xlws.FILTER(VALUE(PptoSty[Sign]&amp;1)*(1/PptoSty[Division]),(PptoSty[Division]&lt;&gt;0)*(PptoSty[Division]&lt;&gt;"")*(PptoSty[Division]&lt;&gt;"X")*(PptoSty[Project]=$B184)*(PptoSty[Vrs]=$D184)*(PptoSty[PiRow]=_xlfn.TEXTAFTER($H184,":"))*(PptoSty[PiColumn]=X$54),0)),SUM(IF((INDIRECT($B$3)=$B184)*(INDIRECT($C$3)=$D184)*((INDIRECT($E$3)="TOTS")+(INDIRECT($E$3)=$E184)),INDIRECT(X$3)))),_xlpm.y,SUM(_xlfn.CHOOSECOLS(_xlfn._xlws.FILTER(F_RT14[],(F_RT14[PrjId]=$B184)*(F_RT14[Vrs]=$D184)*(_xlfn.TEXTAFTER(F_RT14[ActGrp],":")=_xlfn.TEXTAFTER($H184,":")),"X"),MATCH("*"&amp;X$54,F_RT14[#Headers],0))),IF(AND(_xlpm.x=0,_xlpm.y&lt;&gt;0),-1,IF(AND(_xlpm.x&lt;&gt;0,_xlpm.y&lt;&gt;0),_xlpm.x,IF(AND(_xlpm.x-SUM(IF((INDIRECT($B$3)=$B184)*(INDIRECT($C$3)=$D184)*((INDIRECT($E$3)="TOTS")+(INDIRECT($E$3)=$E184)),INDIRECT(X$3)))&lt;&gt;0,_xlpm.y=0),-2,_xlpm.x)))),0))</f>
        <v>-1</v>
      </c>
      <c r="Y184" s="199" cm="1">
        <f t="array" aca="1" ref="Y184" ca="1">IF(OR($B184="",$B184="X",$D184="",$D184="X",$E184="",$E184="X"),0,IFERROR(_xlfn.LET(_xlpm.x,SUM(SUM(_xlfn._xlws.FILTER(VALUE(PptoSty[Sign]&amp;1)*(1/PptoSty[Division]),(PptoSty[Division]&lt;&gt;0)*(PptoSty[Division]&lt;&gt;"")*(PptoSty[Division]&lt;&gt;"X")*(PptoSty[Project]=$B184)*(PptoSty[Vrs]=$D184)*(PptoSty[PiRow]=_xlfn.TEXTAFTER($H184,":"))*(PptoSty[PiColumn]=Y$54),0)),SUM(IF((INDIRECT($B$3)=$B184)*(INDIRECT($C$3)=$D184)*((INDIRECT($E$3)="TOTS")+(INDIRECT($E$3)=$E184)),INDIRECT(Y$3)))),_xlpm.y,SUM(_xlfn.CHOOSECOLS(_xlfn._xlws.FILTER(F_RT14[],(F_RT14[PrjId]=$B184)*(F_RT14[Vrs]=$D184)*(_xlfn.TEXTAFTER(F_RT14[ActGrp],":")=_xlfn.TEXTAFTER($H184,":")),"X"),MATCH("*"&amp;Y$54,F_RT14[#Headers],0))),IF(AND(_xlpm.x=0,_xlpm.y&lt;&gt;0),-1,IF(AND(_xlpm.x&lt;&gt;0,_xlpm.y&lt;&gt;0),_xlpm.x,IF(AND(_xlpm.x-SUM(IF((INDIRECT($B$3)=$B184)*(INDIRECT($C$3)=$D184)*((INDIRECT($E$3)="TOTS")+(INDIRECT($E$3)=$E184)),INDIRECT(Y$3)))&lt;&gt;0,_xlpm.y=0),-2,_xlpm.x)))),0))</f>
        <v>0</v>
      </c>
      <c r="Z184" s="198" t="str">
        <f t="shared" ca="1" si="4"/>
        <v>Fback!B184:Y184</v>
      </c>
    </row>
    <row r="185" spans="2:26" ht="21" customHeight="1" outlineLevel="1">
      <c r="B185" s="128" t="str">
        <v>31200</v>
      </c>
      <c r="C185" s="128" t="str">
        <v>Sp</v>
      </c>
      <c r="D185" s="128">
        <v>0</v>
      </c>
      <c r="E185" s="128" t="str">
        <v>TOOL</v>
      </c>
      <c r="F185" s="139" t="str">
        <v>SERRA</v>
      </c>
      <c r="G185" s="139" t="str">
        <v>CurPpto</v>
      </c>
      <c r="H185" s="139" t="str">
        <v>P013:OP-95.1 REWELD</v>
      </c>
      <c r="I185" s="199" cm="1">
        <f t="array" aca="1" ref="I185" ca="1">IF(OR($B185="",$B185="X",$D185="",$D185="X",$E185="",$E185="X"),0,IFERROR(_xlfn.LET(_xlpm.x,SUM(SUM(_xlfn._xlws.FILTER(VALUE(PptoSty[Sign]&amp;1)*(1/PptoSty[Division]),(PptoSty[Division]&lt;&gt;0)*(PptoSty[Division]&lt;&gt;"")*(PptoSty[Division]&lt;&gt;"X")*(PptoSty[Project]=$B185)*(PptoSty[Vrs]=$D185)*(PptoSty[PiRow]=_xlfn.TEXTAFTER($H185,":"))*(PptoSty[PiColumn]=I$54),0)),SUM(IF((INDIRECT($B$3)=$B185)*(INDIRECT($C$3)=$D185)*((INDIRECT($E$3)="TOTS")+(INDIRECT($E$3)=$E185)),INDIRECT(I$3)))),_xlpm.y,SUM(_xlfn.CHOOSECOLS(_xlfn._xlws.FILTER(F_RT14[],(F_RT14[PrjId]=$B185)*(F_RT14[Vrs]=$D185)*(_xlfn.TEXTAFTER(F_RT14[ActGrp],":")=_xlfn.TEXTAFTER($H185,":")),"X"),MATCH("*"&amp;I$54,F_RT14[#Headers],0))),IF(AND(_xlpm.x=0,_xlpm.y&lt;&gt;0),-1,IF(AND(_xlpm.x&lt;&gt;0,_xlpm.y&lt;&gt;0),_xlpm.x,IF(AND(_xlpm.x-SUM(IF((INDIRECT($B$3)=$B185)*(INDIRECT($C$3)=$D185)*((INDIRECT($E$3)="TOTS")+(INDIRECT($E$3)=$E185)),INDIRECT(I$3)))&lt;&gt;0,_xlpm.y=0),-2,_xlpm.x)))),0))</f>
        <v>0</v>
      </c>
      <c r="J185" s="199" cm="1">
        <f t="array" aca="1" ref="J185" ca="1">IF(OR($B185="",$B185="X",$D185="",$D185="X",$E185="",$E185="X"),0,IFERROR(_xlfn.LET(_xlpm.x,SUM(SUM(_xlfn._xlws.FILTER(VALUE(PptoSty[Sign]&amp;1)*(1/PptoSty[Division]),(PptoSty[Division]&lt;&gt;0)*(PptoSty[Division]&lt;&gt;"")*(PptoSty[Division]&lt;&gt;"X")*(PptoSty[Project]=$B185)*(PptoSty[Vrs]=$D185)*(PptoSty[PiRow]=_xlfn.TEXTAFTER($H185,":"))*(PptoSty[PiColumn]=J$54),0)),SUM(IF((INDIRECT($B$3)=$B185)*(INDIRECT($C$3)=$D185)*((INDIRECT($E$3)="TOTS")+(INDIRECT($E$3)=$E185)),INDIRECT(J$3)))),_xlpm.y,SUM(_xlfn.CHOOSECOLS(_xlfn._xlws.FILTER(F_RT14[],(F_RT14[PrjId]=$B185)*(F_RT14[Vrs]=$D185)*(_xlfn.TEXTAFTER(F_RT14[ActGrp],":")=_xlfn.TEXTAFTER($H185,":")),"X"),MATCH("*"&amp;J$54,F_RT14[#Headers],0))),IF(AND(_xlpm.x=0,_xlpm.y&lt;&gt;0),-1,IF(AND(_xlpm.x&lt;&gt;0,_xlpm.y&lt;&gt;0),_xlpm.x,IF(AND(_xlpm.x-SUM(IF((INDIRECT($B$3)=$B185)*(INDIRECT($C$3)=$D185)*((INDIRECT($E$3)="TOTS")+(INDIRECT($E$3)=$E185)),INDIRECT(J$3)))&lt;&gt;0,_xlpm.y=0),-2,_xlpm.x)))),0))</f>
        <v>0</v>
      </c>
      <c r="K185" s="199" cm="1">
        <f t="array" aca="1" ref="K185" ca="1">IF(OR($B185="",$B185="X",$D185="",$D185="X",$E185="",$E185="X"),0,IFERROR(_xlfn.LET(_xlpm.x,SUM(SUM(_xlfn._xlws.FILTER(VALUE(PptoSty[Sign]&amp;1)*(1/PptoSty[Division]),(PptoSty[Division]&lt;&gt;0)*(PptoSty[Division]&lt;&gt;"")*(PptoSty[Division]&lt;&gt;"X")*(PptoSty[Project]=$B185)*(PptoSty[Vrs]=$D185)*(PptoSty[PiRow]=_xlfn.TEXTAFTER($H185,":"))*(PptoSty[PiColumn]=K$54),0)),SUM(IF((INDIRECT($B$3)=$B185)*(INDIRECT($C$3)=$D185)*((INDIRECT($E$3)="TOTS")+(INDIRECT($E$3)=$E185)),INDIRECT(K$3)))),_xlpm.y,SUM(_xlfn.CHOOSECOLS(_xlfn._xlws.FILTER(F_RT14[],(F_RT14[PrjId]=$B185)*(F_RT14[Vrs]=$D185)*(_xlfn.TEXTAFTER(F_RT14[ActGrp],":")=_xlfn.TEXTAFTER($H185,":")),"X"),MATCH("*"&amp;K$54,F_RT14[#Headers],0))),IF(AND(_xlpm.x=0,_xlpm.y&lt;&gt;0),-1,IF(AND(_xlpm.x&lt;&gt;0,_xlpm.y&lt;&gt;0),_xlpm.x,IF(AND(_xlpm.x-SUM(IF((INDIRECT($B$3)=$B185)*(INDIRECT($C$3)=$D185)*((INDIRECT($E$3)="TOTS")+(INDIRECT($E$3)=$E185)),INDIRECT(K$3)))&lt;&gt;0,_xlpm.y=0),-2,_xlpm.x)))),0))</f>
        <v>-1</v>
      </c>
      <c r="L185" s="199" cm="1">
        <f t="array" aca="1" ref="L185" ca="1">IF(OR($B185="",$B185="X",$D185="",$D185="X",$E185="",$E185="X"),0,IFERROR(_xlfn.LET(_xlpm.x,SUM(SUM(_xlfn._xlws.FILTER(VALUE(PptoSty[Sign]&amp;1)*(1/PptoSty[Division]),(PptoSty[Division]&lt;&gt;0)*(PptoSty[Division]&lt;&gt;"")*(PptoSty[Division]&lt;&gt;"X")*(PptoSty[Project]=$B185)*(PptoSty[Vrs]=$D185)*(PptoSty[PiRow]=_xlfn.TEXTAFTER($H185,":"))*(PptoSty[PiColumn]=L$54),0)),SUM(IF((INDIRECT($B$3)=$B185)*(INDIRECT($C$3)=$D185)*((INDIRECT($E$3)="TOTS")+(INDIRECT($E$3)=$E185)),INDIRECT(L$3)))),_xlpm.y,SUM(_xlfn.CHOOSECOLS(_xlfn._xlws.FILTER(F_RT14[],(F_RT14[PrjId]=$B185)*(F_RT14[Vrs]=$D185)*(_xlfn.TEXTAFTER(F_RT14[ActGrp],":")=_xlfn.TEXTAFTER($H185,":")),"X"),MATCH("*"&amp;L$54,F_RT14[#Headers],0))),IF(AND(_xlpm.x=0,_xlpm.y&lt;&gt;0),-1,IF(AND(_xlpm.x&lt;&gt;0,_xlpm.y&lt;&gt;0),_xlpm.x,IF(AND(_xlpm.x-SUM(IF((INDIRECT($B$3)=$B185)*(INDIRECT($C$3)=$D185)*((INDIRECT($E$3)="TOTS")+(INDIRECT($E$3)=$E185)),INDIRECT(L$3)))&lt;&gt;0,_xlpm.y=0),-2,_xlpm.x)))),0))</f>
        <v>0</v>
      </c>
      <c r="M185" s="199" cm="1">
        <f t="array" aca="1" ref="M185" ca="1">IF(OR($B185="",$B185="X",$D185="",$D185="X",$E185="",$E185="X"),0,IFERROR(_xlfn.LET(_xlpm.x,SUM(SUM(_xlfn._xlws.FILTER(VALUE(PptoSty[Sign]&amp;1)*(1/PptoSty[Division]),(PptoSty[Division]&lt;&gt;0)*(PptoSty[Division]&lt;&gt;"")*(PptoSty[Division]&lt;&gt;"X")*(PptoSty[Project]=$B185)*(PptoSty[Vrs]=$D185)*(PptoSty[PiRow]=_xlfn.TEXTAFTER($H185,":"))*(PptoSty[PiColumn]=M$54),0)),SUM(IF((INDIRECT($B$3)=$B185)*(INDIRECT($C$3)=$D185)*((INDIRECT($E$3)="TOTS")+(INDIRECT($E$3)=$E185)),INDIRECT(M$3)))),_xlpm.y,SUM(_xlfn.CHOOSECOLS(_xlfn._xlws.FILTER(F_RT14[],(F_RT14[PrjId]=$B185)*(F_RT14[Vrs]=$D185)*(_xlfn.TEXTAFTER(F_RT14[ActGrp],":")=_xlfn.TEXTAFTER($H185,":")),"X"),MATCH("*"&amp;M$54,F_RT14[#Headers],0))),IF(AND(_xlpm.x=0,_xlpm.y&lt;&gt;0),-1,IF(AND(_xlpm.x&lt;&gt;0,_xlpm.y&lt;&gt;0),_xlpm.x,IF(AND(_xlpm.x-SUM(IF((INDIRECT($B$3)=$B185)*(INDIRECT($C$3)=$D185)*((INDIRECT($E$3)="TOTS")+(INDIRECT($E$3)=$E185)),INDIRECT(M$3)))&lt;&gt;0,_xlpm.y=0),-2,_xlpm.x)))),0))</f>
        <v>0</v>
      </c>
      <c r="N185" s="199" cm="1">
        <f t="array" aca="1" ref="N185" ca="1">IF(OR($B185="",$B185="X",$D185="",$D185="X",$E185="",$E185="X"),0,IFERROR(_xlfn.LET(_xlpm.x,SUM(SUM(_xlfn._xlws.FILTER(VALUE(PptoSty[Sign]&amp;1)*(1/PptoSty[Division]),(PptoSty[Division]&lt;&gt;0)*(PptoSty[Division]&lt;&gt;"")*(PptoSty[Division]&lt;&gt;"X")*(PptoSty[Project]=$B185)*(PptoSty[Vrs]=$D185)*(PptoSty[PiRow]=_xlfn.TEXTAFTER($H185,":"))*(PptoSty[PiColumn]=N$54),0)),SUM(IF((INDIRECT($B$3)=$B185)*(INDIRECT($C$3)=$D185)*((INDIRECT($E$3)="TOTS")+(INDIRECT($E$3)=$E185)),INDIRECT(N$3)))),_xlpm.y,SUM(_xlfn.CHOOSECOLS(_xlfn._xlws.FILTER(F_RT14[],(F_RT14[PrjId]=$B185)*(F_RT14[Vrs]=$D185)*(_xlfn.TEXTAFTER(F_RT14[ActGrp],":")=_xlfn.TEXTAFTER($H185,":")),"X"),MATCH("*"&amp;N$54,F_RT14[#Headers],0))),IF(AND(_xlpm.x=0,_xlpm.y&lt;&gt;0),-1,IF(AND(_xlpm.x&lt;&gt;0,_xlpm.y&lt;&gt;0),_xlpm.x,IF(AND(_xlpm.x-SUM(IF((INDIRECT($B$3)=$B185)*(INDIRECT($C$3)=$D185)*((INDIRECT($E$3)="TOTS")+(INDIRECT($E$3)=$E185)),INDIRECT(N$3)))&lt;&gt;0,_xlpm.y=0),-2,_xlpm.x)))),0))</f>
        <v>-1</v>
      </c>
      <c r="O185" s="199" cm="1">
        <f t="array" aca="1" ref="O185" ca="1">IF(OR($B185="",$B185="X",$D185="",$D185="X",$E185="",$E185="X"),0,IFERROR(_xlfn.LET(_xlpm.x,SUM(SUM(_xlfn._xlws.FILTER(VALUE(PptoSty[Sign]&amp;1)*(1/PptoSty[Division]),(PptoSty[Division]&lt;&gt;0)*(PptoSty[Division]&lt;&gt;"")*(PptoSty[Division]&lt;&gt;"X")*(PptoSty[Project]=$B185)*(PptoSty[Vrs]=$D185)*(PptoSty[PiRow]=_xlfn.TEXTAFTER($H185,":"))*(PptoSty[PiColumn]=O$54),0)),SUM(IF((INDIRECT($B$3)=$B185)*(INDIRECT($C$3)=$D185)*((INDIRECT($E$3)="TOTS")+(INDIRECT($E$3)=$E185)),INDIRECT(O$3)))),_xlpm.y,SUM(_xlfn.CHOOSECOLS(_xlfn._xlws.FILTER(F_RT14[],(F_RT14[PrjId]=$B185)*(F_RT14[Vrs]=$D185)*(_xlfn.TEXTAFTER(F_RT14[ActGrp],":")=_xlfn.TEXTAFTER($H185,":")),"X"),MATCH("*"&amp;O$54,F_RT14[#Headers],0))),IF(AND(_xlpm.x=0,_xlpm.y&lt;&gt;0),-1,IF(AND(_xlpm.x&lt;&gt;0,_xlpm.y&lt;&gt;0),_xlpm.x,IF(AND(_xlpm.x-SUM(IF((INDIRECT($B$3)=$B185)*(INDIRECT($C$3)=$D185)*((INDIRECT($E$3)="TOTS")+(INDIRECT($E$3)=$E185)),INDIRECT(O$3)))&lt;&gt;0,_xlpm.y=0),-2,_xlpm.x)))),0))</f>
        <v>0</v>
      </c>
      <c r="P185" s="199" cm="1">
        <f t="array" aca="1" ref="P185" ca="1">IF(OR($B185="",$B185="X",$D185="",$D185="X",$E185="",$E185="X"),0,IFERROR(_xlfn.LET(_xlpm.x,SUM(SUM(_xlfn._xlws.FILTER(VALUE(PptoSty[Sign]&amp;1)*(1/PptoSty[Division]),(PptoSty[Division]&lt;&gt;0)*(PptoSty[Division]&lt;&gt;"")*(PptoSty[Division]&lt;&gt;"X")*(PptoSty[Project]=$B185)*(PptoSty[Vrs]=$D185)*(PptoSty[PiRow]=_xlfn.TEXTAFTER($H185,":"))*(PptoSty[PiColumn]=P$54),0)),SUM(IF((INDIRECT($B$3)=$B185)*(INDIRECT($C$3)=$D185)*((INDIRECT($E$3)="TOTS")+(INDIRECT($E$3)=$E185)),INDIRECT(P$3)))),_xlpm.y,SUM(_xlfn.CHOOSECOLS(_xlfn._xlws.FILTER(F_RT14[],(F_RT14[PrjId]=$B185)*(F_RT14[Vrs]=$D185)*(_xlfn.TEXTAFTER(F_RT14[ActGrp],":")=_xlfn.TEXTAFTER($H185,":")),"X"),MATCH("*"&amp;P$54,F_RT14[#Headers],0))),IF(AND(_xlpm.x=0,_xlpm.y&lt;&gt;0),-1,IF(AND(_xlpm.x&lt;&gt;0,_xlpm.y&lt;&gt;0),_xlpm.x,IF(AND(_xlpm.x-SUM(IF((INDIRECT($B$3)=$B185)*(INDIRECT($C$3)=$D185)*((INDIRECT($E$3)="TOTS")+(INDIRECT($E$3)=$E185)),INDIRECT(P$3)))&lt;&gt;0,_xlpm.y=0),-2,_xlpm.x)))),0))</f>
        <v>-1</v>
      </c>
      <c r="Q185" s="199" cm="1">
        <f t="array" aca="1" ref="Q185" ca="1">IF(OR($B185="",$B185="X",$D185="",$D185="X",$E185="",$E185="X"),0,IFERROR(_xlfn.LET(_xlpm.x,SUM(SUM(_xlfn._xlws.FILTER(VALUE(PptoSty[Sign]&amp;1)*(1/PptoSty[Division]),(PptoSty[Division]&lt;&gt;0)*(PptoSty[Division]&lt;&gt;"")*(PptoSty[Division]&lt;&gt;"X")*(PptoSty[Project]=$B185)*(PptoSty[Vrs]=$D185)*(PptoSty[PiRow]=_xlfn.TEXTAFTER($H185,":"))*(PptoSty[PiColumn]=Q$54),0)),SUM(IF((INDIRECT($B$3)=$B185)*(INDIRECT($C$3)=$D185)*((INDIRECT($E$3)="TOTS")+(INDIRECT($E$3)=$E185)),INDIRECT(Q$3)))),_xlpm.y,SUM(_xlfn.CHOOSECOLS(_xlfn._xlws.FILTER(F_RT14[],(F_RT14[PrjId]=$B185)*(F_RT14[Vrs]=$D185)*(_xlfn.TEXTAFTER(F_RT14[ActGrp],":")=_xlfn.TEXTAFTER($H185,":")),"X"),MATCH("*"&amp;Q$54,F_RT14[#Headers],0))),IF(AND(_xlpm.x=0,_xlpm.y&lt;&gt;0),-1,IF(AND(_xlpm.x&lt;&gt;0,_xlpm.y&lt;&gt;0),_xlpm.x,IF(AND(_xlpm.x-SUM(IF((INDIRECT($B$3)=$B185)*(INDIRECT($C$3)=$D185)*((INDIRECT($E$3)="TOTS")+(INDIRECT($E$3)=$E185)),INDIRECT(Q$3)))&lt;&gt;0,_xlpm.y=0),-2,_xlpm.x)))),0))</f>
        <v>-1</v>
      </c>
      <c r="R185" s="199" cm="1">
        <f t="array" aca="1" ref="R185" ca="1">IF(OR($B185="",$B185="X",$D185="",$D185="X",$E185="",$E185="X"),0,IFERROR(_xlfn.LET(_xlpm.x,SUM(SUM(_xlfn._xlws.FILTER(VALUE(PptoSty[Sign]&amp;1)*(1/PptoSty[Division]),(PptoSty[Division]&lt;&gt;0)*(PptoSty[Division]&lt;&gt;"")*(PptoSty[Division]&lt;&gt;"X")*(PptoSty[Project]=$B185)*(PptoSty[Vrs]=$D185)*(PptoSty[PiRow]=_xlfn.TEXTAFTER($H185,":"))*(PptoSty[PiColumn]=R$54),0)),SUM(IF((INDIRECT($B$3)=$B185)*(INDIRECT($C$3)=$D185)*((INDIRECT($E$3)="TOTS")+(INDIRECT($E$3)=$E185)),INDIRECT(R$3)))),_xlpm.y,SUM(_xlfn.CHOOSECOLS(_xlfn._xlws.FILTER(F_RT14[],(F_RT14[PrjId]=$B185)*(F_RT14[Vrs]=$D185)*(_xlfn.TEXTAFTER(F_RT14[ActGrp],":")=_xlfn.TEXTAFTER($H185,":")),"X"),MATCH("*"&amp;R$54,F_RT14[#Headers],0))),IF(AND(_xlpm.x=0,_xlpm.y&lt;&gt;0),-1,IF(AND(_xlpm.x&lt;&gt;0,_xlpm.y&lt;&gt;0),_xlpm.x,IF(AND(_xlpm.x-SUM(IF((INDIRECT($B$3)=$B185)*(INDIRECT($C$3)=$D185)*((INDIRECT($E$3)="TOTS")+(INDIRECT($E$3)=$E185)),INDIRECT(R$3)))&lt;&gt;0,_xlpm.y=0),-2,_xlpm.x)))),0))</f>
        <v>-1</v>
      </c>
      <c r="S185" s="199" cm="1">
        <f t="array" aca="1" ref="S185" ca="1">IF(OR($B185="",$B185="X",$D185="",$D185="X",$E185="",$E185="X"),0,IFERROR(_xlfn.LET(_xlpm.x,SUM(SUM(_xlfn._xlws.FILTER(VALUE(PptoSty[Sign]&amp;1)*(1/PptoSty[Division]),(PptoSty[Division]&lt;&gt;0)*(PptoSty[Division]&lt;&gt;"")*(PptoSty[Division]&lt;&gt;"X")*(PptoSty[Project]=$B185)*(PptoSty[Vrs]=$D185)*(PptoSty[PiRow]=_xlfn.TEXTAFTER($H185,":"))*(PptoSty[PiColumn]=S$54),0)),SUM(IF((INDIRECT($B$3)=$B185)*(INDIRECT($C$3)=$D185)*((INDIRECT($E$3)="TOTS")+(INDIRECT($E$3)=$E185)),INDIRECT(S$3)))),_xlpm.y,SUM(_xlfn.CHOOSECOLS(_xlfn._xlws.FILTER(F_RT14[],(F_RT14[PrjId]=$B185)*(F_RT14[Vrs]=$D185)*(_xlfn.TEXTAFTER(F_RT14[ActGrp],":")=_xlfn.TEXTAFTER($H185,":")),"X"),MATCH("*"&amp;S$54,F_RT14[#Headers],0))),IF(AND(_xlpm.x=0,_xlpm.y&lt;&gt;0),-1,IF(AND(_xlpm.x&lt;&gt;0,_xlpm.y&lt;&gt;0),_xlpm.x,IF(AND(_xlpm.x-SUM(IF((INDIRECT($B$3)=$B185)*(INDIRECT($C$3)=$D185)*((INDIRECT($E$3)="TOTS")+(INDIRECT($E$3)=$E185)),INDIRECT(S$3)))&lt;&gt;0,_xlpm.y=0),-2,_xlpm.x)))),0))</f>
        <v>-1</v>
      </c>
      <c r="T185" s="199" cm="1">
        <f t="array" aca="1" ref="T185" ca="1">IF(OR($B185="",$B185="X",$D185="",$D185="X",$E185="",$E185="X"),0,IFERROR(_xlfn.LET(_xlpm.x,SUM(SUM(_xlfn._xlws.FILTER(VALUE(PptoSty[Sign]&amp;1)*(1/PptoSty[Division]),(PptoSty[Division]&lt;&gt;0)*(PptoSty[Division]&lt;&gt;"")*(PptoSty[Division]&lt;&gt;"X")*(PptoSty[Project]=$B185)*(PptoSty[Vrs]=$D185)*(PptoSty[PiRow]=_xlfn.TEXTAFTER($H185,":"))*(PptoSty[PiColumn]=T$54),0)),SUM(IF((INDIRECT($B$3)=$B185)*(INDIRECT($C$3)=$D185)*((INDIRECT($E$3)="TOTS")+(INDIRECT($E$3)=$E185)),INDIRECT(T$3)))),_xlpm.y,SUM(_xlfn.CHOOSECOLS(_xlfn._xlws.FILTER(F_RT14[],(F_RT14[PrjId]=$B185)*(F_RT14[Vrs]=$D185)*(_xlfn.TEXTAFTER(F_RT14[ActGrp],":")=_xlfn.TEXTAFTER($H185,":")),"X"),MATCH("*"&amp;T$54,F_RT14[#Headers],0))),IF(AND(_xlpm.x=0,_xlpm.y&lt;&gt;0),-1,IF(AND(_xlpm.x&lt;&gt;0,_xlpm.y&lt;&gt;0),_xlpm.x,IF(AND(_xlpm.x-SUM(IF((INDIRECT($B$3)=$B185)*(INDIRECT($C$3)=$D185)*((INDIRECT($E$3)="TOTS")+(INDIRECT($E$3)=$E185)),INDIRECT(T$3)))&lt;&gt;0,_xlpm.y=0),-2,_xlpm.x)))),0))</f>
        <v>-1</v>
      </c>
      <c r="U185" s="199" cm="1">
        <f t="array" aca="1" ref="U185" ca="1">IF(OR($B185="",$B185="X",$D185="",$D185="X",$E185="",$E185="X"),0,IFERROR(_xlfn.LET(_xlpm.x,SUM(SUM(_xlfn._xlws.FILTER(VALUE(PptoSty[Sign]&amp;1)*(1/PptoSty[Division]),(PptoSty[Division]&lt;&gt;0)*(PptoSty[Division]&lt;&gt;"")*(PptoSty[Division]&lt;&gt;"X")*(PptoSty[Project]=$B185)*(PptoSty[Vrs]=$D185)*(PptoSty[PiRow]=_xlfn.TEXTAFTER($H185,":"))*(PptoSty[PiColumn]=U$54),0)),SUM(IF((INDIRECT($B$3)=$B185)*(INDIRECT($C$3)=$D185)*((INDIRECT($E$3)="TOTS")+(INDIRECT($E$3)=$E185)),INDIRECT(U$3)))),_xlpm.y,SUM(_xlfn.CHOOSECOLS(_xlfn._xlws.FILTER(F_RT14[],(F_RT14[PrjId]=$B185)*(F_RT14[Vrs]=$D185)*(_xlfn.TEXTAFTER(F_RT14[ActGrp],":")=_xlfn.TEXTAFTER($H185,":")),"X"),MATCH("*"&amp;U$54,F_RT14[#Headers],0))),IF(AND(_xlpm.x=0,_xlpm.y&lt;&gt;0),-1,IF(AND(_xlpm.x&lt;&gt;0,_xlpm.y&lt;&gt;0),_xlpm.x,IF(AND(_xlpm.x-SUM(IF((INDIRECT($B$3)=$B185)*(INDIRECT($C$3)=$D185)*((INDIRECT($E$3)="TOTS")+(INDIRECT($E$3)=$E185)),INDIRECT(U$3)))&lt;&gt;0,_xlpm.y=0),-2,_xlpm.x)))),0))</f>
        <v>0</v>
      </c>
      <c r="V185" s="199" cm="1">
        <f t="array" aca="1" ref="V185" ca="1">IF(OR($B185="",$B185="X",$D185="",$D185="X",$E185="",$E185="X"),0,IFERROR(_xlfn.LET(_xlpm.x,SUM(SUM(_xlfn._xlws.FILTER(VALUE(PptoSty[Sign]&amp;1)*(1/PptoSty[Division]),(PptoSty[Division]&lt;&gt;0)*(PptoSty[Division]&lt;&gt;"")*(PptoSty[Division]&lt;&gt;"X")*(PptoSty[Project]=$B185)*(PptoSty[Vrs]=$D185)*(PptoSty[PiRow]=_xlfn.TEXTAFTER($H185,":"))*(PptoSty[PiColumn]=V$54),0)),SUM(IF((INDIRECT($B$3)=$B185)*(INDIRECT($C$3)=$D185)*((INDIRECT($E$3)="TOTS")+(INDIRECT($E$3)=$E185)),INDIRECT(V$3)))),_xlpm.y,SUM(_xlfn.CHOOSECOLS(_xlfn._xlws.FILTER(F_RT14[],(F_RT14[PrjId]=$B185)*(F_RT14[Vrs]=$D185)*(_xlfn.TEXTAFTER(F_RT14[ActGrp],":")=_xlfn.TEXTAFTER($H185,":")),"X"),MATCH("*"&amp;V$54,F_RT14[#Headers],0))),IF(AND(_xlpm.x=0,_xlpm.y&lt;&gt;0),-1,IF(AND(_xlpm.x&lt;&gt;0,_xlpm.y&lt;&gt;0),_xlpm.x,IF(AND(_xlpm.x-SUM(IF((INDIRECT($B$3)=$B185)*(INDIRECT($C$3)=$D185)*((INDIRECT($E$3)="TOTS")+(INDIRECT($E$3)=$E185)),INDIRECT(V$3)))&lt;&gt;0,_xlpm.y=0),-2,_xlpm.x)))),0))</f>
        <v>-1</v>
      </c>
      <c r="W185" s="199" cm="1">
        <f t="array" aca="1" ref="W185" ca="1">IF(OR($B185="",$B185="X",$D185="",$D185="X",$E185="",$E185="X"),0,IFERROR(_xlfn.LET(_xlpm.x,SUM(SUM(_xlfn._xlws.FILTER(VALUE(PptoSty[Sign]&amp;1)*(1/PptoSty[Division]),(PptoSty[Division]&lt;&gt;0)*(PptoSty[Division]&lt;&gt;"")*(PptoSty[Division]&lt;&gt;"X")*(PptoSty[Project]=$B185)*(PptoSty[Vrs]=$D185)*(PptoSty[PiRow]=_xlfn.TEXTAFTER($H185,":"))*(PptoSty[PiColumn]=W$54),0)),SUM(IF((INDIRECT($B$3)=$B185)*(INDIRECT($C$3)=$D185)*((INDIRECT($E$3)="TOTS")+(INDIRECT($E$3)=$E185)),INDIRECT(W$3)))),_xlpm.y,SUM(_xlfn.CHOOSECOLS(_xlfn._xlws.FILTER(F_RT14[],(F_RT14[PrjId]=$B185)*(F_RT14[Vrs]=$D185)*(_xlfn.TEXTAFTER(F_RT14[ActGrp],":")=_xlfn.TEXTAFTER($H185,":")),"X"),MATCH("*"&amp;W$54,F_RT14[#Headers],0))),IF(AND(_xlpm.x=0,_xlpm.y&lt;&gt;0),-1,IF(AND(_xlpm.x&lt;&gt;0,_xlpm.y&lt;&gt;0),_xlpm.x,IF(AND(_xlpm.x-SUM(IF((INDIRECT($B$3)=$B185)*(INDIRECT($C$3)=$D185)*((INDIRECT($E$3)="TOTS")+(INDIRECT($E$3)=$E185)),INDIRECT(W$3)))&lt;&gt;0,_xlpm.y=0),-2,_xlpm.x)))),0))</f>
        <v>-1</v>
      </c>
      <c r="X185" s="199" cm="1">
        <f t="array" aca="1" ref="X185" ca="1">IF(OR($B185="",$B185="X",$D185="",$D185="X",$E185="",$E185="X"),0,IFERROR(_xlfn.LET(_xlpm.x,SUM(SUM(_xlfn._xlws.FILTER(VALUE(PptoSty[Sign]&amp;1)*(1/PptoSty[Division]),(PptoSty[Division]&lt;&gt;0)*(PptoSty[Division]&lt;&gt;"")*(PptoSty[Division]&lt;&gt;"X")*(PptoSty[Project]=$B185)*(PptoSty[Vrs]=$D185)*(PptoSty[PiRow]=_xlfn.TEXTAFTER($H185,":"))*(PptoSty[PiColumn]=X$54),0)),SUM(IF((INDIRECT($B$3)=$B185)*(INDIRECT($C$3)=$D185)*((INDIRECT($E$3)="TOTS")+(INDIRECT($E$3)=$E185)),INDIRECT(X$3)))),_xlpm.y,SUM(_xlfn.CHOOSECOLS(_xlfn._xlws.FILTER(F_RT14[],(F_RT14[PrjId]=$B185)*(F_RT14[Vrs]=$D185)*(_xlfn.TEXTAFTER(F_RT14[ActGrp],":")=_xlfn.TEXTAFTER($H185,":")),"X"),MATCH("*"&amp;X$54,F_RT14[#Headers],0))),IF(AND(_xlpm.x=0,_xlpm.y&lt;&gt;0),-1,IF(AND(_xlpm.x&lt;&gt;0,_xlpm.y&lt;&gt;0),_xlpm.x,IF(AND(_xlpm.x-SUM(IF((INDIRECT($B$3)=$B185)*(INDIRECT($C$3)=$D185)*((INDIRECT($E$3)="TOTS")+(INDIRECT($E$3)=$E185)),INDIRECT(X$3)))&lt;&gt;0,_xlpm.y=0),-2,_xlpm.x)))),0))</f>
        <v>-1</v>
      </c>
      <c r="Y185" s="199" cm="1">
        <f t="array" aca="1" ref="Y185" ca="1">IF(OR($B185="",$B185="X",$D185="",$D185="X",$E185="",$E185="X"),0,IFERROR(_xlfn.LET(_xlpm.x,SUM(SUM(_xlfn._xlws.FILTER(VALUE(PptoSty[Sign]&amp;1)*(1/PptoSty[Division]),(PptoSty[Division]&lt;&gt;0)*(PptoSty[Division]&lt;&gt;"")*(PptoSty[Division]&lt;&gt;"X")*(PptoSty[Project]=$B185)*(PptoSty[Vrs]=$D185)*(PptoSty[PiRow]=_xlfn.TEXTAFTER($H185,":"))*(PptoSty[PiColumn]=Y$54),0)),SUM(IF((INDIRECT($B$3)=$B185)*(INDIRECT($C$3)=$D185)*((INDIRECT($E$3)="TOTS")+(INDIRECT($E$3)=$E185)),INDIRECT(Y$3)))),_xlpm.y,SUM(_xlfn.CHOOSECOLS(_xlfn._xlws.FILTER(F_RT14[],(F_RT14[PrjId]=$B185)*(F_RT14[Vrs]=$D185)*(_xlfn.TEXTAFTER(F_RT14[ActGrp],":")=_xlfn.TEXTAFTER($H185,":")),"X"),MATCH("*"&amp;Y$54,F_RT14[#Headers],0))),IF(AND(_xlpm.x=0,_xlpm.y&lt;&gt;0),-1,IF(AND(_xlpm.x&lt;&gt;0,_xlpm.y&lt;&gt;0),_xlpm.x,IF(AND(_xlpm.x-SUM(IF((INDIRECT($B$3)=$B185)*(INDIRECT($C$3)=$D185)*((INDIRECT($E$3)="TOTS")+(INDIRECT($E$3)=$E185)),INDIRECT(Y$3)))&lt;&gt;0,_xlpm.y=0),-2,_xlpm.x)))),0))</f>
        <v>0</v>
      </c>
      <c r="Z185" s="198" t="str">
        <f t="shared" ca="1" si="4"/>
        <v>Fback!B185:Y185</v>
      </c>
    </row>
    <row r="186" spans="2:26" ht="21" customHeight="1" outlineLevel="1">
      <c r="B186" s="128" t="str">
        <v>31200</v>
      </c>
      <c r="C186" s="128" t="str">
        <v>Sp</v>
      </c>
      <c r="D186" s="128">
        <v>0</v>
      </c>
      <c r="E186" s="128" t="str">
        <v>TOOL</v>
      </c>
      <c r="F186" s="139" t="str">
        <v>SERRA</v>
      </c>
      <c r="G186" s="139" t="str">
        <v>CurPpto</v>
      </c>
      <c r="H186" s="139" t="str">
        <v>P017:OP-125 MARKING FIXTURE</v>
      </c>
      <c r="I186" s="199" cm="1">
        <f t="array" aca="1" ref="I186" ca="1">IF(OR($B186="",$B186="X",$D186="",$D186="X",$E186="",$E186="X"),0,IFERROR(_xlfn.LET(_xlpm.x,SUM(SUM(_xlfn._xlws.FILTER(VALUE(PptoSty[Sign]&amp;1)*(1/PptoSty[Division]),(PptoSty[Division]&lt;&gt;0)*(PptoSty[Division]&lt;&gt;"")*(PptoSty[Division]&lt;&gt;"X")*(PptoSty[Project]=$B186)*(PptoSty[Vrs]=$D186)*(PptoSty[PiRow]=_xlfn.TEXTAFTER($H186,":"))*(PptoSty[PiColumn]=I$54),0)),SUM(IF((INDIRECT($B$3)=$B186)*(INDIRECT($C$3)=$D186)*((INDIRECT($E$3)="TOTS")+(INDIRECT($E$3)=$E186)),INDIRECT(I$3)))),_xlpm.y,SUM(_xlfn.CHOOSECOLS(_xlfn._xlws.FILTER(F_RT14[],(F_RT14[PrjId]=$B186)*(F_RT14[Vrs]=$D186)*(_xlfn.TEXTAFTER(F_RT14[ActGrp],":")=_xlfn.TEXTAFTER($H186,":")),"X"),MATCH("*"&amp;I$54,F_RT14[#Headers],0))),IF(AND(_xlpm.x=0,_xlpm.y&lt;&gt;0),-1,IF(AND(_xlpm.x&lt;&gt;0,_xlpm.y&lt;&gt;0),_xlpm.x,IF(AND(_xlpm.x-SUM(IF((INDIRECT($B$3)=$B186)*(INDIRECT($C$3)=$D186)*((INDIRECT($E$3)="TOTS")+(INDIRECT($E$3)=$E186)),INDIRECT(I$3)))&lt;&gt;0,_xlpm.y=0),-2,_xlpm.x)))),0))</f>
        <v>0</v>
      </c>
      <c r="J186" s="199" cm="1">
        <f t="array" aca="1" ref="J186" ca="1">IF(OR($B186="",$B186="X",$D186="",$D186="X",$E186="",$E186="X"),0,IFERROR(_xlfn.LET(_xlpm.x,SUM(SUM(_xlfn._xlws.FILTER(VALUE(PptoSty[Sign]&amp;1)*(1/PptoSty[Division]),(PptoSty[Division]&lt;&gt;0)*(PptoSty[Division]&lt;&gt;"")*(PptoSty[Division]&lt;&gt;"X")*(PptoSty[Project]=$B186)*(PptoSty[Vrs]=$D186)*(PptoSty[PiRow]=_xlfn.TEXTAFTER($H186,":"))*(PptoSty[PiColumn]=J$54),0)),SUM(IF((INDIRECT($B$3)=$B186)*(INDIRECT($C$3)=$D186)*((INDIRECT($E$3)="TOTS")+(INDIRECT($E$3)=$E186)),INDIRECT(J$3)))),_xlpm.y,SUM(_xlfn.CHOOSECOLS(_xlfn._xlws.FILTER(F_RT14[],(F_RT14[PrjId]=$B186)*(F_RT14[Vrs]=$D186)*(_xlfn.TEXTAFTER(F_RT14[ActGrp],":")=_xlfn.TEXTAFTER($H186,":")),"X"),MATCH("*"&amp;J$54,F_RT14[#Headers],0))),IF(AND(_xlpm.x=0,_xlpm.y&lt;&gt;0),-1,IF(AND(_xlpm.x&lt;&gt;0,_xlpm.y&lt;&gt;0),_xlpm.x,IF(AND(_xlpm.x-SUM(IF((INDIRECT($B$3)=$B186)*(INDIRECT($C$3)=$D186)*((INDIRECT($E$3)="TOTS")+(INDIRECT($E$3)=$E186)),INDIRECT(J$3)))&lt;&gt;0,_xlpm.y=0),-2,_xlpm.x)))),0))</f>
        <v>0</v>
      </c>
      <c r="K186" s="199" cm="1">
        <f t="array" aca="1" ref="K186" ca="1">IF(OR($B186="",$B186="X",$D186="",$D186="X",$E186="",$E186="X"),0,IFERROR(_xlfn.LET(_xlpm.x,SUM(SUM(_xlfn._xlws.FILTER(VALUE(PptoSty[Sign]&amp;1)*(1/PptoSty[Division]),(PptoSty[Division]&lt;&gt;0)*(PptoSty[Division]&lt;&gt;"")*(PptoSty[Division]&lt;&gt;"X")*(PptoSty[Project]=$B186)*(PptoSty[Vrs]=$D186)*(PptoSty[PiRow]=_xlfn.TEXTAFTER($H186,":"))*(PptoSty[PiColumn]=K$54),0)),SUM(IF((INDIRECT($B$3)=$B186)*(INDIRECT($C$3)=$D186)*((INDIRECT($E$3)="TOTS")+(INDIRECT($E$3)=$E186)),INDIRECT(K$3)))),_xlpm.y,SUM(_xlfn.CHOOSECOLS(_xlfn._xlws.FILTER(F_RT14[],(F_RT14[PrjId]=$B186)*(F_RT14[Vrs]=$D186)*(_xlfn.TEXTAFTER(F_RT14[ActGrp],":")=_xlfn.TEXTAFTER($H186,":")),"X"),MATCH("*"&amp;K$54,F_RT14[#Headers],0))),IF(AND(_xlpm.x=0,_xlpm.y&lt;&gt;0),-1,IF(AND(_xlpm.x&lt;&gt;0,_xlpm.y&lt;&gt;0),_xlpm.x,IF(AND(_xlpm.x-SUM(IF((INDIRECT($B$3)=$B186)*(INDIRECT($C$3)=$D186)*((INDIRECT($E$3)="TOTS")+(INDIRECT($E$3)=$E186)),INDIRECT(K$3)))&lt;&gt;0,_xlpm.y=0),-2,_xlpm.x)))),0))</f>
        <v>-1</v>
      </c>
      <c r="L186" s="199" cm="1">
        <f t="array" aca="1" ref="L186" ca="1">IF(OR($B186="",$B186="X",$D186="",$D186="X",$E186="",$E186="X"),0,IFERROR(_xlfn.LET(_xlpm.x,SUM(SUM(_xlfn._xlws.FILTER(VALUE(PptoSty[Sign]&amp;1)*(1/PptoSty[Division]),(PptoSty[Division]&lt;&gt;0)*(PptoSty[Division]&lt;&gt;"")*(PptoSty[Division]&lt;&gt;"X")*(PptoSty[Project]=$B186)*(PptoSty[Vrs]=$D186)*(PptoSty[PiRow]=_xlfn.TEXTAFTER($H186,":"))*(PptoSty[PiColumn]=L$54),0)),SUM(IF((INDIRECT($B$3)=$B186)*(INDIRECT($C$3)=$D186)*((INDIRECT($E$3)="TOTS")+(INDIRECT($E$3)=$E186)),INDIRECT(L$3)))),_xlpm.y,SUM(_xlfn.CHOOSECOLS(_xlfn._xlws.FILTER(F_RT14[],(F_RT14[PrjId]=$B186)*(F_RT14[Vrs]=$D186)*(_xlfn.TEXTAFTER(F_RT14[ActGrp],":")=_xlfn.TEXTAFTER($H186,":")),"X"),MATCH("*"&amp;L$54,F_RT14[#Headers],0))),IF(AND(_xlpm.x=0,_xlpm.y&lt;&gt;0),-1,IF(AND(_xlpm.x&lt;&gt;0,_xlpm.y&lt;&gt;0),_xlpm.x,IF(AND(_xlpm.x-SUM(IF((INDIRECT($B$3)=$B186)*(INDIRECT($C$3)=$D186)*((INDIRECT($E$3)="TOTS")+(INDIRECT($E$3)=$E186)),INDIRECT(L$3)))&lt;&gt;0,_xlpm.y=0),-2,_xlpm.x)))),0))</f>
        <v>0</v>
      </c>
      <c r="M186" s="199" cm="1">
        <f t="array" aca="1" ref="M186" ca="1">IF(OR($B186="",$B186="X",$D186="",$D186="X",$E186="",$E186="X"),0,IFERROR(_xlfn.LET(_xlpm.x,SUM(SUM(_xlfn._xlws.FILTER(VALUE(PptoSty[Sign]&amp;1)*(1/PptoSty[Division]),(PptoSty[Division]&lt;&gt;0)*(PptoSty[Division]&lt;&gt;"")*(PptoSty[Division]&lt;&gt;"X")*(PptoSty[Project]=$B186)*(PptoSty[Vrs]=$D186)*(PptoSty[PiRow]=_xlfn.TEXTAFTER($H186,":"))*(PptoSty[PiColumn]=M$54),0)),SUM(IF((INDIRECT($B$3)=$B186)*(INDIRECT($C$3)=$D186)*((INDIRECT($E$3)="TOTS")+(INDIRECT($E$3)=$E186)),INDIRECT(M$3)))),_xlpm.y,SUM(_xlfn.CHOOSECOLS(_xlfn._xlws.FILTER(F_RT14[],(F_RT14[PrjId]=$B186)*(F_RT14[Vrs]=$D186)*(_xlfn.TEXTAFTER(F_RT14[ActGrp],":")=_xlfn.TEXTAFTER($H186,":")),"X"),MATCH("*"&amp;M$54,F_RT14[#Headers],0))),IF(AND(_xlpm.x=0,_xlpm.y&lt;&gt;0),-1,IF(AND(_xlpm.x&lt;&gt;0,_xlpm.y&lt;&gt;0),_xlpm.x,IF(AND(_xlpm.x-SUM(IF((INDIRECT($B$3)=$B186)*(INDIRECT($C$3)=$D186)*((INDIRECT($E$3)="TOTS")+(INDIRECT($E$3)=$E186)),INDIRECT(M$3)))&lt;&gt;0,_xlpm.y=0),-2,_xlpm.x)))),0))</f>
        <v>0</v>
      </c>
      <c r="N186" s="199" cm="1">
        <f t="array" aca="1" ref="N186" ca="1">IF(OR($B186="",$B186="X",$D186="",$D186="X",$E186="",$E186="X"),0,IFERROR(_xlfn.LET(_xlpm.x,SUM(SUM(_xlfn._xlws.FILTER(VALUE(PptoSty[Sign]&amp;1)*(1/PptoSty[Division]),(PptoSty[Division]&lt;&gt;0)*(PptoSty[Division]&lt;&gt;"")*(PptoSty[Division]&lt;&gt;"X")*(PptoSty[Project]=$B186)*(PptoSty[Vrs]=$D186)*(PptoSty[PiRow]=_xlfn.TEXTAFTER($H186,":"))*(PptoSty[PiColumn]=N$54),0)),SUM(IF((INDIRECT($B$3)=$B186)*(INDIRECT($C$3)=$D186)*((INDIRECT($E$3)="TOTS")+(INDIRECT($E$3)=$E186)),INDIRECT(N$3)))),_xlpm.y,SUM(_xlfn.CHOOSECOLS(_xlfn._xlws.FILTER(F_RT14[],(F_RT14[PrjId]=$B186)*(F_RT14[Vrs]=$D186)*(_xlfn.TEXTAFTER(F_RT14[ActGrp],":")=_xlfn.TEXTAFTER($H186,":")),"X"),MATCH("*"&amp;N$54,F_RT14[#Headers],0))),IF(AND(_xlpm.x=0,_xlpm.y&lt;&gt;0),-1,IF(AND(_xlpm.x&lt;&gt;0,_xlpm.y&lt;&gt;0),_xlpm.x,IF(AND(_xlpm.x-SUM(IF((INDIRECT($B$3)=$B186)*(INDIRECT($C$3)=$D186)*((INDIRECT($E$3)="TOTS")+(INDIRECT($E$3)=$E186)),INDIRECT(N$3)))&lt;&gt;0,_xlpm.y=0),-2,_xlpm.x)))),0))</f>
        <v>-1</v>
      </c>
      <c r="O186" s="199" cm="1">
        <f t="array" aca="1" ref="O186" ca="1">IF(OR($B186="",$B186="X",$D186="",$D186="X",$E186="",$E186="X"),0,IFERROR(_xlfn.LET(_xlpm.x,SUM(SUM(_xlfn._xlws.FILTER(VALUE(PptoSty[Sign]&amp;1)*(1/PptoSty[Division]),(PptoSty[Division]&lt;&gt;0)*(PptoSty[Division]&lt;&gt;"")*(PptoSty[Division]&lt;&gt;"X")*(PptoSty[Project]=$B186)*(PptoSty[Vrs]=$D186)*(PptoSty[PiRow]=_xlfn.TEXTAFTER($H186,":"))*(PptoSty[PiColumn]=O$54),0)),SUM(IF((INDIRECT($B$3)=$B186)*(INDIRECT($C$3)=$D186)*((INDIRECT($E$3)="TOTS")+(INDIRECT($E$3)=$E186)),INDIRECT(O$3)))),_xlpm.y,SUM(_xlfn.CHOOSECOLS(_xlfn._xlws.FILTER(F_RT14[],(F_RT14[PrjId]=$B186)*(F_RT14[Vrs]=$D186)*(_xlfn.TEXTAFTER(F_RT14[ActGrp],":")=_xlfn.TEXTAFTER($H186,":")),"X"),MATCH("*"&amp;O$54,F_RT14[#Headers],0))),IF(AND(_xlpm.x=0,_xlpm.y&lt;&gt;0),-1,IF(AND(_xlpm.x&lt;&gt;0,_xlpm.y&lt;&gt;0),_xlpm.x,IF(AND(_xlpm.x-SUM(IF((INDIRECT($B$3)=$B186)*(INDIRECT($C$3)=$D186)*((INDIRECT($E$3)="TOTS")+(INDIRECT($E$3)=$E186)),INDIRECT(O$3)))&lt;&gt;0,_xlpm.y=0),-2,_xlpm.x)))),0))</f>
        <v>0</v>
      </c>
      <c r="P186" s="199" cm="1">
        <f t="array" aca="1" ref="P186" ca="1">IF(OR($B186="",$B186="X",$D186="",$D186="X",$E186="",$E186="X"),0,IFERROR(_xlfn.LET(_xlpm.x,SUM(SUM(_xlfn._xlws.FILTER(VALUE(PptoSty[Sign]&amp;1)*(1/PptoSty[Division]),(PptoSty[Division]&lt;&gt;0)*(PptoSty[Division]&lt;&gt;"")*(PptoSty[Division]&lt;&gt;"X")*(PptoSty[Project]=$B186)*(PptoSty[Vrs]=$D186)*(PptoSty[PiRow]=_xlfn.TEXTAFTER($H186,":"))*(PptoSty[PiColumn]=P$54),0)),SUM(IF((INDIRECT($B$3)=$B186)*(INDIRECT($C$3)=$D186)*((INDIRECT($E$3)="TOTS")+(INDIRECT($E$3)=$E186)),INDIRECT(P$3)))),_xlpm.y,SUM(_xlfn.CHOOSECOLS(_xlfn._xlws.FILTER(F_RT14[],(F_RT14[PrjId]=$B186)*(F_RT14[Vrs]=$D186)*(_xlfn.TEXTAFTER(F_RT14[ActGrp],":")=_xlfn.TEXTAFTER($H186,":")),"X"),MATCH("*"&amp;P$54,F_RT14[#Headers],0))),IF(AND(_xlpm.x=0,_xlpm.y&lt;&gt;0),-1,IF(AND(_xlpm.x&lt;&gt;0,_xlpm.y&lt;&gt;0),_xlpm.x,IF(AND(_xlpm.x-SUM(IF((INDIRECT($B$3)=$B186)*(INDIRECT($C$3)=$D186)*((INDIRECT($E$3)="TOTS")+(INDIRECT($E$3)=$E186)),INDIRECT(P$3)))&lt;&gt;0,_xlpm.y=0),-2,_xlpm.x)))),0))</f>
        <v>-1</v>
      </c>
      <c r="Q186" s="199" cm="1">
        <f t="array" aca="1" ref="Q186" ca="1">IF(OR($B186="",$B186="X",$D186="",$D186="X",$E186="",$E186="X"),0,IFERROR(_xlfn.LET(_xlpm.x,SUM(SUM(_xlfn._xlws.FILTER(VALUE(PptoSty[Sign]&amp;1)*(1/PptoSty[Division]),(PptoSty[Division]&lt;&gt;0)*(PptoSty[Division]&lt;&gt;"")*(PptoSty[Division]&lt;&gt;"X")*(PptoSty[Project]=$B186)*(PptoSty[Vrs]=$D186)*(PptoSty[PiRow]=_xlfn.TEXTAFTER($H186,":"))*(PptoSty[PiColumn]=Q$54),0)),SUM(IF((INDIRECT($B$3)=$B186)*(INDIRECT($C$3)=$D186)*((INDIRECT($E$3)="TOTS")+(INDIRECT($E$3)=$E186)),INDIRECT(Q$3)))),_xlpm.y,SUM(_xlfn.CHOOSECOLS(_xlfn._xlws.FILTER(F_RT14[],(F_RT14[PrjId]=$B186)*(F_RT14[Vrs]=$D186)*(_xlfn.TEXTAFTER(F_RT14[ActGrp],":")=_xlfn.TEXTAFTER($H186,":")),"X"),MATCH("*"&amp;Q$54,F_RT14[#Headers],0))),IF(AND(_xlpm.x=0,_xlpm.y&lt;&gt;0),-1,IF(AND(_xlpm.x&lt;&gt;0,_xlpm.y&lt;&gt;0),_xlpm.x,IF(AND(_xlpm.x-SUM(IF((INDIRECT($B$3)=$B186)*(INDIRECT($C$3)=$D186)*((INDIRECT($E$3)="TOTS")+(INDIRECT($E$3)=$E186)),INDIRECT(Q$3)))&lt;&gt;0,_xlpm.y=0),-2,_xlpm.x)))),0))</f>
        <v>-1</v>
      </c>
      <c r="R186" s="199" cm="1">
        <f t="array" aca="1" ref="R186" ca="1">IF(OR($B186="",$B186="X",$D186="",$D186="X",$E186="",$E186="X"),0,IFERROR(_xlfn.LET(_xlpm.x,SUM(SUM(_xlfn._xlws.FILTER(VALUE(PptoSty[Sign]&amp;1)*(1/PptoSty[Division]),(PptoSty[Division]&lt;&gt;0)*(PptoSty[Division]&lt;&gt;"")*(PptoSty[Division]&lt;&gt;"X")*(PptoSty[Project]=$B186)*(PptoSty[Vrs]=$D186)*(PptoSty[PiRow]=_xlfn.TEXTAFTER($H186,":"))*(PptoSty[PiColumn]=R$54),0)),SUM(IF((INDIRECT($B$3)=$B186)*(INDIRECT($C$3)=$D186)*((INDIRECT($E$3)="TOTS")+(INDIRECT($E$3)=$E186)),INDIRECT(R$3)))),_xlpm.y,SUM(_xlfn.CHOOSECOLS(_xlfn._xlws.FILTER(F_RT14[],(F_RT14[PrjId]=$B186)*(F_RT14[Vrs]=$D186)*(_xlfn.TEXTAFTER(F_RT14[ActGrp],":")=_xlfn.TEXTAFTER($H186,":")),"X"),MATCH("*"&amp;R$54,F_RT14[#Headers],0))),IF(AND(_xlpm.x=0,_xlpm.y&lt;&gt;0),-1,IF(AND(_xlpm.x&lt;&gt;0,_xlpm.y&lt;&gt;0),_xlpm.x,IF(AND(_xlpm.x-SUM(IF((INDIRECT($B$3)=$B186)*(INDIRECT($C$3)=$D186)*((INDIRECT($E$3)="TOTS")+(INDIRECT($E$3)=$E186)),INDIRECT(R$3)))&lt;&gt;0,_xlpm.y=0),-2,_xlpm.x)))),0))</f>
        <v>-1</v>
      </c>
      <c r="S186" s="199" cm="1">
        <f t="array" aca="1" ref="S186" ca="1">IF(OR($B186="",$B186="X",$D186="",$D186="X",$E186="",$E186="X"),0,IFERROR(_xlfn.LET(_xlpm.x,SUM(SUM(_xlfn._xlws.FILTER(VALUE(PptoSty[Sign]&amp;1)*(1/PptoSty[Division]),(PptoSty[Division]&lt;&gt;0)*(PptoSty[Division]&lt;&gt;"")*(PptoSty[Division]&lt;&gt;"X")*(PptoSty[Project]=$B186)*(PptoSty[Vrs]=$D186)*(PptoSty[PiRow]=_xlfn.TEXTAFTER($H186,":"))*(PptoSty[PiColumn]=S$54),0)),SUM(IF((INDIRECT($B$3)=$B186)*(INDIRECT($C$3)=$D186)*((INDIRECT($E$3)="TOTS")+(INDIRECT($E$3)=$E186)),INDIRECT(S$3)))),_xlpm.y,SUM(_xlfn.CHOOSECOLS(_xlfn._xlws.FILTER(F_RT14[],(F_RT14[PrjId]=$B186)*(F_RT14[Vrs]=$D186)*(_xlfn.TEXTAFTER(F_RT14[ActGrp],":")=_xlfn.TEXTAFTER($H186,":")),"X"),MATCH("*"&amp;S$54,F_RT14[#Headers],0))),IF(AND(_xlpm.x=0,_xlpm.y&lt;&gt;0),-1,IF(AND(_xlpm.x&lt;&gt;0,_xlpm.y&lt;&gt;0),_xlpm.x,IF(AND(_xlpm.x-SUM(IF((INDIRECT($B$3)=$B186)*(INDIRECT($C$3)=$D186)*((INDIRECT($E$3)="TOTS")+(INDIRECT($E$3)=$E186)),INDIRECT(S$3)))&lt;&gt;0,_xlpm.y=0),-2,_xlpm.x)))),0))</f>
        <v>-1</v>
      </c>
      <c r="T186" s="199" cm="1">
        <f t="array" aca="1" ref="T186" ca="1">IF(OR($B186="",$B186="X",$D186="",$D186="X",$E186="",$E186="X"),0,IFERROR(_xlfn.LET(_xlpm.x,SUM(SUM(_xlfn._xlws.FILTER(VALUE(PptoSty[Sign]&amp;1)*(1/PptoSty[Division]),(PptoSty[Division]&lt;&gt;0)*(PptoSty[Division]&lt;&gt;"")*(PptoSty[Division]&lt;&gt;"X")*(PptoSty[Project]=$B186)*(PptoSty[Vrs]=$D186)*(PptoSty[PiRow]=_xlfn.TEXTAFTER($H186,":"))*(PptoSty[PiColumn]=T$54),0)),SUM(IF((INDIRECT($B$3)=$B186)*(INDIRECT($C$3)=$D186)*((INDIRECT($E$3)="TOTS")+(INDIRECT($E$3)=$E186)),INDIRECT(T$3)))),_xlpm.y,SUM(_xlfn.CHOOSECOLS(_xlfn._xlws.FILTER(F_RT14[],(F_RT14[PrjId]=$B186)*(F_RT14[Vrs]=$D186)*(_xlfn.TEXTAFTER(F_RT14[ActGrp],":")=_xlfn.TEXTAFTER($H186,":")),"X"),MATCH("*"&amp;T$54,F_RT14[#Headers],0))),IF(AND(_xlpm.x=0,_xlpm.y&lt;&gt;0),-1,IF(AND(_xlpm.x&lt;&gt;0,_xlpm.y&lt;&gt;0),_xlpm.x,IF(AND(_xlpm.x-SUM(IF((INDIRECT($B$3)=$B186)*(INDIRECT($C$3)=$D186)*((INDIRECT($E$3)="TOTS")+(INDIRECT($E$3)=$E186)),INDIRECT(T$3)))&lt;&gt;0,_xlpm.y=0),-2,_xlpm.x)))),0))</f>
        <v>-1</v>
      </c>
      <c r="U186" s="199" cm="1">
        <f t="array" aca="1" ref="U186" ca="1">IF(OR($B186="",$B186="X",$D186="",$D186="X",$E186="",$E186="X"),0,IFERROR(_xlfn.LET(_xlpm.x,SUM(SUM(_xlfn._xlws.FILTER(VALUE(PptoSty[Sign]&amp;1)*(1/PptoSty[Division]),(PptoSty[Division]&lt;&gt;0)*(PptoSty[Division]&lt;&gt;"")*(PptoSty[Division]&lt;&gt;"X")*(PptoSty[Project]=$B186)*(PptoSty[Vrs]=$D186)*(PptoSty[PiRow]=_xlfn.TEXTAFTER($H186,":"))*(PptoSty[PiColumn]=U$54),0)),SUM(IF((INDIRECT($B$3)=$B186)*(INDIRECT($C$3)=$D186)*((INDIRECT($E$3)="TOTS")+(INDIRECT($E$3)=$E186)),INDIRECT(U$3)))),_xlpm.y,SUM(_xlfn.CHOOSECOLS(_xlfn._xlws.FILTER(F_RT14[],(F_RT14[PrjId]=$B186)*(F_RT14[Vrs]=$D186)*(_xlfn.TEXTAFTER(F_RT14[ActGrp],":")=_xlfn.TEXTAFTER($H186,":")),"X"),MATCH("*"&amp;U$54,F_RT14[#Headers],0))),IF(AND(_xlpm.x=0,_xlpm.y&lt;&gt;0),-1,IF(AND(_xlpm.x&lt;&gt;0,_xlpm.y&lt;&gt;0),_xlpm.x,IF(AND(_xlpm.x-SUM(IF((INDIRECT($B$3)=$B186)*(INDIRECT($C$3)=$D186)*((INDIRECT($E$3)="TOTS")+(INDIRECT($E$3)=$E186)),INDIRECT(U$3)))&lt;&gt;0,_xlpm.y=0),-2,_xlpm.x)))),0))</f>
        <v>0</v>
      </c>
      <c r="V186" s="199" cm="1">
        <f t="array" aca="1" ref="V186" ca="1">IF(OR($B186="",$B186="X",$D186="",$D186="X",$E186="",$E186="X"),0,IFERROR(_xlfn.LET(_xlpm.x,SUM(SUM(_xlfn._xlws.FILTER(VALUE(PptoSty[Sign]&amp;1)*(1/PptoSty[Division]),(PptoSty[Division]&lt;&gt;0)*(PptoSty[Division]&lt;&gt;"")*(PptoSty[Division]&lt;&gt;"X")*(PptoSty[Project]=$B186)*(PptoSty[Vrs]=$D186)*(PptoSty[PiRow]=_xlfn.TEXTAFTER($H186,":"))*(PptoSty[PiColumn]=V$54),0)),SUM(IF((INDIRECT($B$3)=$B186)*(INDIRECT($C$3)=$D186)*((INDIRECT($E$3)="TOTS")+(INDIRECT($E$3)=$E186)),INDIRECT(V$3)))),_xlpm.y,SUM(_xlfn.CHOOSECOLS(_xlfn._xlws.FILTER(F_RT14[],(F_RT14[PrjId]=$B186)*(F_RT14[Vrs]=$D186)*(_xlfn.TEXTAFTER(F_RT14[ActGrp],":")=_xlfn.TEXTAFTER($H186,":")),"X"),MATCH("*"&amp;V$54,F_RT14[#Headers],0))),IF(AND(_xlpm.x=0,_xlpm.y&lt;&gt;0),-1,IF(AND(_xlpm.x&lt;&gt;0,_xlpm.y&lt;&gt;0),_xlpm.x,IF(AND(_xlpm.x-SUM(IF((INDIRECT($B$3)=$B186)*(INDIRECT($C$3)=$D186)*((INDIRECT($E$3)="TOTS")+(INDIRECT($E$3)=$E186)),INDIRECT(V$3)))&lt;&gt;0,_xlpm.y=0),-2,_xlpm.x)))),0))</f>
        <v>-1</v>
      </c>
      <c r="W186" s="199" cm="1">
        <f t="array" aca="1" ref="W186" ca="1">IF(OR($B186="",$B186="X",$D186="",$D186="X",$E186="",$E186="X"),0,IFERROR(_xlfn.LET(_xlpm.x,SUM(SUM(_xlfn._xlws.FILTER(VALUE(PptoSty[Sign]&amp;1)*(1/PptoSty[Division]),(PptoSty[Division]&lt;&gt;0)*(PptoSty[Division]&lt;&gt;"")*(PptoSty[Division]&lt;&gt;"X")*(PptoSty[Project]=$B186)*(PptoSty[Vrs]=$D186)*(PptoSty[PiRow]=_xlfn.TEXTAFTER($H186,":"))*(PptoSty[PiColumn]=W$54),0)),SUM(IF((INDIRECT($B$3)=$B186)*(INDIRECT($C$3)=$D186)*((INDIRECT($E$3)="TOTS")+(INDIRECT($E$3)=$E186)),INDIRECT(W$3)))),_xlpm.y,SUM(_xlfn.CHOOSECOLS(_xlfn._xlws.FILTER(F_RT14[],(F_RT14[PrjId]=$B186)*(F_RT14[Vrs]=$D186)*(_xlfn.TEXTAFTER(F_RT14[ActGrp],":")=_xlfn.TEXTAFTER($H186,":")),"X"),MATCH("*"&amp;W$54,F_RT14[#Headers],0))),IF(AND(_xlpm.x=0,_xlpm.y&lt;&gt;0),-1,IF(AND(_xlpm.x&lt;&gt;0,_xlpm.y&lt;&gt;0),_xlpm.x,IF(AND(_xlpm.x-SUM(IF((INDIRECT($B$3)=$B186)*(INDIRECT($C$3)=$D186)*((INDIRECT($E$3)="TOTS")+(INDIRECT($E$3)=$E186)),INDIRECT(W$3)))&lt;&gt;0,_xlpm.y=0),-2,_xlpm.x)))),0))</f>
        <v>-1</v>
      </c>
      <c r="X186" s="199" cm="1">
        <f t="array" aca="1" ref="X186" ca="1">IF(OR($B186="",$B186="X",$D186="",$D186="X",$E186="",$E186="X"),0,IFERROR(_xlfn.LET(_xlpm.x,SUM(SUM(_xlfn._xlws.FILTER(VALUE(PptoSty[Sign]&amp;1)*(1/PptoSty[Division]),(PptoSty[Division]&lt;&gt;0)*(PptoSty[Division]&lt;&gt;"")*(PptoSty[Division]&lt;&gt;"X")*(PptoSty[Project]=$B186)*(PptoSty[Vrs]=$D186)*(PptoSty[PiRow]=_xlfn.TEXTAFTER($H186,":"))*(PptoSty[PiColumn]=X$54),0)),SUM(IF((INDIRECT($B$3)=$B186)*(INDIRECT($C$3)=$D186)*((INDIRECT($E$3)="TOTS")+(INDIRECT($E$3)=$E186)),INDIRECT(X$3)))),_xlpm.y,SUM(_xlfn.CHOOSECOLS(_xlfn._xlws.FILTER(F_RT14[],(F_RT14[PrjId]=$B186)*(F_RT14[Vrs]=$D186)*(_xlfn.TEXTAFTER(F_RT14[ActGrp],":")=_xlfn.TEXTAFTER($H186,":")),"X"),MATCH("*"&amp;X$54,F_RT14[#Headers],0))),IF(AND(_xlpm.x=0,_xlpm.y&lt;&gt;0),-1,IF(AND(_xlpm.x&lt;&gt;0,_xlpm.y&lt;&gt;0),_xlpm.x,IF(AND(_xlpm.x-SUM(IF((INDIRECT($B$3)=$B186)*(INDIRECT($C$3)=$D186)*((INDIRECT($E$3)="TOTS")+(INDIRECT($E$3)=$E186)),INDIRECT(X$3)))&lt;&gt;0,_xlpm.y=0),-2,_xlpm.x)))),0))</f>
        <v>-1</v>
      </c>
      <c r="Y186" s="199" cm="1">
        <f t="array" aca="1" ref="Y186" ca="1">IF(OR($B186="",$B186="X",$D186="",$D186="X",$E186="",$E186="X"),0,IFERROR(_xlfn.LET(_xlpm.x,SUM(SUM(_xlfn._xlws.FILTER(VALUE(PptoSty[Sign]&amp;1)*(1/PptoSty[Division]),(PptoSty[Division]&lt;&gt;0)*(PptoSty[Division]&lt;&gt;"")*(PptoSty[Division]&lt;&gt;"X")*(PptoSty[Project]=$B186)*(PptoSty[Vrs]=$D186)*(PptoSty[PiRow]=_xlfn.TEXTAFTER($H186,":"))*(PptoSty[PiColumn]=Y$54),0)),SUM(IF((INDIRECT($B$3)=$B186)*(INDIRECT($C$3)=$D186)*((INDIRECT($E$3)="TOTS")+(INDIRECT($E$3)=$E186)),INDIRECT(Y$3)))),_xlpm.y,SUM(_xlfn.CHOOSECOLS(_xlfn._xlws.FILTER(F_RT14[],(F_RT14[PrjId]=$B186)*(F_RT14[Vrs]=$D186)*(_xlfn.TEXTAFTER(F_RT14[ActGrp],":")=_xlfn.TEXTAFTER($H186,":")),"X"),MATCH("*"&amp;Y$54,F_RT14[#Headers],0))),IF(AND(_xlpm.x=0,_xlpm.y&lt;&gt;0),-1,IF(AND(_xlpm.x&lt;&gt;0,_xlpm.y&lt;&gt;0),_xlpm.x,IF(AND(_xlpm.x-SUM(IF((INDIRECT($B$3)=$B186)*(INDIRECT($C$3)=$D186)*((INDIRECT($E$3)="TOTS")+(INDIRECT($E$3)=$E186)),INDIRECT(Y$3)))&lt;&gt;0,_xlpm.y=0),-2,_xlpm.x)))),0))</f>
        <v>0</v>
      </c>
      <c r="Z186" s="198" t="str">
        <f t="shared" ca="1" si="4"/>
        <v>Fback!B186:Y186</v>
      </c>
    </row>
    <row r="187" spans="2:26" ht="21" customHeight="1" outlineLevel="1">
      <c r="B187" s="128" t="str">
        <v>31200</v>
      </c>
      <c r="C187" s="128" t="str">
        <v>Sp</v>
      </c>
      <c r="D187" s="128">
        <v>0</v>
      </c>
      <c r="E187" s="128" t="str">
        <v>CELL</v>
      </c>
      <c r="F187" s="139" t="str">
        <v>SERRA</v>
      </c>
      <c r="G187" s="139" t="str">
        <v>CurPpto</v>
      </c>
      <c r="H187" s="139" t="str">
        <v>P018:PLATAFORMAS</v>
      </c>
      <c r="I187" s="199" cm="1">
        <f t="array" aca="1" ref="I187" ca="1">IF(OR($B187="",$B187="X",$D187="",$D187="X",$E187="",$E187="X"),0,IFERROR(_xlfn.LET(_xlpm.x,SUM(SUM(_xlfn._xlws.FILTER(VALUE(PptoSty[Sign]&amp;1)*(1/PptoSty[Division]),(PptoSty[Division]&lt;&gt;0)*(PptoSty[Division]&lt;&gt;"")*(PptoSty[Division]&lt;&gt;"X")*(PptoSty[Project]=$B187)*(PptoSty[Vrs]=$D187)*(PptoSty[PiRow]=_xlfn.TEXTAFTER($H187,":"))*(PptoSty[PiColumn]=I$54),0)),SUM(IF((INDIRECT($B$3)=$B187)*(INDIRECT($C$3)=$D187)*((INDIRECT($E$3)="TOTS")+(INDIRECT($E$3)=$E187)),INDIRECT(I$3)))),_xlpm.y,SUM(_xlfn.CHOOSECOLS(_xlfn._xlws.FILTER(F_RT14[],(F_RT14[PrjId]=$B187)*(F_RT14[Vrs]=$D187)*(_xlfn.TEXTAFTER(F_RT14[ActGrp],":")=_xlfn.TEXTAFTER($H187,":")),"X"),MATCH("*"&amp;I$54,F_RT14[#Headers],0))),IF(AND(_xlpm.x=0,_xlpm.y&lt;&gt;0),-1,IF(AND(_xlpm.x&lt;&gt;0,_xlpm.y&lt;&gt;0),_xlpm.x,IF(AND(_xlpm.x-SUM(IF((INDIRECT($B$3)=$B187)*(INDIRECT($C$3)=$D187)*((INDIRECT($E$3)="TOTS")+(INDIRECT($E$3)=$E187)),INDIRECT(I$3)))&lt;&gt;0,_xlpm.y=0),-2,_xlpm.x)))),0))</f>
        <v>0</v>
      </c>
      <c r="J187" s="199" cm="1">
        <f t="array" aca="1" ref="J187" ca="1">IF(OR($B187="",$B187="X",$D187="",$D187="X",$E187="",$E187="X"),0,IFERROR(_xlfn.LET(_xlpm.x,SUM(SUM(_xlfn._xlws.FILTER(VALUE(PptoSty[Sign]&amp;1)*(1/PptoSty[Division]),(PptoSty[Division]&lt;&gt;0)*(PptoSty[Division]&lt;&gt;"")*(PptoSty[Division]&lt;&gt;"X")*(PptoSty[Project]=$B187)*(PptoSty[Vrs]=$D187)*(PptoSty[PiRow]=_xlfn.TEXTAFTER($H187,":"))*(PptoSty[PiColumn]=J$54),0)),SUM(IF((INDIRECT($B$3)=$B187)*(INDIRECT($C$3)=$D187)*((INDIRECT($E$3)="TOTS")+(INDIRECT($E$3)=$E187)),INDIRECT(J$3)))),_xlpm.y,SUM(_xlfn.CHOOSECOLS(_xlfn._xlws.FILTER(F_RT14[],(F_RT14[PrjId]=$B187)*(F_RT14[Vrs]=$D187)*(_xlfn.TEXTAFTER(F_RT14[ActGrp],":")=_xlfn.TEXTAFTER($H187,":")),"X"),MATCH("*"&amp;J$54,F_RT14[#Headers],0))),IF(AND(_xlpm.x=0,_xlpm.y&lt;&gt;0),-1,IF(AND(_xlpm.x&lt;&gt;0,_xlpm.y&lt;&gt;0),_xlpm.x,IF(AND(_xlpm.x-SUM(IF((INDIRECT($B$3)=$B187)*(INDIRECT($C$3)=$D187)*((INDIRECT($E$3)="TOTS")+(INDIRECT($E$3)=$E187)),INDIRECT(J$3)))&lt;&gt;0,_xlpm.y=0),-2,_xlpm.x)))),0))</f>
        <v>0</v>
      </c>
      <c r="K187" s="199" cm="1">
        <f t="array" aca="1" ref="K187" ca="1">IF(OR($B187="",$B187="X",$D187="",$D187="X",$E187="",$E187="X"),0,IFERROR(_xlfn.LET(_xlpm.x,SUM(SUM(_xlfn._xlws.FILTER(VALUE(PptoSty[Sign]&amp;1)*(1/PptoSty[Division]),(PptoSty[Division]&lt;&gt;0)*(PptoSty[Division]&lt;&gt;"")*(PptoSty[Division]&lt;&gt;"X")*(PptoSty[Project]=$B187)*(PptoSty[Vrs]=$D187)*(PptoSty[PiRow]=_xlfn.TEXTAFTER($H187,":"))*(PptoSty[PiColumn]=K$54),0)),SUM(IF((INDIRECT($B$3)=$B187)*(INDIRECT($C$3)=$D187)*((INDIRECT($E$3)="TOTS")+(INDIRECT($E$3)=$E187)),INDIRECT(K$3)))),_xlpm.y,SUM(_xlfn.CHOOSECOLS(_xlfn._xlws.FILTER(F_RT14[],(F_RT14[PrjId]=$B187)*(F_RT14[Vrs]=$D187)*(_xlfn.TEXTAFTER(F_RT14[ActGrp],":")=_xlfn.TEXTAFTER($H187,":")),"X"),MATCH("*"&amp;K$54,F_RT14[#Headers],0))),IF(AND(_xlpm.x=0,_xlpm.y&lt;&gt;0),-1,IF(AND(_xlpm.x&lt;&gt;0,_xlpm.y&lt;&gt;0),_xlpm.x,IF(AND(_xlpm.x-SUM(IF((INDIRECT($B$3)=$B187)*(INDIRECT($C$3)=$D187)*((INDIRECT($E$3)="TOTS")+(INDIRECT($E$3)=$E187)),INDIRECT(K$3)))&lt;&gt;0,_xlpm.y=0),-2,_xlpm.x)))),0))</f>
        <v>-1</v>
      </c>
      <c r="L187" s="199" cm="1">
        <f t="array" aca="1" ref="L187" ca="1">IF(OR($B187="",$B187="X",$D187="",$D187="X",$E187="",$E187="X"),0,IFERROR(_xlfn.LET(_xlpm.x,SUM(SUM(_xlfn._xlws.FILTER(VALUE(PptoSty[Sign]&amp;1)*(1/PptoSty[Division]),(PptoSty[Division]&lt;&gt;0)*(PptoSty[Division]&lt;&gt;"")*(PptoSty[Division]&lt;&gt;"X")*(PptoSty[Project]=$B187)*(PptoSty[Vrs]=$D187)*(PptoSty[PiRow]=_xlfn.TEXTAFTER($H187,":"))*(PptoSty[PiColumn]=L$54),0)),SUM(IF((INDIRECT($B$3)=$B187)*(INDIRECT($C$3)=$D187)*((INDIRECT($E$3)="TOTS")+(INDIRECT($E$3)=$E187)),INDIRECT(L$3)))),_xlpm.y,SUM(_xlfn.CHOOSECOLS(_xlfn._xlws.FILTER(F_RT14[],(F_RT14[PrjId]=$B187)*(F_RT14[Vrs]=$D187)*(_xlfn.TEXTAFTER(F_RT14[ActGrp],":")=_xlfn.TEXTAFTER($H187,":")),"X"),MATCH("*"&amp;L$54,F_RT14[#Headers],0))),IF(AND(_xlpm.x=0,_xlpm.y&lt;&gt;0),-1,IF(AND(_xlpm.x&lt;&gt;0,_xlpm.y&lt;&gt;0),_xlpm.x,IF(AND(_xlpm.x-SUM(IF((INDIRECT($B$3)=$B187)*(INDIRECT($C$3)=$D187)*((INDIRECT($E$3)="TOTS")+(INDIRECT($E$3)=$E187)),INDIRECT(L$3)))&lt;&gt;0,_xlpm.y=0),-2,_xlpm.x)))),0))</f>
        <v>0</v>
      </c>
      <c r="M187" s="199" cm="1">
        <f t="array" aca="1" ref="M187" ca="1">IF(OR($B187="",$B187="X",$D187="",$D187="X",$E187="",$E187="X"),0,IFERROR(_xlfn.LET(_xlpm.x,SUM(SUM(_xlfn._xlws.FILTER(VALUE(PptoSty[Sign]&amp;1)*(1/PptoSty[Division]),(PptoSty[Division]&lt;&gt;0)*(PptoSty[Division]&lt;&gt;"")*(PptoSty[Division]&lt;&gt;"X")*(PptoSty[Project]=$B187)*(PptoSty[Vrs]=$D187)*(PptoSty[PiRow]=_xlfn.TEXTAFTER($H187,":"))*(PptoSty[PiColumn]=M$54),0)),SUM(IF((INDIRECT($B$3)=$B187)*(INDIRECT($C$3)=$D187)*((INDIRECT($E$3)="TOTS")+(INDIRECT($E$3)=$E187)),INDIRECT(M$3)))),_xlpm.y,SUM(_xlfn.CHOOSECOLS(_xlfn._xlws.FILTER(F_RT14[],(F_RT14[PrjId]=$B187)*(F_RT14[Vrs]=$D187)*(_xlfn.TEXTAFTER(F_RT14[ActGrp],":")=_xlfn.TEXTAFTER($H187,":")),"X"),MATCH("*"&amp;M$54,F_RT14[#Headers],0))),IF(AND(_xlpm.x=0,_xlpm.y&lt;&gt;0),-1,IF(AND(_xlpm.x&lt;&gt;0,_xlpm.y&lt;&gt;0),_xlpm.x,IF(AND(_xlpm.x-SUM(IF((INDIRECT($B$3)=$B187)*(INDIRECT($C$3)=$D187)*((INDIRECT($E$3)="TOTS")+(INDIRECT($E$3)=$E187)),INDIRECT(M$3)))&lt;&gt;0,_xlpm.y=0),-2,_xlpm.x)))),0))</f>
        <v>0</v>
      </c>
      <c r="N187" s="199" cm="1">
        <f t="array" aca="1" ref="N187" ca="1">IF(OR($B187="",$B187="X",$D187="",$D187="X",$E187="",$E187="X"),0,IFERROR(_xlfn.LET(_xlpm.x,SUM(SUM(_xlfn._xlws.FILTER(VALUE(PptoSty[Sign]&amp;1)*(1/PptoSty[Division]),(PptoSty[Division]&lt;&gt;0)*(PptoSty[Division]&lt;&gt;"")*(PptoSty[Division]&lt;&gt;"X")*(PptoSty[Project]=$B187)*(PptoSty[Vrs]=$D187)*(PptoSty[PiRow]=_xlfn.TEXTAFTER($H187,":"))*(PptoSty[PiColumn]=N$54),0)),SUM(IF((INDIRECT($B$3)=$B187)*(INDIRECT($C$3)=$D187)*((INDIRECT($E$3)="TOTS")+(INDIRECT($E$3)=$E187)),INDIRECT(N$3)))),_xlpm.y,SUM(_xlfn.CHOOSECOLS(_xlfn._xlws.FILTER(F_RT14[],(F_RT14[PrjId]=$B187)*(F_RT14[Vrs]=$D187)*(_xlfn.TEXTAFTER(F_RT14[ActGrp],":")=_xlfn.TEXTAFTER($H187,":")),"X"),MATCH("*"&amp;N$54,F_RT14[#Headers],0))),IF(AND(_xlpm.x=0,_xlpm.y&lt;&gt;0),-1,IF(AND(_xlpm.x&lt;&gt;0,_xlpm.y&lt;&gt;0),_xlpm.x,IF(AND(_xlpm.x-SUM(IF((INDIRECT($B$3)=$B187)*(INDIRECT($C$3)=$D187)*((INDIRECT($E$3)="TOTS")+(INDIRECT($E$3)=$E187)),INDIRECT(N$3)))&lt;&gt;0,_xlpm.y=0),-2,_xlpm.x)))),0))</f>
        <v>0</v>
      </c>
      <c r="O187" s="199" cm="1">
        <f t="array" aca="1" ref="O187" ca="1">IF(OR($B187="",$B187="X",$D187="",$D187="X",$E187="",$E187="X"),0,IFERROR(_xlfn.LET(_xlpm.x,SUM(SUM(_xlfn._xlws.FILTER(VALUE(PptoSty[Sign]&amp;1)*(1/PptoSty[Division]),(PptoSty[Division]&lt;&gt;0)*(PptoSty[Division]&lt;&gt;"")*(PptoSty[Division]&lt;&gt;"X")*(PptoSty[Project]=$B187)*(PptoSty[Vrs]=$D187)*(PptoSty[PiRow]=_xlfn.TEXTAFTER($H187,":"))*(PptoSty[PiColumn]=O$54),0)),SUM(IF((INDIRECT($B$3)=$B187)*(INDIRECT($C$3)=$D187)*((INDIRECT($E$3)="TOTS")+(INDIRECT($E$3)=$E187)),INDIRECT(O$3)))),_xlpm.y,SUM(_xlfn.CHOOSECOLS(_xlfn._xlws.FILTER(F_RT14[],(F_RT14[PrjId]=$B187)*(F_RT14[Vrs]=$D187)*(_xlfn.TEXTAFTER(F_RT14[ActGrp],":")=_xlfn.TEXTAFTER($H187,":")),"X"),MATCH("*"&amp;O$54,F_RT14[#Headers],0))),IF(AND(_xlpm.x=0,_xlpm.y&lt;&gt;0),-1,IF(AND(_xlpm.x&lt;&gt;0,_xlpm.y&lt;&gt;0),_xlpm.x,IF(AND(_xlpm.x-SUM(IF((INDIRECT($B$3)=$B187)*(INDIRECT($C$3)=$D187)*((INDIRECT($E$3)="TOTS")+(INDIRECT($E$3)=$E187)),INDIRECT(O$3)))&lt;&gt;0,_xlpm.y=0),-2,_xlpm.x)))),0))</f>
        <v>0</v>
      </c>
      <c r="P187" s="199" cm="1">
        <f t="array" aca="1" ref="P187" ca="1">IF(OR($B187="",$B187="X",$D187="",$D187="X",$E187="",$E187="X"),0,IFERROR(_xlfn.LET(_xlpm.x,SUM(SUM(_xlfn._xlws.FILTER(VALUE(PptoSty[Sign]&amp;1)*(1/PptoSty[Division]),(PptoSty[Division]&lt;&gt;0)*(PptoSty[Division]&lt;&gt;"")*(PptoSty[Division]&lt;&gt;"X")*(PptoSty[Project]=$B187)*(PptoSty[Vrs]=$D187)*(PptoSty[PiRow]=_xlfn.TEXTAFTER($H187,":"))*(PptoSty[PiColumn]=P$54),0)),SUM(IF((INDIRECT($B$3)=$B187)*(INDIRECT($C$3)=$D187)*((INDIRECT($E$3)="TOTS")+(INDIRECT($E$3)=$E187)),INDIRECT(P$3)))),_xlpm.y,SUM(_xlfn.CHOOSECOLS(_xlfn._xlws.FILTER(F_RT14[],(F_RT14[PrjId]=$B187)*(F_RT14[Vrs]=$D187)*(_xlfn.TEXTAFTER(F_RT14[ActGrp],":")=_xlfn.TEXTAFTER($H187,":")),"X"),MATCH("*"&amp;P$54,F_RT14[#Headers],0))),IF(AND(_xlpm.x=0,_xlpm.y&lt;&gt;0),-1,IF(AND(_xlpm.x&lt;&gt;0,_xlpm.y&lt;&gt;0),_xlpm.x,IF(AND(_xlpm.x-SUM(IF((INDIRECT($B$3)=$B187)*(INDIRECT($C$3)=$D187)*((INDIRECT($E$3)="TOTS")+(INDIRECT($E$3)=$E187)),INDIRECT(P$3)))&lt;&gt;0,_xlpm.y=0),-2,_xlpm.x)))),0))</f>
        <v>-1</v>
      </c>
      <c r="Q187" s="199" cm="1">
        <f t="array" aca="1" ref="Q187" ca="1">IF(OR($B187="",$B187="X",$D187="",$D187="X",$E187="",$E187="X"),0,IFERROR(_xlfn.LET(_xlpm.x,SUM(SUM(_xlfn._xlws.FILTER(VALUE(PptoSty[Sign]&amp;1)*(1/PptoSty[Division]),(PptoSty[Division]&lt;&gt;0)*(PptoSty[Division]&lt;&gt;"")*(PptoSty[Division]&lt;&gt;"X")*(PptoSty[Project]=$B187)*(PptoSty[Vrs]=$D187)*(PptoSty[PiRow]=_xlfn.TEXTAFTER($H187,":"))*(PptoSty[PiColumn]=Q$54),0)),SUM(IF((INDIRECT($B$3)=$B187)*(INDIRECT($C$3)=$D187)*((INDIRECT($E$3)="TOTS")+(INDIRECT($E$3)=$E187)),INDIRECT(Q$3)))),_xlpm.y,SUM(_xlfn.CHOOSECOLS(_xlfn._xlws.FILTER(F_RT14[],(F_RT14[PrjId]=$B187)*(F_RT14[Vrs]=$D187)*(_xlfn.TEXTAFTER(F_RT14[ActGrp],":")=_xlfn.TEXTAFTER($H187,":")),"X"),MATCH("*"&amp;Q$54,F_RT14[#Headers],0))),IF(AND(_xlpm.x=0,_xlpm.y&lt;&gt;0),-1,IF(AND(_xlpm.x&lt;&gt;0,_xlpm.y&lt;&gt;0),_xlpm.x,IF(AND(_xlpm.x-SUM(IF((INDIRECT($B$3)=$B187)*(INDIRECT($C$3)=$D187)*((INDIRECT($E$3)="TOTS")+(INDIRECT($E$3)=$E187)),INDIRECT(Q$3)))&lt;&gt;0,_xlpm.y=0),-2,_xlpm.x)))),0))</f>
        <v>-1</v>
      </c>
      <c r="R187" s="199" cm="1">
        <f t="array" aca="1" ref="R187" ca="1">IF(OR($B187="",$B187="X",$D187="",$D187="X",$E187="",$E187="X"),0,IFERROR(_xlfn.LET(_xlpm.x,SUM(SUM(_xlfn._xlws.FILTER(VALUE(PptoSty[Sign]&amp;1)*(1/PptoSty[Division]),(PptoSty[Division]&lt;&gt;0)*(PptoSty[Division]&lt;&gt;"")*(PptoSty[Division]&lt;&gt;"X")*(PptoSty[Project]=$B187)*(PptoSty[Vrs]=$D187)*(PptoSty[PiRow]=_xlfn.TEXTAFTER($H187,":"))*(PptoSty[PiColumn]=R$54),0)),SUM(IF((INDIRECT($B$3)=$B187)*(INDIRECT($C$3)=$D187)*((INDIRECT($E$3)="TOTS")+(INDIRECT($E$3)=$E187)),INDIRECT(R$3)))),_xlpm.y,SUM(_xlfn.CHOOSECOLS(_xlfn._xlws.FILTER(F_RT14[],(F_RT14[PrjId]=$B187)*(F_RT14[Vrs]=$D187)*(_xlfn.TEXTAFTER(F_RT14[ActGrp],":")=_xlfn.TEXTAFTER($H187,":")),"X"),MATCH("*"&amp;R$54,F_RT14[#Headers],0))),IF(AND(_xlpm.x=0,_xlpm.y&lt;&gt;0),-1,IF(AND(_xlpm.x&lt;&gt;0,_xlpm.y&lt;&gt;0),_xlpm.x,IF(AND(_xlpm.x-SUM(IF((INDIRECT($B$3)=$B187)*(INDIRECT($C$3)=$D187)*((INDIRECT($E$3)="TOTS")+(INDIRECT($E$3)=$E187)),INDIRECT(R$3)))&lt;&gt;0,_xlpm.y=0),-2,_xlpm.x)))),0))</f>
        <v>0</v>
      </c>
      <c r="S187" s="199" cm="1">
        <f t="array" aca="1" ref="S187" ca="1">IF(OR($B187="",$B187="X",$D187="",$D187="X",$E187="",$E187="X"),0,IFERROR(_xlfn.LET(_xlpm.x,SUM(SUM(_xlfn._xlws.FILTER(VALUE(PptoSty[Sign]&amp;1)*(1/PptoSty[Division]),(PptoSty[Division]&lt;&gt;0)*(PptoSty[Division]&lt;&gt;"")*(PptoSty[Division]&lt;&gt;"X")*(PptoSty[Project]=$B187)*(PptoSty[Vrs]=$D187)*(PptoSty[PiRow]=_xlfn.TEXTAFTER($H187,":"))*(PptoSty[PiColumn]=S$54),0)),SUM(IF((INDIRECT($B$3)=$B187)*(INDIRECT($C$3)=$D187)*((INDIRECT($E$3)="TOTS")+(INDIRECT($E$3)=$E187)),INDIRECT(S$3)))),_xlpm.y,SUM(_xlfn.CHOOSECOLS(_xlfn._xlws.FILTER(F_RT14[],(F_RT14[PrjId]=$B187)*(F_RT14[Vrs]=$D187)*(_xlfn.TEXTAFTER(F_RT14[ActGrp],":")=_xlfn.TEXTAFTER($H187,":")),"X"),MATCH("*"&amp;S$54,F_RT14[#Headers],0))),IF(AND(_xlpm.x=0,_xlpm.y&lt;&gt;0),-1,IF(AND(_xlpm.x&lt;&gt;0,_xlpm.y&lt;&gt;0),_xlpm.x,IF(AND(_xlpm.x-SUM(IF((INDIRECT($B$3)=$B187)*(INDIRECT($C$3)=$D187)*((INDIRECT($E$3)="TOTS")+(INDIRECT($E$3)=$E187)),INDIRECT(S$3)))&lt;&gt;0,_xlpm.y=0),-2,_xlpm.x)))),0))</f>
        <v>0</v>
      </c>
      <c r="T187" s="199" cm="1">
        <f t="array" aca="1" ref="T187" ca="1">IF(OR($B187="",$B187="X",$D187="",$D187="X",$E187="",$E187="X"),0,IFERROR(_xlfn.LET(_xlpm.x,SUM(SUM(_xlfn._xlws.FILTER(VALUE(PptoSty[Sign]&amp;1)*(1/PptoSty[Division]),(PptoSty[Division]&lt;&gt;0)*(PptoSty[Division]&lt;&gt;"")*(PptoSty[Division]&lt;&gt;"X")*(PptoSty[Project]=$B187)*(PptoSty[Vrs]=$D187)*(PptoSty[PiRow]=_xlfn.TEXTAFTER($H187,":"))*(PptoSty[PiColumn]=T$54),0)),SUM(IF((INDIRECT($B$3)=$B187)*(INDIRECT($C$3)=$D187)*((INDIRECT($E$3)="TOTS")+(INDIRECT($E$3)=$E187)),INDIRECT(T$3)))),_xlpm.y,SUM(_xlfn.CHOOSECOLS(_xlfn._xlws.FILTER(F_RT14[],(F_RT14[PrjId]=$B187)*(F_RT14[Vrs]=$D187)*(_xlfn.TEXTAFTER(F_RT14[ActGrp],":")=_xlfn.TEXTAFTER($H187,":")),"X"),MATCH("*"&amp;T$54,F_RT14[#Headers],0))),IF(AND(_xlpm.x=0,_xlpm.y&lt;&gt;0),-1,IF(AND(_xlpm.x&lt;&gt;0,_xlpm.y&lt;&gt;0),_xlpm.x,IF(AND(_xlpm.x-SUM(IF((INDIRECT($B$3)=$B187)*(INDIRECT($C$3)=$D187)*((INDIRECT($E$3)="TOTS")+(INDIRECT($E$3)=$E187)),INDIRECT(T$3)))&lt;&gt;0,_xlpm.y=0),-2,_xlpm.x)))),0))</f>
        <v>0</v>
      </c>
      <c r="U187" s="199" cm="1">
        <f t="array" aca="1" ref="U187" ca="1">IF(OR($B187="",$B187="X",$D187="",$D187="X",$E187="",$E187="X"),0,IFERROR(_xlfn.LET(_xlpm.x,SUM(SUM(_xlfn._xlws.FILTER(VALUE(PptoSty[Sign]&amp;1)*(1/PptoSty[Division]),(PptoSty[Division]&lt;&gt;0)*(PptoSty[Division]&lt;&gt;"")*(PptoSty[Division]&lt;&gt;"X")*(PptoSty[Project]=$B187)*(PptoSty[Vrs]=$D187)*(PptoSty[PiRow]=_xlfn.TEXTAFTER($H187,":"))*(PptoSty[PiColumn]=U$54),0)),SUM(IF((INDIRECT($B$3)=$B187)*(INDIRECT($C$3)=$D187)*((INDIRECT($E$3)="TOTS")+(INDIRECT($E$3)=$E187)),INDIRECT(U$3)))),_xlpm.y,SUM(_xlfn.CHOOSECOLS(_xlfn._xlws.FILTER(F_RT14[],(F_RT14[PrjId]=$B187)*(F_RT14[Vrs]=$D187)*(_xlfn.TEXTAFTER(F_RT14[ActGrp],":")=_xlfn.TEXTAFTER($H187,":")),"X"),MATCH("*"&amp;U$54,F_RT14[#Headers],0))),IF(AND(_xlpm.x=0,_xlpm.y&lt;&gt;0),-1,IF(AND(_xlpm.x&lt;&gt;0,_xlpm.y&lt;&gt;0),_xlpm.x,IF(AND(_xlpm.x-SUM(IF((INDIRECT($B$3)=$B187)*(INDIRECT($C$3)=$D187)*((INDIRECT($E$3)="TOTS")+(INDIRECT($E$3)=$E187)),INDIRECT(U$3)))&lt;&gt;0,_xlpm.y=0),-2,_xlpm.x)))),0))</f>
        <v>0</v>
      </c>
      <c r="V187" s="199" cm="1">
        <f t="array" aca="1" ref="V187" ca="1">IF(OR($B187="",$B187="X",$D187="",$D187="X",$E187="",$E187="X"),0,IFERROR(_xlfn.LET(_xlpm.x,SUM(SUM(_xlfn._xlws.FILTER(VALUE(PptoSty[Sign]&amp;1)*(1/PptoSty[Division]),(PptoSty[Division]&lt;&gt;0)*(PptoSty[Division]&lt;&gt;"")*(PptoSty[Division]&lt;&gt;"X")*(PptoSty[Project]=$B187)*(PptoSty[Vrs]=$D187)*(PptoSty[PiRow]=_xlfn.TEXTAFTER($H187,":"))*(PptoSty[PiColumn]=V$54),0)),SUM(IF((INDIRECT($B$3)=$B187)*(INDIRECT($C$3)=$D187)*((INDIRECT($E$3)="TOTS")+(INDIRECT($E$3)=$E187)),INDIRECT(V$3)))),_xlpm.y,SUM(_xlfn.CHOOSECOLS(_xlfn._xlws.FILTER(F_RT14[],(F_RT14[PrjId]=$B187)*(F_RT14[Vrs]=$D187)*(_xlfn.TEXTAFTER(F_RT14[ActGrp],":")=_xlfn.TEXTAFTER($H187,":")),"X"),MATCH("*"&amp;V$54,F_RT14[#Headers],0))),IF(AND(_xlpm.x=0,_xlpm.y&lt;&gt;0),-1,IF(AND(_xlpm.x&lt;&gt;0,_xlpm.y&lt;&gt;0),_xlpm.x,IF(AND(_xlpm.x-SUM(IF((INDIRECT($B$3)=$B187)*(INDIRECT($C$3)=$D187)*((INDIRECT($E$3)="TOTS")+(INDIRECT($E$3)=$E187)),INDIRECT(V$3)))&lt;&gt;0,_xlpm.y=0),-2,_xlpm.x)))),0))</f>
        <v>0</v>
      </c>
      <c r="W187" s="199" cm="1">
        <f t="array" aca="1" ref="W187" ca="1">IF(OR($B187="",$B187="X",$D187="",$D187="X",$E187="",$E187="X"),0,IFERROR(_xlfn.LET(_xlpm.x,SUM(SUM(_xlfn._xlws.FILTER(VALUE(PptoSty[Sign]&amp;1)*(1/PptoSty[Division]),(PptoSty[Division]&lt;&gt;0)*(PptoSty[Division]&lt;&gt;"")*(PptoSty[Division]&lt;&gt;"X")*(PptoSty[Project]=$B187)*(PptoSty[Vrs]=$D187)*(PptoSty[PiRow]=_xlfn.TEXTAFTER($H187,":"))*(PptoSty[PiColumn]=W$54),0)),SUM(IF((INDIRECT($B$3)=$B187)*(INDIRECT($C$3)=$D187)*((INDIRECT($E$3)="TOTS")+(INDIRECT($E$3)=$E187)),INDIRECT(W$3)))),_xlpm.y,SUM(_xlfn.CHOOSECOLS(_xlfn._xlws.FILTER(F_RT14[],(F_RT14[PrjId]=$B187)*(F_RT14[Vrs]=$D187)*(_xlfn.TEXTAFTER(F_RT14[ActGrp],":")=_xlfn.TEXTAFTER($H187,":")),"X"),MATCH("*"&amp;W$54,F_RT14[#Headers],0))),IF(AND(_xlpm.x=0,_xlpm.y&lt;&gt;0),-1,IF(AND(_xlpm.x&lt;&gt;0,_xlpm.y&lt;&gt;0),_xlpm.x,IF(AND(_xlpm.x-SUM(IF((INDIRECT($B$3)=$B187)*(INDIRECT($C$3)=$D187)*((INDIRECT($E$3)="TOTS")+(INDIRECT($E$3)=$E187)),INDIRECT(W$3)))&lt;&gt;0,_xlpm.y=0),-2,_xlpm.x)))),0))</f>
        <v>0</v>
      </c>
      <c r="X187" s="199" cm="1">
        <f t="array" aca="1" ref="X187" ca="1">IF(OR($B187="",$B187="X",$D187="",$D187="X",$E187="",$E187="X"),0,IFERROR(_xlfn.LET(_xlpm.x,SUM(SUM(_xlfn._xlws.FILTER(VALUE(PptoSty[Sign]&amp;1)*(1/PptoSty[Division]),(PptoSty[Division]&lt;&gt;0)*(PptoSty[Division]&lt;&gt;"")*(PptoSty[Division]&lt;&gt;"X")*(PptoSty[Project]=$B187)*(PptoSty[Vrs]=$D187)*(PptoSty[PiRow]=_xlfn.TEXTAFTER($H187,":"))*(PptoSty[PiColumn]=X$54),0)),SUM(IF((INDIRECT($B$3)=$B187)*(INDIRECT($C$3)=$D187)*((INDIRECT($E$3)="TOTS")+(INDIRECT($E$3)=$E187)),INDIRECT(X$3)))),_xlpm.y,SUM(_xlfn.CHOOSECOLS(_xlfn._xlws.FILTER(F_RT14[],(F_RT14[PrjId]=$B187)*(F_RT14[Vrs]=$D187)*(_xlfn.TEXTAFTER(F_RT14[ActGrp],":")=_xlfn.TEXTAFTER($H187,":")),"X"),MATCH("*"&amp;X$54,F_RT14[#Headers],0))),IF(AND(_xlpm.x=0,_xlpm.y&lt;&gt;0),-1,IF(AND(_xlpm.x&lt;&gt;0,_xlpm.y&lt;&gt;0),_xlpm.x,IF(AND(_xlpm.x-SUM(IF((INDIRECT($B$3)=$B187)*(INDIRECT($C$3)=$D187)*((INDIRECT($E$3)="TOTS")+(INDIRECT($E$3)=$E187)),INDIRECT(X$3)))&lt;&gt;0,_xlpm.y=0),-2,_xlpm.x)))),0))</f>
        <v>0</v>
      </c>
      <c r="Y187" s="199" cm="1">
        <f t="array" aca="1" ref="Y187" ca="1">IF(OR($B187="",$B187="X",$D187="",$D187="X",$E187="",$E187="X"),0,IFERROR(_xlfn.LET(_xlpm.x,SUM(SUM(_xlfn._xlws.FILTER(VALUE(PptoSty[Sign]&amp;1)*(1/PptoSty[Division]),(PptoSty[Division]&lt;&gt;0)*(PptoSty[Division]&lt;&gt;"")*(PptoSty[Division]&lt;&gt;"X")*(PptoSty[Project]=$B187)*(PptoSty[Vrs]=$D187)*(PptoSty[PiRow]=_xlfn.TEXTAFTER($H187,":"))*(PptoSty[PiColumn]=Y$54),0)),SUM(IF((INDIRECT($B$3)=$B187)*(INDIRECT($C$3)=$D187)*((INDIRECT($E$3)="TOTS")+(INDIRECT($E$3)=$E187)),INDIRECT(Y$3)))),_xlpm.y,SUM(_xlfn.CHOOSECOLS(_xlfn._xlws.FILTER(F_RT14[],(F_RT14[PrjId]=$B187)*(F_RT14[Vrs]=$D187)*(_xlfn.TEXTAFTER(F_RT14[ActGrp],":")=_xlfn.TEXTAFTER($H187,":")),"X"),MATCH("*"&amp;Y$54,F_RT14[#Headers],0))),IF(AND(_xlpm.x=0,_xlpm.y&lt;&gt;0),-1,IF(AND(_xlpm.x&lt;&gt;0,_xlpm.y&lt;&gt;0),_xlpm.x,IF(AND(_xlpm.x-SUM(IF((INDIRECT($B$3)=$B187)*(INDIRECT($C$3)=$D187)*((INDIRECT($E$3)="TOTS")+(INDIRECT($E$3)=$E187)),INDIRECT(Y$3)))&lt;&gt;0,_xlpm.y=0),-2,_xlpm.x)))),0))</f>
        <v>0</v>
      </c>
      <c r="Z187" s="198" t="str">
        <f t="shared" ca="1" si="4"/>
        <v>Fback!B187:Y187</v>
      </c>
    </row>
    <row r="188" spans="2:26" ht="21" customHeight="1" outlineLevel="1">
      <c r="B188" s="128" t="str">
        <v>31200</v>
      </c>
      <c r="C188" s="128" t="str">
        <v>Sp</v>
      </c>
      <c r="D188" s="128">
        <v>0</v>
      </c>
      <c r="E188" s="128" t="str">
        <v>CELL</v>
      </c>
      <c r="F188" s="139" t="str">
        <v>SERRA</v>
      </c>
      <c r="G188" s="139" t="str">
        <v>CurPpto</v>
      </c>
      <c r="H188" s="139" t="str">
        <v>P019:ESCUADRAS ACOPLAMIENTO ÚTILES</v>
      </c>
      <c r="I188" s="199" cm="1">
        <f t="array" aca="1" ref="I188" ca="1">IF(OR($B188="",$B188="X",$D188="",$D188="X",$E188="",$E188="X"),0,IFERROR(_xlfn.LET(_xlpm.x,SUM(SUM(_xlfn._xlws.FILTER(VALUE(PptoSty[Sign]&amp;1)*(1/PptoSty[Division]),(PptoSty[Division]&lt;&gt;0)*(PptoSty[Division]&lt;&gt;"")*(PptoSty[Division]&lt;&gt;"X")*(PptoSty[Project]=$B188)*(PptoSty[Vrs]=$D188)*(PptoSty[PiRow]=_xlfn.TEXTAFTER($H188,":"))*(PptoSty[PiColumn]=I$54),0)),SUM(IF((INDIRECT($B$3)=$B188)*(INDIRECT($C$3)=$D188)*((INDIRECT($E$3)="TOTS")+(INDIRECT($E$3)=$E188)),INDIRECT(I$3)))),_xlpm.y,SUM(_xlfn.CHOOSECOLS(_xlfn._xlws.FILTER(F_RT14[],(F_RT14[PrjId]=$B188)*(F_RT14[Vrs]=$D188)*(_xlfn.TEXTAFTER(F_RT14[ActGrp],":")=_xlfn.TEXTAFTER($H188,":")),"X"),MATCH("*"&amp;I$54,F_RT14[#Headers],0))),IF(AND(_xlpm.x=0,_xlpm.y&lt;&gt;0),-1,IF(AND(_xlpm.x&lt;&gt;0,_xlpm.y&lt;&gt;0),_xlpm.x,IF(AND(_xlpm.x-SUM(IF((INDIRECT($B$3)=$B188)*(INDIRECT($C$3)=$D188)*((INDIRECT($E$3)="TOTS")+(INDIRECT($E$3)=$E188)),INDIRECT(I$3)))&lt;&gt;0,_xlpm.y=0),-2,_xlpm.x)))),0))</f>
        <v>0</v>
      </c>
      <c r="J188" s="199" cm="1">
        <f t="array" aca="1" ref="J188" ca="1">IF(OR($B188="",$B188="X",$D188="",$D188="X",$E188="",$E188="X"),0,IFERROR(_xlfn.LET(_xlpm.x,SUM(SUM(_xlfn._xlws.FILTER(VALUE(PptoSty[Sign]&amp;1)*(1/PptoSty[Division]),(PptoSty[Division]&lt;&gt;0)*(PptoSty[Division]&lt;&gt;"")*(PptoSty[Division]&lt;&gt;"X")*(PptoSty[Project]=$B188)*(PptoSty[Vrs]=$D188)*(PptoSty[PiRow]=_xlfn.TEXTAFTER($H188,":"))*(PptoSty[PiColumn]=J$54),0)),SUM(IF((INDIRECT($B$3)=$B188)*(INDIRECT($C$3)=$D188)*((INDIRECT($E$3)="TOTS")+(INDIRECT($E$3)=$E188)),INDIRECT(J$3)))),_xlpm.y,SUM(_xlfn.CHOOSECOLS(_xlfn._xlws.FILTER(F_RT14[],(F_RT14[PrjId]=$B188)*(F_RT14[Vrs]=$D188)*(_xlfn.TEXTAFTER(F_RT14[ActGrp],":")=_xlfn.TEXTAFTER($H188,":")),"X"),MATCH("*"&amp;J$54,F_RT14[#Headers],0))),IF(AND(_xlpm.x=0,_xlpm.y&lt;&gt;0),-1,IF(AND(_xlpm.x&lt;&gt;0,_xlpm.y&lt;&gt;0),_xlpm.x,IF(AND(_xlpm.x-SUM(IF((INDIRECT($B$3)=$B188)*(INDIRECT($C$3)=$D188)*((INDIRECT($E$3)="TOTS")+(INDIRECT($E$3)=$E188)),INDIRECT(J$3)))&lt;&gt;0,_xlpm.y=0),-2,_xlpm.x)))),0))</f>
        <v>0</v>
      </c>
      <c r="K188" s="199" cm="1">
        <f t="array" aca="1" ref="K188" ca="1">IF(OR($B188="",$B188="X",$D188="",$D188="X",$E188="",$E188="X"),0,IFERROR(_xlfn.LET(_xlpm.x,SUM(SUM(_xlfn._xlws.FILTER(VALUE(PptoSty[Sign]&amp;1)*(1/PptoSty[Division]),(PptoSty[Division]&lt;&gt;0)*(PptoSty[Division]&lt;&gt;"")*(PptoSty[Division]&lt;&gt;"X")*(PptoSty[Project]=$B188)*(PptoSty[Vrs]=$D188)*(PptoSty[PiRow]=_xlfn.TEXTAFTER($H188,":"))*(PptoSty[PiColumn]=K$54),0)),SUM(IF((INDIRECT($B$3)=$B188)*(INDIRECT($C$3)=$D188)*((INDIRECT($E$3)="TOTS")+(INDIRECT($E$3)=$E188)),INDIRECT(K$3)))),_xlpm.y,SUM(_xlfn.CHOOSECOLS(_xlfn._xlws.FILTER(F_RT14[],(F_RT14[PrjId]=$B188)*(F_RT14[Vrs]=$D188)*(_xlfn.TEXTAFTER(F_RT14[ActGrp],":")=_xlfn.TEXTAFTER($H188,":")),"X"),MATCH("*"&amp;K$54,F_RT14[#Headers],0))),IF(AND(_xlpm.x=0,_xlpm.y&lt;&gt;0),-1,IF(AND(_xlpm.x&lt;&gt;0,_xlpm.y&lt;&gt;0),_xlpm.x,IF(AND(_xlpm.x-SUM(IF((INDIRECT($B$3)=$B188)*(INDIRECT($C$3)=$D188)*((INDIRECT($E$3)="TOTS")+(INDIRECT($E$3)=$E188)),INDIRECT(K$3)))&lt;&gt;0,_xlpm.y=0),-2,_xlpm.x)))),0))</f>
        <v>-1</v>
      </c>
      <c r="L188" s="199" cm="1">
        <f t="array" aca="1" ref="L188" ca="1">IF(OR($B188="",$B188="X",$D188="",$D188="X",$E188="",$E188="X"),0,IFERROR(_xlfn.LET(_xlpm.x,SUM(SUM(_xlfn._xlws.FILTER(VALUE(PptoSty[Sign]&amp;1)*(1/PptoSty[Division]),(PptoSty[Division]&lt;&gt;0)*(PptoSty[Division]&lt;&gt;"")*(PptoSty[Division]&lt;&gt;"X")*(PptoSty[Project]=$B188)*(PptoSty[Vrs]=$D188)*(PptoSty[PiRow]=_xlfn.TEXTAFTER($H188,":"))*(PptoSty[PiColumn]=L$54),0)),SUM(IF((INDIRECT($B$3)=$B188)*(INDIRECT($C$3)=$D188)*((INDIRECT($E$3)="TOTS")+(INDIRECT($E$3)=$E188)),INDIRECT(L$3)))),_xlpm.y,SUM(_xlfn.CHOOSECOLS(_xlfn._xlws.FILTER(F_RT14[],(F_RT14[PrjId]=$B188)*(F_RT14[Vrs]=$D188)*(_xlfn.TEXTAFTER(F_RT14[ActGrp],":")=_xlfn.TEXTAFTER($H188,":")),"X"),MATCH("*"&amp;L$54,F_RT14[#Headers],0))),IF(AND(_xlpm.x=0,_xlpm.y&lt;&gt;0),-1,IF(AND(_xlpm.x&lt;&gt;0,_xlpm.y&lt;&gt;0),_xlpm.x,IF(AND(_xlpm.x-SUM(IF((INDIRECT($B$3)=$B188)*(INDIRECT($C$3)=$D188)*((INDIRECT($E$3)="TOTS")+(INDIRECT($E$3)=$E188)),INDIRECT(L$3)))&lt;&gt;0,_xlpm.y=0),-2,_xlpm.x)))),0))</f>
        <v>0</v>
      </c>
      <c r="M188" s="199" cm="1">
        <f t="array" aca="1" ref="M188" ca="1">IF(OR($B188="",$B188="X",$D188="",$D188="X",$E188="",$E188="X"),0,IFERROR(_xlfn.LET(_xlpm.x,SUM(SUM(_xlfn._xlws.FILTER(VALUE(PptoSty[Sign]&amp;1)*(1/PptoSty[Division]),(PptoSty[Division]&lt;&gt;0)*(PptoSty[Division]&lt;&gt;"")*(PptoSty[Division]&lt;&gt;"X")*(PptoSty[Project]=$B188)*(PptoSty[Vrs]=$D188)*(PptoSty[PiRow]=_xlfn.TEXTAFTER($H188,":"))*(PptoSty[PiColumn]=M$54),0)),SUM(IF((INDIRECT($B$3)=$B188)*(INDIRECT($C$3)=$D188)*((INDIRECT($E$3)="TOTS")+(INDIRECT($E$3)=$E188)),INDIRECT(M$3)))),_xlpm.y,SUM(_xlfn.CHOOSECOLS(_xlfn._xlws.FILTER(F_RT14[],(F_RT14[PrjId]=$B188)*(F_RT14[Vrs]=$D188)*(_xlfn.TEXTAFTER(F_RT14[ActGrp],":")=_xlfn.TEXTAFTER($H188,":")),"X"),MATCH("*"&amp;M$54,F_RT14[#Headers],0))),IF(AND(_xlpm.x=0,_xlpm.y&lt;&gt;0),-1,IF(AND(_xlpm.x&lt;&gt;0,_xlpm.y&lt;&gt;0),_xlpm.x,IF(AND(_xlpm.x-SUM(IF((INDIRECT($B$3)=$B188)*(INDIRECT($C$3)=$D188)*((INDIRECT($E$3)="TOTS")+(INDIRECT($E$3)=$E188)),INDIRECT(M$3)))&lt;&gt;0,_xlpm.y=0),-2,_xlpm.x)))),0))</f>
        <v>0</v>
      </c>
      <c r="N188" s="199" cm="1">
        <f t="array" aca="1" ref="N188" ca="1">IF(OR($B188="",$B188="X",$D188="",$D188="X",$E188="",$E188="X"),0,IFERROR(_xlfn.LET(_xlpm.x,SUM(SUM(_xlfn._xlws.FILTER(VALUE(PptoSty[Sign]&amp;1)*(1/PptoSty[Division]),(PptoSty[Division]&lt;&gt;0)*(PptoSty[Division]&lt;&gt;"")*(PptoSty[Division]&lt;&gt;"X")*(PptoSty[Project]=$B188)*(PptoSty[Vrs]=$D188)*(PptoSty[PiRow]=_xlfn.TEXTAFTER($H188,":"))*(PptoSty[PiColumn]=N$54),0)),SUM(IF((INDIRECT($B$3)=$B188)*(INDIRECT($C$3)=$D188)*((INDIRECT($E$3)="TOTS")+(INDIRECT($E$3)=$E188)),INDIRECT(N$3)))),_xlpm.y,SUM(_xlfn.CHOOSECOLS(_xlfn._xlws.FILTER(F_RT14[],(F_RT14[PrjId]=$B188)*(F_RT14[Vrs]=$D188)*(_xlfn.TEXTAFTER(F_RT14[ActGrp],":")=_xlfn.TEXTAFTER($H188,":")),"X"),MATCH("*"&amp;N$54,F_RT14[#Headers],0))),IF(AND(_xlpm.x=0,_xlpm.y&lt;&gt;0),-1,IF(AND(_xlpm.x&lt;&gt;0,_xlpm.y&lt;&gt;0),_xlpm.x,IF(AND(_xlpm.x-SUM(IF((INDIRECT($B$3)=$B188)*(INDIRECT($C$3)=$D188)*((INDIRECT($E$3)="TOTS")+(INDIRECT($E$3)=$E188)),INDIRECT(N$3)))&lt;&gt;0,_xlpm.y=0),-2,_xlpm.x)))),0))</f>
        <v>0</v>
      </c>
      <c r="O188" s="199" cm="1">
        <f t="array" aca="1" ref="O188" ca="1">IF(OR($B188="",$B188="X",$D188="",$D188="X",$E188="",$E188="X"),0,IFERROR(_xlfn.LET(_xlpm.x,SUM(SUM(_xlfn._xlws.FILTER(VALUE(PptoSty[Sign]&amp;1)*(1/PptoSty[Division]),(PptoSty[Division]&lt;&gt;0)*(PptoSty[Division]&lt;&gt;"")*(PptoSty[Division]&lt;&gt;"X")*(PptoSty[Project]=$B188)*(PptoSty[Vrs]=$D188)*(PptoSty[PiRow]=_xlfn.TEXTAFTER($H188,":"))*(PptoSty[PiColumn]=O$54),0)),SUM(IF((INDIRECT($B$3)=$B188)*(INDIRECT($C$3)=$D188)*((INDIRECT($E$3)="TOTS")+(INDIRECT($E$3)=$E188)),INDIRECT(O$3)))),_xlpm.y,SUM(_xlfn.CHOOSECOLS(_xlfn._xlws.FILTER(F_RT14[],(F_RT14[PrjId]=$B188)*(F_RT14[Vrs]=$D188)*(_xlfn.TEXTAFTER(F_RT14[ActGrp],":")=_xlfn.TEXTAFTER($H188,":")),"X"),MATCH("*"&amp;O$54,F_RT14[#Headers],0))),IF(AND(_xlpm.x=0,_xlpm.y&lt;&gt;0),-1,IF(AND(_xlpm.x&lt;&gt;0,_xlpm.y&lt;&gt;0),_xlpm.x,IF(AND(_xlpm.x-SUM(IF((INDIRECT($B$3)=$B188)*(INDIRECT($C$3)=$D188)*((INDIRECT($E$3)="TOTS")+(INDIRECT($E$3)=$E188)),INDIRECT(O$3)))&lt;&gt;0,_xlpm.y=0),-2,_xlpm.x)))),0))</f>
        <v>0</v>
      </c>
      <c r="P188" s="199" cm="1">
        <f t="array" aca="1" ref="P188" ca="1">IF(OR($B188="",$B188="X",$D188="",$D188="X",$E188="",$E188="X"),0,IFERROR(_xlfn.LET(_xlpm.x,SUM(SUM(_xlfn._xlws.FILTER(VALUE(PptoSty[Sign]&amp;1)*(1/PptoSty[Division]),(PptoSty[Division]&lt;&gt;0)*(PptoSty[Division]&lt;&gt;"")*(PptoSty[Division]&lt;&gt;"X")*(PptoSty[Project]=$B188)*(PptoSty[Vrs]=$D188)*(PptoSty[PiRow]=_xlfn.TEXTAFTER($H188,":"))*(PptoSty[PiColumn]=P$54),0)),SUM(IF((INDIRECT($B$3)=$B188)*(INDIRECT($C$3)=$D188)*((INDIRECT($E$3)="TOTS")+(INDIRECT($E$3)=$E188)),INDIRECT(P$3)))),_xlpm.y,SUM(_xlfn.CHOOSECOLS(_xlfn._xlws.FILTER(F_RT14[],(F_RT14[PrjId]=$B188)*(F_RT14[Vrs]=$D188)*(_xlfn.TEXTAFTER(F_RT14[ActGrp],":")=_xlfn.TEXTAFTER($H188,":")),"X"),MATCH("*"&amp;P$54,F_RT14[#Headers],0))),IF(AND(_xlpm.x=0,_xlpm.y&lt;&gt;0),-1,IF(AND(_xlpm.x&lt;&gt;0,_xlpm.y&lt;&gt;0),_xlpm.x,IF(AND(_xlpm.x-SUM(IF((INDIRECT($B$3)=$B188)*(INDIRECT($C$3)=$D188)*((INDIRECT($E$3)="TOTS")+(INDIRECT($E$3)=$E188)),INDIRECT(P$3)))&lt;&gt;0,_xlpm.y=0),-2,_xlpm.x)))),0))</f>
        <v>-1</v>
      </c>
      <c r="Q188" s="199" cm="1">
        <f t="array" aca="1" ref="Q188" ca="1">IF(OR($B188="",$B188="X",$D188="",$D188="X",$E188="",$E188="X"),0,IFERROR(_xlfn.LET(_xlpm.x,SUM(SUM(_xlfn._xlws.FILTER(VALUE(PptoSty[Sign]&amp;1)*(1/PptoSty[Division]),(PptoSty[Division]&lt;&gt;0)*(PptoSty[Division]&lt;&gt;"")*(PptoSty[Division]&lt;&gt;"X")*(PptoSty[Project]=$B188)*(PptoSty[Vrs]=$D188)*(PptoSty[PiRow]=_xlfn.TEXTAFTER($H188,":"))*(PptoSty[PiColumn]=Q$54),0)),SUM(IF((INDIRECT($B$3)=$B188)*(INDIRECT($C$3)=$D188)*((INDIRECT($E$3)="TOTS")+(INDIRECT($E$3)=$E188)),INDIRECT(Q$3)))),_xlpm.y,SUM(_xlfn.CHOOSECOLS(_xlfn._xlws.FILTER(F_RT14[],(F_RT14[PrjId]=$B188)*(F_RT14[Vrs]=$D188)*(_xlfn.TEXTAFTER(F_RT14[ActGrp],":")=_xlfn.TEXTAFTER($H188,":")),"X"),MATCH("*"&amp;Q$54,F_RT14[#Headers],0))),IF(AND(_xlpm.x=0,_xlpm.y&lt;&gt;0),-1,IF(AND(_xlpm.x&lt;&gt;0,_xlpm.y&lt;&gt;0),_xlpm.x,IF(AND(_xlpm.x-SUM(IF((INDIRECT($B$3)=$B188)*(INDIRECT($C$3)=$D188)*((INDIRECT($E$3)="TOTS")+(INDIRECT($E$3)=$E188)),INDIRECT(Q$3)))&lt;&gt;0,_xlpm.y=0),-2,_xlpm.x)))),0))</f>
        <v>-1</v>
      </c>
      <c r="R188" s="199" cm="1">
        <f t="array" aca="1" ref="R188" ca="1">IF(OR($B188="",$B188="X",$D188="",$D188="X",$E188="",$E188="X"),0,IFERROR(_xlfn.LET(_xlpm.x,SUM(SUM(_xlfn._xlws.FILTER(VALUE(PptoSty[Sign]&amp;1)*(1/PptoSty[Division]),(PptoSty[Division]&lt;&gt;0)*(PptoSty[Division]&lt;&gt;"")*(PptoSty[Division]&lt;&gt;"X")*(PptoSty[Project]=$B188)*(PptoSty[Vrs]=$D188)*(PptoSty[PiRow]=_xlfn.TEXTAFTER($H188,":"))*(PptoSty[PiColumn]=R$54),0)),SUM(IF((INDIRECT($B$3)=$B188)*(INDIRECT($C$3)=$D188)*((INDIRECT($E$3)="TOTS")+(INDIRECT($E$3)=$E188)),INDIRECT(R$3)))),_xlpm.y,SUM(_xlfn.CHOOSECOLS(_xlfn._xlws.FILTER(F_RT14[],(F_RT14[PrjId]=$B188)*(F_RT14[Vrs]=$D188)*(_xlfn.TEXTAFTER(F_RT14[ActGrp],":")=_xlfn.TEXTAFTER($H188,":")),"X"),MATCH("*"&amp;R$54,F_RT14[#Headers],0))),IF(AND(_xlpm.x=0,_xlpm.y&lt;&gt;0),-1,IF(AND(_xlpm.x&lt;&gt;0,_xlpm.y&lt;&gt;0),_xlpm.x,IF(AND(_xlpm.x-SUM(IF((INDIRECT($B$3)=$B188)*(INDIRECT($C$3)=$D188)*((INDIRECT($E$3)="TOTS")+(INDIRECT($E$3)=$E188)),INDIRECT(R$3)))&lt;&gt;0,_xlpm.y=0),-2,_xlpm.x)))),0))</f>
        <v>0</v>
      </c>
      <c r="S188" s="199" cm="1">
        <f t="array" aca="1" ref="S188" ca="1">IF(OR($B188="",$B188="X",$D188="",$D188="X",$E188="",$E188="X"),0,IFERROR(_xlfn.LET(_xlpm.x,SUM(SUM(_xlfn._xlws.FILTER(VALUE(PptoSty[Sign]&amp;1)*(1/PptoSty[Division]),(PptoSty[Division]&lt;&gt;0)*(PptoSty[Division]&lt;&gt;"")*(PptoSty[Division]&lt;&gt;"X")*(PptoSty[Project]=$B188)*(PptoSty[Vrs]=$D188)*(PptoSty[PiRow]=_xlfn.TEXTAFTER($H188,":"))*(PptoSty[PiColumn]=S$54),0)),SUM(IF((INDIRECT($B$3)=$B188)*(INDIRECT($C$3)=$D188)*((INDIRECT($E$3)="TOTS")+(INDIRECT($E$3)=$E188)),INDIRECT(S$3)))),_xlpm.y,SUM(_xlfn.CHOOSECOLS(_xlfn._xlws.FILTER(F_RT14[],(F_RT14[PrjId]=$B188)*(F_RT14[Vrs]=$D188)*(_xlfn.TEXTAFTER(F_RT14[ActGrp],":")=_xlfn.TEXTAFTER($H188,":")),"X"),MATCH("*"&amp;S$54,F_RT14[#Headers],0))),IF(AND(_xlpm.x=0,_xlpm.y&lt;&gt;0),-1,IF(AND(_xlpm.x&lt;&gt;0,_xlpm.y&lt;&gt;0),_xlpm.x,IF(AND(_xlpm.x-SUM(IF((INDIRECT($B$3)=$B188)*(INDIRECT($C$3)=$D188)*((INDIRECT($E$3)="TOTS")+(INDIRECT($E$3)=$E188)),INDIRECT(S$3)))&lt;&gt;0,_xlpm.y=0),-2,_xlpm.x)))),0))</f>
        <v>0</v>
      </c>
      <c r="T188" s="199" cm="1">
        <f t="array" aca="1" ref="T188" ca="1">IF(OR($B188="",$B188="X",$D188="",$D188="X",$E188="",$E188="X"),0,IFERROR(_xlfn.LET(_xlpm.x,SUM(SUM(_xlfn._xlws.FILTER(VALUE(PptoSty[Sign]&amp;1)*(1/PptoSty[Division]),(PptoSty[Division]&lt;&gt;0)*(PptoSty[Division]&lt;&gt;"")*(PptoSty[Division]&lt;&gt;"X")*(PptoSty[Project]=$B188)*(PptoSty[Vrs]=$D188)*(PptoSty[PiRow]=_xlfn.TEXTAFTER($H188,":"))*(PptoSty[PiColumn]=T$54),0)),SUM(IF((INDIRECT($B$3)=$B188)*(INDIRECT($C$3)=$D188)*((INDIRECT($E$3)="TOTS")+(INDIRECT($E$3)=$E188)),INDIRECT(T$3)))),_xlpm.y,SUM(_xlfn.CHOOSECOLS(_xlfn._xlws.FILTER(F_RT14[],(F_RT14[PrjId]=$B188)*(F_RT14[Vrs]=$D188)*(_xlfn.TEXTAFTER(F_RT14[ActGrp],":")=_xlfn.TEXTAFTER($H188,":")),"X"),MATCH("*"&amp;T$54,F_RT14[#Headers],0))),IF(AND(_xlpm.x=0,_xlpm.y&lt;&gt;0),-1,IF(AND(_xlpm.x&lt;&gt;0,_xlpm.y&lt;&gt;0),_xlpm.x,IF(AND(_xlpm.x-SUM(IF((INDIRECT($B$3)=$B188)*(INDIRECT($C$3)=$D188)*((INDIRECT($E$3)="TOTS")+(INDIRECT($E$3)=$E188)),INDIRECT(T$3)))&lt;&gt;0,_xlpm.y=0),-2,_xlpm.x)))),0))</f>
        <v>0</v>
      </c>
      <c r="U188" s="199" cm="1">
        <f t="array" aca="1" ref="U188" ca="1">IF(OR($B188="",$B188="X",$D188="",$D188="X",$E188="",$E188="X"),0,IFERROR(_xlfn.LET(_xlpm.x,SUM(SUM(_xlfn._xlws.FILTER(VALUE(PptoSty[Sign]&amp;1)*(1/PptoSty[Division]),(PptoSty[Division]&lt;&gt;0)*(PptoSty[Division]&lt;&gt;"")*(PptoSty[Division]&lt;&gt;"X")*(PptoSty[Project]=$B188)*(PptoSty[Vrs]=$D188)*(PptoSty[PiRow]=_xlfn.TEXTAFTER($H188,":"))*(PptoSty[PiColumn]=U$54),0)),SUM(IF((INDIRECT($B$3)=$B188)*(INDIRECT($C$3)=$D188)*((INDIRECT($E$3)="TOTS")+(INDIRECT($E$3)=$E188)),INDIRECT(U$3)))),_xlpm.y,SUM(_xlfn.CHOOSECOLS(_xlfn._xlws.FILTER(F_RT14[],(F_RT14[PrjId]=$B188)*(F_RT14[Vrs]=$D188)*(_xlfn.TEXTAFTER(F_RT14[ActGrp],":")=_xlfn.TEXTAFTER($H188,":")),"X"),MATCH("*"&amp;U$54,F_RT14[#Headers],0))),IF(AND(_xlpm.x=0,_xlpm.y&lt;&gt;0),-1,IF(AND(_xlpm.x&lt;&gt;0,_xlpm.y&lt;&gt;0),_xlpm.x,IF(AND(_xlpm.x-SUM(IF((INDIRECT($B$3)=$B188)*(INDIRECT($C$3)=$D188)*((INDIRECT($E$3)="TOTS")+(INDIRECT($E$3)=$E188)),INDIRECT(U$3)))&lt;&gt;0,_xlpm.y=0),-2,_xlpm.x)))),0))</f>
        <v>0</v>
      </c>
      <c r="V188" s="199" cm="1">
        <f t="array" aca="1" ref="V188" ca="1">IF(OR($B188="",$B188="X",$D188="",$D188="X",$E188="",$E188="X"),0,IFERROR(_xlfn.LET(_xlpm.x,SUM(SUM(_xlfn._xlws.FILTER(VALUE(PptoSty[Sign]&amp;1)*(1/PptoSty[Division]),(PptoSty[Division]&lt;&gt;0)*(PptoSty[Division]&lt;&gt;"")*(PptoSty[Division]&lt;&gt;"X")*(PptoSty[Project]=$B188)*(PptoSty[Vrs]=$D188)*(PptoSty[PiRow]=_xlfn.TEXTAFTER($H188,":"))*(PptoSty[PiColumn]=V$54),0)),SUM(IF((INDIRECT($B$3)=$B188)*(INDIRECT($C$3)=$D188)*((INDIRECT($E$3)="TOTS")+(INDIRECT($E$3)=$E188)),INDIRECT(V$3)))),_xlpm.y,SUM(_xlfn.CHOOSECOLS(_xlfn._xlws.FILTER(F_RT14[],(F_RT14[PrjId]=$B188)*(F_RT14[Vrs]=$D188)*(_xlfn.TEXTAFTER(F_RT14[ActGrp],":")=_xlfn.TEXTAFTER($H188,":")),"X"),MATCH("*"&amp;V$54,F_RT14[#Headers],0))),IF(AND(_xlpm.x=0,_xlpm.y&lt;&gt;0),-1,IF(AND(_xlpm.x&lt;&gt;0,_xlpm.y&lt;&gt;0),_xlpm.x,IF(AND(_xlpm.x-SUM(IF((INDIRECT($B$3)=$B188)*(INDIRECT($C$3)=$D188)*((INDIRECT($E$3)="TOTS")+(INDIRECT($E$3)=$E188)),INDIRECT(V$3)))&lt;&gt;0,_xlpm.y=0),-2,_xlpm.x)))),0))</f>
        <v>0</v>
      </c>
      <c r="W188" s="199" cm="1">
        <f t="array" aca="1" ref="W188" ca="1">IF(OR($B188="",$B188="X",$D188="",$D188="X",$E188="",$E188="X"),0,IFERROR(_xlfn.LET(_xlpm.x,SUM(SUM(_xlfn._xlws.FILTER(VALUE(PptoSty[Sign]&amp;1)*(1/PptoSty[Division]),(PptoSty[Division]&lt;&gt;0)*(PptoSty[Division]&lt;&gt;"")*(PptoSty[Division]&lt;&gt;"X")*(PptoSty[Project]=$B188)*(PptoSty[Vrs]=$D188)*(PptoSty[PiRow]=_xlfn.TEXTAFTER($H188,":"))*(PptoSty[PiColumn]=W$54),0)),SUM(IF((INDIRECT($B$3)=$B188)*(INDIRECT($C$3)=$D188)*((INDIRECT($E$3)="TOTS")+(INDIRECT($E$3)=$E188)),INDIRECT(W$3)))),_xlpm.y,SUM(_xlfn.CHOOSECOLS(_xlfn._xlws.FILTER(F_RT14[],(F_RT14[PrjId]=$B188)*(F_RT14[Vrs]=$D188)*(_xlfn.TEXTAFTER(F_RT14[ActGrp],":")=_xlfn.TEXTAFTER($H188,":")),"X"),MATCH("*"&amp;W$54,F_RT14[#Headers],0))),IF(AND(_xlpm.x=0,_xlpm.y&lt;&gt;0),-1,IF(AND(_xlpm.x&lt;&gt;0,_xlpm.y&lt;&gt;0),_xlpm.x,IF(AND(_xlpm.x-SUM(IF((INDIRECT($B$3)=$B188)*(INDIRECT($C$3)=$D188)*((INDIRECT($E$3)="TOTS")+(INDIRECT($E$3)=$E188)),INDIRECT(W$3)))&lt;&gt;0,_xlpm.y=0),-2,_xlpm.x)))),0))</f>
        <v>0</v>
      </c>
      <c r="X188" s="199" cm="1">
        <f t="array" aca="1" ref="X188" ca="1">IF(OR($B188="",$B188="X",$D188="",$D188="X",$E188="",$E188="X"),0,IFERROR(_xlfn.LET(_xlpm.x,SUM(SUM(_xlfn._xlws.FILTER(VALUE(PptoSty[Sign]&amp;1)*(1/PptoSty[Division]),(PptoSty[Division]&lt;&gt;0)*(PptoSty[Division]&lt;&gt;"")*(PptoSty[Division]&lt;&gt;"X")*(PptoSty[Project]=$B188)*(PptoSty[Vrs]=$D188)*(PptoSty[PiRow]=_xlfn.TEXTAFTER($H188,":"))*(PptoSty[PiColumn]=X$54),0)),SUM(IF((INDIRECT($B$3)=$B188)*(INDIRECT($C$3)=$D188)*((INDIRECT($E$3)="TOTS")+(INDIRECT($E$3)=$E188)),INDIRECT(X$3)))),_xlpm.y,SUM(_xlfn.CHOOSECOLS(_xlfn._xlws.FILTER(F_RT14[],(F_RT14[PrjId]=$B188)*(F_RT14[Vrs]=$D188)*(_xlfn.TEXTAFTER(F_RT14[ActGrp],":")=_xlfn.TEXTAFTER($H188,":")),"X"),MATCH("*"&amp;X$54,F_RT14[#Headers],0))),IF(AND(_xlpm.x=0,_xlpm.y&lt;&gt;0),-1,IF(AND(_xlpm.x&lt;&gt;0,_xlpm.y&lt;&gt;0),_xlpm.x,IF(AND(_xlpm.x-SUM(IF((INDIRECT($B$3)=$B188)*(INDIRECT($C$3)=$D188)*((INDIRECT($E$3)="TOTS")+(INDIRECT($E$3)=$E188)),INDIRECT(X$3)))&lt;&gt;0,_xlpm.y=0),-2,_xlpm.x)))),0))</f>
        <v>0</v>
      </c>
      <c r="Y188" s="199" cm="1">
        <f t="array" aca="1" ref="Y188" ca="1">IF(OR($B188="",$B188="X",$D188="",$D188="X",$E188="",$E188="X"),0,IFERROR(_xlfn.LET(_xlpm.x,SUM(SUM(_xlfn._xlws.FILTER(VALUE(PptoSty[Sign]&amp;1)*(1/PptoSty[Division]),(PptoSty[Division]&lt;&gt;0)*(PptoSty[Division]&lt;&gt;"")*(PptoSty[Division]&lt;&gt;"X")*(PptoSty[Project]=$B188)*(PptoSty[Vrs]=$D188)*(PptoSty[PiRow]=_xlfn.TEXTAFTER($H188,":"))*(PptoSty[PiColumn]=Y$54),0)),SUM(IF((INDIRECT($B$3)=$B188)*(INDIRECT($C$3)=$D188)*((INDIRECT($E$3)="TOTS")+(INDIRECT($E$3)=$E188)),INDIRECT(Y$3)))),_xlpm.y,SUM(_xlfn.CHOOSECOLS(_xlfn._xlws.FILTER(F_RT14[],(F_RT14[PrjId]=$B188)*(F_RT14[Vrs]=$D188)*(_xlfn.TEXTAFTER(F_RT14[ActGrp],":")=_xlfn.TEXTAFTER($H188,":")),"X"),MATCH("*"&amp;Y$54,F_RT14[#Headers],0))),IF(AND(_xlpm.x=0,_xlpm.y&lt;&gt;0),-1,IF(AND(_xlpm.x&lt;&gt;0,_xlpm.y&lt;&gt;0),_xlpm.x,IF(AND(_xlpm.x-SUM(IF((INDIRECT($B$3)=$B188)*(INDIRECT($C$3)=$D188)*((INDIRECT($E$3)="TOTS")+(INDIRECT($E$3)=$E188)),INDIRECT(Y$3)))&lt;&gt;0,_xlpm.y=0),-2,_xlpm.x)))),0))</f>
        <v>0</v>
      </c>
      <c r="Z188" s="198" t="str">
        <f t="shared" ca="1" si="4"/>
        <v>Fback!B188:Y188</v>
      </c>
    </row>
    <row r="189" spans="2:26" ht="21" customHeight="1" outlineLevel="1">
      <c r="B189" s="128" t="str">
        <v>31200</v>
      </c>
      <c r="C189" s="128" t="str">
        <v>Sp</v>
      </c>
      <c r="D189" s="128">
        <v>0</v>
      </c>
      <c r="E189" s="128" t="str">
        <v>CELL</v>
      </c>
      <c r="F189" s="139" t="str">
        <v>SERRA</v>
      </c>
      <c r="G189" s="139" t="str">
        <v>CurPpto</v>
      </c>
      <c r="H189" s="139" t="str">
        <v>P020:SOPORTE ESTANTERIAS KLT</v>
      </c>
      <c r="I189" s="199" cm="1">
        <f t="array" aca="1" ref="I189" ca="1">IF(OR($B189="",$B189="X",$D189="",$D189="X",$E189="",$E189="X"),0,IFERROR(_xlfn.LET(_xlpm.x,SUM(SUM(_xlfn._xlws.FILTER(VALUE(PptoSty[Sign]&amp;1)*(1/PptoSty[Division]),(PptoSty[Division]&lt;&gt;0)*(PptoSty[Division]&lt;&gt;"")*(PptoSty[Division]&lt;&gt;"X")*(PptoSty[Project]=$B189)*(PptoSty[Vrs]=$D189)*(PptoSty[PiRow]=_xlfn.TEXTAFTER($H189,":"))*(PptoSty[PiColumn]=I$54),0)),SUM(IF((INDIRECT($B$3)=$B189)*(INDIRECT($C$3)=$D189)*((INDIRECT($E$3)="TOTS")+(INDIRECT($E$3)=$E189)),INDIRECT(I$3)))),_xlpm.y,SUM(_xlfn.CHOOSECOLS(_xlfn._xlws.FILTER(F_RT14[],(F_RT14[PrjId]=$B189)*(F_RT14[Vrs]=$D189)*(_xlfn.TEXTAFTER(F_RT14[ActGrp],":")=_xlfn.TEXTAFTER($H189,":")),"X"),MATCH("*"&amp;I$54,F_RT14[#Headers],0))),IF(AND(_xlpm.x=0,_xlpm.y&lt;&gt;0),-1,IF(AND(_xlpm.x&lt;&gt;0,_xlpm.y&lt;&gt;0),_xlpm.x,IF(AND(_xlpm.x-SUM(IF((INDIRECT($B$3)=$B189)*(INDIRECT($C$3)=$D189)*((INDIRECT($E$3)="TOTS")+(INDIRECT($E$3)=$E189)),INDIRECT(I$3)))&lt;&gt;0,_xlpm.y=0),-2,_xlpm.x)))),0))</f>
        <v>0</v>
      </c>
      <c r="J189" s="199" cm="1">
        <f t="array" aca="1" ref="J189" ca="1">IF(OR($B189="",$B189="X",$D189="",$D189="X",$E189="",$E189="X"),0,IFERROR(_xlfn.LET(_xlpm.x,SUM(SUM(_xlfn._xlws.FILTER(VALUE(PptoSty[Sign]&amp;1)*(1/PptoSty[Division]),(PptoSty[Division]&lt;&gt;0)*(PptoSty[Division]&lt;&gt;"")*(PptoSty[Division]&lt;&gt;"X")*(PptoSty[Project]=$B189)*(PptoSty[Vrs]=$D189)*(PptoSty[PiRow]=_xlfn.TEXTAFTER($H189,":"))*(PptoSty[PiColumn]=J$54),0)),SUM(IF((INDIRECT($B$3)=$B189)*(INDIRECT($C$3)=$D189)*((INDIRECT($E$3)="TOTS")+(INDIRECT($E$3)=$E189)),INDIRECT(J$3)))),_xlpm.y,SUM(_xlfn.CHOOSECOLS(_xlfn._xlws.FILTER(F_RT14[],(F_RT14[PrjId]=$B189)*(F_RT14[Vrs]=$D189)*(_xlfn.TEXTAFTER(F_RT14[ActGrp],":")=_xlfn.TEXTAFTER($H189,":")),"X"),MATCH("*"&amp;J$54,F_RT14[#Headers],0))),IF(AND(_xlpm.x=0,_xlpm.y&lt;&gt;0),-1,IF(AND(_xlpm.x&lt;&gt;0,_xlpm.y&lt;&gt;0),_xlpm.x,IF(AND(_xlpm.x-SUM(IF((INDIRECT($B$3)=$B189)*(INDIRECT($C$3)=$D189)*((INDIRECT($E$3)="TOTS")+(INDIRECT($E$3)=$E189)),INDIRECT(J$3)))&lt;&gt;0,_xlpm.y=0),-2,_xlpm.x)))),0))</f>
        <v>0</v>
      </c>
      <c r="K189" s="199" cm="1">
        <f t="array" aca="1" ref="K189" ca="1">IF(OR($B189="",$B189="X",$D189="",$D189="X",$E189="",$E189="X"),0,IFERROR(_xlfn.LET(_xlpm.x,SUM(SUM(_xlfn._xlws.FILTER(VALUE(PptoSty[Sign]&amp;1)*(1/PptoSty[Division]),(PptoSty[Division]&lt;&gt;0)*(PptoSty[Division]&lt;&gt;"")*(PptoSty[Division]&lt;&gt;"X")*(PptoSty[Project]=$B189)*(PptoSty[Vrs]=$D189)*(PptoSty[PiRow]=_xlfn.TEXTAFTER($H189,":"))*(PptoSty[PiColumn]=K$54),0)),SUM(IF((INDIRECT($B$3)=$B189)*(INDIRECT($C$3)=$D189)*((INDIRECT($E$3)="TOTS")+(INDIRECT($E$3)=$E189)),INDIRECT(K$3)))),_xlpm.y,SUM(_xlfn.CHOOSECOLS(_xlfn._xlws.FILTER(F_RT14[],(F_RT14[PrjId]=$B189)*(F_RT14[Vrs]=$D189)*(_xlfn.TEXTAFTER(F_RT14[ActGrp],":")=_xlfn.TEXTAFTER($H189,":")),"X"),MATCH("*"&amp;K$54,F_RT14[#Headers],0))),IF(AND(_xlpm.x=0,_xlpm.y&lt;&gt;0),-1,IF(AND(_xlpm.x&lt;&gt;0,_xlpm.y&lt;&gt;0),_xlpm.x,IF(AND(_xlpm.x-SUM(IF((INDIRECT($B$3)=$B189)*(INDIRECT($C$3)=$D189)*((INDIRECT($E$3)="TOTS")+(INDIRECT($E$3)=$E189)),INDIRECT(K$3)))&lt;&gt;0,_xlpm.y=0),-2,_xlpm.x)))),0))</f>
        <v>-1</v>
      </c>
      <c r="L189" s="199" cm="1">
        <f t="array" aca="1" ref="L189" ca="1">IF(OR($B189="",$B189="X",$D189="",$D189="X",$E189="",$E189="X"),0,IFERROR(_xlfn.LET(_xlpm.x,SUM(SUM(_xlfn._xlws.FILTER(VALUE(PptoSty[Sign]&amp;1)*(1/PptoSty[Division]),(PptoSty[Division]&lt;&gt;0)*(PptoSty[Division]&lt;&gt;"")*(PptoSty[Division]&lt;&gt;"X")*(PptoSty[Project]=$B189)*(PptoSty[Vrs]=$D189)*(PptoSty[PiRow]=_xlfn.TEXTAFTER($H189,":"))*(PptoSty[PiColumn]=L$54),0)),SUM(IF((INDIRECT($B$3)=$B189)*(INDIRECT($C$3)=$D189)*((INDIRECT($E$3)="TOTS")+(INDIRECT($E$3)=$E189)),INDIRECT(L$3)))),_xlpm.y,SUM(_xlfn.CHOOSECOLS(_xlfn._xlws.FILTER(F_RT14[],(F_RT14[PrjId]=$B189)*(F_RT14[Vrs]=$D189)*(_xlfn.TEXTAFTER(F_RT14[ActGrp],":")=_xlfn.TEXTAFTER($H189,":")),"X"),MATCH("*"&amp;L$54,F_RT14[#Headers],0))),IF(AND(_xlpm.x=0,_xlpm.y&lt;&gt;0),-1,IF(AND(_xlpm.x&lt;&gt;0,_xlpm.y&lt;&gt;0),_xlpm.x,IF(AND(_xlpm.x-SUM(IF((INDIRECT($B$3)=$B189)*(INDIRECT($C$3)=$D189)*((INDIRECT($E$3)="TOTS")+(INDIRECT($E$3)=$E189)),INDIRECT(L$3)))&lt;&gt;0,_xlpm.y=0),-2,_xlpm.x)))),0))</f>
        <v>0</v>
      </c>
      <c r="M189" s="199" cm="1">
        <f t="array" aca="1" ref="M189" ca="1">IF(OR($B189="",$B189="X",$D189="",$D189="X",$E189="",$E189="X"),0,IFERROR(_xlfn.LET(_xlpm.x,SUM(SUM(_xlfn._xlws.FILTER(VALUE(PptoSty[Sign]&amp;1)*(1/PptoSty[Division]),(PptoSty[Division]&lt;&gt;0)*(PptoSty[Division]&lt;&gt;"")*(PptoSty[Division]&lt;&gt;"X")*(PptoSty[Project]=$B189)*(PptoSty[Vrs]=$D189)*(PptoSty[PiRow]=_xlfn.TEXTAFTER($H189,":"))*(PptoSty[PiColumn]=M$54),0)),SUM(IF((INDIRECT($B$3)=$B189)*(INDIRECT($C$3)=$D189)*((INDIRECT($E$3)="TOTS")+(INDIRECT($E$3)=$E189)),INDIRECT(M$3)))),_xlpm.y,SUM(_xlfn.CHOOSECOLS(_xlfn._xlws.FILTER(F_RT14[],(F_RT14[PrjId]=$B189)*(F_RT14[Vrs]=$D189)*(_xlfn.TEXTAFTER(F_RT14[ActGrp],":")=_xlfn.TEXTAFTER($H189,":")),"X"),MATCH("*"&amp;M$54,F_RT14[#Headers],0))),IF(AND(_xlpm.x=0,_xlpm.y&lt;&gt;0),-1,IF(AND(_xlpm.x&lt;&gt;0,_xlpm.y&lt;&gt;0),_xlpm.x,IF(AND(_xlpm.x-SUM(IF((INDIRECT($B$3)=$B189)*(INDIRECT($C$3)=$D189)*((INDIRECT($E$3)="TOTS")+(INDIRECT($E$3)=$E189)),INDIRECT(M$3)))&lt;&gt;0,_xlpm.y=0),-2,_xlpm.x)))),0))</f>
        <v>0</v>
      </c>
      <c r="N189" s="199" cm="1">
        <f t="array" aca="1" ref="N189" ca="1">IF(OR($B189="",$B189="X",$D189="",$D189="X",$E189="",$E189="X"),0,IFERROR(_xlfn.LET(_xlpm.x,SUM(SUM(_xlfn._xlws.FILTER(VALUE(PptoSty[Sign]&amp;1)*(1/PptoSty[Division]),(PptoSty[Division]&lt;&gt;0)*(PptoSty[Division]&lt;&gt;"")*(PptoSty[Division]&lt;&gt;"X")*(PptoSty[Project]=$B189)*(PptoSty[Vrs]=$D189)*(PptoSty[PiRow]=_xlfn.TEXTAFTER($H189,":"))*(PptoSty[PiColumn]=N$54),0)),SUM(IF((INDIRECT($B$3)=$B189)*(INDIRECT($C$3)=$D189)*((INDIRECT($E$3)="TOTS")+(INDIRECT($E$3)=$E189)),INDIRECT(N$3)))),_xlpm.y,SUM(_xlfn.CHOOSECOLS(_xlfn._xlws.FILTER(F_RT14[],(F_RT14[PrjId]=$B189)*(F_RT14[Vrs]=$D189)*(_xlfn.TEXTAFTER(F_RT14[ActGrp],":")=_xlfn.TEXTAFTER($H189,":")),"X"),MATCH("*"&amp;N$54,F_RT14[#Headers],0))),IF(AND(_xlpm.x=0,_xlpm.y&lt;&gt;0),-1,IF(AND(_xlpm.x&lt;&gt;0,_xlpm.y&lt;&gt;0),_xlpm.x,IF(AND(_xlpm.x-SUM(IF((INDIRECT($B$3)=$B189)*(INDIRECT($C$3)=$D189)*((INDIRECT($E$3)="TOTS")+(INDIRECT($E$3)=$E189)),INDIRECT(N$3)))&lt;&gt;0,_xlpm.y=0),-2,_xlpm.x)))),0))</f>
        <v>0</v>
      </c>
      <c r="O189" s="199" cm="1">
        <f t="array" aca="1" ref="O189" ca="1">IF(OR($B189="",$B189="X",$D189="",$D189="X",$E189="",$E189="X"),0,IFERROR(_xlfn.LET(_xlpm.x,SUM(SUM(_xlfn._xlws.FILTER(VALUE(PptoSty[Sign]&amp;1)*(1/PptoSty[Division]),(PptoSty[Division]&lt;&gt;0)*(PptoSty[Division]&lt;&gt;"")*(PptoSty[Division]&lt;&gt;"X")*(PptoSty[Project]=$B189)*(PptoSty[Vrs]=$D189)*(PptoSty[PiRow]=_xlfn.TEXTAFTER($H189,":"))*(PptoSty[PiColumn]=O$54),0)),SUM(IF((INDIRECT($B$3)=$B189)*(INDIRECT($C$3)=$D189)*((INDIRECT($E$3)="TOTS")+(INDIRECT($E$3)=$E189)),INDIRECT(O$3)))),_xlpm.y,SUM(_xlfn.CHOOSECOLS(_xlfn._xlws.FILTER(F_RT14[],(F_RT14[PrjId]=$B189)*(F_RT14[Vrs]=$D189)*(_xlfn.TEXTAFTER(F_RT14[ActGrp],":")=_xlfn.TEXTAFTER($H189,":")),"X"),MATCH("*"&amp;O$54,F_RT14[#Headers],0))),IF(AND(_xlpm.x=0,_xlpm.y&lt;&gt;0),-1,IF(AND(_xlpm.x&lt;&gt;0,_xlpm.y&lt;&gt;0),_xlpm.x,IF(AND(_xlpm.x-SUM(IF((INDIRECT($B$3)=$B189)*(INDIRECT($C$3)=$D189)*((INDIRECT($E$3)="TOTS")+(INDIRECT($E$3)=$E189)),INDIRECT(O$3)))&lt;&gt;0,_xlpm.y=0),-2,_xlpm.x)))),0))</f>
        <v>0</v>
      </c>
      <c r="P189" s="199" cm="1">
        <f t="array" aca="1" ref="P189" ca="1">IF(OR($B189="",$B189="X",$D189="",$D189="X",$E189="",$E189="X"),0,IFERROR(_xlfn.LET(_xlpm.x,SUM(SUM(_xlfn._xlws.FILTER(VALUE(PptoSty[Sign]&amp;1)*(1/PptoSty[Division]),(PptoSty[Division]&lt;&gt;0)*(PptoSty[Division]&lt;&gt;"")*(PptoSty[Division]&lt;&gt;"X")*(PptoSty[Project]=$B189)*(PptoSty[Vrs]=$D189)*(PptoSty[PiRow]=_xlfn.TEXTAFTER($H189,":"))*(PptoSty[PiColumn]=P$54),0)),SUM(IF((INDIRECT($B$3)=$B189)*(INDIRECT($C$3)=$D189)*((INDIRECT($E$3)="TOTS")+(INDIRECT($E$3)=$E189)),INDIRECT(P$3)))),_xlpm.y,SUM(_xlfn.CHOOSECOLS(_xlfn._xlws.FILTER(F_RT14[],(F_RT14[PrjId]=$B189)*(F_RT14[Vrs]=$D189)*(_xlfn.TEXTAFTER(F_RT14[ActGrp],":")=_xlfn.TEXTAFTER($H189,":")),"X"),MATCH("*"&amp;P$54,F_RT14[#Headers],0))),IF(AND(_xlpm.x=0,_xlpm.y&lt;&gt;0),-1,IF(AND(_xlpm.x&lt;&gt;0,_xlpm.y&lt;&gt;0),_xlpm.x,IF(AND(_xlpm.x-SUM(IF((INDIRECT($B$3)=$B189)*(INDIRECT($C$3)=$D189)*((INDIRECT($E$3)="TOTS")+(INDIRECT($E$3)=$E189)),INDIRECT(P$3)))&lt;&gt;0,_xlpm.y=0),-2,_xlpm.x)))),0))</f>
        <v>-1</v>
      </c>
      <c r="Q189" s="199" cm="1">
        <f t="array" aca="1" ref="Q189" ca="1">IF(OR($B189="",$B189="X",$D189="",$D189="X",$E189="",$E189="X"),0,IFERROR(_xlfn.LET(_xlpm.x,SUM(SUM(_xlfn._xlws.FILTER(VALUE(PptoSty[Sign]&amp;1)*(1/PptoSty[Division]),(PptoSty[Division]&lt;&gt;0)*(PptoSty[Division]&lt;&gt;"")*(PptoSty[Division]&lt;&gt;"X")*(PptoSty[Project]=$B189)*(PptoSty[Vrs]=$D189)*(PptoSty[PiRow]=_xlfn.TEXTAFTER($H189,":"))*(PptoSty[PiColumn]=Q$54),0)),SUM(IF((INDIRECT($B$3)=$B189)*(INDIRECT($C$3)=$D189)*((INDIRECT($E$3)="TOTS")+(INDIRECT($E$3)=$E189)),INDIRECT(Q$3)))),_xlpm.y,SUM(_xlfn.CHOOSECOLS(_xlfn._xlws.FILTER(F_RT14[],(F_RT14[PrjId]=$B189)*(F_RT14[Vrs]=$D189)*(_xlfn.TEXTAFTER(F_RT14[ActGrp],":")=_xlfn.TEXTAFTER($H189,":")),"X"),MATCH("*"&amp;Q$54,F_RT14[#Headers],0))),IF(AND(_xlpm.x=0,_xlpm.y&lt;&gt;0),-1,IF(AND(_xlpm.x&lt;&gt;0,_xlpm.y&lt;&gt;0),_xlpm.x,IF(AND(_xlpm.x-SUM(IF((INDIRECT($B$3)=$B189)*(INDIRECT($C$3)=$D189)*((INDIRECT($E$3)="TOTS")+(INDIRECT($E$3)=$E189)),INDIRECT(Q$3)))&lt;&gt;0,_xlpm.y=0),-2,_xlpm.x)))),0))</f>
        <v>-1</v>
      </c>
      <c r="R189" s="199" cm="1">
        <f t="array" aca="1" ref="R189" ca="1">IF(OR($B189="",$B189="X",$D189="",$D189="X",$E189="",$E189="X"),0,IFERROR(_xlfn.LET(_xlpm.x,SUM(SUM(_xlfn._xlws.FILTER(VALUE(PptoSty[Sign]&amp;1)*(1/PptoSty[Division]),(PptoSty[Division]&lt;&gt;0)*(PptoSty[Division]&lt;&gt;"")*(PptoSty[Division]&lt;&gt;"X")*(PptoSty[Project]=$B189)*(PptoSty[Vrs]=$D189)*(PptoSty[PiRow]=_xlfn.TEXTAFTER($H189,":"))*(PptoSty[PiColumn]=R$54),0)),SUM(IF((INDIRECT($B$3)=$B189)*(INDIRECT($C$3)=$D189)*((INDIRECT($E$3)="TOTS")+(INDIRECT($E$3)=$E189)),INDIRECT(R$3)))),_xlpm.y,SUM(_xlfn.CHOOSECOLS(_xlfn._xlws.FILTER(F_RT14[],(F_RT14[PrjId]=$B189)*(F_RT14[Vrs]=$D189)*(_xlfn.TEXTAFTER(F_RT14[ActGrp],":")=_xlfn.TEXTAFTER($H189,":")),"X"),MATCH("*"&amp;R$54,F_RT14[#Headers],0))),IF(AND(_xlpm.x=0,_xlpm.y&lt;&gt;0),-1,IF(AND(_xlpm.x&lt;&gt;0,_xlpm.y&lt;&gt;0),_xlpm.x,IF(AND(_xlpm.x-SUM(IF((INDIRECT($B$3)=$B189)*(INDIRECT($C$3)=$D189)*((INDIRECT($E$3)="TOTS")+(INDIRECT($E$3)=$E189)),INDIRECT(R$3)))&lt;&gt;0,_xlpm.y=0),-2,_xlpm.x)))),0))</f>
        <v>0</v>
      </c>
      <c r="S189" s="199" cm="1">
        <f t="array" aca="1" ref="S189" ca="1">IF(OR($B189="",$B189="X",$D189="",$D189="X",$E189="",$E189="X"),0,IFERROR(_xlfn.LET(_xlpm.x,SUM(SUM(_xlfn._xlws.FILTER(VALUE(PptoSty[Sign]&amp;1)*(1/PptoSty[Division]),(PptoSty[Division]&lt;&gt;0)*(PptoSty[Division]&lt;&gt;"")*(PptoSty[Division]&lt;&gt;"X")*(PptoSty[Project]=$B189)*(PptoSty[Vrs]=$D189)*(PptoSty[PiRow]=_xlfn.TEXTAFTER($H189,":"))*(PptoSty[PiColumn]=S$54),0)),SUM(IF((INDIRECT($B$3)=$B189)*(INDIRECT($C$3)=$D189)*((INDIRECT($E$3)="TOTS")+(INDIRECT($E$3)=$E189)),INDIRECT(S$3)))),_xlpm.y,SUM(_xlfn.CHOOSECOLS(_xlfn._xlws.FILTER(F_RT14[],(F_RT14[PrjId]=$B189)*(F_RT14[Vrs]=$D189)*(_xlfn.TEXTAFTER(F_RT14[ActGrp],":")=_xlfn.TEXTAFTER($H189,":")),"X"),MATCH("*"&amp;S$54,F_RT14[#Headers],0))),IF(AND(_xlpm.x=0,_xlpm.y&lt;&gt;0),-1,IF(AND(_xlpm.x&lt;&gt;0,_xlpm.y&lt;&gt;0),_xlpm.x,IF(AND(_xlpm.x-SUM(IF((INDIRECT($B$3)=$B189)*(INDIRECT($C$3)=$D189)*((INDIRECT($E$3)="TOTS")+(INDIRECT($E$3)=$E189)),INDIRECT(S$3)))&lt;&gt;0,_xlpm.y=0),-2,_xlpm.x)))),0))</f>
        <v>0</v>
      </c>
      <c r="T189" s="199" cm="1">
        <f t="array" aca="1" ref="T189" ca="1">IF(OR($B189="",$B189="X",$D189="",$D189="X",$E189="",$E189="X"),0,IFERROR(_xlfn.LET(_xlpm.x,SUM(SUM(_xlfn._xlws.FILTER(VALUE(PptoSty[Sign]&amp;1)*(1/PptoSty[Division]),(PptoSty[Division]&lt;&gt;0)*(PptoSty[Division]&lt;&gt;"")*(PptoSty[Division]&lt;&gt;"X")*(PptoSty[Project]=$B189)*(PptoSty[Vrs]=$D189)*(PptoSty[PiRow]=_xlfn.TEXTAFTER($H189,":"))*(PptoSty[PiColumn]=T$54),0)),SUM(IF((INDIRECT($B$3)=$B189)*(INDIRECT($C$3)=$D189)*((INDIRECT($E$3)="TOTS")+(INDIRECT($E$3)=$E189)),INDIRECT(T$3)))),_xlpm.y,SUM(_xlfn.CHOOSECOLS(_xlfn._xlws.FILTER(F_RT14[],(F_RT14[PrjId]=$B189)*(F_RT14[Vrs]=$D189)*(_xlfn.TEXTAFTER(F_RT14[ActGrp],":")=_xlfn.TEXTAFTER($H189,":")),"X"),MATCH("*"&amp;T$54,F_RT14[#Headers],0))),IF(AND(_xlpm.x=0,_xlpm.y&lt;&gt;0),-1,IF(AND(_xlpm.x&lt;&gt;0,_xlpm.y&lt;&gt;0),_xlpm.x,IF(AND(_xlpm.x-SUM(IF((INDIRECT($B$3)=$B189)*(INDIRECT($C$3)=$D189)*((INDIRECT($E$3)="TOTS")+(INDIRECT($E$3)=$E189)),INDIRECT(T$3)))&lt;&gt;0,_xlpm.y=0),-2,_xlpm.x)))),0))</f>
        <v>0</v>
      </c>
      <c r="U189" s="199" cm="1">
        <f t="array" aca="1" ref="U189" ca="1">IF(OR($B189="",$B189="X",$D189="",$D189="X",$E189="",$E189="X"),0,IFERROR(_xlfn.LET(_xlpm.x,SUM(SUM(_xlfn._xlws.FILTER(VALUE(PptoSty[Sign]&amp;1)*(1/PptoSty[Division]),(PptoSty[Division]&lt;&gt;0)*(PptoSty[Division]&lt;&gt;"")*(PptoSty[Division]&lt;&gt;"X")*(PptoSty[Project]=$B189)*(PptoSty[Vrs]=$D189)*(PptoSty[PiRow]=_xlfn.TEXTAFTER($H189,":"))*(PptoSty[PiColumn]=U$54),0)),SUM(IF((INDIRECT($B$3)=$B189)*(INDIRECT($C$3)=$D189)*((INDIRECT($E$3)="TOTS")+(INDIRECT($E$3)=$E189)),INDIRECT(U$3)))),_xlpm.y,SUM(_xlfn.CHOOSECOLS(_xlfn._xlws.FILTER(F_RT14[],(F_RT14[PrjId]=$B189)*(F_RT14[Vrs]=$D189)*(_xlfn.TEXTAFTER(F_RT14[ActGrp],":")=_xlfn.TEXTAFTER($H189,":")),"X"),MATCH("*"&amp;U$54,F_RT14[#Headers],0))),IF(AND(_xlpm.x=0,_xlpm.y&lt;&gt;0),-1,IF(AND(_xlpm.x&lt;&gt;0,_xlpm.y&lt;&gt;0),_xlpm.x,IF(AND(_xlpm.x-SUM(IF((INDIRECT($B$3)=$B189)*(INDIRECT($C$3)=$D189)*((INDIRECT($E$3)="TOTS")+(INDIRECT($E$3)=$E189)),INDIRECT(U$3)))&lt;&gt;0,_xlpm.y=0),-2,_xlpm.x)))),0))</f>
        <v>0</v>
      </c>
      <c r="V189" s="199" cm="1">
        <f t="array" aca="1" ref="V189" ca="1">IF(OR($B189="",$B189="X",$D189="",$D189="X",$E189="",$E189="X"),0,IFERROR(_xlfn.LET(_xlpm.x,SUM(SUM(_xlfn._xlws.FILTER(VALUE(PptoSty[Sign]&amp;1)*(1/PptoSty[Division]),(PptoSty[Division]&lt;&gt;0)*(PptoSty[Division]&lt;&gt;"")*(PptoSty[Division]&lt;&gt;"X")*(PptoSty[Project]=$B189)*(PptoSty[Vrs]=$D189)*(PptoSty[PiRow]=_xlfn.TEXTAFTER($H189,":"))*(PptoSty[PiColumn]=V$54),0)),SUM(IF((INDIRECT($B$3)=$B189)*(INDIRECT($C$3)=$D189)*((INDIRECT($E$3)="TOTS")+(INDIRECT($E$3)=$E189)),INDIRECT(V$3)))),_xlpm.y,SUM(_xlfn.CHOOSECOLS(_xlfn._xlws.FILTER(F_RT14[],(F_RT14[PrjId]=$B189)*(F_RT14[Vrs]=$D189)*(_xlfn.TEXTAFTER(F_RT14[ActGrp],":")=_xlfn.TEXTAFTER($H189,":")),"X"),MATCH("*"&amp;V$54,F_RT14[#Headers],0))),IF(AND(_xlpm.x=0,_xlpm.y&lt;&gt;0),-1,IF(AND(_xlpm.x&lt;&gt;0,_xlpm.y&lt;&gt;0),_xlpm.x,IF(AND(_xlpm.x-SUM(IF((INDIRECT($B$3)=$B189)*(INDIRECT($C$3)=$D189)*((INDIRECT($E$3)="TOTS")+(INDIRECT($E$3)=$E189)),INDIRECT(V$3)))&lt;&gt;0,_xlpm.y=0),-2,_xlpm.x)))),0))</f>
        <v>-1</v>
      </c>
      <c r="W189" s="199" cm="1">
        <f t="array" aca="1" ref="W189" ca="1">IF(OR($B189="",$B189="X",$D189="",$D189="X",$E189="",$E189="X"),0,IFERROR(_xlfn.LET(_xlpm.x,SUM(SUM(_xlfn._xlws.FILTER(VALUE(PptoSty[Sign]&amp;1)*(1/PptoSty[Division]),(PptoSty[Division]&lt;&gt;0)*(PptoSty[Division]&lt;&gt;"")*(PptoSty[Division]&lt;&gt;"X")*(PptoSty[Project]=$B189)*(PptoSty[Vrs]=$D189)*(PptoSty[PiRow]=_xlfn.TEXTAFTER($H189,":"))*(PptoSty[PiColumn]=W$54),0)),SUM(IF((INDIRECT($B$3)=$B189)*(INDIRECT($C$3)=$D189)*((INDIRECT($E$3)="TOTS")+(INDIRECT($E$3)=$E189)),INDIRECT(W$3)))),_xlpm.y,SUM(_xlfn.CHOOSECOLS(_xlfn._xlws.FILTER(F_RT14[],(F_RT14[PrjId]=$B189)*(F_RT14[Vrs]=$D189)*(_xlfn.TEXTAFTER(F_RT14[ActGrp],":")=_xlfn.TEXTAFTER($H189,":")),"X"),MATCH("*"&amp;W$54,F_RT14[#Headers],0))),IF(AND(_xlpm.x=0,_xlpm.y&lt;&gt;0),-1,IF(AND(_xlpm.x&lt;&gt;0,_xlpm.y&lt;&gt;0),_xlpm.x,IF(AND(_xlpm.x-SUM(IF((INDIRECT($B$3)=$B189)*(INDIRECT($C$3)=$D189)*((INDIRECT($E$3)="TOTS")+(INDIRECT($E$3)=$E189)),INDIRECT(W$3)))&lt;&gt;0,_xlpm.y=0),-2,_xlpm.x)))),0))</f>
        <v>0</v>
      </c>
      <c r="X189" s="199" cm="1">
        <f t="array" aca="1" ref="X189" ca="1">IF(OR($B189="",$B189="X",$D189="",$D189="X",$E189="",$E189="X"),0,IFERROR(_xlfn.LET(_xlpm.x,SUM(SUM(_xlfn._xlws.FILTER(VALUE(PptoSty[Sign]&amp;1)*(1/PptoSty[Division]),(PptoSty[Division]&lt;&gt;0)*(PptoSty[Division]&lt;&gt;"")*(PptoSty[Division]&lt;&gt;"X")*(PptoSty[Project]=$B189)*(PptoSty[Vrs]=$D189)*(PptoSty[PiRow]=_xlfn.TEXTAFTER($H189,":"))*(PptoSty[PiColumn]=X$54),0)),SUM(IF((INDIRECT($B$3)=$B189)*(INDIRECT($C$3)=$D189)*((INDIRECT($E$3)="TOTS")+(INDIRECT($E$3)=$E189)),INDIRECT(X$3)))),_xlpm.y,SUM(_xlfn.CHOOSECOLS(_xlfn._xlws.FILTER(F_RT14[],(F_RT14[PrjId]=$B189)*(F_RT14[Vrs]=$D189)*(_xlfn.TEXTAFTER(F_RT14[ActGrp],":")=_xlfn.TEXTAFTER($H189,":")),"X"),MATCH("*"&amp;X$54,F_RT14[#Headers],0))),IF(AND(_xlpm.x=0,_xlpm.y&lt;&gt;0),-1,IF(AND(_xlpm.x&lt;&gt;0,_xlpm.y&lt;&gt;0),_xlpm.x,IF(AND(_xlpm.x-SUM(IF((INDIRECT($B$3)=$B189)*(INDIRECT($C$3)=$D189)*((INDIRECT($E$3)="TOTS")+(INDIRECT($E$3)=$E189)),INDIRECT(X$3)))&lt;&gt;0,_xlpm.y=0),-2,_xlpm.x)))),0))</f>
        <v>0</v>
      </c>
      <c r="Y189" s="199" cm="1">
        <f t="array" aca="1" ref="Y189" ca="1">IF(OR($B189="",$B189="X",$D189="",$D189="X",$E189="",$E189="X"),0,IFERROR(_xlfn.LET(_xlpm.x,SUM(SUM(_xlfn._xlws.FILTER(VALUE(PptoSty[Sign]&amp;1)*(1/PptoSty[Division]),(PptoSty[Division]&lt;&gt;0)*(PptoSty[Division]&lt;&gt;"")*(PptoSty[Division]&lt;&gt;"X")*(PptoSty[Project]=$B189)*(PptoSty[Vrs]=$D189)*(PptoSty[PiRow]=_xlfn.TEXTAFTER($H189,":"))*(PptoSty[PiColumn]=Y$54),0)),SUM(IF((INDIRECT($B$3)=$B189)*(INDIRECT($C$3)=$D189)*((INDIRECT($E$3)="TOTS")+(INDIRECT($E$3)=$E189)),INDIRECT(Y$3)))),_xlpm.y,SUM(_xlfn.CHOOSECOLS(_xlfn._xlws.FILTER(F_RT14[],(F_RT14[PrjId]=$B189)*(F_RT14[Vrs]=$D189)*(_xlfn.TEXTAFTER(F_RT14[ActGrp],":")=_xlfn.TEXTAFTER($H189,":")),"X"),MATCH("*"&amp;Y$54,F_RT14[#Headers],0))),IF(AND(_xlpm.x=0,_xlpm.y&lt;&gt;0),-1,IF(AND(_xlpm.x&lt;&gt;0,_xlpm.y&lt;&gt;0),_xlpm.x,IF(AND(_xlpm.x-SUM(IF((INDIRECT($B$3)=$B189)*(INDIRECT($C$3)=$D189)*((INDIRECT($E$3)="TOTS")+(INDIRECT($E$3)=$E189)),INDIRECT(Y$3)))&lt;&gt;0,_xlpm.y=0),-2,_xlpm.x)))),0))</f>
        <v>0</v>
      </c>
      <c r="Z189" s="198" t="str">
        <f t="shared" ca="1" si="4"/>
        <v>Fback!B189:Y189</v>
      </c>
    </row>
    <row r="190" spans="2:26" ht="21" customHeight="1" outlineLevel="1">
      <c r="B190" s="128" t="str">
        <v>31200</v>
      </c>
      <c r="C190" s="128" t="str">
        <v>Sp</v>
      </c>
      <c r="D190" s="128">
        <v>0</v>
      </c>
      <c r="E190" s="128" t="str">
        <v>TOOL</v>
      </c>
      <c r="F190" s="139" t="str">
        <v>SERRA</v>
      </c>
      <c r="G190" s="139" t="str">
        <v>CurPpto</v>
      </c>
      <c r="H190" s="139" t="str">
        <v>P021:OP-15 INSPECTION FIXTURE</v>
      </c>
      <c r="I190" s="199" cm="1">
        <f t="array" aca="1" ref="I190" ca="1">IF(OR($B190="",$B190="X",$D190="",$D190="X",$E190="",$E190="X"),0,IFERROR(_xlfn.LET(_xlpm.x,SUM(SUM(_xlfn._xlws.FILTER(VALUE(PptoSty[Sign]&amp;1)*(1/PptoSty[Division]),(PptoSty[Division]&lt;&gt;0)*(PptoSty[Division]&lt;&gt;"")*(PptoSty[Division]&lt;&gt;"X")*(PptoSty[Project]=$B190)*(PptoSty[Vrs]=$D190)*(PptoSty[PiRow]=_xlfn.TEXTAFTER($H190,":"))*(PptoSty[PiColumn]=I$54),0)),SUM(IF((INDIRECT($B$3)=$B190)*(INDIRECT($C$3)=$D190)*((INDIRECT($E$3)="TOTS")+(INDIRECT($E$3)=$E190)),INDIRECT(I$3)))),_xlpm.y,SUM(_xlfn.CHOOSECOLS(_xlfn._xlws.FILTER(F_RT14[],(F_RT14[PrjId]=$B190)*(F_RT14[Vrs]=$D190)*(_xlfn.TEXTAFTER(F_RT14[ActGrp],":")=_xlfn.TEXTAFTER($H190,":")),"X"),MATCH("*"&amp;I$54,F_RT14[#Headers],0))),IF(AND(_xlpm.x=0,_xlpm.y&lt;&gt;0),-1,IF(AND(_xlpm.x&lt;&gt;0,_xlpm.y&lt;&gt;0),_xlpm.x,IF(AND(_xlpm.x-SUM(IF((INDIRECT($B$3)=$B190)*(INDIRECT($C$3)=$D190)*((INDIRECT($E$3)="TOTS")+(INDIRECT($E$3)=$E190)),INDIRECT(I$3)))&lt;&gt;0,_xlpm.y=0),-2,_xlpm.x)))),0))</f>
        <v>0</v>
      </c>
      <c r="J190" s="199" cm="1">
        <f t="array" aca="1" ref="J190" ca="1">IF(OR($B190="",$B190="X",$D190="",$D190="X",$E190="",$E190="X"),0,IFERROR(_xlfn.LET(_xlpm.x,SUM(SUM(_xlfn._xlws.FILTER(VALUE(PptoSty[Sign]&amp;1)*(1/PptoSty[Division]),(PptoSty[Division]&lt;&gt;0)*(PptoSty[Division]&lt;&gt;"")*(PptoSty[Division]&lt;&gt;"X")*(PptoSty[Project]=$B190)*(PptoSty[Vrs]=$D190)*(PptoSty[PiRow]=_xlfn.TEXTAFTER($H190,":"))*(PptoSty[PiColumn]=J$54),0)),SUM(IF((INDIRECT($B$3)=$B190)*(INDIRECT($C$3)=$D190)*((INDIRECT($E$3)="TOTS")+(INDIRECT($E$3)=$E190)),INDIRECT(J$3)))),_xlpm.y,SUM(_xlfn.CHOOSECOLS(_xlfn._xlws.FILTER(F_RT14[],(F_RT14[PrjId]=$B190)*(F_RT14[Vrs]=$D190)*(_xlfn.TEXTAFTER(F_RT14[ActGrp],":")=_xlfn.TEXTAFTER($H190,":")),"X"),MATCH("*"&amp;J$54,F_RT14[#Headers],0))),IF(AND(_xlpm.x=0,_xlpm.y&lt;&gt;0),-1,IF(AND(_xlpm.x&lt;&gt;0,_xlpm.y&lt;&gt;0),_xlpm.x,IF(AND(_xlpm.x-SUM(IF((INDIRECT($B$3)=$B190)*(INDIRECT($C$3)=$D190)*((INDIRECT($E$3)="TOTS")+(INDIRECT($E$3)=$E190)),INDIRECT(J$3)))&lt;&gt;0,_xlpm.y=0),-2,_xlpm.x)))),0))</f>
        <v>0</v>
      </c>
      <c r="K190" s="199" cm="1">
        <f t="array" aca="1" ref="K190" ca="1">IF(OR($B190="",$B190="X",$D190="",$D190="X",$E190="",$E190="X"),0,IFERROR(_xlfn.LET(_xlpm.x,SUM(SUM(_xlfn._xlws.FILTER(VALUE(PptoSty[Sign]&amp;1)*(1/PptoSty[Division]),(PptoSty[Division]&lt;&gt;0)*(PptoSty[Division]&lt;&gt;"")*(PptoSty[Division]&lt;&gt;"X")*(PptoSty[Project]=$B190)*(PptoSty[Vrs]=$D190)*(PptoSty[PiRow]=_xlfn.TEXTAFTER($H190,":"))*(PptoSty[PiColumn]=K$54),0)),SUM(IF((INDIRECT($B$3)=$B190)*(INDIRECT($C$3)=$D190)*((INDIRECT($E$3)="TOTS")+(INDIRECT($E$3)=$E190)),INDIRECT(K$3)))),_xlpm.y,SUM(_xlfn.CHOOSECOLS(_xlfn._xlws.FILTER(F_RT14[],(F_RT14[PrjId]=$B190)*(F_RT14[Vrs]=$D190)*(_xlfn.TEXTAFTER(F_RT14[ActGrp],":")=_xlfn.TEXTAFTER($H190,":")),"X"),MATCH("*"&amp;K$54,F_RT14[#Headers],0))),IF(AND(_xlpm.x=0,_xlpm.y&lt;&gt;0),-1,IF(AND(_xlpm.x&lt;&gt;0,_xlpm.y&lt;&gt;0),_xlpm.x,IF(AND(_xlpm.x-SUM(IF((INDIRECT($B$3)=$B190)*(INDIRECT($C$3)=$D190)*((INDIRECT($E$3)="TOTS")+(INDIRECT($E$3)=$E190)),INDIRECT(K$3)))&lt;&gt;0,_xlpm.y=0),-2,_xlpm.x)))),0))</f>
        <v>-1</v>
      </c>
      <c r="L190" s="199" cm="1">
        <f t="array" aca="1" ref="L190" ca="1">IF(OR($B190="",$B190="X",$D190="",$D190="X",$E190="",$E190="X"),0,IFERROR(_xlfn.LET(_xlpm.x,SUM(SUM(_xlfn._xlws.FILTER(VALUE(PptoSty[Sign]&amp;1)*(1/PptoSty[Division]),(PptoSty[Division]&lt;&gt;0)*(PptoSty[Division]&lt;&gt;"")*(PptoSty[Division]&lt;&gt;"X")*(PptoSty[Project]=$B190)*(PptoSty[Vrs]=$D190)*(PptoSty[PiRow]=_xlfn.TEXTAFTER($H190,":"))*(PptoSty[PiColumn]=L$54),0)),SUM(IF((INDIRECT($B$3)=$B190)*(INDIRECT($C$3)=$D190)*((INDIRECT($E$3)="TOTS")+(INDIRECT($E$3)=$E190)),INDIRECT(L$3)))),_xlpm.y,SUM(_xlfn.CHOOSECOLS(_xlfn._xlws.FILTER(F_RT14[],(F_RT14[PrjId]=$B190)*(F_RT14[Vrs]=$D190)*(_xlfn.TEXTAFTER(F_RT14[ActGrp],":")=_xlfn.TEXTAFTER($H190,":")),"X"),MATCH("*"&amp;L$54,F_RT14[#Headers],0))),IF(AND(_xlpm.x=0,_xlpm.y&lt;&gt;0),-1,IF(AND(_xlpm.x&lt;&gt;0,_xlpm.y&lt;&gt;0),_xlpm.x,IF(AND(_xlpm.x-SUM(IF((INDIRECT($B$3)=$B190)*(INDIRECT($C$3)=$D190)*((INDIRECT($E$3)="TOTS")+(INDIRECT($E$3)=$E190)),INDIRECT(L$3)))&lt;&gt;0,_xlpm.y=0),-2,_xlpm.x)))),0))</f>
        <v>0</v>
      </c>
      <c r="M190" s="199" cm="1">
        <f t="array" aca="1" ref="M190" ca="1">IF(OR($B190="",$B190="X",$D190="",$D190="X",$E190="",$E190="X"),0,IFERROR(_xlfn.LET(_xlpm.x,SUM(SUM(_xlfn._xlws.FILTER(VALUE(PptoSty[Sign]&amp;1)*(1/PptoSty[Division]),(PptoSty[Division]&lt;&gt;0)*(PptoSty[Division]&lt;&gt;"")*(PptoSty[Division]&lt;&gt;"X")*(PptoSty[Project]=$B190)*(PptoSty[Vrs]=$D190)*(PptoSty[PiRow]=_xlfn.TEXTAFTER($H190,":"))*(PptoSty[PiColumn]=M$54),0)),SUM(IF((INDIRECT($B$3)=$B190)*(INDIRECT($C$3)=$D190)*((INDIRECT($E$3)="TOTS")+(INDIRECT($E$3)=$E190)),INDIRECT(M$3)))),_xlpm.y,SUM(_xlfn.CHOOSECOLS(_xlfn._xlws.FILTER(F_RT14[],(F_RT14[PrjId]=$B190)*(F_RT14[Vrs]=$D190)*(_xlfn.TEXTAFTER(F_RT14[ActGrp],":")=_xlfn.TEXTAFTER($H190,":")),"X"),MATCH("*"&amp;M$54,F_RT14[#Headers],0))),IF(AND(_xlpm.x=0,_xlpm.y&lt;&gt;0),-1,IF(AND(_xlpm.x&lt;&gt;0,_xlpm.y&lt;&gt;0),_xlpm.x,IF(AND(_xlpm.x-SUM(IF((INDIRECT($B$3)=$B190)*(INDIRECT($C$3)=$D190)*((INDIRECT($E$3)="TOTS")+(INDIRECT($E$3)=$E190)),INDIRECT(M$3)))&lt;&gt;0,_xlpm.y=0),-2,_xlpm.x)))),0))</f>
        <v>0</v>
      </c>
      <c r="N190" s="199" cm="1">
        <f t="array" aca="1" ref="N190" ca="1">IF(OR($B190="",$B190="X",$D190="",$D190="X",$E190="",$E190="X"),0,IFERROR(_xlfn.LET(_xlpm.x,SUM(SUM(_xlfn._xlws.FILTER(VALUE(PptoSty[Sign]&amp;1)*(1/PptoSty[Division]),(PptoSty[Division]&lt;&gt;0)*(PptoSty[Division]&lt;&gt;"")*(PptoSty[Division]&lt;&gt;"X")*(PptoSty[Project]=$B190)*(PptoSty[Vrs]=$D190)*(PptoSty[PiRow]=_xlfn.TEXTAFTER($H190,":"))*(PptoSty[PiColumn]=N$54),0)),SUM(IF((INDIRECT($B$3)=$B190)*(INDIRECT($C$3)=$D190)*((INDIRECT($E$3)="TOTS")+(INDIRECT($E$3)=$E190)),INDIRECT(N$3)))),_xlpm.y,SUM(_xlfn.CHOOSECOLS(_xlfn._xlws.FILTER(F_RT14[],(F_RT14[PrjId]=$B190)*(F_RT14[Vrs]=$D190)*(_xlfn.TEXTAFTER(F_RT14[ActGrp],":")=_xlfn.TEXTAFTER($H190,":")),"X"),MATCH("*"&amp;N$54,F_RT14[#Headers],0))),IF(AND(_xlpm.x=0,_xlpm.y&lt;&gt;0),-1,IF(AND(_xlpm.x&lt;&gt;0,_xlpm.y&lt;&gt;0),_xlpm.x,IF(AND(_xlpm.x-SUM(IF((INDIRECT($B$3)=$B190)*(INDIRECT($C$3)=$D190)*((INDIRECT($E$3)="TOTS")+(INDIRECT($E$3)=$E190)),INDIRECT(N$3)))&lt;&gt;0,_xlpm.y=0),-2,_xlpm.x)))),0))</f>
        <v>-1</v>
      </c>
      <c r="O190" s="199" cm="1">
        <f t="array" aca="1" ref="O190" ca="1">IF(OR($B190="",$B190="X",$D190="",$D190="X",$E190="",$E190="X"),0,IFERROR(_xlfn.LET(_xlpm.x,SUM(SUM(_xlfn._xlws.FILTER(VALUE(PptoSty[Sign]&amp;1)*(1/PptoSty[Division]),(PptoSty[Division]&lt;&gt;0)*(PptoSty[Division]&lt;&gt;"")*(PptoSty[Division]&lt;&gt;"X")*(PptoSty[Project]=$B190)*(PptoSty[Vrs]=$D190)*(PptoSty[PiRow]=_xlfn.TEXTAFTER($H190,":"))*(PptoSty[PiColumn]=O$54),0)),SUM(IF((INDIRECT($B$3)=$B190)*(INDIRECT($C$3)=$D190)*((INDIRECT($E$3)="TOTS")+(INDIRECT($E$3)=$E190)),INDIRECT(O$3)))),_xlpm.y,SUM(_xlfn.CHOOSECOLS(_xlfn._xlws.FILTER(F_RT14[],(F_RT14[PrjId]=$B190)*(F_RT14[Vrs]=$D190)*(_xlfn.TEXTAFTER(F_RT14[ActGrp],":")=_xlfn.TEXTAFTER($H190,":")),"X"),MATCH("*"&amp;O$54,F_RT14[#Headers],0))),IF(AND(_xlpm.x=0,_xlpm.y&lt;&gt;0),-1,IF(AND(_xlpm.x&lt;&gt;0,_xlpm.y&lt;&gt;0),_xlpm.x,IF(AND(_xlpm.x-SUM(IF((INDIRECT($B$3)=$B190)*(INDIRECT($C$3)=$D190)*((INDIRECT($E$3)="TOTS")+(INDIRECT($E$3)=$E190)),INDIRECT(O$3)))&lt;&gt;0,_xlpm.y=0),-2,_xlpm.x)))),0))</f>
        <v>0</v>
      </c>
      <c r="P190" s="199" cm="1">
        <f t="array" aca="1" ref="P190" ca="1">IF(OR($B190="",$B190="X",$D190="",$D190="X",$E190="",$E190="X"),0,IFERROR(_xlfn.LET(_xlpm.x,SUM(SUM(_xlfn._xlws.FILTER(VALUE(PptoSty[Sign]&amp;1)*(1/PptoSty[Division]),(PptoSty[Division]&lt;&gt;0)*(PptoSty[Division]&lt;&gt;"")*(PptoSty[Division]&lt;&gt;"X")*(PptoSty[Project]=$B190)*(PptoSty[Vrs]=$D190)*(PptoSty[PiRow]=_xlfn.TEXTAFTER($H190,":"))*(PptoSty[PiColumn]=P$54),0)),SUM(IF((INDIRECT($B$3)=$B190)*(INDIRECT($C$3)=$D190)*((INDIRECT($E$3)="TOTS")+(INDIRECT($E$3)=$E190)),INDIRECT(P$3)))),_xlpm.y,SUM(_xlfn.CHOOSECOLS(_xlfn._xlws.FILTER(F_RT14[],(F_RT14[PrjId]=$B190)*(F_RT14[Vrs]=$D190)*(_xlfn.TEXTAFTER(F_RT14[ActGrp],":")=_xlfn.TEXTAFTER($H190,":")),"X"),MATCH("*"&amp;P$54,F_RT14[#Headers],0))),IF(AND(_xlpm.x=0,_xlpm.y&lt;&gt;0),-1,IF(AND(_xlpm.x&lt;&gt;0,_xlpm.y&lt;&gt;0),_xlpm.x,IF(AND(_xlpm.x-SUM(IF((INDIRECT($B$3)=$B190)*(INDIRECT($C$3)=$D190)*((INDIRECT($E$3)="TOTS")+(INDIRECT($E$3)=$E190)),INDIRECT(P$3)))&lt;&gt;0,_xlpm.y=0),-2,_xlpm.x)))),0))</f>
        <v>-1</v>
      </c>
      <c r="Q190" s="199" cm="1">
        <f t="array" aca="1" ref="Q190" ca="1">IF(OR($B190="",$B190="X",$D190="",$D190="X",$E190="",$E190="X"),0,IFERROR(_xlfn.LET(_xlpm.x,SUM(SUM(_xlfn._xlws.FILTER(VALUE(PptoSty[Sign]&amp;1)*(1/PptoSty[Division]),(PptoSty[Division]&lt;&gt;0)*(PptoSty[Division]&lt;&gt;"")*(PptoSty[Division]&lt;&gt;"X")*(PptoSty[Project]=$B190)*(PptoSty[Vrs]=$D190)*(PptoSty[PiRow]=_xlfn.TEXTAFTER($H190,":"))*(PptoSty[PiColumn]=Q$54),0)),SUM(IF((INDIRECT($B$3)=$B190)*(INDIRECT($C$3)=$D190)*((INDIRECT($E$3)="TOTS")+(INDIRECT($E$3)=$E190)),INDIRECT(Q$3)))),_xlpm.y,SUM(_xlfn.CHOOSECOLS(_xlfn._xlws.FILTER(F_RT14[],(F_RT14[PrjId]=$B190)*(F_RT14[Vrs]=$D190)*(_xlfn.TEXTAFTER(F_RT14[ActGrp],":")=_xlfn.TEXTAFTER($H190,":")),"X"),MATCH("*"&amp;Q$54,F_RT14[#Headers],0))),IF(AND(_xlpm.x=0,_xlpm.y&lt;&gt;0),-1,IF(AND(_xlpm.x&lt;&gt;0,_xlpm.y&lt;&gt;0),_xlpm.x,IF(AND(_xlpm.x-SUM(IF((INDIRECT($B$3)=$B190)*(INDIRECT($C$3)=$D190)*((INDIRECT($E$3)="TOTS")+(INDIRECT($E$3)=$E190)),INDIRECT(Q$3)))&lt;&gt;0,_xlpm.y=0),-2,_xlpm.x)))),0))</f>
        <v>-1</v>
      </c>
      <c r="R190" s="199" cm="1">
        <f t="array" aca="1" ref="R190" ca="1">IF(OR($B190="",$B190="X",$D190="",$D190="X",$E190="",$E190="X"),0,IFERROR(_xlfn.LET(_xlpm.x,SUM(SUM(_xlfn._xlws.FILTER(VALUE(PptoSty[Sign]&amp;1)*(1/PptoSty[Division]),(PptoSty[Division]&lt;&gt;0)*(PptoSty[Division]&lt;&gt;"")*(PptoSty[Division]&lt;&gt;"X")*(PptoSty[Project]=$B190)*(PptoSty[Vrs]=$D190)*(PptoSty[PiRow]=_xlfn.TEXTAFTER($H190,":"))*(PptoSty[PiColumn]=R$54),0)),SUM(IF((INDIRECT($B$3)=$B190)*(INDIRECT($C$3)=$D190)*((INDIRECT($E$3)="TOTS")+(INDIRECT($E$3)=$E190)),INDIRECT(R$3)))),_xlpm.y,SUM(_xlfn.CHOOSECOLS(_xlfn._xlws.FILTER(F_RT14[],(F_RT14[PrjId]=$B190)*(F_RT14[Vrs]=$D190)*(_xlfn.TEXTAFTER(F_RT14[ActGrp],":")=_xlfn.TEXTAFTER($H190,":")),"X"),MATCH("*"&amp;R$54,F_RT14[#Headers],0))),IF(AND(_xlpm.x=0,_xlpm.y&lt;&gt;0),-1,IF(AND(_xlpm.x&lt;&gt;0,_xlpm.y&lt;&gt;0),_xlpm.x,IF(AND(_xlpm.x-SUM(IF((INDIRECT($B$3)=$B190)*(INDIRECT($C$3)=$D190)*((INDIRECT($E$3)="TOTS")+(INDIRECT($E$3)=$E190)),INDIRECT(R$3)))&lt;&gt;0,_xlpm.y=0),-2,_xlpm.x)))),0))</f>
        <v>-1</v>
      </c>
      <c r="S190" s="199" cm="1">
        <f t="array" aca="1" ref="S190" ca="1">IF(OR($B190="",$B190="X",$D190="",$D190="X",$E190="",$E190="X"),0,IFERROR(_xlfn.LET(_xlpm.x,SUM(SUM(_xlfn._xlws.FILTER(VALUE(PptoSty[Sign]&amp;1)*(1/PptoSty[Division]),(PptoSty[Division]&lt;&gt;0)*(PptoSty[Division]&lt;&gt;"")*(PptoSty[Division]&lt;&gt;"X")*(PptoSty[Project]=$B190)*(PptoSty[Vrs]=$D190)*(PptoSty[PiRow]=_xlfn.TEXTAFTER($H190,":"))*(PptoSty[PiColumn]=S$54),0)),SUM(IF((INDIRECT($B$3)=$B190)*(INDIRECT($C$3)=$D190)*((INDIRECT($E$3)="TOTS")+(INDIRECT($E$3)=$E190)),INDIRECT(S$3)))),_xlpm.y,SUM(_xlfn.CHOOSECOLS(_xlfn._xlws.FILTER(F_RT14[],(F_RT14[PrjId]=$B190)*(F_RT14[Vrs]=$D190)*(_xlfn.TEXTAFTER(F_RT14[ActGrp],":")=_xlfn.TEXTAFTER($H190,":")),"X"),MATCH("*"&amp;S$54,F_RT14[#Headers],0))),IF(AND(_xlpm.x=0,_xlpm.y&lt;&gt;0),-1,IF(AND(_xlpm.x&lt;&gt;0,_xlpm.y&lt;&gt;0),_xlpm.x,IF(AND(_xlpm.x-SUM(IF((INDIRECT($B$3)=$B190)*(INDIRECT($C$3)=$D190)*((INDIRECT($E$3)="TOTS")+(INDIRECT($E$3)=$E190)),INDIRECT(S$3)))&lt;&gt;0,_xlpm.y=0),-2,_xlpm.x)))),0))</f>
        <v>-1</v>
      </c>
      <c r="T190" s="199" cm="1">
        <f t="array" aca="1" ref="T190" ca="1">IF(OR($B190="",$B190="X",$D190="",$D190="X",$E190="",$E190="X"),0,IFERROR(_xlfn.LET(_xlpm.x,SUM(SUM(_xlfn._xlws.FILTER(VALUE(PptoSty[Sign]&amp;1)*(1/PptoSty[Division]),(PptoSty[Division]&lt;&gt;0)*(PptoSty[Division]&lt;&gt;"")*(PptoSty[Division]&lt;&gt;"X")*(PptoSty[Project]=$B190)*(PptoSty[Vrs]=$D190)*(PptoSty[PiRow]=_xlfn.TEXTAFTER($H190,":"))*(PptoSty[PiColumn]=T$54),0)),SUM(IF((INDIRECT($B$3)=$B190)*(INDIRECT($C$3)=$D190)*((INDIRECT($E$3)="TOTS")+(INDIRECT($E$3)=$E190)),INDIRECT(T$3)))),_xlpm.y,SUM(_xlfn.CHOOSECOLS(_xlfn._xlws.FILTER(F_RT14[],(F_RT14[PrjId]=$B190)*(F_RT14[Vrs]=$D190)*(_xlfn.TEXTAFTER(F_RT14[ActGrp],":")=_xlfn.TEXTAFTER($H190,":")),"X"),MATCH("*"&amp;T$54,F_RT14[#Headers],0))),IF(AND(_xlpm.x=0,_xlpm.y&lt;&gt;0),-1,IF(AND(_xlpm.x&lt;&gt;0,_xlpm.y&lt;&gt;0),_xlpm.x,IF(AND(_xlpm.x-SUM(IF((INDIRECT($B$3)=$B190)*(INDIRECT($C$3)=$D190)*((INDIRECT($E$3)="TOTS")+(INDIRECT($E$3)=$E190)),INDIRECT(T$3)))&lt;&gt;0,_xlpm.y=0),-2,_xlpm.x)))),0))</f>
        <v>-1</v>
      </c>
      <c r="U190" s="199" cm="1">
        <f t="array" aca="1" ref="U190" ca="1">IF(OR($B190="",$B190="X",$D190="",$D190="X",$E190="",$E190="X"),0,IFERROR(_xlfn.LET(_xlpm.x,SUM(SUM(_xlfn._xlws.FILTER(VALUE(PptoSty[Sign]&amp;1)*(1/PptoSty[Division]),(PptoSty[Division]&lt;&gt;0)*(PptoSty[Division]&lt;&gt;"")*(PptoSty[Division]&lt;&gt;"X")*(PptoSty[Project]=$B190)*(PptoSty[Vrs]=$D190)*(PptoSty[PiRow]=_xlfn.TEXTAFTER($H190,":"))*(PptoSty[PiColumn]=U$54),0)),SUM(IF((INDIRECT($B$3)=$B190)*(INDIRECT($C$3)=$D190)*((INDIRECT($E$3)="TOTS")+(INDIRECT($E$3)=$E190)),INDIRECT(U$3)))),_xlpm.y,SUM(_xlfn.CHOOSECOLS(_xlfn._xlws.FILTER(F_RT14[],(F_RT14[PrjId]=$B190)*(F_RT14[Vrs]=$D190)*(_xlfn.TEXTAFTER(F_RT14[ActGrp],":")=_xlfn.TEXTAFTER($H190,":")),"X"),MATCH("*"&amp;U$54,F_RT14[#Headers],0))),IF(AND(_xlpm.x=0,_xlpm.y&lt;&gt;0),-1,IF(AND(_xlpm.x&lt;&gt;0,_xlpm.y&lt;&gt;0),_xlpm.x,IF(AND(_xlpm.x-SUM(IF((INDIRECT($B$3)=$B190)*(INDIRECT($C$3)=$D190)*((INDIRECT($E$3)="TOTS")+(INDIRECT($E$3)=$E190)),INDIRECT(U$3)))&lt;&gt;0,_xlpm.y=0),-2,_xlpm.x)))),0))</f>
        <v>0</v>
      </c>
      <c r="V190" s="199" cm="1">
        <f t="array" aca="1" ref="V190" ca="1">IF(OR($B190="",$B190="X",$D190="",$D190="X",$E190="",$E190="X"),0,IFERROR(_xlfn.LET(_xlpm.x,SUM(SUM(_xlfn._xlws.FILTER(VALUE(PptoSty[Sign]&amp;1)*(1/PptoSty[Division]),(PptoSty[Division]&lt;&gt;0)*(PptoSty[Division]&lt;&gt;"")*(PptoSty[Division]&lt;&gt;"X")*(PptoSty[Project]=$B190)*(PptoSty[Vrs]=$D190)*(PptoSty[PiRow]=_xlfn.TEXTAFTER($H190,":"))*(PptoSty[PiColumn]=V$54),0)),SUM(IF((INDIRECT($B$3)=$B190)*(INDIRECT($C$3)=$D190)*((INDIRECT($E$3)="TOTS")+(INDIRECT($E$3)=$E190)),INDIRECT(V$3)))),_xlpm.y,SUM(_xlfn.CHOOSECOLS(_xlfn._xlws.FILTER(F_RT14[],(F_RT14[PrjId]=$B190)*(F_RT14[Vrs]=$D190)*(_xlfn.TEXTAFTER(F_RT14[ActGrp],":")=_xlfn.TEXTAFTER($H190,":")),"X"),MATCH("*"&amp;V$54,F_RT14[#Headers],0))),IF(AND(_xlpm.x=0,_xlpm.y&lt;&gt;0),-1,IF(AND(_xlpm.x&lt;&gt;0,_xlpm.y&lt;&gt;0),_xlpm.x,IF(AND(_xlpm.x-SUM(IF((INDIRECT($B$3)=$B190)*(INDIRECT($C$3)=$D190)*((INDIRECT($E$3)="TOTS")+(INDIRECT($E$3)=$E190)),INDIRECT(V$3)))&lt;&gt;0,_xlpm.y=0),-2,_xlpm.x)))),0))</f>
        <v>-1</v>
      </c>
      <c r="W190" s="199" cm="1">
        <f t="array" aca="1" ref="W190" ca="1">IF(OR($B190="",$B190="X",$D190="",$D190="X",$E190="",$E190="X"),0,IFERROR(_xlfn.LET(_xlpm.x,SUM(SUM(_xlfn._xlws.FILTER(VALUE(PptoSty[Sign]&amp;1)*(1/PptoSty[Division]),(PptoSty[Division]&lt;&gt;0)*(PptoSty[Division]&lt;&gt;"")*(PptoSty[Division]&lt;&gt;"X")*(PptoSty[Project]=$B190)*(PptoSty[Vrs]=$D190)*(PptoSty[PiRow]=_xlfn.TEXTAFTER($H190,":"))*(PptoSty[PiColumn]=W$54),0)),SUM(IF((INDIRECT($B$3)=$B190)*(INDIRECT($C$3)=$D190)*((INDIRECT($E$3)="TOTS")+(INDIRECT($E$3)=$E190)),INDIRECT(W$3)))),_xlpm.y,SUM(_xlfn.CHOOSECOLS(_xlfn._xlws.FILTER(F_RT14[],(F_RT14[PrjId]=$B190)*(F_RT14[Vrs]=$D190)*(_xlfn.TEXTAFTER(F_RT14[ActGrp],":")=_xlfn.TEXTAFTER($H190,":")),"X"),MATCH("*"&amp;W$54,F_RT14[#Headers],0))),IF(AND(_xlpm.x=0,_xlpm.y&lt;&gt;0),-1,IF(AND(_xlpm.x&lt;&gt;0,_xlpm.y&lt;&gt;0),_xlpm.x,IF(AND(_xlpm.x-SUM(IF((INDIRECT($B$3)=$B190)*(INDIRECT($C$3)=$D190)*((INDIRECT($E$3)="TOTS")+(INDIRECT($E$3)=$E190)),INDIRECT(W$3)))&lt;&gt;0,_xlpm.y=0),-2,_xlpm.x)))),0))</f>
        <v>-1</v>
      </c>
      <c r="X190" s="199" cm="1">
        <f t="array" aca="1" ref="X190" ca="1">IF(OR($B190="",$B190="X",$D190="",$D190="X",$E190="",$E190="X"),0,IFERROR(_xlfn.LET(_xlpm.x,SUM(SUM(_xlfn._xlws.FILTER(VALUE(PptoSty[Sign]&amp;1)*(1/PptoSty[Division]),(PptoSty[Division]&lt;&gt;0)*(PptoSty[Division]&lt;&gt;"")*(PptoSty[Division]&lt;&gt;"X")*(PptoSty[Project]=$B190)*(PptoSty[Vrs]=$D190)*(PptoSty[PiRow]=_xlfn.TEXTAFTER($H190,":"))*(PptoSty[PiColumn]=X$54),0)),SUM(IF((INDIRECT($B$3)=$B190)*(INDIRECT($C$3)=$D190)*((INDIRECT($E$3)="TOTS")+(INDIRECT($E$3)=$E190)),INDIRECT(X$3)))),_xlpm.y,SUM(_xlfn.CHOOSECOLS(_xlfn._xlws.FILTER(F_RT14[],(F_RT14[PrjId]=$B190)*(F_RT14[Vrs]=$D190)*(_xlfn.TEXTAFTER(F_RT14[ActGrp],":")=_xlfn.TEXTAFTER($H190,":")),"X"),MATCH("*"&amp;X$54,F_RT14[#Headers],0))),IF(AND(_xlpm.x=0,_xlpm.y&lt;&gt;0),-1,IF(AND(_xlpm.x&lt;&gt;0,_xlpm.y&lt;&gt;0),_xlpm.x,IF(AND(_xlpm.x-SUM(IF((INDIRECT($B$3)=$B190)*(INDIRECT($C$3)=$D190)*((INDIRECT($E$3)="TOTS")+(INDIRECT($E$3)=$E190)),INDIRECT(X$3)))&lt;&gt;0,_xlpm.y=0),-2,_xlpm.x)))),0))</f>
        <v>-1</v>
      </c>
      <c r="Y190" s="199" cm="1">
        <f t="array" aca="1" ref="Y190" ca="1">IF(OR($B190="",$B190="X",$D190="",$D190="X",$E190="",$E190="X"),0,IFERROR(_xlfn.LET(_xlpm.x,SUM(SUM(_xlfn._xlws.FILTER(VALUE(PptoSty[Sign]&amp;1)*(1/PptoSty[Division]),(PptoSty[Division]&lt;&gt;0)*(PptoSty[Division]&lt;&gt;"")*(PptoSty[Division]&lt;&gt;"X")*(PptoSty[Project]=$B190)*(PptoSty[Vrs]=$D190)*(PptoSty[PiRow]=_xlfn.TEXTAFTER($H190,":"))*(PptoSty[PiColumn]=Y$54),0)),SUM(IF((INDIRECT($B$3)=$B190)*(INDIRECT($C$3)=$D190)*((INDIRECT($E$3)="TOTS")+(INDIRECT($E$3)=$E190)),INDIRECT(Y$3)))),_xlpm.y,SUM(_xlfn.CHOOSECOLS(_xlfn._xlws.FILTER(F_RT14[],(F_RT14[PrjId]=$B190)*(F_RT14[Vrs]=$D190)*(_xlfn.TEXTAFTER(F_RT14[ActGrp],":")=_xlfn.TEXTAFTER($H190,":")),"X"),MATCH("*"&amp;Y$54,F_RT14[#Headers],0))),IF(AND(_xlpm.x=0,_xlpm.y&lt;&gt;0),-1,IF(AND(_xlpm.x&lt;&gt;0,_xlpm.y&lt;&gt;0),_xlpm.x,IF(AND(_xlpm.x-SUM(IF((INDIRECT($B$3)=$B190)*(INDIRECT($C$3)=$D190)*((INDIRECT($E$3)="TOTS")+(INDIRECT($E$3)=$E190)),INDIRECT(Y$3)))&lt;&gt;0,_xlpm.y=0),-2,_xlpm.x)))),0))</f>
        <v>0</v>
      </c>
      <c r="Z190" s="198" t="str">
        <f t="shared" ca="1" si="4"/>
        <v>Fback!B190:Y190</v>
      </c>
    </row>
    <row r="191" spans="2:26" ht="21" customHeight="1" outlineLevel="1">
      <c r="B191" s="128" t="str">
        <v>31200</v>
      </c>
      <c r="C191" s="128" t="str">
        <v>Sp</v>
      </c>
      <c r="D191" s="128">
        <v>0</v>
      </c>
      <c r="E191" s="128" t="str">
        <v>CELL</v>
      </c>
      <c r="F191" s="139" t="str">
        <v>SERRA</v>
      </c>
      <c r="G191" s="139" t="str">
        <v>CurPpto</v>
      </c>
      <c r="H191" s="139" t="str">
        <v>A001:MATERIAL UNP SERRA</v>
      </c>
      <c r="I191" s="199" cm="1">
        <f t="array" aca="1" ref="I191" ca="1">IF(OR($B191="",$B191="X",$D191="",$D191="X",$E191="",$E191="X"),0,IFERROR(_xlfn.LET(_xlpm.x,SUM(SUM(_xlfn._xlws.FILTER(VALUE(PptoSty[Sign]&amp;1)*(1/PptoSty[Division]),(PptoSty[Division]&lt;&gt;0)*(PptoSty[Division]&lt;&gt;"")*(PptoSty[Division]&lt;&gt;"X")*(PptoSty[Project]=$B191)*(PptoSty[Vrs]=$D191)*(PptoSty[PiRow]=_xlfn.TEXTAFTER($H191,":"))*(PptoSty[PiColumn]=I$54),0)),SUM(IF((INDIRECT($B$3)=$B191)*(INDIRECT($C$3)=$D191)*((INDIRECT($E$3)="TOTS")+(INDIRECT($E$3)=$E191)),INDIRECT(I$3)))),_xlpm.y,SUM(_xlfn.CHOOSECOLS(_xlfn._xlws.FILTER(F_RT14[],(F_RT14[PrjId]=$B191)*(F_RT14[Vrs]=$D191)*(_xlfn.TEXTAFTER(F_RT14[ActGrp],":")=_xlfn.TEXTAFTER($H191,":")),"X"),MATCH("*"&amp;I$54,F_RT14[#Headers],0))),IF(AND(_xlpm.x=0,_xlpm.y&lt;&gt;0),-1,IF(AND(_xlpm.x&lt;&gt;0,_xlpm.y&lt;&gt;0),_xlpm.x,IF(AND(_xlpm.x-SUM(IF((INDIRECT($B$3)=$B191)*(INDIRECT($C$3)=$D191)*((INDIRECT($E$3)="TOTS")+(INDIRECT($E$3)=$E191)),INDIRECT(I$3)))&lt;&gt;0,_xlpm.y=0),-2,_xlpm.x)))),0))</f>
        <v>0</v>
      </c>
      <c r="J191" s="199" cm="1">
        <f t="array" aca="1" ref="J191" ca="1">IF(OR($B191="",$B191="X",$D191="",$D191="X",$E191="",$E191="X"),0,IFERROR(_xlfn.LET(_xlpm.x,SUM(SUM(_xlfn._xlws.FILTER(VALUE(PptoSty[Sign]&amp;1)*(1/PptoSty[Division]),(PptoSty[Division]&lt;&gt;0)*(PptoSty[Division]&lt;&gt;"")*(PptoSty[Division]&lt;&gt;"X")*(PptoSty[Project]=$B191)*(PptoSty[Vrs]=$D191)*(PptoSty[PiRow]=_xlfn.TEXTAFTER($H191,":"))*(PptoSty[PiColumn]=J$54),0)),SUM(IF((INDIRECT($B$3)=$B191)*(INDIRECT($C$3)=$D191)*((INDIRECT($E$3)="TOTS")+(INDIRECT($E$3)=$E191)),INDIRECT(J$3)))),_xlpm.y,SUM(_xlfn.CHOOSECOLS(_xlfn._xlws.FILTER(F_RT14[],(F_RT14[PrjId]=$B191)*(F_RT14[Vrs]=$D191)*(_xlfn.TEXTAFTER(F_RT14[ActGrp],":")=_xlfn.TEXTAFTER($H191,":")),"X"),MATCH("*"&amp;J$54,F_RT14[#Headers],0))),IF(AND(_xlpm.x=0,_xlpm.y&lt;&gt;0),-1,IF(AND(_xlpm.x&lt;&gt;0,_xlpm.y&lt;&gt;0),_xlpm.x,IF(AND(_xlpm.x-SUM(IF((INDIRECT($B$3)=$B191)*(INDIRECT($C$3)=$D191)*((INDIRECT($E$3)="TOTS")+(INDIRECT($E$3)=$E191)),INDIRECT(J$3)))&lt;&gt;0,_xlpm.y=0),-2,_xlpm.x)))),0))</f>
        <v>0</v>
      </c>
      <c r="K191" s="199" cm="1">
        <f t="array" aca="1" ref="K191" ca="1">IF(OR($B191="",$B191="X",$D191="",$D191="X",$E191="",$E191="X"),0,IFERROR(_xlfn.LET(_xlpm.x,SUM(SUM(_xlfn._xlws.FILTER(VALUE(PptoSty[Sign]&amp;1)*(1/PptoSty[Division]),(PptoSty[Division]&lt;&gt;0)*(PptoSty[Division]&lt;&gt;"")*(PptoSty[Division]&lt;&gt;"X")*(PptoSty[Project]=$B191)*(PptoSty[Vrs]=$D191)*(PptoSty[PiRow]=_xlfn.TEXTAFTER($H191,":"))*(PptoSty[PiColumn]=K$54),0)),SUM(IF((INDIRECT($B$3)=$B191)*(INDIRECT($C$3)=$D191)*((INDIRECT($E$3)="TOTS")+(INDIRECT($E$3)=$E191)),INDIRECT(K$3)))),_xlpm.y,SUM(_xlfn.CHOOSECOLS(_xlfn._xlws.FILTER(F_RT14[],(F_RT14[PrjId]=$B191)*(F_RT14[Vrs]=$D191)*(_xlfn.TEXTAFTER(F_RT14[ActGrp],":")=_xlfn.TEXTAFTER($H191,":")),"X"),MATCH("*"&amp;K$54,F_RT14[#Headers],0))),IF(AND(_xlpm.x=0,_xlpm.y&lt;&gt;0),-1,IF(AND(_xlpm.x&lt;&gt;0,_xlpm.y&lt;&gt;0),_xlpm.x,IF(AND(_xlpm.x-SUM(IF((INDIRECT($B$3)=$B191)*(INDIRECT($C$3)=$D191)*((INDIRECT($E$3)="TOTS")+(INDIRECT($E$3)=$E191)),INDIRECT(K$3)))&lt;&gt;0,_xlpm.y=0),-2,_xlpm.x)))),0))</f>
        <v>0</v>
      </c>
      <c r="L191" s="199" cm="1">
        <f t="array" aca="1" ref="L191" ca="1">IF(OR($B191="",$B191="X",$D191="",$D191="X",$E191="",$E191="X"),0,IFERROR(_xlfn.LET(_xlpm.x,SUM(SUM(_xlfn._xlws.FILTER(VALUE(PptoSty[Sign]&amp;1)*(1/PptoSty[Division]),(PptoSty[Division]&lt;&gt;0)*(PptoSty[Division]&lt;&gt;"")*(PptoSty[Division]&lt;&gt;"X")*(PptoSty[Project]=$B191)*(PptoSty[Vrs]=$D191)*(PptoSty[PiRow]=_xlfn.TEXTAFTER($H191,":"))*(PptoSty[PiColumn]=L$54),0)),SUM(IF((INDIRECT($B$3)=$B191)*(INDIRECT($C$3)=$D191)*((INDIRECT($E$3)="TOTS")+(INDIRECT($E$3)=$E191)),INDIRECT(L$3)))),_xlpm.y,SUM(_xlfn.CHOOSECOLS(_xlfn._xlws.FILTER(F_RT14[],(F_RT14[PrjId]=$B191)*(F_RT14[Vrs]=$D191)*(_xlfn.TEXTAFTER(F_RT14[ActGrp],":")=_xlfn.TEXTAFTER($H191,":")),"X"),MATCH("*"&amp;L$54,F_RT14[#Headers],0))),IF(AND(_xlpm.x=0,_xlpm.y&lt;&gt;0),-1,IF(AND(_xlpm.x&lt;&gt;0,_xlpm.y&lt;&gt;0),_xlpm.x,IF(AND(_xlpm.x-SUM(IF((INDIRECT($B$3)=$B191)*(INDIRECT($C$3)=$D191)*((INDIRECT($E$3)="TOTS")+(INDIRECT($E$3)=$E191)),INDIRECT(L$3)))&lt;&gt;0,_xlpm.y=0),-2,_xlpm.x)))),0))</f>
        <v>0</v>
      </c>
      <c r="M191" s="199" cm="1">
        <f t="array" aca="1" ref="M191" ca="1">IF(OR($B191="",$B191="X",$D191="",$D191="X",$E191="",$E191="X"),0,IFERROR(_xlfn.LET(_xlpm.x,SUM(SUM(_xlfn._xlws.FILTER(VALUE(PptoSty[Sign]&amp;1)*(1/PptoSty[Division]),(PptoSty[Division]&lt;&gt;0)*(PptoSty[Division]&lt;&gt;"")*(PptoSty[Division]&lt;&gt;"X")*(PptoSty[Project]=$B191)*(PptoSty[Vrs]=$D191)*(PptoSty[PiRow]=_xlfn.TEXTAFTER($H191,":"))*(PptoSty[PiColumn]=M$54),0)),SUM(IF((INDIRECT($B$3)=$B191)*(INDIRECT($C$3)=$D191)*((INDIRECT($E$3)="TOTS")+(INDIRECT($E$3)=$E191)),INDIRECT(M$3)))),_xlpm.y,SUM(_xlfn.CHOOSECOLS(_xlfn._xlws.FILTER(F_RT14[],(F_RT14[PrjId]=$B191)*(F_RT14[Vrs]=$D191)*(_xlfn.TEXTAFTER(F_RT14[ActGrp],":")=_xlfn.TEXTAFTER($H191,":")),"X"),MATCH("*"&amp;M$54,F_RT14[#Headers],0))),IF(AND(_xlpm.x=0,_xlpm.y&lt;&gt;0),-1,IF(AND(_xlpm.x&lt;&gt;0,_xlpm.y&lt;&gt;0),_xlpm.x,IF(AND(_xlpm.x-SUM(IF((INDIRECT($B$3)=$B191)*(INDIRECT($C$3)=$D191)*((INDIRECT($E$3)="TOTS")+(INDIRECT($E$3)=$E191)),INDIRECT(M$3)))&lt;&gt;0,_xlpm.y=0),-2,_xlpm.x)))),0))</f>
        <v>0</v>
      </c>
      <c r="N191" s="199" cm="1">
        <f t="array" aca="1" ref="N191" ca="1">IF(OR($B191="",$B191="X",$D191="",$D191="X",$E191="",$E191="X"),0,IFERROR(_xlfn.LET(_xlpm.x,SUM(SUM(_xlfn._xlws.FILTER(VALUE(PptoSty[Sign]&amp;1)*(1/PptoSty[Division]),(PptoSty[Division]&lt;&gt;0)*(PptoSty[Division]&lt;&gt;"")*(PptoSty[Division]&lt;&gt;"X")*(PptoSty[Project]=$B191)*(PptoSty[Vrs]=$D191)*(PptoSty[PiRow]=_xlfn.TEXTAFTER($H191,":"))*(PptoSty[PiColumn]=N$54),0)),SUM(IF((INDIRECT($B$3)=$B191)*(INDIRECT($C$3)=$D191)*((INDIRECT($E$3)="TOTS")+(INDIRECT($E$3)=$E191)),INDIRECT(N$3)))),_xlpm.y,SUM(_xlfn.CHOOSECOLS(_xlfn._xlws.FILTER(F_RT14[],(F_RT14[PrjId]=$B191)*(F_RT14[Vrs]=$D191)*(_xlfn.TEXTAFTER(F_RT14[ActGrp],":")=_xlfn.TEXTAFTER($H191,":")),"X"),MATCH("*"&amp;N$54,F_RT14[#Headers],0))),IF(AND(_xlpm.x=0,_xlpm.y&lt;&gt;0),-1,IF(AND(_xlpm.x&lt;&gt;0,_xlpm.y&lt;&gt;0),_xlpm.x,IF(AND(_xlpm.x-SUM(IF((INDIRECT($B$3)=$B191)*(INDIRECT($C$3)=$D191)*((INDIRECT($E$3)="TOTS")+(INDIRECT($E$3)=$E191)),INDIRECT(N$3)))&lt;&gt;0,_xlpm.y=0),-2,_xlpm.x)))),0))</f>
        <v>0</v>
      </c>
      <c r="O191" s="199" cm="1">
        <f t="array" aca="1" ref="O191" ca="1">IF(OR($B191="",$B191="X",$D191="",$D191="X",$E191="",$E191="X"),0,IFERROR(_xlfn.LET(_xlpm.x,SUM(SUM(_xlfn._xlws.FILTER(VALUE(PptoSty[Sign]&amp;1)*(1/PptoSty[Division]),(PptoSty[Division]&lt;&gt;0)*(PptoSty[Division]&lt;&gt;"")*(PptoSty[Division]&lt;&gt;"X")*(PptoSty[Project]=$B191)*(PptoSty[Vrs]=$D191)*(PptoSty[PiRow]=_xlfn.TEXTAFTER($H191,":"))*(PptoSty[PiColumn]=O$54),0)),SUM(IF((INDIRECT($B$3)=$B191)*(INDIRECT($C$3)=$D191)*((INDIRECT($E$3)="TOTS")+(INDIRECT($E$3)=$E191)),INDIRECT(O$3)))),_xlpm.y,SUM(_xlfn.CHOOSECOLS(_xlfn._xlws.FILTER(F_RT14[],(F_RT14[PrjId]=$B191)*(F_RT14[Vrs]=$D191)*(_xlfn.TEXTAFTER(F_RT14[ActGrp],":")=_xlfn.TEXTAFTER($H191,":")),"X"),MATCH("*"&amp;O$54,F_RT14[#Headers],0))),IF(AND(_xlpm.x=0,_xlpm.y&lt;&gt;0),-1,IF(AND(_xlpm.x&lt;&gt;0,_xlpm.y&lt;&gt;0),_xlpm.x,IF(AND(_xlpm.x-SUM(IF((INDIRECT($B$3)=$B191)*(INDIRECT($C$3)=$D191)*((INDIRECT($E$3)="TOTS")+(INDIRECT($E$3)=$E191)),INDIRECT(O$3)))&lt;&gt;0,_xlpm.y=0),-2,_xlpm.x)))),0))</f>
        <v>0</v>
      </c>
      <c r="P191" s="199" cm="1">
        <f t="array" aca="1" ref="P191" ca="1">IF(OR($B191="",$B191="X",$D191="",$D191="X",$E191="",$E191="X"),0,IFERROR(_xlfn.LET(_xlpm.x,SUM(SUM(_xlfn._xlws.FILTER(VALUE(PptoSty[Sign]&amp;1)*(1/PptoSty[Division]),(PptoSty[Division]&lt;&gt;0)*(PptoSty[Division]&lt;&gt;"")*(PptoSty[Division]&lt;&gt;"X")*(PptoSty[Project]=$B191)*(PptoSty[Vrs]=$D191)*(PptoSty[PiRow]=_xlfn.TEXTAFTER($H191,":"))*(PptoSty[PiColumn]=P$54),0)),SUM(IF((INDIRECT($B$3)=$B191)*(INDIRECT($C$3)=$D191)*((INDIRECT($E$3)="TOTS")+(INDIRECT($E$3)=$E191)),INDIRECT(P$3)))),_xlpm.y,SUM(_xlfn.CHOOSECOLS(_xlfn._xlws.FILTER(F_RT14[],(F_RT14[PrjId]=$B191)*(F_RT14[Vrs]=$D191)*(_xlfn.TEXTAFTER(F_RT14[ActGrp],":")=_xlfn.TEXTAFTER($H191,":")),"X"),MATCH("*"&amp;P$54,F_RT14[#Headers],0))),IF(AND(_xlpm.x=0,_xlpm.y&lt;&gt;0),-1,IF(AND(_xlpm.x&lt;&gt;0,_xlpm.y&lt;&gt;0),_xlpm.x,IF(AND(_xlpm.x-SUM(IF((INDIRECT($B$3)=$B191)*(INDIRECT($C$3)=$D191)*((INDIRECT($E$3)="TOTS")+(INDIRECT($E$3)=$E191)),INDIRECT(P$3)))&lt;&gt;0,_xlpm.y=0),-2,_xlpm.x)))),0))</f>
        <v>0</v>
      </c>
      <c r="Q191" s="199" cm="1">
        <f t="array" aca="1" ref="Q191" ca="1">IF(OR($B191="",$B191="X",$D191="",$D191="X",$E191="",$E191="X"),0,IFERROR(_xlfn.LET(_xlpm.x,SUM(SUM(_xlfn._xlws.FILTER(VALUE(PptoSty[Sign]&amp;1)*(1/PptoSty[Division]),(PptoSty[Division]&lt;&gt;0)*(PptoSty[Division]&lt;&gt;"")*(PptoSty[Division]&lt;&gt;"X")*(PptoSty[Project]=$B191)*(PptoSty[Vrs]=$D191)*(PptoSty[PiRow]=_xlfn.TEXTAFTER($H191,":"))*(PptoSty[PiColumn]=Q$54),0)),SUM(IF((INDIRECT($B$3)=$B191)*(INDIRECT($C$3)=$D191)*((INDIRECT($E$3)="TOTS")+(INDIRECT($E$3)=$E191)),INDIRECT(Q$3)))),_xlpm.y,SUM(_xlfn.CHOOSECOLS(_xlfn._xlws.FILTER(F_RT14[],(F_RT14[PrjId]=$B191)*(F_RT14[Vrs]=$D191)*(_xlfn.TEXTAFTER(F_RT14[ActGrp],":")=_xlfn.TEXTAFTER($H191,":")),"X"),MATCH("*"&amp;Q$54,F_RT14[#Headers],0))),IF(AND(_xlpm.x=0,_xlpm.y&lt;&gt;0),-1,IF(AND(_xlpm.x&lt;&gt;0,_xlpm.y&lt;&gt;0),_xlpm.x,IF(AND(_xlpm.x-SUM(IF((INDIRECT($B$3)=$B191)*(INDIRECT($C$3)=$D191)*((INDIRECT($E$3)="TOTS")+(INDIRECT($E$3)=$E191)),INDIRECT(Q$3)))&lt;&gt;0,_xlpm.y=0),-2,_xlpm.x)))),0))</f>
        <v>0</v>
      </c>
      <c r="R191" s="199" cm="1">
        <f t="array" aca="1" ref="R191" ca="1">IF(OR($B191="",$B191="X",$D191="",$D191="X",$E191="",$E191="X"),0,IFERROR(_xlfn.LET(_xlpm.x,SUM(SUM(_xlfn._xlws.FILTER(VALUE(PptoSty[Sign]&amp;1)*(1/PptoSty[Division]),(PptoSty[Division]&lt;&gt;0)*(PptoSty[Division]&lt;&gt;"")*(PptoSty[Division]&lt;&gt;"X")*(PptoSty[Project]=$B191)*(PptoSty[Vrs]=$D191)*(PptoSty[PiRow]=_xlfn.TEXTAFTER($H191,":"))*(PptoSty[PiColumn]=R$54),0)),SUM(IF((INDIRECT($B$3)=$B191)*(INDIRECT($C$3)=$D191)*((INDIRECT($E$3)="TOTS")+(INDIRECT($E$3)=$E191)),INDIRECT(R$3)))),_xlpm.y,SUM(_xlfn.CHOOSECOLS(_xlfn._xlws.FILTER(F_RT14[],(F_RT14[PrjId]=$B191)*(F_RT14[Vrs]=$D191)*(_xlfn.TEXTAFTER(F_RT14[ActGrp],":")=_xlfn.TEXTAFTER($H191,":")),"X"),MATCH("*"&amp;R$54,F_RT14[#Headers],0))),IF(AND(_xlpm.x=0,_xlpm.y&lt;&gt;0),-1,IF(AND(_xlpm.x&lt;&gt;0,_xlpm.y&lt;&gt;0),_xlpm.x,IF(AND(_xlpm.x-SUM(IF((INDIRECT($B$3)=$B191)*(INDIRECT($C$3)=$D191)*((INDIRECT($E$3)="TOTS")+(INDIRECT($E$3)=$E191)),INDIRECT(R$3)))&lt;&gt;0,_xlpm.y=0),-2,_xlpm.x)))),0))</f>
        <v>0</v>
      </c>
      <c r="S191" s="199" cm="1">
        <f t="array" aca="1" ref="S191" ca="1">IF(OR($B191="",$B191="X",$D191="",$D191="X",$E191="",$E191="X"),0,IFERROR(_xlfn.LET(_xlpm.x,SUM(SUM(_xlfn._xlws.FILTER(VALUE(PptoSty[Sign]&amp;1)*(1/PptoSty[Division]),(PptoSty[Division]&lt;&gt;0)*(PptoSty[Division]&lt;&gt;"")*(PptoSty[Division]&lt;&gt;"X")*(PptoSty[Project]=$B191)*(PptoSty[Vrs]=$D191)*(PptoSty[PiRow]=_xlfn.TEXTAFTER($H191,":"))*(PptoSty[PiColumn]=S$54),0)),SUM(IF((INDIRECT($B$3)=$B191)*(INDIRECT($C$3)=$D191)*((INDIRECT($E$3)="TOTS")+(INDIRECT($E$3)=$E191)),INDIRECT(S$3)))),_xlpm.y,SUM(_xlfn.CHOOSECOLS(_xlfn._xlws.FILTER(F_RT14[],(F_RT14[PrjId]=$B191)*(F_RT14[Vrs]=$D191)*(_xlfn.TEXTAFTER(F_RT14[ActGrp],":")=_xlfn.TEXTAFTER($H191,":")),"X"),MATCH("*"&amp;S$54,F_RT14[#Headers],0))),IF(AND(_xlpm.x=0,_xlpm.y&lt;&gt;0),-1,IF(AND(_xlpm.x&lt;&gt;0,_xlpm.y&lt;&gt;0),_xlpm.x,IF(AND(_xlpm.x-SUM(IF((INDIRECT($B$3)=$B191)*(INDIRECT($C$3)=$D191)*((INDIRECT($E$3)="TOTS")+(INDIRECT($E$3)=$E191)),INDIRECT(S$3)))&lt;&gt;0,_xlpm.y=0),-2,_xlpm.x)))),0))</f>
        <v>0</v>
      </c>
      <c r="T191" s="199" cm="1">
        <f t="array" aca="1" ref="T191" ca="1">IF(OR($B191="",$B191="X",$D191="",$D191="X",$E191="",$E191="X"),0,IFERROR(_xlfn.LET(_xlpm.x,SUM(SUM(_xlfn._xlws.FILTER(VALUE(PptoSty[Sign]&amp;1)*(1/PptoSty[Division]),(PptoSty[Division]&lt;&gt;0)*(PptoSty[Division]&lt;&gt;"")*(PptoSty[Division]&lt;&gt;"X")*(PptoSty[Project]=$B191)*(PptoSty[Vrs]=$D191)*(PptoSty[PiRow]=_xlfn.TEXTAFTER($H191,":"))*(PptoSty[PiColumn]=T$54),0)),SUM(IF((INDIRECT($B$3)=$B191)*(INDIRECT($C$3)=$D191)*((INDIRECT($E$3)="TOTS")+(INDIRECT($E$3)=$E191)),INDIRECT(T$3)))),_xlpm.y,SUM(_xlfn.CHOOSECOLS(_xlfn._xlws.FILTER(F_RT14[],(F_RT14[PrjId]=$B191)*(F_RT14[Vrs]=$D191)*(_xlfn.TEXTAFTER(F_RT14[ActGrp],":")=_xlfn.TEXTAFTER($H191,":")),"X"),MATCH("*"&amp;T$54,F_RT14[#Headers],0))),IF(AND(_xlpm.x=0,_xlpm.y&lt;&gt;0),-1,IF(AND(_xlpm.x&lt;&gt;0,_xlpm.y&lt;&gt;0),_xlpm.x,IF(AND(_xlpm.x-SUM(IF((INDIRECT($B$3)=$B191)*(INDIRECT($C$3)=$D191)*((INDIRECT($E$3)="TOTS")+(INDIRECT($E$3)=$E191)),INDIRECT(T$3)))&lt;&gt;0,_xlpm.y=0),-2,_xlpm.x)))),0))</f>
        <v>0</v>
      </c>
      <c r="U191" s="199" cm="1">
        <f t="array" aca="1" ref="U191" ca="1">IF(OR($B191="",$B191="X",$D191="",$D191="X",$E191="",$E191="X"),0,IFERROR(_xlfn.LET(_xlpm.x,SUM(SUM(_xlfn._xlws.FILTER(VALUE(PptoSty[Sign]&amp;1)*(1/PptoSty[Division]),(PptoSty[Division]&lt;&gt;0)*(PptoSty[Division]&lt;&gt;"")*(PptoSty[Division]&lt;&gt;"X")*(PptoSty[Project]=$B191)*(PptoSty[Vrs]=$D191)*(PptoSty[PiRow]=_xlfn.TEXTAFTER($H191,":"))*(PptoSty[PiColumn]=U$54),0)),SUM(IF((INDIRECT($B$3)=$B191)*(INDIRECT($C$3)=$D191)*((INDIRECT($E$3)="TOTS")+(INDIRECT($E$3)=$E191)),INDIRECT(U$3)))),_xlpm.y,SUM(_xlfn.CHOOSECOLS(_xlfn._xlws.FILTER(F_RT14[],(F_RT14[PrjId]=$B191)*(F_RT14[Vrs]=$D191)*(_xlfn.TEXTAFTER(F_RT14[ActGrp],":")=_xlfn.TEXTAFTER($H191,":")),"X"),MATCH("*"&amp;U$54,F_RT14[#Headers],0))),IF(AND(_xlpm.x=0,_xlpm.y&lt;&gt;0),-1,IF(AND(_xlpm.x&lt;&gt;0,_xlpm.y&lt;&gt;0),_xlpm.x,IF(AND(_xlpm.x-SUM(IF((INDIRECT($B$3)=$B191)*(INDIRECT($C$3)=$D191)*((INDIRECT($E$3)="TOTS")+(INDIRECT($E$3)=$E191)),INDIRECT(U$3)))&lt;&gt;0,_xlpm.y=0),-2,_xlpm.x)))),0))</f>
        <v>0</v>
      </c>
      <c r="V191" s="199" cm="1">
        <f t="array" aca="1" ref="V191" ca="1">IF(OR($B191="",$B191="X",$D191="",$D191="X",$E191="",$E191="X"),0,IFERROR(_xlfn.LET(_xlpm.x,SUM(SUM(_xlfn._xlws.FILTER(VALUE(PptoSty[Sign]&amp;1)*(1/PptoSty[Division]),(PptoSty[Division]&lt;&gt;0)*(PptoSty[Division]&lt;&gt;"")*(PptoSty[Division]&lt;&gt;"X")*(PptoSty[Project]=$B191)*(PptoSty[Vrs]=$D191)*(PptoSty[PiRow]=_xlfn.TEXTAFTER($H191,":"))*(PptoSty[PiColumn]=V$54),0)),SUM(IF((INDIRECT($B$3)=$B191)*(INDIRECT($C$3)=$D191)*((INDIRECT($E$3)="TOTS")+(INDIRECT($E$3)=$E191)),INDIRECT(V$3)))),_xlpm.y,SUM(_xlfn.CHOOSECOLS(_xlfn._xlws.FILTER(F_RT14[],(F_RT14[PrjId]=$B191)*(F_RT14[Vrs]=$D191)*(_xlfn.TEXTAFTER(F_RT14[ActGrp],":")=_xlfn.TEXTAFTER($H191,":")),"X"),MATCH("*"&amp;V$54,F_RT14[#Headers],0))),IF(AND(_xlpm.x=0,_xlpm.y&lt;&gt;0),-1,IF(AND(_xlpm.x&lt;&gt;0,_xlpm.y&lt;&gt;0),_xlpm.x,IF(AND(_xlpm.x-SUM(IF((INDIRECT($B$3)=$B191)*(INDIRECT($C$3)=$D191)*((INDIRECT($E$3)="TOTS")+(INDIRECT($E$3)=$E191)),INDIRECT(V$3)))&lt;&gt;0,_xlpm.y=0),-2,_xlpm.x)))),0))</f>
        <v>-1</v>
      </c>
      <c r="W191" s="199" cm="1">
        <f t="array" aca="1" ref="W191" ca="1">IF(OR($B191="",$B191="X",$D191="",$D191="X",$E191="",$E191="X"),0,IFERROR(_xlfn.LET(_xlpm.x,SUM(SUM(_xlfn._xlws.FILTER(VALUE(PptoSty[Sign]&amp;1)*(1/PptoSty[Division]),(PptoSty[Division]&lt;&gt;0)*(PptoSty[Division]&lt;&gt;"")*(PptoSty[Division]&lt;&gt;"X")*(PptoSty[Project]=$B191)*(PptoSty[Vrs]=$D191)*(PptoSty[PiRow]=_xlfn.TEXTAFTER($H191,":"))*(PptoSty[PiColumn]=W$54),0)),SUM(IF((INDIRECT($B$3)=$B191)*(INDIRECT($C$3)=$D191)*((INDIRECT($E$3)="TOTS")+(INDIRECT($E$3)=$E191)),INDIRECT(W$3)))),_xlpm.y,SUM(_xlfn.CHOOSECOLS(_xlfn._xlws.FILTER(F_RT14[],(F_RT14[PrjId]=$B191)*(F_RT14[Vrs]=$D191)*(_xlfn.TEXTAFTER(F_RT14[ActGrp],":")=_xlfn.TEXTAFTER($H191,":")),"X"),MATCH("*"&amp;W$54,F_RT14[#Headers],0))),IF(AND(_xlpm.x=0,_xlpm.y&lt;&gt;0),-1,IF(AND(_xlpm.x&lt;&gt;0,_xlpm.y&lt;&gt;0),_xlpm.x,IF(AND(_xlpm.x-SUM(IF((INDIRECT($B$3)=$B191)*(INDIRECT($C$3)=$D191)*((INDIRECT($E$3)="TOTS")+(INDIRECT($E$3)=$E191)),INDIRECT(W$3)))&lt;&gt;0,_xlpm.y=0),-2,_xlpm.x)))),0))</f>
        <v>0</v>
      </c>
      <c r="X191" s="199" cm="1">
        <f t="array" aca="1" ref="X191" ca="1">IF(OR($B191="",$B191="X",$D191="",$D191="X",$E191="",$E191="X"),0,IFERROR(_xlfn.LET(_xlpm.x,SUM(SUM(_xlfn._xlws.FILTER(VALUE(PptoSty[Sign]&amp;1)*(1/PptoSty[Division]),(PptoSty[Division]&lt;&gt;0)*(PptoSty[Division]&lt;&gt;"")*(PptoSty[Division]&lt;&gt;"X")*(PptoSty[Project]=$B191)*(PptoSty[Vrs]=$D191)*(PptoSty[PiRow]=_xlfn.TEXTAFTER($H191,":"))*(PptoSty[PiColumn]=X$54),0)),SUM(IF((INDIRECT($B$3)=$B191)*(INDIRECT($C$3)=$D191)*((INDIRECT($E$3)="TOTS")+(INDIRECT($E$3)=$E191)),INDIRECT(X$3)))),_xlpm.y,SUM(_xlfn.CHOOSECOLS(_xlfn._xlws.FILTER(F_RT14[],(F_RT14[PrjId]=$B191)*(F_RT14[Vrs]=$D191)*(_xlfn.TEXTAFTER(F_RT14[ActGrp],":")=_xlfn.TEXTAFTER($H191,":")),"X"),MATCH("*"&amp;X$54,F_RT14[#Headers],0))),IF(AND(_xlpm.x=0,_xlpm.y&lt;&gt;0),-1,IF(AND(_xlpm.x&lt;&gt;0,_xlpm.y&lt;&gt;0),_xlpm.x,IF(AND(_xlpm.x-SUM(IF((INDIRECT($B$3)=$B191)*(INDIRECT($C$3)=$D191)*((INDIRECT($E$3)="TOTS")+(INDIRECT($E$3)=$E191)),INDIRECT(X$3)))&lt;&gt;0,_xlpm.y=0),-2,_xlpm.x)))),0))</f>
        <v>0</v>
      </c>
      <c r="Y191" s="199" cm="1">
        <f t="array" aca="1" ref="Y191" ca="1">IF(OR($B191="",$B191="X",$D191="",$D191="X",$E191="",$E191="X"),0,IFERROR(_xlfn.LET(_xlpm.x,SUM(SUM(_xlfn._xlws.FILTER(VALUE(PptoSty[Sign]&amp;1)*(1/PptoSty[Division]),(PptoSty[Division]&lt;&gt;0)*(PptoSty[Division]&lt;&gt;"")*(PptoSty[Division]&lt;&gt;"X")*(PptoSty[Project]=$B191)*(PptoSty[Vrs]=$D191)*(PptoSty[PiRow]=_xlfn.TEXTAFTER($H191,":"))*(PptoSty[PiColumn]=Y$54),0)),SUM(IF((INDIRECT($B$3)=$B191)*(INDIRECT($C$3)=$D191)*((INDIRECT($E$3)="TOTS")+(INDIRECT($E$3)=$E191)),INDIRECT(Y$3)))),_xlpm.y,SUM(_xlfn.CHOOSECOLS(_xlfn._xlws.FILTER(F_RT14[],(F_RT14[PrjId]=$B191)*(F_RT14[Vrs]=$D191)*(_xlfn.TEXTAFTER(F_RT14[ActGrp],":")=_xlfn.TEXTAFTER($H191,":")),"X"),MATCH("*"&amp;Y$54,F_RT14[#Headers],0))),IF(AND(_xlpm.x=0,_xlpm.y&lt;&gt;0),-1,IF(AND(_xlpm.x&lt;&gt;0,_xlpm.y&lt;&gt;0),_xlpm.x,IF(AND(_xlpm.x-SUM(IF((INDIRECT($B$3)=$B191)*(INDIRECT($C$3)=$D191)*((INDIRECT($E$3)="TOTS")+(INDIRECT($E$3)=$E191)),INDIRECT(Y$3)))&lt;&gt;0,_xlpm.y=0),-2,_xlpm.x)))),0))</f>
        <v>0</v>
      </c>
      <c r="Z191" s="198" t="str">
        <f t="shared" ca="1" si="4"/>
        <v>Fback!B191:Y191</v>
      </c>
    </row>
    <row r="192" spans="2:26" ht="21" customHeight="1" outlineLevel="1">
      <c r="B192" s="128" t="str">
        <v>31200</v>
      </c>
      <c r="C192" s="128" t="str">
        <v>Sp</v>
      </c>
      <c r="D192" s="128">
        <v>0</v>
      </c>
      <c r="E192" s="128" t="str">
        <v>CELL</v>
      </c>
      <c r="F192" s="139" t="str">
        <v>SERRA</v>
      </c>
      <c r="G192" s="139" t="str">
        <v>CurPpto</v>
      </c>
      <c r="H192" s="139" t="str">
        <v>A002:MUEBLES ACÚMULO TÜNKERS, CINTAS SALIDA NIKAI</v>
      </c>
      <c r="I192" s="199" cm="1">
        <f t="array" aca="1" ref="I192" ca="1">IF(OR($B192="",$B192="X",$D192="",$D192="X",$E192="",$E192="X"),0,IFERROR(_xlfn.LET(_xlpm.x,SUM(SUM(_xlfn._xlws.FILTER(VALUE(PptoSty[Sign]&amp;1)*(1/PptoSty[Division]),(PptoSty[Division]&lt;&gt;0)*(PptoSty[Division]&lt;&gt;"")*(PptoSty[Division]&lt;&gt;"X")*(PptoSty[Project]=$B192)*(PptoSty[Vrs]=$D192)*(PptoSty[PiRow]=_xlfn.TEXTAFTER($H192,":"))*(PptoSty[PiColumn]=I$54),0)),SUM(IF((INDIRECT($B$3)=$B192)*(INDIRECT($C$3)=$D192)*((INDIRECT($E$3)="TOTS")+(INDIRECT($E$3)=$E192)),INDIRECT(I$3)))),_xlpm.y,SUM(_xlfn.CHOOSECOLS(_xlfn._xlws.FILTER(F_RT14[],(F_RT14[PrjId]=$B192)*(F_RT14[Vrs]=$D192)*(_xlfn.TEXTAFTER(F_RT14[ActGrp],":")=_xlfn.TEXTAFTER($H192,":")),"X"),MATCH("*"&amp;I$54,F_RT14[#Headers],0))),IF(AND(_xlpm.x=0,_xlpm.y&lt;&gt;0),-1,IF(AND(_xlpm.x&lt;&gt;0,_xlpm.y&lt;&gt;0),_xlpm.x,IF(AND(_xlpm.x-SUM(IF((INDIRECT($B$3)=$B192)*(INDIRECT($C$3)=$D192)*((INDIRECT($E$3)="TOTS")+(INDIRECT($E$3)=$E192)),INDIRECT(I$3)))&lt;&gt;0,_xlpm.y=0),-2,_xlpm.x)))),0))</f>
        <v>0</v>
      </c>
      <c r="J192" s="199" cm="1">
        <f t="array" aca="1" ref="J192" ca="1">IF(OR($B192="",$B192="X",$D192="",$D192="X",$E192="",$E192="X"),0,IFERROR(_xlfn.LET(_xlpm.x,SUM(SUM(_xlfn._xlws.FILTER(VALUE(PptoSty[Sign]&amp;1)*(1/PptoSty[Division]),(PptoSty[Division]&lt;&gt;0)*(PptoSty[Division]&lt;&gt;"")*(PptoSty[Division]&lt;&gt;"X")*(PptoSty[Project]=$B192)*(PptoSty[Vrs]=$D192)*(PptoSty[PiRow]=_xlfn.TEXTAFTER($H192,":"))*(PptoSty[PiColumn]=J$54),0)),SUM(IF((INDIRECT($B$3)=$B192)*(INDIRECT($C$3)=$D192)*((INDIRECT($E$3)="TOTS")+(INDIRECT($E$3)=$E192)),INDIRECT(J$3)))),_xlpm.y,SUM(_xlfn.CHOOSECOLS(_xlfn._xlws.FILTER(F_RT14[],(F_RT14[PrjId]=$B192)*(F_RT14[Vrs]=$D192)*(_xlfn.TEXTAFTER(F_RT14[ActGrp],":")=_xlfn.TEXTAFTER($H192,":")),"X"),MATCH("*"&amp;J$54,F_RT14[#Headers],0))),IF(AND(_xlpm.x=0,_xlpm.y&lt;&gt;0),-1,IF(AND(_xlpm.x&lt;&gt;0,_xlpm.y&lt;&gt;0),_xlpm.x,IF(AND(_xlpm.x-SUM(IF((INDIRECT($B$3)=$B192)*(INDIRECT($C$3)=$D192)*((INDIRECT($E$3)="TOTS")+(INDIRECT($E$3)=$E192)),INDIRECT(J$3)))&lt;&gt;0,_xlpm.y=0),-2,_xlpm.x)))),0))</f>
        <v>0</v>
      </c>
      <c r="K192" s="199" cm="1">
        <f t="array" aca="1" ref="K192" ca="1">IF(OR($B192="",$B192="X",$D192="",$D192="X",$E192="",$E192="X"),0,IFERROR(_xlfn.LET(_xlpm.x,SUM(SUM(_xlfn._xlws.FILTER(VALUE(PptoSty[Sign]&amp;1)*(1/PptoSty[Division]),(PptoSty[Division]&lt;&gt;0)*(PptoSty[Division]&lt;&gt;"")*(PptoSty[Division]&lt;&gt;"X")*(PptoSty[Project]=$B192)*(PptoSty[Vrs]=$D192)*(PptoSty[PiRow]=_xlfn.TEXTAFTER($H192,":"))*(PptoSty[PiColumn]=K$54),0)),SUM(IF((INDIRECT($B$3)=$B192)*(INDIRECT($C$3)=$D192)*((INDIRECT($E$3)="TOTS")+(INDIRECT($E$3)=$E192)),INDIRECT(K$3)))),_xlpm.y,SUM(_xlfn.CHOOSECOLS(_xlfn._xlws.FILTER(F_RT14[],(F_RT14[PrjId]=$B192)*(F_RT14[Vrs]=$D192)*(_xlfn.TEXTAFTER(F_RT14[ActGrp],":")=_xlfn.TEXTAFTER($H192,":")),"X"),MATCH("*"&amp;K$54,F_RT14[#Headers],0))),IF(AND(_xlpm.x=0,_xlpm.y&lt;&gt;0),-1,IF(AND(_xlpm.x&lt;&gt;0,_xlpm.y&lt;&gt;0),_xlpm.x,IF(AND(_xlpm.x-SUM(IF((INDIRECT($B$3)=$B192)*(INDIRECT($C$3)=$D192)*((INDIRECT($E$3)="TOTS")+(INDIRECT($E$3)=$E192)),INDIRECT(K$3)))&lt;&gt;0,_xlpm.y=0),-2,_xlpm.x)))),0))</f>
        <v>0</v>
      </c>
      <c r="L192" s="199" cm="1">
        <f t="array" aca="1" ref="L192" ca="1">IF(OR($B192="",$B192="X",$D192="",$D192="X",$E192="",$E192="X"),0,IFERROR(_xlfn.LET(_xlpm.x,SUM(SUM(_xlfn._xlws.FILTER(VALUE(PptoSty[Sign]&amp;1)*(1/PptoSty[Division]),(PptoSty[Division]&lt;&gt;0)*(PptoSty[Division]&lt;&gt;"")*(PptoSty[Division]&lt;&gt;"X")*(PptoSty[Project]=$B192)*(PptoSty[Vrs]=$D192)*(PptoSty[PiRow]=_xlfn.TEXTAFTER($H192,":"))*(PptoSty[PiColumn]=L$54),0)),SUM(IF((INDIRECT($B$3)=$B192)*(INDIRECT($C$3)=$D192)*((INDIRECT($E$3)="TOTS")+(INDIRECT($E$3)=$E192)),INDIRECT(L$3)))),_xlpm.y,SUM(_xlfn.CHOOSECOLS(_xlfn._xlws.FILTER(F_RT14[],(F_RT14[PrjId]=$B192)*(F_RT14[Vrs]=$D192)*(_xlfn.TEXTAFTER(F_RT14[ActGrp],":")=_xlfn.TEXTAFTER($H192,":")),"X"),MATCH("*"&amp;L$54,F_RT14[#Headers],0))),IF(AND(_xlpm.x=0,_xlpm.y&lt;&gt;0),-1,IF(AND(_xlpm.x&lt;&gt;0,_xlpm.y&lt;&gt;0),_xlpm.x,IF(AND(_xlpm.x-SUM(IF((INDIRECT($B$3)=$B192)*(INDIRECT($C$3)=$D192)*((INDIRECT($E$3)="TOTS")+(INDIRECT($E$3)=$E192)),INDIRECT(L$3)))&lt;&gt;0,_xlpm.y=0),-2,_xlpm.x)))),0))</f>
        <v>0</v>
      </c>
      <c r="M192" s="199" cm="1">
        <f t="array" aca="1" ref="M192" ca="1">IF(OR($B192="",$B192="X",$D192="",$D192="X",$E192="",$E192="X"),0,IFERROR(_xlfn.LET(_xlpm.x,SUM(SUM(_xlfn._xlws.FILTER(VALUE(PptoSty[Sign]&amp;1)*(1/PptoSty[Division]),(PptoSty[Division]&lt;&gt;0)*(PptoSty[Division]&lt;&gt;"")*(PptoSty[Division]&lt;&gt;"X")*(PptoSty[Project]=$B192)*(PptoSty[Vrs]=$D192)*(PptoSty[PiRow]=_xlfn.TEXTAFTER($H192,":"))*(PptoSty[PiColumn]=M$54),0)),SUM(IF((INDIRECT($B$3)=$B192)*(INDIRECT($C$3)=$D192)*((INDIRECT($E$3)="TOTS")+(INDIRECT($E$3)=$E192)),INDIRECT(M$3)))),_xlpm.y,SUM(_xlfn.CHOOSECOLS(_xlfn._xlws.FILTER(F_RT14[],(F_RT14[PrjId]=$B192)*(F_RT14[Vrs]=$D192)*(_xlfn.TEXTAFTER(F_RT14[ActGrp],":")=_xlfn.TEXTAFTER($H192,":")),"X"),MATCH("*"&amp;M$54,F_RT14[#Headers],0))),IF(AND(_xlpm.x=0,_xlpm.y&lt;&gt;0),-1,IF(AND(_xlpm.x&lt;&gt;0,_xlpm.y&lt;&gt;0),_xlpm.x,IF(AND(_xlpm.x-SUM(IF((INDIRECT($B$3)=$B192)*(INDIRECT($C$3)=$D192)*((INDIRECT($E$3)="TOTS")+(INDIRECT($E$3)=$E192)),INDIRECT(M$3)))&lt;&gt;0,_xlpm.y=0),-2,_xlpm.x)))),0))</f>
        <v>0</v>
      </c>
      <c r="N192" s="199" cm="1">
        <f t="array" aca="1" ref="N192" ca="1">IF(OR($B192="",$B192="X",$D192="",$D192="X",$E192="",$E192="X"),0,IFERROR(_xlfn.LET(_xlpm.x,SUM(SUM(_xlfn._xlws.FILTER(VALUE(PptoSty[Sign]&amp;1)*(1/PptoSty[Division]),(PptoSty[Division]&lt;&gt;0)*(PptoSty[Division]&lt;&gt;"")*(PptoSty[Division]&lt;&gt;"X")*(PptoSty[Project]=$B192)*(PptoSty[Vrs]=$D192)*(PptoSty[PiRow]=_xlfn.TEXTAFTER($H192,":"))*(PptoSty[PiColumn]=N$54),0)),SUM(IF((INDIRECT($B$3)=$B192)*(INDIRECT($C$3)=$D192)*((INDIRECT($E$3)="TOTS")+(INDIRECT($E$3)=$E192)),INDIRECT(N$3)))),_xlpm.y,SUM(_xlfn.CHOOSECOLS(_xlfn._xlws.FILTER(F_RT14[],(F_RT14[PrjId]=$B192)*(F_RT14[Vrs]=$D192)*(_xlfn.TEXTAFTER(F_RT14[ActGrp],":")=_xlfn.TEXTAFTER($H192,":")),"X"),MATCH("*"&amp;N$54,F_RT14[#Headers],0))),IF(AND(_xlpm.x=0,_xlpm.y&lt;&gt;0),-1,IF(AND(_xlpm.x&lt;&gt;0,_xlpm.y&lt;&gt;0),_xlpm.x,IF(AND(_xlpm.x-SUM(IF((INDIRECT($B$3)=$B192)*(INDIRECT($C$3)=$D192)*((INDIRECT($E$3)="TOTS")+(INDIRECT($E$3)=$E192)),INDIRECT(N$3)))&lt;&gt;0,_xlpm.y=0),-2,_xlpm.x)))),0))</f>
        <v>0</v>
      </c>
      <c r="O192" s="199" cm="1">
        <f t="array" aca="1" ref="O192" ca="1">IF(OR($B192="",$B192="X",$D192="",$D192="X",$E192="",$E192="X"),0,IFERROR(_xlfn.LET(_xlpm.x,SUM(SUM(_xlfn._xlws.FILTER(VALUE(PptoSty[Sign]&amp;1)*(1/PptoSty[Division]),(PptoSty[Division]&lt;&gt;0)*(PptoSty[Division]&lt;&gt;"")*(PptoSty[Division]&lt;&gt;"X")*(PptoSty[Project]=$B192)*(PptoSty[Vrs]=$D192)*(PptoSty[PiRow]=_xlfn.TEXTAFTER($H192,":"))*(PptoSty[PiColumn]=O$54),0)),SUM(IF((INDIRECT($B$3)=$B192)*(INDIRECT($C$3)=$D192)*((INDIRECT($E$3)="TOTS")+(INDIRECT($E$3)=$E192)),INDIRECT(O$3)))),_xlpm.y,SUM(_xlfn.CHOOSECOLS(_xlfn._xlws.FILTER(F_RT14[],(F_RT14[PrjId]=$B192)*(F_RT14[Vrs]=$D192)*(_xlfn.TEXTAFTER(F_RT14[ActGrp],":")=_xlfn.TEXTAFTER($H192,":")),"X"),MATCH("*"&amp;O$54,F_RT14[#Headers],0))),IF(AND(_xlpm.x=0,_xlpm.y&lt;&gt;0),-1,IF(AND(_xlpm.x&lt;&gt;0,_xlpm.y&lt;&gt;0),_xlpm.x,IF(AND(_xlpm.x-SUM(IF((INDIRECT($B$3)=$B192)*(INDIRECT($C$3)=$D192)*((INDIRECT($E$3)="TOTS")+(INDIRECT($E$3)=$E192)),INDIRECT(O$3)))&lt;&gt;0,_xlpm.y=0),-2,_xlpm.x)))),0))</f>
        <v>0</v>
      </c>
      <c r="P192" s="199" cm="1">
        <f t="array" aca="1" ref="P192" ca="1">IF(OR($B192="",$B192="X",$D192="",$D192="X",$E192="",$E192="X"),0,IFERROR(_xlfn.LET(_xlpm.x,SUM(SUM(_xlfn._xlws.FILTER(VALUE(PptoSty[Sign]&amp;1)*(1/PptoSty[Division]),(PptoSty[Division]&lt;&gt;0)*(PptoSty[Division]&lt;&gt;"")*(PptoSty[Division]&lt;&gt;"X")*(PptoSty[Project]=$B192)*(PptoSty[Vrs]=$D192)*(PptoSty[PiRow]=_xlfn.TEXTAFTER($H192,":"))*(PptoSty[PiColumn]=P$54),0)),SUM(IF((INDIRECT($B$3)=$B192)*(INDIRECT($C$3)=$D192)*((INDIRECT($E$3)="TOTS")+(INDIRECT($E$3)=$E192)),INDIRECT(P$3)))),_xlpm.y,SUM(_xlfn.CHOOSECOLS(_xlfn._xlws.FILTER(F_RT14[],(F_RT14[PrjId]=$B192)*(F_RT14[Vrs]=$D192)*(_xlfn.TEXTAFTER(F_RT14[ActGrp],":")=_xlfn.TEXTAFTER($H192,":")),"X"),MATCH("*"&amp;P$54,F_RT14[#Headers],0))),IF(AND(_xlpm.x=0,_xlpm.y&lt;&gt;0),-1,IF(AND(_xlpm.x&lt;&gt;0,_xlpm.y&lt;&gt;0),_xlpm.x,IF(AND(_xlpm.x-SUM(IF((INDIRECT($B$3)=$B192)*(INDIRECT($C$3)=$D192)*((INDIRECT($E$3)="TOTS")+(INDIRECT($E$3)=$E192)),INDIRECT(P$3)))&lt;&gt;0,_xlpm.y=0),-2,_xlpm.x)))),0))</f>
        <v>0</v>
      </c>
      <c r="Q192" s="199" cm="1">
        <f t="array" aca="1" ref="Q192" ca="1">IF(OR($B192="",$B192="X",$D192="",$D192="X",$E192="",$E192="X"),0,IFERROR(_xlfn.LET(_xlpm.x,SUM(SUM(_xlfn._xlws.FILTER(VALUE(PptoSty[Sign]&amp;1)*(1/PptoSty[Division]),(PptoSty[Division]&lt;&gt;0)*(PptoSty[Division]&lt;&gt;"")*(PptoSty[Division]&lt;&gt;"X")*(PptoSty[Project]=$B192)*(PptoSty[Vrs]=$D192)*(PptoSty[PiRow]=_xlfn.TEXTAFTER($H192,":"))*(PptoSty[PiColumn]=Q$54),0)),SUM(IF((INDIRECT($B$3)=$B192)*(INDIRECT($C$3)=$D192)*((INDIRECT($E$3)="TOTS")+(INDIRECT($E$3)=$E192)),INDIRECT(Q$3)))),_xlpm.y,SUM(_xlfn.CHOOSECOLS(_xlfn._xlws.FILTER(F_RT14[],(F_RT14[PrjId]=$B192)*(F_RT14[Vrs]=$D192)*(_xlfn.TEXTAFTER(F_RT14[ActGrp],":")=_xlfn.TEXTAFTER($H192,":")),"X"),MATCH("*"&amp;Q$54,F_RT14[#Headers],0))),IF(AND(_xlpm.x=0,_xlpm.y&lt;&gt;0),-1,IF(AND(_xlpm.x&lt;&gt;0,_xlpm.y&lt;&gt;0),_xlpm.x,IF(AND(_xlpm.x-SUM(IF((INDIRECT($B$3)=$B192)*(INDIRECT($C$3)=$D192)*((INDIRECT($E$3)="TOTS")+(INDIRECT($E$3)=$E192)),INDIRECT(Q$3)))&lt;&gt;0,_xlpm.y=0),-2,_xlpm.x)))),0))</f>
        <v>0</v>
      </c>
      <c r="R192" s="199" cm="1">
        <f t="array" aca="1" ref="R192" ca="1">IF(OR($B192="",$B192="X",$D192="",$D192="X",$E192="",$E192="X"),0,IFERROR(_xlfn.LET(_xlpm.x,SUM(SUM(_xlfn._xlws.FILTER(VALUE(PptoSty[Sign]&amp;1)*(1/PptoSty[Division]),(PptoSty[Division]&lt;&gt;0)*(PptoSty[Division]&lt;&gt;"")*(PptoSty[Division]&lt;&gt;"X")*(PptoSty[Project]=$B192)*(PptoSty[Vrs]=$D192)*(PptoSty[PiRow]=_xlfn.TEXTAFTER($H192,":"))*(PptoSty[PiColumn]=R$54),0)),SUM(IF((INDIRECT($B$3)=$B192)*(INDIRECT($C$3)=$D192)*((INDIRECT($E$3)="TOTS")+(INDIRECT($E$3)=$E192)),INDIRECT(R$3)))),_xlpm.y,SUM(_xlfn.CHOOSECOLS(_xlfn._xlws.FILTER(F_RT14[],(F_RT14[PrjId]=$B192)*(F_RT14[Vrs]=$D192)*(_xlfn.TEXTAFTER(F_RT14[ActGrp],":")=_xlfn.TEXTAFTER($H192,":")),"X"),MATCH("*"&amp;R$54,F_RT14[#Headers],0))),IF(AND(_xlpm.x=0,_xlpm.y&lt;&gt;0),-1,IF(AND(_xlpm.x&lt;&gt;0,_xlpm.y&lt;&gt;0),_xlpm.x,IF(AND(_xlpm.x-SUM(IF((INDIRECT($B$3)=$B192)*(INDIRECT($C$3)=$D192)*((INDIRECT($E$3)="TOTS")+(INDIRECT($E$3)=$E192)),INDIRECT(R$3)))&lt;&gt;0,_xlpm.y=0),-2,_xlpm.x)))),0))</f>
        <v>0</v>
      </c>
      <c r="S192" s="199" cm="1">
        <f t="array" aca="1" ref="S192" ca="1">IF(OR($B192="",$B192="X",$D192="",$D192="X",$E192="",$E192="X"),0,IFERROR(_xlfn.LET(_xlpm.x,SUM(SUM(_xlfn._xlws.FILTER(VALUE(PptoSty[Sign]&amp;1)*(1/PptoSty[Division]),(PptoSty[Division]&lt;&gt;0)*(PptoSty[Division]&lt;&gt;"")*(PptoSty[Division]&lt;&gt;"X")*(PptoSty[Project]=$B192)*(PptoSty[Vrs]=$D192)*(PptoSty[PiRow]=_xlfn.TEXTAFTER($H192,":"))*(PptoSty[PiColumn]=S$54),0)),SUM(IF((INDIRECT($B$3)=$B192)*(INDIRECT($C$3)=$D192)*((INDIRECT($E$3)="TOTS")+(INDIRECT($E$3)=$E192)),INDIRECT(S$3)))),_xlpm.y,SUM(_xlfn.CHOOSECOLS(_xlfn._xlws.FILTER(F_RT14[],(F_RT14[PrjId]=$B192)*(F_RT14[Vrs]=$D192)*(_xlfn.TEXTAFTER(F_RT14[ActGrp],":")=_xlfn.TEXTAFTER($H192,":")),"X"),MATCH("*"&amp;S$54,F_RT14[#Headers],0))),IF(AND(_xlpm.x=0,_xlpm.y&lt;&gt;0),-1,IF(AND(_xlpm.x&lt;&gt;0,_xlpm.y&lt;&gt;0),_xlpm.x,IF(AND(_xlpm.x-SUM(IF((INDIRECT($B$3)=$B192)*(INDIRECT($C$3)=$D192)*((INDIRECT($E$3)="TOTS")+(INDIRECT($E$3)=$E192)),INDIRECT(S$3)))&lt;&gt;0,_xlpm.y=0),-2,_xlpm.x)))),0))</f>
        <v>0</v>
      </c>
      <c r="T192" s="199" cm="1">
        <f t="array" aca="1" ref="T192" ca="1">IF(OR($B192="",$B192="X",$D192="",$D192="X",$E192="",$E192="X"),0,IFERROR(_xlfn.LET(_xlpm.x,SUM(SUM(_xlfn._xlws.FILTER(VALUE(PptoSty[Sign]&amp;1)*(1/PptoSty[Division]),(PptoSty[Division]&lt;&gt;0)*(PptoSty[Division]&lt;&gt;"")*(PptoSty[Division]&lt;&gt;"X")*(PptoSty[Project]=$B192)*(PptoSty[Vrs]=$D192)*(PptoSty[PiRow]=_xlfn.TEXTAFTER($H192,":"))*(PptoSty[PiColumn]=T$54),0)),SUM(IF((INDIRECT($B$3)=$B192)*(INDIRECT($C$3)=$D192)*((INDIRECT($E$3)="TOTS")+(INDIRECT($E$3)=$E192)),INDIRECT(T$3)))),_xlpm.y,SUM(_xlfn.CHOOSECOLS(_xlfn._xlws.FILTER(F_RT14[],(F_RT14[PrjId]=$B192)*(F_RT14[Vrs]=$D192)*(_xlfn.TEXTAFTER(F_RT14[ActGrp],":")=_xlfn.TEXTAFTER($H192,":")),"X"),MATCH("*"&amp;T$54,F_RT14[#Headers],0))),IF(AND(_xlpm.x=0,_xlpm.y&lt;&gt;0),-1,IF(AND(_xlpm.x&lt;&gt;0,_xlpm.y&lt;&gt;0),_xlpm.x,IF(AND(_xlpm.x-SUM(IF((INDIRECT($B$3)=$B192)*(INDIRECT($C$3)=$D192)*((INDIRECT($E$3)="TOTS")+(INDIRECT($E$3)=$E192)),INDIRECT(T$3)))&lt;&gt;0,_xlpm.y=0),-2,_xlpm.x)))),0))</f>
        <v>0</v>
      </c>
      <c r="U192" s="199" cm="1">
        <f t="array" aca="1" ref="U192" ca="1">IF(OR($B192="",$B192="X",$D192="",$D192="X",$E192="",$E192="X"),0,IFERROR(_xlfn.LET(_xlpm.x,SUM(SUM(_xlfn._xlws.FILTER(VALUE(PptoSty[Sign]&amp;1)*(1/PptoSty[Division]),(PptoSty[Division]&lt;&gt;0)*(PptoSty[Division]&lt;&gt;"")*(PptoSty[Division]&lt;&gt;"X")*(PptoSty[Project]=$B192)*(PptoSty[Vrs]=$D192)*(PptoSty[PiRow]=_xlfn.TEXTAFTER($H192,":"))*(PptoSty[PiColumn]=U$54),0)),SUM(IF((INDIRECT($B$3)=$B192)*(INDIRECT($C$3)=$D192)*((INDIRECT($E$3)="TOTS")+(INDIRECT($E$3)=$E192)),INDIRECT(U$3)))),_xlpm.y,SUM(_xlfn.CHOOSECOLS(_xlfn._xlws.FILTER(F_RT14[],(F_RT14[PrjId]=$B192)*(F_RT14[Vrs]=$D192)*(_xlfn.TEXTAFTER(F_RT14[ActGrp],":")=_xlfn.TEXTAFTER($H192,":")),"X"),MATCH("*"&amp;U$54,F_RT14[#Headers],0))),IF(AND(_xlpm.x=0,_xlpm.y&lt;&gt;0),-1,IF(AND(_xlpm.x&lt;&gt;0,_xlpm.y&lt;&gt;0),_xlpm.x,IF(AND(_xlpm.x-SUM(IF((INDIRECT($B$3)=$B192)*(INDIRECT($C$3)=$D192)*((INDIRECT($E$3)="TOTS")+(INDIRECT($E$3)=$E192)),INDIRECT(U$3)))&lt;&gt;0,_xlpm.y=0),-2,_xlpm.x)))),0))</f>
        <v>0</v>
      </c>
      <c r="V192" s="199" cm="1">
        <f t="array" aca="1" ref="V192" ca="1">IF(OR($B192="",$B192="X",$D192="",$D192="X",$E192="",$E192="X"),0,IFERROR(_xlfn.LET(_xlpm.x,SUM(SUM(_xlfn._xlws.FILTER(VALUE(PptoSty[Sign]&amp;1)*(1/PptoSty[Division]),(PptoSty[Division]&lt;&gt;0)*(PptoSty[Division]&lt;&gt;"")*(PptoSty[Division]&lt;&gt;"X")*(PptoSty[Project]=$B192)*(PptoSty[Vrs]=$D192)*(PptoSty[PiRow]=_xlfn.TEXTAFTER($H192,":"))*(PptoSty[PiColumn]=V$54),0)),SUM(IF((INDIRECT($B$3)=$B192)*(INDIRECT($C$3)=$D192)*((INDIRECT($E$3)="TOTS")+(INDIRECT($E$3)=$E192)),INDIRECT(V$3)))),_xlpm.y,SUM(_xlfn.CHOOSECOLS(_xlfn._xlws.FILTER(F_RT14[],(F_RT14[PrjId]=$B192)*(F_RT14[Vrs]=$D192)*(_xlfn.TEXTAFTER(F_RT14[ActGrp],":")=_xlfn.TEXTAFTER($H192,":")),"X"),MATCH("*"&amp;V$54,F_RT14[#Headers],0))),IF(AND(_xlpm.x=0,_xlpm.y&lt;&gt;0),-1,IF(AND(_xlpm.x&lt;&gt;0,_xlpm.y&lt;&gt;0),_xlpm.x,IF(AND(_xlpm.x-SUM(IF((INDIRECT($B$3)=$B192)*(INDIRECT($C$3)=$D192)*((INDIRECT($E$3)="TOTS")+(INDIRECT($E$3)=$E192)),INDIRECT(V$3)))&lt;&gt;0,_xlpm.y=0),-2,_xlpm.x)))),0))</f>
        <v>-1</v>
      </c>
      <c r="W192" s="199" cm="1">
        <f t="array" aca="1" ref="W192" ca="1">IF(OR($B192="",$B192="X",$D192="",$D192="X",$E192="",$E192="X"),0,IFERROR(_xlfn.LET(_xlpm.x,SUM(SUM(_xlfn._xlws.FILTER(VALUE(PptoSty[Sign]&amp;1)*(1/PptoSty[Division]),(PptoSty[Division]&lt;&gt;0)*(PptoSty[Division]&lt;&gt;"")*(PptoSty[Division]&lt;&gt;"X")*(PptoSty[Project]=$B192)*(PptoSty[Vrs]=$D192)*(PptoSty[PiRow]=_xlfn.TEXTAFTER($H192,":"))*(PptoSty[PiColumn]=W$54),0)),SUM(IF((INDIRECT($B$3)=$B192)*(INDIRECT($C$3)=$D192)*((INDIRECT($E$3)="TOTS")+(INDIRECT($E$3)=$E192)),INDIRECT(W$3)))),_xlpm.y,SUM(_xlfn.CHOOSECOLS(_xlfn._xlws.FILTER(F_RT14[],(F_RT14[PrjId]=$B192)*(F_RT14[Vrs]=$D192)*(_xlfn.TEXTAFTER(F_RT14[ActGrp],":")=_xlfn.TEXTAFTER($H192,":")),"X"),MATCH("*"&amp;W$54,F_RT14[#Headers],0))),IF(AND(_xlpm.x=0,_xlpm.y&lt;&gt;0),-1,IF(AND(_xlpm.x&lt;&gt;0,_xlpm.y&lt;&gt;0),_xlpm.x,IF(AND(_xlpm.x-SUM(IF((INDIRECT($B$3)=$B192)*(INDIRECT($C$3)=$D192)*((INDIRECT($E$3)="TOTS")+(INDIRECT($E$3)=$E192)),INDIRECT(W$3)))&lt;&gt;0,_xlpm.y=0),-2,_xlpm.x)))),0))</f>
        <v>0</v>
      </c>
      <c r="X192" s="199" cm="1">
        <f t="array" aca="1" ref="X192" ca="1">IF(OR($B192="",$B192="X",$D192="",$D192="X",$E192="",$E192="X"),0,IFERROR(_xlfn.LET(_xlpm.x,SUM(SUM(_xlfn._xlws.FILTER(VALUE(PptoSty[Sign]&amp;1)*(1/PptoSty[Division]),(PptoSty[Division]&lt;&gt;0)*(PptoSty[Division]&lt;&gt;"")*(PptoSty[Division]&lt;&gt;"X")*(PptoSty[Project]=$B192)*(PptoSty[Vrs]=$D192)*(PptoSty[PiRow]=_xlfn.TEXTAFTER($H192,":"))*(PptoSty[PiColumn]=X$54),0)),SUM(IF((INDIRECT($B$3)=$B192)*(INDIRECT($C$3)=$D192)*((INDIRECT($E$3)="TOTS")+(INDIRECT($E$3)=$E192)),INDIRECT(X$3)))),_xlpm.y,SUM(_xlfn.CHOOSECOLS(_xlfn._xlws.FILTER(F_RT14[],(F_RT14[PrjId]=$B192)*(F_RT14[Vrs]=$D192)*(_xlfn.TEXTAFTER(F_RT14[ActGrp],":")=_xlfn.TEXTAFTER($H192,":")),"X"),MATCH("*"&amp;X$54,F_RT14[#Headers],0))),IF(AND(_xlpm.x=0,_xlpm.y&lt;&gt;0),-1,IF(AND(_xlpm.x&lt;&gt;0,_xlpm.y&lt;&gt;0),_xlpm.x,IF(AND(_xlpm.x-SUM(IF((INDIRECT($B$3)=$B192)*(INDIRECT($C$3)=$D192)*((INDIRECT($E$3)="TOTS")+(INDIRECT($E$3)=$E192)),INDIRECT(X$3)))&lt;&gt;0,_xlpm.y=0),-2,_xlpm.x)))),0))</f>
        <v>0</v>
      </c>
      <c r="Y192" s="199" cm="1">
        <f t="array" aca="1" ref="Y192" ca="1">IF(OR($B192="",$B192="X",$D192="",$D192="X",$E192="",$E192="X"),0,IFERROR(_xlfn.LET(_xlpm.x,SUM(SUM(_xlfn._xlws.FILTER(VALUE(PptoSty[Sign]&amp;1)*(1/PptoSty[Division]),(PptoSty[Division]&lt;&gt;0)*(PptoSty[Division]&lt;&gt;"")*(PptoSty[Division]&lt;&gt;"X")*(PptoSty[Project]=$B192)*(PptoSty[Vrs]=$D192)*(PptoSty[PiRow]=_xlfn.TEXTAFTER($H192,":"))*(PptoSty[PiColumn]=Y$54),0)),SUM(IF((INDIRECT($B$3)=$B192)*(INDIRECT($C$3)=$D192)*((INDIRECT($E$3)="TOTS")+(INDIRECT($E$3)=$E192)),INDIRECT(Y$3)))),_xlpm.y,SUM(_xlfn.CHOOSECOLS(_xlfn._xlws.FILTER(F_RT14[],(F_RT14[PrjId]=$B192)*(F_RT14[Vrs]=$D192)*(_xlfn.TEXTAFTER(F_RT14[ActGrp],":")=_xlfn.TEXTAFTER($H192,":")),"X"),MATCH("*"&amp;Y$54,F_RT14[#Headers],0))),IF(AND(_xlpm.x=0,_xlpm.y&lt;&gt;0),-1,IF(AND(_xlpm.x&lt;&gt;0,_xlpm.y&lt;&gt;0),_xlpm.x,IF(AND(_xlpm.x-SUM(IF((INDIRECT($B$3)=$B192)*(INDIRECT($C$3)=$D192)*((INDIRECT($E$3)="TOTS")+(INDIRECT($E$3)=$E192)),INDIRECT(Y$3)))&lt;&gt;0,_xlpm.y=0),-2,_xlpm.x)))),0))</f>
        <v>0</v>
      </c>
      <c r="Z192" s="198" t="str">
        <f t="shared" ca="1" si="4"/>
        <v>Fback!B192:Y192</v>
      </c>
    </row>
    <row r="193" spans="2:26" ht="21" customHeight="1" outlineLevel="1">
      <c r="B193" s="128" t="str">
        <v>31200</v>
      </c>
      <c r="C193" s="128" t="str">
        <v>Sp</v>
      </c>
      <c r="D193" s="128">
        <v>0</v>
      </c>
      <c r="E193" s="128" t="str">
        <v>CELL</v>
      </c>
      <c r="F193" s="139" t="str">
        <v>SERRA</v>
      </c>
      <c r="G193" s="139" t="str">
        <v>CurPpto</v>
      </c>
      <c r="H193" s="139" t="str">
        <v>A003:MARCADO LÁSER PANASONIC + MARCADO TECHNIFOR</v>
      </c>
      <c r="I193" s="199" cm="1">
        <f t="array" aca="1" ref="I193" ca="1">IF(OR($B193="",$B193="X",$D193="",$D193="X",$E193="",$E193="X"),0,IFERROR(_xlfn.LET(_xlpm.x,SUM(SUM(_xlfn._xlws.FILTER(VALUE(PptoSty[Sign]&amp;1)*(1/PptoSty[Division]),(PptoSty[Division]&lt;&gt;0)*(PptoSty[Division]&lt;&gt;"")*(PptoSty[Division]&lt;&gt;"X")*(PptoSty[Project]=$B193)*(PptoSty[Vrs]=$D193)*(PptoSty[PiRow]=_xlfn.TEXTAFTER($H193,":"))*(PptoSty[PiColumn]=I$54),0)),SUM(IF((INDIRECT($B$3)=$B193)*(INDIRECT($C$3)=$D193)*((INDIRECT($E$3)="TOTS")+(INDIRECT($E$3)=$E193)),INDIRECT(I$3)))),_xlpm.y,SUM(_xlfn.CHOOSECOLS(_xlfn._xlws.FILTER(F_RT14[],(F_RT14[PrjId]=$B193)*(F_RT14[Vrs]=$D193)*(_xlfn.TEXTAFTER(F_RT14[ActGrp],":")=_xlfn.TEXTAFTER($H193,":")),"X"),MATCH("*"&amp;I$54,F_RT14[#Headers],0))),IF(AND(_xlpm.x=0,_xlpm.y&lt;&gt;0),-1,IF(AND(_xlpm.x&lt;&gt;0,_xlpm.y&lt;&gt;0),_xlpm.x,IF(AND(_xlpm.x-SUM(IF((INDIRECT($B$3)=$B193)*(INDIRECT($C$3)=$D193)*((INDIRECT($E$3)="TOTS")+(INDIRECT($E$3)=$E193)),INDIRECT(I$3)))&lt;&gt;0,_xlpm.y=0),-2,_xlpm.x)))),0))</f>
        <v>0</v>
      </c>
      <c r="J193" s="199" cm="1">
        <f t="array" aca="1" ref="J193" ca="1">IF(OR($B193="",$B193="X",$D193="",$D193="X",$E193="",$E193="X"),0,IFERROR(_xlfn.LET(_xlpm.x,SUM(SUM(_xlfn._xlws.FILTER(VALUE(PptoSty[Sign]&amp;1)*(1/PptoSty[Division]),(PptoSty[Division]&lt;&gt;0)*(PptoSty[Division]&lt;&gt;"")*(PptoSty[Division]&lt;&gt;"X")*(PptoSty[Project]=$B193)*(PptoSty[Vrs]=$D193)*(PptoSty[PiRow]=_xlfn.TEXTAFTER($H193,":"))*(PptoSty[PiColumn]=J$54),0)),SUM(IF((INDIRECT($B$3)=$B193)*(INDIRECT($C$3)=$D193)*((INDIRECT($E$3)="TOTS")+(INDIRECT($E$3)=$E193)),INDIRECT(J$3)))),_xlpm.y,SUM(_xlfn.CHOOSECOLS(_xlfn._xlws.FILTER(F_RT14[],(F_RT14[PrjId]=$B193)*(F_RT14[Vrs]=$D193)*(_xlfn.TEXTAFTER(F_RT14[ActGrp],":")=_xlfn.TEXTAFTER($H193,":")),"X"),MATCH("*"&amp;J$54,F_RT14[#Headers],0))),IF(AND(_xlpm.x=0,_xlpm.y&lt;&gt;0),-1,IF(AND(_xlpm.x&lt;&gt;0,_xlpm.y&lt;&gt;0),_xlpm.x,IF(AND(_xlpm.x-SUM(IF((INDIRECT($B$3)=$B193)*(INDIRECT($C$3)=$D193)*((INDIRECT($E$3)="TOTS")+(INDIRECT($E$3)=$E193)),INDIRECT(J$3)))&lt;&gt;0,_xlpm.y=0),-2,_xlpm.x)))),0))</f>
        <v>0</v>
      </c>
      <c r="K193" s="199" cm="1">
        <f t="array" aca="1" ref="K193" ca="1">IF(OR($B193="",$B193="X",$D193="",$D193="X",$E193="",$E193="X"),0,IFERROR(_xlfn.LET(_xlpm.x,SUM(SUM(_xlfn._xlws.FILTER(VALUE(PptoSty[Sign]&amp;1)*(1/PptoSty[Division]),(PptoSty[Division]&lt;&gt;0)*(PptoSty[Division]&lt;&gt;"")*(PptoSty[Division]&lt;&gt;"X")*(PptoSty[Project]=$B193)*(PptoSty[Vrs]=$D193)*(PptoSty[PiRow]=_xlfn.TEXTAFTER($H193,":"))*(PptoSty[PiColumn]=K$54),0)),SUM(IF((INDIRECT($B$3)=$B193)*(INDIRECT($C$3)=$D193)*((INDIRECT($E$3)="TOTS")+(INDIRECT($E$3)=$E193)),INDIRECT(K$3)))),_xlpm.y,SUM(_xlfn.CHOOSECOLS(_xlfn._xlws.FILTER(F_RT14[],(F_RT14[PrjId]=$B193)*(F_RT14[Vrs]=$D193)*(_xlfn.TEXTAFTER(F_RT14[ActGrp],":")=_xlfn.TEXTAFTER($H193,":")),"X"),MATCH("*"&amp;K$54,F_RT14[#Headers],0))),IF(AND(_xlpm.x=0,_xlpm.y&lt;&gt;0),-1,IF(AND(_xlpm.x&lt;&gt;0,_xlpm.y&lt;&gt;0),_xlpm.x,IF(AND(_xlpm.x-SUM(IF((INDIRECT($B$3)=$B193)*(INDIRECT($C$3)=$D193)*((INDIRECT($E$3)="TOTS")+(INDIRECT($E$3)=$E193)),INDIRECT(K$3)))&lt;&gt;0,_xlpm.y=0),-2,_xlpm.x)))),0))</f>
        <v>0</v>
      </c>
      <c r="L193" s="199" cm="1">
        <f t="array" aca="1" ref="L193" ca="1">IF(OR($B193="",$B193="X",$D193="",$D193="X",$E193="",$E193="X"),0,IFERROR(_xlfn.LET(_xlpm.x,SUM(SUM(_xlfn._xlws.FILTER(VALUE(PptoSty[Sign]&amp;1)*(1/PptoSty[Division]),(PptoSty[Division]&lt;&gt;0)*(PptoSty[Division]&lt;&gt;"")*(PptoSty[Division]&lt;&gt;"X")*(PptoSty[Project]=$B193)*(PptoSty[Vrs]=$D193)*(PptoSty[PiRow]=_xlfn.TEXTAFTER($H193,":"))*(PptoSty[PiColumn]=L$54),0)),SUM(IF((INDIRECT($B$3)=$B193)*(INDIRECT($C$3)=$D193)*((INDIRECT($E$3)="TOTS")+(INDIRECT($E$3)=$E193)),INDIRECT(L$3)))),_xlpm.y,SUM(_xlfn.CHOOSECOLS(_xlfn._xlws.FILTER(F_RT14[],(F_RT14[PrjId]=$B193)*(F_RT14[Vrs]=$D193)*(_xlfn.TEXTAFTER(F_RT14[ActGrp],":")=_xlfn.TEXTAFTER($H193,":")),"X"),MATCH("*"&amp;L$54,F_RT14[#Headers],0))),IF(AND(_xlpm.x=0,_xlpm.y&lt;&gt;0),-1,IF(AND(_xlpm.x&lt;&gt;0,_xlpm.y&lt;&gt;0),_xlpm.x,IF(AND(_xlpm.x-SUM(IF((INDIRECT($B$3)=$B193)*(INDIRECT($C$3)=$D193)*((INDIRECT($E$3)="TOTS")+(INDIRECT($E$3)=$E193)),INDIRECT(L$3)))&lt;&gt;0,_xlpm.y=0),-2,_xlpm.x)))),0))</f>
        <v>0</v>
      </c>
      <c r="M193" s="199" cm="1">
        <f t="array" aca="1" ref="M193" ca="1">IF(OR($B193="",$B193="X",$D193="",$D193="X",$E193="",$E193="X"),0,IFERROR(_xlfn.LET(_xlpm.x,SUM(SUM(_xlfn._xlws.FILTER(VALUE(PptoSty[Sign]&amp;1)*(1/PptoSty[Division]),(PptoSty[Division]&lt;&gt;0)*(PptoSty[Division]&lt;&gt;"")*(PptoSty[Division]&lt;&gt;"X")*(PptoSty[Project]=$B193)*(PptoSty[Vrs]=$D193)*(PptoSty[PiRow]=_xlfn.TEXTAFTER($H193,":"))*(PptoSty[PiColumn]=M$54),0)),SUM(IF((INDIRECT($B$3)=$B193)*(INDIRECT($C$3)=$D193)*((INDIRECT($E$3)="TOTS")+(INDIRECT($E$3)=$E193)),INDIRECT(M$3)))),_xlpm.y,SUM(_xlfn.CHOOSECOLS(_xlfn._xlws.FILTER(F_RT14[],(F_RT14[PrjId]=$B193)*(F_RT14[Vrs]=$D193)*(_xlfn.TEXTAFTER(F_RT14[ActGrp],":")=_xlfn.TEXTAFTER($H193,":")),"X"),MATCH("*"&amp;M$54,F_RT14[#Headers],0))),IF(AND(_xlpm.x=0,_xlpm.y&lt;&gt;0),-1,IF(AND(_xlpm.x&lt;&gt;0,_xlpm.y&lt;&gt;0),_xlpm.x,IF(AND(_xlpm.x-SUM(IF((INDIRECT($B$3)=$B193)*(INDIRECT($C$3)=$D193)*((INDIRECT($E$3)="TOTS")+(INDIRECT($E$3)=$E193)),INDIRECT(M$3)))&lt;&gt;0,_xlpm.y=0),-2,_xlpm.x)))),0))</f>
        <v>0</v>
      </c>
      <c r="N193" s="199" cm="1">
        <f t="array" aca="1" ref="N193" ca="1">IF(OR($B193="",$B193="X",$D193="",$D193="X",$E193="",$E193="X"),0,IFERROR(_xlfn.LET(_xlpm.x,SUM(SUM(_xlfn._xlws.FILTER(VALUE(PptoSty[Sign]&amp;1)*(1/PptoSty[Division]),(PptoSty[Division]&lt;&gt;0)*(PptoSty[Division]&lt;&gt;"")*(PptoSty[Division]&lt;&gt;"X")*(PptoSty[Project]=$B193)*(PptoSty[Vrs]=$D193)*(PptoSty[PiRow]=_xlfn.TEXTAFTER($H193,":"))*(PptoSty[PiColumn]=N$54),0)),SUM(IF((INDIRECT($B$3)=$B193)*(INDIRECT($C$3)=$D193)*((INDIRECT($E$3)="TOTS")+(INDIRECT($E$3)=$E193)),INDIRECT(N$3)))),_xlpm.y,SUM(_xlfn.CHOOSECOLS(_xlfn._xlws.FILTER(F_RT14[],(F_RT14[PrjId]=$B193)*(F_RT14[Vrs]=$D193)*(_xlfn.TEXTAFTER(F_RT14[ActGrp],":")=_xlfn.TEXTAFTER($H193,":")),"X"),MATCH("*"&amp;N$54,F_RT14[#Headers],0))),IF(AND(_xlpm.x=0,_xlpm.y&lt;&gt;0),-1,IF(AND(_xlpm.x&lt;&gt;0,_xlpm.y&lt;&gt;0),_xlpm.x,IF(AND(_xlpm.x-SUM(IF((INDIRECT($B$3)=$B193)*(INDIRECT($C$3)=$D193)*((INDIRECT($E$3)="TOTS")+(INDIRECT($E$3)=$E193)),INDIRECT(N$3)))&lt;&gt;0,_xlpm.y=0),-2,_xlpm.x)))),0))</f>
        <v>0</v>
      </c>
      <c r="O193" s="199" cm="1">
        <f t="array" aca="1" ref="O193" ca="1">IF(OR($B193="",$B193="X",$D193="",$D193="X",$E193="",$E193="X"),0,IFERROR(_xlfn.LET(_xlpm.x,SUM(SUM(_xlfn._xlws.FILTER(VALUE(PptoSty[Sign]&amp;1)*(1/PptoSty[Division]),(PptoSty[Division]&lt;&gt;0)*(PptoSty[Division]&lt;&gt;"")*(PptoSty[Division]&lt;&gt;"X")*(PptoSty[Project]=$B193)*(PptoSty[Vrs]=$D193)*(PptoSty[PiRow]=_xlfn.TEXTAFTER($H193,":"))*(PptoSty[PiColumn]=O$54),0)),SUM(IF((INDIRECT($B$3)=$B193)*(INDIRECT($C$3)=$D193)*((INDIRECT($E$3)="TOTS")+(INDIRECT($E$3)=$E193)),INDIRECT(O$3)))),_xlpm.y,SUM(_xlfn.CHOOSECOLS(_xlfn._xlws.FILTER(F_RT14[],(F_RT14[PrjId]=$B193)*(F_RT14[Vrs]=$D193)*(_xlfn.TEXTAFTER(F_RT14[ActGrp],":")=_xlfn.TEXTAFTER($H193,":")),"X"),MATCH("*"&amp;O$54,F_RT14[#Headers],0))),IF(AND(_xlpm.x=0,_xlpm.y&lt;&gt;0),-1,IF(AND(_xlpm.x&lt;&gt;0,_xlpm.y&lt;&gt;0),_xlpm.x,IF(AND(_xlpm.x-SUM(IF((INDIRECT($B$3)=$B193)*(INDIRECT($C$3)=$D193)*((INDIRECT($E$3)="TOTS")+(INDIRECT($E$3)=$E193)),INDIRECT(O$3)))&lt;&gt;0,_xlpm.y=0),-2,_xlpm.x)))),0))</f>
        <v>0</v>
      </c>
      <c r="P193" s="199" cm="1">
        <f t="array" aca="1" ref="P193" ca="1">IF(OR($B193="",$B193="X",$D193="",$D193="X",$E193="",$E193="X"),0,IFERROR(_xlfn.LET(_xlpm.x,SUM(SUM(_xlfn._xlws.FILTER(VALUE(PptoSty[Sign]&amp;1)*(1/PptoSty[Division]),(PptoSty[Division]&lt;&gt;0)*(PptoSty[Division]&lt;&gt;"")*(PptoSty[Division]&lt;&gt;"X")*(PptoSty[Project]=$B193)*(PptoSty[Vrs]=$D193)*(PptoSty[PiRow]=_xlfn.TEXTAFTER($H193,":"))*(PptoSty[PiColumn]=P$54),0)),SUM(IF((INDIRECT($B$3)=$B193)*(INDIRECT($C$3)=$D193)*((INDIRECT($E$3)="TOTS")+(INDIRECT($E$3)=$E193)),INDIRECT(P$3)))),_xlpm.y,SUM(_xlfn.CHOOSECOLS(_xlfn._xlws.FILTER(F_RT14[],(F_RT14[PrjId]=$B193)*(F_RT14[Vrs]=$D193)*(_xlfn.TEXTAFTER(F_RT14[ActGrp],":")=_xlfn.TEXTAFTER($H193,":")),"X"),MATCH("*"&amp;P$54,F_RT14[#Headers],0))),IF(AND(_xlpm.x=0,_xlpm.y&lt;&gt;0),-1,IF(AND(_xlpm.x&lt;&gt;0,_xlpm.y&lt;&gt;0),_xlpm.x,IF(AND(_xlpm.x-SUM(IF((INDIRECT($B$3)=$B193)*(INDIRECT($C$3)=$D193)*((INDIRECT($E$3)="TOTS")+(INDIRECT($E$3)=$E193)),INDIRECT(P$3)))&lt;&gt;0,_xlpm.y=0),-2,_xlpm.x)))),0))</f>
        <v>0</v>
      </c>
      <c r="Q193" s="199" cm="1">
        <f t="array" aca="1" ref="Q193" ca="1">IF(OR($B193="",$B193="X",$D193="",$D193="X",$E193="",$E193="X"),0,IFERROR(_xlfn.LET(_xlpm.x,SUM(SUM(_xlfn._xlws.FILTER(VALUE(PptoSty[Sign]&amp;1)*(1/PptoSty[Division]),(PptoSty[Division]&lt;&gt;0)*(PptoSty[Division]&lt;&gt;"")*(PptoSty[Division]&lt;&gt;"X")*(PptoSty[Project]=$B193)*(PptoSty[Vrs]=$D193)*(PptoSty[PiRow]=_xlfn.TEXTAFTER($H193,":"))*(PptoSty[PiColumn]=Q$54),0)),SUM(IF((INDIRECT($B$3)=$B193)*(INDIRECT($C$3)=$D193)*((INDIRECT($E$3)="TOTS")+(INDIRECT($E$3)=$E193)),INDIRECT(Q$3)))),_xlpm.y,SUM(_xlfn.CHOOSECOLS(_xlfn._xlws.FILTER(F_RT14[],(F_RT14[PrjId]=$B193)*(F_RT14[Vrs]=$D193)*(_xlfn.TEXTAFTER(F_RT14[ActGrp],":")=_xlfn.TEXTAFTER($H193,":")),"X"),MATCH("*"&amp;Q$54,F_RT14[#Headers],0))),IF(AND(_xlpm.x=0,_xlpm.y&lt;&gt;0),-1,IF(AND(_xlpm.x&lt;&gt;0,_xlpm.y&lt;&gt;0),_xlpm.x,IF(AND(_xlpm.x-SUM(IF((INDIRECT($B$3)=$B193)*(INDIRECT($C$3)=$D193)*((INDIRECT($E$3)="TOTS")+(INDIRECT($E$3)=$E193)),INDIRECT(Q$3)))&lt;&gt;0,_xlpm.y=0),-2,_xlpm.x)))),0))</f>
        <v>0</v>
      </c>
      <c r="R193" s="199" cm="1">
        <f t="array" aca="1" ref="R193" ca="1">IF(OR($B193="",$B193="X",$D193="",$D193="X",$E193="",$E193="X"),0,IFERROR(_xlfn.LET(_xlpm.x,SUM(SUM(_xlfn._xlws.FILTER(VALUE(PptoSty[Sign]&amp;1)*(1/PptoSty[Division]),(PptoSty[Division]&lt;&gt;0)*(PptoSty[Division]&lt;&gt;"")*(PptoSty[Division]&lt;&gt;"X")*(PptoSty[Project]=$B193)*(PptoSty[Vrs]=$D193)*(PptoSty[PiRow]=_xlfn.TEXTAFTER($H193,":"))*(PptoSty[PiColumn]=R$54),0)),SUM(IF((INDIRECT($B$3)=$B193)*(INDIRECT($C$3)=$D193)*((INDIRECT($E$3)="TOTS")+(INDIRECT($E$3)=$E193)),INDIRECT(R$3)))),_xlpm.y,SUM(_xlfn.CHOOSECOLS(_xlfn._xlws.FILTER(F_RT14[],(F_RT14[PrjId]=$B193)*(F_RT14[Vrs]=$D193)*(_xlfn.TEXTAFTER(F_RT14[ActGrp],":")=_xlfn.TEXTAFTER($H193,":")),"X"),MATCH("*"&amp;R$54,F_RT14[#Headers],0))),IF(AND(_xlpm.x=0,_xlpm.y&lt;&gt;0),-1,IF(AND(_xlpm.x&lt;&gt;0,_xlpm.y&lt;&gt;0),_xlpm.x,IF(AND(_xlpm.x-SUM(IF((INDIRECT($B$3)=$B193)*(INDIRECT($C$3)=$D193)*((INDIRECT($E$3)="TOTS")+(INDIRECT($E$3)=$E193)),INDIRECT(R$3)))&lt;&gt;0,_xlpm.y=0),-2,_xlpm.x)))),0))</f>
        <v>0</v>
      </c>
      <c r="S193" s="199" cm="1">
        <f t="array" aca="1" ref="S193" ca="1">IF(OR($B193="",$B193="X",$D193="",$D193="X",$E193="",$E193="X"),0,IFERROR(_xlfn.LET(_xlpm.x,SUM(SUM(_xlfn._xlws.FILTER(VALUE(PptoSty[Sign]&amp;1)*(1/PptoSty[Division]),(PptoSty[Division]&lt;&gt;0)*(PptoSty[Division]&lt;&gt;"")*(PptoSty[Division]&lt;&gt;"X")*(PptoSty[Project]=$B193)*(PptoSty[Vrs]=$D193)*(PptoSty[PiRow]=_xlfn.TEXTAFTER($H193,":"))*(PptoSty[PiColumn]=S$54),0)),SUM(IF((INDIRECT($B$3)=$B193)*(INDIRECT($C$3)=$D193)*((INDIRECT($E$3)="TOTS")+(INDIRECT($E$3)=$E193)),INDIRECT(S$3)))),_xlpm.y,SUM(_xlfn.CHOOSECOLS(_xlfn._xlws.FILTER(F_RT14[],(F_RT14[PrjId]=$B193)*(F_RT14[Vrs]=$D193)*(_xlfn.TEXTAFTER(F_RT14[ActGrp],":")=_xlfn.TEXTAFTER($H193,":")),"X"),MATCH("*"&amp;S$54,F_RT14[#Headers],0))),IF(AND(_xlpm.x=0,_xlpm.y&lt;&gt;0),-1,IF(AND(_xlpm.x&lt;&gt;0,_xlpm.y&lt;&gt;0),_xlpm.x,IF(AND(_xlpm.x-SUM(IF((INDIRECT($B$3)=$B193)*(INDIRECT($C$3)=$D193)*((INDIRECT($E$3)="TOTS")+(INDIRECT($E$3)=$E193)),INDIRECT(S$3)))&lt;&gt;0,_xlpm.y=0),-2,_xlpm.x)))),0))</f>
        <v>0</v>
      </c>
      <c r="T193" s="199" cm="1">
        <f t="array" aca="1" ref="T193" ca="1">IF(OR($B193="",$B193="X",$D193="",$D193="X",$E193="",$E193="X"),0,IFERROR(_xlfn.LET(_xlpm.x,SUM(SUM(_xlfn._xlws.FILTER(VALUE(PptoSty[Sign]&amp;1)*(1/PptoSty[Division]),(PptoSty[Division]&lt;&gt;0)*(PptoSty[Division]&lt;&gt;"")*(PptoSty[Division]&lt;&gt;"X")*(PptoSty[Project]=$B193)*(PptoSty[Vrs]=$D193)*(PptoSty[PiRow]=_xlfn.TEXTAFTER($H193,":"))*(PptoSty[PiColumn]=T$54),0)),SUM(IF((INDIRECT($B$3)=$B193)*(INDIRECT($C$3)=$D193)*((INDIRECT($E$3)="TOTS")+(INDIRECT($E$3)=$E193)),INDIRECT(T$3)))),_xlpm.y,SUM(_xlfn.CHOOSECOLS(_xlfn._xlws.FILTER(F_RT14[],(F_RT14[PrjId]=$B193)*(F_RT14[Vrs]=$D193)*(_xlfn.TEXTAFTER(F_RT14[ActGrp],":")=_xlfn.TEXTAFTER($H193,":")),"X"),MATCH("*"&amp;T$54,F_RT14[#Headers],0))),IF(AND(_xlpm.x=0,_xlpm.y&lt;&gt;0),-1,IF(AND(_xlpm.x&lt;&gt;0,_xlpm.y&lt;&gt;0),_xlpm.x,IF(AND(_xlpm.x-SUM(IF((INDIRECT($B$3)=$B193)*(INDIRECT($C$3)=$D193)*((INDIRECT($E$3)="TOTS")+(INDIRECT($E$3)=$E193)),INDIRECT(T$3)))&lt;&gt;0,_xlpm.y=0),-2,_xlpm.x)))),0))</f>
        <v>0</v>
      </c>
      <c r="U193" s="199" cm="1">
        <f t="array" aca="1" ref="U193" ca="1">IF(OR($B193="",$B193="X",$D193="",$D193="X",$E193="",$E193="X"),0,IFERROR(_xlfn.LET(_xlpm.x,SUM(SUM(_xlfn._xlws.FILTER(VALUE(PptoSty[Sign]&amp;1)*(1/PptoSty[Division]),(PptoSty[Division]&lt;&gt;0)*(PptoSty[Division]&lt;&gt;"")*(PptoSty[Division]&lt;&gt;"X")*(PptoSty[Project]=$B193)*(PptoSty[Vrs]=$D193)*(PptoSty[PiRow]=_xlfn.TEXTAFTER($H193,":"))*(PptoSty[PiColumn]=U$54),0)),SUM(IF((INDIRECT($B$3)=$B193)*(INDIRECT($C$3)=$D193)*((INDIRECT($E$3)="TOTS")+(INDIRECT($E$3)=$E193)),INDIRECT(U$3)))),_xlpm.y,SUM(_xlfn.CHOOSECOLS(_xlfn._xlws.FILTER(F_RT14[],(F_RT14[PrjId]=$B193)*(F_RT14[Vrs]=$D193)*(_xlfn.TEXTAFTER(F_RT14[ActGrp],":")=_xlfn.TEXTAFTER($H193,":")),"X"),MATCH("*"&amp;U$54,F_RT14[#Headers],0))),IF(AND(_xlpm.x=0,_xlpm.y&lt;&gt;0),-1,IF(AND(_xlpm.x&lt;&gt;0,_xlpm.y&lt;&gt;0),_xlpm.x,IF(AND(_xlpm.x-SUM(IF((INDIRECT($B$3)=$B193)*(INDIRECT($C$3)=$D193)*((INDIRECT($E$3)="TOTS")+(INDIRECT($E$3)=$E193)),INDIRECT(U$3)))&lt;&gt;0,_xlpm.y=0),-2,_xlpm.x)))),0))</f>
        <v>0</v>
      </c>
      <c r="V193" s="199" cm="1">
        <f t="array" aca="1" ref="V193" ca="1">IF(OR($B193="",$B193="X",$D193="",$D193="X",$E193="",$E193="X"),0,IFERROR(_xlfn.LET(_xlpm.x,SUM(SUM(_xlfn._xlws.FILTER(VALUE(PptoSty[Sign]&amp;1)*(1/PptoSty[Division]),(PptoSty[Division]&lt;&gt;0)*(PptoSty[Division]&lt;&gt;"")*(PptoSty[Division]&lt;&gt;"X")*(PptoSty[Project]=$B193)*(PptoSty[Vrs]=$D193)*(PptoSty[PiRow]=_xlfn.TEXTAFTER($H193,":"))*(PptoSty[PiColumn]=V$54),0)),SUM(IF((INDIRECT($B$3)=$B193)*(INDIRECT($C$3)=$D193)*((INDIRECT($E$3)="TOTS")+(INDIRECT($E$3)=$E193)),INDIRECT(V$3)))),_xlpm.y,SUM(_xlfn.CHOOSECOLS(_xlfn._xlws.FILTER(F_RT14[],(F_RT14[PrjId]=$B193)*(F_RT14[Vrs]=$D193)*(_xlfn.TEXTAFTER(F_RT14[ActGrp],":")=_xlfn.TEXTAFTER($H193,":")),"X"),MATCH("*"&amp;V$54,F_RT14[#Headers],0))),IF(AND(_xlpm.x=0,_xlpm.y&lt;&gt;0),-1,IF(AND(_xlpm.x&lt;&gt;0,_xlpm.y&lt;&gt;0),_xlpm.x,IF(AND(_xlpm.x-SUM(IF((INDIRECT($B$3)=$B193)*(INDIRECT($C$3)=$D193)*((INDIRECT($E$3)="TOTS")+(INDIRECT($E$3)=$E193)),INDIRECT(V$3)))&lt;&gt;0,_xlpm.y=0),-2,_xlpm.x)))),0))</f>
        <v>-1</v>
      </c>
      <c r="W193" s="199" cm="1">
        <f t="array" aca="1" ref="W193" ca="1">IF(OR($B193="",$B193="X",$D193="",$D193="X",$E193="",$E193="X"),0,IFERROR(_xlfn.LET(_xlpm.x,SUM(SUM(_xlfn._xlws.FILTER(VALUE(PptoSty[Sign]&amp;1)*(1/PptoSty[Division]),(PptoSty[Division]&lt;&gt;0)*(PptoSty[Division]&lt;&gt;"")*(PptoSty[Division]&lt;&gt;"X")*(PptoSty[Project]=$B193)*(PptoSty[Vrs]=$D193)*(PptoSty[PiRow]=_xlfn.TEXTAFTER($H193,":"))*(PptoSty[PiColumn]=W$54),0)),SUM(IF((INDIRECT($B$3)=$B193)*(INDIRECT($C$3)=$D193)*((INDIRECT($E$3)="TOTS")+(INDIRECT($E$3)=$E193)),INDIRECT(W$3)))),_xlpm.y,SUM(_xlfn.CHOOSECOLS(_xlfn._xlws.FILTER(F_RT14[],(F_RT14[PrjId]=$B193)*(F_RT14[Vrs]=$D193)*(_xlfn.TEXTAFTER(F_RT14[ActGrp],":")=_xlfn.TEXTAFTER($H193,":")),"X"),MATCH("*"&amp;W$54,F_RT14[#Headers],0))),IF(AND(_xlpm.x=0,_xlpm.y&lt;&gt;0),-1,IF(AND(_xlpm.x&lt;&gt;0,_xlpm.y&lt;&gt;0),_xlpm.x,IF(AND(_xlpm.x-SUM(IF((INDIRECT($B$3)=$B193)*(INDIRECT($C$3)=$D193)*((INDIRECT($E$3)="TOTS")+(INDIRECT($E$3)=$E193)),INDIRECT(W$3)))&lt;&gt;0,_xlpm.y=0),-2,_xlpm.x)))),0))</f>
        <v>0</v>
      </c>
      <c r="X193" s="199" cm="1">
        <f t="array" aca="1" ref="X193" ca="1">IF(OR($B193="",$B193="X",$D193="",$D193="X",$E193="",$E193="X"),0,IFERROR(_xlfn.LET(_xlpm.x,SUM(SUM(_xlfn._xlws.FILTER(VALUE(PptoSty[Sign]&amp;1)*(1/PptoSty[Division]),(PptoSty[Division]&lt;&gt;0)*(PptoSty[Division]&lt;&gt;"")*(PptoSty[Division]&lt;&gt;"X")*(PptoSty[Project]=$B193)*(PptoSty[Vrs]=$D193)*(PptoSty[PiRow]=_xlfn.TEXTAFTER($H193,":"))*(PptoSty[PiColumn]=X$54),0)),SUM(IF((INDIRECT($B$3)=$B193)*(INDIRECT($C$3)=$D193)*((INDIRECT($E$3)="TOTS")+(INDIRECT($E$3)=$E193)),INDIRECT(X$3)))),_xlpm.y,SUM(_xlfn.CHOOSECOLS(_xlfn._xlws.FILTER(F_RT14[],(F_RT14[PrjId]=$B193)*(F_RT14[Vrs]=$D193)*(_xlfn.TEXTAFTER(F_RT14[ActGrp],":")=_xlfn.TEXTAFTER($H193,":")),"X"),MATCH("*"&amp;X$54,F_RT14[#Headers],0))),IF(AND(_xlpm.x=0,_xlpm.y&lt;&gt;0),-1,IF(AND(_xlpm.x&lt;&gt;0,_xlpm.y&lt;&gt;0),_xlpm.x,IF(AND(_xlpm.x-SUM(IF((INDIRECT($B$3)=$B193)*(INDIRECT($C$3)=$D193)*((INDIRECT($E$3)="TOTS")+(INDIRECT($E$3)=$E193)),INDIRECT(X$3)))&lt;&gt;0,_xlpm.y=0),-2,_xlpm.x)))),0))</f>
        <v>0</v>
      </c>
      <c r="Y193" s="199" cm="1">
        <f t="array" aca="1" ref="Y193" ca="1">IF(OR($B193="",$B193="X",$D193="",$D193="X",$E193="",$E193="X"),0,IFERROR(_xlfn.LET(_xlpm.x,SUM(SUM(_xlfn._xlws.FILTER(VALUE(PptoSty[Sign]&amp;1)*(1/PptoSty[Division]),(PptoSty[Division]&lt;&gt;0)*(PptoSty[Division]&lt;&gt;"")*(PptoSty[Division]&lt;&gt;"X")*(PptoSty[Project]=$B193)*(PptoSty[Vrs]=$D193)*(PptoSty[PiRow]=_xlfn.TEXTAFTER($H193,":"))*(PptoSty[PiColumn]=Y$54),0)),SUM(IF((INDIRECT($B$3)=$B193)*(INDIRECT($C$3)=$D193)*((INDIRECT($E$3)="TOTS")+(INDIRECT($E$3)=$E193)),INDIRECT(Y$3)))),_xlpm.y,SUM(_xlfn.CHOOSECOLS(_xlfn._xlws.FILTER(F_RT14[],(F_RT14[PrjId]=$B193)*(F_RT14[Vrs]=$D193)*(_xlfn.TEXTAFTER(F_RT14[ActGrp],":")=_xlfn.TEXTAFTER($H193,":")),"X"),MATCH("*"&amp;Y$54,F_RT14[#Headers],0))),IF(AND(_xlpm.x=0,_xlpm.y&lt;&gt;0),-1,IF(AND(_xlpm.x&lt;&gt;0,_xlpm.y&lt;&gt;0),_xlpm.x,IF(AND(_xlpm.x-SUM(IF((INDIRECT($B$3)=$B193)*(INDIRECT($C$3)=$D193)*((INDIRECT($E$3)="TOTS")+(INDIRECT($E$3)=$E193)),INDIRECT(Y$3)))&lt;&gt;0,_xlpm.y=0),-2,_xlpm.x)))),0))</f>
        <v>0</v>
      </c>
      <c r="Z193" s="198" t="str">
        <f t="shared" ca="1" si="4"/>
        <v>Fback!B193:Y193</v>
      </c>
    </row>
    <row r="194" spans="2:26" ht="21" customHeight="1" outlineLevel="1">
      <c r="B194" s="128" t="str">
        <v>31200</v>
      </c>
      <c r="C194" s="128" t="str">
        <v>Sp</v>
      </c>
      <c r="D194" s="128">
        <v>0</v>
      </c>
      <c r="E194" s="128" t="str">
        <v>TOOL</v>
      </c>
      <c r="F194" s="139" t="str">
        <v>SERRA</v>
      </c>
      <c r="G194" s="139" t="str">
        <v>CurPpto</v>
      </c>
      <c r="H194" s="139" t="str">
        <v>A005:DISEÑO PALETAS</v>
      </c>
      <c r="I194" s="199" cm="1">
        <f t="array" aca="1" ref="I194" ca="1">IF(OR($B194="",$B194="X",$D194="",$D194="X",$E194="",$E194="X"),0,IFERROR(_xlfn.LET(_xlpm.x,SUM(SUM(_xlfn._xlws.FILTER(VALUE(PptoSty[Sign]&amp;1)*(1/PptoSty[Division]),(PptoSty[Division]&lt;&gt;0)*(PptoSty[Division]&lt;&gt;"")*(PptoSty[Division]&lt;&gt;"X")*(PptoSty[Project]=$B194)*(PptoSty[Vrs]=$D194)*(PptoSty[PiRow]=_xlfn.TEXTAFTER($H194,":"))*(PptoSty[PiColumn]=I$54),0)),SUM(IF((INDIRECT($B$3)=$B194)*(INDIRECT($C$3)=$D194)*((INDIRECT($E$3)="TOTS")+(INDIRECT($E$3)=$E194)),INDIRECT(I$3)))),_xlpm.y,SUM(_xlfn.CHOOSECOLS(_xlfn._xlws.FILTER(F_RT14[],(F_RT14[PrjId]=$B194)*(F_RT14[Vrs]=$D194)*(_xlfn.TEXTAFTER(F_RT14[ActGrp],":")=_xlfn.TEXTAFTER($H194,":")),"X"),MATCH("*"&amp;I$54,F_RT14[#Headers],0))),IF(AND(_xlpm.x=0,_xlpm.y&lt;&gt;0),-1,IF(AND(_xlpm.x&lt;&gt;0,_xlpm.y&lt;&gt;0),_xlpm.x,IF(AND(_xlpm.x-SUM(IF((INDIRECT($B$3)=$B194)*(INDIRECT($C$3)=$D194)*((INDIRECT($E$3)="TOTS")+(INDIRECT($E$3)=$E194)),INDIRECT(I$3)))&lt;&gt;0,_xlpm.y=0),-2,_xlpm.x)))),0))</f>
        <v>0</v>
      </c>
      <c r="J194" s="199" cm="1">
        <f t="array" aca="1" ref="J194" ca="1">IF(OR($B194="",$B194="X",$D194="",$D194="X",$E194="",$E194="X"),0,IFERROR(_xlfn.LET(_xlpm.x,SUM(SUM(_xlfn._xlws.FILTER(VALUE(PptoSty[Sign]&amp;1)*(1/PptoSty[Division]),(PptoSty[Division]&lt;&gt;0)*(PptoSty[Division]&lt;&gt;"")*(PptoSty[Division]&lt;&gt;"X")*(PptoSty[Project]=$B194)*(PptoSty[Vrs]=$D194)*(PptoSty[PiRow]=_xlfn.TEXTAFTER($H194,":"))*(PptoSty[PiColumn]=J$54),0)),SUM(IF((INDIRECT($B$3)=$B194)*(INDIRECT($C$3)=$D194)*((INDIRECT($E$3)="TOTS")+(INDIRECT($E$3)=$E194)),INDIRECT(J$3)))),_xlpm.y,SUM(_xlfn.CHOOSECOLS(_xlfn._xlws.FILTER(F_RT14[],(F_RT14[PrjId]=$B194)*(F_RT14[Vrs]=$D194)*(_xlfn.TEXTAFTER(F_RT14[ActGrp],":")=_xlfn.TEXTAFTER($H194,":")),"X"),MATCH("*"&amp;J$54,F_RT14[#Headers],0))),IF(AND(_xlpm.x=0,_xlpm.y&lt;&gt;0),-1,IF(AND(_xlpm.x&lt;&gt;0,_xlpm.y&lt;&gt;0),_xlpm.x,IF(AND(_xlpm.x-SUM(IF((INDIRECT($B$3)=$B194)*(INDIRECT($C$3)=$D194)*((INDIRECT($E$3)="TOTS")+(INDIRECT($E$3)=$E194)),INDIRECT(J$3)))&lt;&gt;0,_xlpm.y=0),-2,_xlpm.x)))),0))</f>
        <v>0</v>
      </c>
      <c r="K194" s="199" cm="1">
        <f t="array" aca="1" ref="K194" ca="1">IF(OR($B194="",$B194="X",$D194="",$D194="X",$E194="",$E194="X"),0,IFERROR(_xlfn.LET(_xlpm.x,SUM(SUM(_xlfn._xlws.FILTER(VALUE(PptoSty[Sign]&amp;1)*(1/PptoSty[Division]),(PptoSty[Division]&lt;&gt;0)*(PptoSty[Division]&lt;&gt;"")*(PptoSty[Division]&lt;&gt;"X")*(PptoSty[Project]=$B194)*(PptoSty[Vrs]=$D194)*(PptoSty[PiRow]=_xlfn.TEXTAFTER($H194,":"))*(PptoSty[PiColumn]=K$54),0)),SUM(IF((INDIRECT($B$3)=$B194)*(INDIRECT($C$3)=$D194)*((INDIRECT($E$3)="TOTS")+(INDIRECT($E$3)=$E194)),INDIRECT(K$3)))),_xlpm.y,SUM(_xlfn.CHOOSECOLS(_xlfn._xlws.FILTER(F_RT14[],(F_RT14[PrjId]=$B194)*(F_RT14[Vrs]=$D194)*(_xlfn.TEXTAFTER(F_RT14[ActGrp],":")=_xlfn.TEXTAFTER($H194,":")),"X"),MATCH("*"&amp;K$54,F_RT14[#Headers],0))),IF(AND(_xlpm.x=0,_xlpm.y&lt;&gt;0),-1,IF(AND(_xlpm.x&lt;&gt;0,_xlpm.y&lt;&gt;0),_xlpm.x,IF(AND(_xlpm.x-SUM(IF((INDIRECT($B$3)=$B194)*(INDIRECT($C$3)=$D194)*((INDIRECT($E$3)="TOTS")+(INDIRECT($E$3)=$E194)),INDIRECT(K$3)))&lt;&gt;0,_xlpm.y=0),-2,_xlpm.x)))),0))</f>
        <v>-1</v>
      </c>
      <c r="L194" s="199" cm="1">
        <f t="array" aca="1" ref="L194" ca="1">IF(OR($B194="",$B194="X",$D194="",$D194="X",$E194="",$E194="X"),0,IFERROR(_xlfn.LET(_xlpm.x,SUM(SUM(_xlfn._xlws.FILTER(VALUE(PptoSty[Sign]&amp;1)*(1/PptoSty[Division]),(PptoSty[Division]&lt;&gt;0)*(PptoSty[Division]&lt;&gt;"")*(PptoSty[Division]&lt;&gt;"X")*(PptoSty[Project]=$B194)*(PptoSty[Vrs]=$D194)*(PptoSty[PiRow]=_xlfn.TEXTAFTER($H194,":"))*(PptoSty[PiColumn]=L$54),0)),SUM(IF((INDIRECT($B$3)=$B194)*(INDIRECT($C$3)=$D194)*((INDIRECT($E$3)="TOTS")+(INDIRECT($E$3)=$E194)),INDIRECT(L$3)))),_xlpm.y,SUM(_xlfn.CHOOSECOLS(_xlfn._xlws.FILTER(F_RT14[],(F_RT14[PrjId]=$B194)*(F_RT14[Vrs]=$D194)*(_xlfn.TEXTAFTER(F_RT14[ActGrp],":")=_xlfn.TEXTAFTER($H194,":")),"X"),MATCH("*"&amp;L$54,F_RT14[#Headers],0))),IF(AND(_xlpm.x=0,_xlpm.y&lt;&gt;0),-1,IF(AND(_xlpm.x&lt;&gt;0,_xlpm.y&lt;&gt;0),_xlpm.x,IF(AND(_xlpm.x-SUM(IF((INDIRECT($B$3)=$B194)*(INDIRECT($C$3)=$D194)*((INDIRECT($E$3)="TOTS")+(INDIRECT($E$3)=$E194)),INDIRECT(L$3)))&lt;&gt;0,_xlpm.y=0),-2,_xlpm.x)))),0))</f>
        <v>0</v>
      </c>
      <c r="M194" s="199" cm="1">
        <f t="array" aca="1" ref="M194" ca="1">IF(OR($B194="",$B194="X",$D194="",$D194="X",$E194="",$E194="X"),0,IFERROR(_xlfn.LET(_xlpm.x,SUM(SUM(_xlfn._xlws.FILTER(VALUE(PptoSty[Sign]&amp;1)*(1/PptoSty[Division]),(PptoSty[Division]&lt;&gt;0)*(PptoSty[Division]&lt;&gt;"")*(PptoSty[Division]&lt;&gt;"X")*(PptoSty[Project]=$B194)*(PptoSty[Vrs]=$D194)*(PptoSty[PiRow]=_xlfn.TEXTAFTER($H194,":"))*(PptoSty[PiColumn]=M$54),0)),SUM(IF((INDIRECT($B$3)=$B194)*(INDIRECT($C$3)=$D194)*((INDIRECT($E$3)="TOTS")+(INDIRECT($E$3)=$E194)),INDIRECT(M$3)))),_xlpm.y,SUM(_xlfn.CHOOSECOLS(_xlfn._xlws.FILTER(F_RT14[],(F_RT14[PrjId]=$B194)*(F_RT14[Vrs]=$D194)*(_xlfn.TEXTAFTER(F_RT14[ActGrp],":")=_xlfn.TEXTAFTER($H194,":")),"X"),MATCH("*"&amp;M$54,F_RT14[#Headers],0))),IF(AND(_xlpm.x=0,_xlpm.y&lt;&gt;0),-1,IF(AND(_xlpm.x&lt;&gt;0,_xlpm.y&lt;&gt;0),_xlpm.x,IF(AND(_xlpm.x-SUM(IF((INDIRECT($B$3)=$B194)*(INDIRECT($C$3)=$D194)*((INDIRECT($E$3)="TOTS")+(INDIRECT($E$3)=$E194)),INDIRECT(M$3)))&lt;&gt;0,_xlpm.y=0),-2,_xlpm.x)))),0))</f>
        <v>0</v>
      </c>
      <c r="N194" s="199" cm="1">
        <f t="array" aca="1" ref="N194" ca="1">IF(OR($B194="",$B194="X",$D194="",$D194="X",$E194="",$E194="X"),0,IFERROR(_xlfn.LET(_xlpm.x,SUM(SUM(_xlfn._xlws.FILTER(VALUE(PptoSty[Sign]&amp;1)*(1/PptoSty[Division]),(PptoSty[Division]&lt;&gt;0)*(PptoSty[Division]&lt;&gt;"")*(PptoSty[Division]&lt;&gt;"X")*(PptoSty[Project]=$B194)*(PptoSty[Vrs]=$D194)*(PptoSty[PiRow]=_xlfn.TEXTAFTER($H194,":"))*(PptoSty[PiColumn]=N$54),0)),SUM(IF((INDIRECT($B$3)=$B194)*(INDIRECT($C$3)=$D194)*((INDIRECT($E$3)="TOTS")+(INDIRECT($E$3)=$E194)),INDIRECT(N$3)))),_xlpm.y,SUM(_xlfn.CHOOSECOLS(_xlfn._xlws.FILTER(F_RT14[],(F_RT14[PrjId]=$B194)*(F_RT14[Vrs]=$D194)*(_xlfn.TEXTAFTER(F_RT14[ActGrp],":")=_xlfn.TEXTAFTER($H194,":")),"X"),MATCH("*"&amp;N$54,F_RT14[#Headers],0))),IF(AND(_xlpm.x=0,_xlpm.y&lt;&gt;0),-1,IF(AND(_xlpm.x&lt;&gt;0,_xlpm.y&lt;&gt;0),_xlpm.x,IF(AND(_xlpm.x-SUM(IF((INDIRECT($B$3)=$B194)*(INDIRECT($C$3)=$D194)*((INDIRECT($E$3)="TOTS")+(INDIRECT($E$3)=$E194)),INDIRECT(N$3)))&lt;&gt;0,_xlpm.y=0),-2,_xlpm.x)))),0))</f>
        <v>0</v>
      </c>
      <c r="O194" s="199" cm="1">
        <f t="array" aca="1" ref="O194" ca="1">IF(OR($B194="",$B194="X",$D194="",$D194="X",$E194="",$E194="X"),0,IFERROR(_xlfn.LET(_xlpm.x,SUM(SUM(_xlfn._xlws.FILTER(VALUE(PptoSty[Sign]&amp;1)*(1/PptoSty[Division]),(PptoSty[Division]&lt;&gt;0)*(PptoSty[Division]&lt;&gt;"")*(PptoSty[Division]&lt;&gt;"X")*(PptoSty[Project]=$B194)*(PptoSty[Vrs]=$D194)*(PptoSty[PiRow]=_xlfn.TEXTAFTER($H194,":"))*(PptoSty[PiColumn]=O$54),0)),SUM(IF((INDIRECT($B$3)=$B194)*(INDIRECT($C$3)=$D194)*((INDIRECT($E$3)="TOTS")+(INDIRECT($E$3)=$E194)),INDIRECT(O$3)))),_xlpm.y,SUM(_xlfn.CHOOSECOLS(_xlfn._xlws.FILTER(F_RT14[],(F_RT14[PrjId]=$B194)*(F_RT14[Vrs]=$D194)*(_xlfn.TEXTAFTER(F_RT14[ActGrp],":")=_xlfn.TEXTAFTER($H194,":")),"X"),MATCH("*"&amp;O$54,F_RT14[#Headers],0))),IF(AND(_xlpm.x=0,_xlpm.y&lt;&gt;0),-1,IF(AND(_xlpm.x&lt;&gt;0,_xlpm.y&lt;&gt;0),_xlpm.x,IF(AND(_xlpm.x-SUM(IF((INDIRECT($B$3)=$B194)*(INDIRECT($C$3)=$D194)*((INDIRECT($E$3)="TOTS")+(INDIRECT($E$3)=$E194)),INDIRECT(O$3)))&lt;&gt;0,_xlpm.y=0),-2,_xlpm.x)))),0))</f>
        <v>0</v>
      </c>
      <c r="P194" s="199" cm="1">
        <f t="array" aca="1" ref="P194" ca="1">IF(OR($B194="",$B194="X",$D194="",$D194="X",$E194="",$E194="X"),0,IFERROR(_xlfn.LET(_xlpm.x,SUM(SUM(_xlfn._xlws.FILTER(VALUE(PptoSty[Sign]&amp;1)*(1/PptoSty[Division]),(PptoSty[Division]&lt;&gt;0)*(PptoSty[Division]&lt;&gt;"")*(PptoSty[Division]&lt;&gt;"X")*(PptoSty[Project]=$B194)*(PptoSty[Vrs]=$D194)*(PptoSty[PiRow]=_xlfn.TEXTAFTER($H194,":"))*(PptoSty[PiColumn]=P$54),0)),SUM(IF((INDIRECT($B$3)=$B194)*(INDIRECT($C$3)=$D194)*((INDIRECT($E$3)="TOTS")+(INDIRECT($E$3)=$E194)),INDIRECT(P$3)))),_xlpm.y,SUM(_xlfn.CHOOSECOLS(_xlfn._xlws.FILTER(F_RT14[],(F_RT14[PrjId]=$B194)*(F_RT14[Vrs]=$D194)*(_xlfn.TEXTAFTER(F_RT14[ActGrp],":")=_xlfn.TEXTAFTER($H194,":")),"X"),MATCH("*"&amp;P$54,F_RT14[#Headers],0))),IF(AND(_xlpm.x=0,_xlpm.y&lt;&gt;0),-1,IF(AND(_xlpm.x&lt;&gt;0,_xlpm.y&lt;&gt;0),_xlpm.x,IF(AND(_xlpm.x-SUM(IF((INDIRECT($B$3)=$B194)*(INDIRECT($C$3)=$D194)*((INDIRECT($E$3)="TOTS")+(INDIRECT($E$3)=$E194)),INDIRECT(P$3)))&lt;&gt;0,_xlpm.y=0),-2,_xlpm.x)))),0))</f>
        <v>0</v>
      </c>
      <c r="Q194" s="199" cm="1">
        <f t="array" aca="1" ref="Q194" ca="1">IF(OR($B194="",$B194="X",$D194="",$D194="X",$E194="",$E194="X"),0,IFERROR(_xlfn.LET(_xlpm.x,SUM(SUM(_xlfn._xlws.FILTER(VALUE(PptoSty[Sign]&amp;1)*(1/PptoSty[Division]),(PptoSty[Division]&lt;&gt;0)*(PptoSty[Division]&lt;&gt;"")*(PptoSty[Division]&lt;&gt;"X")*(PptoSty[Project]=$B194)*(PptoSty[Vrs]=$D194)*(PptoSty[PiRow]=_xlfn.TEXTAFTER($H194,":"))*(PptoSty[PiColumn]=Q$54),0)),SUM(IF((INDIRECT($B$3)=$B194)*(INDIRECT($C$3)=$D194)*((INDIRECT($E$3)="TOTS")+(INDIRECT($E$3)=$E194)),INDIRECT(Q$3)))),_xlpm.y,SUM(_xlfn.CHOOSECOLS(_xlfn._xlws.FILTER(F_RT14[],(F_RT14[PrjId]=$B194)*(F_RT14[Vrs]=$D194)*(_xlfn.TEXTAFTER(F_RT14[ActGrp],":")=_xlfn.TEXTAFTER($H194,":")),"X"),MATCH("*"&amp;Q$54,F_RT14[#Headers],0))),IF(AND(_xlpm.x=0,_xlpm.y&lt;&gt;0),-1,IF(AND(_xlpm.x&lt;&gt;0,_xlpm.y&lt;&gt;0),_xlpm.x,IF(AND(_xlpm.x-SUM(IF((INDIRECT($B$3)=$B194)*(INDIRECT($C$3)=$D194)*((INDIRECT($E$3)="TOTS")+(INDIRECT($E$3)=$E194)),INDIRECT(Q$3)))&lt;&gt;0,_xlpm.y=0),-2,_xlpm.x)))),0))</f>
        <v>0</v>
      </c>
      <c r="R194" s="199" cm="1">
        <f t="array" aca="1" ref="R194" ca="1">IF(OR($B194="",$B194="X",$D194="",$D194="X",$E194="",$E194="X"),0,IFERROR(_xlfn.LET(_xlpm.x,SUM(SUM(_xlfn._xlws.FILTER(VALUE(PptoSty[Sign]&amp;1)*(1/PptoSty[Division]),(PptoSty[Division]&lt;&gt;0)*(PptoSty[Division]&lt;&gt;"")*(PptoSty[Division]&lt;&gt;"X")*(PptoSty[Project]=$B194)*(PptoSty[Vrs]=$D194)*(PptoSty[PiRow]=_xlfn.TEXTAFTER($H194,":"))*(PptoSty[PiColumn]=R$54),0)),SUM(IF((INDIRECT($B$3)=$B194)*(INDIRECT($C$3)=$D194)*((INDIRECT($E$3)="TOTS")+(INDIRECT($E$3)=$E194)),INDIRECT(R$3)))),_xlpm.y,SUM(_xlfn.CHOOSECOLS(_xlfn._xlws.FILTER(F_RT14[],(F_RT14[PrjId]=$B194)*(F_RT14[Vrs]=$D194)*(_xlfn.TEXTAFTER(F_RT14[ActGrp],":")=_xlfn.TEXTAFTER($H194,":")),"X"),MATCH("*"&amp;R$54,F_RT14[#Headers],0))),IF(AND(_xlpm.x=0,_xlpm.y&lt;&gt;0),-1,IF(AND(_xlpm.x&lt;&gt;0,_xlpm.y&lt;&gt;0),_xlpm.x,IF(AND(_xlpm.x-SUM(IF((INDIRECT($B$3)=$B194)*(INDIRECT($C$3)=$D194)*((INDIRECT($E$3)="TOTS")+(INDIRECT($E$3)=$E194)),INDIRECT(R$3)))&lt;&gt;0,_xlpm.y=0),-2,_xlpm.x)))),0))</f>
        <v>0</v>
      </c>
      <c r="S194" s="199" cm="1">
        <f t="array" aca="1" ref="S194" ca="1">IF(OR($B194="",$B194="X",$D194="",$D194="X",$E194="",$E194="X"),0,IFERROR(_xlfn.LET(_xlpm.x,SUM(SUM(_xlfn._xlws.FILTER(VALUE(PptoSty[Sign]&amp;1)*(1/PptoSty[Division]),(PptoSty[Division]&lt;&gt;0)*(PptoSty[Division]&lt;&gt;"")*(PptoSty[Division]&lt;&gt;"X")*(PptoSty[Project]=$B194)*(PptoSty[Vrs]=$D194)*(PptoSty[PiRow]=_xlfn.TEXTAFTER($H194,":"))*(PptoSty[PiColumn]=S$54),0)),SUM(IF((INDIRECT($B$3)=$B194)*(INDIRECT($C$3)=$D194)*((INDIRECT($E$3)="TOTS")+(INDIRECT($E$3)=$E194)),INDIRECT(S$3)))),_xlpm.y,SUM(_xlfn.CHOOSECOLS(_xlfn._xlws.FILTER(F_RT14[],(F_RT14[PrjId]=$B194)*(F_RT14[Vrs]=$D194)*(_xlfn.TEXTAFTER(F_RT14[ActGrp],":")=_xlfn.TEXTAFTER($H194,":")),"X"),MATCH("*"&amp;S$54,F_RT14[#Headers],0))),IF(AND(_xlpm.x=0,_xlpm.y&lt;&gt;0),-1,IF(AND(_xlpm.x&lt;&gt;0,_xlpm.y&lt;&gt;0),_xlpm.x,IF(AND(_xlpm.x-SUM(IF((INDIRECT($B$3)=$B194)*(INDIRECT($C$3)=$D194)*((INDIRECT($E$3)="TOTS")+(INDIRECT($E$3)=$E194)),INDIRECT(S$3)))&lt;&gt;0,_xlpm.y=0),-2,_xlpm.x)))),0))</f>
        <v>0</v>
      </c>
      <c r="T194" s="199" cm="1">
        <f t="array" aca="1" ref="T194" ca="1">IF(OR($B194="",$B194="X",$D194="",$D194="X",$E194="",$E194="X"),0,IFERROR(_xlfn.LET(_xlpm.x,SUM(SUM(_xlfn._xlws.FILTER(VALUE(PptoSty[Sign]&amp;1)*(1/PptoSty[Division]),(PptoSty[Division]&lt;&gt;0)*(PptoSty[Division]&lt;&gt;"")*(PptoSty[Division]&lt;&gt;"X")*(PptoSty[Project]=$B194)*(PptoSty[Vrs]=$D194)*(PptoSty[PiRow]=_xlfn.TEXTAFTER($H194,":"))*(PptoSty[PiColumn]=T$54),0)),SUM(IF((INDIRECT($B$3)=$B194)*(INDIRECT($C$3)=$D194)*((INDIRECT($E$3)="TOTS")+(INDIRECT($E$3)=$E194)),INDIRECT(T$3)))),_xlpm.y,SUM(_xlfn.CHOOSECOLS(_xlfn._xlws.FILTER(F_RT14[],(F_RT14[PrjId]=$B194)*(F_RT14[Vrs]=$D194)*(_xlfn.TEXTAFTER(F_RT14[ActGrp],":")=_xlfn.TEXTAFTER($H194,":")),"X"),MATCH("*"&amp;T$54,F_RT14[#Headers],0))),IF(AND(_xlpm.x=0,_xlpm.y&lt;&gt;0),-1,IF(AND(_xlpm.x&lt;&gt;0,_xlpm.y&lt;&gt;0),_xlpm.x,IF(AND(_xlpm.x-SUM(IF((INDIRECT($B$3)=$B194)*(INDIRECT($C$3)=$D194)*((INDIRECT($E$3)="TOTS")+(INDIRECT($E$3)=$E194)),INDIRECT(T$3)))&lt;&gt;0,_xlpm.y=0),-2,_xlpm.x)))),0))</f>
        <v>0</v>
      </c>
      <c r="U194" s="199" cm="1">
        <f t="array" aca="1" ref="U194" ca="1">IF(OR($B194="",$B194="X",$D194="",$D194="X",$E194="",$E194="X"),0,IFERROR(_xlfn.LET(_xlpm.x,SUM(SUM(_xlfn._xlws.FILTER(VALUE(PptoSty[Sign]&amp;1)*(1/PptoSty[Division]),(PptoSty[Division]&lt;&gt;0)*(PptoSty[Division]&lt;&gt;"")*(PptoSty[Division]&lt;&gt;"X")*(PptoSty[Project]=$B194)*(PptoSty[Vrs]=$D194)*(PptoSty[PiRow]=_xlfn.TEXTAFTER($H194,":"))*(PptoSty[PiColumn]=U$54),0)),SUM(IF((INDIRECT($B$3)=$B194)*(INDIRECT($C$3)=$D194)*((INDIRECT($E$3)="TOTS")+(INDIRECT($E$3)=$E194)),INDIRECT(U$3)))),_xlpm.y,SUM(_xlfn.CHOOSECOLS(_xlfn._xlws.FILTER(F_RT14[],(F_RT14[PrjId]=$B194)*(F_RT14[Vrs]=$D194)*(_xlfn.TEXTAFTER(F_RT14[ActGrp],":")=_xlfn.TEXTAFTER($H194,":")),"X"),MATCH("*"&amp;U$54,F_RT14[#Headers],0))),IF(AND(_xlpm.x=0,_xlpm.y&lt;&gt;0),-1,IF(AND(_xlpm.x&lt;&gt;0,_xlpm.y&lt;&gt;0),_xlpm.x,IF(AND(_xlpm.x-SUM(IF((INDIRECT($B$3)=$B194)*(INDIRECT($C$3)=$D194)*((INDIRECT($E$3)="TOTS")+(INDIRECT($E$3)=$E194)),INDIRECT(U$3)))&lt;&gt;0,_xlpm.y=0),-2,_xlpm.x)))),0))</f>
        <v>0</v>
      </c>
      <c r="V194" s="199" cm="1">
        <f t="array" aca="1" ref="V194" ca="1">IF(OR($B194="",$B194="X",$D194="",$D194="X",$E194="",$E194="X"),0,IFERROR(_xlfn.LET(_xlpm.x,SUM(SUM(_xlfn._xlws.FILTER(VALUE(PptoSty[Sign]&amp;1)*(1/PptoSty[Division]),(PptoSty[Division]&lt;&gt;0)*(PptoSty[Division]&lt;&gt;"")*(PptoSty[Division]&lt;&gt;"X")*(PptoSty[Project]=$B194)*(PptoSty[Vrs]=$D194)*(PptoSty[PiRow]=_xlfn.TEXTAFTER($H194,":"))*(PptoSty[PiColumn]=V$54),0)),SUM(IF((INDIRECT($B$3)=$B194)*(INDIRECT($C$3)=$D194)*((INDIRECT($E$3)="TOTS")+(INDIRECT($E$3)=$E194)),INDIRECT(V$3)))),_xlpm.y,SUM(_xlfn.CHOOSECOLS(_xlfn._xlws.FILTER(F_RT14[],(F_RT14[PrjId]=$B194)*(F_RT14[Vrs]=$D194)*(_xlfn.TEXTAFTER(F_RT14[ActGrp],":")=_xlfn.TEXTAFTER($H194,":")),"X"),MATCH("*"&amp;V$54,F_RT14[#Headers],0))),IF(AND(_xlpm.x=0,_xlpm.y&lt;&gt;0),-1,IF(AND(_xlpm.x&lt;&gt;0,_xlpm.y&lt;&gt;0),_xlpm.x,IF(AND(_xlpm.x-SUM(IF((INDIRECT($B$3)=$B194)*(INDIRECT($C$3)=$D194)*((INDIRECT($E$3)="TOTS")+(INDIRECT($E$3)=$E194)),INDIRECT(V$3)))&lt;&gt;0,_xlpm.y=0),-2,_xlpm.x)))),0))</f>
        <v>0</v>
      </c>
      <c r="W194" s="199" cm="1">
        <f t="array" aca="1" ref="W194" ca="1">IF(OR($B194="",$B194="X",$D194="",$D194="X",$E194="",$E194="X"),0,IFERROR(_xlfn.LET(_xlpm.x,SUM(SUM(_xlfn._xlws.FILTER(VALUE(PptoSty[Sign]&amp;1)*(1/PptoSty[Division]),(PptoSty[Division]&lt;&gt;0)*(PptoSty[Division]&lt;&gt;"")*(PptoSty[Division]&lt;&gt;"X")*(PptoSty[Project]=$B194)*(PptoSty[Vrs]=$D194)*(PptoSty[PiRow]=_xlfn.TEXTAFTER($H194,":"))*(PptoSty[PiColumn]=W$54),0)),SUM(IF((INDIRECT($B$3)=$B194)*(INDIRECT($C$3)=$D194)*((INDIRECT($E$3)="TOTS")+(INDIRECT($E$3)=$E194)),INDIRECT(W$3)))),_xlpm.y,SUM(_xlfn.CHOOSECOLS(_xlfn._xlws.FILTER(F_RT14[],(F_RT14[PrjId]=$B194)*(F_RT14[Vrs]=$D194)*(_xlfn.TEXTAFTER(F_RT14[ActGrp],":")=_xlfn.TEXTAFTER($H194,":")),"X"),MATCH("*"&amp;W$54,F_RT14[#Headers],0))),IF(AND(_xlpm.x=0,_xlpm.y&lt;&gt;0),-1,IF(AND(_xlpm.x&lt;&gt;0,_xlpm.y&lt;&gt;0),_xlpm.x,IF(AND(_xlpm.x-SUM(IF((INDIRECT($B$3)=$B194)*(INDIRECT($C$3)=$D194)*((INDIRECT($E$3)="TOTS")+(INDIRECT($E$3)=$E194)),INDIRECT(W$3)))&lt;&gt;0,_xlpm.y=0),-2,_xlpm.x)))),0))</f>
        <v>0</v>
      </c>
      <c r="X194" s="199" cm="1">
        <f t="array" aca="1" ref="X194" ca="1">IF(OR($B194="",$B194="X",$D194="",$D194="X",$E194="",$E194="X"),0,IFERROR(_xlfn.LET(_xlpm.x,SUM(SUM(_xlfn._xlws.FILTER(VALUE(PptoSty[Sign]&amp;1)*(1/PptoSty[Division]),(PptoSty[Division]&lt;&gt;0)*(PptoSty[Division]&lt;&gt;"")*(PptoSty[Division]&lt;&gt;"X")*(PptoSty[Project]=$B194)*(PptoSty[Vrs]=$D194)*(PptoSty[PiRow]=_xlfn.TEXTAFTER($H194,":"))*(PptoSty[PiColumn]=X$54),0)),SUM(IF((INDIRECT($B$3)=$B194)*(INDIRECT($C$3)=$D194)*((INDIRECT($E$3)="TOTS")+(INDIRECT($E$3)=$E194)),INDIRECT(X$3)))),_xlpm.y,SUM(_xlfn.CHOOSECOLS(_xlfn._xlws.FILTER(F_RT14[],(F_RT14[PrjId]=$B194)*(F_RT14[Vrs]=$D194)*(_xlfn.TEXTAFTER(F_RT14[ActGrp],":")=_xlfn.TEXTAFTER($H194,":")),"X"),MATCH("*"&amp;X$54,F_RT14[#Headers],0))),IF(AND(_xlpm.x=0,_xlpm.y&lt;&gt;0),-1,IF(AND(_xlpm.x&lt;&gt;0,_xlpm.y&lt;&gt;0),_xlpm.x,IF(AND(_xlpm.x-SUM(IF((INDIRECT($B$3)=$B194)*(INDIRECT($C$3)=$D194)*((INDIRECT($E$3)="TOTS")+(INDIRECT($E$3)=$E194)),INDIRECT(X$3)))&lt;&gt;0,_xlpm.y=0),-2,_xlpm.x)))),0))</f>
        <v>0</v>
      </c>
      <c r="Y194" s="199" cm="1">
        <f t="array" aca="1" ref="Y194" ca="1">IF(OR($B194="",$B194="X",$D194="",$D194="X",$E194="",$E194="X"),0,IFERROR(_xlfn.LET(_xlpm.x,SUM(SUM(_xlfn._xlws.FILTER(VALUE(PptoSty[Sign]&amp;1)*(1/PptoSty[Division]),(PptoSty[Division]&lt;&gt;0)*(PptoSty[Division]&lt;&gt;"")*(PptoSty[Division]&lt;&gt;"X")*(PptoSty[Project]=$B194)*(PptoSty[Vrs]=$D194)*(PptoSty[PiRow]=_xlfn.TEXTAFTER($H194,":"))*(PptoSty[PiColumn]=Y$54),0)),SUM(IF((INDIRECT($B$3)=$B194)*(INDIRECT($C$3)=$D194)*((INDIRECT($E$3)="TOTS")+(INDIRECT($E$3)=$E194)),INDIRECT(Y$3)))),_xlpm.y,SUM(_xlfn.CHOOSECOLS(_xlfn._xlws.FILTER(F_RT14[],(F_RT14[PrjId]=$B194)*(F_RT14[Vrs]=$D194)*(_xlfn.TEXTAFTER(F_RT14[ActGrp],":")=_xlfn.TEXTAFTER($H194,":")),"X"),MATCH("*"&amp;Y$54,F_RT14[#Headers],0))),IF(AND(_xlpm.x=0,_xlpm.y&lt;&gt;0),-1,IF(AND(_xlpm.x&lt;&gt;0,_xlpm.y&lt;&gt;0),_xlpm.x,IF(AND(_xlpm.x-SUM(IF((INDIRECT($B$3)=$B194)*(INDIRECT($C$3)=$D194)*((INDIRECT($E$3)="TOTS")+(INDIRECT($E$3)=$E194)),INDIRECT(Y$3)))&lt;&gt;0,_xlpm.y=0),-2,_xlpm.x)))),0))</f>
        <v>0</v>
      </c>
      <c r="Z194" s="198" t="str">
        <f t="shared" ca="1" si="4"/>
        <v>Fback!B194:Y194</v>
      </c>
    </row>
    <row r="195" spans="2:26" ht="21" customHeight="1" outlineLevel="1">
      <c r="B195" s="128"/>
      <c r="C195" s="128"/>
      <c r="D195" s="128"/>
      <c r="E195" s="128"/>
      <c r="F195" s="139"/>
      <c r="G195" s="139"/>
      <c r="H195" s="139"/>
      <c r="I195" s="199" cm="1">
        <f t="array" aca="1" ref="I195" ca="1">IF(OR($B195="",$B195="X",$D195="",$D195="X",$E195="",$E195="X"),0,IFERROR(_xlfn.LET(_xlpm.x,SUM(SUM(_xlfn._xlws.FILTER(VALUE(PptoSty[Sign]&amp;1)*(1/PptoSty[Division]),(PptoSty[Division]&lt;&gt;0)*(PptoSty[Division]&lt;&gt;"")*(PptoSty[Division]&lt;&gt;"X")*(PptoSty[Project]=$B195)*(PptoSty[Vrs]=$D195)*(PptoSty[PiRow]=_xlfn.TEXTAFTER($H195,":"))*(PptoSty[PiColumn]=I$54),0)),SUM(IF((INDIRECT($B$3)=$B195)*(INDIRECT($C$3)=$D195)*((INDIRECT($E$3)="TOTS")+(INDIRECT($E$3)=$E195)),INDIRECT(I$3)))),_xlpm.y,SUM(_xlfn.CHOOSECOLS(_xlfn._xlws.FILTER(F_RT14[],(F_RT14[PrjId]=$B195)*(F_RT14[Vrs]=$D195)*(_xlfn.TEXTAFTER(F_RT14[ActGrp],":")=_xlfn.TEXTAFTER($H195,":")),"X"),MATCH("*"&amp;I$54,F_RT14[#Headers],0))),IF(AND(_xlpm.x=0,_xlpm.y&lt;&gt;0),-1,IF(AND(_xlpm.x&lt;&gt;0,_xlpm.y&lt;&gt;0),_xlpm.x,IF(AND(_xlpm.x-SUM(IF((INDIRECT($B$3)=$B195)*(INDIRECT($C$3)=$D195)*((INDIRECT($E$3)="TOTS")+(INDIRECT($E$3)=$E195)),INDIRECT(I$3)))&lt;&gt;0,_xlpm.y=0),-2,_xlpm.x)))),0))</f>
        <v>0</v>
      </c>
      <c r="J195" s="199" cm="1">
        <f t="array" aca="1" ref="J195" ca="1">IF(OR($B195="",$B195="X",$D195="",$D195="X",$E195="",$E195="X"),0,IFERROR(_xlfn.LET(_xlpm.x,SUM(SUM(_xlfn._xlws.FILTER(VALUE(PptoSty[Sign]&amp;1)*(1/PptoSty[Division]),(PptoSty[Division]&lt;&gt;0)*(PptoSty[Division]&lt;&gt;"")*(PptoSty[Division]&lt;&gt;"X")*(PptoSty[Project]=$B195)*(PptoSty[Vrs]=$D195)*(PptoSty[PiRow]=_xlfn.TEXTAFTER($H195,":"))*(PptoSty[PiColumn]=J$54),0)),SUM(IF((INDIRECT($B$3)=$B195)*(INDIRECT($C$3)=$D195)*((INDIRECT($E$3)="TOTS")+(INDIRECT($E$3)=$E195)),INDIRECT(J$3)))),_xlpm.y,SUM(_xlfn.CHOOSECOLS(_xlfn._xlws.FILTER(F_RT14[],(F_RT14[PrjId]=$B195)*(F_RT14[Vrs]=$D195)*(_xlfn.TEXTAFTER(F_RT14[ActGrp],":")=_xlfn.TEXTAFTER($H195,":")),"X"),MATCH("*"&amp;J$54,F_RT14[#Headers],0))),IF(AND(_xlpm.x=0,_xlpm.y&lt;&gt;0),-1,IF(AND(_xlpm.x&lt;&gt;0,_xlpm.y&lt;&gt;0),_xlpm.x,IF(AND(_xlpm.x-SUM(IF((INDIRECT($B$3)=$B195)*(INDIRECT($C$3)=$D195)*((INDIRECT($E$3)="TOTS")+(INDIRECT($E$3)=$E195)),INDIRECT(J$3)))&lt;&gt;0,_xlpm.y=0),-2,_xlpm.x)))),0))</f>
        <v>0</v>
      </c>
      <c r="K195" s="199" cm="1">
        <f t="array" aca="1" ref="K195" ca="1">IF(OR($B195="",$B195="X",$D195="",$D195="X",$E195="",$E195="X"),0,IFERROR(_xlfn.LET(_xlpm.x,SUM(SUM(_xlfn._xlws.FILTER(VALUE(PptoSty[Sign]&amp;1)*(1/PptoSty[Division]),(PptoSty[Division]&lt;&gt;0)*(PptoSty[Division]&lt;&gt;"")*(PptoSty[Division]&lt;&gt;"X")*(PptoSty[Project]=$B195)*(PptoSty[Vrs]=$D195)*(PptoSty[PiRow]=_xlfn.TEXTAFTER($H195,":"))*(PptoSty[PiColumn]=K$54),0)),SUM(IF((INDIRECT($B$3)=$B195)*(INDIRECT($C$3)=$D195)*((INDIRECT($E$3)="TOTS")+(INDIRECT($E$3)=$E195)),INDIRECT(K$3)))),_xlpm.y,SUM(_xlfn.CHOOSECOLS(_xlfn._xlws.FILTER(F_RT14[],(F_RT14[PrjId]=$B195)*(F_RT14[Vrs]=$D195)*(_xlfn.TEXTAFTER(F_RT14[ActGrp],":")=_xlfn.TEXTAFTER($H195,":")),"X"),MATCH("*"&amp;K$54,F_RT14[#Headers],0))),IF(AND(_xlpm.x=0,_xlpm.y&lt;&gt;0),-1,IF(AND(_xlpm.x&lt;&gt;0,_xlpm.y&lt;&gt;0),_xlpm.x,IF(AND(_xlpm.x-SUM(IF((INDIRECT($B$3)=$B195)*(INDIRECT($C$3)=$D195)*((INDIRECT($E$3)="TOTS")+(INDIRECT($E$3)=$E195)),INDIRECT(K$3)))&lt;&gt;0,_xlpm.y=0),-2,_xlpm.x)))),0))</f>
        <v>0</v>
      </c>
      <c r="L195" s="199" cm="1">
        <f t="array" aca="1" ref="L195" ca="1">IF(OR($B195="",$B195="X",$D195="",$D195="X",$E195="",$E195="X"),0,IFERROR(_xlfn.LET(_xlpm.x,SUM(SUM(_xlfn._xlws.FILTER(VALUE(PptoSty[Sign]&amp;1)*(1/PptoSty[Division]),(PptoSty[Division]&lt;&gt;0)*(PptoSty[Division]&lt;&gt;"")*(PptoSty[Division]&lt;&gt;"X")*(PptoSty[Project]=$B195)*(PptoSty[Vrs]=$D195)*(PptoSty[PiRow]=_xlfn.TEXTAFTER($H195,":"))*(PptoSty[PiColumn]=L$54),0)),SUM(IF((INDIRECT($B$3)=$B195)*(INDIRECT($C$3)=$D195)*((INDIRECT($E$3)="TOTS")+(INDIRECT($E$3)=$E195)),INDIRECT(L$3)))),_xlpm.y,SUM(_xlfn.CHOOSECOLS(_xlfn._xlws.FILTER(F_RT14[],(F_RT14[PrjId]=$B195)*(F_RT14[Vrs]=$D195)*(_xlfn.TEXTAFTER(F_RT14[ActGrp],":")=_xlfn.TEXTAFTER($H195,":")),"X"),MATCH("*"&amp;L$54,F_RT14[#Headers],0))),IF(AND(_xlpm.x=0,_xlpm.y&lt;&gt;0),-1,IF(AND(_xlpm.x&lt;&gt;0,_xlpm.y&lt;&gt;0),_xlpm.x,IF(AND(_xlpm.x-SUM(IF((INDIRECT($B$3)=$B195)*(INDIRECT($C$3)=$D195)*((INDIRECT($E$3)="TOTS")+(INDIRECT($E$3)=$E195)),INDIRECT(L$3)))&lt;&gt;0,_xlpm.y=0),-2,_xlpm.x)))),0))</f>
        <v>0</v>
      </c>
      <c r="M195" s="199" cm="1">
        <f t="array" aca="1" ref="M195" ca="1">IF(OR($B195="",$B195="X",$D195="",$D195="X",$E195="",$E195="X"),0,IFERROR(_xlfn.LET(_xlpm.x,SUM(SUM(_xlfn._xlws.FILTER(VALUE(PptoSty[Sign]&amp;1)*(1/PptoSty[Division]),(PptoSty[Division]&lt;&gt;0)*(PptoSty[Division]&lt;&gt;"")*(PptoSty[Division]&lt;&gt;"X")*(PptoSty[Project]=$B195)*(PptoSty[Vrs]=$D195)*(PptoSty[PiRow]=_xlfn.TEXTAFTER($H195,":"))*(PptoSty[PiColumn]=M$54),0)),SUM(IF((INDIRECT($B$3)=$B195)*(INDIRECT($C$3)=$D195)*((INDIRECT($E$3)="TOTS")+(INDIRECT($E$3)=$E195)),INDIRECT(M$3)))),_xlpm.y,SUM(_xlfn.CHOOSECOLS(_xlfn._xlws.FILTER(F_RT14[],(F_RT14[PrjId]=$B195)*(F_RT14[Vrs]=$D195)*(_xlfn.TEXTAFTER(F_RT14[ActGrp],":")=_xlfn.TEXTAFTER($H195,":")),"X"),MATCH("*"&amp;M$54,F_RT14[#Headers],0))),IF(AND(_xlpm.x=0,_xlpm.y&lt;&gt;0),-1,IF(AND(_xlpm.x&lt;&gt;0,_xlpm.y&lt;&gt;0),_xlpm.x,IF(AND(_xlpm.x-SUM(IF((INDIRECT($B$3)=$B195)*(INDIRECT($C$3)=$D195)*((INDIRECT($E$3)="TOTS")+(INDIRECT($E$3)=$E195)),INDIRECT(M$3)))&lt;&gt;0,_xlpm.y=0),-2,_xlpm.x)))),0))</f>
        <v>0</v>
      </c>
      <c r="N195" s="199" cm="1">
        <f t="array" aca="1" ref="N195" ca="1">IF(OR($B195="",$B195="X",$D195="",$D195="X",$E195="",$E195="X"),0,IFERROR(_xlfn.LET(_xlpm.x,SUM(SUM(_xlfn._xlws.FILTER(VALUE(PptoSty[Sign]&amp;1)*(1/PptoSty[Division]),(PptoSty[Division]&lt;&gt;0)*(PptoSty[Division]&lt;&gt;"")*(PptoSty[Division]&lt;&gt;"X")*(PptoSty[Project]=$B195)*(PptoSty[Vrs]=$D195)*(PptoSty[PiRow]=_xlfn.TEXTAFTER($H195,":"))*(PptoSty[PiColumn]=N$54),0)),SUM(IF((INDIRECT($B$3)=$B195)*(INDIRECT($C$3)=$D195)*((INDIRECT($E$3)="TOTS")+(INDIRECT($E$3)=$E195)),INDIRECT(N$3)))),_xlpm.y,SUM(_xlfn.CHOOSECOLS(_xlfn._xlws.FILTER(F_RT14[],(F_RT14[PrjId]=$B195)*(F_RT14[Vrs]=$D195)*(_xlfn.TEXTAFTER(F_RT14[ActGrp],":")=_xlfn.TEXTAFTER($H195,":")),"X"),MATCH("*"&amp;N$54,F_RT14[#Headers],0))),IF(AND(_xlpm.x=0,_xlpm.y&lt;&gt;0),-1,IF(AND(_xlpm.x&lt;&gt;0,_xlpm.y&lt;&gt;0),_xlpm.x,IF(AND(_xlpm.x-SUM(IF((INDIRECT($B$3)=$B195)*(INDIRECT($C$3)=$D195)*((INDIRECT($E$3)="TOTS")+(INDIRECT($E$3)=$E195)),INDIRECT(N$3)))&lt;&gt;0,_xlpm.y=0),-2,_xlpm.x)))),0))</f>
        <v>0</v>
      </c>
      <c r="O195" s="199" cm="1">
        <f t="array" aca="1" ref="O195" ca="1">IF(OR($B195="",$B195="X",$D195="",$D195="X",$E195="",$E195="X"),0,IFERROR(_xlfn.LET(_xlpm.x,SUM(SUM(_xlfn._xlws.FILTER(VALUE(PptoSty[Sign]&amp;1)*(1/PptoSty[Division]),(PptoSty[Division]&lt;&gt;0)*(PptoSty[Division]&lt;&gt;"")*(PptoSty[Division]&lt;&gt;"X")*(PptoSty[Project]=$B195)*(PptoSty[Vrs]=$D195)*(PptoSty[PiRow]=_xlfn.TEXTAFTER($H195,":"))*(PptoSty[PiColumn]=O$54),0)),SUM(IF((INDIRECT($B$3)=$B195)*(INDIRECT($C$3)=$D195)*((INDIRECT($E$3)="TOTS")+(INDIRECT($E$3)=$E195)),INDIRECT(O$3)))),_xlpm.y,SUM(_xlfn.CHOOSECOLS(_xlfn._xlws.FILTER(F_RT14[],(F_RT14[PrjId]=$B195)*(F_RT14[Vrs]=$D195)*(_xlfn.TEXTAFTER(F_RT14[ActGrp],":")=_xlfn.TEXTAFTER($H195,":")),"X"),MATCH("*"&amp;O$54,F_RT14[#Headers],0))),IF(AND(_xlpm.x=0,_xlpm.y&lt;&gt;0),-1,IF(AND(_xlpm.x&lt;&gt;0,_xlpm.y&lt;&gt;0),_xlpm.x,IF(AND(_xlpm.x-SUM(IF((INDIRECT($B$3)=$B195)*(INDIRECT($C$3)=$D195)*((INDIRECT($E$3)="TOTS")+(INDIRECT($E$3)=$E195)),INDIRECT(O$3)))&lt;&gt;0,_xlpm.y=0),-2,_xlpm.x)))),0))</f>
        <v>0</v>
      </c>
      <c r="P195" s="199" cm="1">
        <f t="array" aca="1" ref="P195" ca="1">IF(OR($B195="",$B195="X",$D195="",$D195="X",$E195="",$E195="X"),0,IFERROR(_xlfn.LET(_xlpm.x,SUM(SUM(_xlfn._xlws.FILTER(VALUE(PptoSty[Sign]&amp;1)*(1/PptoSty[Division]),(PptoSty[Division]&lt;&gt;0)*(PptoSty[Division]&lt;&gt;"")*(PptoSty[Division]&lt;&gt;"X")*(PptoSty[Project]=$B195)*(PptoSty[Vrs]=$D195)*(PptoSty[PiRow]=_xlfn.TEXTAFTER($H195,":"))*(PptoSty[PiColumn]=P$54),0)),SUM(IF((INDIRECT($B$3)=$B195)*(INDIRECT($C$3)=$D195)*((INDIRECT($E$3)="TOTS")+(INDIRECT($E$3)=$E195)),INDIRECT(P$3)))),_xlpm.y,SUM(_xlfn.CHOOSECOLS(_xlfn._xlws.FILTER(F_RT14[],(F_RT14[PrjId]=$B195)*(F_RT14[Vrs]=$D195)*(_xlfn.TEXTAFTER(F_RT14[ActGrp],":")=_xlfn.TEXTAFTER($H195,":")),"X"),MATCH("*"&amp;P$54,F_RT14[#Headers],0))),IF(AND(_xlpm.x=0,_xlpm.y&lt;&gt;0),-1,IF(AND(_xlpm.x&lt;&gt;0,_xlpm.y&lt;&gt;0),_xlpm.x,IF(AND(_xlpm.x-SUM(IF((INDIRECT($B$3)=$B195)*(INDIRECT($C$3)=$D195)*((INDIRECT($E$3)="TOTS")+(INDIRECT($E$3)=$E195)),INDIRECT(P$3)))&lt;&gt;0,_xlpm.y=0),-2,_xlpm.x)))),0))</f>
        <v>0</v>
      </c>
      <c r="Q195" s="199" cm="1">
        <f t="array" aca="1" ref="Q195" ca="1">IF(OR($B195="",$B195="X",$D195="",$D195="X",$E195="",$E195="X"),0,IFERROR(_xlfn.LET(_xlpm.x,SUM(SUM(_xlfn._xlws.FILTER(VALUE(PptoSty[Sign]&amp;1)*(1/PptoSty[Division]),(PptoSty[Division]&lt;&gt;0)*(PptoSty[Division]&lt;&gt;"")*(PptoSty[Division]&lt;&gt;"X")*(PptoSty[Project]=$B195)*(PptoSty[Vrs]=$D195)*(PptoSty[PiRow]=_xlfn.TEXTAFTER($H195,":"))*(PptoSty[PiColumn]=Q$54),0)),SUM(IF((INDIRECT($B$3)=$B195)*(INDIRECT($C$3)=$D195)*((INDIRECT($E$3)="TOTS")+(INDIRECT($E$3)=$E195)),INDIRECT(Q$3)))),_xlpm.y,SUM(_xlfn.CHOOSECOLS(_xlfn._xlws.FILTER(F_RT14[],(F_RT14[PrjId]=$B195)*(F_RT14[Vrs]=$D195)*(_xlfn.TEXTAFTER(F_RT14[ActGrp],":")=_xlfn.TEXTAFTER($H195,":")),"X"),MATCH("*"&amp;Q$54,F_RT14[#Headers],0))),IF(AND(_xlpm.x=0,_xlpm.y&lt;&gt;0),-1,IF(AND(_xlpm.x&lt;&gt;0,_xlpm.y&lt;&gt;0),_xlpm.x,IF(AND(_xlpm.x-SUM(IF((INDIRECT($B$3)=$B195)*(INDIRECT($C$3)=$D195)*((INDIRECT($E$3)="TOTS")+(INDIRECT($E$3)=$E195)),INDIRECT(Q$3)))&lt;&gt;0,_xlpm.y=0),-2,_xlpm.x)))),0))</f>
        <v>0</v>
      </c>
      <c r="R195" s="199" cm="1">
        <f t="array" aca="1" ref="R195" ca="1">IF(OR($B195="",$B195="X",$D195="",$D195="X",$E195="",$E195="X"),0,IFERROR(_xlfn.LET(_xlpm.x,SUM(SUM(_xlfn._xlws.FILTER(VALUE(PptoSty[Sign]&amp;1)*(1/PptoSty[Division]),(PptoSty[Division]&lt;&gt;0)*(PptoSty[Division]&lt;&gt;"")*(PptoSty[Division]&lt;&gt;"X")*(PptoSty[Project]=$B195)*(PptoSty[Vrs]=$D195)*(PptoSty[PiRow]=_xlfn.TEXTAFTER($H195,":"))*(PptoSty[PiColumn]=R$54),0)),SUM(IF((INDIRECT($B$3)=$B195)*(INDIRECT($C$3)=$D195)*((INDIRECT($E$3)="TOTS")+(INDIRECT($E$3)=$E195)),INDIRECT(R$3)))),_xlpm.y,SUM(_xlfn.CHOOSECOLS(_xlfn._xlws.FILTER(F_RT14[],(F_RT14[PrjId]=$B195)*(F_RT14[Vrs]=$D195)*(_xlfn.TEXTAFTER(F_RT14[ActGrp],":")=_xlfn.TEXTAFTER($H195,":")),"X"),MATCH("*"&amp;R$54,F_RT14[#Headers],0))),IF(AND(_xlpm.x=0,_xlpm.y&lt;&gt;0),-1,IF(AND(_xlpm.x&lt;&gt;0,_xlpm.y&lt;&gt;0),_xlpm.x,IF(AND(_xlpm.x-SUM(IF((INDIRECT($B$3)=$B195)*(INDIRECT($C$3)=$D195)*((INDIRECT($E$3)="TOTS")+(INDIRECT($E$3)=$E195)),INDIRECT(R$3)))&lt;&gt;0,_xlpm.y=0),-2,_xlpm.x)))),0))</f>
        <v>0</v>
      </c>
      <c r="S195" s="199" cm="1">
        <f t="array" aca="1" ref="S195" ca="1">IF(OR($B195="",$B195="X",$D195="",$D195="X",$E195="",$E195="X"),0,IFERROR(_xlfn.LET(_xlpm.x,SUM(SUM(_xlfn._xlws.FILTER(VALUE(PptoSty[Sign]&amp;1)*(1/PptoSty[Division]),(PptoSty[Division]&lt;&gt;0)*(PptoSty[Division]&lt;&gt;"")*(PptoSty[Division]&lt;&gt;"X")*(PptoSty[Project]=$B195)*(PptoSty[Vrs]=$D195)*(PptoSty[PiRow]=_xlfn.TEXTAFTER($H195,":"))*(PptoSty[PiColumn]=S$54),0)),SUM(IF((INDIRECT($B$3)=$B195)*(INDIRECT($C$3)=$D195)*((INDIRECT($E$3)="TOTS")+(INDIRECT($E$3)=$E195)),INDIRECT(S$3)))),_xlpm.y,SUM(_xlfn.CHOOSECOLS(_xlfn._xlws.FILTER(F_RT14[],(F_RT14[PrjId]=$B195)*(F_RT14[Vrs]=$D195)*(_xlfn.TEXTAFTER(F_RT14[ActGrp],":")=_xlfn.TEXTAFTER($H195,":")),"X"),MATCH("*"&amp;S$54,F_RT14[#Headers],0))),IF(AND(_xlpm.x=0,_xlpm.y&lt;&gt;0),-1,IF(AND(_xlpm.x&lt;&gt;0,_xlpm.y&lt;&gt;0),_xlpm.x,IF(AND(_xlpm.x-SUM(IF((INDIRECT($B$3)=$B195)*(INDIRECT($C$3)=$D195)*((INDIRECT($E$3)="TOTS")+(INDIRECT($E$3)=$E195)),INDIRECT(S$3)))&lt;&gt;0,_xlpm.y=0),-2,_xlpm.x)))),0))</f>
        <v>0</v>
      </c>
      <c r="T195" s="199" cm="1">
        <f t="array" aca="1" ref="T195" ca="1">IF(OR($B195="",$B195="X",$D195="",$D195="X",$E195="",$E195="X"),0,IFERROR(_xlfn.LET(_xlpm.x,SUM(SUM(_xlfn._xlws.FILTER(VALUE(PptoSty[Sign]&amp;1)*(1/PptoSty[Division]),(PptoSty[Division]&lt;&gt;0)*(PptoSty[Division]&lt;&gt;"")*(PptoSty[Division]&lt;&gt;"X")*(PptoSty[Project]=$B195)*(PptoSty[Vrs]=$D195)*(PptoSty[PiRow]=_xlfn.TEXTAFTER($H195,":"))*(PptoSty[PiColumn]=T$54),0)),SUM(IF((INDIRECT($B$3)=$B195)*(INDIRECT($C$3)=$D195)*((INDIRECT($E$3)="TOTS")+(INDIRECT($E$3)=$E195)),INDIRECT(T$3)))),_xlpm.y,SUM(_xlfn.CHOOSECOLS(_xlfn._xlws.FILTER(F_RT14[],(F_RT14[PrjId]=$B195)*(F_RT14[Vrs]=$D195)*(_xlfn.TEXTAFTER(F_RT14[ActGrp],":")=_xlfn.TEXTAFTER($H195,":")),"X"),MATCH("*"&amp;T$54,F_RT14[#Headers],0))),IF(AND(_xlpm.x=0,_xlpm.y&lt;&gt;0),-1,IF(AND(_xlpm.x&lt;&gt;0,_xlpm.y&lt;&gt;0),_xlpm.x,IF(AND(_xlpm.x-SUM(IF((INDIRECT($B$3)=$B195)*(INDIRECT($C$3)=$D195)*((INDIRECT($E$3)="TOTS")+(INDIRECT($E$3)=$E195)),INDIRECT(T$3)))&lt;&gt;0,_xlpm.y=0),-2,_xlpm.x)))),0))</f>
        <v>0</v>
      </c>
      <c r="U195" s="199" cm="1">
        <f t="array" aca="1" ref="U195" ca="1">IF(OR($B195="",$B195="X",$D195="",$D195="X",$E195="",$E195="X"),0,IFERROR(_xlfn.LET(_xlpm.x,SUM(SUM(_xlfn._xlws.FILTER(VALUE(PptoSty[Sign]&amp;1)*(1/PptoSty[Division]),(PptoSty[Division]&lt;&gt;0)*(PptoSty[Division]&lt;&gt;"")*(PptoSty[Division]&lt;&gt;"X")*(PptoSty[Project]=$B195)*(PptoSty[Vrs]=$D195)*(PptoSty[PiRow]=_xlfn.TEXTAFTER($H195,":"))*(PptoSty[PiColumn]=U$54),0)),SUM(IF((INDIRECT($B$3)=$B195)*(INDIRECT($C$3)=$D195)*((INDIRECT($E$3)="TOTS")+(INDIRECT($E$3)=$E195)),INDIRECT(U$3)))),_xlpm.y,SUM(_xlfn.CHOOSECOLS(_xlfn._xlws.FILTER(F_RT14[],(F_RT14[PrjId]=$B195)*(F_RT14[Vrs]=$D195)*(_xlfn.TEXTAFTER(F_RT14[ActGrp],":")=_xlfn.TEXTAFTER($H195,":")),"X"),MATCH("*"&amp;U$54,F_RT14[#Headers],0))),IF(AND(_xlpm.x=0,_xlpm.y&lt;&gt;0),-1,IF(AND(_xlpm.x&lt;&gt;0,_xlpm.y&lt;&gt;0),_xlpm.x,IF(AND(_xlpm.x-SUM(IF((INDIRECT($B$3)=$B195)*(INDIRECT($C$3)=$D195)*((INDIRECT($E$3)="TOTS")+(INDIRECT($E$3)=$E195)),INDIRECT(U$3)))&lt;&gt;0,_xlpm.y=0),-2,_xlpm.x)))),0))</f>
        <v>0</v>
      </c>
      <c r="V195" s="199" cm="1">
        <f t="array" aca="1" ref="V195" ca="1">IF(OR($B195="",$B195="X",$D195="",$D195="X",$E195="",$E195="X"),0,IFERROR(_xlfn.LET(_xlpm.x,SUM(SUM(_xlfn._xlws.FILTER(VALUE(PptoSty[Sign]&amp;1)*(1/PptoSty[Division]),(PptoSty[Division]&lt;&gt;0)*(PptoSty[Division]&lt;&gt;"")*(PptoSty[Division]&lt;&gt;"X")*(PptoSty[Project]=$B195)*(PptoSty[Vrs]=$D195)*(PptoSty[PiRow]=_xlfn.TEXTAFTER($H195,":"))*(PptoSty[PiColumn]=V$54),0)),SUM(IF((INDIRECT($B$3)=$B195)*(INDIRECT($C$3)=$D195)*((INDIRECT($E$3)="TOTS")+(INDIRECT($E$3)=$E195)),INDIRECT(V$3)))),_xlpm.y,SUM(_xlfn.CHOOSECOLS(_xlfn._xlws.FILTER(F_RT14[],(F_RT14[PrjId]=$B195)*(F_RT14[Vrs]=$D195)*(_xlfn.TEXTAFTER(F_RT14[ActGrp],":")=_xlfn.TEXTAFTER($H195,":")),"X"),MATCH("*"&amp;V$54,F_RT14[#Headers],0))),IF(AND(_xlpm.x=0,_xlpm.y&lt;&gt;0),-1,IF(AND(_xlpm.x&lt;&gt;0,_xlpm.y&lt;&gt;0),_xlpm.x,IF(AND(_xlpm.x-SUM(IF((INDIRECT($B$3)=$B195)*(INDIRECT($C$3)=$D195)*((INDIRECT($E$3)="TOTS")+(INDIRECT($E$3)=$E195)),INDIRECT(V$3)))&lt;&gt;0,_xlpm.y=0),-2,_xlpm.x)))),0))</f>
        <v>0</v>
      </c>
      <c r="W195" s="199" cm="1">
        <f t="array" aca="1" ref="W195" ca="1">IF(OR($B195="",$B195="X",$D195="",$D195="X",$E195="",$E195="X"),0,IFERROR(_xlfn.LET(_xlpm.x,SUM(SUM(_xlfn._xlws.FILTER(VALUE(PptoSty[Sign]&amp;1)*(1/PptoSty[Division]),(PptoSty[Division]&lt;&gt;0)*(PptoSty[Division]&lt;&gt;"")*(PptoSty[Division]&lt;&gt;"X")*(PptoSty[Project]=$B195)*(PptoSty[Vrs]=$D195)*(PptoSty[PiRow]=_xlfn.TEXTAFTER($H195,":"))*(PptoSty[PiColumn]=W$54),0)),SUM(IF((INDIRECT($B$3)=$B195)*(INDIRECT($C$3)=$D195)*((INDIRECT($E$3)="TOTS")+(INDIRECT($E$3)=$E195)),INDIRECT(W$3)))),_xlpm.y,SUM(_xlfn.CHOOSECOLS(_xlfn._xlws.FILTER(F_RT14[],(F_RT14[PrjId]=$B195)*(F_RT14[Vrs]=$D195)*(_xlfn.TEXTAFTER(F_RT14[ActGrp],":")=_xlfn.TEXTAFTER($H195,":")),"X"),MATCH("*"&amp;W$54,F_RT14[#Headers],0))),IF(AND(_xlpm.x=0,_xlpm.y&lt;&gt;0),-1,IF(AND(_xlpm.x&lt;&gt;0,_xlpm.y&lt;&gt;0),_xlpm.x,IF(AND(_xlpm.x-SUM(IF((INDIRECT($B$3)=$B195)*(INDIRECT($C$3)=$D195)*((INDIRECT($E$3)="TOTS")+(INDIRECT($E$3)=$E195)),INDIRECT(W$3)))&lt;&gt;0,_xlpm.y=0),-2,_xlpm.x)))),0))</f>
        <v>0</v>
      </c>
      <c r="X195" s="199" cm="1">
        <f t="array" aca="1" ref="X195" ca="1">IF(OR($B195="",$B195="X",$D195="",$D195="X",$E195="",$E195="X"),0,IFERROR(_xlfn.LET(_xlpm.x,SUM(SUM(_xlfn._xlws.FILTER(VALUE(PptoSty[Sign]&amp;1)*(1/PptoSty[Division]),(PptoSty[Division]&lt;&gt;0)*(PptoSty[Division]&lt;&gt;"")*(PptoSty[Division]&lt;&gt;"X")*(PptoSty[Project]=$B195)*(PptoSty[Vrs]=$D195)*(PptoSty[PiRow]=_xlfn.TEXTAFTER($H195,":"))*(PptoSty[PiColumn]=X$54),0)),SUM(IF((INDIRECT($B$3)=$B195)*(INDIRECT($C$3)=$D195)*((INDIRECT($E$3)="TOTS")+(INDIRECT($E$3)=$E195)),INDIRECT(X$3)))),_xlpm.y,SUM(_xlfn.CHOOSECOLS(_xlfn._xlws.FILTER(F_RT14[],(F_RT14[PrjId]=$B195)*(F_RT14[Vrs]=$D195)*(_xlfn.TEXTAFTER(F_RT14[ActGrp],":")=_xlfn.TEXTAFTER($H195,":")),"X"),MATCH("*"&amp;X$54,F_RT14[#Headers],0))),IF(AND(_xlpm.x=0,_xlpm.y&lt;&gt;0),-1,IF(AND(_xlpm.x&lt;&gt;0,_xlpm.y&lt;&gt;0),_xlpm.x,IF(AND(_xlpm.x-SUM(IF((INDIRECT($B$3)=$B195)*(INDIRECT($C$3)=$D195)*((INDIRECT($E$3)="TOTS")+(INDIRECT($E$3)=$E195)),INDIRECT(X$3)))&lt;&gt;0,_xlpm.y=0),-2,_xlpm.x)))),0))</f>
        <v>0</v>
      </c>
      <c r="Y195" s="199" cm="1">
        <f t="array" aca="1" ref="Y195" ca="1">IF(OR($B195="",$B195="X",$D195="",$D195="X",$E195="",$E195="X"),0,IFERROR(_xlfn.LET(_xlpm.x,SUM(SUM(_xlfn._xlws.FILTER(VALUE(PptoSty[Sign]&amp;1)*(1/PptoSty[Division]),(PptoSty[Division]&lt;&gt;0)*(PptoSty[Division]&lt;&gt;"")*(PptoSty[Division]&lt;&gt;"X")*(PptoSty[Project]=$B195)*(PptoSty[Vrs]=$D195)*(PptoSty[PiRow]=_xlfn.TEXTAFTER($H195,":"))*(PptoSty[PiColumn]=Y$54),0)),SUM(IF((INDIRECT($B$3)=$B195)*(INDIRECT($C$3)=$D195)*((INDIRECT($E$3)="TOTS")+(INDIRECT($E$3)=$E195)),INDIRECT(Y$3)))),_xlpm.y,SUM(_xlfn.CHOOSECOLS(_xlfn._xlws.FILTER(F_RT14[],(F_RT14[PrjId]=$B195)*(F_RT14[Vrs]=$D195)*(_xlfn.TEXTAFTER(F_RT14[ActGrp],":")=_xlfn.TEXTAFTER($H195,":")),"X"),MATCH("*"&amp;Y$54,F_RT14[#Headers],0))),IF(AND(_xlpm.x=0,_xlpm.y&lt;&gt;0),-1,IF(AND(_xlpm.x&lt;&gt;0,_xlpm.y&lt;&gt;0),_xlpm.x,IF(AND(_xlpm.x-SUM(IF((INDIRECT($B$3)=$B195)*(INDIRECT($C$3)=$D195)*((INDIRECT($E$3)="TOTS")+(INDIRECT($E$3)=$E195)),INDIRECT(Y$3)))&lt;&gt;0,_xlpm.y=0),-2,_xlpm.x)))),0))</f>
        <v>0</v>
      </c>
      <c r="Z195" s="198" t="str">
        <f t="shared" ca="1" si="4"/>
        <v>Fback!B195:Y195</v>
      </c>
    </row>
    <row r="196" spans="2:26" ht="21" customHeight="1" outlineLevel="1">
      <c r="B196" s="128"/>
      <c r="C196" s="128"/>
      <c r="D196" s="128"/>
      <c r="E196" s="128"/>
      <c r="F196" s="139"/>
      <c r="G196" s="139"/>
      <c r="H196" s="139"/>
      <c r="I196" s="199" cm="1">
        <f t="array" aca="1" ref="I196" ca="1">IF(OR($B196="",$B196="X",$D196="",$D196="X",$E196="",$E196="X"),0,IFERROR(_xlfn.LET(_xlpm.x,SUM(SUM(_xlfn._xlws.FILTER(VALUE(PptoSty[Sign]&amp;1)*(1/PptoSty[Division]),(PptoSty[Division]&lt;&gt;0)*(PptoSty[Division]&lt;&gt;"")*(PptoSty[Division]&lt;&gt;"X")*(PptoSty[Project]=$B196)*(PptoSty[Vrs]=$D196)*(PptoSty[PiRow]=_xlfn.TEXTAFTER($H196,":"))*(PptoSty[PiColumn]=I$54),0)),SUM(IF((INDIRECT($B$3)=$B196)*(INDIRECT($C$3)=$D196)*((INDIRECT($E$3)="TOTS")+(INDIRECT($E$3)=$E196)),INDIRECT(I$3)))),_xlpm.y,SUM(_xlfn.CHOOSECOLS(_xlfn._xlws.FILTER(F_RT14[],(F_RT14[PrjId]=$B196)*(F_RT14[Vrs]=$D196)*(_xlfn.TEXTAFTER(F_RT14[ActGrp],":")=_xlfn.TEXTAFTER($H196,":")),"X"),MATCH("*"&amp;I$54,F_RT14[#Headers],0))),IF(AND(_xlpm.x=0,_xlpm.y&lt;&gt;0),-1,IF(AND(_xlpm.x&lt;&gt;0,_xlpm.y&lt;&gt;0),_xlpm.x,IF(AND(_xlpm.x-SUM(IF((INDIRECT($B$3)=$B196)*(INDIRECT($C$3)=$D196)*((INDIRECT($E$3)="TOTS")+(INDIRECT($E$3)=$E196)),INDIRECT(I$3)))&lt;&gt;0,_xlpm.y=0),-2,_xlpm.x)))),0))</f>
        <v>0</v>
      </c>
      <c r="J196" s="199" cm="1">
        <f t="array" aca="1" ref="J196" ca="1">IF(OR($B196="",$B196="X",$D196="",$D196="X",$E196="",$E196="X"),0,IFERROR(_xlfn.LET(_xlpm.x,SUM(SUM(_xlfn._xlws.FILTER(VALUE(PptoSty[Sign]&amp;1)*(1/PptoSty[Division]),(PptoSty[Division]&lt;&gt;0)*(PptoSty[Division]&lt;&gt;"")*(PptoSty[Division]&lt;&gt;"X")*(PptoSty[Project]=$B196)*(PptoSty[Vrs]=$D196)*(PptoSty[PiRow]=_xlfn.TEXTAFTER($H196,":"))*(PptoSty[PiColumn]=J$54),0)),SUM(IF((INDIRECT($B$3)=$B196)*(INDIRECT($C$3)=$D196)*((INDIRECT($E$3)="TOTS")+(INDIRECT($E$3)=$E196)),INDIRECT(J$3)))),_xlpm.y,SUM(_xlfn.CHOOSECOLS(_xlfn._xlws.FILTER(F_RT14[],(F_RT14[PrjId]=$B196)*(F_RT14[Vrs]=$D196)*(_xlfn.TEXTAFTER(F_RT14[ActGrp],":")=_xlfn.TEXTAFTER($H196,":")),"X"),MATCH("*"&amp;J$54,F_RT14[#Headers],0))),IF(AND(_xlpm.x=0,_xlpm.y&lt;&gt;0),-1,IF(AND(_xlpm.x&lt;&gt;0,_xlpm.y&lt;&gt;0),_xlpm.x,IF(AND(_xlpm.x-SUM(IF((INDIRECT($B$3)=$B196)*(INDIRECT($C$3)=$D196)*((INDIRECT($E$3)="TOTS")+(INDIRECT($E$3)=$E196)),INDIRECT(J$3)))&lt;&gt;0,_xlpm.y=0),-2,_xlpm.x)))),0))</f>
        <v>0</v>
      </c>
      <c r="K196" s="199" cm="1">
        <f t="array" aca="1" ref="K196" ca="1">IF(OR($B196="",$B196="X",$D196="",$D196="X",$E196="",$E196="X"),0,IFERROR(_xlfn.LET(_xlpm.x,SUM(SUM(_xlfn._xlws.FILTER(VALUE(PptoSty[Sign]&amp;1)*(1/PptoSty[Division]),(PptoSty[Division]&lt;&gt;0)*(PptoSty[Division]&lt;&gt;"")*(PptoSty[Division]&lt;&gt;"X")*(PptoSty[Project]=$B196)*(PptoSty[Vrs]=$D196)*(PptoSty[PiRow]=_xlfn.TEXTAFTER($H196,":"))*(PptoSty[PiColumn]=K$54),0)),SUM(IF((INDIRECT($B$3)=$B196)*(INDIRECT($C$3)=$D196)*((INDIRECT($E$3)="TOTS")+(INDIRECT($E$3)=$E196)),INDIRECT(K$3)))),_xlpm.y,SUM(_xlfn.CHOOSECOLS(_xlfn._xlws.FILTER(F_RT14[],(F_RT14[PrjId]=$B196)*(F_RT14[Vrs]=$D196)*(_xlfn.TEXTAFTER(F_RT14[ActGrp],":")=_xlfn.TEXTAFTER($H196,":")),"X"),MATCH("*"&amp;K$54,F_RT14[#Headers],0))),IF(AND(_xlpm.x=0,_xlpm.y&lt;&gt;0),-1,IF(AND(_xlpm.x&lt;&gt;0,_xlpm.y&lt;&gt;0),_xlpm.x,IF(AND(_xlpm.x-SUM(IF((INDIRECT($B$3)=$B196)*(INDIRECT($C$3)=$D196)*((INDIRECT($E$3)="TOTS")+(INDIRECT($E$3)=$E196)),INDIRECT(K$3)))&lt;&gt;0,_xlpm.y=0),-2,_xlpm.x)))),0))</f>
        <v>0</v>
      </c>
      <c r="L196" s="199" cm="1">
        <f t="array" aca="1" ref="L196" ca="1">IF(OR($B196="",$B196="X",$D196="",$D196="X",$E196="",$E196="X"),0,IFERROR(_xlfn.LET(_xlpm.x,SUM(SUM(_xlfn._xlws.FILTER(VALUE(PptoSty[Sign]&amp;1)*(1/PptoSty[Division]),(PptoSty[Division]&lt;&gt;0)*(PptoSty[Division]&lt;&gt;"")*(PptoSty[Division]&lt;&gt;"X")*(PptoSty[Project]=$B196)*(PptoSty[Vrs]=$D196)*(PptoSty[PiRow]=_xlfn.TEXTAFTER($H196,":"))*(PptoSty[PiColumn]=L$54),0)),SUM(IF((INDIRECT($B$3)=$B196)*(INDIRECT($C$3)=$D196)*((INDIRECT($E$3)="TOTS")+(INDIRECT($E$3)=$E196)),INDIRECT(L$3)))),_xlpm.y,SUM(_xlfn.CHOOSECOLS(_xlfn._xlws.FILTER(F_RT14[],(F_RT14[PrjId]=$B196)*(F_RT14[Vrs]=$D196)*(_xlfn.TEXTAFTER(F_RT14[ActGrp],":")=_xlfn.TEXTAFTER($H196,":")),"X"),MATCH("*"&amp;L$54,F_RT14[#Headers],0))),IF(AND(_xlpm.x=0,_xlpm.y&lt;&gt;0),-1,IF(AND(_xlpm.x&lt;&gt;0,_xlpm.y&lt;&gt;0),_xlpm.x,IF(AND(_xlpm.x-SUM(IF((INDIRECT($B$3)=$B196)*(INDIRECT($C$3)=$D196)*((INDIRECT($E$3)="TOTS")+(INDIRECT($E$3)=$E196)),INDIRECT(L$3)))&lt;&gt;0,_xlpm.y=0),-2,_xlpm.x)))),0))</f>
        <v>0</v>
      </c>
      <c r="M196" s="199" cm="1">
        <f t="array" aca="1" ref="M196" ca="1">IF(OR($B196="",$B196="X",$D196="",$D196="X",$E196="",$E196="X"),0,IFERROR(_xlfn.LET(_xlpm.x,SUM(SUM(_xlfn._xlws.FILTER(VALUE(PptoSty[Sign]&amp;1)*(1/PptoSty[Division]),(PptoSty[Division]&lt;&gt;0)*(PptoSty[Division]&lt;&gt;"")*(PptoSty[Division]&lt;&gt;"X")*(PptoSty[Project]=$B196)*(PptoSty[Vrs]=$D196)*(PptoSty[PiRow]=_xlfn.TEXTAFTER($H196,":"))*(PptoSty[PiColumn]=M$54),0)),SUM(IF((INDIRECT($B$3)=$B196)*(INDIRECT($C$3)=$D196)*((INDIRECT($E$3)="TOTS")+(INDIRECT($E$3)=$E196)),INDIRECT(M$3)))),_xlpm.y,SUM(_xlfn.CHOOSECOLS(_xlfn._xlws.FILTER(F_RT14[],(F_RT14[PrjId]=$B196)*(F_RT14[Vrs]=$D196)*(_xlfn.TEXTAFTER(F_RT14[ActGrp],":")=_xlfn.TEXTAFTER($H196,":")),"X"),MATCH("*"&amp;M$54,F_RT14[#Headers],0))),IF(AND(_xlpm.x=0,_xlpm.y&lt;&gt;0),-1,IF(AND(_xlpm.x&lt;&gt;0,_xlpm.y&lt;&gt;0),_xlpm.x,IF(AND(_xlpm.x-SUM(IF((INDIRECT($B$3)=$B196)*(INDIRECT($C$3)=$D196)*((INDIRECT($E$3)="TOTS")+(INDIRECT($E$3)=$E196)),INDIRECT(M$3)))&lt;&gt;0,_xlpm.y=0),-2,_xlpm.x)))),0))</f>
        <v>0</v>
      </c>
      <c r="N196" s="199" cm="1">
        <f t="array" aca="1" ref="N196" ca="1">IF(OR($B196="",$B196="X",$D196="",$D196="X",$E196="",$E196="X"),0,IFERROR(_xlfn.LET(_xlpm.x,SUM(SUM(_xlfn._xlws.FILTER(VALUE(PptoSty[Sign]&amp;1)*(1/PptoSty[Division]),(PptoSty[Division]&lt;&gt;0)*(PptoSty[Division]&lt;&gt;"")*(PptoSty[Division]&lt;&gt;"X")*(PptoSty[Project]=$B196)*(PptoSty[Vrs]=$D196)*(PptoSty[PiRow]=_xlfn.TEXTAFTER($H196,":"))*(PptoSty[PiColumn]=N$54),0)),SUM(IF((INDIRECT($B$3)=$B196)*(INDIRECT($C$3)=$D196)*((INDIRECT($E$3)="TOTS")+(INDIRECT($E$3)=$E196)),INDIRECT(N$3)))),_xlpm.y,SUM(_xlfn.CHOOSECOLS(_xlfn._xlws.FILTER(F_RT14[],(F_RT14[PrjId]=$B196)*(F_RT14[Vrs]=$D196)*(_xlfn.TEXTAFTER(F_RT14[ActGrp],":")=_xlfn.TEXTAFTER($H196,":")),"X"),MATCH("*"&amp;N$54,F_RT14[#Headers],0))),IF(AND(_xlpm.x=0,_xlpm.y&lt;&gt;0),-1,IF(AND(_xlpm.x&lt;&gt;0,_xlpm.y&lt;&gt;0),_xlpm.x,IF(AND(_xlpm.x-SUM(IF((INDIRECT($B$3)=$B196)*(INDIRECT($C$3)=$D196)*((INDIRECT($E$3)="TOTS")+(INDIRECT($E$3)=$E196)),INDIRECT(N$3)))&lt;&gt;0,_xlpm.y=0),-2,_xlpm.x)))),0))</f>
        <v>0</v>
      </c>
      <c r="O196" s="199" cm="1">
        <f t="array" aca="1" ref="O196" ca="1">IF(OR($B196="",$B196="X",$D196="",$D196="X",$E196="",$E196="X"),0,IFERROR(_xlfn.LET(_xlpm.x,SUM(SUM(_xlfn._xlws.FILTER(VALUE(PptoSty[Sign]&amp;1)*(1/PptoSty[Division]),(PptoSty[Division]&lt;&gt;0)*(PptoSty[Division]&lt;&gt;"")*(PptoSty[Division]&lt;&gt;"X")*(PptoSty[Project]=$B196)*(PptoSty[Vrs]=$D196)*(PptoSty[PiRow]=_xlfn.TEXTAFTER($H196,":"))*(PptoSty[PiColumn]=O$54),0)),SUM(IF((INDIRECT($B$3)=$B196)*(INDIRECT($C$3)=$D196)*((INDIRECT($E$3)="TOTS")+(INDIRECT($E$3)=$E196)),INDIRECT(O$3)))),_xlpm.y,SUM(_xlfn.CHOOSECOLS(_xlfn._xlws.FILTER(F_RT14[],(F_RT14[PrjId]=$B196)*(F_RT14[Vrs]=$D196)*(_xlfn.TEXTAFTER(F_RT14[ActGrp],":")=_xlfn.TEXTAFTER($H196,":")),"X"),MATCH("*"&amp;O$54,F_RT14[#Headers],0))),IF(AND(_xlpm.x=0,_xlpm.y&lt;&gt;0),-1,IF(AND(_xlpm.x&lt;&gt;0,_xlpm.y&lt;&gt;0),_xlpm.x,IF(AND(_xlpm.x-SUM(IF((INDIRECT($B$3)=$B196)*(INDIRECT($C$3)=$D196)*((INDIRECT($E$3)="TOTS")+(INDIRECT($E$3)=$E196)),INDIRECT(O$3)))&lt;&gt;0,_xlpm.y=0),-2,_xlpm.x)))),0))</f>
        <v>0</v>
      </c>
      <c r="P196" s="199" cm="1">
        <f t="array" aca="1" ref="P196" ca="1">IF(OR($B196="",$B196="X",$D196="",$D196="X",$E196="",$E196="X"),0,IFERROR(_xlfn.LET(_xlpm.x,SUM(SUM(_xlfn._xlws.FILTER(VALUE(PptoSty[Sign]&amp;1)*(1/PptoSty[Division]),(PptoSty[Division]&lt;&gt;0)*(PptoSty[Division]&lt;&gt;"")*(PptoSty[Division]&lt;&gt;"X")*(PptoSty[Project]=$B196)*(PptoSty[Vrs]=$D196)*(PptoSty[PiRow]=_xlfn.TEXTAFTER($H196,":"))*(PptoSty[PiColumn]=P$54),0)),SUM(IF((INDIRECT($B$3)=$B196)*(INDIRECT($C$3)=$D196)*((INDIRECT($E$3)="TOTS")+(INDIRECT($E$3)=$E196)),INDIRECT(P$3)))),_xlpm.y,SUM(_xlfn.CHOOSECOLS(_xlfn._xlws.FILTER(F_RT14[],(F_RT14[PrjId]=$B196)*(F_RT14[Vrs]=$D196)*(_xlfn.TEXTAFTER(F_RT14[ActGrp],":")=_xlfn.TEXTAFTER($H196,":")),"X"),MATCH("*"&amp;P$54,F_RT14[#Headers],0))),IF(AND(_xlpm.x=0,_xlpm.y&lt;&gt;0),-1,IF(AND(_xlpm.x&lt;&gt;0,_xlpm.y&lt;&gt;0),_xlpm.x,IF(AND(_xlpm.x-SUM(IF((INDIRECT($B$3)=$B196)*(INDIRECT($C$3)=$D196)*((INDIRECT($E$3)="TOTS")+(INDIRECT($E$3)=$E196)),INDIRECT(P$3)))&lt;&gt;0,_xlpm.y=0),-2,_xlpm.x)))),0))</f>
        <v>0</v>
      </c>
      <c r="Q196" s="199" cm="1">
        <f t="array" aca="1" ref="Q196" ca="1">IF(OR($B196="",$B196="X",$D196="",$D196="X",$E196="",$E196="X"),0,IFERROR(_xlfn.LET(_xlpm.x,SUM(SUM(_xlfn._xlws.FILTER(VALUE(PptoSty[Sign]&amp;1)*(1/PptoSty[Division]),(PptoSty[Division]&lt;&gt;0)*(PptoSty[Division]&lt;&gt;"")*(PptoSty[Division]&lt;&gt;"X")*(PptoSty[Project]=$B196)*(PptoSty[Vrs]=$D196)*(PptoSty[PiRow]=_xlfn.TEXTAFTER($H196,":"))*(PptoSty[PiColumn]=Q$54),0)),SUM(IF((INDIRECT($B$3)=$B196)*(INDIRECT($C$3)=$D196)*((INDIRECT($E$3)="TOTS")+(INDIRECT($E$3)=$E196)),INDIRECT(Q$3)))),_xlpm.y,SUM(_xlfn.CHOOSECOLS(_xlfn._xlws.FILTER(F_RT14[],(F_RT14[PrjId]=$B196)*(F_RT14[Vrs]=$D196)*(_xlfn.TEXTAFTER(F_RT14[ActGrp],":")=_xlfn.TEXTAFTER($H196,":")),"X"),MATCH("*"&amp;Q$54,F_RT14[#Headers],0))),IF(AND(_xlpm.x=0,_xlpm.y&lt;&gt;0),-1,IF(AND(_xlpm.x&lt;&gt;0,_xlpm.y&lt;&gt;0),_xlpm.x,IF(AND(_xlpm.x-SUM(IF((INDIRECT($B$3)=$B196)*(INDIRECT($C$3)=$D196)*((INDIRECT($E$3)="TOTS")+(INDIRECT($E$3)=$E196)),INDIRECT(Q$3)))&lt;&gt;0,_xlpm.y=0),-2,_xlpm.x)))),0))</f>
        <v>0</v>
      </c>
      <c r="R196" s="199" cm="1">
        <f t="array" aca="1" ref="R196" ca="1">IF(OR($B196="",$B196="X",$D196="",$D196="X",$E196="",$E196="X"),0,IFERROR(_xlfn.LET(_xlpm.x,SUM(SUM(_xlfn._xlws.FILTER(VALUE(PptoSty[Sign]&amp;1)*(1/PptoSty[Division]),(PptoSty[Division]&lt;&gt;0)*(PptoSty[Division]&lt;&gt;"")*(PptoSty[Division]&lt;&gt;"X")*(PptoSty[Project]=$B196)*(PptoSty[Vrs]=$D196)*(PptoSty[PiRow]=_xlfn.TEXTAFTER($H196,":"))*(PptoSty[PiColumn]=R$54),0)),SUM(IF((INDIRECT($B$3)=$B196)*(INDIRECT($C$3)=$D196)*((INDIRECT($E$3)="TOTS")+(INDIRECT($E$3)=$E196)),INDIRECT(R$3)))),_xlpm.y,SUM(_xlfn.CHOOSECOLS(_xlfn._xlws.FILTER(F_RT14[],(F_RT14[PrjId]=$B196)*(F_RT14[Vrs]=$D196)*(_xlfn.TEXTAFTER(F_RT14[ActGrp],":")=_xlfn.TEXTAFTER($H196,":")),"X"),MATCH("*"&amp;R$54,F_RT14[#Headers],0))),IF(AND(_xlpm.x=0,_xlpm.y&lt;&gt;0),-1,IF(AND(_xlpm.x&lt;&gt;0,_xlpm.y&lt;&gt;0),_xlpm.x,IF(AND(_xlpm.x-SUM(IF((INDIRECT($B$3)=$B196)*(INDIRECT($C$3)=$D196)*((INDIRECT($E$3)="TOTS")+(INDIRECT($E$3)=$E196)),INDIRECT(R$3)))&lt;&gt;0,_xlpm.y=0),-2,_xlpm.x)))),0))</f>
        <v>0</v>
      </c>
      <c r="S196" s="199" cm="1">
        <f t="array" aca="1" ref="S196" ca="1">IF(OR($B196="",$B196="X",$D196="",$D196="X",$E196="",$E196="X"),0,IFERROR(_xlfn.LET(_xlpm.x,SUM(SUM(_xlfn._xlws.FILTER(VALUE(PptoSty[Sign]&amp;1)*(1/PptoSty[Division]),(PptoSty[Division]&lt;&gt;0)*(PptoSty[Division]&lt;&gt;"")*(PptoSty[Division]&lt;&gt;"X")*(PptoSty[Project]=$B196)*(PptoSty[Vrs]=$D196)*(PptoSty[PiRow]=_xlfn.TEXTAFTER($H196,":"))*(PptoSty[PiColumn]=S$54),0)),SUM(IF((INDIRECT($B$3)=$B196)*(INDIRECT($C$3)=$D196)*((INDIRECT($E$3)="TOTS")+(INDIRECT($E$3)=$E196)),INDIRECT(S$3)))),_xlpm.y,SUM(_xlfn.CHOOSECOLS(_xlfn._xlws.FILTER(F_RT14[],(F_RT14[PrjId]=$B196)*(F_RT14[Vrs]=$D196)*(_xlfn.TEXTAFTER(F_RT14[ActGrp],":")=_xlfn.TEXTAFTER($H196,":")),"X"),MATCH("*"&amp;S$54,F_RT14[#Headers],0))),IF(AND(_xlpm.x=0,_xlpm.y&lt;&gt;0),-1,IF(AND(_xlpm.x&lt;&gt;0,_xlpm.y&lt;&gt;0),_xlpm.x,IF(AND(_xlpm.x-SUM(IF((INDIRECT($B$3)=$B196)*(INDIRECT($C$3)=$D196)*((INDIRECT($E$3)="TOTS")+(INDIRECT($E$3)=$E196)),INDIRECT(S$3)))&lt;&gt;0,_xlpm.y=0),-2,_xlpm.x)))),0))</f>
        <v>0</v>
      </c>
      <c r="T196" s="199" cm="1">
        <f t="array" aca="1" ref="T196" ca="1">IF(OR($B196="",$B196="X",$D196="",$D196="X",$E196="",$E196="X"),0,IFERROR(_xlfn.LET(_xlpm.x,SUM(SUM(_xlfn._xlws.FILTER(VALUE(PptoSty[Sign]&amp;1)*(1/PptoSty[Division]),(PptoSty[Division]&lt;&gt;0)*(PptoSty[Division]&lt;&gt;"")*(PptoSty[Division]&lt;&gt;"X")*(PptoSty[Project]=$B196)*(PptoSty[Vrs]=$D196)*(PptoSty[PiRow]=_xlfn.TEXTAFTER($H196,":"))*(PptoSty[PiColumn]=T$54),0)),SUM(IF((INDIRECT($B$3)=$B196)*(INDIRECT($C$3)=$D196)*((INDIRECT($E$3)="TOTS")+(INDIRECT($E$3)=$E196)),INDIRECT(T$3)))),_xlpm.y,SUM(_xlfn.CHOOSECOLS(_xlfn._xlws.FILTER(F_RT14[],(F_RT14[PrjId]=$B196)*(F_RT14[Vrs]=$D196)*(_xlfn.TEXTAFTER(F_RT14[ActGrp],":")=_xlfn.TEXTAFTER($H196,":")),"X"),MATCH("*"&amp;T$54,F_RT14[#Headers],0))),IF(AND(_xlpm.x=0,_xlpm.y&lt;&gt;0),-1,IF(AND(_xlpm.x&lt;&gt;0,_xlpm.y&lt;&gt;0),_xlpm.x,IF(AND(_xlpm.x-SUM(IF((INDIRECT($B$3)=$B196)*(INDIRECT($C$3)=$D196)*((INDIRECT($E$3)="TOTS")+(INDIRECT($E$3)=$E196)),INDIRECT(T$3)))&lt;&gt;0,_xlpm.y=0),-2,_xlpm.x)))),0))</f>
        <v>0</v>
      </c>
      <c r="U196" s="199" cm="1">
        <f t="array" aca="1" ref="U196" ca="1">IF(OR($B196="",$B196="X",$D196="",$D196="X",$E196="",$E196="X"),0,IFERROR(_xlfn.LET(_xlpm.x,SUM(SUM(_xlfn._xlws.FILTER(VALUE(PptoSty[Sign]&amp;1)*(1/PptoSty[Division]),(PptoSty[Division]&lt;&gt;0)*(PptoSty[Division]&lt;&gt;"")*(PptoSty[Division]&lt;&gt;"X")*(PptoSty[Project]=$B196)*(PptoSty[Vrs]=$D196)*(PptoSty[PiRow]=_xlfn.TEXTAFTER($H196,":"))*(PptoSty[PiColumn]=U$54),0)),SUM(IF((INDIRECT($B$3)=$B196)*(INDIRECT($C$3)=$D196)*((INDIRECT($E$3)="TOTS")+(INDIRECT($E$3)=$E196)),INDIRECT(U$3)))),_xlpm.y,SUM(_xlfn.CHOOSECOLS(_xlfn._xlws.FILTER(F_RT14[],(F_RT14[PrjId]=$B196)*(F_RT14[Vrs]=$D196)*(_xlfn.TEXTAFTER(F_RT14[ActGrp],":")=_xlfn.TEXTAFTER($H196,":")),"X"),MATCH("*"&amp;U$54,F_RT14[#Headers],0))),IF(AND(_xlpm.x=0,_xlpm.y&lt;&gt;0),-1,IF(AND(_xlpm.x&lt;&gt;0,_xlpm.y&lt;&gt;0),_xlpm.x,IF(AND(_xlpm.x-SUM(IF((INDIRECT($B$3)=$B196)*(INDIRECT($C$3)=$D196)*((INDIRECT($E$3)="TOTS")+(INDIRECT($E$3)=$E196)),INDIRECT(U$3)))&lt;&gt;0,_xlpm.y=0),-2,_xlpm.x)))),0))</f>
        <v>0</v>
      </c>
      <c r="V196" s="199" cm="1">
        <f t="array" aca="1" ref="V196" ca="1">IF(OR($B196="",$B196="X",$D196="",$D196="X",$E196="",$E196="X"),0,IFERROR(_xlfn.LET(_xlpm.x,SUM(SUM(_xlfn._xlws.FILTER(VALUE(PptoSty[Sign]&amp;1)*(1/PptoSty[Division]),(PptoSty[Division]&lt;&gt;0)*(PptoSty[Division]&lt;&gt;"")*(PptoSty[Division]&lt;&gt;"X")*(PptoSty[Project]=$B196)*(PptoSty[Vrs]=$D196)*(PptoSty[PiRow]=_xlfn.TEXTAFTER($H196,":"))*(PptoSty[PiColumn]=V$54),0)),SUM(IF((INDIRECT($B$3)=$B196)*(INDIRECT($C$3)=$D196)*((INDIRECT($E$3)="TOTS")+(INDIRECT($E$3)=$E196)),INDIRECT(V$3)))),_xlpm.y,SUM(_xlfn.CHOOSECOLS(_xlfn._xlws.FILTER(F_RT14[],(F_RT14[PrjId]=$B196)*(F_RT14[Vrs]=$D196)*(_xlfn.TEXTAFTER(F_RT14[ActGrp],":")=_xlfn.TEXTAFTER($H196,":")),"X"),MATCH("*"&amp;V$54,F_RT14[#Headers],0))),IF(AND(_xlpm.x=0,_xlpm.y&lt;&gt;0),-1,IF(AND(_xlpm.x&lt;&gt;0,_xlpm.y&lt;&gt;0),_xlpm.x,IF(AND(_xlpm.x-SUM(IF((INDIRECT($B$3)=$B196)*(INDIRECT($C$3)=$D196)*((INDIRECT($E$3)="TOTS")+(INDIRECT($E$3)=$E196)),INDIRECT(V$3)))&lt;&gt;0,_xlpm.y=0),-2,_xlpm.x)))),0))</f>
        <v>0</v>
      </c>
      <c r="W196" s="199" cm="1">
        <f t="array" aca="1" ref="W196" ca="1">IF(OR($B196="",$B196="X",$D196="",$D196="X",$E196="",$E196="X"),0,IFERROR(_xlfn.LET(_xlpm.x,SUM(SUM(_xlfn._xlws.FILTER(VALUE(PptoSty[Sign]&amp;1)*(1/PptoSty[Division]),(PptoSty[Division]&lt;&gt;0)*(PptoSty[Division]&lt;&gt;"")*(PptoSty[Division]&lt;&gt;"X")*(PptoSty[Project]=$B196)*(PptoSty[Vrs]=$D196)*(PptoSty[PiRow]=_xlfn.TEXTAFTER($H196,":"))*(PptoSty[PiColumn]=W$54),0)),SUM(IF((INDIRECT($B$3)=$B196)*(INDIRECT($C$3)=$D196)*((INDIRECT($E$3)="TOTS")+(INDIRECT($E$3)=$E196)),INDIRECT(W$3)))),_xlpm.y,SUM(_xlfn.CHOOSECOLS(_xlfn._xlws.FILTER(F_RT14[],(F_RT14[PrjId]=$B196)*(F_RT14[Vrs]=$D196)*(_xlfn.TEXTAFTER(F_RT14[ActGrp],":")=_xlfn.TEXTAFTER($H196,":")),"X"),MATCH("*"&amp;W$54,F_RT14[#Headers],0))),IF(AND(_xlpm.x=0,_xlpm.y&lt;&gt;0),-1,IF(AND(_xlpm.x&lt;&gt;0,_xlpm.y&lt;&gt;0),_xlpm.x,IF(AND(_xlpm.x-SUM(IF((INDIRECT($B$3)=$B196)*(INDIRECT($C$3)=$D196)*((INDIRECT($E$3)="TOTS")+(INDIRECT($E$3)=$E196)),INDIRECT(W$3)))&lt;&gt;0,_xlpm.y=0),-2,_xlpm.x)))),0))</f>
        <v>0</v>
      </c>
      <c r="X196" s="199" cm="1">
        <f t="array" aca="1" ref="X196" ca="1">IF(OR($B196="",$B196="X",$D196="",$D196="X",$E196="",$E196="X"),0,IFERROR(_xlfn.LET(_xlpm.x,SUM(SUM(_xlfn._xlws.FILTER(VALUE(PptoSty[Sign]&amp;1)*(1/PptoSty[Division]),(PptoSty[Division]&lt;&gt;0)*(PptoSty[Division]&lt;&gt;"")*(PptoSty[Division]&lt;&gt;"X")*(PptoSty[Project]=$B196)*(PptoSty[Vrs]=$D196)*(PptoSty[PiRow]=_xlfn.TEXTAFTER($H196,":"))*(PptoSty[PiColumn]=X$54),0)),SUM(IF((INDIRECT($B$3)=$B196)*(INDIRECT($C$3)=$D196)*((INDIRECT($E$3)="TOTS")+(INDIRECT($E$3)=$E196)),INDIRECT(X$3)))),_xlpm.y,SUM(_xlfn.CHOOSECOLS(_xlfn._xlws.FILTER(F_RT14[],(F_RT14[PrjId]=$B196)*(F_RT14[Vrs]=$D196)*(_xlfn.TEXTAFTER(F_RT14[ActGrp],":")=_xlfn.TEXTAFTER($H196,":")),"X"),MATCH("*"&amp;X$54,F_RT14[#Headers],0))),IF(AND(_xlpm.x=0,_xlpm.y&lt;&gt;0),-1,IF(AND(_xlpm.x&lt;&gt;0,_xlpm.y&lt;&gt;0),_xlpm.x,IF(AND(_xlpm.x-SUM(IF((INDIRECT($B$3)=$B196)*(INDIRECT($C$3)=$D196)*((INDIRECT($E$3)="TOTS")+(INDIRECT($E$3)=$E196)),INDIRECT(X$3)))&lt;&gt;0,_xlpm.y=0),-2,_xlpm.x)))),0))</f>
        <v>0</v>
      </c>
      <c r="Y196" s="199" cm="1">
        <f t="array" aca="1" ref="Y196" ca="1">IF(OR($B196="",$B196="X",$D196="",$D196="X",$E196="",$E196="X"),0,IFERROR(_xlfn.LET(_xlpm.x,SUM(SUM(_xlfn._xlws.FILTER(VALUE(PptoSty[Sign]&amp;1)*(1/PptoSty[Division]),(PptoSty[Division]&lt;&gt;0)*(PptoSty[Division]&lt;&gt;"")*(PptoSty[Division]&lt;&gt;"X")*(PptoSty[Project]=$B196)*(PptoSty[Vrs]=$D196)*(PptoSty[PiRow]=_xlfn.TEXTAFTER($H196,":"))*(PptoSty[PiColumn]=Y$54),0)),SUM(IF((INDIRECT($B$3)=$B196)*(INDIRECT($C$3)=$D196)*((INDIRECT($E$3)="TOTS")+(INDIRECT($E$3)=$E196)),INDIRECT(Y$3)))),_xlpm.y,SUM(_xlfn.CHOOSECOLS(_xlfn._xlws.FILTER(F_RT14[],(F_RT14[PrjId]=$B196)*(F_RT14[Vrs]=$D196)*(_xlfn.TEXTAFTER(F_RT14[ActGrp],":")=_xlfn.TEXTAFTER($H196,":")),"X"),MATCH("*"&amp;Y$54,F_RT14[#Headers],0))),IF(AND(_xlpm.x=0,_xlpm.y&lt;&gt;0),-1,IF(AND(_xlpm.x&lt;&gt;0,_xlpm.y&lt;&gt;0),_xlpm.x,IF(AND(_xlpm.x-SUM(IF((INDIRECT($B$3)=$B196)*(INDIRECT($C$3)=$D196)*((INDIRECT($E$3)="TOTS")+(INDIRECT($E$3)=$E196)),INDIRECT(Y$3)))&lt;&gt;0,_xlpm.y=0),-2,_xlpm.x)))),0))</f>
        <v>0</v>
      </c>
      <c r="Z196" s="198" t="str">
        <f t="shared" ca="1" si="4"/>
        <v>Fback!B196:Y196</v>
      </c>
    </row>
    <row r="197" spans="2:26" ht="21" customHeight="1" outlineLevel="1">
      <c r="B197" s="128"/>
      <c r="C197" s="128"/>
      <c r="D197" s="128"/>
      <c r="E197" s="128"/>
      <c r="F197" s="139"/>
      <c r="G197" s="139"/>
      <c r="H197" s="139"/>
      <c r="I197" s="199" cm="1">
        <f t="array" aca="1" ref="I197" ca="1">IF(OR($B197="",$B197="X",$D197="",$D197="X",$E197="",$E197="X"),0,IFERROR(_xlfn.LET(_xlpm.x,SUM(SUM(_xlfn._xlws.FILTER(VALUE(PptoSty[Sign]&amp;1)*(1/PptoSty[Division]),(PptoSty[Division]&lt;&gt;0)*(PptoSty[Division]&lt;&gt;"")*(PptoSty[Division]&lt;&gt;"X")*(PptoSty[Project]=$B197)*(PptoSty[Vrs]=$D197)*(PptoSty[PiRow]=_xlfn.TEXTAFTER($H197,":"))*(PptoSty[PiColumn]=I$54),0)),SUM(IF((INDIRECT($B$3)=$B197)*(INDIRECT($C$3)=$D197)*((INDIRECT($E$3)="TOTS")+(INDIRECT($E$3)=$E197)),INDIRECT(I$3)))),_xlpm.y,SUM(_xlfn.CHOOSECOLS(_xlfn._xlws.FILTER(F_RT14[],(F_RT14[PrjId]=$B197)*(F_RT14[Vrs]=$D197)*(_xlfn.TEXTAFTER(F_RT14[ActGrp],":")=_xlfn.TEXTAFTER($H197,":")),"X"),MATCH("*"&amp;I$54,F_RT14[#Headers],0))),IF(AND(_xlpm.x=0,_xlpm.y&lt;&gt;0),-1,IF(AND(_xlpm.x&lt;&gt;0,_xlpm.y&lt;&gt;0),_xlpm.x,IF(AND(_xlpm.x-SUM(IF((INDIRECT($B$3)=$B197)*(INDIRECT($C$3)=$D197)*((INDIRECT($E$3)="TOTS")+(INDIRECT($E$3)=$E197)),INDIRECT(I$3)))&lt;&gt;0,_xlpm.y=0),-2,_xlpm.x)))),0))</f>
        <v>0</v>
      </c>
      <c r="J197" s="199" cm="1">
        <f t="array" aca="1" ref="J197" ca="1">IF(OR($B197="",$B197="X",$D197="",$D197="X",$E197="",$E197="X"),0,IFERROR(_xlfn.LET(_xlpm.x,SUM(SUM(_xlfn._xlws.FILTER(VALUE(PptoSty[Sign]&amp;1)*(1/PptoSty[Division]),(PptoSty[Division]&lt;&gt;0)*(PptoSty[Division]&lt;&gt;"")*(PptoSty[Division]&lt;&gt;"X")*(PptoSty[Project]=$B197)*(PptoSty[Vrs]=$D197)*(PptoSty[PiRow]=_xlfn.TEXTAFTER($H197,":"))*(PptoSty[PiColumn]=J$54),0)),SUM(IF((INDIRECT($B$3)=$B197)*(INDIRECT($C$3)=$D197)*((INDIRECT($E$3)="TOTS")+(INDIRECT($E$3)=$E197)),INDIRECT(J$3)))),_xlpm.y,SUM(_xlfn.CHOOSECOLS(_xlfn._xlws.FILTER(F_RT14[],(F_RT14[PrjId]=$B197)*(F_RT14[Vrs]=$D197)*(_xlfn.TEXTAFTER(F_RT14[ActGrp],":")=_xlfn.TEXTAFTER($H197,":")),"X"),MATCH("*"&amp;J$54,F_RT14[#Headers],0))),IF(AND(_xlpm.x=0,_xlpm.y&lt;&gt;0),-1,IF(AND(_xlpm.x&lt;&gt;0,_xlpm.y&lt;&gt;0),_xlpm.x,IF(AND(_xlpm.x-SUM(IF((INDIRECT($B$3)=$B197)*(INDIRECT($C$3)=$D197)*((INDIRECT($E$3)="TOTS")+(INDIRECT($E$3)=$E197)),INDIRECT(J$3)))&lt;&gt;0,_xlpm.y=0),-2,_xlpm.x)))),0))</f>
        <v>0</v>
      </c>
      <c r="K197" s="199" cm="1">
        <f t="array" aca="1" ref="K197" ca="1">IF(OR($B197="",$B197="X",$D197="",$D197="X",$E197="",$E197="X"),0,IFERROR(_xlfn.LET(_xlpm.x,SUM(SUM(_xlfn._xlws.FILTER(VALUE(PptoSty[Sign]&amp;1)*(1/PptoSty[Division]),(PptoSty[Division]&lt;&gt;0)*(PptoSty[Division]&lt;&gt;"")*(PptoSty[Division]&lt;&gt;"X")*(PptoSty[Project]=$B197)*(PptoSty[Vrs]=$D197)*(PptoSty[PiRow]=_xlfn.TEXTAFTER($H197,":"))*(PptoSty[PiColumn]=K$54),0)),SUM(IF((INDIRECT($B$3)=$B197)*(INDIRECT($C$3)=$D197)*((INDIRECT($E$3)="TOTS")+(INDIRECT($E$3)=$E197)),INDIRECT(K$3)))),_xlpm.y,SUM(_xlfn.CHOOSECOLS(_xlfn._xlws.FILTER(F_RT14[],(F_RT14[PrjId]=$B197)*(F_RT14[Vrs]=$D197)*(_xlfn.TEXTAFTER(F_RT14[ActGrp],":")=_xlfn.TEXTAFTER($H197,":")),"X"),MATCH("*"&amp;K$54,F_RT14[#Headers],0))),IF(AND(_xlpm.x=0,_xlpm.y&lt;&gt;0),-1,IF(AND(_xlpm.x&lt;&gt;0,_xlpm.y&lt;&gt;0),_xlpm.x,IF(AND(_xlpm.x-SUM(IF((INDIRECT($B$3)=$B197)*(INDIRECT($C$3)=$D197)*((INDIRECT($E$3)="TOTS")+(INDIRECT($E$3)=$E197)),INDIRECT(K$3)))&lt;&gt;0,_xlpm.y=0),-2,_xlpm.x)))),0))</f>
        <v>0</v>
      </c>
      <c r="L197" s="199" cm="1">
        <f t="array" aca="1" ref="L197" ca="1">IF(OR($B197="",$B197="X",$D197="",$D197="X",$E197="",$E197="X"),0,IFERROR(_xlfn.LET(_xlpm.x,SUM(SUM(_xlfn._xlws.FILTER(VALUE(PptoSty[Sign]&amp;1)*(1/PptoSty[Division]),(PptoSty[Division]&lt;&gt;0)*(PptoSty[Division]&lt;&gt;"")*(PptoSty[Division]&lt;&gt;"X")*(PptoSty[Project]=$B197)*(PptoSty[Vrs]=$D197)*(PptoSty[PiRow]=_xlfn.TEXTAFTER($H197,":"))*(PptoSty[PiColumn]=L$54),0)),SUM(IF((INDIRECT($B$3)=$B197)*(INDIRECT($C$3)=$D197)*((INDIRECT($E$3)="TOTS")+(INDIRECT($E$3)=$E197)),INDIRECT(L$3)))),_xlpm.y,SUM(_xlfn.CHOOSECOLS(_xlfn._xlws.FILTER(F_RT14[],(F_RT14[PrjId]=$B197)*(F_RT14[Vrs]=$D197)*(_xlfn.TEXTAFTER(F_RT14[ActGrp],":")=_xlfn.TEXTAFTER($H197,":")),"X"),MATCH("*"&amp;L$54,F_RT14[#Headers],0))),IF(AND(_xlpm.x=0,_xlpm.y&lt;&gt;0),-1,IF(AND(_xlpm.x&lt;&gt;0,_xlpm.y&lt;&gt;0),_xlpm.x,IF(AND(_xlpm.x-SUM(IF((INDIRECT($B$3)=$B197)*(INDIRECT($C$3)=$D197)*((INDIRECT($E$3)="TOTS")+(INDIRECT($E$3)=$E197)),INDIRECT(L$3)))&lt;&gt;0,_xlpm.y=0),-2,_xlpm.x)))),0))</f>
        <v>0</v>
      </c>
      <c r="M197" s="199" cm="1">
        <f t="array" aca="1" ref="M197" ca="1">IF(OR($B197="",$B197="X",$D197="",$D197="X",$E197="",$E197="X"),0,IFERROR(_xlfn.LET(_xlpm.x,SUM(SUM(_xlfn._xlws.FILTER(VALUE(PptoSty[Sign]&amp;1)*(1/PptoSty[Division]),(PptoSty[Division]&lt;&gt;0)*(PptoSty[Division]&lt;&gt;"")*(PptoSty[Division]&lt;&gt;"X")*(PptoSty[Project]=$B197)*(PptoSty[Vrs]=$D197)*(PptoSty[PiRow]=_xlfn.TEXTAFTER($H197,":"))*(PptoSty[PiColumn]=M$54),0)),SUM(IF((INDIRECT($B$3)=$B197)*(INDIRECT($C$3)=$D197)*((INDIRECT($E$3)="TOTS")+(INDIRECT($E$3)=$E197)),INDIRECT(M$3)))),_xlpm.y,SUM(_xlfn.CHOOSECOLS(_xlfn._xlws.FILTER(F_RT14[],(F_RT14[PrjId]=$B197)*(F_RT14[Vrs]=$D197)*(_xlfn.TEXTAFTER(F_RT14[ActGrp],":")=_xlfn.TEXTAFTER($H197,":")),"X"),MATCH("*"&amp;M$54,F_RT14[#Headers],0))),IF(AND(_xlpm.x=0,_xlpm.y&lt;&gt;0),-1,IF(AND(_xlpm.x&lt;&gt;0,_xlpm.y&lt;&gt;0),_xlpm.x,IF(AND(_xlpm.x-SUM(IF((INDIRECT($B$3)=$B197)*(INDIRECT($C$3)=$D197)*((INDIRECT($E$3)="TOTS")+(INDIRECT($E$3)=$E197)),INDIRECT(M$3)))&lt;&gt;0,_xlpm.y=0),-2,_xlpm.x)))),0))</f>
        <v>0</v>
      </c>
      <c r="N197" s="199" cm="1">
        <f t="array" aca="1" ref="N197" ca="1">IF(OR($B197="",$B197="X",$D197="",$D197="X",$E197="",$E197="X"),0,IFERROR(_xlfn.LET(_xlpm.x,SUM(SUM(_xlfn._xlws.FILTER(VALUE(PptoSty[Sign]&amp;1)*(1/PptoSty[Division]),(PptoSty[Division]&lt;&gt;0)*(PptoSty[Division]&lt;&gt;"")*(PptoSty[Division]&lt;&gt;"X")*(PptoSty[Project]=$B197)*(PptoSty[Vrs]=$D197)*(PptoSty[PiRow]=_xlfn.TEXTAFTER($H197,":"))*(PptoSty[PiColumn]=N$54),0)),SUM(IF((INDIRECT($B$3)=$B197)*(INDIRECT($C$3)=$D197)*((INDIRECT($E$3)="TOTS")+(INDIRECT($E$3)=$E197)),INDIRECT(N$3)))),_xlpm.y,SUM(_xlfn.CHOOSECOLS(_xlfn._xlws.FILTER(F_RT14[],(F_RT14[PrjId]=$B197)*(F_RT14[Vrs]=$D197)*(_xlfn.TEXTAFTER(F_RT14[ActGrp],":")=_xlfn.TEXTAFTER($H197,":")),"X"),MATCH("*"&amp;N$54,F_RT14[#Headers],0))),IF(AND(_xlpm.x=0,_xlpm.y&lt;&gt;0),-1,IF(AND(_xlpm.x&lt;&gt;0,_xlpm.y&lt;&gt;0),_xlpm.x,IF(AND(_xlpm.x-SUM(IF((INDIRECT($B$3)=$B197)*(INDIRECT($C$3)=$D197)*((INDIRECT($E$3)="TOTS")+(INDIRECT($E$3)=$E197)),INDIRECT(N$3)))&lt;&gt;0,_xlpm.y=0),-2,_xlpm.x)))),0))</f>
        <v>0</v>
      </c>
      <c r="O197" s="199" cm="1">
        <f t="array" aca="1" ref="O197" ca="1">IF(OR($B197="",$B197="X",$D197="",$D197="X",$E197="",$E197="X"),0,IFERROR(_xlfn.LET(_xlpm.x,SUM(SUM(_xlfn._xlws.FILTER(VALUE(PptoSty[Sign]&amp;1)*(1/PptoSty[Division]),(PptoSty[Division]&lt;&gt;0)*(PptoSty[Division]&lt;&gt;"")*(PptoSty[Division]&lt;&gt;"X")*(PptoSty[Project]=$B197)*(PptoSty[Vrs]=$D197)*(PptoSty[PiRow]=_xlfn.TEXTAFTER($H197,":"))*(PptoSty[PiColumn]=O$54),0)),SUM(IF((INDIRECT($B$3)=$B197)*(INDIRECT($C$3)=$D197)*((INDIRECT($E$3)="TOTS")+(INDIRECT($E$3)=$E197)),INDIRECT(O$3)))),_xlpm.y,SUM(_xlfn.CHOOSECOLS(_xlfn._xlws.FILTER(F_RT14[],(F_RT14[PrjId]=$B197)*(F_RT14[Vrs]=$D197)*(_xlfn.TEXTAFTER(F_RT14[ActGrp],":")=_xlfn.TEXTAFTER($H197,":")),"X"),MATCH("*"&amp;O$54,F_RT14[#Headers],0))),IF(AND(_xlpm.x=0,_xlpm.y&lt;&gt;0),-1,IF(AND(_xlpm.x&lt;&gt;0,_xlpm.y&lt;&gt;0),_xlpm.x,IF(AND(_xlpm.x-SUM(IF((INDIRECT($B$3)=$B197)*(INDIRECT($C$3)=$D197)*((INDIRECT($E$3)="TOTS")+(INDIRECT($E$3)=$E197)),INDIRECT(O$3)))&lt;&gt;0,_xlpm.y=0),-2,_xlpm.x)))),0))</f>
        <v>0</v>
      </c>
      <c r="P197" s="199" cm="1">
        <f t="array" aca="1" ref="P197" ca="1">IF(OR($B197="",$B197="X",$D197="",$D197="X",$E197="",$E197="X"),0,IFERROR(_xlfn.LET(_xlpm.x,SUM(SUM(_xlfn._xlws.FILTER(VALUE(PptoSty[Sign]&amp;1)*(1/PptoSty[Division]),(PptoSty[Division]&lt;&gt;0)*(PptoSty[Division]&lt;&gt;"")*(PptoSty[Division]&lt;&gt;"X")*(PptoSty[Project]=$B197)*(PptoSty[Vrs]=$D197)*(PptoSty[PiRow]=_xlfn.TEXTAFTER($H197,":"))*(PptoSty[PiColumn]=P$54),0)),SUM(IF((INDIRECT($B$3)=$B197)*(INDIRECT($C$3)=$D197)*((INDIRECT($E$3)="TOTS")+(INDIRECT($E$3)=$E197)),INDIRECT(P$3)))),_xlpm.y,SUM(_xlfn.CHOOSECOLS(_xlfn._xlws.FILTER(F_RT14[],(F_RT14[PrjId]=$B197)*(F_RT14[Vrs]=$D197)*(_xlfn.TEXTAFTER(F_RT14[ActGrp],":")=_xlfn.TEXTAFTER($H197,":")),"X"),MATCH("*"&amp;P$54,F_RT14[#Headers],0))),IF(AND(_xlpm.x=0,_xlpm.y&lt;&gt;0),-1,IF(AND(_xlpm.x&lt;&gt;0,_xlpm.y&lt;&gt;0),_xlpm.x,IF(AND(_xlpm.x-SUM(IF((INDIRECT($B$3)=$B197)*(INDIRECT($C$3)=$D197)*((INDIRECT($E$3)="TOTS")+(INDIRECT($E$3)=$E197)),INDIRECT(P$3)))&lt;&gt;0,_xlpm.y=0),-2,_xlpm.x)))),0))</f>
        <v>0</v>
      </c>
      <c r="Q197" s="199" cm="1">
        <f t="array" aca="1" ref="Q197" ca="1">IF(OR($B197="",$B197="X",$D197="",$D197="X",$E197="",$E197="X"),0,IFERROR(_xlfn.LET(_xlpm.x,SUM(SUM(_xlfn._xlws.FILTER(VALUE(PptoSty[Sign]&amp;1)*(1/PptoSty[Division]),(PptoSty[Division]&lt;&gt;0)*(PptoSty[Division]&lt;&gt;"")*(PptoSty[Division]&lt;&gt;"X")*(PptoSty[Project]=$B197)*(PptoSty[Vrs]=$D197)*(PptoSty[PiRow]=_xlfn.TEXTAFTER($H197,":"))*(PptoSty[PiColumn]=Q$54),0)),SUM(IF((INDIRECT($B$3)=$B197)*(INDIRECT($C$3)=$D197)*((INDIRECT($E$3)="TOTS")+(INDIRECT($E$3)=$E197)),INDIRECT(Q$3)))),_xlpm.y,SUM(_xlfn.CHOOSECOLS(_xlfn._xlws.FILTER(F_RT14[],(F_RT14[PrjId]=$B197)*(F_RT14[Vrs]=$D197)*(_xlfn.TEXTAFTER(F_RT14[ActGrp],":")=_xlfn.TEXTAFTER($H197,":")),"X"),MATCH("*"&amp;Q$54,F_RT14[#Headers],0))),IF(AND(_xlpm.x=0,_xlpm.y&lt;&gt;0),-1,IF(AND(_xlpm.x&lt;&gt;0,_xlpm.y&lt;&gt;0),_xlpm.x,IF(AND(_xlpm.x-SUM(IF((INDIRECT($B$3)=$B197)*(INDIRECT($C$3)=$D197)*((INDIRECT($E$3)="TOTS")+(INDIRECT($E$3)=$E197)),INDIRECT(Q$3)))&lt;&gt;0,_xlpm.y=0),-2,_xlpm.x)))),0))</f>
        <v>0</v>
      </c>
      <c r="R197" s="199" cm="1">
        <f t="array" aca="1" ref="R197" ca="1">IF(OR($B197="",$B197="X",$D197="",$D197="X",$E197="",$E197="X"),0,IFERROR(_xlfn.LET(_xlpm.x,SUM(SUM(_xlfn._xlws.FILTER(VALUE(PptoSty[Sign]&amp;1)*(1/PptoSty[Division]),(PptoSty[Division]&lt;&gt;0)*(PptoSty[Division]&lt;&gt;"")*(PptoSty[Division]&lt;&gt;"X")*(PptoSty[Project]=$B197)*(PptoSty[Vrs]=$D197)*(PptoSty[PiRow]=_xlfn.TEXTAFTER($H197,":"))*(PptoSty[PiColumn]=R$54),0)),SUM(IF((INDIRECT($B$3)=$B197)*(INDIRECT($C$3)=$D197)*((INDIRECT($E$3)="TOTS")+(INDIRECT($E$3)=$E197)),INDIRECT(R$3)))),_xlpm.y,SUM(_xlfn.CHOOSECOLS(_xlfn._xlws.FILTER(F_RT14[],(F_RT14[PrjId]=$B197)*(F_RT14[Vrs]=$D197)*(_xlfn.TEXTAFTER(F_RT14[ActGrp],":")=_xlfn.TEXTAFTER($H197,":")),"X"),MATCH("*"&amp;R$54,F_RT14[#Headers],0))),IF(AND(_xlpm.x=0,_xlpm.y&lt;&gt;0),-1,IF(AND(_xlpm.x&lt;&gt;0,_xlpm.y&lt;&gt;0),_xlpm.x,IF(AND(_xlpm.x-SUM(IF((INDIRECT($B$3)=$B197)*(INDIRECT($C$3)=$D197)*((INDIRECT($E$3)="TOTS")+(INDIRECT($E$3)=$E197)),INDIRECT(R$3)))&lt;&gt;0,_xlpm.y=0),-2,_xlpm.x)))),0))</f>
        <v>0</v>
      </c>
      <c r="S197" s="199" cm="1">
        <f t="array" aca="1" ref="S197" ca="1">IF(OR($B197="",$B197="X",$D197="",$D197="X",$E197="",$E197="X"),0,IFERROR(_xlfn.LET(_xlpm.x,SUM(SUM(_xlfn._xlws.FILTER(VALUE(PptoSty[Sign]&amp;1)*(1/PptoSty[Division]),(PptoSty[Division]&lt;&gt;0)*(PptoSty[Division]&lt;&gt;"")*(PptoSty[Division]&lt;&gt;"X")*(PptoSty[Project]=$B197)*(PptoSty[Vrs]=$D197)*(PptoSty[PiRow]=_xlfn.TEXTAFTER($H197,":"))*(PptoSty[PiColumn]=S$54),0)),SUM(IF((INDIRECT($B$3)=$B197)*(INDIRECT($C$3)=$D197)*((INDIRECT($E$3)="TOTS")+(INDIRECT($E$3)=$E197)),INDIRECT(S$3)))),_xlpm.y,SUM(_xlfn.CHOOSECOLS(_xlfn._xlws.FILTER(F_RT14[],(F_RT14[PrjId]=$B197)*(F_RT14[Vrs]=$D197)*(_xlfn.TEXTAFTER(F_RT14[ActGrp],":")=_xlfn.TEXTAFTER($H197,":")),"X"),MATCH("*"&amp;S$54,F_RT14[#Headers],0))),IF(AND(_xlpm.x=0,_xlpm.y&lt;&gt;0),-1,IF(AND(_xlpm.x&lt;&gt;0,_xlpm.y&lt;&gt;0),_xlpm.x,IF(AND(_xlpm.x-SUM(IF((INDIRECT($B$3)=$B197)*(INDIRECT($C$3)=$D197)*((INDIRECT($E$3)="TOTS")+(INDIRECT($E$3)=$E197)),INDIRECT(S$3)))&lt;&gt;0,_xlpm.y=0),-2,_xlpm.x)))),0))</f>
        <v>0</v>
      </c>
      <c r="T197" s="199" cm="1">
        <f t="array" aca="1" ref="T197" ca="1">IF(OR($B197="",$B197="X",$D197="",$D197="X",$E197="",$E197="X"),0,IFERROR(_xlfn.LET(_xlpm.x,SUM(SUM(_xlfn._xlws.FILTER(VALUE(PptoSty[Sign]&amp;1)*(1/PptoSty[Division]),(PptoSty[Division]&lt;&gt;0)*(PptoSty[Division]&lt;&gt;"")*(PptoSty[Division]&lt;&gt;"X")*(PptoSty[Project]=$B197)*(PptoSty[Vrs]=$D197)*(PptoSty[PiRow]=_xlfn.TEXTAFTER($H197,":"))*(PptoSty[PiColumn]=T$54),0)),SUM(IF((INDIRECT($B$3)=$B197)*(INDIRECT($C$3)=$D197)*((INDIRECT($E$3)="TOTS")+(INDIRECT($E$3)=$E197)),INDIRECT(T$3)))),_xlpm.y,SUM(_xlfn.CHOOSECOLS(_xlfn._xlws.FILTER(F_RT14[],(F_RT14[PrjId]=$B197)*(F_RT14[Vrs]=$D197)*(_xlfn.TEXTAFTER(F_RT14[ActGrp],":")=_xlfn.TEXTAFTER($H197,":")),"X"),MATCH("*"&amp;T$54,F_RT14[#Headers],0))),IF(AND(_xlpm.x=0,_xlpm.y&lt;&gt;0),-1,IF(AND(_xlpm.x&lt;&gt;0,_xlpm.y&lt;&gt;0),_xlpm.x,IF(AND(_xlpm.x-SUM(IF((INDIRECT($B$3)=$B197)*(INDIRECT($C$3)=$D197)*((INDIRECT($E$3)="TOTS")+(INDIRECT($E$3)=$E197)),INDIRECT(T$3)))&lt;&gt;0,_xlpm.y=0),-2,_xlpm.x)))),0))</f>
        <v>0</v>
      </c>
      <c r="U197" s="199" cm="1">
        <f t="array" aca="1" ref="U197" ca="1">IF(OR($B197="",$B197="X",$D197="",$D197="X",$E197="",$E197="X"),0,IFERROR(_xlfn.LET(_xlpm.x,SUM(SUM(_xlfn._xlws.FILTER(VALUE(PptoSty[Sign]&amp;1)*(1/PptoSty[Division]),(PptoSty[Division]&lt;&gt;0)*(PptoSty[Division]&lt;&gt;"")*(PptoSty[Division]&lt;&gt;"X")*(PptoSty[Project]=$B197)*(PptoSty[Vrs]=$D197)*(PptoSty[PiRow]=_xlfn.TEXTAFTER($H197,":"))*(PptoSty[PiColumn]=U$54),0)),SUM(IF((INDIRECT($B$3)=$B197)*(INDIRECT($C$3)=$D197)*((INDIRECT($E$3)="TOTS")+(INDIRECT($E$3)=$E197)),INDIRECT(U$3)))),_xlpm.y,SUM(_xlfn.CHOOSECOLS(_xlfn._xlws.FILTER(F_RT14[],(F_RT14[PrjId]=$B197)*(F_RT14[Vrs]=$D197)*(_xlfn.TEXTAFTER(F_RT14[ActGrp],":")=_xlfn.TEXTAFTER($H197,":")),"X"),MATCH("*"&amp;U$54,F_RT14[#Headers],0))),IF(AND(_xlpm.x=0,_xlpm.y&lt;&gt;0),-1,IF(AND(_xlpm.x&lt;&gt;0,_xlpm.y&lt;&gt;0),_xlpm.x,IF(AND(_xlpm.x-SUM(IF((INDIRECT($B$3)=$B197)*(INDIRECT($C$3)=$D197)*((INDIRECT($E$3)="TOTS")+(INDIRECT($E$3)=$E197)),INDIRECT(U$3)))&lt;&gt;0,_xlpm.y=0),-2,_xlpm.x)))),0))</f>
        <v>0</v>
      </c>
      <c r="V197" s="199" cm="1">
        <f t="array" aca="1" ref="V197" ca="1">IF(OR($B197="",$B197="X",$D197="",$D197="X",$E197="",$E197="X"),0,IFERROR(_xlfn.LET(_xlpm.x,SUM(SUM(_xlfn._xlws.FILTER(VALUE(PptoSty[Sign]&amp;1)*(1/PptoSty[Division]),(PptoSty[Division]&lt;&gt;0)*(PptoSty[Division]&lt;&gt;"")*(PptoSty[Division]&lt;&gt;"X")*(PptoSty[Project]=$B197)*(PptoSty[Vrs]=$D197)*(PptoSty[PiRow]=_xlfn.TEXTAFTER($H197,":"))*(PptoSty[PiColumn]=V$54),0)),SUM(IF((INDIRECT($B$3)=$B197)*(INDIRECT($C$3)=$D197)*((INDIRECT($E$3)="TOTS")+(INDIRECT($E$3)=$E197)),INDIRECT(V$3)))),_xlpm.y,SUM(_xlfn.CHOOSECOLS(_xlfn._xlws.FILTER(F_RT14[],(F_RT14[PrjId]=$B197)*(F_RT14[Vrs]=$D197)*(_xlfn.TEXTAFTER(F_RT14[ActGrp],":")=_xlfn.TEXTAFTER($H197,":")),"X"),MATCH("*"&amp;V$54,F_RT14[#Headers],0))),IF(AND(_xlpm.x=0,_xlpm.y&lt;&gt;0),-1,IF(AND(_xlpm.x&lt;&gt;0,_xlpm.y&lt;&gt;0),_xlpm.x,IF(AND(_xlpm.x-SUM(IF((INDIRECT($B$3)=$B197)*(INDIRECT($C$3)=$D197)*((INDIRECT($E$3)="TOTS")+(INDIRECT($E$3)=$E197)),INDIRECT(V$3)))&lt;&gt;0,_xlpm.y=0),-2,_xlpm.x)))),0))</f>
        <v>0</v>
      </c>
      <c r="W197" s="199" cm="1">
        <f t="array" aca="1" ref="W197" ca="1">IF(OR($B197="",$B197="X",$D197="",$D197="X",$E197="",$E197="X"),0,IFERROR(_xlfn.LET(_xlpm.x,SUM(SUM(_xlfn._xlws.FILTER(VALUE(PptoSty[Sign]&amp;1)*(1/PptoSty[Division]),(PptoSty[Division]&lt;&gt;0)*(PptoSty[Division]&lt;&gt;"")*(PptoSty[Division]&lt;&gt;"X")*(PptoSty[Project]=$B197)*(PptoSty[Vrs]=$D197)*(PptoSty[PiRow]=_xlfn.TEXTAFTER($H197,":"))*(PptoSty[PiColumn]=W$54),0)),SUM(IF((INDIRECT($B$3)=$B197)*(INDIRECT($C$3)=$D197)*((INDIRECT($E$3)="TOTS")+(INDIRECT($E$3)=$E197)),INDIRECT(W$3)))),_xlpm.y,SUM(_xlfn.CHOOSECOLS(_xlfn._xlws.FILTER(F_RT14[],(F_RT14[PrjId]=$B197)*(F_RT14[Vrs]=$D197)*(_xlfn.TEXTAFTER(F_RT14[ActGrp],":")=_xlfn.TEXTAFTER($H197,":")),"X"),MATCH("*"&amp;W$54,F_RT14[#Headers],0))),IF(AND(_xlpm.x=0,_xlpm.y&lt;&gt;0),-1,IF(AND(_xlpm.x&lt;&gt;0,_xlpm.y&lt;&gt;0),_xlpm.x,IF(AND(_xlpm.x-SUM(IF((INDIRECT($B$3)=$B197)*(INDIRECT($C$3)=$D197)*((INDIRECT($E$3)="TOTS")+(INDIRECT($E$3)=$E197)),INDIRECT(W$3)))&lt;&gt;0,_xlpm.y=0),-2,_xlpm.x)))),0))</f>
        <v>0</v>
      </c>
      <c r="X197" s="199" cm="1">
        <f t="array" aca="1" ref="X197" ca="1">IF(OR($B197="",$B197="X",$D197="",$D197="X",$E197="",$E197="X"),0,IFERROR(_xlfn.LET(_xlpm.x,SUM(SUM(_xlfn._xlws.FILTER(VALUE(PptoSty[Sign]&amp;1)*(1/PptoSty[Division]),(PptoSty[Division]&lt;&gt;0)*(PptoSty[Division]&lt;&gt;"")*(PptoSty[Division]&lt;&gt;"X")*(PptoSty[Project]=$B197)*(PptoSty[Vrs]=$D197)*(PptoSty[PiRow]=_xlfn.TEXTAFTER($H197,":"))*(PptoSty[PiColumn]=X$54),0)),SUM(IF((INDIRECT($B$3)=$B197)*(INDIRECT($C$3)=$D197)*((INDIRECT($E$3)="TOTS")+(INDIRECT($E$3)=$E197)),INDIRECT(X$3)))),_xlpm.y,SUM(_xlfn.CHOOSECOLS(_xlfn._xlws.FILTER(F_RT14[],(F_RT14[PrjId]=$B197)*(F_RT14[Vrs]=$D197)*(_xlfn.TEXTAFTER(F_RT14[ActGrp],":")=_xlfn.TEXTAFTER($H197,":")),"X"),MATCH("*"&amp;X$54,F_RT14[#Headers],0))),IF(AND(_xlpm.x=0,_xlpm.y&lt;&gt;0),-1,IF(AND(_xlpm.x&lt;&gt;0,_xlpm.y&lt;&gt;0),_xlpm.x,IF(AND(_xlpm.x-SUM(IF((INDIRECT($B$3)=$B197)*(INDIRECT($C$3)=$D197)*((INDIRECT($E$3)="TOTS")+(INDIRECT($E$3)=$E197)),INDIRECT(X$3)))&lt;&gt;0,_xlpm.y=0),-2,_xlpm.x)))),0))</f>
        <v>0</v>
      </c>
      <c r="Y197" s="199" cm="1">
        <f t="array" aca="1" ref="Y197" ca="1">IF(OR($B197="",$B197="X",$D197="",$D197="X",$E197="",$E197="X"),0,IFERROR(_xlfn.LET(_xlpm.x,SUM(SUM(_xlfn._xlws.FILTER(VALUE(PptoSty[Sign]&amp;1)*(1/PptoSty[Division]),(PptoSty[Division]&lt;&gt;0)*(PptoSty[Division]&lt;&gt;"")*(PptoSty[Division]&lt;&gt;"X")*(PptoSty[Project]=$B197)*(PptoSty[Vrs]=$D197)*(PptoSty[PiRow]=_xlfn.TEXTAFTER($H197,":"))*(PptoSty[PiColumn]=Y$54),0)),SUM(IF((INDIRECT($B$3)=$B197)*(INDIRECT($C$3)=$D197)*((INDIRECT($E$3)="TOTS")+(INDIRECT($E$3)=$E197)),INDIRECT(Y$3)))),_xlpm.y,SUM(_xlfn.CHOOSECOLS(_xlfn._xlws.FILTER(F_RT14[],(F_RT14[PrjId]=$B197)*(F_RT14[Vrs]=$D197)*(_xlfn.TEXTAFTER(F_RT14[ActGrp],":")=_xlfn.TEXTAFTER($H197,":")),"X"),MATCH("*"&amp;Y$54,F_RT14[#Headers],0))),IF(AND(_xlpm.x=0,_xlpm.y&lt;&gt;0),-1,IF(AND(_xlpm.x&lt;&gt;0,_xlpm.y&lt;&gt;0),_xlpm.x,IF(AND(_xlpm.x-SUM(IF((INDIRECT($B$3)=$B197)*(INDIRECT($C$3)=$D197)*((INDIRECT($E$3)="TOTS")+(INDIRECT($E$3)=$E197)),INDIRECT(Y$3)))&lt;&gt;0,_xlpm.y=0),-2,_xlpm.x)))),0))</f>
        <v>0</v>
      </c>
      <c r="Z197" s="198" t="str">
        <f t="shared" ca="1" si="4"/>
        <v>Fback!B197:Y197</v>
      </c>
    </row>
    <row r="198" spans="2:26" ht="21" customHeight="1" outlineLevel="1">
      <c r="B198" s="128"/>
      <c r="C198" s="128"/>
      <c r="D198" s="128"/>
      <c r="E198" s="128"/>
      <c r="F198" s="139"/>
      <c r="G198" s="139"/>
      <c r="H198" s="139"/>
      <c r="I198" s="199" cm="1">
        <f t="array" aca="1" ref="I198" ca="1">IF(OR($B198="",$B198="X",$D198="",$D198="X",$E198="",$E198="X"),0,IFERROR(_xlfn.LET(_xlpm.x,SUM(SUM(_xlfn._xlws.FILTER(VALUE(PptoSty[Sign]&amp;1)*(1/PptoSty[Division]),(PptoSty[Division]&lt;&gt;0)*(PptoSty[Division]&lt;&gt;"")*(PptoSty[Division]&lt;&gt;"X")*(PptoSty[Project]=$B198)*(PptoSty[Vrs]=$D198)*(PptoSty[PiRow]=_xlfn.TEXTAFTER($H198,":"))*(PptoSty[PiColumn]=I$54),0)),SUM(IF((INDIRECT($B$3)=$B198)*(INDIRECT($C$3)=$D198)*((INDIRECT($E$3)="TOTS")+(INDIRECT($E$3)=$E198)),INDIRECT(I$3)))),_xlpm.y,SUM(_xlfn.CHOOSECOLS(_xlfn._xlws.FILTER(F_RT14[],(F_RT14[PrjId]=$B198)*(F_RT14[Vrs]=$D198)*(_xlfn.TEXTAFTER(F_RT14[ActGrp],":")=_xlfn.TEXTAFTER($H198,":")),"X"),MATCH("*"&amp;I$54,F_RT14[#Headers],0))),IF(AND(_xlpm.x=0,_xlpm.y&lt;&gt;0),-1,IF(AND(_xlpm.x&lt;&gt;0,_xlpm.y&lt;&gt;0),_xlpm.x,IF(AND(_xlpm.x-SUM(IF((INDIRECT($B$3)=$B198)*(INDIRECT($C$3)=$D198)*((INDIRECT($E$3)="TOTS")+(INDIRECT($E$3)=$E198)),INDIRECT(I$3)))&lt;&gt;0,_xlpm.y=0),-2,_xlpm.x)))),0))</f>
        <v>0</v>
      </c>
      <c r="J198" s="199" cm="1">
        <f t="array" aca="1" ref="J198" ca="1">IF(OR($B198="",$B198="X",$D198="",$D198="X",$E198="",$E198="X"),0,IFERROR(_xlfn.LET(_xlpm.x,SUM(SUM(_xlfn._xlws.FILTER(VALUE(PptoSty[Sign]&amp;1)*(1/PptoSty[Division]),(PptoSty[Division]&lt;&gt;0)*(PptoSty[Division]&lt;&gt;"")*(PptoSty[Division]&lt;&gt;"X")*(PptoSty[Project]=$B198)*(PptoSty[Vrs]=$D198)*(PptoSty[PiRow]=_xlfn.TEXTAFTER($H198,":"))*(PptoSty[PiColumn]=J$54),0)),SUM(IF((INDIRECT($B$3)=$B198)*(INDIRECT($C$3)=$D198)*((INDIRECT($E$3)="TOTS")+(INDIRECT($E$3)=$E198)),INDIRECT(J$3)))),_xlpm.y,SUM(_xlfn.CHOOSECOLS(_xlfn._xlws.FILTER(F_RT14[],(F_RT14[PrjId]=$B198)*(F_RT14[Vrs]=$D198)*(_xlfn.TEXTAFTER(F_RT14[ActGrp],":")=_xlfn.TEXTAFTER($H198,":")),"X"),MATCH("*"&amp;J$54,F_RT14[#Headers],0))),IF(AND(_xlpm.x=0,_xlpm.y&lt;&gt;0),-1,IF(AND(_xlpm.x&lt;&gt;0,_xlpm.y&lt;&gt;0),_xlpm.x,IF(AND(_xlpm.x-SUM(IF((INDIRECT($B$3)=$B198)*(INDIRECT($C$3)=$D198)*((INDIRECT($E$3)="TOTS")+(INDIRECT($E$3)=$E198)),INDIRECT(J$3)))&lt;&gt;0,_xlpm.y=0),-2,_xlpm.x)))),0))</f>
        <v>0</v>
      </c>
      <c r="K198" s="199" cm="1">
        <f t="array" aca="1" ref="K198" ca="1">IF(OR($B198="",$B198="X",$D198="",$D198="X",$E198="",$E198="X"),0,IFERROR(_xlfn.LET(_xlpm.x,SUM(SUM(_xlfn._xlws.FILTER(VALUE(PptoSty[Sign]&amp;1)*(1/PptoSty[Division]),(PptoSty[Division]&lt;&gt;0)*(PptoSty[Division]&lt;&gt;"")*(PptoSty[Division]&lt;&gt;"X")*(PptoSty[Project]=$B198)*(PptoSty[Vrs]=$D198)*(PptoSty[PiRow]=_xlfn.TEXTAFTER($H198,":"))*(PptoSty[PiColumn]=K$54),0)),SUM(IF((INDIRECT($B$3)=$B198)*(INDIRECT($C$3)=$D198)*((INDIRECT($E$3)="TOTS")+(INDIRECT($E$3)=$E198)),INDIRECT(K$3)))),_xlpm.y,SUM(_xlfn.CHOOSECOLS(_xlfn._xlws.FILTER(F_RT14[],(F_RT14[PrjId]=$B198)*(F_RT14[Vrs]=$D198)*(_xlfn.TEXTAFTER(F_RT14[ActGrp],":")=_xlfn.TEXTAFTER($H198,":")),"X"),MATCH("*"&amp;K$54,F_RT14[#Headers],0))),IF(AND(_xlpm.x=0,_xlpm.y&lt;&gt;0),-1,IF(AND(_xlpm.x&lt;&gt;0,_xlpm.y&lt;&gt;0),_xlpm.x,IF(AND(_xlpm.x-SUM(IF((INDIRECT($B$3)=$B198)*(INDIRECT($C$3)=$D198)*((INDIRECT($E$3)="TOTS")+(INDIRECT($E$3)=$E198)),INDIRECT(K$3)))&lt;&gt;0,_xlpm.y=0),-2,_xlpm.x)))),0))</f>
        <v>0</v>
      </c>
      <c r="L198" s="199" cm="1">
        <f t="array" aca="1" ref="L198" ca="1">IF(OR($B198="",$B198="X",$D198="",$D198="X",$E198="",$E198="X"),0,IFERROR(_xlfn.LET(_xlpm.x,SUM(SUM(_xlfn._xlws.FILTER(VALUE(PptoSty[Sign]&amp;1)*(1/PptoSty[Division]),(PptoSty[Division]&lt;&gt;0)*(PptoSty[Division]&lt;&gt;"")*(PptoSty[Division]&lt;&gt;"X")*(PptoSty[Project]=$B198)*(PptoSty[Vrs]=$D198)*(PptoSty[PiRow]=_xlfn.TEXTAFTER($H198,":"))*(PptoSty[PiColumn]=L$54),0)),SUM(IF((INDIRECT($B$3)=$B198)*(INDIRECT($C$3)=$D198)*((INDIRECT($E$3)="TOTS")+(INDIRECT($E$3)=$E198)),INDIRECT(L$3)))),_xlpm.y,SUM(_xlfn.CHOOSECOLS(_xlfn._xlws.FILTER(F_RT14[],(F_RT14[PrjId]=$B198)*(F_RT14[Vrs]=$D198)*(_xlfn.TEXTAFTER(F_RT14[ActGrp],":")=_xlfn.TEXTAFTER($H198,":")),"X"),MATCH("*"&amp;L$54,F_RT14[#Headers],0))),IF(AND(_xlpm.x=0,_xlpm.y&lt;&gt;0),-1,IF(AND(_xlpm.x&lt;&gt;0,_xlpm.y&lt;&gt;0),_xlpm.x,IF(AND(_xlpm.x-SUM(IF((INDIRECT($B$3)=$B198)*(INDIRECT($C$3)=$D198)*((INDIRECT($E$3)="TOTS")+(INDIRECT($E$3)=$E198)),INDIRECT(L$3)))&lt;&gt;0,_xlpm.y=0),-2,_xlpm.x)))),0))</f>
        <v>0</v>
      </c>
      <c r="M198" s="199" cm="1">
        <f t="array" aca="1" ref="M198" ca="1">IF(OR($B198="",$B198="X",$D198="",$D198="X",$E198="",$E198="X"),0,IFERROR(_xlfn.LET(_xlpm.x,SUM(SUM(_xlfn._xlws.FILTER(VALUE(PptoSty[Sign]&amp;1)*(1/PptoSty[Division]),(PptoSty[Division]&lt;&gt;0)*(PptoSty[Division]&lt;&gt;"")*(PptoSty[Division]&lt;&gt;"X")*(PptoSty[Project]=$B198)*(PptoSty[Vrs]=$D198)*(PptoSty[PiRow]=_xlfn.TEXTAFTER($H198,":"))*(PptoSty[PiColumn]=M$54),0)),SUM(IF((INDIRECT($B$3)=$B198)*(INDIRECT($C$3)=$D198)*((INDIRECT($E$3)="TOTS")+(INDIRECT($E$3)=$E198)),INDIRECT(M$3)))),_xlpm.y,SUM(_xlfn.CHOOSECOLS(_xlfn._xlws.FILTER(F_RT14[],(F_RT14[PrjId]=$B198)*(F_RT14[Vrs]=$D198)*(_xlfn.TEXTAFTER(F_RT14[ActGrp],":")=_xlfn.TEXTAFTER($H198,":")),"X"),MATCH("*"&amp;M$54,F_RT14[#Headers],0))),IF(AND(_xlpm.x=0,_xlpm.y&lt;&gt;0),-1,IF(AND(_xlpm.x&lt;&gt;0,_xlpm.y&lt;&gt;0),_xlpm.x,IF(AND(_xlpm.x-SUM(IF((INDIRECT($B$3)=$B198)*(INDIRECT($C$3)=$D198)*((INDIRECT($E$3)="TOTS")+(INDIRECT($E$3)=$E198)),INDIRECT(M$3)))&lt;&gt;0,_xlpm.y=0),-2,_xlpm.x)))),0))</f>
        <v>0</v>
      </c>
      <c r="N198" s="199" cm="1">
        <f t="array" aca="1" ref="N198" ca="1">IF(OR($B198="",$B198="X",$D198="",$D198="X",$E198="",$E198="X"),0,IFERROR(_xlfn.LET(_xlpm.x,SUM(SUM(_xlfn._xlws.FILTER(VALUE(PptoSty[Sign]&amp;1)*(1/PptoSty[Division]),(PptoSty[Division]&lt;&gt;0)*(PptoSty[Division]&lt;&gt;"")*(PptoSty[Division]&lt;&gt;"X")*(PptoSty[Project]=$B198)*(PptoSty[Vrs]=$D198)*(PptoSty[PiRow]=_xlfn.TEXTAFTER($H198,":"))*(PptoSty[PiColumn]=N$54),0)),SUM(IF((INDIRECT($B$3)=$B198)*(INDIRECT($C$3)=$D198)*((INDIRECT($E$3)="TOTS")+(INDIRECT($E$3)=$E198)),INDIRECT(N$3)))),_xlpm.y,SUM(_xlfn.CHOOSECOLS(_xlfn._xlws.FILTER(F_RT14[],(F_RT14[PrjId]=$B198)*(F_RT14[Vrs]=$D198)*(_xlfn.TEXTAFTER(F_RT14[ActGrp],":")=_xlfn.TEXTAFTER($H198,":")),"X"),MATCH("*"&amp;N$54,F_RT14[#Headers],0))),IF(AND(_xlpm.x=0,_xlpm.y&lt;&gt;0),-1,IF(AND(_xlpm.x&lt;&gt;0,_xlpm.y&lt;&gt;0),_xlpm.x,IF(AND(_xlpm.x-SUM(IF((INDIRECT($B$3)=$B198)*(INDIRECT($C$3)=$D198)*((INDIRECT($E$3)="TOTS")+(INDIRECT($E$3)=$E198)),INDIRECT(N$3)))&lt;&gt;0,_xlpm.y=0),-2,_xlpm.x)))),0))</f>
        <v>0</v>
      </c>
      <c r="O198" s="199" cm="1">
        <f t="array" aca="1" ref="O198" ca="1">IF(OR($B198="",$B198="X",$D198="",$D198="X",$E198="",$E198="X"),0,IFERROR(_xlfn.LET(_xlpm.x,SUM(SUM(_xlfn._xlws.FILTER(VALUE(PptoSty[Sign]&amp;1)*(1/PptoSty[Division]),(PptoSty[Division]&lt;&gt;0)*(PptoSty[Division]&lt;&gt;"")*(PptoSty[Division]&lt;&gt;"X")*(PptoSty[Project]=$B198)*(PptoSty[Vrs]=$D198)*(PptoSty[PiRow]=_xlfn.TEXTAFTER($H198,":"))*(PptoSty[PiColumn]=O$54),0)),SUM(IF((INDIRECT($B$3)=$B198)*(INDIRECT($C$3)=$D198)*((INDIRECT($E$3)="TOTS")+(INDIRECT($E$3)=$E198)),INDIRECT(O$3)))),_xlpm.y,SUM(_xlfn.CHOOSECOLS(_xlfn._xlws.FILTER(F_RT14[],(F_RT14[PrjId]=$B198)*(F_RT14[Vrs]=$D198)*(_xlfn.TEXTAFTER(F_RT14[ActGrp],":")=_xlfn.TEXTAFTER($H198,":")),"X"),MATCH("*"&amp;O$54,F_RT14[#Headers],0))),IF(AND(_xlpm.x=0,_xlpm.y&lt;&gt;0),-1,IF(AND(_xlpm.x&lt;&gt;0,_xlpm.y&lt;&gt;0),_xlpm.x,IF(AND(_xlpm.x-SUM(IF((INDIRECT($B$3)=$B198)*(INDIRECT($C$3)=$D198)*((INDIRECT($E$3)="TOTS")+(INDIRECT($E$3)=$E198)),INDIRECT(O$3)))&lt;&gt;0,_xlpm.y=0),-2,_xlpm.x)))),0))</f>
        <v>0</v>
      </c>
      <c r="P198" s="199" cm="1">
        <f t="array" aca="1" ref="P198" ca="1">IF(OR($B198="",$B198="X",$D198="",$D198="X",$E198="",$E198="X"),0,IFERROR(_xlfn.LET(_xlpm.x,SUM(SUM(_xlfn._xlws.FILTER(VALUE(PptoSty[Sign]&amp;1)*(1/PptoSty[Division]),(PptoSty[Division]&lt;&gt;0)*(PptoSty[Division]&lt;&gt;"")*(PptoSty[Division]&lt;&gt;"X")*(PptoSty[Project]=$B198)*(PptoSty[Vrs]=$D198)*(PptoSty[PiRow]=_xlfn.TEXTAFTER($H198,":"))*(PptoSty[PiColumn]=P$54),0)),SUM(IF((INDIRECT($B$3)=$B198)*(INDIRECT($C$3)=$D198)*((INDIRECT($E$3)="TOTS")+(INDIRECT($E$3)=$E198)),INDIRECT(P$3)))),_xlpm.y,SUM(_xlfn.CHOOSECOLS(_xlfn._xlws.FILTER(F_RT14[],(F_RT14[PrjId]=$B198)*(F_RT14[Vrs]=$D198)*(_xlfn.TEXTAFTER(F_RT14[ActGrp],":")=_xlfn.TEXTAFTER($H198,":")),"X"),MATCH("*"&amp;P$54,F_RT14[#Headers],0))),IF(AND(_xlpm.x=0,_xlpm.y&lt;&gt;0),-1,IF(AND(_xlpm.x&lt;&gt;0,_xlpm.y&lt;&gt;0),_xlpm.x,IF(AND(_xlpm.x-SUM(IF((INDIRECT($B$3)=$B198)*(INDIRECT($C$3)=$D198)*((INDIRECT($E$3)="TOTS")+(INDIRECT($E$3)=$E198)),INDIRECT(P$3)))&lt;&gt;0,_xlpm.y=0),-2,_xlpm.x)))),0))</f>
        <v>0</v>
      </c>
      <c r="Q198" s="199" cm="1">
        <f t="array" aca="1" ref="Q198" ca="1">IF(OR($B198="",$B198="X",$D198="",$D198="X",$E198="",$E198="X"),0,IFERROR(_xlfn.LET(_xlpm.x,SUM(SUM(_xlfn._xlws.FILTER(VALUE(PptoSty[Sign]&amp;1)*(1/PptoSty[Division]),(PptoSty[Division]&lt;&gt;0)*(PptoSty[Division]&lt;&gt;"")*(PptoSty[Division]&lt;&gt;"X")*(PptoSty[Project]=$B198)*(PptoSty[Vrs]=$D198)*(PptoSty[PiRow]=_xlfn.TEXTAFTER($H198,":"))*(PptoSty[PiColumn]=Q$54),0)),SUM(IF((INDIRECT($B$3)=$B198)*(INDIRECT($C$3)=$D198)*((INDIRECT($E$3)="TOTS")+(INDIRECT($E$3)=$E198)),INDIRECT(Q$3)))),_xlpm.y,SUM(_xlfn.CHOOSECOLS(_xlfn._xlws.FILTER(F_RT14[],(F_RT14[PrjId]=$B198)*(F_RT14[Vrs]=$D198)*(_xlfn.TEXTAFTER(F_RT14[ActGrp],":")=_xlfn.TEXTAFTER($H198,":")),"X"),MATCH("*"&amp;Q$54,F_RT14[#Headers],0))),IF(AND(_xlpm.x=0,_xlpm.y&lt;&gt;0),-1,IF(AND(_xlpm.x&lt;&gt;0,_xlpm.y&lt;&gt;0),_xlpm.x,IF(AND(_xlpm.x-SUM(IF((INDIRECT($B$3)=$B198)*(INDIRECT($C$3)=$D198)*((INDIRECT($E$3)="TOTS")+(INDIRECT($E$3)=$E198)),INDIRECT(Q$3)))&lt;&gt;0,_xlpm.y=0),-2,_xlpm.x)))),0))</f>
        <v>0</v>
      </c>
      <c r="R198" s="199" cm="1">
        <f t="array" aca="1" ref="R198" ca="1">IF(OR($B198="",$B198="X",$D198="",$D198="X",$E198="",$E198="X"),0,IFERROR(_xlfn.LET(_xlpm.x,SUM(SUM(_xlfn._xlws.FILTER(VALUE(PptoSty[Sign]&amp;1)*(1/PptoSty[Division]),(PptoSty[Division]&lt;&gt;0)*(PptoSty[Division]&lt;&gt;"")*(PptoSty[Division]&lt;&gt;"X")*(PptoSty[Project]=$B198)*(PptoSty[Vrs]=$D198)*(PptoSty[PiRow]=_xlfn.TEXTAFTER($H198,":"))*(PptoSty[PiColumn]=R$54),0)),SUM(IF((INDIRECT($B$3)=$B198)*(INDIRECT($C$3)=$D198)*((INDIRECT($E$3)="TOTS")+(INDIRECT($E$3)=$E198)),INDIRECT(R$3)))),_xlpm.y,SUM(_xlfn.CHOOSECOLS(_xlfn._xlws.FILTER(F_RT14[],(F_RT14[PrjId]=$B198)*(F_RT14[Vrs]=$D198)*(_xlfn.TEXTAFTER(F_RT14[ActGrp],":")=_xlfn.TEXTAFTER($H198,":")),"X"),MATCH("*"&amp;R$54,F_RT14[#Headers],0))),IF(AND(_xlpm.x=0,_xlpm.y&lt;&gt;0),-1,IF(AND(_xlpm.x&lt;&gt;0,_xlpm.y&lt;&gt;0),_xlpm.x,IF(AND(_xlpm.x-SUM(IF((INDIRECT($B$3)=$B198)*(INDIRECT($C$3)=$D198)*((INDIRECT($E$3)="TOTS")+(INDIRECT($E$3)=$E198)),INDIRECT(R$3)))&lt;&gt;0,_xlpm.y=0),-2,_xlpm.x)))),0))</f>
        <v>0</v>
      </c>
      <c r="S198" s="199" cm="1">
        <f t="array" aca="1" ref="S198" ca="1">IF(OR($B198="",$B198="X",$D198="",$D198="X",$E198="",$E198="X"),0,IFERROR(_xlfn.LET(_xlpm.x,SUM(SUM(_xlfn._xlws.FILTER(VALUE(PptoSty[Sign]&amp;1)*(1/PptoSty[Division]),(PptoSty[Division]&lt;&gt;0)*(PptoSty[Division]&lt;&gt;"")*(PptoSty[Division]&lt;&gt;"X")*(PptoSty[Project]=$B198)*(PptoSty[Vrs]=$D198)*(PptoSty[PiRow]=_xlfn.TEXTAFTER($H198,":"))*(PptoSty[PiColumn]=S$54),0)),SUM(IF((INDIRECT($B$3)=$B198)*(INDIRECT($C$3)=$D198)*((INDIRECT($E$3)="TOTS")+(INDIRECT($E$3)=$E198)),INDIRECT(S$3)))),_xlpm.y,SUM(_xlfn.CHOOSECOLS(_xlfn._xlws.FILTER(F_RT14[],(F_RT14[PrjId]=$B198)*(F_RT14[Vrs]=$D198)*(_xlfn.TEXTAFTER(F_RT14[ActGrp],":")=_xlfn.TEXTAFTER($H198,":")),"X"),MATCH("*"&amp;S$54,F_RT14[#Headers],0))),IF(AND(_xlpm.x=0,_xlpm.y&lt;&gt;0),-1,IF(AND(_xlpm.x&lt;&gt;0,_xlpm.y&lt;&gt;0),_xlpm.x,IF(AND(_xlpm.x-SUM(IF((INDIRECT($B$3)=$B198)*(INDIRECT($C$3)=$D198)*((INDIRECT($E$3)="TOTS")+(INDIRECT($E$3)=$E198)),INDIRECT(S$3)))&lt;&gt;0,_xlpm.y=0),-2,_xlpm.x)))),0))</f>
        <v>0</v>
      </c>
      <c r="T198" s="199" cm="1">
        <f t="array" aca="1" ref="T198" ca="1">IF(OR($B198="",$B198="X",$D198="",$D198="X",$E198="",$E198="X"),0,IFERROR(_xlfn.LET(_xlpm.x,SUM(SUM(_xlfn._xlws.FILTER(VALUE(PptoSty[Sign]&amp;1)*(1/PptoSty[Division]),(PptoSty[Division]&lt;&gt;0)*(PptoSty[Division]&lt;&gt;"")*(PptoSty[Division]&lt;&gt;"X")*(PptoSty[Project]=$B198)*(PptoSty[Vrs]=$D198)*(PptoSty[PiRow]=_xlfn.TEXTAFTER($H198,":"))*(PptoSty[PiColumn]=T$54),0)),SUM(IF((INDIRECT($B$3)=$B198)*(INDIRECT($C$3)=$D198)*((INDIRECT($E$3)="TOTS")+(INDIRECT($E$3)=$E198)),INDIRECT(T$3)))),_xlpm.y,SUM(_xlfn.CHOOSECOLS(_xlfn._xlws.FILTER(F_RT14[],(F_RT14[PrjId]=$B198)*(F_RT14[Vrs]=$D198)*(_xlfn.TEXTAFTER(F_RT14[ActGrp],":")=_xlfn.TEXTAFTER($H198,":")),"X"),MATCH("*"&amp;T$54,F_RT14[#Headers],0))),IF(AND(_xlpm.x=0,_xlpm.y&lt;&gt;0),-1,IF(AND(_xlpm.x&lt;&gt;0,_xlpm.y&lt;&gt;0),_xlpm.x,IF(AND(_xlpm.x-SUM(IF((INDIRECT($B$3)=$B198)*(INDIRECT($C$3)=$D198)*((INDIRECT($E$3)="TOTS")+(INDIRECT($E$3)=$E198)),INDIRECT(T$3)))&lt;&gt;0,_xlpm.y=0),-2,_xlpm.x)))),0))</f>
        <v>0</v>
      </c>
      <c r="U198" s="199" cm="1">
        <f t="array" aca="1" ref="U198" ca="1">IF(OR($B198="",$B198="X",$D198="",$D198="X",$E198="",$E198="X"),0,IFERROR(_xlfn.LET(_xlpm.x,SUM(SUM(_xlfn._xlws.FILTER(VALUE(PptoSty[Sign]&amp;1)*(1/PptoSty[Division]),(PptoSty[Division]&lt;&gt;0)*(PptoSty[Division]&lt;&gt;"")*(PptoSty[Division]&lt;&gt;"X")*(PptoSty[Project]=$B198)*(PptoSty[Vrs]=$D198)*(PptoSty[PiRow]=_xlfn.TEXTAFTER($H198,":"))*(PptoSty[PiColumn]=U$54),0)),SUM(IF((INDIRECT($B$3)=$B198)*(INDIRECT($C$3)=$D198)*((INDIRECT($E$3)="TOTS")+(INDIRECT($E$3)=$E198)),INDIRECT(U$3)))),_xlpm.y,SUM(_xlfn.CHOOSECOLS(_xlfn._xlws.FILTER(F_RT14[],(F_RT14[PrjId]=$B198)*(F_RT14[Vrs]=$D198)*(_xlfn.TEXTAFTER(F_RT14[ActGrp],":")=_xlfn.TEXTAFTER($H198,":")),"X"),MATCH("*"&amp;U$54,F_RT14[#Headers],0))),IF(AND(_xlpm.x=0,_xlpm.y&lt;&gt;0),-1,IF(AND(_xlpm.x&lt;&gt;0,_xlpm.y&lt;&gt;0),_xlpm.x,IF(AND(_xlpm.x-SUM(IF((INDIRECT($B$3)=$B198)*(INDIRECT($C$3)=$D198)*((INDIRECT($E$3)="TOTS")+(INDIRECT($E$3)=$E198)),INDIRECT(U$3)))&lt;&gt;0,_xlpm.y=0),-2,_xlpm.x)))),0))</f>
        <v>0</v>
      </c>
      <c r="V198" s="199" cm="1">
        <f t="array" aca="1" ref="V198" ca="1">IF(OR($B198="",$B198="X",$D198="",$D198="X",$E198="",$E198="X"),0,IFERROR(_xlfn.LET(_xlpm.x,SUM(SUM(_xlfn._xlws.FILTER(VALUE(PptoSty[Sign]&amp;1)*(1/PptoSty[Division]),(PptoSty[Division]&lt;&gt;0)*(PptoSty[Division]&lt;&gt;"")*(PptoSty[Division]&lt;&gt;"X")*(PptoSty[Project]=$B198)*(PptoSty[Vrs]=$D198)*(PptoSty[PiRow]=_xlfn.TEXTAFTER($H198,":"))*(PptoSty[PiColumn]=V$54),0)),SUM(IF((INDIRECT($B$3)=$B198)*(INDIRECT($C$3)=$D198)*((INDIRECT($E$3)="TOTS")+(INDIRECT($E$3)=$E198)),INDIRECT(V$3)))),_xlpm.y,SUM(_xlfn.CHOOSECOLS(_xlfn._xlws.FILTER(F_RT14[],(F_RT14[PrjId]=$B198)*(F_RT14[Vrs]=$D198)*(_xlfn.TEXTAFTER(F_RT14[ActGrp],":")=_xlfn.TEXTAFTER($H198,":")),"X"),MATCH("*"&amp;V$54,F_RT14[#Headers],0))),IF(AND(_xlpm.x=0,_xlpm.y&lt;&gt;0),-1,IF(AND(_xlpm.x&lt;&gt;0,_xlpm.y&lt;&gt;0),_xlpm.x,IF(AND(_xlpm.x-SUM(IF((INDIRECT($B$3)=$B198)*(INDIRECT($C$3)=$D198)*((INDIRECT($E$3)="TOTS")+(INDIRECT($E$3)=$E198)),INDIRECT(V$3)))&lt;&gt;0,_xlpm.y=0),-2,_xlpm.x)))),0))</f>
        <v>0</v>
      </c>
      <c r="W198" s="199" cm="1">
        <f t="array" aca="1" ref="W198" ca="1">IF(OR($B198="",$B198="X",$D198="",$D198="X",$E198="",$E198="X"),0,IFERROR(_xlfn.LET(_xlpm.x,SUM(SUM(_xlfn._xlws.FILTER(VALUE(PptoSty[Sign]&amp;1)*(1/PptoSty[Division]),(PptoSty[Division]&lt;&gt;0)*(PptoSty[Division]&lt;&gt;"")*(PptoSty[Division]&lt;&gt;"X")*(PptoSty[Project]=$B198)*(PptoSty[Vrs]=$D198)*(PptoSty[PiRow]=_xlfn.TEXTAFTER($H198,":"))*(PptoSty[PiColumn]=W$54),0)),SUM(IF((INDIRECT($B$3)=$B198)*(INDIRECT($C$3)=$D198)*((INDIRECT($E$3)="TOTS")+(INDIRECT($E$3)=$E198)),INDIRECT(W$3)))),_xlpm.y,SUM(_xlfn.CHOOSECOLS(_xlfn._xlws.FILTER(F_RT14[],(F_RT14[PrjId]=$B198)*(F_RT14[Vrs]=$D198)*(_xlfn.TEXTAFTER(F_RT14[ActGrp],":")=_xlfn.TEXTAFTER($H198,":")),"X"),MATCH("*"&amp;W$54,F_RT14[#Headers],0))),IF(AND(_xlpm.x=0,_xlpm.y&lt;&gt;0),-1,IF(AND(_xlpm.x&lt;&gt;0,_xlpm.y&lt;&gt;0),_xlpm.x,IF(AND(_xlpm.x-SUM(IF((INDIRECT($B$3)=$B198)*(INDIRECT($C$3)=$D198)*((INDIRECT($E$3)="TOTS")+(INDIRECT($E$3)=$E198)),INDIRECT(W$3)))&lt;&gt;0,_xlpm.y=0),-2,_xlpm.x)))),0))</f>
        <v>0</v>
      </c>
      <c r="X198" s="199" cm="1">
        <f t="array" aca="1" ref="X198" ca="1">IF(OR($B198="",$B198="X",$D198="",$D198="X",$E198="",$E198="X"),0,IFERROR(_xlfn.LET(_xlpm.x,SUM(SUM(_xlfn._xlws.FILTER(VALUE(PptoSty[Sign]&amp;1)*(1/PptoSty[Division]),(PptoSty[Division]&lt;&gt;0)*(PptoSty[Division]&lt;&gt;"")*(PptoSty[Division]&lt;&gt;"X")*(PptoSty[Project]=$B198)*(PptoSty[Vrs]=$D198)*(PptoSty[PiRow]=_xlfn.TEXTAFTER($H198,":"))*(PptoSty[PiColumn]=X$54),0)),SUM(IF((INDIRECT($B$3)=$B198)*(INDIRECT($C$3)=$D198)*((INDIRECT($E$3)="TOTS")+(INDIRECT($E$3)=$E198)),INDIRECT(X$3)))),_xlpm.y,SUM(_xlfn.CHOOSECOLS(_xlfn._xlws.FILTER(F_RT14[],(F_RT14[PrjId]=$B198)*(F_RT14[Vrs]=$D198)*(_xlfn.TEXTAFTER(F_RT14[ActGrp],":")=_xlfn.TEXTAFTER($H198,":")),"X"),MATCH("*"&amp;X$54,F_RT14[#Headers],0))),IF(AND(_xlpm.x=0,_xlpm.y&lt;&gt;0),-1,IF(AND(_xlpm.x&lt;&gt;0,_xlpm.y&lt;&gt;0),_xlpm.x,IF(AND(_xlpm.x-SUM(IF((INDIRECT($B$3)=$B198)*(INDIRECT($C$3)=$D198)*((INDIRECT($E$3)="TOTS")+(INDIRECT($E$3)=$E198)),INDIRECT(X$3)))&lt;&gt;0,_xlpm.y=0),-2,_xlpm.x)))),0))</f>
        <v>0</v>
      </c>
      <c r="Y198" s="199" cm="1">
        <f t="array" aca="1" ref="Y198" ca="1">IF(OR($B198="",$B198="X",$D198="",$D198="X",$E198="",$E198="X"),0,IFERROR(_xlfn.LET(_xlpm.x,SUM(SUM(_xlfn._xlws.FILTER(VALUE(PptoSty[Sign]&amp;1)*(1/PptoSty[Division]),(PptoSty[Division]&lt;&gt;0)*(PptoSty[Division]&lt;&gt;"")*(PptoSty[Division]&lt;&gt;"X")*(PptoSty[Project]=$B198)*(PptoSty[Vrs]=$D198)*(PptoSty[PiRow]=_xlfn.TEXTAFTER($H198,":"))*(PptoSty[PiColumn]=Y$54),0)),SUM(IF((INDIRECT($B$3)=$B198)*(INDIRECT($C$3)=$D198)*((INDIRECT($E$3)="TOTS")+(INDIRECT($E$3)=$E198)),INDIRECT(Y$3)))),_xlpm.y,SUM(_xlfn.CHOOSECOLS(_xlfn._xlws.FILTER(F_RT14[],(F_RT14[PrjId]=$B198)*(F_RT14[Vrs]=$D198)*(_xlfn.TEXTAFTER(F_RT14[ActGrp],":")=_xlfn.TEXTAFTER($H198,":")),"X"),MATCH("*"&amp;Y$54,F_RT14[#Headers],0))),IF(AND(_xlpm.x=0,_xlpm.y&lt;&gt;0),-1,IF(AND(_xlpm.x&lt;&gt;0,_xlpm.y&lt;&gt;0),_xlpm.x,IF(AND(_xlpm.x-SUM(IF((INDIRECT($B$3)=$B198)*(INDIRECT($C$3)=$D198)*((INDIRECT($E$3)="TOTS")+(INDIRECT($E$3)=$E198)),INDIRECT(Y$3)))&lt;&gt;0,_xlpm.y=0),-2,_xlpm.x)))),0))</f>
        <v>0</v>
      </c>
      <c r="Z198" s="198" t="str">
        <f t="shared" ca="1" si="4"/>
        <v>Fback!B198:Y198</v>
      </c>
    </row>
    <row r="199" spans="2:26" ht="21" customHeight="1" outlineLevel="1">
      <c r="B199" s="128"/>
      <c r="C199" s="128"/>
      <c r="D199" s="128"/>
      <c r="E199" s="128"/>
      <c r="F199" s="139"/>
      <c r="G199" s="139"/>
      <c r="H199" s="139"/>
      <c r="I199" s="199" cm="1">
        <f t="array" aca="1" ref="I199" ca="1">IF(OR($B199="",$B199="X",$D199="",$D199="X",$E199="",$E199="X"),0,IFERROR(_xlfn.LET(_xlpm.x,SUM(SUM(_xlfn._xlws.FILTER(VALUE(PptoSty[Sign]&amp;1)*(1/PptoSty[Division]),(PptoSty[Division]&lt;&gt;0)*(PptoSty[Division]&lt;&gt;"")*(PptoSty[Division]&lt;&gt;"X")*(PptoSty[Project]=$B199)*(PptoSty[Vrs]=$D199)*(PptoSty[PiRow]=_xlfn.TEXTAFTER($H199,":"))*(PptoSty[PiColumn]=I$54),0)),SUM(IF((INDIRECT($B$3)=$B199)*(INDIRECT($C$3)=$D199)*((INDIRECT($E$3)="TOTS")+(INDIRECT($E$3)=$E199)),INDIRECT(I$3)))),_xlpm.y,SUM(_xlfn.CHOOSECOLS(_xlfn._xlws.FILTER(F_RT14[],(F_RT14[PrjId]=$B199)*(F_RT14[Vrs]=$D199)*(_xlfn.TEXTAFTER(F_RT14[ActGrp],":")=_xlfn.TEXTAFTER($H199,":")),"X"),MATCH("*"&amp;I$54,F_RT14[#Headers],0))),IF(AND(_xlpm.x=0,_xlpm.y&lt;&gt;0),-1,IF(AND(_xlpm.x&lt;&gt;0,_xlpm.y&lt;&gt;0),_xlpm.x,IF(AND(_xlpm.x-SUM(IF((INDIRECT($B$3)=$B199)*(INDIRECT($C$3)=$D199)*((INDIRECT($E$3)="TOTS")+(INDIRECT($E$3)=$E199)),INDIRECT(I$3)))&lt;&gt;0,_xlpm.y=0),-2,_xlpm.x)))),0))</f>
        <v>0</v>
      </c>
      <c r="J199" s="199" cm="1">
        <f t="array" aca="1" ref="J199" ca="1">IF(OR($B199="",$B199="X",$D199="",$D199="X",$E199="",$E199="X"),0,IFERROR(_xlfn.LET(_xlpm.x,SUM(SUM(_xlfn._xlws.FILTER(VALUE(PptoSty[Sign]&amp;1)*(1/PptoSty[Division]),(PptoSty[Division]&lt;&gt;0)*(PptoSty[Division]&lt;&gt;"")*(PptoSty[Division]&lt;&gt;"X")*(PptoSty[Project]=$B199)*(PptoSty[Vrs]=$D199)*(PptoSty[PiRow]=_xlfn.TEXTAFTER($H199,":"))*(PptoSty[PiColumn]=J$54),0)),SUM(IF((INDIRECT($B$3)=$B199)*(INDIRECT($C$3)=$D199)*((INDIRECT($E$3)="TOTS")+(INDIRECT($E$3)=$E199)),INDIRECT(J$3)))),_xlpm.y,SUM(_xlfn.CHOOSECOLS(_xlfn._xlws.FILTER(F_RT14[],(F_RT14[PrjId]=$B199)*(F_RT14[Vrs]=$D199)*(_xlfn.TEXTAFTER(F_RT14[ActGrp],":")=_xlfn.TEXTAFTER($H199,":")),"X"),MATCH("*"&amp;J$54,F_RT14[#Headers],0))),IF(AND(_xlpm.x=0,_xlpm.y&lt;&gt;0),-1,IF(AND(_xlpm.x&lt;&gt;0,_xlpm.y&lt;&gt;0),_xlpm.x,IF(AND(_xlpm.x-SUM(IF((INDIRECT($B$3)=$B199)*(INDIRECT($C$3)=$D199)*((INDIRECT($E$3)="TOTS")+(INDIRECT($E$3)=$E199)),INDIRECT(J$3)))&lt;&gt;0,_xlpm.y=0),-2,_xlpm.x)))),0))</f>
        <v>0</v>
      </c>
      <c r="K199" s="199" cm="1">
        <f t="array" aca="1" ref="K199" ca="1">IF(OR($B199="",$B199="X",$D199="",$D199="X",$E199="",$E199="X"),0,IFERROR(_xlfn.LET(_xlpm.x,SUM(SUM(_xlfn._xlws.FILTER(VALUE(PptoSty[Sign]&amp;1)*(1/PptoSty[Division]),(PptoSty[Division]&lt;&gt;0)*(PptoSty[Division]&lt;&gt;"")*(PptoSty[Division]&lt;&gt;"X")*(PptoSty[Project]=$B199)*(PptoSty[Vrs]=$D199)*(PptoSty[PiRow]=_xlfn.TEXTAFTER($H199,":"))*(PptoSty[PiColumn]=K$54),0)),SUM(IF((INDIRECT($B$3)=$B199)*(INDIRECT($C$3)=$D199)*((INDIRECT($E$3)="TOTS")+(INDIRECT($E$3)=$E199)),INDIRECT(K$3)))),_xlpm.y,SUM(_xlfn.CHOOSECOLS(_xlfn._xlws.FILTER(F_RT14[],(F_RT14[PrjId]=$B199)*(F_RT14[Vrs]=$D199)*(_xlfn.TEXTAFTER(F_RT14[ActGrp],":")=_xlfn.TEXTAFTER($H199,":")),"X"),MATCH("*"&amp;K$54,F_RT14[#Headers],0))),IF(AND(_xlpm.x=0,_xlpm.y&lt;&gt;0),-1,IF(AND(_xlpm.x&lt;&gt;0,_xlpm.y&lt;&gt;0),_xlpm.x,IF(AND(_xlpm.x-SUM(IF((INDIRECT($B$3)=$B199)*(INDIRECT($C$3)=$D199)*((INDIRECT($E$3)="TOTS")+(INDIRECT($E$3)=$E199)),INDIRECT(K$3)))&lt;&gt;0,_xlpm.y=0),-2,_xlpm.x)))),0))</f>
        <v>0</v>
      </c>
      <c r="L199" s="199" cm="1">
        <f t="array" aca="1" ref="L199" ca="1">IF(OR($B199="",$B199="X",$D199="",$D199="X",$E199="",$E199="X"),0,IFERROR(_xlfn.LET(_xlpm.x,SUM(SUM(_xlfn._xlws.FILTER(VALUE(PptoSty[Sign]&amp;1)*(1/PptoSty[Division]),(PptoSty[Division]&lt;&gt;0)*(PptoSty[Division]&lt;&gt;"")*(PptoSty[Division]&lt;&gt;"X")*(PptoSty[Project]=$B199)*(PptoSty[Vrs]=$D199)*(PptoSty[PiRow]=_xlfn.TEXTAFTER($H199,":"))*(PptoSty[PiColumn]=L$54),0)),SUM(IF((INDIRECT($B$3)=$B199)*(INDIRECT($C$3)=$D199)*((INDIRECT($E$3)="TOTS")+(INDIRECT($E$3)=$E199)),INDIRECT(L$3)))),_xlpm.y,SUM(_xlfn.CHOOSECOLS(_xlfn._xlws.FILTER(F_RT14[],(F_RT14[PrjId]=$B199)*(F_RT14[Vrs]=$D199)*(_xlfn.TEXTAFTER(F_RT14[ActGrp],":")=_xlfn.TEXTAFTER($H199,":")),"X"),MATCH("*"&amp;L$54,F_RT14[#Headers],0))),IF(AND(_xlpm.x=0,_xlpm.y&lt;&gt;0),-1,IF(AND(_xlpm.x&lt;&gt;0,_xlpm.y&lt;&gt;0),_xlpm.x,IF(AND(_xlpm.x-SUM(IF((INDIRECT($B$3)=$B199)*(INDIRECT($C$3)=$D199)*((INDIRECT($E$3)="TOTS")+(INDIRECT($E$3)=$E199)),INDIRECT(L$3)))&lt;&gt;0,_xlpm.y=0),-2,_xlpm.x)))),0))</f>
        <v>0</v>
      </c>
      <c r="M199" s="199" cm="1">
        <f t="array" aca="1" ref="M199" ca="1">IF(OR($B199="",$B199="X",$D199="",$D199="X",$E199="",$E199="X"),0,IFERROR(_xlfn.LET(_xlpm.x,SUM(SUM(_xlfn._xlws.FILTER(VALUE(PptoSty[Sign]&amp;1)*(1/PptoSty[Division]),(PptoSty[Division]&lt;&gt;0)*(PptoSty[Division]&lt;&gt;"")*(PptoSty[Division]&lt;&gt;"X")*(PptoSty[Project]=$B199)*(PptoSty[Vrs]=$D199)*(PptoSty[PiRow]=_xlfn.TEXTAFTER($H199,":"))*(PptoSty[PiColumn]=M$54),0)),SUM(IF((INDIRECT($B$3)=$B199)*(INDIRECT($C$3)=$D199)*((INDIRECT($E$3)="TOTS")+(INDIRECT($E$3)=$E199)),INDIRECT(M$3)))),_xlpm.y,SUM(_xlfn.CHOOSECOLS(_xlfn._xlws.FILTER(F_RT14[],(F_RT14[PrjId]=$B199)*(F_RT14[Vrs]=$D199)*(_xlfn.TEXTAFTER(F_RT14[ActGrp],":")=_xlfn.TEXTAFTER($H199,":")),"X"),MATCH("*"&amp;M$54,F_RT14[#Headers],0))),IF(AND(_xlpm.x=0,_xlpm.y&lt;&gt;0),-1,IF(AND(_xlpm.x&lt;&gt;0,_xlpm.y&lt;&gt;0),_xlpm.x,IF(AND(_xlpm.x-SUM(IF((INDIRECT($B$3)=$B199)*(INDIRECT($C$3)=$D199)*((INDIRECT($E$3)="TOTS")+(INDIRECT($E$3)=$E199)),INDIRECT(M$3)))&lt;&gt;0,_xlpm.y=0),-2,_xlpm.x)))),0))</f>
        <v>0</v>
      </c>
      <c r="N199" s="199" cm="1">
        <f t="array" aca="1" ref="N199" ca="1">IF(OR($B199="",$B199="X",$D199="",$D199="X",$E199="",$E199="X"),0,IFERROR(_xlfn.LET(_xlpm.x,SUM(SUM(_xlfn._xlws.FILTER(VALUE(PptoSty[Sign]&amp;1)*(1/PptoSty[Division]),(PptoSty[Division]&lt;&gt;0)*(PptoSty[Division]&lt;&gt;"")*(PptoSty[Division]&lt;&gt;"X")*(PptoSty[Project]=$B199)*(PptoSty[Vrs]=$D199)*(PptoSty[PiRow]=_xlfn.TEXTAFTER($H199,":"))*(PptoSty[PiColumn]=N$54),0)),SUM(IF((INDIRECT($B$3)=$B199)*(INDIRECT($C$3)=$D199)*((INDIRECT($E$3)="TOTS")+(INDIRECT($E$3)=$E199)),INDIRECT(N$3)))),_xlpm.y,SUM(_xlfn.CHOOSECOLS(_xlfn._xlws.FILTER(F_RT14[],(F_RT14[PrjId]=$B199)*(F_RT14[Vrs]=$D199)*(_xlfn.TEXTAFTER(F_RT14[ActGrp],":")=_xlfn.TEXTAFTER($H199,":")),"X"),MATCH("*"&amp;N$54,F_RT14[#Headers],0))),IF(AND(_xlpm.x=0,_xlpm.y&lt;&gt;0),-1,IF(AND(_xlpm.x&lt;&gt;0,_xlpm.y&lt;&gt;0),_xlpm.x,IF(AND(_xlpm.x-SUM(IF((INDIRECT($B$3)=$B199)*(INDIRECT($C$3)=$D199)*((INDIRECT($E$3)="TOTS")+(INDIRECT($E$3)=$E199)),INDIRECT(N$3)))&lt;&gt;0,_xlpm.y=0),-2,_xlpm.x)))),0))</f>
        <v>0</v>
      </c>
      <c r="O199" s="199" cm="1">
        <f t="array" aca="1" ref="O199" ca="1">IF(OR($B199="",$B199="X",$D199="",$D199="X",$E199="",$E199="X"),0,IFERROR(_xlfn.LET(_xlpm.x,SUM(SUM(_xlfn._xlws.FILTER(VALUE(PptoSty[Sign]&amp;1)*(1/PptoSty[Division]),(PptoSty[Division]&lt;&gt;0)*(PptoSty[Division]&lt;&gt;"")*(PptoSty[Division]&lt;&gt;"X")*(PptoSty[Project]=$B199)*(PptoSty[Vrs]=$D199)*(PptoSty[PiRow]=_xlfn.TEXTAFTER($H199,":"))*(PptoSty[PiColumn]=O$54),0)),SUM(IF((INDIRECT($B$3)=$B199)*(INDIRECT($C$3)=$D199)*((INDIRECT($E$3)="TOTS")+(INDIRECT($E$3)=$E199)),INDIRECT(O$3)))),_xlpm.y,SUM(_xlfn.CHOOSECOLS(_xlfn._xlws.FILTER(F_RT14[],(F_RT14[PrjId]=$B199)*(F_RT14[Vrs]=$D199)*(_xlfn.TEXTAFTER(F_RT14[ActGrp],":")=_xlfn.TEXTAFTER($H199,":")),"X"),MATCH("*"&amp;O$54,F_RT14[#Headers],0))),IF(AND(_xlpm.x=0,_xlpm.y&lt;&gt;0),-1,IF(AND(_xlpm.x&lt;&gt;0,_xlpm.y&lt;&gt;0),_xlpm.x,IF(AND(_xlpm.x-SUM(IF((INDIRECT($B$3)=$B199)*(INDIRECT($C$3)=$D199)*((INDIRECT($E$3)="TOTS")+(INDIRECT($E$3)=$E199)),INDIRECT(O$3)))&lt;&gt;0,_xlpm.y=0),-2,_xlpm.x)))),0))</f>
        <v>0</v>
      </c>
      <c r="P199" s="199" cm="1">
        <f t="array" aca="1" ref="P199" ca="1">IF(OR($B199="",$B199="X",$D199="",$D199="X",$E199="",$E199="X"),0,IFERROR(_xlfn.LET(_xlpm.x,SUM(SUM(_xlfn._xlws.FILTER(VALUE(PptoSty[Sign]&amp;1)*(1/PptoSty[Division]),(PptoSty[Division]&lt;&gt;0)*(PptoSty[Division]&lt;&gt;"")*(PptoSty[Division]&lt;&gt;"X")*(PptoSty[Project]=$B199)*(PptoSty[Vrs]=$D199)*(PptoSty[PiRow]=_xlfn.TEXTAFTER($H199,":"))*(PptoSty[PiColumn]=P$54),0)),SUM(IF((INDIRECT($B$3)=$B199)*(INDIRECT($C$3)=$D199)*((INDIRECT($E$3)="TOTS")+(INDIRECT($E$3)=$E199)),INDIRECT(P$3)))),_xlpm.y,SUM(_xlfn.CHOOSECOLS(_xlfn._xlws.FILTER(F_RT14[],(F_RT14[PrjId]=$B199)*(F_RT14[Vrs]=$D199)*(_xlfn.TEXTAFTER(F_RT14[ActGrp],":")=_xlfn.TEXTAFTER($H199,":")),"X"),MATCH("*"&amp;P$54,F_RT14[#Headers],0))),IF(AND(_xlpm.x=0,_xlpm.y&lt;&gt;0),-1,IF(AND(_xlpm.x&lt;&gt;0,_xlpm.y&lt;&gt;0),_xlpm.x,IF(AND(_xlpm.x-SUM(IF((INDIRECT($B$3)=$B199)*(INDIRECT($C$3)=$D199)*((INDIRECT($E$3)="TOTS")+(INDIRECT($E$3)=$E199)),INDIRECT(P$3)))&lt;&gt;0,_xlpm.y=0),-2,_xlpm.x)))),0))</f>
        <v>0</v>
      </c>
      <c r="Q199" s="199" cm="1">
        <f t="array" aca="1" ref="Q199" ca="1">IF(OR($B199="",$B199="X",$D199="",$D199="X",$E199="",$E199="X"),0,IFERROR(_xlfn.LET(_xlpm.x,SUM(SUM(_xlfn._xlws.FILTER(VALUE(PptoSty[Sign]&amp;1)*(1/PptoSty[Division]),(PptoSty[Division]&lt;&gt;0)*(PptoSty[Division]&lt;&gt;"")*(PptoSty[Division]&lt;&gt;"X")*(PptoSty[Project]=$B199)*(PptoSty[Vrs]=$D199)*(PptoSty[PiRow]=_xlfn.TEXTAFTER($H199,":"))*(PptoSty[PiColumn]=Q$54),0)),SUM(IF((INDIRECT($B$3)=$B199)*(INDIRECT($C$3)=$D199)*((INDIRECT($E$3)="TOTS")+(INDIRECT($E$3)=$E199)),INDIRECT(Q$3)))),_xlpm.y,SUM(_xlfn.CHOOSECOLS(_xlfn._xlws.FILTER(F_RT14[],(F_RT14[PrjId]=$B199)*(F_RT14[Vrs]=$D199)*(_xlfn.TEXTAFTER(F_RT14[ActGrp],":")=_xlfn.TEXTAFTER($H199,":")),"X"),MATCH("*"&amp;Q$54,F_RT14[#Headers],0))),IF(AND(_xlpm.x=0,_xlpm.y&lt;&gt;0),-1,IF(AND(_xlpm.x&lt;&gt;0,_xlpm.y&lt;&gt;0),_xlpm.x,IF(AND(_xlpm.x-SUM(IF((INDIRECT($B$3)=$B199)*(INDIRECT($C$3)=$D199)*((INDIRECT($E$3)="TOTS")+(INDIRECT($E$3)=$E199)),INDIRECT(Q$3)))&lt;&gt;0,_xlpm.y=0),-2,_xlpm.x)))),0))</f>
        <v>0</v>
      </c>
      <c r="R199" s="199" cm="1">
        <f t="array" aca="1" ref="R199" ca="1">IF(OR($B199="",$B199="X",$D199="",$D199="X",$E199="",$E199="X"),0,IFERROR(_xlfn.LET(_xlpm.x,SUM(SUM(_xlfn._xlws.FILTER(VALUE(PptoSty[Sign]&amp;1)*(1/PptoSty[Division]),(PptoSty[Division]&lt;&gt;0)*(PptoSty[Division]&lt;&gt;"")*(PptoSty[Division]&lt;&gt;"X")*(PptoSty[Project]=$B199)*(PptoSty[Vrs]=$D199)*(PptoSty[PiRow]=_xlfn.TEXTAFTER($H199,":"))*(PptoSty[PiColumn]=R$54),0)),SUM(IF((INDIRECT($B$3)=$B199)*(INDIRECT($C$3)=$D199)*((INDIRECT($E$3)="TOTS")+(INDIRECT($E$3)=$E199)),INDIRECT(R$3)))),_xlpm.y,SUM(_xlfn.CHOOSECOLS(_xlfn._xlws.FILTER(F_RT14[],(F_RT14[PrjId]=$B199)*(F_RT14[Vrs]=$D199)*(_xlfn.TEXTAFTER(F_RT14[ActGrp],":")=_xlfn.TEXTAFTER($H199,":")),"X"),MATCH("*"&amp;R$54,F_RT14[#Headers],0))),IF(AND(_xlpm.x=0,_xlpm.y&lt;&gt;0),-1,IF(AND(_xlpm.x&lt;&gt;0,_xlpm.y&lt;&gt;0),_xlpm.x,IF(AND(_xlpm.x-SUM(IF((INDIRECT($B$3)=$B199)*(INDIRECT($C$3)=$D199)*((INDIRECT($E$3)="TOTS")+(INDIRECT($E$3)=$E199)),INDIRECT(R$3)))&lt;&gt;0,_xlpm.y=0),-2,_xlpm.x)))),0))</f>
        <v>0</v>
      </c>
      <c r="S199" s="199" cm="1">
        <f t="array" aca="1" ref="S199" ca="1">IF(OR($B199="",$B199="X",$D199="",$D199="X",$E199="",$E199="X"),0,IFERROR(_xlfn.LET(_xlpm.x,SUM(SUM(_xlfn._xlws.FILTER(VALUE(PptoSty[Sign]&amp;1)*(1/PptoSty[Division]),(PptoSty[Division]&lt;&gt;0)*(PptoSty[Division]&lt;&gt;"")*(PptoSty[Division]&lt;&gt;"X")*(PptoSty[Project]=$B199)*(PptoSty[Vrs]=$D199)*(PptoSty[PiRow]=_xlfn.TEXTAFTER($H199,":"))*(PptoSty[PiColumn]=S$54),0)),SUM(IF((INDIRECT($B$3)=$B199)*(INDIRECT($C$3)=$D199)*((INDIRECT($E$3)="TOTS")+(INDIRECT($E$3)=$E199)),INDIRECT(S$3)))),_xlpm.y,SUM(_xlfn.CHOOSECOLS(_xlfn._xlws.FILTER(F_RT14[],(F_RT14[PrjId]=$B199)*(F_RT14[Vrs]=$D199)*(_xlfn.TEXTAFTER(F_RT14[ActGrp],":")=_xlfn.TEXTAFTER($H199,":")),"X"),MATCH("*"&amp;S$54,F_RT14[#Headers],0))),IF(AND(_xlpm.x=0,_xlpm.y&lt;&gt;0),-1,IF(AND(_xlpm.x&lt;&gt;0,_xlpm.y&lt;&gt;0),_xlpm.x,IF(AND(_xlpm.x-SUM(IF((INDIRECT($B$3)=$B199)*(INDIRECT($C$3)=$D199)*((INDIRECT($E$3)="TOTS")+(INDIRECT($E$3)=$E199)),INDIRECT(S$3)))&lt;&gt;0,_xlpm.y=0),-2,_xlpm.x)))),0))</f>
        <v>0</v>
      </c>
      <c r="T199" s="199" cm="1">
        <f t="array" aca="1" ref="T199" ca="1">IF(OR($B199="",$B199="X",$D199="",$D199="X",$E199="",$E199="X"),0,IFERROR(_xlfn.LET(_xlpm.x,SUM(SUM(_xlfn._xlws.FILTER(VALUE(PptoSty[Sign]&amp;1)*(1/PptoSty[Division]),(PptoSty[Division]&lt;&gt;0)*(PptoSty[Division]&lt;&gt;"")*(PptoSty[Division]&lt;&gt;"X")*(PptoSty[Project]=$B199)*(PptoSty[Vrs]=$D199)*(PptoSty[PiRow]=_xlfn.TEXTAFTER($H199,":"))*(PptoSty[PiColumn]=T$54),0)),SUM(IF((INDIRECT($B$3)=$B199)*(INDIRECT($C$3)=$D199)*((INDIRECT($E$3)="TOTS")+(INDIRECT($E$3)=$E199)),INDIRECT(T$3)))),_xlpm.y,SUM(_xlfn.CHOOSECOLS(_xlfn._xlws.FILTER(F_RT14[],(F_RT14[PrjId]=$B199)*(F_RT14[Vrs]=$D199)*(_xlfn.TEXTAFTER(F_RT14[ActGrp],":")=_xlfn.TEXTAFTER($H199,":")),"X"),MATCH("*"&amp;T$54,F_RT14[#Headers],0))),IF(AND(_xlpm.x=0,_xlpm.y&lt;&gt;0),-1,IF(AND(_xlpm.x&lt;&gt;0,_xlpm.y&lt;&gt;0),_xlpm.x,IF(AND(_xlpm.x-SUM(IF((INDIRECT($B$3)=$B199)*(INDIRECT($C$3)=$D199)*((INDIRECT($E$3)="TOTS")+(INDIRECT($E$3)=$E199)),INDIRECT(T$3)))&lt;&gt;0,_xlpm.y=0),-2,_xlpm.x)))),0))</f>
        <v>0</v>
      </c>
      <c r="U199" s="199" cm="1">
        <f t="array" aca="1" ref="U199" ca="1">IF(OR($B199="",$B199="X",$D199="",$D199="X",$E199="",$E199="X"),0,IFERROR(_xlfn.LET(_xlpm.x,SUM(SUM(_xlfn._xlws.FILTER(VALUE(PptoSty[Sign]&amp;1)*(1/PptoSty[Division]),(PptoSty[Division]&lt;&gt;0)*(PptoSty[Division]&lt;&gt;"")*(PptoSty[Division]&lt;&gt;"X")*(PptoSty[Project]=$B199)*(PptoSty[Vrs]=$D199)*(PptoSty[PiRow]=_xlfn.TEXTAFTER($H199,":"))*(PptoSty[PiColumn]=U$54),0)),SUM(IF((INDIRECT($B$3)=$B199)*(INDIRECT($C$3)=$D199)*((INDIRECT($E$3)="TOTS")+(INDIRECT($E$3)=$E199)),INDIRECT(U$3)))),_xlpm.y,SUM(_xlfn.CHOOSECOLS(_xlfn._xlws.FILTER(F_RT14[],(F_RT14[PrjId]=$B199)*(F_RT14[Vrs]=$D199)*(_xlfn.TEXTAFTER(F_RT14[ActGrp],":")=_xlfn.TEXTAFTER($H199,":")),"X"),MATCH("*"&amp;U$54,F_RT14[#Headers],0))),IF(AND(_xlpm.x=0,_xlpm.y&lt;&gt;0),-1,IF(AND(_xlpm.x&lt;&gt;0,_xlpm.y&lt;&gt;0),_xlpm.x,IF(AND(_xlpm.x-SUM(IF((INDIRECT($B$3)=$B199)*(INDIRECT($C$3)=$D199)*((INDIRECT($E$3)="TOTS")+(INDIRECT($E$3)=$E199)),INDIRECT(U$3)))&lt;&gt;0,_xlpm.y=0),-2,_xlpm.x)))),0))</f>
        <v>0</v>
      </c>
      <c r="V199" s="199" cm="1">
        <f t="array" aca="1" ref="V199" ca="1">IF(OR($B199="",$B199="X",$D199="",$D199="X",$E199="",$E199="X"),0,IFERROR(_xlfn.LET(_xlpm.x,SUM(SUM(_xlfn._xlws.FILTER(VALUE(PptoSty[Sign]&amp;1)*(1/PptoSty[Division]),(PptoSty[Division]&lt;&gt;0)*(PptoSty[Division]&lt;&gt;"")*(PptoSty[Division]&lt;&gt;"X")*(PptoSty[Project]=$B199)*(PptoSty[Vrs]=$D199)*(PptoSty[PiRow]=_xlfn.TEXTAFTER($H199,":"))*(PptoSty[PiColumn]=V$54),0)),SUM(IF((INDIRECT($B$3)=$B199)*(INDIRECT($C$3)=$D199)*((INDIRECT($E$3)="TOTS")+(INDIRECT($E$3)=$E199)),INDIRECT(V$3)))),_xlpm.y,SUM(_xlfn.CHOOSECOLS(_xlfn._xlws.FILTER(F_RT14[],(F_RT14[PrjId]=$B199)*(F_RT14[Vrs]=$D199)*(_xlfn.TEXTAFTER(F_RT14[ActGrp],":")=_xlfn.TEXTAFTER($H199,":")),"X"),MATCH("*"&amp;V$54,F_RT14[#Headers],0))),IF(AND(_xlpm.x=0,_xlpm.y&lt;&gt;0),-1,IF(AND(_xlpm.x&lt;&gt;0,_xlpm.y&lt;&gt;0),_xlpm.x,IF(AND(_xlpm.x-SUM(IF((INDIRECT($B$3)=$B199)*(INDIRECT($C$3)=$D199)*((INDIRECT($E$3)="TOTS")+(INDIRECT($E$3)=$E199)),INDIRECT(V$3)))&lt;&gt;0,_xlpm.y=0),-2,_xlpm.x)))),0))</f>
        <v>0</v>
      </c>
      <c r="W199" s="199" cm="1">
        <f t="array" aca="1" ref="W199" ca="1">IF(OR($B199="",$B199="X",$D199="",$D199="X",$E199="",$E199="X"),0,IFERROR(_xlfn.LET(_xlpm.x,SUM(SUM(_xlfn._xlws.FILTER(VALUE(PptoSty[Sign]&amp;1)*(1/PptoSty[Division]),(PptoSty[Division]&lt;&gt;0)*(PptoSty[Division]&lt;&gt;"")*(PptoSty[Division]&lt;&gt;"X")*(PptoSty[Project]=$B199)*(PptoSty[Vrs]=$D199)*(PptoSty[PiRow]=_xlfn.TEXTAFTER($H199,":"))*(PptoSty[PiColumn]=W$54),0)),SUM(IF((INDIRECT($B$3)=$B199)*(INDIRECT($C$3)=$D199)*((INDIRECT($E$3)="TOTS")+(INDIRECT($E$3)=$E199)),INDIRECT(W$3)))),_xlpm.y,SUM(_xlfn.CHOOSECOLS(_xlfn._xlws.FILTER(F_RT14[],(F_RT14[PrjId]=$B199)*(F_RT14[Vrs]=$D199)*(_xlfn.TEXTAFTER(F_RT14[ActGrp],":")=_xlfn.TEXTAFTER($H199,":")),"X"),MATCH("*"&amp;W$54,F_RT14[#Headers],0))),IF(AND(_xlpm.x=0,_xlpm.y&lt;&gt;0),-1,IF(AND(_xlpm.x&lt;&gt;0,_xlpm.y&lt;&gt;0),_xlpm.x,IF(AND(_xlpm.x-SUM(IF((INDIRECT($B$3)=$B199)*(INDIRECT($C$3)=$D199)*((INDIRECT($E$3)="TOTS")+(INDIRECT($E$3)=$E199)),INDIRECT(W$3)))&lt;&gt;0,_xlpm.y=0),-2,_xlpm.x)))),0))</f>
        <v>0</v>
      </c>
      <c r="X199" s="199" cm="1">
        <f t="array" aca="1" ref="X199" ca="1">IF(OR($B199="",$B199="X",$D199="",$D199="X",$E199="",$E199="X"),0,IFERROR(_xlfn.LET(_xlpm.x,SUM(SUM(_xlfn._xlws.FILTER(VALUE(PptoSty[Sign]&amp;1)*(1/PptoSty[Division]),(PptoSty[Division]&lt;&gt;0)*(PptoSty[Division]&lt;&gt;"")*(PptoSty[Division]&lt;&gt;"X")*(PptoSty[Project]=$B199)*(PptoSty[Vrs]=$D199)*(PptoSty[PiRow]=_xlfn.TEXTAFTER($H199,":"))*(PptoSty[PiColumn]=X$54),0)),SUM(IF((INDIRECT($B$3)=$B199)*(INDIRECT($C$3)=$D199)*((INDIRECT($E$3)="TOTS")+(INDIRECT($E$3)=$E199)),INDIRECT(X$3)))),_xlpm.y,SUM(_xlfn.CHOOSECOLS(_xlfn._xlws.FILTER(F_RT14[],(F_RT14[PrjId]=$B199)*(F_RT14[Vrs]=$D199)*(_xlfn.TEXTAFTER(F_RT14[ActGrp],":")=_xlfn.TEXTAFTER($H199,":")),"X"),MATCH("*"&amp;X$54,F_RT14[#Headers],0))),IF(AND(_xlpm.x=0,_xlpm.y&lt;&gt;0),-1,IF(AND(_xlpm.x&lt;&gt;0,_xlpm.y&lt;&gt;0),_xlpm.x,IF(AND(_xlpm.x-SUM(IF((INDIRECT($B$3)=$B199)*(INDIRECT($C$3)=$D199)*((INDIRECT($E$3)="TOTS")+(INDIRECT($E$3)=$E199)),INDIRECT(X$3)))&lt;&gt;0,_xlpm.y=0),-2,_xlpm.x)))),0))</f>
        <v>0</v>
      </c>
      <c r="Y199" s="199" cm="1">
        <f t="array" aca="1" ref="Y199" ca="1">IF(OR($B199="",$B199="X",$D199="",$D199="X",$E199="",$E199="X"),0,IFERROR(_xlfn.LET(_xlpm.x,SUM(SUM(_xlfn._xlws.FILTER(VALUE(PptoSty[Sign]&amp;1)*(1/PptoSty[Division]),(PptoSty[Division]&lt;&gt;0)*(PptoSty[Division]&lt;&gt;"")*(PptoSty[Division]&lt;&gt;"X")*(PptoSty[Project]=$B199)*(PptoSty[Vrs]=$D199)*(PptoSty[PiRow]=_xlfn.TEXTAFTER($H199,":"))*(PptoSty[PiColumn]=Y$54),0)),SUM(IF((INDIRECT($B$3)=$B199)*(INDIRECT($C$3)=$D199)*((INDIRECT($E$3)="TOTS")+(INDIRECT($E$3)=$E199)),INDIRECT(Y$3)))),_xlpm.y,SUM(_xlfn.CHOOSECOLS(_xlfn._xlws.FILTER(F_RT14[],(F_RT14[PrjId]=$B199)*(F_RT14[Vrs]=$D199)*(_xlfn.TEXTAFTER(F_RT14[ActGrp],":")=_xlfn.TEXTAFTER($H199,":")),"X"),MATCH("*"&amp;Y$54,F_RT14[#Headers],0))),IF(AND(_xlpm.x=0,_xlpm.y&lt;&gt;0),-1,IF(AND(_xlpm.x&lt;&gt;0,_xlpm.y&lt;&gt;0),_xlpm.x,IF(AND(_xlpm.x-SUM(IF((INDIRECT($B$3)=$B199)*(INDIRECT($C$3)=$D199)*((INDIRECT($E$3)="TOTS")+(INDIRECT($E$3)=$E199)),INDIRECT(Y$3)))&lt;&gt;0,_xlpm.y=0),-2,_xlpm.x)))),0))</f>
        <v>0</v>
      </c>
      <c r="Z199" s="198" t="str">
        <f t="shared" ca="1" si="4"/>
        <v>Fback!B199:Y199</v>
      </c>
    </row>
    <row r="200" spans="2:26" ht="21" customHeight="1" outlineLevel="1">
      <c r="B200" s="128"/>
      <c r="C200" s="128"/>
      <c r="D200" s="128"/>
      <c r="E200" s="128"/>
      <c r="F200" s="139"/>
      <c r="G200" s="139"/>
      <c r="H200" s="139"/>
      <c r="I200" s="199" cm="1">
        <f t="array" aca="1" ref="I200" ca="1">IF(OR($B200="",$B200="X",$D200="",$D200="X",$E200="",$E200="X"),0,IFERROR(_xlfn.LET(_xlpm.x,SUM(SUM(_xlfn._xlws.FILTER(VALUE(PptoSty[Sign]&amp;1)*(1/PptoSty[Division]),(PptoSty[Division]&lt;&gt;0)*(PptoSty[Division]&lt;&gt;"")*(PptoSty[Division]&lt;&gt;"X")*(PptoSty[Project]=$B200)*(PptoSty[Vrs]=$D200)*(PptoSty[PiRow]=_xlfn.TEXTAFTER($H200,":"))*(PptoSty[PiColumn]=I$54),0)),SUM(IF((INDIRECT($B$3)=$B200)*(INDIRECT($C$3)=$D200)*((INDIRECT($E$3)="TOTS")+(INDIRECT($E$3)=$E200)),INDIRECT(I$3)))),_xlpm.y,SUM(_xlfn.CHOOSECOLS(_xlfn._xlws.FILTER(F_RT14[],(F_RT14[PrjId]=$B200)*(F_RT14[Vrs]=$D200)*(_xlfn.TEXTAFTER(F_RT14[ActGrp],":")=_xlfn.TEXTAFTER($H200,":")),"X"),MATCH("*"&amp;I$54,F_RT14[#Headers],0))),IF(AND(_xlpm.x=0,_xlpm.y&lt;&gt;0),-1,IF(AND(_xlpm.x&lt;&gt;0,_xlpm.y&lt;&gt;0),_xlpm.x,IF(AND(_xlpm.x-SUM(IF((INDIRECT($B$3)=$B200)*(INDIRECT($C$3)=$D200)*((INDIRECT($E$3)="TOTS")+(INDIRECT($E$3)=$E200)),INDIRECT(I$3)))&lt;&gt;0,_xlpm.y=0),-2,_xlpm.x)))),0))</f>
        <v>0</v>
      </c>
      <c r="J200" s="199" cm="1">
        <f t="array" aca="1" ref="J200" ca="1">IF(OR($B200="",$B200="X",$D200="",$D200="X",$E200="",$E200="X"),0,IFERROR(_xlfn.LET(_xlpm.x,SUM(SUM(_xlfn._xlws.FILTER(VALUE(PptoSty[Sign]&amp;1)*(1/PptoSty[Division]),(PptoSty[Division]&lt;&gt;0)*(PptoSty[Division]&lt;&gt;"")*(PptoSty[Division]&lt;&gt;"X")*(PptoSty[Project]=$B200)*(PptoSty[Vrs]=$D200)*(PptoSty[PiRow]=_xlfn.TEXTAFTER($H200,":"))*(PptoSty[PiColumn]=J$54),0)),SUM(IF((INDIRECT($B$3)=$B200)*(INDIRECT($C$3)=$D200)*((INDIRECT($E$3)="TOTS")+(INDIRECT($E$3)=$E200)),INDIRECT(J$3)))),_xlpm.y,SUM(_xlfn.CHOOSECOLS(_xlfn._xlws.FILTER(F_RT14[],(F_RT14[PrjId]=$B200)*(F_RT14[Vrs]=$D200)*(_xlfn.TEXTAFTER(F_RT14[ActGrp],":")=_xlfn.TEXTAFTER($H200,":")),"X"),MATCH("*"&amp;J$54,F_RT14[#Headers],0))),IF(AND(_xlpm.x=0,_xlpm.y&lt;&gt;0),-1,IF(AND(_xlpm.x&lt;&gt;0,_xlpm.y&lt;&gt;0),_xlpm.x,IF(AND(_xlpm.x-SUM(IF((INDIRECT($B$3)=$B200)*(INDIRECT($C$3)=$D200)*((INDIRECT($E$3)="TOTS")+(INDIRECT($E$3)=$E200)),INDIRECT(J$3)))&lt;&gt;0,_xlpm.y=0),-2,_xlpm.x)))),0))</f>
        <v>0</v>
      </c>
      <c r="K200" s="199" cm="1">
        <f t="array" aca="1" ref="K200" ca="1">IF(OR($B200="",$B200="X",$D200="",$D200="X",$E200="",$E200="X"),0,IFERROR(_xlfn.LET(_xlpm.x,SUM(SUM(_xlfn._xlws.FILTER(VALUE(PptoSty[Sign]&amp;1)*(1/PptoSty[Division]),(PptoSty[Division]&lt;&gt;0)*(PptoSty[Division]&lt;&gt;"")*(PptoSty[Division]&lt;&gt;"X")*(PptoSty[Project]=$B200)*(PptoSty[Vrs]=$D200)*(PptoSty[PiRow]=_xlfn.TEXTAFTER($H200,":"))*(PptoSty[PiColumn]=K$54),0)),SUM(IF((INDIRECT($B$3)=$B200)*(INDIRECT($C$3)=$D200)*((INDIRECT($E$3)="TOTS")+(INDIRECT($E$3)=$E200)),INDIRECT(K$3)))),_xlpm.y,SUM(_xlfn.CHOOSECOLS(_xlfn._xlws.FILTER(F_RT14[],(F_RT14[PrjId]=$B200)*(F_RT14[Vrs]=$D200)*(_xlfn.TEXTAFTER(F_RT14[ActGrp],":")=_xlfn.TEXTAFTER($H200,":")),"X"),MATCH("*"&amp;K$54,F_RT14[#Headers],0))),IF(AND(_xlpm.x=0,_xlpm.y&lt;&gt;0),-1,IF(AND(_xlpm.x&lt;&gt;0,_xlpm.y&lt;&gt;0),_xlpm.x,IF(AND(_xlpm.x-SUM(IF((INDIRECT($B$3)=$B200)*(INDIRECT($C$3)=$D200)*((INDIRECT($E$3)="TOTS")+(INDIRECT($E$3)=$E200)),INDIRECT(K$3)))&lt;&gt;0,_xlpm.y=0),-2,_xlpm.x)))),0))</f>
        <v>0</v>
      </c>
      <c r="L200" s="199" cm="1">
        <f t="array" aca="1" ref="L200" ca="1">IF(OR($B200="",$B200="X",$D200="",$D200="X",$E200="",$E200="X"),0,IFERROR(_xlfn.LET(_xlpm.x,SUM(SUM(_xlfn._xlws.FILTER(VALUE(PptoSty[Sign]&amp;1)*(1/PptoSty[Division]),(PptoSty[Division]&lt;&gt;0)*(PptoSty[Division]&lt;&gt;"")*(PptoSty[Division]&lt;&gt;"X")*(PptoSty[Project]=$B200)*(PptoSty[Vrs]=$D200)*(PptoSty[PiRow]=_xlfn.TEXTAFTER($H200,":"))*(PptoSty[PiColumn]=L$54),0)),SUM(IF((INDIRECT($B$3)=$B200)*(INDIRECT($C$3)=$D200)*((INDIRECT($E$3)="TOTS")+(INDIRECT($E$3)=$E200)),INDIRECT(L$3)))),_xlpm.y,SUM(_xlfn.CHOOSECOLS(_xlfn._xlws.FILTER(F_RT14[],(F_RT14[PrjId]=$B200)*(F_RT14[Vrs]=$D200)*(_xlfn.TEXTAFTER(F_RT14[ActGrp],":")=_xlfn.TEXTAFTER($H200,":")),"X"),MATCH("*"&amp;L$54,F_RT14[#Headers],0))),IF(AND(_xlpm.x=0,_xlpm.y&lt;&gt;0),-1,IF(AND(_xlpm.x&lt;&gt;0,_xlpm.y&lt;&gt;0),_xlpm.x,IF(AND(_xlpm.x-SUM(IF((INDIRECT($B$3)=$B200)*(INDIRECT($C$3)=$D200)*((INDIRECT($E$3)="TOTS")+(INDIRECT($E$3)=$E200)),INDIRECT(L$3)))&lt;&gt;0,_xlpm.y=0),-2,_xlpm.x)))),0))</f>
        <v>0</v>
      </c>
      <c r="M200" s="199" cm="1">
        <f t="array" aca="1" ref="M200" ca="1">IF(OR($B200="",$B200="X",$D200="",$D200="X",$E200="",$E200="X"),0,IFERROR(_xlfn.LET(_xlpm.x,SUM(SUM(_xlfn._xlws.FILTER(VALUE(PptoSty[Sign]&amp;1)*(1/PptoSty[Division]),(PptoSty[Division]&lt;&gt;0)*(PptoSty[Division]&lt;&gt;"")*(PptoSty[Division]&lt;&gt;"X")*(PptoSty[Project]=$B200)*(PptoSty[Vrs]=$D200)*(PptoSty[PiRow]=_xlfn.TEXTAFTER($H200,":"))*(PptoSty[PiColumn]=M$54),0)),SUM(IF((INDIRECT($B$3)=$B200)*(INDIRECT($C$3)=$D200)*((INDIRECT($E$3)="TOTS")+(INDIRECT($E$3)=$E200)),INDIRECT(M$3)))),_xlpm.y,SUM(_xlfn.CHOOSECOLS(_xlfn._xlws.FILTER(F_RT14[],(F_RT14[PrjId]=$B200)*(F_RT14[Vrs]=$D200)*(_xlfn.TEXTAFTER(F_RT14[ActGrp],":")=_xlfn.TEXTAFTER($H200,":")),"X"),MATCH("*"&amp;M$54,F_RT14[#Headers],0))),IF(AND(_xlpm.x=0,_xlpm.y&lt;&gt;0),-1,IF(AND(_xlpm.x&lt;&gt;0,_xlpm.y&lt;&gt;0),_xlpm.x,IF(AND(_xlpm.x-SUM(IF((INDIRECT($B$3)=$B200)*(INDIRECT($C$3)=$D200)*((INDIRECT($E$3)="TOTS")+(INDIRECT($E$3)=$E200)),INDIRECT(M$3)))&lt;&gt;0,_xlpm.y=0),-2,_xlpm.x)))),0))</f>
        <v>0</v>
      </c>
      <c r="N200" s="199" cm="1">
        <f t="array" aca="1" ref="N200" ca="1">IF(OR($B200="",$B200="X",$D200="",$D200="X",$E200="",$E200="X"),0,IFERROR(_xlfn.LET(_xlpm.x,SUM(SUM(_xlfn._xlws.FILTER(VALUE(PptoSty[Sign]&amp;1)*(1/PptoSty[Division]),(PptoSty[Division]&lt;&gt;0)*(PptoSty[Division]&lt;&gt;"")*(PptoSty[Division]&lt;&gt;"X")*(PptoSty[Project]=$B200)*(PptoSty[Vrs]=$D200)*(PptoSty[PiRow]=_xlfn.TEXTAFTER($H200,":"))*(PptoSty[PiColumn]=N$54),0)),SUM(IF((INDIRECT($B$3)=$B200)*(INDIRECT($C$3)=$D200)*((INDIRECT($E$3)="TOTS")+(INDIRECT($E$3)=$E200)),INDIRECT(N$3)))),_xlpm.y,SUM(_xlfn.CHOOSECOLS(_xlfn._xlws.FILTER(F_RT14[],(F_RT14[PrjId]=$B200)*(F_RT14[Vrs]=$D200)*(_xlfn.TEXTAFTER(F_RT14[ActGrp],":")=_xlfn.TEXTAFTER($H200,":")),"X"),MATCH("*"&amp;N$54,F_RT14[#Headers],0))),IF(AND(_xlpm.x=0,_xlpm.y&lt;&gt;0),-1,IF(AND(_xlpm.x&lt;&gt;0,_xlpm.y&lt;&gt;0),_xlpm.x,IF(AND(_xlpm.x-SUM(IF((INDIRECT($B$3)=$B200)*(INDIRECT($C$3)=$D200)*((INDIRECT($E$3)="TOTS")+(INDIRECT($E$3)=$E200)),INDIRECT(N$3)))&lt;&gt;0,_xlpm.y=0),-2,_xlpm.x)))),0))</f>
        <v>0</v>
      </c>
      <c r="O200" s="199" cm="1">
        <f t="array" aca="1" ref="O200" ca="1">IF(OR($B200="",$B200="X",$D200="",$D200="X",$E200="",$E200="X"),0,IFERROR(_xlfn.LET(_xlpm.x,SUM(SUM(_xlfn._xlws.FILTER(VALUE(PptoSty[Sign]&amp;1)*(1/PptoSty[Division]),(PptoSty[Division]&lt;&gt;0)*(PptoSty[Division]&lt;&gt;"")*(PptoSty[Division]&lt;&gt;"X")*(PptoSty[Project]=$B200)*(PptoSty[Vrs]=$D200)*(PptoSty[PiRow]=_xlfn.TEXTAFTER($H200,":"))*(PptoSty[PiColumn]=O$54),0)),SUM(IF((INDIRECT($B$3)=$B200)*(INDIRECT($C$3)=$D200)*((INDIRECT($E$3)="TOTS")+(INDIRECT($E$3)=$E200)),INDIRECT(O$3)))),_xlpm.y,SUM(_xlfn.CHOOSECOLS(_xlfn._xlws.FILTER(F_RT14[],(F_RT14[PrjId]=$B200)*(F_RT14[Vrs]=$D200)*(_xlfn.TEXTAFTER(F_RT14[ActGrp],":")=_xlfn.TEXTAFTER($H200,":")),"X"),MATCH("*"&amp;O$54,F_RT14[#Headers],0))),IF(AND(_xlpm.x=0,_xlpm.y&lt;&gt;0),-1,IF(AND(_xlpm.x&lt;&gt;0,_xlpm.y&lt;&gt;0),_xlpm.x,IF(AND(_xlpm.x-SUM(IF((INDIRECT($B$3)=$B200)*(INDIRECT($C$3)=$D200)*((INDIRECT($E$3)="TOTS")+(INDIRECT($E$3)=$E200)),INDIRECT(O$3)))&lt;&gt;0,_xlpm.y=0),-2,_xlpm.x)))),0))</f>
        <v>0</v>
      </c>
      <c r="P200" s="199" cm="1">
        <f t="array" aca="1" ref="P200" ca="1">IF(OR($B200="",$B200="X",$D200="",$D200="X",$E200="",$E200="X"),0,IFERROR(_xlfn.LET(_xlpm.x,SUM(SUM(_xlfn._xlws.FILTER(VALUE(PptoSty[Sign]&amp;1)*(1/PptoSty[Division]),(PptoSty[Division]&lt;&gt;0)*(PptoSty[Division]&lt;&gt;"")*(PptoSty[Division]&lt;&gt;"X")*(PptoSty[Project]=$B200)*(PptoSty[Vrs]=$D200)*(PptoSty[PiRow]=_xlfn.TEXTAFTER($H200,":"))*(PptoSty[PiColumn]=P$54),0)),SUM(IF((INDIRECT($B$3)=$B200)*(INDIRECT($C$3)=$D200)*((INDIRECT($E$3)="TOTS")+(INDIRECT($E$3)=$E200)),INDIRECT(P$3)))),_xlpm.y,SUM(_xlfn.CHOOSECOLS(_xlfn._xlws.FILTER(F_RT14[],(F_RT14[PrjId]=$B200)*(F_RT14[Vrs]=$D200)*(_xlfn.TEXTAFTER(F_RT14[ActGrp],":")=_xlfn.TEXTAFTER($H200,":")),"X"),MATCH("*"&amp;P$54,F_RT14[#Headers],0))),IF(AND(_xlpm.x=0,_xlpm.y&lt;&gt;0),-1,IF(AND(_xlpm.x&lt;&gt;0,_xlpm.y&lt;&gt;0),_xlpm.x,IF(AND(_xlpm.x-SUM(IF((INDIRECT($B$3)=$B200)*(INDIRECT($C$3)=$D200)*((INDIRECT($E$3)="TOTS")+(INDIRECT($E$3)=$E200)),INDIRECT(P$3)))&lt;&gt;0,_xlpm.y=0),-2,_xlpm.x)))),0))</f>
        <v>0</v>
      </c>
      <c r="Q200" s="199" cm="1">
        <f t="array" aca="1" ref="Q200" ca="1">IF(OR($B200="",$B200="X",$D200="",$D200="X",$E200="",$E200="X"),0,IFERROR(_xlfn.LET(_xlpm.x,SUM(SUM(_xlfn._xlws.FILTER(VALUE(PptoSty[Sign]&amp;1)*(1/PptoSty[Division]),(PptoSty[Division]&lt;&gt;0)*(PptoSty[Division]&lt;&gt;"")*(PptoSty[Division]&lt;&gt;"X")*(PptoSty[Project]=$B200)*(PptoSty[Vrs]=$D200)*(PptoSty[PiRow]=_xlfn.TEXTAFTER($H200,":"))*(PptoSty[PiColumn]=Q$54),0)),SUM(IF((INDIRECT($B$3)=$B200)*(INDIRECT($C$3)=$D200)*((INDIRECT($E$3)="TOTS")+(INDIRECT($E$3)=$E200)),INDIRECT(Q$3)))),_xlpm.y,SUM(_xlfn.CHOOSECOLS(_xlfn._xlws.FILTER(F_RT14[],(F_RT14[PrjId]=$B200)*(F_RT14[Vrs]=$D200)*(_xlfn.TEXTAFTER(F_RT14[ActGrp],":")=_xlfn.TEXTAFTER($H200,":")),"X"),MATCH("*"&amp;Q$54,F_RT14[#Headers],0))),IF(AND(_xlpm.x=0,_xlpm.y&lt;&gt;0),-1,IF(AND(_xlpm.x&lt;&gt;0,_xlpm.y&lt;&gt;0),_xlpm.x,IF(AND(_xlpm.x-SUM(IF((INDIRECT($B$3)=$B200)*(INDIRECT($C$3)=$D200)*((INDIRECT($E$3)="TOTS")+(INDIRECT($E$3)=$E200)),INDIRECT(Q$3)))&lt;&gt;0,_xlpm.y=0),-2,_xlpm.x)))),0))</f>
        <v>0</v>
      </c>
      <c r="R200" s="199" cm="1">
        <f t="array" aca="1" ref="R200" ca="1">IF(OR($B200="",$B200="X",$D200="",$D200="X",$E200="",$E200="X"),0,IFERROR(_xlfn.LET(_xlpm.x,SUM(SUM(_xlfn._xlws.FILTER(VALUE(PptoSty[Sign]&amp;1)*(1/PptoSty[Division]),(PptoSty[Division]&lt;&gt;0)*(PptoSty[Division]&lt;&gt;"")*(PptoSty[Division]&lt;&gt;"X")*(PptoSty[Project]=$B200)*(PptoSty[Vrs]=$D200)*(PptoSty[PiRow]=_xlfn.TEXTAFTER($H200,":"))*(PptoSty[PiColumn]=R$54),0)),SUM(IF((INDIRECT($B$3)=$B200)*(INDIRECT($C$3)=$D200)*((INDIRECT($E$3)="TOTS")+(INDIRECT($E$3)=$E200)),INDIRECT(R$3)))),_xlpm.y,SUM(_xlfn.CHOOSECOLS(_xlfn._xlws.FILTER(F_RT14[],(F_RT14[PrjId]=$B200)*(F_RT14[Vrs]=$D200)*(_xlfn.TEXTAFTER(F_RT14[ActGrp],":")=_xlfn.TEXTAFTER($H200,":")),"X"),MATCH("*"&amp;R$54,F_RT14[#Headers],0))),IF(AND(_xlpm.x=0,_xlpm.y&lt;&gt;0),-1,IF(AND(_xlpm.x&lt;&gt;0,_xlpm.y&lt;&gt;0),_xlpm.x,IF(AND(_xlpm.x-SUM(IF((INDIRECT($B$3)=$B200)*(INDIRECT($C$3)=$D200)*((INDIRECT($E$3)="TOTS")+(INDIRECT($E$3)=$E200)),INDIRECT(R$3)))&lt;&gt;0,_xlpm.y=0),-2,_xlpm.x)))),0))</f>
        <v>0</v>
      </c>
      <c r="S200" s="199" cm="1">
        <f t="array" aca="1" ref="S200" ca="1">IF(OR($B200="",$B200="X",$D200="",$D200="X",$E200="",$E200="X"),0,IFERROR(_xlfn.LET(_xlpm.x,SUM(SUM(_xlfn._xlws.FILTER(VALUE(PptoSty[Sign]&amp;1)*(1/PptoSty[Division]),(PptoSty[Division]&lt;&gt;0)*(PptoSty[Division]&lt;&gt;"")*(PptoSty[Division]&lt;&gt;"X")*(PptoSty[Project]=$B200)*(PptoSty[Vrs]=$D200)*(PptoSty[PiRow]=_xlfn.TEXTAFTER($H200,":"))*(PptoSty[PiColumn]=S$54),0)),SUM(IF((INDIRECT($B$3)=$B200)*(INDIRECT($C$3)=$D200)*((INDIRECT($E$3)="TOTS")+(INDIRECT($E$3)=$E200)),INDIRECT(S$3)))),_xlpm.y,SUM(_xlfn.CHOOSECOLS(_xlfn._xlws.FILTER(F_RT14[],(F_RT14[PrjId]=$B200)*(F_RT14[Vrs]=$D200)*(_xlfn.TEXTAFTER(F_RT14[ActGrp],":")=_xlfn.TEXTAFTER($H200,":")),"X"),MATCH("*"&amp;S$54,F_RT14[#Headers],0))),IF(AND(_xlpm.x=0,_xlpm.y&lt;&gt;0),-1,IF(AND(_xlpm.x&lt;&gt;0,_xlpm.y&lt;&gt;0),_xlpm.x,IF(AND(_xlpm.x-SUM(IF((INDIRECT($B$3)=$B200)*(INDIRECT($C$3)=$D200)*((INDIRECT($E$3)="TOTS")+(INDIRECT($E$3)=$E200)),INDIRECT(S$3)))&lt;&gt;0,_xlpm.y=0),-2,_xlpm.x)))),0))</f>
        <v>0</v>
      </c>
      <c r="T200" s="199" cm="1">
        <f t="array" aca="1" ref="T200" ca="1">IF(OR($B200="",$B200="X",$D200="",$D200="X",$E200="",$E200="X"),0,IFERROR(_xlfn.LET(_xlpm.x,SUM(SUM(_xlfn._xlws.FILTER(VALUE(PptoSty[Sign]&amp;1)*(1/PptoSty[Division]),(PptoSty[Division]&lt;&gt;0)*(PptoSty[Division]&lt;&gt;"")*(PptoSty[Division]&lt;&gt;"X")*(PptoSty[Project]=$B200)*(PptoSty[Vrs]=$D200)*(PptoSty[PiRow]=_xlfn.TEXTAFTER($H200,":"))*(PptoSty[PiColumn]=T$54),0)),SUM(IF((INDIRECT($B$3)=$B200)*(INDIRECT($C$3)=$D200)*((INDIRECT($E$3)="TOTS")+(INDIRECT($E$3)=$E200)),INDIRECT(T$3)))),_xlpm.y,SUM(_xlfn.CHOOSECOLS(_xlfn._xlws.FILTER(F_RT14[],(F_RT14[PrjId]=$B200)*(F_RT14[Vrs]=$D200)*(_xlfn.TEXTAFTER(F_RT14[ActGrp],":")=_xlfn.TEXTAFTER($H200,":")),"X"),MATCH("*"&amp;T$54,F_RT14[#Headers],0))),IF(AND(_xlpm.x=0,_xlpm.y&lt;&gt;0),-1,IF(AND(_xlpm.x&lt;&gt;0,_xlpm.y&lt;&gt;0),_xlpm.x,IF(AND(_xlpm.x-SUM(IF((INDIRECT($B$3)=$B200)*(INDIRECT($C$3)=$D200)*((INDIRECT($E$3)="TOTS")+(INDIRECT($E$3)=$E200)),INDIRECT(T$3)))&lt;&gt;0,_xlpm.y=0),-2,_xlpm.x)))),0))</f>
        <v>0</v>
      </c>
      <c r="U200" s="199" cm="1">
        <f t="array" aca="1" ref="U200" ca="1">IF(OR($B200="",$B200="X",$D200="",$D200="X",$E200="",$E200="X"),0,IFERROR(_xlfn.LET(_xlpm.x,SUM(SUM(_xlfn._xlws.FILTER(VALUE(PptoSty[Sign]&amp;1)*(1/PptoSty[Division]),(PptoSty[Division]&lt;&gt;0)*(PptoSty[Division]&lt;&gt;"")*(PptoSty[Division]&lt;&gt;"X")*(PptoSty[Project]=$B200)*(PptoSty[Vrs]=$D200)*(PptoSty[PiRow]=_xlfn.TEXTAFTER($H200,":"))*(PptoSty[PiColumn]=U$54),0)),SUM(IF((INDIRECT($B$3)=$B200)*(INDIRECT($C$3)=$D200)*((INDIRECT($E$3)="TOTS")+(INDIRECT($E$3)=$E200)),INDIRECT(U$3)))),_xlpm.y,SUM(_xlfn.CHOOSECOLS(_xlfn._xlws.FILTER(F_RT14[],(F_RT14[PrjId]=$B200)*(F_RT14[Vrs]=$D200)*(_xlfn.TEXTAFTER(F_RT14[ActGrp],":")=_xlfn.TEXTAFTER($H200,":")),"X"),MATCH("*"&amp;U$54,F_RT14[#Headers],0))),IF(AND(_xlpm.x=0,_xlpm.y&lt;&gt;0),-1,IF(AND(_xlpm.x&lt;&gt;0,_xlpm.y&lt;&gt;0),_xlpm.x,IF(AND(_xlpm.x-SUM(IF((INDIRECT($B$3)=$B200)*(INDIRECT($C$3)=$D200)*((INDIRECT($E$3)="TOTS")+(INDIRECT($E$3)=$E200)),INDIRECT(U$3)))&lt;&gt;0,_xlpm.y=0),-2,_xlpm.x)))),0))</f>
        <v>0</v>
      </c>
      <c r="V200" s="199" cm="1">
        <f t="array" aca="1" ref="V200" ca="1">IF(OR($B200="",$B200="X",$D200="",$D200="X",$E200="",$E200="X"),0,IFERROR(_xlfn.LET(_xlpm.x,SUM(SUM(_xlfn._xlws.FILTER(VALUE(PptoSty[Sign]&amp;1)*(1/PptoSty[Division]),(PptoSty[Division]&lt;&gt;0)*(PptoSty[Division]&lt;&gt;"")*(PptoSty[Division]&lt;&gt;"X")*(PptoSty[Project]=$B200)*(PptoSty[Vrs]=$D200)*(PptoSty[PiRow]=_xlfn.TEXTAFTER($H200,":"))*(PptoSty[PiColumn]=V$54),0)),SUM(IF((INDIRECT($B$3)=$B200)*(INDIRECT($C$3)=$D200)*((INDIRECT($E$3)="TOTS")+(INDIRECT($E$3)=$E200)),INDIRECT(V$3)))),_xlpm.y,SUM(_xlfn.CHOOSECOLS(_xlfn._xlws.FILTER(F_RT14[],(F_RT14[PrjId]=$B200)*(F_RT14[Vrs]=$D200)*(_xlfn.TEXTAFTER(F_RT14[ActGrp],":")=_xlfn.TEXTAFTER($H200,":")),"X"),MATCH("*"&amp;V$54,F_RT14[#Headers],0))),IF(AND(_xlpm.x=0,_xlpm.y&lt;&gt;0),-1,IF(AND(_xlpm.x&lt;&gt;0,_xlpm.y&lt;&gt;0),_xlpm.x,IF(AND(_xlpm.x-SUM(IF((INDIRECT($B$3)=$B200)*(INDIRECT($C$3)=$D200)*((INDIRECT($E$3)="TOTS")+(INDIRECT($E$3)=$E200)),INDIRECT(V$3)))&lt;&gt;0,_xlpm.y=0),-2,_xlpm.x)))),0))</f>
        <v>0</v>
      </c>
      <c r="W200" s="199" cm="1">
        <f t="array" aca="1" ref="W200" ca="1">IF(OR($B200="",$B200="X",$D200="",$D200="X",$E200="",$E200="X"),0,IFERROR(_xlfn.LET(_xlpm.x,SUM(SUM(_xlfn._xlws.FILTER(VALUE(PptoSty[Sign]&amp;1)*(1/PptoSty[Division]),(PptoSty[Division]&lt;&gt;0)*(PptoSty[Division]&lt;&gt;"")*(PptoSty[Division]&lt;&gt;"X")*(PptoSty[Project]=$B200)*(PptoSty[Vrs]=$D200)*(PptoSty[PiRow]=_xlfn.TEXTAFTER($H200,":"))*(PptoSty[PiColumn]=W$54),0)),SUM(IF((INDIRECT($B$3)=$B200)*(INDIRECT($C$3)=$D200)*((INDIRECT($E$3)="TOTS")+(INDIRECT($E$3)=$E200)),INDIRECT(W$3)))),_xlpm.y,SUM(_xlfn.CHOOSECOLS(_xlfn._xlws.FILTER(F_RT14[],(F_RT14[PrjId]=$B200)*(F_RT14[Vrs]=$D200)*(_xlfn.TEXTAFTER(F_RT14[ActGrp],":")=_xlfn.TEXTAFTER($H200,":")),"X"),MATCH("*"&amp;W$54,F_RT14[#Headers],0))),IF(AND(_xlpm.x=0,_xlpm.y&lt;&gt;0),-1,IF(AND(_xlpm.x&lt;&gt;0,_xlpm.y&lt;&gt;0),_xlpm.x,IF(AND(_xlpm.x-SUM(IF((INDIRECT($B$3)=$B200)*(INDIRECT($C$3)=$D200)*((INDIRECT($E$3)="TOTS")+(INDIRECT($E$3)=$E200)),INDIRECT(W$3)))&lt;&gt;0,_xlpm.y=0),-2,_xlpm.x)))),0))</f>
        <v>0</v>
      </c>
      <c r="X200" s="199" cm="1">
        <f t="array" aca="1" ref="X200" ca="1">IF(OR($B200="",$B200="X",$D200="",$D200="X",$E200="",$E200="X"),0,IFERROR(_xlfn.LET(_xlpm.x,SUM(SUM(_xlfn._xlws.FILTER(VALUE(PptoSty[Sign]&amp;1)*(1/PptoSty[Division]),(PptoSty[Division]&lt;&gt;0)*(PptoSty[Division]&lt;&gt;"")*(PptoSty[Division]&lt;&gt;"X")*(PptoSty[Project]=$B200)*(PptoSty[Vrs]=$D200)*(PptoSty[PiRow]=_xlfn.TEXTAFTER($H200,":"))*(PptoSty[PiColumn]=X$54),0)),SUM(IF((INDIRECT($B$3)=$B200)*(INDIRECT($C$3)=$D200)*((INDIRECT($E$3)="TOTS")+(INDIRECT($E$3)=$E200)),INDIRECT(X$3)))),_xlpm.y,SUM(_xlfn.CHOOSECOLS(_xlfn._xlws.FILTER(F_RT14[],(F_RT14[PrjId]=$B200)*(F_RT14[Vrs]=$D200)*(_xlfn.TEXTAFTER(F_RT14[ActGrp],":")=_xlfn.TEXTAFTER($H200,":")),"X"),MATCH("*"&amp;X$54,F_RT14[#Headers],0))),IF(AND(_xlpm.x=0,_xlpm.y&lt;&gt;0),-1,IF(AND(_xlpm.x&lt;&gt;0,_xlpm.y&lt;&gt;0),_xlpm.x,IF(AND(_xlpm.x-SUM(IF((INDIRECT($B$3)=$B200)*(INDIRECT($C$3)=$D200)*((INDIRECT($E$3)="TOTS")+(INDIRECT($E$3)=$E200)),INDIRECT(X$3)))&lt;&gt;0,_xlpm.y=0),-2,_xlpm.x)))),0))</f>
        <v>0</v>
      </c>
      <c r="Y200" s="199" cm="1">
        <f t="array" aca="1" ref="Y200" ca="1">IF(OR($B200="",$B200="X",$D200="",$D200="X",$E200="",$E200="X"),0,IFERROR(_xlfn.LET(_xlpm.x,SUM(SUM(_xlfn._xlws.FILTER(VALUE(PptoSty[Sign]&amp;1)*(1/PptoSty[Division]),(PptoSty[Division]&lt;&gt;0)*(PptoSty[Division]&lt;&gt;"")*(PptoSty[Division]&lt;&gt;"X")*(PptoSty[Project]=$B200)*(PptoSty[Vrs]=$D200)*(PptoSty[PiRow]=_xlfn.TEXTAFTER($H200,":"))*(PptoSty[PiColumn]=Y$54),0)),SUM(IF((INDIRECT($B$3)=$B200)*(INDIRECT($C$3)=$D200)*((INDIRECT($E$3)="TOTS")+(INDIRECT($E$3)=$E200)),INDIRECT(Y$3)))),_xlpm.y,SUM(_xlfn.CHOOSECOLS(_xlfn._xlws.FILTER(F_RT14[],(F_RT14[PrjId]=$B200)*(F_RT14[Vrs]=$D200)*(_xlfn.TEXTAFTER(F_RT14[ActGrp],":")=_xlfn.TEXTAFTER($H200,":")),"X"),MATCH("*"&amp;Y$54,F_RT14[#Headers],0))),IF(AND(_xlpm.x=0,_xlpm.y&lt;&gt;0),-1,IF(AND(_xlpm.x&lt;&gt;0,_xlpm.y&lt;&gt;0),_xlpm.x,IF(AND(_xlpm.x-SUM(IF((INDIRECT($B$3)=$B200)*(INDIRECT($C$3)=$D200)*((INDIRECT($E$3)="TOTS")+(INDIRECT($E$3)=$E200)),INDIRECT(Y$3)))&lt;&gt;0,_xlpm.y=0),-2,_xlpm.x)))),0))</f>
        <v>0</v>
      </c>
      <c r="Z200" s="198" t="str">
        <f t="shared" ca="1" si="4"/>
        <v>Fback!B200:Y200</v>
      </c>
    </row>
    <row r="201" spans="2:26" ht="21" customHeight="1" outlineLevel="1">
      <c r="B201" s="128"/>
      <c r="C201" s="128"/>
      <c r="D201" s="128"/>
      <c r="E201" s="128"/>
      <c r="F201" s="139"/>
      <c r="G201" s="139"/>
      <c r="H201" s="139"/>
      <c r="I201" s="199" cm="1">
        <f t="array" aca="1" ref="I201" ca="1">IF(OR($B201="",$B201="X",$D201="",$D201="X",$E201="",$E201="X"),0,IFERROR(_xlfn.LET(_xlpm.x,SUM(SUM(_xlfn._xlws.FILTER(VALUE(PptoSty[Sign]&amp;1)*(1/PptoSty[Division]),(PptoSty[Division]&lt;&gt;0)*(PptoSty[Division]&lt;&gt;"")*(PptoSty[Division]&lt;&gt;"X")*(PptoSty[Project]=$B201)*(PptoSty[Vrs]=$D201)*(PptoSty[PiRow]=_xlfn.TEXTAFTER($H201,":"))*(PptoSty[PiColumn]=I$54),0)),SUM(IF((INDIRECT($B$3)=$B201)*(INDIRECT($C$3)=$D201)*((INDIRECT($E$3)="TOTS")+(INDIRECT($E$3)=$E201)),INDIRECT(I$3)))),_xlpm.y,SUM(_xlfn.CHOOSECOLS(_xlfn._xlws.FILTER(F_RT14[],(F_RT14[PrjId]=$B201)*(F_RT14[Vrs]=$D201)*(_xlfn.TEXTAFTER(F_RT14[ActGrp],":")=_xlfn.TEXTAFTER($H201,":")),"X"),MATCH("*"&amp;I$54,F_RT14[#Headers],0))),IF(AND(_xlpm.x=0,_xlpm.y&lt;&gt;0),-1,IF(AND(_xlpm.x&lt;&gt;0,_xlpm.y&lt;&gt;0),_xlpm.x,IF(AND(_xlpm.x-SUM(IF((INDIRECT($B$3)=$B201)*(INDIRECT($C$3)=$D201)*((INDIRECT($E$3)="TOTS")+(INDIRECT($E$3)=$E201)),INDIRECT(I$3)))&lt;&gt;0,_xlpm.y=0),-2,_xlpm.x)))),0))</f>
        <v>0</v>
      </c>
      <c r="J201" s="199" cm="1">
        <f t="array" aca="1" ref="J201" ca="1">IF(OR($B201="",$B201="X",$D201="",$D201="X",$E201="",$E201="X"),0,IFERROR(_xlfn.LET(_xlpm.x,SUM(SUM(_xlfn._xlws.FILTER(VALUE(PptoSty[Sign]&amp;1)*(1/PptoSty[Division]),(PptoSty[Division]&lt;&gt;0)*(PptoSty[Division]&lt;&gt;"")*(PptoSty[Division]&lt;&gt;"X")*(PptoSty[Project]=$B201)*(PptoSty[Vrs]=$D201)*(PptoSty[PiRow]=_xlfn.TEXTAFTER($H201,":"))*(PptoSty[PiColumn]=J$54),0)),SUM(IF((INDIRECT($B$3)=$B201)*(INDIRECT($C$3)=$D201)*((INDIRECT($E$3)="TOTS")+(INDIRECT($E$3)=$E201)),INDIRECT(J$3)))),_xlpm.y,SUM(_xlfn.CHOOSECOLS(_xlfn._xlws.FILTER(F_RT14[],(F_RT14[PrjId]=$B201)*(F_RT14[Vrs]=$D201)*(_xlfn.TEXTAFTER(F_RT14[ActGrp],":")=_xlfn.TEXTAFTER($H201,":")),"X"),MATCH("*"&amp;J$54,F_RT14[#Headers],0))),IF(AND(_xlpm.x=0,_xlpm.y&lt;&gt;0),-1,IF(AND(_xlpm.x&lt;&gt;0,_xlpm.y&lt;&gt;0),_xlpm.x,IF(AND(_xlpm.x-SUM(IF((INDIRECT($B$3)=$B201)*(INDIRECT($C$3)=$D201)*((INDIRECT($E$3)="TOTS")+(INDIRECT($E$3)=$E201)),INDIRECT(J$3)))&lt;&gt;0,_xlpm.y=0),-2,_xlpm.x)))),0))</f>
        <v>0</v>
      </c>
      <c r="K201" s="199" cm="1">
        <f t="array" aca="1" ref="K201" ca="1">IF(OR($B201="",$B201="X",$D201="",$D201="X",$E201="",$E201="X"),0,IFERROR(_xlfn.LET(_xlpm.x,SUM(SUM(_xlfn._xlws.FILTER(VALUE(PptoSty[Sign]&amp;1)*(1/PptoSty[Division]),(PptoSty[Division]&lt;&gt;0)*(PptoSty[Division]&lt;&gt;"")*(PptoSty[Division]&lt;&gt;"X")*(PptoSty[Project]=$B201)*(PptoSty[Vrs]=$D201)*(PptoSty[PiRow]=_xlfn.TEXTAFTER($H201,":"))*(PptoSty[PiColumn]=K$54),0)),SUM(IF((INDIRECT($B$3)=$B201)*(INDIRECT($C$3)=$D201)*((INDIRECT($E$3)="TOTS")+(INDIRECT($E$3)=$E201)),INDIRECT(K$3)))),_xlpm.y,SUM(_xlfn.CHOOSECOLS(_xlfn._xlws.FILTER(F_RT14[],(F_RT14[PrjId]=$B201)*(F_RT14[Vrs]=$D201)*(_xlfn.TEXTAFTER(F_RT14[ActGrp],":")=_xlfn.TEXTAFTER($H201,":")),"X"),MATCH("*"&amp;K$54,F_RT14[#Headers],0))),IF(AND(_xlpm.x=0,_xlpm.y&lt;&gt;0),-1,IF(AND(_xlpm.x&lt;&gt;0,_xlpm.y&lt;&gt;0),_xlpm.x,IF(AND(_xlpm.x-SUM(IF((INDIRECT($B$3)=$B201)*(INDIRECT($C$3)=$D201)*((INDIRECT($E$3)="TOTS")+(INDIRECT($E$3)=$E201)),INDIRECT(K$3)))&lt;&gt;0,_xlpm.y=0),-2,_xlpm.x)))),0))</f>
        <v>0</v>
      </c>
      <c r="L201" s="199" cm="1">
        <f t="array" aca="1" ref="L201" ca="1">IF(OR($B201="",$B201="X",$D201="",$D201="X",$E201="",$E201="X"),0,IFERROR(_xlfn.LET(_xlpm.x,SUM(SUM(_xlfn._xlws.FILTER(VALUE(PptoSty[Sign]&amp;1)*(1/PptoSty[Division]),(PptoSty[Division]&lt;&gt;0)*(PptoSty[Division]&lt;&gt;"")*(PptoSty[Division]&lt;&gt;"X")*(PptoSty[Project]=$B201)*(PptoSty[Vrs]=$D201)*(PptoSty[PiRow]=_xlfn.TEXTAFTER($H201,":"))*(PptoSty[PiColumn]=L$54),0)),SUM(IF((INDIRECT($B$3)=$B201)*(INDIRECT($C$3)=$D201)*((INDIRECT($E$3)="TOTS")+(INDIRECT($E$3)=$E201)),INDIRECT(L$3)))),_xlpm.y,SUM(_xlfn.CHOOSECOLS(_xlfn._xlws.FILTER(F_RT14[],(F_RT14[PrjId]=$B201)*(F_RT14[Vrs]=$D201)*(_xlfn.TEXTAFTER(F_RT14[ActGrp],":")=_xlfn.TEXTAFTER($H201,":")),"X"),MATCH("*"&amp;L$54,F_RT14[#Headers],0))),IF(AND(_xlpm.x=0,_xlpm.y&lt;&gt;0),-1,IF(AND(_xlpm.x&lt;&gt;0,_xlpm.y&lt;&gt;0),_xlpm.x,IF(AND(_xlpm.x-SUM(IF((INDIRECT($B$3)=$B201)*(INDIRECT($C$3)=$D201)*((INDIRECT($E$3)="TOTS")+(INDIRECT($E$3)=$E201)),INDIRECT(L$3)))&lt;&gt;0,_xlpm.y=0),-2,_xlpm.x)))),0))</f>
        <v>0</v>
      </c>
      <c r="M201" s="199" cm="1">
        <f t="array" aca="1" ref="M201" ca="1">IF(OR($B201="",$B201="X",$D201="",$D201="X",$E201="",$E201="X"),0,IFERROR(_xlfn.LET(_xlpm.x,SUM(SUM(_xlfn._xlws.FILTER(VALUE(PptoSty[Sign]&amp;1)*(1/PptoSty[Division]),(PptoSty[Division]&lt;&gt;0)*(PptoSty[Division]&lt;&gt;"")*(PptoSty[Division]&lt;&gt;"X")*(PptoSty[Project]=$B201)*(PptoSty[Vrs]=$D201)*(PptoSty[PiRow]=_xlfn.TEXTAFTER($H201,":"))*(PptoSty[PiColumn]=M$54),0)),SUM(IF((INDIRECT($B$3)=$B201)*(INDIRECT($C$3)=$D201)*((INDIRECT($E$3)="TOTS")+(INDIRECT($E$3)=$E201)),INDIRECT(M$3)))),_xlpm.y,SUM(_xlfn.CHOOSECOLS(_xlfn._xlws.FILTER(F_RT14[],(F_RT14[PrjId]=$B201)*(F_RT14[Vrs]=$D201)*(_xlfn.TEXTAFTER(F_RT14[ActGrp],":")=_xlfn.TEXTAFTER($H201,":")),"X"),MATCH("*"&amp;M$54,F_RT14[#Headers],0))),IF(AND(_xlpm.x=0,_xlpm.y&lt;&gt;0),-1,IF(AND(_xlpm.x&lt;&gt;0,_xlpm.y&lt;&gt;0),_xlpm.x,IF(AND(_xlpm.x-SUM(IF((INDIRECT($B$3)=$B201)*(INDIRECT($C$3)=$D201)*((INDIRECT($E$3)="TOTS")+(INDIRECT($E$3)=$E201)),INDIRECT(M$3)))&lt;&gt;0,_xlpm.y=0),-2,_xlpm.x)))),0))</f>
        <v>0</v>
      </c>
      <c r="N201" s="199" cm="1">
        <f t="array" aca="1" ref="N201" ca="1">IF(OR($B201="",$B201="X",$D201="",$D201="X",$E201="",$E201="X"),0,IFERROR(_xlfn.LET(_xlpm.x,SUM(SUM(_xlfn._xlws.FILTER(VALUE(PptoSty[Sign]&amp;1)*(1/PptoSty[Division]),(PptoSty[Division]&lt;&gt;0)*(PptoSty[Division]&lt;&gt;"")*(PptoSty[Division]&lt;&gt;"X")*(PptoSty[Project]=$B201)*(PptoSty[Vrs]=$D201)*(PptoSty[PiRow]=_xlfn.TEXTAFTER($H201,":"))*(PptoSty[PiColumn]=N$54),0)),SUM(IF((INDIRECT($B$3)=$B201)*(INDIRECT($C$3)=$D201)*((INDIRECT($E$3)="TOTS")+(INDIRECT($E$3)=$E201)),INDIRECT(N$3)))),_xlpm.y,SUM(_xlfn.CHOOSECOLS(_xlfn._xlws.FILTER(F_RT14[],(F_RT14[PrjId]=$B201)*(F_RT14[Vrs]=$D201)*(_xlfn.TEXTAFTER(F_RT14[ActGrp],":")=_xlfn.TEXTAFTER($H201,":")),"X"),MATCH("*"&amp;N$54,F_RT14[#Headers],0))),IF(AND(_xlpm.x=0,_xlpm.y&lt;&gt;0),-1,IF(AND(_xlpm.x&lt;&gt;0,_xlpm.y&lt;&gt;0),_xlpm.x,IF(AND(_xlpm.x-SUM(IF((INDIRECT($B$3)=$B201)*(INDIRECT($C$3)=$D201)*((INDIRECT($E$3)="TOTS")+(INDIRECT($E$3)=$E201)),INDIRECT(N$3)))&lt;&gt;0,_xlpm.y=0),-2,_xlpm.x)))),0))</f>
        <v>0</v>
      </c>
      <c r="O201" s="199" cm="1">
        <f t="array" aca="1" ref="O201" ca="1">IF(OR($B201="",$B201="X",$D201="",$D201="X",$E201="",$E201="X"),0,IFERROR(_xlfn.LET(_xlpm.x,SUM(SUM(_xlfn._xlws.FILTER(VALUE(PptoSty[Sign]&amp;1)*(1/PptoSty[Division]),(PptoSty[Division]&lt;&gt;0)*(PptoSty[Division]&lt;&gt;"")*(PptoSty[Division]&lt;&gt;"X")*(PptoSty[Project]=$B201)*(PptoSty[Vrs]=$D201)*(PptoSty[PiRow]=_xlfn.TEXTAFTER($H201,":"))*(PptoSty[PiColumn]=O$54),0)),SUM(IF((INDIRECT($B$3)=$B201)*(INDIRECT($C$3)=$D201)*((INDIRECT($E$3)="TOTS")+(INDIRECT($E$3)=$E201)),INDIRECT(O$3)))),_xlpm.y,SUM(_xlfn.CHOOSECOLS(_xlfn._xlws.FILTER(F_RT14[],(F_RT14[PrjId]=$B201)*(F_RT14[Vrs]=$D201)*(_xlfn.TEXTAFTER(F_RT14[ActGrp],":")=_xlfn.TEXTAFTER($H201,":")),"X"),MATCH("*"&amp;O$54,F_RT14[#Headers],0))),IF(AND(_xlpm.x=0,_xlpm.y&lt;&gt;0),-1,IF(AND(_xlpm.x&lt;&gt;0,_xlpm.y&lt;&gt;0),_xlpm.x,IF(AND(_xlpm.x-SUM(IF((INDIRECT($B$3)=$B201)*(INDIRECT($C$3)=$D201)*((INDIRECT($E$3)="TOTS")+(INDIRECT($E$3)=$E201)),INDIRECT(O$3)))&lt;&gt;0,_xlpm.y=0),-2,_xlpm.x)))),0))</f>
        <v>0</v>
      </c>
      <c r="P201" s="199" cm="1">
        <f t="array" aca="1" ref="P201" ca="1">IF(OR($B201="",$B201="X",$D201="",$D201="X",$E201="",$E201="X"),0,IFERROR(_xlfn.LET(_xlpm.x,SUM(SUM(_xlfn._xlws.FILTER(VALUE(PptoSty[Sign]&amp;1)*(1/PptoSty[Division]),(PptoSty[Division]&lt;&gt;0)*(PptoSty[Division]&lt;&gt;"")*(PptoSty[Division]&lt;&gt;"X")*(PptoSty[Project]=$B201)*(PptoSty[Vrs]=$D201)*(PptoSty[PiRow]=_xlfn.TEXTAFTER($H201,":"))*(PptoSty[PiColumn]=P$54),0)),SUM(IF((INDIRECT($B$3)=$B201)*(INDIRECT($C$3)=$D201)*((INDIRECT($E$3)="TOTS")+(INDIRECT($E$3)=$E201)),INDIRECT(P$3)))),_xlpm.y,SUM(_xlfn.CHOOSECOLS(_xlfn._xlws.FILTER(F_RT14[],(F_RT14[PrjId]=$B201)*(F_RT14[Vrs]=$D201)*(_xlfn.TEXTAFTER(F_RT14[ActGrp],":")=_xlfn.TEXTAFTER($H201,":")),"X"),MATCH("*"&amp;P$54,F_RT14[#Headers],0))),IF(AND(_xlpm.x=0,_xlpm.y&lt;&gt;0),-1,IF(AND(_xlpm.x&lt;&gt;0,_xlpm.y&lt;&gt;0),_xlpm.x,IF(AND(_xlpm.x-SUM(IF((INDIRECT($B$3)=$B201)*(INDIRECT($C$3)=$D201)*((INDIRECT($E$3)="TOTS")+(INDIRECT($E$3)=$E201)),INDIRECT(P$3)))&lt;&gt;0,_xlpm.y=0),-2,_xlpm.x)))),0))</f>
        <v>0</v>
      </c>
      <c r="Q201" s="199" cm="1">
        <f t="array" aca="1" ref="Q201" ca="1">IF(OR($B201="",$B201="X",$D201="",$D201="X",$E201="",$E201="X"),0,IFERROR(_xlfn.LET(_xlpm.x,SUM(SUM(_xlfn._xlws.FILTER(VALUE(PptoSty[Sign]&amp;1)*(1/PptoSty[Division]),(PptoSty[Division]&lt;&gt;0)*(PptoSty[Division]&lt;&gt;"")*(PptoSty[Division]&lt;&gt;"X")*(PptoSty[Project]=$B201)*(PptoSty[Vrs]=$D201)*(PptoSty[PiRow]=_xlfn.TEXTAFTER($H201,":"))*(PptoSty[PiColumn]=Q$54),0)),SUM(IF((INDIRECT($B$3)=$B201)*(INDIRECT($C$3)=$D201)*((INDIRECT($E$3)="TOTS")+(INDIRECT($E$3)=$E201)),INDIRECT(Q$3)))),_xlpm.y,SUM(_xlfn.CHOOSECOLS(_xlfn._xlws.FILTER(F_RT14[],(F_RT14[PrjId]=$B201)*(F_RT14[Vrs]=$D201)*(_xlfn.TEXTAFTER(F_RT14[ActGrp],":")=_xlfn.TEXTAFTER($H201,":")),"X"),MATCH("*"&amp;Q$54,F_RT14[#Headers],0))),IF(AND(_xlpm.x=0,_xlpm.y&lt;&gt;0),-1,IF(AND(_xlpm.x&lt;&gt;0,_xlpm.y&lt;&gt;0),_xlpm.x,IF(AND(_xlpm.x-SUM(IF((INDIRECT($B$3)=$B201)*(INDIRECT($C$3)=$D201)*((INDIRECT($E$3)="TOTS")+(INDIRECT($E$3)=$E201)),INDIRECT(Q$3)))&lt;&gt;0,_xlpm.y=0),-2,_xlpm.x)))),0))</f>
        <v>0</v>
      </c>
      <c r="R201" s="199" cm="1">
        <f t="array" aca="1" ref="R201" ca="1">IF(OR($B201="",$B201="X",$D201="",$D201="X",$E201="",$E201="X"),0,IFERROR(_xlfn.LET(_xlpm.x,SUM(SUM(_xlfn._xlws.FILTER(VALUE(PptoSty[Sign]&amp;1)*(1/PptoSty[Division]),(PptoSty[Division]&lt;&gt;0)*(PptoSty[Division]&lt;&gt;"")*(PptoSty[Division]&lt;&gt;"X")*(PptoSty[Project]=$B201)*(PptoSty[Vrs]=$D201)*(PptoSty[PiRow]=_xlfn.TEXTAFTER($H201,":"))*(PptoSty[PiColumn]=R$54),0)),SUM(IF((INDIRECT($B$3)=$B201)*(INDIRECT($C$3)=$D201)*((INDIRECT($E$3)="TOTS")+(INDIRECT($E$3)=$E201)),INDIRECT(R$3)))),_xlpm.y,SUM(_xlfn.CHOOSECOLS(_xlfn._xlws.FILTER(F_RT14[],(F_RT14[PrjId]=$B201)*(F_RT14[Vrs]=$D201)*(_xlfn.TEXTAFTER(F_RT14[ActGrp],":")=_xlfn.TEXTAFTER($H201,":")),"X"),MATCH("*"&amp;R$54,F_RT14[#Headers],0))),IF(AND(_xlpm.x=0,_xlpm.y&lt;&gt;0),-1,IF(AND(_xlpm.x&lt;&gt;0,_xlpm.y&lt;&gt;0),_xlpm.x,IF(AND(_xlpm.x-SUM(IF((INDIRECT($B$3)=$B201)*(INDIRECT($C$3)=$D201)*((INDIRECT($E$3)="TOTS")+(INDIRECT($E$3)=$E201)),INDIRECT(R$3)))&lt;&gt;0,_xlpm.y=0),-2,_xlpm.x)))),0))</f>
        <v>0</v>
      </c>
      <c r="S201" s="199" cm="1">
        <f t="array" aca="1" ref="S201" ca="1">IF(OR($B201="",$B201="X",$D201="",$D201="X",$E201="",$E201="X"),0,IFERROR(_xlfn.LET(_xlpm.x,SUM(SUM(_xlfn._xlws.FILTER(VALUE(PptoSty[Sign]&amp;1)*(1/PptoSty[Division]),(PptoSty[Division]&lt;&gt;0)*(PptoSty[Division]&lt;&gt;"")*(PptoSty[Division]&lt;&gt;"X")*(PptoSty[Project]=$B201)*(PptoSty[Vrs]=$D201)*(PptoSty[PiRow]=_xlfn.TEXTAFTER($H201,":"))*(PptoSty[PiColumn]=S$54),0)),SUM(IF((INDIRECT($B$3)=$B201)*(INDIRECT($C$3)=$D201)*((INDIRECT($E$3)="TOTS")+(INDIRECT($E$3)=$E201)),INDIRECT(S$3)))),_xlpm.y,SUM(_xlfn.CHOOSECOLS(_xlfn._xlws.FILTER(F_RT14[],(F_RT14[PrjId]=$B201)*(F_RT14[Vrs]=$D201)*(_xlfn.TEXTAFTER(F_RT14[ActGrp],":")=_xlfn.TEXTAFTER($H201,":")),"X"),MATCH("*"&amp;S$54,F_RT14[#Headers],0))),IF(AND(_xlpm.x=0,_xlpm.y&lt;&gt;0),-1,IF(AND(_xlpm.x&lt;&gt;0,_xlpm.y&lt;&gt;0),_xlpm.x,IF(AND(_xlpm.x-SUM(IF((INDIRECT($B$3)=$B201)*(INDIRECT($C$3)=$D201)*((INDIRECT($E$3)="TOTS")+(INDIRECT($E$3)=$E201)),INDIRECT(S$3)))&lt;&gt;0,_xlpm.y=0),-2,_xlpm.x)))),0))</f>
        <v>0</v>
      </c>
      <c r="T201" s="199" cm="1">
        <f t="array" aca="1" ref="T201" ca="1">IF(OR($B201="",$B201="X",$D201="",$D201="X",$E201="",$E201="X"),0,IFERROR(_xlfn.LET(_xlpm.x,SUM(SUM(_xlfn._xlws.FILTER(VALUE(PptoSty[Sign]&amp;1)*(1/PptoSty[Division]),(PptoSty[Division]&lt;&gt;0)*(PptoSty[Division]&lt;&gt;"")*(PptoSty[Division]&lt;&gt;"X")*(PptoSty[Project]=$B201)*(PptoSty[Vrs]=$D201)*(PptoSty[PiRow]=_xlfn.TEXTAFTER($H201,":"))*(PptoSty[PiColumn]=T$54),0)),SUM(IF((INDIRECT($B$3)=$B201)*(INDIRECT($C$3)=$D201)*((INDIRECT($E$3)="TOTS")+(INDIRECT($E$3)=$E201)),INDIRECT(T$3)))),_xlpm.y,SUM(_xlfn.CHOOSECOLS(_xlfn._xlws.FILTER(F_RT14[],(F_RT14[PrjId]=$B201)*(F_RT14[Vrs]=$D201)*(_xlfn.TEXTAFTER(F_RT14[ActGrp],":")=_xlfn.TEXTAFTER($H201,":")),"X"),MATCH("*"&amp;T$54,F_RT14[#Headers],0))),IF(AND(_xlpm.x=0,_xlpm.y&lt;&gt;0),-1,IF(AND(_xlpm.x&lt;&gt;0,_xlpm.y&lt;&gt;0),_xlpm.x,IF(AND(_xlpm.x-SUM(IF((INDIRECT($B$3)=$B201)*(INDIRECT($C$3)=$D201)*((INDIRECT($E$3)="TOTS")+(INDIRECT($E$3)=$E201)),INDIRECT(T$3)))&lt;&gt;0,_xlpm.y=0),-2,_xlpm.x)))),0))</f>
        <v>0</v>
      </c>
      <c r="U201" s="199" cm="1">
        <f t="array" aca="1" ref="U201" ca="1">IF(OR($B201="",$B201="X",$D201="",$D201="X",$E201="",$E201="X"),0,IFERROR(_xlfn.LET(_xlpm.x,SUM(SUM(_xlfn._xlws.FILTER(VALUE(PptoSty[Sign]&amp;1)*(1/PptoSty[Division]),(PptoSty[Division]&lt;&gt;0)*(PptoSty[Division]&lt;&gt;"")*(PptoSty[Division]&lt;&gt;"X")*(PptoSty[Project]=$B201)*(PptoSty[Vrs]=$D201)*(PptoSty[PiRow]=_xlfn.TEXTAFTER($H201,":"))*(PptoSty[PiColumn]=U$54),0)),SUM(IF((INDIRECT($B$3)=$B201)*(INDIRECT($C$3)=$D201)*((INDIRECT($E$3)="TOTS")+(INDIRECT($E$3)=$E201)),INDIRECT(U$3)))),_xlpm.y,SUM(_xlfn.CHOOSECOLS(_xlfn._xlws.FILTER(F_RT14[],(F_RT14[PrjId]=$B201)*(F_RT14[Vrs]=$D201)*(_xlfn.TEXTAFTER(F_RT14[ActGrp],":")=_xlfn.TEXTAFTER($H201,":")),"X"),MATCH("*"&amp;U$54,F_RT14[#Headers],0))),IF(AND(_xlpm.x=0,_xlpm.y&lt;&gt;0),-1,IF(AND(_xlpm.x&lt;&gt;0,_xlpm.y&lt;&gt;0),_xlpm.x,IF(AND(_xlpm.x-SUM(IF((INDIRECT($B$3)=$B201)*(INDIRECT($C$3)=$D201)*((INDIRECT($E$3)="TOTS")+(INDIRECT($E$3)=$E201)),INDIRECT(U$3)))&lt;&gt;0,_xlpm.y=0),-2,_xlpm.x)))),0))</f>
        <v>0</v>
      </c>
      <c r="V201" s="199" cm="1">
        <f t="array" aca="1" ref="V201" ca="1">IF(OR($B201="",$B201="X",$D201="",$D201="X",$E201="",$E201="X"),0,IFERROR(_xlfn.LET(_xlpm.x,SUM(SUM(_xlfn._xlws.FILTER(VALUE(PptoSty[Sign]&amp;1)*(1/PptoSty[Division]),(PptoSty[Division]&lt;&gt;0)*(PptoSty[Division]&lt;&gt;"")*(PptoSty[Division]&lt;&gt;"X")*(PptoSty[Project]=$B201)*(PptoSty[Vrs]=$D201)*(PptoSty[PiRow]=_xlfn.TEXTAFTER($H201,":"))*(PptoSty[PiColumn]=V$54),0)),SUM(IF((INDIRECT($B$3)=$B201)*(INDIRECT($C$3)=$D201)*((INDIRECT($E$3)="TOTS")+(INDIRECT($E$3)=$E201)),INDIRECT(V$3)))),_xlpm.y,SUM(_xlfn.CHOOSECOLS(_xlfn._xlws.FILTER(F_RT14[],(F_RT14[PrjId]=$B201)*(F_RT14[Vrs]=$D201)*(_xlfn.TEXTAFTER(F_RT14[ActGrp],":")=_xlfn.TEXTAFTER($H201,":")),"X"),MATCH("*"&amp;V$54,F_RT14[#Headers],0))),IF(AND(_xlpm.x=0,_xlpm.y&lt;&gt;0),-1,IF(AND(_xlpm.x&lt;&gt;0,_xlpm.y&lt;&gt;0),_xlpm.x,IF(AND(_xlpm.x-SUM(IF((INDIRECT($B$3)=$B201)*(INDIRECT($C$3)=$D201)*((INDIRECT($E$3)="TOTS")+(INDIRECT($E$3)=$E201)),INDIRECT(V$3)))&lt;&gt;0,_xlpm.y=0),-2,_xlpm.x)))),0))</f>
        <v>0</v>
      </c>
      <c r="W201" s="199" cm="1">
        <f t="array" aca="1" ref="W201" ca="1">IF(OR($B201="",$B201="X",$D201="",$D201="X",$E201="",$E201="X"),0,IFERROR(_xlfn.LET(_xlpm.x,SUM(SUM(_xlfn._xlws.FILTER(VALUE(PptoSty[Sign]&amp;1)*(1/PptoSty[Division]),(PptoSty[Division]&lt;&gt;0)*(PptoSty[Division]&lt;&gt;"")*(PptoSty[Division]&lt;&gt;"X")*(PptoSty[Project]=$B201)*(PptoSty[Vrs]=$D201)*(PptoSty[PiRow]=_xlfn.TEXTAFTER($H201,":"))*(PptoSty[PiColumn]=W$54),0)),SUM(IF((INDIRECT($B$3)=$B201)*(INDIRECT($C$3)=$D201)*((INDIRECT($E$3)="TOTS")+(INDIRECT($E$3)=$E201)),INDIRECT(W$3)))),_xlpm.y,SUM(_xlfn.CHOOSECOLS(_xlfn._xlws.FILTER(F_RT14[],(F_RT14[PrjId]=$B201)*(F_RT14[Vrs]=$D201)*(_xlfn.TEXTAFTER(F_RT14[ActGrp],":")=_xlfn.TEXTAFTER($H201,":")),"X"),MATCH("*"&amp;W$54,F_RT14[#Headers],0))),IF(AND(_xlpm.x=0,_xlpm.y&lt;&gt;0),-1,IF(AND(_xlpm.x&lt;&gt;0,_xlpm.y&lt;&gt;0),_xlpm.x,IF(AND(_xlpm.x-SUM(IF((INDIRECT($B$3)=$B201)*(INDIRECT($C$3)=$D201)*((INDIRECT($E$3)="TOTS")+(INDIRECT($E$3)=$E201)),INDIRECT(W$3)))&lt;&gt;0,_xlpm.y=0),-2,_xlpm.x)))),0))</f>
        <v>0</v>
      </c>
      <c r="X201" s="199" cm="1">
        <f t="array" aca="1" ref="X201" ca="1">IF(OR($B201="",$B201="X",$D201="",$D201="X",$E201="",$E201="X"),0,IFERROR(_xlfn.LET(_xlpm.x,SUM(SUM(_xlfn._xlws.FILTER(VALUE(PptoSty[Sign]&amp;1)*(1/PptoSty[Division]),(PptoSty[Division]&lt;&gt;0)*(PptoSty[Division]&lt;&gt;"")*(PptoSty[Division]&lt;&gt;"X")*(PptoSty[Project]=$B201)*(PptoSty[Vrs]=$D201)*(PptoSty[PiRow]=_xlfn.TEXTAFTER($H201,":"))*(PptoSty[PiColumn]=X$54),0)),SUM(IF((INDIRECT($B$3)=$B201)*(INDIRECT($C$3)=$D201)*((INDIRECT($E$3)="TOTS")+(INDIRECT($E$3)=$E201)),INDIRECT(X$3)))),_xlpm.y,SUM(_xlfn.CHOOSECOLS(_xlfn._xlws.FILTER(F_RT14[],(F_RT14[PrjId]=$B201)*(F_RT14[Vrs]=$D201)*(_xlfn.TEXTAFTER(F_RT14[ActGrp],":")=_xlfn.TEXTAFTER($H201,":")),"X"),MATCH("*"&amp;X$54,F_RT14[#Headers],0))),IF(AND(_xlpm.x=0,_xlpm.y&lt;&gt;0),-1,IF(AND(_xlpm.x&lt;&gt;0,_xlpm.y&lt;&gt;0),_xlpm.x,IF(AND(_xlpm.x-SUM(IF((INDIRECT($B$3)=$B201)*(INDIRECT($C$3)=$D201)*((INDIRECT($E$3)="TOTS")+(INDIRECT($E$3)=$E201)),INDIRECT(X$3)))&lt;&gt;0,_xlpm.y=0),-2,_xlpm.x)))),0))</f>
        <v>0</v>
      </c>
      <c r="Y201" s="199" cm="1">
        <f t="array" aca="1" ref="Y201" ca="1">IF(OR($B201="",$B201="X",$D201="",$D201="X",$E201="",$E201="X"),0,IFERROR(_xlfn.LET(_xlpm.x,SUM(SUM(_xlfn._xlws.FILTER(VALUE(PptoSty[Sign]&amp;1)*(1/PptoSty[Division]),(PptoSty[Division]&lt;&gt;0)*(PptoSty[Division]&lt;&gt;"")*(PptoSty[Division]&lt;&gt;"X")*(PptoSty[Project]=$B201)*(PptoSty[Vrs]=$D201)*(PptoSty[PiRow]=_xlfn.TEXTAFTER($H201,":"))*(PptoSty[PiColumn]=Y$54),0)),SUM(IF((INDIRECT($B$3)=$B201)*(INDIRECT($C$3)=$D201)*((INDIRECT($E$3)="TOTS")+(INDIRECT($E$3)=$E201)),INDIRECT(Y$3)))),_xlpm.y,SUM(_xlfn.CHOOSECOLS(_xlfn._xlws.FILTER(F_RT14[],(F_RT14[PrjId]=$B201)*(F_RT14[Vrs]=$D201)*(_xlfn.TEXTAFTER(F_RT14[ActGrp],":")=_xlfn.TEXTAFTER($H201,":")),"X"),MATCH("*"&amp;Y$54,F_RT14[#Headers],0))),IF(AND(_xlpm.x=0,_xlpm.y&lt;&gt;0),-1,IF(AND(_xlpm.x&lt;&gt;0,_xlpm.y&lt;&gt;0),_xlpm.x,IF(AND(_xlpm.x-SUM(IF((INDIRECT($B$3)=$B201)*(INDIRECT($C$3)=$D201)*((INDIRECT($E$3)="TOTS")+(INDIRECT($E$3)=$E201)),INDIRECT(Y$3)))&lt;&gt;0,_xlpm.y=0),-2,_xlpm.x)))),0))</f>
        <v>0</v>
      </c>
      <c r="Z201" s="198" t="str">
        <f t="shared" ca="1" si="4"/>
        <v>Fback!B201:Y201</v>
      </c>
    </row>
    <row r="202" spans="2:26" ht="21" customHeight="1" outlineLevel="1">
      <c r="B202" s="128"/>
      <c r="C202" s="128"/>
      <c r="D202" s="128"/>
      <c r="E202" s="128"/>
      <c r="F202" s="139"/>
      <c r="G202" s="139"/>
      <c r="H202" s="139"/>
      <c r="I202" s="199" cm="1">
        <f t="array" aca="1" ref="I202" ca="1">IF(OR($B202="",$B202="X",$D202="",$D202="X",$E202="",$E202="X"),0,IFERROR(_xlfn.LET(_xlpm.x,SUM(SUM(_xlfn._xlws.FILTER(VALUE(PptoSty[Sign]&amp;1)*(1/PptoSty[Division]),(PptoSty[Division]&lt;&gt;0)*(PptoSty[Division]&lt;&gt;"")*(PptoSty[Division]&lt;&gt;"X")*(PptoSty[Project]=$B202)*(PptoSty[Vrs]=$D202)*(PptoSty[PiRow]=_xlfn.TEXTAFTER($H202,":"))*(PptoSty[PiColumn]=I$54),0)),SUM(IF((INDIRECT($B$3)=$B202)*(INDIRECT($C$3)=$D202)*((INDIRECT($E$3)="TOTS")+(INDIRECT($E$3)=$E202)),INDIRECT(I$3)))),_xlpm.y,SUM(_xlfn.CHOOSECOLS(_xlfn._xlws.FILTER(F_RT14[],(F_RT14[PrjId]=$B202)*(F_RT14[Vrs]=$D202)*(_xlfn.TEXTAFTER(F_RT14[ActGrp],":")=_xlfn.TEXTAFTER($H202,":")),"X"),MATCH("*"&amp;I$54,F_RT14[#Headers],0))),IF(AND(_xlpm.x=0,_xlpm.y&lt;&gt;0),-1,IF(AND(_xlpm.x&lt;&gt;0,_xlpm.y&lt;&gt;0),_xlpm.x,IF(AND(_xlpm.x-SUM(IF((INDIRECT($B$3)=$B202)*(INDIRECT($C$3)=$D202)*((INDIRECT($E$3)="TOTS")+(INDIRECT($E$3)=$E202)),INDIRECT(I$3)))&lt;&gt;0,_xlpm.y=0),-2,_xlpm.x)))),0))</f>
        <v>0</v>
      </c>
      <c r="J202" s="199" cm="1">
        <f t="array" aca="1" ref="J202" ca="1">IF(OR($B202="",$B202="X",$D202="",$D202="X",$E202="",$E202="X"),0,IFERROR(_xlfn.LET(_xlpm.x,SUM(SUM(_xlfn._xlws.FILTER(VALUE(PptoSty[Sign]&amp;1)*(1/PptoSty[Division]),(PptoSty[Division]&lt;&gt;0)*(PptoSty[Division]&lt;&gt;"")*(PptoSty[Division]&lt;&gt;"X")*(PptoSty[Project]=$B202)*(PptoSty[Vrs]=$D202)*(PptoSty[PiRow]=_xlfn.TEXTAFTER($H202,":"))*(PptoSty[PiColumn]=J$54),0)),SUM(IF((INDIRECT($B$3)=$B202)*(INDIRECT($C$3)=$D202)*((INDIRECT($E$3)="TOTS")+(INDIRECT($E$3)=$E202)),INDIRECT(J$3)))),_xlpm.y,SUM(_xlfn.CHOOSECOLS(_xlfn._xlws.FILTER(F_RT14[],(F_RT14[PrjId]=$B202)*(F_RT14[Vrs]=$D202)*(_xlfn.TEXTAFTER(F_RT14[ActGrp],":")=_xlfn.TEXTAFTER($H202,":")),"X"),MATCH("*"&amp;J$54,F_RT14[#Headers],0))),IF(AND(_xlpm.x=0,_xlpm.y&lt;&gt;0),-1,IF(AND(_xlpm.x&lt;&gt;0,_xlpm.y&lt;&gt;0),_xlpm.x,IF(AND(_xlpm.x-SUM(IF((INDIRECT($B$3)=$B202)*(INDIRECT($C$3)=$D202)*((INDIRECT($E$3)="TOTS")+(INDIRECT($E$3)=$E202)),INDIRECT(J$3)))&lt;&gt;0,_xlpm.y=0),-2,_xlpm.x)))),0))</f>
        <v>0</v>
      </c>
      <c r="K202" s="199" cm="1">
        <f t="array" aca="1" ref="K202" ca="1">IF(OR($B202="",$B202="X",$D202="",$D202="X",$E202="",$E202="X"),0,IFERROR(_xlfn.LET(_xlpm.x,SUM(SUM(_xlfn._xlws.FILTER(VALUE(PptoSty[Sign]&amp;1)*(1/PptoSty[Division]),(PptoSty[Division]&lt;&gt;0)*(PptoSty[Division]&lt;&gt;"")*(PptoSty[Division]&lt;&gt;"X")*(PptoSty[Project]=$B202)*(PptoSty[Vrs]=$D202)*(PptoSty[PiRow]=_xlfn.TEXTAFTER($H202,":"))*(PptoSty[PiColumn]=K$54),0)),SUM(IF((INDIRECT($B$3)=$B202)*(INDIRECT($C$3)=$D202)*((INDIRECT($E$3)="TOTS")+(INDIRECT($E$3)=$E202)),INDIRECT(K$3)))),_xlpm.y,SUM(_xlfn.CHOOSECOLS(_xlfn._xlws.FILTER(F_RT14[],(F_RT14[PrjId]=$B202)*(F_RT14[Vrs]=$D202)*(_xlfn.TEXTAFTER(F_RT14[ActGrp],":")=_xlfn.TEXTAFTER($H202,":")),"X"),MATCH("*"&amp;K$54,F_RT14[#Headers],0))),IF(AND(_xlpm.x=0,_xlpm.y&lt;&gt;0),-1,IF(AND(_xlpm.x&lt;&gt;0,_xlpm.y&lt;&gt;0),_xlpm.x,IF(AND(_xlpm.x-SUM(IF((INDIRECT($B$3)=$B202)*(INDIRECT($C$3)=$D202)*((INDIRECT($E$3)="TOTS")+(INDIRECT($E$3)=$E202)),INDIRECT(K$3)))&lt;&gt;0,_xlpm.y=0),-2,_xlpm.x)))),0))</f>
        <v>0</v>
      </c>
      <c r="L202" s="199" cm="1">
        <f t="array" aca="1" ref="L202" ca="1">IF(OR($B202="",$B202="X",$D202="",$D202="X",$E202="",$E202="X"),0,IFERROR(_xlfn.LET(_xlpm.x,SUM(SUM(_xlfn._xlws.FILTER(VALUE(PptoSty[Sign]&amp;1)*(1/PptoSty[Division]),(PptoSty[Division]&lt;&gt;0)*(PptoSty[Division]&lt;&gt;"")*(PptoSty[Division]&lt;&gt;"X")*(PptoSty[Project]=$B202)*(PptoSty[Vrs]=$D202)*(PptoSty[PiRow]=_xlfn.TEXTAFTER($H202,":"))*(PptoSty[PiColumn]=L$54),0)),SUM(IF((INDIRECT($B$3)=$B202)*(INDIRECT($C$3)=$D202)*((INDIRECT($E$3)="TOTS")+(INDIRECT($E$3)=$E202)),INDIRECT(L$3)))),_xlpm.y,SUM(_xlfn.CHOOSECOLS(_xlfn._xlws.FILTER(F_RT14[],(F_RT14[PrjId]=$B202)*(F_RT14[Vrs]=$D202)*(_xlfn.TEXTAFTER(F_RT14[ActGrp],":")=_xlfn.TEXTAFTER($H202,":")),"X"),MATCH("*"&amp;L$54,F_RT14[#Headers],0))),IF(AND(_xlpm.x=0,_xlpm.y&lt;&gt;0),-1,IF(AND(_xlpm.x&lt;&gt;0,_xlpm.y&lt;&gt;0),_xlpm.x,IF(AND(_xlpm.x-SUM(IF((INDIRECT($B$3)=$B202)*(INDIRECT($C$3)=$D202)*((INDIRECT($E$3)="TOTS")+(INDIRECT($E$3)=$E202)),INDIRECT(L$3)))&lt;&gt;0,_xlpm.y=0),-2,_xlpm.x)))),0))</f>
        <v>0</v>
      </c>
      <c r="M202" s="199" cm="1">
        <f t="array" aca="1" ref="M202" ca="1">IF(OR($B202="",$B202="X",$D202="",$D202="X",$E202="",$E202="X"),0,IFERROR(_xlfn.LET(_xlpm.x,SUM(SUM(_xlfn._xlws.FILTER(VALUE(PptoSty[Sign]&amp;1)*(1/PptoSty[Division]),(PptoSty[Division]&lt;&gt;0)*(PptoSty[Division]&lt;&gt;"")*(PptoSty[Division]&lt;&gt;"X")*(PptoSty[Project]=$B202)*(PptoSty[Vrs]=$D202)*(PptoSty[PiRow]=_xlfn.TEXTAFTER($H202,":"))*(PptoSty[PiColumn]=M$54),0)),SUM(IF((INDIRECT($B$3)=$B202)*(INDIRECT($C$3)=$D202)*((INDIRECT($E$3)="TOTS")+(INDIRECT($E$3)=$E202)),INDIRECT(M$3)))),_xlpm.y,SUM(_xlfn.CHOOSECOLS(_xlfn._xlws.FILTER(F_RT14[],(F_RT14[PrjId]=$B202)*(F_RT14[Vrs]=$D202)*(_xlfn.TEXTAFTER(F_RT14[ActGrp],":")=_xlfn.TEXTAFTER($H202,":")),"X"),MATCH("*"&amp;M$54,F_RT14[#Headers],0))),IF(AND(_xlpm.x=0,_xlpm.y&lt;&gt;0),-1,IF(AND(_xlpm.x&lt;&gt;0,_xlpm.y&lt;&gt;0),_xlpm.x,IF(AND(_xlpm.x-SUM(IF((INDIRECT($B$3)=$B202)*(INDIRECT($C$3)=$D202)*((INDIRECT($E$3)="TOTS")+(INDIRECT($E$3)=$E202)),INDIRECT(M$3)))&lt;&gt;0,_xlpm.y=0),-2,_xlpm.x)))),0))</f>
        <v>0</v>
      </c>
      <c r="N202" s="199" cm="1">
        <f t="array" aca="1" ref="N202" ca="1">IF(OR($B202="",$B202="X",$D202="",$D202="X",$E202="",$E202="X"),0,IFERROR(_xlfn.LET(_xlpm.x,SUM(SUM(_xlfn._xlws.FILTER(VALUE(PptoSty[Sign]&amp;1)*(1/PptoSty[Division]),(PptoSty[Division]&lt;&gt;0)*(PptoSty[Division]&lt;&gt;"")*(PptoSty[Division]&lt;&gt;"X")*(PptoSty[Project]=$B202)*(PptoSty[Vrs]=$D202)*(PptoSty[PiRow]=_xlfn.TEXTAFTER($H202,":"))*(PptoSty[PiColumn]=N$54),0)),SUM(IF((INDIRECT($B$3)=$B202)*(INDIRECT($C$3)=$D202)*((INDIRECT($E$3)="TOTS")+(INDIRECT($E$3)=$E202)),INDIRECT(N$3)))),_xlpm.y,SUM(_xlfn.CHOOSECOLS(_xlfn._xlws.FILTER(F_RT14[],(F_RT14[PrjId]=$B202)*(F_RT14[Vrs]=$D202)*(_xlfn.TEXTAFTER(F_RT14[ActGrp],":")=_xlfn.TEXTAFTER($H202,":")),"X"),MATCH("*"&amp;N$54,F_RT14[#Headers],0))),IF(AND(_xlpm.x=0,_xlpm.y&lt;&gt;0),-1,IF(AND(_xlpm.x&lt;&gt;0,_xlpm.y&lt;&gt;0),_xlpm.x,IF(AND(_xlpm.x-SUM(IF((INDIRECT($B$3)=$B202)*(INDIRECT($C$3)=$D202)*((INDIRECT($E$3)="TOTS")+(INDIRECT($E$3)=$E202)),INDIRECT(N$3)))&lt;&gt;0,_xlpm.y=0),-2,_xlpm.x)))),0))</f>
        <v>0</v>
      </c>
      <c r="O202" s="199" cm="1">
        <f t="array" aca="1" ref="O202" ca="1">IF(OR($B202="",$B202="X",$D202="",$D202="X",$E202="",$E202="X"),0,IFERROR(_xlfn.LET(_xlpm.x,SUM(SUM(_xlfn._xlws.FILTER(VALUE(PptoSty[Sign]&amp;1)*(1/PptoSty[Division]),(PptoSty[Division]&lt;&gt;0)*(PptoSty[Division]&lt;&gt;"")*(PptoSty[Division]&lt;&gt;"X")*(PptoSty[Project]=$B202)*(PptoSty[Vrs]=$D202)*(PptoSty[PiRow]=_xlfn.TEXTAFTER($H202,":"))*(PptoSty[PiColumn]=O$54),0)),SUM(IF((INDIRECT($B$3)=$B202)*(INDIRECT($C$3)=$D202)*((INDIRECT($E$3)="TOTS")+(INDIRECT($E$3)=$E202)),INDIRECT(O$3)))),_xlpm.y,SUM(_xlfn.CHOOSECOLS(_xlfn._xlws.FILTER(F_RT14[],(F_RT14[PrjId]=$B202)*(F_RT14[Vrs]=$D202)*(_xlfn.TEXTAFTER(F_RT14[ActGrp],":")=_xlfn.TEXTAFTER($H202,":")),"X"),MATCH("*"&amp;O$54,F_RT14[#Headers],0))),IF(AND(_xlpm.x=0,_xlpm.y&lt;&gt;0),-1,IF(AND(_xlpm.x&lt;&gt;0,_xlpm.y&lt;&gt;0),_xlpm.x,IF(AND(_xlpm.x-SUM(IF((INDIRECT($B$3)=$B202)*(INDIRECT($C$3)=$D202)*((INDIRECT($E$3)="TOTS")+(INDIRECT($E$3)=$E202)),INDIRECT(O$3)))&lt;&gt;0,_xlpm.y=0),-2,_xlpm.x)))),0))</f>
        <v>0</v>
      </c>
      <c r="P202" s="199" cm="1">
        <f t="array" aca="1" ref="P202" ca="1">IF(OR($B202="",$B202="X",$D202="",$D202="X",$E202="",$E202="X"),0,IFERROR(_xlfn.LET(_xlpm.x,SUM(SUM(_xlfn._xlws.FILTER(VALUE(PptoSty[Sign]&amp;1)*(1/PptoSty[Division]),(PptoSty[Division]&lt;&gt;0)*(PptoSty[Division]&lt;&gt;"")*(PptoSty[Division]&lt;&gt;"X")*(PptoSty[Project]=$B202)*(PptoSty[Vrs]=$D202)*(PptoSty[PiRow]=_xlfn.TEXTAFTER($H202,":"))*(PptoSty[PiColumn]=P$54),0)),SUM(IF((INDIRECT($B$3)=$B202)*(INDIRECT($C$3)=$D202)*((INDIRECT($E$3)="TOTS")+(INDIRECT($E$3)=$E202)),INDIRECT(P$3)))),_xlpm.y,SUM(_xlfn.CHOOSECOLS(_xlfn._xlws.FILTER(F_RT14[],(F_RT14[PrjId]=$B202)*(F_RT14[Vrs]=$D202)*(_xlfn.TEXTAFTER(F_RT14[ActGrp],":")=_xlfn.TEXTAFTER($H202,":")),"X"),MATCH("*"&amp;P$54,F_RT14[#Headers],0))),IF(AND(_xlpm.x=0,_xlpm.y&lt;&gt;0),-1,IF(AND(_xlpm.x&lt;&gt;0,_xlpm.y&lt;&gt;0),_xlpm.x,IF(AND(_xlpm.x-SUM(IF((INDIRECT($B$3)=$B202)*(INDIRECT($C$3)=$D202)*((INDIRECT($E$3)="TOTS")+(INDIRECT($E$3)=$E202)),INDIRECT(P$3)))&lt;&gt;0,_xlpm.y=0),-2,_xlpm.x)))),0))</f>
        <v>0</v>
      </c>
      <c r="Q202" s="199" cm="1">
        <f t="array" aca="1" ref="Q202" ca="1">IF(OR($B202="",$B202="X",$D202="",$D202="X",$E202="",$E202="X"),0,IFERROR(_xlfn.LET(_xlpm.x,SUM(SUM(_xlfn._xlws.FILTER(VALUE(PptoSty[Sign]&amp;1)*(1/PptoSty[Division]),(PptoSty[Division]&lt;&gt;0)*(PptoSty[Division]&lt;&gt;"")*(PptoSty[Division]&lt;&gt;"X")*(PptoSty[Project]=$B202)*(PptoSty[Vrs]=$D202)*(PptoSty[PiRow]=_xlfn.TEXTAFTER($H202,":"))*(PptoSty[PiColumn]=Q$54),0)),SUM(IF((INDIRECT($B$3)=$B202)*(INDIRECT($C$3)=$D202)*((INDIRECT($E$3)="TOTS")+(INDIRECT($E$3)=$E202)),INDIRECT(Q$3)))),_xlpm.y,SUM(_xlfn.CHOOSECOLS(_xlfn._xlws.FILTER(F_RT14[],(F_RT14[PrjId]=$B202)*(F_RT14[Vrs]=$D202)*(_xlfn.TEXTAFTER(F_RT14[ActGrp],":")=_xlfn.TEXTAFTER($H202,":")),"X"),MATCH("*"&amp;Q$54,F_RT14[#Headers],0))),IF(AND(_xlpm.x=0,_xlpm.y&lt;&gt;0),-1,IF(AND(_xlpm.x&lt;&gt;0,_xlpm.y&lt;&gt;0),_xlpm.x,IF(AND(_xlpm.x-SUM(IF((INDIRECT($B$3)=$B202)*(INDIRECT($C$3)=$D202)*((INDIRECT($E$3)="TOTS")+(INDIRECT($E$3)=$E202)),INDIRECT(Q$3)))&lt;&gt;0,_xlpm.y=0),-2,_xlpm.x)))),0))</f>
        <v>0</v>
      </c>
      <c r="R202" s="199" cm="1">
        <f t="array" aca="1" ref="R202" ca="1">IF(OR($B202="",$B202="X",$D202="",$D202="X",$E202="",$E202="X"),0,IFERROR(_xlfn.LET(_xlpm.x,SUM(SUM(_xlfn._xlws.FILTER(VALUE(PptoSty[Sign]&amp;1)*(1/PptoSty[Division]),(PptoSty[Division]&lt;&gt;0)*(PptoSty[Division]&lt;&gt;"")*(PptoSty[Division]&lt;&gt;"X")*(PptoSty[Project]=$B202)*(PptoSty[Vrs]=$D202)*(PptoSty[PiRow]=_xlfn.TEXTAFTER($H202,":"))*(PptoSty[PiColumn]=R$54),0)),SUM(IF((INDIRECT($B$3)=$B202)*(INDIRECT($C$3)=$D202)*((INDIRECT($E$3)="TOTS")+(INDIRECT($E$3)=$E202)),INDIRECT(R$3)))),_xlpm.y,SUM(_xlfn.CHOOSECOLS(_xlfn._xlws.FILTER(F_RT14[],(F_RT14[PrjId]=$B202)*(F_RT14[Vrs]=$D202)*(_xlfn.TEXTAFTER(F_RT14[ActGrp],":")=_xlfn.TEXTAFTER($H202,":")),"X"),MATCH("*"&amp;R$54,F_RT14[#Headers],0))),IF(AND(_xlpm.x=0,_xlpm.y&lt;&gt;0),-1,IF(AND(_xlpm.x&lt;&gt;0,_xlpm.y&lt;&gt;0),_xlpm.x,IF(AND(_xlpm.x-SUM(IF((INDIRECT($B$3)=$B202)*(INDIRECT($C$3)=$D202)*((INDIRECT($E$3)="TOTS")+(INDIRECT($E$3)=$E202)),INDIRECT(R$3)))&lt;&gt;0,_xlpm.y=0),-2,_xlpm.x)))),0))</f>
        <v>0</v>
      </c>
      <c r="S202" s="199" cm="1">
        <f t="array" aca="1" ref="S202" ca="1">IF(OR($B202="",$B202="X",$D202="",$D202="X",$E202="",$E202="X"),0,IFERROR(_xlfn.LET(_xlpm.x,SUM(SUM(_xlfn._xlws.FILTER(VALUE(PptoSty[Sign]&amp;1)*(1/PptoSty[Division]),(PptoSty[Division]&lt;&gt;0)*(PptoSty[Division]&lt;&gt;"")*(PptoSty[Division]&lt;&gt;"X")*(PptoSty[Project]=$B202)*(PptoSty[Vrs]=$D202)*(PptoSty[PiRow]=_xlfn.TEXTAFTER($H202,":"))*(PptoSty[PiColumn]=S$54),0)),SUM(IF((INDIRECT($B$3)=$B202)*(INDIRECT($C$3)=$D202)*((INDIRECT($E$3)="TOTS")+(INDIRECT($E$3)=$E202)),INDIRECT(S$3)))),_xlpm.y,SUM(_xlfn.CHOOSECOLS(_xlfn._xlws.FILTER(F_RT14[],(F_RT14[PrjId]=$B202)*(F_RT14[Vrs]=$D202)*(_xlfn.TEXTAFTER(F_RT14[ActGrp],":")=_xlfn.TEXTAFTER($H202,":")),"X"),MATCH("*"&amp;S$54,F_RT14[#Headers],0))),IF(AND(_xlpm.x=0,_xlpm.y&lt;&gt;0),-1,IF(AND(_xlpm.x&lt;&gt;0,_xlpm.y&lt;&gt;0),_xlpm.x,IF(AND(_xlpm.x-SUM(IF((INDIRECT($B$3)=$B202)*(INDIRECT($C$3)=$D202)*((INDIRECT($E$3)="TOTS")+(INDIRECT($E$3)=$E202)),INDIRECT(S$3)))&lt;&gt;0,_xlpm.y=0),-2,_xlpm.x)))),0))</f>
        <v>0</v>
      </c>
      <c r="T202" s="199" cm="1">
        <f t="array" aca="1" ref="T202" ca="1">IF(OR($B202="",$B202="X",$D202="",$D202="X",$E202="",$E202="X"),0,IFERROR(_xlfn.LET(_xlpm.x,SUM(SUM(_xlfn._xlws.FILTER(VALUE(PptoSty[Sign]&amp;1)*(1/PptoSty[Division]),(PptoSty[Division]&lt;&gt;0)*(PptoSty[Division]&lt;&gt;"")*(PptoSty[Division]&lt;&gt;"X")*(PptoSty[Project]=$B202)*(PptoSty[Vrs]=$D202)*(PptoSty[PiRow]=_xlfn.TEXTAFTER($H202,":"))*(PptoSty[PiColumn]=T$54),0)),SUM(IF((INDIRECT($B$3)=$B202)*(INDIRECT($C$3)=$D202)*((INDIRECT($E$3)="TOTS")+(INDIRECT($E$3)=$E202)),INDIRECT(T$3)))),_xlpm.y,SUM(_xlfn.CHOOSECOLS(_xlfn._xlws.FILTER(F_RT14[],(F_RT14[PrjId]=$B202)*(F_RT14[Vrs]=$D202)*(_xlfn.TEXTAFTER(F_RT14[ActGrp],":")=_xlfn.TEXTAFTER($H202,":")),"X"),MATCH("*"&amp;T$54,F_RT14[#Headers],0))),IF(AND(_xlpm.x=0,_xlpm.y&lt;&gt;0),-1,IF(AND(_xlpm.x&lt;&gt;0,_xlpm.y&lt;&gt;0),_xlpm.x,IF(AND(_xlpm.x-SUM(IF((INDIRECT($B$3)=$B202)*(INDIRECT($C$3)=$D202)*((INDIRECT($E$3)="TOTS")+(INDIRECT($E$3)=$E202)),INDIRECT(T$3)))&lt;&gt;0,_xlpm.y=0),-2,_xlpm.x)))),0))</f>
        <v>0</v>
      </c>
      <c r="U202" s="199" cm="1">
        <f t="array" aca="1" ref="U202" ca="1">IF(OR($B202="",$B202="X",$D202="",$D202="X",$E202="",$E202="X"),0,IFERROR(_xlfn.LET(_xlpm.x,SUM(SUM(_xlfn._xlws.FILTER(VALUE(PptoSty[Sign]&amp;1)*(1/PptoSty[Division]),(PptoSty[Division]&lt;&gt;0)*(PptoSty[Division]&lt;&gt;"")*(PptoSty[Division]&lt;&gt;"X")*(PptoSty[Project]=$B202)*(PptoSty[Vrs]=$D202)*(PptoSty[PiRow]=_xlfn.TEXTAFTER($H202,":"))*(PptoSty[PiColumn]=U$54),0)),SUM(IF((INDIRECT($B$3)=$B202)*(INDIRECT($C$3)=$D202)*((INDIRECT($E$3)="TOTS")+(INDIRECT($E$3)=$E202)),INDIRECT(U$3)))),_xlpm.y,SUM(_xlfn.CHOOSECOLS(_xlfn._xlws.FILTER(F_RT14[],(F_RT14[PrjId]=$B202)*(F_RT14[Vrs]=$D202)*(_xlfn.TEXTAFTER(F_RT14[ActGrp],":")=_xlfn.TEXTAFTER($H202,":")),"X"),MATCH("*"&amp;U$54,F_RT14[#Headers],0))),IF(AND(_xlpm.x=0,_xlpm.y&lt;&gt;0),-1,IF(AND(_xlpm.x&lt;&gt;0,_xlpm.y&lt;&gt;0),_xlpm.x,IF(AND(_xlpm.x-SUM(IF((INDIRECT($B$3)=$B202)*(INDIRECT($C$3)=$D202)*((INDIRECT($E$3)="TOTS")+(INDIRECT($E$3)=$E202)),INDIRECT(U$3)))&lt;&gt;0,_xlpm.y=0),-2,_xlpm.x)))),0))</f>
        <v>0</v>
      </c>
      <c r="V202" s="199" cm="1">
        <f t="array" aca="1" ref="V202" ca="1">IF(OR($B202="",$B202="X",$D202="",$D202="X",$E202="",$E202="X"),0,IFERROR(_xlfn.LET(_xlpm.x,SUM(SUM(_xlfn._xlws.FILTER(VALUE(PptoSty[Sign]&amp;1)*(1/PptoSty[Division]),(PptoSty[Division]&lt;&gt;0)*(PptoSty[Division]&lt;&gt;"")*(PptoSty[Division]&lt;&gt;"X")*(PptoSty[Project]=$B202)*(PptoSty[Vrs]=$D202)*(PptoSty[PiRow]=_xlfn.TEXTAFTER($H202,":"))*(PptoSty[PiColumn]=V$54),0)),SUM(IF((INDIRECT($B$3)=$B202)*(INDIRECT($C$3)=$D202)*((INDIRECT($E$3)="TOTS")+(INDIRECT($E$3)=$E202)),INDIRECT(V$3)))),_xlpm.y,SUM(_xlfn.CHOOSECOLS(_xlfn._xlws.FILTER(F_RT14[],(F_RT14[PrjId]=$B202)*(F_RT14[Vrs]=$D202)*(_xlfn.TEXTAFTER(F_RT14[ActGrp],":")=_xlfn.TEXTAFTER($H202,":")),"X"),MATCH("*"&amp;V$54,F_RT14[#Headers],0))),IF(AND(_xlpm.x=0,_xlpm.y&lt;&gt;0),-1,IF(AND(_xlpm.x&lt;&gt;0,_xlpm.y&lt;&gt;0),_xlpm.x,IF(AND(_xlpm.x-SUM(IF((INDIRECT($B$3)=$B202)*(INDIRECT($C$3)=$D202)*((INDIRECT($E$3)="TOTS")+(INDIRECT($E$3)=$E202)),INDIRECT(V$3)))&lt;&gt;0,_xlpm.y=0),-2,_xlpm.x)))),0))</f>
        <v>0</v>
      </c>
      <c r="W202" s="199" cm="1">
        <f t="array" aca="1" ref="W202" ca="1">IF(OR($B202="",$B202="X",$D202="",$D202="X",$E202="",$E202="X"),0,IFERROR(_xlfn.LET(_xlpm.x,SUM(SUM(_xlfn._xlws.FILTER(VALUE(PptoSty[Sign]&amp;1)*(1/PptoSty[Division]),(PptoSty[Division]&lt;&gt;0)*(PptoSty[Division]&lt;&gt;"")*(PptoSty[Division]&lt;&gt;"X")*(PptoSty[Project]=$B202)*(PptoSty[Vrs]=$D202)*(PptoSty[PiRow]=_xlfn.TEXTAFTER($H202,":"))*(PptoSty[PiColumn]=W$54),0)),SUM(IF((INDIRECT($B$3)=$B202)*(INDIRECT($C$3)=$D202)*((INDIRECT($E$3)="TOTS")+(INDIRECT($E$3)=$E202)),INDIRECT(W$3)))),_xlpm.y,SUM(_xlfn.CHOOSECOLS(_xlfn._xlws.FILTER(F_RT14[],(F_RT14[PrjId]=$B202)*(F_RT14[Vrs]=$D202)*(_xlfn.TEXTAFTER(F_RT14[ActGrp],":")=_xlfn.TEXTAFTER($H202,":")),"X"),MATCH("*"&amp;W$54,F_RT14[#Headers],0))),IF(AND(_xlpm.x=0,_xlpm.y&lt;&gt;0),-1,IF(AND(_xlpm.x&lt;&gt;0,_xlpm.y&lt;&gt;0),_xlpm.x,IF(AND(_xlpm.x-SUM(IF((INDIRECT($B$3)=$B202)*(INDIRECT($C$3)=$D202)*((INDIRECT($E$3)="TOTS")+(INDIRECT($E$3)=$E202)),INDIRECT(W$3)))&lt;&gt;0,_xlpm.y=0),-2,_xlpm.x)))),0))</f>
        <v>0</v>
      </c>
      <c r="X202" s="199" cm="1">
        <f t="array" aca="1" ref="X202" ca="1">IF(OR($B202="",$B202="X",$D202="",$D202="X",$E202="",$E202="X"),0,IFERROR(_xlfn.LET(_xlpm.x,SUM(SUM(_xlfn._xlws.FILTER(VALUE(PptoSty[Sign]&amp;1)*(1/PptoSty[Division]),(PptoSty[Division]&lt;&gt;0)*(PptoSty[Division]&lt;&gt;"")*(PptoSty[Division]&lt;&gt;"X")*(PptoSty[Project]=$B202)*(PptoSty[Vrs]=$D202)*(PptoSty[PiRow]=_xlfn.TEXTAFTER($H202,":"))*(PptoSty[PiColumn]=X$54),0)),SUM(IF((INDIRECT($B$3)=$B202)*(INDIRECT($C$3)=$D202)*((INDIRECT($E$3)="TOTS")+(INDIRECT($E$3)=$E202)),INDIRECT(X$3)))),_xlpm.y,SUM(_xlfn.CHOOSECOLS(_xlfn._xlws.FILTER(F_RT14[],(F_RT14[PrjId]=$B202)*(F_RT14[Vrs]=$D202)*(_xlfn.TEXTAFTER(F_RT14[ActGrp],":")=_xlfn.TEXTAFTER($H202,":")),"X"),MATCH("*"&amp;X$54,F_RT14[#Headers],0))),IF(AND(_xlpm.x=0,_xlpm.y&lt;&gt;0),-1,IF(AND(_xlpm.x&lt;&gt;0,_xlpm.y&lt;&gt;0),_xlpm.x,IF(AND(_xlpm.x-SUM(IF((INDIRECT($B$3)=$B202)*(INDIRECT($C$3)=$D202)*((INDIRECT($E$3)="TOTS")+(INDIRECT($E$3)=$E202)),INDIRECT(X$3)))&lt;&gt;0,_xlpm.y=0),-2,_xlpm.x)))),0))</f>
        <v>0</v>
      </c>
      <c r="Y202" s="199" cm="1">
        <f t="array" aca="1" ref="Y202" ca="1">IF(OR($B202="",$B202="X",$D202="",$D202="X",$E202="",$E202="X"),0,IFERROR(_xlfn.LET(_xlpm.x,SUM(SUM(_xlfn._xlws.FILTER(VALUE(PptoSty[Sign]&amp;1)*(1/PptoSty[Division]),(PptoSty[Division]&lt;&gt;0)*(PptoSty[Division]&lt;&gt;"")*(PptoSty[Division]&lt;&gt;"X")*(PptoSty[Project]=$B202)*(PptoSty[Vrs]=$D202)*(PptoSty[PiRow]=_xlfn.TEXTAFTER($H202,":"))*(PptoSty[PiColumn]=Y$54),0)),SUM(IF((INDIRECT($B$3)=$B202)*(INDIRECT($C$3)=$D202)*((INDIRECT($E$3)="TOTS")+(INDIRECT($E$3)=$E202)),INDIRECT(Y$3)))),_xlpm.y,SUM(_xlfn.CHOOSECOLS(_xlfn._xlws.FILTER(F_RT14[],(F_RT14[PrjId]=$B202)*(F_RT14[Vrs]=$D202)*(_xlfn.TEXTAFTER(F_RT14[ActGrp],":")=_xlfn.TEXTAFTER($H202,":")),"X"),MATCH("*"&amp;Y$54,F_RT14[#Headers],0))),IF(AND(_xlpm.x=0,_xlpm.y&lt;&gt;0),-1,IF(AND(_xlpm.x&lt;&gt;0,_xlpm.y&lt;&gt;0),_xlpm.x,IF(AND(_xlpm.x-SUM(IF((INDIRECT($B$3)=$B202)*(INDIRECT($C$3)=$D202)*((INDIRECT($E$3)="TOTS")+(INDIRECT($E$3)=$E202)),INDIRECT(Y$3)))&lt;&gt;0,_xlpm.y=0),-2,_xlpm.x)))),0))</f>
        <v>0</v>
      </c>
      <c r="Z202" s="198" t="str">
        <f t="shared" ca="1" si="4"/>
        <v>Fback!B202:Y202</v>
      </c>
    </row>
    <row r="203" spans="2:26" ht="21" customHeight="1" outlineLevel="1">
      <c r="B203" s="128"/>
      <c r="C203" s="128"/>
      <c r="D203" s="128"/>
      <c r="E203" s="128"/>
      <c r="F203" s="139"/>
      <c r="G203" s="139"/>
      <c r="H203" s="139"/>
      <c r="I203" s="199" cm="1">
        <f t="array" aca="1" ref="I203" ca="1">IF(OR($B203="",$B203="X",$D203="",$D203="X",$E203="",$E203="X"),0,IFERROR(_xlfn.LET(_xlpm.x,SUM(SUM(_xlfn._xlws.FILTER(VALUE(PptoSty[Sign]&amp;1)*(1/PptoSty[Division]),(PptoSty[Division]&lt;&gt;0)*(PptoSty[Division]&lt;&gt;"")*(PptoSty[Division]&lt;&gt;"X")*(PptoSty[Project]=$B203)*(PptoSty[Vrs]=$D203)*(PptoSty[PiRow]=_xlfn.TEXTAFTER($H203,":"))*(PptoSty[PiColumn]=I$54),0)),SUM(IF((INDIRECT($B$3)=$B203)*(INDIRECT($C$3)=$D203)*((INDIRECT($E$3)="TOTS")+(INDIRECT($E$3)=$E203)),INDIRECT(I$3)))),_xlpm.y,SUM(_xlfn.CHOOSECOLS(_xlfn._xlws.FILTER(F_RT14[],(F_RT14[PrjId]=$B203)*(F_RT14[Vrs]=$D203)*(_xlfn.TEXTAFTER(F_RT14[ActGrp],":")=_xlfn.TEXTAFTER($H203,":")),"X"),MATCH("*"&amp;I$54,F_RT14[#Headers],0))),IF(AND(_xlpm.x=0,_xlpm.y&lt;&gt;0),-1,IF(AND(_xlpm.x&lt;&gt;0,_xlpm.y&lt;&gt;0),_xlpm.x,IF(AND(_xlpm.x-SUM(IF((INDIRECT($B$3)=$B203)*(INDIRECT($C$3)=$D203)*((INDIRECT($E$3)="TOTS")+(INDIRECT($E$3)=$E203)),INDIRECT(I$3)))&lt;&gt;0,_xlpm.y=0),-2,_xlpm.x)))),0))</f>
        <v>0</v>
      </c>
      <c r="J203" s="199" cm="1">
        <f t="array" aca="1" ref="J203" ca="1">IF(OR($B203="",$B203="X",$D203="",$D203="X",$E203="",$E203="X"),0,IFERROR(_xlfn.LET(_xlpm.x,SUM(SUM(_xlfn._xlws.FILTER(VALUE(PptoSty[Sign]&amp;1)*(1/PptoSty[Division]),(PptoSty[Division]&lt;&gt;0)*(PptoSty[Division]&lt;&gt;"")*(PptoSty[Division]&lt;&gt;"X")*(PptoSty[Project]=$B203)*(PptoSty[Vrs]=$D203)*(PptoSty[PiRow]=_xlfn.TEXTAFTER($H203,":"))*(PptoSty[PiColumn]=J$54),0)),SUM(IF((INDIRECT($B$3)=$B203)*(INDIRECT($C$3)=$D203)*((INDIRECT($E$3)="TOTS")+(INDIRECT($E$3)=$E203)),INDIRECT(J$3)))),_xlpm.y,SUM(_xlfn.CHOOSECOLS(_xlfn._xlws.FILTER(F_RT14[],(F_RT14[PrjId]=$B203)*(F_RT14[Vrs]=$D203)*(_xlfn.TEXTAFTER(F_RT14[ActGrp],":")=_xlfn.TEXTAFTER($H203,":")),"X"),MATCH("*"&amp;J$54,F_RT14[#Headers],0))),IF(AND(_xlpm.x=0,_xlpm.y&lt;&gt;0),-1,IF(AND(_xlpm.x&lt;&gt;0,_xlpm.y&lt;&gt;0),_xlpm.x,IF(AND(_xlpm.x-SUM(IF((INDIRECT($B$3)=$B203)*(INDIRECT($C$3)=$D203)*((INDIRECT($E$3)="TOTS")+(INDIRECT($E$3)=$E203)),INDIRECT(J$3)))&lt;&gt;0,_xlpm.y=0),-2,_xlpm.x)))),0))</f>
        <v>0</v>
      </c>
      <c r="K203" s="199" cm="1">
        <f t="array" aca="1" ref="K203" ca="1">IF(OR($B203="",$B203="X",$D203="",$D203="X",$E203="",$E203="X"),0,IFERROR(_xlfn.LET(_xlpm.x,SUM(SUM(_xlfn._xlws.FILTER(VALUE(PptoSty[Sign]&amp;1)*(1/PptoSty[Division]),(PptoSty[Division]&lt;&gt;0)*(PptoSty[Division]&lt;&gt;"")*(PptoSty[Division]&lt;&gt;"X")*(PptoSty[Project]=$B203)*(PptoSty[Vrs]=$D203)*(PptoSty[PiRow]=_xlfn.TEXTAFTER($H203,":"))*(PptoSty[PiColumn]=K$54),0)),SUM(IF((INDIRECT($B$3)=$B203)*(INDIRECT($C$3)=$D203)*((INDIRECT($E$3)="TOTS")+(INDIRECT($E$3)=$E203)),INDIRECT(K$3)))),_xlpm.y,SUM(_xlfn.CHOOSECOLS(_xlfn._xlws.FILTER(F_RT14[],(F_RT14[PrjId]=$B203)*(F_RT14[Vrs]=$D203)*(_xlfn.TEXTAFTER(F_RT14[ActGrp],":")=_xlfn.TEXTAFTER($H203,":")),"X"),MATCH("*"&amp;K$54,F_RT14[#Headers],0))),IF(AND(_xlpm.x=0,_xlpm.y&lt;&gt;0),-1,IF(AND(_xlpm.x&lt;&gt;0,_xlpm.y&lt;&gt;0),_xlpm.x,IF(AND(_xlpm.x-SUM(IF((INDIRECT($B$3)=$B203)*(INDIRECT($C$3)=$D203)*((INDIRECT($E$3)="TOTS")+(INDIRECT($E$3)=$E203)),INDIRECT(K$3)))&lt;&gt;0,_xlpm.y=0),-2,_xlpm.x)))),0))</f>
        <v>0</v>
      </c>
      <c r="L203" s="199" cm="1">
        <f t="array" aca="1" ref="L203" ca="1">IF(OR($B203="",$B203="X",$D203="",$D203="X",$E203="",$E203="X"),0,IFERROR(_xlfn.LET(_xlpm.x,SUM(SUM(_xlfn._xlws.FILTER(VALUE(PptoSty[Sign]&amp;1)*(1/PptoSty[Division]),(PptoSty[Division]&lt;&gt;0)*(PptoSty[Division]&lt;&gt;"")*(PptoSty[Division]&lt;&gt;"X")*(PptoSty[Project]=$B203)*(PptoSty[Vrs]=$D203)*(PptoSty[PiRow]=_xlfn.TEXTAFTER($H203,":"))*(PptoSty[PiColumn]=L$54),0)),SUM(IF((INDIRECT($B$3)=$B203)*(INDIRECT($C$3)=$D203)*((INDIRECT($E$3)="TOTS")+(INDIRECT($E$3)=$E203)),INDIRECT(L$3)))),_xlpm.y,SUM(_xlfn.CHOOSECOLS(_xlfn._xlws.FILTER(F_RT14[],(F_RT14[PrjId]=$B203)*(F_RT14[Vrs]=$D203)*(_xlfn.TEXTAFTER(F_RT14[ActGrp],":")=_xlfn.TEXTAFTER($H203,":")),"X"),MATCH("*"&amp;L$54,F_RT14[#Headers],0))),IF(AND(_xlpm.x=0,_xlpm.y&lt;&gt;0),-1,IF(AND(_xlpm.x&lt;&gt;0,_xlpm.y&lt;&gt;0),_xlpm.x,IF(AND(_xlpm.x-SUM(IF((INDIRECT($B$3)=$B203)*(INDIRECT($C$3)=$D203)*((INDIRECT($E$3)="TOTS")+(INDIRECT($E$3)=$E203)),INDIRECT(L$3)))&lt;&gt;0,_xlpm.y=0),-2,_xlpm.x)))),0))</f>
        <v>0</v>
      </c>
      <c r="M203" s="199" cm="1">
        <f t="array" aca="1" ref="M203" ca="1">IF(OR($B203="",$B203="X",$D203="",$D203="X",$E203="",$E203="X"),0,IFERROR(_xlfn.LET(_xlpm.x,SUM(SUM(_xlfn._xlws.FILTER(VALUE(PptoSty[Sign]&amp;1)*(1/PptoSty[Division]),(PptoSty[Division]&lt;&gt;0)*(PptoSty[Division]&lt;&gt;"")*(PptoSty[Division]&lt;&gt;"X")*(PptoSty[Project]=$B203)*(PptoSty[Vrs]=$D203)*(PptoSty[PiRow]=_xlfn.TEXTAFTER($H203,":"))*(PptoSty[PiColumn]=M$54),0)),SUM(IF((INDIRECT($B$3)=$B203)*(INDIRECT($C$3)=$D203)*((INDIRECT($E$3)="TOTS")+(INDIRECT($E$3)=$E203)),INDIRECT(M$3)))),_xlpm.y,SUM(_xlfn.CHOOSECOLS(_xlfn._xlws.FILTER(F_RT14[],(F_RT14[PrjId]=$B203)*(F_RT14[Vrs]=$D203)*(_xlfn.TEXTAFTER(F_RT14[ActGrp],":")=_xlfn.TEXTAFTER($H203,":")),"X"),MATCH("*"&amp;M$54,F_RT14[#Headers],0))),IF(AND(_xlpm.x=0,_xlpm.y&lt;&gt;0),-1,IF(AND(_xlpm.x&lt;&gt;0,_xlpm.y&lt;&gt;0),_xlpm.x,IF(AND(_xlpm.x-SUM(IF((INDIRECT($B$3)=$B203)*(INDIRECT($C$3)=$D203)*((INDIRECT($E$3)="TOTS")+(INDIRECT($E$3)=$E203)),INDIRECT(M$3)))&lt;&gt;0,_xlpm.y=0),-2,_xlpm.x)))),0))</f>
        <v>0</v>
      </c>
      <c r="N203" s="199" cm="1">
        <f t="array" aca="1" ref="N203" ca="1">IF(OR($B203="",$B203="X",$D203="",$D203="X",$E203="",$E203="X"),0,IFERROR(_xlfn.LET(_xlpm.x,SUM(SUM(_xlfn._xlws.FILTER(VALUE(PptoSty[Sign]&amp;1)*(1/PptoSty[Division]),(PptoSty[Division]&lt;&gt;0)*(PptoSty[Division]&lt;&gt;"")*(PptoSty[Division]&lt;&gt;"X")*(PptoSty[Project]=$B203)*(PptoSty[Vrs]=$D203)*(PptoSty[PiRow]=_xlfn.TEXTAFTER($H203,":"))*(PptoSty[PiColumn]=N$54),0)),SUM(IF((INDIRECT($B$3)=$B203)*(INDIRECT($C$3)=$D203)*((INDIRECT($E$3)="TOTS")+(INDIRECT($E$3)=$E203)),INDIRECT(N$3)))),_xlpm.y,SUM(_xlfn.CHOOSECOLS(_xlfn._xlws.FILTER(F_RT14[],(F_RT14[PrjId]=$B203)*(F_RT14[Vrs]=$D203)*(_xlfn.TEXTAFTER(F_RT14[ActGrp],":")=_xlfn.TEXTAFTER($H203,":")),"X"),MATCH("*"&amp;N$54,F_RT14[#Headers],0))),IF(AND(_xlpm.x=0,_xlpm.y&lt;&gt;0),-1,IF(AND(_xlpm.x&lt;&gt;0,_xlpm.y&lt;&gt;0),_xlpm.x,IF(AND(_xlpm.x-SUM(IF((INDIRECT($B$3)=$B203)*(INDIRECT($C$3)=$D203)*((INDIRECT($E$3)="TOTS")+(INDIRECT($E$3)=$E203)),INDIRECT(N$3)))&lt;&gt;0,_xlpm.y=0),-2,_xlpm.x)))),0))</f>
        <v>0</v>
      </c>
      <c r="O203" s="199" cm="1">
        <f t="array" aca="1" ref="O203" ca="1">IF(OR($B203="",$B203="X",$D203="",$D203="X",$E203="",$E203="X"),0,IFERROR(_xlfn.LET(_xlpm.x,SUM(SUM(_xlfn._xlws.FILTER(VALUE(PptoSty[Sign]&amp;1)*(1/PptoSty[Division]),(PptoSty[Division]&lt;&gt;0)*(PptoSty[Division]&lt;&gt;"")*(PptoSty[Division]&lt;&gt;"X")*(PptoSty[Project]=$B203)*(PptoSty[Vrs]=$D203)*(PptoSty[PiRow]=_xlfn.TEXTAFTER($H203,":"))*(PptoSty[PiColumn]=O$54),0)),SUM(IF((INDIRECT($B$3)=$B203)*(INDIRECT($C$3)=$D203)*((INDIRECT($E$3)="TOTS")+(INDIRECT($E$3)=$E203)),INDIRECT(O$3)))),_xlpm.y,SUM(_xlfn.CHOOSECOLS(_xlfn._xlws.FILTER(F_RT14[],(F_RT14[PrjId]=$B203)*(F_RT14[Vrs]=$D203)*(_xlfn.TEXTAFTER(F_RT14[ActGrp],":")=_xlfn.TEXTAFTER($H203,":")),"X"),MATCH("*"&amp;O$54,F_RT14[#Headers],0))),IF(AND(_xlpm.x=0,_xlpm.y&lt;&gt;0),-1,IF(AND(_xlpm.x&lt;&gt;0,_xlpm.y&lt;&gt;0),_xlpm.x,IF(AND(_xlpm.x-SUM(IF((INDIRECT($B$3)=$B203)*(INDIRECT($C$3)=$D203)*((INDIRECT($E$3)="TOTS")+(INDIRECT($E$3)=$E203)),INDIRECT(O$3)))&lt;&gt;0,_xlpm.y=0),-2,_xlpm.x)))),0))</f>
        <v>0</v>
      </c>
      <c r="P203" s="199" cm="1">
        <f t="array" aca="1" ref="P203" ca="1">IF(OR($B203="",$B203="X",$D203="",$D203="X",$E203="",$E203="X"),0,IFERROR(_xlfn.LET(_xlpm.x,SUM(SUM(_xlfn._xlws.FILTER(VALUE(PptoSty[Sign]&amp;1)*(1/PptoSty[Division]),(PptoSty[Division]&lt;&gt;0)*(PptoSty[Division]&lt;&gt;"")*(PptoSty[Division]&lt;&gt;"X")*(PptoSty[Project]=$B203)*(PptoSty[Vrs]=$D203)*(PptoSty[PiRow]=_xlfn.TEXTAFTER($H203,":"))*(PptoSty[PiColumn]=P$54),0)),SUM(IF((INDIRECT($B$3)=$B203)*(INDIRECT($C$3)=$D203)*((INDIRECT($E$3)="TOTS")+(INDIRECT($E$3)=$E203)),INDIRECT(P$3)))),_xlpm.y,SUM(_xlfn.CHOOSECOLS(_xlfn._xlws.FILTER(F_RT14[],(F_RT14[PrjId]=$B203)*(F_RT14[Vrs]=$D203)*(_xlfn.TEXTAFTER(F_RT14[ActGrp],":")=_xlfn.TEXTAFTER($H203,":")),"X"),MATCH("*"&amp;P$54,F_RT14[#Headers],0))),IF(AND(_xlpm.x=0,_xlpm.y&lt;&gt;0),-1,IF(AND(_xlpm.x&lt;&gt;0,_xlpm.y&lt;&gt;0),_xlpm.x,IF(AND(_xlpm.x-SUM(IF((INDIRECT($B$3)=$B203)*(INDIRECT($C$3)=$D203)*((INDIRECT($E$3)="TOTS")+(INDIRECT($E$3)=$E203)),INDIRECT(P$3)))&lt;&gt;0,_xlpm.y=0),-2,_xlpm.x)))),0))</f>
        <v>0</v>
      </c>
      <c r="Q203" s="199" cm="1">
        <f t="array" aca="1" ref="Q203" ca="1">IF(OR($B203="",$B203="X",$D203="",$D203="X",$E203="",$E203="X"),0,IFERROR(_xlfn.LET(_xlpm.x,SUM(SUM(_xlfn._xlws.FILTER(VALUE(PptoSty[Sign]&amp;1)*(1/PptoSty[Division]),(PptoSty[Division]&lt;&gt;0)*(PptoSty[Division]&lt;&gt;"")*(PptoSty[Division]&lt;&gt;"X")*(PptoSty[Project]=$B203)*(PptoSty[Vrs]=$D203)*(PptoSty[PiRow]=_xlfn.TEXTAFTER($H203,":"))*(PptoSty[PiColumn]=Q$54),0)),SUM(IF((INDIRECT($B$3)=$B203)*(INDIRECT($C$3)=$D203)*((INDIRECT($E$3)="TOTS")+(INDIRECT($E$3)=$E203)),INDIRECT(Q$3)))),_xlpm.y,SUM(_xlfn.CHOOSECOLS(_xlfn._xlws.FILTER(F_RT14[],(F_RT14[PrjId]=$B203)*(F_RT14[Vrs]=$D203)*(_xlfn.TEXTAFTER(F_RT14[ActGrp],":")=_xlfn.TEXTAFTER($H203,":")),"X"),MATCH("*"&amp;Q$54,F_RT14[#Headers],0))),IF(AND(_xlpm.x=0,_xlpm.y&lt;&gt;0),-1,IF(AND(_xlpm.x&lt;&gt;0,_xlpm.y&lt;&gt;0),_xlpm.x,IF(AND(_xlpm.x-SUM(IF((INDIRECT($B$3)=$B203)*(INDIRECT($C$3)=$D203)*((INDIRECT($E$3)="TOTS")+(INDIRECT($E$3)=$E203)),INDIRECT(Q$3)))&lt;&gt;0,_xlpm.y=0),-2,_xlpm.x)))),0))</f>
        <v>0</v>
      </c>
      <c r="R203" s="199" cm="1">
        <f t="array" aca="1" ref="R203" ca="1">IF(OR($B203="",$B203="X",$D203="",$D203="X",$E203="",$E203="X"),0,IFERROR(_xlfn.LET(_xlpm.x,SUM(SUM(_xlfn._xlws.FILTER(VALUE(PptoSty[Sign]&amp;1)*(1/PptoSty[Division]),(PptoSty[Division]&lt;&gt;0)*(PptoSty[Division]&lt;&gt;"")*(PptoSty[Division]&lt;&gt;"X")*(PptoSty[Project]=$B203)*(PptoSty[Vrs]=$D203)*(PptoSty[PiRow]=_xlfn.TEXTAFTER($H203,":"))*(PptoSty[PiColumn]=R$54),0)),SUM(IF((INDIRECT($B$3)=$B203)*(INDIRECT($C$3)=$D203)*((INDIRECT($E$3)="TOTS")+(INDIRECT($E$3)=$E203)),INDIRECT(R$3)))),_xlpm.y,SUM(_xlfn.CHOOSECOLS(_xlfn._xlws.FILTER(F_RT14[],(F_RT14[PrjId]=$B203)*(F_RT14[Vrs]=$D203)*(_xlfn.TEXTAFTER(F_RT14[ActGrp],":")=_xlfn.TEXTAFTER($H203,":")),"X"),MATCH("*"&amp;R$54,F_RT14[#Headers],0))),IF(AND(_xlpm.x=0,_xlpm.y&lt;&gt;0),-1,IF(AND(_xlpm.x&lt;&gt;0,_xlpm.y&lt;&gt;0),_xlpm.x,IF(AND(_xlpm.x-SUM(IF((INDIRECT($B$3)=$B203)*(INDIRECT($C$3)=$D203)*((INDIRECT($E$3)="TOTS")+(INDIRECT($E$3)=$E203)),INDIRECT(R$3)))&lt;&gt;0,_xlpm.y=0),-2,_xlpm.x)))),0))</f>
        <v>0</v>
      </c>
      <c r="S203" s="199" cm="1">
        <f t="array" aca="1" ref="S203" ca="1">IF(OR($B203="",$B203="X",$D203="",$D203="X",$E203="",$E203="X"),0,IFERROR(_xlfn.LET(_xlpm.x,SUM(SUM(_xlfn._xlws.FILTER(VALUE(PptoSty[Sign]&amp;1)*(1/PptoSty[Division]),(PptoSty[Division]&lt;&gt;0)*(PptoSty[Division]&lt;&gt;"")*(PptoSty[Division]&lt;&gt;"X")*(PptoSty[Project]=$B203)*(PptoSty[Vrs]=$D203)*(PptoSty[PiRow]=_xlfn.TEXTAFTER($H203,":"))*(PptoSty[PiColumn]=S$54),0)),SUM(IF((INDIRECT($B$3)=$B203)*(INDIRECT($C$3)=$D203)*((INDIRECT($E$3)="TOTS")+(INDIRECT($E$3)=$E203)),INDIRECT(S$3)))),_xlpm.y,SUM(_xlfn.CHOOSECOLS(_xlfn._xlws.FILTER(F_RT14[],(F_RT14[PrjId]=$B203)*(F_RT14[Vrs]=$D203)*(_xlfn.TEXTAFTER(F_RT14[ActGrp],":")=_xlfn.TEXTAFTER($H203,":")),"X"),MATCH("*"&amp;S$54,F_RT14[#Headers],0))),IF(AND(_xlpm.x=0,_xlpm.y&lt;&gt;0),-1,IF(AND(_xlpm.x&lt;&gt;0,_xlpm.y&lt;&gt;0),_xlpm.x,IF(AND(_xlpm.x-SUM(IF((INDIRECT($B$3)=$B203)*(INDIRECT($C$3)=$D203)*((INDIRECT($E$3)="TOTS")+(INDIRECT($E$3)=$E203)),INDIRECT(S$3)))&lt;&gt;0,_xlpm.y=0),-2,_xlpm.x)))),0))</f>
        <v>0</v>
      </c>
      <c r="T203" s="199" cm="1">
        <f t="array" aca="1" ref="T203" ca="1">IF(OR($B203="",$B203="X",$D203="",$D203="X",$E203="",$E203="X"),0,IFERROR(_xlfn.LET(_xlpm.x,SUM(SUM(_xlfn._xlws.FILTER(VALUE(PptoSty[Sign]&amp;1)*(1/PptoSty[Division]),(PptoSty[Division]&lt;&gt;0)*(PptoSty[Division]&lt;&gt;"")*(PptoSty[Division]&lt;&gt;"X")*(PptoSty[Project]=$B203)*(PptoSty[Vrs]=$D203)*(PptoSty[PiRow]=_xlfn.TEXTAFTER($H203,":"))*(PptoSty[PiColumn]=T$54),0)),SUM(IF((INDIRECT($B$3)=$B203)*(INDIRECT($C$3)=$D203)*((INDIRECT($E$3)="TOTS")+(INDIRECT($E$3)=$E203)),INDIRECT(T$3)))),_xlpm.y,SUM(_xlfn.CHOOSECOLS(_xlfn._xlws.FILTER(F_RT14[],(F_RT14[PrjId]=$B203)*(F_RT14[Vrs]=$D203)*(_xlfn.TEXTAFTER(F_RT14[ActGrp],":")=_xlfn.TEXTAFTER($H203,":")),"X"),MATCH("*"&amp;T$54,F_RT14[#Headers],0))),IF(AND(_xlpm.x=0,_xlpm.y&lt;&gt;0),-1,IF(AND(_xlpm.x&lt;&gt;0,_xlpm.y&lt;&gt;0),_xlpm.x,IF(AND(_xlpm.x-SUM(IF((INDIRECT($B$3)=$B203)*(INDIRECT($C$3)=$D203)*((INDIRECT($E$3)="TOTS")+(INDIRECT($E$3)=$E203)),INDIRECT(T$3)))&lt;&gt;0,_xlpm.y=0),-2,_xlpm.x)))),0))</f>
        <v>0</v>
      </c>
      <c r="U203" s="199" cm="1">
        <f t="array" aca="1" ref="U203" ca="1">IF(OR($B203="",$B203="X",$D203="",$D203="X",$E203="",$E203="X"),0,IFERROR(_xlfn.LET(_xlpm.x,SUM(SUM(_xlfn._xlws.FILTER(VALUE(PptoSty[Sign]&amp;1)*(1/PptoSty[Division]),(PptoSty[Division]&lt;&gt;0)*(PptoSty[Division]&lt;&gt;"")*(PptoSty[Division]&lt;&gt;"X")*(PptoSty[Project]=$B203)*(PptoSty[Vrs]=$D203)*(PptoSty[PiRow]=_xlfn.TEXTAFTER($H203,":"))*(PptoSty[PiColumn]=U$54),0)),SUM(IF((INDIRECT($B$3)=$B203)*(INDIRECT($C$3)=$D203)*((INDIRECT($E$3)="TOTS")+(INDIRECT($E$3)=$E203)),INDIRECT(U$3)))),_xlpm.y,SUM(_xlfn.CHOOSECOLS(_xlfn._xlws.FILTER(F_RT14[],(F_RT14[PrjId]=$B203)*(F_RT14[Vrs]=$D203)*(_xlfn.TEXTAFTER(F_RT14[ActGrp],":")=_xlfn.TEXTAFTER($H203,":")),"X"),MATCH("*"&amp;U$54,F_RT14[#Headers],0))),IF(AND(_xlpm.x=0,_xlpm.y&lt;&gt;0),-1,IF(AND(_xlpm.x&lt;&gt;0,_xlpm.y&lt;&gt;0),_xlpm.x,IF(AND(_xlpm.x-SUM(IF((INDIRECT($B$3)=$B203)*(INDIRECT($C$3)=$D203)*((INDIRECT($E$3)="TOTS")+(INDIRECT($E$3)=$E203)),INDIRECT(U$3)))&lt;&gt;0,_xlpm.y=0),-2,_xlpm.x)))),0))</f>
        <v>0</v>
      </c>
      <c r="V203" s="199" cm="1">
        <f t="array" aca="1" ref="V203" ca="1">IF(OR($B203="",$B203="X",$D203="",$D203="X",$E203="",$E203="X"),0,IFERROR(_xlfn.LET(_xlpm.x,SUM(SUM(_xlfn._xlws.FILTER(VALUE(PptoSty[Sign]&amp;1)*(1/PptoSty[Division]),(PptoSty[Division]&lt;&gt;0)*(PptoSty[Division]&lt;&gt;"")*(PptoSty[Division]&lt;&gt;"X")*(PptoSty[Project]=$B203)*(PptoSty[Vrs]=$D203)*(PptoSty[PiRow]=_xlfn.TEXTAFTER($H203,":"))*(PptoSty[PiColumn]=V$54),0)),SUM(IF((INDIRECT($B$3)=$B203)*(INDIRECT($C$3)=$D203)*((INDIRECT($E$3)="TOTS")+(INDIRECT($E$3)=$E203)),INDIRECT(V$3)))),_xlpm.y,SUM(_xlfn.CHOOSECOLS(_xlfn._xlws.FILTER(F_RT14[],(F_RT14[PrjId]=$B203)*(F_RT14[Vrs]=$D203)*(_xlfn.TEXTAFTER(F_RT14[ActGrp],":")=_xlfn.TEXTAFTER($H203,":")),"X"),MATCH("*"&amp;V$54,F_RT14[#Headers],0))),IF(AND(_xlpm.x=0,_xlpm.y&lt;&gt;0),-1,IF(AND(_xlpm.x&lt;&gt;0,_xlpm.y&lt;&gt;0),_xlpm.x,IF(AND(_xlpm.x-SUM(IF((INDIRECT($B$3)=$B203)*(INDIRECT($C$3)=$D203)*((INDIRECT($E$3)="TOTS")+(INDIRECT($E$3)=$E203)),INDIRECT(V$3)))&lt;&gt;0,_xlpm.y=0),-2,_xlpm.x)))),0))</f>
        <v>0</v>
      </c>
      <c r="W203" s="199" cm="1">
        <f t="array" aca="1" ref="W203" ca="1">IF(OR($B203="",$B203="X",$D203="",$D203="X",$E203="",$E203="X"),0,IFERROR(_xlfn.LET(_xlpm.x,SUM(SUM(_xlfn._xlws.FILTER(VALUE(PptoSty[Sign]&amp;1)*(1/PptoSty[Division]),(PptoSty[Division]&lt;&gt;0)*(PptoSty[Division]&lt;&gt;"")*(PptoSty[Division]&lt;&gt;"X")*(PptoSty[Project]=$B203)*(PptoSty[Vrs]=$D203)*(PptoSty[PiRow]=_xlfn.TEXTAFTER($H203,":"))*(PptoSty[PiColumn]=W$54),0)),SUM(IF((INDIRECT($B$3)=$B203)*(INDIRECT($C$3)=$D203)*((INDIRECT($E$3)="TOTS")+(INDIRECT($E$3)=$E203)),INDIRECT(W$3)))),_xlpm.y,SUM(_xlfn.CHOOSECOLS(_xlfn._xlws.FILTER(F_RT14[],(F_RT14[PrjId]=$B203)*(F_RT14[Vrs]=$D203)*(_xlfn.TEXTAFTER(F_RT14[ActGrp],":")=_xlfn.TEXTAFTER($H203,":")),"X"),MATCH("*"&amp;W$54,F_RT14[#Headers],0))),IF(AND(_xlpm.x=0,_xlpm.y&lt;&gt;0),-1,IF(AND(_xlpm.x&lt;&gt;0,_xlpm.y&lt;&gt;0),_xlpm.x,IF(AND(_xlpm.x-SUM(IF((INDIRECT($B$3)=$B203)*(INDIRECT($C$3)=$D203)*((INDIRECT($E$3)="TOTS")+(INDIRECT($E$3)=$E203)),INDIRECT(W$3)))&lt;&gt;0,_xlpm.y=0),-2,_xlpm.x)))),0))</f>
        <v>0</v>
      </c>
      <c r="X203" s="199" cm="1">
        <f t="array" aca="1" ref="X203" ca="1">IF(OR($B203="",$B203="X",$D203="",$D203="X",$E203="",$E203="X"),0,IFERROR(_xlfn.LET(_xlpm.x,SUM(SUM(_xlfn._xlws.FILTER(VALUE(PptoSty[Sign]&amp;1)*(1/PptoSty[Division]),(PptoSty[Division]&lt;&gt;0)*(PptoSty[Division]&lt;&gt;"")*(PptoSty[Division]&lt;&gt;"X")*(PptoSty[Project]=$B203)*(PptoSty[Vrs]=$D203)*(PptoSty[PiRow]=_xlfn.TEXTAFTER($H203,":"))*(PptoSty[PiColumn]=X$54),0)),SUM(IF((INDIRECT($B$3)=$B203)*(INDIRECT($C$3)=$D203)*((INDIRECT($E$3)="TOTS")+(INDIRECT($E$3)=$E203)),INDIRECT(X$3)))),_xlpm.y,SUM(_xlfn.CHOOSECOLS(_xlfn._xlws.FILTER(F_RT14[],(F_RT14[PrjId]=$B203)*(F_RT14[Vrs]=$D203)*(_xlfn.TEXTAFTER(F_RT14[ActGrp],":")=_xlfn.TEXTAFTER($H203,":")),"X"),MATCH("*"&amp;X$54,F_RT14[#Headers],0))),IF(AND(_xlpm.x=0,_xlpm.y&lt;&gt;0),-1,IF(AND(_xlpm.x&lt;&gt;0,_xlpm.y&lt;&gt;0),_xlpm.x,IF(AND(_xlpm.x-SUM(IF((INDIRECT($B$3)=$B203)*(INDIRECT($C$3)=$D203)*((INDIRECT($E$3)="TOTS")+(INDIRECT($E$3)=$E203)),INDIRECT(X$3)))&lt;&gt;0,_xlpm.y=0),-2,_xlpm.x)))),0))</f>
        <v>0</v>
      </c>
      <c r="Y203" s="199" cm="1">
        <f t="array" aca="1" ref="Y203" ca="1">IF(OR($B203="",$B203="X",$D203="",$D203="X",$E203="",$E203="X"),0,IFERROR(_xlfn.LET(_xlpm.x,SUM(SUM(_xlfn._xlws.FILTER(VALUE(PptoSty[Sign]&amp;1)*(1/PptoSty[Division]),(PptoSty[Division]&lt;&gt;0)*(PptoSty[Division]&lt;&gt;"")*(PptoSty[Division]&lt;&gt;"X")*(PptoSty[Project]=$B203)*(PptoSty[Vrs]=$D203)*(PptoSty[PiRow]=_xlfn.TEXTAFTER($H203,":"))*(PptoSty[PiColumn]=Y$54),0)),SUM(IF((INDIRECT($B$3)=$B203)*(INDIRECT($C$3)=$D203)*((INDIRECT($E$3)="TOTS")+(INDIRECT($E$3)=$E203)),INDIRECT(Y$3)))),_xlpm.y,SUM(_xlfn.CHOOSECOLS(_xlfn._xlws.FILTER(F_RT14[],(F_RT14[PrjId]=$B203)*(F_RT14[Vrs]=$D203)*(_xlfn.TEXTAFTER(F_RT14[ActGrp],":")=_xlfn.TEXTAFTER($H203,":")),"X"),MATCH("*"&amp;Y$54,F_RT14[#Headers],0))),IF(AND(_xlpm.x=0,_xlpm.y&lt;&gt;0),-1,IF(AND(_xlpm.x&lt;&gt;0,_xlpm.y&lt;&gt;0),_xlpm.x,IF(AND(_xlpm.x-SUM(IF((INDIRECT($B$3)=$B203)*(INDIRECT($C$3)=$D203)*((INDIRECT($E$3)="TOTS")+(INDIRECT($E$3)=$E203)),INDIRECT(Y$3)))&lt;&gt;0,_xlpm.y=0),-2,_xlpm.x)))),0))</f>
        <v>0</v>
      </c>
      <c r="Z203" s="198" t="str">
        <f t="shared" ca="1" si="4"/>
        <v>Fback!B203:Y203</v>
      </c>
    </row>
    <row r="204" spans="2:26" ht="21" customHeight="1" outlineLevel="1">
      <c r="B204" s="128"/>
      <c r="C204" s="128"/>
      <c r="D204" s="128"/>
      <c r="E204" s="128"/>
      <c r="F204" s="139"/>
      <c r="G204" s="139"/>
      <c r="H204" s="139"/>
      <c r="I204" s="199" cm="1">
        <f t="array" aca="1" ref="I204" ca="1">IF(OR($B204="",$B204="X",$D204="",$D204="X",$E204="",$E204="X"),0,IFERROR(_xlfn.LET(_xlpm.x,SUM(SUM(_xlfn._xlws.FILTER(VALUE(PptoSty[Sign]&amp;1)*(1/PptoSty[Division]),(PptoSty[Division]&lt;&gt;0)*(PptoSty[Division]&lt;&gt;"")*(PptoSty[Division]&lt;&gt;"X")*(PptoSty[Project]=$B204)*(PptoSty[Vrs]=$D204)*(PptoSty[PiRow]=_xlfn.TEXTAFTER($H204,":"))*(PptoSty[PiColumn]=I$54),0)),SUM(IF((INDIRECT($B$3)=$B204)*(INDIRECT($C$3)=$D204)*((INDIRECT($E$3)="TOTS")+(INDIRECT($E$3)=$E204)),INDIRECT(I$3)))),_xlpm.y,SUM(_xlfn.CHOOSECOLS(_xlfn._xlws.FILTER(F_RT14[],(F_RT14[PrjId]=$B204)*(F_RT14[Vrs]=$D204)*(_xlfn.TEXTAFTER(F_RT14[ActGrp],":")=_xlfn.TEXTAFTER($H204,":")),"X"),MATCH("*"&amp;I$54,F_RT14[#Headers],0))),IF(AND(_xlpm.x=0,_xlpm.y&lt;&gt;0),-1,IF(AND(_xlpm.x&lt;&gt;0,_xlpm.y&lt;&gt;0),_xlpm.x,IF(AND(_xlpm.x-SUM(IF((INDIRECT($B$3)=$B204)*(INDIRECT($C$3)=$D204)*((INDIRECT($E$3)="TOTS")+(INDIRECT($E$3)=$E204)),INDIRECT(I$3)))&lt;&gt;0,_xlpm.y=0),-2,_xlpm.x)))),0))</f>
        <v>0</v>
      </c>
      <c r="J204" s="199" cm="1">
        <f t="array" aca="1" ref="J204" ca="1">IF(OR($B204="",$B204="X",$D204="",$D204="X",$E204="",$E204="X"),0,IFERROR(_xlfn.LET(_xlpm.x,SUM(SUM(_xlfn._xlws.FILTER(VALUE(PptoSty[Sign]&amp;1)*(1/PptoSty[Division]),(PptoSty[Division]&lt;&gt;0)*(PptoSty[Division]&lt;&gt;"")*(PptoSty[Division]&lt;&gt;"X")*(PptoSty[Project]=$B204)*(PptoSty[Vrs]=$D204)*(PptoSty[PiRow]=_xlfn.TEXTAFTER($H204,":"))*(PptoSty[PiColumn]=J$54),0)),SUM(IF((INDIRECT($B$3)=$B204)*(INDIRECT($C$3)=$D204)*((INDIRECT($E$3)="TOTS")+(INDIRECT($E$3)=$E204)),INDIRECT(J$3)))),_xlpm.y,SUM(_xlfn.CHOOSECOLS(_xlfn._xlws.FILTER(F_RT14[],(F_RT14[PrjId]=$B204)*(F_RT14[Vrs]=$D204)*(_xlfn.TEXTAFTER(F_RT14[ActGrp],":")=_xlfn.TEXTAFTER($H204,":")),"X"),MATCH("*"&amp;J$54,F_RT14[#Headers],0))),IF(AND(_xlpm.x=0,_xlpm.y&lt;&gt;0),-1,IF(AND(_xlpm.x&lt;&gt;0,_xlpm.y&lt;&gt;0),_xlpm.x,IF(AND(_xlpm.x-SUM(IF((INDIRECT($B$3)=$B204)*(INDIRECT($C$3)=$D204)*((INDIRECT($E$3)="TOTS")+(INDIRECT($E$3)=$E204)),INDIRECT(J$3)))&lt;&gt;0,_xlpm.y=0),-2,_xlpm.x)))),0))</f>
        <v>0</v>
      </c>
      <c r="K204" s="199" cm="1">
        <f t="array" aca="1" ref="K204" ca="1">IF(OR($B204="",$B204="X",$D204="",$D204="X",$E204="",$E204="X"),0,IFERROR(_xlfn.LET(_xlpm.x,SUM(SUM(_xlfn._xlws.FILTER(VALUE(PptoSty[Sign]&amp;1)*(1/PptoSty[Division]),(PptoSty[Division]&lt;&gt;0)*(PptoSty[Division]&lt;&gt;"")*(PptoSty[Division]&lt;&gt;"X")*(PptoSty[Project]=$B204)*(PptoSty[Vrs]=$D204)*(PptoSty[PiRow]=_xlfn.TEXTAFTER($H204,":"))*(PptoSty[PiColumn]=K$54),0)),SUM(IF((INDIRECT($B$3)=$B204)*(INDIRECT($C$3)=$D204)*((INDIRECT($E$3)="TOTS")+(INDIRECT($E$3)=$E204)),INDIRECT(K$3)))),_xlpm.y,SUM(_xlfn.CHOOSECOLS(_xlfn._xlws.FILTER(F_RT14[],(F_RT14[PrjId]=$B204)*(F_RT14[Vrs]=$D204)*(_xlfn.TEXTAFTER(F_RT14[ActGrp],":")=_xlfn.TEXTAFTER($H204,":")),"X"),MATCH("*"&amp;K$54,F_RT14[#Headers],0))),IF(AND(_xlpm.x=0,_xlpm.y&lt;&gt;0),-1,IF(AND(_xlpm.x&lt;&gt;0,_xlpm.y&lt;&gt;0),_xlpm.x,IF(AND(_xlpm.x-SUM(IF((INDIRECT($B$3)=$B204)*(INDIRECT($C$3)=$D204)*((INDIRECT($E$3)="TOTS")+(INDIRECT($E$3)=$E204)),INDIRECT(K$3)))&lt;&gt;0,_xlpm.y=0),-2,_xlpm.x)))),0))</f>
        <v>0</v>
      </c>
      <c r="L204" s="199" cm="1">
        <f t="array" aca="1" ref="L204" ca="1">IF(OR($B204="",$B204="X",$D204="",$D204="X",$E204="",$E204="X"),0,IFERROR(_xlfn.LET(_xlpm.x,SUM(SUM(_xlfn._xlws.FILTER(VALUE(PptoSty[Sign]&amp;1)*(1/PptoSty[Division]),(PptoSty[Division]&lt;&gt;0)*(PptoSty[Division]&lt;&gt;"")*(PptoSty[Division]&lt;&gt;"X")*(PptoSty[Project]=$B204)*(PptoSty[Vrs]=$D204)*(PptoSty[PiRow]=_xlfn.TEXTAFTER($H204,":"))*(PptoSty[PiColumn]=L$54),0)),SUM(IF((INDIRECT($B$3)=$B204)*(INDIRECT($C$3)=$D204)*((INDIRECT($E$3)="TOTS")+(INDIRECT($E$3)=$E204)),INDIRECT(L$3)))),_xlpm.y,SUM(_xlfn.CHOOSECOLS(_xlfn._xlws.FILTER(F_RT14[],(F_RT14[PrjId]=$B204)*(F_RT14[Vrs]=$D204)*(_xlfn.TEXTAFTER(F_RT14[ActGrp],":")=_xlfn.TEXTAFTER($H204,":")),"X"),MATCH("*"&amp;L$54,F_RT14[#Headers],0))),IF(AND(_xlpm.x=0,_xlpm.y&lt;&gt;0),-1,IF(AND(_xlpm.x&lt;&gt;0,_xlpm.y&lt;&gt;0),_xlpm.x,IF(AND(_xlpm.x-SUM(IF((INDIRECT($B$3)=$B204)*(INDIRECT($C$3)=$D204)*((INDIRECT($E$3)="TOTS")+(INDIRECT($E$3)=$E204)),INDIRECT(L$3)))&lt;&gt;0,_xlpm.y=0),-2,_xlpm.x)))),0))</f>
        <v>0</v>
      </c>
      <c r="M204" s="199" cm="1">
        <f t="array" aca="1" ref="M204" ca="1">IF(OR($B204="",$B204="X",$D204="",$D204="X",$E204="",$E204="X"),0,IFERROR(_xlfn.LET(_xlpm.x,SUM(SUM(_xlfn._xlws.FILTER(VALUE(PptoSty[Sign]&amp;1)*(1/PptoSty[Division]),(PptoSty[Division]&lt;&gt;0)*(PptoSty[Division]&lt;&gt;"")*(PptoSty[Division]&lt;&gt;"X")*(PptoSty[Project]=$B204)*(PptoSty[Vrs]=$D204)*(PptoSty[PiRow]=_xlfn.TEXTAFTER($H204,":"))*(PptoSty[PiColumn]=M$54),0)),SUM(IF((INDIRECT($B$3)=$B204)*(INDIRECT($C$3)=$D204)*((INDIRECT($E$3)="TOTS")+(INDIRECT($E$3)=$E204)),INDIRECT(M$3)))),_xlpm.y,SUM(_xlfn.CHOOSECOLS(_xlfn._xlws.FILTER(F_RT14[],(F_RT14[PrjId]=$B204)*(F_RT14[Vrs]=$D204)*(_xlfn.TEXTAFTER(F_RT14[ActGrp],":")=_xlfn.TEXTAFTER($H204,":")),"X"),MATCH("*"&amp;M$54,F_RT14[#Headers],0))),IF(AND(_xlpm.x=0,_xlpm.y&lt;&gt;0),-1,IF(AND(_xlpm.x&lt;&gt;0,_xlpm.y&lt;&gt;0),_xlpm.x,IF(AND(_xlpm.x-SUM(IF((INDIRECT($B$3)=$B204)*(INDIRECT($C$3)=$D204)*((INDIRECT($E$3)="TOTS")+(INDIRECT($E$3)=$E204)),INDIRECT(M$3)))&lt;&gt;0,_xlpm.y=0),-2,_xlpm.x)))),0))</f>
        <v>0</v>
      </c>
      <c r="N204" s="199" cm="1">
        <f t="array" aca="1" ref="N204" ca="1">IF(OR($B204="",$B204="X",$D204="",$D204="X",$E204="",$E204="X"),0,IFERROR(_xlfn.LET(_xlpm.x,SUM(SUM(_xlfn._xlws.FILTER(VALUE(PptoSty[Sign]&amp;1)*(1/PptoSty[Division]),(PptoSty[Division]&lt;&gt;0)*(PptoSty[Division]&lt;&gt;"")*(PptoSty[Division]&lt;&gt;"X")*(PptoSty[Project]=$B204)*(PptoSty[Vrs]=$D204)*(PptoSty[PiRow]=_xlfn.TEXTAFTER($H204,":"))*(PptoSty[PiColumn]=N$54),0)),SUM(IF((INDIRECT($B$3)=$B204)*(INDIRECT($C$3)=$D204)*((INDIRECT($E$3)="TOTS")+(INDIRECT($E$3)=$E204)),INDIRECT(N$3)))),_xlpm.y,SUM(_xlfn.CHOOSECOLS(_xlfn._xlws.FILTER(F_RT14[],(F_RT14[PrjId]=$B204)*(F_RT14[Vrs]=$D204)*(_xlfn.TEXTAFTER(F_RT14[ActGrp],":")=_xlfn.TEXTAFTER($H204,":")),"X"),MATCH("*"&amp;N$54,F_RT14[#Headers],0))),IF(AND(_xlpm.x=0,_xlpm.y&lt;&gt;0),-1,IF(AND(_xlpm.x&lt;&gt;0,_xlpm.y&lt;&gt;0),_xlpm.x,IF(AND(_xlpm.x-SUM(IF((INDIRECT($B$3)=$B204)*(INDIRECT($C$3)=$D204)*((INDIRECT($E$3)="TOTS")+(INDIRECT($E$3)=$E204)),INDIRECT(N$3)))&lt;&gt;0,_xlpm.y=0),-2,_xlpm.x)))),0))</f>
        <v>0</v>
      </c>
      <c r="O204" s="199" cm="1">
        <f t="array" aca="1" ref="O204" ca="1">IF(OR($B204="",$B204="X",$D204="",$D204="X",$E204="",$E204="X"),0,IFERROR(_xlfn.LET(_xlpm.x,SUM(SUM(_xlfn._xlws.FILTER(VALUE(PptoSty[Sign]&amp;1)*(1/PptoSty[Division]),(PptoSty[Division]&lt;&gt;0)*(PptoSty[Division]&lt;&gt;"")*(PptoSty[Division]&lt;&gt;"X")*(PptoSty[Project]=$B204)*(PptoSty[Vrs]=$D204)*(PptoSty[PiRow]=_xlfn.TEXTAFTER($H204,":"))*(PptoSty[PiColumn]=O$54),0)),SUM(IF((INDIRECT($B$3)=$B204)*(INDIRECT($C$3)=$D204)*((INDIRECT($E$3)="TOTS")+(INDIRECT($E$3)=$E204)),INDIRECT(O$3)))),_xlpm.y,SUM(_xlfn.CHOOSECOLS(_xlfn._xlws.FILTER(F_RT14[],(F_RT14[PrjId]=$B204)*(F_RT14[Vrs]=$D204)*(_xlfn.TEXTAFTER(F_RT14[ActGrp],":")=_xlfn.TEXTAFTER($H204,":")),"X"),MATCH("*"&amp;O$54,F_RT14[#Headers],0))),IF(AND(_xlpm.x=0,_xlpm.y&lt;&gt;0),-1,IF(AND(_xlpm.x&lt;&gt;0,_xlpm.y&lt;&gt;0),_xlpm.x,IF(AND(_xlpm.x-SUM(IF((INDIRECT($B$3)=$B204)*(INDIRECT($C$3)=$D204)*((INDIRECT($E$3)="TOTS")+(INDIRECT($E$3)=$E204)),INDIRECT(O$3)))&lt;&gt;0,_xlpm.y=0),-2,_xlpm.x)))),0))</f>
        <v>0</v>
      </c>
      <c r="P204" s="199" cm="1">
        <f t="array" aca="1" ref="P204" ca="1">IF(OR($B204="",$B204="X",$D204="",$D204="X",$E204="",$E204="X"),0,IFERROR(_xlfn.LET(_xlpm.x,SUM(SUM(_xlfn._xlws.FILTER(VALUE(PptoSty[Sign]&amp;1)*(1/PptoSty[Division]),(PptoSty[Division]&lt;&gt;0)*(PptoSty[Division]&lt;&gt;"")*(PptoSty[Division]&lt;&gt;"X")*(PptoSty[Project]=$B204)*(PptoSty[Vrs]=$D204)*(PptoSty[PiRow]=_xlfn.TEXTAFTER($H204,":"))*(PptoSty[PiColumn]=P$54),0)),SUM(IF((INDIRECT($B$3)=$B204)*(INDIRECT($C$3)=$D204)*((INDIRECT($E$3)="TOTS")+(INDIRECT($E$3)=$E204)),INDIRECT(P$3)))),_xlpm.y,SUM(_xlfn.CHOOSECOLS(_xlfn._xlws.FILTER(F_RT14[],(F_RT14[PrjId]=$B204)*(F_RT14[Vrs]=$D204)*(_xlfn.TEXTAFTER(F_RT14[ActGrp],":")=_xlfn.TEXTAFTER($H204,":")),"X"),MATCH("*"&amp;P$54,F_RT14[#Headers],0))),IF(AND(_xlpm.x=0,_xlpm.y&lt;&gt;0),-1,IF(AND(_xlpm.x&lt;&gt;0,_xlpm.y&lt;&gt;0),_xlpm.x,IF(AND(_xlpm.x-SUM(IF((INDIRECT($B$3)=$B204)*(INDIRECT($C$3)=$D204)*((INDIRECT($E$3)="TOTS")+(INDIRECT($E$3)=$E204)),INDIRECT(P$3)))&lt;&gt;0,_xlpm.y=0),-2,_xlpm.x)))),0))</f>
        <v>0</v>
      </c>
      <c r="Q204" s="199" cm="1">
        <f t="array" aca="1" ref="Q204" ca="1">IF(OR($B204="",$B204="X",$D204="",$D204="X",$E204="",$E204="X"),0,IFERROR(_xlfn.LET(_xlpm.x,SUM(SUM(_xlfn._xlws.FILTER(VALUE(PptoSty[Sign]&amp;1)*(1/PptoSty[Division]),(PptoSty[Division]&lt;&gt;0)*(PptoSty[Division]&lt;&gt;"")*(PptoSty[Division]&lt;&gt;"X")*(PptoSty[Project]=$B204)*(PptoSty[Vrs]=$D204)*(PptoSty[PiRow]=_xlfn.TEXTAFTER($H204,":"))*(PptoSty[PiColumn]=Q$54),0)),SUM(IF((INDIRECT($B$3)=$B204)*(INDIRECT($C$3)=$D204)*((INDIRECT($E$3)="TOTS")+(INDIRECT($E$3)=$E204)),INDIRECT(Q$3)))),_xlpm.y,SUM(_xlfn.CHOOSECOLS(_xlfn._xlws.FILTER(F_RT14[],(F_RT14[PrjId]=$B204)*(F_RT14[Vrs]=$D204)*(_xlfn.TEXTAFTER(F_RT14[ActGrp],":")=_xlfn.TEXTAFTER($H204,":")),"X"),MATCH("*"&amp;Q$54,F_RT14[#Headers],0))),IF(AND(_xlpm.x=0,_xlpm.y&lt;&gt;0),-1,IF(AND(_xlpm.x&lt;&gt;0,_xlpm.y&lt;&gt;0),_xlpm.x,IF(AND(_xlpm.x-SUM(IF((INDIRECT($B$3)=$B204)*(INDIRECT($C$3)=$D204)*((INDIRECT($E$3)="TOTS")+(INDIRECT($E$3)=$E204)),INDIRECT(Q$3)))&lt;&gt;0,_xlpm.y=0),-2,_xlpm.x)))),0))</f>
        <v>0</v>
      </c>
      <c r="R204" s="199" cm="1">
        <f t="array" aca="1" ref="R204" ca="1">IF(OR($B204="",$B204="X",$D204="",$D204="X",$E204="",$E204="X"),0,IFERROR(_xlfn.LET(_xlpm.x,SUM(SUM(_xlfn._xlws.FILTER(VALUE(PptoSty[Sign]&amp;1)*(1/PptoSty[Division]),(PptoSty[Division]&lt;&gt;0)*(PptoSty[Division]&lt;&gt;"")*(PptoSty[Division]&lt;&gt;"X")*(PptoSty[Project]=$B204)*(PptoSty[Vrs]=$D204)*(PptoSty[PiRow]=_xlfn.TEXTAFTER($H204,":"))*(PptoSty[PiColumn]=R$54),0)),SUM(IF((INDIRECT($B$3)=$B204)*(INDIRECT($C$3)=$D204)*((INDIRECT($E$3)="TOTS")+(INDIRECT($E$3)=$E204)),INDIRECT(R$3)))),_xlpm.y,SUM(_xlfn.CHOOSECOLS(_xlfn._xlws.FILTER(F_RT14[],(F_RT14[PrjId]=$B204)*(F_RT14[Vrs]=$D204)*(_xlfn.TEXTAFTER(F_RT14[ActGrp],":")=_xlfn.TEXTAFTER($H204,":")),"X"),MATCH("*"&amp;R$54,F_RT14[#Headers],0))),IF(AND(_xlpm.x=0,_xlpm.y&lt;&gt;0),-1,IF(AND(_xlpm.x&lt;&gt;0,_xlpm.y&lt;&gt;0),_xlpm.x,IF(AND(_xlpm.x-SUM(IF((INDIRECT($B$3)=$B204)*(INDIRECT($C$3)=$D204)*((INDIRECT($E$3)="TOTS")+(INDIRECT($E$3)=$E204)),INDIRECT(R$3)))&lt;&gt;0,_xlpm.y=0),-2,_xlpm.x)))),0))</f>
        <v>0</v>
      </c>
      <c r="S204" s="199" cm="1">
        <f t="array" aca="1" ref="S204" ca="1">IF(OR($B204="",$B204="X",$D204="",$D204="X",$E204="",$E204="X"),0,IFERROR(_xlfn.LET(_xlpm.x,SUM(SUM(_xlfn._xlws.FILTER(VALUE(PptoSty[Sign]&amp;1)*(1/PptoSty[Division]),(PptoSty[Division]&lt;&gt;0)*(PptoSty[Division]&lt;&gt;"")*(PptoSty[Division]&lt;&gt;"X")*(PptoSty[Project]=$B204)*(PptoSty[Vrs]=$D204)*(PptoSty[PiRow]=_xlfn.TEXTAFTER($H204,":"))*(PptoSty[PiColumn]=S$54),0)),SUM(IF((INDIRECT($B$3)=$B204)*(INDIRECT($C$3)=$D204)*((INDIRECT($E$3)="TOTS")+(INDIRECT($E$3)=$E204)),INDIRECT(S$3)))),_xlpm.y,SUM(_xlfn.CHOOSECOLS(_xlfn._xlws.FILTER(F_RT14[],(F_RT14[PrjId]=$B204)*(F_RT14[Vrs]=$D204)*(_xlfn.TEXTAFTER(F_RT14[ActGrp],":")=_xlfn.TEXTAFTER($H204,":")),"X"),MATCH("*"&amp;S$54,F_RT14[#Headers],0))),IF(AND(_xlpm.x=0,_xlpm.y&lt;&gt;0),-1,IF(AND(_xlpm.x&lt;&gt;0,_xlpm.y&lt;&gt;0),_xlpm.x,IF(AND(_xlpm.x-SUM(IF((INDIRECT($B$3)=$B204)*(INDIRECT($C$3)=$D204)*((INDIRECT($E$3)="TOTS")+(INDIRECT($E$3)=$E204)),INDIRECT(S$3)))&lt;&gt;0,_xlpm.y=0),-2,_xlpm.x)))),0))</f>
        <v>0</v>
      </c>
      <c r="T204" s="199" cm="1">
        <f t="array" aca="1" ref="T204" ca="1">IF(OR($B204="",$B204="X",$D204="",$D204="X",$E204="",$E204="X"),0,IFERROR(_xlfn.LET(_xlpm.x,SUM(SUM(_xlfn._xlws.FILTER(VALUE(PptoSty[Sign]&amp;1)*(1/PptoSty[Division]),(PptoSty[Division]&lt;&gt;0)*(PptoSty[Division]&lt;&gt;"")*(PptoSty[Division]&lt;&gt;"X")*(PptoSty[Project]=$B204)*(PptoSty[Vrs]=$D204)*(PptoSty[PiRow]=_xlfn.TEXTAFTER($H204,":"))*(PptoSty[PiColumn]=T$54),0)),SUM(IF((INDIRECT($B$3)=$B204)*(INDIRECT($C$3)=$D204)*((INDIRECT($E$3)="TOTS")+(INDIRECT($E$3)=$E204)),INDIRECT(T$3)))),_xlpm.y,SUM(_xlfn.CHOOSECOLS(_xlfn._xlws.FILTER(F_RT14[],(F_RT14[PrjId]=$B204)*(F_RT14[Vrs]=$D204)*(_xlfn.TEXTAFTER(F_RT14[ActGrp],":")=_xlfn.TEXTAFTER($H204,":")),"X"),MATCH("*"&amp;T$54,F_RT14[#Headers],0))),IF(AND(_xlpm.x=0,_xlpm.y&lt;&gt;0),-1,IF(AND(_xlpm.x&lt;&gt;0,_xlpm.y&lt;&gt;0),_xlpm.x,IF(AND(_xlpm.x-SUM(IF((INDIRECT($B$3)=$B204)*(INDIRECT($C$3)=$D204)*((INDIRECT($E$3)="TOTS")+(INDIRECT($E$3)=$E204)),INDIRECT(T$3)))&lt;&gt;0,_xlpm.y=0),-2,_xlpm.x)))),0))</f>
        <v>0</v>
      </c>
      <c r="U204" s="199" cm="1">
        <f t="array" aca="1" ref="U204" ca="1">IF(OR($B204="",$B204="X",$D204="",$D204="X",$E204="",$E204="X"),0,IFERROR(_xlfn.LET(_xlpm.x,SUM(SUM(_xlfn._xlws.FILTER(VALUE(PptoSty[Sign]&amp;1)*(1/PptoSty[Division]),(PptoSty[Division]&lt;&gt;0)*(PptoSty[Division]&lt;&gt;"")*(PptoSty[Division]&lt;&gt;"X")*(PptoSty[Project]=$B204)*(PptoSty[Vrs]=$D204)*(PptoSty[PiRow]=_xlfn.TEXTAFTER($H204,":"))*(PptoSty[PiColumn]=U$54),0)),SUM(IF((INDIRECT($B$3)=$B204)*(INDIRECT($C$3)=$D204)*((INDIRECT($E$3)="TOTS")+(INDIRECT($E$3)=$E204)),INDIRECT(U$3)))),_xlpm.y,SUM(_xlfn.CHOOSECOLS(_xlfn._xlws.FILTER(F_RT14[],(F_RT14[PrjId]=$B204)*(F_RT14[Vrs]=$D204)*(_xlfn.TEXTAFTER(F_RT14[ActGrp],":")=_xlfn.TEXTAFTER($H204,":")),"X"),MATCH("*"&amp;U$54,F_RT14[#Headers],0))),IF(AND(_xlpm.x=0,_xlpm.y&lt;&gt;0),-1,IF(AND(_xlpm.x&lt;&gt;0,_xlpm.y&lt;&gt;0),_xlpm.x,IF(AND(_xlpm.x-SUM(IF((INDIRECT($B$3)=$B204)*(INDIRECT($C$3)=$D204)*((INDIRECT($E$3)="TOTS")+(INDIRECT($E$3)=$E204)),INDIRECT(U$3)))&lt;&gt;0,_xlpm.y=0),-2,_xlpm.x)))),0))</f>
        <v>0</v>
      </c>
      <c r="V204" s="199" cm="1">
        <f t="array" aca="1" ref="V204" ca="1">IF(OR($B204="",$B204="X",$D204="",$D204="X",$E204="",$E204="X"),0,IFERROR(_xlfn.LET(_xlpm.x,SUM(SUM(_xlfn._xlws.FILTER(VALUE(PptoSty[Sign]&amp;1)*(1/PptoSty[Division]),(PptoSty[Division]&lt;&gt;0)*(PptoSty[Division]&lt;&gt;"")*(PptoSty[Division]&lt;&gt;"X")*(PptoSty[Project]=$B204)*(PptoSty[Vrs]=$D204)*(PptoSty[PiRow]=_xlfn.TEXTAFTER($H204,":"))*(PptoSty[PiColumn]=V$54),0)),SUM(IF((INDIRECT($B$3)=$B204)*(INDIRECT($C$3)=$D204)*((INDIRECT($E$3)="TOTS")+(INDIRECT($E$3)=$E204)),INDIRECT(V$3)))),_xlpm.y,SUM(_xlfn.CHOOSECOLS(_xlfn._xlws.FILTER(F_RT14[],(F_RT14[PrjId]=$B204)*(F_RT14[Vrs]=$D204)*(_xlfn.TEXTAFTER(F_RT14[ActGrp],":")=_xlfn.TEXTAFTER($H204,":")),"X"),MATCH("*"&amp;V$54,F_RT14[#Headers],0))),IF(AND(_xlpm.x=0,_xlpm.y&lt;&gt;0),-1,IF(AND(_xlpm.x&lt;&gt;0,_xlpm.y&lt;&gt;0),_xlpm.x,IF(AND(_xlpm.x-SUM(IF((INDIRECT($B$3)=$B204)*(INDIRECT($C$3)=$D204)*((INDIRECT($E$3)="TOTS")+(INDIRECT($E$3)=$E204)),INDIRECT(V$3)))&lt;&gt;0,_xlpm.y=0),-2,_xlpm.x)))),0))</f>
        <v>0</v>
      </c>
      <c r="W204" s="199" cm="1">
        <f t="array" aca="1" ref="W204" ca="1">IF(OR($B204="",$B204="X",$D204="",$D204="X",$E204="",$E204="X"),0,IFERROR(_xlfn.LET(_xlpm.x,SUM(SUM(_xlfn._xlws.FILTER(VALUE(PptoSty[Sign]&amp;1)*(1/PptoSty[Division]),(PptoSty[Division]&lt;&gt;0)*(PptoSty[Division]&lt;&gt;"")*(PptoSty[Division]&lt;&gt;"X")*(PptoSty[Project]=$B204)*(PptoSty[Vrs]=$D204)*(PptoSty[PiRow]=_xlfn.TEXTAFTER($H204,":"))*(PptoSty[PiColumn]=W$54),0)),SUM(IF((INDIRECT($B$3)=$B204)*(INDIRECT($C$3)=$D204)*((INDIRECT($E$3)="TOTS")+(INDIRECT($E$3)=$E204)),INDIRECT(W$3)))),_xlpm.y,SUM(_xlfn.CHOOSECOLS(_xlfn._xlws.FILTER(F_RT14[],(F_RT14[PrjId]=$B204)*(F_RT14[Vrs]=$D204)*(_xlfn.TEXTAFTER(F_RT14[ActGrp],":")=_xlfn.TEXTAFTER($H204,":")),"X"),MATCH("*"&amp;W$54,F_RT14[#Headers],0))),IF(AND(_xlpm.x=0,_xlpm.y&lt;&gt;0),-1,IF(AND(_xlpm.x&lt;&gt;0,_xlpm.y&lt;&gt;0),_xlpm.x,IF(AND(_xlpm.x-SUM(IF((INDIRECT($B$3)=$B204)*(INDIRECT($C$3)=$D204)*((INDIRECT($E$3)="TOTS")+(INDIRECT($E$3)=$E204)),INDIRECT(W$3)))&lt;&gt;0,_xlpm.y=0),-2,_xlpm.x)))),0))</f>
        <v>0</v>
      </c>
      <c r="X204" s="199" cm="1">
        <f t="array" aca="1" ref="X204" ca="1">IF(OR($B204="",$B204="X",$D204="",$D204="X",$E204="",$E204="X"),0,IFERROR(_xlfn.LET(_xlpm.x,SUM(SUM(_xlfn._xlws.FILTER(VALUE(PptoSty[Sign]&amp;1)*(1/PptoSty[Division]),(PptoSty[Division]&lt;&gt;0)*(PptoSty[Division]&lt;&gt;"")*(PptoSty[Division]&lt;&gt;"X")*(PptoSty[Project]=$B204)*(PptoSty[Vrs]=$D204)*(PptoSty[PiRow]=_xlfn.TEXTAFTER($H204,":"))*(PptoSty[PiColumn]=X$54),0)),SUM(IF((INDIRECT($B$3)=$B204)*(INDIRECT($C$3)=$D204)*((INDIRECT($E$3)="TOTS")+(INDIRECT($E$3)=$E204)),INDIRECT(X$3)))),_xlpm.y,SUM(_xlfn.CHOOSECOLS(_xlfn._xlws.FILTER(F_RT14[],(F_RT14[PrjId]=$B204)*(F_RT14[Vrs]=$D204)*(_xlfn.TEXTAFTER(F_RT14[ActGrp],":")=_xlfn.TEXTAFTER($H204,":")),"X"),MATCH("*"&amp;X$54,F_RT14[#Headers],0))),IF(AND(_xlpm.x=0,_xlpm.y&lt;&gt;0),-1,IF(AND(_xlpm.x&lt;&gt;0,_xlpm.y&lt;&gt;0),_xlpm.x,IF(AND(_xlpm.x-SUM(IF((INDIRECT($B$3)=$B204)*(INDIRECT($C$3)=$D204)*((INDIRECT($E$3)="TOTS")+(INDIRECT($E$3)=$E204)),INDIRECT(X$3)))&lt;&gt;0,_xlpm.y=0),-2,_xlpm.x)))),0))</f>
        <v>0</v>
      </c>
      <c r="Y204" s="199" cm="1">
        <f t="array" aca="1" ref="Y204" ca="1">IF(OR($B204="",$B204="X",$D204="",$D204="X",$E204="",$E204="X"),0,IFERROR(_xlfn.LET(_xlpm.x,SUM(SUM(_xlfn._xlws.FILTER(VALUE(PptoSty[Sign]&amp;1)*(1/PptoSty[Division]),(PptoSty[Division]&lt;&gt;0)*(PptoSty[Division]&lt;&gt;"")*(PptoSty[Division]&lt;&gt;"X")*(PptoSty[Project]=$B204)*(PptoSty[Vrs]=$D204)*(PptoSty[PiRow]=_xlfn.TEXTAFTER($H204,":"))*(PptoSty[PiColumn]=Y$54),0)),SUM(IF((INDIRECT($B$3)=$B204)*(INDIRECT($C$3)=$D204)*((INDIRECT($E$3)="TOTS")+(INDIRECT($E$3)=$E204)),INDIRECT(Y$3)))),_xlpm.y,SUM(_xlfn.CHOOSECOLS(_xlfn._xlws.FILTER(F_RT14[],(F_RT14[PrjId]=$B204)*(F_RT14[Vrs]=$D204)*(_xlfn.TEXTAFTER(F_RT14[ActGrp],":")=_xlfn.TEXTAFTER($H204,":")),"X"),MATCH("*"&amp;Y$54,F_RT14[#Headers],0))),IF(AND(_xlpm.x=0,_xlpm.y&lt;&gt;0),-1,IF(AND(_xlpm.x&lt;&gt;0,_xlpm.y&lt;&gt;0),_xlpm.x,IF(AND(_xlpm.x-SUM(IF((INDIRECT($B$3)=$B204)*(INDIRECT($C$3)=$D204)*((INDIRECT($E$3)="TOTS")+(INDIRECT($E$3)=$E204)),INDIRECT(Y$3)))&lt;&gt;0,_xlpm.y=0),-2,_xlpm.x)))),0))</f>
        <v>0</v>
      </c>
      <c r="Z204" s="198" t="str">
        <f t="shared" ca="1" si="4"/>
        <v>Fback!B204:Y204</v>
      </c>
    </row>
    <row r="205" spans="2:26" ht="21" customHeight="1" outlineLevel="1">
      <c r="B205" s="128"/>
      <c r="C205" s="128"/>
      <c r="D205" s="128"/>
      <c r="E205" s="128"/>
      <c r="F205" s="139"/>
      <c r="G205" s="139"/>
      <c r="H205" s="139"/>
      <c r="I205" s="199" cm="1">
        <f t="array" aca="1" ref="I205" ca="1">IF(OR($B205="",$B205="X",$D205="",$D205="X",$E205="",$E205="X"),0,IFERROR(_xlfn.LET(_xlpm.x,SUM(SUM(_xlfn._xlws.FILTER(VALUE(PptoSty[Sign]&amp;1)*(1/PptoSty[Division]),(PptoSty[Division]&lt;&gt;0)*(PptoSty[Division]&lt;&gt;"")*(PptoSty[Division]&lt;&gt;"X")*(PptoSty[Project]=$B205)*(PptoSty[Vrs]=$D205)*(PptoSty[PiRow]=_xlfn.TEXTAFTER($H205,":"))*(PptoSty[PiColumn]=I$54),0)),SUM(IF((INDIRECT($B$3)=$B205)*(INDIRECT($C$3)=$D205)*((INDIRECT($E$3)="TOTS")+(INDIRECT($E$3)=$E205)),INDIRECT(I$3)))),_xlpm.y,SUM(_xlfn.CHOOSECOLS(_xlfn._xlws.FILTER(F_RT14[],(F_RT14[PrjId]=$B205)*(F_RT14[Vrs]=$D205)*(_xlfn.TEXTAFTER(F_RT14[ActGrp],":")=_xlfn.TEXTAFTER($H205,":")),"X"),MATCH("*"&amp;I$54,F_RT14[#Headers],0))),IF(AND(_xlpm.x=0,_xlpm.y&lt;&gt;0),-1,IF(AND(_xlpm.x&lt;&gt;0,_xlpm.y&lt;&gt;0),_xlpm.x,IF(AND(_xlpm.x-SUM(IF((INDIRECT($B$3)=$B205)*(INDIRECT($C$3)=$D205)*((INDIRECT($E$3)="TOTS")+(INDIRECT($E$3)=$E205)),INDIRECT(I$3)))&lt;&gt;0,_xlpm.y=0),-2,_xlpm.x)))),0))</f>
        <v>0</v>
      </c>
      <c r="J205" s="199" cm="1">
        <f t="array" aca="1" ref="J205" ca="1">IF(OR($B205="",$B205="X",$D205="",$D205="X",$E205="",$E205="X"),0,IFERROR(_xlfn.LET(_xlpm.x,SUM(SUM(_xlfn._xlws.FILTER(VALUE(PptoSty[Sign]&amp;1)*(1/PptoSty[Division]),(PptoSty[Division]&lt;&gt;0)*(PptoSty[Division]&lt;&gt;"")*(PptoSty[Division]&lt;&gt;"X")*(PptoSty[Project]=$B205)*(PptoSty[Vrs]=$D205)*(PptoSty[PiRow]=_xlfn.TEXTAFTER($H205,":"))*(PptoSty[PiColumn]=J$54),0)),SUM(IF((INDIRECT($B$3)=$B205)*(INDIRECT($C$3)=$D205)*((INDIRECT($E$3)="TOTS")+(INDIRECT($E$3)=$E205)),INDIRECT(J$3)))),_xlpm.y,SUM(_xlfn.CHOOSECOLS(_xlfn._xlws.FILTER(F_RT14[],(F_RT14[PrjId]=$B205)*(F_RT14[Vrs]=$D205)*(_xlfn.TEXTAFTER(F_RT14[ActGrp],":")=_xlfn.TEXTAFTER($H205,":")),"X"),MATCH("*"&amp;J$54,F_RT14[#Headers],0))),IF(AND(_xlpm.x=0,_xlpm.y&lt;&gt;0),-1,IF(AND(_xlpm.x&lt;&gt;0,_xlpm.y&lt;&gt;0),_xlpm.x,IF(AND(_xlpm.x-SUM(IF((INDIRECT($B$3)=$B205)*(INDIRECT($C$3)=$D205)*((INDIRECT($E$3)="TOTS")+(INDIRECT($E$3)=$E205)),INDIRECT(J$3)))&lt;&gt;0,_xlpm.y=0),-2,_xlpm.x)))),0))</f>
        <v>0</v>
      </c>
      <c r="K205" s="199" cm="1">
        <f t="array" aca="1" ref="K205" ca="1">IF(OR($B205="",$B205="X",$D205="",$D205="X",$E205="",$E205="X"),0,IFERROR(_xlfn.LET(_xlpm.x,SUM(SUM(_xlfn._xlws.FILTER(VALUE(PptoSty[Sign]&amp;1)*(1/PptoSty[Division]),(PptoSty[Division]&lt;&gt;0)*(PptoSty[Division]&lt;&gt;"")*(PptoSty[Division]&lt;&gt;"X")*(PptoSty[Project]=$B205)*(PptoSty[Vrs]=$D205)*(PptoSty[PiRow]=_xlfn.TEXTAFTER($H205,":"))*(PptoSty[PiColumn]=K$54),0)),SUM(IF((INDIRECT($B$3)=$B205)*(INDIRECT($C$3)=$D205)*((INDIRECT($E$3)="TOTS")+(INDIRECT($E$3)=$E205)),INDIRECT(K$3)))),_xlpm.y,SUM(_xlfn.CHOOSECOLS(_xlfn._xlws.FILTER(F_RT14[],(F_RT14[PrjId]=$B205)*(F_RT14[Vrs]=$D205)*(_xlfn.TEXTAFTER(F_RT14[ActGrp],":")=_xlfn.TEXTAFTER($H205,":")),"X"),MATCH("*"&amp;K$54,F_RT14[#Headers],0))),IF(AND(_xlpm.x=0,_xlpm.y&lt;&gt;0),-1,IF(AND(_xlpm.x&lt;&gt;0,_xlpm.y&lt;&gt;0),_xlpm.x,IF(AND(_xlpm.x-SUM(IF((INDIRECT($B$3)=$B205)*(INDIRECT($C$3)=$D205)*((INDIRECT($E$3)="TOTS")+(INDIRECT($E$3)=$E205)),INDIRECT(K$3)))&lt;&gt;0,_xlpm.y=0),-2,_xlpm.x)))),0))</f>
        <v>0</v>
      </c>
      <c r="L205" s="199" cm="1">
        <f t="array" aca="1" ref="L205" ca="1">IF(OR($B205="",$B205="X",$D205="",$D205="X",$E205="",$E205="X"),0,IFERROR(_xlfn.LET(_xlpm.x,SUM(SUM(_xlfn._xlws.FILTER(VALUE(PptoSty[Sign]&amp;1)*(1/PptoSty[Division]),(PptoSty[Division]&lt;&gt;0)*(PptoSty[Division]&lt;&gt;"")*(PptoSty[Division]&lt;&gt;"X")*(PptoSty[Project]=$B205)*(PptoSty[Vrs]=$D205)*(PptoSty[PiRow]=_xlfn.TEXTAFTER($H205,":"))*(PptoSty[PiColumn]=L$54),0)),SUM(IF((INDIRECT($B$3)=$B205)*(INDIRECT($C$3)=$D205)*((INDIRECT($E$3)="TOTS")+(INDIRECT($E$3)=$E205)),INDIRECT(L$3)))),_xlpm.y,SUM(_xlfn.CHOOSECOLS(_xlfn._xlws.FILTER(F_RT14[],(F_RT14[PrjId]=$B205)*(F_RT14[Vrs]=$D205)*(_xlfn.TEXTAFTER(F_RT14[ActGrp],":")=_xlfn.TEXTAFTER($H205,":")),"X"),MATCH("*"&amp;L$54,F_RT14[#Headers],0))),IF(AND(_xlpm.x=0,_xlpm.y&lt;&gt;0),-1,IF(AND(_xlpm.x&lt;&gt;0,_xlpm.y&lt;&gt;0),_xlpm.x,IF(AND(_xlpm.x-SUM(IF((INDIRECT($B$3)=$B205)*(INDIRECT($C$3)=$D205)*((INDIRECT($E$3)="TOTS")+(INDIRECT($E$3)=$E205)),INDIRECT(L$3)))&lt;&gt;0,_xlpm.y=0),-2,_xlpm.x)))),0))</f>
        <v>0</v>
      </c>
      <c r="M205" s="199" cm="1">
        <f t="array" aca="1" ref="M205" ca="1">IF(OR($B205="",$B205="X",$D205="",$D205="X",$E205="",$E205="X"),0,IFERROR(_xlfn.LET(_xlpm.x,SUM(SUM(_xlfn._xlws.FILTER(VALUE(PptoSty[Sign]&amp;1)*(1/PptoSty[Division]),(PptoSty[Division]&lt;&gt;0)*(PptoSty[Division]&lt;&gt;"")*(PptoSty[Division]&lt;&gt;"X")*(PptoSty[Project]=$B205)*(PptoSty[Vrs]=$D205)*(PptoSty[PiRow]=_xlfn.TEXTAFTER($H205,":"))*(PptoSty[PiColumn]=M$54),0)),SUM(IF((INDIRECT($B$3)=$B205)*(INDIRECT($C$3)=$D205)*((INDIRECT($E$3)="TOTS")+(INDIRECT($E$3)=$E205)),INDIRECT(M$3)))),_xlpm.y,SUM(_xlfn.CHOOSECOLS(_xlfn._xlws.FILTER(F_RT14[],(F_RT14[PrjId]=$B205)*(F_RT14[Vrs]=$D205)*(_xlfn.TEXTAFTER(F_RT14[ActGrp],":")=_xlfn.TEXTAFTER($H205,":")),"X"),MATCH("*"&amp;M$54,F_RT14[#Headers],0))),IF(AND(_xlpm.x=0,_xlpm.y&lt;&gt;0),-1,IF(AND(_xlpm.x&lt;&gt;0,_xlpm.y&lt;&gt;0),_xlpm.x,IF(AND(_xlpm.x-SUM(IF((INDIRECT($B$3)=$B205)*(INDIRECT($C$3)=$D205)*((INDIRECT($E$3)="TOTS")+(INDIRECT($E$3)=$E205)),INDIRECT(M$3)))&lt;&gt;0,_xlpm.y=0),-2,_xlpm.x)))),0))</f>
        <v>0</v>
      </c>
      <c r="N205" s="199" cm="1">
        <f t="array" aca="1" ref="N205" ca="1">IF(OR($B205="",$B205="X",$D205="",$D205="X",$E205="",$E205="X"),0,IFERROR(_xlfn.LET(_xlpm.x,SUM(SUM(_xlfn._xlws.FILTER(VALUE(PptoSty[Sign]&amp;1)*(1/PptoSty[Division]),(PptoSty[Division]&lt;&gt;0)*(PptoSty[Division]&lt;&gt;"")*(PptoSty[Division]&lt;&gt;"X")*(PptoSty[Project]=$B205)*(PptoSty[Vrs]=$D205)*(PptoSty[PiRow]=_xlfn.TEXTAFTER($H205,":"))*(PptoSty[PiColumn]=N$54),0)),SUM(IF((INDIRECT($B$3)=$B205)*(INDIRECT($C$3)=$D205)*((INDIRECT($E$3)="TOTS")+(INDIRECT($E$3)=$E205)),INDIRECT(N$3)))),_xlpm.y,SUM(_xlfn.CHOOSECOLS(_xlfn._xlws.FILTER(F_RT14[],(F_RT14[PrjId]=$B205)*(F_RT14[Vrs]=$D205)*(_xlfn.TEXTAFTER(F_RT14[ActGrp],":")=_xlfn.TEXTAFTER($H205,":")),"X"),MATCH("*"&amp;N$54,F_RT14[#Headers],0))),IF(AND(_xlpm.x=0,_xlpm.y&lt;&gt;0),-1,IF(AND(_xlpm.x&lt;&gt;0,_xlpm.y&lt;&gt;0),_xlpm.x,IF(AND(_xlpm.x-SUM(IF((INDIRECT($B$3)=$B205)*(INDIRECT($C$3)=$D205)*((INDIRECT($E$3)="TOTS")+(INDIRECT($E$3)=$E205)),INDIRECT(N$3)))&lt;&gt;0,_xlpm.y=0),-2,_xlpm.x)))),0))</f>
        <v>0</v>
      </c>
      <c r="O205" s="199" cm="1">
        <f t="array" aca="1" ref="O205" ca="1">IF(OR($B205="",$B205="X",$D205="",$D205="X",$E205="",$E205="X"),0,IFERROR(_xlfn.LET(_xlpm.x,SUM(SUM(_xlfn._xlws.FILTER(VALUE(PptoSty[Sign]&amp;1)*(1/PptoSty[Division]),(PptoSty[Division]&lt;&gt;0)*(PptoSty[Division]&lt;&gt;"")*(PptoSty[Division]&lt;&gt;"X")*(PptoSty[Project]=$B205)*(PptoSty[Vrs]=$D205)*(PptoSty[PiRow]=_xlfn.TEXTAFTER($H205,":"))*(PptoSty[PiColumn]=O$54),0)),SUM(IF((INDIRECT($B$3)=$B205)*(INDIRECT($C$3)=$D205)*((INDIRECT($E$3)="TOTS")+(INDIRECT($E$3)=$E205)),INDIRECT(O$3)))),_xlpm.y,SUM(_xlfn.CHOOSECOLS(_xlfn._xlws.FILTER(F_RT14[],(F_RT14[PrjId]=$B205)*(F_RT14[Vrs]=$D205)*(_xlfn.TEXTAFTER(F_RT14[ActGrp],":")=_xlfn.TEXTAFTER($H205,":")),"X"),MATCH("*"&amp;O$54,F_RT14[#Headers],0))),IF(AND(_xlpm.x=0,_xlpm.y&lt;&gt;0),-1,IF(AND(_xlpm.x&lt;&gt;0,_xlpm.y&lt;&gt;0),_xlpm.x,IF(AND(_xlpm.x-SUM(IF((INDIRECT($B$3)=$B205)*(INDIRECT($C$3)=$D205)*((INDIRECT($E$3)="TOTS")+(INDIRECT($E$3)=$E205)),INDIRECT(O$3)))&lt;&gt;0,_xlpm.y=0),-2,_xlpm.x)))),0))</f>
        <v>0</v>
      </c>
      <c r="P205" s="199" cm="1">
        <f t="array" aca="1" ref="P205" ca="1">IF(OR($B205="",$B205="X",$D205="",$D205="X",$E205="",$E205="X"),0,IFERROR(_xlfn.LET(_xlpm.x,SUM(SUM(_xlfn._xlws.FILTER(VALUE(PptoSty[Sign]&amp;1)*(1/PptoSty[Division]),(PptoSty[Division]&lt;&gt;0)*(PptoSty[Division]&lt;&gt;"")*(PptoSty[Division]&lt;&gt;"X")*(PptoSty[Project]=$B205)*(PptoSty[Vrs]=$D205)*(PptoSty[PiRow]=_xlfn.TEXTAFTER($H205,":"))*(PptoSty[PiColumn]=P$54),0)),SUM(IF((INDIRECT($B$3)=$B205)*(INDIRECT($C$3)=$D205)*((INDIRECT($E$3)="TOTS")+(INDIRECT($E$3)=$E205)),INDIRECT(P$3)))),_xlpm.y,SUM(_xlfn.CHOOSECOLS(_xlfn._xlws.FILTER(F_RT14[],(F_RT14[PrjId]=$B205)*(F_RT14[Vrs]=$D205)*(_xlfn.TEXTAFTER(F_RT14[ActGrp],":")=_xlfn.TEXTAFTER($H205,":")),"X"),MATCH("*"&amp;P$54,F_RT14[#Headers],0))),IF(AND(_xlpm.x=0,_xlpm.y&lt;&gt;0),-1,IF(AND(_xlpm.x&lt;&gt;0,_xlpm.y&lt;&gt;0),_xlpm.x,IF(AND(_xlpm.x-SUM(IF((INDIRECT($B$3)=$B205)*(INDIRECT($C$3)=$D205)*((INDIRECT($E$3)="TOTS")+(INDIRECT($E$3)=$E205)),INDIRECT(P$3)))&lt;&gt;0,_xlpm.y=0),-2,_xlpm.x)))),0))</f>
        <v>0</v>
      </c>
      <c r="Q205" s="199" cm="1">
        <f t="array" aca="1" ref="Q205" ca="1">IF(OR($B205="",$B205="X",$D205="",$D205="X",$E205="",$E205="X"),0,IFERROR(_xlfn.LET(_xlpm.x,SUM(SUM(_xlfn._xlws.FILTER(VALUE(PptoSty[Sign]&amp;1)*(1/PptoSty[Division]),(PptoSty[Division]&lt;&gt;0)*(PptoSty[Division]&lt;&gt;"")*(PptoSty[Division]&lt;&gt;"X")*(PptoSty[Project]=$B205)*(PptoSty[Vrs]=$D205)*(PptoSty[PiRow]=_xlfn.TEXTAFTER($H205,":"))*(PptoSty[PiColumn]=Q$54),0)),SUM(IF((INDIRECT($B$3)=$B205)*(INDIRECT($C$3)=$D205)*((INDIRECT($E$3)="TOTS")+(INDIRECT($E$3)=$E205)),INDIRECT(Q$3)))),_xlpm.y,SUM(_xlfn.CHOOSECOLS(_xlfn._xlws.FILTER(F_RT14[],(F_RT14[PrjId]=$B205)*(F_RT14[Vrs]=$D205)*(_xlfn.TEXTAFTER(F_RT14[ActGrp],":")=_xlfn.TEXTAFTER($H205,":")),"X"),MATCH("*"&amp;Q$54,F_RT14[#Headers],0))),IF(AND(_xlpm.x=0,_xlpm.y&lt;&gt;0),-1,IF(AND(_xlpm.x&lt;&gt;0,_xlpm.y&lt;&gt;0),_xlpm.x,IF(AND(_xlpm.x-SUM(IF((INDIRECT($B$3)=$B205)*(INDIRECT($C$3)=$D205)*((INDIRECT($E$3)="TOTS")+(INDIRECT($E$3)=$E205)),INDIRECT(Q$3)))&lt;&gt;0,_xlpm.y=0),-2,_xlpm.x)))),0))</f>
        <v>0</v>
      </c>
      <c r="R205" s="199" cm="1">
        <f t="array" aca="1" ref="R205" ca="1">IF(OR($B205="",$B205="X",$D205="",$D205="X",$E205="",$E205="X"),0,IFERROR(_xlfn.LET(_xlpm.x,SUM(SUM(_xlfn._xlws.FILTER(VALUE(PptoSty[Sign]&amp;1)*(1/PptoSty[Division]),(PptoSty[Division]&lt;&gt;0)*(PptoSty[Division]&lt;&gt;"")*(PptoSty[Division]&lt;&gt;"X")*(PptoSty[Project]=$B205)*(PptoSty[Vrs]=$D205)*(PptoSty[PiRow]=_xlfn.TEXTAFTER($H205,":"))*(PptoSty[PiColumn]=R$54),0)),SUM(IF((INDIRECT($B$3)=$B205)*(INDIRECT($C$3)=$D205)*((INDIRECT($E$3)="TOTS")+(INDIRECT($E$3)=$E205)),INDIRECT(R$3)))),_xlpm.y,SUM(_xlfn.CHOOSECOLS(_xlfn._xlws.FILTER(F_RT14[],(F_RT14[PrjId]=$B205)*(F_RT14[Vrs]=$D205)*(_xlfn.TEXTAFTER(F_RT14[ActGrp],":")=_xlfn.TEXTAFTER($H205,":")),"X"),MATCH("*"&amp;R$54,F_RT14[#Headers],0))),IF(AND(_xlpm.x=0,_xlpm.y&lt;&gt;0),-1,IF(AND(_xlpm.x&lt;&gt;0,_xlpm.y&lt;&gt;0),_xlpm.x,IF(AND(_xlpm.x-SUM(IF((INDIRECT($B$3)=$B205)*(INDIRECT($C$3)=$D205)*((INDIRECT($E$3)="TOTS")+(INDIRECT($E$3)=$E205)),INDIRECT(R$3)))&lt;&gt;0,_xlpm.y=0),-2,_xlpm.x)))),0))</f>
        <v>0</v>
      </c>
      <c r="S205" s="199" cm="1">
        <f t="array" aca="1" ref="S205" ca="1">IF(OR($B205="",$B205="X",$D205="",$D205="X",$E205="",$E205="X"),0,IFERROR(_xlfn.LET(_xlpm.x,SUM(SUM(_xlfn._xlws.FILTER(VALUE(PptoSty[Sign]&amp;1)*(1/PptoSty[Division]),(PptoSty[Division]&lt;&gt;0)*(PptoSty[Division]&lt;&gt;"")*(PptoSty[Division]&lt;&gt;"X")*(PptoSty[Project]=$B205)*(PptoSty[Vrs]=$D205)*(PptoSty[PiRow]=_xlfn.TEXTAFTER($H205,":"))*(PptoSty[PiColumn]=S$54),0)),SUM(IF((INDIRECT($B$3)=$B205)*(INDIRECT($C$3)=$D205)*((INDIRECT($E$3)="TOTS")+(INDIRECT($E$3)=$E205)),INDIRECT(S$3)))),_xlpm.y,SUM(_xlfn.CHOOSECOLS(_xlfn._xlws.FILTER(F_RT14[],(F_RT14[PrjId]=$B205)*(F_RT14[Vrs]=$D205)*(_xlfn.TEXTAFTER(F_RT14[ActGrp],":")=_xlfn.TEXTAFTER($H205,":")),"X"),MATCH("*"&amp;S$54,F_RT14[#Headers],0))),IF(AND(_xlpm.x=0,_xlpm.y&lt;&gt;0),-1,IF(AND(_xlpm.x&lt;&gt;0,_xlpm.y&lt;&gt;0),_xlpm.x,IF(AND(_xlpm.x-SUM(IF((INDIRECT($B$3)=$B205)*(INDIRECT($C$3)=$D205)*((INDIRECT($E$3)="TOTS")+(INDIRECT($E$3)=$E205)),INDIRECT(S$3)))&lt;&gt;0,_xlpm.y=0),-2,_xlpm.x)))),0))</f>
        <v>0</v>
      </c>
      <c r="T205" s="199" cm="1">
        <f t="array" aca="1" ref="T205" ca="1">IF(OR($B205="",$B205="X",$D205="",$D205="X",$E205="",$E205="X"),0,IFERROR(_xlfn.LET(_xlpm.x,SUM(SUM(_xlfn._xlws.FILTER(VALUE(PptoSty[Sign]&amp;1)*(1/PptoSty[Division]),(PptoSty[Division]&lt;&gt;0)*(PptoSty[Division]&lt;&gt;"")*(PptoSty[Division]&lt;&gt;"X")*(PptoSty[Project]=$B205)*(PptoSty[Vrs]=$D205)*(PptoSty[PiRow]=_xlfn.TEXTAFTER($H205,":"))*(PptoSty[PiColumn]=T$54),0)),SUM(IF((INDIRECT($B$3)=$B205)*(INDIRECT($C$3)=$D205)*((INDIRECT($E$3)="TOTS")+(INDIRECT($E$3)=$E205)),INDIRECT(T$3)))),_xlpm.y,SUM(_xlfn.CHOOSECOLS(_xlfn._xlws.FILTER(F_RT14[],(F_RT14[PrjId]=$B205)*(F_RT14[Vrs]=$D205)*(_xlfn.TEXTAFTER(F_RT14[ActGrp],":")=_xlfn.TEXTAFTER($H205,":")),"X"),MATCH("*"&amp;T$54,F_RT14[#Headers],0))),IF(AND(_xlpm.x=0,_xlpm.y&lt;&gt;0),-1,IF(AND(_xlpm.x&lt;&gt;0,_xlpm.y&lt;&gt;0),_xlpm.x,IF(AND(_xlpm.x-SUM(IF((INDIRECT($B$3)=$B205)*(INDIRECT($C$3)=$D205)*((INDIRECT($E$3)="TOTS")+(INDIRECT($E$3)=$E205)),INDIRECT(T$3)))&lt;&gt;0,_xlpm.y=0),-2,_xlpm.x)))),0))</f>
        <v>0</v>
      </c>
      <c r="U205" s="199" cm="1">
        <f t="array" aca="1" ref="U205" ca="1">IF(OR($B205="",$B205="X",$D205="",$D205="X",$E205="",$E205="X"),0,IFERROR(_xlfn.LET(_xlpm.x,SUM(SUM(_xlfn._xlws.FILTER(VALUE(PptoSty[Sign]&amp;1)*(1/PptoSty[Division]),(PptoSty[Division]&lt;&gt;0)*(PptoSty[Division]&lt;&gt;"")*(PptoSty[Division]&lt;&gt;"X")*(PptoSty[Project]=$B205)*(PptoSty[Vrs]=$D205)*(PptoSty[PiRow]=_xlfn.TEXTAFTER($H205,":"))*(PptoSty[PiColumn]=U$54),0)),SUM(IF((INDIRECT($B$3)=$B205)*(INDIRECT($C$3)=$D205)*((INDIRECT($E$3)="TOTS")+(INDIRECT($E$3)=$E205)),INDIRECT(U$3)))),_xlpm.y,SUM(_xlfn.CHOOSECOLS(_xlfn._xlws.FILTER(F_RT14[],(F_RT14[PrjId]=$B205)*(F_RT14[Vrs]=$D205)*(_xlfn.TEXTAFTER(F_RT14[ActGrp],":")=_xlfn.TEXTAFTER($H205,":")),"X"),MATCH("*"&amp;U$54,F_RT14[#Headers],0))),IF(AND(_xlpm.x=0,_xlpm.y&lt;&gt;0),-1,IF(AND(_xlpm.x&lt;&gt;0,_xlpm.y&lt;&gt;0),_xlpm.x,IF(AND(_xlpm.x-SUM(IF((INDIRECT($B$3)=$B205)*(INDIRECT($C$3)=$D205)*((INDIRECT($E$3)="TOTS")+(INDIRECT($E$3)=$E205)),INDIRECT(U$3)))&lt;&gt;0,_xlpm.y=0),-2,_xlpm.x)))),0))</f>
        <v>0</v>
      </c>
      <c r="V205" s="199" cm="1">
        <f t="array" aca="1" ref="V205" ca="1">IF(OR($B205="",$B205="X",$D205="",$D205="X",$E205="",$E205="X"),0,IFERROR(_xlfn.LET(_xlpm.x,SUM(SUM(_xlfn._xlws.FILTER(VALUE(PptoSty[Sign]&amp;1)*(1/PptoSty[Division]),(PptoSty[Division]&lt;&gt;0)*(PptoSty[Division]&lt;&gt;"")*(PptoSty[Division]&lt;&gt;"X")*(PptoSty[Project]=$B205)*(PptoSty[Vrs]=$D205)*(PptoSty[PiRow]=_xlfn.TEXTAFTER($H205,":"))*(PptoSty[PiColumn]=V$54),0)),SUM(IF((INDIRECT($B$3)=$B205)*(INDIRECT($C$3)=$D205)*((INDIRECT($E$3)="TOTS")+(INDIRECT($E$3)=$E205)),INDIRECT(V$3)))),_xlpm.y,SUM(_xlfn.CHOOSECOLS(_xlfn._xlws.FILTER(F_RT14[],(F_RT14[PrjId]=$B205)*(F_RT14[Vrs]=$D205)*(_xlfn.TEXTAFTER(F_RT14[ActGrp],":")=_xlfn.TEXTAFTER($H205,":")),"X"),MATCH("*"&amp;V$54,F_RT14[#Headers],0))),IF(AND(_xlpm.x=0,_xlpm.y&lt;&gt;0),-1,IF(AND(_xlpm.x&lt;&gt;0,_xlpm.y&lt;&gt;0),_xlpm.x,IF(AND(_xlpm.x-SUM(IF((INDIRECT($B$3)=$B205)*(INDIRECT($C$3)=$D205)*((INDIRECT($E$3)="TOTS")+(INDIRECT($E$3)=$E205)),INDIRECT(V$3)))&lt;&gt;0,_xlpm.y=0),-2,_xlpm.x)))),0))</f>
        <v>0</v>
      </c>
      <c r="W205" s="199" cm="1">
        <f t="array" aca="1" ref="W205" ca="1">IF(OR($B205="",$B205="X",$D205="",$D205="X",$E205="",$E205="X"),0,IFERROR(_xlfn.LET(_xlpm.x,SUM(SUM(_xlfn._xlws.FILTER(VALUE(PptoSty[Sign]&amp;1)*(1/PptoSty[Division]),(PptoSty[Division]&lt;&gt;0)*(PptoSty[Division]&lt;&gt;"")*(PptoSty[Division]&lt;&gt;"X")*(PptoSty[Project]=$B205)*(PptoSty[Vrs]=$D205)*(PptoSty[PiRow]=_xlfn.TEXTAFTER($H205,":"))*(PptoSty[PiColumn]=W$54),0)),SUM(IF((INDIRECT($B$3)=$B205)*(INDIRECT($C$3)=$D205)*((INDIRECT($E$3)="TOTS")+(INDIRECT($E$3)=$E205)),INDIRECT(W$3)))),_xlpm.y,SUM(_xlfn.CHOOSECOLS(_xlfn._xlws.FILTER(F_RT14[],(F_RT14[PrjId]=$B205)*(F_RT14[Vrs]=$D205)*(_xlfn.TEXTAFTER(F_RT14[ActGrp],":")=_xlfn.TEXTAFTER($H205,":")),"X"),MATCH("*"&amp;W$54,F_RT14[#Headers],0))),IF(AND(_xlpm.x=0,_xlpm.y&lt;&gt;0),-1,IF(AND(_xlpm.x&lt;&gt;0,_xlpm.y&lt;&gt;0),_xlpm.x,IF(AND(_xlpm.x-SUM(IF((INDIRECT($B$3)=$B205)*(INDIRECT($C$3)=$D205)*((INDIRECT($E$3)="TOTS")+(INDIRECT($E$3)=$E205)),INDIRECT(W$3)))&lt;&gt;0,_xlpm.y=0),-2,_xlpm.x)))),0))</f>
        <v>0</v>
      </c>
      <c r="X205" s="199" cm="1">
        <f t="array" aca="1" ref="X205" ca="1">IF(OR($B205="",$B205="X",$D205="",$D205="X",$E205="",$E205="X"),0,IFERROR(_xlfn.LET(_xlpm.x,SUM(SUM(_xlfn._xlws.FILTER(VALUE(PptoSty[Sign]&amp;1)*(1/PptoSty[Division]),(PptoSty[Division]&lt;&gt;0)*(PptoSty[Division]&lt;&gt;"")*(PptoSty[Division]&lt;&gt;"X")*(PptoSty[Project]=$B205)*(PptoSty[Vrs]=$D205)*(PptoSty[PiRow]=_xlfn.TEXTAFTER($H205,":"))*(PptoSty[PiColumn]=X$54),0)),SUM(IF((INDIRECT($B$3)=$B205)*(INDIRECT($C$3)=$D205)*((INDIRECT($E$3)="TOTS")+(INDIRECT($E$3)=$E205)),INDIRECT(X$3)))),_xlpm.y,SUM(_xlfn.CHOOSECOLS(_xlfn._xlws.FILTER(F_RT14[],(F_RT14[PrjId]=$B205)*(F_RT14[Vrs]=$D205)*(_xlfn.TEXTAFTER(F_RT14[ActGrp],":")=_xlfn.TEXTAFTER($H205,":")),"X"),MATCH("*"&amp;X$54,F_RT14[#Headers],0))),IF(AND(_xlpm.x=0,_xlpm.y&lt;&gt;0),-1,IF(AND(_xlpm.x&lt;&gt;0,_xlpm.y&lt;&gt;0),_xlpm.x,IF(AND(_xlpm.x-SUM(IF((INDIRECT($B$3)=$B205)*(INDIRECT($C$3)=$D205)*((INDIRECT($E$3)="TOTS")+(INDIRECT($E$3)=$E205)),INDIRECT(X$3)))&lt;&gt;0,_xlpm.y=0),-2,_xlpm.x)))),0))</f>
        <v>0</v>
      </c>
      <c r="Y205" s="199" cm="1">
        <f t="array" aca="1" ref="Y205" ca="1">IF(OR($B205="",$B205="X",$D205="",$D205="X",$E205="",$E205="X"),0,IFERROR(_xlfn.LET(_xlpm.x,SUM(SUM(_xlfn._xlws.FILTER(VALUE(PptoSty[Sign]&amp;1)*(1/PptoSty[Division]),(PptoSty[Division]&lt;&gt;0)*(PptoSty[Division]&lt;&gt;"")*(PptoSty[Division]&lt;&gt;"X")*(PptoSty[Project]=$B205)*(PptoSty[Vrs]=$D205)*(PptoSty[PiRow]=_xlfn.TEXTAFTER($H205,":"))*(PptoSty[PiColumn]=Y$54),0)),SUM(IF((INDIRECT($B$3)=$B205)*(INDIRECT($C$3)=$D205)*((INDIRECT($E$3)="TOTS")+(INDIRECT($E$3)=$E205)),INDIRECT(Y$3)))),_xlpm.y,SUM(_xlfn.CHOOSECOLS(_xlfn._xlws.FILTER(F_RT14[],(F_RT14[PrjId]=$B205)*(F_RT14[Vrs]=$D205)*(_xlfn.TEXTAFTER(F_RT14[ActGrp],":")=_xlfn.TEXTAFTER($H205,":")),"X"),MATCH("*"&amp;Y$54,F_RT14[#Headers],0))),IF(AND(_xlpm.x=0,_xlpm.y&lt;&gt;0),-1,IF(AND(_xlpm.x&lt;&gt;0,_xlpm.y&lt;&gt;0),_xlpm.x,IF(AND(_xlpm.x-SUM(IF((INDIRECT($B$3)=$B205)*(INDIRECT($C$3)=$D205)*((INDIRECT($E$3)="TOTS")+(INDIRECT($E$3)=$E205)),INDIRECT(Y$3)))&lt;&gt;0,_xlpm.y=0),-2,_xlpm.x)))),0))</f>
        <v>0</v>
      </c>
      <c r="Z205" s="198" t="str">
        <f t="shared" ca="1" si="4"/>
        <v>Fback!B205:Y205</v>
      </c>
    </row>
    <row r="206" spans="2:26" ht="21" customHeight="1" outlineLevel="1">
      <c r="B206" s="128"/>
      <c r="C206" s="128"/>
      <c r="D206" s="128"/>
      <c r="E206" s="128"/>
      <c r="F206" s="139"/>
      <c r="G206" s="139"/>
      <c r="H206" s="139"/>
      <c r="I206" s="199" cm="1">
        <f t="array" aca="1" ref="I206" ca="1">IF(OR($B206="",$B206="X",$D206="",$D206="X",$E206="",$E206="X"),0,IFERROR(_xlfn.LET(_xlpm.x,SUM(SUM(_xlfn._xlws.FILTER(VALUE(PptoSty[Sign]&amp;1)*(1/PptoSty[Division]),(PptoSty[Division]&lt;&gt;0)*(PptoSty[Division]&lt;&gt;"")*(PptoSty[Division]&lt;&gt;"X")*(PptoSty[Project]=$B206)*(PptoSty[Vrs]=$D206)*(PptoSty[PiRow]=_xlfn.TEXTAFTER($H206,":"))*(PptoSty[PiColumn]=I$54),0)),SUM(IF((INDIRECT($B$3)=$B206)*(INDIRECT($C$3)=$D206)*((INDIRECT($E$3)="TOTS")+(INDIRECT($E$3)=$E206)),INDIRECT(I$3)))),_xlpm.y,SUM(_xlfn.CHOOSECOLS(_xlfn._xlws.FILTER(F_RT14[],(F_RT14[PrjId]=$B206)*(F_RT14[Vrs]=$D206)*(_xlfn.TEXTAFTER(F_RT14[ActGrp],":")=_xlfn.TEXTAFTER($H206,":")),"X"),MATCH("*"&amp;I$54,F_RT14[#Headers],0))),IF(AND(_xlpm.x=0,_xlpm.y&lt;&gt;0),-1,IF(AND(_xlpm.x&lt;&gt;0,_xlpm.y&lt;&gt;0),_xlpm.x,IF(AND(_xlpm.x-SUM(IF((INDIRECT($B$3)=$B206)*(INDIRECT($C$3)=$D206)*((INDIRECT($E$3)="TOTS")+(INDIRECT($E$3)=$E206)),INDIRECT(I$3)))&lt;&gt;0,_xlpm.y=0),-2,_xlpm.x)))),0))</f>
        <v>0</v>
      </c>
      <c r="J206" s="199" cm="1">
        <f t="array" aca="1" ref="J206" ca="1">IF(OR($B206="",$B206="X",$D206="",$D206="X",$E206="",$E206="X"),0,IFERROR(_xlfn.LET(_xlpm.x,SUM(SUM(_xlfn._xlws.FILTER(VALUE(PptoSty[Sign]&amp;1)*(1/PptoSty[Division]),(PptoSty[Division]&lt;&gt;0)*(PptoSty[Division]&lt;&gt;"")*(PptoSty[Division]&lt;&gt;"X")*(PptoSty[Project]=$B206)*(PptoSty[Vrs]=$D206)*(PptoSty[PiRow]=_xlfn.TEXTAFTER($H206,":"))*(PptoSty[PiColumn]=J$54),0)),SUM(IF((INDIRECT($B$3)=$B206)*(INDIRECT($C$3)=$D206)*((INDIRECT($E$3)="TOTS")+(INDIRECT($E$3)=$E206)),INDIRECT(J$3)))),_xlpm.y,SUM(_xlfn.CHOOSECOLS(_xlfn._xlws.FILTER(F_RT14[],(F_RT14[PrjId]=$B206)*(F_RT14[Vrs]=$D206)*(_xlfn.TEXTAFTER(F_RT14[ActGrp],":")=_xlfn.TEXTAFTER($H206,":")),"X"),MATCH("*"&amp;J$54,F_RT14[#Headers],0))),IF(AND(_xlpm.x=0,_xlpm.y&lt;&gt;0),-1,IF(AND(_xlpm.x&lt;&gt;0,_xlpm.y&lt;&gt;0),_xlpm.x,IF(AND(_xlpm.x-SUM(IF((INDIRECT($B$3)=$B206)*(INDIRECT($C$3)=$D206)*((INDIRECT($E$3)="TOTS")+(INDIRECT($E$3)=$E206)),INDIRECT(J$3)))&lt;&gt;0,_xlpm.y=0),-2,_xlpm.x)))),0))</f>
        <v>0</v>
      </c>
      <c r="K206" s="199" cm="1">
        <f t="array" aca="1" ref="K206" ca="1">IF(OR($B206="",$B206="X",$D206="",$D206="X",$E206="",$E206="X"),0,IFERROR(_xlfn.LET(_xlpm.x,SUM(SUM(_xlfn._xlws.FILTER(VALUE(PptoSty[Sign]&amp;1)*(1/PptoSty[Division]),(PptoSty[Division]&lt;&gt;0)*(PptoSty[Division]&lt;&gt;"")*(PptoSty[Division]&lt;&gt;"X")*(PptoSty[Project]=$B206)*(PptoSty[Vrs]=$D206)*(PptoSty[PiRow]=_xlfn.TEXTAFTER($H206,":"))*(PptoSty[PiColumn]=K$54),0)),SUM(IF((INDIRECT($B$3)=$B206)*(INDIRECT($C$3)=$D206)*((INDIRECT($E$3)="TOTS")+(INDIRECT($E$3)=$E206)),INDIRECT(K$3)))),_xlpm.y,SUM(_xlfn.CHOOSECOLS(_xlfn._xlws.FILTER(F_RT14[],(F_RT14[PrjId]=$B206)*(F_RT14[Vrs]=$D206)*(_xlfn.TEXTAFTER(F_RT14[ActGrp],":")=_xlfn.TEXTAFTER($H206,":")),"X"),MATCH("*"&amp;K$54,F_RT14[#Headers],0))),IF(AND(_xlpm.x=0,_xlpm.y&lt;&gt;0),-1,IF(AND(_xlpm.x&lt;&gt;0,_xlpm.y&lt;&gt;0),_xlpm.x,IF(AND(_xlpm.x-SUM(IF((INDIRECT($B$3)=$B206)*(INDIRECT($C$3)=$D206)*((INDIRECT($E$3)="TOTS")+(INDIRECT($E$3)=$E206)),INDIRECT(K$3)))&lt;&gt;0,_xlpm.y=0),-2,_xlpm.x)))),0))</f>
        <v>0</v>
      </c>
      <c r="L206" s="199" cm="1">
        <f t="array" aca="1" ref="L206" ca="1">IF(OR($B206="",$B206="X",$D206="",$D206="X",$E206="",$E206="X"),0,IFERROR(_xlfn.LET(_xlpm.x,SUM(SUM(_xlfn._xlws.FILTER(VALUE(PptoSty[Sign]&amp;1)*(1/PptoSty[Division]),(PptoSty[Division]&lt;&gt;0)*(PptoSty[Division]&lt;&gt;"")*(PptoSty[Division]&lt;&gt;"X")*(PptoSty[Project]=$B206)*(PptoSty[Vrs]=$D206)*(PptoSty[PiRow]=_xlfn.TEXTAFTER($H206,":"))*(PptoSty[PiColumn]=L$54),0)),SUM(IF((INDIRECT($B$3)=$B206)*(INDIRECT($C$3)=$D206)*((INDIRECT($E$3)="TOTS")+(INDIRECT($E$3)=$E206)),INDIRECT(L$3)))),_xlpm.y,SUM(_xlfn.CHOOSECOLS(_xlfn._xlws.FILTER(F_RT14[],(F_RT14[PrjId]=$B206)*(F_RT14[Vrs]=$D206)*(_xlfn.TEXTAFTER(F_RT14[ActGrp],":")=_xlfn.TEXTAFTER($H206,":")),"X"),MATCH("*"&amp;L$54,F_RT14[#Headers],0))),IF(AND(_xlpm.x=0,_xlpm.y&lt;&gt;0),-1,IF(AND(_xlpm.x&lt;&gt;0,_xlpm.y&lt;&gt;0),_xlpm.x,IF(AND(_xlpm.x-SUM(IF((INDIRECT($B$3)=$B206)*(INDIRECT($C$3)=$D206)*((INDIRECT($E$3)="TOTS")+(INDIRECT($E$3)=$E206)),INDIRECT(L$3)))&lt;&gt;0,_xlpm.y=0),-2,_xlpm.x)))),0))</f>
        <v>0</v>
      </c>
      <c r="M206" s="199" cm="1">
        <f t="array" aca="1" ref="M206" ca="1">IF(OR($B206="",$B206="X",$D206="",$D206="X",$E206="",$E206="X"),0,IFERROR(_xlfn.LET(_xlpm.x,SUM(SUM(_xlfn._xlws.FILTER(VALUE(PptoSty[Sign]&amp;1)*(1/PptoSty[Division]),(PptoSty[Division]&lt;&gt;0)*(PptoSty[Division]&lt;&gt;"")*(PptoSty[Division]&lt;&gt;"X")*(PptoSty[Project]=$B206)*(PptoSty[Vrs]=$D206)*(PptoSty[PiRow]=_xlfn.TEXTAFTER($H206,":"))*(PptoSty[PiColumn]=M$54),0)),SUM(IF((INDIRECT($B$3)=$B206)*(INDIRECT($C$3)=$D206)*((INDIRECT($E$3)="TOTS")+(INDIRECT($E$3)=$E206)),INDIRECT(M$3)))),_xlpm.y,SUM(_xlfn.CHOOSECOLS(_xlfn._xlws.FILTER(F_RT14[],(F_RT14[PrjId]=$B206)*(F_RT14[Vrs]=$D206)*(_xlfn.TEXTAFTER(F_RT14[ActGrp],":")=_xlfn.TEXTAFTER($H206,":")),"X"),MATCH("*"&amp;M$54,F_RT14[#Headers],0))),IF(AND(_xlpm.x=0,_xlpm.y&lt;&gt;0),-1,IF(AND(_xlpm.x&lt;&gt;0,_xlpm.y&lt;&gt;0),_xlpm.x,IF(AND(_xlpm.x-SUM(IF((INDIRECT($B$3)=$B206)*(INDIRECT($C$3)=$D206)*((INDIRECT($E$3)="TOTS")+(INDIRECT($E$3)=$E206)),INDIRECT(M$3)))&lt;&gt;0,_xlpm.y=0),-2,_xlpm.x)))),0))</f>
        <v>0</v>
      </c>
      <c r="N206" s="199" cm="1">
        <f t="array" aca="1" ref="N206" ca="1">IF(OR($B206="",$B206="X",$D206="",$D206="X",$E206="",$E206="X"),0,IFERROR(_xlfn.LET(_xlpm.x,SUM(SUM(_xlfn._xlws.FILTER(VALUE(PptoSty[Sign]&amp;1)*(1/PptoSty[Division]),(PptoSty[Division]&lt;&gt;0)*(PptoSty[Division]&lt;&gt;"")*(PptoSty[Division]&lt;&gt;"X")*(PptoSty[Project]=$B206)*(PptoSty[Vrs]=$D206)*(PptoSty[PiRow]=_xlfn.TEXTAFTER($H206,":"))*(PptoSty[PiColumn]=N$54),0)),SUM(IF((INDIRECT($B$3)=$B206)*(INDIRECT($C$3)=$D206)*((INDIRECT($E$3)="TOTS")+(INDIRECT($E$3)=$E206)),INDIRECT(N$3)))),_xlpm.y,SUM(_xlfn.CHOOSECOLS(_xlfn._xlws.FILTER(F_RT14[],(F_RT14[PrjId]=$B206)*(F_RT14[Vrs]=$D206)*(_xlfn.TEXTAFTER(F_RT14[ActGrp],":")=_xlfn.TEXTAFTER($H206,":")),"X"),MATCH("*"&amp;N$54,F_RT14[#Headers],0))),IF(AND(_xlpm.x=0,_xlpm.y&lt;&gt;0),-1,IF(AND(_xlpm.x&lt;&gt;0,_xlpm.y&lt;&gt;0),_xlpm.x,IF(AND(_xlpm.x-SUM(IF((INDIRECT($B$3)=$B206)*(INDIRECT($C$3)=$D206)*((INDIRECT($E$3)="TOTS")+(INDIRECT($E$3)=$E206)),INDIRECT(N$3)))&lt;&gt;0,_xlpm.y=0),-2,_xlpm.x)))),0))</f>
        <v>0</v>
      </c>
      <c r="O206" s="199" cm="1">
        <f t="array" aca="1" ref="O206" ca="1">IF(OR($B206="",$B206="X",$D206="",$D206="X",$E206="",$E206="X"),0,IFERROR(_xlfn.LET(_xlpm.x,SUM(SUM(_xlfn._xlws.FILTER(VALUE(PptoSty[Sign]&amp;1)*(1/PptoSty[Division]),(PptoSty[Division]&lt;&gt;0)*(PptoSty[Division]&lt;&gt;"")*(PptoSty[Division]&lt;&gt;"X")*(PptoSty[Project]=$B206)*(PptoSty[Vrs]=$D206)*(PptoSty[PiRow]=_xlfn.TEXTAFTER($H206,":"))*(PptoSty[PiColumn]=O$54),0)),SUM(IF((INDIRECT($B$3)=$B206)*(INDIRECT($C$3)=$D206)*((INDIRECT($E$3)="TOTS")+(INDIRECT($E$3)=$E206)),INDIRECT(O$3)))),_xlpm.y,SUM(_xlfn.CHOOSECOLS(_xlfn._xlws.FILTER(F_RT14[],(F_RT14[PrjId]=$B206)*(F_RT14[Vrs]=$D206)*(_xlfn.TEXTAFTER(F_RT14[ActGrp],":")=_xlfn.TEXTAFTER($H206,":")),"X"),MATCH("*"&amp;O$54,F_RT14[#Headers],0))),IF(AND(_xlpm.x=0,_xlpm.y&lt;&gt;0),-1,IF(AND(_xlpm.x&lt;&gt;0,_xlpm.y&lt;&gt;0),_xlpm.x,IF(AND(_xlpm.x-SUM(IF((INDIRECT($B$3)=$B206)*(INDIRECT($C$3)=$D206)*((INDIRECT($E$3)="TOTS")+(INDIRECT($E$3)=$E206)),INDIRECT(O$3)))&lt;&gt;0,_xlpm.y=0),-2,_xlpm.x)))),0))</f>
        <v>0</v>
      </c>
      <c r="P206" s="199" cm="1">
        <f t="array" aca="1" ref="P206" ca="1">IF(OR($B206="",$B206="X",$D206="",$D206="X",$E206="",$E206="X"),0,IFERROR(_xlfn.LET(_xlpm.x,SUM(SUM(_xlfn._xlws.FILTER(VALUE(PptoSty[Sign]&amp;1)*(1/PptoSty[Division]),(PptoSty[Division]&lt;&gt;0)*(PptoSty[Division]&lt;&gt;"")*(PptoSty[Division]&lt;&gt;"X")*(PptoSty[Project]=$B206)*(PptoSty[Vrs]=$D206)*(PptoSty[PiRow]=_xlfn.TEXTAFTER($H206,":"))*(PptoSty[PiColumn]=P$54),0)),SUM(IF((INDIRECT($B$3)=$B206)*(INDIRECT($C$3)=$D206)*((INDIRECT($E$3)="TOTS")+(INDIRECT($E$3)=$E206)),INDIRECT(P$3)))),_xlpm.y,SUM(_xlfn.CHOOSECOLS(_xlfn._xlws.FILTER(F_RT14[],(F_RT14[PrjId]=$B206)*(F_RT14[Vrs]=$D206)*(_xlfn.TEXTAFTER(F_RT14[ActGrp],":")=_xlfn.TEXTAFTER($H206,":")),"X"),MATCH("*"&amp;P$54,F_RT14[#Headers],0))),IF(AND(_xlpm.x=0,_xlpm.y&lt;&gt;0),-1,IF(AND(_xlpm.x&lt;&gt;0,_xlpm.y&lt;&gt;0),_xlpm.x,IF(AND(_xlpm.x-SUM(IF((INDIRECT($B$3)=$B206)*(INDIRECT($C$3)=$D206)*((INDIRECT($E$3)="TOTS")+(INDIRECT($E$3)=$E206)),INDIRECT(P$3)))&lt;&gt;0,_xlpm.y=0),-2,_xlpm.x)))),0))</f>
        <v>0</v>
      </c>
      <c r="Q206" s="199" cm="1">
        <f t="array" aca="1" ref="Q206" ca="1">IF(OR($B206="",$B206="X",$D206="",$D206="X",$E206="",$E206="X"),0,IFERROR(_xlfn.LET(_xlpm.x,SUM(SUM(_xlfn._xlws.FILTER(VALUE(PptoSty[Sign]&amp;1)*(1/PptoSty[Division]),(PptoSty[Division]&lt;&gt;0)*(PptoSty[Division]&lt;&gt;"")*(PptoSty[Division]&lt;&gt;"X")*(PptoSty[Project]=$B206)*(PptoSty[Vrs]=$D206)*(PptoSty[PiRow]=_xlfn.TEXTAFTER($H206,":"))*(PptoSty[PiColumn]=Q$54),0)),SUM(IF((INDIRECT($B$3)=$B206)*(INDIRECT($C$3)=$D206)*((INDIRECT($E$3)="TOTS")+(INDIRECT($E$3)=$E206)),INDIRECT(Q$3)))),_xlpm.y,SUM(_xlfn.CHOOSECOLS(_xlfn._xlws.FILTER(F_RT14[],(F_RT14[PrjId]=$B206)*(F_RT14[Vrs]=$D206)*(_xlfn.TEXTAFTER(F_RT14[ActGrp],":")=_xlfn.TEXTAFTER($H206,":")),"X"),MATCH("*"&amp;Q$54,F_RT14[#Headers],0))),IF(AND(_xlpm.x=0,_xlpm.y&lt;&gt;0),-1,IF(AND(_xlpm.x&lt;&gt;0,_xlpm.y&lt;&gt;0),_xlpm.x,IF(AND(_xlpm.x-SUM(IF((INDIRECT($B$3)=$B206)*(INDIRECT($C$3)=$D206)*((INDIRECT($E$3)="TOTS")+(INDIRECT($E$3)=$E206)),INDIRECT(Q$3)))&lt;&gt;0,_xlpm.y=0),-2,_xlpm.x)))),0))</f>
        <v>0</v>
      </c>
      <c r="R206" s="199" cm="1">
        <f t="array" aca="1" ref="R206" ca="1">IF(OR($B206="",$B206="X",$D206="",$D206="X",$E206="",$E206="X"),0,IFERROR(_xlfn.LET(_xlpm.x,SUM(SUM(_xlfn._xlws.FILTER(VALUE(PptoSty[Sign]&amp;1)*(1/PptoSty[Division]),(PptoSty[Division]&lt;&gt;0)*(PptoSty[Division]&lt;&gt;"")*(PptoSty[Division]&lt;&gt;"X")*(PptoSty[Project]=$B206)*(PptoSty[Vrs]=$D206)*(PptoSty[PiRow]=_xlfn.TEXTAFTER($H206,":"))*(PptoSty[PiColumn]=R$54),0)),SUM(IF((INDIRECT($B$3)=$B206)*(INDIRECT($C$3)=$D206)*((INDIRECT($E$3)="TOTS")+(INDIRECT($E$3)=$E206)),INDIRECT(R$3)))),_xlpm.y,SUM(_xlfn.CHOOSECOLS(_xlfn._xlws.FILTER(F_RT14[],(F_RT14[PrjId]=$B206)*(F_RT14[Vrs]=$D206)*(_xlfn.TEXTAFTER(F_RT14[ActGrp],":")=_xlfn.TEXTAFTER($H206,":")),"X"),MATCH("*"&amp;R$54,F_RT14[#Headers],0))),IF(AND(_xlpm.x=0,_xlpm.y&lt;&gt;0),-1,IF(AND(_xlpm.x&lt;&gt;0,_xlpm.y&lt;&gt;0),_xlpm.x,IF(AND(_xlpm.x-SUM(IF((INDIRECT($B$3)=$B206)*(INDIRECT($C$3)=$D206)*((INDIRECT($E$3)="TOTS")+(INDIRECT($E$3)=$E206)),INDIRECT(R$3)))&lt;&gt;0,_xlpm.y=0),-2,_xlpm.x)))),0))</f>
        <v>0</v>
      </c>
      <c r="S206" s="199" cm="1">
        <f t="array" aca="1" ref="S206" ca="1">IF(OR($B206="",$B206="X",$D206="",$D206="X",$E206="",$E206="X"),0,IFERROR(_xlfn.LET(_xlpm.x,SUM(SUM(_xlfn._xlws.FILTER(VALUE(PptoSty[Sign]&amp;1)*(1/PptoSty[Division]),(PptoSty[Division]&lt;&gt;0)*(PptoSty[Division]&lt;&gt;"")*(PptoSty[Division]&lt;&gt;"X")*(PptoSty[Project]=$B206)*(PptoSty[Vrs]=$D206)*(PptoSty[PiRow]=_xlfn.TEXTAFTER($H206,":"))*(PptoSty[PiColumn]=S$54),0)),SUM(IF((INDIRECT($B$3)=$B206)*(INDIRECT($C$3)=$D206)*((INDIRECT($E$3)="TOTS")+(INDIRECT($E$3)=$E206)),INDIRECT(S$3)))),_xlpm.y,SUM(_xlfn.CHOOSECOLS(_xlfn._xlws.FILTER(F_RT14[],(F_RT14[PrjId]=$B206)*(F_RT14[Vrs]=$D206)*(_xlfn.TEXTAFTER(F_RT14[ActGrp],":")=_xlfn.TEXTAFTER($H206,":")),"X"),MATCH("*"&amp;S$54,F_RT14[#Headers],0))),IF(AND(_xlpm.x=0,_xlpm.y&lt;&gt;0),-1,IF(AND(_xlpm.x&lt;&gt;0,_xlpm.y&lt;&gt;0),_xlpm.x,IF(AND(_xlpm.x-SUM(IF((INDIRECT($B$3)=$B206)*(INDIRECT($C$3)=$D206)*((INDIRECT($E$3)="TOTS")+(INDIRECT($E$3)=$E206)),INDIRECT(S$3)))&lt;&gt;0,_xlpm.y=0),-2,_xlpm.x)))),0))</f>
        <v>0</v>
      </c>
      <c r="T206" s="199" cm="1">
        <f t="array" aca="1" ref="T206" ca="1">IF(OR($B206="",$B206="X",$D206="",$D206="X",$E206="",$E206="X"),0,IFERROR(_xlfn.LET(_xlpm.x,SUM(SUM(_xlfn._xlws.FILTER(VALUE(PptoSty[Sign]&amp;1)*(1/PptoSty[Division]),(PptoSty[Division]&lt;&gt;0)*(PptoSty[Division]&lt;&gt;"")*(PptoSty[Division]&lt;&gt;"X")*(PptoSty[Project]=$B206)*(PptoSty[Vrs]=$D206)*(PptoSty[PiRow]=_xlfn.TEXTAFTER($H206,":"))*(PptoSty[PiColumn]=T$54),0)),SUM(IF((INDIRECT($B$3)=$B206)*(INDIRECT($C$3)=$D206)*((INDIRECT($E$3)="TOTS")+(INDIRECT($E$3)=$E206)),INDIRECT(T$3)))),_xlpm.y,SUM(_xlfn.CHOOSECOLS(_xlfn._xlws.FILTER(F_RT14[],(F_RT14[PrjId]=$B206)*(F_RT14[Vrs]=$D206)*(_xlfn.TEXTAFTER(F_RT14[ActGrp],":")=_xlfn.TEXTAFTER($H206,":")),"X"),MATCH("*"&amp;T$54,F_RT14[#Headers],0))),IF(AND(_xlpm.x=0,_xlpm.y&lt;&gt;0),-1,IF(AND(_xlpm.x&lt;&gt;0,_xlpm.y&lt;&gt;0),_xlpm.x,IF(AND(_xlpm.x-SUM(IF((INDIRECT($B$3)=$B206)*(INDIRECT($C$3)=$D206)*((INDIRECT($E$3)="TOTS")+(INDIRECT($E$3)=$E206)),INDIRECT(T$3)))&lt;&gt;0,_xlpm.y=0),-2,_xlpm.x)))),0))</f>
        <v>0</v>
      </c>
      <c r="U206" s="199" cm="1">
        <f t="array" aca="1" ref="U206" ca="1">IF(OR($B206="",$B206="X",$D206="",$D206="X",$E206="",$E206="X"),0,IFERROR(_xlfn.LET(_xlpm.x,SUM(SUM(_xlfn._xlws.FILTER(VALUE(PptoSty[Sign]&amp;1)*(1/PptoSty[Division]),(PptoSty[Division]&lt;&gt;0)*(PptoSty[Division]&lt;&gt;"")*(PptoSty[Division]&lt;&gt;"X")*(PptoSty[Project]=$B206)*(PptoSty[Vrs]=$D206)*(PptoSty[PiRow]=_xlfn.TEXTAFTER($H206,":"))*(PptoSty[PiColumn]=U$54),0)),SUM(IF((INDIRECT($B$3)=$B206)*(INDIRECT($C$3)=$D206)*((INDIRECT($E$3)="TOTS")+(INDIRECT($E$3)=$E206)),INDIRECT(U$3)))),_xlpm.y,SUM(_xlfn.CHOOSECOLS(_xlfn._xlws.FILTER(F_RT14[],(F_RT14[PrjId]=$B206)*(F_RT14[Vrs]=$D206)*(_xlfn.TEXTAFTER(F_RT14[ActGrp],":")=_xlfn.TEXTAFTER($H206,":")),"X"),MATCH("*"&amp;U$54,F_RT14[#Headers],0))),IF(AND(_xlpm.x=0,_xlpm.y&lt;&gt;0),-1,IF(AND(_xlpm.x&lt;&gt;0,_xlpm.y&lt;&gt;0),_xlpm.x,IF(AND(_xlpm.x-SUM(IF((INDIRECT($B$3)=$B206)*(INDIRECT($C$3)=$D206)*((INDIRECT($E$3)="TOTS")+(INDIRECT($E$3)=$E206)),INDIRECT(U$3)))&lt;&gt;0,_xlpm.y=0),-2,_xlpm.x)))),0))</f>
        <v>0</v>
      </c>
      <c r="V206" s="199" cm="1">
        <f t="array" aca="1" ref="V206" ca="1">IF(OR($B206="",$B206="X",$D206="",$D206="X",$E206="",$E206="X"),0,IFERROR(_xlfn.LET(_xlpm.x,SUM(SUM(_xlfn._xlws.FILTER(VALUE(PptoSty[Sign]&amp;1)*(1/PptoSty[Division]),(PptoSty[Division]&lt;&gt;0)*(PptoSty[Division]&lt;&gt;"")*(PptoSty[Division]&lt;&gt;"X")*(PptoSty[Project]=$B206)*(PptoSty[Vrs]=$D206)*(PptoSty[PiRow]=_xlfn.TEXTAFTER($H206,":"))*(PptoSty[PiColumn]=V$54),0)),SUM(IF((INDIRECT($B$3)=$B206)*(INDIRECT($C$3)=$D206)*((INDIRECT($E$3)="TOTS")+(INDIRECT($E$3)=$E206)),INDIRECT(V$3)))),_xlpm.y,SUM(_xlfn.CHOOSECOLS(_xlfn._xlws.FILTER(F_RT14[],(F_RT14[PrjId]=$B206)*(F_RT14[Vrs]=$D206)*(_xlfn.TEXTAFTER(F_RT14[ActGrp],":")=_xlfn.TEXTAFTER($H206,":")),"X"),MATCH("*"&amp;V$54,F_RT14[#Headers],0))),IF(AND(_xlpm.x=0,_xlpm.y&lt;&gt;0),-1,IF(AND(_xlpm.x&lt;&gt;0,_xlpm.y&lt;&gt;0),_xlpm.x,IF(AND(_xlpm.x-SUM(IF((INDIRECT($B$3)=$B206)*(INDIRECT($C$3)=$D206)*((INDIRECT($E$3)="TOTS")+(INDIRECT($E$3)=$E206)),INDIRECT(V$3)))&lt;&gt;0,_xlpm.y=0),-2,_xlpm.x)))),0))</f>
        <v>0</v>
      </c>
      <c r="W206" s="199" cm="1">
        <f t="array" aca="1" ref="W206" ca="1">IF(OR($B206="",$B206="X",$D206="",$D206="X",$E206="",$E206="X"),0,IFERROR(_xlfn.LET(_xlpm.x,SUM(SUM(_xlfn._xlws.FILTER(VALUE(PptoSty[Sign]&amp;1)*(1/PptoSty[Division]),(PptoSty[Division]&lt;&gt;0)*(PptoSty[Division]&lt;&gt;"")*(PptoSty[Division]&lt;&gt;"X")*(PptoSty[Project]=$B206)*(PptoSty[Vrs]=$D206)*(PptoSty[PiRow]=_xlfn.TEXTAFTER($H206,":"))*(PptoSty[PiColumn]=W$54),0)),SUM(IF((INDIRECT($B$3)=$B206)*(INDIRECT($C$3)=$D206)*((INDIRECT($E$3)="TOTS")+(INDIRECT($E$3)=$E206)),INDIRECT(W$3)))),_xlpm.y,SUM(_xlfn.CHOOSECOLS(_xlfn._xlws.FILTER(F_RT14[],(F_RT14[PrjId]=$B206)*(F_RT14[Vrs]=$D206)*(_xlfn.TEXTAFTER(F_RT14[ActGrp],":")=_xlfn.TEXTAFTER($H206,":")),"X"),MATCH("*"&amp;W$54,F_RT14[#Headers],0))),IF(AND(_xlpm.x=0,_xlpm.y&lt;&gt;0),-1,IF(AND(_xlpm.x&lt;&gt;0,_xlpm.y&lt;&gt;0),_xlpm.x,IF(AND(_xlpm.x-SUM(IF((INDIRECT($B$3)=$B206)*(INDIRECT($C$3)=$D206)*((INDIRECT($E$3)="TOTS")+(INDIRECT($E$3)=$E206)),INDIRECT(W$3)))&lt;&gt;0,_xlpm.y=0),-2,_xlpm.x)))),0))</f>
        <v>0</v>
      </c>
      <c r="X206" s="199" cm="1">
        <f t="array" aca="1" ref="X206" ca="1">IF(OR($B206="",$B206="X",$D206="",$D206="X",$E206="",$E206="X"),0,IFERROR(_xlfn.LET(_xlpm.x,SUM(SUM(_xlfn._xlws.FILTER(VALUE(PptoSty[Sign]&amp;1)*(1/PptoSty[Division]),(PptoSty[Division]&lt;&gt;0)*(PptoSty[Division]&lt;&gt;"")*(PptoSty[Division]&lt;&gt;"X")*(PptoSty[Project]=$B206)*(PptoSty[Vrs]=$D206)*(PptoSty[PiRow]=_xlfn.TEXTAFTER($H206,":"))*(PptoSty[PiColumn]=X$54),0)),SUM(IF((INDIRECT($B$3)=$B206)*(INDIRECT($C$3)=$D206)*((INDIRECT($E$3)="TOTS")+(INDIRECT($E$3)=$E206)),INDIRECT(X$3)))),_xlpm.y,SUM(_xlfn.CHOOSECOLS(_xlfn._xlws.FILTER(F_RT14[],(F_RT14[PrjId]=$B206)*(F_RT14[Vrs]=$D206)*(_xlfn.TEXTAFTER(F_RT14[ActGrp],":")=_xlfn.TEXTAFTER($H206,":")),"X"),MATCH("*"&amp;X$54,F_RT14[#Headers],0))),IF(AND(_xlpm.x=0,_xlpm.y&lt;&gt;0),-1,IF(AND(_xlpm.x&lt;&gt;0,_xlpm.y&lt;&gt;0),_xlpm.x,IF(AND(_xlpm.x-SUM(IF((INDIRECT($B$3)=$B206)*(INDIRECT($C$3)=$D206)*((INDIRECT($E$3)="TOTS")+(INDIRECT($E$3)=$E206)),INDIRECT(X$3)))&lt;&gt;0,_xlpm.y=0),-2,_xlpm.x)))),0))</f>
        <v>0</v>
      </c>
      <c r="Y206" s="199" cm="1">
        <f t="array" aca="1" ref="Y206" ca="1">IF(OR($B206="",$B206="X",$D206="",$D206="X",$E206="",$E206="X"),0,IFERROR(_xlfn.LET(_xlpm.x,SUM(SUM(_xlfn._xlws.FILTER(VALUE(PptoSty[Sign]&amp;1)*(1/PptoSty[Division]),(PptoSty[Division]&lt;&gt;0)*(PptoSty[Division]&lt;&gt;"")*(PptoSty[Division]&lt;&gt;"X")*(PptoSty[Project]=$B206)*(PptoSty[Vrs]=$D206)*(PptoSty[PiRow]=_xlfn.TEXTAFTER($H206,":"))*(PptoSty[PiColumn]=Y$54),0)),SUM(IF((INDIRECT($B$3)=$B206)*(INDIRECT($C$3)=$D206)*((INDIRECT($E$3)="TOTS")+(INDIRECT($E$3)=$E206)),INDIRECT(Y$3)))),_xlpm.y,SUM(_xlfn.CHOOSECOLS(_xlfn._xlws.FILTER(F_RT14[],(F_RT14[PrjId]=$B206)*(F_RT14[Vrs]=$D206)*(_xlfn.TEXTAFTER(F_RT14[ActGrp],":")=_xlfn.TEXTAFTER($H206,":")),"X"),MATCH("*"&amp;Y$54,F_RT14[#Headers],0))),IF(AND(_xlpm.x=0,_xlpm.y&lt;&gt;0),-1,IF(AND(_xlpm.x&lt;&gt;0,_xlpm.y&lt;&gt;0),_xlpm.x,IF(AND(_xlpm.x-SUM(IF((INDIRECT($B$3)=$B206)*(INDIRECT($C$3)=$D206)*((INDIRECT($E$3)="TOTS")+(INDIRECT($E$3)=$E206)),INDIRECT(Y$3)))&lt;&gt;0,_xlpm.y=0),-2,_xlpm.x)))),0))</f>
        <v>0</v>
      </c>
      <c r="Z206" s="198" t="str">
        <f t="shared" ca="1" si="4"/>
        <v>Fback!B206:Y206</v>
      </c>
    </row>
    <row r="207" spans="2:26" ht="21" customHeight="1" outlineLevel="1">
      <c r="B207" s="128"/>
      <c r="C207" s="128"/>
      <c r="D207" s="128"/>
      <c r="E207" s="128"/>
      <c r="F207" s="139"/>
      <c r="G207" s="139"/>
      <c r="H207" s="139"/>
      <c r="I207" s="199" cm="1">
        <f t="array" aca="1" ref="I207" ca="1">IF(OR($B207="",$B207="X",$D207="",$D207="X",$E207="",$E207="X"),0,IFERROR(_xlfn.LET(_xlpm.x,SUM(SUM(_xlfn._xlws.FILTER(VALUE(PptoSty[Sign]&amp;1)*(1/PptoSty[Division]),(PptoSty[Division]&lt;&gt;0)*(PptoSty[Division]&lt;&gt;"")*(PptoSty[Division]&lt;&gt;"X")*(PptoSty[Project]=$B207)*(PptoSty[Vrs]=$D207)*(PptoSty[PiRow]=_xlfn.TEXTAFTER($H207,":"))*(PptoSty[PiColumn]=I$54),0)),SUM(IF((INDIRECT($B$3)=$B207)*(INDIRECT($C$3)=$D207)*((INDIRECT($E$3)="TOTS")+(INDIRECT($E$3)=$E207)),INDIRECT(I$3)))),_xlpm.y,SUM(_xlfn.CHOOSECOLS(_xlfn._xlws.FILTER(F_RT14[],(F_RT14[PrjId]=$B207)*(F_RT14[Vrs]=$D207)*(_xlfn.TEXTAFTER(F_RT14[ActGrp],":")=_xlfn.TEXTAFTER($H207,":")),"X"),MATCH("*"&amp;I$54,F_RT14[#Headers],0))),IF(AND(_xlpm.x=0,_xlpm.y&lt;&gt;0),-1,IF(AND(_xlpm.x&lt;&gt;0,_xlpm.y&lt;&gt;0),_xlpm.x,IF(AND(_xlpm.x-SUM(IF((INDIRECT($B$3)=$B207)*(INDIRECT($C$3)=$D207)*((INDIRECT($E$3)="TOTS")+(INDIRECT($E$3)=$E207)),INDIRECT(I$3)))&lt;&gt;0,_xlpm.y=0),-2,_xlpm.x)))),0))</f>
        <v>0</v>
      </c>
      <c r="J207" s="199" cm="1">
        <f t="array" aca="1" ref="J207" ca="1">IF(OR($B207="",$B207="X",$D207="",$D207="X",$E207="",$E207="X"),0,IFERROR(_xlfn.LET(_xlpm.x,SUM(SUM(_xlfn._xlws.FILTER(VALUE(PptoSty[Sign]&amp;1)*(1/PptoSty[Division]),(PptoSty[Division]&lt;&gt;0)*(PptoSty[Division]&lt;&gt;"")*(PptoSty[Division]&lt;&gt;"X")*(PptoSty[Project]=$B207)*(PptoSty[Vrs]=$D207)*(PptoSty[PiRow]=_xlfn.TEXTAFTER($H207,":"))*(PptoSty[PiColumn]=J$54),0)),SUM(IF((INDIRECT($B$3)=$B207)*(INDIRECT($C$3)=$D207)*((INDIRECT($E$3)="TOTS")+(INDIRECT($E$3)=$E207)),INDIRECT(J$3)))),_xlpm.y,SUM(_xlfn.CHOOSECOLS(_xlfn._xlws.FILTER(F_RT14[],(F_RT14[PrjId]=$B207)*(F_RT14[Vrs]=$D207)*(_xlfn.TEXTAFTER(F_RT14[ActGrp],":")=_xlfn.TEXTAFTER($H207,":")),"X"),MATCH("*"&amp;J$54,F_RT14[#Headers],0))),IF(AND(_xlpm.x=0,_xlpm.y&lt;&gt;0),-1,IF(AND(_xlpm.x&lt;&gt;0,_xlpm.y&lt;&gt;0),_xlpm.x,IF(AND(_xlpm.x-SUM(IF((INDIRECT($B$3)=$B207)*(INDIRECT($C$3)=$D207)*((INDIRECT($E$3)="TOTS")+(INDIRECT($E$3)=$E207)),INDIRECT(J$3)))&lt;&gt;0,_xlpm.y=0),-2,_xlpm.x)))),0))</f>
        <v>0</v>
      </c>
      <c r="K207" s="199" cm="1">
        <f t="array" aca="1" ref="K207" ca="1">IF(OR($B207="",$B207="X",$D207="",$D207="X",$E207="",$E207="X"),0,IFERROR(_xlfn.LET(_xlpm.x,SUM(SUM(_xlfn._xlws.FILTER(VALUE(PptoSty[Sign]&amp;1)*(1/PptoSty[Division]),(PptoSty[Division]&lt;&gt;0)*(PptoSty[Division]&lt;&gt;"")*(PptoSty[Division]&lt;&gt;"X")*(PptoSty[Project]=$B207)*(PptoSty[Vrs]=$D207)*(PptoSty[PiRow]=_xlfn.TEXTAFTER($H207,":"))*(PptoSty[PiColumn]=K$54),0)),SUM(IF((INDIRECT($B$3)=$B207)*(INDIRECT($C$3)=$D207)*((INDIRECT($E$3)="TOTS")+(INDIRECT($E$3)=$E207)),INDIRECT(K$3)))),_xlpm.y,SUM(_xlfn.CHOOSECOLS(_xlfn._xlws.FILTER(F_RT14[],(F_RT14[PrjId]=$B207)*(F_RT14[Vrs]=$D207)*(_xlfn.TEXTAFTER(F_RT14[ActGrp],":")=_xlfn.TEXTAFTER($H207,":")),"X"),MATCH("*"&amp;K$54,F_RT14[#Headers],0))),IF(AND(_xlpm.x=0,_xlpm.y&lt;&gt;0),-1,IF(AND(_xlpm.x&lt;&gt;0,_xlpm.y&lt;&gt;0),_xlpm.x,IF(AND(_xlpm.x-SUM(IF((INDIRECT($B$3)=$B207)*(INDIRECT($C$3)=$D207)*((INDIRECT($E$3)="TOTS")+(INDIRECT($E$3)=$E207)),INDIRECT(K$3)))&lt;&gt;0,_xlpm.y=0),-2,_xlpm.x)))),0))</f>
        <v>0</v>
      </c>
      <c r="L207" s="199" cm="1">
        <f t="array" aca="1" ref="L207" ca="1">IF(OR($B207="",$B207="X",$D207="",$D207="X",$E207="",$E207="X"),0,IFERROR(_xlfn.LET(_xlpm.x,SUM(SUM(_xlfn._xlws.FILTER(VALUE(PptoSty[Sign]&amp;1)*(1/PptoSty[Division]),(PptoSty[Division]&lt;&gt;0)*(PptoSty[Division]&lt;&gt;"")*(PptoSty[Division]&lt;&gt;"X")*(PptoSty[Project]=$B207)*(PptoSty[Vrs]=$D207)*(PptoSty[PiRow]=_xlfn.TEXTAFTER($H207,":"))*(PptoSty[PiColumn]=L$54),0)),SUM(IF((INDIRECT($B$3)=$B207)*(INDIRECT($C$3)=$D207)*((INDIRECT($E$3)="TOTS")+(INDIRECT($E$3)=$E207)),INDIRECT(L$3)))),_xlpm.y,SUM(_xlfn.CHOOSECOLS(_xlfn._xlws.FILTER(F_RT14[],(F_RT14[PrjId]=$B207)*(F_RT14[Vrs]=$D207)*(_xlfn.TEXTAFTER(F_RT14[ActGrp],":")=_xlfn.TEXTAFTER($H207,":")),"X"),MATCH("*"&amp;L$54,F_RT14[#Headers],0))),IF(AND(_xlpm.x=0,_xlpm.y&lt;&gt;0),-1,IF(AND(_xlpm.x&lt;&gt;0,_xlpm.y&lt;&gt;0),_xlpm.x,IF(AND(_xlpm.x-SUM(IF((INDIRECT($B$3)=$B207)*(INDIRECT($C$3)=$D207)*((INDIRECT($E$3)="TOTS")+(INDIRECT($E$3)=$E207)),INDIRECT(L$3)))&lt;&gt;0,_xlpm.y=0),-2,_xlpm.x)))),0))</f>
        <v>0</v>
      </c>
      <c r="M207" s="199" cm="1">
        <f t="array" aca="1" ref="M207" ca="1">IF(OR($B207="",$B207="X",$D207="",$D207="X",$E207="",$E207="X"),0,IFERROR(_xlfn.LET(_xlpm.x,SUM(SUM(_xlfn._xlws.FILTER(VALUE(PptoSty[Sign]&amp;1)*(1/PptoSty[Division]),(PptoSty[Division]&lt;&gt;0)*(PptoSty[Division]&lt;&gt;"")*(PptoSty[Division]&lt;&gt;"X")*(PptoSty[Project]=$B207)*(PptoSty[Vrs]=$D207)*(PptoSty[PiRow]=_xlfn.TEXTAFTER($H207,":"))*(PptoSty[PiColumn]=M$54),0)),SUM(IF((INDIRECT($B$3)=$B207)*(INDIRECT($C$3)=$D207)*((INDIRECT($E$3)="TOTS")+(INDIRECT($E$3)=$E207)),INDIRECT(M$3)))),_xlpm.y,SUM(_xlfn.CHOOSECOLS(_xlfn._xlws.FILTER(F_RT14[],(F_RT14[PrjId]=$B207)*(F_RT14[Vrs]=$D207)*(_xlfn.TEXTAFTER(F_RT14[ActGrp],":")=_xlfn.TEXTAFTER($H207,":")),"X"),MATCH("*"&amp;M$54,F_RT14[#Headers],0))),IF(AND(_xlpm.x=0,_xlpm.y&lt;&gt;0),-1,IF(AND(_xlpm.x&lt;&gt;0,_xlpm.y&lt;&gt;0),_xlpm.x,IF(AND(_xlpm.x-SUM(IF((INDIRECT($B$3)=$B207)*(INDIRECT($C$3)=$D207)*((INDIRECT($E$3)="TOTS")+(INDIRECT($E$3)=$E207)),INDIRECT(M$3)))&lt;&gt;0,_xlpm.y=0),-2,_xlpm.x)))),0))</f>
        <v>0</v>
      </c>
      <c r="N207" s="199" cm="1">
        <f t="array" aca="1" ref="N207" ca="1">IF(OR($B207="",$B207="X",$D207="",$D207="X",$E207="",$E207="X"),0,IFERROR(_xlfn.LET(_xlpm.x,SUM(SUM(_xlfn._xlws.FILTER(VALUE(PptoSty[Sign]&amp;1)*(1/PptoSty[Division]),(PptoSty[Division]&lt;&gt;0)*(PptoSty[Division]&lt;&gt;"")*(PptoSty[Division]&lt;&gt;"X")*(PptoSty[Project]=$B207)*(PptoSty[Vrs]=$D207)*(PptoSty[PiRow]=_xlfn.TEXTAFTER($H207,":"))*(PptoSty[PiColumn]=N$54),0)),SUM(IF((INDIRECT($B$3)=$B207)*(INDIRECT($C$3)=$D207)*((INDIRECT($E$3)="TOTS")+(INDIRECT($E$3)=$E207)),INDIRECT(N$3)))),_xlpm.y,SUM(_xlfn.CHOOSECOLS(_xlfn._xlws.FILTER(F_RT14[],(F_RT14[PrjId]=$B207)*(F_RT14[Vrs]=$D207)*(_xlfn.TEXTAFTER(F_RT14[ActGrp],":")=_xlfn.TEXTAFTER($H207,":")),"X"),MATCH("*"&amp;N$54,F_RT14[#Headers],0))),IF(AND(_xlpm.x=0,_xlpm.y&lt;&gt;0),-1,IF(AND(_xlpm.x&lt;&gt;0,_xlpm.y&lt;&gt;0),_xlpm.x,IF(AND(_xlpm.x-SUM(IF((INDIRECT($B$3)=$B207)*(INDIRECT($C$3)=$D207)*((INDIRECT($E$3)="TOTS")+(INDIRECT($E$3)=$E207)),INDIRECT(N$3)))&lt;&gt;0,_xlpm.y=0),-2,_xlpm.x)))),0))</f>
        <v>0</v>
      </c>
      <c r="O207" s="199" cm="1">
        <f t="array" aca="1" ref="O207" ca="1">IF(OR($B207="",$B207="X",$D207="",$D207="X",$E207="",$E207="X"),0,IFERROR(_xlfn.LET(_xlpm.x,SUM(SUM(_xlfn._xlws.FILTER(VALUE(PptoSty[Sign]&amp;1)*(1/PptoSty[Division]),(PptoSty[Division]&lt;&gt;0)*(PptoSty[Division]&lt;&gt;"")*(PptoSty[Division]&lt;&gt;"X")*(PptoSty[Project]=$B207)*(PptoSty[Vrs]=$D207)*(PptoSty[PiRow]=_xlfn.TEXTAFTER($H207,":"))*(PptoSty[PiColumn]=O$54),0)),SUM(IF((INDIRECT($B$3)=$B207)*(INDIRECT($C$3)=$D207)*((INDIRECT($E$3)="TOTS")+(INDIRECT($E$3)=$E207)),INDIRECT(O$3)))),_xlpm.y,SUM(_xlfn.CHOOSECOLS(_xlfn._xlws.FILTER(F_RT14[],(F_RT14[PrjId]=$B207)*(F_RT14[Vrs]=$D207)*(_xlfn.TEXTAFTER(F_RT14[ActGrp],":")=_xlfn.TEXTAFTER($H207,":")),"X"),MATCH("*"&amp;O$54,F_RT14[#Headers],0))),IF(AND(_xlpm.x=0,_xlpm.y&lt;&gt;0),-1,IF(AND(_xlpm.x&lt;&gt;0,_xlpm.y&lt;&gt;0),_xlpm.x,IF(AND(_xlpm.x-SUM(IF((INDIRECT($B$3)=$B207)*(INDIRECT($C$3)=$D207)*((INDIRECT($E$3)="TOTS")+(INDIRECT($E$3)=$E207)),INDIRECT(O$3)))&lt;&gt;0,_xlpm.y=0),-2,_xlpm.x)))),0))</f>
        <v>0</v>
      </c>
      <c r="P207" s="199" cm="1">
        <f t="array" aca="1" ref="P207" ca="1">IF(OR($B207="",$B207="X",$D207="",$D207="X",$E207="",$E207="X"),0,IFERROR(_xlfn.LET(_xlpm.x,SUM(SUM(_xlfn._xlws.FILTER(VALUE(PptoSty[Sign]&amp;1)*(1/PptoSty[Division]),(PptoSty[Division]&lt;&gt;0)*(PptoSty[Division]&lt;&gt;"")*(PptoSty[Division]&lt;&gt;"X")*(PptoSty[Project]=$B207)*(PptoSty[Vrs]=$D207)*(PptoSty[PiRow]=_xlfn.TEXTAFTER($H207,":"))*(PptoSty[PiColumn]=P$54),0)),SUM(IF((INDIRECT($B$3)=$B207)*(INDIRECT($C$3)=$D207)*((INDIRECT($E$3)="TOTS")+(INDIRECT($E$3)=$E207)),INDIRECT(P$3)))),_xlpm.y,SUM(_xlfn.CHOOSECOLS(_xlfn._xlws.FILTER(F_RT14[],(F_RT14[PrjId]=$B207)*(F_RT14[Vrs]=$D207)*(_xlfn.TEXTAFTER(F_RT14[ActGrp],":")=_xlfn.TEXTAFTER($H207,":")),"X"),MATCH("*"&amp;P$54,F_RT14[#Headers],0))),IF(AND(_xlpm.x=0,_xlpm.y&lt;&gt;0),-1,IF(AND(_xlpm.x&lt;&gt;0,_xlpm.y&lt;&gt;0),_xlpm.x,IF(AND(_xlpm.x-SUM(IF((INDIRECT($B$3)=$B207)*(INDIRECT($C$3)=$D207)*((INDIRECT($E$3)="TOTS")+(INDIRECT($E$3)=$E207)),INDIRECT(P$3)))&lt;&gt;0,_xlpm.y=0),-2,_xlpm.x)))),0))</f>
        <v>0</v>
      </c>
      <c r="Q207" s="199" cm="1">
        <f t="array" aca="1" ref="Q207" ca="1">IF(OR($B207="",$B207="X",$D207="",$D207="X",$E207="",$E207="X"),0,IFERROR(_xlfn.LET(_xlpm.x,SUM(SUM(_xlfn._xlws.FILTER(VALUE(PptoSty[Sign]&amp;1)*(1/PptoSty[Division]),(PptoSty[Division]&lt;&gt;0)*(PptoSty[Division]&lt;&gt;"")*(PptoSty[Division]&lt;&gt;"X")*(PptoSty[Project]=$B207)*(PptoSty[Vrs]=$D207)*(PptoSty[PiRow]=_xlfn.TEXTAFTER($H207,":"))*(PptoSty[PiColumn]=Q$54),0)),SUM(IF((INDIRECT($B$3)=$B207)*(INDIRECT($C$3)=$D207)*((INDIRECT($E$3)="TOTS")+(INDIRECT($E$3)=$E207)),INDIRECT(Q$3)))),_xlpm.y,SUM(_xlfn.CHOOSECOLS(_xlfn._xlws.FILTER(F_RT14[],(F_RT14[PrjId]=$B207)*(F_RT14[Vrs]=$D207)*(_xlfn.TEXTAFTER(F_RT14[ActGrp],":")=_xlfn.TEXTAFTER($H207,":")),"X"),MATCH("*"&amp;Q$54,F_RT14[#Headers],0))),IF(AND(_xlpm.x=0,_xlpm.y&lt;&gt;0),-1,IF(AND(_xlpm.x&lt;&gt;0,_xlpm.y&lt;&gt;0),_xlpm.x,IF(AND(_xlpm.x-SUM(IF((INDIRECT($B$3)=$B207)*(INDIRECT($C$3)=$D207)*((INDIRECT($E$3)="TOTS")+(INDIRECT($E$3)=$E207)),INDIRECT(Q$3)))&lt;&gt;0,_xlpm.y=0),-2,_xlpm.x)))),0))</f>
        <v>0</v>
      </c>
      <c r="R207" s="199" cm="1">
        <f t="array" aca="1" ref="R207" ca="1">IF(OR($B207="",$B207="X",$D207="",$D207="X",$E207="",$E207="X"),0,IFERROR(_xlfn.LET(_xlpm.x,SUM(SUM(_xlfn._xlws.FILTER(VALUE(PptoSty[Sign]&amp;1)*(1/PptoSty[Division]),(PptoSty[Division]&lt;&gt;0)*(PptoSty[Division]&lt;&gt;"")*(PptoSty[Division]&lt;&gt;"X")*(PptoSty[Project]=$B207)*(PptoSty[Vrs]=$D207)*(PptoSty[PiRow]=_xlfn.TEXTAFTER($H207,":"))*(PptoSty[PiColumn]=R$54),0)),SUM(IF((INDIRECT($B$3)=$B207)*(INDIRECT($C$3)=$D207)*((INDIRECT($E$3)="TOTS")+(INDIRECT($E$3)=$E207)),INDIRECT(R$3)))),_xlpm.y,SUM(_xlfn.CHOOSECOLS(_xlfn._xlws.FILTER(F_RT14[],(F_RT14[PrjId]=$B207)*(F_RT14[Vrs]=$D207)*(_xlfn.TEXTAFTER(F_RT14[ActGrp],":")=_xlfn.TEXTAFTER($H207,":")),"X"),MATCH("*"&amp;R$54,F_RT14[#Headers],0))),IF(AND(_xlpm.x=0,_xlpm.y&lt;&gt;0),-1,IF(AND(_xlpm.x&lt;&gt;0,_xlpm.y&lt;&gt;0),_xlpm.x,IF(AND(_xlpm.x-SUM(IF((INDIRECT($B$3)=$B207)*(INDIRECT($C$3)=$D207)*((INDIRECT($E$3)="TOTS")+(INDIRECT($E$3)=$E207)),INDIRECT(R$3)))&lt;&gt;0,_xlpm.y=0),-2,_xlpm.x)))),0))</f>
        <v>0</v>
      </c>
      <c r="S207" s="199" cm="1">
        <f t="array" aca="1" ref="S207" ca="1">IF(OR($B207="",$B207="X",$D207="",$D207="X",$E207="",$E207="X"),0,IFERROR(_xlfn.LET(_xlpm.x,SUM(SUM(_xlfn._xlws.FILTER(VALUE(PptoSty[Sign]&amp;1)*(1/PptoSty[Division]),(PptoSty[Division]&lt;&gt;0)*(PptoSty[Division]&lt;&gt;"")*(PptoSty[Division]&lt;&gt;"X")*(PptoSty[Project]=$B207)*(PptoSty[Vrs]=$D207)*(PptoSty[PiRow]=_xlfn.TEXTAFTER($H207,":"))*(PptoSty[PiColumn]=S$54),0)),SUM(IF((INDIRECT($B$3)=$B207)*(INDIRECT($C$3)=$D207)*((INDIRECT($E$3)="TOTS")+(INDIRECT($E$3)=$E207)),INDIRECT(S$3)))),_xlpm.y,SUM(_xlfn.CHOOSECOLS(_xlfn._xlws.FILTER(F_RT14[],(F_RT14[PrjId]=$B207)*(F_RT14[Vrs]=$D207)*(_xlfn.TEXTAFTER(F_RT14[ActGrp],":")=_xlfn.TEXTAFTER($H207,":")),"X"),MATCH("*"&amp;S$54,F_RT14[#Headers],0))),IF(AND(_xlpm.x=0,_xlpm.y&lt;&gt;0),-1,IF(AND(_xlpm.x&lt;&gt;0,_xlpm.y&lt;&gt;0),_xlpm.x,IF(AND(_xlpm.x-SUM(IF((INDIRECT($B$3)=$B207)*(INDIRECT($C$3)=$D207)*((INDIRECT($E$3)="TOTS")+(INDIRECT($E$3)=$E207)),INDIRECT(S$3)))&lt;&gt;0,_xlpm.y=0),-2,_xlpm.x)))),0))</f>
        <v>0</v>
      </c>
      <c r="T207" s="199" cm="1">
        <f t="array" aca="1" ref="T207" ca="1">IF(OR($B207="",$B207="X",$D207="",$D207="X",$E207="",$E207="X"),0,IFERROR(_xlfn.LET(_xlpm.x,SUM(SUM(_xlfn._xlws.FILTER(VALUE(PptoSty[Sign]&amp;1)*(1/PptoSty[Division]),(PptoSty[Division]&lt;&gt;0)*(PptoSty[Division]&lt;&gt;"")*(PptoSty[Division]&lt;&gt;"X")*(PptoSty[Project]=$B207)*(PptoSty[Vrs]=$D207)*(PptoSty[PiRow]=_xlfn.TEXTAFTER($H207,":"))*(PptoSty[PiColumn]=T$54),0)),SUM(IF((INDIRECT($B$3)=$B207)*(INDIRECT($C$3)=$D207)*((INDIRECT($E$3)="TOTS")+(INDIRECT($E$3)=$E207)),INDIRECT(T$3)))),_xlpm.y,SUM(_xlfn.CHOOSECOLS(_xlfn._xlws.FILTER(F_RT14[],(F_RT14[PrjId]=$B207)*(F_RT14[Vrs]=$D207)*(_xlfn.TEXTAFTER(F_RT14[ActGrp],":")=_xlfn.TEXTAFTER($H207,":")),"X"),MATCH("*"&amp;T$54,F_RT14[#Headers],0))),IF(AND(_xlpm.x=0,_xlpm.y&lt;&gt;0),-1,IF(AND(_xlpm.x&lt;&gt;0,_xlpm.y&lt;&gt;0),_xlpm.x,IF(AND(_xlpm.x-SUM(IF((INDIRECT($B$3)=$B207)*(INDIRECT($C$3)=$D207)*((INDIRECT($E$3)="TOTS")+(INDIRECT($E$3)=$E207)),INDIRECT(T$3)))&lt;&gt;0,_xlpm.y=0),-2,_xlpm.x)))),0))</f>
        <v>0</v>
      </c>
      <c r="U207" s="199" cm="1">
        <f t="array" aca="1" ref="U207" ca="1">IF(OR($B207="",$B207="X",$D207="",$D207="X",$E207="",$E207="X"),0,IFERROR(_xlfn.LET(_xlpm.x,SUM(SUM(_xlfn._xlws.FILTER(VALUE(PptoSty[Sign]&amp;1)*(1/PptoSty[Division]),(PptoSty[Division]&lt;&gt;0)*(PptoSty[Division]&lt;&gt;"")*(PptoSty[Division]&lt;&gt;"X")*(PptoSty[Project]=$B207)*(PptoSty[Vrs]=$D207)*(PptoSty[PiRow]=_xlfn.TEXTAFTER($H207,":"))*(PptoSty[PiColumn]=U$54),0)),SUM(IF((INDIRECT($B$3)=$B207)*(INDIRECT($C$3)=$D207)*((INDIRECT($E$3)="TOTS")+(INDIRECT($E$3)=$E207)),INDIRECT(U$3)))),_xlpm.y,SUM(_xlfn.CHOOSECOLS(_xlfn._xlws.FILTER(F_RT14[],(F_RT14[PrjId]=$B207)*(F_RT14[Vrs]=$D207)*(_xlfn.TEXTAFTER(F_RT14[ActGrp],":")=_xlfn.TEXTAFTER($H207,":")),"X"),MATCH("*"&amp;U$54,F_RT14[#Headers],0))),IF(AND(_xlpm.x=0,_xlpm.y&lt;&gt;0),-1,IF(AND(_xlpm.x&lt;&gt;0,_xlpm.y&lt;&gt;0),_xlpm.x,IF(AND(_xlpm.x-SUM(IF((INDIRECT($B$3)=$B207)*(INDIRECT($C$3)=$D207)*((INDIRECT($E$3)="TOTS")+(INDIRECT($E$3)=$E207)),INDIRECT(U$3)))&lt;&gt;0,_xlpm.y=0),-2,_xlpm.x)))),0))</f>
        <v>0</v>
      </c>
      <c r="V207" s="199" cm="1">
        <f t="array" aca="1" ref="V207" ca="1">IF(OR($B207="",$B207="X",$D207="",$D207="X",$E207="",$E207="X"),0,IFERROR(_xlfn.LET(_xlpm.x,SUM(SUM(_xlfn._xlws.FILTER(VALUE(PptoSty[Sign]&amp;1)*(1/PptoSty[Division]),(PptoSty[Division]&lt;&gt;0)*(PptoSty[Division]&lt;&gt;"")*(PptoSty[Division]&lt;&gt;"X")*(PptoSty[Project]=$B207)*(PptoSty[Vrs]=$D207)*(PptoSty[PiRow]=_xlfn.TEXTAFTER($H207,":"))*(PptoSty[PiColumn]=V$54),0)),SUM(IF((INDIRECT($B$3)=$B207)*(INDIRECT($C$3)=$D207)*((INDIRECT($E$3)="TOTS")+(INDIRECT($E$3)=$E207)),INDIRECT(V$3)))),_xlpm.y,SUM(_xlfn.CHOOSECOLS(_xlfn._xlws.FILTER(F_RT14[],(F_RT14[PrjId]=$B207)*(F_RT14[Vrs]=$D207)*(_xlfn.TEXTAFTER(F_RT14[ActGrp],":")=_xlfn.TEXTAFTER($H207,":")),"X"),MATCH("*"&amp;V$54,F_RT14[#Headers],0))),IF(AND(_xlpm.x=0,_xlpm.y&lt;&gt;0),-1,IF(AND(_xlpm.x&lt;&gt;0,_xlpm.y&lt;&gt;0),_xlpm.x,IF(AND(_xlpm.x-SUM(IF((INDIRECT($B$3)=$B207)*(INDIRECT($C$3)=$D207)*((INDIRECT($E$3)="TOTS")+(INDIRECT($E$3)=$E207)),INDIRECT(V$3)))&lt;&gt;0,_xlpm.y=0),-2,_xlpm.x)))),0))</f>
        <v>0</v>
      </c>
      <c r="W207" s="199" cm="1">
        <f t="array" aca="1" ref="W207" ca="1">IF(OR($B207="",$B207="X",$D207="",$D207="X",$E207="",$E207="X"),0,IFERROR(_xlfn.LET(_xlpm.x,SUM(SUM(_xlfn._xlws.FILTER(VALUE(PptoSty[Sign]&amp;1)*(1/PptoSty[Division]),(PptoSty[Division]&lt;&gt;0)*(PptoSty[Division]&lt;&gt;"")*(PptoSty[Division]&lt;&gt;"X")*(PptoSty[Project]=$B207)*(PptoSty[Vrs]=$D207)*(PptoSty[PiRow]=_xlfn.TEXTAFTER($H207,":"))*(PptoSty[PiColumn]=W$54),0)),SUM(IF((INDIRECT($B$3)=$B207)*(INDIRECT($C$3)=$D207)*((INDIRECT($E$3)="TOTS")+(INDIRECT($E$3)=$E207)),INDIRECT(W$3)))),_xlpm.y,SUM(_xlfn.CHOOSECOLS(_xlfn._xlws.FILTER(F_RT14[],(F_RT14[PrjId]=$B207)*(F_RT14[Vrs]=$D207)*(_xlfn.TEXTAFTER(F_RT14[ActGrp],":")=_xlfn.TEXTAFTER($H207,":")),"X"),MATCH("*"&amp;W$54,F_RT14[#Headers],0))),IF(AND(_xlpm.x=0,_xlpm.y&lt;&gt;0),-1,IF(AND(_xlpm.x&lt;&gt;0,_xlpm.y&lt;&gt;0),_xlpm.x,IF(AND(_xlpm.x-SUM(IF((INDIRECT($B$3)=$B207)*(INDIRECT($C$3)=$D207)*((INDIRECT($E$3)="TOTS")+(INDIRECT($E$3)=$E207)),INDIRECT(W$3)))&lt;&gt;0,_xlpm.y=0),-2,_xlpm.x)))),0))</f>
        <v>0</v>
      </c>
      <c r="X207" s="199" cm="1">
        <f t="array" aca="1" ref="X207" ca="1">IF(OR($B207="",$B207="X",$D207="",$D207="X",$E207="",$E207="X"),0,IFERROR(_xlfn.LET(_xlpm.x,SUM(SUM(_xlfn._xlws.FILTER(VALUE(PptoSty[Sign]&amp;1)*(1/PptoSty[Division]),(PptoSty[Division]&lt;&gt;0)*(PptoSty[Division]&lt;&gt;"")*(PptoSty[Division]&lt;&gt;"X")*(PptoSty[Project]=$B207)*(PptoSty[Vrs]=$D207)*(PptoSty[PiRow]=_xlfn.TEXTAFTER($H207,":"))*(PptoSty[PiColumn]=X$54),0)),SUM(IF((INDIRECT($B$3)=$B207)*(INDIRECT($C$3)=$D207)*((INDIRECT($E$3)="TOTS")+(INDIRECT($E$3)=$E207)),INDIRECT(X$3)))),_xlpm.y,SUM(_xlfn.CHOOSECOLS(_xlfn._xlws.FILTER(F_RT14[],(F_RT14[PrjId]=$B207)*(F_RT14[Vrs]=$D207)*(_xlfn.TEXTAFTER(F_RT14[ActGrp],":")=_xlfn.TEXTAFTER($H207,":")),"X"),MATCH("*"&amp;X$54,F_RT14[#Headers],0))),IF(AND(_xlpm.x=0,_xlpm.y&lt;&gt;0),-1,IF(AND(_xlpm.x&lt;&gt;0,_xlpm.y&lt;&gt;0),_xlpm.x,IF(AND(_xlpm.x-SUM(IF((INDIRECT($B$3)=$B207)*(INDIRECT($C$3)=$D207)*((INDIRECT($E$3)="TOTS")+(INDIRECT($E$3)=$E207)),INDIRECT(X$3)))&lt;&gt;0,_xlpm.y=0),-2,_xlpm.x)))),0))</f>
        <v>0</v>
      </c>
      <c r="Y207" s="199" cm="1">
        <f t="array" aca="1" ref="Y207" ca="1">IF(OR($B207="",$B207="X",$D207="",$D207="X",$E207="",$E207="X"),0,IFERROR(_xlfn.LET(_xlpm.x,SUM(SUM(_xlfn._xlws.FILTER(VALUE(PptoSty[Sign]&amp;1)*(1/PptoSty[Division]),(PptoSty[Division]&lt;&gt;0)*(PptoSty[Division]&lt;&gt;"")*(PptoSty[Division]&lt;&gt;"X")*(PptoSty[Project]=$B207)*(PptoSty[Vrs]=$D207)*(PptoSty[PiRow]=_xlfn.TEXTAFTER($H207,":"))*(PptoSty[PiColumn]=Y$54),0)),SUM(IF((INDIRECT($B$3)=$B207)*(INDIRECT($C$3)=$D207)*((INDIRECT($E$3)="TOTS")+(INDIRECT($E$3)=$E207)),INDIRECT(Y$3)))),_xlpm.y,SUM(_xlfn.CHOOSECOLS(_xlfn._xlws.FILTER(F_RT14[],(F_RT14[PrjId]=$B207)*(F_RT14[Vrs]=$D207)*(_xlfn.TEXTAFTER(F_RT14[ActGrp],":")=_xlfn.TEXTAFTER($H207,":")),"X"),MATCH("*"&amp;Y$54,F_RT14[#Headers],0))),IF(AND(_xlpm.x=0,_xlpm.y&lt;&gt;0),-1,IF(AND(_xlpm.x&lt;&gt;0,_xlpm.y&lt;&gt;0),_xlpm.x,IF(AND(_xlpm.x-SUM(IF((INDIRECT($B$3)=$B207)*(INDIRECT($C$3)=$D207)*((INDIRECT($E$3)="TOTS")+(INDIRECT($E$3)=$E207)),INDIRECT(Y$3)))&lt;&gt;0,_xlpm.y=0),-2,_xlpm.x)))),0))</f>
        <v>0</v>
      </c>
      <c r="Z207" s="198" t="str">
        <f t="shared" ca="1" si="4"/>
        <v>Fback!B207:Y207</v>
      </c>
    </row>
    <row r="208" spans="2:26" ht="21" customHeight="1" outlineLevel="1">
      <c r="B208" s="128"/>
      <c r="C208" s="128"/>
      <c r="D208" s="128"/>
      <c r="E208" s="128"/>
      <c r="F208" s="139"/>
      <c r="G208" s="139"/>
      <c r="H208" s="139"/>
      <c r="I208" s="199" cm="1">
        <f t="array" aca="1" ref="I208" ca="1">IF(OR($B208="",$B208="X",$D208="",$D208="X",$E208="",$E208="X"),0,IFERROR(_xlfn.LET(_xlpm.x,SUM(SUM(_xlfn._xlws.FILTER(VALUE(PptoSty[Sign]&amp;1)*(1/PptoSty[Division]),(PptoSty[Division]&lt;&gt;0)*(PptoSty[Division]&lt;&gt;"")*(PptoSty[Division]&lt;&gt;"X")*(PptoSty[Project]=$B208)*(PptoSty[Vrs]=$D208)*(PptoSty[PiRow]=_xlfn.TEXTAFTER($H208,":"))*(PptoSty[PiColumn]=I$54),0)),SUM(IF((INDIRECT($B$3)=$B208)*(INDIRECT($C$3)=$D208)*((INDIRECT($E$3)="TOTS")+(INDIRECT($E$3)=$E208)),INDIRECT(I$3)))),_xlpm.y,SUM(_xlfn.CHOOSECOLS(_xlfn._xlws.FILTER(F_RT14[],(F_RT14[PrjId]=$B208)*(F_RT14[Vrs]=$D208)*(_xlfn.TEXTAFTER(F_RT14[ActGrp],":")=_xlfn.TEXTAFTER($H208,":")),"X"),MATCH("*"&amp;I$54,F_RT14[#Headers],0))),IF(AND(_xlpm.x=0,_xlpm.y&lt;&gt;0),-1,IF(AND(_xlpm.x&lt;&gt;0,_xlpm.y&lt;&gt;0),_xlpm.x,IF(AND(_xlpm.x-SUM(IF((INDIRECT($B$3)=$B208)*(INDIRECT($C$3)=$D208)*((INDIRECT($E$3)="TOTS")+(INDIRECT($E$3)=$E208)),INDIRECT(I$3)))&lt;&gt;0,_xlpm.y=0),-2,_xlpm.x)))),0))</f>
        <v>0</v>
      </c>
      <c r="J208" s="199" cm="1">
        <f t="array" aca="1" ref="J208" ca="1">IF(OR($B208="",$B208="X",$D208="",$D208="X",$E208="",$E208="X"),0,IFERROR(_xlfn.LET(_xlpm.x,SUM(SUM(_xlfn._xlws.FILTER(VALUE(PptoSty[Sign]&amp;1)*(1/PptoSty[Division]),(PptoSty[Division]&lt;&gt;0)*(PptoSty[Division]&lt;&gt;"")*(PptoSty[Division]&lt;&gt;"X")*(PptoSty[Project]=$B208)*(PptoSty[Vrs]=$D208)*(PptoSty[PiRow]=_xlfn.TEXTAFTER($H208,":"))*(PptoSty[PiColumn]=J$54),0)),SUM(IF((INDIRECT($B$3)=$B208)*(INDIRECT($C$3)=$D208)*((INDIRECT($E$3)="TOTS")+(INDIRECT($E$3)=$E208)),INDIRECT(J$3)))),_xlpm.y,SUM(_xlfn.CHOOSECOLS(_xlfn._xlws.FILTER(F_RT14[],(F_RT14[PrjId]=$B208)*(F_RT14[Vrs]=$D208)*(_xlfn.TEXTAFTER(F_RT14[ActGrp],":")=_xlfn.TEXTAFTER($H208,":")),"X"),MATCH("*"&amp;J$54,F_RT14[#Headers],0))),IF(AND(_xlpm.x=0,_xlpm.y&lt;&gt;0),-1,IF(AND(_xlpm.x&lt;&gt;0,_xlpm.y&lt;&gt;0),_xlpm.x,IF(AND(_xlpm.x-SUM(IF((INDIRECT($B$3)=$B208)*(INDIRECT($C$3)=$D208)*((INDIRECT($E$3)="TOTS")+(INDIRECT($E$3)=$E208)),INDIRECT(J$3)))&lt;&gt;0,_xlpm.y=0),-2,_xlpm.x)))),0))</f>
        <v>0</v>
      </c>
      <c r="K208" s="199" cm="1">
        <f t="array" aca="1" ref="K208" ca="1">IF(OR($B208="",$B208="X",$D208="",$D208="X",$E208="",$E208="X"),0,IFERROR(_xlfn.LET(_xlpm.x,SUM(SUM(_xlfn._xlws.FILTER(VALUE(PptoSty[Sign]&amp;1)*(1/PptoSty[Division]),(PptoSty[Division]&lt;&gt;0)*(PptoSty[Division]&lt;&gt;"")*(PptoSty[Division]&lt;&gt;"X")*(PptoSty[Project]=$B208)*(PptoSty[Vrs]=$D208)*(PptoSty[PiRow]=_xlfn.TEXTAFTER($H208,":"))*(PptoSty[PiColumn]=K$54),0)),SUM(IF((INDIRECT($B$3)=$B208)*(INDIRECT($C$3)=$D208)*((INDIRECT($E$3)="TOTS")+(INDIRECT($E$3)=$E208)),INDIRECT(K$3)))),_xlpm.y,SUM(_xlfn.CHOOSECOLS(_xlfn._xlws.FILTER(F_RT14[],(F_RT14[PrjId]=$B208)*(F_RT14[Vrs]=$D208)*(_xlfn.TEXTAFTER(F_RT14[ActGrp],":")=_xlfn.TEXTAFTER($H208,":")),"X"),MATCH("*"&amp;K$54,F_RT14[#Headers],0))),IF(AND(_xlpm.x=0,_xlpm.y&lt;&gt;0),-1,IF(AND(_xlpm.x&lt;&gt;0,_xlpm.y&lt;&gt;0),_xlpm.x,IF(AND(_xlpm.x-SUM(IF((INDIRECT($B$3)=$B208)*(INDIRECT($C$3)=$D208)*((INDIRECT($E$3)="TOTS")+(INDIRECT($E$3)=$E208)),INDIRECT(K$3)))&lt;&gt;0,_xlpm.y=0),-2,_xlpm.x)))),0))</f>
        <v>0</v>
      </c>
      <c r="L208" s="199" cm="1">
        <f t="array" aca="1" ref="L208" ca="1">IF(OR($B208="",$B208="X",$D208="",$D208="X",$E208="",$E208="X"),0,IFERROR(_xlfn.LET(_xlpm.x,SUM(SUM(_xlfn._xlws.FILTER(VALUE(PptoSty[Sign]&amp;1)*(1/PptoSty[Division]),(PptoSty[Division]&lt;&gt;0)*(PptoSty[Division]&lt;&gt;"")*(PptoSty[Division]&lt;&gt;"X")*(PptoSty[Project]=$B208)*(PptoSty[Vrs]=$D208)*(PptoSty[PiRow]=_xlfn.TEXTAFTER($H208,":"))*(PptoSty[PiColumn]=L$54),0)),SUM(IF((INDIRECT($B$3)=$B208)*(INDIRECT($C$3)=$D208)*((INDIRECT($E$3)="TOTS")+(INDIRECT($E$3)=$E208)),INDIRECT(L$3)))),_xlpm.y,SUM(_xlfn.CHOOSECOLS(_xlfn._xlws.FILTER(F_RT14[],(F_RT14[PrjId]=$B208)*(F_RT14[Vrs]=$D208)*(_xlfn.TEXTAFTER(F_RT14[ActGrp],":")=_xlfn.TEXTAFTER($H208,":")),"X"),MATCH("*"&amp;L$54,F_RT14[#Headers],0))),IF(AND(_xlpm.x=0,_xlpm.y&lt;&gt;0),-1,IF(AND(_xlpm.x&lt;&gt;0,_xlpm.y&lt;&gt;0),_xlpm.x,IF(AND(_xlpm.x-SUM(IF((INDIRECT($B$3)=$B208)*(INDIRECT($C$3)=$D208)*((INDIRECT($E$3)="TOTS")+(INDIRECT($E$3)=$E208)),INDIRECT(L$3)))&lt;&gt;0,_xlpm.y=0),-2,_xlpm.x)))),0))</f>
        <v>0</v>
      </c>
      <c r="M208" s="199" cm="1">
        <f t="array" aca="1" ref="M208" ca="1">IF(OR($B208="",$B208="X",$D208="",$D208="X",$E208="",$E208="X"),0,IFERROR(_xlfn.LET(_xlpm.x,SUM(SUM(_xlfn._xlws.FILTER(VALUE(PptoSty[Sign]&amp;1)*(1/PptoSty[Division]),(PptoSty[Division]&lt;&gt;0)*(PptoSty[Division]&lt;&gt;"")*(PptoSty[Division]&lt;&gt;"X")*(PptoSty[Project]=$B208)*(PptoSty[Vrs]=$D208)*(PptoSty[PiRow]=_xlfn.TEXTAFTER($H208,":"))*(PptoSty[PiColumn]=M$54),0)),SUM(IF((INDIRECT($B$3)=$B208)*(INDIRECT($C$3)=$D208)*((INDIRECT($E$3)="TOTS")+(INDIRECT($E$3)=$E208)),INDIRECT(M$3)))),_xlpm.y,SUM(_xlfn.CHOOSECOLS(_xlfn._xlws.FILTER(F_RT14[],(F_RT14[PrjId]=$B208)*(F_RT14[Vrs]=$D208)*(_xlfn.TEXTAFTER(F_RT14[ActGrp],":")=_xlfn.TEXTAFTER($H208,":")),"X"),MATCH("*"&amp;M$54,F_RT14[#Headers],0))),IF(AND(_xlpm.x=0,_xlpm.y&lt;&gt;0),-1,IF(AND(_xlpm.x&lt;&gt;0,_xlpm.y&lt;&gt;0),_xlpm.x,IF(AND(_xlpm.x-SUM(IF((INDIRECT($B$3)=$B208)*(INDIRECT($C$3)=$D208)*((INDIRECT($E$3)="TOTS")+(INDIRECT($E$3)=$E208)),INDIRECT(M$3)))&lt;&gt;0,_xlpm.y=0),-2,_xlpm.x)))),0))</f>
        <v>0</v>
      </c>
      <c r="N208" s="199" cm="1">
        <f t="array" aca="1" ref="N208" ca="1">IF(OR($B208="",$B208="X",$D208="",$D208="X",$E208="",$E208="X"),0,IFERROR(_xlfn.LET(_xlpm.x,SUM(SUM(_xlfn._xlws.FILTER(VALUE(PptoSty[Sign]&amp;1)*(1/PptoSty[Division]),(PptoSty[Division]&lt;&gt;0)*(PptoSty[Division]&lt;&gt;"")*(PptoSty[Division]&lt;&gt;"X")*(PptoSty[Project]=$B208)*(PptoSty[Vrs]=$D208)*(PptoSty[PiRow]=_xlfn.TEXTAFTER($H208,":"))*(PptoSty[PiColumn]=N$54),0)),SUM(IF((INDIRECT($B$3)=$B208)*(INDIRECT($C$3)=$D208)*((INDIRECT($E$3)="TOTS")+(INDIRECT($E$3)=$E208)),INDIRECT(N$3)))),_xlpm.y,SUM(_xlfn.CHOOSECOLS(_xlfn._xlws.FILTER(F_RT14[],(F_RT14[PrjId]=$B208)*(F_RT14[Vrs]=$D208)*(_xlfn.TEXTAFTER(F_RT14[ActGrp],":")=_xlfn.TEXTAFTER($H208,":")),"X"),MATCH("*"&amp;N$54,F_RT14[#Headers],0))),IF(AND(_xlpm.x=0,_xlpm.y&lt;&gt;0),-1,IF(AND(_xlpm.x&lt;&gt;0,_xlpm.y&lt;&gt;0),_xlpm.x,IF(AND(_xlpm.x-SUM(IF((INDIRECT($B$3)=$B208)*(INDIRECT($C$3)=$D208)*((INDIRECT($E$3)="TOTS")+(INDIRECT($E$3)=$E208)),INDIRECT(N$3)))&lt;&gt;0,_xlpm.y=0),-2,_xlpm.x)))),0))</f>
        <v>0</v>
      </c>
      <c r="O208" s="199" cm="1">
        <f t="array" aca="1" ref="O208" ca="1">IF(OR($B208="",$B208="X",$D208="",$D208="X",$E208="",$E208="X"),0,IFERROR(_xlfn.LET(_xlpm.x,SUM(SUM(_xlfn._xlws.FILTER(VALUE(PptoSty[Sign]&amp;1)*(1/PptoSty[Division]),(PptoSty[Division]&lt;&gt;0)*(PptoSty[Division]&lt;&gt;"")*(PptoSty[Division]&lt;&gt;"X")*(PptoSty[Project]=$B208)*(PptoSty[Vrs]=$D208)*(PptoSty[PiRow]=_xlfn.TEXTAFTER($H208,":"))*(PptoSty[PiColumn]=O$54),0)),SUM(IF((INDIRECT($B$3)=$B208)*(INDIRECT($C$3)=$D208)*((INDIRECT($E$3)="TOTS")+(INDIRECT($E$3)=$E208)),INDIRECT(O$3)))),_xlpm.y,SUM(_xlfn.CHOOSECOLS(_xlfn._xlws.FILTER(F_RT14[],(F_RT14[PrjId]=$B208)*(F_RT14[Vrs]=$D208)*(_xlfn.TEXTAFTER(F_RT14[ActGrp],":")=_xlfn.TEXTAFTER($H208,":")),"X"),MATCH("*"&amp;O$54,F_RT14[#Headers],0))),IF(AND(_xlpm.x=0,_xlpm.y&lt;&gt;0),-1,IF(AND(_xlpm.x&lt;&gt;0,_xlpm.y&lt;&gt;0),_xlpm.x,IF(AND(_xlpm.x-SUM(IF((INDIRECT($B$3)=$B208)*(INDIRECT($C$3)=$D208)*((INDIRECT($E$3)="TOTS")+(INDIRECT($E$3)=$E208)),INDIRECT(O$3)))&lt;&gt;0,_xlpm.y=0),-2,_xlpm.x)))),0))</f>
        <v>0</v>
      </c>
      <c r="P208" s="199" cm="1">
        <f t="array" aca="1" ref="P208" ca="1">IF(OR($B208="",$B208="X",$D208="",$D208="X",$E208="",$E208="X"),0,IFERROR(_xlfn.LET(_xlpm.x,SUM(SUM(_xlfn._xlws.FILTER(VALUE(PptoSty[Sign]&amp;1)*(1/PptoSty[Division]),(PptoSty[Division]&lt;&gt;0)*(PptoSty[Division]&lt;&gt;"")*(PptoSty[Division]&lt;&gt;"X")*(PptoSty[Project]=$B208)*(PptoSty[Vrs]=$D208)*(PptoSty[PiRow]=_xlfn.TEXTAFTER($H208,":"))*(PptoSty[PiColumn]=P$54),0)),SUM(IF((INDIRECT($B$3)=$B208)*(INDIRECT($C$3)=$D208)*((INDIRECT($E$3)="TOTS")+(INDIRECT($E$3)=$E208)),INDIRECT(P$3)))),_xlpm.y,SUM(_xlfn.CHOOSECOLS(_xlfn._xlws.FILTER(F_RT14[],(F_RT14[PrjId]=$B208)*(F_RT14[Vrs]=$D208)*(_xlfn.TEXTAFTER(F_RT14[ActGrp],":")=_xlfn.TEXTAFTER($H208,":")),"X"),MATCH("*"&amp;P$54,F_RT14[#Headers],0))),IF(AND(_xlpm.x=0,_xlpm.y&lt;&gt;0),-1,IF(AND(_xlpm.x&lt;&gt;0,_xlpm.y&lt;&gt;0),_xlpm.x,IF(AND(_xlpm.x-SUM(IF((INDIRECT($B$3)=$B208)*(INDIRECT($C$3)=$D208)*((INDIRECT($E$3)="TOTS")+(INDIRECT($E$3)=$E208)),INDIRECT(P$3)))&lt;&gt;0,_xlpm.y=0),-2,_xlpm.x)))),0))</f>
        <v>0</v>
      </c>
      <c r="Q208" s="199" cm="1">
        <f t="array" aca="1" ref="Q208" ca="1">IF(OR($B208="",$B208="X",$D208="",$D208="X",$E208="",$E208="X"),0,IFERROR(_xlfn.LET(_xlpm.x,SUM(SUM(_xlfn._xlws.FILTER(VALUE(PptoSty[Sign]&amp;1)*(1/PptoSty[Division]),(PptoSty[Division]&lt;&gt;0)*(PptoSty[Division]&lt;&gt;"")*(PptoSty[Division]&lt;&gt;"X")*(PptoSty[Project]=$B208)*(PptoSty[Vrs]=$D208)*(PptoSty[PiRow]=_xlfn.TEXTAFTER($H208,":"))*(PptoSty[PiColumn]=Q$54),0)),SUM(IF((INDIRECT($B$3)=$B208)*(INDIRECT($C$3)=$D208)*((INDIRECT($E$3)="TOTS")+(INDIRECT($E$3)=$E208)),INDIRECT(Q$3)))),_xlpm.y,SUM(_xlfn.CHOOSECOLS(_xlfn._xlws.FILTER(F_RT14[],(F_RT14[PrjId]=$B208)*(F_RT14[Vrs]=$D208)*(_xlfn.TEXTAFTER(F_RT14[ActGrp],":")=_xlfn.TEXTAFTER($H208,":")),"X"),MATCH("*"&amp;Q$54,F_RT14[#Headers],0))),IF(AND(_xlpm.x=0,_xlpm.y&lt;&gt;0),-1,IF(AND(_xlpm.x&lt;&gt;0,_xlpm.y&lt;&gt;0),_xlpm.x,IF(AND(_xlpm.x-SUM(IF((INDIRECT($B$3)=$B208)*(INDIRECT($C$3)=$D208)*((INDIRECT($E$3)="TOTS")+(INDIRECT($E$3)=$E208)),INDIRECT(Q$3)))&lt;&gt;0,_xlpm.y=0),-2,_xlpm.x)))),0))</f>
        <v>0</v>
      </c>
      <c r="R208" s="199" cm="1">
        <f t="array" aca="1" ref="R208" ca="1">IF(OR($B208="",$B208="X",$D208="",$D208="X",$E208="",$E208="X"),0,IFERROR(_xlfn.LET(_xlpm.x,SUM(SUM(_xlfn._xlws.FILTER(VALUE(PptoSty[Sign]&amp;1)*(1/PptoSty[Division]),(PptoSty[Division]&lt;&gt;0)*(PptoSty[Division]&lt;&gt;"")*(PptoSty[Division]&lt;&gt;"X")*(PptoSty[Project]=$B208)*(PptoSty[Vrs]=$D208)*(PptoSty[PiRow]=_xlfn.TEXTAFTER($H208,":"))*(PptoSty[PiColumn]=R$54),0)),SUM(IF((INDIRECT($B$3)=$B208)*(INDIRECT($C$3)=$D208)*((INDIRECT($E$3)="TOTS")+(INDIRECT($E$3)=$E208)),INDIRECT(R$3)))),_xlpm.y,SUM(_xlfn.CHOOSECOLS(_xlfn._xlws.FILTER(F_RT14[],(F_RT14[PrjId]=$B208)*(F_RT14[Vrs]=$D208)*(_xlfn.TEXTAFTER(F_RT14[ActGrp],":")=_xlfn.TEXTAFTER($H208,":")),"X"),MATCH("*"&amp;R$54,F_RT14[#Headers],0))),IF(AND(_xlpm.x=0,_xlpm.y&lt;&gt;0),-1,IF(AND(_xlpm.x&lt;&gt;0,_xlpm.y&lt;&gt;0),_xlpm.x,IF(AND(_xlpm.x-SUM(IF((INDIRECT($B$3)=$B208)*(INDIRECT($C$3)=$D208)*((INDIRECT($E$3)="TOTS")+(INDIRECT($E$3)=$E208)),INDIRECT(R$3)))&lt;&gt;0,_xlpm.y=0),-2,_xlpm.x)))),0))</f>
        <v>0</v>
      </c>
      <c r="S208" s="199" cm="1">
        <f t="array" aca="1" ref="S208" ca="1">IF(OR($B208="",$B208="X",$D208="",$D208="X",$E208="",$E208="X"),0,IFERROR(_xlfn.LET(_xlpm.x,SUM(SUM(_xlfn._xlws.FILTER(VALUE(PptoSty[Sign]&amp;1)*(1/PptoSty[Division]),(PptoSty[Division]&lt;&gt;0)*(PptoSty[Division]&lt;&gt;"")*(PptoSty[Division]&lt;&gt;"X")*(PptoSty[Project]=$B208)*(PptoSty[Vrs]=$D208)*(PptoSty[PiRow]=_xlfn.TEXTAFTER($H208,":"))*(PptoSty[PiColumn]=S$54),0)),SUM(IF((INDIRECT($B$3)=$B208)*(INDIRECT($C$3)=$D208)*((INDIRECT($E$3)="TOTS")+(INDIRECT($E$3)=$E208)),INDIRECT(S$3)))),_xlpm.y,SUM(_xlfn.CHOOSECOLS(_xlfn._xlws.FILTER(F_RT14[],(F_RT14[PrjId]=$B208)*(F_RT14[Vrs]=$D208)*(_xlfn.TEXTAFTER(F_RT14[ActGrp],":")=_xlfn.TEXTAFTER($H208,":")),"X"),MATCH("*"&amp;S$54,F_RT14[#Headers],0))),IF(AND(_xlpm.x=0,_xlpm.y&lt;&gt;0),-1,IF(AND(_xlpm.x&lt;&gt;0,_xlpm.y&lt;&gt;0),_xlpm.x,IF(AND(_xlpm.x-SUM(IF((INDIRECT($B$3)=$B208)*(INDIRECT($C$3)=$D208)*((INDIRECT($E$3)="TOTS")+(INDIRECT($E$3)=$E208)),INDIRECT(S$3)))&lt;&gt;0,_xlpm.y=0),-2,_xlpm.x)))),0))</f>
        <v>0</v>
      </c>
      <c r="T208" s="199" cm="1">
        <f t="array" aca="1" ref="T208" ca="1">IF(OR($B208="",$B208="X",$D208="",$D208="X",$E208="",$E208="X"),0,IFERROR(_xlfn.LET(_xlpm.x,SUM(SUM(_xlfn._xlws.FILTER(VALUE(PptoSty[Sign]&amp;1)*(1/PptoSty[Division]),(PptoSty[Division]&lt;&gt;0)*(PptoSty[Division]&lt;&gt;"")*(PptoSty[Division]&lt;&gt;"X")*(PptoSty[Project]=$B208)*(PptoSty[Vrs]=$D208)*(PptoSty[PiRow]=_xlfn.TEXTAFTER($H208,":"))*(PptoSty[PiColumn]=T$54),0)),SUM(IF((INDIRECT($B$3)=$B208)*(INDIRECT($C$3)=$D208)*((INDIRECT($E$3)="TOTS")+(INDIRECT($E$3)=$E208)),INDIRECT(T$3)))),_xlpm.y,SUM(_xlfn.CHOOSECOLS(_xlfn._xlws.FILTER(F_RT14[],(F_RT14[PrjId]=$B208)*(F_RT14[Vrs]=$D208)*(_xlfn.TEXTAFTER(F_RT14[ActGrp],":")=_xlfn.TEXTAFTER($H208,":")),"X"),MATCH("*"&amp;T$54,F_RT14[#Headers],0))),IF(AND(_xlpm.x=0,_xlpm.y&lt;&gt;0),-1,IF(AND(_xlpm.x&lt;&gt;0,_xlpm.y&lt;&gt;0),_xlpm.x,IF(AND(_xlpm.x-SUM(IF((INDIRECT($B$3)=$B208)*(INDIRECT($C$3)=$D208)*((INDIRECT($E$3)="TOTS")+(INDIRECT($E$3)=$E208)),INDIRECT(T$3)))&lt;&gt;0,_xlpm.y=0),-2,_xlpm.x)))),0))</f>
        <v>0</v>
      </c>
      <c r="U208" s="199" cm="1">
        <f t="array" aca="1" ref="U208" ca="1">IF(OR($B208="",$B208="X",$D208="",$D208="X",$E208="",$E208="X"),0,IFERROR(_xlfn.LET(_xlpm.x,SUM(SUM(_xlfn._xlws.FILTER(VALUE(PptoSty[Sign]&amp;1)*(1/PptoSty[Division]),(PptoSty[Division]&lt;&gt;0)*(PptoSty[Division]&lt;&gt;"")*(PptoSty[Division]&lt;&gt;"X")*(PptoSty[Project]=$B208)*(PptoSty[Vrs]=$D208)*(PptoSty[PiRow]=_xlfn.TEXTAFTER($H208,":"))*(PptoSty[PiColumn]=U$54),0)),SUM(IF((INDIRECT($B$3)=$B208)*(INDIRECT($C$3)=$D208)*((INDIRECT($E$3)="TOTS")+(INDIRECT($E$3)=$E208)),INDIRECT(U$3)))),_xlpm.y,SUM(_xlfn.CHOOSECOLS(_xlfn._xlws.FILTER(F_RT14[],(F_RT14[PrjId]=$B208)*(F_RT14[Vrs]=$D208)*(_xlfn.TEXTAFTER(F_RT14[ActGrp],":")=_xlfn.TEXTAFTER($H208,":")),"X"),MATCH("*"&amp;U$54,F_RT14[#Headers],0))),IF(AND(_xlpm.x=0,_xlpm.y&lt;&gt;0),-1,IF(AND(_xlpm.x&lt;&gt;0,_xlpm.y&lt;&gt;0),_xlpm.x,IF(AND(_xlpm.x-SUM(IF((INDIRECT($B$3)=$B208)*(INDIRECT($C$3)=$D208)*((INDIRECT($E$3)="TOTS")+(INDIRECT($E$3)=$E208)),INDIRECT(U$3)))&lt;&gt;0,_xlpm.y=0),-2,_xlpm.x)))),0))</f>
        <v>0</v>
      </c>
      <c r="V208" s="199" cm="1">
        <f t="array" aca="1" ref="V208" ca="1">IF(OR($B208="",$B208="X",$D208="",$D208="X",$E208="",$E208="X"),0,IFERROR(_xlfn.LET(_xlpm.x,SUM(SUM(_xlfn._xlws.FILTER(VALUE(PptoSty[Sign]&amp;1)*(1/PptoSty[Division]),(PptoSty[Division]&lt;&gt;0)*(PptoSty[Division]&lt;&gt;"")*(PptoSty[Division]&lt;&gt;"X")*(PptoSty[Project]=$B208)*(PptoSty[Vrs]=$D208)*(PptoSty[PiRow]=_xlfn.TEXTAFTER($H208,":"))*(PptoSty[PiColumn]=V$54),0)),SUM(IF((INDIRECT($B$3)=$B208)*(INDIRECT($C$3)=$D208)*((INDIRECT($E$3)="TOTS")+(INDIRECT($E$3)=$E208)),INDIRECT(V$3)))),_xlpm.y,SUM(_xlfn.CHOOSECOLS(_xlfn._xlws.FILTER(F_RT14[],(F_RT14[PrjId]=$B208)*(F_RT14[Vrs]=$D208)*(_xlfn.TEXTAFTER(F_RT14[ActGrp],":")=_xlfn.TEXTAFTER($H208,":")),"X"),MATCH("*"&amp;V$54,F_RT14[#Headers],0))),IF(AND(_xlpm.x=0,_xlpm.y&lt;&gt;0),-1,IF(AND(_xlpm.x&lt;&gt;0,_xlpm.y&lt;&gt;0),_xlpm.x,IF(AND(_xlpm.x-SUM(IF((INDIRECT($B$3)=$B208)*(INDIRECT($C$3)=$D208)*((INDIRECT($E$3)="TOTS")+(INDIRECT($E$3)=$E208)),INDIRECT(V$3)))&lt;&gt;0,_xlpm.y=0),-2,_xlpm.x)))),0))</f>
        <v>0</v>
      </c>
      <c r="W208" s="199" cm="1">
        <f t="array" aca="1" ref="W208" ca="1">IF(OR($B208="",$B208="X",$D208="",$D208="X",$E208="",$E208="X"),0,IFERROR(_xlfn.LET(_xlpm.x,SUM(SUM(_xlfn._xlws.FILTER(VALUE(PptoSty[Sign]&amp;1)*(1/PptoSty[Division]),(PptoSty[Division]&lt;&gt;0)*(PptoSty[Division]&lt;&gt;"")*(PptoSty[Division]&lt;&gt;"X")*(PptoSty[Project]=$B208)*(PptoSty[Vrs]=$D208)*(PptoSty[PiRow]=_xlfn.TEXTAFTER($H208,":"))*(PptoSty[PiColumn]=W$54),0)),SUM(IF((INDIRECT($B$3)=$B208)*(INDIRECT($C$3)=$D208)*((INDIRECT($E$3)="TOTS")+(INDIRECT($E$3)=$E208)),INDIRECT(W$3)))),_xlpm.y,SUM(_xlfn.CHOOSECOLS(_xlfn._xlws.FILTER(F_RT14[],(F_RT14[PrjId]=$B208)*(F_RT14[Vrs]=$D208)*(_xlfn.TEXTAFTER(F_RT14[ActGrp],":")=_xlfn.TEXTAFTER($H208,":")),"X"),MATCH("*"&amp;W$54,F_RT14[#Headers],0))),IF(AND(_xlpm.x=0,_xlpm.y&lt;&gt;0),-1,IF(AND(_xlpm.x&lt;&gt;0,_xlpm.y&lt;&gt;0),_xlpm.x,IF(AND(_xlpm.x-SUM(IF((INDIRECT($B$3)=$B208)*(INDIRECT($C$3)=$D208)*((INDIRECT($E$3)="TOTS")+(INDIRECT($E$3)=$E208)),INDIRECT(W$3)))&lt;&gt;0,_xlpm.y=0),-2,_xlpm.x)))),0))</f>
        <v>0</v>
      </c>
      <c r="X208" s="199" cm="1">
        <f t="array" aca="1" ref="X208" ca="1">IF(OR($B208="",$B208="X",$D208="",$D208="X",$E208="",$E208="X"),0,IFERROR(_xlfn.LET(_xlpm.x,SUM(SUM(_xlfn._xlws.FILTER(VALUE(PptoSty[Sign]&amp;1)*(1/PptoSty[Division]),(PptoSty[Division]&lt;&gt;0)*(PptoSty[Division]&lt;&gt;"")*(PptoSty[Division]&lt;&gt;"X")*(PptoSty[Project]=$B208)*(PptoSty[Vrs]=$D208)*(PptoSty[PiRow]=_xlfn.TEXTAFTER($H208,":"))*(PptoSty[PiColumn]=X$54),0)),SUM(IF((INDIRECT($B$3)=$B208)*(INDIRECT($C$3)=$D208)*((INDIRECT($E$3)="TOTS")+(INDIRECT($E$3)=$E208)),INDIRECT(X$3)))),_xlpm.y,SUM(_xlfn.CHOOSECOLS(_xlfn._xlws.FILTER(F_RT14[],(F_RT14[PrjId]=$B208)*(F_RT14[Vrs]=$D208)*(_xlfn.TEXTAFTER(F_RT14[ActGrp],":")=_xlfn.TEXTAFTER($H208,":")),"X"),MATCH("*"&amp;X$54,F_RT14[#Headers],0))),IF(AND(_xlpm.x=0,_xlpm.y&lt;&gt;0),-1,IF(AND(_xlpm.x&lt;&gt;0,_xlpm.y&lt;&gt;0),_xlpm.x,IF(AND(_xlpm.x-SUM(IF((INDIRECT($B$3)=$B208)*(INDIRECT($C$3)=$D208)*((INDIRECT($E$3)="TOTS")+(INDIRECT($E$3)=$E208)),INDIRECT(X$3)))&lt;&gt;0,_xlpm.y=0),-2,_xlpm.x)))),0))</f>
        <v>0</v>
      </c>
      <c r="Y208" s="199" cm="1">
        <f t="array" aca="1" ref="Y208" ca="1">IF(OR($B208="",$B208="X",$D208="",$D208="X",$E208="",$E208="X"),0,IFERROR(_xlfn.LET(_xlpm.x,SUM(SUM(_xlfn._xlws.FILTER(VALUE(PptoSty[Sign]&amp;1)*(1/PptoSty[Division]),(PptoSty[Division]&lt;&gt;0)*(PptoSty[Division]&lt;&gt;"")*(PptoSty[Division]&lt;&gt;"X")*(PptoSty[Project]=$B208)*(PptoSty[Vrs]=$D208)*(PptoSty[PiRow]=_xlfn.TEXTAFTER($H208,":"))*(PptoSty[PiColumn]=Y$54),0)),SUM(IF((INDIRECT($B$3)=$B208)*(INDIRECT($C$3)=$D208)*((INDIRECT($E$3)="TOTS")+(INDIRECT($E$3)=$E208)),INDIRECT(Y$3)))),_xlpm.y,SUM(_xlfn.CHOOSECOLS(_xlfn._xlws.FILTER(F_RT14[],(F_RT14[PrjId]=$B208)*(F_RT14[Vrs]=$D208)*(_xlfn.TEXTAFTER(F_RT14[ActGrp],":")=_xlfn.TEXTAFTER($H208,":")),"X"),MATCH("*"&amp;Y$54,F_RT14[#Headers],0))),IF(AND(_xlpm.x=0,_xlpm.y&lt;&gt;0),-1,IF(AND(_xlpm.x&lt;&gt;0,_xlpm.y&lt;&gt;0),_xlpm.x,IF(AND(_xlpm.x-SUM(IF((INDIRECT($B$3)=$B208)*(INDIRECT($C$3)=$D208)*((INDIRECT($E$3)="TOTS")+(INDIRECT($E$3)=$E208)),INDIRECT(Y$3)))&lt;&gt;0,_xlpm.y=0),-2,_xlpm.x)))),0))</f>
        <v>0</v>
      </c>
      <c r="Z208" s="198" t="str">
        <f t="shared" ca="1" si="4"/>
        <v>Fback!B208:Y208</v>
      </c>
    </row>
    <row r="209" spans="2:26" ht="21" customHeight="1" outlineLevel="1">
      <c r="B209" s="128"/>
      <c r="C209" s="128"/>
      <c r="D209" s="128"/>
      <c r="E209" s="128"/>
      <c r="F209" s="139"/>
      <c r="G209" s="139"/>
      <c r="H209" s="139"/>
      <c r="I209" s="199" cm="1">
        <f t="array" aca="1" ref="I209" ca="1">IF(OR($B209="",$B209="X",$D209="",$D209="X",$E209="",$E209="X"),0,IFERROR(_xlfn.LET(_xlpm.x,SUM(SUM(_xlfn._xlws.FILTER(VALUE(PptoSty[Sign]&amp;1)*(1/PptoSty[Division]),(PptoSty[Division]&lt;&gt;0)*(PptoSty[Division]&lt;&gt;"")*(PptoSty[Division]&lt;&gt;"X")*(PptoSty[Project]=$B209)*(PptoSty[Vrs]=$D209)*(PptoSty[PiRow]=_xlfn.TEXTAFTER($H209,":"))*(PptoSty[PiColumn]=I$54),0)),SUM(IF((INDIRECT($B$3)=$B209)*(INDIRECT($C$3)=$D209)*((INDIRECT($E$3)="TOTS")+(INDIRECT($E$3)=$E209)),INDIRECT(I$3)))),_xlpm.y,SUM(_xlfn.CHOOSECOLS(_xlfn._xlws.FILTER(F_RT14[],(F_RT14[PrjId]=$B209)*(F_RT14[Vrs]=$D209)*(_xlfn.TEXTAFTER(F_RT14[ActGrp],":")=_xlfn.TEXTAFTER($H209,":")),"X"),MATCH("*"&amp;I$54,F_RT14[#Headers],0))),IF(AND(_xlpm.x=0,_xlpm.y&lt;&gt;0),-1,IF(AND(_xlpm.x&lt;&gt;0,_xlpm.y&lt;&gt;0),_xlpm.x,IF(AND(_xlpm.x-SUM(IF((INDIRECT($B$3)=$B209)*(INDIRECT($C$3)=$D209)*((INDIRECT($E$3)="TOTS")+(INDIRECT($E$3)=$E209)),INDIRECT(I$3)))&lt;&gt;0,_xlpm.y=0),-2,_xlpm.x)))),0))</f>
        <v>0</v>
      </c>
      <c r="J209" s="199" cm="1">
        <f t="array" aca="1" ref="J209" ca="1">IF(OR($B209="",$B209="X",$D209="",$D209="X",$E209="",$E209="X"),0,IFERROR(_xlfn.LET(_xlpm.x,SUM(SUM(_xlfn._xlws.FILTER(VALUE(PptoSty[Sign]&amp;1)*(1/PptoSty[Division]),(PptoSty[Division]&lt;&gt;0)*(PptoSty[Division]&lt;&gt;"")*(PptoSty[Division]&lt;&gt;"X")*(PptoSty[Project]=$B209)*(PptoSty[Vrs]=$D209)*(PptoSty[PiRow]=_xlfn.TEXTAFTER($H209,":"))*(PptoSty[PiColumn]=J$54),0)),SUM(IF((INDIRECT($B$3)=$B209)*(INDIRECT($C$3)=$D209)*((INDIRECT($E$3)="TOTS")+(INDIRECT($E$3)=$E209)),INDIRECT(J$3)))),_xlpm.y,SUM(_xlfn.CHOOSECOLS(_xlfn._xlws.FILTER(F_RT14[],(F_RT14[PrjId]=$B209)*(F_RT14[Vrs]=$D209)*(_xlfn.TEXTAFTER(F_RT14[ActGrp],":")=_xlfn.TEXTAFTER($H209,":")),"X"),MATCH("*"&amp;J$54,F_RT14[#Headers],0))),IF(AND(_xlpm.x=0,_xlpm.y&lt;&gt;0),-1,IF(AND(_xlpm.x&lt;&gt;0,_xlpm.y&lt;&gt;0),_xlpm.x,IF(AND(_xlpm.x-SUM(IF((INDIRECT($B$3)=$B209)*(INDIRECT($C$3)=$D209)*((INDIRECT($E$3)="TOTS")+(INDIRECT($E$3)=$E209)),INDIRECT(J$3)))&lt;&gt;0,_xlpm.y=0),-2,_xlpm.x)))),0))</f>
        <v>0</v>
      </c>
      <c r="K209" s="199" cm="1">
        <f t="array" aca="1" ref="K209" ca="1">IF(OR($B209="",$B209="X",$D209="",$D209="X",$E209="",$E209="X"),0,IFERROR(_xlfn.LET(_xlpm.x,SUM(SUM(_xlfn._xlws.FILTER(VALUE(PptoSty[Sign]&amp;1)*(1/PptoSty[Division]),(PptoSty[Division]&lt;&gt;0)*(PptoSty[Division]&lt;&gt;"")*(PptoSty[Division]&lt;&gt;"X")*(PptoSty[Project]=$B209)*(PptoSty[Vrs]=$D209)*(PptoSty[PiRow]=_xlfn.TEXTAFTER($H209,":"))*(PptoSty[PiColumn]=K$54),0)),SUM(IF((INDIRECT($B$3)=$B209)*(INDIRECT($C$3)=$D209)*((INDIRECT($E$3)="TOTS")+(INDIRECT($E$3)=$E209)),INDIRECT(K$3)))),_xlpm.y,SUM(_xlfn.CHOOSECOLS(_xlfn._xlws.FILTER(F_RT14[],(F_RT14[PrjId]=$B209)*(F_RT14[Vrs]=$D209)*(_xlfn.TEXTAFTER(F_RT14[ActGrp],":")=_xlfn.TEXTAFTER($H209,":")),"X"),MATCH("*"&amp;K$54,F_RT14[#Headers],0))),IF(AND(_xlpm.x=0,_xlpm.y&lt;&gt;0),-1,IF(AND(_xlpm.x&lt;&gt;0,_xlpm.y&lt;&gt;0),_xlpm.x,IF(AND(_xlpm.x-SUM(IF((INDIRECT($B$3)=$B209)*(INDIRECT($C$3)=$D209)*((INDIRECT($E$3)="TOTS")+(INDIRECT($E$3)=$E209)),INDIRECT(K$3)))&lt;&gt;0,_xlpm.y=0),-2,_xlpm.x)))),0))</f>
        <v>0</v>
      </c>
      <c r="L209" s="199" cm="1">
        <f t="array" aca="1" ref="L209" ca="1">IF(OR($B209="",$B209="X",$D209="",$D209="X",$E209="",$E209="X"),0,IFERROR(_xlfn.LET(_xlpm.x,SUM(SUM(_xlfn._xlws.FILTER(VALUE(PptoSty[Sign]&amp;1)*(1/PptoSty[Division]),(PptoSty[Division]&lt;&gt;0)*(PptoSty[Division]&lt;&gt;"")*(PptoSty[Division]&lt;&gt;"X")*(PptoSty[Project]=$B209)*(PptoSty[Vrs]=$D209)*(PptoSty[PiRow]=_xlfn.TEXTAFTER($H209,":"))*(PptoSty[PiColumn]=L$54),0)),SUM(IF((INDIRECT($B$3)=$B209)*(INDIRECT($C$3)=$D209)*((INDIRECT($E$3)="TOTS")+(INDIRECT($E$3)=$E209)),INDIRECT(L$3)))),_xlpm.y,SUM(_xlfn.CHOOSECOLS(_xlfn._xlws.FILTER(F_RT14[],(F_RT14[PrjId]=$B209)*(F_RT14[Vrs]=$D209)*(_xlfn.TEXTAFTER(F_RT14[ActGrp],":")=_xlfn.TEXTAFTER($H209,":")),"X"),MATCH("*"&amp;L$54,F_RT14[#Headers],0))),IF(AND(_xlpm.x=0,_xlpm.y&lt;&gt;0),-1,IF(AND(_xlpm.x&lt;&gt;0,_xlpm.y&lt;&gt;0),_xlpm.x,IF(AND(_xlpm.x-SUM(IF((INDIRECT($B$3)=$B209)*(INDIRECT($C$3)=$D209)*((INDIRECT($E$3)="TOTS")+(INDIRECT($E$3)=$E209)),INDIRECT(L$3)))&lt;&gt;0,_xlpm.y=0),-2,_xlpm.x)))),0))</f>
        <v>0</v>
      </c>
      <c r="M209" s="199" cm="1">
        <f t="array" aca="1" ref="M209" ca="1">IF(OR($B209="",$B209="X",$D209="",$D209="X",$E209="",$E209="X"),0,IFERROR(_xlfn.LET(_xlpm.x,SUM(SUM(_xlfn._xlws.FILTER(VALUE(PptoSty[Sign]&amp;1)*(1/PptoSty[Division]),(PptoSty[Division]&lt;&gt;0)*(PptoSty[Division]&lt;&gt;"")*(PptoSty[Division]&lt;&gt;"X")*(PptoSty[Project]=$B209)*(PptoSty[Vrs]=$D209)*(PptoSty[PiRow]=_xlfn.TEXTAFTER($H209,":"))*(PptoSty[PiColumn]=M$54),0)),SUM(IF((INDIRECT($B$3)=$B209)*(INDIRECT($C$3)=$D209)*((INDIRECT($E$3)="TOTS")+(INDIRECT($E$3)=$E209)),INDIRECT(M$3)))),_xlpm.y,SUM(_xlfn.CHOOSECOLS(_xlfn._xlws.FILTER(F_RT14[],(F_RT14[PrjId]=$B209)*(F_RT14[Vrs]=$D209)*(_xlfn.TEXTAFTER(F_RT14[ActGrp],":")=_xlfn.TEXTAFTER($H209,":")),"X"),MATCH("*"&amp;M$54,F_RT14[#Headers],0))),IF(AND(_xlpm.x=0,_xlpm.y&lt;&gt;0),-1,IF(AND(_xlpm.x&lt;&gt;0,_xlpm.y&lt;&gt;0),_xlpm.x,IF(AND(_xlpm.x-SUM(IF((INDIRECT($B$3)=$B209)*(INDIRECT($C$3)=$D209)*((INDIRECT($E$3)="TOTS")+(INDIRECT($E$3)=$E209)),INDIRECT(M$3)))&lt;&gt;0,_xlpm.y=0),-2,_xlpm.x)))),0))</f>
        <v>0</v>
      </c>
      <c r="N209" s="199" cm="1">
        <f t="array" aca="1" ref="N209" ca="1">IF(OR($B209="",$B209="X",$D209="",$D209="X",$E209="",$E209="X"),0,IFERROR(_xlfn.LET(_xlpm.x,SUM(SUM(_xlfn._xlws.FILTER(VALUE(PptoSty[Sign]&amp;1)*(1/PptoSty[Division]),(PptoSty[Division]&lt;&gt;0)*(PptoSty[Division]&lt;&gt;"")*(PptoSty[Division]&lt;&gt;"X")*(PptoSty[Project]=$B209)*(PptoSty[Vrs]=$D209)*(PptoSty[PiRow]=_xlfn.TEXTAFTER($H209,":"))*(PptoSty[PiColumn]=N$54),0)),SUM(IF((INDIRECT($B$3)=$B209)*(INDIRECT($C$3)=$D209)*((INDIRECT($E$3)="TOTS")+(INDIRECT($E$3)=$E209)),INDIRECT(N$3)))),_xlpm.y,SUM(_xlfn.CHOOSECOLS(_xlfn._xlws.FILTER(F_RT14[],(F_RT14[PrjId]=$B209)*(F_RT14[Vrs]=$D209)*(_xlfn.TEXTAFTER(F_RT14[ActGrp],":")=_xlfn.TEXTAFTER($H209,":")),"X"),MATCH("*"&amp;N$54,F_RT14[#Headers],0))),IF(AND(_xlpm.x=0,_xlpm.y&lt;&gt;0),-1,IF(AND(_xlpm.x&lt;&gt;0,_xlpm.y&lt;&gt;0),_xlpm.x,IF(AND(_xlpm.x-SUM(IF((INDIRECT($B$3)=$B209)*(INDIRECT($C$3)=$D209)*((INDIRECT($E$3)="TOTS")+(INDIRECT($E$3)=$E209)),INDIRECT(N$3)))&lt;&gt;0,_xlpm.y=0),-2,_xlpm.x)))),0))</f>
        <v>0</v>
      </c>
      <c r="O209" s="199" cm="1">
        <f t="array" aca="1" ref="O209" ca="1">IF(OR($B209="",$B209="X",$D209="",$D209="X",$E209="",$E209="X"),0,IFERROR(_xlfn.LET(_xlpm.x,SUM(SUM(_xlfn._xlws.FILTER(VALUE(PptoSty[Sign]&amp;1)*(1/PptoSty[Division]),(PptoSty[Division]&lt;&gt;0)*(PptoSty[Division]&lt;&gt;"")*(PptoSty[Division]&lt;&gt;"X")*(PptoSty[Project]=$B209)*(PptoSty[Vrs]=$D209)*(PptoSty[PiRow]=_xlfn.TEXTAFTER($H209,":"))*(PptoSty[PiColumn]=O$54),0)),SUM(IF((INDIRECT($B$3)=$B209)*(INDIRECT($C$3)=$D209)*((INDIRECT($E$3)="TOTS")+(INDIRECT($E$3)=$E209)),INDIRECT(O$3)))),_xlpm.y,SUM(_xlfn.CHOOSECOLS(_xlfn._xlws.FILTER(F_RT14[],(F_RT14[PrjId]=$B209)*(F_RT14[Vrs]=$D209)*(_xlfn.TEXTAFTER(F_RT14[ActGrp],":")=_xlfn.TEXTAFTER($H209,":")),"X"),MATCH("*"&amp;O$54,F_RT14[#Headers],0))),IF(AND(_xlpm.x=0,_xlpm.y&lt;&gt;0),-1,IF(AND(_xlpm.x&lt;&gt;0,_xlpm.y&lt;&gt;0),_xlpm.x,IF(AND(_xlpm.x-SUM(IF((INDIRECT($B$3)=$B209)*(INDIRECT($C$3)=$D209)*((INDIRECT($E$3)="TOTS")+(INDIRECT($E$3)=$E209)),INDIRECT(O$3)))&lt;&gt;0,_xlpm.y=0),-2,_xlpm.x)))),0))</f>
        <v>0</v>
      </c>
      <c r="P209" s="199" cm="1">
        <f t="array" aca="1" ref="P209" ca="1">IF(OR($B209="",$B209="X",$D209="",$D209="X",$E209="",$E209="X"),0,IFERROR(_xlfn.LET(_xlpm.x,SUM(SUM(_xlfn._xlws.FILTER(VALUE(PptoSty[Sign]&amp;1)*(1/PptoSty[Division]),(PptoSty[Division]&lt;&gt;0)*(PptoSty[Division]&lt;&gt;"")*(PptoSty[Division]&lt;&gt;"X")*(PptoSty[Project]=$B209)*(PptoSty[Vrs]=$D209)*(PptoSty[PiRow]=_xlfn.TEXTAFTER($H209,":"))*(PptoSty[PiColumn]=P$54),0)),SUM(IF((INDIRECT($B$3)=$B209)*(INDIRECT($C$3)=$D209)*((INDIRECT($E$3)="TOTS")+(INDIRECT($E$3)=$E209)),INDIRECT(P$3)))),_xlpm.y,SUM(_xlfn.CHOOSECOLS(_xlfn._xlws.FILTER(F_RT14[],(F_RT14[PrjId]=$B209)*(F_RT14[Vrs]=$D209)*(_xlfn.TEXTAFTER(F_RT14[ActGrp],":")=_xlfn.TEXTAFTER($H209,":")),"X"),MATCH("*"&amp;P$54,F_RT14[#Headers],0))),IF(AND(_xlpm.x=0,_xlpm.y&lt;&gt;0),-1,IF(AND(_xlpm.x&lt;&gt;0,_xlpm.y&lt;&gt;0),_xlpm.x,IF(AND(_xlpm.x-SUM(IF((INDIRECT($B$3)=$B209)*(INDIRECT($C$3)=$D209)*((INDIRECT($E$3)="TOTS")+(INDIRECT($E$3)=$E209)),INDIRECT(P$3)))&lt;&gt;0,_xlpm.y=0),-2,_xlpm.x)))),0))</f>
        <v>0</v>
      </c>
      <c r="Q209" s="199" cm="1">
        <f t="array" aca="1" ref="Q209" ca="1">IF(OR($B209="",$B209="X",$D209="",$D209="X",$E209="",$E209="X"),0,IFERROR(_xlfn.LET(_xlpm.x,SUM(SUM(_xlfn._xlws.FILTER(VALUE(PptoSty[Sign]&amp;1)*(1/PptoSty[Division]),(PptoSty[Division]&lt;&gt;0)*(PptoSty[Division]&lt;&gt;"")*(PptoSty[Division]&lt;&gt;"X")*(PptoSty[Project]=$B209)*(PptoSty[Vrs]=$D209)*(PptoSty[PiRow]=_xlfn.TEXTAFTER($H209,":"))*(PptoSty[PiColumn]=Q$54),0)),SUM(IF((INDIRECT($B$3)=$B209)*(INDIRECT($C$3)=$D209)*((INDIRECT($E$3)="TOTS")+(INDIRECT($E$3)=$E209)),INDIRECT(Q$3)))),_xlpm.y,SUM(_xlfn.CHOOSECOLS(_xlfn._xlws.FILTER(F_RT14[],(F_RT14[PrjId]=$B209)*(F_RT14[Vrs]=$D209)*(_xlfn.TEXTAFTER(F_RT14[ActGrp],":")=_xlfn.TEXTAFTER($H209,":")),"X"),MATCH("*"&amp;Q$54,F_RT14[#Headers],0))),IF(AND(_xlpm.x=0,_xlpm.y&lt;&gt;0),-1,IF(AND(_xlpm.x&lt;&gt;0,_xlpm.y&lt;&gt;0),_xlpm.x,IF(AND(_xlpm.x-SUM(IF((INDIRECT($B$3)=$B209)*(INDIRECT($C$3)=$D209)*((INDIRECT($E$3)="TOTS")+(INDIRECT($E$3)=$E209)),INDIRECT(Q$3)))&lt;&gt;0,_xlpm.y=0),-2,_xlpm.x)))),0))</f>
        <v>0</v>
      </c>
      <c r="R209" s="199" cm="1">
        <f t="array" aca="1" ref="R209" ca="1">IF(OR($B209="",$B209="X",$D209="",$D209="X",$E209="",$E209="X"),0,IFERROR(_xlfn.LET(_xlpm.x,SUM(SUM(_xlfn._xlws.FILTER(VALUE(PptoSty[Sign]&amp;1)*(1/PptoSty[Division]),(PptoSty[Division]&lt;&gt;0)*(PptoSty[Division]&lt;&gt;"")*(PptoSty[Division]&lt;&gt;"X")*(PptoSty[Project]=$B209)*(PptoSty[Vrs]=$D209)*(PptoSty[PiRow]=_xlfn.TEXTAFTER($H209,":"))*(PptoSty[PiColumn]=R$54),0)),SUM(IF((INDIRECT($B$3)=$B209)*(INDIRECT($C$3)=$D209)*((INDIRECT($E$3)="TOTS")+(INDIRECT($E$3)=$E209)),INDIRECT(R$3)))),_xlpm.y,SUM(_xlfn.CHOOSECOLS(_xlfn._xlws.FILTER(F_RT14[],(F_RT14[PrjId]=$B209)*(F_RT14[Vrs]=$D209)*(_xlfn.TEXTAFTER(F_RT14[ActGrp],":")=_xlfn.TEXTAFTER($H209,":")),"X"),MATCH("*"&amp;R$54,F_RT14[#Headers],0))),IF(AND(_xlpm.x=0,_xlpm.y&lt;&gt;0),-1,IF(AND(_xlpm.x&lt;&gt;0,_xlpm.y&lt;&gt;0),_xlpm.x,IF(AND(_xlpm.x-SUM(IF((INDIRECT($B$3)=$B209)*(INDIRECT($C$3)=$D209)*((INDIRECT($E$3)="TOTS")+(INDIRECT($E$3)=$E209)),INDIRECT(R$3)))&lt;&gt;0,_xlpm.y=0),-2,_xlpm.x)))),0))</f>
        <v>0</v>
      </c>
      <c r="S209" s="199" cm="1">
        <f t="array" aca="1" ref="S209" ca="1">IF(OR($B209="",$B209="X",$D209="",$D209="X",$E209="",$E209="X"),0,IFERROR(_xlfn.LET(_xlpm.x,SUM(SUM(_xlfn._xlws.FILTER(VALUE(PptoSty[Sign]&amp;1)*(1/PptoSty[Division]),(PptoSty[Division]&lt;&gt;0)*(PptoSty[Division]&lt;&gt;"")*(PptoSty[Division]&lt;&gt;"X")*(PptoSty[Project]=$B209)*(PptoSty[Vrs]=$D209)*(PptoSty[PiRow]=_xlfn.TEXTAFTER($H209,":"))*(PptoSty[PiColumn]=S$54),0)),SUM(IF((INDIRECT($B$3)=$B209)*(INDIRECT($C$3)=$D209)*((INDIRECT($E$3)="TOTS")+(INDIRECT($E$3)=$E209)),INDIRECT(S$3)))),_xlpm.y,SUM(_xlfn.CHOOSECOLS(_xlfn._xlws.FILTER(F_RT14[],(F_RT14[PrjId]=$B209)*(F_RT14[Vrs]=$D209)*(_xlfn.TEXTAFTER(F_RT14[ActGrp],":")=_xlfn.TEXTAFTER($H209,":")),"X"),MATCH("*"&amp;S$54,F_RT14[#Headers],0))),IF(AND(_xlpm.x=0,_xlpm.y&lt;&gt;0),-1,IF(AND(_xlpm.x&lt;&gt;0,_xlpm.y&lt;&gt;0),_xlpm.x,IF(AND(_xlpm.x-SUM(IF((INDIRECT($B$3)=$B209)*(INDIRECT($C$3)=$D209)*((INDIRECT($E$3)="TOTS")+(INDIRECT($E$3)=$E209)),INDIRECT(S$3)))&lt;&gt;0,_xlpm.y=0),-2,_xlpm.x)))),0))</f>
        <v>0</v>
      </c>
      <c r="T209" s="199" cm="1">
        <f t="array" aca="1" ref="T209" ca="1">IF(OR($B209="",$B209="X",$D209="",$D209="X",$E209="",$E209="X"),0,IFERROR(_xlfn.LET(_xlpm.x,SUM(SUM(_xlfn._xlws.FILTER(VALUE(PptoSty[Sign]&amp;1)*(1/PptoSty[Division]),(PptoSty[Division]&lt;&gt;0)*(PptoSty[Division]&lt;&gt;"")*(PptoSty[Division]&lt;&gt;"X")*(PptoSty[Project]=$B209)*(PptoSty[Vrs]=$D209)*(PptoSty[PiRow]=_xlfn.TEXTAFTER($H209,":"))*(PptoSty[PiColumn]=T$54),0)),SUM(IF((INDIRECT($B$3)=$B209)*(INDIRECT($C$3)=$D209)*((INDIRECT($E$3)="TOTS")+(INDIRECT($E$3)=$E209)),INDIRECT(T$3)))),_xlpm.y,SUM(_xlfn.CHOOSECOLS(_xlfn._xlws.FILTER(F_RT14[],(F_RT14[PrjId]=$B209)*(F_RT14[Vrs]=$D209)*(_xlfn.TEXTAFTER(F_RT14[ActGrp],":")=_xlfn.TEXTAFTER($H209,":")),"X"),MATCH("*"&amp;T$54,F_RT14[#Headers],0))),IF(AND(_xlpm.x=0,_xlpm.y&lt;&gt;0),-1,IF(AND(_xlpm.x&lt;&gt;0,_xlpm.y&lt;&gt;0),_xlpm.x,IF(AND(_xlpm.x-SUM(IF((INDIRECT($B$3)=$B209)*(INDIRECT($C$3)=$D209)*((INDIRECT($E$3)="TOTS")+(INDIRECT($E$3)=$E209)),INDIRECT(T$3)))&lt;&gt;0,_xlpm.y=0),-2,_xlpm.x)))),0))</f>
        <v>0</v>
      </c>
      <c r="U209" s="199" cm="1">
        <f t="array" aca="1" ref="U209" ca="1">IF(OR($B209="",$B209="X",$D209="",$D209="X",$E209="",$E209="X"),0,IFERROR(_xlfn.LET(_xlpm.x,SUM(SUM(_xlfn._xlws.FILTER(VALUE(PptoSty[Sign]&amp;1)*(1/PptoSty[Division]),(PptoSty[Division]&lt;&gt;0)*(PptoSty[Division]&lt;&gt;"")*(PptoSty[Division]&lt;&gt;"X")*(PptoSty[Project]=$B209)*(PptoSty[Vrs]=$D209)*(PptoSty[PiRow]=_xlfn.TEXTAFTER($H209,":"))*(PptoSty[PiColumn]=U$54),0)),SUM(IF((INDIRECT($B$3)=$B209)*(INDIRECT($C$3)=$D209)*((INDIRECT($E$3)="TOTS")+(INDIRECT($E$3)=$E209)),INDIRECT(U$3)))),_xlpm.y,SUM(_xlfn.CHOOSECOLS(_xlfn._xlws.FILTER(F_RT14[],(F_RT14[PrjId]=$B209)*(F_RT14[Vrs]=$D209)*(_xlfn.TEXTAFTER(F_RT14[ActGrp],":")=_xlfn.TEXTAFTER($H209,":")),"X"),MATCH("*"&amp;U$54,F_RT14[#Headers],0))),IF(AND(_xlpm.x=0,_xlpm.y&lt;&gt;0),-1,IF(AND(_xlpm.x&lt;&gt;0,_xlpm.y&lt;&gt;0),_xlpm.x,IF(AND(_xlpm.x-SUM(IF((INDIRECT($B$3)=$B209)*(INDIRECT($C$3)=$D209)*((INDIRECT($E$3)="TOTS")+(INDIRECT($E$3)=$E209)),INDIRECT(U$3)))&lt;&gt;0,_xlpm.y=0),-2,_xlpm.x)))),0))</f>
        <v>0</v>
      </c>
      <c r="V209" s="199" cm="1">
        <f t="array" aca="1" ref="V209" ca="1">IF(OR($B209="",$B209="X",$D209="",$D209="X",$E209="",$E209="X"),0,IFERROR(_xlfn.LET(_xlpm.x,SUM(SUM(_xlfn._xlws.FILTER(VALUE(PptoSty[Sign]&amp;1)*(1/PptoSty[Division]),(PptoSty[Division]&lt;&gt;0)*(PptoSty[Division]&lt;&gt;"")*(PptoSty[Division]&lt;&gt;"X")*(PptoSty[Project]=$B209)*(PptoSty[Vrs]=$D209)*(PptoSty[PiRow]=_xlfn.TEXTAFTER($H209,":"))*(PptoSty[PiColumn]=V$54),0)),SUM(IF((INDIRECT($B$3)=$B209)*(INDIRECT($C$3)=$D209)*((INDIRECT($E$3)="TOTS")+(INDIRECT($E$3)=$E209)),INDIRECT(V$3)))),_xlpm.y,SUM(_xlfn.CHOOSECOLS(_xlfn._xlws.FILTER(F_RT14[],(F_RT14[PrjId]=$B209)*(F_RT14[Vrs]=$D209)*(_xlfn.TEXTAFTER(F_RT14[ActGrp],":")=_xlfn.TEXTAFTER($H209,":")),"X"),MATCH("*"&amp;V$54,F_RT14[#Headers],0))),IF(AND(_xlpm.x=0,_xlpm.y&lt;&gt;0),-1,IF(AND(_xlpm.x&lt;&gt;0,_xlpm.y&lt;&gt;0),_xlpm.x,IF(AND(_xlpm.x-SUM(IF((INDIRECT($B$3)=$B209)*(INDIRECT($C$3)=$D209)*((INDIRECT($E$3)="TOTS")+(INDIRECT($E$3)=$E209)),INDIRECT(V$3)))&lt;&gt;0,_xlpm.y=0),-2,_xlpm.x)))),0))</f>
        <v>0</v>
      </c>
      <c r="W209" s="199" cm="1">
        <f t="array" aca="1" ref="W209" ca="1">IF(OR($B209="",$B209="X",$D209="",$D209="X",$E209="",$E209="X"),0,IFERROR(_xlfn.LET(_xlpm.x,SUM(SUM(_xlfn._xlws.FILTER(VALUE(PptoSty[Sign]&amp;1)*(1/PptoSty[Division]),(PptoSty[Division]&lt;&gt;0)*(PptoSty[Division]&lt;&gt;"")*(PptoSty[Division]&lt;&gt;"X")*(PptoSty[Project]=$B209)*(PptoSty[Vrs]=$D209)*(PptoSty[PiRow]=_xlfn.TEXTAFTER($H209,":"))*(PptoSty[PiColumn]=W$54),0)),SUM(IF((INDIRECT($B$3)=$B209)*(INDIRECT($C$3)=$D209)*((INDIRECT($E$3)="TOTS")+(INDIRECT($E$3)=$E209)),INDIRECT(W$3)))),_xlpm.y,SUM(_xlfn.CHOOSECOLS(_xlfn._xlws.FILTER(F_RT14[],(F_RT14[PrjId]=$B209)*(F_RT14[Vrs]=$D209)*(_xlfn.TEXTAFTER(F_RT14[ActGrp],":")=_xlfn.TEXTAFTER($H209,":")),"X"),MATCH("*"&amp;W$54,F_RT14[#Headers],0))),IF(AND(_xlpm.x=0,_xlpm.y&lt;&gt;0),-1,IF(AND(_xlpm.x&lt;&gt;0,_xlpm.y&lt;&gt;0),_xlpm.x,IF(AND(_xlpm.x-SUM(IF((INDIRECT($B$3)=$B209)*(INDIRECT($C$3)=$D209)*((INDIRECT($E$3)="TOTS")+(INDIRECT($E$3)=$E209)),INDIRECT(W$3)))&lt;&gt;0,_xlpm.y=0),-2,_xlpm.x)))),0))</f>
        <v>0</v>
      </c>
      <c r="X209" s="199" cm="1">
        <f t="array" aca="1" ref="X209" ca="1">IF(OR($B209="",$B209="X",$D209="",$D209="X",$E209="",$E209="X"),0,IFERROR(_xlfn.LET(_xlpm.x,SUM(SUM(_xlfn._xlws.FILTER(VALUE(PptoSty[Sign]&amp;1)*(1/PptoSty[Division]),(PptoSty[Division]&lt;&gt;0)*(PptoSty[Division]&lt;&gt;"")*(PptoSty[Division]&lt;&gt;"X")*(PptoSty[Project]=$B209)*(PptoSty[Vrs]=$D209)*(PptoSty[PiRow]=_xlfn.TEXTAFTER($H209,":"))*(PptoSty[PiColumn]=X$54),0)),SUM(IF((INDIRECT($B$3)=$B209)*(INDIRECT($C$3)=$D209)*((INDIRECT($E$3)="TOTS")+(INDIRECT($E$3)=$E209)),INDIRECT(X$3)))),_xlpm.y,SUM(_xlfn.CHOOSECOLS(_xlfn._xlws.FILTER(F_RT14[],(F_RT14[PrjId]=$B209)*(F_RT14[Vrs]=$D209)*(_xlfn.TEXTAFTER(F_RT14[ActGrp],":")=_xlfn.TEXTAFTER($H209,":")),"X"),MATCH("*"&amp;X$54,F_RT14[#Headers],0))),IF(AND(_xlpm.x=0,_xlpm.y&lt;&gt;0),-1,IF(AND(_xlpm.x&lt;&gt;0,_xlpm.y&lt;&gt;0),_xlpm.x,IF(AND(_xlpm.x-SUM(IF((INDIRECT($B$3)=$B209)*(INDIRECT($C$3)=$D209)*((INDIRECT($E$3)="TOTS")+(INDIRECT($E$3)=$E209)),INDIRECT(X$3)))&lt;&gt;0,_xlpm.y=0),-2,_xlpm.x)))),0))</f>
        <v>0</v>
      </c>
      <c r="Y209" s="199" cm="1">
        <f t="array" aca="1" ref="Y209" ca="1">IF(OR($B209="",$B209="X",$D209="",$D209="X",$E209="",$E209="X"),0,IFERROR(_xlfn.LET(_xlpm.x,SUM(SUM(_xlfn._xlws.FILTER(VALUE(PptoSty[Sign]&amp;1)*(1/PptoSty[Division]),(PptoSty[Division]&lt;&gt;0)*(PptoSty[Division]&lt;&gt;"")*(PptoSty[Division]&lt;&gt;"X")*(PptoSty[Project]=$B209)*(PptoSty[Vrs]=$D209)*(PptoSty[PiRow]=_xlfn.TEXTAFTER($H209,":"))*(PptoSty[PiColumn]=Y$54),0)),SUM(IF((INDIRECT($B$3)=$B209)*(INDIRECT($C$3)=$D209)*((INDIRECT($E$3)="TOTS")+(INDIRECT($E$3)=$E209)),INDIRECT(Y$3)))),_xlpm.y,SUM(_xlfn.CHOOSECOLS(_xlfn._xlws.FILTER(F_RT14[],(F_RT14[PrjId]=$B209)*(F_RT14[Vrs]=$D209)*(_xlfn.TEXTAFTER(F_RT14[ActGrp],":")=_xlfn.TEXTAFTER($H209,":")),"X"),MATCH("*"&amp;Y$54,F_RT14[#Headers],0))),IF(AND(_xlpm.x=0,_xlpm.y&lt;&gt;0),-1,IF(AND(_xlpm.x&lt;&gt;0,_xlpm.y&lt;&gt;0),_xlpm.x,IF(AND(_xlpm.x-SUM(IF((INDIRECT($B$3)=$B209)*(INDIRECT($C$3)=$D209)*((INDIRECT($E$3)="TOTS")+(INDIRECT($E$3)=$E209)),INDIRECT(Y$3)))&lt;&gt;0,_xlpm.y=0),-2,_xlpm.x)))),0))</f>
        <v>0</v>
      </c>
      <c r="Z209" s="198" t="str">
        <f t="shared" ca="1" si="4"/>
        <v>Fback!B209:Y209</v>
      </c>
    </row>
    <row r="210" spans="2:26" ht="21" customHeight="1" outlineLevel="1">
      <c r="B210" s="128"/>
      <c r="C210" s="128"/>
      <c r="D210" s="128"/>
      <c r="E210" s="128"/>
      <c r="F210" s="139"/>
      <c r="G210" s="139"/>
      <c r="H210" s="139"/>
      <c r="I210" s="199" cm="1">
        <f t="array" aca="1" ref="I210" ca="1">IF(OR($B210="",$B210="X",$D210="",$D210="X",$E210="",$E210="X"),0,IFERROR(_xlfn.LET(_xlpm.x,SUM(SUM(_xlfn._xlws.FILTER(VALUE(PptoSty[Sign]&amp;1)*(1/PptoSty[Division]),(PptoSty[Division]&lt;&gt;0)*(PptoSty[Division]&lt;&gt;"")*(PptoSty[Division]&lt;&gt;"X")*(PptoSty[Project]=$B210)*(PptoSty[Vrs]=$D210)*(PptoSty[PiRow]=_xlfn.TEXTAFTER($H210,":"))*(PptoSty[PiColumn]=I$54),0)),SUM(IF((INDIRECT($B$3)=$B210)*(INDIRECT($C$3)=$D210)*((INDIRECT($E$3)="TOTS")+(INDIRECT($E$3)=$E210)),INDIRECT(I$3)))),_xlpm.y,SUM(_xlfn.CHOOSECOLS(_xlfn._xlws.FILTER(F_RT14[],(F_RT14[PrjId]=$B210)*(F_RT14[Vrs]=$D210)*(_xlfn.TEXTAFTER(F_RT14[ActGrp],":")=_xlfn.TEXTAFTER($H210,":")),"X"),MATCH("*"&amp;I$54,F_RT14[#Headers],0))),IF(AND(_xlpm.x=0,_xlpm.y&lt;&gt;0),-1,IF(AND(_xlpm.x&lt;&gt;0,_xlpm.y&lt;&gt;0),_xlpm.x,IF(AND(_xlpm.x-SUM(IF((INDIRECT($B$3)=$B210)*(INDIRECT($C$3)=$D210)*((INDIRECT($E$3)="TOTS")+(INDIRECT($E$3)=$E210)),INDIRECT(I$3)))&lt;&gt;0,_xlpm.y=0),-2,_xlpm.x)))),0))</f>
        <v>0</v>
      </c>
      <c r="J210" s="199" cm="1">
        <f t="array" aca="1" ref="J210" ca="1">IF(OR($B210="",$B210="X",$D210="",$D210="X",$E210="",$E210="X"),0,IFERROR(_xlfn.LET(_xlpm.x,SUM(SUM(_xlfn._xlws.FILTER(VALUE(PptoSty[Sign]&amp;1)*(1/PptoSty[Division]),(PptoSty[Division]&lt;&gt;0)*(PptoSty[Division]&lt;&gt;"")*(PptoSty[Division]&lt;&gt;"X")*(PptoSty[Project]=$B210)*(PptoSty[Vrs]=$D210)*(PptoSty[PiRow]=_xlfn.TEXTAFTER($H210,":"))*(PptoSty[PiColumn]=J$54),0)),SUM(IF((INDIRECT($B$3)=$B210)*(INDIRECT($C$3)=$D210)*((INDIRECT($E$3)="TOTS")+(INDIRECT($E$3)=$E210)),INDIRECT(J$3)))),_xlpm.y,SUM(_xlfn.CHOOSECOLS(_xlfn._xlws.FILTER(F_RT14[],(F_RT14[PrjId]=$B210)*(F_RT14[Vrs]=$D210)*(_xlfn.TEXTAFTER(F_RT14[ActGrp],":")=_xlfn.TEXTAFTER($H210,":")),"X"),MATCH("*"&amp;J$54,F_RT14[#Headers],0))),IF(AND(_xlpm.x=0,_xlpm.y&lt;&gt;0),-1,IF(AND(_xlpm.x&lt;&gt;0,_xlpm.y&lt;&gt;0),_xlpm.x,IF(AND(_xlpm.x-SUM(IF((INDIRECT($B$3)=$B210)*(INDIRECT($C$3)=$D210)*((INDIRECT($E$3)="TOTS")+(INDIRECT($E$3)=$E210)),INDIRECT(J$3)))&lt;&gt;0,_xlpm.y=0),-2,_xlpm.x)))),0))</f>
        <v>0</v>
      </c>
      <c r="K210" s="199" cm="1">
        <f t="array" aca="1" ref="K210" ca="1">IF(OR($B210="",$B210="X",$D210="",$D210="X",$E210="",$E210="X"),0,IFERROR(_xlfn.LET(_xlpm.x,SUM(SUM(_xlfn._xlws.FILTER(VALUE(PptoSty[Sign]&amp;1)*(1/PptoSty[Division]),(PptoSty[Division]&lt;&gt;0)*(PptoSty[Division]&lt;&gt;"")*(PptoSty[Division]&lt;&gt;"X")*(PptoSty[Project]=$B210)*(PptoSty[Vrs]=$D210)*(PptoSty[PiRow]=_xlfn.TEXTAFTER($H210,":"))*(PptoSty[PiColumn]=K$54),0)),SUM(IF((INDIRECT($B$3)=$B210)*(INDIRECT($C$3)=$D210)*((INDIRECT($E$3)="TOTS")+(INDIRECT($E$3)=$E210)),INDIRECT(K$3)))),_xlpm.y,SUM(_xlfn.CHOOSECOLS(_xlfn._xlws.FILTER(F_RT14[],(F_RT14[PrjId]=$B210)*(F_RT14[Vrs]=$D210)*(_xlfn.TEXTAFTER(F_RT14[ActGrp],":")=_xlfn.TEXTAFTER($H210,":")),"X"),MATCH("*"&amp;K$54,F_RT14[#Headers],0))),IF(AND(_xlpm.x=0,_xlpm.y&lt;&gt;0),-1,IF(AND(_xlpm.x&lt;&gt;0,_xlpm.y&lt;&gt;0),_xlpm.x,IF(AND(_xlpm.x-SUM(IF((INDIRECT($B$3)=$B210)*(INDIRECT($C$3)=$D210)*((INDIRECT($E$3)="TOTS")+(INDIRECT($E$3)=$E210)),INDIRECT(K$3)))&lt;&gt;0,_xlpm.y=0),-2,_xlpm.x)))),0))</f>
        <v>0</v>
      </c>
      <c r="L210" s="199" cm="1">
        <f t="array" aca="1" ref="L210" ca="1">IF(OR($B210="",$B210="X",$D210="",$D210="X",$E210="",$E210="X"),0,IFERROR(_xlfn.LET(_xlpm.x,SUM(SUM(_xlfn._xlws.FILTER(VALUE(PptoSty[Sign]&amp;1)*(1/PptoSty[Division]),(PptoSty[Division]&lt;&gt;0)*(PptoSty[Division]&lt;&gt;"")*(PptoSty[Division]&lt;&gt;"X")*(PptoSty[Project]=$B210)*(PptoSty[Vrs]=$D210)*(PptoSty[PiRow]=_xlfn.TEXTAFTER($H210,":"))*(PptoSty[PiColumn]=L$54),0)),SUM(IF((INDIRECT($B$3)=$B210)*(INDIRECT($C$3)=$D210)*((INDIRECT($E$3)="TOTS")+(INDIRECT($E$3)=$E210)),INDIRECT(L$3)))),_xlpm.y,SUM(_xlfn.CHOOSECOLS(_xlfn._xlws.FILTER(F_RT14[],(F_RT14[PrjId]=$B210)*(F_RT14[Vrs]=$D210)*(_xlfn.TEXTAFTER(F_RT14[ActGrp],":")=_xlfn.TEXTAFTER($H210,":")),"X"),MATCH("*"&amp;L$54,F_RT14[#Headers],0))),IF(AND(_xlpm.x=0,_xlpm.y&lt;&gt;0),-1,IF(AND(_xlpm.x&lt;&gt;0,_xlpm.y&lt;&gt;0),_xlpm.x,IF(AND(_xlpm.x-SUM(IF((INDIRECT($B$3)=$B210)*(INDIRECT($C$3)=$D210)*((INDIRECT($E$3)="TOTS")+(INDIRECT($E$3)=$E210)),INDIRECT(L$3)))&lt;&gt;0,_xlpm.y=0),-2,_xlpm.x)))),0))</f>
        <v>0</v>
      </c>
      <c r="M210" s="199" cm="1">
        <f t="array" aca="1" ref="M210" ca="1">IF(OR($B210="",$B210="X",$D210="",$D210="X",$E210="",$E210="X"),0,IFERROR(_xlfn.LET(_xlpm.x,SUM(SUM(_xlfn._xlws.FILTER(VALUE(PptoSty[Sign]&amp;1)*(1/PptoSty[Division]),(PptoSty[Division]&lt;&gt;0)*(PptoSty[Division]&lt;&gt;"")*(PptoSty[Division]&lt;&gt;"X")*(PptoSty[Project]=$B210)*(PptoSty[Vrs]=$D210)*(PptoSty[PiRow]=_xlfn.TEXTAFTER($H210,":"))*(PptoSty[PiColumn]=M$54),0)),SUM(IF((INDIRECT($B$3)=$B210)*(INDIRECT($C$3)=$D210)*((INDIRECT($E$3)="TOTS")+(INDIRECT($E$3)=$E210)),INDIRECT(M$3)))),_xlpm.y,SUM(_xlfn.CHOOSECOLS(_xlfn._xlws.FILTER(F_RT14[],(F_RT14[PrjId]=$B210)*(F_RT14[Vrs]=$D210)*(_xlfn.TEXTAFTER(F_RT14[ActGrp],":")=_xlfn.TEXTAFTER($H210,":")),"X"),MATCH("*"&amp;M$54,F_RT14[#Headers],0))),IF(AND(_xlpm.x=0,_xlpm.y&lt;&gt;0),-1,IF(AND(_xlpm.x&lt;&gt;0,_xlpm.y&lt;&gt;0),_xlpm.x,IF(AND(_xlpm.x-SUM(IF((INDIRECT($B$3)=$B210)*(INDIRECT($C$3)=$D210)*((INDIRECT($E$3)="TOTS")+(INDIRECT($E$3)=$E210)),INDIRECT(M$3)))&lt;&gt;0,_xlpm.y=0),-2,_xlpm.x)))),0))</f>
        <v>0</v>
      </c>
      <c r="N210" s="199" cm="1">
        <f t="array" aca="1" ref="N210" ca="1">IF(OR($B210="",$B210="X",$D210="",$D210="X",$E210="",$E210="X"),0,IFERROR(_xlfn.LET(_xlpm.x,SUM(SUM(_xlfn._xlws.FILTER(VALUE(PptoSty[Sign]&amp;1)*(1/PptoSty[Division]),(PptoSty[Division]&lt;&gt;0)*(PptoSty[Division]&lt;&gt;"")*(PptoSty[Division]&lt;&gt;"X")*(PptoSty[Project]=$B210)*(PptoSty[Vrs]=$D210)*(PptoSty[PiRow]=_xlfn.TEXTAFTER($H210,":"))*(PptoSty[PiColumn]=N$54),0)),SUM(IF((INDIRECT($B$3)=$B210)*(INDIRECT($C$3)=$D210)*((INDIRECT($E$3)="TOTS")+(INDIRECT($E$3)=$E210)),INDIRECT(N$3)))),_xlpm.y,SUM(_xlfn.CHOOSECOLS(_xlfn._xlws.FILTER(F_RT14[],(F_RT14[PrjId]=$B210)*(F_RT14[Vrs]=$D210)*(_xlfn.TEXTAFTER(F_RT14[ActGrp],":")=_xlfn.TEXTAFTER($H210,":")),"X"),MATCH("*"&amp;N$54,F_RT14[#Headers],0))),IF(AND(_xlpm.x=0,_xlpm.y&lt;&gt;0),-1,IF(AND(_xlpm.x&lt;&gt;0,_xlpm.y&lt;&gt;0),_xlpm.x,IF(AND(_xlpm.x-SUM(IF((INDIRECT($B$3)=$B210)*(INDIRECT($C$3)=$D210)*((INDIRECT($E$3)="TOTS")+(INDIRECT($E$3)=$E210)),INDIRECT(N$3)))&lt;&gt;0,_xlpm.y=0),-2,_xlpm.x)))),0))</f>
        <v>0</v>
      </c>
      <c r="O210" s="199" cm="1">
        <f t="array" aca="1" ref="O210" ca="1">IF(OR($B210="",$B210="X",$D210="",$D210="X",$E210="",$E210="X"),0,IFERROR(_xlfn.LET(_xlpm.x,SUM(SUM(_xlfn._xlws.FILTER(VALUE(PptoSty[Sign]&amp;1)*(1/PptoSty[Division]),(PptoSty[Division]&lt;&gt;0)*(PptoSty[Division]&lt;&gt;"")*(PptoSty[Division]&lt;&gt;"X")*(PptoSty[Project]=$B210)*(PptoSty[Vrs]=$D210)*(PptoSty[PiRow]=_xlfn.TEXTAFTER($H210,":"))*(PptoSty[PiColumn]=O$54),0)),SUM(IF((INDIRECT($B$3)=$B210)*(INDIRECT($C$3)=$D210)*((INDIRECT($E$3)="TOTS")+(INDIRECT($E$3)=$E210)),INDIRECT(O$3)))),_xlpm.y,SUM(_xlfn.CHOOSECOLS(_xlfn._xlws.FILTER(F_RT14[],(F_RT14[PrjId]=$B210)*(F_RT14[Vrs]=$D210)*(_xlfn.TEXTAFTER(F_RT14[ActGrp],":")=_xlfn.TEXTAFTER($H210,":")),"X"),MATCH("*"&amp;O$54,F_RT14[#Headers],0))),IF(AND(_xlpm.x=0,_xlpm.y&lt;&gt;0),-1,IF(AND(_xlpm.x&lt;&gt;0,_xlpm.y&lt;&gt;0),_xlpm.x,IF(AND(_xlpm.x-SUM(IF((INDIRECT($B$3)=$B210)*(INDIRECT($C$3)=$D210)*((INDIRECT($E$3)="TOTS")+(INDIRECT($E$3)=$E210)),INDIRECT(O$3)))&lt;&gt;0,_xlpm.y=0),-2,_xlpm.x)))),0))</f>
        <v>0</v>
      </c>
      <c r="P210" s="199" cm="1">
        <f t="array" aca="1" ref="P210" ca="1">IF(OR($B210="",$B210="X",$D210="",$D210="X",$E210="",$E210="X"),0,IFERROR(_xlfn.LET(_xlpm.x,SUM(SUM(_xlfn._xlws.FILTER(VALUE(PptoSty[Sign]&amp;1)*(1/PptoSty[Division]),(PptoSty[Division]&lt;&gt;0)*(PptoSty[Division]&lt;&gt;"")*(PptoSty[Division]&lt;&gt;"X")*(PptoSty[Project]=$B210)*(PptoSty[Vrs]=$D210)*(PptoSty[PiRow]=_xlfn.TEXTAFTER($H210,":"))*(PptoSty[PiColumn]=P$54),0)),SUM(IF((INDIRECT($B$3)=$B210)*(INDIRECT($C$3)=$D210)*((INDIRECT($E$3)="TOTS")+(INDIRECT($E$3)=$E210)),INDIRECT(P$3)))),_xlpm.y,SUM(_xlfn.CHOOSECOLS(_xlfn._xlws.FILTER(F_RT14[],(F_RT14[PrjId]=$B210)*(F_RT14[Vrs]=$D210)*(_xlfn.TEXTAFTER(F_RT14[ActGrp],":")=_xlfn.TEXTAFTER($H210,":")),"X"),MATCH("*"&amp;P$54,F_RT14[#Headers],0))),IF(AND(_xlpm.x=0,_xlpm.y&lt;&gt;0),-1,IF(AND(_xlpm.x&lt;&gt;0,_xlpm.y&lt;&gt;0),_xlpm.x,IF(AND(_xlpm.x-SUM(IF((INDIRECT($B$3)=$B210)*(INDIRECT($C$3)=$D210)*((INDIRECT($E$3)="TOTS")+(INDIRECT($E$3)=$E210)),INDIRECT(P$3)))&lt;&gt;0,_xlpm.y=0),-2,_xlpm.x)))),0))</f>
        <v>0</v>
      </c>
      <c r="Q210" s="199" cm="1">
        <f t="array" aca="1" ref="Q210" ca="1">IF(OR($B210="",$B210="X",$D210="",$D210="X",$E210="",$E210="X"),0,IFERROR(_xlfn.LET(_xlpm.x,SUM(SUM(_xlfn._xlws.FILTER(VALUE(PptoSty[Sign]&amp;1)*(1/PptoSty[Division]),(PptoSty[Division]&lt;&gt;0)*(PptoSty[Division]&lt;&gt;"")*(PptoSty[Division]&lt;&gt;"X")*(PptoSty[Project]=$B210)*(PptoSty[Vrs]=$D210)*(PptoSty[PiRow]=_xlfn.TEXTAFTER($H210,":"))*(PptoSty[PiColumn]=Q$54),0)),SUM(IF((INDIRECT($B$3)=$B210)*(INDIRECT($C$3)=$D210)*((INDIRECT($E$3)="TOTS")+(INDIRECT($E$3)=$E210)),INDIRECT(Q$3)))),_xlpm.y,SUM(_xlfn.CHOOSECOLS(_xlfn._xlws.FILTER(F_RT14[],(F_RT14[PrjId]=$B210)*(F_RT14[Vrs]=$D210)*(_xlfn.TEXTAFTER(F_RT14[ActGrp],":")=_xlfn.TEXTAFTER($H210,":")),"X"),MATCH("*"&amp;Q$54,F_RT14[#Headers],0))),IF(AND(_xlpm.x=0,_xlpm.y&lt;&gt;0),-1,IF(AND(_xlpm.x&lt;&gt;0,_xlpm.y&lt;&gt;0),_xlpm.x,IF(AND(_xlpm.x-SUM(IF((INDIRECT($B$3)=$B210)*(INDIRECT($C$3)=$D210)*((INDIRECT($E$3)="TOTS")+(INDIRECT($E$3)=$E210)),INDIRECT(Q$3)))&lt;&gt;0,_xlpm.y=0),-2,_xlpm.x)))),0))</f>
        <v>0</v>
      </c>
      <c r="R210" s="199" cm="1">
        <f t="array" aca="1" ref="R210" ca="1">IF(OR($B210="",$B210="X",$D210="",$D210="X",$E210="",$E210="X"),0,IFERROR(_xlfn.LET(_xlpm.x,SUM(SUM(_xlfn._xlws.FILTER(VALUE(PptoSty[Sign]&amp;1)*(1/PptoSty[Division]),(PptoSty[Division]&lt;&gt;0)*(PptoSty[Division]&lt;&gt;"")*(PptoSty[Division]&lt;&gt;"X")*(PptoSty[Project]=$B210)*(PptoSty[Vrs]=$D210)*(PptoSty[PiRow]=_xlfn.TEXTAFTER($H210,":"))*(PptoSty[PiColumn]=R$54),0)),SUM(IF((INDIRECT($B$3)=$B210)*(INDIRECT($C$3)=$D210)*((INDIRECT($E$3)="TOTS")+(INDIRECT($E$3)=$E210)),INDIRECT(R$3)))),_xlpm.y,SUM(_xlfn.CHOOSECOLS(_xlfn._xlws.FILTER(F_RT14[],(F_RT14[PrjId]=$B210)*(F_RT14[Vrs]=$D210)*(_xlfn.TEXTAFTER(F_RT14[ActGrp],":")=_xlfn.TEXTAFTER($H210,":")),"X"),MATCH("*"&amp;R$54,F_RT14[#Headers],0))),IF(AND(_xlpm.x=0,_xlpm.y&lt;&gt;0),-1,IF(AND(_xlpm.x&lt;&gt;0,_xlpm.y&lt;&gt;0),_xlpm.x,IF(AND(_xlpm.x-SUM(IF((INDIRECT($B$3)=$B210)*(INDIRECT($C$3)=$D210)*((INDIRECT($E$3)="TOTS")+(INDIRECT($E$3)=$E210)),INDIRECT(R$3)))&lt;&gt;0,_xlpm.y=0),-2,_xlpm.x)))),0))</f>
        <v>0</v>
      </c>
      <c r="S210" s="199" cm="1">
        <f t="array" aca="1" ref="S210" ca="1">IF(OR($B210="",$B210="X",$D210="",$D210="X",$E210="",$E210="X"),0,IFERROR(_xlfn.LET(_xlpm.x,SUM(SUM(_xlfn._xlws.FILTER(VALUE(PptoSty[Sign]&amp;1)*(1/PptoSty[Division]),(PptoSty[Division]&lt;&gt;0)*(PptoSty[Division]&lt;&gt;"")*(PptoSty[Division]&lt;&gt;"X")*(PptoSty[Project]=$B210)*(PptoSty[Vrs]=$D210)*(PptoSty[PiRow]=_xlfn.TEXTAFTER($H210,":"))*(PptoSty[PiColumn]=S$54),0)),SUM(IF((INDIRECT($B$3)=$B210)*(INDIRECT($C$3)=$D210)*((INDIRECT($E$3)="TOTS")+(INDIRECT($E$3)=$E210)),INDIRECT(S$3)))),_xlpm.y,SUM(_xlfn.CHOOSECOLS(_xlfn._xlws.FILTER(F_RT14[],(F_RT14[PrjId]=$B210)*(F_RT14[Vrs]=$D210)*(_xlfn.TEXTAFTER(F_RT14[ActGrp],":")=_xlfn.TEXTAFTER($H210,":")),"X"),MATCH("*"&amp;S$54,F_RT14[#Headers],0))),IF(AND(_xlpm.x=0,_xlpm.y&lt;&gt;0),-1,IF(AND(_xlpm.x&lt;&gt;0,_xlpm.y&lt;&gt;0),_xlpm.x,IF(AND(_xlpm.x-SUM(IF((INDIRECT($B$3)=$B210)*(INDIRECT($C$3)=$D210)*((INDIRECT($E$3)="TOTS")+(INDIRECT($E$3)=$E210)),INDIRECT(S$3)))&lt;&gt;0,_xlpm.y=0),-2,_xlpm.x)))),0))</f>
        <v>0</v>
      </c>
      <c r="T210" s="199" cm="1">
        <f t="array" aca="1" ref="T210" ca="1">IF(OR($B210="",$B210="X",$D210="",$D210="X",$E210="",$E210="X"),0,IFERROR(_xlfn.LET(_xlpm.x,SUM(SUM(_xlfn._xlws.FILTER(VALUE(PptoSty[Sign]&amp;1)*(1/PptoSty[Division]),(PptoSty[Division]&lt;&gt;0)*(PptoSty[Division]&lt;&gt;"")*(PptoSty[Division]&lt;&gt;"X")*(PptoSty[Project]=$B210)*(PptoSty[Vrs]=$D210)*(PptoSty[PiRow]=_xlfn.TEXTAFTER($H210,":"))*(PptoSty[PiColumn]=T$54),0)),SUM(IF((INDIRECT($B$3)=$B210)*(INDIRECT($C$3)=$D210)*((INDIRECT($E$3)="TOTS")+(INDIRECT($E$3)=$E210)),INDIRECT(T$3)))),_xlpm.y,SUM(_xlfn.CHOOSECOLS(_xlfn._xlws.FILTER(F_RT14[],(F_RT14[PrjId]=$B210)*(F_RT14[Vrs]=$D210)*(_xlfn.TEXTAFTER(F_RT14[ActGrp],":")=_xlfn.TEXTAFTER($H210,":")),"X"),MATCH("*"&amp;T$54,F_RT14[#Headers],0))),IF(AND(_xlpm.x=0,_xlpm.y&lt;&gt;0),-1,IF(AND(_xlpm.x&lt;&gt;0,_xlpm.y&lt;&gt;0),_xlpm.x,IF(AND(_xlpm.x-SUM(IF((INDIRECT($B$3)=$B210)*(INDIRECT($C$3)=$D210)*((INDIRECT($E$3)="TOTS")+(INDIRECT($E$3)=$E210)),INDIRECT(T$3)))&lt;&gt;0,_xlpm.y=0),-2,_xlpm.x)))),0))</f>
        <v>0</v>
      </c>
      <c r="U210" s="199" cm="1">
        <f t="array" aca="1" ref="U210" ca="1">IF(OR($B210="",$B210="X",$D210="",$D210="X",$E210="",$E210="X"),0,IFERROR(_xlfn.LET(_xlpm.x,SUM(SUM(_xlfn._xlws.FILTER(VALUE(PptoSty[Sign]&amp;1)*(1/PptoSty[Division]),(PptoSty[Division]&lt;&gt;0)*(PptoSty[Division]&lt;&gt;"")*(PptoSty[Division]&lt;&gt;"X")*(PptoSty[Project]=$B210)*(PptoSty[Vrs]=$D210)*(PptoSty[PiRow]=_xlfn.TEXTAFTER($H210,":"))*(PptoSty[PiColumn]=U$54),0)),SUM(IF((INDIRECT($B$3)=$B210)*(INDIRECT($C$3)=$D210)*((INDIRECT($E$3)="TOTS")+(INDIRECT($E$3)=$E210)),INDIRECT(U$3)))),_xlpm.y,SUM(_xlfn.CHOOSECOLS(_xlfn._xlws.FILTER(F_RT14[],(F_RT14[PrjId]=$B210)*(F_RT14[Vrs]=$D210)*(_xlfn.TEXTAFTER(F_RT14[ActGrp],":")=_xlfn.TEXTAFTER($H210,":")),"X"),MATCH("*"&amp;U$54,F_RT14[#Headers],0))),IF(AND(_xlpm.x=0,_xlpm.y&lt;&gt;0),-1,IF(AND(_xlpm.x&lt;&gt;0,_xlpm.y&lt;&gt;0),_xlpm.x,IF(AND(_xlpm.x-SUM(IF((INDIRECT($B$3)=$B210)*(INDIRECT($C$3)=$D210)*((INDIRECT($E$3)="TOTS")+(INDIRECT($E$3)=$E210)),INDIRECT(U$3)))&lt;&gt;0,_xlpm.y=0),-2,_xlpm.x)))),0))</f>
        <v>0</v>
      </c>
      <c r="V210" s="199" cm="1">
        <f t="array" aca="1" ref="V210" ca="1">IF(OR($B210="",$B210="X",$D210="",$D210="X",$E210="",$E210="X"),0,IFERROR(_xlfn.LET(_xlpm.x,SUM(SUM(_xlfn._xlws.FILTER(VALUE(PptoSty[Sign]&amp;1)*(1/PptoSty[Division]),(PptoSty[Division]&lt;&gt;0)*(PptoSty[Division]&lt;&gt;"")*(PptoSty[Division]&lt;&gt;"X")*(PptoSty[Project]=$B210)*(PptoSty[Vrs]=$D210)*(PptoSty[PiRow]=_xlfn.TEXTAFTER($H210,":"))*(PptoSty[PiColumn]=V$54),0)),SUM(IF((INDIRECT($B$3)=$B210)*(INDIRECT($C$3)=$D210)*((INDIRECT($E$3)="TOTS")+(INDIRECT($E$3)=$E210)),INDIRECT(V$3)))),_xlpm.y,SUM(_xlfn.CHOOSECOLS(_xlfn._xlws.FILTER(F_RT14[],(F_RT14[PrjId]=$B210)*(F_RT14[Vrs]=$D210)*(_xlfn.TEXTAFTER(F_RT14[ActGrp],":")=_xlfn.TEXTAFTER($H210,":")),"X"),MATCH("*"&amp;V$54,F_RT14[#Headers],0))),IF(AND(_xlpm.x=0,_xlpm.y&lt;&gt;0),-1,IF(AND(_xlpm.x&lt;&gt;0,_xlpm.y&lt;&gt;0),_xlpm.x,IF(AND(_xlpm.x-SUM(IF((INDIRECT($B$3)=$B210)*(INDIRECT($C$3)=$D210)*((INDIRECT($E$3)="TOTS")+(INDIRECT($E$3)=$E210)),INDIRECT(V$3)))&lt;&gt;0,_xlpm.y=0),-2,_xlpm.x)))),0))</f>
        <v>0</v>
      </c>
      <c r="W210" s="199" cm="1">
        <f t="array" aca="1" ref="W210" ca="1">IF(OR($B210="",$B210="X",$D210="",$D210="X",$E210="",$E210="X"),0,IFERROR(_xlfn.LET(_xlpm.x,SUM(SUM(_xlfn._xlws.FILTER(VALUE(PptoSty[Sign]&amp;1)*(1/PptoSty[Division]),(PptoSty[Division]&lt;&gt;0)*(PptoSty[Division]&lt;&gt;"")*(PptoSty[Division]&lt;&gt;"X")*(PptoSty[Project]=$B210)*(PptoSty[Vrs]=$D210)*(PptoSty[PiRow]=_xlfn.TEXTAFTER($H210,":"))*(PptoSty[PiColumn]=W$54),0)),SUM(IF((INDIRECT($B$3)=$B210)*(INDIRECT($C$3)=$D210)*((INDIRECT($E$3)="TOTS")+(INDIRECT($E$3)=$E210)),INDIRECT(W$3)))),_xlpm.y,SUM(_xlfn.CHOOSECOLS(_xlfn._xlws.FILTER(F_RT14[],(F_RT14[PrjId]=$B210)*(F_RT14[Vrs]=$D210)*(_xlfn.TEXTAFTER(F_RT14[ActGrp],":")=_xlfn.TEXTAFTER($H210,":")),"X"),MATCH("*"&amp;W$54,F_RT14[#Headers],0))),IF(AND(_xlpm.x=0,_xlpm.y&lt;&gt;0),-1,IF(AND(_xlpm.x&lt;&gt;0,_xlpm.y&lt;&gt;0),_xlpm.x,IF(AND(_xlpm.x-SUM(IF((INDIRECT($B$3)=$B210)*(INDIRECT($C$3)=$D210)*((INDIRECT($E$3)="TOTS")+(INDIRECT($E$3)=$E210)),INDIRECT(W$3)))&lt;&gt;0,_xlpm.y=0),-2,_xlpm.x)))),0))</f>
        <v>0</v>
      </c>
      <c r="X210" s="199" cm="1">
        <f t="array" aca="1" ref="X210" ca="1">IF(OR($B210="",$B210="X",$D210="",$D210="X",$E210="",$E210="X"),0,IFERROR(_xlfn.LET(_xlpm.x,SUM(SUM(_xlfn._xlws.FILTER(VALUE(PptoSty[Sign]&amp;1)*(1/PptoSty[Division]),(PptoSty[Division]&lt;&gt;0)*(PptoSty[Division]&lt;&gt;"")*(PptoSty[Division]&lt;&gt;"X")*(PptoSty[Project]=$B210)*(PptoSty[Vrs]=$D210)*(PptoSty[PiRow]=_xlfn.TEXTAFTER($H210,":"))*(PptoSty[PiColumn]=X$54),0)),SUM(IF((INDIRECT($B$3)=$B210)*(INDIRECT($C$3)=$D210)*((INDIRECT($E$3)="TOTS")+(INDIRECT($E$3)=$E210)),INDIRECT(X$3)))),_xlpm.y,SUM(_xlfn.CHOOSECOLS(_xlfn._xlws.FILTER(F_RT14[],(F_RT14[PrjId]=$B210)*(F_RT14[Vrs]=$D210)*(_xlfn.TEXTAFTER(F_RT14[ActGrp],":")=_xlfn.TEXTAFTER($H210,":")),"X"),MATCH("*"&amp;X$54,F_RT14[#Headers],0))),IF(AND(_xlpm.x=0,_xlpm.y&lt;&gt;0),-1,IF(AND(_xlpm.x&lt;&gt;0,_xlpm.y&lt;&gt;0),_xlpm.x,IF(AND(_xlpm.x-SUM(IF((INDIRECT($B$3)=$B210)*(INDIRECT($C$3)=$D210)*((INDIRECT($E$3)="TOTS")+(INDIRECT($E$3)=$E210)),INDIRECT(X$3)))&lt;&gt;0,_xlpm.y=0),-2,_xlpm.x)))),0))</f>
        <v>0</v>
      </c>
      <c r="Y210" s="199" cm="1">
        <f t="array" aca="1" ref="Y210" ca="1">IF(OR($B210="",$B210="X",$D210="",$D210="X",$E210="",$E210="X"),0,IFERROR(_xlfn.LET(_xlpm.x,SUM(SUM(_xlfn._xlws.FILTER(VALUE(PptoSty[Sign]&amp;1)*(1/PptoSty[Division]),(PptoSty[Division]&lt;&gt;0)*(PptoSty[Division]&lt;&gt;"")*(PptoSty[Division]&lt;&gt;"X")*(PptoSty[Project]=$B210)*(PptoSty[Vrs]=$D210)*(PptoSty[PiRow]=_xlfn.TEXTAFTER($H210,":"))*(PptoSty[PiColumn]=Y$54),0)),SUM(IF((INDIRECT($B$3)=$B210)*(INDIRECT($C$3)=$D210)*((INDIRECT($E$3)="TOTS")+(INDIRECT($E$3)=$E210)),INDIRECT(Y$3)))),_xlpm.y,SUM(_xlfn.CHOOSECOLS(_xlfn._xlws.FILTER(F_RT14[],(F_RT14[PrjId]=$B210)*(F_RT14[Vrs]=$D210)*(_xlfn.TEXTAFTER(F_RT14[ActGrp],":")=_xlfn.TEXTAFTER($H210,":")),"X"),MATCH("*"&amp;Y$54,F_RT14[#Headers],0))),IF(AND(_xlpm.x=0,_xlpm.y&lt;&gt;0),-1,IF(AND(_xlpm.x&lt;&gt;0,_xlpm.y&lt;&gt;0),_xlpm.x,IF(AND(_xlpm.x-SUM(IF((INDIRECT($B$3)=$B210)*(INDIRECT($C$3)=$D210)*((INDIRECT($E$3)="TOTS")+(INDIRECT($E$3)=$E210)),INDIRECT(Y$3)))&lt;&gt;0,_xlpm.y=0),-2,_xlpm.x)))),0))</f>
        <v>0</v>
      </c>
      <c r="Z210" s="198" t="str">
        <f t="shared" ca="1" si="4"/>
        <v>Fback!B210:Y210</v>
      </c>
    </row>
    <row r="211" spans="2:26" ht="21" customHeight="1" outlineLevel="1">
      <c r="B211" s="128"/>
      <c r="C211" s="128"/>
      <c r="D211" s="128"/>
      <c r="E211" s="128"/>
      <c r="F211" s="139"/>
      <c r="G211" s="139"/>
      <c r="H211" s="139"/>
      <c r="I211" s="199" cm="1">
        <f t="array" aca="1" ref="I211" ca="1">IF(OR($B211="",$B211="X",$D211="",$D211="X",$E211="",$E211="X"),0,IFERROR(_xlfn.LET(_xlpm.x,SUM(SUM(_xlfn._xlws.FILTER(VALUE(PptoSty[Sign]&amp;1)*(1/PptoSty[Division]),(PptoSty[Division]&lt;&gt;0)*(PptoSty[Division]&lt;&gt;"")*(PptoSty[Division]&lt;&gt;"X")*(PptoSty[Project]=$B211)*(PptoSty[Vrs]=$D211)*(PptoSty[PiRow]=_xlfn.TEXTAFTER($H211,":"))*(PptoSty[PiColumn]=I$54),0)),SUM(IF((INDIRECT($B$3)=$B211)*(INDIRECT($C$3)=$D211)*((INDIRECT($E$3)="TOTS")+(INDIRECT($E$3)=$E211)),INDIRECT(I$3)))),_xlpm.y,SUM(_xlfn.CHOOSECOLS(_xlfn._xlws.FILTER(F_RT14[],(F_RT14[PrjId]=$B211)*(F_RT14[Vrs]=$D211)*(_xlfn.TEXTAFTER(F_RT14[ActGrp],":")=_xlfn.TEXTAFTER($H211,":")),"X"),MATCH("*"&amp;I$54,F_RT14[#Headers],0))),IF(AND(_xlpm.x=0,_xlpm.y&lt;&gt;0),-1,IF(AND(_xlpm.x&lt;&gt;0,_xlpm.y&lt;&gt;0),_xlpm.x,IF(AND(_xlpm.x-SUM(IF((INDIRECT($B$3)=$B211)*(INDIRECT($C$3)=$D211)*((INDIRECT($E$3)="TOTS")+(INDIRECT($E$3)=$E211)),INDIRECT(I$3)))&lt;&gt;0,_xlpm.y=0),-2,_xlpm.x)))),0))</f>
        <v>0</v>
      </c>
      <c r="J211" s="199" cm="1">
        <f t="array" aca="1" ref="J211" ca="1">IF(OR($B211="",$B211="X",$D211="",$D211="X",$E211="",$E211="X"),0,IFERROR(_xlfn.LET(_xlpm.x,SUM(SUM(_xlfn._xlws.FILTER(VALUE(PptoSty[Sign]&amp;1)*(1/PptoSty[Division]),(PptoSty[Division]&lt;&gt;0)*(PptoSty[Division]&lt;&gt;"")*(PptoSty[Division]&lt;&gt;"X")*(PptoSty[Project]=$B211)*(PptoSty[Vrs]=$D211)*(PptoSty[PiRow]=_xlfn.TEXTAFTER($H211,":"))*(PptoSty[PiColumn]=J$54),0)),SUM(IF((INDIRECT($B$3)=$B211)*(INDIRECT($C$3)=$D211)*((INDIRECT($E$3)="TOTS")+(INDIRECT($E$3)=$E211)),INDIRECT(J$3)))),_xlpm.y,SUM(_xlfn.CHOOSECOLS(_xlfn._xlws.FILTER(F_RT14[],(F_RT14[PrjId]=$B211)*(F_RT14[Vrs]=$D211)*(_xlfn.TEXTAFTER(F_RT14[ActGrp],":")=_xlfn.TEXTAFTER($H211,":")),"X"),MATCH("*"&amp;J$54,F_RT14[#Headers],0))),IF(AND(_xlpm.x=0,_xlpm.y&lt;&gt;0),-1,IF(AND(_xlpm.x&lt;&gt;0,_xlpm.y&lt;&gt;0),_xlpm.x,IF(AND(_xlpm.x-SUM(IF((INDIRECT($B$3)=$B211)*(INDIRECT($C$3)=$D211)*((INDIRECT($E$3)="TOTS")+(INDIRECT($E$3)=$E211)),INDIRECT(J$3)))&lt;&gt;0,_xlpm.y=0),-2,_xlpm.x)))),0))</f>
        <v>0</v>
      </c>
      <c r="K211" s="199" cm="1">
        <f t="array" aca="1" ref="K211" ca="1">IF(OR($B211="",$B211="X",$D211="",$D211="X",$E211="",$E211="X"),0,IFERROR(_xlfn.LET(_xlpm.x,SUM(SUM(_xlfn._xlws.FILTER(VALUE(PptoSty[Sign]&amp;1)*(1/PptoSty[Division]),(PptoSty[Division]&lt;&gt;0)*(PptoSty[Division]&lt;&gt;"")*(PptoSty[Division]&lt;&gt;"X")*(PptoSty[Project]=$B211)*(PptoSty[Vrs]=$D211)*(PptoSty[PiRow]=_xlfn.TEXTAFTER($H211,":"))*(PptoSty[PiColumn]=K$54),0)),SUM(IF((INDIRECT($B$3)=$B211)*(INDIRECT($C$3)=$D211)*((INDIRECT($E$3)="TOTS")+(INDIRECT($E$3)=$E211)),INDIRECT(K$3)))),_xlpm.y,SUM(_xlfn.CHOOSECOLS(_xlfn._xlws.FILTER(F_RT14[],(F_RT14[PrjId]=$B211)*(F_RT14[Vrs]=$D211)*(_xlfn.TEXTAFTER(F_RT14[ActGrp],":")=_xlfn.TEXTAFTER($H211,":")),"X"),MATCH("*"&amp;K$54,F_RT14[#Headers],0))),IF(AND(_xlpm.x=0,_xlpm.y&lt;&gt;0),-1,IF(AND(_xlpm.x&lt;&gt;0,_xlpm.y&lt;&gt;0),_xlpm.x,IF(AND(_xlpm.x-SUM(IF((INDIRECT($B$3)=$B211)*(INDIRECT($C$3)=$D211)*((INDIRECT($E$3)="TOTS")+(INDIRECT($E$3)=$E211)),INDIRECT(K$3)))&lt;&gt;0,_xlpm.y=0),-2,_xlpm.x)))),0))</f>
        <v>0</v>
      </c>
      <c r="L211" s="199" cm="1">
        <f t="array" aca="1" ref="L211" ca="1">IF(OR($B211="",$B211="X",$D211="",$D211="X",$E211="",$E211="X"),0,IFERROR(_xlfn.LET(_xlpm.x,SUM(SUM(_xlfn._xlws.FILTER(VALUE(PptoSty[Sign]&amp;1)*(1/PptoSty[Division]),(PptoSty[Division]&lt;&gt;0)*(PptoSty[Division]&lt;&gt;"")*(PptoSty[Division]&lt;&gt;"X")*(PptoSty[Project]=$B211)*(PptoSty[Vrs]=$D211)*(PptoSty[PiRow]=_xlfn.TEXTAFTER($H211,":"))*(PptoSty[PiColumn]=L$54),0)),SUM(IF((INDIRECT($B$3)=$B211)*(INDIRECT($C$3)=$D211)*((INDIRECT($E$3)="TOTS")+(INDIRECT($E$3)=$E211)),INDIRECT(L$3)))),_xlpm.y,SUM(_xlfn.CHOOSECOLS(_xlfn._xlws.FILTER(F_RT14[],(F_RT14[PrjId]=$B211)*(F_RT14[Vrs]=$D211)*(_xlfn.TEXTAFTER(F_RT14[ActGrp],":")=_xlfn.TEXTAFTER($H211,":")),"X"),MATCH("*"&amp;L$54,F_RT14[#Headers],0))),IF(AND(_xlpm.x=0,_xlpm.y&lt;&gt;0),-1,IF(AND(_xlpm.x&lt;&gt;0,_xlpm.y&lt;&gt;0),_xlpm.x,IF(AND(_xlpm.x-SUM(IF((INDIRECT($B$3)=$B211)*(INDIRECT($C$3)=$D211)*((INDIRECT($E$3)="TOTS")+(INDIRECT($E$3)=$E211)),INDIRECT(L$3)))&lt;&gt;0,_xlpm.y=0),-2,_xlpm.x)))),0))</f>
        <v>0</v>
      </c>
      <c r="M211" s="199" cm="1">
        <f t="array" aca="1" ref="M211" ca="1">IF(OR($B211="",$B211="X",$D211="",$D211="X",$E211="",$E211="X"),0,IFERROR(_xlfn.LET(_xlpm.x,SUM(SUM(_xlfn._xlws.FILTER(VALUE(PptoSty[Sign]&amp;1)*(1/PptoSty[Division]),(PptoSty[Division]&lt;&gt;0)*(PptoSty[Division]&lt;&gt;"")*(PptoSty[Division]&lt;&gt;"X")*(PptoSty[Project]=$B211)*(PptoSty[Vrs]=$D211)*(PptoSty[PiRow]=_xlfn.TEXTAFTER($H211,":"))*(PptoSty[PiColumn]=M$54),0)),SUM(IF((INDIRECT($B$3)=$B211)*(INDIRECT($C$3)=$D211)*((INDIRECT($E$3)="TOTS")+(INDIRECT($E$3)=$E211)),INDIRECT(M$3)))),_xlpm.y,SUM(_xlfn.CHOOSECOLS(_xlfn._xlws.FILTER(F_RT14[],(F_RT14[PrjId]=$B211)*(F_RT14[Vrs]=$D211)*(_xlfn.TEXTAFTER(F_RT14[ActGrp],":")=_xlfn.TEXTAFTER($H211,":")),"X"),MATCH("*"&amp;M$54,F_RT14[#Headers],0))),IF(AND(_xlpm.x=0,_xlpm.y&lt;&gt;0),-1,IF(AND(_xlpm.x&lt;&gt;0,_xlpm.y&lt;&gt;0),_xlpm.x,IF(AND(_xlpm.x-SUM(IF((INDIRECT($B$3)=$B211)*(INDIRECT($C$3)=$D211)*((INDIRECT($E$3)="TOTS")+(INDIRECT($E$3)=$E211)),INDIRECT(M$3)))&lt;&gt;0,_xlpm.y=0),-2,_xlpm.x)))),0))</f>
        <v>0</v>
      </c>
      <c r="N211" s="199" cm="1">
        <f t="array" aca="1" ref="N211" ca="1">IF(OR($B211="",$B211="X",$D211="",$D211="X",$E211="",$E211="X"),0,IFERROR(_xlfn.LET(_xlpm.x,SUM(SUM(_xlfn._xlws.FILTER(VALUE(PptoSty[Sign]&amp;1)*(1/PptoSty[Division]),(PptoSty[Division]&lt;&gt;0)*(PptoSty[Division]&lt;&gt;"")*(PptoSty[Division]&lt;&gt;"X")*(PptoSty[Project]=$B211)*(PptoSty[Vrs]=$D211)*(PptoSty[PiRow]=_xlfn.TEXTAFTER($H211,":"))*(PptoSty[PiColumn]=N$54),0)),SUM(IF((INDIRECT($B$3)=$B211)*(INDIRECT($C$3)=$D211)*((INDIRECT($E$3)="TOTS")+(INDIRECT($E$3)=$E211)),INDIRECT(N$3)))),_xlpm.y,SUM(_xlfn.CHOOSECOLS(_xlfn._xlws.FILTER(F_RT14[],(F_RT14[PrjId]=$B211)*(F_RT14[Vrs]=$D211)*(_xlfn.TEXTAFTER(F_RT14[ActGrp],":")=_xlfn.TEXTAFTER($H211,":")),"X"),MATCH("*"&amp;N$54,F_RT14[#Headers],0))),IF(AND(_xlpm.x=0,_xlpm.y&lt;&gt;0),-1,IF(AND(_xlpm.x&lt;&gt;0,_xlpm.y&lt;&gt;0),_xlpm.x,IF(AND(_xlpm.x-SUM(IF((INDIRECT($B$3)=$B211)*(INDIRECT($C$3)=$D211)*((INDIRECT($E$3)="TOTS")+(INDIRECT($E$3)=$E211)),INDIRECT(N$3)))&lt;&gt;0,_xlpm.y=0),-2,_xlpm.x)))),0))</f>
        <v>0</v>
      </c>
      <c r="O211" s="199" cm="1">
        <f t="array" aca="1" ref="O211" ca="1">IF(OR($B211="",$B211="X",$D211="",$D211="X",$E211="",$E211="X"),0,IFERROR(_xlfn.LET(_xlpm.x,SUM(SUM(_xlfn._xlws.FILTER(VALUE(PptoSty[Sign]&amp;1)*(1/PptoSty[Division]),(PptoSty[Division]&lt;&gt;0)*(PptoSty[Division]&lt;&gt;"")*(PptoSty[Division]&lt;&gt;"X")*(PptoSty[Project]=$B211)*(PptoSty[Vrs]=$D211)*(PptoSty[PiRow]=_xlfn.TEXTAFTER($H211,":"))*(PptoSty[PiColumn]=O$54),0)),SUM(IF((INDIRECT($B$3)=$B211)*(INDIRECT($C$3)=$D211)*((INDIRECT($E$3)="TOTS")+(INDIRECT($E$3)=$E211)),INDIRECT(O$3)))),_xlpm.y,SUM(_xlfn.CHOOSECOLS(_xlfn._xlws.FILTER(F_RT14[],(F_RT14[PrjId]=$B211)*(F_RT14[Vrs]=$D211)*(_xlfn.TEXTAFTER(F_RT14[ActGrp],":")=_xlfn.TEXTAFTER($H211,":")),"X"),MATCH("*"&amp;O$54,F_RT14[#Headers],0))),IF(AND(_xlpm.x=0,_xlpm.y&lt;&gt;0),-1,IF(AND(_xlpm.x&lt;&gt;0,_xlpm.y&lt;&gt;0),_xlpm.x,IF(AND(_xlpm.x-SUM(IF((INDIRECT($B$3)=$B211)*(INDIRECT($C$3)=$D211)*((INDIRECT($E$3)="TOTS")+(INDIRECT($E$3)=$E211)),INDIRECT(O$3)))&lt;&gt;0,_xlpm.y=0),-2,_xlpm.x)))),0))</f>
        <v>0</v>
      </c>
      <c r="P211" s="199" cm="1">
        <f t="array" aca="1" ref="P211" ca="1">IF(OR($B211="",$B211="X",$D211="",$D211="X",$E211="",$E211="X"),0,IFERROR(_xlfn.LET(_xlpm.x,SUM(SUM(_xlfn._xlws.FILTER(VALUE(PptoSty[Sign]&amp;1)*(1/PptoSty[Division]),(PptoSty[Division]&lt;&gt;0)*(PptoSty[Division]&lt;&gt;"")*(PptoSty[Division]&lt;&gt;"X")*(PptoSty[Project]=$B211)*(PptoSty[Vrs]=$D211)*(PptoSty[PiRow]=_xlfn.TEXTAFTER($H211,":"))*(PptoSty[PiColumn]=P$54),0)),SUM(IF((INDIRECT($B$3)=$B211)*(INDIRECT($C$3)=$D211)*((INDIRECT($E$3)="TOTS")+(INDIRECT($E$3)=$E211)),INDIRECT(P$3)))),_xlpm.y,SUM(_xlfn.CHOOSECOLS(_xlfn._xlws.FILTER(F_RT14[],(F_RT14[PrjId]=$B211)*(F_RT14[Vrs]=$D211)*(_xlfn.TEXTAFTER(F_RT14[ActGrp],":")=_xlfn.TEXTAFTER($H211,":")),"X"),MATCH("*"&amp;P$54,F_RT14[#Headers],0))),IF(AND(_xlpm.x=0,_xlpm.y&lt;&gt;0),-1,IF(AND(_xlpm.x&lt;&gt;0,_xlpm.y&lt;&gt;0),_xlpm.x,IF(AND(_xlpm.x-SUM(IF((INDIRECT($B$3)=$B211)*(INDIRECT($C$3)=$D211)*((INDIRECT($E$3)="TOTS")+(INDIRECT($E$3)=$E211)),INDIRECT(P$3)))&lt;&gt;0,_xlpm.y=0),-2,_xlpm.x)))),0))</f>
        <v>0</v>
      </c>
      <c r="Q211" s="199" cm="1">
        <f t="array" aca="1" ref="Q211" ca="1">IF(OR($B211="",$B211="X",$D211="",$D211="X",$E211="",$E211="X"),0,IFERROR(_xlfn.LET(_xlpm.x,SUM(SUM(_xlfn._xlws.FILTER(VALUE(PptoSty[Sign]&amp;1)*(1/PptoSty[Division]),(PptoSty[Division]&lt;&gt;0)*(PptoSty[Division]&lt;&gt;"")*(PptoSty[Division]&lt;&gt;"X")*(PptoSty[Project]=$B211)*(PptoSty[Vrs]=$D211)*(PptoSty[PiRow]=_xlfn.TEXTAFTER($H211,":"))*(PptoSty[PiColumn]=Q$54),0)),SUM(IF((INDIRECT($B$3)=$B211)*(INDIRECT($C$3)=$D211)*((INDIRECT($E$3)="TOTS")+(INDIRECT($E$3)=$E211)),INDIRECT(Q$3)))),_xlpm.y,SUM(_xlfn.CHOOSECOLS(_xlfn._xlws.FILTER(F_RT14[],(F_RT14[PrjId]=$B211)*(F_RT14[Vrs]=$D211)*(_xlfn.TEXTAFTER(F_RT14[ActGrp],":")=_xlfn.TEXTAFTER($H211,":")),"X"),MATCH("*"&amp;Q$54,F_RT14[#Headers],0))),IF(AND(_xlpm.x=0,_xlpm.y&lt;&gt;0),-1,IF(AND(_xlpm.x&lt;&gt;0,_xlpm.y&lt;&gt;0),_xlpm.x,IF(AND(_xlpm.x-SUM(IF((INDIRECT($B$3)=$B211)*(INDIRECT($C$3)=$D211)*((INDIRECT($E$3)="TOTS")+(INDIRECT($E$3)=$E211)),INDIRECT(Q$3)))&lt;&gt;0,_xlpm.y=0),-2,_xlpm.x)))),0))</f>
        <v>0</v>
      </c>
      <c r="R211" s="199" cm="1">
        <f t="array" aca="1" ref="R211" ca="1">IF(OR($B211="",$B211="X",$D211="",$D211="X",$E211="",$E211="X"),0,IFERROR(_xlfn.LET(_xlpm.x,SUM(SUM(_xlfn._xlws.FILTER(VALUE(PptoSty[Sign]&amp;1)*(1/PptoSty[Division]),(PptoSty[Division]&lt;&gt;0)*(PptoSty[Division]&lt;&gt;"")*(PptoSty[Division]&lt;&gt;"X")*(PptoSty[Project]=$B211)*(PptoSty[Vrs]=$D211)*(PptoSty[PiRow]=_xlfn.TEXTAFTER($H211,":"))*(PptoSty[PiColumn]=R$54),0)),SUM(IF((INDIRECT($B$3)=$B211)*(INDIRECT($C$3)=$D211)*((INDIRECT($E$3)="TOTS")+(INDIRECT($E$3)=$E211)),INDIRECT(R$3)))),_xlpm.y,SUM(_xlfn.CHOOSECOLS(_xlfn._xlws.FILTER(F_RT14[],(F_RT14[PrjId]=$B211)*(F_RT14[Vrs]=$D211)*(_xlfn.TEXTAFTER(F_RT14[ActGrp],":")=_xlfn.TEXTAFTER($H211,":")),"X"),MATCH("*"&amp;R$54,F_RT14[#Headers],0))),IF(AND(_xlpm.x=0,_xlpm.y&lt;&gt;0),-1,IF(AND(_xlpm.x&lt;&gt;0,_xlpm.y&lt;&gt;0),_xlpm.x,IF(AND(_xlpm.x-SUM(IF((INDIRECT($B$3)=$B211)*(INDIRECT($C$3)=$D211)*((INDIRECT($E$3)="TOTS")+(INDIRECT($E$3)=$E211)),INDIRECT(R$3)))&lt;&gt;0,_xlpm.y=0),-2,_xlpm.x)))),0))</f>
        <v>0</v>
      </c>
      <c r="S211" s="199" cm="1">
        <f t="array" aca="1" ref="S211" ca="1">IF(OR($B211="",$B211="X",$D211="",$D211="X",$E211="",$E211="X"),0,IFERROR(_xlfn.LET(_xlpm.x,SUM(SUM(_xlfn._xlws.FILTER(VALUE(PptoSty[Sign]&amp;1)*(1/PptoSty[Division]),(PptoSty[Division]&lt;&gt;0)*(PptoSty[Division]&lt;&gt;"")*(PptoSty[Division]&lt;&gt;"X")*(PptoSty[Project]=$B211)*(PptoSty[Vrs]=$D211)*(PptoSty[PiRow]=_xlfn.TEXTAFTER($H211,":"))*(PptoSty[PiColumn]=S$54),0)),SUM(IF((INDIRECT($B$3)=$B211)*(INDIRECT($C$3)=$D211)*((INDIRECT($E$3)="TOTS")+(INDIRECT($E$3)=$E211)),INDIRECT(S$3)))),_xlpm.y,SUM(_xlfn.CHOOSECOLS(_xlfn._xlws.FILTER(F_RT14[],(F_RT14[PrjId]=$B211)*(F_RT14[Vrs]=$D211)*(_xlfn.TEXTAFTER(F_RT14[ActGrp],":")=_xlfn.TEXTAFTER($H211,":")),"X"),MATCH("*"&amp;S$54,F_RT14[#Headers],0))),IF(AND(_xlpm.x=0,_xlpm.y&lt;&gt;0),-1,IF(AND(_xlpm.x&lt;&gt;0,_xlpm.y&lt;&gt;0),_xlpm.x,IF(AND(_xlpm.x-SUM(IF((INDIRECT($B$3)=$B211)*(INDIRECT($C$3)=$D211)*((INDIRECT($E$3)="TOTS")+(INDIRECT($E$3)=$E211)),INDIRECT(S$3)))&lt;&gt;0,_xlpm.y=0),-2,_xlpm.x)))),0))</f>
        <v>0</v>
      </c>
      <c r="T211" s="199" cm="1">
        <f t="array" aca="1" ref="T211" ca="1">IF(OR($B211="",$B211="X",$D211="",$D211="X",$E211="",$E211="X"),0,IFERROR(_xlfn.LET(_xlpm.x,SUM(SUM(_xlfn._xlws.FILTER(VALUE(PptoSty[Sign]&amp;1)*(1/PptoSty[Division]),(PptoSty[Division]&lt;&gt;0)*(PptoSty[Division]&lt;&gt;"")*(PptoSty[Division]&lt;&gt;"X")*(PptoSty[Project]=$B211)*(PptoSty[Vrs]=$D211)*(PptoSty[PiRow]=_xlfn.TEXTAFTER($H211,":"))*(PptoSty[PiColumn]=T$54),0)),SUM(IF((INDIRECT($B$3)=$B211)*(INDIRECT($C$3)=$D211)*((INDIRECT($E$3)="TOTS")+(INDIRECT($E$3)=$E211)),INDIRECT(T$3)))),_xlpm.y,SUM(_xlfn.CHOOSECOLS(_xlfn._xlws.FILTER(F_RT14[],(F_RT14[PrjId]=$B211)*(F_RT14[Vrs]=$D211)*(_xlfn.TEXTAFTER(F_RT14[ActGrp],":")=_xlfn.TEXTAFTER($H211,":")),"X"),MATCH("*"&amp;T$54,F_RT14[#Headers],0))),IF(AND(_xlpm.x=0,_xlpm.y&lt;&gt;0),-1,IF(AND(_xlpm.x&lt;&gt;0,_xlpm.y&lt;&gt;0),_xlpm.x,IF(AND(_xlpm.x-SUM(IF((INDIRECT($B$3)=$B211)*(INDIRECT($C$3)=$D211)*((INDIRECT($E$3)="TOTS")+(INDIRECT($E$3)=$E211)),INDIRECT(T$3)))&lt;&gt;0,_xlpm.y=0),-2,_xlpm.x)))),0))</f>
        <v>0</v>
      </c>
      <c r="U211" s="199" cm="1">
        <f t="array" aca="1" ref="U211" ca="1">IF(OR($B211="",$B211="X",$D211="",$D211="X",$E211="",$E211="X"),0,IFERROR(_xlfn.LET(_xlpm.x,SUM(SUM(_xlfn._xlws.FILTER(VALUE(PptoSty[Sign]&amp;1)*(1/PptoSty[Division]),(PptoSty[Division]&lt;&gt;0)*(PptoSty[Division]&lt;&gt;"")*(PptoSty[Division]&lt;&gt;"X")*(PptoSty[Project]=$B211)*(PptoSty[Vrs]=$D211)*(PptoSty[PiRow]=_xlfn.TEXTAFTER($H211,":"))*(PptoSty[PiColumn]=U$54),0)),SUM(IF((INDIRECT($B$3)=$B211)*(INDIRECT($C$3)=$D211)*((INDIRECT($E$3)="TOTS")+(INDIRECT($E$3)=$E211)),INDIRECT(U$3)))),_xlpm.y,SUM(_xlfn.CHOOSECOLS(_xlfn._xlws.FILTER(F_RT14[],(F_RT14[PrjId]=$B211)*(F_RT14[Vrs]=$D211)*(_xlfn.TEXTAFTER(F_RT14[ActGrp],":")=_xlfn.TEXTAFTER($H211,":")),"X"),MATCH("*"&amp;U$54,F_RT14[#Headers],0))),IF(AND(_xlpm.x=0,_xlpm.y&lt;&gt;0),-1,IF(AND(_xlpm.x&lt;&gt;0,_xlpm.y&lt;&gt;0),_xlpm.x,IF(AND(_xlpm.x-SUM(IF((INDIRECT($B$3)=$B211)*(INDIRECT($C$3)=$D211)*((INDIRECT($E$3)="TOTS")+(INDIRECT($E$3)=$E211)),INDIRECT(U$3)))&lt;&gt;0,_xlpm.y=0),-2,_xlpm.x)))),0))</f>
        <v>0</v>
      </c>
      <c r="V211" s="199" cm="1">
        <f t="array" aca="1" ref="V211" ca="1">IF(OR($B211="",$B211="X",$D211="",$D211="X",$E211="",$E211="X"),0,IFERROR(_xlfn.LET(_xlpm.x,SUM(SUM(_xlfn._xlws.FILTER(VALUE(PptoSty[Sign]&amp;1)*(1/PptoSty[Division]),(PptoSty[Division]&lt;&gt;0)*(PptoSty[Division]&lt;&gt;"")*(PptoSty[Division]&lt;&gt;"X")*(PptoSty[Project]=$B211)*(PptoSty[Vrs]=$D211)*(PptoSty[PiRow]=_xlfn.TEXTAFTER($H211,":"))*(PptoSty[PiColumn]=V$54),0)),SUM(IF((INDIRECT($B$3)=$B211)*(INDIRECT($C$3)=$D211)*((INDIRECT($E$3)="TOTS")+(INDIRECT($E$3)=$E211)),INDIRECT(V$3)))),_xlpm.y,SUM(_xlfn.CHOOSECOLS(_xlfn._xlws.FILTER(F_RT14[],(F_RT14[PrjId]=$B211)*(F_RT14[Vrs]=$D211)*(_xlfn.TEXTAFTER(F_RT14[ActGrp],":")=_xlfn.TEXTAFTER($H211,":")),"X"),MATCH("*"&amp;V$54,F_RT14[#Headers],0))),IF(AND(_xlpm.x=0,_xlpm.y&lt;&gt;0),-1,IF(AND(_xlpm.x&lt;&gt;0,_xlpm.y&lt;&gt;0),_xlpm.x,IF(AND(_xlpm.x-SUM(IF((INDIRECT($B$3)=$B211)*(INDIRECT($C$3)=$D211)*((INDIRECT($E$3)="TOTS")+(INDIRECT($E$3)=$E211)),INDIRECT(V$3)))&lt;&gt;0,_xlpm.y=0),-2,_xlpm.x)))),0))</f>
        <v>0</v>
      </c>
      <c r="W211" s="199" cm="1">
        <f t="array" aca="1" ref="W211" ca="1">IF(OR($B211="",$B211="X",$D211="",$D211="X",$E211="",$E211="X"),0,IFERROR(_xlfn.LET(_xlpm.x,SUM(SUM(_xlfn._xlws.FILTER(VALUE(PptoSty[Sign]&amp;1)*(1/PptoSty[Division]),(PptoSty[Division]&lt;&gt;0)*(PptoSty[Division]&lt;&gt;"")*(PptoSty[Division]&lt;&gt;"X")*(PptoSty[Project]=$B211)*(PptoSty[Vrs]=$D211)*(PptoSty[PiRow]=_xlfn.TEXTAFTER($H211,":"))*(PptoSty[PiColumn]=W$54),0)),SUM(IF((INDIRECT($B$3)=$B211)*(INDIRECT($C$3)=$D211)*((INDIRECT($E$3)="TOTS")+(INDIRECT($E$3)=$E211)),INDIRECT(W$3)))),_xlpm.y,SUM(_xlfn.CHOOSECOLS(_xlfn._xlws.FILTER(F_RT14[],(F_RT14[PrjId]=$B211)*(F_RT14[Vrs]=$D211)*(_xlfn.TEXTAFTER(F_RT14[ActGrp],":")=_xlfn.TEXTAFTER($H211,":")),"X"),MATCH("*"&amp;W$54,F_RT14[#Headers],0))),IF(AND(_xlpm.x=0,_xlpm.y&lt;&gt;0),-1,IF(AND(_xlpm.x&lt;&gt;0,_xlpm.y&lt;&gt;0),_xlpm.x,IF(AND(_xlpm.x-SUM(IF((INDIRECT($B$3)=$B211)*(INDIRECT($C$3)=$D211)*((INDIRECT($E$3)="TOTS")+(INDIRECT($E$3)=$E211)),INDIRECT(W$3)))&lt;&gt;0,_xlpm.y=0),-2,_xlpm.x)))),0))</f>
        <v>0</v>
      </c>
      <c r="X211" s="199" cm="1">
        <f t="array" aca="1" ref="X211" ca="1">IF(OR($B211="",$B211="X",$D211="",$D211="X",$E211="",$E211="X"),0,IFERROR(_xlfn.LET(_xlpm.x,SUM(SUM(_xlfn._xlws.FILTER(VALUE(PptoSty[Sign]&amp;1)*(1/PptoSty[Division]),(PptoSty[Division]&lt;&gt;0)*(PptoSty[Division]&lt;&gt;"")*(PptoSty[Division]&lt;&gt;"X")*(PptoSty[Project]=$B211)*(PptoSty[Vrs]=$D211)*(PptoSty[PiRow]=_xlfn.TEXTAFTER($H211,":"))*(PptoSty[PiColumn]=X$54),0)),SUM(IF((INDIRECT($B$3)=$B211)*(INDIRECT($C$3)=$D211)*((INDIRECT($E$3)="TOTS")+(INDIRECT($E$3)=$E211)),INDIRECT(X$3)))),_xlpm.y,SUM(_xlfn.CHOOSECOLS(_xlfn._xlws.FILTER(F_RT14[],(F_RT14[PrjId]=$B211)*(F_RT14[Vrs]=$D211)*(_xlfn.TEXTAFTER(F_RT14[ActGrp],":")=_xlfn.TEXTAFTER($H211,":")),"X"),MATCH("*"&amp;X$54,F_RT14[#Headers],0))),IF(AND(_xlpm.x=0,_xlpm.y&lt;&gt;0),-1,IF(AND(_xlpm.x&lt;&gt;0,_xlpm.y&lt;&gt;0),_xlpm.x,IF(AND(_xlpm.x-SUM(IF((INDIRECT($B$3)=$B211)*(INDIRECT($C$3)=$D211)*((INDIRECT($E$3)="TOTS")+(INDIRECT($E$3)=$E211)),INDIRECT(X$3)))&lt;&gt;0,_xlpm.y=0),-2,_xlpm.x)))),0))</f>
        <v>0</v>
      </c>
      <c r="Y211" s="199" cm="1">
        <f t="array" aca="1" ref="Y211" ca="1">IF(OR($B211="",$B211="X",$D211="",$D211="X",$E211="",$E211="X"),0,IFERROR(_xlfn.LET(_xlpm.x,SUM(SUM(_xlfn._xlws.FILTER(VALUE(PptoSty[Sign]&amp;1)*(1/PptoSty[Division]),(PptoSty[Division]&lt;&gt;0)*(PptoSty[Division]&lt;&gt;"")*(PptoSty[Division]&lt;&gt;"X")*(PptoSty[Project]=$B211)*(PptoSty[Vrs]=$D211)*(PptoSty[PiRow]=_xlfn.TEXTAFTER($H211,":"))*(PptoSty[PiColumn]=Y$54),0)),SUM(IF((INDIRECT($B$3)=$B211)*(INDIRECT($C$3)=$D211)*((INDIRECT($E$3)="TOTS")+(INDIRECT($E$3)=$E211)),INDIRECT(Y$3)))),_xlpm.y,SUM(_xlfn.CHOOSECOLS(_xlfn._xlws.FILTER(F_RT14[],(F_RT14[PrjId]=$B211)*(F_RT14[Vrs]=$D211)*(_xlfn.TEXTAFTER(F_RT14[ActGrp],":")=_xlfn.TEXTAFTER($H211,":")),"X"),MATCH("*"&amp;Y$54,F_RT14[#Headers],0))),IF(AND(_xlpm.x=0,_xlpm.y&lt;&gt;0),-1,IF(AND(_xlpm.x&lt;&gt;0,_xlpm.y&lt;&gt;0),_xlpm.x,IF(AND(_xlpm.x-SUM(IF((INDIRECT($B$3)=$B211)*(INDIRECT($C$3)=$D211)*((INDIRECT($E$3)="TOTS")+(INDIRECT($E$3)=$E211)),INDIRECT(Y$3)))&lt;&gt;0,_xlpm.y=0),-2,_xlpm.x)))),0))</f>
        <v>0</v>
      </c>
      <c r="Z211" s="198" t="str">
        <f t="shared" ca="1" si="4"/>
        <v>Fback!B211:Y211</v>
      </c>
    </row>
    <row r="212" spans="2:26" ht="21" customHeight="1" outlineLevel="1">
      <c r="B212" s="128"/>
      <c r="C212" s="128"/>
      <c r="D212" s="128"/>
      <c r="E212" s="128"/>
      <c r="F212" s="139"/>
      <c r="G212" s="139"/>
      <c r="H212" s="139"/>
      <c r="I212" s="199" cm="1">
        <f t="array" aca="1" ref="I212" ca="1">IF(OR($B212="",$B212="X",$D212="",$D212="X",$E212="",$E212="X"),0,IFERROR(_xlfn.LET(_xlpm.x,SUM(SUM(_xlfn._xlws.FILTER(VALUE(PptoSty[Sign]&amp;1)*(1/PptoSty[Division]),(PptoSty[Division]&lt;&gt;0)*(PptoSty[Division]&lt;&gt;"")*(PptoSty[Division]&lt;&gt;"X")*(PptoSty[Project]=$B212)*(PptoSty[Vrs]=$D212)*(PptoSty[PiRow]=_xlfn.TEXTAFTER($H212,":"))*(PptoSty[PiColumn]=I$54),0)),SUM(IF((INDIRECT($B$3)=$B212)*(INDIRECT($C$3)=$D212)*((INDIRECT($E$3)="TOTS")+(INDIRECT($E$3)=$E212)),INDIRECT(I$3)))),_xlpm.y,SUM(_xlfn.CHOOSECOLS(_xlfn._xlws.FILTER(F_RT14[],(F_RT14[PrjId]=$B212)*(F_RT14[Vrs]=$D212)*(_xlfn.TEXTAFTER(F_RT14[ActGrp],":")=_xlfn.TEXTAFTER($H212,":")),"X"),MATCH("*"&amp;I$54,F_RT14[#Headers],0))),IF(AND(_xlpm.x=0,_xlpm.y&lt;&gt;0),-1,IF(AND(_xlpm.x&lt;&gt;0,_xlpm.y&lt;&gt;0),_xlpm.x,IF(AND(_xlpm.x-SUM(IF((INDIRECT($B$3)=$B212)*(INDIRECT($C$3)=$D212)*((INDIRECT($E$3)="TOTS")+(INDIRECT($E$3)=$E212)),INDIRECT(I$3)))&lt;&gt;0,_xlpm.y=0),-2,_xlpm.x)))),0))</f>
        <v>0</v>
      </c>
      <c r="J212" s="199" cm="1">
        <f t="array" aca="1" ref="J212" ca="1">IF(OR($B212="",$B212="X",$D212="",$D212="X",$E212="",$E212="X"),0,IFERROR(_xlfn.LET(_xlpm.x,SUM(SUM(_xlfn._xlws.FILTER(VALUE(PptoSty[Sign]&amp;1)*(1/PptoSty[Division]),(PptoSty[Division]&lt;&gt;0)*(PptoSty[Division]&lt;&gt;"")*(PptoSty[Division]&lt;&gt;"X")*(PptoSty[Project]=$B212)*(PptoSty[Vrs]=$D212)*(PptoSty[PiRow]=_xlfn.TEXTAFTER($H212,":"))*(PptoSty[PiColumn]=J$54),0)),SUM(IF((INDIRECT($B$3)=$B212)*(INDIRECT($C$3)=$D212)*((INDIRECT($E$3)="TOTS")+(INDIRECT($E$3)=$E212)),INDIRECT(J$3)))),_xlpm.y,SUM(_xlfn.CHOOSECOLS(_xlfn._xlws.FILTER(F_RT14[],(F_RT14[PrjId]=$B212)*(F_RT14[Vrs]=$D212)*(_xlfn.TEXTAFTER(F_RT14[ActGrp],":")=_xlfn.TEXTAFTER($H212,":")),"X"),MATCH("*"&amp;J$54,F_RT14[#Headers],0))),IF(AND(_xlpm.x=0,_xlpm.y&lt;&gt;0),-1,IF(AND(_xlpm.x&lt;&gt;0,_xlpm.y&lt;&gt;0),_xlpm.x,IF(AND(_xlpm.x-SUM(IF((INDIRECT($B$3)=$B212)*(INDIRECT($C$3)=$D212)*((INDIRECT($E$3)="TOTS")+(INDIRECT($E$3)=$E212)),INDIRECT(J$3)))&lt;&gt;0,_xlpm.y=0),-2,_xlpm.x)))),0))</f>
        <v>0</v>
      </c>
      <c r="K212" s="199" cm="1">
        <f t="array" aca="1" ref="K212" ca="1">IF(OR($B212="",$B212="X",$D212="",$D212="X",$E212="",$E212="X"),0,IFERROR(_xlfn.LET(_xlpm.x,SUM(SUM(_xlfn._xlws.FILTER(VALUE(PptoSty[Sign]&amp;1)*(1/PptoSty[Division]),(PptoSty[Division]&lt;&gt;0)*(PptoSty[Division]&lt;&gt;"")*(PptoSty[Division]&lt;&gt;"X")*(PptoSty[Project]=$B212)*(PptoSty[Vrs]=$D212)*(PptoSty[PiRow]=_xlfn.TEXTAFTER($H212,":"))*(PptoSty[PiColumn]=K$54),0)),SUM(IF((INDIRECT($B$3)=$B212)*(INDIRECT($C$3)=$D212)*((INDIRECT($E$3)="TOTS")+(INDIRECT($E$3)=$E212)),INDIRECT(K$3)))),_xlpm.y,SUM(_xlfn.CHOOSECOLS(_xlfn._xlws.FILTER(F_RT14[],(F_RT14[PrjId]=$B212)*(F_RT14[Vrs]=$D212)*(_xlfn.TEXTAFTER(F_RT14[ActGrp],":")=_xlfn.TEXTAFTER($H212,":")),"X"),MATCH("*"&amp;K$54,F_RT14[#Headers],0))),IF(AND(_xlpm.x=0,_xlpm.y&lt;&gt;0),-1,IF(AND(_xlpm.x&lt;&gt;0,_xlpm.y&lt;&gt;0),_xlpm.x,IF(AND(_xlpm.x-SUM(IF((INDIRECT($B$3)=$B212)*(INDIRECT($C$3)=$D212)*((INDIRECT($E$3)="TOTS")+(INDIRECT($E$3)=$E212)),INDIRECT(K$3)))&lt;&gt;0,_xlpm.y=0),-2,_xlpm.x)))),0))</f>
        <v>0</v>
      </c>
      <c r="L212" s="199" cm="1">
        <f t="array" aca="1" ref="L212" ca="1">IF(OR($B212="",$B212="X",$D212="",$D212="X",$E212="",$E212="X"),0,IFERROR(_xlfn.LET(_xlpm.x,SUM(SUM(_xlfn._xlws.FILTER(VALUE(PptoSty[Sign]&amp;1)*(1/PptoSty[Division]),(PptoSty[Division]&lt;&gt;0)*(PptoSty[Division]&lt;&gt;"")*(PptoSty[Division]&lt;&gt;"X")*(PptoSty[Project]=$B212)*(PptoSty[Vrs]=$D212)*(PptoSty[PiRow]=_xlfn.TEXTAFTER($H212,":"))*(PptoSty[PiColumn]=L$54),0)),SUM(IF((INDIRECT($B$3)=$B212)*(INDIRECT($C$3)=$D212)*((INDIRECT($E$3)="TOTS")+(INDIRECT($E$3)=$E212)),INDIRECT(L$3)))),_xlpm.y,SUM(_xlfn.CHOOSECOLS(_xlfn._xlws.FILTER(F_RT14[],(F_RT14[PrjId]=$B212)*(F_RT14[Vrs]=$D212)*(_xlfn.TEXTAFTER(F_RT14[ActGrp],":")=_xlfn.TEXTAFTER($H212,":")),"X"),MATCH("*"&amp;L$54,F_RT14[#Headers],0))),IF(AND(_xlpm.x=0,_xlpm.y&lt;&gt;0),-1,IF(AND(_xlpm.x&lt;&gt;0,_xlpm.y&lt;&gt;0),_xlpm.x,IF(AND(_xlpm.x-SUM(IF((INDIRECT($B$3)=$B212)*(INDIRECT($C$3)=$D212)*((INDIRECT($E$3)="TOTS")+(INDIRECT($E$3)=$E212)),INDIRECT(L$3)))&lt;&gt;0,_xlpm.y=0),-2,_xlpm.x)))),0))</f>
        <v>0</v>
      </c>
      <c r="M212" s="199" cm="1">
        <f t="array" aca="1" ref="M212" ca="1">IF(OR($B212="",$B212="X",$D212="",$D212="X",$E212="",$E212="X"),0,IFERROR(_xlfn.LET(_xlpm.x,SUM(SUM(_xlfn._xlws.FILTER(VALUE(PptoSty[Sign]&amp;1)*(1/PptoSty[Division]),(PptoSty[Division]&lt;&gt;0)*(PptoSty[Division]&lt;&gt;"")*(PptoSty[Division]&lt;&gt;"X")*(PptoSty[Project]=$B212)*(PptoSty[Vrs]=$D212)*(PptoSty[PiRow]=_xlfn.TEXTAFTER($H212,":"))*(PptoSty[PiColumn]=M$54),0)),SUM(IF((INDIRECT($B$3)=$B212)*(INDIRECT($C$3)=$D212)*((INDIRECT($E$3)="TOTS")+(INDIRECT($E$3)=$E212)),INDIRECT(M$3)))),_xlpm.y,SUM(_xlfn.CHOOSECOLS(_xlfn._xlws.FILTER(F_RT14[],(F_RT14[PrjId]=$B212)*(F_RT14[Vrs]=$D212)*(_xlfn.TEXTAFTER(F_RT14[ActGrp],":")=_xlfn.TEXTAFTER($H212,":")),"X"),MATCH("*"&amp;M$54,F_RT14[#Headers],0))),IF(AND(_xlpm.x=0,_xlpm.y&lt;&gt;0),-1,IF(AND(_xlpm.x&lt;&gt;0,_xlpm.y&lt;&gt;0),_xlpm.x,IF(AND(_xlpm.x-SUM(IF((INDIRECT($B$3)=$B212)*(INDIRECT($C$3)=$D212)*((INDIRECT($E$3)="TOTS")+(INDIRECT($E$3)=$E212)),INDIRECT(M$3)))&lt;&gt;0,_xlpm.y=0),-2,_xlpm.x)))),0))</f>
        <v>0</v>
      </c>
      <c r="N212" s="199" cm="1">
        <f t="array" aca="1" ref="N212" ca="1">IF(OR($B212="",$B212="X",$D212="",$D212="X",$E212="",$E212="X"),0,IFERROR(_xlfn.LET(_xlpm.x,SUM(SUM(_xlfn._xlws.FILTER(VALUE(PptoSty[Sign]&amp;1)*(1/PptoSty[Division]),(PptoSty[Division]&lt;&gt;0)*(PptoSty[Division]&lt;&gt;"")*(PptoSty[Division]&lt;&gt;"X")*(PptoSty[Project]=$B212)*(PptoSty[Vrs]=$D212)*(PptoSty[PiRow]=_xlfn.TEXTAFTER($H212,":"))*(PptoSty[PiColumn]=N$54),0)),SUM(IF((INDIRECT($B$3)=$B212)*(INDIRECT($C$3)=$D212)*((INDIRECT($E$3)="TOTS")+(INDIRECT($E$3)=$E212)),INDIRECT(N$3)))),_xlpm.y,SUM(_xlfn.CHOOSECOLS(_xlfn._xlws.FILTER(F_RT14[],(F_RT14[PrjId]=$B212)*(F_RT14[Vrs]=$D212)*(_xlfn.TEXTAFTER(F_RT14[ActGrp],":")=_xlfn.TEXTAFTER($H212,":")),"X"),MATCH("*"&amp;N$54,F_RT14[#Headers],0))),IF(AND(_xlpm.x=0,_xlpm.y&lt;&gt;0),-1,IF(AND(_xlpm.x&lt;&gt;0,_xlpm.y&lt;&gt;0),_xlpm.x,IF(AND(_xlpm.x-SUM(IF((INDIRECT($B$3)=$B212)*(INDIRECT($C$3)=$D212)*((INDIRECT($E$3)="TOTS")+(INDIRECT($E$3)=$E212)),INDIRECT(N$3)))&lt;&gt;0,_xlpm.y=0),-2,_xlpm.x)))),0))</f>
        <v>0</v>
      </c>
      <c r="O212" s="199" cm="1">
        <f t="array" aca="1" ref="O212" ca="1">IF(OR($B212="",$B212="X",$D212="",$D212="X",$E212="",$E212="X"),0,IFERROR(_xlfn.LET(_xlpm.x,SUM(SUM(_xlfn._xlws.FILTER(VALUE(PptoSty[Sign]&amp;1)*(1/PptoSty[Division]),(PptoSty[Division]&lt;&gt;0)*(PptoSty[Division]&lt;&gt;"")*(PptoSty[Division]&lt;&gt;"X")*(PptoSty[Project]=$B212)*(PptoSty[Vrs]=$D212)*(PptoSty[PiRow]=_xlfn.TEXTAFTER($H212,":"))*(PptoSty[PiColumn]=O$54),0)),SUM(IF((INDIRECT($B$3)=$B212)*(INDIRECT($C$3)=$D212)*((INDIRECT($E$3)="TOTS")+(INDIRECT($E$3)=$E212)),INDIRECT(O$3)))),_xlpm.y,SUM(_xlfn.CHOOSECOLS(_xlfn._xlws.FILTER(F_RT14[],(F_RT14[PrjId]=$B212)*(F_RT14[Vrs]=$D212)*(_xlfn.TEXTAFTER(F_RT14[ActGrp],":")=_xlfn.TEXTAFTER($H212,":")),"X"),MATCH("*"&amp;O$54,F_RT14[#Headers],0))),IF(AND(_xlpm.x=0,_xlpm.y&lt;&gt;0),-1,IF(AND(_xlpm.x&lt;&gt;0,_xlpm.y&lt;&gt;0),_xlpm.x,IF(AND(_xlpm.x-SUM(IF((INDIRECT($B$3)=$B212)*(INDIRECT($C$3)=$D212)*((INDIRECT($E$3)="TOTS")+(INDIRECT($E$3)=$E212)),INDIRECT(O$3)))&lt;&gt;0,_xlpm.y=0),-2,_xlpm.x)))),0))</f>
        <v>0</v>
      </c>
      <c r="P212" s="199" cm="1">
        <f t="array" aca="1" ref="P212" ca="1">IF(OR($B212="",$B212="X",$D212="",$D212="X",$E212="",$E212="X"),0,IFERROR(_xlfn.LET(_xlpm.x,SUM(SUM(_xlfn._xlws.FILTER(VALUE(PptoSty[Sign]&amp;1)*(1/PptoSty[Division]),(PptoSty[Division]&lt;&gt;0)*(PptoSty[Division]&lt;&gt;"")*(PptoSty[Division]&lt;&gt;"X")*(PptoSty[Project]=$B212)*(PptoSty[Vrs]=$D212)*(PptoSty[PiRow]=_xlfn.TEXTAFTER($H212,":"))*(PptoSty[PiColumn]=P$54),0)),SUM(IF((INDIRECT($B$3)=$B212)*(INDIRECT($C$3)=$D212)*((INDIRECT($E$3)="TOTS")+(INDIRECT($E$3)=$E212)),INDIRECT(P$3)))),_xlpm.y,SUM(_xlfn.CHOOSECOLS(_xlfn._xlws.FILTER(F_RT14[],(F_RT14[PrjId]=$B212)*(F_RT14[Vrs]=$D212)*(_xlfn.TEXTAFTER(F_RT14[ActGrp],":")=_xlfn.TEXTAFTER($H212,":")),"X"),MATCH("*"&amp;P$54,F_RT14[#Headers],0))),IF(AND(_xlpm.x=0,_xlpm.y&lt;&gt;0),-1,IF(AND(_xlpm.x&lt;&gt;0,_xlpm.y&lt;&gt;0),_xlpm.x,IF(AND(_xlpm.x-SUM(IF((INDIRECT($B$3)=$B212)*(INDIRECT($C$3)=$D212)*((INDIRECT($E$3)="TOTS")+(INDIRECT($E$3)=$E212)),INDIRECT(P$3)))&lt;&gt;0,_xlpm.y=0),-2,_xlpm.x)))),0))</f>
        <v>0</v>
      </c>
      <c r="Q212" s="199" cm="1">
        <f t="array" aca="1" ref="Q212" ca="1">IF(OR($B212="",$B212="X",$D212="",$D212="X",$E212="",$E212="X"),0,IFERROR(_xlfn.LET(_xlpm.x,SUM(SUM(_xlfn._xlws.FILTER(VALUE(PptoSty[Sign]&amp;1)*(1/PptoSty[Division]),(PptoSty[Division]&lt;&gt;0)*(PptoSty[Division]&lt;&gt;"")*(PptoSty[Division]&lt;&gt;"X")*(PptoSty[Project]=$B212)*(PptoSty[Vrs]=$D212)*(PptoSty[PiRow]=_xlfn.TEXTAFTER($H212,":"))*(PptoSty[PiColumn]=Q$54),0)),SUM(IF((INDIRECT($B$3)=$B212)*(INDIRECT($C$3)=$D212)*((INDIRECT($E$3)="TOTS")+(INDIRECT($E$3)=$E212)),INDIRECT(Q$3)))),_xlpm.y,SUM(_xlfn.CHOOSECOLS(_xlfn._xlws.FILTER(F_RT14[],(F_RT14[PrjId]=$B212)*(F_RT14[Vrs]=$D212)*(_xlfn.TEXTAFTER(F_RT14[ActGrp],":")=_xlfn.TEXTAFTER($H212,":")),"X"),MATCH("*"&amp;Q$54,F_RT14[#Headers],0))),IF(AND(_xlpm.x=0,_xlpm.y&lt;&gt;0),-1,IF(AND(_xlpm.x&lt;&gt;0,_xlpm.y&lt;&gt;0),_xlpm.x,IF(AND(_xlpm.x-SUM(IF((INDIRECT($B$3)=$B212)*(INDIRECT($C$3)=$D212)*((INDIRECT($E$3)="TOTS")+(INDIRECT($E$3)=$E212)),INDIRECT(Q$3)))&lt;&gt;0,_xlpm.y=0),-2,_xlpm.x)))),0))</f>
        <v>0</v>
      </c>
      <c r="R212" s="199" cm="1">
        <f t="array" aca="1" ref="R212" ca="1">IF(OR($B212="",$B212="X",$D212="",$D212="X",$E212="",$E212="X"),0,IFERROR(_xlfn.LET(_xlpm.x,SUM(SUM(_xlfn._xlws.FILTER(VALUE(PptoSty[Sign]&amp;1)*(1/PptoSty[Division]),(PptoSty[Division]&lt;&gt;0)*(PptoSty[Division]&lt;&gt;"")*(PptoSty[Division]&lt;&gt;"X")*(PptoSty[Project]=$B212)*(PptoSty[Vrs]=$D212)*(PptoSty[PiRow]=_xlfn.TEXTAFTER($H212,":"))*(PptoSty[PiColumn]=R$54),0)),SUM(IF((INDIRECT($B$3)=$B212)*(INDIRECT($C$3)=$D212)*((INDIRECT($E$3)="TOTS")+(INDIRECT($E$3)=$E212)),INDIRECT(R$3)))),_xlpm.y,SUM(_xlfn.CHOOSECOLS(_xlfn._xlws.FILTER(F_RT14[],(F_RT14[PrjId]=$B212)*(F_RT14[Vrs]=$D212)*(_xlfn.TEXTAFTER(F_RT14[ActGrp],":")=_xlfn.TEXTAFTER($H212,":")),"X"),MATCH("*"&amp;R$54,F_RT14[#Headers],0))),IF(AND(_xlpm.x=0,_xlpm.y&lt;&gt;0),-1,IF(AND(_xlpm.x&lt;&gt;0,_xlpm.y&lt;&gt;0),_xlpm.x,IF(AND(_xlpm.x-SUM(IF((INDIRECT($B$3)=$B212)*(INDIRECT($C$3)=$D212)*((INDIRECT($E$3)="TOTS")+(INDIRECT($E$3)=$E212)),INDIRECT(R$3)))&lt;&gt;0,_xlpm.y=0),-2,_xlpm.x)))),0))</f>
        <v>0</v>
      </c>
      <c r="S212" s="199" cm="1">
        <f t="array" aca="1" ref="S212" ca="1">IF(OR($B212="",$B212="X",$D212="",$D212="X",$E212="",$E212="X"),0,IFERROR(_xlfn.LET(_xlpm.x,SUM(SUM(_xlfn._xlws.FILTER(VALUE(PptoSty[Sign]&amp;1)*(1/PptoSty[Division]),(PptoSty[Division]&lt;&gt;0)*(PptoSty[Division]&lt;&gt;"")*(PptoSty[Division]&lt;&gt;"X")*(PptoSty[Project]=$B212)*(PptoSty[Vrs]=$D212)*(PptoSty[PiRow]=_xlfn.TEXTAFTER($H212,":"))*(PptoSty[PiColumn]=S$54),0)),SUM(IF((INDIRECT($B$3)=$B212)*(INDIRECT($C$3)=$D212)*((INDIRECT($E$3)="TOTS")+(INDIRECT($E$3)=$E212)),INDIRECT(S$3)))),_xlpm.y,SUM(_xlfn.CHOOSECOLS(_xlfn._xlws.FILTER(F_RT14[],(F_RT14[PrjId]=$B212)*(F_RT14[Vrs]=$D212)*(_xlfn.TEXTAFTER(F_RT14[ActGrp],":")=_xlfn.TEXTAFTER($H212,":")),"X"),MATCH("*"&amp;S$54,F_RT14[#Headers],0))),IF(AND(_xlpm.x=0,_xlpm.y&lt;&gt;0),-1,IF(AND(_xlpm.x&lt;&gt;0,_xlpm.y&lt;&gt;0),_xlpm.x,IF(AND(_xlpm.x-SUM(IF((INDIRECT($B$3)=$B212)*(INDIRECT($C$3)=$D212)*((INDIRECT($E$3)="TOTS")+(INDIRECT($E$3)=$E212)),INDIRECT(S$3)))&lt;&gt;0,_xlpm.y=0),-2,_xlpm.x)))),0))</f>
        <v>0</v>
      </c>
      <c r="T212" s="199" cm="1">
        <f t="array" aca="1" ref="T212" ca="1">IF(OR($B212="",$B212="X",$D212="",$D212="X",$E212="",$E212="X"),0,IFERROR(_xlfn.LET(_xlpm.x,SUM(SUM(_xlfn._xlws.FILTER(VALUE(PptoSty[Sign]&amp;1)*(1/PptoSty[Division]),(PptoSty[Division]&lt;&gt;0)*(PptoSty[Division]&lt;&gt;"")*(PptoSty[Division]&lt;&gt;"X")*(PptoSty[Project]=$B212)*(PptoSty[Vrs]=$D212)*(PptoSty[PiRow]=_xlfn.TEXTAFTER($H212,":"))*(PptoSty[PiColumn]=T$54),0)),SUM(IF((INDIRECT($B$3)=$B212)*(INDIRECT($C$3)=$D212)*((INDIRECT($E$3)="TOTS")+(INDIRECT($E$3)=$E212)),INDIRECT(T$3)))),_xlpm.y,SUM(_xlfn.CHOOSECOLS(_xlfn._xlws.FILTER(F_RT14[],(F_RT14[PrjId]=$B212)*(F_RT14[Vrs]=$D212)*(_xlfn.TEXTAFTER(F_RT14[ActGrp],":")=_xlfn.TEXTAFTER($H212,":")),"X"),MATCH("*"&amp;T$54,F_RT14[#Headers],0))),IF(AND(_xlpm.x=0,_xlpm.y&lt;&gt;0),-1,IF(AND(_xlpm.x&lt;&gt;0,_xlpm.y&lt;&gt;0),_xlpm.x,IF(AND(_xlpm.x-SUM(IF((INDIRECT($B$3)=$B212)*(INDIRECT($C$3)=$D212)*((INDIRECT($E$3)="TOTS")+(INDIRECT($E$3)=$E212)),INDIRECT(T$3)))&lt;&gt;0,_xlpm.y=0),-2,_xlpm.x)))),0))</f>
        <v>0</v>
      </c>
      <c r="U212" s="199" cm="1">
        <f t="array" aca="1" ref="U212" ca="1">IF(OR($B212="",$B212="X",$D212="",$D212="X",$E212="",$E212="X"),0,IFERROR(_xlfn.LET(_xlpm.x,SUM(SUM(_xlfn._xlws.FILTER(VALUE(PptoSty[Sign]&amp;1)*(1/PptoSty[Division]),(PptoSty[Division]&lt;&gt;0)*(PptoSty[Division]&lt;&gt;"")*(PptoSty[Division]&lt;&gt;"X")*(PptoSty[Project]=$B212)*(PptoSty[Vrs]=$D212)*(PptoSty[PiRow]=_xlfn.TEXTAFTER($H212,":"))*(PptoSty[PiColumn]=U$54),0)),SUM(IF((INDIRECT($B$3)=$B212)*(INDIRECT($C$3)=$D212)*((INDIRECT($E$3)="TOTS")+(INDIRECT($E$3)=$E212)),INDIRECT(U$3)))),_xlpm.y,SUM(_xlfn.CHOOSECOLS(_xlfn._xlws.FILTER(F_RT14[],(F_RT14[PrjId]=$B212)*(F_RT14[Vrs]=$D212)*(_xlfn.TEXTAFTER(F_RT14[ActGrp],":")=_xlfn.TEXTAFTER($H212,":")),"X"),MATCH("*"&amp;U$54,F_RT14[#Headers],0))),IF(AND(_xlpm.x=0,_xlpm.y&lt;&gt;0),-1,IF(AND(_xlpm.x&lt;&gt;0,_xlpm.y&lt;&gt;0),_xlpm.x,IF(AND(_xlpm.x-SUM(IF((INDIRECT($B$3)=$B212)*(INDIRECT($C$3)=$D212)*((INDIRECT($E$3)="TOTS")+(INDIRECT($E$3)=$E212)),INDIRECT(U$3)))&lt;&gt;0,_xlpm.y=0),-2,_xlpm.x)))),0))</f>
        <v>0</v>
      </c>
      <c r="V212" s="199" cm="1">
        <f t="array" aca="1" ref="V212" ca="1">IF(OR($B212="",$B212="X",$D212="",$D212="X",$E212="",$E212="X"),0,IFERROR(_xlfn.LET(_xlpm.x,SUM(SUM(_xlfn._xlws.FILTER(VALUE(PptoSty[Sign]&amp;1)*(1/PptoSty[Division]),(PptoSty[Division]&lt;&gt;0)*(PptoSty[Division]&lt;&gt;"")*(PptoSty[Division]&lt;&gt;"X")*(PptoSty[Project]=$B212)*(PptoSty[Vrs]=$D212)*(PptoSty[PiRow]=_xlfn.TEXTAFTER($H212,":"))*(PptoSty[PiColumn]=V$54),0)),SUM(IF((INDIRECT($B$3)=$B212)*(INDIRECT($C$3)=$D212)*((INDIRECT($E$3)="TOTS")+(INDIRECT($E$3)=$E212)),INDIRECT(V$3)))),_xlpm.y,SUM(_xlfn.CHOOSECOLS(_xlfn._xlws.FILTER(F_RT14[],(F_RT14[PrjId]=$B212)*(F_RT14[Vrs]=$D212)*(_xlfn.TEXTAFTER(F_RT14[ActGrp],":")=_xlfn.TEXTAFTER($H212,":")),"X"),MATCH("*"&amp;V$54,F_RT14[#Headers],0))),IF(AND(_xlpm.x=0,_xlpm.y&lt;&gt;0),-1,IF(AND(_xlpm.x&lt;&gt;0,_xlpm.y&lt;&gt;0),_xlpm.x,IF(AND(_xlpm.x-SUM(IF((INDIRECT($B$3)=$B212)*(INDIRECT($C$3)=$D212)*((INDIRECT($E$3)="TOTS")+(INDIRECT($E$3)=$E212)),INDIRECT(V$3)))&lt;&gt;0,_xlpm.y=0),-2,_xlpm.x)))),0))</f>
        <v>0</v>
      </c>
      <c r="W212" s="199" cm="1">
        <f t="array" aca="1" ref="W212" ca="1">IF(OR($B212="",$B212="X",$D212="",$D212="X",$E212="",$E212="X"),0,IFERROR(_xlfn.LET(_xlpm.x,SUM(SUM(_xlfn._xlws.FILTER(VALUE(PptoSty[Sign]&amp;1)*(1/PptoSty[Division]),(PptoSty[Division]&lt;&gt;0)*(PptoSty[Division]&lt;&gt;"")*(PptoSty[Division]&lt;&gt;"X")*(PptoSty[Project]=$B212)*(PptoSty[Vrs]=$D212)*(PptoSty[PiRow]=_xlfn.TEXTAFTER($H212,":"))*(PptoSty[PiColumn]=W$54),0)),SUM(IF((INDIRECT($B$3)=$B212)*(INDIRECT($C$3)=$D212)*((INDIRECT($E$3)="TOTS")+(INDIRECT($E$3)=$E212)),INDIRECT(W$3)))),_xlpm.y,SUM(_xlfn.CHOOSECOLS(_xlfn._xlws.FILTER(F_RT14[],(F_RT14[PrjId]=$B212)*(F_RT14[Vrs]=$D212)*(_xlfn.TEXTAFTER(F_RT14[ActGrp],":")=_xlfn.TEXTAFTER($H212,":")),"X"),MATCH("*"&amp;W$54,F_RT14[#Headers],0))),IF(AND(_xlpm.x=0,_xlpm.y&lt;&gt;0),-1,IF(AND(_xlpm.x&lt;&gt;0,_xlpm.y&lt;&gt;0),_xlpm.x,IF(AND(_xlpm.x-SUM(IF((INDIRECT($B$3)=$B212)*(INDIRECT($C$3)=$D212)*((INDIRECT($E$3)="TOTS")+(INDIRECT($E$3)=$E212)),INDIRECT(W$3)))&lt;&gt;0,_xlpm.y=0),-2,_xlpm.x)))),0))</f>
        <v>0</v>
      </c>
      <c r="X212" s="199" cm="1">
        <f t="array" aca="1" ref="X212" ca="1">IF(OR($B212="",$B212="X",$D212="",$D212="X",$E212="",$E212="X"),0,IFERROR(_xlfn.LET(_xlpm.x,SUM(SUM(_xlfn._xlws.FILTER(VALUE(PptoSty[Sign]&amp;1)*(1/PptoSty[Division]),(PptoSty[Division]&lt;&gt;0)*(PptoSty[Division]&lt;&gt;"")*(PptoSty[Division]&lt;&gt;"X")*(PptoSty[Project]=$B212)*(PptoSty[Vrs]=$D212)*(PptoSty[PiRow]=_xlfn.TEXTAFTER($H212,":"))*(PptoSty[PiColumn]=X$54),0)),SUM(IF((INDIRECT($B$3)=$B212)*(INDIRECT($C$3)=$D212)*((INDIRECT($E$3)="TOTS")+(INDIRECT($E$3)=$E212)),INDIRECT(X$3)))),_xlpm.y,SUM(_xlfn.CHOOSECOLS(_xlfn._xlws.FILTER(F_RT14[],(F_RT14[PrjId]=$B212)*(F_RT14[Vrs]=$D212)*(_xlfn.TEXTAFTER(F_RT14[ActGrp],":")=_xlfn.TEXTAFTER($H212,":")),"X"),MATCH("*"&amp;X$54,F_RT14[#Headers],0))),IF(AND(_xlpm.x=0,_xlpm.y&lt;&gt;0),-1,IF(AND(_xlpm.x&lt;&gt;0,_xlpm.y&lt;&gt;0),_xlpm.x,IF(AND(_xlpm.x-SUM(IF((INDIRECT($B$3)=$B212)*(INDIRECT($C$3)=$D212)*((INDIRECT($E$3)="TOTS")+(INDIRECT($E$3)=$E212)),INDIRECT(X$3)))&lt;&gt;0,_xlpm.y=0),-2,_xlpm.x)))),0))</f>
        <v>0</v>
      </c>
      <c r="Y212" s="199" cm="1">
        <f t="array" aca="1" ref="Y212" ca="1">IF(OR($B212="",$B212="X",$D212="",$D212="X",$E212="",$E212="X"),0,IFERROR(_xlfn.LET(_xlpm.x,SUM(SUM(_xlfn._xlws.FILTER(VALUE(PptoSty[Sign]&amp;1)*(1/PptoSty[Division]),(PptoSty[Division]&lt;&gt;0)*(PptoSty[Division]&lt;&gt;"")*(PptoSty[Division]&lt;&gt;"X")*(PptoSty[Project]=$B212)*(PptoSty[Vrs]=$D212)*(PptoSty[PiRow]=_xlfn.TEXTAFTER($H212,":"))*(PptoSty[PiColumn]=Y$54),0)),SUM(IF((INDIRECT($B$3)=$B212)*(INDIRECT($C$3)=$D212)*((INDIRECT($E$3)="TOTS")+(INDIRECT($E$3)=$E212)),INDIRECT(Y$3)))),_xlpm.y,SUM(_xlfn.CHOOSECOLS(_xlfn._xlws.FILTER(F_RT14[],(F_RT14[PrjId]=$B212)*(F_RT14[Vrs]=$D212)*(_xlfn.TEXTAFTER(F_RT14[ActGrp],":")=_xlfn.TEXTAFTER($H212,":")),"X"),MATCH("*"&amp;Y$54,F_RT14[#Headers],0))),IF(AND(_xlpm.x=0,_xlpm.y&lt;&gt;0),-1,IF(AND(_xlpm.x&lt;&gt;0,_xlpm.y&lt;&gt;0),_xlpm.x,IF(AND(_xlpm.x-SUM(IF((INDIRECT($B$3)=$B212)*(INDIRECT($C$3)=$D212)*((INDIRECT($E$3)="TOTS")+(INDIRECT($E$3)=$E212)),INDIRECT(Y$3)))&lt;&gt;0,_xlpm.y=0),-2,_xlpm.x)))),0))</f>
        <v>0</v>
      </c>
      <c r="Z212" s="198" t="str">
        <f t="shared" ca="1" si="4"/>
        <v>Fback!B212:Y212</v>
      </c>
    </row>
    <row r="213" spans="2:26" ht="21" customHeight="1" outlineLevel="1">
      <c r="B213" s="128"/>
      <c r="C213" s="128"/>
      <c r="D213" s="128"/>
      <c r="E213" s="128"/>
      <c r="F213" s="139"/>
      <c r="G213" s="139"/>
      <c r="H213" s="139"/>
      <c r="I213" s="199" cm="1">
        <f t="array" aca="1" ref="I213" ca="1">IF(OR($B213="",$B213="X",$D213="",$D213="X",$E213="",$E213="X"),0,IFERROR(_xlfn.LET(_xlpm.x,SUM(SUM(_xlfn._xlws.FILTER(VALUE(PptoSty[Sign]&amp;1)*(1/PptoSty[Division]),(PptoSty[Division]&lt;&gt;0)*(PptoSty[Division]&lt;&gt;"")*(PptoSty[Division]&lt;&gt;"X")*(PptoSty[Project]=$B213)*(PptoSty[Vrs]=$D213)*(PptoSty[PiRow]=_xlfn.TEXTAFTER($H213,":"))*(PptoSty[PiColumn]=I$54),0)),SUM(IF((INDIRECT($B$3)=$B213)*(INDIRECT($C$3)=$D213)*((INDIRECT($E$3)="TOTS")+(INDIRECT($E$3)=$E213)),INDIRECT(I$3)))),_xlpm.y,SUM(_xlfn.CHOOSECOLS(_xlfn._xlws.FILTER(F_RT14[],(F_RT14[PrjId]=$B213)*(F_RT14[Vrs]=$D213)*(_xlfn.TEXTAFTER(F_RT14[ActGrp],":")=_xlfn.TEXTAFTER($H213,":")),"X"),MATCH("*"&amp;I$54,F_RT14[#Headers],0))),IF(AND(_xlpm.x=0,_xlpm.y&lt;&gt;0),-1,IF(AND(_xlpm.x&lt;&gt;0,_xlpm.y&lt;&gt;0),_xlpm.x,IF(AND(_xlpm.x-SUM(IF((INDIRECT($B$3)=$B213)*(INDIRECT($C$3)=$D213)*((INDIRECT($E$3)="TOTS")+(INDIRECT($E$3)=$E213)),INDIRECT(I$3)))&lt;&gt;0,_xlpm.y=0),-2,_xlpm.x)))),0))</f>
        <v>0</v>
      </c>
      <c r="J213" s="199" cm="1">
        <f t="array" aca="1" ref="J213" ca="1">IF(OR($B213="",$B213="X",$D213="",$D213="X",$E213="",$E213="X"),0,IFERROR(_xlfn.LET(_xlpm.x,SUM(SUM(_xlfn._xlws.FILTER(VALUE(PptoSty[Sign]&amp;1)*(1/PptoSty[Division]),(PptoSty[Division]&lt;&gt;0)*(PptoSty[Division]&lt;&gt;"")*(PptoSty[Division]&lt;&gt;"X")*(PptoSty[Project]=$B213)*(PptoSty[Vrs]=$D213)*(PptoSty[PiRow]=_xlfn.TEXTAFTER($H213,":"))*(PptoSty[PiColumn]=J$54),0)),SUM(IF((INDIRECT($B$3)=$B213)*(INDIRECT($C$3)=$D213)*((INDIRECT($E$3)="TOTS")+(INDIRECT($E$3)=$E213)),INDIRECT(J$3)))),_xlpm.y,SUM(_xlfn.CHOOSECOLS(_xlfn._xlws.FILTER(F_RT14[],(F_RT14[PrjId]=$B213)*(F_RT14[Vrs]=$D213)*(_xlfn.TEXTAFTER(F_RT14[ActGrp],":")=_xlfn.TEXTAFTER($H213,":")),"X"),MATCH("*"&amp;J$54,F_RT14[#Headers],0))),IF(AND(_xlpm.x=0,_xlpm.y&lt;&gt;0),-1,IF(AND(_xlpm.x&lt;&gt;0,_xlpm.y&lt;&gt;0),_xlpm.x,IF(AND(_xlpm.x-SUM(IF((INDIRECT($B$3)=$B213)*(INDIRECT($C$3)=$D213)*((INDIRECT($E$3)="TOTS")+(INDIRECT($E$3)=$E213)),INDIRECT(J$3)))&lt;&gt;0,_xlpm.y=0),-2,_xlpm.x)))),0))</f>
        <v>0</v>
      </c>
      <c r="K213" s="199" cm="1">
        <f t="array" aca="1" ref="K213" ca="1">IF(OR($B213="",$B213="X",$D213="",$D213="X",$E213="",$E213="X"),0,IFERROR(_xlfn.LET(_xlpm.x,SUM(SUM(_xlfn._xlws.FILTER(VALUE(PptoSty[Sign]&amp;1)*(1/PptoSty[Division]),(PptoSty[Division]&lt;&gt;0)*(PptoSty[Division]&lt;&gt;"")*(PptoSty[Division]&lt;&gt;"X")*(PptoSty[Project]=$B213)*(PptoSty[Vrs]=$D213)*(PptoSty[PiRow]=_xlfn.TEXTAFTER($H213,":"))*(PptoSty[PiColumn]=K$54),0)),SUM(IF((INDIRECT($B$3)=$B213)*(INDIRECT($C$3)=$D213)*((INDIRECT($E$3)="TOTS")+(INDIRECT($E$3)=$E213)),INDIRECT(K$3)))),_xlpm.y,SUM(_xlfn.CHOOSECOLS(_xlfn._xlws.FILTER(F_RT14[],(F_RT14[PrjId]=$B213)*(F_RT14[Vrs]=$D213)*(_xlfn.TEXTAFTER(F_RT14[ActGrp],":")=_xlfn.TEXTAFTER($H213,":")),"X"),MATCH("*"&amp;K$54,F_RT14[#Headers],0))),IF(AND(_xlpm.x=0,_xlpm.y&lt;&gt;0),-1,IF(AND(_xlpm.x&lt;&gt;0,_xlpm.y&lt;&gt;0),_xlpm.x,IF(AND(_xlpm.x-SUM(IF((INDIRECT($B$3)=$B213)*(INDIRECT($C$3)=$D213)*((INDIRECT($E$3)="TOTS")+(INDIRECT($E$3)=$E213)),INDIRECT(K$3)))&lt;&gt;0,_xlpm.y=0),-2,_xlpm.x)))),0))</f>
        <v>0</v>
      </c>
      <c r="L213" s="199" cm="1">
        <f t="array" aca="1" ref="L213" ca="1">IF(OR($B213="",$B213="X",$D213="",$D213="X",$E213="",$E213="X"),0,IFERROR(_xlfn.LET(_xlpm.x,SUM(SUM(_xlfn._xlws.FILTER(VALUE(PptoSty[Sign]&amp;1)*(1/PptoSty[Division]),(PptoSty[Division]&lt;&gt;0)*(PptoSty[Division]&lt;&gt;"")*(PptoSty[Division]&lt;&gt;"X")*(PptoSty[Project]=$B213)*(PptoSty[Vrs]=$D213)*(PptoSty[PiRow]=_xlfn.TEXTAFTER($H213,":"))*(PptoSty[PiColumn]=L$54),0)),SUM(IF((INDIRECT($B$3)=$B213)*(INDIRECT($C$3)=$D213)*((INDIRECT($E$3)="TOTS")+(INDIRECT($E$3)=$E213)),INDIRECT(L$3)))),_xlpm.y,SUM(_xlfn.CHOOSECOLS(_xlfn._xlws.FILTER(F_RT14[],(F_RT14[PrjId]=$B213)*(F_RT14[Vrs]=$D213)*(_xlfn.TEXTAFTER(F_RT14[ActGrp],":")=_xlfn.TEXTAFTER($H213,":")),"X"),MATCH("*"&amp;L$54,F_RT14[#Headers],0))),IF(AND(_xlpm.x=0,_xlpm.y&lt;&gt;0),-1,IF(AND(_xlpm.x&lt;&gt;0,_xlpm.y&lt;&gt;0),_xlpm.x,IF(AND(_xlpm.x-SUM(IF((INDIRECT($B$3)=$B213)*(INDIRECT($C$3)=$D213)*((INDIRECT($E$3)="TOTS")+(INDIRECT($E$3)=$E213)),INDIRECT(L$3)))&lt;&gt;0,_xlpm.y=0),-2,_xlpm.x)))),0))</f>
        <v>0</v>
      </c>
      <c r="M213" s="199" cm="1">
        <f t="array" aca="1" ref="M213" ca="1">IF(OR($B213="",$B213="X",$D213="",$D213="X",$E213="",$E213="X"),0,IFERROR(_xlfn.LET(_xlpm.x,SUM(SUM(_xlfn._xlws.FILTER(VALUE(PptoSty[Sign]&amp;1)*(1/PptoSty[Division]),(PptoSty[Division]&lt;&gt;0)*(PptoSty[Division]&lt;&gt;"")*(PptoSty[Division]&lt;&gt;"X")*(PptoSty[Project]=$B213)*(PptoSty[Vrs]=$D213)*(PptoSty[PiRow]=_xlfn.TEXTAFTER($H213,":"))*(PptoSty[PiColumn]=M$54),0)),SUM(IF((INDIRECT($B$3)=$B213)*(INDIRECT($C$3)=$D213)*((INDIRECT($E$3)="TOTS")+(INDIRECT($E$3)=$E213)),INDIRECT(M$3)))),_xlpm.y,SUM(_xlfn.CHOOSECOLS(_xlfn._xlws.FILTER(F_RT14[],(F_RT14[PrjId]=$B213)*(F_RT14[Vrs]=$D213)*(_xlfn.TEXTAFTER(F_RT14[ActGrp],":")=_xlfn.TEXTAFTER($H213,":")),"X"),MATCH("*"&amp;M$54,F_RT14[#Headers],0))),IF(AND(_xlpm.x=0,_xlpm.y&lt;&gt;0),-1,IF(AND(_xlpm.x&lt;&gt;0,_xlpm.y&lt;&gt;0),_xlpm.x,IF(AND(_xlpm.x-SUM(IF((INDIRECT($B$3)=$B213)*(INDIRECT($C$3)=$D213)*((INDIRECT($E$3)="TOTS")+(INDIRECT($E$3)=$E213)),INDIRECT(M$3)))&lt;&gt;0,_xlpm.y=0),-2,_xlpm.x)))),0))</f>
        <v>0</v>
      </c>
      <c r="N213" s="199" cm="1">
        <f t="array" aca="1" ref="N213" ca="1">IF(OR($B213="",$B213="X",$D213="",$D213="X",$E213="",$E213="X"),0,IFERROR(_xlfn.LET(_xlpm.x,SUM(SUM(_xlfn._xlws.FILTER(VALUE(PptoSty[Sign]&amp;1)*(1/PptoSty[Division]),(PptoSty[Division]&lt;&gt;0)*(PptoSty[Division]&lt;&gt;"")*(PptoSty[Division]&lt;&gt;"X")*(PptoSty[Project]=$B213)*(PptoSty[Vrs]=$D213)*(PptoSty[PiRow]=_xlfn.TEXTAFTER($H213,":"))*(PptoSty[PiColumn]=N$54),0)),SUM(IF((INDIRECT($B$3)=$B213)*(INDIRECT($C$3)=$D213)*((INDIRECT($E$3)="TOTS")+(INDIRECT($E$3)=$E213)),INDIRECT(N$3)))),_xlpm.y,SUM(_xlfn.CHOOSECOLS(_xlfn._xlws.FILTER(F_RT14[],(F_RT14[PrjId]=$B213)*(F_RT14[Vrs]=$D213)*(_xlfn.TEXTAFTER(F_RT14[ActGrp],":")=_xlfn.TEXTAFTER($H213,":")),"X"),MATCH("*"&amp;N$54,F_RT14[#Headers],0))),IF(AND(_xlpm.x=0,_xlpm.y&lt;&gt;0),-1,IF(AND(_xlpm.x&lt;&gt;0,_xlpm.y&lt;&gt;0),_xlpm.x,IF(AND(_xlpm.x-SUM(IF((INDIRECT($B$3)=$B213)*(INDIRECT($C$3)=$D213)*((INDIRECT($E$3)="TOTS")+(INDIRECT($E$3)=$E213)),INDIRECT(N$3)))&lt;&gt;0,_xlpm.y=0),-2,_xlpm.x)))),0))</f>
        <v>0</v>
      </c>
      <c r="O213" s="199" cm="1">
        <f t="array" aca="1" ref="O213" ca="1">IF(OR($B213="",$B213="X",$D213="",$D213="X",$E213="",$E213="X"),0,IFERROR(_xlfn.LET(_xlpm.x,SUM(SUM(_xlfn._xlws.FILTER(VALUE(PptoSty[Sign]&amp;1)*(1/PptoSty[Division]),(PptoSty[Division]&lt;&gt;0)*(PptoSty[Division]&lt;&gt;"")*(PptoSty[Division]&lt;&gt;"X")*(PptoSty[Project]=$B213)*(PptoSty[Vrs]=$D213)*(PptoSty[PiRow]=_xlfn.TEXTAFTER($H213,":"))*(PptoSty[PiColumn]=O$54),0)),SUM(IF((INDIRECT($B$3)=$B213)*(INDIRECT($C$3)=$D213)*((INDIRECT($E$3)="TOTS")+(INDIRECT($E$3)=$E213)),INDIRECT(O$3)))),_xlpm.y,SUM(_xlfn.CHOOSECOLS(_xlfn._xlws.FILTER(F_RT14[],(F_RT14[PrjId]=$B213)*(F_RT14[Vrs]=$D213)*(_xlfn.TEXTAFTER(F_RT14[ActGrp],":")=_xlfn.TEXTAFTER($H213,":")),"X"),MATCH("*"&amp;O$54,F_RT14[#Headers],0))),IF(AND(_xlpm.x=0,_xlpm.y&lt;&gt;0),-1,IF(AND(_xlpm.x&lt;&gt;0,_xlpm.y&lt;&gt;0),_xlpm.x,IF(AND(_xlpm.x-SUM(IF((INDIRECT($B$3)=$B213)*(INDIRECT($C$3)=$D213)*((INDIRECT($E$3)="TOTS")+(INDIRECT($E$3)=$E213)),INDIRECT(O$3)))&lt;&gt;0,_xlpm.y=0),-2,_xlpm.x)))),0))</f>
        <v>0</v>
      </c>
      <c r="P213" s="199" cm="1">
        <f t="array" aca="1" ref="P213" ca="1">IF(OR($B213="",$B213="X",$D213="",$D213="X",$E213="",$E213="X"),0,IFERROR(_xlfn.LET(_xlpm.x,SUM(SUM(_xlfn._xlws.FILTER(VALUE(PptoSty[Sign]&amp;1)*(1/PptoSty[Division]),(PptoSty[Division]&lt;&gt;0)*(PptoSty[Division]&lt;&gt;"")*(PptoSty[Division]&lt;&gt;"X")*(PptoSty[Project]=$B213)*(PptoSty[Vrs]=$D213)*(PptoSty[PiRow]=_xlfn.TEXTAFTER($H213,":"))*(PptoSty[PiColumn]=P$54),0)),SUM(IF((INDIRECT($B$3)=$B213)*(INDIRECT($C$3)=$D213)*((INDIRECT($E$3)="TOTS")+(INDIRECT($E$3)=$E213)),INDIRECT(P$3)))),_xlpm.y,SUM(_xlfn.CHOOSECOLS(_xlfn._xlws.FILTER(F_RT14[],(F_RT14[PrjId]=$B213)*(F_RT14[Vrs]=$D213)*(_xlfn.TEXTAFTER(F_RT14[ActGrp],":")=_xlfn.TEXTAFTER($H213,":")),"X"),MATCH("*"&amp;P$54,F_RT14[#Headers],0))),IF(AND(_xlpm.x=0,_xlpm.y&lt;&gt;0),-1,IF(AND(_xlpm.x&lt;&gt;0,_xlpm.y&lt;&gt;0),_xlpm.x,IF(AND(_xlpm.x-SUM(IF((INDIRECT($B$3)=$B213)*(INDIRECT($C$3)=$D213)*((INDIRECT($E$3)="TOTS")+(INDIRECT($E$3)=$E213)),INDIRECT(P$3)))&lt;&gt;0,_xlpm.y=0),-2,_xlpm.x)))),0))</f>
        <v>0</v>
      </c>
      <c r="Q213" s="199" cm="1">
        <f t="array" aca="1" ref="Q213" ca="1">IF(OR($B213="",$B213="X",$D213="",$D213="X",$E213="",$E213="X"),0,IFERROR(_xlfn.LET(_xlpm.x,SUM(SUM(_xlfn._xlws.FILTER(VALUE(PptoSty[Sign]&amp;1)*(1/PptoSty[Division]),(PptoSty[Division]&lt;&gt;0)*(PptoSty[Division]&lt;&gt;"")*(PptoSty[Division]&lt;&gt;"X")*(PptoSty[Project]=$B213)*(PptoSty[Vrs]=$D213)*(PptoSty[PiRow]=_xlfn.TEXTAFTER($H213,":"))*(PptoSty[PiColumn]=Q$54),0)),SUM(IF((INDIRECT($B$3)=$B213)*(INDIRECT($C$3)=$D213)*((INDIRECT($E$3)="TOTS")+(INDIRECT($E$3)=$E213)),INDIRECT(Q$3)))),_xlpm.y,SUM(_xlfn.CHOOSECOLS(_xlfn._xlws.FILTER(F_RT14[],(F_RT14[PrjId]=$B213)*(F_RT14[Vrs]=$D213)*(_xlfn.TEXTAFTER(F_RT14[ActGrp],":")=_xlfn.TEXTAFTER($H213,":")),"X"),MATCH("*"&amp;Q$54,F_RT14[#Headers],0))),IF(AND(_xlpm.x=0,_xlpm.y&lt;&gt;0),-1,IF(AND(_xlpm.x&lt;&gt;0,_xlpm.y&lt;&gt;0),_xlpm.x,IF(AND(_xlpm.x-SUM(IF((INDIRECT($B$3)=$B213)*(INDIRECT($C$3)=$D213)*((INDIRECT($E$3)="TOTS")+(INDIRECT($E$3)=$E213)),INDIRECT(Q$3)))&lt;&gt;0,_xlpm.y=0),-2,_xlpm.x)))),0))</f>
        <v>0</v>
      </c>
      <c r="R213" s="199" cm="1">
        <f t="array" aca="1" ref="R213" ca="1">IF(OR($B213="",$B213="X",$D213="",$D213="X",$E213="",$E213="X"),0,IFERROR(_xlfn.LET(_xlpm.x,SUM(SUM(_xlfn._xlws.FILTER(VALUE(PptoSty[Sign]&amp;1)*(1/PptoSty[Division]),(PptoSty[Division]&lt;&gt;0)*(PptoSty[Division]&lt;&gt;"")*(PptoSty[Division]&lt;&gt;"X")*(PptoSty[Project]=$B213)*(PptoSty[Vrs]=$D213)*(PptoSty[PiRow]=_xlfn.TEXTAFTER($H213,":"))*(PptoSty[PiColumn]=R$54),0)),SUM(IF((INDIRECT($B$3)=$B213)*(INDIRECT($C$3)=$D213)*((INDIRECT($E$3)="TOTS")+(INDIRECT($E$3)=$E213)),INDIRECT(R$3)))),_xlpm.y,SUM(_xlfn.CHOOSECOLS(_xlfn._xlws.FILTER(F_RT14[],(F_RT14[PrjId]=$B213)*(F_RT14[Vrs]=$D213)*(_xlfn.TEXTAFTER(F_RT14[ActGrp],":")=_xlfn.TEXTAFTER($H213,":")),"X"),MATCH("*"&amp;R$54,F_RT14[#Headers],0))),IF(AND(_xlpm.x=0,_xlpm.y&lt;&gt;0),-1,IF(AND(_xlpm.x&lt;&gt;0,_xlpm.y&lt;&gt;0),_xlpm.x,IF(AND(_xlpm.x-SUM(IF((INDIRECT($B$3)=$B213)*(INDIRECT($C$3)=$D213)*((INDIRECT($E$3)="TOTS")+(INDIRECT($E$3)=$E213)),INDIRECT(R$3)))&lt;&gt;0,_xlpm.y=0),-2,_xlpm.x)))),0))</f>
        <v>0</v>
      </c>
      <c r="S213" s="199" cm="1">
        <f t="array" aca="1" ref="S213" ca="1">IF(OR($B213="",$B213="X",$D213="",$D213="X",$E213="",$E213="X"),0,IFERROR(_xlfn.LET(_xlpm.x,SUM(SUM(_xlfn._xlws.FILTER(VALUE(PptoSty[Sign]&amp;1)*(1/PptoSty[Division]),(PptoSty[Division]&lt;&gt;0)*(PptoSty[Division]&lt;&gt;"")*(PptoSty[Division]&lt;&gt;"X")*(PptoSty[Project]=$B213)*(PptoSty[Vrs]=$D213)*(PptoSty[PiRow]=_xlfn.TEXTAFTER($H213,":"))*(PptoSty[PiColumn]=S$54),0)),SUM(IF((INDIRECT($B$3)=$B213)*(INDIRECT($C$3)=$D213)*((INDIRECT($E$3)="TOTS")+(INDIRECT($E$3)=$E213)),INDIRECT(S$3)))),_xlpm.y,SUM(_xlfn.CHOOSECOLS(_xlfn._xlws.FILTER(F_RT14[],(F_RT14[PrjId]=$B213)*(F_RT14[Vrs]=$D213)*(_xlfn.TEXTAFTER(F_RT14[ActGrp],":")=_xlfn.TEXTAFTER($H213,":")),"X"),MATCH("*"&amp;S$54,F_RT14[#Headers],0))),IF(AND(_xlpm.x=0,_xlpm.y&lt;&gt;0),-1,IF(AND(_xlpm.x&lt;&gt;0,_xlpm.y&lt;&gt;0),_xlpm.x,IF(AND(_xlpm.x-SUM(IF((INDIRECT($B$3)=$B213)*(INDIRECT($C$3)=$D213)*((INDIRECT($E$3)="TOTS")+(INDIRECT($E$3)=$E213)),INDIRECT(S$3)))&lt;&gt;0,_xlpm.y=0),-2,_xlpm.x)))),0))</f>
        <v>0</v>
      </c>
      <c r="T213" s="199" cm="1">
        <f t="array" aca="1" ref="T213" ca="1">IF(OR($B213="",$B213="X",$D213="",$D213="X",$E213="",$E213="X"),0,IFERROR(_xlfn.LET(_xlpm.x,SUM(SUM(_xlfn._xlws.FILTER(VALUE(PptoSty[Sign]&amp;1)*(1/PptoSty[Division]),(PptoSty[Division]&lt;&gt;0)*(PptoSty[Division]&lt;&gt;"")*(PptoSty[Division]&lt;&gt;"X")*(PptoSty[Project]=$B213)*(PptoSty[Vrs]=$D213)*(PptoSty[PiRow]=_xlfn.TEXTAFTER($H213,":"))*(PptoSty[PiColumn]=T$54),0)),SUM(IF((INDIRECT($B$3)=$B213)*(INDIRECT($C$3)=$D213)*((INDIRECT($E$3)="TOTS")+(INDIRECT($E$3)=$E213)),INDIRECT(T$3)))),_xlpm.y,SUM(_xlfn.CHOOSECOLS(_xlfn._xlws.FILTER(F_RT14[],(F_RT14[PrjId]=$B213)*(F_RT14[Vrs]=$D213)*(_xlfn.TEXTAFTER(F_RT14[ActGrp],":")=_xlfn.TEXTAFTER($H213,":")),"X"),MATCH("*"&amp;T$54,F_RT14[#Headers],0))),IF(AND(_xlpm.x=0,_xlpm.y&lt;&gt;0),-1,IF(AND(_xlpm.x&lt;&gt;0,_xlpm.y&lt;&gt;0),_xlpm.x,IF(AND(_xlpm.x-SUM(IF((INDIRECT($B$3)=$B213)*(INDIRECT($C$3)=$D213)*((INDIRECT($E$3)="TOTS")+(INDIRECT($E$3)=$E213)),INDIRECT(T$3)))&lt;&gt;0,_xlpm.y=0),-2,_xlpm.x)))),0))</f>
        <v>0</v>
      </c>
      <c r="U213" s="199" cm="1">
        <f t="array" aca="1" ref="U213" ca="1">IF(OR($B213="",$B213="X",$D213="",$D213="X",$E213="",$E213="X"),0,IFERROR(_xlfn.LET(_xlpm.x,SUM(SUM(_xlfn._xlws.FILTER(VALUE(PptoSty[Sign]&amp;1)*(1/PptoSty[Division]),(PptoSty[Division]&lt;&gt;0)*(PptoSty[Division]&lt;&gt;"")*(PptoSty[Division]&lt;&gt;"X")*(PptoSty[Project]=$B213)*(PptoSty[Vrs]=$D213)*(PptoSty[PiRow]=_xlfn.TEXTAFTER($H213,":"))*(PptoSty[PiColumn]=U$54),0)),SUM(IF((INDIRECT($B$3)=$B213)*(INDIRECT($C$3)=$D213)*((INDIRECT($E$3)="TOTS")+(INDIRECT($E$3)=$E213)),INDIRECT(U$3)))),_xlpm.y,SUM(_xlfn.CHOOSECOLS(_xlfn._xlws.FILTER(F_RT14[],(F_RT14[PrjId]=$B213)*(F_RT14[Vrs]=$D213)*(_xlfn.TEXTAFTER(F_RT14[ActGrp],":")=_xlfn.TEXTAFTER($H213,":")),"X"),MATCH("*"&amp;U$54,F_RT14[#Headers],0))),IF(AND(_xlpm.x=0,_xlpm.y&lt;&gt;0),-1,IF(AND(_xlpm.x&lt;&gt;0,_xlpm.y&lt;&gt;0),_xlpm.x,IF(AND(_xlpm.x-SUM(IF((INDIRECT($B$3)=$B213)*(INDIRECT($C$3)=$D213)*((INDIRECT($E$3)="TOTS")+(INDIRECT($E$3)=$E213)),INDIRECT(U$3)))&lt;&gt;0,_xlpm.y=0),-2,_xlpm.x)))),0))</f>
        <v>0</v>
      </c>
      <c r="V213" s="199" cm="1">
        <f t="array" aca="1" ref="V213" ca="1">IF(OR($B213="",$B213="X",$D213="",$D213="X",$E213="",$E213="X"),0,IFERROR(_xlfn.LET(_xlpm.x,SUM(SUM(_xlfn._xlws.FILTER(VALUE(PptoSty[Sign]&amp;1)*(1/PptoSty[Division]),(PptoSty[Division]&lt;&gt;0)*(PptoSty[Division]&lt;&gt;"")*(PptoSty[Division]&lt;&gt;"X")*(PptoSty[Project]=$B213)*(PptoSty[Vrs]=$D213)*(PptoSty[PiRow]=_xlfn.TEXTAFTER($H213,":"))*(PptoSty[PiColumn]=V$54),0)),SUM(IF((INDIRECT($B$3)=$B213)*(INDIRECT($C$3)=$D213)*((INDIRECT($E$3)="TOTS")+(INDIRECT($E$3)=$E213)),INDIRECT(V$3)))),_xlpm.y,SUM(_xlfn.CHOOSECOLS(_xlfn._xlws.FILTER(F_RT14[],(F_RT14[PrjId]=$B213)*(F_RT14[Vrs]=$D213)*(_xlfn.TEXTAFTER(F_RT14[ActGrp],":")=_xlfn.TEXTAFTER($H213,":")),"X"),MATCH("*"&amp;V$54,F_RT14[#Headers],0))),IF(AND(_xlpm.x=0,_xlpm.y&lt;&gt;0),-1,IF(AND(_xlpm.x&lt;&gt;0,_xlpm.y&lt;&gt;0),_xlpm.x,IF(AND(_xlpm.x-SUM(IF((INDIRECT($B$3)=$B213)*(INDIRECT($C$3)=$D213)*((INDIRECT($E$3)="TOTS")+(INDIRECT($E$3)=$E213)),INDIRECT(V$3)))&lt;&gt;0,_xlpm.y=0),-2,_xlpm.x)))),0))</f>
        <v>0</v>
      </c>
      <c r="W213" s="199" cm="1">
        <f t="array" aca="1" ref="W213" ca="1">IF(OR($B213="",$B213="X",$D213="",$D213="X",$E213="",$E213="X"),0,IFERROR(_xlfn.LET(_xlpm.x,SUM(SUM(_xlfn._xlws.FILTER(VALUE(PptoSty[Sign]&amp;1)*(1/PptoSty[Division]),(PptoSty[Division]&lt;&gt;0)*(PptoSty[Division]&lt;&gt;"")*(PptoSty[Division]&lt;&gt;"X")*(PptoSty[Project]=$B213)*(PptoSty[Vrs]=$D213)*(PptoSty[PiRow]=_xlfn.TEXTAFTER($H213,":"))*(PptoSty[PiColumn]=W$54),0)),SUM(IF((INDIRECT($B$3)=$B213)*(INDIRECT($C$3)=$D213)*((INDIRECT($E$3)="TOTS")+(INDIRECT($E$3)=$E213)),INDIRECT(W$3)))),_xlpm.y,SUM(_xlfn.CHOOSECOLS(_xlfn._xlws.FILTER(F_RT14[],(F_RT14[PrjId]=$B213)*(F_RT14[Vrs]=$D213)*(_xlfn.TEXTAFTER(F_RT14[ActGrp],":")=_xlfn.TEXTAFTER($H213,":")),"X"),MATCH("*"&amp;W$54,F_RT14[#Headers],0))),IF(AND(_xlpm.x=0,_xlpm.y&lt;&gt;0),-1,IF(AND(_xlpm.x&lt;&gt;0,_xlpm.y&lt;&gt;0),_xlpm.x,IF(AND(_xlpm.x-SUM(IF((INDIRECT($B$3)=$B213)*(INDIRECT($C$3)=$D213)*((INDIRECT($E$3)="TOTS")+(INDIRECT($E$3)=$E213)),INDIRECT(W$3)))&lt;&gt;0,_xlpm.y=0),-2,_xlpm.x)))),0))</f>
        <v>0</v>
      </c>
      <c r="X213" s="199" cm="1">
        <f t="array" aca="1" ref="X213" ca="1">IF(OR($B213="",$B213="X",$D213="",$D213="X",$E213="",$E213="X"),0,IFERROR(_xlfn.LET(_xlpm.x,SUM(SUM(_xlfn._xlws.FILTER(VALUE(PptoSty[Sign]&amp;1)*(1/PptoSty[Division]),(PptoSty[Division]&lt;&gt;0)*(PptoSty[Division]&lt;&gt;"")*(PptoSty[Division]&lt;&gt;"X")*(PptoSty[Project]=$B213)*(PptoSty[Vrs]=$D213)*(PptoSty[PiRow]=_xlfn.TEXTAFTER($H213,":"))*(PptoSty[PiColumn]=X$54),0)),SUM(IF((INDIRECT($B$3)=$B213)*(INDIRECT($C$3)=$D213)*((INDIRECT($E$3)="TOTS")+(INDIRECT($E$3)=$E213)),INDIRECT(X$3)))),_xlpm.y,SUM(_xlfn.CHOOSECOLS(_xlfn._xlws.FILTER(F_RT14[],(F_RT14[PrjId]=$B213)*(F_RT14[Vrs]=$D213)*(_xlfn.TEXTAFTER(F_RT14[ActGrp],":")=_xlfn.TEXTAFTER($H213,":")),"X"),MATCH("*"&amp;X$54,F_RT14[#Headers],0))),IF(AND(_xlpm.x=0,_xlpm.y&lt;&gt;0),-1,IF(AND(_xlpm.x&lt;&gt;0,_xlpm.y&lt;&gt;0),_xlpm.x,IF(AND(_xlpm.x-SUM(IF((INDIRECT($B$3)=$B213)*(INDIRECT($C$3)=$D213)*((INDIRECT($E$3)="TOTS")+(INDIRECT($E$3)=$E213)),INDIRECT(X$3)))&lt;&gt;0,_xlpm.y=0),-2,_xlpm.x)))),0))</f>
        <v>0</v>
      </c>
      <c r="Y213" s="199" cm="1">
        <f t="array" aca="1" ref="Y213" ca="1">IF(OR($B213="",$B213="X",$D213="",$D213="X",$E213="",$E213="X"),0,IFERROR(_xlfn.LET(_xlpm.x,SUM(SUM(_xlfn._xlws.FILTER(VALUE(PptoSty[Sign]&amp;1)*(1/PptoSty[Division]),(PptoSty[Division]&lt;&gt;0)*(PptoSty[Division]&lt;&gt;"")*(PptoSty[Division]&lt;&gt;"X")*(PptoSty[Project]=$B213)*(PptoSty[Vrs]=$D213)*(PptoSty[PiRow]=_xlfn.TEXTAFTER($H213,":"))*(PptoSty[PiColumn]=Y$54),0)),SUM(IF((INDIRECT($B$3)=$B213)*(INDIRECT($C$3)=$D213)*((INDIRECT($E$3)="TOTS")+(INDIRECT($E$3)=$E213)),INDIRECT(Y$3)))),_xlpm.y,SUM(_xlfn.CHOOSECOLS(_xlfn._xlws.FILTER(F_RT14[],(F_RT14[PrjId]=$B213)*(F_RT14[Vrs]=$D213)*(_xlfn.TEXTAFTER(F_RT14[ActGrp],":")=_xlfn.TEXTAFTER($H213,":")),"X"),MATCH("*"&amp;Y$54,F_RT14[#Headers],0))),IF(AND(_xlpm.x=0,_xlpm.y&lt;&gt;0),-1,IF(AND(_xlpm.x&lt;&gt;0,_xlpm.y&lt;&gt;0),_xlpm.x,IF(AND(_xlpm.x-SUM(IF((INDIRECT($B$3)=$B213)*(INDIRECT($C$3)=$D213)*((INDIRECT($E$3)="TOTS")+(INDIRECT($E$3)=$E213)),INDIRECT(Y$3)))&lt;&gt;0,_xlpm.y=0),-2,_xlpm.x)))),0))</f>
        <v>0</v>
      </c>
      <c r="Z213" s="198" t="str">
        <f t="shared" ca="1" si="4"/>
        <v>Fback!B213:Y213</v>
      </c>
    </row>
    <row r="214" spans="2:26" ht="21" customHeight="1" outlineLevel="1">
      <c r="B214" s="128"/>
      <c r="C214" s="128"/>
      <c r="D214" s="128"/>
      <c r="E214" s="128"/>
      <c r="F214" s="139"/>
      <c r="G214" s="139"/>
      <c r="H214" s="139"/>
      <c r="I214" s="199" cm="1">
        <f t="array" aca="1" ref="I214" ca="1">IF(OR($B214="",$B214="X",$D214="",$D214="X",$E214="",$E214="X"),0,IFERROR(_xlfn.LET(_xlpm.x,SUM(SUM(_xlfn._xlws.FILTER(VALUE(PptoSty[Sign]&amp;1)*(1/PptoSty[Division]),(PptoSty[Division]&lt;&gt;0)*(PptoSty[Division]&lt;&gt;"")*(PptoSty[Division]&lt;&gt;"X")*(PptoSty[Project]=$B214)*(PptoSty[Vrs]=$D214)*(PptoSty[PiRow]=_xlfn.TEXTAFTER($H214,":"))*(PptoSty[PiColumn]=I$54),0)),SUM(IF((INDIRECT($B$3)=$B214)*(INDIRECT($C$3)=$D214)*((INDIRECT($E$3)="TOTS")+(INDIRECT($E$3)=$E214)),INDIRECT(I$3)))),_xlpm.y,SUM(_xlfn.CHOOSECOLS(_xlfn._xlws.FILTER(F_RT14[],(F_RT14[PrjId]=$B214)*(F_RT14[Vrs]=$D214)*(_xlfn.TEXTAFTER(F_RT14[ActGrp],":")=_xlfn.TEXTAFTER($H214,":")),"X"),MATCH("*"&amp;I$54,F_RT14[#Headers],0))),IF(AND(_xlpm.x=0,_xlpm.y&lt;&gt;0),-1,IF(AND(_xlpm.x&lt;&gt;0,_xlpm.y&lt;&gt;0),_xlpm.x,IF(AND(_xlpm.x-SUM(IF((INDIRECT($B$3)=$B214)*(INDIRECT($C$3)=$D214)*((INDIRECT($E$3)="TOTS")+(INDIRECT($E$3)=$E214)),INDIRECT(I$3)))&lt;&gt;0,_xlpm.y=0),-2,_xlpm.x)))),0))</f>
        <v>0</v>
      </c>
      <c r="J214" s="199" cm="1">
        <f t="array" aca="1" ref="J214" ca="1">IF(OR($B214="",$B214="X",$D214="",$D214="X",$E214="",$E214="X"),0,IFERROR(_xlfn.LET(_xlpm.x,SUM(SUM(_xlfn._xlws.FILTER(VALUE(PptoSty[Sign]&amp;1)*(1/PptoSty[Division]),(PptoSty[Division]&lt;&gt;0)*(PptoSty[Division]&lt;&gt;"")*(PptoSty[Division]&lt;&gt;"X")*(PptoSty[Project]=$B214)*(PptoSty[Vrs]=$D214)*(PptoSty[PiRow]=_xlfn.TEXTAFTER($H214,":"))*(PptoSty[PiColumn]=J$54),0)),SUM(IF((INDIRECT($B$3)=$B214)*(INDIRECT($C$3)=$D214)*((INDIRECT($E$3)="TOTS")+(INDIRECT($E$3)=$E214)),INDIRECT(J$3)))),_xlpm.y,SUM(_xlfn.CHOOSECOLS(_xlfn._xlws.FILTER(F_RT14[],(F_RT14[PrjId]=$B214)*(F_RT14[Vrs]=$D214)*(_xlfn.TEXTAFTER(F_RT14[ActGrp],":")=_xlfn.TEXTAFTER($H214,":")),"X"),MATCH("*"&amp;J$54,F_RT14[#Headers],0))),IF(AND(_xlpm.x=0,_xlpm.y&lt;&gt;0),-1,IF(AND(_xlpm.x&lt;&gt;0,_xlpm.y&lt;&gt;0),_xlpm.x,IF(AND(_xlpm.x-SUM(IF((INDIRECT($B$3)=$B214)*(INDIRECT($C$3)=$D214)*((INDIRECT($E$3)="TOTS")+(INDIRECT($E$3)=$E214)),INDIRECT(J$3)))&lt;&gt;0,_xlpm.y=0),-2,_xlpm.x)))),0))</f>
        <v>0</v>
      </c>
      <c r="K214" s="199" cm="1">
        <f t="array" aca="1" ref="K214" ca="1">IF(OR($B214="",$B214="X",$D214="",$D214="X",$E214="",$E214="X"),0,IFERROR(_xlfn.LET(_xlpm.x,SUM(SUM(_xlfn._xlws.FILTER(VALUE(PptoSty[Sign]&amp;1)*(1/PptoSty[Division]),(PptoSty[Division]&lt;&gt;0)*(PptoSty[Division]&lt;&gt;"")*(PptoSty[Division]&lt;&gt;"X")*(PptoSty[Project]=$B214)*(PptoSty[Vrs]=$D214)*(PptoSty[PiRow]=_xlfn.TEXTAFTER($H214,":"))*(PptoSty[PiColumn]=K$54),0)),SUM(IF((INDIRECT($B$3)=$B214)*(INDIRECT($C$3)=$D214)*((INDIRECT($E$3)="TOTS")+(INDIRECT($E$3)=$E214)),INDIRECT(K$3)))),_xlpm.y,SUM(_xlfn.CHOOSECOLS(_xlfn._xlws.FILTER(F_RT14[],(F_RT14[PrjId]=$B214)*(F_RT14[Vrs]=$D214)*(_xlfn.TEXTAFTER(F_RT14[ActGrp],":")=_xlfn.TEXTAFTER($H214,":")),"X"),MATCH("*"&amp;K$54,F_RT14[#Headers],0))),IF(AND(_xlpm.x=0,_xlpm.y&lt;&gt;0),-1,IF(AND(_xlpm.x&lt;&gt;0,_xlpm.y&lt;&gt;0),_xlpm.x,IF(AND(_xlpm.x-SUM(IF((INDIRECT($B$3)=$B214)*(INDIRECT($C$3)=$D214)*((INDIRECT($E$3)="TOTS")+(INDIRECT($E$3)=$E214)),INDIRECT(K$3)))&lt;&gt;0,_xlpm.y=0),-2,_xlpm.x)))),0))</f>
        <v>0</v>
      </c>
      <c r="L214" s="199" cm="1">
        <f t="array" aca="1" ref="L214" ca="1">IF(OR($B214="",$B214="X",$D214="",$D214="X",$E214="",$E214="X"),0,IFERROR(_xlfn.LET(_xlpm.x,SUM(SUM(_xlfn._xlws.FILTER(VALUE(PptoSty[Sign]&amp;1)*(1/PptoSty[Division]),(PptoSty[Division]&lt;&gt;0)*(PptoSty[Division]&lt;&gt;"")*(PptoSty[Division]&lt;&gt;"X")*(PptoSty[Project]=$B214)*(PptoSty[Vrs]=$D214)*(PptoSty[PiRow]=_xlfn.TEXTAFTER($H214,":"))*(PptoSty[PiColumn]=L$54),0)),SUM(IF((INDIRECT($B$3)=$B214)*(INDIRECT($C$3)=$D214)*((INDIRECT($E$3)="TOTS")+(INDIRECT($E$3)=$E214)),INDIRECT(L$3)))),_xlpm.y,SUM(_xlfn.CHOOSECOLS(_xlfn._xlws.FILTER(F_RT14[],(F_RT14[PrjId]=$B214)*(F_RT14[Vrs]=$D214)*(_xlfn.TEXTAFTER(F_RT14[ActGrp],":")=_xlfn.TEXTAFTER($H214,":")),"X"),MATCH("*"&amp;L$54,F_RT14[#Headers],0))),IF(AND(_xlpm.x=0,_xlpm.y&lt;&gt;0),-1,IF(AND(_xlpm.x&lt;&gt;0,_xlpm.y&lt;&gt;0),_xlpm.x,IF(AND(_xlpm.x-SUM(IF((INDIRECT($B$3)=$B214)*(INDIRECT($C$3)=$D214)*((INDIRECT($E$3)="TOTS")+(INDIRECT($E$3)=$E214)),INDIRECT(L$3)))&lt;&gt;0,_xlpm.y=0),-2,_xlpm.x)))),0))</f>
        <v>0</v>
      </c>
      <c r="M214" s="199" cm="1">
        <f t="array" aca="1" ref="M214" ca="1">IF(OR($B214="",$B214="X",$D214="",$D214="X",$E214="",$E214="X"),0,IFERROR(_xlfn.LET(_xlpm.x,SUM(SUM(_xlfn._xlws.FILTER(VALUE(PptoSty[Sign]&amp;1)*(1/PptoSty[Division]),(PptoSty[Division]&lt;&gt;0)*(PptoSty[Division]&lt;&gt;"")*(PptoSty[Division]&lt;&gt;"X")*(PptoSty[Project]=$B214)*(PptoSty[Vrs]=$D214)*(PptoSty[PiRow]=_xlfn.TEXTAFTER($H214,":"))*(PptoSty[PiColumn]=M$54),0)),SUM(IF((INDIRECT($B$3)=$B214)*(INDIRECT($C$3)=$D214)*((INDIRECT($E$3)="TOTS")+(INDIRECT($E$3)=$E214)),INDIRECT(M$3)))),_xlpm.y,SUM(_xlfn.CHOOSECOLS(_xlfn._xlws.FILTER(F_RT14[],(F_RT14[PrjId]=$B214)*(F_RT14[Vrs]=$D214)*(_xlfn.TEXTAFTER(F_RT14[ActGrp],":")=_xlfn.TEXTAFTER($H214,":")),"X"),MATCH("*"&amp;M$54,F_RT14[#Headers],0))),IF(AND(_xlpm.x=0,_xlpm.y&lt;&gt;0),-1,IF(AND(_xlpm.x&lt;&gt;0,_xlpm.y&lt;&gt;0),_xlpm.x,IF(AND(_xlpm.x-SUM(IF((INDIRECT($B$3)=$B214)*(INDIRECT($C$3)=$D214)*((INDIRECT($E$3)="TOTS")+(INDIRECT($E$3)=$E214)),INDIRECT(M$3)))&lt;&gt;0,_xlpm.y=0),-2,_xlpm.x)))),0))</f>
        <v>0</v>
      </c>
      <c r="N214" s="199" cm="1">
        <f t="array" aca="1" ref="N214" ca="1">IF(OR($B214="",$B214="X",$D214="",$D214="X",$E214="",$E214="X"),0,IFERROR(_xlfn.LET(_xlpm.x,SUM(SUM(_xlfn._xlws.FILTER(VALUE(PptoSty[Sign]&amp;1)*(1/PptoSty[Division]),(PptoSty[Division]&lt;&gt;0)*(PptoSty[Division]&lt;&gt;"")*(PptoSty[Division]&lt;&gt;"X")*(PptoSty[Project]=$B214)*(PptoSty[Vrs]=$D214)*(PptoSty[PiRow]=_xlfn.TEXTAFTER($H214,":"))*(PptoSty[PiColumn]=N$54),0)),SUM(IF((INDIRECT($B$3)=$B214)*(INDIRECT($C$3)=$D214)*((INDIRECT($E$3)="TOTS")+(INDIRECT($E$3)=$E214)),INDIRECT(N$3)))),_xlpm.y,SUM(_xlfn.CHOOSECOLS(_xlfn._xlws.FILTER(F_RT14[],(F_RT14[PrjId]=$B214)*(F_RT14[Vrs]=$D214)*(_xlfn.TEXTAFTER(F_RT14[ActGrp],":")=_xlfn.TEXTAFTER($H214,":")),"X"),MATCH("*"&amp;N$54,F_RT14[#Headers],0))),IF(AND(_xlpm.x=0,_xlpm.y&lt;&gt;0),-1,IF(AND(_xlpm.x&lt;&gt;0,_xlpm.y&lt;&gt;0),_xlpm.x,IF(AND(_xlpm.x-SUM(IF((INDIRECT($B$3)=$B214)*(INDIRECT($C$3)=$D214)*((INDIRECT($E$3)="TOTS")+(INDIRECT($E$3)=$E214)),INDIRECT(N$3)))&lt;&gt;0,_xlpm.y=0),-2,_xlpm.x)))),0))</f>
        <v>0</v>
      </c>
      <c r="O214" s="199" cm="1">
        <f t="array" aca="1" ref="O214" ca="1">IF(OR($B214="",$B214="X",$D214="",$D214="X",$E214="",$E214="X"),0,IFERROR(_xlfn.LET(_xlpm.x,SUM(SUM(_xlfn._xlws.FILTER(VALUE(PptoSty[Sign]&amp;1)*(1/PptoSty[Division]),(PptoSty[Division]&lt;&gt;0)*(PptoSty[Division]&lt;&gt;"")*(PptoSty[Division]&lt;&gt;"X")*(PptoSty[Project]=$B214)*(PptoSty[Vrs]=$D214)*(PptoSty[PiRow]=_xlfn.TEXTAFTER($H214,":"))*(PptoSty[PiColumn]=O$54),0)),SUM(IF((INDIRECT($B$3)=$B214)*(INDIRECT($C$3)=$D214)*((INDIRECT($E$3)="TOTS")+(INDIRECT($E$3)=$E214)),INDIRECT(O$3)))),_xlpm.y,SUM(_xlfn.CHOOSECOLS(_xlfn._xlws.FILTER(F_RT14[],(F_RT14[PrjId]=$B214)*(F_RT14[Vrs]=$D214)*(_xlfn.TEXTAFTER(F_RT14[ActGrp],":")=_xlfn.TEXTAFTER($H214,":")),"X"),MATCH("*"&amp;O$54,F_RT14[#Headers],0))),IF(AND(_xlpm.x=0,_xlpm.y&lt;&gt;0),-1,IF(AND(_xlpm.x&lt;&gt;0,_xlpm.y&lt;&gt;0),_xlpm.x,IF(AND(_xlpm.x-SUM(IF((INDIRECT($B$3)=$B214)*(INDIRECT($C$3)=$D214)*((INDIRECT($E$3)="TOTS")+(INDIRECT($E$3)=$E214)),INDIRECT(O$3)))&lt;&gt;0,_xlpm.y=0),-2,_xlpm.x)))),0))</f>
        <v>0</v>
      </c>
      <c r="P214" s="199" cm="1">
        <f t="array" aca="1" ref="P214" ca="1">IF(OR($B214="",$B214="X",$D214="",$D214="X",$E214="",$E214="X"),0,IFERROR(_xlfn.LET(_xlpm.x,SUM(SUM(_xlfn._xlws.FILTER(VALUE(PptoSty[Sign]&amp;1)*(1/PptoSty[Division]),(PptoSty[Division]&lt;&gt;0)*(PptoSty[Division]&lt;&gt;"")*(PptoSty[Division]&lt;&gt;"X")*(PptoSty[Project]=$B214)*(PptoSty[Vrs]=$D214)*(PptoSty[PiRow]=_xlfn.TEXTAFTER($H214,":"))*(PptoSty[PiColumn]=P$54),0)),SUM(IF((INDIRECT($B$3)=$B214)*(INDIRECT($C$3)=$D214)*((INDIRECT($E$3)="TOTS")+(INDIRECT($E$3)=$E214)),INDIRECT(P$3)))),_xlpm.y,SUM(_xlfn.CHOOSECOLS(_xlfn._xlws.FILTER(F_RT14[],(F_RT14[PrjId]=$B214)*(F_RT14[Vrs]=$D214)*(_xlfn.TEXTAFTER(F_RT14[ActGrp],":")=_xlfn.TEXTAFTER($H214,":")),"X"),MATCH("*"&amp;P$54,F_RT14[#Headers],0))),IF(AND(_xlpm.x=0,_xlpm.y&lt;&gt;0),-1,IF(AND(_xlpm.x&lt;&gt;0,_xlpm.y&lt;&gt;0),_xlpm.x,IF(AND(_xlpm.x-SUM(IF((INDIRECT($B$3)=$B214)*(INDIRECT($C$3)=$D214)*((INDIRECT($E$3)="TOTS")+(INDIRECT($E$3)=$E214)),INDIRECT(P$3)))&lt;&gt;0,_xlpm.y=0),-2,_xlpm.x)))),0))</f>
        <v>0</v>
      </c>
      <c r="Q214" s="199" cm="1">
        <f t="array" aca="1" ref="Q214" ca="1">IF(OR($B214="",$B214="X",$D214="",$D214="X",$E214="",$E214="X"),0,IFERROR(_xlfn.LET(_xlpm.x,SUM(SUM(_xlfn._xlws.FILTER(VALUE(PptoSty[Sign]&amp;1)*(1/PptoSty[Division]),(PptoSty[Division]&lt;&gt;0)*(PptoSty[Division]&lt;&gt;"")*(PptoSty[Division]&lt;&gt;"X")*(PptoSty[Project]=$B214)*(PptoSty[Vrs]=$D214)*(PptoSty[PiRow]=_xlfn.TEXTAFTER($H214,":"))*(PptoSty[PiColumn]=Q$54),0)),SUM(IF((INDIRECT($B$3)=$B214)*(INDIRECT($C$3)=$D214)*((INDIRECT($E$3)="TOTS")+(INDIRECT($E$3)=$E214)),INDIRECT(Q$3)))),_xlpm.y,SUM(_xlfn.CHOOSECOLS(_xlfn._xlws.FILTER(F_RT14[],(F_RT14[PrjId]=$B214)*(F_RT14[Vrs]=$D214)*(_xlfn.TEXTAFTER(F_RT14[ActGrp],":")=_xlfn.TEXTAFTER($H214,":")),"X"),MATCH("*"&amp;Q$54,F_RT14[#Headers],0))),IF(AND(_xlpm.x=0,_xlpm.y&lt;&gt;0),-1,IF(AND(_xlpm.x&lt;&gt;0,_xlpm.y&lt;&gt;0),_xlpm.x,IF(AND(_xlpm.x-SUM(IF((INDIRECT($B$3)=$B214)*(INDIRECT($C$3)=$D214)*((INDIRECT($E$3)="TOTS")+(INDIRECT($E$3)=$E214)),INDIRECT(Q$3)))&lt;&gt;0,_xlpm.y=0),-2,_xlpm.x)))),0))</f>
        <v>0</v>
      </c>
      <c r="R214" s="199" cm="1">
        <f t="array" aca="1" ref="R214" ca="1">IF(OR($B214="",$B214="X",$D214="",$D214="X",$E214="",$E214="X"),0,IFERROR(_xlfn.LET(_xlpm.x,SUM(SUM(_xlfn._xlws.FILTER(VALUE(PptoSty[Sign]&amp;1)*(1/PptoSty[Division]),(PptoSty[Division]&lt;&gt;0)*(PptoSty[Division]&lt;&gt;"")*(PptoSty[Division]&lt;&gt;"X")*(PptoSty[Project]=$B214)*(PptoSty[Vrs]=$D214)*(PptoSty[PiRow]=_xlfn.TEXTAFTER($H214,":"))*(PptoSty[PiColumn]=R$54),0)),SUM(IF((INDIRECT($B$3)=$B214)*(INDIRECT($C$3)=$D214)*((INDIRECT($E$3)="TOTS")+(INDIRECT($E$3)=$E214)),INDIRECT(R$3)))),_xlpm.y,SUM(_xlfn.CHOOSECOLS(_xlfn._xlws.FILTER(F_RT14[],(F_RT14[PrjId]=$B214)*(F_RT14[Vrs]=$D214)*(_xlfn.TEXTAFTER(F_RT14[ActGrp],":")=_xlfn.TEXTAFTER($H214,":")),"X"),MATCH("*"&amp;R$54,F_RT14[#Headers],0))),IF(AND(_xlpm.x=0,_xlpm.y&lt;&gt;0),-1,IF(AND(_xlpm.x&lt;&gt;0,_xlpm.y&lt;&gt;0),_xlpm.x,IF(AND(_xlpm.x-SUM(IF((INDIRECT($B$3)=$B214)*(INDIRECT($C$3)=$D214)*((INDIRECT($E$3)="TOTS")+(INDIRECT($E$3)=$E214)),INDIRECT(R$3)))&lt;&gt;0,_xlpm.y=0),-2,_xlpm.x)))),0))</f>
        <v>0</v>
      </c>
      <c r="S214" s="199" cm="1">
        <f t="array" aca="1" ref="S214" ca="1">IF(OR($B214="",$B214="X",$D214="",$D214="X",$E214="",$E214="X"),0,IFERROR(_xlfn.LET(_xlpm.x,SUM(SUM(_xlfn._xlws.FILTER(VALUE(PptoSty[Sign]&amp;1)*(1/PptoSty[Division]),(PptoSty[Division]&lt;&gt;0)*(PptoSty[Division]&lt;&gt;"")*(PptoSty[Division]&lt;&gt;"X")*(PptoSty[Project]=$B214)*(PptoSty[Vrs]=$D214)*(PptoSty[PiRow]=_xlfn.TEXTAFTER($H214,":"))*(PptoSty[PiColumn]=S$54),0)),SUM(IF((INDIRECT($B$3)=$B214)*(INDIRECT($C$3)=$D214)*((INDIRECT($E$3)="TOTS")+(INDIRECT($E$3)=$E214)),INDIRECT(S$3)))),_xlpm.y,SUM(_xlfn.CHOOSECOLS(_xlfn._xlws.FILTER(F_RT14[],(F_RT14[PrjId]=$B214)*(F_RT14[Vrs]=$D214)*(_xlfn.TEXTAFTER(F_RT14[ActGrp],":")=_xlfn.TEXTAFTER($H214,":")),"X"),MATCH("*"&amp;S$54,F_RT14[#Headers],0))),IF(AND(_xlpm.x=0,_xlpm.y&lt;&gt;0),-1,IF(AND(_xlpm.x&lt;&gt;0,_xlpm.y&lt;&gt;0),_xlpm.x,IF(AND(_xlpm.x-SUM(IF((INDIRECT($B$3)=$B214)*(INDIRECT($C$3)=$D214)*((INDIRECT($E$3)="TOTS")+(INDIRECT($E$3)=$E214)),INDIRECT(S$3)))&lt;&gt;0,_xlpm.y=0),-2,_xlpm.x)))),0))</f>
        <v>0</v>
      </c>
      <c r="T214" s="199" cm="1">
        <f t="array" aca="1" ref="T214" ca="1">IF(OR($B214="",$B214="X",$D214="",$D214="X",$E214="",$E214="X"),0,IFERROR(_xlfn.LET(_xlpm.x,SUM(SUM(_xlfn._xlws.FILTER(VALUE(PptoSty[Sign]&amp;1)*(1/PptoSty[Division]),(PptoSty[Division]&lt;&gt;0)*(PptoSty[Division]&lt;&gt;"")*(PptoSty[Division]&lt;&gt;"X")*(PptoSty[Project]=$B214)*(PptoSty[Vrs]=$D214)*(PptoSty[PiRow]=_xlfn.TEXTAFTER($H214,":"))*(PptoSty[PiColumn]=T$54),0)),SUM(IF((INDIRECT($B$3)=$B214)*(INDIRECT($C$3)=$D214)*((INDIRECT($E$3)="TOTS")+(INDIRECT($E$3)=$E214)),INDIRECT(T$3)))),_xlpm.y,SUM(_xlfn.CHOOSECOLS(_xlfn._xlws.FILTER(F_RT14[],(F_RT14[PrjId]=$B214)*(F_RT14[Vrs]=$D214)*(_xlfn.TEXTAFTER(F_RT14[ActGrp],":")=_xlfn.TEXTAFTER($H214,":")),"X"),MATCH("*"&amp;T$54,F_RT14[#Headers],0))),IF(AND(_xlpm.x=0,_xlpm.y&lt;&gt;0),-1,IF(AND(_xlpm.x&lt;&gt;0,_xlpm.y&lt;&gt;0),_xlpm.x,IF(AND(_xlpm.x-SUM(IF((INDIRECT($B$3)=$B214)*(INDIRECT($C$3)=$D214)*((INDIRECT($E$3)="TOTS")+(INDIRECT($E$3)=$E214)),INDIRECT(T$3)))&lt;&gt;0,_xlpm.y=0),-2,_xlpm.x)))),0))</f>
        <v>0</v>
      </c>
      <c r="U214" s="199" cm="1">
        <f t="array" aca="1" ref="U214" ca="1">IF(OR($B214="",$B214="X",$D214="",$D214="X",$E214="",$E214="X"),0,IFERROR(_xlfn.LET(_xlpm.x,SUM(SUM(_xlfn._xlws.FILTER(VALUE(PptoSty[Sign]&amp;1)*(1/PptoSty[Division]),(PptoSty[Division]&lt;&gt;0)*(PptoSty[Division]&lt;&gt;"")*(PptoSty[Division]&lt;&gt;"X")*(PptoSty[Project]=$B214)*(PptoSty[Vrs]=$D214)*(PptoSty[PiRow]=_xlfn.TEXTAFTER($H214,":"))*(PptoSty[PiColumn]=U$54),0)),SUM(IF((INDIRECT($B$3)=$B214)*(INDIRECT($C$3)=$D214)*((INDIRECT($E$3)="TOTS")+(INDIRECT($E$3)=$E214)),INDIRECT(U$3)))),_xlpm.y,SUM(_xlfn.CHOOSECOLS(_xlfn._xlws.FILTER(F_RT14[],(F_RT14[PrjId]=$B214)*(F_RT14[Vrs]=$D214)*(_xlfn.TEXTAFTER(F_RT14[ActGrp],":")=_xlfn.TEXTAFTER($H214,":")),"X"),MATCH("*"&amp;U$54,F_RT14[#Headers],0))),IF(AND(_xlpm.x=0,_xlpm.y&lt;&gt;0),-1,IF(AND(_xlpm.x&lt;&gt;0,_xlpm.y&lt;&gt;0),_xlpm.x,IF(AND(_xlpm.x-SUM(IF((INDIRECT($B$3)=$B214)*(INDIRECT($C$3)=$D214)*((INDIRECT($E$3)="TOTS")+(INDIRECT($E$3)=$E214)),INDIRECT(U$3)))&lt;&gt;0,_xlpm.y=0),-2,_xlpm.x)))),0))</f>
        <v>0</v>
      </c>
      <c r="V214" s="199" cm="1">
        <f t="array" aca="1" ref="V214" ca="1">IF(OR($B214="",$B214="X",$D214="",$D214="X",$E214="",$E214="X"),0,IFERROR(_xlfn.LET(_xlpm.x,SUM(SUM(_xlfn._xlws.FILTER(VALUE(PptoSty[Sign]&amp;1)*(1/PptoSty[Division]),(PptoSty[Division]&lt;&gt;0)*(PptoSty[Division]&lt;&gt;"")*(PptoSty[Division]&lt;&gt;"X")*(PptoSty[Project]=$B214)*(PptoSty[Vrs]=$D214)*(PptoSty[PiRow]=_xlfn.TEXTAFTER($H214,":"))*(PptoSty[PiColumn]=V$54),0)),SUM(IF((INDIRECT($B$3)=$B214)*(INDIRECT($C$3)=$D214)*((INDIRECT($E$3)="TOTS")+(INDIRECT($E$3)=$E214)),INDIRECT(V$3)))),_xlpm.y,SUM(_xlfn.CHOOSECOLS(_xlfn._xlws.FILTER(F_RT14[],(F_RT14[PrjId]=$B214)*(F_RT14[Vrs]=$D214)*(_xlfn.TEXTAFTER(F_RT14[ActGrp],":")=_xlfn.TEXTAFTER($H214,":")),"X"),MATCH("*"&amp;V$54,F_RT14[#Headers],0))),IF(AND(_xlpm.x=0,_xlpm.y&lt;&gt;0),-1,IF(AND(_xlpm.x&lt;&gt;0,_xlpm.y&lt;&gt;0),_xlpm.x,IF(AND(_xlpm.x-SUM(IF((INDIRECT($B$3)=$B214)*(INDIRECT($C$3)=$D214)*((INDIRECT($E$3)="TOTS")+(INDIRECT($E$3)=$E214)),INDIRECT(V$3)))&lt;&gt;0,_xlpm.y=0),-2,_xlpm.x)))),0))</f>
        <v>0</v>
      </c>
      <c r="W214" s="199" cm="1">
        <f t="array" aca="1" ref="W214" ca="1">IF(OR($B214="",$B214="X",$D214="",$D214="X",$E214="",$E214="X"),0,IFERROR(_xlfn.LET(_xlpm.x,SUM(SUM(_xlfn._xlws.FILTER(VALUE(PptoSty[Sign]&amp;1)*(1/PptoSty[Division]),(PptoSty[Division]&lt;&gt;0)*(PptoSty[Division]&lt;&gt;"")*(PptoSty[Division]&lt;&gt;"X")*(PptoSty[Project]=$B214)*(PptoSty[Vrs]=$D214)*(PptoSty[PiRow]=_xlfn.TEXTAFTER($H214,":"))*(PptoSty[PiColumn]=W$54),0)),SUM(IF((INDIRECT($B$3)=$B214)*(INDIRECT($C$3)=$D214)*((INDIRECT($E$3)="TOTS")+(INDIRECT($E$3)=$E214)),INDIRECT(W$3)))),_xlpm.y,SUM(_xlfn.CHOOSECOLS(_xlfn._xlws.FILTER(F_RT14[],(F_RT14[PrjId]=$B214)*(F_RT14[Vrs]=$D214)*(_xlfn.TEXTAFTER(F_RT14[ActGrp],":")=_xlfn.TEXTAFTER($H214,":")),"X"),MATCH("*"&amp;W$54,F_RT14[#Headers],0))),IF(AND(_xlpm.x=0,_xlpm.y&lt;&gt;0),-1,IF(AND(_xlpm.x&lt;&gt;0,_xlpm.y&lt;&gt;0),_xlpm.x,IF(AND(_xlpm.x-SUM(IF((INDIRECT($B$3)=$B214)*(INDIRECT($C$3)=$D214)*((INDIRECT($E$3)="TOTS")+(INDIRECT($E$3)=$E214)),INDIRECT(W$3)))&lt;&gt;0,_xlpm.y=0),-2,_xlpm.x)))),0))</f>
        <v>0</v>
      </c>
      <c r="X214" s="199" cm="1">
        <f t="array" aca="1" ref="X214" ca="1">IF(OR($B214="",$B214="X",$D214="",$D214="X",$E214="",$E214="X"),0,IFERROR(_xlfn.LET(_xlpm.x,SUM(SUM(_xlfn._xlws.FILTER(VALUE(PptoSty[Sign]&amp;1)*(1/PptoSty[Division]),(PptoSty[Division]&lt;&gt;0)*(PptoSty[Division]&lt;&gt;"")*(PptoSty[Division]&lt;&gt;"X")*(PptoSty[Project]=$B214)*(PptoSty[Vrs]=$D214)*(PptoSty[PiRow]=_xlfn.TEXTAFTER($H214,":"))*(PptoSty[PiColumn]=X$54),0)),SUM(IF((INDIRECT($B$3)=$B214)*(INDIRECT($C$3)=$D214)*((INDIRECT($E$3)="TOTS")+(INDIRECT($E$3)=$E214)),INDIRECT(X$3)))),_xlpm.y,SUM(_xlfn.CHOOSECOLS(_xlfn._xlws.FILTER(F_RT14[],(F_RT14[PrjId]=$B214)*(F_RT14[Vrs]=$D214)*(_xlfn.TEXTAFTER(F_RT14[ActGrp],":")=_xlfn.TEXTAFTER($H214,":")),"X"),MATCH("*"&amp;X$54,F_RT14[#Headers],0))),IF(AND(_xlpm.x=0,_xlpm.y&lt;&gt;0),-1,IF(AND(_xlpm.x&lt;&gt;0,_xlpm.y&lt;&gt;0),_xlpm.x,IF(AND(_xlpm.x-SUM(IF((INDIRECT($B$3)=$B214)*(INDIRECT($C$3)=$D214)*((INDIRECT($E$3)="TOTS")+(INDIRECT($E$3)=$E214)),INDIRECT(X$3)))&lt;&gt;0,_xlpm.y=0),-2,_xlpm.x)))),0))</f>
        <v>0</v>
      </c>
      <c r="Y214" s="199" cm="1">
        <f t="array" aca="1" ref="Y214" ca="1">IF(OR($B214="",$B214="X",$D214="",$D214="X",$E214="",$E214="X"),0,IFERROR(_xlfn.LET(_xlpm.x,SUM(SUM(_xlfn._xlws.FILTER(VALUE(PptoSty[Sign]&amp;1)*(1/PptoSty[Division]),(PptoSty[Division]&lt;&gt;0)*(PptoSty[Division]&lt;&gt;"")*(PptoSty[Division]&lt;&gt;"X")*(PptoSty[Project]=$B214)*(PptoSty[Vrs]=$D214)*(PptoSty[PiRow]=_xlfn.TEXTAFTER($H214,":"))*(PptoSty[PiColumn]=Y$54),0)),SUM(IF((INDIRECT($B$3)=$B214)*(INDIRECT($C$3)=$D214)*((INDIRECT($E$3)="TOTS")+(INDIRECT($E$3)=$E214)),INDIRECT(Y$3)))),_xlpm.y,SUM(_xlfn.CHOOSECOLS(_xlfn._xlws.FILTER(F_RT14[],(F_RT14[PrjId]=$B214)*(F_RT14[Vrs]=$D214)*(_xlfn.TEXTAFTER(F_RT14[ActGrp],":")=_xlfn.TEXTAFTER($H214,":")),"X"),MATCH("*"&amp;Y$54,F_RT14[#Headers],0))),IF(AND(_xlpm.x=0,_xlpm.y&lt;&gt;0),-1,IF(AND(_xlpm.x&lt;&gt;0,_xlpm.y&lt;&gt;0),_xlpm.x,IF(AND(_xlpm.x-SUM(IF((INDIRECT($B$3)=$B214)*(INDIRECT($C$3)=$D214)*((INDIRECT($E$3)="TOTS")+(INDIRECT($E$3)=$E214)),INDIRECT(Y$3)))&lt;&gt;0,_xlpm.y=0),-2,_xlpm.x)))),0))</f>
        <v>0</v>
      </c>
      <c r="Z214" s="198" t="str">
        <f t="shared" ca="1" si="4"/>
        <v>Fback!B214:Y214</v>
      </c>
    </row>
    <row r="215" spans="2:26" ht="21" customHeight="1" outlineLevel="1">
      <c r="B215" s="128"/>
      <c r="C215" s="128"/>
      <c r="D215" s="128"/>
      <c r="E215" s="128"/>
      <c r="F215" s="139"/>
      <c r="G215" s="139"/>
      <c r="H215" s="139"/>
      <c r="I215" s="199" cm="1">
        <f t="array" aca="1" ref="I215" ca="1">IF(OR($B215="",$B215="X",$D215="",$D215="X",$E215="",$E215="X"),0,IFERROR(_xlfn.LET(_xlpm.x,SUM(SUM(_xlfn._xlws.FILTER(VALUE(PptoSty[Sign]&amp;1)*(1/PptoSty[Division]),(PptoSty[Division]&lt;&gt;0)*(PptoSty[Division]&lt;&gt;"")*(PptoSty[Division]&lt;&gt;"X")*(PptoSty[Project]=$B215)*(PptoSty[Vrs]=$D215)*(PptoSty[PiRow]=_xlfn.TEXTAFTER($H215,":"))*(PptoSty[PiColumn]=I$54),0)),SUM(IF((INDIRECT($B$3)=$B215)*(INDIRECT($C$3)=$D215)*((INDIRECT($E$3)="TOTS")+(INDIRECT($E$3)=$E215)),INDIRECT(I$3)))),_xlpm.y,SUM(_xlfn.CHOOSECOLS(_xlfn._xlws.FILTER(F_RT14[],(F_RT14[PrjId]=$B215)*(F_RT14[Vrs]=$D215)*(_xlfn.TEXTAFTER(F_RT14[ActGrp],":")=_xlfn.TEXTAFTER($H215,":")),"X"),MATCH("*"&amp;I$54,F_RT14[#Headers],0))),IF(AND(_xlpm.x=0,_xlpm.y&lt;&gt;0),-1,IF(AND(_xlpm.x&lt;&gt;0,_xlpm.y&lt;&gt;0),_xlpm.x,IF(AND(_xlpm.x-SUM(IF((INDIRECT($B$3)=$B215)*(INDIRECT($C$3)=$D215)*((INDIRECT($E$3)="TOTS")+(INDIRECT($E$3)=$E215)),INDIRECT(I$3)))&lt;&gt;0,_xlpm.y=0),-2,_xlpm.x)))),0))</f>
        <v>0</v>
      </c>
      <c r="J215" s="199" cm="1">
        <f t="array" aca="1" ref="J215" ca="1">IF(OR($B215="",$B215="X",$D215="",$D215="X",$E215="",$E215="X"),0,IFERROR(_xlfn.LET(_xlpm.x,SUM(SUM(_xlfn._xlws.FILTER(VALUE(PptoSty[Sign]&amp;1)*(1/PptoSty[Division]),(PptoSty[Division]&lt;&gt;0)*(PptoSty[Division]&lt;&gt;"")*(PptoSty[Division]&lt;&gt;"X")*(PptoSty[Project]=$B215)*(PptoSty[Vrs]=$D215)*(PptoSty[PiRow]=_xlfn.TEXTAFTER($H215,":"))*(PptoSty[PiColumn]=J$54),0)),SUM(IF((INDIRECT($B$3)=$B215)*(INDIRECT($C$3)=$D215)*((INDIRECT($E$3)="TOTS")+(INDIRECT($E$3)=$E215)),INDIRECT(J$3)))),_xlpm.y,SUM(_xlfn.CHOOSECOLS(_xlfn._xlws.FILTER(F_RT14[],(F_RT14[PrjId]=$B215)*(F_RT14[Vrs]=$D215)*(_xlfn.TEXTAFTER(F_RT14[ActGrp],":")=_xlfn.TEXTAFTER($H215,":")),"X"),MATCH("*"&amp;J$54,F_RT14[#Headers],0))),IF(AND(_xlpm.x=0,_xlpm.y&lt;&gt;0),-1,IF(AND(_xlpm.x&lt;&gt;0,_xlpm.y&lt;&gt;0),_xlpm.x,IF(AND(_xlpm.x-SUM(IF((INDIRECT($B$3)=$B215)*(INDIRECT($C$3)=$D215)*((INDIRECT($E$3)="TOTS")+(INDIRECT($E$3)=$E215)),INDIRECT(J$3)))&lt;&gt;0,_xlpm.y=0),-2,_xlpm.x)))),0))</f>
        <v>0</v>
      </c>
      <c r="K215" s="199" cm="1">
        <f t="array" aca="1" ref="K215" ca="1">IF(OR($B215="",$B215="X",$D215="",$D215="X",$E215="",$E215="X"),0,IFERROR(_xlfn.LET(_xlpm.x,SUM(SUM(_xlfn._xlws.FILTER(VALUE(PptoSty[Sign]&amp;1)*(1/PptoSty[Division]),(PptoSty[Division]&lt;&gt;0)*(PptoSty[Division]&lt;&gt;"")*(PptoSty[Division]&lt;&gt;"X")*(PptoSty[Project]=$B215)*(PptoSty[Vrs]=$D215)*(PptoSty[PiRow]=_xlfn.TEXTAFTER($H215,":"))*(PptoSty[PiColumn]=K$54),0)),SUM(IF((INDIRECT($B$3)=$B215)*(INDIRECT($C$3)=$D215)*((INDIRECT($E$3)="TOTS")+(INDIRECT($E$3)=$E215)),INDIRECT(K$3)))),_xlpm.y,SUM(_xlfn.CHOOSECOLS(_xlfn._xlws.FILTER(F_RT14[],(F_RT14[PrjId]=$B215)*(F_RT14[Vrs]=$D215)*(_xlfn.TEXTAFTER(F_RT14[ActGrp],":")=_xlfn.TEXTAFTER($H215,":")),"X"),MATCH("*"&amp;K$54,F_RT14[#Headers],0))),IF(AND(_xlpm.x=0,_xlpm.y&lt;&gt;0),-1,IF(AND(_xlpm.x&lt;&gt;0,_xlpm.y&lt;&gt;0),_xlpm.x,IF(AND(_xlpm.x-SUM(IF((INDIRECT($B$3)=$B215)*(INDIRECT($C$3)=$D215)*((INDIRECT($E$3)="TOTS")+(INDIRECT($E$3)=$E215)),INDIRECT(K$3)))&lt;&gt;0,_xlpm.y=0),-2,_xlpm.x)))),0))</f>
        <v>0</v>
      </c>
      <c r="L215" s="199" cm="1">
        <f t="array" aca="1" ref="L215" ca="1">IF(OR($B215="",$B215="X",$D215="",$D215="X",$E215="",$E215="X"),0,IFERROR(_xlfn.LET(_xlpm.x,SUM(SUM(_xlfn._xlws.FILTER(VALUE(PptoSty[Sign]&amp;1)*(1/PptoSty[Division]),(PptoSty[Division]&lt;&gt;0)*(PptoSty[Division]&lt;&gt;"")*(PptoSty[Division]&lt;&gt;"X")*(PptoSty[Project]=$B215)*(PptoSty[Vrs]=$D215)*(PptoSty[PiRow]=_xlfn.TEXTAFTER($H215,":"))*(PptoSty[PiColumn]=L$54),0)),SUM(IF((INDIRECT($B$3)=$B215)*(INDIRECT($C$3)=$D215)*((INDIRECT($E$3)="TOTS")+(INDIRECT($E$3)=$E215)),INDIRECT(L$3)))),_xlpm.y,SUM(_xlfn.CHOOSECOLS(_xlfn._xlws.FILTER(F_RT14[],(F_RT14[PrjId]=$B215)*(F_RT14[Vrs]=$D215)*(_xlfn.TEXTAFTER(F_RT14[ActGrp],":")=_xlfn.TEXTAFTER($H215,":")),"X"),MATCH("*"&amp;L$54,F_RT14[#Headers],0))),IF(AND(_xlpm.x=0,_xlpm.y&lt;&gt;0),-1,IF(AND(_xlpm.x&lt;&gt;0,_xlpm.y&lt;&gt;0),_xlpm.x,IF(AND(_xlpm.x-SUM(IF((INDIRECT($B$3)=$B215)*(INDIRECT($C$3)=$D215)*((INDIRECT($E$3)="TOTS")+(INDIRECT($E$3)=$E215)),INDIRECT(L$3)))&lt;&gt;0,_xlpm.y=0),-2,_xlpm.x)))),0))</f>
        <v>0</v>
      </c>
      <c r="M215" s="199" cm="1">
        <f t="array" aca="1" ref="M215" ca="1">IF(OR($B215="",$B215="X",$D215="",$D215="X",$E215="",$E215="X"),0,IFERROR(_xlfn.LET(_xlpm.x,SUM(SUM(_xlfn._xlws.FILTER(VALUE(PptoSty[Sign]&amp;1)*(1/PptoSty[Division]),(PptoSty[Division]&lt;&gt;0)*(PptoSty[Division]&lt;&gt;"")*(PptoSty[Division]&lt;&gt;"X")*(PptoSty[Project]=$B215)*(PptoSty[Vrs]=$D215)*(PptoSty[PiRow]=_xlfn.TEXTAFTER($H215,":"))*(PptoSty[PiColumn]=M$54),0)),SUM(IF((INDIRECT($B$3)=$B215)*(INDIRECT($C$3)=$D215)*((INDIRECT($E$3)="TOTS")+(INDIRECT($E$3)=$E215)),INDIRECT(M$3)))),_xlpm.y,SUM(_xlfn.CHOOSECOLS(_xlfn._xlws.FILTER(F_RT14[],(F_RT14[PrjId]=$B215)*(F_RT14[Vrs]=$D215)*(_xlfn.TEXTAFTER(F_RT14[ActGrp],":")=_xlfn.TEXTAFTER($H215,":")),"X"),MATCH("*"&amp;M$54,F_RT14[#Headers],0))),IF(AND(_xlpm.x=0,_xlpm.y&lt;&gt;0),-1,IF(AND(_xlpm.x&lt;&gt;0,_xlpm.y&lt;&gt;0),_xlpm.x,IF(AND(_xlpm.x-SUM(IF((INDIRECT($B$3)=$B215)*(INDIRECT($C$3)=$D215)*((INDIRECT($E$3)="TOTS")+(INDIRECT($E$3)=$E215)),INDIRECT(M$3)))&lt;&gt;0,_xlpm.y=0),-2,_xlpm.x)))),0))</f>
        <v>0</v>
      </c>
      <c r="N215" s="199" cm="1">
        <f t="array" aca="1" ref="N215" ca="1">IF(OR($B215="",$B215="X",$D215="",$D215="X",$E215="",$E215="X"),0,IFERROR(_xlfn.LET(_xlpm.x,SUM(SUM(_xlfn._xlws.FILTER(VALUE(PptoSty[Sign]&amp;1)*(1/PptoSty[Division]),(PptoSty[Division]&lt;&gt;0)*(PptoSty[Division]&lt;&gt;"")*(PptoSty[Division]&lt;&gt;"X")*(PptoSty[Project]=$B215)*(PptoSty[Vrs]=$D215)*(PptoSty[PiRow]=_xlfn.TEXTAFTER($H215,":"))*(PptoSty[PiColumn]=N$54),0)),SUM(IF((INDIRECT($B$3)=$B215)*(INDIRECT($C$3)=$D215)*((INDIRECT($E$3)="TOTS")+(INDIRECT($E$3)=$E215)),INDIRECT(N$3)))),_xlpm.y,SUM(_xlfn.CHOOSECOLS(_xlfn._xlws.FILTER(F_RT14[],(F_RT14[PrjId]=$B215)*(F_RT14[Vrs]=$D215)*(_xlfn.TEXTAFTER(F_RT14[ActGrp],":")=_xlfn.TEXTAFTER($H215,":")),"X"),MATCH("*"&amp;N$54,F_RT14[#Headers],0))),IF(AND(_xlpm.x=0,_xlpm.y&lt;&gt;0),-1,IF(AND(_xlpm.x&lt;&gt;0,_xlpm.y&lt;&gt;0),_xlpm.x,IF(AND(_xlpm.x-SUM(IF((INDIRECT($B$3)=$B215)*(INDIRECT($C$3)=$D215)*((INDIRECT($E$3)="TOTS")+(INDIRECT($E$3)=$E215)),INDIRECT(N$3)))&lt;&gt;0,_xlpm.y=0),-2,_xlpm.x)))),0))</f>
        <v>0</v>
      </c>
      <c r="O215" s="199" cm="1">
        <f t="array" aca="1" ref="O215" ca="1">IF(OR($B215="",$B215="X",$D215="",$D215="X",$E215="",$E215="X"),0,IFERROR(_xlfn.LET(_xlpm.x,SUM(SUM(_xlfn._xlws.FILTER(VALUE(PptoSty[Sign]&amp;1)*(1/PptoSty[Division]),(PptoSty[Division]&lt;&gt;0)*(PptoSty[Division]&lt;&gt;"")*(PptoSty[Division]&lt;&gt;"X")*(PptoSty[Project]=$B215)*(PptoSty[Vrs]=$D215)*(PptoSty[PiRow]=_xlfn.TEXTAFTER($H215,":"))*(PptoSty[PiColumn]=O$54),0)),SUM(IF((INDIRECT($B$3)=$B215)*(INDIRECT($C$3)=$D215)*((INDIRECT($E$3)="TOTS")+(INDIRECT($E$3)=$E215)),INDIRECT(O$3)))),_xlpm.y,SUM(_xlfn.CHOOSECOLS(_xlfn._xlws.FILTER(F_RT14[],(F_RT14[PrjId]=$B215)*(F_RT14[Vrs]=$D215)*(_xlfn.TEXTAFTER(F_RT14[ActGrp],":")=_xlfn.TEXTAFTER($H215,":")),"X"),MATCH("*"&amp;O$54,F_RT14[#Headers],0))),IF(AND(_xlpm.x=0,_xlpm.y&lt;&gt;0),-1,IF(AND(_xlpm.x&lt;&gt;0,_xlpm.y&lt;&gt;0),_xlpm.x,IF(AND(_xlpm.x-SUM(IF((INDIRECT($B$3)=$B215)*(INDIRECT($C$3)=$D215)*((INDIRECT($E$3)="TOTS")+(INDIRECT($E$3)=$E215)),INDIRECT(O$3)))&lt;&gt;0,_xlpm.y=0),-2,_xlpm.x)))),0))</f>
        <v>0</v>
      </c>
      <c r="P215" s="199" cm="1">
        <f t="array" aca="1" ref="P215" ca="1">IF(OR($B215="",$B215="X",$D215="",$D215="X",$E215="",$E215="X"),0,IFERROR(_xlfn.LET(_xlpm.x,SUM(SUM(_xlfn._xlws.FILTER(VALUE(PptoSty[Sign]&amp;1)*(1/PptoSty[Division]),(PptoSty[Division]&lt;&gt;0)*(PptoSty[Division]&lt;&gt;"")*(PptoSty[Division]&lt;&gt;"X")*(PptoSty[Project]=$B215)*(PptoSty[Vrs]=$D215)*(PptoSty[PiRow]=_xlfn.TEXTAFTER($H215,":"))*(PptoSty[PiColumn]=P$54),0)),SUM(IF((INDIRECT($B$3)=$B215)*(INDIRECT($C$3)=$D215)*((INDIRECT($E$3)="TOTS")+(INDIRECT($E$3)=$E215)),INDIRECT(P$3)))),_xlpm.y,SUM(_xlfn.CHOOSECOLS(_xlfn._xlws.FILTER(F_RT14[],(F_RT14[PrjId]=$B215)*(F_RT14[Vrs]=$D215)*(_xlfn.TEXTAFTER(F_RT14[ActGrp],":")=_xlfn.TEXTAFTER($H215,":")),"X"),MATCH("*"&amp;P$54,F_RT14[#Headers],0))),IF(AND(_xlpm.x=0,_xlpm.y&lt;&gt;0),-1,IF(AND(_xlpm.x&lt;&gt;0,_xlpm.y&lt;&gt;0),_xlpm.x,IF(AND(_xlpm.x-SUM(IF((INDIRECT($B$3)=$B215)*(INDIRECT($C$3)=$D215)*((INDIRECT($E$3)="TOTS")+(INDIRECT($E$3)=$E215)),INDIRECT(P$3)))&lt;&gt;0,_xlpm.y=0),-2,_xlpm.x)))),0))</f>
        <v>0</v>
      </c>
      <c r="Q215" s="199" cm="1">
        <f t="array" aca="1" ref="Q215" ca="1">IF(OR($B215="",$B215="X",$D215="",$D215="X",$E215="",$E215="X"),0,IFERROR(_xlfn.LET(_xlpm.x,SUM(SUM(_xlfn._xlws.FILTER(VALUE(PptoSty[Sign]&amp;1)*(1/PptoSty[Division]),(PptoSty[Division]&lt;&gt;0)*(PptoSty[Division]&lt;&gt;"")*(PptoSty[Division]&lt;&gt;"X")*(PptoSty[Project]=$B215)*(PptoSty[Vrs]=$D215)*(PptoSty[PiRow]=_xlfn.TEXTAFTER($H215,":"))*(PptoSty[PiColumn]=Q$54),0)),SUM(IF((INDIRECT($B$3)=$B215)*(INDIRECT($C$3)=$D215)*((INDIRECT($E$3)="TOTS")+(INDIRECT($E$3)=$E215)),INDIRECT(Q$3)))),_xlpm.y,SUM(_xlfn.CHOOSECOLS(_xlfn._xlws.FILTER(F_RT14[],(F_RT14[PrjId]=$B215)*(F_RT14[Vrs]=$D215)*(_xlfn.TEXTAFTER(F_RT14[ActGrp],":")=_xlfn.TEXTAFTER($H215,":")),"X"),MATCH("*"&amp;Q$54,F_RT14[#Headers],0))),IF(AND(_xlpm.x=0,_xlpm.y&lt;&gt;0),-1,IF(AND(_xlpm.x&lt;&gt;0,_xlpm.y&lt;&gt;0),_xlpm.x,IF(AND(_xlpm.x-SUM(IF((INDIRECT($B$3)=$B215)*(INDIRECT($C$3)=$D215)*((INDIRECT($E$3)="TOTS")+(INDIRECT($E$3)=$E215)),INDIRECT(Q$3)))&lt;&gt;0,_xlpm.y=0),-2,_xlpm.x)))),0))</f>
        <v>0</v>
      </c>
      <c r="R215" s="199" cm="1">
        <f t="array" aca="1" ref="R215" ca="1">IF(OR($B215="",$B215="X",$D215="",$D215="X",$E215="",$E215="X"),0,IFERROR(_xlfn.LET(_xlpm.x,SUM(SUM(_xlfn._xlws.FILTER(VALUE(PptoSty[Sign]&amp;1)*(1/PptoSty[Division]),(PptoSty[Division]&lt;&gt;0)*(PptoSty[Division]&lt;&gt;"")*(PptoSty[Division]&lt;&gt;"X")*(PptoSty[Project]=$B215)*(PptoSty[Vrs]=$D215)*(PptoSty[PiRow]=_xlfn.TEXTAFTER($H215,":"))*(PptoSty[PiColumn]=R$54),0)),SUM(IF((INDIRECT($B$3)=$B215)*(INDIRECT($C$3)=$D215)*((INDIRECT($E$3)="TOTS")+(INDIRECT($E$3)=$E215)),INDIRECT(R$3)))),_xlpm.y,SUM(_xlfn.CHOOSECOLS(_xlfn._xlws.FILTER(F_RT14[],(F_RT14[PrjId]=$B215)*(F_RT14[Vrs]=$D215)*(_xlfn.TEXTAFTER(F_RT14[ActGrp],":")=_xlfn.TEXTAFTER($H215,":")),"X"),MATCH("*"&amp;R$54,F_RT14[#Headers],0))),IF(AND(_xlpm.x=0,_xlpm.y&lt;&gt;0),-1,IF(AND(_xlpm.x&lt;&gt;0,_xlpm.y&lt;&gt;0),_xlpm.x,IF(AND(_xlpm.x-SUM(IF((INDIRECT($B$3)=$B215)*(INDIRECT($C$3)=$D215)*((INDIRECT($E$3)="TOTS")+(INDIRECT($E$3)=$E215)),INDIRECT(R$3)))&lt;&gt;0,_xlpm.y=0),-2,_xlpm.x)))),0))</f>
        <v>0</v>
      </c>
      <c r="S215" s="199" cm="1">
        <f t="array" aca="1" ref="S215" ca="1">IF(OR($B215="",$B215="X",$D215="",$D215="X",$E215="",$E215="X"),0,IFERROR(_xlfn.LET(_xlpm.x,SUM(SUM(_xlfn._xlws.FILTER(VALUE(PptoSty[Sign]&amp;1)*(1/PptoSty[Division]),(PptoSty[Division]&lt;&gt;0)*(PptoSty[Division]&lt;&gt;"")*(PptoSty[Division]&lt;&gt;"X")*(PptoSty[Project]=$B215)*(PptoSty[Vrs]=$D215)*(PptoSty[PiRow]=_xlfn.TEXTAFTER($H215,":"))*(PptoSty[PiColumn]=S$54),0)),SUM(IF((INDIRECT($B$3)=$B215)*(INDIRECT($C$3)=$D215)*((INDIRECT($E$3)="TOTS")+(INDIRECT($E$3)=$E215)),INDIRECT(S$3)))),_xlpm.y,SUM(_xlfn.CHOOSECOLS(_xlfn._xlws.FILTER(F_RT14[],(F_RT14[PrjId]=$B215)*(F_RT14[Vrs]=$D215)*(_xlfn.TEXTAFTER(F_RT14[ActGrp],":")=_xlfn.TEXTAFTER($H215,":")),"X"),MATCH("*"&amp;S$54,F_RT14[#Headers],0))),IF(AND(_xlpm.x=0,_xlpm.y&lt;&gt;0),-1,IF(AND(_xlpm.x&lt;&gt;0,_xlpm.y&lt;&gt;0),_xlpm.x,IF(AND(_xlpm.x-SUM(IF((INDIRECT($B$3)=$B215)*(INDIRECT($C$3)=$D215)*((INDIRECT($E$3)="TOTS")+(INDIRECT($E$3)=$E215)),INDIRECT(S$3)))&lt;&gt;0,_xlpm.y=0),-2,_xlpm.x)))),0))</f>
        <v>0</v>
      </c>
      <c r="T215" s="199" cm="1">
        <f t="array" aca="1" ref="T215" ca="1">IF(OR($B215="",$B215="X",$D215="",$D215="X",$E215="",$E215="X"),0,IFERROR(_xlfn.LET(_xlpm.x,SUM(SUM(_xlfn._xlws.FILTER(VALUE(PptoSty[Sign]&amp;1)*(1/PptoSty[Division]),(PptoSty[Division]&lt;&gt;0)*(PptoSty[Division]&lt;&gt;"")*(PptoSty[Division]&lt;&gt;"X")*(PptoSty[Project]=$B215)*(PptoSty[Vrs]=$D215)*(PptoSty[PiRow]=_xlfn.TEXTAFTER($H215,":"))*(PptoSty[PiColumn]=T$54),0)),SUM(IF((INDIRECT($B$3)=$B215)*(INDIRECT($C$3)=$D215)*((INDIRECT($E$3)="TOTS")+(INDIRECT($E$3)=$E215)),INDIRECT(T$3)))),_xlpm.y,SUM(_xlfn.CHOOSECOLS(_xlfn._xlws.FILTER(F_RT14[],(F_RT14[PrjId]=$B215)*(F_RT14[Vrs]=$D215)*(_xlfn.TEXTAFTER(F_RT14[ActGrp],":")=_xlfn.TEXTAFTER($H215,":")),"X"),MATCH("*"&amp;T$54,F_RT14[#Headers],0))),IF(AND(_xlpm.x=0,_xlpm.y&lt;&gt;0),-1,IF(AND(_xlpm.x&lt;&gt;0,_xlpm.y&lt;&gt;0),_xlpm.x,IF(AND(_xlpm.x-SUM(IF((INDIRECT($B$3)=$B215)*(INDIRECT($C$3)=$D215)*((INDIRECT($E$3)="TOTS")+(INDIRECT($E$3)=$E215)),INDIRECT(T$3)))&lt;&gt;0,_xlpm.y=0),-2,_xlpm.x)))),0))</f>
        <v>0</v>
      </c>
      <c r="U215" s="199" cm="1">
        <f t="array" aca="1" ref="U215" ca="1">IF(OR($B215="",$B215="X",$D215="",$D215="X",$E215="",$E215="X"),0,IFERROR(_xlfn.LET(_xlpm.x,SUM(SUM(_xlfn._xlws.FILTER(VALUE(PptoSty[Sign]&amp;1)*(1/PptoSty[Division]),(PptoSty[Division]&lt;&gt;0)*(PptoSty[Division]&lt;&gt;"")*(PptoSty[Division]&lt;&gt;"X")*(PptoSty[Project]=$B215)*(PptoSty[Vrs]=$D215)*(PptoSty[PiRow]=_xlfn.TEXTAFTER($H215,":"))*(PptoSty[PiColumn]=U$54),0)),SUM(IF((INDIRECT($B$3)=$B215)*(INDIRECT($C$3)=$D215)*((INDIRECT($E$3)="TOTS")+(INDIRECT($E$3)=$E215)),INDIRECT(U$3)))),_xlpm.y,SUM(_xlfn.CHOOSECOLS(_xlfn._xlws.FILTER(F_RT14[],(F_RT14[PrjId]=$B215)*(F_RT14[Vrs]=$D215)*(_xlfn.TEXTAFTER(F_RT14[ActGrp],":")=_xlfn.TEXTAFTER($H215,":")),"X"),MATCH("*"&amp;U$54,F_RT14[#Headers],0))),IF(AND(_xlpm.x=0,_xlpm.y&lt;&gt;0),-1,IF(AND(_xlpm.x&lt;&gt;0,_xlpm.y&lt;&gt;0),_xlpm.x,IF(AND(_xlpm.x-SUM(IF((INDIRECT($B$3)=$B215)*(INDIRECT($C$3)=$D215)*((INDIRECT($E$3)="TOTS")+(INDIRECT($E$3)=$E215)),INDIRECT(U$3)))&lt;&gt;0,_xlpm.y=0),-2,_xlpm.x)))),0))</f>
        <v>0</v>
      </c>
      <c r="V215" s="199" cm="1">
        <f t="array" aca="1" ref="V215" ca="1">IF(OR($B215="",$B215="X",$D215="",$D215="X",$E215="",$E215="X"),0,IFERROR(_xlfn.LET(_xlpm.x,SUM(SUM(_xlfn._xlws.FILTER(VALUE(PptoSty[Sign]&amp;1)*(1/PptoSty[Division]),(PptoSty[Division]&lt;&gt;0)*(PptoSty[Division]&lt;&gt;"")*(PptoSty[Division]&lt;&gt;"X")*(PptoSty[Project]=$B215)*(PptoSty[Vrs]=$D215)*(PptoSty[PiRow]=_xlfn.TEXTAFTER($H215,":"))*(PptoSty[PiColumn]=V$54),0)),SUM(IF((INDIRECT($B$3)=$B215)*(INDIRECT($C$3)=$D215)*((INDIRECT($E$3)="TOTS")+(INDIRECT($E$3)=$E215)),INDIRECT(V$3)))),_xlpm.y,SUM(_xlfn.CHOOSECOLS(_xlfn._xlws.FILTER(F_RT14[],(F_RT14[PrjId]=$B215)*(F_RT14[Vrs]=$D215)*(_xlfn.TEXTAFTER(F_RT14[ActGrp],":")=_xlfn.TEXTAFTER($H215,":")),"X"),MATCH("*"&amp;V$54,F_RT14[#Headers],0))),IF(AND(_xlpm.x=0,_xlpm.y&lt;&gt;0),-1,IF(AND(_xlpm.x&lt;&gt;0,_xlpm.y&lt;&gt;0),_xlpm.x,IF(AND(_xlpm.x-SUM(IF((INDIRECT($B$3)=$B215)*(INDIRECT($C$3)=$D215)*((INDIRECT($E$3)="TOTS")+(INDIRECT($E$3)=$E215)),INDIRECT(V$3)))&lt;&gt;0,_xlpm.y=0),-2,_xlpm.x)))),0))</f>
        <v>0</v>
      </c>
      <c r="W215" s="199" cm="1">
        <f t="array" aca="1" ref="W215" ca="1">IF(OR($B215="",$B215="X",$D215="",$D215="X",$E215="",$E215="X"),0,IFERROR(_xlfn.LET(_xlpm.x,SUM(SUM(_xlfn._xlws.FILTER(VALUE(PptoSty[Sign]&amp;1)*(1/PptoSty[Division]),(PptoSty[Division]&lt;&gt;0)*(PptoSty[Division]&lt;&gt;"")*(PptoSty[Division]&lt;&gt;"X")*(PptoSty[Project]=$B215)*(PptoSty[Vrs]=$D215)*(PptoSty[PiRow]=_xlfn.TEXTAFTER($H215,":"))*(PptoSty[PiColumn]=W$54),0)),SUM(IF((INDIRECT($B$3)=$B215)*(INDIRECT($C$3)=$D215)*((INDIRECT($E$3)="TOTS")+(INDIRECT($E$3)=$E215)),INDIRECT(W$3)))),_xlpm.y,SUM(_xlfn.CHOOSECOLS(_xlfn._xlws.FILTER(F_RT14[],(F_RT14[PrjId]=$B215)*(F_RT14[Vrs]=$D215)*(_xlfn.TEXTAFTER(F_RT14[ActGrp],":")=_xlfn.TEXTAFTER($H215,":")),"X"),MATCH("*"&amp;W$54,F_RT14[#Headers],0))),IF(AND(_xlpm.x=0,_xlpm.y&lt;&gt;0),-1,IF(AND(_xlpm.x&lt;&gt;0,_xlpm.y&lt;&gt;0),_xlpm.x,IF(AND(_xlpm.x-SUM(IF((INDIRECT($B$3)=$B215)*(INDIRECT($C$3)=$D215)*((INDIRECT($E$3)="TOTS")+(INDIRECT($E$3)=$E215)),INDIRECT(W$3)))&lt;&gt;0,_xlpm.y=0),-2,_xlpm.x)))),0))</f>
        <v>0</v>
      </c>
      <c r="X215" s="199" cm="1">
        <f t="array" aca="1" ref="X215" ca="1">IF(OR($B215="",$B215="X",$D215="",$D215="X",$E215="",$E215="X"),0,IFERROR(_xlfn.LET(_xlpm.x,SUM(SUM(_xlfn._xlws.FILTER(VALUE(PptoSty[Sign]&amp;1)*(1/PptoSty[Division]),(PptoSty[Division]&lt;&gt;0)*(PptoSty[Division]&lt;&gt;"")*(PptoSty[Division]&lt;&gt;"X")*(PptoSty[Project]=$B215)*(PptoSty[Vrs]=$D215)*(PptoSty[PiRow]=_xlfn.TEXTAFTER($H215,":"))*(PptoSty[PiColumn]=X$54),0)),SUM(IF((INDIRECT($B$3)=$B215)*(INDIRECT($C$3)=$D215)*((INDIRECT($E$3)="TOTS")+(INDIRECT($E$3)=$E215)),INDIRECT(X$3)))),_xlpm.y,SUM(_xlfn.CHOOSECOLS(_xlfn._xlws.FILTER(F_RT14[],(F_RT14[PrjId]=$B215)*(F_RT14[Vrs]=$D215)*(_xlfn.TEXTAFTER(F_RT14[ActGrp],":")=_xlfn.TEXTAFTER($H215,":")),"X"),MATCH("*"&amp;X$54,F_RT14[#Headers],0))),IF(AND(_xlpm.x=0,_xlpm.y&lt;&gt;0),-1,IF(AND(_xlpm.x&lt;&gt;0,_xlpm.y&lt;&gt;0),_xlpm.x,IF(AND(_xlpm.x-SUM(IF((INDIRECT($B$3)=$B215)*(INDIRECT($C$3)=$D215)*((INDIRECT($E$3)="TOTS")+(INDIRECT($E$3)=$E215)),INDIRECT(X$3)))&lt;&gt;0,_xlpm.y=0),-2,_xlpm.x)))),0))</f>
        <v>0</v>
      </c>
      <c r="Y215" s="199" cm="1">
        <f t="array" aca="1" ref="Y215" ca="1">IF(OR($B215="",$B215="X",$D215="",$D215="X",$E215="",$E215="X"),0,IFERROR(_xlfn.LET(_xlpm.x,SUM(SUM(_xlfn._xlws.FILTER(VALUE(PptoSty[Sign]&amp;1)*(1/PptoSty[Division]),(PptoSty[Division]&lt;&gt;0)*(PptoSty[Division]&lt;&gt;"")*(PptoSty[Division]&lt;&gt;"X")*(PptoSty[Project]=$B215)*(PptoSty[Vrs]=$D215)*(PptoSty[PiRow]=_xlfn.TEXTAFTER($H215,":"))*(PptoSty[PiColumn]=Y$54),0)),SUM(IF((INDIRECT($B$3)=$B215)*(INDIRECT($C$3)=$D215)*((INDIRECT($E$3)="TOTS")+(INDIRECT($E$3)=$E215)),INDIRECT(Y$3)))),_xlpm.y,SUM(_xlfn.CHOOSECOLS(_xlfn._xlws.FILTER(F_RT14[],(F_RT14[PrjId]=$B215)*(F_RT14[Vrs]=$D215)*(_xlfn.TEXTAFTER(F_RT14[ActGrp],":")=_xlfn.TEXTAFTER($H215,":")),"X"),MATCH("*"&amp;Y$54,F_RT14[#Headers],0))),IF(AND(_xlpm.x=0,_xlpm.y&lt;&gt;0),-1,IF(AND(_xlpm.x&lt;&gt;0,_xlpm.y&lt;&gt;0),_xlpm.x,IF(AND(_xlpm.x-SUM(IF((INDIRECT($B$3)=$B215)*(INDIRECT($C$3)=$D215)*((INDIRECT($E$3)="TOTS")+(INDIRECT($E$3)=$E215)),INDIRECT(Y$3)))&lt;&gt;0,_xlpm.y=0),-2,_xlpm.x)))),0))</f>
        <v>0</v>
      </c>
      <c r="Z215" s="198" t="str">
        <f t="shared" ca="1" si="4"/>
        <v>Fback!B215:Y215</v>
      </c>
    </row>
    <row r="216" spans="2:26" ht="21" customHeight="1" outlineLevel="1">
      <c r="B216" s="128"/>
      <c r="C216" s="128"/>
      <c r="D216" s="128"/>
      <c r="E216" s="128"/>
      <c r="F216" s="139"/>
      <c r="G216" s="139"/>
      <c r="H216" s="139"/>
      <c r="I216" s="199" cm="1">
        <f t="array" aca="1" ref="I216" ca="1">IF(OR($B216="",$B216="X",$D216="",$D216="X",$E216="",$E216="X"),0,IFERROR(_xlfn.LET(_xlpm.x,SUM(SUM(_xlfn._xlws.FILTER(VALUE(PptoSty[Sign]&amp;1)*(1/PptoSty[Division]),(PptoSty[Division]&lt;&gt;0)*(PptoSty[Division]&lt;&gt;"")*(PptoSty[Division]&lt;&gt;"X")*(PptoSty[Project]=$B216)*(PptoSty[Vrs]=$D216)*(PptoSty[PiRow]=_xlfn.TEXTAFTER($H216,":"))*(PptoSty[PiColumn]=I$54),0)),SUM(IF((INDIRECT($B$3)=$B216)*(INDIRECT($C$3)=$D216)*((INDIRECT($E$3)="TOTS")+(INDIRECT($E$3)=$E216)),INDIRECT(I$3)))),_xlpm.y,SUM(_xlfn.CHOOSECOLS(_xlfn._xlws.FILTER(F_RT14[],(F_RT14[PrjId]=$B216)*(F_RT14[Vrs]=$D216)*(_xlfn.TEXTAFTER(F_RT14[ActGrp],":")=_xlfn.TEXTAFTER($H216,":")),"X"),MATCH("*"&amp;I$54,F_RT14[#Headers],0))),IF(AND(_xlpm.x=0,_xlpm.y&lt;&gt;0),-1,IF(AND(_xlpm.x&lt;&gt;0,_xlpm.y&lt;&gt;0),_xlpm.x,IF(AND(_xlpm.x-SUM(IF((INDIRECT($B$3)=$B216)*(INDIRECT($C$3)=$D216)*((INDIRECT($E$3)="TOTS")+(INDIRECT($E$3)=$E216)),INDIRECT(I$3)))&lt;&gt;0,_xlpm.y=0),-2,_xlpm.x)))),0))</f>
        <v>0</v>
      </c>
      <c r="J216" s="199" cm="1">
        <f t="array" aca="1" ref="J216" ca="1">IF(OR($B216="",$B216="X",$D216="",$D216="X",$E216="",$E216="X"),0,IFERROR(_xlfn.LET(_xlpm.x,SUM(SUM(_xlfn._xlws.FILTER(VALUE(PptoSty[Sign]&amp;1)*(1/PptoSty[Division]),(PptoSty[Division]&lt;&gt;0)*(PptoSty[Division]&lt;&gt;"")*(PptoSty[Division]&lt;&gt;"X")*(PptoSty[Project]=$B216)*(PptoSty[Vrs]=$D216)*(PptoSty[PiRow]=_xlfn.TEXTAFTER($H216,":"))*(PptoSty[PiColumn]=J$54),0)),SUM(IF((INDIRECT($B$3)=$B216)*(INDIRECT($C$3)=$D216)*((INDIRECT($E$3)="TOTS")+(INDIRECT($E$3)=$E216)),INDIRECT(J$3)))),_xlpm.y,SUM(_xlfn.CHOOSECOLS(_xlfn._xlws.FILTER(F_RT14[],(F_RT14[PrjId]=$B216)*(F_RT14[Vrs]=$D216)*(_xlfn.TEXTAFTER(F_RT14[ActGrp],":")=_xlfn.TEXTAFTER($H216,":")),"X"),MATCH("*"&amp;J$54,F_RT14[#Headers],0))),IF(AND(_xlpm.x=0,_xlpm.y&lt;&gt;0),-1,IF(AND(_xlpm.x&lt;&gt;0,_xlpm.y&lt;&gt;0),_xlpm.x,IF(AND(_xlpm.x-SUM(IF((INDIRECT($B$3)=$B216)*(INDIRECT($C$3)=$D216)*((INDIRECT($E$3)="TOTS")+(INDIRECT($E$3)=$E216)),INDIRECT(J$3)))&lt;&gt;0,_xlpm.y=0),-2,_xlpm.x)))),0))</f>
        <v>0</v>
      </c>
      <c r="K216" s="199" cm="1">
        <f t="array" aca="1" ref="K216" ca="1">IF(OR($B216="",$B216="X",$D216="",$D216="X",$E216="",$E216="X"),0,IFERROR(_xlfn.LET(_xlpm.x,SUM(SUM(_xlfn._xlws.FILTER(VALUE(PptoSty[Sign]&amp;1)*(1/PptoSty[Division]),(PptoSty[Division]&lt;&gt;0)*(PptoSty[Division]&lt;&gt;"")*(PptoSty[Division]&lt;&gt;"X")*(PptoSty[Project]=$B216)*(PptoSty[Vrs]=$D216)*(PptoSty[PiRow]=_xlfn.TEXTAFTER($H216,":"))*(PptoSty[PiColumn]=K$54),0)),SUM(IF((INDIRECT($B$3)=$B216)*(INDIRECT($C$3)=$D216)*((INDIRECT($E$3)="TOTS")+(INDIRECT($E$3)=$E216)),INDIRECT(K$3)))),_xlpm.y,SUM(_xlfn.CHOOSECOLS(_xlfn._xlws.FILTER(F_RT14[],(F_RT14[PrjId]=$B216)*(F_RT14[Vrs]=$D216)*(_xlfn.TEXTAFTER(F_RT14[ActGrp],":")=_xlfn.TEXTAFTER($H216,":")),"X"),MATCH("*"&amp;K$54,F_RT14[#Headers],0))),IF(AND(_xlpm.x=0,_xlpm.y&lt;&gt;0),-1,IF(AND(_xlpm.x&lt;&gt;0,_xlpm.y&lt;&gt;0),_xlpm.x,IF(AND(_xlpm.x-SUM(IF((INDIRECT($B$3)=$B216)*(INDIRECT($C$3)=$D216)*((INDIRECT($E$3)="TOTS")+(INDIRECT($E$3)=$E216)),INDIRECT(K$3)))&lt;&gt;0,_xlpm.y=0),-2,_xlpm.x)))),0))</f>
        <v>0</v>
      </c>
      <c r="L216" s="199" cm="1">
        <f t="array" aca="1" ref="L216" ca="1">IF(OR($B216="",$B216="X",$D216="",$D216="X",$E216="",$E216="X"),0,IFERROR(_xlfn.LET(_xlpm.x,SUM(SUM(_xlfn._xlws.FILTER(VALUE(PptoSty[Sign]&amp;1)*(1/PptoSty[Division]),(PptoSty[Division]&lt;&gt;0)*(PptoSty[Division]&lt;&gt;"")*(PptoSty[Division]&lt;&gt;"X")*(PptoSty[Project]=$B216)*(PptoSty[Vrs]=$D216)*(PptoSty[PiRow]=_xlfn.TEXTAFTER($H216,":"))*(PptoSty[PiColumn]=L$54),0)),SUM(IF((INDIRECT($B$3)=$B216)*(INDIRECT($C$3)=$D216)*((INDIRECT($E$3)="TOTS")+(INDIRECT($E$3)=$E216)),INDIRECT(L$3)))),_xlpm.y,SUM(_xlfn.CHOOSECOLS(_xlfn._xlws.FILTER(F_RT14[],(F_RT14[PrjId]=$B216)*(F_RT14[Vrs]=$D216)*(_xlfn.TEXTAFTER(F_RT14[ActGrp],":")=_xlfn.TEXTAFTER($H216,":")),"X"),MATCH("*"&amp;L$54,F_RT14[#Headers],0))),IF(AND(_xlpm.x=0,_xlpm.y&lt;&gt;0),-1,IF(AND(_xlpm.x&lt;&gt;0,_xlpm.y&lt;&gt;0),_xlpm.x,IF(AND(_xlpm.x-SUM(IF((INDIRECT($B$3)=$B216)*(INDIRECT($C$3)=$D216)*((INDIRECT($E$3)="TOTS")+(INDIRECT($E$3)=$E216)),INDIRECT(L$3)))&lt;&gt;0,_xlpm.y=0),-2,_xlpm.x)))),0))</f>
        <v>0</v>
      </c>
      <c r="M216" s="199" cm="1">
        <f t="array" aca="1" ref="M216" ca="1">IF(OR($B216="",$B216="X",$D216="",$D216="X",$E216="",$E216="X"),0,IFERROR(_xlfn.LET(_xlpm.x,SUM(SUM(_xlfn._xlws.FILTER(VALUE(PptoSty[Sign]&amp;1)*(1/PptoSty[Division]),(PptoSty[Division]&lt;&gt;0)*(PptoSty[Division]&lt;&gt;"")*(PptoSty[Division]&lt;&gt;"X")*(PptoSty[Project]=$B216)*(PptoSty[Vrs]=$D216)*(PptoSty[PiRow]=_xlfn.TEXTAFTER($H216,":"))*(PptoSty[PiColumn]=M$54),0)),SUM(IF((INDIRECT($B$3)=$B216)*(INDIRECT($C$3)=$D216)*((INDIRECT($E$3)="TOTS")+(INDIRECT($E$3)=$E216)),INDIRECT(M$3)))),_xlpm.y,SUM(_xlfn.CHOOSECOLS(_xlfn._xlws.FILTER(F_RT14[],(F_RT14[PrjId]=$B216)*(F_RT14[Vrs]=$D216)*(_xlfn.TEXTAFTER(F_RT14[ActGrp],":")=_xlfn.TEXTAFTER($H216,":")),"X"),MATCH("*"&amp;M$54,F_RT14[#Headers],0))),IF(AND(_xlpm.x=0,_xlpm.y&lt;&gt;0),-1,IF(AND(_xlpm.x&lt;&gt;0,_xlpm.y&lt;&gt;0),_xlpm.x,IF(AND(_xlpm.x-SUM(IF((INDIRECT($B$3)=$B216)*(INDIRECT($C$3)=$D216)*((INDIRECT($E$3)="TOTS")+(INDIRECT($E$3)=$E216)),INDIRECT(M$3)))&lt;&gt;0,_xlpm.y=0),-2,_xlpm.x)))),0))</f>
        <v>0</v>
      </c>
      <c r="N216" s="199" cm="1">
        <f t="array" aca="1" ref="N216" ca="1">IF(OR($B216="",$B216="X",$D216="",$D216="X",$E216="",$E216="X"),0,IFERROR(_xlfn.LET(_xlpm.x,SUM(SUM(_xlfn._xlws.FILTER(VALUE(PptoSty[Sign]&amp;1)*(1/PptoSty[Division]),(PptoSty[Division]&lt;&gt;0)*(PptoSty[Division]&lt;&gt;"")*(PptoSty[Division]&lt;&gt;"X")*(PptoSty[Project]=$B216)*(PptoSty[Vrs]=$D216)*(PptoSty[PiRow]=_xlfn.TEXTAFTER($H216,":"))*(PptoSty[PiColumn]=N$54),0)),SUM(IF((INDIRECT($B$3)=$B216)*(INDIRECT($C$3)=$D216)*((INDIRECT($E$3)="TOTS")+(INDIRECT($E$3)=$E216)),INDIRECT(N$3)))),_xlpm.y,SUM(_xlfn.CHOOSECOLS(_xlfn._xlws.FILTER(F_RT14[],(F_RT14[PrjId]=$B216)*(F_RT14[Vrs]=$D216)*(_xlfn.TEXTAFTER(F_RT14[ActGrp],":")=_xlfn.TEXTAFTER($H216,":")),"X"),MATCH("*"&amp;N$54,F_RT14[#Headers],0))),IF(AND(_xlpm.x=0,_xlpm.y&lt;&gt;0),-1,IF(AND(_xlpm.x&lt;&gt;0,_xlpm.y&lt;&gt;0),_xlpm.x,IF(AND(_xlpm.x-SUM(IF((INDIRECT($B$3)=$B216)*(INDIRECT($C$3)=$D216)*((INDIRECT($E$3)="TOTS")+(INDIRECT($E$3)=$E216)),INDIRECT(N$3)))&lt;&gt;0,_xlpm.y=0),-2,_xlpm.x)))),0))</f>
        <v>0</v>
      </c>
      <c r="O216" s="199" cm="1">
        <f t="array" aca="1" ref="O216" ca="1">IF(OR($B216="",$B216="X",$D216="",$D216="X",$E216="",$E216="X"),0,IFERROR(_xlfn.LET(_xlpm.x,SUM(SUM(_xlfn._xlws.FILTER(VALUE(PptoSty[Sign]&amp;1)*(1/PptoSty[Division]),(PptoSty[Division]&lt;&gt;0)*(PptoSty[Division]&lt;&gt;"")*(PptoSty[Division]&lt;&gt;"X")*(PptoSty[Project]=$B216)*(PptoSty[Vrs]=$D216)*(PptoSty[PiRow]=_xlfn.TEXTAFTER($H216,":"))*(PptoSty[PiColumn]=O$54),0)),SUM(IF((INDIRECT($B$3)=$B216)*(INDIRECT($C$3)=$D216)*((INDIRECT($E$3)="TOTS")+(INDIRECT($E$3)=$E216)),INDIRECT(O$3)))),_xlpm.y,SUM(_xlfn.CHOOSECOLS(_xlfn._xlws.FILTER(F_RT14[],(F_RT14[PrjId]=$B216)*(F_RT14[Vrs]=$D216)*(_xlfn.TEXTAFTER(F_RT14[ActGrp],":")=_xlfn.TEXTAFTER($H216,":")),"X"),MATCH("*"&amp;O$54,F_RT14[#Headers],0))),IF(AND(_xlpm.x=0,_xlpm.y&lt;&gt;0),-1,IF(AND(_xlpm.x&lt;&gt;0,_xlpm.y&lt;&gt;0),_xlpm.x,IF(AND(_xlpm.x-SUM(IF((INDIRECT($B$3)=$B216)*(INDIRECT($C$3)=$D216)*((INDIRECT($E$3)="TOTS")+(INDIRECT($E$3)=$E216)),INDIRECT(O$3)))&lt;&gt;0,_xlpm.y=0),-2,_xlpm.x)))),0))</f>
        <v>0</v>
      </c>
      <c r="P216" s="199" cm="1">
        <f t="array" aca="1" ref="P216" ca="1">IF(OR($B216="",$B216="X",$D216="",$D216="X",$E216="",$E216="X"),0,IFERROR(_xlfn.LET(_xlpm.x,SUM(SUM(_xlfn._xlws.FILTER(VALUE(PptoSty[Sign]&amp;1)*(1/PptoSty[Division]),(PptoSty[Division]&lt;&gt;0)*(PptoSty[Division]&lt;&gt;"")*(PptoSty[Division]&lt;&gt;"X")*(PptoSty[Project]=$B216)*(PptoSty[Vrs]=$D216)*(PptoSty[PiRow]=_xlfn.TEXTAFTER($H216,":"))*(PptoSty[PiColumn]=P$54),0)),SUM(IF((INDIRECT($B$3)=$B216)*(INDIRECT($C$3)=$D216)*((INDIRECT($E$3)="TOTS")+(INDIRECT($E$3)=$E216)),INDIRECT(P$3)))),_xlpm.y,SUM(_xlfn.CHOOSECOLS(_xlfn._xlws.FILTER(F_RT14[],(F_RT14[PrjId]=$B216)*(F_RT14[Vrs]=$D216)*(_xlfn.TEXTAFTER(F_RT14[ActGrp],":")=_xlfn.TEXTAFTER($H216,":")),"X"),MATCH("*"&amp;P$54,F_RT14[#Headers],0))),IF(AND(_xlpm.x=0,_xlpm.y&lt;&gt;0),-1,IF(AND(_xlpm.x&lt;&gt;0,_xlpm.y&lt;&gt;0),_xlpm.x,IF(AND(_xlpm.x-SUM(IF((INDIRECT($B$3)=$B216)*(INDIRECT($C$3)=$D216)*((INDIRECT($E$3)="TOTS")+(INDIRECT($E$3)=$E216)),INDIRECT(P$3)))&lt;&gt;0,_xlpm.y=0),-2,_xlpm.x)))),0))</f>
        <v>0</v>
      </c>
      <c r="Q216" s="199" cm="1">
        <f t="array" aca="1" ref="Q216" ca="1">IF(OR($B216="",$B216="X",$D216="",$D216="X",$E216="",$E216="X"),0,IFERROR(_xlfn.LET(_xlpm.x,SUM(SUM(_xlfn._xlws.FILTER(VALUE(PptoSty[Sign]&amp;1)*(1/PptoSty[Division]),(PptoSty[Division]&lt;&gt;0)*(PptoSty[Division]&lt;&gt;"")*(PptoSty[Division]&lt;&gt;"X")*(PptoSty[Project]=$B216)*(PptoSty[Vrs]=$D216)*(PptoSty[PiRow]=_xlfn.TEXTAFTER($H216,":"))*(PptoSty[PiColumn]=Q$54),0)),SUM(IF((INDIRECT($B$3)=$B216)*(INDIRECT($C$3)=$D216)*((INDIRECT($E$3)="TOTS")+(INDIRECT($E$3)=$E216)),INDIRECT(Q$3)))),_xlpm.y,SUM(_xlfn.CHOOSECOLS(_xlfn._xlws.FILTER(F_RT14[],(F_RT14[PrjId]=$B216)*(F_RT14[Vrs]=$D216)*(_xlfn.TEXTAFTER(F_RT14[ActGrp],":")=_xlfn.TEXTAFTER($H216,":")),"X"),MATCH("*"&amp;Q$54,F_RT14[#Headers],0))),IF(AND(_xlpm.x=0,_xlpm.y&lt;&gt;0),-1,IF(AND(_xlpm.x&lt;&gt;0,_xlpm.y&lt;&gt;0),_xlpm.x,IF(AND(_xlpm.x-SUM(IF((INDIRECT($B$3)=$B216)*(INDIRECT($C$3)=$D216)*((INDIRECT($E$3)="TOTS")+(INDIRECT($E$3)=$E216)),INDIRECT(Q$3)))&lt;&gt;0,_xlpm.y=0),-2,_xlpm.x)))),0))</f>
        <v>0</v>
      </c>
      <c r="R216" s="199" cm="1">
        <f t="array" aca="1" ref="R216" ca="1">IF(OR($B216="",$B216="X",$D216="",$D216="X",$E216="",$E216="X"),0,IFERROR(_xlfn.LET(_xlpm.x,SUM(SUM(_xlfn._xlws.FILTER(VALUE(PptoSty[Sign]&amp;1)*(1/PptoSty[Division]),(PptoSty[Division]&lt;&gt;0)*(PptoSty[Division]&lt;&gt;"")*(PptoSty[Division]&lt;&gt;"X")*(PptoSty[Project]=$B216)*(PptoSty[Vrs]=$D216)*(PptoSty[PiRow]=_xlfn.TEXTAFTER($H216,":"))*(PptoSty[PiColumn]=R$54),0)),SUM(IF((INDIRECT($B$3)=$B216)*(INDIRECT($C$3)=$D216)*((INDIRECT($E$3)="TOTS")+(INDIRECT($E$3)=$E216)),INDIRECT(R$3)))),_xlpm.y,SUM(_xlfn.CHOOSECOLS(_xlfn._xlws.FILTER(F_RT14[],(F_RT14[PrjId]=$B216)*(F_RT14[Vrs]=$D216)*(_xlfn.TEXTAFTER(F_RT14[ActGrp],":")=_xlfn.TEXTAFTER($H216,":")),"X"),MATCH("*"&amp;R$54,F_RT14[#Headers],0))),IF(AND(_xlpm.x=0,_xlpm.y&lt;&gt;0),-1,IF(AND(_xlpm.x&lt;&gt;0,_xlpm.y&lt;&gt;0),_xlpm.x,IF(AND(_xlpm.x-SUM(IF((INDIRECT($B$3)=$B216)*(INDIRECT($C$3)=$D216)*((INDIRECT($E$3)="TOTS")+(INDIRECT($E$3)=$E216)),INDIRECT(R$3)))&lt;&gt;0,_xlpm.y=0),-2,_xlpm.x)))),0))</f>
        <v>0</v>
      </c>
      <c r="S216" s="199" cm="1">
        <f t="array" aca="1" ref="S216" ca="1">IF(OR($B216="",$B216="X",$D216="",$D216="X",$E216="",$E216="X"),0,IFERROR(_xlfn.LET(_xlpm.x,SUM(SUM(_xlfn._xlws.FILTER(VALUE(PptoSty[Sign]&amp;1)*(1/PptoSty[Division]),(PptoSty[Division]&lt;&gt;0)*(PptoSty[Division]&lt;&gt;"")*(PptoSty[Division]&lt;&gt;"X")*(PptoSty[Project]=$B216)*(PptoSty[Vrs]=$D216)*(PptoSty[PiRow]=_xlfn.TEXTAFTER($H216,":"))*(PptoSty[PiColumn]=S$54),0)),SUM(IF((INDIRECT($B$3)=$B216)*(INDIRECT($C$3)=$D216)*((INDIRECT($E$3)="TOTS")+(INDIRECT($E$3)=$E216)),INDIRECT(S$3)))),_xlpm.y,SUM(_xlfn.CHOOSECOLS(_xlfn._xlws.FILTER(F_RT14[],(F_RT14[PrjId]=$B216)*(F_RT14[Vrs]=$D216)*(_xlfn.TEXTAFTER(F_RT14[ActGrp],":")=_xlfn.TEXTAFTER($H216,":")),"X"),MATCH("*"&amp;S$54,F_RT14[#Headers],0))),IF(AND(_xlpm.x=0,_xlpm.y&lt;&gt;0),-1,IF(AND(_xlpm.x&lt;&gt;0,_xlpm.y&lt;&gt;0),_xlpm.x,IF(AND(_xlpm.x-SUM(IF((INDIRECT($B$3)=$B216)*(INDIRECT($C$3)=$D216)*((INDIRECT($E$3)="TOTS")+(INDIRECT($E$3)=$E216)),INDIRECT(S$3)))&lt;&gt;0,_xlpm.y=0),-2,_xlpm.x)))),0))</f>
        <v>0</v>
      </c>
      <c r="T216" s="199" cm="1">
        <f t="array" aca="1" ref="T216" ca="1">IF(OR($B216="",$B216="X",$D216="",$D216="X",$E216="",$E216="X"),0,IFERROR(_xlfn.LET(_xlpm.x,SUM(SUM(_xlfn._xlws.FILTER(VALUE(PptoSty[Sign]&amp;1)*(1/PptoSty[Division]),(PptoSty[Division]&lt;&gt;0)*(PptoSty[Division]&lt;&gt;"")*(PptoSty[Division]&lt;&gt;"X")*(PptoSty[Project]=$B216)*(PptoSty[Vrs]=$D216)*(PptoSty[PiRow]=_xlfn.TEXTAFTER($H216,":"))*(PptoSty[PiColumn]=T$54),0)),SUM(IF((INDIRECT($B$3)=$B216)*(INDIRECT($C$3)=$D216)*((INDIRECT($E$3)="TOTS")+(INDIRECT($E$3)=$E216)),INDIRECT(T$3)))),_xlpm.y,SUM(_xlfn.CHOOSECOLS(_xlfn._xlws.FILTER(F_RT14[],(F_RT14[PrjId]=$B216)*(F_RT14[Vrs]=$D216)*(_xlfn.TEXTAFTER(F_RT14[ActGrp],":")=_xlfn.TEXTAFTER($H216,":")),"X"),MATCH("*"&amp;T$54,F_RT14[#Headers],0))),IF(AND(_xlpm.x=0,_xlpm.y&lt;&gt;0),-1,IF(AND(_xlpm.x&lt;&gt;0,_xlpm.y&lt;&gt;0),_xlpm.x,IF(AND(_xlpm.x-SUM(IF((INDIRECT($B$3)=$B216)*(INDIRECT($C$3)=$D216)*((INDIRECT($E$3)="TOTS")+(INDIRECT($E$3)=$E216)),INDIRECT(T$3)))&lt;&gt;0,_xlpm.y=0),-2,_xlpm.x)))),0))</f>
        <v>0</v>
      </c>
      <c r="U216" s="199" cm="1">
        <f t="array" aca="1" ref="U216" ca="1">IF(OR($B216="",$B216="X",$D216="",$D216="X",$E216="",$E216="X"),0,IFERROR(_xlfn.LET(_xlpm.x,SUM(SUM(_xlfn._xlws.FILTER(VALUE(PptoSty[Sign]&amp;1)*(1/PptoSty[Division]),(PptoSty[Division]&lt;&gt;0)*(PptoSty[Division]&lt;&gt;"")*(PptoSty[Division]&lt;&gt;"X")*(PptoSty[Project]=$B216)*(PptoSty[Vrs]=$D216)*(PptoSty[PiRow]=_xlfn.TEXTAFTER($H216,":"))*(PptoSty[PiColumn]=U$54),0)),SUM(IF((INDIRECT($B$3)=$B216)*(INDIRECT($C$3)=$D216)*((INDIRECT($E$3)="TOTS")+(INDIRECT($E$3)=$E216)),INDIRECT(U$3)))),_xlpm.y,SUM(_xlfn.CHOOSECOLS(_xlfn._xlws.FILTER(F_RT14[],(F_RT14[PrjId]=$B216)*(F_RT14[Vrs]=$D216)*(_xlfn.TEXTAFTER(F_RT14[ActGrp],":")=_xlfn.TEXTAFTER($H216,":")),"X"),MATCH("*"&amp;U$54,F_RT14[#Headers],0))),IF(AND(_xlpm.x=0,_xlpm.y&lt;&gt;0),-1,IF(AND(_xlpm.x&lt;&gt;0,_xlpm.y&lt;&gt;0),_xlpm.x,IF(AND(_xlpm.x-SUM(IF((INDIRECT($B$3)=$B216)*(INDIRECT($C$3)=$D216)*((INDIRECT($E$3)="TOTS")+(INDIRECT($E$3)=$E216)),INDIRECT(U$3)))&lt;&gt;0,_xlpm.y=0),-2,_xlpm.x)))),0))</f>
        <v>0</v>
      </c>
      <c r="V216" s="199" cm="1">
        <f t="array" aca="1" ref="V216" ca="1">IF(OR($B216="",$B216="X",$D216="",$D216="X",$E216="",$E216="X"),0,IFERROR(_xlfn.LET(_xlpm.x,SUM(SUM(_xlfn._xlws.FILTER(VALUE(PptoSty[Sign]&amp;1)*(1/PptoSty[Division]),(PptoSty[Division]&lt;&gt;0)*(PptoSty[Division]&lt;&gt;"")*(PptoSty[Division]&lt;&gt;"X")*(PptoSty[Project]=$B216)*(PptoSty[Vrs]=$D216)*(PptoSty[PiRow]=_xlfn.TEXTAFTER($H216,":"))*(PptoSty[PiColumn]=V$54),0)),SUM(IF((INDIRECT($B$3)=$B216)*(INDIRECT($C$3)=$D216)*((INDIRECT($E$3)="TOTS")+(INDIRECT($E$3)=$E216)),INDIRECT(V$3)))),_xlpm.y,SUM(_xlfn.CHOOSECOLS(_xlfn._xlws.FILTER(F_RT14[],(F_RT14[PrjId]=$B216)*(F_RT14[Vrs]=$D216)*(_xlfn.TEXTAFTER(F_RT14[ActGrp],":")=_xlfn.TEXTAFTER($H216,":")),"X"),MATCH("*"&amp;V$54,F_RT14[#Headers],0))),IF(AND(_xlpm.x=0,_xlpm.y&lt;&gt;0),-1,IF(AND(_xlpm.x&lt;&gt;0,_xlpm.y&lt;&gt;0),_xlpm.x,IF(AND(_xlpm.x-SUM(IF((INDIRECT($B$3)=$B216)*(INDIRECT($C$3)=$D216)*((INDIRECT($E$3)="TOTS")+(INDIRECT($E$3)=$E216)),INDIRECT(V$3)))&lt;&gt;0,_xlpm.y=0),-2,_xlpm.x)))),0))</f>
        <v>0</v>
      </c>
      <c r="W216" s="199" cm="1">
        <f t="array" aca="1" ref="W216" ca="1">IF(OR($B216="",$B216="X",$D216="",$D216="X",$E216="",$E216="X"),0,IFERROR(_xlfn.LET(_xlpm.x,SUM(SUM(_xlfn._xlws.FILTER(VALUE(PptoSty[Sign]&amp;1)*(1/PptoSty[Division]),(PptoSty[Division]&lt;&gt;0)*(PptoSty[Division]&lt;&gt;"")*(PptoSty[Division]&lt;&gt;"X")*(PptoSty[Project]=$B216)*(PptoSty[Vrs]=$D216)*(PptoSty[PiRow]=_xlfn.TEXTAFTER($H216,":"))*(PptoSty[PiColumn]=W$54),0)),SUM(IF((INDIRECT($B$3)=$B216)*(INDIRECT($C$3)=$D216)*((INDIRECT($E$3)="TOTS")+(INDIRECT($E$3)=$E216)),INDIRECT(W$3)))),_xlpm.y,SUM(_xlfn.CHOOSECOLS(_xlfn._xlws.FILTER(F_RT14[],(F_RT14[PrjId]=$B216)*(F_RT14[Vrs]=$D216)*(_xlfn.TEXTAFTER(F_RT14[ActGrp],":")=_xlfn.TEXTAFTER($H216,":")),"X"),MATCH("*"&amp;W$54,F_RT14[#Headers],0))),IF(AND(_xlpm.x=0,_xlpm.y&lt;&gt;0),-1,IF(AND(_xlpm.x&lt;&gt;0,_xlpm.y&lt;&gt;0),_xlpm.x,IF(AND(_xlpm.x-SUM(IF((INDIRECT($B$3)=$B216)*(INDIRECT($C$3)=$D216)*((INDIRECT($E$3)="TOTS")+(INDIRECT($E$3)=$E216)),INDIRECT(W$3)))&lt;&gt;0,_xlpm.y=0),-2,_xlpm.x)))),0))</f>
        <v>0</v>
      </c>
      <c r="X216" s="199" cm="1">
        <f t="array" aca="1" ref="X216" ca="1">IF(OR($B216="",$B216="X",$D216="",$D216="X",$E216="",$E216="X"),0,IFERROR(_xlfn.LET(_xlpm.x,SUM(SUM(_xlfn._xlws.FILTER(VALUE(PptoSty[Sign]&amp;1)*(1/PptoSty[Division]),(PptoSty[Division]&lt;&gt;0)*(PptoSty[Division]&lt;&gt;"")*(PptoSty[Division]&lt;&gt;"X")*(PptoSty[Project]=$B216)*(PptoSty[Vrs]=$D216)*(PptoSty[PiRow]=_xlfn.TEXTAFTER($H216,":"))*(PptoSty[PiColumn]=X$54),0)),SUM(IF((INDIRECT($B$3)=$B216)*(INDIRECT($C$3)=$D216)*((INDIRECT($E$3)="TOTS")+(INDIRECT($E$3)=$E216)),INDIRECT(X$3)))),_xlpm.y,SUM(_xlfn.CHOOSECOLS(_xlfn._xlws.FILTER(F_RT14[],(F_RT14[PrjId]=$B216)*(F_RT14[Vrs]=$D216)*(_xlfn.TEXTAFTER(F_RT14[ActGrp],":")=_xlfn.TEXTAFTER($H216,":")),"X"),MATCH("*"&amp;X$54,F_RT14[#Headers],0))),IF(AND(_xlpm.x=0,_xlpm.y&lt;&gt;0),-1,IF(AND(_xlpm.x&lt;&gt;0,_xlpm.y&lt;&gt;0),_xlpm.x,IF(AND(_xlpm.x-SUM(IF((INDIRECT($B$3)=$B216)*(INDIRECT($C$3)=$D216)*((INDIRECT($E$3)="TOTS")+(INDIRECT($E$3)=$E216)),INDIRECT(X$3)))&lt;&gt;0,_xlpm.y=0),-2,_xlpm.x)))),0))</f>
        <v>0</v>
      </c>
      <c r="Y216" s="199" cm="1">
        <f t="array" aca="1" ref="Y216" ca="1">IF(OR($B216="",$B216="X",$D216="",$D216="X",$E216="",$E216="X"),0,IFERROR(_xlfn.LET(_xlpm.x,SUM(SUM(_xlfn._xlws.FILTER(VALUE(PptoSty[Sign]&amp;1)*(1/PptoSty[Division]),(PptoSty[Division]&lt;&gt;0)*(PptoSty[Division]&lt;&gt;"")*(PptoSty[Division]&lt;&gt;"X")*(PptoSty[Project]=$B216)*(PptoSty[Vrs]=$D216)*(PptoSty[PiRow]=_xlfn.TEXTAFTER($H216,":"))*(PptoSty[PiColumn]=Y$54),0)),SUM(IF((INDIRECT($B$3)=$B216)*(INDIRECT($C$3)=$D216)*((INDIRECT($E$3)="TOTS")+(INDIRECT($E$3)=$E216)),INDIRECT(Y$3)))),_xlpm.y,SUM(_xlfn.CHOOSECOLS(_xlfn._xlws.FILTER(F_RT14[],(F_RT14[PrjId]=$B216)*(F_RT14[Vrs]=$D216)*(_xlfn.TEXTAFTER(F_RT14[ActGrp],":")=_xlfn.TEXTAFTER($H216,":")),"X"),MATCH("*"&amp;Y$54,F_RT14[#Headers],0))),IF(AND(_xlpm.x=0,_xlpm.y&lt;&gt;0),-1,IF(AND(_xlpm.x&lt;&gt;0,_xlpm.y&lt;&gt;0),_xlpm.x,IF(AND(_xlpm.x-SUM(IF((INDIRECT($B$3)=$B216)*(INDIRECT($C$3)=$D216)*((INDIRECT($E$3)="TOTS")+(INDIRECT($E$3)=$E216)),INDIRECT(Y$3)))&lt;&gt;0,_xlpm.y=0),-2,_xlpm.x)))),0))</f>
        <v>0</v>
      </c>
      <c r="Z216" s="198" t="str">
        <f t="shared" ca="1" si="4"/>
        <v>Fback!B216:Y216</v>
      </c>
    </row>
    <row r="217" spans="2:26" ht="21" customHeight="1" outlineLevel="1">
      <c r="B217" s="128"/>
      <c r="C217" s="128"/>
      <c r="D217" s="128"/>
      <c r="E217" s="128"/>
      <c r="F217" s="139"/>
      <c r="G217" s="139"/>
      <c r="H217" s="139"/>
      <c r="I217" s="199" cm="1">
        <f t="array" aca="1" ref="I217" ca="1">IF(OR($B217="",$B217="X",$D217="",$D217="X",$E217="",$E217="X"),0,IFERROR(_xlfn.LET(_xlpm.x,SUM(SUM(_xlfn._xlws.FILTER(VALUE(PptoSty[Sign]&amp;1)*(1/PptoSty[Division]),(PptoSty[Division]&lt;&gt;0)*(PptoSty[Division]&lt;&gt;"")*(PptoSty[Division]&lt;&gt;"X")*(PptoSty[Project]=$B217)*(PptoSty[Vrs]=$D217)*(PptoSty[PiRow]=_xlfn.TEXTAFTER($H217,":"))*(PptoSty[PiColumn]=I$54),0)),SUM(IF((INDIRECT($B$3)=$B217)*(INDIRECT($C$3)=$D217)*((INDIRECT($E$3)="TOTS")+(INDIRECT($E$3)=$E217)),INDIRECT(I$3)))),_xlpm.y,SUM(_xlfn.CHOOSECOLS(_xlfn._xlws.FILTER(F_RT14[],(F_RT14[PrjId]=$B217)*(F_RT14[Vrs]=$D217)*(_xlfn.TEXTAFTER(F_RT14[ActGrp],":")=_xlfn.TEXTAFTER($H217,":")),"X"),MATCH("*"&amp;I$54,F_RT14[#Headers],0))),IF(AND(_xlpm.x=0,_xlpm.y&lt;&gt;0),-1,IF(AND(_xlpm.x&lt;&gt;0,_xlpm.y&lt;&gt;0),_xlpm.x,IF(AND(_xlpm.x-SUM(IF((INDIRECT($B$3)=$B217)*(INDIRECT($C$3)=$D217)*((INDIRECT($E$3)="TOTS")+(INDIRECT($E$3)=$E217)),INDIRECT(I$3)))&lt;&gt;0,_xlpm.y=0),-2,_xlpm.x)))),0))</f>
        <v>0</v>
      </c>
      <c r="J217" s="199" cm="1">
        <f t="array" aca="1" ref="J217" ca="1">IF(OR($B217="",$B217="X",$D217="",$D217="X",$E217="",$E217="X"),0,IFERROR(_xlfn.LET(_xlpm.x,SUM(SUM(_xlfn._xlws.FILTER(VALUE(PptoSty[Sign]&amp;1)*(1/PptoSty[Division]),(PptoSty[Division]&lt;&gt;0)*(PptoSty[Division]&lt;&gt;"")*(PptoSty[Division]&lt;&gt;"X")*(PptoSty[Project]=$B217)*(PptoSty[Vrs]=$D217)*(PptoSty[PiRow]=_xlfn.TEXTAFTER($H217,":"))*(PptoSty[PiColumn]=J$54),0)),SUM(IF((INDIRECT($B$3)=$B217)*(INDIRECT($C$3)=$D217)*((INDIRECT($E$3)="TOTS")+(INDIRECT($E$3)=$E217)),INDIRECT(J$3)))),_xlpm.y,SUM(_xlfn.CHOOSECOLS(_xlfn._xlws.FILTER(F_RT14[],(F_RT14[PrjId]=$B217)*(F_RT14[Vrs]=$D217)*(_xlfn.TEXTAFTER(F_RT14[ActGrp],":")=_xlfn.TEXTAFTER($H217,":")),"X"),MATCH("*"&amp;J$54,F_RT14[#Headers],0))),IF(AND(_xlpm.x=0,_xlpm.y&lt;&gt;0),-1,IF(AND(_xlpm.x&lt;&gt;0,_xlpm.y&lt;&gt;0),_xlpm.x,IF(AND(_xlpm.x-SUM(IF((INDIRECT($B$3)=$B217)*(INDIRECT($C$3)=$D217)*((INDIRECT($E$3)="TOTS")+(INDIRECT($E$3)=$E217)),INDIRECT(J$3)))&lt;&gt;0,_xlpm.y=0),-2,_xlpm.x)))),0))</f>
        <v>0</v>
      </c>
      <c r="K217" s="199" cm="1">
        <f t="array" aca="1" ref="K217" ca="1">IF(OR($B217="",$B217="X",$D217="",$D217="X",$E217="",$E217="X"),0,IFERROR(_xlfn.LET(_xlpm.x,SUM(SUM(_xlfn._xlws.FILTER(VALUE(PptoSty[Sign]&amp;1)*(1/PptoSty[Division]),(PptoSty[Division]&lt;&gt;0)*(PptoSty[Division]&lt;&gt;"")*(PptoSty[Division]&lt;&gt;"X")*(PptoSty[Project]=$B217)*(PptoSty[Vrs]=$D217)*(PptoSty[PiRow]=_xlfn.TEXTAFTER($H217,":"))*(PptoSty[PiColumn]=K$54),0)),SUM(IF((INDIRECT($B$3)=$B217)*(INDIRECT($C$3)=$D217)*((INDIRECT($E$3)="TOTS")+(INDIRECT($E$3)=$E217)),INDIRECT(K$3)))),_xlpm.y,SUM(_xlfn.CHOOSECOLS(_xlfn._xlws.FILTER(F_RT14[],(F_RT14[PrjId]=$B217)*(F_RT14[Vrs]=$D217)*(_xlfn.TEXTAFTER(F_RT14[ActGrp],":")=_xlfn.TEXTAFTER($H217,":")),"X"),MATCH("*"&amp;K$54,F_RT14[#Headers],0))),IF(AND(_xlpm.x=0,_xlpm.y&lt;&gt;0),-1,IF(AND(_xlpm.x&lt;&gt;0,_xlpm.y&lt;&gt;0),_xlpm.x,IF(AND(_xlpm.x-SUM(IF((INDIRECT($B$3)=$B217)*(INDIRECT($C$3)=$D217)*((INDIRECT($E$3)="TOTS")+(INDIRECT($E$3)=$E217)),INDIRECT(K$3)))&lt;&gt;0,_xlpm.y=0),-2,_xlpm.x)))),0))</f>
        <v>0</v>
      </c>
      <c r="L217" s="199" cm="1">
        <f t="array" aca="1" ref="L217" ca="1">IF(OR($B217="",$B217="X",$D217="",$D217="X",$E217="",$E217="X"),0,IFERROR(_xlfn.LET(_xlpm.x,SUM(SUM(_xlfn._xlws.FILTER(VALUE(PptoSty[Sign]&amp;1)*(1/PptoSty[Division]),(PptoSty[Division]&lt;&gt;0)*(PptoSty[Division]&lt;&gt;"")*(PptoSty[Division]&lt;&gt;"X")*(PptoSty[Project]=$B217)*(PptoSty[Vrs]=$D217)*(PptoSty[PiRow]=_xlfn.TEXTAFTER($H217,":"))*(PptoSty[PiColumn]=L$54),0)),SUM(IF((INDIRECT($B$3)=$B217)*(INDIRECT($C$3)=$D217)*((INDIRECT($E$3)="TOTS")+(INDIRECT($E$3)=$E217)),INDIRECT(L$3)))),_xlpm.y,SUM(_xlfn.CHOOSECOLS(_xlfn._xlws.FILTER(F_RT14[],(F_RT14[PrjId]=$B217)*(F_RT14[Vrs]=$D217)*(_xlfn.TEXTAFTER(F_RT14[ActGrp],":")=_xlfn.TEXTAFTER($H217,":")),"X"),MATCH("*"&amp;L$54,F_RT14[#Headers],0))),IF(AND(_xlpm.x=0,_xlpm.y&lt;&gt;0),-1,IF(AND(_xlpm.x&lt;&gt;0,_xlpm.y&lt;&gt;0),_xlpm.x,IF(AND(_xlpm.x-SUM(IF((INDIRECT($B$3)=$B217)*(INDIRECT($C$3)=$D217)*((INDIRECT($E$3)="TOTS")+(INDIRECT($E$3)=$E217)),INDIRECT(L$3)))&lt;&gt;0,_xlpm.y=0),-2,_xlpm.x)))),0))</f>
        <v>0</v>
      </c>
      <c r="M217" s="199" cm="1">
        <f t="array" aca="1" ref="M217" ca="1">IF(OR($B217="",$B217="X",$D217="",$D217="X",$E217="",$E217="X"),0,IFERROR(_xlfn.LET(_xlpm.x,SUM(SUM(_xlfn._xlws.FILTER(VALUE(PptoSty[Sign]&amp;1)*(1/PptoSty[Division]),(PptoSty[Division]&lt;&gt;0)*(PptoSty[Division]&lt;&gt;"")*(PptoSty[Division]&lt;&gt;"X")*(PptoSty[Project]=$B217)*(PptoSty[Vrs]=$D217)*(PptoSty[PiRow]=_xlfn.TEXTAFTER($H217,":"))*(PptoSty[PiColumn]=M$54),0)),SUM(IF((INDIRECT($B$3)=$B217)*(INDIRECT($C$3)=$D217)*((INDIRECT($E$3)="TOTS")+(INDIRECT($E$3)=$E217)),INDIRECT(M$3)))),_xlpm.y,SUM(_xlfn.CHOOSECOLS(_xlfn._xlws.FILTER(F_RT14[],(F_RT14[PrjId]=$B217)*(F_RT14[Vrs]=$D217)*(_xlfn.TEXTAFTER(F_RT14[ActGrp],":")=_xlfn.TEXTAFTER($H217,":")),"X"),MATCH("*"&amp;M$54,F_RT14[#Headers],0))),IF(AND(_xlpm.x=0,_xlpm.y&lt;&gt;0),-1,IF(AND(_xlpm.x&lt;&gt;0,_xlpm.y&lt;&gt;0),_xlpm.x,IF(AND(_xlpm.x-SUM(IF((INDIRECT($B$3)=$B217)*(INDIRECT($C$3)=$D217)*((INDIRECT($E$3)="TOTS")+(INDIRECT($E$3)=$E217)),INDIRECT(M$3)))&lt;&gt;0,_xlpm.y=0),-2,_xlpm.x)))),0))</f>
        <v>0</v>
      </c>
      <c r="N217" s="199" cm="1">
        <f t="array" aca="1" ref="N217" ca="1">IF(OR($B217="",$B217="X",$D217="",$D217="X",$E217="",$E217="X"),0,IFERROR(_xlfn.LET(_xlpm.x,SUM(SUM(_xlfn._xlws.FILTER(VALUE(PptoSty[Sign]&amp;1)*(1/PptoSty[Division]),(PptoSty[Division]&lt;&gt;0)*(PptoSty[Division]&lt;&gt;"")*(PptoSty[Division]&lt;&gt;"X")*(PptoSty[Project]=$B217)*(PptoSty[Vrs]=$D217)*(PptoSty[PiRow]=_xlfn.TEXTAFTER($H217,":"))*(PptoSty[PiColumn]=N$54),0)),SUM(IF((INDIRECT($B$3)=$B217)*(INDIRECT($C$3)=$D217)*((INDIRECT($E$3)="TOTS")+(INDIRECT($E$3)=$E217)),INDIRECT(N$3)))),_xlpm.y,SUM(_xlfn.CHOOSECOLS(_xlfn._xlws.FILTER(F_RT14[],(F_RT14[PrjId]=$B217)*(F_RT14[Vrs]=$D217)*(_xlfn.TEXTAFTER(F_RT14[ActGrp],":")=_xlfn.TEXTAFTER($H217,":")),"X"),MATCH("*"&amp;N$54,F_RT14[#Headers],0))),IF(AND(_xlpm.x=0,_xlpm.y&lt;&gt;0),-1,IF(AND(_xlpm.x&lt;&gt;0,_xlpm.y&lt;&gt;0),_xlpm.x,IF(AND(_xlpm.x-SUM(IF((INDIRECT($B$3)=$B217)*(INDIRECT($C$3)=$D217)*((INDIRECT($E$3)="TOTS")+(INDIRECT($E$3)=$E217)),INDIRECT(N$3)))&lt;&gt;0,_xlpm.y=0),-2,_xlpm.x)))),0))</f>
        <v>0</v>
      </c>
      <c r="O217" s="199" cm="1">
        <f t="array" aca="1" ref="O217" ca="1">IF(OR($B217="",$B217="X",$D217="",$D217="X",$E217="",$E217="X"),0,IFERROR(_xlfn.LET(_xlpm.x,SUM(SUM(_xlfn._xlws.FILTER(VALUE(PptoSty[Sign]&amp;1)*(1/PptoSty[Division]),(PptoSty[Division]&lt;&gt;0)*(PptoSty[Division]&lt;&gt;"")*(PptoSty[Division]&lt;&gt;"X")*(PptoSty[Project]=$B217)*(PptoSty[Vrs]=$D217)*(PptoSty[PiRow]=_xlfn.TEXTAFTER($H217,":"))*(PptoSty[PiColumn]=O$54),0)),SUM(IF((INDIRECT($B$3)=$B217)*(INDIRECT($C$3)=$D217)*((INDIRECT($E$3)="TOTS")+(INDIRECT($E$3)=$E217)),INDIRECT(O$3)))),_xlpm.y,SUM(_xlfn.CHOOSECOLS(_xlfn._xlws.FILTER(F_RT14[],(F_RT14[PrjId]=$B217)*(F_RT14[Vrs]=$D217)*(_xlfn.TEXTAFTER(F_RT14[ActGrp],":")=_xlfn.TEXTAFTER($H217,":")),"X"),MATCH("*"&amp;O$54,F_RT14[#Headers],0))),IF(AND(_xlpm.x=0,_xlpm.y&lt;&gt;0),-1,IF(AND(_xlpm.x&lt;&gt;0,_xlpm.y&lt;&gt;0),_xlpm.x,IF(AND(_xlpm.x-SUM(IF((INDIRECT($B$3)=$B217)*(INDIRECT($C$3)=$D217)*((INDIRECT($E$3)="TOTS")+(INDIRECT($E$3)=$E217)),INDIRECT(O$3)))&lt;&gt;0,_xlpm.y=0),-2,_xlpm.x)))),0))</f>
        <v>0</v>
      </c>
      <c r="P217" s="199" cm="1">
        <f t="array" aca="1" ref="P217" ca="1">IF(OR($B217="",$B217="X",$D217="",$D217="X",$E217="",$E217="X"),0,IFERROR(_xlfn.LET(_xlpm.x,SUM(SUM(_xlfn._xlws.FILTER(VALUE(PptoSty[Sign]&amp;1)*(1/PptoSty[Division]),(PptoSty[Division]&lt;&gt;0)*(PptoSty[Division]&lt;&gt;"")*(PptoSty[Division]&lt;&gt;"X")*(PptoSty[Project]=$B217)*(PptoSty[Vrs]=$D217)*(PptoSty[PiRow]=_xlfn.TEXTAFTER($H217,":"))*(PptoSty[PiColumn]=P$54),0)),SUM(IF((INDIRECT($B$3)=$B217)*(INDIRECT($C$3)=$D217)*((INDIRECT($E$3)="TOTS")+(INDIRECT($E$3)=$E217)),INDIRECT(P$3)))),_xlpm.y,SUM(_xlfn.CHOOSECOLS(_xlfn._xlws.FILTER(F_RT14[],(F_RT14[PrjId]=$B217)*(F_RT14[Vrs]=$D217)*(_xlfn.TEXTAFTER(F_RT14[ActGrp],":")=_xlfn.TEXTAFTER($H217,":")),"X"),MATCH("*"&amp;P$54,F_RT14[#Headers],0))),IF(AND(_xlpm.x=0,_xlpm.y&lt;&gt;0),-1,IF(AND(_xlpm.x&lt;&gt;0,_xlpm.y&lt;&gt;0),_xlpm.x,IF(AND(_xlpm.x-SUM(IF((INDIRECT($B$3)=$B217)*(INDIRECT($C$3)=$D217)*((INDIRECT($E$3)="TOTS")+(INDIRECT($E$3)=$E217)),INDIRECT(P$3)))&lt;&gt;0,_xlpm.y=0),-2,_xlpm.x)))),0))</f>
        <v>0</v>
      </c>
      <c r="Q217" s="199" cm="1">
        <f t="array" aca="1" ref="Q217" ca="1">IF(OR($B217="",$B217="X",$D217="",$D217="X",$E217="",$E217="X"),0,IFERROR(_xlfn.LET(_xlpm.x,SUM(SUM(_xlfn._xlws.FILTER(VALUE(PptoSty[Sign]&amp;1)*(1/PptoSty[Division]),(PptoSty[Division]&lt;&gt;0)*(PptoSty[Division]&lt;&gt;"")*(PptoSty[Division]&lt;&gt;"X")*(PptoSty[Project]=$B217)*(PptoSty[Vrs]=$D217)*(PptoSty[PiRow]=_xlfn.TEXTAFTER($H217,":"))*(PptoSty[PiColumn]=Q$54),0)),SUM(IF((INDIRECT($B$3)=$B217)*(INDIRECT($C$3)=$D217)*((INDIRECT($E$3)="TOTS")+(INDIRECT($E$3)=$E217)),INDIRECT(Q$3)))),_xlpm.y,SUM(_xlfn.CHOOSECOLS(_xlfn._xlws.FILTER(F_RT14[],(F_RT14[PrjId]=$B217)*(F_RT14[Vrs]=$D217)*(_xlfn.TEXTAFTER(F_RT14[ActGrp],":")=_xlfn.TEXTAFTER($H217,":")),"X"),MATCH("*"&amp;Q$54,F_RT14[#Headers],0))),IF(AND(_xlpm.x=0,_xlpm.y&lt;&gt;0),-1,IF(AND(_xlpm.x&lt;&gt;0,_xlpm.y&lt;&gt;0),_xlpm.x,IF(AND(_xlpm.x-SUM(IF((INDIRECT($B$3)=$B217)*(INDIRECT($C$3)=$D217)*((INDIRECT($E$3)="TOTS")+(INDIRECT($E$3)=$E217)),INDIRECT(Q$3)))&lt;&gt;0,_xlpm.y=0),-2,_xlpm.x)))),0))</f>
        <v>0</v>
      </c>
      <c r="R217" s="199" cm="1">
        <f t="array" aca="1" ref="R217" ca="1">IF(OR($B217="",$B217="X",$D217="",$D217="X",$E217="",$E217="X"),0,IFERROR(_xlfn.LET(_xlpm.x,SUM(SUM(_xlfn._xlws.FILTER(VALUE(PptoSty[Sign]&amp;1)*(1/PptoSty[Division]),(PptoSty[Division]&lt;&gt;0)*(PptoSty[Division]&lt;&gt;"")*(PptoSty[Division]&lt;&gt;"X")*(PptoSty[Project]=$B217)*(PptoSty[Vrs]=$D217)*(PptoSty[PiRow]=_xlfn.TEXTAFTER($H217,":"))*(PptoSty[PiColumn]=R$54),0)),SUM(IF((INDIRECT($B$3)=$B217)*(INDIRECT($C$3)=$D217)*((INDIRECT($E$3)="TOTS")+(INDIRECT($E$3)=$E217)),INDIRECT(R$3)))),_xlpm.y,SUM(_xlfn.CHOOSECOLS(_xlfn._xlws.FILTER(F_RT14[],(F_RT14[PrjId]=$B217)*(F_RT14[Vrs]=$D217)*(_xlfn.TEXTAFTER(F_RT14[ActGrp],":")=_xlfn.TEXTAFTER($H217,":")),"X"),MATCH("*"&amp;R$54,F_RT14[#Headers],0))),IF(AND(_xlpm.x=0,_xlpm.y&lt;&gt;0),-1,IF(AND(_xlpm.x&lt;&gt;0,_xlpm.y&lt;&gt;0),_xlpm.x,IF(AND(_xlpm.x-SUM(IF((INDIRECT($B$3)=$B217)*(INDIRECT($C$3)=$D217)*((INDIRECT($E$3)="TOTS")+(INDIRECT($E$3)=$E217)),INDIRECT(R$3)))&lt;&gt;0,_xlpm.y=0),-2,_xlpm.x)))),0))</f>
        <v>0</v>
      </c>
      <c r="S217" s="199" cm="1">
        <f t="array" aca="1" ref="S217" ca="1">IF(OR($B217="",$B217="X",$D217="",$D217="X",$E217="",$E217="X"),0,IFERROR(_xlfn.LET(_xlpm.x,SUM(SUM(_xlfn._xlws.FILTER(VALUE(PptoSty[Sign]&amp;1)*(1/PptoSty[Division]),(PptoSty[Division]&lt;&gt;0)*(PptoSty[Division]&lt;&gt;"")*(PptoSty[Division]&lt;&gt;"X")*(PptoSty[Project]=$B217)*(PptoSty[Vrs]=$D217)*(PptoSty[PiRow]=_xlfn.TEXTAFTER($H217,":"))*(PptoSty[PiColumn]=S$54),0)),SUM(IF((INDIRECT($B$3)=$B217)*(INDIRECT($C$3)=$D217)*((INDIRECT($E$3)="TOTS")+(INDIRECT($E$3)=$E217)),INDIRECT(S$3)))),_xlpm.y,SUM(_xlfn.CHOOSECOLS(_xlfn._xlws.FILTER(F_RT14[],(F_RT14[PrjId]=$B217)*(F_RT14[Vrs]=$D217)*(_xlfn.TEXTAFTER(F_RT14[ActGrp],":")=_xlfn.TEXTAFTER($H217,":")),"X"),MATCH("*"&amp;S$54,F_RT14[#Headers],0))),IF(AND(_xlpm.x=0,_xlpm.y&lt;&gt;0),-1,IF(AND(_xlpm.x&lt;&gt;0,_xlpm.y&lt;&gt;0),_xlpm.x,IF(AND(_xlpm.x-SUM(IF((INDIRECT($B$3)=$B217)*(INDIRECT($C$3)=$D217)*((INDIRECT($E$3)="TOTS")+(INDIRECT($E$3)=$E217)),INDIRECT(S$3)))&lt;&gt;0,_xlpm.y=0),-2,_xlpm.x)))),0))</f>
        <v>0</v>
      </c>
      <c r="T217" s="199" cm="1">
        <f t="array" aca="1" ref="T217" ca="1">IF(OR($B217="",$B217="X",$D217="",$D217="X",$E217="",$E217="X"),0,IFERROR(_xlfn.LET(_xlpm.x,SUM(SUM(_xlfn._xlws.FILTER(VALUE(PptoSty[Sign]&amp;1)*(1/PptoSty[Division]),(PptoSty[Division]&lt;&gt;0)*(PptoSty[Division]&lt;&gt;"")*(PptoSty[Division]&lt;&gt;"X")*(PptoSty[Project]=$B217)*(PptoSty[Vrs]=$D217)*(PptoSty[PiRow]=_xlfn.TEXTAFTER($H217,":"))*(PptoSty[PiColumn]=T$54),0)),SUM(IF((INDIRECT($B$3)=$B217)*(INDIRECT($C$3)=$D217)*((INDIRECT($E$3)="TOTS")+(INDIRECT($E$3)=$E217)),INDIRECT(T$3)))),_xlpm.y,SUM(_xlfn.CHOOSECOLS(_xlfn._xlws.FILTER(F_RT14[],(F_RT14[PrjId]=$B217)*(F_RT14[Vrs]=$D217)*(_xlfn.TEXTAFTER(F_RT14[ActGrp],":")=_xlfn.TEXTAFTER($H217,":")),"X"),MATCH("*"&amp;T$54,F_RT14[#Headers],0))),IF(AND(_xlpm.x=0,_xlpm.y&lt;&gt;0),-1,IF(AND(_xlpm.x&lt;&gt;0,_xlpm.y&lt;&gt;0),_xlpm.x,IF(AND(_xlpm.x-SUM(IF((INDIRECT($B$3)=$B217)*(INDIRECT($C$3)=$D217)*((INDIRECT($E$3)="TOTS")+(INDIRECT($E$3)=$E217)),INDIRECT(T$3)))&lt;&gt;0,_xlpm.y=0),-2,_xlpm.x)))),0))</f>
        <v>0</v>
      </c>
      <c r="U217" s="199" cm="1">
        <f t="array" aca="1" ref="U217" ca="1">IF(OR($B217="",$B217="X",$D217="",$D217="X",$E217="",$E217="X"),0,IFERROR(_xlfn.LET(_xlpm.x,SUM(SUM(_xlfn._xlws.FILTER(VALUE(PptoSty[Sign]&amp;1)*(1/PptoSty[Division]),(PptoSty[Division]&lt;&gt;0)*(PptoSty[Division]&lt;&gt;"")*(PptoSty[Division]&lt;&gt;"X")*(PptoSty[Project]=$B217)*(PptoSty[Vrs]=$D217)*(PptoSty[PiRow]=_xlfn.TEXTAFTER($H217,":"))*(PptoSty[PiColumn]=U$54),0)),SUM(IF((INDIRECT($B$3)=$B217)*(INDIRECT($C$3)=$D217)*((INDIRECT($E$3)="TOTS")+(INDIRECT($E$3)=$E217)),INDIRECT(U$3)))),_xlpm.y,SUM(_xlfn.CHOOSECOLS(_xlfn._xlws.FILTER(F_RT14[],(F_RT14[PrjId]=$B217)*(F_RT14[Vrs]=$D217)*(_xlfn.TEXTAFTER(F_RT14[ActGrp],":")=_xlfn.TEXTAFTER($H217,":")),"X"),MATCH("*"&amp;U$54,F_RT14[#Headers],0))),IF(AND(_xlpm.x=0,_xlpm.y&lt;&gt;0),-1,IF(AND(_xlpm.x&lt;&gt;0,_xlpm.y&lt;&gt;0),_xlpm.x,IF(AND(_xlpm.x-SUM(IF((INDIRECT($B$3)=$B217)*(INDIRECT($C$3)=$D217)*((INDIRECT($E$3)="TOTS")+(INDIRECT($E$3)=$E217)),INDIRECT(U$3)))&lt;&gt;0,_xlpm.y=0),-2,_xlpm.x)))),0))</f>
        <v>0</v>
      </c>
      <c r="V217" s="199" cm="1">
        <f t="array" aca="1" ref="V217" ca="1">IF(OR($B217="",$B217="X",$D217="",$D217="X",$E217="",$E217="X"),0,IFERROR(_xlfn.LET(_xlpm.x,SUM(SUM(_xlfn._xlws.FILTER(VALUE(PptoSty[Sign]&amp;1)*(1/PptoSty[Division]),(PptoSty[Division]&lt;&gt;0)*(PptoSty[Division]&lt;&gt;"")*(PptoSty[Division]&lt;&gt;"X")*(PptoSty[Project]=$B217)*(PptoSty[Vrs]=$D217)*(PptoSty[PiRow]=_xlfn.TEXTAFTER($H217,":"))*(PptoSty[PiColumn]=V$54),0)),SUM(IF((INDIRECT($B$3)=$B217)*(INDIRECT($C$3)=$D217)*((INDIRECT($E$3)="TOTS")+(INDIRECT($E$3)=$E217)),INDIRECT(V$3)))),_xlpm.y,SUM(_xlfn.CHOOSECOLS(_xlfn._xlws.FILTER(F_RT14[],(F_RT14[PrjId]=$B217)*(F_RT14[Vrs]=$D217)*(_xlfn.TEXTAFTER(F_RT14[ActGrp],":")=_xlfn.TEXTAFTER($H217,":")),"X"),MATCH("*"&amp;V$54,F_RT14[#Headers],0))),IF(AND(_xlpm.x=0,_xlpm.y&lt;&gt;0),-1,IF(AND(_xlpm.x&lt;&gt;0,_xlpm.y&lt;&gt;0),_xlpm.x,IF(AND(_xlpm.x-SUM(IF((INDIRECT($B$3)=$B217)*(INDIRECT($C$3)=$D217)*((INDIRECT($E$3)="TOTS")+(INDIRECT($E$3)=$E217)),INDIRECT(V$3)))&lt;&gt;0,_xlpm.y=0),-2,_xlpm.x)))),0))</f>
        <v>0</v>
      </c>
      <c r="W217" s="199" cm="1">
        <f t="array" aca="1" ref="W217" ca="1">IF(OR($B217="",$B217="X",$D217="",$D217="X",$E217="",$E217="X"),0,IFERROR(_xlfn.LET(_xlpm.x,SUM(SUM(_xlfn._xlws.FILTER(VALUE(PptoSty[Sign]&amp;1)*(1/PptoSty[Division]),(PptoSty[Division]&lt;&gt;0)*(PptoSty[Division]&lt;&gt;"")*(PptoSty[Division]&lt;&gt;"X")*(PptoSty[Project]=$B217)*(PptoSty[Vrs]=$D217)*(PptoSty[PiRow]=_xlfn.TEXTAFTER($H217,":"))*(PptoSty[PiColumn]=W$54),0)),SUM(IF((INDIRECT($B$3)=$B217)*(INDIRECT($C$3)=$D217)*((INDIRECT($E$3)="TOTS")+(INDIRECT($E$3)=$E217)),INDIRECT(W$3)))),_xlpm.y,SUM(_xlfn.CHOOSECOLS(_xlfn._xlws.FILTER(F_RT14[],(F_RT14[PrjId]=$B217)*(F_RT14[Vrs]=$D217)*(_xlfn.TEXTAFTER(F_RT14[ActGrp],":")=_xlfn.TEXTAFTER($H217,":")),"X"),MATCH("*"&amp;W$54,F_RT14[#Headers],0))),IF(AND(_xlpm.x=0,_xlpm.y&lt;&gt;0),-1,IF(AND(_xlpm.x&lt;&gt;0,_xlpm.y&lt;&gt;0),_xlpm.x,IF(AND(_xlpm.x-SUM(IF((INDIRECT($B$3)=$B217)*(INDIRECT($C$3)=$D217)*((INDIRECT($E$3)="TOTS")+(INDIRECT($E$3)=$E217)),INDIRECT(W$3)))&lt;&gt;0,_xlpm.y=0),-2,_xlpm.x)))),0))</f>
        <v>0</v>
      </c>
      <c r="X217" s="199" cm="1">
        <f t="array" aca="1" ref="X217" ca="1">IF(OR($B217="",$B217="X",$D217="",$D217="X",$E217="",$E217="X"),0,IFERROR(_xlfn.LET(_xlpm.x,SUM(SUM(_xlfn._xlws.FILTER(VALUE(PptoSty[Sign]&amp;1)*(1/PptoSty[Division]),(PptoSty[Division]&lt;&gt;0)*(PptoSty[Division]&lt;&gt;"")*(PptoSty[Division]&lt;&gt;"X")*(PptoSty[Project]=$B217)*(PptoSty[Vrs]=$D217)*(PptoSty[PiRow]=_xlfn.TEXTAFTER($H217,":"))*(PptoSty[PiColumn]=X$54),0)),SUM(IF((INDIRECT($B$3)=$B217)*(INDIRECT($C$3)=$D217)*((INDIRECT($E$3)="TOTS")+(INDIRECT($E$3)=$E217)),INDIRECT(X$3)))),_xlpm.y,SUM(_xlfn.CHOOSECOLS(_xlfn._xlws.FILTER(F_RT14[],(F_RT14[PrjId]=$B217)*(F_RT14[Vrs]=$D217)*(_xlfn.TEXTAFTER(F_RT14[ActGrp],":")=_xlfn.TEXTAFTER($H217,":")),"X"),MATCH("*"&amp;X$54,F_RT14[#Headers],0))),IF(AND(_xlpm.x=0,_xlpm.y&lt;&gt;0),-1,IF(AND(_xlpm.x&lt;&gt;0,_xlpm.y&lt;&gt;0),_xlpm.x,IF(AND(_xlpm.x-SUM(IF((INDIRECT($B$3)=$B217)*(INDIRECT($C$3)=$D217)*((INDIRECT($E$3)="TOTS")+(INDIRECT($E$3)=$E217)),INDIRECT(X$3)))&lt;&gt;0,_xlpm.y=0),-2,_xlpm.x)))),0))</f>
        <v>0</v>
      </c>
      <c r="Y217" s="199" cm="1">
        <f t="array" aca="1" ref="Y217" ca="1">IF(OR($B217="",$B217="X",$D217="",$D217="X",$E217="",$E217="X"),0,IFERROR(_xlfn.LET(_xlpm.x,SUM(SUM(_xlfn._xlws.FILTER(VALUE(PptoSty[Sign]&amp;1)*(1/PptoSty[Division]),(PptoSty[Division]&lt;&gt;0)*(PptoSty[Division]&lt;&gt;"")*(PptoSty[Division]&lt;&gt;"X")*(PptoSty[Project]=$B217)*(PptoSty[Vrs]=$D217)*(PptoSty[PiRow]=_xlfn.TEXTAFTER($H217,":"))*(PptoSty[PiColumn]=Y$54),0)),SUM(IF((INDIRECT($B$3)=$B217)*(INDIRECT($C$3)=$D217)*((INDIRECT($E$3)="TOTS")+(INDIRECT($E$3)=$E217)),INDIRECT(Y$3)))),_xlpm.y,SUM(_xlfn.CHOOSECOLS(_xlfn._xlws.FILTER(F_RT14[],(F_RT14[PrjId]=$B217)*(F_RT14[Vrs]=$D217)*(_xlfn.TEXTAFTER(F_RT14[ActGrp],":")=_xlfn.TEXTAFTER($H217,":")),"X"),MATCH("*"&amp;Y$54,F_RT14[#Headers],0))),IF(AND(_xlpm.x=0,_xlpm.y&lt;&gt;0),-1,IF(AND(_xlpm.x&lt;&gt;0,_xlpm.y&lt;&gt;0),_xlpm.x,IF(AND(_xlpm.x-SUM(IF((INDIRECT($B$3)=$B217)*(INDIRECT($C$3)=$D217)*((INDIRECT($E$3)="TOTS")+(INDIRECT($E$3)=$E217)),INDIRECT(Y$3)))&lt;&gt;0,_xlpm.y=0),-2,_xlpm.x)))),0))</f>
        <v>0</v>
      </c>
      <c r="Z217" s="198" t="str">
        <f t="shared" ca="1" si="4"/>
        <v>Fback!B217:Y217</v>
      </c>
    </row>
    <row r="218" spans="2:26" ht="21" customHeight="1" outlineLevel="1">
      <c r="B218" s="128"/>
      <c r="C218" s="128"/>
      <c r="D218" s="128"/>
      <c r="E218" s="128"/>
      <c r="F218" s="139"/>
      <c r="G218" s="139"/>
      <c r="H218" s="139"/>
      <c r="I218" s="199" cm="1">
        <f t="array" aca="1" ref="I218" ca="1">IF(OR($B218="",$B218="X",$D218="",$D218="X",$E218="",$E218="X"),0,IFERROR(_xlfn.LET(_xlpm.x,SUM(SUM(_xlfn._xlws.FILTER(VALUE(PptoSty[Sign]&amp;1)*(1/PptoSty[Division]),(PptoSty[Division]&lt;&gt;0)*(PptoSty[Division]&lt;&gt;"")*(PptoSty[Division]&lt;&gt;"X")*(PptoSty[Project]=$B218)*(PptoSty[Vrs]=$D218)*(PptoSty[PiRow]=_xlfn.TEXTAFTER($H218,":"))*(PptoSty[PiColumn]=I$54),0)),SUM(IF((INDIRECT($B$3)=$B218)*(INDIRECT($C$3)=$D218)*((INDIRECT($E$3)="TOTS")+(INDIRECT($E$3)=$E218)),INDIRECT(I$3)))),_xlpm.y,SUM(_xlfn.CHOOSECOLS(_xlfn._xlws.FILTER(F_RT14[],(F_RT14[PrjId]=$B218)*(F_RT14[Vrs]=$D218)*(_xlfn.TEXTAFTER(F_RT14[ActGrp],":")=_xlfn.TEXTAFTER($H218,":")),"X"),MATCH("*"&amp;I$54,F_RT14[#Headers],0))),IF(AND(_xlpm.x=0,_xlpm.y&lt;&gt;0),-1,IF(AND(_xlpm.x&lt;&gt;0,_xlpm.y&lt;&gt;0),_xlpm.x,IF(AND(_xlpm.x-SUM(IF((INDIRECT($B$3)=$B218)*(INDIRECT($C$3)=$D218)*((INDIRECT($E$3)="TOTS")+(INDIRECT($E$3)=$E218)),INDIRECT(I$3)))&lt;&gt;0,_xlpm.y=0),-2,_xlpm.x)))),0))</f>
        <v>0</v>
      </c>
      <c r="J218" s="199" cm="1">
        <f t="array" aca="1" ref="J218" ca="1">IF(OR($B218="",$B218="X",$D218="",$D218="X",$E218="",$E218="X"),0,IFERROR(_xlfn.LET(_xlpm.x,SUM(SUM(_xlfn._xlws.FILTER(VALUE(PptoSty[Sign]&amp;1)*(1/PptoSty[Division]),(PptoSty[Division]&lt;&gt;0)*(PptoSty[Division]&lt;&gt;"")*(PptoSty[Division]&lt;&gt;"X")*(PptoSty[Project]=$B218)*(PptoSty[Vrs]=$D218)*(PptoSty[PiRow]=_xlfn.TEXTAFTER($H218,":"))*(PptoSty[PiColumn]=J$54),0)),SUM(IF((INDIRECT($B$3)=$B218)*(INDIRECT($C$3)=$D218)*((INDIRECT($E$3)="TOTS")+(INDIRECT($E$3)=$E218)),INDIRECT(J$3)))),_xlpm.y,SUM(_xlfn.CHOOSECOLS(_xlfn._xlws.FILTER(F_RT14[],(F_RT14[PrjId]=$B218)*(F_RT14[Vrs]=$D218)*(_xlfn.TEXTAFTER(F_RT14[ActGrp],":")=_xlfn.TEXTAFTER($H218,":")),"X"),MATCH("*"&amp;J$54,F_RT14[#Headers],0))),IF(AND(_xlpm.x=0,_xlpm.y&lt;&gt;0),-1,IF(AND(_xlpm.x&lt;&gt;0,_xlpm.y&lt;&gt;0),_xlpm.x,IF(AND(_xlpm.x-SUM(IF((INDIRECT($B$3)=$B218)*(INDIRECT($C$3)=$D218)*((INDIRECT($E$3)="TOTS")+(INDIRECT($E$3)=$E218)),INDIRECT(J$3)))&lt;&gt;0,_xlpm.y=0),-2,_xlpm.x)))),0))</f>
        <v>0</v>
      </c>
      <c r="K218" s="199" cm="1">
        <f t="array" aca="1" ref="K218" ca="1">IF(OR($B218="",$B218="X",$D218="",$D218="X",$E218="",$E218="X"),0,IFERROR(_xlfn.LET(_xlpm.x,SUM(SUM(_xlfn._xlws.FILTER(VALUE(PptoSty[Sign]&amp;1)*(1/PptoSty[Division]),(PptoSty[Division]&lt;&gt;0)*(PptoSty[Division]&lt;&gt;"")*(PptoSty[Division]&lt;&gt;"X")*(PptoSty[Project]=$B218)*(PptoSty[Vrs]=$D218)*(PptoSty[PiRow]=_xlfn.TEXTAFTER($H218,":"))*(PptoSty[PiColumn]=K$54),0)),SUM(IF((INDIRECT($B$3)=$B218)*(INDIRECT($C$3)=$D218)*((INDIRECT($E$3)="TOTS")+(INDIRECT($E$3)=$E218)),INDIRECT(K$3)))),_xlpm.y,SUM(_xlfn.CHOOSECOLS(_xlfn._xlws.FILTER(F_RT14[],(F_RT14[PrjId]=$B218)*(F_RT14[Vrs]=$D218)*(_xlfn.TEXTAFTER(F_RT14[ActGrp],":")=_xlfn.TEXTAFTER($H218,":")),"X"),MATCH("*"&amp;K$54,F_RT14[#Headers],0))),IF(AND(_xlpm.x=0,_xlpm.y&lt;&gt;0),-1,IF(AND(_xlpm.x&lt;&gt;0,_xlpm.y&lt;&gt;0),_xlpm.x,IF(AND(_xlpm.x-SUM(IF((INDIRECT($B$3)=$B218)*(INDIRECT($C$3)=$D218)*((INDIRECT($E$3)="TOTS")+(INDIRECT($E$3)=$E218)),INDIRECT(K$3)))&lt;&gt;0,_xlpm.y=0),-2,_xlpm.x)))),0))</f>
        <v>0</v>
      </c>
      <c r="L218" s="199" cm="1">
        <f t="array" aca="1" ref="L218" ca="1">IF(OR($B218="",$B218="X",$D218="",$D218="X",$E218="",$E218="X"),0,IFERROR(_xlfn.LET(_xlpm.x,SUM(SUM(_xlfn._xlws.FILTER(VALUE(PptoSty[Sign]&amp;1)*(1/PptoSty[Division]),(PptoSty[Division]&lt;&gt;0)*(PptoSty[Division]&lt;&gt;"")*(PptoSty[Division]&lt;&gt;"X")*(PptoSty[Project]=$B218)*(PptoSty[Vrs]=$D218)*(PptoSty[PiRow]=_xlfn.TEXTAFTER($H218,":"))*(PptoSty[PiColumn]=L$54),0)),SUM(IF((INDIRECT($B$3)=$B218)*(INDIRECT($C$3)=$D218)*((INDIRECT($E$3)="TOTS")+(INDIRECT($E$3)=$E218)),INDIRECT(L$3)))),_xlpm.y,SUM(_xlfn.CHOOSECOLS(_xlfn._xlws.FILTER(F_RT14[],(F_RT14[PrjId]=$B218)*(F_RT14[Vrs]=$D218)*(_xlfn.TEXTAFTER(F_RT14[ActGrp],":")=_xlfn.TEXTAFTER($H218,":")),"X"),MATCH("*"&amp;L$54,F_RT14[#Headers],0))),IF(AND(_xlpm.x=0,_xlpm.y&lt;&gt;0),-1,IF(AND(_xlpm.x&lt;&gt;0,_xlpm.y&lt;&gt;0),_xlpm.x,IF(AND(_xlpm.x-SUM(IF((INDIRECT($B$3)=$B218)*(INDIRECT($C$3)=$D218)*((INDIRECT($E$3)="TOTS")+(INDIRECT($E$3)=$E218)),INDIRECT(L$3)))&lt;&gt;0,_xlpm.y=0),-2,_xlpm.x)))),0))</f>
        <v>0</v>
      </c>
      <c r="M218" s="199" cm="1">
        <f t="array" aca="1" ref="M218" ca="1">IF(OR($B218="",$B218="X",$D218="",$D218="X",$E218="",$E218="X"),0,IFERROR(_xlfn.LET(_xlpm.x,SUM(SUM(_xlfn._xlws.FILTER(VALUE(PptoSty[Sign]&amp;1)*(1/PptoSty[Division]),(PptoSty[Division]&lt;&gt;0)*(PptoSty[Division]&lt;&gt;"")*(PptoSty[Division]&lt;&gt;"X")*(PptoSty[Project]=$B218)*(PptoSty[Vrs]=$D218)*(PptoSty[PiRow]=_xlfn.TEXTAFTER($H218,":"))*(PptoSty[PiColumn]=M$54),0)),SUM(IF((INDIRECT($B$3)=$B218)*(INDIRECT($C$3)=$D218)*((INDIRECT($E$3)="TOTS")+(INDIRECT($E$3)=$E218)),INDIRECT(M$3)))),_xlpm.y,SUM(_xlfn.CHOOSECOLS(_xlfn._xlws.FILTER(F_RT14[],(F_RT14[PrjId]=$B218)*(F_RT14[Vrs]=$D218)*(_xlfn.TEXTAFTER(F_RT14[ActGrp],":")=_xlfn.TEXTAFTER($H218,":")),"X"),MATCH("*"&amp;M$54,F_RT14[#Headers],0))),IF(AND(_xlpm.x=0,_xlpm.y&lt;&gt;0),-1,IF(AND(_xlpm.x&lt;&gt;0,_xlpm.y&lt;&gt;0),_xlpm.x,IF(AND(_xlpm.x-SUM(IF((INDIRECT($B$3)=$B218)*(INDIRECT($C$3)=$D218)*((INDIRECT($E$3)="TOTS")+(INDIRECT($E$3)=$E218)),INDIRECT(M$3)))&lt;&gt;0,_xlpm.y=0),-2,_xlpm.x)))),0))</f>
        <v>0</v>
      </c>
      <c r="N218" s="199" cm="1">
        <f t="array" aca="1" ref="N218" ca="1">IF(OR($B218="",$B218="X",$D218="",$D218="X",$E218="",$E218="X"),0,IFERROR(_xlfn.LET(_xlpm.x,SUM(SUM(_xlfn._xlws.FILTER(VALUE(PptoSty[Sign]&amp;1)*(1/PptoSty[Division]),(PptoSty[Division]&lt;&gt;0)*(PptoSty[Division]&lt;&gt;"")*(PptoSty[Division]&lt;&gt;"X")*(PptoSty[Project]=$B218)*(PptoSty[Vrs]=$D218)*(PptoSty[PiRow]=_xlfn.TEXTAFTER($H218,":"))*(PptoSty[PiColumn]=N$54),0)),SUM(IF((INDIRECT($B$3)=$B218)*(INDIRECT($C$3)=$D218)*((INDIRECT($E$3)="TOTS")+(INDIRECT($E$3)=$E218)),INDIRECT(N$3)))),_xlpm.y,SUM(_xlfn.CHOOSECOLS(_xlfn._xlws.FILTER(F_RT14[],(F_RT14[PrjId]=$B218)*(F_RT14[Vrs]=$D218)*(_xlfn.TEXTAFTER(F_RT14[ActGrp],":")=_xlfn.TEXTAFTER($H218,":")),"X"),MATCH("*"&amp;N$54,F_RT14[#Headers],0))),IF(AND(_xlpm.x=0,_xlpm.y&lt;&gt;0),-1,IF(AND(_xlpm.x&lt;&gt;0,_xlpm.y&lt;&gt;0),_xlpm.x,IF(AND(_xlpm.x-SUM(IF((INDIRECT($B$3)=$B218)*(INDIRECT($C$3)=$D218)*((INDIRECT($E$3)="TOTS")+(INDIRECT($E$3)=$E218)),INDIRECT(N$3)))&lt;&gt;0,_xlpm.y=0),-2,_xlpm.x)))),0))</f>
        <v>0</v>
      </c>
      <c r="O218" s="199" cm="1">
        <f t="array" aca="1" ref="O218" ca="1">IF(OR($B218="",$B218="X",$D218="",$D218="X",$E218="",$E218="X"),0,IFERROR(_xlfn.LET(_xlpm.x,SUM(SUM(_xlfn._xlws.FILTER(VALUE(PptoSty[Sign]&amp;1)*(1/PptoSty[Division]),(PptoSty[Division]&lt;&gt;0)*(PptoSty[Division]&lt;&gt;"")*(PptoSty[Division]&lt;&gt;"X")*(PptoSty[Project]=$B218)*(PptoSty[Vrs]=$D218)*(PptoSty[PiRow]=_xlfn.TEXTAFTER($H218,":"))*(PptoSty[PiColumn]=O$54),0)),SUM(IF((INDIRECT($B$3)=$B218)*(INDIRECT($C$3)=$D218)*((INDIRECT($E$3)="TOTS")+(INDIRECT($E$3)=$E218)),INDIRECT(O$3)))),_xlpm.y,SUM(_xlfn.CHOOSECOLS(_xlfn._xlws.FILTER(F_RT14[],(F_RT14[PrjId]=$B218)*(F_RT14[Vrs]=$D218)*(_xlfn.TEXTAFTER(F_RT14[ActGrp],":")=_xlfn.TEXTAFTER($H218,":")),"X"),MATCH("*"&amp;O$54,F_RT14[#Headers],0))),IF(AND(_xlpm.x=0,_xlpm.y&lt;&gt;0),-1,IF(AND(_xlpm.x&lt;&gt;0,_xlpm.y&lt;&gt;0),_xlpm.x,IF(AND(_xlpm.x-SUM(IF((INDIRECT($B$3)=$B218)*(INDIRECT($C$3)=$D218)*((INDIRECT($E$3)="TOTS")+(INDIRECT($E$3)=$E218)),INDIRECT(O$3)))&lt;&gt;0,_xlpm.y=0),-2,_xlpm.x)))),0))</f>
        <v>0</v>
      </c>
      <c r="P218" s="199" cm="1">
        <f t="array" aca="1" ref="P218" ca="1">IF(OR($B218="",$B218="X",$D218="",$D218="X",$E218="",$E218="X"),0,IFERROR(_xlfn.LET(_xlpm.x,SUM(SUM(_xlfn._xlws.FILTER(VALUE(PptoSty[Sign]&amp;1)*(1/PptoSty[Division]),(PptoSty[Division]&lt;&gt;0)*(PptoSty[Division]&lt;&gt;"")*(PptoSty[Division]&lt;&gt;"X")*(PptoSty[Project]=$B218)*(PptoSty[Vrs]=$D218)*(PptoSty[PiRow]=_xlfn.TEXTAFTER($H218,":"))*(PptoSty[PiColumn]=P$54),0)),SUM(IF((INDIRECT($B$3)=$B218)*(INDIRECT($C$3)=$D218)*((INDIRECT($E$3)="TOTS")+(INDIRECT($E$3)=$E218)),INDIRECT(P$3)))),_xlpm.y,SUM(_xlfn.CHOOSECOLS(_xlfn._xlws.FILTER(F_RT14[],(F_RT14[PrjId]=$B218)*(F_RT14[Vrs]=$D218)*(_xlfn.TEXTAFTER(F_RT14[ActGrp],":")=_xlfn.TEXTAFTER($H218,":")),"X"),MATCH("*"&amp;P$54,F_RT14[#Headers],0))),IF(AND(_xlpm.x=0,_xlpm.y&lt;&gt;0),-1,IF(AND(_xlpm.x&lt;&gt;0,_xlpm.y&lt;&gt;0),_xlpm.x,IF(AND(_xlpm.x-SUM(IF((INDIRECT($B$3)=$B218)*(INDIRECT($C$3)=$D218)*((INDIRECT($E$3)="TOTS")+(INDIRECT($E$3)=$E218)),INDIRECT(P$3)))&lt;&gt;0,_xlpm.y=0),-2,_xlpm.x)))),0))</f>
        <v>0</v>
      </c>
      <c r="Q218" s="199" cm="1">
        <f t="array" aca="1" ref="Q218" ca="1">IF(OR($B218="",$B218="X",$D218="",$D218="X",$E218="",$E218="X"),0,IFERROR(_xlfn.LET(_xlpm.x,SUM(SUM(_xlfn._xlws.FILTER(VALUE(PptoSty[Sign]&amp;1)*(1/PptoSty[Division]),(PptoSty[Division]&lt;&gt;0)*(PptoSty[Division]&lt;&gt;"")*(PptoSty[Division]&lt;&gt;"X")*(PptoSty[Project]=$B218)*(PptoSty[Vrs]=$D218)*(PptoSty[PiRow]=_xlfn.TEXTAFTER($H218,":"))*(PptoSty[PiColumn]=Q$54),0)),SUM(IF((INDIRECT($B$3)=$B218)*(INDIRECT($C$3)=$D218)*((INDIRECT($E$3)="TOTS")+(INDIRECT($E$3)=$E218)),INDIRECT(Q$3)))),_xlpm.y,SUM(_xlfn.CHOOSECOLS(_xlfn._xlws.FILTER(F_RT14[],(F_RT14[PrjId]=$B218)*(F_RT14[Vrs]=$D218)*(_xlfn.TEXTAFTER(F_RT14[ActGrp],":")=_xlfn.TEXTAFTER($H218,":")),"X"),MATCH("*"&amp;Q$54,F_RT14[#Headers],0))),IF(AND(_xlpm.x=0,_xlpm.y&lt;&gt;0),-1,IF(AND(_xlpm.x&lt;&gt;0,_xlpm.y&lt;&gt;0),_xlpm.x,IF(AND(_xlpm.x-SUM(IF((INDIRECT($B$3)=$B218)*(INDIRECT($C$3)=$D218)*((INDIRECT($E$3)="TOTS")+(INDIRECT($E$3)=$E218)),INDIRECT(Q$3)))&lt;&gt;0,_xlpm.y=0),-2,_xlpm.x)))),0))</f>
        <v>0</v>
      </c>
      <c r="R218" s="199" cm="1">
        <f t="array" aca="1" ref="R218" ca="1">IF(OR($B218="",$B218="X",$D218="",$D218="X",$E218="",$E218="X"),0,IFERROR(_xlfn.LET(_xlpm.x,SUM(SUM(_xlfn._xlws.FILTER(VALUE(PptoSty[Sign]&amp;1)*(1/PptoSty[Division]),(PptoSty[Division]&lt;&gt;0)*(PptoSty[Division]&lt;&gt;"")*(PptoSty[Division]&lt;&gt;"X")*(PptoSty[Project]=$B218)*(PptoSty[Vrs]=$D218)*(PptoSty[PiRow]=_xlfn.TEXTAFTER($H218,":"))*(PptoSty[PiColumn]=R$54),0)),SUM(IF((INDIRECT($B$3)=$B218)*(INDIRECT($C$3)=$D218)*((INDIRECT($E$3)="TOTS")+(INDIRECT($E$3)=$E218)),INDIRECT(R$3)))),_xlpm.y,SUM(_xlfn.CHOOSECOLS(_xlfn._xlws.FILTER(F_RT14[],(F_RT14[PrjId]=$B218)*(F_RT14[Vrs]=$D218)*(_xlfn.TEXTAFTER(F_RT14[ActGrp],":")=_xlfn.TEXTAFTER($H218,":")),"X"),MATCH("*"&amp;R$54,F_RT14[#Headers],0))),IF(AND(_xlpm.x=0,_xlpm.y&lt;&gt;0),-1,IF(AND(_xlpm.x&lt;&gt;0,_xlpm.y&lt;&gt;0),_xlpm.x,IF(AND(_xlpm.x-SUM(IF((INDIRECT($B$3)=$B218)*(INDIRECT($C$3)=$D218)*((INDIRECT($E$3)="TOTS")+(INDIRECT($E$3)=$E218)),INDIRECT(R$3)))&lt;&gt;0,_xlpm.y=0),-2,_xlpm.x)))),0))</f>
        <v>0</v>
      </c>
      <c r="S218" s="199" cm="1">
        <f t="array" aca="1" ref="S218" ca="1">IF(OR($B218="",$B218="X",$D218="",$D218="X",$E218="",$E218="X"),0,IFERROR(_xlfn.LET(_xlpm.x,SUM(SUM(_xlfn._xlws.FILTER(VALUE(PptoSty[Sign]&amp;1)*(1/PptoSty[Division]),(PptoSty[Division]&lt;&gt;0)*(PptoSty[Division]&lt;&gt;"")*(PptoSty[Division]&lt;&gt;"X")*(PptoSty[Project]=$B218)*(PptoSty[Vrs]=$D218)*(PptoSty[PiRow]=_xlfn.TEXTAFTER($H218,":"))*(PptoSty[PiColumn]=S$54),0)),SUM(IF((INDIRECT($B$3)=$B218)*(INDIRECT($C$3)=$D218)*((INDIRECT($E$3)="TOTS")+(INDIRECT($E$3)=$E218)),INDIRECT(S$3)))),_xlpm.y,SUM(_xlfn.CHOOSECOLS(_xlfn._xlws.FILTER(F_RT14[],(F_RT14[PrjId]=$B218)*(F_RT14[Vrs]=$D218)*(_xlfn.TEXTAFTER(F_RT14[ActGrp],":")=_xlfn.TEXTAFTER($H218,":")),"X"),MATCH("*"&amp;S$54,F_RT14[#Headers],0))),IF(AND(_xlpm.x=0,_xlpm.y&lt;&gt;0),-1,IF(AND(_xlpm.x&lt;&gt;0,_xlpm.y&lt;&gt;0),_xlpm.x,IF(AND(_xlpm.x-SUM(IF((INDIRECT($B$3)=$B218)*(INDIRECT($C$3)=$D218)*((INDIRECT($E$3)="TOTS")+(INDIRECT($E$3)=$E218)),INDIRECT(S$3)))&lt;&gt;0,_xlpm.y=0),-2,_xlpm.x)))),0))</f>
        <v>0</v>
      </c>
      <c r="T218" s="199" cm="1">
        <f t="array" aca="1" ref="T218" ca="1">IF(OR($B218="",$B218="X",$D218="",$D218="X",$E218="",$E218="X"),0,IFERROR(_xlfn.LET(_xlpm.x,SUM(SUM(_xlfn._xlws.FILTER(VALUE(PptoSty[Sign]&amp;1)*(1/PptoSty[Division]),(PptoSty[Division]&lt;&gt;0)*(PptoSty[Division]&lt;&gt;"")*(PptoSty[Division]&lt;&gt;"X")*(PptoSty[Project]=$B218)*(PptoSty[Vrs]=$D218)*(PptoSty[PiRow]=_xlfn.TEXTAFTER($H218,":"))*(PptoSty[PiColumn]=T$54),0)),SUM(IF((INDIRECT($B$3)=$B218)*(INDIRECT($C$3)=$D218)*((INDIRECT($E$3)="TOTS")+(INDIRECT($E$3)=$E218)),INDIRECT(T$3)))),_xlpm.y,SUM(_xlfn.CHOOSECOLS(_xlfn._xlws.FILTER(F_RT14[],(F_RT14[PrjId]=$B218)*(F_RT14[Vrs]=$D218)*(_xlfn.TEXTAFTER(F_RT14[ActGrp],":")=_xlfn.TEXTAFTER($H218,":")),"X"),MATCH("*"&amp;T$54,F_RT14[#Headers],0))),IF(AND(_xlpm.x=0,_xlpm.y&lt;&gt;0),-1,IF(AND(_xlpm.x&lt;&gt;0,_xlpm.y&lt;&gt;0),_xlpm.x,IF(AND(_xlpm.x-SUM(IF((INDIRECT($B$3)=$B218)*(INDIRECT($C$3)=$D218)*((INDIRECT($E$3)="TOTS")+(INDIRECT($E$3)=$E218)),INDIRECT(T$3)))&lt;&gt;0,_xlpm.y=0),-2,_xlpm.x)))),0))</f>
        <v>0</v>
      </c>
      <c r="U218" s="199" cm="1">
        <f t="array" aca="1" ref="U218" ca="1">IF(OR($B218="",$B218="X",$D218="",$D218="X",$E218="",$E218="X"),0,IFERROR(_xlfn.LET(_xlpm.x,SUM(SUM(_xlfn._xlws.FILTER(VALUE(PptoSty[Sign]&amp;1)*(1/PptoSty[Division]),(PptoSty[Division]&lt;&gt;0)*(PptoSty[Division]&lt;&gt;"")*(PptoSty[Division]&lt;&gt;"X")*(PptoSty[Project]=$B218)*(PptoSty[Vrs]=$D218)*(PptoSty[PiRow]=_xlfn.TEXTAFTER($H218,":"))*(PptoSty[PiColumn]=U$54),0)),SUM(IF((INDIRECT($B$3)=$B218)*(INDIRECT($C$3)=$D218)*((INDIRECT($E$3)="TOTS")+(INDIRECT($E$3)=$E218)),INDIRECT(U$3)))),_xlpm.y,SUM(_xlfn.CHOOSECOLS(_xlfn._xlws.FILTER(F_RT14[],(F_RT14[PrjId]=$B218)*(F_RT14[Vrs]=$D218)*(_xlfn.TEXTAFTER(F_RT14[ActGrp],":")=_xlfn.TEXTAFTER($H218,":")),"X"),MATCH("*"&amp;U$54,F_RT14[#Headers],0))),IF(AND(_xlpm.x=0,_xlpm.y&lt;&gt;0),-1,IF(AND(_xlpm.x&lt;&gt;0,_xlpm.y&lt;&gt;0),_xlpm.x,IF(AND(_xlpm.x-SUM(IF((INDIRECT($B$3)=$B218)*(INDIRECT($C$3)=$D218)*((INDIRECT($E$3)="TOTS")+(INDIRECT($E$3)=$E218)),INDIRECT(U$3)))&lt;&gt;0,_xlpm.y=0),-2,_xlpm.x)))),0))</f>
        <v>0</v>
      </c>
      <c r="V218" s="199" cm="1">
        <f t="array" aca="1" ref="V218" ca="1">IF(OR($B218="",$B218="X",$D218="",$D218="X",$E218="",$E218="X"),0,IFERROR(_xlfn.LET(_xlpm.x,SUM(SUM(_xlfn._xlws.FILTER(VALUE(PptoSty[Sign]&amp;1)*(1/PptoSty[Division]),(PptoSty[Division]&lt;&gt;0)*(PptoSty[Division]&lt;&gt;"")*(PptoSty[Division]&lt;&gt;"X")*(PptoSty[Project]=$B218)*(PptoSty[Vrs]=$D218)*(PptoSty[PiRow]=_xlfn.TEXTAFTER($H218,":"))*(PptoSty[PiColumn]=V$54),0)),SUM(IF((INDIRECT($B$3)=$B218)*(INDIRECT($C$3)=$D218)*((INDIRECT($E$3)="TOTS")+(INDIRECT($E$3)=$E218)),INDIRECT(V$3)))),_xlpm.y,SUM(_xlfn.CHOOSECOLS(_xlfn._xlws.FILTER(F_RT14[],(F_RT14[PrjId]=$B218)*(F_RT14[Vrs]=$D218)*(_xlfn.TEXTAFTER(F_RT14[ActGrp],":")=_xlfn.TEXTAFTER($H218,":")),"X"),MATCH("*"&amp;V$54,F_RT14[#Headers],0))),IF(AND(_xlpm.x=0,_xlpm.y&lt;&gt;0),-1,IF(AND(_xlpm.x&lt;&gt;0,_xlpm.y&lt;&gt;0),_xlpm.x,IF(AND(_xlpm.x-SUM(IF((INDIRECT($B$3)=$B218)*(INDIRECT($C$3)=$D218)*((INDIRECT($E$3)="TOTS")+(INDIRECT($E$3)=$E218)),INDIRECT(V$3)))&lt;&gt;0,_xlpm.y=0),-2,_xlpm.x)))),0))</f>
        <v>0</v>
      </c>
      <c r="W218" s="199" cm="1">
        <f t="array" aca="1" ref="W218" ca="1">IF(OR($B218="",$B218="X",$D218="",$D218="X",$E218="",$E218="X"),0,IFERROR(_xlfn.LET(_xlpm.x,SUM(SUM(_xlfn._xlws.FILTER(VALUE(PptoSty[Sign]&amp;1)*(1/PptoSty[Division]),(PptoSty[Division]&lt;&gt;0)*(PptoSty[Division]&lt;&gt;"")*(PptoSty[Division]&lt;&gt;"X")*(PptoSty[Project]=$B218)*(PptoSty[Vrs]=$D218)*(PptoSty[PiRow]=_xlfn.TEXTAFTER($H218,":"))*(PptoSty[PiColumn]=W$54),0)),SUM(IF((INDIRECT($B$3)=$B218)*(INDIRECT($C$3)=$D218)*((INDIRECT($E$3)="TOTS")+(INDIRECT($E$3)=$E218)),INDIRECT(W$3)))),_xlpm.y,SUM(_xlfn.CHOOSECOLS(_xlfn._xlws.FILTER(F_RT14[],(F_RT14[PrjId]=$B218)*(F_RT14[Vrs]=$D218)*(_xlfn.TEXTAFTER(F_RT14[ActGrp],":")=_xlfn.TEXTAFTER($H218,":")),"X"),MATCH("*"&amp;W$54,F_RT14[#Headers],0))),IF(AND(_xlpm.x=0,_xlpm.y&lt;&gt;0),-1,IF(AND(_xlpm.x&lt;&gt;0,_xlpm.y&lt;&gt;0),_xlpm.x,IF(AND(_xlpm.x-SUM(IF((INDIRECT($B$3)=$B218)*(INDIRECT($C$3)=$D218)*((INDIRECT($E$3)="TOTS")+(INDIRECT($E$3)=$E218)),INDIRECT(W$3)))&lt;&gt;0,_xlpm.y=0),-2,_xlpm.x)))),0))</f>
        <v>0</v>
      </c>
      <c r="X218" s="199" cm="1">
        <f t="array" aca="1" ref="X218" ca="1">IF(OR($B218="",$B218="X",$D218="",$D218="X",$E218="",$E218="X"),0,IFERROR(_xlfn.LET(_xlpm.x,SUM(SUM(_xlfn._xlws.FILTER(VALUE(PptoSty[Sign]&amp;1)*(1/PptoSty[Division]),(PptoSty[Division]&lt;&gt;0)*(PptoSty[Division]&lt;&gt;"")*(PptoSty[Division]&lt;&gt;"X")*(PptoSty[Project]=$B218)*(PptoSty[Vrs]=$D218)*(PptoSty[PiRow]=_xlfn.TEXTAFTER($H218,":"))*(PptoSty[PiColumn]=X$54),0)),SUM(IF((INDIRECT($B$3)=$B218)*(INDIRECT($C$3)=$D218)*((INDIRECT($E$3)="TOTS")+(INDIRECT($E$3)=$E218)),INDIRECT(X$3)))),_xlpm.y,SUM(_xlfn.CHOOSECOLS(_xlfn._xlws.FILTER(F_RT14[],(F_RT14[PrjId]=$B218)*(F_RT14[Vrs]=$D218)*(_xlfn.TEXTAFTER(F_RT14[ActGrp],":")=_xlfn.TEXTAFTER($H218,":")),"X"),MATCH("*"&amp;X$54,F_RT14[#Headers],0))),IF(AND(_xlpm.x=0,_xlpm.y&lt;&gt;0),-1,IF(AND(_xlpm.x&lt;&gt;0,_xlpm.y&lt;&gt;0),_xlpm.x,IF(AND(_xlpm.x-SUM(IF((INDIRECT($B$3)=$B218)*(INDIRECT($C$3)=$D218)*((INDIRECT($E$3)="TOTS")+(INDIRECT($E$3)=$E218)),INDIRECT(X$3)))&lt;&gt;0,_xlpm.y=0),-2,_xlpm.x)))),0))</f>
        <v>0</v>
      </c>
      <c r="Y218" s="199" cm="1">
        <f t="array" aca="1" ref="Y218" ca="1">IF(OR($B218="",$B218="X",$D218="",$D218="X",$E218="",$E218="X"),0,IFERROR(_xlfn.LET(_xlpm.x,SUM(SUM(_xlfn._xlws.FILTER(VALUE(PptoSty[Sign]&amp;1)*(1/PptoSty[Division]),(PptoSty[Division]&lt;&gt;0)*(PptoSty[Division]&lt;&gt;"")*(PptoSty[Division]&lt;&gt;"X")*(PptoSty[Project]=$B218)*(PptoSty[Vrs]=$D218)*(PptoSty[PiRow]=_xlfn.TEXTAFTER($H218,":"))*(PptoSty[PiColumn]=Y$54),0)),SUM(IF((INDIRECT($B$3)=$B218)*(INDIRECT($C$3)=$D218)*((INDIRECT($E$3)="TOTS")+(INDIRECT($E$3)=$E218)),INDIRECT(Y$3)))),_xlpm.y,SUM(_xlfn.CHOOSECOLS(_xlfn._xlws.FILTER(F_RT14[],(F_RT14[PrjId]=$B218)*(F_RT14[Vrs]=$D218)*(_xlfn.TEXTAFTER(F_RT14[ActGrp],":")=_xlfn.TEXTAFTER($H218,":")),"X"),MATCH("*"&amp;Y$54,F_RT14[#Headers],0))),IF(AND(_xlpm.x=0,_xlpm.y&lt;&gt;0),-1,IF(AND(_xlpm.x&lt;&gt;0,_xlpm.y&lt;&gt;0),_xlpm.x,IF(AND(_xlpm.x-SUM(IF((INDIRECT($B$3)=$B218)*(INDIRECT($C$3)=$D218)*((INDIRECT($E$3)="TOTS")+(INDIRECT($E$3)=$E218)),INDIRECT(Y$3)))&lt;&gt;0,_xlpm.y=0),-2,_xlpm.x)))),0))</f>
        <v>0</v>
      </c>
      <c r="Z218" s="198" t="str">
        <f t="shared" ca="1" si="4"/>
        <v>Fback!B218:Y218</v>
      </c>
    </row>
    <row r="219" spans="2:26" ht="21" customHeight="1" outlineLevel="1">
      <c r="B219" s="128"/>
      <c r="C219" s="128"/>
      <c r="D219" s="128"/>
      <c r="E219" s="128"/>
      <c r="F219" s="139"/>
      <c r="G219" s="139"/>
      <c r="H219" s="139"/>
      <c r="I219" s="199" cm="1">
        <f t="array" aca="1" ref="I219" ca="1">IF(OR($B219="",$B219="X",$D219="",$D219="X",$E219="",$E219="X"),0,IFERROR(_xlfn.LET(_xlpm.x,SUM(SUM(_xlfn._xlws.FILTER(VALUE(PptoSty[Sign]&amp;1)*(1/PptoSty[Division]),(PptoSty[Division]&lt;&gt;0)*(PptoSty[Division]&lt;&gt;"")*(PptoSty[Division]&lt;&gt;"X")*(PptoSty[Project]=$B219)*(PptoSty[Vrs]=$D219)*(PptoSty[PiRow]=_xlfn.TEXTAFTER($H219,":"))*(PptoSty[PiColumn]=I$54),0)),SUM(IF((INDIRECT($B$3)=$B219)*(INDIRECT($C$3)=$D219)*((INDIRECT($E$3)="TOTS")+(INDIRECT($E$3)=$E219)),INDIRECT(I$3)))),_xlpm.y,SUM(_xlfn.CHOOSECOLS(_xlfn._xlws.FILTER(F_RT14[],(F_RT14[PrjId]=$B219)*(F_RT14[Vrs]=$D219)*(_xlfn.TEXTAFTER(F_RT14[ActGrp],":")=_xlfn.TEXTAFTER($H219,":")),"X"),MATCH("*"&amp;I$54,F_RT14[#Headers],0))),IF(AND(_xlpm.x=0,_xlpm.y&lt;&gt;0),-1,IF(AND(_xlpm.x&lt;&gt;0,_xlpm.y&lt;&gt;0),_xlpm.x,IF(AND(_xlpm.x-SUM(IF((INDIRECT($B$3)=$B219)*(INDIRECT($C$3)=$D219)*((INDIRECT($E$3)="TOTS")+(INDIRECT($E$3)=$E219)),INDIRECT(I$3)))&lt;&gt;0,_xlpm.y=0),-2,_xlpm.x)))),0))</f>
        <v>0</v>
      </c>
      <c r="J219" s="199" cm="1">
        <f t="array" aca="1" ref="J219" ca="1">IF(OR($B219="",$B219="X",$D219="",$D219="X",$E219="",$E219="X"),0,IFERROR(_xlfn.LET(_xlpm.x,SUM(SUM(_xlfn._xlws.FILTER(VALUE(PptoSty[Sign]&amp;1)*(1/PptoSty[Division]),(PptoSty[Division]&lt;&gt;0)*(PptoSty[Division]&lt;&gt;"")*(PptoSty[Division]&lt;&gt;"X")*(PptoSty[Project]=$B219)*(PptoSty[Vrs]=$D219)*(PptoSty[PiRow]=_xlfn.TEXTAFTER($H219,":"))*(PptoSty[PiColumn]=J$54),0)),SUM(IF((INDIRECT($B$3)=$B219)*(INDIRECT($C$3)=$D219)*((INDIRECT($E$3)="TOTS")+(INDIRECT($E$3)=$E219)),INDIRECT(J$3)))),_xlpm.y,SUM(_xlfn.CHOOSECOLS(_xlfn._xlws.FILTER(F_RT14[],(F_RT14[PrjId]=$B219)*(F_RT14[Vrs]=$D219)*(_xlfn.TEXTAFTER(F_RT14[ActGrp],":")=_xlfn.TEXTAFTER($H219,":")),"X"),MATCH("*"&amp;J$54,F_RT14[#Headers],0))),IF(AND(_xlpm.x=0,_xlpm.y&lt;&gt;0),-1,IF(AND(_xlpm.x&lt;&gt;0,_xlpm.y&lt;&gt;0),_xlpm.x,IF(AND(_xlpm.x-SUM(IF((INDIRECT($B$3)=$B219)*(INDIRECT($C$3)=$D219)*((INDIRECT($E$3)="TOTS")+(INDIRECT($E$3)=$E219)),INDIRECT(J$3)))&lt;&gt;0,_xlpm.y=0),-2,_xlpm.x)))),0))</f>
        <v>0</v>
      </c>
      <c r="K219" s="199" cm="1">
        <f t="array" aca="1" ref="K219" ca="1">IF(OR($B219="",$B219="X",$D219="",$D219="X",$E219="",$E219="X"),0,IFERROR(_xlfn.LET(_xlpm.x,SUM(SUM(_xlfn._xlws.FILTER(VALUE(PptoSty[Sign]&amp;1)*(1/PptoSty[Division]),(PptoSty[Division]&lt;&gt;0)*(PptoSty[Division]&lt;&gt;"")*(PptoSty[Division]&lt;&gt;"X")*(PptoSty[Project]=$B219)*(PptoSty[Vrs]=$D219)*(PptoSty[PiRow]=_xlfn.TEXTAFTER($H219,":"))*(PptoSty[PiColumn]=K$54),0)),SUM(IF((INDIRECT($B$3)=$B219)*(INDIRECT($C$3)=$D219)*((INDIRECT($E$3)="TOTS")+(INDIRECT($E$3)=$E219)),INDIRECT(K$3)))),_xlpm.y,SUM(_xlfn.CHOOSECOLS(_xlfn._xlws.FILTER(F_RT14[],(F_RT14[PrjId]=$B219)*(F_RT14[Vrs]=$D219)*(_xlfn.TEXTAFTER(F_RT14[ActGrp],":")=_xlfn.TEXTAFTER($H219,":")),"X"),MATCH("*"&amp;K$54,F_RT14[#Headers],0))),IF(AND(_xlpm.x=0,_xlpm.y&lt;&gt;0),-1,IF(AND(_xlpm.x&lt;&gt;0,_xlpm.y&lt;&gt;0),_xlpm.x,IF(AND(_xlpm.x-SUM(IF((INDIRECT($B$3)=$B219)*(INDIRECT($C$3)=$D219)*((INDIRECT($E$3)="TOTS")+(INDIRECT($E$3)=$E219)),INDIRECT(K$3)))&lt;&gt;0,_xlpm.y=0),-2,_xlpm.x)))),0))</f>
        <v>0</v>
      </c>
      <c r="L219" s="199" cm="1">
        <f t="array" aca="1" ref="L219" ca="1">IF(OR($B219="",$B219="X",$D219="",$D219="X",$E219="",$E219="X"),0,IFERROR(_xlfn.LET(_xlpm.x,SUM(SUM(_xlfn._xlws.FILTER(VALUE(PptoSty[Sign]&amp;1)*(1/PptoSty[Division]),(PptoSty[Division]&lt;&gt;0)*(PptoSty[Division]&lt;&gt;"")*(PptoSty[Division]&lt;&gt;"X")*(PptoSty[Project]=$B219)*(PptoSty[Vrs]=$D219)*(PptoSty[PiRow]=_xlfn.TEXTAFTER($H219,":"))*(PptoSty[PiColumn]=L$54),0)),SUM(IF((INDIRECT($B$3)=$B219)*(INDIRECT($C$3)=$D219)*((INDIRECT($E$3)="TOTS")+(INDIRECT($E$3)=$E219)),INDIRECT(L$3)))),_xlpm.y,SUM(_xlfn.CHOOSECOLS(_xlfn._xlws.FILTER(F_RT14[],(F_RT14[PrjId]=$B219)*(F_RT14[Vrs]=$D219)*(_xlfn.TEXTAFTER(F_RT14[ActGrp],":")=_xlfn.TEXTAFTER($H219,":")),"X"),MATCH("*"&amp;L$54,F_RT14[#Headers],0))),IF(AND(_xlpm.x=0,_xlpm.y&lt;&gt;0),-1,IF(AND(_xlpm.x&lt;&gt;0,_xlpm.y&lt;&gt;0),_xlpm.x,IF(AND(_xlpm.x-SUM(IF((INDIRECT($B$3)=$B219)*(INDIRECT($C$3)=$D219)*((INDIRECT($E$3)="TOTS")+(INDIRECT($E$3)=$E219)),INDIRECT(L$3)))&lt;&gt;0,_xlpm.y=0),-2,_xlpm.x)))),0))</f>
        <v>0</v>
      </c>
      <c r="M219" s="199" cm="1">
        <f t="array" aca="1" ref="M219" ca="1">IF(OR($B219="",$B219="X",$D219="",$D219="X",$E219="",$E219="X"),0,IFERROR(_xlfn.LET(_xlpm.x,SUM(SUM(_xlfn._xlws.FILTER(VALUE(PptoSty[Sign]&amp;1)*(1/PptoSty[Division]),(PptoSty[Division]&lt;&gt;0)*(PptoSty[Division]&lt;&gt;"")*(PptoSty[Division]&lt;&gt;"X")*(PptoSty[Project]=$B219)*(PptoSty[Vrs]=$D219)*(PptoSty[PiRow]=_xlfn.TEXTAFTER($H219,":"))*(PptoSty[PiColumn]=M$54),0)),SUM(IF((INDIRECT($B$3)=$B219)*(INDIRECT($C$3)=$D219)*((INDIRECT($E$3)="TOTS")+(INDIRECT($E$3)=$E219)),INDIRECT(M$3)))),_xlpm.y,SUM(_xlfn.CHOOSECOLS(_xlfn._xlws.FILTER(F_RT14[],(F_RT14[PrjId]=$B219)*(F_RT14[Vrs]=$D219)*(_xlfn.TEXTAFTER(F_RT14[ActGrp],":")=_xlfn.TEXTAFTER($H219,":")),"X"),MATCH("*"&amp;M$54,F_RT14[#Headers],0))),IF(AND(_xlpm.x=0,_xlpm.y&lt;&gt;0),-1,IF(AND(_xlpm.x&lt;&gt;0,_xlpm.y&lt;&gt;0),_xlpm.x,IF(AND(_xlpm.x-SUM(IF((INDIRECT($B$3)=$B219)*(INDIRECT($C$3)=$D219)*((INDIRECT($E$3)="TOTS")+(INDIRECT($E$3)=$E219)),INDIRECT(M$3)))&lt;&gt;0,_xlpm.y=0),-2,_xlpm.x)))),0))</f>
        <v>0</v>
      </c>
      <c r="N219" s="199" cm="1">
        <f t="array" aca="1" ref="N219" ca="1">IF(OR($B219="",$B219="X",$D219="",$D219="X",$E219="",$E219="X"),0,IFERROR(_xlfn.LET(_xlpm.x,SUM(SUM(_xlfn._xlws.FILTER(VALUE(PptoSty[Sign]&amp;1)*(1/PptoSty[Division]),(PptoSty[Division]&lt;&gt;0)*(PptoSty[Division]&lt;&gt;"")*(PptoSty[Division]&lt;&gt;"X")*(PptoSty[Project]=$B219)*(PptoSty[Vrs]=$D219)*(PptoSty[PiRow]=_xlfn.TEXTAFTER($H219,":"))*(PptoSty[PiColumn]=N$54),0)),SUM(IF((INDIRECT($B$3)=$B219)*(INDIRECT($C$3)=$D219)*((INDIRECT($E$3)="TOTS")+(INDIRECT($E$3)=$E219)),INDIRECT(N$3)))),_xlpm.y,SUM(_xlfn.CHOOSECOLS(_xlfn._xlws.FILTER(F_RT14[],(F_RT14[PrjId]=$B219)*(F_RT14[Vrs]=$D219)*(_xlfn.TEXTAFTER(F_RT14[ActGrp],":")=_xlfn.TEXTAFTER($H219,":")),"X"),MATCH("*"&amp;N$54,F_RT14[#Headers],0))),IF(AND(_xlpm.x=0,_xlpm.y&lt;&gt;0),-1,IF(AND(_xlpm.x&lt;&gt;0,_xlpm.y&lt;&gt;0),_xlpm.x,IF(AND(_xlpm.x-SUM(IF((INDIRECT($B$3)=$B219)*(INDIRECT($C$3)=$D219)*((INDIRECT($E$3)="TOTS")+(INDIRECT($E$3)=$E219)),INDIRECT(N$3)))&lt;&gt;0,_xlpm.y=0),-2,_xlpm.x)))),0))</f>
        <v>0</v>
      </c>
      <c r="O219" s="199" cm="1">
        <f t="array" aca="1" ref="O219" ca="1">IF(OR($B219="",$B219="X",$D219="",$D219="X",$E219="",$E219="X"),0,IFERROR(_xlfn.LET(_xlpm.x,SUM(SUM(_xlfn._xlws.FILTER(VALUE(PptoSty[Sign]&amp;1)*(1/PptoSty[Division]),(PptoSty[Division]&lt;&gt;0)*(PptoSty[Division]&lt;&gt;"")*(PptoSty[Division]&lt;&gt;"X")*(PptoSty[Project]=$B219)*(PptoSty[Vrs]=$D219)*(PptoSty[PiRow]=_xlfn.TEXTAFTER($H219,":"))*(PptoSty[PiColumn]=O$54),0)),SUM(IF((INDIRECT($B$3)=$B219)*(INDIRECT($C$3)=$D219)*((INDIRECT($E$3)="TOTS")+(INDIRECT($E$3)=$E219)),INDIRECT(O$3)))),_xlpm.y,SUM(_xlfn.CHOOSECOLS(_xlfn._xlws.FILTER(F_RT14[],(F_RT14[PrjId]=$B219)*(F_RT14[Vrs]=$D219)*(_xlfn.TEXTAFTER(F_RT14[ActGrp],":")=_xlfn.TEXTAFTER($H219,":")),"X"),MATCH("*"&amp;O$54,F_RT14[#Headers],0))),IF(AND(_xlpm.x=0,_xlpm.y&lt;&gt;0),-1,IF(AND(_xlpm.x&lt;&gt;0,_xlpm.y&lt;&gt;0),_xlpm.x,IF(AND(_xlpm.x-SUM(IF((INDIRECT($B$3)=$B219)*(INDIRECT($C$3)=$D219)*((INDIRECT($E$3)="TOTS")+(INDIRECT($E$3)=$E219)),INDIRECT(O$3)))&lt;&gt;0,_xlpm.y=0),-2,_xlpm.x)))),0))</f>
        <v>0</v>
      </c>
      <c r="P219" s="199" cm="1">
        <f t="array" aca="1" ref="P219" ca="1">IF(OR($B219="",$B219="X",$D219="",$D219="X",$E219="",$E219="X"),0,IFERROR(_xlfn.LET(_xlpm.x,SUM(SUM(_xlfn._xlws.FILTER(VALUE(PptoSty[Sign]&amp;1)*(1/PptoSty[Division]),(PptoSty[Division]&lt;&gt;0)*(PptoSty[Division]&lt;&gt;"")*(PptoSty[Division]&lt;&gt;"X")*(PptoSty[Project]=$B219)*(PptoSty[Vrs]=$D219)*(PptoSty[PiRow]=_xlfn.TEXTAFTER($H219,":"))*(PptoSty[PiColumn]=P$54),0)),SUM(IF((INDIRECT($B$3)=$B219)*(INDIRECT($C$3)=$D219)*((INDIRECT($E$3)="TOTS")+(INDIRECT($E$3)=$E219)),INDIRECT(P$3)))),_xlpm.y,SUM(_xlfn.CHOOSECOLS(_xlfn._xlws.FILTER(F_RT14[],(F_RT14[PrjId]=$B219)*(F_RT14[Vrs]=$D219)*(_xlfn.TEXTAFTER(F_RT14[ActGrp],":")=_xlfn.TEXTAFTER($H219,":")),"X"),MATCH("*"&amp;P$54,F_RT14[#Headers],0))),IF(AND(_xlpm.x=0,_xlpm.y&lt;&gt;0),-1,IF(AND(_xlpm.x&lt;&gt;0,_xlpm.y&lt;&gt;0),_xlpm.x,IF(AND(_xlpm.x-SUM(IF((INDIRECT($B$3)=$B219)*(INDIRECT($C$3)=$D219)*((INDIRECT($E$3)="TOTS")+(INDIRECT($E$3)=$E219)),INDIRECT(P$3)))&lt;&gt;0,_xlpm.y=0),-2,_xlpm.x)))),0))</f>
        <v>0</v>
      </c>
      <c r="Q219" s="199" cm="1">
        <f t="array" aca="1" ref="Q219" ca="1">IF(OR($B219="",$B219="X",$D219="",$D219="X",$E219="",$E219="X"),0,IFERROR(_xlfn.LET(_xlpm.x,SUM(SUM(_xlfn._xlws.FILTER(VALUE(PptoSty[Sign]&amp;1)*(1/PptoSty[Division]),(PptoSty[Division]&lt;&gt;0)*(PptoSty[Division]&lt;&gt;"")*(PptoSty[Division]&lt;&gt;"X")*(PptoSty[Project]=$B219)*(PptoSty[Vrs]=$D219)*(PptoSty[PiRow]=_xlfn.TEXTAFTER($H219,":"))*(PptoSty[PiColumn]=Q$54),0)),SUM(IF((INDIRECT($B$3)=$B219)*(INDIRECT($C$3)=$D219)*((INDIRECT($E$3)="TOTS")+(INDIRECT($E$3)=$E219)),INDIRECT(Q$3)))),_xlpm.y,SUM(_xlfn.CHOOSECOLS(_xlfn._xlws.FILTER(F_RT14[],(F_RT14[PrjId]=$B219)*(F_RT14[Vrs]=$D219)*(_xlfn.TEXTAFTER(F_RT14[ActGrp],":")=_xlfn.TEXTAFTER($H219,":")),"X"),MATCH("*"&amp;Q$54,F_RT14[#Headers],0))),IF(AND(_xlpm.x=0,_xlpm.y&lt;&gt;0),-1,IF(AND(_xlpm.x&lt;&gt;0,_xlpm.y&lt;&gt;0),_xlpm.x,IF(AND(_xlpm.x-SUM(IF((INDIRECT($B$3)=$B219)*(INDIRECT($C$3)=$D219)*((INDIRECT($E$3)="TOTS")+(INDIRECT($E$3)=$E219)),INDIRECT(Q$3)))&lt;&gt;0,_xlpm.y=0),-2,_xlpm.x)))),0))</f>
        <v>0</v>
      </c>
      <c r="R219" s="199" cm="1">
        <f t="array" aca="1" ref="R219" ca="1">IF(OR($B219="",$B219="X",$D219="",$D219="X",$E219="",$E219="X"),0,IFERROR(_xlfn.LET(_xlpm.x,SUM(SUM(_xlfn._xlws.FILTER(VALUE(PptoSty[Sign]&amp;1)*(1/PptoSty[Division]),(PptoSty[Division]&lt;&gt;0)*(PptoSty[Division]&lt;&gt;"")*(PptoSty[Division]&lt;&gt;"X")*(PptoSty[Project]=$B219)*(PptoSty[Vrs]=$D219)*(PptoSty[PiRow]=_xlfn.TEXTAFTER($H219,":"))*(PptoSty[PiColumn]=R$54),0)),SUM(IF((INDIRECT($B$3)=$B219)*(INDIRECT($C$3)=$D219)*((INDIRECT($E$3)="TOTS")+(INDIRECT($E$3)=$E219)),INDIRECT(R$3)))),_xlpm.y,SUM(_xlfn.CHOOSECOLS(_xlfn._xlws.FILTER(F_RT14[],(F_RT14[PrjId]=$B219)*(F_RT14[Vrs]=$D219)*(_xlfn.TEXTAFTER(F_RT14[ActGrp],":")=_xlfn.TEXTAFTER($H219,":")),"X"),MATCH("*"&amp;R$54,F_RT14[#Headers],0))),IF(AND(_xlpm.x=0,_xlpm.y&lt;&gt;0),-1,IF(AND(_xlpm.x&lt;&gt;0,_xlpm.y&lt;&gt;0),_xlpm.x,IF(AND(_xlpm.x-SUM(IF((INDIRECT($B$3)=$B219)*(INDIRECT($C$3)=$D219)*((INDIRECT($E$3)="TOTS")+(INDIRECT($E$3)=$E219)),INDIRECT(R$3)))&lt;&gt;0,_xlpm.y=0),-2,_xlpm.x)))),0))</f>
        <v>0</v>
      </c>
      <c r="S219" s="199" cm="1">
        <f t="array" aca="1" ref="S219" ca="1">IF(OR($B219="",$B219="X",$D219="",$D219="X",$E219="",$E219="X"),0,IFERROR(_xlfn.LET(_xlpm.x,SUM(SUM(_xlfn._xlws.FILTER(VALUE(PptoSty[Sign]&amp;1)*(1/PptoSty[Division]),(PptoSty[Division]&lt;&gt;0)*(PptoSty[Division]&lt;&gt;"")*(PptoSty[Division]&lt;&gt;"X")*(PptoSty[Project]=$B219)*(PptoSty[Vrs]=$D219)*(PptoSty[PiRow]=_xlfn.TEXTAFTER($H219,":"))*(PptoSty[PiColumn]=S$54),0)),SUM(IF((INDIRECT($B$3)=$B219)*(INDIRECT($C$3)=$D219)*((INDIRECT($E$3)="TOTS")+(INDIRECT($E$3)=$E219)),INDIRECT(S$3)))),_xlpm.y,SUM(_xlfn.CHOOSECOLS(_xlfn._xlws.FILTER(F_RT14[],(F_RT14[PrjId]=$B219)*(F_RT14[Vrs]=$D219)*(_xlfn.TEXTAFTER(F_RT14[ActGrp],":")=_xlfn.TEXTAFTER($H219,":")),"X"),MATCH("*"&amp;S$54,F_RT14[#Headers],0))),IF(AND(_xlpm.x=0,_xlpm.y&lt;&gt;0),-1,IF(AND(_xlpm.x&lt;&gt;0,_xlpm.y&lt;&gt;0),_xlpm.x,IF(AND(_xlpm.x-SUM(IF((INDIRECT($B$3)=$B219)*(INDIRECT($C$3)=$D219)*((INDIRECT($E$3)="TOTS")+(INDIRECT($E$3)=$E219)),INDIRECT(S$3)))&lt;&gt;0,_xlpm.y=0),-2,_xlpm.x)))),0))</f>
        <v>0</v>
      </c>
      <c r="T219" s="199" cm="1">
        <f t="array" aca="1" ref="T219" ca="1">IF(OR($B219="",$B219="X",$D219="",$D219="X",$E219="",$E219="X"),0,IFERROR(_xlfn.LET(_xlpm.x,SUM(SUM(_xlfn._xlws.FILTER(VALUE(PptoSty[Sign]&amp;1)*(1/PptoSty[Division]),(PptoSty[Division]&lt;&gt;0)*(PptoSty[Division]&lt;&gt;"")*(PptoSty[Division]&lt;&gt;"X")*(PptoSty[Project]=$B219)*(PptoSty[Vrs]=$D219)*(PptoSty[PiRow]=_xlfn.TEXTAFTER($H219,":"))*(PptoSty[PiColumn]=T$54),0)),SUM(IF((INDIRECT($B$3)=$B219)*(INDIRECT($C$3)=$D219)*((INDIRECT($E$3)="TOTS")+(INDIRECT($E$3)=$E219)),INDIRECT(T$3)))),_xlpm.y,SUM(_xlfn.CHOOSECOLS(_xlfn._xlws.FILTER(F_RT14[],(F_RT14[PrjId]=$B219)*(F_RT14[Vrs]=$D219)*(_xlfn.TEXTAFTER(F_RT14[ActGrp],":")=_xlfn.TEXTAFTER($H219,":")),"X"),MATCH("*"&amp;T$54,F_RT14[#Headers],0))),IF(AND(_xlpm.x=0,_xlpm.y&lt;&gt;0),-1,IF(AND(_xlpm.x&lt;&gt;0,_xlpm.y&lt;&gt;0),_xlpm.x,IF(AND(_xlpm.x-SUM(IF((INDIRECT($B$3)=$B219)*(INDIRECT($C$3)=$D219)*((INDIRECT($E$3)="TOTS")+(INDIRECT($E$3)=$E219)),INDIRECT(T$3)))&lt;&gt;0,_xlpm.y=0),-2,_xlpm.x)))),0))</f>
        <v>0</v>
      </c>
      <c r="U219" s="199" cm="1">
        <f t="array" aca="1" ref="U219" ca="1">IF(OR($B219="",$B219="X",$D219="",$D219="X",$E219="",$E219="X"),0,IFERROR(_xlfn.LET(_xlpm.x,SUM(SUM(_xlfn._xlws.FILTER(VALUE(PptoSty[Sign]&amp;1)*(1/PptoSty[Division]),(PptoSty[Division]&lt;&gt;0)*(PptoSty[Division]&lt;&gt;"")*(PptoSty[Division]&lt;&gt;"X")*(PptoSty[Project]=$B219)*(PptoSty[Vrs]=$D219)*(PptoSty[PiRow]=_xlfn.TEXTAFTER($H219,":"))*(PptoSty[PiColumn]=U$54),0)),SUM(IF((INDIRECT($B$3)=$B219)*(INDIRECT($C$3)=$D219)*((INDIRECT($E$3)="TOTS")+(INDIRECT($E$3)=$E219)),INDIRECT(U$3)))),_xlpm.y,SUM(_xlfn.CHOOSECOLS(_xlfn._xlws.FILTER(F_RT14[],(F_RT14[PrjId]=$B219)*(F_RT14[Vrs]=$D219)*(_xlfn.TEXTAFTER(F_RT14[ActGrp],":")=_xlfn.TEXTAFTER($H219,":")),"X"),MATCH("*"&amp;U$54,F_RT14[#Headers],0))),IF(AND(_xlpm.x=0,_xlpm.y&lt;&gt;0),-1,IF(AND(_xlpm.x&lt;&gt;0,_xlpm.y&lt;&gt;0),_xlpm.x,IF(AND(_xlpm.x-SUM(IF((INDIRECT($B$3)=$B219)*(INDIRECT($C$3)=$D219)*((INDIRECT($E$3)="TOTS")+(INDIRECT($E$3)=$E219)),INDIRECT(U$3)))&lt;&gt;0,_xlpm.y=0),-2,_xlpm.x)))),0))</f>
        <v>0</v>
      </c>
      <c r="V219" s="199" cm="1">
        <f t="array" aca="1" ref="V219" ca="1">IF(OR($B219="",$B219="X",$D219="",$D219="X",$E219="",$E219="X"),0,IFERROR(_xlfn.LET(_xlpm.x,SUM(SUM(_xlfn._xlws.FILTER(VALUE(PptoSty[Sign]&amp;1)*(1/PptoSty[Division]),(PptoSty[Division]&lt;&gt;0)*(PptoSty[Division]&lt;&gt;"")*(PptoSty[Division]&lt;&gt;"X")*(PptoSty[Project]=$B219)*(PptoSty[Vrs]=$D219)*(PptoSty[PiRow]=_xlfn.TEXTAFTER($H219,":"))*(PptoSty[PiColumn]=V$54),0)),SUM(IF((INDIRECT($B$3)=$B219)*(INDIRECT($C$3)=$D219)*((INDIRECT($E$3)="TOTS")+(INDIRECT($E$3)=$E219)),INDIRECT(V$3)))),_xlpm.y,SUM(_xlfn.CHOOSECOLS(_xlfn._xlws.FILTER(F_RT14[],(F_RT14[PrjId]=$B219)*(F_RT14[Vrs]=$D219)*(_xlfn.TEXTAFTER(F_RT14[ActGrp],":")=_xlfn.TEXTAFTER($H219,":")),"X"),MATCH("*"&amp;V$54,F_RT14[#Headers],0))),IF(AND(_xlpm.x=0,_xlpm.y&lt;&gt;0),-1,IF(AND(_xlpm.x&lt;&gt;0,_xlpm.y&lt;&gt;0),_xlpm.x,IF(AND(_xlpm.x-SUM(IF((INDIRECT($B$3)=$B219)*(INDIRECT($C$3)=$D219)*((INDIRECT($E$3)="TOTS")+(INDIRECT($E$3)=$E219)),INDIRECT(V$3)))&lt;&gt;0,_xlpm.y=0),-2,_xlpm.x)))),0))</f>
        <v>0</v>
      </c>
      <c r="W219" s="199" cm="1">
        <f t="array" aca="1" ref="W219" ca="1">IF(OR($B219="",$B219="X",$D219="",$D219="X",$E219="",$E219="X"),0,IFERROR(_xlfn.LET(_xlpm.x,SUM(SUM(_xlfn._xlws.FILTER(VALUE(PptoSty[Sign]&amp;1)*(1/PptoSty[Division]),(PptoSty[Division]&lt;&gt;0)*(PptoSty[Division]&lt;&gt;"")*(PptoSty[Division]&lt;&gt;"X")*(PptoSty[Project]=$B219)*(PptoSty[Vrs]=$D219)*(PptoSty[PiRow]=_xlfn.TEXTAFTER($H219,":"))*(PptoSty[PiColumn]=W$54),0)),SUM(IF((INDIRECT($B$3)=$B219)*(INDIRECT($C$3)=$D219)*((INDIRECT($E$3)="TOTS")+(INDIRECT($E$3)=$E219)),INDIRECT(W$3)))),_xlpm.y,SUM(_xlfn.CHOOSECOLS(_xlfn._xlws.FILTER(F_RT14[],(F_RT14[PrjId]=$B219)*(F_RT14[Vrs]=$D219)*(_xlfn.TEXTAFTER(F_RT14[ActGrp],":")=_xlfn.TEXTAFTER($H219,":")),"X"),MATCH("*"&amp;W$54,F_RT14[#Headers],0))),IF(AND(_xlpm.x=0,_xlpm.y&lt;&gt;0),-1,IF(AND(_xlpm.x&lt;&gt;0,_xlpm.y&lt;&gt;0),_xlpm.x,IF(AND(_xlpm.x-SUM(IF((INDIRECT($B$3)=$B219)*(INDIRECT($C$3)=$D219)*((INDIRECT($E$3)="TOTS")+(INDIRECT($E$3)=$E219)),INDIRECT(W$3)))&lt;&gt;0,_xlpm.y=0),-2,_xlpm.x)))),0))</f>
        <v>0</v>
      </c>
      <c r="X219" s="199" cm="1">
        <f t="array" aca="1" ref="X219" ca="1">IF(OR($B219="",$B219="X",$D219="",$D219="X",$E219="",$E219="X"),0,IFERROR(_xlfn.LET(_xlpm.x,SUM(SUM(_xlfn._xlws.FILTER(VALUE(PptoSty[Sign]&amp;1)*(1/PptoSty[Division]),(PptoSty[Division]&lt;&gt;0)*(PptoSty[Division]&lt;&gt;"")*(PptoSty[Division]&lt;&gt;"X")*(PptoSty[Project]=$B219)*(PptoSty[Vrs]=$D219)*(PptoSty[PiRow]=_xlfn.TEXTAFTER($H219,":"))*(PptoSty[PiColumn]=X$54),0)),SUM(IF((INDIRECT($B$3)=$B219)*(INDIRECT($C$3)=$D219)*((INDIRECT($E$3)="TOTS")+(INDIRECT($E$3)=$E219)),INDIRECT(X$3)))),_xlpm.y,SUM(_xlfn.CHOOSECOLS(_xlfn._xlws.FILTER(F_RT14[],(F_RT14[PrjId]=$B219)*(F_RT14[Vrs]=$D219)*(_xlfn.TEXTAFTER(F_RT14[ActGrp],":")=_xlfn.TEXTAFTER($H219,":")),"X"),MATCH("*"&amp;X$54,F_RT14[#Headers],0))),IF(AND(_xlpm.x=0,_xlpm.y&lt;&gt;0),-1,IF(AND(_xlpm.x&lt;&gt;0,_xlpm.y&lt;&gt;0),_xlpm.x,IF(AND(_xlpm.x-SUM(IF((INDIRECT($B$3)=$B219)*(INDIRECT($C$3)=$D219)*((INDIRECT($E$3)="TOTS")+(INDIRECT($E$3)=$E219)),INDIRECT(X$3)))&lt;&gt;0,_xlpm.y=0),-2,_xlpm.x)))),0))</f>
        <v>0</v>
      </c>
      <c r="Y219" s="199" cm="1">
        <f t="array" aca="1" ref="Y219" ca="1">IF(OR($B219="",$B219="X",$D219="",$D219="X",$E219="",$E219="X"),0,IFERROR(_xlfn.LET(_xlpm.x,SUM(SUM(_xlfn._xlws.FILTER(VALUE(PptoSty[Sign]&amp;1)*(1/PptoSty[Division]),(PptoSty[Division]&lt;&gt;0)*(PptoSty[Division]&lt;&gt;"")*(PptoSty[Division]&lt;&gt;"X")*(PptoSty[Project]=$B219)*(PptoSty[Vrs]=$D219)*(PptoSty[PiRow]=_xlfn.TEXTAFTER($H219,":"))*(PptoSty[PiColumn]=Y$54),0)),SUM(IF((INDIRECT($B$3)=$B219)*(INDIRECT($C$3)=$D219)*((INDIRECT($E$3)="TOTS")+(INDIRECT($E$3)=$E219)),INDIRECT(Y$3)))),_xlpm.y,SUM(_xlfn.CHOOSECOLS(_xlfn._xlws.FILTER(F_RT14[],(F_RT14[PrjId]=$B219)*(F_RT14[Vrs]=$D219)*(_xlfn.TEXTAFTER(F_RT14[ActGrp],":")=_xlfn.TEXTAFTER($H219,":")),"X"),MATCH("*"&amp;Y$54,F_RT14[#Headers],0))),IF(AND(_xlpm.x=0,_xlpm.y&lt;&gt;0),-1,IF(AND(_xlpm.x&lt;&gt;0,_xlpm.y&lt;&gt;0),_xlpm.x,IF(AND(_xlpm.x-SUM(IF((INDIRECT($B$3)=$B219)*(INDIRECT($C$3)=$D219)*((INDIRECT($E$3)="TOTS")+(INDIRECT($E$3)=$E219)),INDIRECT(Y$3)))&lt;&gt;0,_xlpm.y=0),-2,_xlpm.x)))),0))</f>
        <v>0</v>
      </c>
      <c r="Z219" s="198" t="str">
        <f t="shared" ca="1" si="4"/>
        <v>Fback!B219:Y219</v>
      </c>
    </row>
    <row r="220" spans="2:26" ht="21" customHeight="1" outlineLevel="1">
      <c r="B220" s="128"/>
      <c r="C220" s="128"/>
      <c r="D220" s="128"/>
      <c r="E220" s="128"/>
      <c r="F220" s="139"/>
      <c r="G220" s="139"/>
      <c r="H220" s="139"/>
      <c r="I220" s="199" cm="1">
        <f t="array" aca="1" ref="I220" ca="1">IF(OR($B220="",$B220="X",$D220="",$D220="X",$E220="",$E220="X"),0,IFERROR(_xlfn.LET(_xlpm.x,SUM(SUM(_xlfn._xlws.FILTER(VALUE(PptoSty[Sign]&amp;1)*(1/PptoSty[Division]),(PptoSty[Division]&lt;&gt;0)*(PptoSty[Division]&lt;&gt;"")*(PptoSty[Division]&lt;&gt;"X")*(PptoSty[Project]=$B220)*(PptoSty[Vrs]=$D220)*(PptoSty[PiRow]=_xlfn.TEXTAFTER($H220,":"))*(PptoSty[PiColumn]=I$54),0)),SUM(IF((INDIRECT($B$3)=$B220)*(INDIRECT($C$3)=$D220)*((INDIRECT($E$3)="TOTS")+(INDIRECT($E$3)=$E220)),INDIRECT(I$3)))),_xlpm.y,SUM(_xlfn.CHOOSECOLS(_xlfn._xlws.FILTER(F_RT14[],(F_RT14[PrjId]=$B220)*(F_RT14[Vrs]=$D220)*(_xlfn.TEXTAFTER(F_RT14[ActGrp],":")=_xlfn.TEXTAFTER($H220,":")),"X"),MATCH("*"&amp;I$54,F_RT14[#Headers],0))),IF(AND(_xlpm.x=0,_xlpm.y&lt;&gt;0),-1,IF(AND(_xlpm.x&lt;&gt;0,_xlpm.y&lt;&gt;0),_xlpm.x,IF(AND(_xlpm.x-SUM(IF((INDIRECT($B$3)=$B220)*(INDIRECT($C$3)=$D220)*((INDIRECT($E$3)="TOTS")+(INDIRECT($E$3)=$E220)),INDIRECT(I$3)))&lt;&gt;0,_xlpm.y=0),-2,_xlpm.x)))),0))</f>
        <v>0</v>
      </c>
      <c r="J220" s="199" cm="1">
        <f t="array" aca="1" ref="J220" ca="1">IF(OR($B220="",$B220="X",$D220="",$D220="X",$E220="",$E220="X"),0,IFERROR(_xlfn.LET(_xlpm.x,SUM(SUM(_xlfn._xlws.FILTER(VALUE(PptoSty[Sign]&amp;1)*(1/PptoSty[Division]),(PptoSty[Division]&lt;&gt;0)*(PptoSty[Division]&lt;&gt;"")*(PptoSty[Division]&lt;&gt;"X")*(PptoSty[Project]=$B220)*(PptoSty[Vrs]=$D220)*(PptoSty[PiRow]=_xlfn.TEXTAFTER($H220,":"))*(PptoSty[PiColumn]=J$54),0)),SUM(IF((INDIRECT($B$3)=$B220)*(INDIRECT($C$3)=$D220)*((INDIRECT($E$3)="TOTS")+(INDIRECT($E$3)=$E220)),INDIRECT(J$3)))),_xlpm.y,SUM(_xlfn.CHOOSECOLS(_xlfn._xlws.FILTER(F_RT14[],(F_RT14[PrjId]=$B220)*(F_RT14[Vrs]=$D220)*(_xlfn.TEXTAFTER(F_RT14[ActGrp],":")=_xlfn.TEXTAFTER($H220,":")),"X"),MATCH("*"&amp;J$54,F_RT14[#Headers],0))),IF(AND(_xlpm.x=0,_xlpm.y&lt;&gt;0),-1,IF(AND(_xlpm.x&lt;&gt;0,_xlpm.y&lt;&gt;0),_xlpm.x,IF(AND(_xlpm.x-SUM(IF((INDIRECT($B$3)=$B220)*(INDIRECT($C$3)=$D220)*((INDIRECT($E$3)="TOTS")+(INDIRECT($E$3)=$E220)),INDIRECT(J$3)))&lt;&gt;0,_xlpm.y=0),-2,_xlpm.x)))),0))</f>
        <v>0</v>
      </c>
      <c r="K220" s="199" cm="1">
        <f t="array" aca="1" ref="K220" ca="1">IF(OR($B220="",$B220="X",$D220="",$D220="X",$E220="",$E220="X"),0,IFERROR(_xlfn.LET(_xlpm.x,SUM(SUM(_xlfn._xlws.FILTER(VALUE(PptoSty[Sign]&amp;1)*(1/PptoSty[Division]),(PptoSty[Division]&lt;&gt;0)*(PptoSty[Division]&lt;&gt;"")*(PptoSty[Division]&lt;&gt;"X")*(PptoSty[Project]=$B220)*(PptoSty[Vrs]=$D220)*(PptoSty[PiRow]=_xlfn.TEXTAFTER($H220,":"))*(PptoSty[PiColumn]=K$54),0)),SUM(IF((INDIRECT($B$3)=$B220)*(INDIRECT($C$3)=$D220)*((INDIRECT($E$3)="TOTS")+(INDIRECT($E$3)=$E220)),INDIRECT(K$3)))),_xlpm.y,SUM(_xlfn.CHOOSECOLS(_xlfn._xlws.FILTER(F_RT14[],(F_RT14[PrjId]=$B220)*(F_RT14[Vrs]=$D220)*(_xlfn.TEXTAFTER(F_RT14[ActGrp],":")=_xlfn.TEXTAFTER($H220,":")),"X"),MATCH("*"&amp;K$54,F_RT14[#Headers],0))),IF(AND(_xlpm.x=0,_xlpm.y&lt;&gt;0),-1,IF(AND(_xlpm.x&lt;&gt;0,_xlpm.y&lt;&gt;0),_xlpm.x,IF(AND(_xlpm.x-SUM(IF((INDIRECT($B$3)=$B220)*(INDIRECT($C$3)=$D220)*((INDIRECT($E$3)="TOTS")+(INDIRECT($E$3)=$E220)),INDIRECT(K$3)))&lt;&gt;0,_xlpm.y=0),-2,_xlpm.x)))),0))</f>
        <v>0</v>
      </c>
      <c r="L220" s="199" cm="1">
        <f t="array" aca="1" ref="L220" ca="1">IF(OR($B220="",$B220="X",$D220="",$D220="X",$E220="",$E220="X"),0,IFERROR(_xlfn.LET(_xlpm.x,SUM(SUM(_xlfn._xlws.FILTER(VALUE(PptoSty[Sign]&amp;1)*(1/PptoSty[Division]),(PptoSty[Division]&lt;&gt;0)*(PptoSty[Division]&lt;&gt;"")*(PptoSty[Division]&lt;&gt;"X")*(PptoSty[Project]=$B220)*(PptoSty[Vrs]=$D220)*(PptoSty[PiRow]=_xlfn.TEXTAFTER($H220,":"))*(PptoSty[PiColumn]=L$54),0)),SUM(IF((INDIRECT($B$3)=$B220)*(INDIRECT($C$3)=$D220)*((INDIRECT($E$3)="TOTS")+(INDIRECT($E$3)=$E220)),INDIRECT(L$3)))),_xlpm.y,SUM(_xlfn.CHOOSECOLS(_xlfn._xlws.FILTER(F_RT14[],(F_RT14[PrjId]=$B220)*(F_RT14[Vrs]=$D220)*(_xlfn.TEXTAFTER(F_RT14[ActGrp],":")=_xlfn.TEXTAFTER($H220,":")),"X"),MATCH("*"&amp;L$54,F_RT14[#Headers],0))),IF(AND(_xlpm.x=0,_xlpm.y&lt;&gt;0),-1,IF(AND(_xlpm.x&lt;&gt;0,_xlpm.y&lt;&gt;0),_xlpm.x,IF(AND(_xlpm.x-SUM(IF((INDIRECT($B$3)=$B220)*(INDIRECT($C$3)=$D220)*((INDIRECT($E$3)="TOTS")+(INDIRECT($E$3)=$E220)),INDIRECT(L$3)))&lt;&gt;0,_xlpm.y=0),-2,_xlpm.x)))),0))</f>
        <v>0</v>
      </c>
      <c r="M220" s="199" cm="1">
        <f t="array" aca="1" ref="M220" ca="1">IF(OR($B220="",$B220="X",$D220="",$D220="X",$E220="",$E220="X"),0,IFERROR(_xlfn.LET(_xlpm.x,SUM(SUM(_xlfn._xlws.FILTER(VALUE(PptoSty[Sign]&amp;1)*(1/PptoSty[Division]),(PptoSty[Division]&lt;&gt;0)*(PptoSty[Division]&lt;&gt;"")*(PptoSty[Division]&lt;&gt;"X")*(PptoSty[Project]=$B220)*(PptoSty[Vrs]=$D220)*(PptoSty[PiRow]=_xlfn.TEXTAFTER($H220,":"))*(PptoSty[PiColumn]=M$54),0)),SUM(IF((INDIRECT($B$3)=$B220)*(INDIRECT($C$3)=$D220)*((INDIRECT($E$3)="TOTS")+(INDIRECT($E$3)=$E220)),INDIRECT(M$3)))),_xlpm.y,SUM(_xlfn.CHOOSECOLS(_xlfn._xlws.FILTER(F_RT14[],(F_RT14[PrjId]=$B220)*(F_RT14[Vrs]=$D220)*(_xlfn.TEXTAFTER(F_RT14[ActGrp],":")=_xlfn.TEXTAFTER($H220,":")),"X"),MATCH("*"&amp;M$54,F_RT14[#Headers],0))),IF(AND(_xlpm.x=0,_xlpm.y&lt;&gt;0),-1,IF(AND(_xlpm.x&lt;&gt;0,_xlpm.y&lt;&gt;0),_xlpm.x,IF(AND(_xlpm.x-SUM(IF((INDIRECT($B$3)=$B220)*(INDIRECT($C$3)=$D220)*((INDIRECT($E$3)="TOTS")+(INDIRECT($E$3)=$E220)),INDIRECT(M$3)))&lt;&gt;0,_xlpm.y=0),-2,_xlpm.x)))),0))</f>
        <v>0</v>
      </c>
      <c r="N220" s="199" cm="1">
        <f t="array" aca="1" ref="N220" ca="1">IF(OR($B220="",$B220="X",$D220="",$D220="X",$E220="",$E220="X"),0,IFERROR(_xlfn.LET(_xlpm.x,SUM(SUM(_xlfn._xlws.FILTER(VALUE(PptoSty[Sign]&amp;1)*(1/PptoSty[Division]),(PptoSty[Division]&lt;&gt;0)*(PptoSty[Division]&lt;&gt;"")*(PptoSty[Division]&lt;&gt;"X")*(PptoSty[Project]=$B220)*(PptoSty[Vrs]=$D220)*(PptoSty[PiRow]=_xlfn.TEXTAFTER($H220,":"))*(PptoSty[PiColumn]=N$54),0)),SUM(IF((INDIRECT($B$3)=$B220)*(INDIRECT($C$3)=$D220)*((INDIRECT($E$3)="TOTS")+(INDIRECT($E$3)=$E220)),INDIRECT(N$3)))),_xlpm.y,SUM(_xlfn.CHOOSECOLS(_xlfn._xlws.FILTER(F_RT14[],(F_RT14[PrjId]=$B220)*(F_RT14[Vrs]=$D220)*(_xlfn.TEXTAFTER(F_RT14[ActGrp],":")=_xlfn.TEXTAFTER($H220,":")),"X"),MATCH("*"&amp;N$54,F_RT14[#Headers],0))),IF(AND(_xlpm.x=0,_xlpm.y&lt;&gt;0),-1,IF(AND(_xlpm.x&lt;&gt;0,_xlpm.y&lt;&gt;0),_xlpm.x,IF(AND(_xlpm.x-SUM(IF((INDIRECT($B$3)=$B220)*(INDIRECT($C$3)=$D220)*((INDIRECT($E$3)="TOTS")+(INDIRECT($E$3)=$E220)),INDIRECT(N$3)))&lt;&gt;0,_xlpm.y=0),-2,_xlpm.x)))),0))</f>
        <v>0</v>
      </c>
      <c r="O220" s="199" cm="1">
        <f t="array" aca="1" ref="O220" ca="1">IF(OR($B220="",$B220="X",$D220="",$D220="X",$E220="",$E220="X"),0,IFERROR(_xlfn.LET(_xlpm.x,SUM(SUM(_xlfn._xlws.FILTER(VALUE(PptoSty[Sign]&amp;1)*(1/PptoSty[Division]),(PptoSty[Division]&lt;&gt;0)*(PptoSty[Division]&lt;&gt;"")*(PptoSty[Division]&lt;&gt;"X")*(PptoSty[Project]=$B220)*(PptoSty[Vrs]=$D220)*(PptoSty[PiRow]=_xlfn.TEXTAFTER($H220,":"))*(PptoSty[PiColumn]=O$54),0)),SUM(IF((INDIRECT($B$3)=$B220)*(INDIRECT($C$3)=$D220)*((INDIRECT($E$3)="TOTS")+(INDIRECT($E$3)=$E220)),INDIRECT(O$3)))),_xlpm.y,SUM(_xlfn.CHOOSECOLS(_xlfn._xlws.FILTER(F_RT14[],(F_RT14[PrjId]=$B220)*(F_RT14[Vrs]=$D220)*(_xlfn.TEXTAFTER(F_RT14[ActGrp],":")=_xlfn.TEXTAFTER($H220,":")),"X"),MATCH("*"&amp;O$54,F_RT14[#Headers],0))),IF(AND(_xlpm.x=0,_xlpm.y&lt;&gt;0),-1,IF(AND(_xlpm.x&lt;&gt;0,_xlpm.y&lt;&gt;0),_xlpm.x,IF(AND(_xlpm.x-SUM(IF((INDIRECT($B$3)=$B220)*(INDIRECT($C$3)=$D220)*((INDIRECT($E$3)="TOTS")+(INDIRECT($E$3)=$E220)),INDIRECT(O$3)))&lt;&gt;0,_xlpm.y=0),-2,_xlpm.x)))),0))</f>
        <v>0</v>
      </c>
      <c r="P220" s="199" cm="1">
        <f t="array" aca="1" ref="P220" ca="1">IF(OR($B220="",$B220="X",$D220="",$D220="X",$E220="",$E220="X"),0,IFERROR(_xlfn.LET(_xlpm.x,SUM(SUM(_xlfn._xlws.FILTER(VALUE(PptoSty[Sign]&amp;1)*(1/PptoSty[Division]),(PptoSty[Division]&lt;&gt;0)*(PptoSty[Division]&lt;&gt;"")*(PptoSty[Division]&lt;&gt;"X")*(PptoSty[Project]=$B220)*(PptoSty[Vrs]=$D220)*(PptoSty[PiRow]=_xlfn.TEXTAFTER($H220,":"))*(PptoSty[PiColumn]=P$54),0)),SUM(IF((INDIRECT($B$3)=$B220)*(INDIRECT($C$3)=$D220)*((INDIRECT($E$3)="TOTS")+(INDIRECT($E$3)=$E220)),INDIRECT(P$3)))),_xlpm.y,SUM(_xlfn.CHOOSECOLS(_xlfn._xlws.FILTER(F_RT14[],(F_RT14[PrjId]=$B220)*(F_RT14[Vrs]=$D220)*(_xlfn.TEXTAFTER(F_RT14[ActGrp],":")=_xlfn.TEXTAFTER($H220,":")),"X"),MATCH("*"&amp;P$54,F_RT14[#Headers],0))),IF(AND(_xlpm.x=0,_xlpm.y&lt;&gt;0),-1,IF(AND(_xlpm.x&lt;&gt;0,_xlpm.y&lt;&gt;0),_xlpm.x,IF(AND(_xlpm.x-SUM(IF((INDIRECT($B$3)=$B220)*(INDIRECT($C$3)=$D220)*((INDIRECT($E$3)="TOTS")+(INDIRECT($E$3)=$E220)),INDIRECT(P$3)))&lt;&gt;0,_xlpm.y=0),-2,_xlpm.x)))),0))</f>
        <v>0</v>
      </c>
      <c r="Q220" s="199" cm="1">
        <f t="array" aca="1" ref="Q220" ca="1">IF(OR($B220="",$B220="X",$D220="",$D220="X",$E220="",$E220="X"),0,IFERROR(_xlfn.LET(_xlpm.x,SUM(SUM(_xlfn._xlws.FILTER(VALUE(PptoSty[Sign]&amp;1)*(1/PptoSty[Division]),(PptoSty[Division]&lt;&gt;0)*(PptoSty[Division]&lt;&gt;"")*(PptoSty[Division]&lt;&gt;"X")*(PptoSty[Project]=$B220)*(PptoSty[Vrs]=$D220)*(PptoSty[PiRow]=_xlfn.TEXTAFTER($H220,":"))*(PptoSty[PiColumn]=Q$54),0)),SUM(IF((INDIRECT($B$3)=$B220)*(INDIRECT($C$3)=$D220)*((INDIRECT($E$3)="TOTS")+(INDIRECT($E$3)=$E220)),INDIRECT(Q$3)))),_xlpm.y,SUM(_xlfn.CHOOSECOLS(_xlfn._xlws.FILTER(F_RT14[],(F_RT14[PrjId]=$B220)*(F_RT14[Vrs]=$D220)*(_xlfn.TEXTAFTER(F_RT14[ActGrp],":")=_xlfn.TEXTAFTER($H220,":")),"X"),MATCH("*"&amp;Q$54,F_RT14[#Headers],0))),IF(AND(_xlpm.x=0,_xlpm.y&lt;&gt;0),-1,IF(AND(_xlpm.x&lt;&gt;0,_xlpm.y&lt;&gt;0),_xlpm.x,IF(AND(_xlpm.x-SUM(IF((INDIRECT($B$3)=$B220)*(INDIRECT($C$3)=$D220)*((INDIRECT($E$3)="TOTS")+(INDIRECT($E$3)=$E220)),INDIRECT(Q$3)))&lt;&gt;0,_xlpm.y=0),-2,_xlpm.x)))),0))</f>
        <v>0</v>
      </c>
      <c r="R220" s="199" cm="1">
        <f t="array" aca="1" ref="R220" ca="1">IF(OR($B220="",$B220="X",$D220="",$D220="X",$E220="",$E220="X"),0,IFERROR(_xlfn.LET(_xlpm.x,SUM(SUM(_xlfn._xlws.FILTER(VALUE(PptoSty[Sign]&amp;1)*(1/PptoSty[Division]),(PptoSty[Division]&lt;&gt;0)*(PptoSty[Division]&lt;&gt;"")*(PptoSty[Division]&lt;&gt;"X")*(PptoSty[Project]=$B220)*(PptoSty[Vrs]=$D220)*(PptoSty[PiRow]=_xlfn.TEXTAFTER($H220,":"))*(PptoSty[PiColumn]=R$54),0)),SUM(IF((INDIRECT($B$3)=$B220)*(INDIRECT($C$3)=$D220)*((INDIRECT($E$3)="TOTS")+(INDIRECT($E$3)=$E220)),INDIRECT(R$3)))),_xlpm.y,SUM(_xlfn.CHOOSECOLS(_xlfn._xlws.FILTER(F_RT14[],(F_RT14[PrjId]=$B220)*(F_RT14[Vrs]=$D220)*(_xlfn.TEXTAFTER(F_RT14[ActGrp],":")=_xlfn.TEXTAFTER($H220,":")),"X"),MATCH("*"&amp;R$54,F_RT14[#Headers],0))),IF(AND(_xlpm.x=0,_xlpm.y&lt;&gt;0),-1,IF(AND(_xlpm.x&lt;&gt;0,_xlpm.y&lt;&gt;0),_xlpm.x,IF(AND(_xlpm.x-SUM(IF((INDIRECT($B$3)=$B220)*(INDIRECT($C$3)=$D220)*((INDIRECT($E$3)="TOTS")+(INDIRECT($E$3)=$E220)),INDIRECT(R$3)))&lt;&gt;0,_xlpm.y=0),-2,_xlpm.x)))),0))</f>
        <v>0</v>
      </c>
      <c r="S220" s="199" cm="1">
        <f t="array" aca="1" ref="S220" ca="1">IF(OR($B220="",$B220="X",$D220="",$D220="X",$E220="",$E220="X"),0,IFERROR(_xlfn.LET(_xlpm.x,SUM(SUM(_xlfn._xlws.FILTER(VALUE(PptoSty[Sign]&amp;1)*(1/PptoSty[Division]),(PptoSty[Division]&lt;&gt;0)*(PptoSty[Division]&lt;&gt;"")*(PptoSty[Division]&lt;&gt;"X")*(PptoSty[Project]=$B220)*(PptoSty[Vrs]=$D220)*(PptoSty[PiRow]=_xlfn.TEXTAFTER($H220,":"))*(PptoSty[PiColumn]=S$54),0)),SUM(IF((INDIRECT($B$3)=$B220)*(INDIRECT($C$3)=$D220)*((INDIRECT($E$3)="TOTS")+(INDIRECT($E$3)=$E220)),INDIRECT(S$3)))),_xlpm.y,SUM(_xlfn.CHOOSECOLS(_xlfn._xlws.FILTER(F_RT14[],(F_RT14[PrjId]=$B220)*(F_RT14[Vrs]=$D220)*(_xlfn.TEXTAFTER(F_RT14[ActGrp],":")=_xlfn.TEXTAFTER($H220,":")),"X"),MATCH("*"&amp;S$54,F_RT14[#Headers],0))),IF(AND(_xlpm.x=0,_xlpm.y&lt;&gt;0),-1,IF(AND(_xlpm.x&lt;&gt;0,_xlpm.y&lt;&gt;0),_xlpm.x,IF(AND(_xlpm.x-SUM(IF((INDIRECT($B$3)=$B220)*(INDIRECT($C$3)=$D220)*((INDIRECT($E$3)="TOTS")+(INDIRECT($E$3)=$E220)),INDIRECT(S$3)))&lt;&gt;0,_xlpm.y=0),-2,_xlpm.x)))),0))</f>
        <v>0</v>
      </c>
      <c r="T220" s="199" cm="1">
        <f t="array" aca="1" ref="T220" ca="1">IF(OR($B220="",$B220="X",$D220="",$D220="X",$E220="",$E220="X"),0,IFERROR(_xlfn.LET(_xlpm.x,SUM(SUM(_xlfn._xlws.FILTER(VALUE(PptoSty[Sign]&amp;1)*(1/PptoSty[Division]),(PptoSty[Division]&lt;&gt;0)*(PptoSty[Division]&lt;&gt;"")*(PptoSty[Division]&lt;&gt;"X")*(PptoSty[Project]=$B220)*(PptoSty[Vrs]=$D220)*(PptoSty[PiRow]=_xlfn.TEXTAFTER($H220,":"))*(PptoSty[PiColumn]=T$54),0)),SUM(IF((INDIRECT($B$3)=$B220)*(INDIRECT($C$3)=$D220)*((INDIRECT($E$3)="TOTS")+(INDIRECT($E$3)=$E220)),INDIRECT(T$3)))),_xlpm.y,SUM(_xlfn.CHOOSECOLS(_xlfn._xlws.FILTER(F_RT14[],(F_RT14[PrjId]=$B220)*(F_RT14[Vrs]=$D220)*(_xlfn.TEXTAFTER(F_RT14[ActGrp],":")=_xlfn.TEXTAFTER($H220,":")),"X"),MATCH("*"&amp;T$54,F_RT14[#Headers],0))),IF(AND(_xlpm.x=0,_xlpm.y&lt;&gt;0),-1,IF(AND(_xlpm.x&lt;&gt;0,_xlpm.y&lt;&gt;0),_xlpm.x,IF(AND(_xlpm.x-SUM(IF((INDIRECT($B$3)=$B220)*(INDIRECT($C$3)=$D220)*((INDIRECT($E$3)="TOTS")+(INDIRECT($E$3)=$E220)),INDIRECT(T$3)))&lt;&gt;0,_xlpm.y=0),-2,_xlpm.x)))),0))</f>
        <v>0</v>
      </c>
      <c r="U220" s="199" cm="1">
        <f t="array" aca="1" ref="U220" ca="1">IF(OR($B220="",$B220="X",$D220="",$D220="X",$E220="",$E220="X"),0,IFERROR(_xlfn.LET(_xlpm.x,SUM(SUM(_xlfn._xlws.FILTER(VALUE(PptoSty[Sign]&amp;1)*(1/PptoSty[Division]),(PptoSty[Division]&lt;&gt;0)*(PptoSty[Division]&lt;&gt;"")*(PptoSty[Division]&lt;&gt;"X")*(PptoSty[Project]=$B220)*(PptoSty[Vrs]=$D220)*(PptoSty[PiRow]=_xlfn.TEXTAFTER($H220,":"))*(PptoSty[PiColumn]=U$54),0)),SUM(IF((INDIRECT($B$3)=$B220)*(INDIRECT($C$3)=$D220)*((INDIRECT($E$3)="TOTS")+(INDIRECT($E$3)=$E220)),INDIRECT(U$3)))),_xlpm.y,SUM(_xlfn.CHOOSECOLS(_xlfn._xlws.FILTER(F_RT14[],(F_RT14[PrjId]=$B220)*(F_RT14[Vrs]=$D220)*(_xlfn.TEXTAFTER(F_RT14[ActGrp],":")=_xlfn.TEXTAFTER($H220,":")),"X"),MATCH("*"&amp;U$54,F_RT14[#Headers],0))),IF(AND(_xlpm.x=0,_xlpm.y&lt;&gt;0),-1,IF(AND(_xlpm.x&lt;&gt;0,_xlpm.y&lt;&gt;0),_xlpm.x,IF(AND(_xlpm.x-SUM(IF((INDIRECT($B$3)=$B220)*(INDIRECT($C$3)=$D220)*((INDIRECT($E$3)="TOTS")+(INDIRECT($E$3)=$E220)),INDIRECT(U$3)))&lt;&gt;0,_xlpm.y=0),-2,_xlpm.x)))),0))</f>
        <v>0</v>
      </c>
      <c r="V220" s="199" cm="1">
        <f t="array" aca="1" ref="V220" ca="1">IF(OR($B220="",$B220="X",$D220="",$D220="X",$E220="",$E220="X"),0,IFERROR(_xlfn.LET(_xlpm.x,SUM(SUM(_xlfn._xlws.FILTER(VALUE(PptoSty[Sign]&amp;1)*(1/PptoSty[Division]),(PptoSty[Division]&lt;&gt;0)*(PptoSty[Division]&lt;&gt;"")*(PptoSty[Division]&lt;&gt;"X")*(PptoSty[Project]=$B220)*(PptoSty[Vrs]=$D220)*(PptoSty[PiRow]=_xlfn.TEXTAFTER($H220,":"))*(PptoSty[PiColumn]=V$54),0)),SUM(IF((INDIRECT($B$3)=$B220)*(INDIRECT($C$3)=$D220)*((INDIRECT($E$3)="TOTS")+(INDIRECT($E$3)=$E220)),INDIRECT(V$3)))),_xlpm.y,SUM(_xlfn.CHOOSECOLS(_xlfn._xlws.FILTER(F_RT14[],(F_RT14[PrjId]=$B220)*(F_RT14[Vrs]=$D220)*(_xlfn.TEXTAFTER(F_RT14[ActGrp],":")=_xlfn.TEXTAFTER($H220,":")),"X"),MATCH("*"&amp;V$54,F_RT14[#Headers],0))),IF(AND(_xlpm.x=0,_xlpm.y&lt;&gt;0),-1,IF(AND(_xlpm.x&lt;&gt;0,_xlpm.y&lt;&gt;0),_xlpm.x,IF(AND(_xlpm.x-SUM(IF((INDIRECT($B$3)=$B220)*(INDIRECT($C$3)=$D220)*((INDIRECT($E$3)="TOTS")+(INDIRECT($E$3)=$E220)),INDIRECT(V$3)))&lt;&gt;0,_xlpm.y=0),-2,_xlpm.x)))),0))</f>
        <v>0</v>
      </c>
      <c r="W220" s="199" cm="1">
        <f t="array" aca="1" ref="W220" ca="1">IF(OR($B220="",$B220="X",$D220="",$D220="X",$E220="",$E220="X"),0,IFERROR(_xlfn.LET(_xlpm.x,SUM(SUM(_xlfn._xlws.FILTER(VALUE(PptoSty[Sign]&amp;1)*(1/PptoSty[Division]),(PptoSty[Division]&lt;&gt;0)*(PptoSty[Division]&lt;&gt;"")*(PptoSty[Division]&lt;&gt;"X")*(PptoSty[Project]=$B220)*(PptoSty[Vrs]=$D220)*(PptoSty[PiRow]=_xlfn.TEXTAFTER($H220,":"))*(PptoSty[PiColumn]=W$54),0)),SUM(IF((INDIRECT($B$3)=$B220)*(INDIRECT($C$3)=$D220)*((INDIRECT($E$3)="TOTS")+(INDIRECT($E$3)=$E220)),INDIRECT(W$3)))),_xlpm.y,SUM(_xlfn.CHOOSECOLS(_xlfn._xlws.FILTER(F_RT14[],(F_RT14[PrjId]=$B220)*(F_RT14[Vrs]=$D220)*(_xlfn.TEXTAFTER(F_RT14[ActGrp],":")=_xlfn.TEXTAFTER($H220,":")),"X"),MATCH("*"&amp;W$54,F_RT14[#Headers],0))),IF(AND(_xlpm.x=0,_xlpm.y&lt;&gt;0),-1,IF(AND(_xlpm.x&lt;&gt;0,_xlpm.y&lt;&gt;0),_xlpm.x,IF(AND(_xlpm.x-SUM(IF((INDIRECT($B$3)=$B220)*(INDIRECT($C$3)=$D220)*((INDIRECT($E$3)="TOTS")+(INDIRECT($E$3)=$E220)),INDIRECT(W$3)))&lt;&gt;0,_xlpm.y=0),-2,_xlpm.x)))),0))</f>
        <v>0</v>
      </c>
      <c r="X220" s="199" cm="1">
        <f t="array" aca="1" ref="X220" ca="1">IF(OR($B220="",$B220="X",$D220="",$D220="X",$E220="",$E220="X"),0,IFERROR(_xlfn.LET(_xlpm.x,SUM(SUM(_xlfn._xlws.FILTER(VALUE(PptoSty[Sign]&amp;1)*(1/PptoSty[Division]),(PptoSty[Division]&lt;&gt;0)*(PptoSty[Division]&lt;&gt;"")*(PptoSty[Division]&lt;&gt;"X")*(PptoSty[Project]=$B220)*(PptoSty[Vrs]=$D220)*(PptoSty[PiRow]=_xlfn.TEXTAFTER($H220,":"))*(PptoSty[PiColumn]=X$54),0)),SUM(IF((INDIRECT($B$3)=$B220)*(INDIRECT($C$3)=$D220)*((INDIRECT($E$3)="TOTS")+(INDIRECT($E$3)=$E220)),INDIRECT(X$3)))),_xlpm.y,SUM(_xlfn.CHOOSECOLS(_xlfn._xlws.FILTER(F_RT14[],(F_RT14[PrjId]=$B220)*(F_RT14[Vrs]=$D220)*(_xlfn.TEXTAFTER(F_RT14[ActGrp],":")=_xlfn.TEXTAFTER($H220,":")),"X"),MATCH("*"&amp;X$54,F_RT14[#Headers],0))),IF(AND(_xlpm.x=0,_xlpm.y&lt;&gt;0),-1,IF(AND(_xlpm.x&lt;&gt;0,_xlpm.y&lt;&gt;0),_xlpm.x,IF(AND(_xlpm.x-SUM(IF((INDIRECT($B$3)=$B220)*(INDIRECT($C$3)=$D220)*((INDIRECT($E$3)="TOTS")+(INDIRECT($E$3)=$E220)),INDIRECT(X$3)))&lt;&gt;0,_xlpm.y=0),-2,_xlpm.x)))),0))</f>
        <v>0</v>
      </c>
      <c r="Y220" s="199" cm="1">
        <f t="array" aca="1" ref="Y220" ca="1">IF(OR($B220="",$B220="X",$D220="",$D220="X",$E220="",$E220="X"),0,IFERROR(_xlfn.LET(_xlpm.x,SUM(SUM(_xlfn._xlws.FILTER(VALUE(PptoSty[Sign]&amp;1)*(1/PptoSty[Division]),(PptoSty[Division]&lt;&gt;0)*(PptoSty[Division]&lt;&gt;"")*(PptoSty[Division]&lt;&gt;"X")*(PptoSty[Project]=$B220)*(PptoSty[Vrs]=$D220)*(PptoSty[PiRow]=_xlfn.TEXTAFTER($H220,":"))*(PptoSty[PiColumn]=Y$54),0)),SUM(IF((INDIRECT($B$3)=$B220)*(INDIRECT($C$3)=$D220)*((INDIRECT($E$3)="TOTS")+(INDIRECT($E$3)=$E220)),INDIRECT(Y$3)))),_xlpm.y,SUM(_xlfn.CHOOSECOLS(_xlfn._xlws.FILTER(F_RT14[],(F_RT14[PrjId]=$B220)*(F_RT14[Vrs]=$D220)*(_xlfn.TEXTAFTER(F_RT14[ActGrp],":")=_xlfn.TEXTAFTER($H220,":")),"X"),MATCH("*"&amp;Y$54,F_RT14[#Headers],0))),IF(AND(_xlpm.x=0,_xlpm.y&lt;&gt;0),-1,IF(AND(_xlpm.x&lt;&gt;0,_xlpm.y&lt;&gt;0),_xlpm.x,IF(AND(_xlpm.x-SUM(IF((INDIRECT($B$3)=$B220)*(INDIRECT($C$3)=$D220)*((INDIRECT($E$3)="TOTS")+(INDIRECT($E$3)=$E220)),INDIRECT(Y$3)))&lt;&gt;0,_xlpm.y=0),-2,_xlpm.x)))),0))</f>
        <v>0</v>
      </c>
      <c r="Z220" s="198" t="str">
        <f t="shared" ca="1" si="4"/>
        <v>Fback!B220:Y220</v>
      </c>
    </row>
    <row r="221" spans="2:26" ht="21" customHeight="1" outlineLevel="1">
      <c r="B221" s="128"/>
      <c r="C221" s="128"/>
      <c r="D221" s="128"/>
      <c r="E221" s="128"/>
      <c r="F221" s="139"/>
      <c r="G221" s="139"/>
      <c r="H221" s="139"/>
      <c r="I221" s="199" cm="1">
        <f t="array" aca="1" ref="I221" ca="1">IF(OR($B221="",$B221="X",$D221="",$D221="X",$E221="",$E221="X"),0,IFERROR(_xlfn.LET(_xlpm.x,SUM(SUM(_xlfn._xlws.FILTER(VALUE(PptoSty[Sign]&amp;1)*(1/PptoSty[Division]),(PptoSty[Division]&lt;&gt;0)*(PptoSty[Division]&lt;&gt;"")*(PptoSty[Division]&lt;&gt;"X")*(PptoSty[Project]=$B221)*(PptoSty[Vrs]=$D221)*(PptoSty[PiRow]=_xlfn.TEXTAFTER($H221,":"))*(PptoSty[PiColumn]=I$54),0)),SUM(IF((INDIRECT($B$3)=$B221)*(INDIRECT($C$3)=$D221)*((INDIRECT($E$3)="TOTS")+(INDIRECT($E$3)=$E221)),INDIRECT(I$3)))),_xlpm.y,SUM(_xlfn.CHOOSECOLS(_xlfn._xlws.FILTER(F_RT14[],(F_RT14[PrjId]=$B221)*(F_RT14[Vrs]=$D221)*(_xlfn.TEXTAFTER(F_RT14[ActGrp],":")=_xlfn.TEXTAFTER($H221,":")),"X"),MATCH("*"&amp;I$54,F_RT14[#Headers],0))),IF(AND(_xlpm.x=0,_xlpm.y&lt;&gt;0),-1,IF(AND(_xlpm.x&lt;&gt;0,_xlpm.y&lt;&gt;0),_xlpm.x,IF(AND(_xlpm.x-SUM(IF((INDIRECT($B$3)=$B221)*(INDIRECT($C$3)=$D221)*((INDIRECT($E$3)="TOTS")+(INDIRECT($E$3)=$E221)),INDIRECT(I$3)))&lt;&gt;0,_xlpm.y=0),-2,_xlpm.x)))),0))</f>
        <v>0</v>
      </c>
      <c r="J221" s="199" cm="1">
        <f t="array" aca="1" ref="J221" ca="1">IF(OR($B221="",$B221="X",$D221="",$D221="X",$E221="",$E221="X"),0,IFERROR(_xlfn.LET(_xlpm.x,SUM(SUM(_xlfn._xlws.FILTER(VALUE(PptoSty[Sign]&amp;1)*(1/PptoSty[Division]),(PptoSty[Division]&lt;&gt;0)*(PptoSty[Division]&lt;&gt;"")*(PptoSty[Division]&lt;&gt;"X")*(PptoSty[Project]=$B221)*(PptoSty[Vrs]=$D221)*(PptoSty[PiRow]=_xlfn.TEXTAFTER($H221,":"))*(PptoSty[PiColumn]=J$54),0)),SUM(IF((INDIRECT($B$3)=$B221)*(INDIRECT($C$3)=$D221)*((INDIRECT($E$3)="TOTS")+(INDIRECT($E$3)=$E221)),INDIRECT(J$3)))),_xlpm.y,SUM(_xlfn.CHOOSECOLS(_xlfn._xlws.FILTER(F_RT14[],(F_RT14[PrjId]=$B221)*(F_RT14[Vrs]=$D221)*(_xlfn.TEXTAFTER(F_RT14[ActGrp],":")=_xlfn.TEXTAFTER($H221,":")),"X"),MATCH("*"&amp;J$54,F_RT14[#Headers],0))),IF(AND(_xlpm.x=0,_xlpm.y&lt;&gt;0),-1,IF(AND(_xlpm.x&lt;&gt;0,_xlpm.y&lt;&gt;0),_xlpm.x,IF(AND(_xlpm.x-SUM(IF((INDIRECT($B$3)=$B221)*(INDIRECT($C$3)=$D221)*((INDIRECT($E$3)="TOTS")+(INDIRECT($E$3)=$E221)),INDIRECT(J$3)))&lt;&gt;0,_xlpm.y=0),-2,_xlpm.x)))),0))</f>
        <v>0</v>
      </c>
      <c r="K221" s="199" cm="1">
        <f t="array" aca="1" ref="K221" ca="1">IF(OR($B221="",$B221="X",$D221="",$D221="X",$E221="",$E221="X"),0,IFERROR(_xlfn.LET(_xlpm.x,SUM(SUM(_xlfn._xlws.FILTER(VALUE(PptoSty[Sign]&amp;1)*(1/PptoSty[Division]),(PptoSty[Division]&lt;&gt;0)*(PptoSty[Division]&lt;&gt;"")*(PptoSty[Division]&lt;&gt;"X")*(PptoSty[Project]=$B221)*(PptoSty[Vrs]=$D221)*(PptoSty[PiRow]=_xlfn.TEXTAFTER($H221,":"))*(PptoSty[PiColumn]=K$54),0)),SUM(IF((INDIRECT($B$3)=$B221)*(INDIRECT($C$3)=$D221)*((INDIRECT($E$3)="TOTS")+(INDIRECT($E$3)=$E221)),INDIRECT(K$3)))),_xlpm.y,SUM(_xlfn.CHOOSECOLS(_xlfn._xlws.FILTER(F_RT14[],(F_RT14[PrjId]=$B221)*(F_RT14[Vrs]=$D221)*(_xlfn.TEXTAFTER(F_RT14[ActGrp],":")=_xlfn.TEXTAFTER($H221,":")),"X"),MATCH("*"&amp;K$54,F_RT14[#Headers],0))),IF(AND(_xlpm.x=0,_xlpm.y&lt;&gt;0),-1,IF(AND(_xlpm.x&lt;&gt;0,_xlpm.y&lt;&gt;0),_xlpm.x,IF(AND(_xlpm.x-SUM(IF((INDIRECT($B$3)=$B221)*(INDIRECT($C$3)=$D221)*((INDIRECT($E$3)="TOTS")+(INDIRECT($E$3)=$E221)),INDIRECT(K$3)))&lt;&gt;0,_xlpm.y=0),-2,_xlpm.x)))),0))</f>
        <v>0</v>
      </c>
      <c r="L221" s="199" cm="1">
        <f t="array" aca="1" ref="L221" ca="1">IF(OR($B221="",$B221="X",$D221="",$D221="X",$E221="",$E221="X"),0,IFERROR(_xlfn.LET(_xlpm.x,SUM(SUM(_xlfn._xlws.FILTER(VALUE(PptoSty[Sign]&amp;1)*(1/PptoSty[Division]),(PptoSty[Division]&lt;&gt;0)*(PptoSty[Division]&lt;&gt;"")*(PptoSty[Division]&lt;&gt;"X")*(PptoSty[Project]=$B221)*(PptoSty[Vrs]=$D221)*(PptoSty[PiRow]=_xlfn.TEXTAFTER($H221,":"))*(PptoSty[PiColumn]=L$54),0)),SUM(IF((INDIRECT($B$3)=$B221)*(INDIRECT($C$3)=$D221)*((INDIRECT($E$3)="TOTS")+(INDIRECT($E$3)=$E221)),INDIRECT(L$3)))),_xlpm.y,SUM(_xlfn.CHOOSECOLS(_xlfn._xlws.FILTER(F_RT14[],(F_RT14[PrjId]=$B221)*(F_RT14[Vrs]=$D221)*(_xlfn.TEXTAFTER(F_RT14[ActGrp],":")=_xlfn.TEXTAFTER($H221,":")),"X"),MATCH("*"&amp;L$54,F_RT14[#Headers],0))),IF(AND(_xlpm.x=0,_xlpm.y&lt;&gt;0),-1,IF(AND(_xlpm.x&lt;&gt;0,_xlpm.y&lt;&gt;0),_xlpm.x,IF(AND(_xlpm.x-SUM(IF((INDIRECT($B$3)=$B221)*(INDIRECT($C$3)=$D221)*((INDIRECT($E$3)="TOTS")+(INDIRECT($E$3)=$E221)),INDIRECT(L$3)))&lt;&gt;0,_xlpm.y=0),-2,_xlpm.x)))),0))</f>
        <v>0</v>
      </c>
      <c r="M221" s="199" cm="1">
        <f t="array" aca="1" ref="M221" ca="1">IF(OR($B221="",$B221="X",$D221="",$D221="X",$E221="",$E221="X"),0,IFERROR(_xlfn.LET(_xlpm.x,SUM(SUM(_xlfn._xlws.FILTER(VALUE(PptoSty[Sign]&amp;1)*(1/PptoSty[Division]),(PptoSty[Division]&lt;&gt;0)*(PptoSty[Division]&lt;&gt;"")*(PptoSty[Division]&lt;&gt;"X")*(PptoSty[Project]=$B221)*(PptoSty[Vrs]=$D221)*(PptoSty[PiRow]=_xlfn.TEXTAFTER($H221,":"))*(PptoSty[PiColumn]=M$54),0)),SUM(IF((INDIRECT($B$3)=$B221)*(INDIRECT($C$3)=$D221)*((INDIRECT($E$3)="TOTS")+(INDIRECT($E$3)=$E221)),INDIRECT(M$3)))),_xlpm.y,SUM(_xlfn.CHOOSECOLS(_xlfn._xlws.FILTER(F_RT14[],(F_RT14[PrjId]=$B221)*(F_RT14[Vrs]=$D221)*(_xlfn.TEXTAFTER(F_RT14[ActGrp],":")=_xlfn.TEXTAFTER($H221,":")),"X"),MATCH("*"&amp;M$54,F_RT14[#Headers],0))),IF(AND(_xlpm.x=0,_xlpm.y&lt;&gt;0),-1,IF(AND(_xlpm.x&lt;&gt;0,_xlpm.y&lt;&gt;0),_xlpm.x,IF(AND(_xlpm.x-SUM(IF((INDIRECT($B$3)=$B221)*(INDIRECT($C$3)=$D221)*((INDIRECT($E$3)="TOTS")+(INDIRECT($E$3)=$E221)),INDIRECT(M$3)))&lt;&gt;0,_xlpm.y=0),-2,_xlpm.x)))),0))</f>
        <v>0</v>
      </c>
      <c r="N221" s="199" cm="1">
        <f t="array" aca="1" ref="N221" ca="1">IF(OR($B221="",$B221="X",$D221="",$D221="X",$E221="",$E221="X"),0,IFERROR(_xlfn.LET(_xlpm.x,SUM(SUM(_xlfn._xlws.FILTER(VALUE(PptoSty[Sign]&amp;1)*(1/PptoSty[Division]),(PptoSty[Division]&lt;&gt;0)*(PptoSty[Division]&lt;&gt;"")*(PptoSty[Division]&lt;&gt;"X")*(PptoSty[Project]=$B221)*(PptoSty[Vrs]=$D221)*(PptoSty[PiRow]=_xlfn.TEXTAFTER($H221,":"))*(PptoSty[PiColumn]=N$54),0)),SUM(IF((INDIRECT($B$3)=$B221)*(INDIRECT($C$3)=$D221)*((INDIRECT($E$3)="TOTS")+(INDIRECT($E$3)=$E221)),INDIRECT(N$3)))),_xlpm.y,SUM(_xlfn.CHOOSECOLS(_xlfn._xlws.FILTER(F_RT14[],(F_RT14[PrjId]=$B221)*(F_RT14[Vrs]=$D221)*(_xlfn.TEXTAFTER(F_RT14[ActGrp],":")=_xlfn.TEXTAFTER($H221,":")),"X"),MATCH("*"&amp;N$54,F_RT14[#Headers],0))),IF(AND(_xlpm.x=0,_xlpm.y&lt;&gt;0),-1,IF(AND(_xlpm.x&lt;&gt;0,_xlpm.y&lt;&gt;0),_xlpm.x,IF(AND(_xlpm.x-SUM(IF((INDIRECT($B$3)=$B221)*(INDIRECT($C$3)=$D221)*((INDIRECT($E$3)="TOTS")+(INDIRECT($E$3)=$E221)),INDIRECT(N$3)))&lt;&gt;0,_xlpm.y=0),-2,_xlpm.x)))),0))</f>
        <v>0</v>
      </c>
      <c r="O221" s="199" cm="1">
        <f t="array" aca="1" ref="O221" ca="1">IF(OR($B221="",$B221="X",$D221="",$D221="X",$E221="",$E221="X"),0,IFERROR(_xlfn.LET(_xlpm.x,SUM(SUM(_xlfn._xlws.FILTER(VALUE(PptoSty[Sign]&amp;1)*(1/PptoSty[Division]),(PptoSty[Division]&lt;&gt;0)*(PptoSty[Division]&lt;&gt;"")*(PptoSty[Division]&lt;&gt;"X")*(PptoSty[Project]=$B221)*(PptoSty[Vrs]=$D221)*(PptoSty[PiRow]=_xlfn.TEXTAFTER($H221,":"))*(PptoSty[PiColumn]=O$54),0)),SUM(IF((INDIRECT($B$3)=$B221)*(INDIRECT($C$3)=$D221)*((INDIRECT($E$3)="TOTS")+(INDIRECT($E$3)=$E221)),INDIRECT(O$3)))),_xlpm.y,SUM(_xlfn.CHOOSECOLS(_xlfn._xlws.FILTER(F_RT14[],(F_RT14[PrjId]=$B221)*(F_RT14[Vrs]=$D221)*(_xlfn.TEXTAFTER(F_RT14[ActGrp],":")=_xlfn.TEXTAFTER($H221,":")),"X"),MATCH("*"&amp;O$54,F_RT14[#Headers],0))),IF(AND(_xlpm.x=0,_xlpm.y&lt;&gt;0),-1,IF(AND(_xlpm.x&lt;&gt;0,_xlpm.y&lt;&gt;0),_xlpm.x,IF(AND(_xlpm.x-SUM(IF((INDIRECT($B$3)=$B221)*(INDIRECT($C$3)=$D221)*((INDIRECT($E$3)="TOTS")+(INDIRECT($E$3)=$E221)),INDIRECT(O$3)))&lt;&gt;0,_xlpm.y=0),-2,_xlpm.x)))),0))</f>
        <v>0</v>
      </c>
      <c r="P221" s="199" cm="1">
        <f t="array" aca="1" ref="P221" ca="1">IF(OR($B221="",$B221="X",$D221="",$D221="X",$E221="",$E221="X"),0,IFERROR(_xlfn.LET(_xlpm.x,SUM(SUM(_xlfn._xlws.FILTER(VALUE(PptoSty[Sign]&amp;1)*(1/PptoSty[Division]),(PptoSty[Division]&lt;&gt;0)*(PptoSty[Division]&lt;&gt;"")*(PptoSty[Division]&lt;&gt;"X")*(PptoSty[Project]=$B221)*(PptoSty[Vrs]=$D221)*(PptoSty[PiRow]=_xlfn.TEXTAFTER($H221,":"))*(PptoSty[PiColumn]=P$54),0)),SUM(IF((INDIRECT($B$3)=$B221)*(INDIRECT($C$3)=$D221)*((INDIRECT($E$3)="TOTS")+(INDIRECT($E$3)=$E221)),INDIRECT(P$3)))),_xlpm.y,SUM(_xlfn.CHOOSECOLS(_xlfn._xlws.FILTER(F_RT14[],(F_RT14[PrjId]=$B221)*(F_RT14[Vrs]=$D221)*(_xlfn.TEXTAFTER(F_RT14[ActGrp],":")=_xlfn.TEXTAFTER($H221,":")),"X"),MATCH("*"&amp;P$54,F_RT14[#Headers],0))),IF(AND(_xlpm.x=0,_xlpm.y&lt;&gt;0),-1,IF(AND(_xlpm.x&lt;&gt;0,_xlpm.y&lt;&gt;0),_xlpm.x,IF(AND(_xlpm.x-SUM(IF((INDIRECT($B$3)=$B221)*(INDIRECT($C$3)=$D221)*((INDIRECT($E$3)="TOTS")+(INDIRECT($E$3)=$E221)),INDIRECT(P$3)))&lt;&gt;0,_xlpm.y=0),-2,_xlpm.x)))),0))</f>
        <v>0</v>
      </c>
      <c r="Q221" s="199" cm="1">
        <f t="array" aca="1" ref="Q221" ca="1">IF(OR($B221="",$B221="X",$D221="",$D221="X",$E221="",$E221="X"),0,IFERROR(_xlfn.LET(_xlpm.x,SUM(SUM(_xlfn._xlws.FILTER(VALUE(PptoSty[Sign]&amp;1)*(1/PptoSty[Division]),(PptoSty[Division]&lt;&gt;0)*(PptoSty[Division]&lt;&gt;"")*(PptoSty[Division]&lt;&gt;"X")*(PptoSty[Project]=$B221)*(PptoSty[Vrs]=$D221)*(PptoSty[PiRow]=_xlfn.TEXTAFTER($H221,":"))*(PptoSty[PiColumn]=Q$54),0)),SUM(IF((INDIRECT($B$3)=$B221)*(INDIRECT($C$3)=$D221)*((INDIRECT($E$3)="TOTS")+(INDIRECT($E$3)=$E221)),INDIRECT(Q$3)))),_xlpm.y,SUM(_xlfn.CHOOSECOLS(_xlfn._xlws.FILTER(F_RT14[],(F_RT14[PrjId]=$B221)*(F_RT14[Vrs]=$D221)*(_xlfn.TEXTAFTER(F_RT14[ActGrp],":")=_xlfn.TEXTAFTER($H221,":")),"X"),MATCH("*"&amp;Q$54,F_RT14[#Headers],0))),IF(AND(_xlpm.x=0,_xlpm.y&lt;&gt;0),-1,IF(AND(_xlpm.x&lt;&gt;0,_xlpm.y&lt;&gt;0),_xlpm.x,IF(AND(_xlpm.x-SUM(IF((INDIRECT($B$3)=$B221)*(INDIRECT($C$3)=$D221)*((INDIRECT($E$3)="TOTS")+(INDIRECT($E$3)=$E221)),INDIRECT(Q$3)))&lt;&gt;0,_xlpm.y=0),-2,_xlpm.x)))),0))</f>
        <v>0</v>
      </c>
      <c r="R221" s="199" cm="1">
        <f t="array" aca="1" ref="R221" ca="1">IF(OR($B221="",$B221="X",$D221="",$D221="X",$E221="",$E221="X"),0,IFERROR(_xlfn.LET(_xlpm.x,SUM(SUM(_xlfn._xlws.FILTER(VALUE(PptoSty[Sign]&amp;1)*(1/PptoSty[Division]),(PptoSty[Division]&lt;&gt;0)*(PptoSty[Division]&lt;&gt;"")*(PptoSty[Division]&lt;&gt;"X")*(PptoSty[Project]=$B221)*(PptoSty[Vrs]=$D221)*(PptoSty[PiRow]=_xlfn.TEXTAFTER($H221,":"))*(PptoSty[PiColumn]=R$54),0)),SUM(IF((INDIRECT($B$3)=$B221)*(INDIRECT($C$3)=$D221)*((INDIRECT($E$3)="TOTS")+(INDIRECT($E$3)=$E221)),INDIRECT(R$3)))),_xlpm.y,SUM(_xlfn.CHOOSECOLS(_xlfn._xlws.FILTER(F_RT14[],(F_RT14[PrjId]=$B221)*(F_RT14[Vrs]=$D221)*(_xlfn.TEXTAFTER(F_RT14[ActGrp],":")=_xlfn.TEXTAFTER($H221,":")),"X"),MATCH("*"&amp;R$54,F_RT14[#Headers],0))),IF(AND(_xlpm.x=0,_xlpm.y&lt;&gt;0),-1,IF(AND(_xlpm.x&lt;&gt;0,_xlpm.y&lt;&gt;0),_xlpm.x,IF(AND(_xlpm.x-SUM(IF((INDIRECT($B$3)=$B221)*(INDIRECT($C$3)=$D221)*((INDIRECT($E$3)="TOTS")+(INDIRECT($E$3)=$E221)),INDIRECT(R$3)))&lt;&gt;0,_xlpm.y=0),-2,_xlpm.x)))),0))</f>
        <v>0</v>
      </c>
      <c r="S221" s="199" cm="1">
        <f t="array" aca="1" ref="S221" ca="1">IF(OR($B221="",$B221="X",$D221="",$D221="X",$E221="",$E221="X"),0,IFERROR(_xlfn.LET(_xlpm.x,SUM(SUM(_xlfn._xlws.FILTER(VALUE(PptoSty[Sign]&amp;1)*(1/PptoSty[Division]),(PptoSty[Division]&lt;&gt;0)*(PptoSty[Division]&lt;&gt;"")*(PptoSty[Division]&lt;&gt;"X")*(PptoSty[Project]=$B221)*(PptoSty[Vrs]=$D221)*(PptoSty[PiRow]=_xlfn.TEXTAFTER($H221,":"))*(PptoSty[PiColumn]=S$54),0)),SUM(IF((INDIRECT($B$3)=$B221)*(INDIRECT($C$3)=$D221)*((INDIRECT($E$3)="TOTS")+(INDIRECT($E$3)=$E221)),INDIRECT(S$3)))),_xlpm.y,SUM(_xlfn.CHOOSECOLS(_xlfn._xlws.FILTER(F_RT14[],(F_RT14[PrjId]=$B221)*(F_RT14[Vrs]=$D221)*(_xlfn.TEXTAFTER(F_RT14[ActGrp],":")=_xlfn.TEXTAFTER($H221,":")),"X"),MATCH("*"&amp;S$54,F_RT14[#Headers],0))),IF(AND(_xlpm.x=0,_xlpm.y&lt;&gt;0),-1,IF(AND(_xlpm.x&lt;&gt;0,_xlpm.y&lt;&gt;0),_xlpm.x,IF(AND(_xlpm.x-SUM(IF((INDIRECT($B$3)=$B221)*(INDIRECT($C$3)=$D221)*((INDIRECT($E$3)="TOTS")+(INDIRECT($E$3)=$E221)),INDIRECT(S$3)))&lt;&gt;0,_xlpm.y=0),-2,_xlpm.x)))),0))</f>
        <v>0</v>
      </c>
      <c r="T221" s="199" cm="1">
        <f t="array" aca="1" ref="T221" ca="1">IF(OR($B221="",$B221="X",$D221="",$D221="X",$E221="",$E221="X"),0,IFERROR(_xlfn.LET(_xlpm.x,SUM(SUM(_xlfn._xlws.FILTER(VALUE(PptoSty[Sign]&amp;1)*(1/PptoSty[Division]),(PptoSty[Division]&lt;&gt;0)*(PptoSty[Division]&lt;&gt;"")*(PptoSty[Division]&lt;&gt;"X")*(PptoSty[Project]=$B221)*(PptoSty[Vrs]=$D221)*(PptoSty[PiRow]=_xlfn.TEXTAFTER($H221,":"))*(PptoSty[PiColumn]=T$54),0)),SUM(IF((INDIRECT($B$3)=$B221)*(INDIRECT($C$3)=$D221)*((INDIRECT($E$3)="TOTS")+(INDIRECT($E$3)=$E221)),INDIRECT(T$3)))),_xlpm.y,SUM(_xlfn.CHOOSECOLS(_xlfn._xlws.FILTER(F_RT14[],(F_RT14[PrjId]=$B221)*(F_RT14[Vrs]=$D221)*(_xlfn.TEXTAFTER(F_RT14[ActGrp],":")=_xlfn.TEXTAFTER($H221,":")),"X"),MATCH("*"&amp;T$54,F_RT14[#Headers],0))),IF(AND(_xlpm.x=0,_xlpm.y&lt;&gt;0),-1,IF(AND(_xlpm.x&lt;&gt;0,_xlpm.y&lt;&gt;0),_xlpm.x,IF(AND(_xlpm.x-SUM(IF((INDIRECT($B$3)=$B221)*(INDIRECT($C$3)=$D221)*((INDIRECT($E$3)="TOTS")+(INDIRECT($E$3)=$E221)),INDIRECT(T$3)))&lt;&gt;0,_xlpm.y=0),-2,_xlpm.x)))),0))</f>
        <v>0</v>
      </c>
      <c r="U221" s="199" cm="1">
        <f t="array" aca="1" ref="U221" ca="1">IF(OR($B221="",$B221="X",$D221="",$D221="X",$E221="",$E221="X"),0,IFERROR(_xlfn.LET(_xlpm.x,SUM(SUM(_xlfn._xlws.FILTER(VALUE(PptoSty[Sign]&amp;1)*(1/PptoSty[Division]),(PptoSty[Division]&lt;&gt;0)*(PptoSty[Division]&lt;&gt;"")*(PptoSty[Division]&lt;&gt;"X")*(PptoSty[Project]=$B221)*(PptoSty[Vrs]=$D221)*(PptoSty[PiRow]=_xlfn.TEXTAFTER($H221,":"))*(PptoSty[PiColumn]=U$54),0)),SUM(IF((INDIRECT($B$3)=$B221)*(INDIRECT($C$3)=$D221)*((INDIRECT($E$3)="TOTS")+(INDIRECT($E$3)=$E221)),INDIRECT(U$3)))),_xlpm.y,SUM(_xlfn.CHOOSECOLS(_xlfn._xlws.FILTER(F_RT14[],(F_RT14[PrjId]=$B221)*(F_RT14[Vrs]=$D221)*(_xlfn.TEXTAFTER(F_RT14[ActGrp],":")=_xlfn.TEXTAFTER($H221,":")),"X"),MATCH("*"&amp;U$54,F_RT14[#Headers],0))),IF(AND(_xlpm.x=0,_xlpm.y&lt;&gt;0),-1,IF(AND(_xlpm.x&lt;&gt;0,_xlpm.y&lt;&gt;0),_xlpm.x,IF(AND(_xlpm.x-SUM(IF((INDIRECT($B$3)=$B221)*(INDIRECT($C$3)=$D221)*((INDIRECT($E$3)="TOTS")+(INDIRECT($E$3)=$E221)),INDIRECT(U$3)))&lt;&gt;0,_xlpm.y=0),-2,_xlpm.x)))),0))</f>
        <v>0</v>
      </c>
      <c r="V221" s="199" cm="1">
        <f t="array" aca="1" ref="V221" ca="1">IF(OR($B221="",$B221="X",$D221="",$D221="X",$E221="",$E221="X"),0,IFERROR(_xlfn.LET(_xlpm.x,SUM(SUM(_xlfn._xlws.FILTER(VALUE(PptoSty[Sign]&amp;1)*(1/PptoSty[Division]),(PptoSty[Division]&lt;&gt;0)*(PptoSty[Division]&lt;&gt;"")*(PptoSty[Division]&lt;&gt;"X")*(PptoSty[Project]=$B221)*(PptoSty[Vrs]=$D221)*(PptoSty[PiRow]=_xlfn.TEXTAFTER($H221,":"))*(PptoSty[PiColumn]=V$54),0)),SUM(IF((INDIRECT($B$3)=$B221)*(INDIRECT($C$3)=$D221)*((INDIRECT($E$3)="TOTS")+(INDIRECT($E$3)=$E221)),INDIRECT(V$3)))),_xlpm.y,SUM(_xlfn.CHOOSECOLS(_xlfn._xlws.FILTER(F_RT14[],(F_RT14[PrjId]=$B221)*(F_RT14[Vrs]=$D221)*(_xlfn.TEXTAFTER(F_RT14[ActGrp],":")=_xlfn.TEXTAFTER($H221,":")),"X"),MATCH("*"&amp;V$54,F_RT14[#Headers],0))),IF(AND(_xlpm.x=0,_xlpm.y&lt;&gt;0),-1,IF(AND(_xlpm.x&lt;&gt;0,_xlpm.y&lt;&gt;0),_xlpm.x,IF(AND(_xlpm.x-SUM(IF((INDIRECT($B$3)=$B221)*(INDIRECT($C$3)=$D221)*((INDIRECT($E$3)="TOTS")+(INDIRECT($E$3)=$E221)),INDIRECT(V$3)))&lt;&gt;0,_xlpm.y=0),-2,_xlpm.x)))),0))</f>
        <v>0</v>
      </c>
      <c r="W221" s="199" cm="1">
        <f t="array" aca="1" ref="W221" ca="1">IF(OR($B221="",$B221="X",$D221="",$D221="X",$E221="",$E221="X"),0,IFERROR(_xlfn.LET(_xlpm.x,SUM(SUM(_xlfn._xlws.FILTER(VALUE(PptoSty[Sign]&amp;1)*(1/PptoSty[Division]),(PptoSty[Division]&lt;&gt;0)*(PptoSty[Division]&lt;&gt;"")*(PptoSty[Division]&lt;&gt;"X")*(PptoSty[Project]=$B221)*(PptoSty[Vrs]=$D221)*(PptoSty[PiRow]=_xlfn.TEXTAFTER($H221,":"))*(PptoSty[PiColumn]=W$54),0)),SUM(IF((INDIRECT($B$3)=$B221)*(INDIRECT($C$3)=$D221)*((INDIRECT($E$3)="TOTS")+(INDIRECT($E$3)=$E221)),INDIRECT(W$3)))),_xlpm.y,SUM(_xlfn.CHOOSECOLS(_xlfn._xlws.FILTER(F_RT14[],(F_RT14[PrjId]=$B221)*(F_RT14[Vrs]=$D221)*(_xlfn.TEXTAFTER(F_RT14[ActGrp],":")=_xlfn.TEXTAFTER($H221,":")),"X"),MATCH("*"&amp;W$54,F_RT14[#Headers],0))),IF(AND(_xlpm.x=0,_xlpm.y&lt;&gt;0),-1,IF(AND(_xlpm.x&lt;&gt;0,_xlpm.y&lt;&gt;0),_xlpm.x,IF(AND(_xlpm.x-SUM(IF((INDIRECT($B$3)=$B221)*(INDIRECT($C$3)=$D221)*((INDIRECT($E$3)="TOTS")+(INDIRECT($E$3)=$E221)),INDIRECT(W$3)))&lt;&gt;0,_xlpm.y=0),-2,_xlpm.x)))),0))</f>
        <v>0</v>
      </c>
      <c r="X221" s="199" cm="1">
        <f t="array" aca="1" ref="X221" ca="1">IF(OR($B221="",$B221="X",$D221="",$D221="X",$E221="",$E221="X"),0,IFERROR(_xlfn.LET(_xlpm.x,SUM(SUM(_xlfn._xlws.FILTER(VALUE(PptoSty[Sign]&amp;1)*(1/PptoSty[Division]),(PptoSty[Division]&lt;&gt;0)*(PptoSty[Division]&lt;&gt;"")*(PptoSty[Division]&lt;&gt;"X")*(PptoSty[Project]=$B221)*(PptoSty[Vrs]=$D221)*(PptoSty[PiRow]=_xlfn.TEXTAFTER($H221,":"))*(PptoSty[PiColumn]=X$54),0)),SUM(IF((INDIRECT($B$3)=$B221)*(INDIRECT($C$3)=$D221)*((INDIRECT($E$3)="TOTS")+(INDIRECT($E$3)=$E221)),INDIRECT(X$3)))),_xlpm.y,SUM(_xlfn.CHOOSECOLS(_xlfn._xlws.FILTER(F_RT14[],(F_RT14[PrjId]=$B221)*(F_RT14[Vrs]=$D221)*(_xlfn.TEXTAFTER(F_RT14[ActGrp],":")=_xlfn.TEXTAFTER($H221,":")),"X"),MATCH("*"&amp;X$54,F_RT14[#Headers],0))),IF(AND(_xlpm.x=0,_xlpm.y&lt;&gt;0),-1,IF(AND(_xlpm.x&lt;&gt;0,_xlpm.y&lt;&gt;0),_xlpm.x,IF(AND(_xlpm.x-SUM(IF((INDIRECT($B$3)=$B221)*(INDIRECT($C$3)=$D221)*((INDIRECT($E$3)="TOTS")+(INDIRECT($E$3)=$E221)),INDIRECT(X$3)))&lt;&gt;0,_xlpm.y=0),-2,_xlpm.x)))),0))</f>
        <v>0</v>
      </c>
      <c r="Y221" s="199" cm="1">
        <f t="array" aca="1" ref="Y221" ca="1">IF(OR($B221="",$B221="X",$D221="",$D221="X",$E221="",$E221="X"),0,IFERROR(_xlfn.LET(_xlpm.x,SUM(SUM(_xlfn._xlws.FILTER(VALUE(PptoSty[Sign]&amp;1)*(1/PptoSty[Division]),(PptoSty[Division]&lt;&gt;0)*(PptoSty[Division]&lt;&gt;"")*(PptoSty[Division]&lt;&gt;"X")*(PptoSty[Project]=$B221)*(PptoSty[Vrs]=$D221)*(PptoSty[PiRow]=_xlfn.TEXTAFTER($H221,":"))*(PptoSty[PiColumn]=Y$54),0)),SUM(IF((INDIRECT($B$3)=$B221)*(INDIRECT($C$3)=$D221)*((INDIRECT($E$3)="TOTS")+(INDIRECT($E$3)=$E221)),INDIRECT(Y$3)))),_xlpm.y,SUM(_xlfn.CHOOSECOLS(_xlfn._xlws.FILTER(F_RT14[],(F_RT14[PrjId]=$B221)*(F_RT14[Vrs]=$D221)*(_xlfn.TEXTAFTER(F_RT14[ActGrp],":")=_xlfn.TEXTAFTER($H221,":")),"X"),MATCH("*"&amp;Y$54,F_RT14[#Headers],0))),IF(AND(_xlpm.x=0,_xlpm.y&lt;&gt;0),-1,IF(AND(_xlpm.x&lt;&gt;0,_xlpm.y&lt;&gt;0),_xlpm.x,IF(AND(_xlpm.x-SUM(IF((INDIRECT($B$3)=$B221)*(INDIRECT($C$3)=$D221)*((INDIRECT($E$3)="TOTS")+(INDIRECT($E$3)=$E221)),INDIRECT(Y$3)))&lt;&gt;0,_xlpm.y=0),-2,_xlpm.x)))),0))</f>
        <v>0</v>
      </c>
      <c r="Z221" s="198" t="str">
        <f t="shared" ca="1" si="4"/>
        <v>Fback!B221:Y221</v>
      </c>
    </row>
    <row r="222" spans="2:26" ht="21" customHeight="1" outlineLevel="1">
      <c r="B222" s="128"/>
      <c r="C222" s="128"/>
      <c r="D222" s="128"/>
      <c r="E222" s="128"/>
      <c r="F222" s="139"/>
      <c r="G222" s="139"/>
      <c r="H222" s="139"/>
      <c r="I222" s="199" cm="1">
        <f t="array" aca="1" ref="I222" ca="1">IF(OR($B222="",$B222="X",$D222="",$D222="X",$E222="",$E222="X"),0,IFERROR(_xlfn.LET(_xlpm.x,SUM(SUM(_xlfn._xlws.FILTER(VALUE(PptoSty[Sign]&amp;1)*(1/PptoSty[Division]),(PptoSty[Division]&lt;&gt;0)*(PptoSty[Division]&lt;&gt;"")*(PptoSty[Division]&lt;&gt;"X")*(PptoSty[Project]=$B222)*(PptoSty[Vrs]=$D222)*(PptoSty[PiRow]=_xlfn.TEXTAFTER($H222,":"))*(PptoSty[PiColumn]=I$54),0)),SUM(IF((INDIRECT($B$3)=$B222)*(INDIRECT($C$3)=$D222)*((INDIRECT($E$3)="TOTS")+(INDIRECT($E$3)=$E222)),INDIRECT(I$3)))),_xlpm.y,SUM(_xlfn.CHOOSECOLS(_xlfn._xlws.FILTER(F_RT14[],(F_RT14[PrjId]=$B222)*(F_RT14[Vrs]=$D222)*(_xlfn.TEXTAFTER(F_RT14[ActGrp],":")=_xlfn.TEXTAFTER($H222,":")),"X"),MATCH("*"&amp;I$54,F_RT14[#Headers],0))),IF(AND(_xlpm.x=0,_xlpm.y&lt;&gt;0),-1,IF(AND(_xlpm.x&lt;&gt;0,_xlpm.y&lt;&gt;0),_xlpm.x,IF(AND(_xlpm.x-SUM(IF((INDIRECT($B$3)=$B222)*(INDIRECT($C$3)=$D222)*((INDIRECT($E$3)="TOTS")+(INDIRECT($E$3)=$E222)),INDIRECT(I$3)))&lt;&gt;0,_xlpm.y=0),-2,_xlpm.x)))),0))</f>
        <v>0</v>
      </c>
      <c r="J222" s="199" cm="1">
        <f t="array" aca="1" ref="J222" ca="1">IF(OR($B222="",$B222="X",$D222="",$D222="X",$E222="",$E222="X"),0,IFERROR(_xlfn.LET(_xlpm.x,SUM(SUM(_xlfn._xlws.FILTER(VALUE(PptoSty[Sign]&amp;1)*(1/PptoSty[Division]),(PptoSty[Division]&lt;&gt;0)*(PptoSty[Division]&lt;&gt;"")*(PptoSty[Division]&lt;&gt;"X")*(PptoSty[Project]=$B222)*(PptoSty[Vrs]=$D222)*(PptoSty[PiRow]=_xlfn.TEXTAFTER($H222,":"))*(PptoSty[PiColumn]=J$54),0)),SUM(IF((INDIRECT($B$3)=$B222)*(INDIRECT($C$3)=$D222)*((INDIRECT($E$3)="TOTS")+(INDIRECT($E$3)=$E222)),INDIRECT(J$3)))),_xlpm.y,SUM(_xlfn.CHOOSECOLS(_xlfn._xlws.FILTER(F_RT14[],(F_RT14[PrjId]=$B222)*(F_RT14[Vrs]=$D222)*(_xlfn.TEXTAFTER(F_RT14[ActGrp],":")=_xlfn.TEXTAFTER($H222,":")),"X"),MATCH("*"&amp;J$54,F_RT14[#Headers],0))),IF(AND(_xlpm.x=0,_xlpm.y&lt;&gt;0),-1,IF(AND(_xlpm.x&lt;&gt;0,_xlpm.y&lt;&gt;0),_xlpm.x,IF(AND(_xlpm.x-SUM(IF((INDIRECT($B$3)=$B222)*(INDIRECT($C$3)=$D222)*((INDIRECT($E$3)="TOTS")+(INDIRECT($E$3)=$E222)),INDIRECT(J$3)))&lt;&gt;0,_xlpm.y=0),-2,_xlpm.x)))),0))</f>
        <v>0</v>
      </c>
      <c r="K222" s="199" cm="1">
        <f t="array" aca="1" ref="K222" ca="1">IF(OR($B222="",$B222="X",$D222="",$D222="X",$E222="",$E222="X"),0,IFERROR(_xlfn.LET(_xlpm.x,SUM(SUM(_xlfn._xlws.FILTER(VALUE(PptoSty[Sign]&amp;1)*(1/PptoSty[Division]),(PptoSty[Division]&lt;&gt;0)*(PptoSty[Division]&lt;&gt;"")*(PptoSty[Division]&lt;&gt;"X")*(PptoSty[Project]=$B222)*(PptoSty[Vrs]=$D222)*(PptoSty[PiRow]=_xlfn.TEXTAFTER($H222,":"))*(PptoSty[PiColumn]=K$54),0)),SUM(IF((INDIRECT($B$3)=$B222)*(INDIRECT($C$3)=$D222)*((INDIRECT($E$3)="TOTS")+(INDIRECT($E$3)=$E222)),INDIRECT(K$3)))),_xlpm.y,SUM(_xlfn.CHOOSECOLS(_xlfn._xlws.FILTER(F_RT14[],(F_RT14[PrjId]=$B222)*(F_RT14[Vrs]=$D222)*(_xlfn.TEXTAFTER(F_RT14[ActGrp],":")=_xlfn.TEXTAFTER($H222,":")),"X"),MATCH("*"&amp;K$54,F_RT14[#Headers],0))),IF(AND(_xlpm.x=0,_xlpm.y&lt;&gt;0),-1,IF(AND(_xlpm.x&lt;&gt;0,_xlpm.y&lt;&gt;0),_xlpm.x,IF(AND(_xlpm.x-SUM(IF((INDIRECT($B$3)=$B222)*(INDIRECT($C$3)=$D222)*((INDIRECT($E$3)="TOTS")+(INDIRECT($E$3)=$E222)),INDIRECT(K$3)))&lt;&gt;0,_xlpm.y=0),-2,_xlpm.x)))),0))</f>
        <v>0</v>
      </c>
      <c r="L222" s="199" cm="1">
        <f t="array" aca="1" ref="L222" ca="1">IF(OR($B222="",$B222="X",$D222="",$D222="X",$E222="",$E222="X"),0,IFERROR(_xlfn.LET(_xlpm.x,SUM(SUM(_xlfn._xlws.FILTER(VALUE(PptoSty[Sign]&amp;1)*(1/PptoSty[Division]),(PptoSty[Division]&lt;&gt;0)*(PptoSty[Division]&lt;&gt;"")*(PptoSty[Division]&lt;&gt;"X")*(PptoSty[Project]=$B222)*(PptoSty[Vrs]=$D222)*(PptoSty[PiRow]=_xlfn.TEXTAFTER($H222,":"))*(PptoSty[PiColumn]=L$54),0)),SUM(IF((INDIRECT($B$3)=$B222)*(INDIRECT($C$3)=$D222)*((INDIRECT($E$3)="TOTS")+(INDIRECT($E$3)=$E222)),INDIRECT(L$3)))),_xlpm.y,SUM(_xlfn.CHOOSECOLS(_xlfn._xlws.FILTER(F_RT14[],(F_RT14[PrjId]=$B222)*(F_RT14[Vrs]=$D222)*(_xlfn.TEXTAFTER(F_RT14[ActGrp],":")=_xlfn.TEXTAFTER($H222,":")),"X"),MATCH("*"&amp;L$54,F_RT14[#Headers],0))),IF(AND(_xlpm.x=0,_xlpm.y&lt;&gt;0),-1,IF(AND(_xlpm.x&lt;&gt;0,_xlpm.y&lt;&gt;0),_xlpm.x,IF(AND(_xlpm.x-SUM(IF((INDIRECT($B$3)=$B222)*(INDIRECT($C$3)=$D222)*((INDIRECT($E$3)="TOTS")+(INDIRECT($E$3)=$E222)),INDIRECT(L$3)))&lt;&gt;0,_xlpm.y=0),-2,_xlpm.x)))),0))</f>
        <v>0</v>
      </c>
      <c r="M222" s="199" cm="1">
        <f t="array" aca="1" ref="M222" ca="1">IF(OR($B222="",$B222="X",$D222="",$D222="X",$E222="",$E222="X"),0,IFERROR(_xlfn.LET(_xlpm.x,SUM(SUM(_xlfn._xlws.FILTER(VALUE(PptoSty[Sign]&amp;1)*(1/PptoSty[Division]),(PptoSty[Division]&lt;&gt;0)*(PptoSty[Division]&lt;&gt;"")*(PptoSty[Division]&lt;&gt;"X")*(PptoSty[Project]=$B222)*(PptoSty[Vrs]=$D222)*(PptoSty[PiRow]=_xlfn.TEXTAFTER($H222,":"))*(PptoSty[PiColumn]=M$54),0)),SUM(IF((INDIRECT($B$3)=$B222)*(INDIRECT($C$3)=$D222)*((INDIRECT($E$3)="TOTS")+(INDIRECT($E$3)=$E222)),INDIRECT(M$3)))),_xlpm.y,SUM(_xlfn.CHOOSECOLS(_xlfn._xlws.FILTER(F_RT14[],(F_RT14[PrjId]=$B222)*(F_RT14[Vrs]=$D222)*(_xlfn.TEXTAFTER(F_RT14[ActGrp],":")=_xlfn.TEXTAFTER($H222,":")),"X"),MATCH("*"&amp;M$54,F_RT14[#Headers],0))),IF(AND(_xlpm.x=0,_xlpm.y&lt;&gt;0),-1,IF(AND(_xlpm.x&lt;&gt;0,_xlpm.y&lt;&gt;0),_xlpm.x,IF(AND(_xlpm.x-SUM(IF((INDIRECT($B$3)=$B222)*(INDIRECT($C$3)=$D222)*((INDIRECT($E$3)="TOTS")+(INDIRECT($E$3)=$E222)),INDIRECT(M$3)))&lt;&gt;0,_xlpm.y=0),-2,_xlpm.x)))),0))</f>
        <v>0</v>
      </c>
      <c r="N222" s="199" cm="1">
        <f t="array" aca="1" ref="N222" ca="1">IF(OR($B222="",$B222="X",$D222="",$D222="X",$E222="",$E222="X"),0,IFERROR(_xlfn.LET(_xlpm.x,SUM(SUM(_xlfn._xlws.FILTER(VALUE(PptoSty[Sign]&amp;1)*(1/PptoSty[Division]),(PptoSty[Division]&lt;&gt;0)*(PptoSty[Division]&lt;&gt;"")*(PptoSty[Division]&lt;&gt;"X")*(PptoSty[Project]=$B222)*(PptoSty[Vrs]=$D222)*(PptoSty[PiRow]=_xlfn.TEXTAFTER($H222,":"))*(PptoSty[PiColumn]=N$54),0)),SUM(IF((INDIRECT($B$3)=$B222)*(INDIRECT($C$3)=$D222)*((INDIRECT($E$3)="TOTS")+(INDIRECT($E$3)=$E222)),INDIRECT(N$3)))),_xlpm.y,SUM(_xlfn.CHOOSECOLS(_xlfn._xlws.FILTER(F_RT14[],(F_RT14[PrjId]=$B222)*(F_RT14[Vrs]=$D222)*(_xlfn.TEXTAFTER(F_RT14[ActGrp],":")=_xlfn.TEXTAFTER($H222,":")),"X"),MATCH("*"&amp;N$54,F_RT14[#Headers],0))),IF(AND(_xlpm.x=0,_xlpm.y&lt;&gt;0),-1,IF(AND(_xlpm.x&lt;&gt;0,_xlpm.y&lt;&gt;0),_xlpm.x,IF(AND(_xlpm.x-SUM(IF((INDIRECT($B$3)=$B222)*(INDIRECT($C$3)=$D222)*((INDIRECT($E$3)="TOTS")+(INDIRECT($E$3)=$E222)),INDIRECT(N$3)))&lt;&gt;0,_xlpm.y=0),-2,_xlpm.x)))),0))</f>
        <v>0</v>
      </c>
      <c r="O222" s="199" cm="1">
        <f t="array" aca="1" ref="O222" ca="1">IF(OR($B222="",$B222="X",$D222="",$D222="X",$E222="",$E222="X"),0,IFERROR(_xlfn.LET(_xlpm.x,SUM(SUM(_xlfn._xlws.FILTER(VALUE(PptoSty[Sign]&amp;1)*(1/PptoSty[Division]),(PptoSty[Division]&lt;&gt;0)*(PptoSty[Division]&lt;&gt;"")*(PptoSty[Division]&lt;&gt;"X")*(PptoSty[Project]=$B222)*(PptoSty[Vrs]=$D222)*(PptoSty[PiRow]=_xlfn.TEXTAFTER($H222,":"))*(PptoSty[PiColumn]=O$54),0)),SUM(IF((INDIRECT($B$3)=$B222)*(INDIRECT($C$3)=$D222)*((INDIRECT($E$3)="TOTS")+(INDIRECT($E$3)=$E222)),INDIRECT(O$3)))),_xlpm.y,SUM(_xlfn.CHOOSECOLS(_xlfn._xlws.FILTER(F_RT14[],(F_RT14[PrjId]=$B222)*(F_RT14[Vrs]=$D222)*(_xlfn.TEXTAFTER(F_RT14[ActGrp],":")=_xlfn.TEXTAFTER($H222,":")),"X"),MATCH("*"&amp;O$54,F_RT14[#Headers],0))),IF(AND(_xlpm.x=0,_xlpm.y&lt;&gt;0),-1,IF(AND(_xlpm.x&lt;&gt;0,_xlpm.y&lt;&gt;0),_xlpm.x,IF(AND(_xlpm.x-SUM(IF((INDIRECT($B$3)=$B222)*(INDIRECT($C$3)=$D222)*((INDIRECT($E$3)="TOTS")+(INDIRECT($E$3)=$E222)),INDIRECT(O$3)))&lt;&gt;0,_xlpm.y=0),-2,_xlpm.x)))),0))</f>
        <v>0</v>
      </c>
      <c r="P222" s="199" cm="1">
        <f t="array" aca="1" ref="P222" ca="1">IF(OR($B222="",$B222="X",$D222="",$D222="X",$E222="",$E222="X"),0,IFERROR(_xlfn.LET(_xlpm.x,SUM(SUM(_xlfn._xlws.FILTER(VALUE(PptoSty[Sign]&amp;1)*(1/PptoSty[Division]),(PptoSty[Division]&lt;&gt;0)*(PptoSty[Division]&lt;&gt;"")*(PptoSty[Division]&lt;&gt;"X")*(PptoSty[Project]=$B222)*(PptoSty[Vrs]=$D222)*(PptoSty[PiRow]=_xlfn.TEXTAFTER($H222,":"))*(PptoSty[PiColumn]=P$54),0)),SUM(IF((INDIRECT($B$3)=$B222)*(INDIRECT($C$3)=$D222)*((INDIRECT($E$3)="TOTS")+(INDIRECT($E$3)=$E222)),INDIRECT(P$3)))),_xlpm.y,SUM(_xlfn.CHOOSECOLS(_xlfn._xlws.FILTER(F_RT14[],(F_RT14[PrjId]=$B222)*(F_RT14[Vrs]=$D222)*(_xlfn.TEXTAFTER(F_RT14[ActGrp],":")=_xlfn.TEXTAFTER($H222,":")),"X"),MATCH("*"&amp;P$54,F_RT14[#Headers],0))),IF(AND(_xlpm.x=0,_xlpm.y&lt;&gt;0),-1,IF(AND(_xlpm.x&lt;&gt;0,_xlpm.y&lt;&gt;0),_xlpm.x,IF(AND(_xlpm.x-SUM(IF((INDIRECT($B$3)=$B222)*(INDIRECT($C$3)=$D222)*((INDIRECT($E$3)="TOTS")+(INDIRECT($E$3)=$E222)),INDIRECT(P$3)))&lt;&gt;0,_xlpm.y=0),-2,_xlpm.x)))),0))</f>
        <v>0</v>
      </c>
      <c r="Q222" s="199" cm="1">
        <f t="array" aca="1" ref="Q222" ca="1">IF(OR($B222="",$B222="X",$D222="",$D222="X",$E222="",$E222="X"),0,IFERROR(_xlfn.LET(_xlpm.x,SUM(SUM(_xlfn._xlws.FILTER(VALUE(PptoSty[Sign]&amp;1)*(1/PptoSty[Division]),(PptoSty[Division]&lt;&gt;0)*(PptoSty[Division]&lt;&gt;"")*(PptoSty[Division]&lt;&gt;"X")*(PptoSty[Project]=$B222)*(PptoSty[Vrs]=$D222)*(PptoSty[PiRow]=_xlfn.TEXTAFTER($H222,":"))*(PptoSty[PiColumn]=Q$54),0)),SUM(IF((INDIRECT($B$3)=$B222)*(INDIRECT($C$3)=$D222)*((INDIRECT($E$3)="TOTS")+(INDIRECT($E$3)=$E222)),INDIRECT(Q$3)))),_xlpm.y,SUM(_xlfn.CHOOSECOLS(_xlfn._xlws.FILTER(F_RT14[],(F_RT14[PrjId]=$B222)*(F_RT14[Vrs]=$D222)*(_xlfn.TEXTAFTER(F_RT14[ActGrp],":")=_xlfn.TEXTAFTER($H222,":")),"X"),MATCH("*"&amp;Q$54,F_RT14[#Headers],0))),IF(AND(_xlpm.x=0,_xlpm.y&lt;&gt;0),-1,IF(AND(_xlpm.x&lt;&gt;0,_xlpm.y&lt;&gt;0),_xlpm.x,IF(AND(_xlpm.x-SUM(IF((INDIRECT($B$3)=$B222)*(INDIRECT($C$3)=$D222)*((INDIRECT($E$3)="TOTS")+(INDIRECT($E$3)=$E222)),INDIRECT(Q$3)))&lt;&gt;0,_xlpm.y=0),-2,_xlpm.x)))),0))</f>
        <v>0</v>
      </c>
      <c r="R222" s="199" cm="1">
        <f t="array" aca="1" ref="R222" ca="1">IF(OR($B222="",$B222="X",$D222="",$D222="X",$E222="",$E222="X"),0,IFERROR(_xlfn.LET(_xlpm.x,SUM(SUM(_xlfn._xlws.FILTER(VALUE(PptoSty[Sign]&amp;1)*(1/PptoSty[Division]),(PptoSty[Division]&lt;&gt;0)*(PptoSty[Division]&lt;&gt;"")*(PptoSty[Division]&lt;&gt;"X")*(PptoSty[Project]=$B222)*(PptoSty[Vrs]=$D222)*(PptoSty[PiRow]=_xlfn.TEXTAFTER($H222,":"))*(PptoSty[PiColumn]=R$54),0)),SUM(IF((INDIRECT($B$3)=$B222)*(INDIRECT($C$3)=$D222)*((INDIRECT($E$3)="TOTS")+(INDIRECT($E$3)=$E222)),INDIRECT(R$3)))),_xlpm.y,SUM(_xlfn.CHOOSECOLS(_xlfn._xlws.FILTER(F_RT14[],(F_RT14[PrjId]=$B222)*(F_RT14[Vrs]=$D222)*(_xlfn.TEXTAFTER(F_RT14[ActGrp],":")=_xlfn.TEXTAFTER($H222,":")),"X"),MATCH("*"&amp;R$54,F_RT14[#Headers],0))),IF(AND(_xlpm.x=0,_xlpm.y&lt;&gt;0),-1,IF(AND(_xlpm.x&lt;&gt;0,_xlpm.y&lt;&gt;0),_xlpm.x,IF(AND(_xlpm.x-SUM(IF((INDIRECT($B$3)=$B222)*(INDIRECT($C$3)=$D222)*((INDIRECT($E$3)="TOTS")+(INDIRECT($E$3)=$E222)),INDIRECT(R$3)))&lt;&gt;0,_xlpm.y=0),-2,_xlpm.x)))),0))</f>
        <v>0</v>
      </c>
      <c r="S222" s="199" cm="1">
        <f t="array" aca="1" ref="S222" ca="1">IF(OR($B222="",$B222="X",$D222="",$D222="X",$E222="",$E222="X"),0,IFERROR(_xlfn.LET(_xlpm.x,SUM(SUM(_xlfn._xlws.FILTER(VALUE(PptoSty[Sign]&amp;1)*(1/PptoSty[Division]),(PptoSty[Division]&lt;&gt;0)*(PptoSty[Division]&lt;&gt;"")*(PptoSty[Division]&lt;&gt;"X")*(PptoSty[Project]=$B222)*(PptoSty[Vrs]=$D222)*(PptoSty[PiRow]=_xlfn.TEXTAFTER($H222,":"))*(PptoSty[PiColumn]=S$54),0)),SUM(IF((INDIRECT($B$3)=$B222)*(INDIRECT($C$3)=$D222)*((INDIRECT($E$3)="TOTS")+(INDIRECT($E$3)=$E222)),INDIRECT(S$3)))),_xlpm.y,SUM(_xlfn.CHOOSECOLS(_xlfn._xlws.FILTER(F_RT14[],(F_RT14[PrjId]=$B222)*(F_RT14[Vrs]=$D222)*(_xlfn.TEXTAFTER(F_RT14[ActGrp],":")=_xlfn.TEXTAFTER($H222,":")),"X"),MATCH("*"&amp;S$54,F_RT14[#Headers],0))),IF(AND(_xlpm.x=0,_xlpm.y&lt;&gt;0),-1,IF(AND(_xlpm.x&lt;&gt;0,_xlpm.y&lt;&gt;0),_xlpm.x,IF(AND(_xlpm.x-SUM(IF((INDIRECT($B$3)=$B222)*(INDIRECT($C$3)=$D222)*((INDIRECT($E$3)="TOTS")+(INDIRECT($E$3)=$E222)),INDIRECT(S$3)))&lt;&gt;0,_xlpm.y=0),-2,_xlpm.x)))),0))</f>
        <v>0</v>
      </c>
      <c r="T222" s="199" cm="1">
        <f t="array" aca="1" ref="T222" ca="1">IF(OR($B222="",$B222="X",$D222="",$D222="X",$E222="",$E222="X"),0,IFERROR(_xlfn.LET(_xlpm.x,SUM(SUM(_xlfn._xlws.FILTER(VALUE(PptoSty[Sign]&amp;1)*(1/PptoSty[Division]),(PptoSty[Division]&lt;&gt;0)*(PptoSty[Division]&lt;&gt;"")*(PptoSty[Division]&lt;&gt;"X")*(PptoSty[Project]=$B222)*(PptoSty[Vrs]=$D222)*(PptoSty[PiRow]=_xlfn.TEXTAFTER($H222,":"))*(PptoSty[PiColumn]=T$54),0)),SUM(IF((INDIRECT($B$3)=$B222)*(INDIRECT($C$3)=$D222)*((INDIRECT($E$3)="TOTS")+(INDIRECT($E$3)=$E222)),INDIRECT(T$3)))),_xlpm.y,SUM(_xlfn.CHOOSECOLS(_xlfn._xlws.FILTER(F_RT14[],(F_RT14[PrjId]=$B222)*(F_RT14[Vrs]=$D222)*(_xlfn.TEXTAFTER(F_RT14[ActGrp],":")=_xlfn.TEXTAFTER($H222,":")),"X"),MATCH("*"&amp;T$54,F_RT14[#Headers],0))),IF(AND(_xlpm.x=0,_xlpm.y&lt;&gt;0),-1,IF(AND(_xlpm.x&lt;&gt;0,_xlpm.y&lt;&gt;0),_xlpm.x,IF(AND(_xlpm.x-SUM(IF((INDIRECT($B$3)=$B222)*(INDIRECT($C$3)=$D222)*((INDIRECT($E$3)="TOTS")+(INDIRECT($E$3)=$E222)),INDIRECT(T$3)))&lt;&gt;0,_xlpm.y=0),-2,_xlpm.x)))),0))</f>
        <v>0</v>
      </c>
      <c r="U222" s="199" cm="1">
        <f t="array" aca="1" ref="U222" ca="1">IF(OR($B222="",$B222="X",$D222="",$D222="X",$E222="",$E222="X"),0,IFERROR(_xlfn.LET(_xlpm.x,SUM(SUM(_xlfn._xlws.FILTER(VALUE(PptoSty[Sign]&amp;1)*(1/PptoSty[Division]),(PptoSty[Division]&lt;&gt;0)*(PptoSty[Division]&lt;&gt;"")*(PptoSty[Division]&lt;&gt;"X")*(PptoSty[Project]=$B222)*(PptoSty[Vrs]=$D222)*(PptoSty[PiRow]=_xlfn.TEXTAFTER($H222,":"))*(PptoSty[PiColumn]=U$54),0)),SUM(IF((INDIRECT($B$3)=$B222)*(INDIRECT($C$3)=$D222)*((INDIRECT($E$3)="TOTS")+(INDIRECT($E$3)=$E222)),INDIRECT(U$3)))),_xlpm.y,SUM(_xlfn.CHOOSECOLS(_xlfn._xlws.FILTER(F_RT14[],(F_RT14[PrjId]=$B222)*(F_RT14[Vrs]=$D222)*(_xlfn.TEXTAFTER(F_RT14[ActGrp],":")=_xlfn.TEXTAFTER($H222,":")),"X"),MATCH("*"&amp;U$54,F_RT14[#Headers],0))),IF(AND(_xlpm.x=0,_xlpm.y&lt;&gt;0),-1,IF(AND(_xlpm.x&lt;&gt;0,_xlpm.y&lt;&gt;0),_xlpm.x,IF(AND(_xlpm.x-SUM(IF((INDIRECT($B$3)=$B222)*(INDIRECT($C$3)=$D222)*((INDIRECT($E$3)="TOTS")+(INDIRECT($E$3)=$E222)),INDIRECT(U$3)))&lt;&gt;0,_xlpm.y=0),-2,_xlpm.x)))),0))</f>
        <v>0</v>
      </c>
      <c r="V222" s="199" cm="1">
        <f t="array" aca="1" ref="V222" ca="1">IF(OR($B222="",$B222="X",$D222="",$D222="X",$E222="",$E222="X"),0,IFERROR(_xlfn.LET(_xlpm.x,SUM(SUM(_xlfn._xlws.FILTER(VALUE(PptoSty[Sign]&amp;1)*(1/PptoSty[Division]),(PptoSty[Division]&lt;&gt;0)*(PptoSty[Division]&lt;&gt;"")*(PptoSty[Division]&lt;&gt;"X")*(PptoSty[Project]=$B222)*(PptoSty[Vrs]=$D222)*(PptoSty[PiRow]=_xlfn.TEXTAFTER($H222,":"))*(PptoSty[PiColumn]=V$54),0)),SUM(IF((INDIRECT($B$3)=$B222)*(INDIRECT($C$3)=$D222)*((INDIRECT($E$3)="TOTS")+(INDIRECT($E$3)=$E222)),INDIRECT(V$3)))),_xlpm.y,SUM(_xlfn.CHOOSECOLS(_xlfn._xlws.FILTER(F_RT14[],(F_RT14[PrjId]=$B222)*(F_RT14[Vrs]=$D222)*(_xlfn.TEXTAFTER(F_RT14[ActGrp],":")=_xlfn.TEXTAFTER($H222,":")),"X"),MATCH("*"&amp;V$54,F_RT14[#Headers],0))),IF(AND(_xlpm.x=0,_xlpm.y&lt;&gt;0),-1,IF(AND(_xlpm.x&lt;&gt;0,_xlpm.y&lt;&gt;0),_xlpm.x,IF(AND(_xlpm.x-SUM(IF((INDIRECT($B$3)=$B222)*(INDIRECT($C$3)=$D222)*((INDIRECT($E$3)="TOTS")+(INDIRECT($E$3)=$E222)),INDIRECT(V$3)))&lt;&gt;0,_xlpm.y=0),-2,_xlpm.x)))),0))</f>
        <v>0</v>
      </c>
      <c r="W222" s="199" cm="1">
        <f t="array" aca="1" ref="W222" ca="1">IF(OR($B222="",$B222="X",$D222="",$D222="X",$E222="",$E222="X"),0,IFERROR(_xlfn.LET(_xlpm.x,SUM(SUM(_xlfn._xlws.FILTER(VALUE(PptoSty[Sign]&amp;1)*(1/PptoSty[Division]),(PptoSty[Division]&lt;&gt;0)*(PptoSty[Division]&lt;&gt;"")*(PptoSty[Division]&lt;&gt;"X")*(PptoSty[Project]=$B222)*(PptoSty[Vrs]=$D222)*(PptoSty[PiRow]=_xlfn.TEXTAFTER($H222,":"))*(PptoSty[PiColumn]=W$54),0)),SUM(IF((INDIRECT($B$3)=$B222)*(INDIRECT($C$3)=$D222)*((INDIRECT($E$3)="TOTS")+(INDIRECT($E$3)=$E222)),INDIRECT(W$3)))),_xlpm.y,SUM(_xlfn.CHOOSECOLS(_xlfn._xlws.FILTER(F_RT14[],(F_RT14[PrjId]=$B222)*(F_RT14[Vrs]=$D222)*(_xlfn.TEXTAFTER(F_RT14[ActGrp],":")=_xlfn.TEXTAFTER($H222,":")),"X"),MATCH("*"&amp;W$54,F_RT14[#Headers],0))),IF(AND(_xlpm.x=0,_xlpm.y&lt;&gt;0),-1,IF(AND(_xlpm.x&lt;&gt;0,_xlpm.y&lt;&gt;0),_xlpm.x,IF(AND(_xlpm.x-SUM(IF((INDIRECT($B$3)=$B222)*(INDIRECT($C$3)=$D222)*((INDIRECT($E$3)="TOTS")+(INDIRECT($E$3)=$E222)),INDIRECT(W$3)))&lt;&gt;0,_xlpm.y=0),-2,_xlpm.x)))),0))</f>
        <v>0</v>
      </c>
      <c r="X222" s="199" cm="1">
        <f t="array" aca="1" ref="X222" ca="1">IF(OR($B222="",$B222="X",$D222="",$D222="X",$E222="",$E222="X"),0,IFERROR(_xlfn.LET(_xlpm.x,SUM(SUM(_xlfn._xlws.FILTER(VALUE(PptoSty[Sign]&amp;1)*(1/PptoSty[Division]),(PptoSty[Division]&lt;&gt;0)*(PptoSty[Division]&lt;&gt;"")*(PptoSty[Division]&lt;&gt;"X")*(PptoSty[Project]=$B222)*(PptoSty[Vrs]=$D222)*(PptoSty[PiRow]=_xlfn.TEXTAFTER($H222,":"))*(PptoSty[PiColumn]=X$54),0)),SUM(IF((INDIRECT($B$3)=$B222)*(INDIRECT($C$3)=$D222)*((INDIRECT($E$3)="TOTS")+(INDIRECT($E$3)=$E222)),INDIRECT(X$3)))),_xlpm.y,SUM(_xlfn.CHOOSECOLS(_xlfn._xlws.FILTER(F_RT14[],(F_RT14[PrjId]=$B222)*(F_RT14[Vrs]=$D222)*(_xlfn.TEXTAFTER(F_RT14[ActGrp],":")=_xlfn.TEXTAFTER($H222,":")),"X"),MATCH("*"&amp;X$54,F_RT14[#Headers],0))),IF(AND(_xlpm.x=0,_xlpm.y&lt;&gt;0),-1,IF(AND(_xlpm.x&lt;&gt;0,_xlpm.y&lt;&gt;0),_xlpm.x,IF(AND(_xlpm.x-SUM(IF((INDIRECT($B$3)=$B222)*(INDIRECT($C$3)=$D222)*((INDIRECT($E$3)="TOTS")+(INDIRECT($E$3)=$E222)),INDIRECT(X$3)))&lt;&gt;0,_xlpm.y=0),-2,_xlpm.x)))),0))</f>
        <v>0</v>
      </c>
      <c r="Y222" s="199" cm="1">
        <f t="array" aca="1" ref="Y222" ca="1">IF(OR($B222="",$B222="X",$D222="",$D222="X",$E222="",$E222="X"),0,IFERROR(_xlfn.LET(_xlpm.x,SUM(SUM(_xlfn._xlws.FILTER(VALUE(PptoSty[Sign]&amp;1)*(1/PptoSty[Division]),(PptoSty[Division]&lt;&gt;0)*(PptoSty[Division]&lt;&gt;"")*(PptoSty[Division]&lt;&gt;"X")*(PptoSty[Project]=$B222)*(PptoSty[Vrs]=$D222)*(PptoSty[PiRow]=_xlfn.TEXTAFTER($H222,":"))*(PptoSty[PiColumn]=Y$54),0)),SUM(IF((INDIRECT($B$3)=$B222)*(INDIRECT($C$3)=$D222)*((INDIRECT($E$3)="TOTS")+(INDIRECT($E$3)=$E222)),INDIRECT(Y$3)))),_xlpm.y,SUM(_xlfn.CHOOSECOLS(_xlfn._xlws.FILTER(F_RT14[],(F_RT14[PrjId]=$B222)*(F_RT14[Vrs]=$D222)*(_xlfn.TEXTAFTER(F_RT14[ActGrp],":")=_xlfn.TEXTAFTER($H222,":")),"X"),MATCH("*"&amp;Y$54,F_RT14[#Headers],0))),IF(AND(_xlpm.x=0,_xlpm.y&lt;&gt;0),-1,IF(AND(_xlpm.x&lt;&gt;0,_xlpm.y&lt;&gt;0),_xlpm.x,IF(AND(_xlpm.x-SUM(IF((INDIRECT($B$3)=$B222)*(INDIRECT($C$3)=$D222)*((INDIRECT($E$3)="TOTS")+(INDIRECT($E$3)=$E222)),INDIRECT(Y$3)))&lt;&gt;0,_xlpm.y=0),-2,_xlpm.x)))),0))</f>
        <v>0</v>
      </c>
      <c r="Z222" s="198" t="str">
        <f t="shared" ca="1" si="4"/>
        <v>Fback!B222:Y222</v>
      </c>
    </row>
    <row r="223" spans="2:26" ht="21" customHeight="1" outlineLevel="1">
      <c r="B223" s="128"/>
      <c r="C223" s="128"/>
      <c r="D223" s="128"/>
      <c r="E223" s="128"/>
      <c r="F223" s="139"/>
      <c r="G223" s="139"/>
      <c r="H223" s="139"/>
      <c r="I223" s="199" cm="1">
        <f t="array" aca="1" ref="I223" ca="1">IF(OR($B223="",$B223="X",$D223="",$D223="X",$E223="",$E223="X"),0,IFERROR(_xlfn.LET(_xlpm.x,SUM(SUM(_xlfn._xlws.FILTER(VALUE(PptoSty[Sign]&amp;1)*(1/PptoSty[Division]),(PptoSty[Division]&lt;&gt;0)*(PptoSty[Division]&lt;&gt;"")*(PptoSty[Division]&lt;&gt;"X")*(PptoSty[Project]=$B223)*(PptoSty[Vrs]=$D223)*(PptoSty[PiRow]=_xlfn.TEXTAFTER($H223,":"))*(PptoSty[PiColumn]=I$54),0)),SUM(IF((INDIRECT($B$3)=$B223)*(INDIRECT($C$3)=$D223)*((INDIRECT($E$3)="TOTS")+(INDIRECT($E$3)=$E223)),INDIRECT(I$3)))),_xlpm.y,SUM(_xlfn.CHOOSECOLS(_xlfn._xlws.FILTER(F_RT14[],(F_RT14[PrjId]=$B223)*(F_RT14[Vrs]=$D223)*(_xlfn.TEXTAFTER(F_RT14[ActGrp],":")=_xlfn.TEXTAFTER($H223,":")),"X"),MATCH("*"&amp;I$54,F_RT14[#Headers],0))),IF(AND(_xlpm.x=0,_xlpm.y&lt;&gt;0),-1,IF(AND(_xlpm.x&lt;&gt;0,_xlpm.y&lt;&gt;0),_xlpm.x,IF(AND(_xlpm.x-SUM(IF((INDIRECT($B$3)=$B223)*(INDIRECT($C$3)=$D223)*((INDIRECT($E$3)="TOTS")+(INDIRECT($E$3)=$E223)),INDIRECT(I$3)))&lt;&gt;0,_xlpm.y=0),-2,_xlpm.x)))),0))</f>
        <v>0</v>
      </c>
      <c r="J223" s="199" cm="1">
        <f t="array" aca="1" ref="J223" ca="1">IF(OR($B223="",$B223="X",$D223="",$D223="X",$E223="",$E223="X"),0,IFERROR(_xlfn.LET(_xlpm.x,SUM(SUM(_xlfn._xlws.FILTER(VALUE(PptoSty[Sign]&amp;1)*(1/PptoSty[Division]),(PptoSty[Division]&lt;&gt;0)*(PptoSty[Division]&lt;&gt;"")*(PptoSty[Division]&lt;&gt;"X")*(PptoSty[Project]=$B223)*(PptoSty[Vrs]=$D223)*(PptoSty[PiRow]=_xlfn.TEXTAFTER($H223,":"))*(PptoSty[PiColumn]=J$54),0)),SUM(IF((INDIRECT($B$3)=$B223)*(INDIRECT($C$3)=$D223)*((INDIRECT($E$3)="TOTS")+(INDIRECT($E$3)=$E223)),INDIRECT(J$3)))),_xlpm.y,SUM(_xlfn.CHOOSECOLS(_xlfn._xlws.FILTER(F_RT14[],(F_RT14[PrjId]=$B223)*(F_RT14[Vrs]=$D223)*(_xlfn.TEXTAFTER(F_RT14[ActGrp],":")=_xlfn.TEXTAFTER($H223,":")),"X"),MATCH("*"&amp;J$54,F_RT14[#Headers],0))),IF(AND(_xlpm.x=0,_xlpm.y&lt;&gt;0),-1,IF(AND(_xlpm.x&lt;&gt;0,_xlpm.y&lt;&gt;0),_xlpm.x,IF(AND(_xlpm.x-SUM(IF((INDIRECT($B$3)=$B223)*(INDIRECT($C$3)=$D223)*((INDIRECT($E$3)="TOTS")+(INDIRECT($E$3)=$E223)),INDIRECT(J$3)))&lt;&gt;0,_xlpm.y=0),-2,_xlpm.x)))),0))</f>
        <v>0</v>
      </c>
      <c r="K223" s="199" cm="1">
        <f t="array" aca="1" ref="K223" ca="1">IF(OR($B223="",$B223="X",$D223="",$D223="X",$E223="",$E223="X"),0,IFERROR(_xlfn.LET(_xlpm.x,SUM(SUM(_xlfn._xlws.FILTER(VALUE(PptoSty[Sign]&amp;1)*(1/PptoSty[Division]),(PptoSty[Division]&lt;&gt;0)*(PptoSty[Division]&lt;&gt;"")*(PptoSty[Division]&lt;&gt;"X")*(PptoSty[Project]=$B223)*(PptoSty[Vrs]=$D223)*(PptoSty[PiRow]=_xlfn.TEXTAFTER($H223,":"))*(PptoSty[PiColumn]=K$54),0)),SUM(IF((INDIRECT($B$3)=$B223)*(INDIRECT($C$3)=$D223)*((INDIRECT($E$3)="TOTS")+(INDIRECT($E$3)=$E223)),INDIRECT(K$3)))),_xlpm.y,SUM(_xlfn.CHOOSECOLS(_xlfn._xlws.FILTER(F_RT14[],(F_RT14[PrjId]=$B223)*(F_RT14[Vrs]=$D223)*(_xlfn.TEXTAFTER(F_RT14[ActGrp],":")=_xlfn.TEXTAFTER($H223,":")),"X"),MATCH("*"&amp;K$54,F_RT14[#Headers],0))),IF(AND(_xlpm.x=0,_xlpm.y&lt;&gt;0),-1,IF(AND(_xlpm.x&lt;&gt;0,_xlpm.y&lt;&gt;0),_xlpm.x,IF(AND(_xlpm.x-SUM(IF((INDIRECT($B$3)=$B223)*(INDIRECT($C$3)=$D223)*((INDIRECT($E$3)="TOTS")+(INDIRECT($E$3)=$E223)),INDIRECT(K$3)))&lt;&gt;0,_xlpm.y=0),-2,_xlpm.x)))),0))</f>
        <v>0</v>
      </c>
      <c r="L223" s="199" cm="1">
        <f t="array" aca="1" ref="L223" ca="1">IF(OR($B223="",$B223="X",$D223="",$D223="X",$E223="",$E223="X"),0,IFERROR(_xlfn.LET(_xlpm.x,SUM(SUM(_xlfn._xlws.FILTER(VALUE(PptoSty[Sign]&amp;1)*(1/PptoSty[Division]),(PptoSty[Division]&lt;&gt;0)*(PptoSty[Division]&lt;&gt;"")*(PptoSty[Division]&lt;&gt;"X")*(PptoSty[Project]=$B223)*(PptoSty[Vrs]=$D223)*(PptoSty[PiRow]=_xlfn.TEXTAFTER($H223,":"))*(PptoSty[PiColumn]=L$54),0)),SUM(IF((INDIRECT($B$3)=$B223)*(INDIRECT($C$3)=$D223)*((INDIRECT($E$3)="TOTS")+(INDIRECT($E$3)=$E223)),INDIRECT(L$3)))),_xlpm.y,SUM(_xlfn.CHOOSECOLS(_xlfn._xlws.FILTER(F_RT14[],(F_RT14[PrjId]=$B223)*(F_RT14[Vrs]=$D223)*(_xlfn.TEXTAFTER(F_RT14[ActGrp],":")=_xlfn.TEXTAFTER($H223,":")),"X"),MATCH("*"&amp;L$54,F_RT14[#Headers],0))),IF(AND(_xlpm.x=0,_xlpm.y&lt;&gt;0),-1,IF(AND(_xlpm.x&lt;&gt;0,_xlpm.y&lt;&gt;0),_xlpm.x,IF(AND(_xlpm.x-SUM(IF((INDIRECT($B$3)=$B223)*(INDIRECT($C$3)=$D223)*((INDIRECT($E$3)="TOTS")+(INDIRECT($E$3)=$E223)),INDIRECT(L$3)))&lt;&gt;0,_xlpm.y=0),-2,_xlpm.x)))),0))</f>
        <v>0</v>
      </c>
      <c r="M223" s="199" cm="1">
        <f t="array" aca="1" ref="M223" ca="1">IF(OR($B223="",$B223="X",$D223="",$D223="X",$E223="",$E223="X"),0,IFERROR(_xlfn.LET(_xlpm.x,SUM(SUM(_xlfn._xlws.FILTER(VALUE(PptoSty[Sign]&amp;1)*(1/PptoSty[Division]),(PptoSty[Division]&lt;&gt;0)*(PptoSty[Division]&lt;&gt;"")*(PptoSty[Division]&lt;&gt;"X")*(PptoSty[Project]=$B223)*(PptoSty[Vrs]=$D223)*(PptoSty[PiRow]=_xlfn.TEXTAFTER($H223,":"))*(PptoSty[PiColumn]=M$54),0)),SUM(IF((INDIRECT($B$3)=$B223)*(INDIRECT($C$3)=$D223)*((INDIRECT($E$3)="TOTS")+(INDIRECT($E$3)=$E223)),INDIRECT(M$3)))),_xlpm.y,SUM(_xlfn.CHOOSECOLS(_xlfn._xlws.FILTER(F_RT14[],(F_RT14[PrjId]=$B223)*(F_RT14[Vrs]=$D223)*(_xlfn.TEXTAFTER(F_RT14[ActGrp],":")=_xlfn.TEXTAFTER($H223,":")),"X"),MATCH("*"&amp;M$54,F_RT14[#Headers],0))),IF(AND(_xlpm.x=0,_xlpm.y&lt;&gt;0),-1,IF(AND(_xlpm.x&lt;&gt;0,_xlpm.y&lt;&gt;0),_xlpm.x,IF(AND(_xlpm.x-SUM(IF((INDIRECT($B$3)=$B223)*(INDIRECT($C$3)=$D223)*((INDIRECT($E$3)="TOTS")+(INDIRECT($E$3)=$E223)),INDIRECT(M$3)))&lt;&gt;0,_xlpm.y=0),-2,_xlpm.x)))),0))</f>
        <v>0</v>
      </c>
      <c r="N223" s="199" cm="1">
        <f t="array" aca="1" ref="N223" ca="1">IF(OR($B223="",$B223="X",$D223="",$D223="X",$E223="",$E223="X"),0,IFERROR(_xlfn.LET(_xlpm.x,SUM(SUM(_xlfn._xlws.FILTER(VALUE(PptoSty[Sign]&amp;1)*(1/PptoSty[Division]),(PptoSty[Division]&lt;&gt;0)*(PptoSty[Division]&lt;&gt;"")*(PptoSty[Division]&lt;&gt;"X")*(PptoSty[Project]=$B223)*(PptoSty[Vrs]=$D223)*(PptoSty[PiRow]=_xlfn.TEXTAFTER($H223,":"))*(PptoSty[PiColumn]=N$54),0)),SUM(IF((INDIRECT($B$3)=$B223)*(INDIRECT($C$3)=$D223)*((INDIRECT($E$3)="TOTS")+(INDIRECT($E$3)=$E223)),INDIRECT(N$3)))),_xlpm.y,SUM(_xlfn.CHOOSECOLS(_xlfn._xlws.FILTER(F_RT14[],(F_RT14[PrjId]=$B223)*(F_RT14[Vrs]=$D223)*(_xlfn.TEXTAFTER(F_RT14[ActGrp],":")=_xlfn.TEXTAFTER($H223,":")),"X"),MATCH("*"&amp;N$54,F_RT14[#Headers],0))),IF(AND(_xlpm.x=0,_xlpm.y&lt;&gt;0),-1,IF(AND(_xlpm.x&lt;&gt;0,_xlpm.y&lt;&gt;0),_xlpm.x,IF(AND(_xlpm.x-SUM(IF((INDIRECT($B$3)=$B223)*(INDIRECT($C$3)=$D223)*((INDIRECT($E$3)="TOTS")+(INDIRECT($E$3)=$E223)),INDIRECT(N$3)))&lt;&gt;0,_xlpm.y=0),-2,_xlpm.x)))),0))</f>
        <v>0</v>
      </c>
      <c r="O223" s="199" cm="1">
        <f t="array" aca="1" ref="O223" ca="1">IF(OR($B223="",$B223="X",$D223="",$D223="X",$E223="",$E223="X"),0,IFERROR(_xlfn.LET(_xlpm.x,SUM(SUM(_xlfn._xlws.FILTER(VALUE(PptoSty[Sign]&amp;1)*(1/PptoSty[Division]),(PptoSty[Division]&lt;&gt;0)*(PptoSty[Division]&lt;&gt;"")*(PptoSty[Division]&lt;&gt;"X")*(PptoSty[Project]=$B223)*(PptoSty[Vrs]=$D223)*(PptoSty[PiRow]=_xlfn.TEXTAFTER($H223,":"))*(PptoSty[PiColumn]=O$54),0)),SUM(IF((INDIRECT($B$3)=$B223)*(INDIRECT($C$3)=$D223)*((INDIRECT($E$3)="TOTS")+(INDIRECT($E$3)=$E223)),INDIRECT(O$3)))),_xlpm.y,SUM(_xlfn.CHOOSECOLS(_xlfn._xlws.FILTER(F_RT14[],(F_RT14[PrjId]=$B223)*(F_RT14[Vrs]=$D223)*(_xlfn.TEXTAFTER(F_RT14[ActGrp],":")=_xlfn.TEXTAFTER($H223,":")),"X"),MATCH("*"&amp;O$54,F_RT14[#Headers],0))),IF(AND(_xlpm.x=0,_xlpm.y&lt;&gt;0),-1,IF(AND(_xlpm.x&lt;&gt;0,_xlpm.y&lt;&gt;0),_xlpm.x,IF(AND(_xlpm.x-SUM(IF((INDIRECT($B$3)=$B223)*(INDIRECT($C$3)=$D223)*((INDIRECT($E$3)="TOTS")+(INDIRECT($E$3)=$E223)),INDIRECT(O$3)))&lt;&gt;0,_xlpm.y=0),-2,_xlpm.x)))),0))</f>
        <v>0</v>
      </c>
      <c r="P223" s="199" cm="1">
        <f t="array" aca="1" ref="P223" ca="1">IF(OR($B223="",$B223="X",$D223="",$D223="X",$E223="",$E223="X"),0,IFERROR(_xlfn.LET(_xlpm.x,SUM(SUM(_xlfn._xlws.FILTER(VALUE(PptoSty[Sign]&amp;1)*(1/PptoSty[Division]),(PptoSty[Division]&lt;&gt;0)*(PptoSty[Division]&lt;&gt;"")*(PptoSty[Division]&lt;&gt;"X")*(PptoSty[Project]=$B223)*(PptoSty[Vrs]=$D223)*(PptoSty[PiRow]=_xlfn.TEXTAFTER($H223,":"))*(PptoSty[PiColumn]=P$54),0)),SUM(IF((INDIRECT($B$3)=$B223)*(INDIRECT($C$3)=$D223)*((INDIRECT($E$3)="TOTS")+(INDIRECT($E$3)=$E223)),INDIRECT(P$3)))),_xlpm.y,SUM(_xlfn.CHOOSECOLS(_xlfn._xlws.FILTER(F_RT14[],(F_RT14[PrjId]=$B223)*(F_RT14[Vrs]=$D223)*(_xlfn.TEXTAFTER(F_RT14[ActGrp],":")=_xlfn.TEXTAFTER($H223,":")),"X"),MATCH("*"&amp;P$54,F_RT14[#Headers],0))),IF(AND(_xlpm.x=0,_xlpm.y&lt;&gt;0),-1,IF(AND(_xlpm.x&lt;&gt;0,_xlpm.y&lt;&gt;0),_xlpm.x,IF(AND(_xlpm.x-SUM(IF((INDIRECT($B$3)=$B223)*(INDIRECT($C$3)=$D223)*((INDIRECT($E$3)="TOTS")+(INDIRECT($E$3)=$E223)),INDIRECT(P$3)))&lt;&gt;0,_xlpm.y=0),-2,_xlpm.x)))),0))</f>
        <v>0</v>
      </c>
      <c r="Q223" s="199" cm="1">
        <f t="array" aca="1" ref="Q223" ca="1">IF(OR($B223="",$B223="X",$D223="",$D223="X",$E223="",$E223="X"),0,IFERROR(_xlfn.LET(_xlpm.x,SUM(SUM(_xlfn._xlws.FILTER(VALUE(PptoSty[Sign]&amp;1)*(1/PptoSty[Division]),(PptoSty[Division]&lt;&gt;0)*(PptoSty[Division]&lt;&gt;"")*(PptoSty[Division]&lt;&gt;"X")*(PptoSty[Project]=$B223)*(PptoSty[Vrs]=$D223)*(PptoSty[PiRow]=_xlfn.TEXTAFTER($H223,":"))*(PptoSty[PiColumn]=Q$54),0)),SUM(IF((INDIRECT($B$3)=$B223)*(INDIRECT($C$3)=$D223)*((INDIRECT($E$3)="TOTS")+(INDIRECT($E$3)=$E223)),INDIRECT(Q$3)))),_xlpm.y,SUM(_xlfn.CHOOSECOLS(_xlfn._xlws.FILTER(F_RT14[],(F_RT14[PrjId]=$B223)*(F_RT14[Vrs]=$D223)*(_xlfn.TEXTAFTER(F_RT14[ActGrp],":")=_xlfn.TEXTAFTER($H223,":")),"X"),MATCH("*"&amp;Q$54,F_RT14[#Headers],0))),IF(AND(_xlpm.x=0,_xlpm.y&lt;&gt;0),-1,IF(AND(_xlpm.x&lt;&gt;0,_xlpm.y&lt;&gt;0),_xlpm.x,IF(AND(_xlpm.x-SUM(IF((INDIRECT($B$3)=$B223)*(INDIRECT($C$3)=$D223)*((INDIRECT($E$3)="TOTS")+(INDIRECT($E$3)=$E223)),INDIRECT(Q$3)))&lt;&gt;0,_xlpm.y=0),-2,_xlpm.x)))),0))</f>
        <v>0</v>
      </c>
      <c r="R223" s="199" cm="1">
        <f t="array" aca="1" ref="R223" ca="1">IF(OR($B223="",$B223="X",$D223="",$D223="X",$E223="",$E223="X"),0,IFERROR(_xlfn.LET(_xlpm.x,SUM(SUM(_xlfn._xlws.FILTER(VALUE(PptoSty[Sign]&amp;1)*(1/PptoSty[Division]),(PptoSty[Division]&lt;&gt;0)*(PptoSty[Division]&lt;&gt;"")*(PptoSty[Division]&lt;&gt;"X")*(PptoSty[Project]=$B223)*(PptoSty[Vrs]=$D223)*(PptoSty[PiRow]=_xlfn.TEXTAFTER($H223,":"))*(PptoSty[PiColumn]=R$54),0)),SUM(IF((INDIRECT($B$3)=$B223)*(INDIRECT($C$3)=$D223)*((INDIRECT($E$3)="TOTS")+(INDIRECT($E$3)=$E223)),INDIRECT(R$3)))),_xlpm.y,SUM(_xlfn.CHOOSECOLS(_xlfn._xlws.FILTER(F_RT14[],(F_RT14[PrjId]=$B223)*(F_RT14[Vrs]=$D223)*(_xlfn.TEXTAFTER(F_RT14[ActGrp],":")=_xlfn.TEXTAFTER($H223,":")),"X"),MATCH("*"&amp;R$54,F_RT14[#Headers],0))),IF(AND(_xlpm.x=0,_xlpm.y&lt;&gt;0),-1,IF(AND(_xlpm.x&lt;&gt;0,_xlpm.y&lt;&gt;0),_xlpm.x,IF(AND(_xlpm.x-SUM(IF((INDIRECT($B$3)=$B223)*(INDIRECT($C$3)=$D223)*((INDIRECT($E$3)="TOTS")+(INDIRECT($E$3)=$E223)),INDIRECT(R$3)))&lt;&gt;0,_xlpm.y=0),-2,_xlpm.x)))),0))</f>
        <v>0</v>
      </c>
      <c r="S223" s="199" cm="1">
        <f t="array" aca="1" ref="S223" ca="1">IF(OR($B223="",$B223="X",$D223="",$D223="X",$E223="",$E223="X"),0,IFERROR(_xlfn.LET(_xlpm.x,SUM(SUM(_xlfn._xlws.FILTER(VALUE(PptoSty[Sign]&amp;1)*(1/PptoSty[Division]),(PptoSty[Division]&lt;&gt;0)*(PptoSty[Division]&lt;&gt;"")*(PptoSty[Division]&lt;&gt;"X")*(PptoSty[Project]=$B223)*(PptoSty[Vrs]=$D223)*(PptoSty[PiRow]=_xlfn.TEXTAFTER($H223,":"))*(PptoSty[PiColumn]=S$54),0)),SUM(IF((INDIRECT($B$3)=$B223)*(INDIRECT($C$3)=$D223)*((INDIRECT($E$3)="TOTS")+(INDIRECT($E$3)=$E223)),INDIRECT(S$3)))),_xlpm.y,SUM(_xlfn.CHOOSECOLS(_xlfn._xlws.FILTER(F_RT14[],(F_RT14[PrjId]=$B223)*(F_RT14[Vrs]=$D223)*(_xlfn.TEXTAFTER(F_RT14[ActGrp],":")=_xlfn.TEXTAFTER($H223,":")),"X"),MATCH("*"&amp;S$54,F_RT14[#Headers],0))),IF(AND(_xlpm.x=0,_xlpm.y&lt;&gt;0),-1,IF(AND(_xlpm.x&lt;&gt;0,_xlpm.y&lt;&gt;0),_xlpm.x,IF(AND(_xlpm.x-SUM(IF((INDIRECT($B$3)=$B223)*(INDIRECT($C$3)=$D223)*((INDIRECT($E$3)="TOTS")+(INDIRECT($E$3)=$E223)),INDIRECT(S$3)))&lt;&gt;0,_xlpm.y=0),-2,_xlpm.x)))),0))</f>
        <v>0</v>
      </c>
      <c r="T223" s="199" cm="1">
        <f t="array" aca="1" ref="T223" ca="1">IF(OR($B223="",$B223="X",$D223="",$D223="X",$E223="",$E223="X"),0,IFERROR(_xlfn.LET(_xlpm.x,SUM(SUM(_xlfn._xlws.FILTER(VALUE(PptoSty[Sign]&amp;1)*(1/PptoSty[Division]),(PptoSty[Division]&lt;&gt;0)*(PptoSty[Division]&lt;&gt;"")*(PptoSty[Division]&lt;&gt;"X")*(PptoSty[Project]=$B223)*(PptoSty[Vrs]=$D223)*(PptoSty[PiRow]=_xlfn.TEXTAFTER($H223,":"))*(PptoSty[PiColumn]=T$54),0)),SUM(IF((INDIRECT($B$3)=$B223)*(INDIRECT($C$3)=$D223)*((INDIRECT($E$3)="TOTS")+(INDIRECT($E$3)=$E223)),INDIRECT(T$3)))),_xlpm.y,SUM(_xlfn.CHOOSECOLS(_xlfn._xlws.FILTER(F_RT14[],(F_RT14[PrjId]=$B223)*(F_RT14[Vrs]=$D223)*(_xlfn.TEXTAFTER(F_RT14[ActGrp],":")=_xlfn.TEXTAFTER($H223,":")),"X"),MATCH("*"&amp;T$54,F_RT14[#Headers],0))),IF(AND(_xlpm.x=0,_xlpm.y&lt;&gt;0),-1,IF(AND(_xlpm.x&lt;&gt;0,_xlpm.y&lt;&gt;0),_xlpm.x,IF(AND(_xlpm.x-SUM(IF((INDIRECT($B$3)=$B223)*(INDIRECT($C$3)=$D223)*((INDIRECT($E$3)="TOTS")+(INDIRECT($E$3)=$E223)),INDIRECT(T$3)))&lt;&gt;0,_xlpm.y=0),-2,_xlpm.x)))),0))</f>
        <v>0</v>
      </c>
      <c r="U223" s="199" cm="1">
        <f t="array" aca="1" ref="U223" ca="1">IF(OR($B223="",$B223="X",$D223="",$D223="X",$E223="",$E223="X"),0,IFERROR(_xlfn.LET(_xlpm.x,SUM(SUM(_xlfn._xlws.FILTER(VALUE(PptoSty[Sign]&amp;1)*(1/PptoSty[Division]),(PptoSty[Division]&lt;&gt;0)*(PptoSty[Division]&lt;&gt;"")*(PptoSty[Division]&lt;&gt;"X")*(PptoSty[Project]=$B223)*(PptoSty[Vrs]=$D223)*(PptoSty[PiRow]=_xlfn.TEXTAFTER($H223,":"))*(PptoSty[PiColumn]=U$54),0)),SUM(IF((INDIRECT($B$3)=$B223)*(INDIRECT($C$3)=$D223)*((INDIRECT($E$3)="TOTS")+(INDIRECT($E$3)=$E223)),INDIRECT(U$3)))),_xlpm.y,SUM(_xlfn.CHOOSECOLS(_xlfn._xlws.FILTER(F_RT14[],(F_RT14[PrjId]=$B223)*(F_RT14[Vrs]=$D223)*(_xlfn.TEXTAFTER(F_RT14[ActGrp],":")=_xlfn.TEXTAFTER($H223,":")),"X"),MATCH("*"&amp;U$54,F_RT14[#Headers],0))),IF(AND(_xlpm.x=0,_xlpm.y&lt;&gt;0),-1,IF(AND(_xlpm.x&lt;&gt;0,_xlpm.y&lt;&gt;0),_xlpm.x,IF(AND(_xlpm.x-SUM(IF((INDIRECT($B$3)=$B223)*(INDIRECT($C$3)=$D223)*((INDIRECT($E$3)="TOTS")+(INDIRECT($E$3)=$E223)),INDIRECT(U$3)))&lt;&gt;0,_xlpm.y=0),-2,_xlpm.x)))),0))</f>
        <v>0</v>
      </c>
      <c r="V223" s="199" cm="1">
        <f t="array" aca="1" ref="V223" ca="1">IF(OR($B223="",$B223="X",$D223="",$D223="X",$E223="",$E223="X"),0,IFERROR(_xlfn.LET(_xlpm.x,SUM(SUM(_xlfn._xlws.FILTER(VALUE(PptoSty[Sign]&amp;1)*(1/PptoSty[Division]),(PptoSty[Division]&lt;&gt;0)*(PptoSty[Division]&lt;&gt;"")*(PptoSty[Division]&lt;&gt;"X")*(PptoSty[Project]=$B223)*(PptoSty[Vrs]=$D223)*(PptoSty[PiRow]=_xlfn.TEXTAFTER($H223,":"))*(PptoSty[PiColumn]=V$54),0)),SUM(IF((INDIRECT($B$3)=$B223)*(INDIRECT($C$3)=$D223)*((INDIRECT($E$3)="TOTS")+(INDIRECT($E$3)=$E223)),INDIRECT(V$3)))),_xlpm.y,SUM(_xlfn.CHOOSECOLS(_xlfn._xlws.FILTER(F_RT14[],(F_RT14[PrjId]=$B223)*(F_RT14[Vrs]=$D223)*(_xlfn.TEXTAFTER(F_RT14[ActGrp],":")=_xlfn.TEXTAFTER($H223,":")),"X"),MATCH("*"&amp;V$54,F_RT14[#Headers],0))),IF(AND(_xlpm.x=0,_xlpm.y&lt;&gt;0),-1,IF(AND(_xlpm.x&lt;&gt;0,_xlpm.y&lt;&gt;0),_xlpm.x,IF(AND(_xlpm.x-SUM(IF((INDIRECT($B$3)=$B223)*(INDIRECT($C$3)=$D223)*((INDIRECT($E$3)="TOTS")+(INDIRECT($E$3)=$E223)),INDIRECT(V$3)))&lt;&gt;0,_xlpm.y=0),-2,_xlpm.x)))),0))</f>
        <v>0</v>
      </c>
      <c r="W223" s="199" cm="1">
        <f t="array" aca="1" ref="W223" ca="1">IF(OR($B223="",$B223="X",$D223="",$D223="X",$E223="",$E223="X"),0,IFERROR(_xlfn.LET(_xlpm.x,SUM(SUM(_xlfn._xlws.FILTER(VALUE(PptoSty[Sign]&amp;1)*(1/PptoSty[Division]),(PptoSty[Division]&lt;&gt;0)*(PptoSty[Division]&lt;&gt;"")*(PptoSty[Division]&lt;&gt;"X")*(PptoSty[Project]=$B223)*(PptoSty[Vrs]=$D223)*(PptoSty[PiRow]=_xlfn.TEXTAFTER($H223,":"))*(PptoSty[PiColumn]=W$54),0)),SUM(IF((INDIRECT($B$3)=$B223)*(INDIRECT($C$3)=$D223)*((INDIRECT($E$3)="TOTS")+(INDIRECT($E$3)=$E223)),INDIRECT(W$3)))),_xlpm.y,SUM(_xlfn.CHOOSECOLS(_xlfn._xlws.FILTER(F_RT14[],(F_RT14[PrjId]=$B223)*(F_RT14[Vrs]=$D223)*(_xlfn.TEXTAFTER(F_RT14[ActGrp],":")=_xlfn.TEXTAFTER($H223,":")),"X"),MATCH("*"&amp;W$54,F_RT14[#Headers],0))),IF(AND(_xlpm.x=0,_xlpm.y&lt;&gt;0),-1,IF(AND(_xlpm.x&lt;&gt;0,_xlpm.y&lt;&gt;0),_xlpm.x,IF(AND(_xlpm.x-SUM(IF((INDIRECT($B$3)=$B223)*(INDIRECT($C$3)=$D223)*((INDIRECT($E$3)="TOTS")+(INDIRECT($E$3)=$E223)),INDIRECT(W$3)))&lt;&gt;0,_xlpm.y=0),-2,_xlpm.x)))),0))</f>
        <v>0</v>
      </c>
      <c r="X223" s="199" cm="1">
        <f t="array" aca="1" ref="X223" ca="1">IF(OR($B223="",$B223="X",$D223="",$D223="X",$E223="",$E223="X"),0,IFERROR(_xlfn.LET(_xlpm.x,SUM(SUM(_xlfn._xlws.FILTER(VALUE(PptoSty[Sign]&amp;1)*(1/PptoSty[Division]),(PptoSty[Division]&lt;&gt;0)*(PptoSty[Division]&lt;&gt;"")*(PptoSty[Division]&lt;&gt;"X")*(PptoSty[Project]=$B223)*(PptoSty[Vrs]=$D223)*(PptoSty[PiRow]=_xlfn.TEXTAFTER($H223,":"))*(PptoSty[PiColumn]=X$54),0)),SUM(IF((INDIRECT($B$3)=$B223)*(INDIRECT($C$3)=$D223)*((INDIRECT($E$3)="TOTS")+(INDIRECT($E$3)=$E223)),INDIRECT(X$3)))),_xlpm.y,SUM(_xlfn.CHOOSECOLS(_xlfn._xlws.FILTER(F_RT14[],(F_RT14[PrjId]=$B223)*(F_RT14[Vrs]=$D223)*(_xlfn.TEXTAFTER(F_RT14[ActGrp],":")=_xlfn.TEXTAFTER($H223,":")),"X"),MATCH("*"&amp;X$54,F_RT14[#Headers],0))),IF(AND(_xlpm.x=0,_xlpm.y&lt;&gt;0),-1,IF(AND(_xlpm.x&lt;&gt;0,_xlpm.y&lt;&gt;0),_xlpm.x,IF(AND(_xlpm.x-SUM(IF((INDIRECT($B$3)=$B223)*(INDIRECT($C$3)=$D223)*((INDIRECT($E$3)="TOTS")+(INDIRECT($E$3)=$E223)),INDIRECT(X$3)))&lt;&gt;0,_xlpm.y=0),-2,_xlpm.x)))),0))</f>
        <v>0</v>
      </c>
      <c r="Y223" s="199" cm="1">
        <f t="array" aca="1" ref="Y223" ca="1">IF(OR($B223="",$B223="X",$D223="",$D223="X",$E223="",$E223="X"),0,IFERROR(_xlfn.LET(_xlpm.x,SUM(SUM(_xlfn._xlws.FILTER(VALUE(PptoSty[Sign]&amp;1)*(1/PptoSty[Division]),(PptoSty[Division]&lt;&gt;0)*(PptoSty[Division]&lt;&gt;"")*(PptoSty[Division]&lt;&gt;"X")*(PptoSty[Project]=$B223)*(PptoSty[Vrs]=$D223)*(PptoSty[PiRow]=_xlfn.TEXTAFTER($H223,":"))*(PptoSty[PiColumn]=Y$54),0)),SUM(IF((INDIRECT($B$3)=$B223)*(INDIRECT($C$3)=$D223)*((INDIRECT($E$3)="TOTS")+(INDIRECT($E$3)=$E223)),INDIRECT(Y$3)))),_xlpm.y,SUM(_xlfn.CHOOSECOLS(_xlfn._xlws.FILTER(F_RT14[],(F_RT14[PrjId]=$B223)*(F_RT14[Vrs]=$D223)*(_xlfn.TEXTAFTER(F_RT14[ActGrp],":")=_xlfn.TEXTAFTER($H223,":")),"X"),MATCH("*"&amp;Y$54,F_RT14[#Headers],0))),IF(AND(_xlpm.x=0,_xlpm.y&lt;&gt;0),-1,IF(AND(_xlpm.x&lt;&gt;0,_xlpm.y&lt;&gt;0),_xlpm.x,IF(AND(_xlpm.x-SUM(IF((INDIRECT($B$3)=$B223)*(INDIRECT($C$3)=$D223)*((INDIRECT($E$3)="TOTS")+(INDIRECT($E$3)=$E223)),INDIRECT(Y$3)))&lt;&gt;0,_xlpm.y=0),-2,_xlpm.x)))),0))</f>
        <v>0</v>
      </c>
      <c r="Z223" s="198" t="str">
        <f t="shared" ca="1" si="4"/>
        <v>Fback!B223:Y223</v>
      </c>
    </row>
    <row r="224" spans="2:26" ht="21" customHeight="1" outlineLevel="1">
      <c r="B224" s="128"/>
      <c r="C224" s="128"/>
      <c r="D224" s="128"/>
      <c r="E224" s="128"/>
      <c r="F224" s="139"/>
      <c r="G224" s="139"/>
      <c r="H224" s="139"/>
      <c r="I224" s="199" cm="1">
        <f t="array" aca="1" ref="I224" ca="1">IF(OR($B224="",$B224="X",$D224="",$D224="X",$E224="",$E224="X"),0,IFERROR(_xlfn.LET(_xlpm.x,SUM(SUM(_xlfn._xlws.FILTER(VALUE(PptoSty[Sign]&amp;1)*(1/PptoSty[Division]),(PptoSty[Division]&lt;&gt;0)*(PptoSty[Division]&lt;&gt;"")*(PptoSty[Division]&lt;&gt;"X")*(PptoSty[Project]=$B224)*(PptoSty[Vrs]=$D224)*(PptoSty[PiRow]=_xlfn.TEXTAFTER($H224,":"))*(PptoSty[PiColumn]=I$54),0)),SUM(IF((INDIRECT($B$3)=$B224)*(INDIRECT($C$3)=$D224)*((INDIRECT($E$3)="TOTS")+(INDIRECT($E$3)=$E224)),INDIRECT(I$3)))),_xlpm.y,SUM(_xlfn.CHOOSECOLS(_xlfn._xlws.FILTER(F_RT14[],(F_RT14[PrjId]=$B224)*(F_RT14[Vrs]=$D224)*(_xlfn.TEXTAFTER(F_RT14[ActGrp],":")=_xlfn.TEXTAFTER($H224,":")),"X"),MATCH("*"&amp;I$54,F_RT14[#Headers],0))),IF(AND(_xlpm.x=0,_xlpm.y&lt;&gt;0),-1,IF(AND(_xlpm.x&lt;&gt;0,_xlpm.y&lt;&gt;0),_xlpm.x,IF(AND(_xlpm.x-SUM(IF((INDIRECT($B$3)=$B224)*(INDIRECT($C$3)=$D224)*((INDIRECT($E$3)="TOTS")+(INDIRECT($E$3)=$E224)),INDIRECT(I$3)))&lt;&gt;0,_xlpm.y=0),-2,_xlpm.x)))),0))</f>
        <v>0</v>
      </c>
      <c r="J224" s="199" cm="1">
        <f t="array" aca="1" ref="J224" ca="1">IF(OR($B224="",$B224="X",$D224="",$D224="X",$E224="",$E224="X"),0,IFERROR(_xlfn.LET(_xlpm.x,SUM(SUM(_xlfn._xlws.FILTER(VALUE(PptoSty[Sign]&amp;1)*(1/PptoSty[Division]),(PptoSty[Division]&lt;&gt;0)*(PptoSty[Division]&lt;&gt;"")*(PptoSty[Division]&lt;&gt;"X")*(PptoSty[Project]=$B224)*(PptoSty[Vrs]=$D224)*(PptoSty[PiRow]=_xlfn.TEXTAFTER($H224,":"))*(PptoSty[PiColumn]=J$54),0)),SUM(IF((INDIRECT($B$3)=$B224)*(INDIRECT($C$3)=$D224)*((INDIRECT($E$3)="TOTS")+(INDIRECT($E$3)=$E224)),INDIRECT(J$3)))),_xlpm.y,SUM(_xlfn.CHOOSECOLS(_xlfn._xlws.FILTER(F_RT14[],(F_RT14[PrjId]=$B224)*(F_RT14[Vrs]=$D224)*(_xlfn.TEXTAFTER(F_RT14[ActGrp],":")=_xlfn.TEXTAFTER($H224,":")),"X"),MATCH("*"&amp;J$54,F_RT14[#Headers],0))),IF(AND(_xlpm.x=0,_xlpm.y&lt;&gt;0),-1,IF(AND(_xlpm.x&lt;&gt;0,_xlpm.y&lt;&gt;0),_xlpm.x,IF(AND(_xlpm.x-SUM(IF((INDIRECT($B$3)=$B224)*(INDIRECT($C$3)=$D224)*((INDIRECT($E$3)="TOTS")+(INDIRECT($E$3)=$E224)),INDIRECT(J$3)))&lt;&gt;0,_xlpm.y=0),-2,_xlpm.x)))),0))</f>
        <v>0</v>
      </c>
      <c r="K224" s="199" cm="1">
        <f t="array" aca="1" ref="K224" ca="1">IF(OR($B224="",$B224="X",$D224="",$D224="X",$E224="",$E224="X"),0,IFERROR(_xlfn.LET(_xlpm.x,SUM(SUM(_xlfn._xlws.FILTER(VALUE(PptoSty[Sign]&amp;1)*(1/PptoSty[Division]),(PptoSty[Division]&lt;&gt;0)*(PptoSty[Division]&lt;&gt;"")*(PptoSty[Division]&lt;&gt;"X")*(PptoSty[Project]=$B224)*(PptoSty[Vrs]=$D224)*(PptoSty[PiRow]=_xlfn.TEXTAFTER($H224,":"))*(PptoSty[PiColumn]=K$54),0)),SUM(IF((INDIRECT($B$3)=$B224)*(INDIRECT($C$3)=$D224)*((INDIRECT($E$3)="TOTS")+(INDIRECT($E$3)=$E224)),INDIRECT(K$3)))),_xlpm.y,SUM(_xlfn.CHOOSECOLS(_xlfn._xlws.FILTER(F_RT14[],(F_RT14[PrjId]=$B224)*(F_RT14[Vrs]=$D224)*(_xlfn.TEXTAFTER(F_RT14[ActGrp],":")=_xlfn.TEXTAFTER($H224,":")),"X"),MATCH("*"&amp;K$54,F_RT14[#Headers],0))),IF(AND(_xlpm.x=0,_xlpm.y&lt;&gt;0),-1,IF(AND(_xlpm.x&lt;&gt;0,_xlpm.y&lt;&gt;0),_xlpm.x,IF(AND(_xlpm.x-SUM(IF((INDIRECT($B$3)=$B224)*(INDIRECT($C$3)=$D224)*((INDIRECT($E$3)="TOTS")+(INDIRECT($E$3)=$E224)),INDIRECT(K$3)))&lt;&gt;0,_xlpm.y=0),-2,_xlpm.x)))),0))</f>
        <v>0</v>
      </c>
      <c r="L224" s="199" cm="1">
        <f t="array" aca="1" ref="L224" ca="1">IF(OR($B224="",$B224="X",$D224="",$D224="X",$E224="",$E224="X"),0,IFERROR(_xlfn.LET(_xlpm.x,SUM(SUM(_xlfn._xlws.FILTER(VALUE(PptoSty[Sign]&amp;1)*(1/PptoSty[Division]),(PptoSty[Division]&lt;&gt;0)*(PptoSty[Division]&lt;&gt;"")*(PptoSty[Division]&lt;&gt;"X")*(PptoSty[Project]=$B224)*(PptoSty[Vrs]=$D224)*(PptoSty[PiRow]=_xlfn.TEXTAFTER($H224,":"))*(PptoSty[PiColumn]=L$54),0)),SUM(IF((INDIRECT($B$3)=$B224)*(INDIRECT($C$3)=$D224)*((INDIRECT($E$3)="TOTS")+(INDIRECT($E$3)=$E224)),INDIRECT(L$3)))),_xlpm.y,SUM(_xlfn.CHOOSECOLS(_xlfn._xlws.FILTER(F_RT14[],(F_RT14[PrjId]=$B224)*(F_RT14[Vrs]=$D224)*(_xlfn.TEXTAFTER(F_RT14[ActGrp],":")=_xlfn.TEXTAFTER($H224,":")),"X"),MATCH("*"&amp;L$54,F_RT14[#Headers],0))),IF(AND(_xlpm.x=0,_xlpm.y&lt;&gt;0),-1,IF(AND(_xlpm.x&lt;&gt;0,_xlpm.y&lt;&gt;0),_xlpm.x,IF(AND(_xlpm.x-SUM(IF((INDIRECT($B$3)=$B224)*(INDIRECT($C$3)=$D224)*((INDIRECT($E$3)="TOTS")+(INDIRECT($E$3)=$E224)),INDIRECT(L$3)))&lt;&gt;0,_xlpm.y=0),-2,_xlpm.x)))),0))</f>
        <v>0</v>
      </c>
      <c r="M224" s="199" cm="1">
        <f t="array" aca="1" ref="M224" ca="1">IF(OR($B224="",$B224="X",$D224="",$D224="X",$E224="",$E224="X"),0,IFERROR(_xlfn.LET(_xlpm.x,SUM(SUM(_xlfn._xlws.FILTER(VALUE(PptoSty[Sign]&amp;1)*(1/PptoSty[Division]),(PptoSty[Division]&lt;&gt;0)*(PptoSty[Division]&lt;&gt;"")*(PptoSty[Division]&lt;&gt;"X")*(PptoSty[Project]=$B224)*(PptoSty[Vrs]=$D224)*(PptoSty[PiRow]=_xlfn.TEXTAFTER($H224,":"))*(PptoSty[PiColumn]=M$54),0)),SUM(IF((INDIRECT($B$3)=$B224)*(INDIRECT($C$3)=$D224)*((INDIRECT($E$3)="TOTS")+(INDIRECT($E$3)=$E224)),INDIRECT(M$3)))),_xlpm.y,SUM(_xlfn.CHOOSECOLS(_xlfn._xlws.FILTER(F_RT14[],(F_RT14[PrjId]=$B224)*(F_RT14[Vrs]=$D224)*(_xlfn.TEXTAFTER(F_RT14[ActGrp],":")=_xlfn.TEXTAFTER($H224,":")),"X"),MATCH("*"&amp;M$54,F_RT14[#Headers],0))),IF(AND(_xlpm.x=0,_xlpm.y&lt;&gt;0),-1,IF(AND(_xlpm.x&lt;&gt;0,_xlpm.y&lt;&gt;0),_xlpm.x,IF(AND(_xlpm.x-SUM(IF((INDIRECT($B$3)=$B224)*(INDIRECT($C$3)=$D224)*((INDIRECT($E$3)="TOTS")+(INDIRECT($E$3)=$E224)),INDIRECT(M$3)))&lt;&gt;0,_xlpm.y=0),-2,_xlpm.x)))),0))</f>
        <v>0</v>
      </c>
      <c r="N224" s="199" cm="1">
        <f t="array" aca="1" ref="N224" ca="1">IF(OR($B224="",$B224="X",$D224="",$D224="X",$E224="",$E224="X"),0,IFERROR(_xlfn.LET(_xlpm.x,SUM(SUM(_xlfn._xlws.FILTER(VALUE(PptoSty[Sign]&amp;1)*(1/PptoSty[Division]),(PptoSty[Division]&lt;&gt;0)*(PptoSty[Division]&lt;&gt;"")*(PptoSty[Division]&lt;&gt;"X")*(PptoSty[Project]=$B224)*(PptoSty[Vrs]=$D224)*(PptoSty[PiRow]=_xlfn.TEXTAFTER($H224,":"))*(PptoSty[PiColumn]=N$54),0)),SUM(IF((INDIRECT($B$3)=$B224)*(INDIRECT($C$3)=$D224)*((INDIRECT($E$3)="TOTS")+(INDIRECT($E$3)=$E224)),INDIRECT(N$3)))),_xlpm.y,SUM(_xlfn.CHOOSECOLS(_xlfn._xlws.FILTER(F_RT14[],(F_RT14[PrjId]=$B224)*(F_RT14[Vrs]=$D224)*(_xlfn.TEXTAFTER(F_RT14[ActGrp],":")=_xlfn.TEXTAFTER($H224,":")),"X"),MATCH("*"&amp;N$54,F_RT14[#Headers],0))),IF(AND(_xlpm.x=0,_xlpm.y&lt;&gt;0),-1,IF(AND(_xlpm.x&lt;&gt;0,_xlpm.y&lt;&gt;0),_xlpm.x,IF(AND(_xlpm.x-SUM(IF((INDIRECT($B$3)=$B224)*(INDIRECT($C$3)=$D224)*((INDIRECT($E$3)="TOTS")+(INDIRECT($E$3)=$E224)),INDIRECT(N$3)))&lt;&gt;0,_xlpm.y=0),-2,_xlpm.x)))),0))</f>
        <v>0</v>
      </c>
      <c r="O224" s="199" cm="1">
        <f t="array" aca="1" ref="O224" ca="1">IF(OR($B224="",$B224="X",$D224="",$D224="X",$E224="",$E224="X"),0,IFERROR(_xlfn.LET(_xlpm.x,SUM(SUM(_xlfn._xlws.FILTER(VALUE(PptoSty[Sign]&amp;1)*(1/PptoSty[Division]),(PptoSty[Division]&lt;&gt;0)*(PptoSty[Division]&lt;&gt;"")*(PptoSty[Division]&lt;&gt;"X")*(PptoSty[Project]=$B224)*(PptoSty[Vrs]=$D224)*(PptoSty[PiRow]=_xlfn.TEXTAFTER($H224,":"))*(PptoSty[PiColumn]=O$54),0)),SUM(IF((INDIRECT($B$3)=$B224)*(INDIRECT($C$3)=$D224)*((INDIRECT($E$3)="TOTS")+(INDIRECT($E$3)=$E224)),INDIRECT(O$3)))),_xlpm.y,SUM(_xlfn.CHOOSECOLS(_xlfn._xlws.FILTER(F_RT14[],(F_RT14[PrjId]=$B224)*(F_RT14[Vrs]=$D224)*(_xlfn.TEXTAFTER(F_RT14[ActGrp],":")=_xlfn.TEXTAFTER($H224,":")),"X"),MATCH("*"&amp;O$54,F_RT14[#Headers],0))),IF(AND(_xlpm.x=0,_xlpm.y&lt;&gt;0),-1,IF(AND(_xlpm.x&lt;&gt;0,_xlpm.y&lt;&gt;0),_xlpm.x,IF(AND(_xlpm.x-SUM(IF((INDIRECT($B$3)=$B224)*(INDIRECT($C$3)=$D224)*((INDIRECT($E$3)="TOTS")+(INDIRECT($E$3)=$E224)),INDIRECT(O$3)))&lt;&gt;0,_xlpm.y=0),-2,_xlpm.x)))),0))</f>
        <v>0</v>
      </c>
      <c r="P224" s="199" cm="1">
        <f t="array" aca="1" ref="P224" ca="1">IF(OR($B224="",$B224="X",$D224="",$D224="X",$E224="",$E224="X"),0,IFERROR(_xlfn.LET(_xlpm.x,SUM(SUM(_xlfn._xlws.FILTER(VALUE(PptoSty[Sign]&amp;1)*(1/PptoSty[Division]),(PptoSty[Division]&lt;&gt;0)*(PptoSty[Division]&lt;&gt;"")*(PptoSty[Division]&lt;&gt;"X")*(PptoSty[Project]=$B224)*(PptoSty[Vrs]=$D224)*(PptoSty[PiRow]=_xlfn.TEXTAFTER($H224,":"))*(PptoSty[PiColumn]=P$54),0)),SUM(IF((INDIRECT($B$3)=$B224)*(INDIRECT($C$3)=$D224)*((INDIRECT($E$3)="TOTS")+(INDIRECT($E$3)=$E224)),INDIRECT(P$3)))),_xlpm.y,SUM(_xlfn.CHOOSECOLS(_xlfn._xlws.FILTER(F_RT14[],(F_RT14[PrjId]=$B224)*(F_RT14[Vrs]=$D224)*(_xlfn.TEXTAFTER(F_RT14[ActGrp],":")=_xlfn.TEXTAFTER($H224,":")),"X"),MATCH("*"&amp;P$54,F_RT14[#Headers],0))),IF(AND(_xlpm.x=0,_xlpm.y&lt;&gt;0),-1,IF(AND(_xlpm.x&lt;&gt;0,_xlpm.y&lt;&gt;0),_xlpm.x,IF(AND(_xlpm.x-SUM(IF((INDIRECT($B$3)=$B224)*(INDIRECT($C$3)=$D224)*((INDIRECT($E$3)="TOTS")+(INDIRECT($E$3)=$E224)),INDIRECT(P$3)))&lt;&gt;0,_xlpm.y=0),-2,_xlpm.x)))),0))</f>
        <v>0</v>
      </c>
      <c r="Q224" s="199" cm="1">
        <f t="array" aca="1" ref="Q224" ca="1">IF(OR($B224="",$B224="X",$D224="",$D224="X",$E224="",$E224="X"),0,IFERROR(_xlfn.LET(_xlpm.x,SUM(SUM(_xlfn._xlws.FILTER(VALUE(PptoSty[Sign]&amp;1)*(1/PptoSty[Division]),(PptoSty[Division]&lt;&gt;0)*(PptoSty[Division]&lt;&gt;"")*(PptoSty[Division]&lt;&gt;"X")*(PptoSty[Project]=$B224)*(PptoSty[Vrs]=$D224)*(PptoSty[PiRow]=_xlfn.TEXTAFTER($H224,":"))*(PptoSty[PiColumn]=Q$54),0)),SUM(IF((INDIRECT($B$3)=$B224)*(INDIRECT($C$3)=$D224)*((INDIRECT($E$3)="TOTS")+(INDIRECT($E$3)=$E224)),INDIRECT(Q$3)))),_xlpm.y,SUM(_xlfn.CHOOSECOLS(_xlfn._xlws.FILTER(F_RT14[],(F_RT14[PrjId]=$B224)*(F_RT14[Vrs]=$D224)*(_xlfn.TEXTAFTER(F_RT14[ActGrp],":")=_xlfn.TEXTAFTER($H224,":")),"X"),MATCH("*"&amp;Q$54,F_RT14[#Headers],0))),IF(AND(_xlpm.x=0,_xlpm.y&lt;&gt;0),-1,IF(AND(_xlpm.x&lt;&gt;0,_xlpm.y&lt;&gt;0),_xlpm.x,IF(AND(_xlpm.x-SUM(IF((INDIRECT($B$3)=$B224)*(INDIRECT($C$3)=$D224)*((INDIRECT($E$3)="TOTS")+(INDIRECT($E$3)=$E224)),INDIRECT(Q$3)))&lt;&gt;0,_xlpm.y=0),-2,_xlpm.x)))),0))</f>
        <v>0</v>
      </c>
      <c r="R224" s="199" cm="1">
        <f t="array" aca="1" ref="R224" ca="1">IF(OR($B224="",$B224="X",$D224="",$D224="X",$E224="",$E224="X"),0,IFERROR(_xlfn.LET(_xlpm.x,SUM(SUM(_xlfn._xlws.FILTER(VALUE(PptoSty[Sign]&amp;1)*(1/PptoSty[Division]),(PptoSty[Division]&lt;&gt;0)*(PptoSty[Division]&lt;&gt;"")*(PptoSty[Division]&lt;&gt;"X")*(PptoSty[Project]=$B224)*(PptoSty[Vrs]=$D224)*(PptoSty[PiRow]=_xlfn.TEXTAFTER($H224,":"))*(PptoSty[PiColumn]=R$54),0)),SUM(IF((INDIRECT($B$3)=$B224)*(INDIRECT($C$3)=$D224)*((INDIRECT($E$3)="TOTS")+(INDIRECT($E$3)=$E224)),INDIRECT(R$3)))),_xlpm.y,SUM(_xlfn.CHOOSECOLS(_xlfn._xlws.FILTER(F_RT14[],(F_RT14[PrjId]=$B224)*(F_RT14[Vrs]=$D224)*(_xlfn.TEXTAFTER(F_RT14[ActGrp],":")=_xlfn.TEXTAFTER($H224,":")),"X"),MATCH("*"&amp;R$54,F_RT14[#Headers],0))),IF(AND(_xlpm.x=0,_xlpm.y&lt;&gt;0),-1,IF(AND(_xlpm.x&lt;&gt;0,_xlpm.y&lt;&gt;0),_xlpm.x,IF(AND(_xlpm.x-SUM(IF((INDIRECT($B$3)=$B224)*(INDIRECT($C$3)=$D224)*((INDIRECT($E$3)="TOTS")+(INDIRECT($E$3)=$E224)),INDIRECT(R$3)))&lt;&gt;0,_xlpm.y=0),-2,_xlpm.x)))),0))</f>
        <v>0</v>
      </c>
      <c r="S224" s="199" cm="1">
        <f t="array" aca="1" ref="S224" ca="1">IF(OR($B224="",$B224="X",$D224="",$D224="X",$E224="",$E224="X"),0,IFERROR(_xlfn.LET(_xlpm.x,SUM(SUM(_xlfn._xlws.FILTER(VALUE(PptoSty[Sign]&amp;1)*(1/PptoSty[Division]),(PptoSty[Division]&lt;&gt;0)*(PptoSty[Division]&lt;&gt;"")*(PptoSty[Division]&lt;&gt;"X")*(PptoSty[Project]=$B224)*(PptoSty[Vrs]=$D224)*(PptoSty[PiRow]=_xlfn.TEXTAFTER($H224,":"))*(PptoSty[PiColumn]=S$54),0)),SUM(IF((INDIRECT($B$3)=$B224)*(INDIRECT($C$3)=$D224)*((INDIRECT($E$3)="TOTS")+(INDIRECT($E$3)=$E224)),INDIRECT(S$3)))),_xlpm.y,SUM(_xlfn.CHOOSECOLS(_xlfn._xlws.FILTER(F_RT14[],(F_RT14[PrjId]=$B224)*(F_RT14[Vrs]=$D224)*(_xlfn.TEXTAFTER(F_RT14[ActGrp],":")=_xlfn.TEXTAFTER($H224,":")),"X"),MATCH("*"&amp;S$54,F_RT14[#Headers],0))),IF(AND(_xlpm.x=0,_xlpm.y&lt;&gt;0),-1,IF(AND(_xlpm.x&lt;&gt;0,_xlpm.y&lt;&gt;0),_xlpm.x,IF(AND(_xlpm.x-SUM(IF((INDIRECT($B$3)=$B224)*(INDIRECT($C$3)=$D224)*((INDIRECT($E$3)="TOTS")+(INDIRECT($E$3)=$E224)),INDIRECT(S$3)))&lt;&gt;0,_xlpm.y=0),-2,_xlpm.x)))),0))</f>
        <v>0</v>
      </c>
      <c r="T224" s="199" cm="1">
        <f t="array" aca="1" ref="T224" ca="1">IF(OR($B224="",$B224="X",$D224="",$D224="X",$E224="",$E224="X"),0,IFERROR(_xlfn.LET(_xlpm.x,SUM(SUM(_xlfn._xlws.FILTER(VALUE(PptoSty[Sign]&amp;1)*(1/PptoSty[Division]),(PptoSty[Division]&lt;&gt;0)*(PptoSty[Division]&lt;&gt;"")*(PptoSty[Division]&lt;&gt;"X")*(PptoSty[Project]=$B224)*(PptoSty[Vrs]=$D224)*(PptoSty[PiRow]=_xlfn.TEXTAFTER($H224,":"))*(PptoSty[PiColumn]=T$54),0)),SUM(IF((INDIRECT($B$3)=$B224)*(INDIRECT($C$3)=$D224)*((INDIRECT($E$3)="TOTS")+(INDIRECT($E$3)=$E224)),INDIRECT(T$3)))),_xlpm.y,SUM(_xlfn.CHOOSECOLS(_xlfn._xlws.FILTER(F_RT14[],(F_RT14[PrjId]=$B224)*(F_RT14[Vrs]=$D224)*(_xlfn.TEXTAFTER(F_RT14[ActGrp],":")=_xlfn.TEXTAFTER($H224,":")),"X"),MATCH("*"&amp;T$54,F_RT14[#Headers],0))),IF(AND(_xlpm.x=0,_xlpm.y&lt;&gt;0),-1,IF(AND(_xlpm.x&lt;&gt;0,_xlpm.y&lt;&gt;0),_xlpm.x,IF(AND(_xlpm.x-SUM(IF((INDIRECT($B$3)=$B224)*(INDIRECT($C$3)=$D224)*((INDIRECT($E$3)="TOTS")+(INDIRECT($E$3)=$E224)),INDIRECT(T$3)))&lt;&gt;0,_xlpm.y=0),-2,_xlpm.x)))),0))</f>
        <v>0</v>
      </c>
      <c r="U224" s="199" cm="1">
        <f t="array" aca="1" ref="U224" ca="1">IF(OR($B224="",$B224="X",$D224="",$D224="X",$E224="",$E224="X"),0,IFERROR(_xlfn.LET(_xlpm.x,SUM(SUM(_xlfn._xlws.FILTER(VALUE(PptoSty[Sign]&amp;1)*(1/PptoSty[Division]),(PptoSty[Division]&lt;&gt;0)*(PptoSty[Division]&lt;&gt;"")*(PptoSty[Division]&lt;&gt;"X")*(PptoSty[Project]=$B224)*(PptoSty[Vrs]=$D224)*(PptoSty[PiRow]=_xlfn.TEXTAFTER($H224,":"))*(PptoSty[PiColumn]=U$54),0)),SUM(IF((INDIRECT($B$3)=$B224)*(INDIRECT($C$3)=$D224)*((INDIRECT($E$3)="TOTS")+(INDIRECT($E$3)=$E224)),INDIRECT(U$3)))),_xlpm.y,SUM(_xlfn.CHOOSECOLS(_xlfn._xlws.FILTER(F_RT14[],(F_RT14[PrjId]=$B224)*(F_RT14[Vrs]=$D224)*(_xlfn.TEXTAFTER(F_RT14[ActGrp],":")=_xlfn.TEXTAFTER($H224,":")),"X"),MATCH("*"&amp;U$54,F_RT14[#Headers],0))),IF(AND(_xlpm.x=0,_xlpm.y&lt;&gt;0),-1,IF(AND(_xlpm.x&lt;&gt;0,_xlpm.y&lt;&gt;0),_xlpm.x,IF(AND(_xlpm.x-SUM(IF((INDIRECT($B$3)=$B224)*(INDIRECT($C$3)=$D224)*((INDIRECT($E$3)="TOTS")+(INDIRECT($E$3)=$E224)),INDIRECT(U$3)))&lt;&gt;0,_xlpm.y=0),-2,_xlpm.x)))),0))</f>
        <v>0</v>
      </c>
      <c r="V224" s="199" cm="1">
        <f t="array" aca="1" ref="V224" ca="1">IF(OR($B224="",$B224="X",$D224="",$D224="X",$E224="",$E224="X"),0,IFERROR(_xlfn.LET(_xlpm.x,SUM(SUM(_xlfn._xlws.FILTER(VALUE(PptoSty[Sign]&amp;1)*(1/PptoSty[Division]),(PptoSty[Division]&lt;&gt;0)*(PptoSty[Division]&lt;&gt;"")*(PptoSty[Division]&lt;&gt;"X")*(PptoSty[Project]=$B224)*(PptoSty[Vrs]=$D224)*(PptoSty[PiRow]=_xlfn.TEXTAFTER($H224,":"))*(PptoSty[PiColumn]=V$54),0)),SUM(IF((INDIRECT($B$3)=$B224)*(INDIRECT($C$3)=$D224)*((INDIRECT($E$3)="TOTS")+(INDIRECT($E$3)=$E224)),INDIRECT(V$3)))),_xlpm.y,SUM(_xlfn.CHOOSECOLS(_xlfn._xlws.FILTER(F_RT14[],(F_RT14[PrjId]=$B224)*(F_RT14[Vrs]=$D224)*(_xlfn.TEXTAFTER(F_RT14[ActGrp],":")=_xlfn.TEXTAFTER($H224,":")),"X"),MATCH("*"&amp;V$54,F_RT14[#Headers],0))),IF(AND(_xlpm.x=0,_xlpm.y&lt;&gt;0),-1,IF(AND(_xlpm.x&lt;&gt;0,_xlpm.y&lt;&gt;0),_xlpm.x,IF(AND(_xlpm.x-SUM(IF((INDIRECT($B$3)=$B224)*(INDIRECT($C$3)=$D224)*((INDIRECT($E$3)="TOTS")+(INDIRECT($E$3)=$E224)),INDIRECT(V$3)))&lt;&gt;0,_xlpm.y=0),-2,_xlpm.x)))),0))</f>
        <v>0</v>
      </c>
      <c r="W224" s="199" cm="1">
        <f t="array" aca="1" ref="W224" ca="1">IF(OR($B224="",$B224="X",$D224="",$D224="X",$E224="",$E224="X"),0,IFERROR(_xlfn.LET(_xlpm.x,SUM(SUM(_xlfn._xlws.FILTER(VALUE(PptoSty[Sign]&amp;1)*(1/PptoSty[Division]),(PptoSty[Division]&lt;&gt;0)*(PptoSty[Division]&lt;&gt;"")*(PptoSty[Division]&lt;&gt;"X")*(PptoSty[Project]=$B224)*(PptoSty[Vrs]=$D224)*(PptoSty[PiRow]=_xlfn.TEXTAFTER($H224,":"))*(PptoSty[PiColumn]=W$54),0)),SUM(IF((INDIRECT($B$3)=$B224)*(INDIRECT($C$3)=$D224)*((INDIRECT($E$3)="TOTS")+(INDIRECT($E$3)=$E224)),INDIRECT(W$3)))),_xlpm.y,SUM(_xlfn.CHOOSECOLS(_xlfn._xlws.FILTER(F_RT14[],(F_RT14[PrjId]=$B224)*(F_RT14[Vrs]=$D224)*(_xlfn.TEXTAFTER(F_RT14[ActGrp],":")=_xlfn.TEXTAFTER($H224,":")),"X"),MATCH("*"&amp;W$54,F_RT14[#Headers],0))),IF(AND(_xlpm.x=0,_xlpm.y&lt;&gt;0),-1,IF(AND(_xlpm.x&lt;&gt;0,_xlpm.y&lt;&gt;0),_xlpm.x,IF(AND(_xlpm.x-SUM(IF((INDIRECT($B$3)=$B224)*(INDIRECT($C$3)=$D224)*((INDIRECT($E$3)="TOTS")+(INDIRECT($E$3)=$E224)),INDIRECT(W$3)))&lt;&gt;0,_xlpm.y=0),-2,_xlpm.x)))),0))</f>
        <v>0</v>
      </c>
      <c r="X224" s="199" cm="1">
        <f t="array" aca="1" ref="X224" ca="1">IF(OR($B224="",$B224="X",$D224="",$D224="X",$E224="",$E224="X"),0,IFERROR(_xlfn.LET(_xlpm.x,SUM(SUM(_xlfn._xlws.FILTER(VALUE(PptoSty[Sign]&amp;1)*(1/PptoSty[Division]),(PptoSty[Division]&lt;&gt;0)*(PptoSty[Division]&lt;&gt;"")*(PptoSty[Division]&lt;&gt;"X")*(PptoSty[Project]=$B224)*(PptoSty[Vrs]=$D224)*(PptoSty[PiRow]=_xlfn.TEXTAFTER($H224,":"))*(PptoSty[PiColumn]=X$54),0)),SUM(IF((INDIRECT($B$3)=$B224)*(INDIRECT($C$3)=$D224)*((INDIRECT($E$3)="TOTS")+(INDIRECT($E$3)=$E224)),INDIRECT(X$3)))),_xlpm.y,SUM(_xlfn.CHOOSECOLS(_xlfn._xlws.FILTER(F_RT14[],(F_RT14[PrjId]=$B224)*(F_RT14[Vrs]=$D224)*(_xlfn.TEXTAFTER(F_RT14[ActGrp],":")=_xlfn.TEXTAFTER($H224,":")),"X"),MATCH("*"&amp;X$54,F_RT14[#Headers],0))),IF(AND(_xlpm.x=0,_xlpm.y&lt;&gt;0),-1,IF(AND(_xlpm.x&lt;&gt;0,_xlpm.y&lt;&gt;0),_xlpm.x,IF(AND(_xlpm.x-SUM(IF((INDIRECT($B$3)=$B224)*(INDIRECT($C$3)=$D224)*((INDIRECT($E$3)="TOTS")+(INDIRECT($E$3)=$E224)),INDIRECT(X$3)))&lt;&gt;0,_xlpm.y=0),-2,_xlpm.x)))),0))</f>
        <v>0</v>
      </c>
      <c r="Y224" s="199" cm="1">
        <f t="array" aca="1" ref="Y224" ca="1">IF(OR($B224="",$B224="X",$D224="",$D224="X",$E224="",$E224="X"),0,IFERROR(_xlfn.LET(_xlpm.x,SUM(SUM(_xlfn._xlws.FILTER(VALUE(PptoSty[Sign]&amp;1)*(1/PptoSty[Division]),(PptoSty[Division]&lt;&gt;0)*(PptoSty[Division]&lt;&gt;"")*(PptoSty[Division]&lt;&gt;"X")*(PptoSty[Project]=$B224)*(PptoSty[Vrs]=$D224)*(PptoSty[PiRow]=_xlfn.TEXTAFTER($H224,":"))*(PptoSty[PiColumn]=Y$54),0)),SUM(IF((INDIRECT($B$3)=$B224)*(INDIRECT($C$3)=$D224)*((INDIRECT($E$3)="TOTS")+(INDIRECT($E$3)=$E224)),INDIRECT(Y$3)))),_xlpm.y,SUM(_xlfn.CHOOSECOLS(_xlfn._xlws.FILTER(F_RT14[],(F_RT14[PrjId]=$B224)*(F_RT14[Vrs]=$D224)*(_xlfn.TEXTAFTER(F_RT14[ActGrp],":")=_xlfn.TEXTAFTER($H224,":")),"X"),MATCH("*"&amp;Y$54,F_RT14[#Headers],0))),IF(AND(_xlpm.x=0,_xlpm.y&lt;&gt;0),-1,IF(AND(_xlpm.x&lt;&gt;0,_xlpm.y&lt;&gt;0),_xlpm.x,IF(AND(_xlpm.x-SUM(IF((INDIRECT($B$3)=$B224)*(INDIRECT($C$3)=$D224)*((INDIRECT($E$3)="TOTS")+(INDIRECT($E$3)=$E224)),INDIRECT(Y$3)))&lt;&gt;0,_xlpm.y=0),-2,_xlpm.x)))),0))</f>
        <v>0</v>
      </c>
      <c r="Z224" s="198" t="str">
        <f t="shared" ca="1" si="4"/>
        <v>Fback!B224:Y224</v>
      </c>
    </row>
    <row r="225" spans="2:26" ht="21" customHeight="1" outlineLevel="1">
      <c r="B225" s="128"/>
      <c r="C225" s="128"/>
      <c r="D225" s="128"/>
      <c r="E225" s="128"/>
      <c r="F225" s="139"/>
      <c r="G225" s="139"/>
      <c r="H225" s="139"/>
      <c r="I225" s="199" cm="1">
        <f t="array" aca="1" ref="I225" ca="1">IF(OR($B225="",$B225="X",$D225="",$D225="X",$E225="",$E225="X"),0,IFERROR(_xlfn.LET(_xlpm.x,SUM(SUM(_xlfn._xlws.FILTER(VALUE(PptoSty[Sign]&amp;1)*(1/PptoSty[Division]),(PptoSty[Division]&lt;&gt;0)*(PptoSty[Division]&lt;&gt;"")*(PptoSty[Division]&lt;&gt;"X")*(PptoSty[Project]=$B225)*(PptoSty[Vrs]=$D225)*(PptoSty[PiRow]=_xlfn.TEXTAFTER($H225,":"))*(PptoSty[PiColumn]=I$54),0)),SUM(IF((INDIRECT($B$3)=$B225)*(INDIRECT($C$3)=$D225)*((INDIRECT($E$3)="TOTS")+(INDIRECT($E$3)=$E225)),INDIRECT(I$3)))),_xlpm.y,SUM(_xlfn.CHOOSECOLS(_xlfn._xlws.FILTER(F_RT14[],(F_RT14[PrjId]=$B225)*(F_RT14[Vrs]=$D225)*(_xlfn.TEXTAFTER(F_RT14[ActGrp],":")=_xlfn.TEXTAFTER($H225,":")),"X"),MATCH("*"&amp;I$54,F_RT14[#Headers],0))),IF(AND(_xlpm.x=0,_xlpm.y&lt;&gt;0),-1,IF(AND(_xlpm.x&lt;&gt;0,_xlpm.y&lt;&gt;0),_xlpm.x,IF(AND(_xlpm.x-SUM(IF((INDIRECT($B$3)=$B225)*(INDIRECT($C$3)=$D225)*((INDIRECT($E$3)="TOTS")+(INDIRECT($E$3)=$E225)),INDIRECT(I$3)))&lt;&gt;0,_xlpm.y=0),-2,_xlpm.x)))),0))</f>
        <v>0</v>
      </c>
      <c r="J225" s="199" cm="1">
        <f t="array" aca="1" ref="J225" ca="1">IF(OR($B225="",$B225="X",$D225="",$D225="X",$E225="",$E225="X"),0,IFERROR(_xlfn.LET(_xlpm.x,SUM(SUM(_xlfn._xlws.FILTER(VALUE(PptoSty[Sign]&amp;1)*(1/PptoSty[Division]),(PptoSty[Division]&lt;&gt;0)*(PptoSty[Division]&lt;&gt;"")*(PptoSty[Division]&lt;&gt;"X")*(PptoSty[Project]=$B225)*(PptoSty[Vrs]=$D225)*(PptoSty[PiRow]=_xlfn.TEXTAFTER($H225,":"))*(PptoSty[PiColumn]=J$54),0)),SUM(IF((INDIRECT($B$3)=$B225)*(INDIRECT($C$3)=$D225)*((INDIRECT($E$3)="TOTS")+(INDIRECT($E$3)=$E225)),INDIRECT(J$3)))),_xlpm.y,SUM(_xlfn.CHOOSECOLS(_xlfn._xlws.FILTER(F_RT14[],(F_RT14[PrjId]=$B225)*(F_RT14[Vrs]=$D225)*(_xlfn.TEXTAFTER(F_RT14[ActGrp],":")=_xlfn.TEXTAFTER($H225,":")),"X"),MATCH("*"&amp;J$54,F_RT14[#Headers],0))),IF(AND(_xlpm.x=0,_xlpm.y&lt;&gt;0),-1,IF(AND(_xlpm.x&lt;&gt;0,_xlpm.y&lt;&gt;0),_xlpm.x,IF(AND(_xlpm.x-SUM(IF((INDIRECT($B$3)=$B225)*(INDIRECT($C$3)=$D225)*((INDIRECT($E$3)="TOTS")+(INDIRECT($E$3)=$E225)),INDIRECT(J$3)))&lt;&gt;0,_xlpm.y=0),-2,_xlpm.x)))),0))</f>
        <v>0</v>
      </c>
      <c r="K225" s="199" cm="1">
        <f t="array" aca="1" ref="K225" ca="1">IF(OR($B225="",$B225="X",$D225="",$D225="X",$E225="",$E225="X"),0,IFERROR(_xlfn.LET(_xlpm.x,SUM(SUM(_xlfn._xlws.FILTER(VALUE(PptoSty[Sign]&amp;1)*(1/PptoSty[Division]),(PptoSty[Division]&lt;&gt;0)*(PptoSty[Division]&lt;&gt;"")*(PptoSty[Division]&lt;&gt;"X")*(PptoSty[Project]=$B225)*(PptoSty[Vrs]=$D225)*(PptoSty[PiRow]=_xlfn.TEXTAFTER($H225,":"))*(PptoSty[PiColumn]=K$54),0)),SUM(IF((INDIRECT($B$3)=$B225)*(INDIRECT($C$3)=$D225)*((INDIRECT($E$3)="TOTS")+(INDIRECT($E$3)=$E225)),INDIRECT(K$3)))),_xlpm.y,SUM(_xlfn.CHOOSECOLS(_xlfn._xlws.FILTER(F_RT14[],(F_RT14[PrjId]=$B225)*(F_RT14[Vrs]=$D225)*(_xlfn.TEXTAFTER(F_RT14[ActGrp],":")=_xlfn.TEXTAFTER($H225,":")),"X"),MATCH("*"&amp;K$54,F_RT14[#Headers],0))),IF(AND(_xlpm.x=0,_xlpm.y&lt;&gt;0),-1,IF(AND(_xlpm.x&lt;&gt;0,_xlpm.y&lt;&gt;0),_xlpm.x,IF(AND(_xlpm.x-SUM(IF((INDIRECT($B$3)=$B225)*(INDIRECT($C$3)=$D225)*((INDIRECT($E$3)="TOTS")+(INDIRECT($E$3)=$E225)),INDIRECT(K$3)))&lt;&gt;0,_xlpm.y=0),-2,_xlpm.x)))),0))</f>
        <v>0</v>
      </c>
      <c r="L225" s="199" cm="1">
        <f t="array" aca="1" ref="L225" ca="1">IF(OR($B225="",$B225="X",$D225="",$D225="X",$E225="",$E225="X"),0,IFERROR(_xlfn.LET(_xlpm.x,SUM(SUM(_xlfn._xlws.FILTER(VALUE(PptoSty[Sign]&amp;1)*(1/PptoSty[Division]),(PptoSty[Division]&lt;&gt;0)*(PptoSty[Division]&lt;&gt;"")*(PptoSty[Division]&lt;&gt;"X")*(PptoSty[Project]=$B225)*(PptoSty[Vrs]=$D225)*(PptoSty[PiRow]=_xlfn.TEXTAFTER($H225,":"))*(PptoSty[PiColumn]=L$54),0)),SUM(IF((INDIRECT($B$3)=$B225)*(INDIRECT($C$3)=$D225)*((INDIRECT($E$3)="TOTS")+(INDIRECT($E$3)=$E225)),INDIRECT(L$3)))),_xlpm.y,SUM(_xlfn.CHOOSECOLS(_xlfn._xlws.FILTER(F_RT14[],(F_RT14[PrjId]=$B225)*(F_RT14[Vrs]=$D225)*(_xlfn.TEXTAFTER(F_RT14[ActGrp],":")=_xlfn.TEXTAFTER($H225,":")),"X"),MATCH("*"&amp;L$54,F_RT14[#Headers],0))),IF(AND(_xlpm.x=0,_xlpm.y&lt;&gt;0),-1,IF(AND(_xlpm.x&lt;&gt;0,_xlpm.y&lt;&gt;0),_xlpm.x,IF(AND(_xlpm.x-SUM(IF((INDIRECT($B$3)=$B225)*(INDIRECT($C$3)=$D225)*((INDIRECT($E$3)="TOTS")+(INDIRECT($E$3)=$E225)),INDIRECT(L$3)))&lt;&gt;0,_xlpm.y=0),-2,_xlpm.x)))),0))</f>
        <v>0</v>
      </c>
      <c r="M225" s="199" cm="1">
        <f t="array" aca="1" ref="M225" ca="1">IF(OR($B225="",$B225="X",$D225="",$D225="X",$E225="",$E225="X"),0,IFERROR(_xlfn.LET(_xlpm.x,SUM(SUM(_xlfn._xlws.FILTER(VALUE(PptoSty[Sign]&amp;1)*(1/PptoSty[Division]),(PptoSty[Division]&lt;&gt;0)*(PptoSty[Division]&lt;&gt;"")*(PptoSty[Division]&lt;&gt;"X")*(PptoSty[Project]=$B225)*(PptoSty[Vrs]=$D225)*(PptoSty[PiRow]=_xlfn.TEXTAFTER($H225,":"))*(PptoSty[PiColumn]=M$54),0)),SUM(IF((INDIRECT($B$3)=$B225)*(INDIRECT($C$3)=$D225)*((INDIRECT($E$3)="TOTS")+(INDIRECT($E$3)=$E225)),INDIRECT(M$3)))),_xlpm.y,SUM(_xlfn.CHOOSECOLS(_xlfn._xlws.FILTER(F_RT14[],(F_RT14[PrjId]=$B225)*(F_RT14[Vrs]=$D225)*(_xlfn.TEXTAFTER(F_RT14[ActGrp],":")=_xlfn.TEXTAFTER($H225,":")),"X"),MATCH("*"&amp;M$54,F_RT14[#Headers],0))),IF(AND(_xlpm.x=0,_xlpm.y&lt;&gt;0),-1,IF(AND(_xlpm.x&lt;&gt;0,_xlpm.y&lt;&gt;0),_xlpm.x,IF(AND(_xlpm.x-SUM(IF((INDIRECT($B$3)=$B225)*(INDIRECT($C$3)=$D225)*((INDIRECT($E$3)="TOTS")+(INDIRECT($E$3)=$E225)),INDIRECT(M$3)))&lt;&gt;0,_xlpm.y=0),-2,_xlpm.x)))),0))</f>
        <v>0</v>
      </c>
      <c r="N225" s="199" cm="1">
        <f t="array" aca="1" ref="N225" ca="1">IF(OR($B225="",$B225="X",$D225="",$D225="X",$E225="",$E225="X"),0,IFERROR(_xlfn.LET(_xlpm.x,SUM(SUM(_xlfn._xlws.FILTER(VALUE(PptoSty[Sign]&amp;1)*(1/PptoSty[Division]),(PptoSty[Division]&lt;&gt;0)*(PptoSty[Division]&lt;&gt;"")*(PptoSty[Division]&lt;&gt;"X")*(PptoSty[Project]=$B225)*(PptoSty[Vrs]=$D225)*(PptoSty[PiRow]=_xlfn.TEXTAFTER($H225,":"))*(PptoSty[PiColumn]=N$54),0)),SUM(IF((INDIRECT($B$3)=$B225)*(INDIRECT($C$3)=$D225)*((INDIRECT($E$3)="TOTS")+(INDIRECT($E$3)=$E225)),INDIRECT(N$3)))),_xlpm.y,SUM(_xlfn.CHOOSECOLS(_xlfn._xlws.FILTER(F_RT14[],(F_RT14[PrjId]=$B225)*(F_RT14[Vrs]=$D225)*(_xlfn.TEXTAFTER(F_RT14[ActGrp],":")=_xlfn.TEXTAFTER($H225,":")),"X"),MATCH("*"&amp;N$54,F_RT14[#Headers],0))),IF(AND(_xlpm.x=0,_xlpm.y&lt;&gt;0),-1,IF(AND(_xlpm.x&lt;&gt;0,_xlpm.y&lt;&gt;0),_xlpm.x,IF(AND(_xlpm.x-SUM(IF((INDIRECT($B$3)=$B225)*(INDIRECT($C$3)=$D225)*((INDIRECT($E$3)="TOTS")+(INDIRECT($E$3)=$E225)),INDIRECT(N$3)))&lt;&gt;0,_xlpm.y=0),-2,_xlpm.x)))),0))</f>
        <v>0</v>
      </c>
      <c r="O225" s="199" cm="1">
        <f t="array" aca="1" ref="O225" ca="1">IF(OR($B225="",$B225="X",$D225="",$D225="X",$E225="",$E225="X"),0,IFERROR(_xlfn.LET(_xlpm.x,SUM(SUM(_xlfn._xlws.FILTER(VALUE(PptoSty[Sign]&amp;1)*(1/PptoSty[Division]),(PptoSty[Division]&lt;&gt;0)*(PptoSty[Division]&lt;&gt;"")*(PptoSty[Division]&lt;&gt;"X")*(PptoSty[Project]=$B225)*(PptoSty[Vrs]=$D225)*(PptoSty[PiRow]=_xlfn.TEXTAFTER($H225,":"))*(PptoSty[PiColumn]=O$54),0)),SUM(IF((INDIRECT($B$3)=$B225)*(INDIRECT($C$3)=$D225)*((INDIRECT($E$3)="TOTS")+(INDIRECT($E$3)=$E225)),INDIRECT(O$3)))),_xlpm.y,SUM(_xlfn.CHOOSECOLS(_xlfn._xlws.FILTER(F_RT14[],(F_RT14[PrjId]=$B225)*(F_RT14[Vrs]=$D225)*(_xlfn.TEXTAFTER(F_RT14[ActGrp],":")=_xlfn.TEXTAFTER($H225,":")),"X"),MATCH("*"&amp;O$54,F_RT14[#Headers],0))),IF(AND(_xlpm.x=0,_xlpm.y&lt;&gt;0),-1,IF(AND(_xlpm.x&lt;&gt;0,_xlpm.y&lt;&gt;0),_xlpm.x,IF(AND(_xlpm.x-SUM(IF((INDIRECT($B$3)=$B225)*(INDIRECT($C$3)=$D225)*((INDIRECT($E$3)="TOTS")+(INDIRECT($E$3)=$E225)),INDIRECT(O$3)))&lt;&gt;0,_xlpm.y=0),-2,_xlpm.x)))),0))</f>
        <v>0</v>
      </c>
      <c r="P225" s="199" cm="1">
        <f t="array" aca="1" ref="P225" ca="1">IF(OR($B225="",$B225="X",$D225="",$D225="X",$E225="",$E225="X"),0,IFERROR(_xlfn.LET(_xlpm.x,SUM(SUM(_xlfn._xlws.FILTER(VALUE(PptoSty[Sign]&amp;1)*(1/PptoSty[Division]),(PptoSty[Division]&lt;&gt;0)*(PptoSty[Division]&lt;&gt;"")*(PptoSty[Division]&lt;&gt;"X")*(PptoSty[Project]=$B225)*(PptoSty[Vrs]=$D225)*(PptoSty[PiRow]=_xlfn.TEXTAFTER($H225,":"))*(PptoSty[PiColumn]=P$54),0)),SUM(IF((INDIRECT($B$3)=$B225)*(INDIRECT($C$3)=$D225)*((INDIRECT($E$3)="TOTS")+(INDIRECT($E$3)=$E225)),INDIRECT(P$3)))),_xlpm.y,SUM(_xlfn.CHOOSECOLS(_xlfn._xlws.FILTER(F_RT14[],(F_RT14[PrjId]=$B225)*(F_RT14[Vrs]=$D225)*(_xlfn.TEXTAFTER(F_RT14[ActGrp],":")=_xlfn.TEXTAFTER($H225,":")),"X"),MATCH("*"&amp;P$54,F_RT14[#Headers],0))),IF(AND(_xlpm.x=0,_xlpm.y&lt;&gt;0),-1,IF(AND(_xlpm.x&lt;&gt;0,_xlpm.y&lt;&gt;0),_xlpm.x,IF(AND(_xlpm.x-SUM(IF((INDIRECT($B$3)=$B225)*(INDIRECT($C$3)=$D225)*((INDIRECT($E$3)="TOTS")+(INDIRECT($E$3)=$E225)),INDIRECT(P$3)))&lt;&gt;0,_xlpm.y=0),-2,_xlpm.x)))),0))</f>
        <v>0</v>
      </c>
      <c r="Q225" s="199" cm="1">
        <f t="array" aca="1" ref="Q225" ca="1">IF(OR($B225="",$B225="X",$D225="",$D225="X",$E225="",$E225="X"),0,IFERROR(_xlfn.LET(_xlpm.x,SUM(SUM(_xlfn._xlws.FILTER(VALUE(PptoSty[Sign]&amp;1)*(1/PptoSty[Division]),(PptoSty[Division]&lt;&gt;0)*(PptoSty[Division]&lt;&gt;"")*(PptoSty[Division]&lt;&gt;"X")*(PptoSty[Project]=$B225)*(PptoSty[Vrs]=$D225)*(PptoSty[PiRow]=_xlfn.TEXTAFTER($H225,":"))*(PptoSty[PiColumn]=Q$54),0)),SUM(IF((INDIRECT($B$3)=$B225)*(INDIRECT($C$3)=$D225)*((INDIRECT($E$3)="TOTS")+(INDIRECT($E$3)=$E225)),INDIRECT(Q$3)))),_xlpm.y,SUM(_xlfn.CHOOSECOLS(_xlfn._xlws.FILTER(F_RT14[],(F_RT14[PrjId]=$B225)*(F_RT14[Vrs]=$D225)*(_xlfn.TEXTAFTER(F_RT14[ActGrp],":")=_xlfn.TEXTAFTER($H225,":")),"X"),MATCH("*"&amp;Q$54,F_RT14[#Headers],0))),IF(AND(_xlpm.x=0,_xlpm.y&lt;&gt;0),-1,IF(AND(_xlpm.x&lt;&gt;0,_xlpm.y&lt;&gt;0),_xlpm.x,IF(AND(_xlpm.x-SUM(IF((INDIRECT($B$3)=$B225)*(INDIRECT($C$3)=$D225)*((INDIRECT($E$3)="TOTS")+(INDIRECT($E$3)=$E225)),INDIRECT(Q$3)))&lt;&gt;0,_xlpm.y=0),-2,_xlpm.x)))),0))</f>
        <v>0</v>
      </c>
      <c r="R225" s="199" cm="1">
        <f t="array" aca="1" ref="R225" ca="1">IF(OR($B225="",$B225="X",$D225="",$D225="X",$E225="",$E225="X"),0,IFERROR(_xlfn.LET(_xlpm.x,SUM(SUM(_xlfn._xlws.FILTER(VALUE(PptoSty[Sign]&amp;1)*(1/PptoSty[Division]),(PptoSty[Division]&lt;&gt;0)*(PptoSty[Division]&lt;&gt;"")*(PptoSty[Division]&lt;&gt;"X")*(PptoSty[Project]=$B225)*(PptoSty[Vrs]=$D225)*(PptoSty[PiRow]=_xlfn.TEXTAFTER($H225,":"))*(PptoSty[PiColumn]=R$54),0)),SUM(IF((INDIRECT($B$3)=$B225)*(INDIRECT($C$3)=$D225)*((INDIRECT($E$3)="TOTS")+(INDIRECT($E$3)=$E225)),INDIRECT(R$3)))),_xlpm.y,SUM(_xlfn.CHOOSECOLS(_xlfn._xlws.FILTER(F_RT14[],(F_RT14[PrjId]=$B225)*(F_RT14[Vrs]=$D225)*(_xlfn.TEXTAFTER(F_RT14[ActGrp],":")=_xlfn.TEXTAFTER($H225,":")),"X"),MATCH("*"&amp;R$54,F_RT14[#Headers],0))),IF(AND(_xlpm.x=0,_xlpm.y&lt;&gt;0),-1,IF(AND(_xlpm.x&lt;&gt;0,_xlpm.y&lt;&gt;0),_xlpm.x,IF(AND(_xlpm.x-SUM(IF((INDIRECT($B$3)=$B225)*(INDIRECT($C$3)=$D225)*((INDIRECT($E$3)="TOTS")+(INDIRECT($E$3)=$E225)),INDIRECT(R$3)))&lt;&gt;0,_xlpm.y=0),-2,_xlpm.x)))),0))</f>
        <v>0</v>
      </c>
      <c r="S225" s="199" cm="1">
        <f t="array" aca="1" ref="S225" ca="1">IF(OR($B225="",$B225="X",$D225="",$D225="X",$E225="",$E225="X"),0,IFERROR(_xlfn.LET(_xlpm.x,SUM(SUM(_xlfn._xlws.FILTER(VALUE(PptoSty[Sign]&amp;1)*(1/PptoSty[Division]),(PptoSty[Division]&lt;&gt;0)*(PptoSty[Division]&lt;&gt;"")*(PptoSty[Division]&lt;&gt;"X")*(PptoSty[Project]=$B225)*(PptoSty[Vrs]=$D225)*(PptoSty[PiRow]=_xlfn.TEXTAFTER($H225,":"))*(PptoSty[PiColumn]=S$54),0)),SUM(IF((INDIRECT($B$3)=$B225)*(INDIRECT($C$3)=$D225)*((INDIRECT($E$3)="TOTS")+(INDIRECT($E$3)=$E225)),INDIRECT(S$3)))),_xlpm.y,SUM(_xlfn.CHOOSECOLS(_xlfn._xlws.FILTER(F_RT14[],(F_RT14[PrjId]=$B225)*(F_RT14[Vrs]=$D225)*(_xlfn.TEXTAFTER(F_RT14[ActGrp],":")=_xlfn.TEXTAFTER($H225,":")),"X"),MATCH("*"&amp;S$54,F_RT14[#Headers],0))),IF(AND(_xlpm.x=0,_xlpm.y&lt;&gt;0),-1,IF(AND(_xlpm.x&lt;&gt;0,_xlpm.y&lt;&gt;0),_xlpm.x,IF(AND(_xlpm.x-SUM(IF((INDIRECT($B$3)=$B225)*(INDIRECT($C$3)=$D225)*((INDIRECT($E$3)="TOTS")+(INDIRECT($E$3)=$E225)),INDIRECT(S$3)))&lt;&gt;0,_xlpm.y=0),-2,_xlpm.x)))),0))</f>
        <v>0</v>
      </c>
      <c r="T225" s="199" cm="1">
        <f t="array" aca="1" ref="T225" ca="1">IF(OR($B225="",$B225="X",$D225="",$D225="X",$E225="",$E225="X"),0,IFERROR(_xlfn.LET(_xlpm.x,SUM(SUM(_xlfn._xlws.FILTER(VALUE(PptoSty[Sign]&amp;1)*(1/PptoSty[Division]),(PptoSty[Division]&lt;&gt;0)*(PptoSty[Division]&lt;&gt;"")*(PptoSty[Division]&lt;&gt;"X")*(PptoSty[Project]=$B225)*(PptoSty[Vrs]=$D225)*(PptoSty[PiRow]=_xlfn.TEXTAFTER($H225,":"))*(PptoSty[PiColumn]=T$54),0)),SUM(IF((INDIRECT($B$3)=$B225)*(INDIRECT($C$3)=$D225)*((INDIRECT($E$3)="TOTS")+(INDIRECT($E$3)=$E225)),INDIRECT(T$3)))),_xlpm.y,SUM(_xlfn.CHOOSECOLS(_xlfn._xlws.FILTER(F_RT14[],(F_RT14[PrjId]=$B225)*(F_RT14[Vrs]=$D225)*(_xlfn.TEXTAFTER(F_RT14[ActGrp],":")=_xlfn.TEXTAFTER($H225,":")),"X"),MATCH("*"&amp;T$54,F_RT14[#Headers],0))),IF(AND(_xlpm.x=0,_xlpm.y&lt;&gt;0),-1,IF(AND(_xlpm.x&lt;&gt;0,_xlpm.y&lt;&gt;0),_xlpm.x,IF(AND(_xlpm.x-SUM(IF((INDIRECT($B$3)=$B225)*(INDIRECT($C$3)=$D225)*((INDIRECT($E$3)="TOTS")+(INDIRECT($E$3)=$E225)),INDIRECT(T$3)))&lt;&gt;0,_xlpm.y=0),-2,_xlpm.x)))),0))</f>
        <v>0</v>
      </c>
      <c r="U225" s="199" cm="1">
        <f t="array" aca="1" ref="U225" ca="1">IF(OR($B225="",$B225="X",$D225="",$D225="X",$E225="",$E225="X"),0,IFERROR(_xlfn.LET(_xlpm.x,SUM(SUM(_xlfn._xlws.FILTER(VALUE(PptoSty[Sign]&amp;1)*(1/PptoSty[Division]),(PptoSty[Division]&lt;&gt;0)*(PptoSty[Division]&lt;&gt;"")*(PptoSty[Division]&lt;&gt;"X")*(PptoSty[Project]=$B225)*(PptoSty[Vrs]=$D225)*(PptoSty[PiRow]=_xlfn.TEXTAFTER($H225,":"))*(PptoSty[PiColumn]=U$54),0)),SUM(IF((INDIRECT($B$3)=$B225)*(INDIRECT($C$3)=$D225)*((INDIRECT($E$3)="TOTS")+(INDIRECT($E$3)=$E225)),INDIRECT(U$3)))),_xlpm.y,SUM(_xlfn.CHOOSECOLS(_xlfn._xlws.FILTER(F_RT14[],(F_RT14[PrjId]=$B225)*(F_RT14[Vrs]=$D225)*(_xlfn.TEXTAFTER(F_RT14[ActGrp],":")=_xlfn.TEXTAFTER($H225,":")),"X"),MATCH("*"&amp;U$54,F_RT14[#Headers],0))),IF(AND(_xlpm.x=0,_xlpm.y&lt;&gt;0),-1,IF(AND(_xlpm.x&lt;&gt;0,_xlpm.y&lt;&gt;0),_xlpm.x,IF(AND(_xlpm.x-SUM(IF((INDIRECT($B$3)=$B225)*(INDIRECT($C$3)=$D225)*((INDIRECT($E$3)="TOTS")+(INDIRECT($E$3)=$E225)),INDIRECT(U$3)))&lt;&gt;0,_xlpm.y=0),-2,_xlpm.x)))),0))</f>
        <v>0</v>
      </c>
      <c r="V225" s="199" cm="1">
        <f t="array" aca="1" ref="V225" ca="1">IF(OR($B225="",$B225="X",$D225="",$D225="X",$E225="",$E225="X"),0,IFERROR(_xlfn.LET(_xlpm.x,SUM(SUM(_xlfn._xlws.FILTER(VALUE(PptoSty[Sign]&amp;1)*(1/PptoSty[Division]),(PptoSty[Division]&lt;&gt;0)*(PptoSty[Division]&lt;&gt;"")*(PptoSty[Division]&lt;&gt;"X")*(PptoSty[Project]=$B225)*(PptoSty[Vrs]=$D225)*(PptoSty[PiRow]=_xlfn.TEXTAFTER($H225,":"))*(PptoSty[PiColumn]=V$54),0)),SUM(IF((INDIRECT($B$3)=$B225)*(INDIRECT($C$3)=$D225)*((INDIRECT($E$3)="TOTS")+(INDIRECT($E$3)=$E225)),INDIRECT(V$3)))),_xlpm.y,SUM(_xlfn.CHOOSECOLS(_xlfn._xlws.FILTER(F_RT14[],(F_RT14[PrjId]=$B225)*(F_RT14[Vrs]=$D225)*(_xlfn.TEXTAFTER(F_RT14[ActGrp],":")=_xlfn.TEXTAFTER($H225,":")),"X"),MATCH("*"&amp;V$54,F_RT14[#Headers],0))),IF(AND(_xlpm.x=0,_xlpm.y&lt;&gt;0),-1,IF(AND(_xlpm.x&lt;&gt;0,_xlpm.y&lt;&gt;0),_xlpm.x,IF(AND(_xlpm.x-SUM(IF((INDIRECT($B$3)=$B225)*(INDIRECT($C$3)=$D225)*((INDIRECT($E$3)="TOTS")+(INDIRECT($E$3)=$E225)),INDIRECT(V$3)))&lt;&gt;0,_xlpm.y=0),-2,_xlpm.x)))),0))</f>
        <v>0</v>
      </c>
      <c r="W225" s="199" cm="1">
        <f t="array" aca="1" ref="W225" ca="1">IF(OR($B225="",$B225="X",$D225="",$D225="X",$E225="",$E225="X"),0,IFERROR(_xlfn.LET(_xlpm.x,SUM(SUM(_xlfn._xlws.FILTER(VALUE(PptoSty[Sign]&amp;1)*(1/PptoSty[Division]),(PptoSty[Division]&lt;&gt;0)*(PptoSty[Division]&lt;&gt;"")*(PptoSty[Division]&lt;&gt;"X")*(PptoSty[Project]=$B225)*(PptoSty[Vrs]=$D225)*(PptoSty[PiRow]=_xlfn.TEXTAFTER($H225,":"))*(PptoSty[PiColumn]=W$54),0)),SUM(IF((INDIRECT($B$3)=$B225)*(INDIRECT($C$3)=$D225)*((INDIRECT($E$3)="TOTS")+(INDIRECT($E$3)=$E225)),INDIRECT(W$3)))),_xlpm.y,SUM(_xlfn.CHOOSECOLS(_xlfn._xlws.FILTER(F_RT14[],(F_RT14[PrjId]=$B225)*(F_RT14[Vrs]=$D225)*(_xlfn.TEXTAFTER(F_RT14[ActGrp],":")=_xlfn.TEXTAFTER($H225,":")),"X"),MATCH("*"&amp;W$54,F_RT14[#Headers],0))),IF(AND(_xlpm.x=0,_xlpm.y&lt;&gt;0),-1,IF(AND(_xlpm.x&lt;&gt;0,_xlpm.y&lt;&gt;0),_xlpm.x,IF(AND(_xlpm.x-SUM(IF((INDIRECT($B$3)=$B225)*(INDIRECT($C$3)=$D225)*((INDIRECT($E$3)="TOTS")+(INDIRECT($E$3)=$E225)),INDIRECT(W$3)))&lt;&gt;0,_xlpm.y=0),-2,_xlpm.x)))),0))</f>
        <v>0</v>
      </c>
      <c r="X225" s="199" cm="1">
        <f t="array" aca="1" ref="X225" ca="1">IF(OR($B225="",$B225="X",$D225="",$D225="X",$E225="",$E225="X"),0,IFERROR(_xlfn.LET(_xlpm.x,SUM(SUM(_xlfn._xlws.FILTER(VALUE(PptoSty[Sign]&amp;1)*(1/PptoSty[Division]),(PptoSty[Division]&lt;&gt;0)*(PptoSty[Division]&lt;&gt;"")*(PptoSty[Division]&lt;&gt;"X")*(PptoSty[Project]=$B225)*(PptoSty[Vrs]=$D225)*(PptoSty[PiRow]=_xlfn.TEXTAFTER($H225,":"))*(PptoSty[PiColumn]=X$54),0)),SUM(IF((INDIRECT($B$3)=$B225)*(INDIRECT($C$3)=$D225)*((INDIRECT($E$3)="TOTS")+(INDIRECT($E$3)=$E225)),INDIRECT(X$3)))),_xlpm.y,SUM(_xlfn.CHOOSECOLS(_xlfn._xlws.FILTER(F_RT14[],(F_RT14[PrjId]=$B225)*(F_RT14[Vrs]=$D225)*(_xlfn.TEXTAFTER(F_RT14[ActGrp],":")=_xlfn.TEXTAFTER($H225,":")),"X"),MATCH("*"&amp;X$54,F_RT14[#Headers],0))),IF(AND(_xlpm.x=0,_xlpm.y&lt;&gt;0),-1,IF(AND(_xlpm.x&lt;&gt;0,_xlpm.y&lt;&gt;0),_xlpm.x,IF(AND(_xlpm.x-SUM(IF((INDIRECT($B$3)=$B225)*(INDIRECT($C$3)=$D225)*((INDIRECT($E$3)="TOTS")+(INDIRECT($E$3)=$E225)),INDIRECT(X$3)))&lt;&gt;0,_xlpm.y=0),-2,_xlpm.x)))),0))</f>
        <v>0</v>
      </c>
      <c r="Y225" s="199" cm="1">
        <f t="array" aca="1" ref="Y225" ca="1">IF(OR($B225="",$B225="X",$D225="",$D225="X",$E225="",$E225="X"),0,IFERROR(_xlfn.LET(_xlpm.x,SUM(SUM(_xlfn._xlws.FILTER(VALUE(PptoSty[Sign]&amp;1)*(1/PptoSty[Division]),(PptoSty[Division]&lt;&gt;0)*(PptoSty[Division]&lt;&gt;"")*(PptoSty[Division]&lt;&gt;"X")*(PptoSty[Project]=$B225)*(PptoSty[Vrs]=$D225)*(PptoSty[PiRow]=_xlfn.TEXTAFTER($H225,":"))*(PptoSty[PiColumn]=Y$54),0)),SUM(IF((INDIRECT($B$3)=$B225)*(INDIRECT($C$3)=$D225)*((INDIRECT($E$3)="TOTS")+(INDIRECT($E$3)=$E225)),INDIRECT(Y$3)))),_xlpm.y,SUM(_xlfn.CHOOSECOLS(_xlfn._xlws.FILTER(F_RT14[],(F_RT14[PrjId]=$B225)*(F_RT14[Vrs]=$D225)*(_xlfn.TEXTAFTER(F_RT14[ActGrp],":")=_xlfn.TEXTAFTER($H225,":")),"X"),MATCH("*"&amp;Y$54,F_RT14[#Headers],0))),IF(AND(_xlpm.x=0,_xlpm.y&lt;&gt;0),-1,IF(AND(_xlpm.x&lt;&gt;0,_xlpm.y&lt;&gt;0),_xlpm.x,IF(AND(_xlpm.x-SUM(IF((INDIRECT($B$3)=$B225)*(INDIRECT($C$3)=$D225)*((INDIRECT($E$3)="TOTS")+(INDIRECT($E$3)=$E225)),INDIRECT(Y$3)))&lt;&gt;0,_xlpm.y=0),-2,_xlpm.x)))),0))</f>
        <v>0</v>
      </c>
      <c r="Z225" s="198" t="str">
        <f t="shared" ca="1" si="4"/>
        <v>Fback!B225:Y225</v>
      </c>
    </row>
    <row r="226" spans="2:26" ht="21" customHeight="1" outlineLevel="1">
      <c r="B226" s="128"/>
      <c r="C226" s="128"/>
      <c r="D226" s="128"/>
      <c r="E226" s="128"/>
      <c r="F226" s="139"/>
      <c r="G226" s="139"/>
      <c r="H226" s="139"/>
      <c r="I226" s="199" cm="1">
        <f t="array" aca="1" ref="I226" ca="1">IF(OR($B226="",$B226="X",$D226="",$D226="X",$E226="",$E226="X"),0,IFERROR(_xlfn.LET(_xlpm.x,SUM(SUM(_xlfn._xlws.FILTER(VALUE(PptoSty[Sign]&amp;1)*(1/PptoSty[Division]),(PptoSty[Division]&lt;&gt;0)*(PptoSty[Division]&lt;&gt;"")*(PptoSty[Division]&lt;&gt;"X")*(PptoSty[Project]=$B226)*(PptoSty[Vrs]=$D226)*(PptoSty[PiRow]=_xlfn.TEXTAFTER($H226,":"))*(PptoSty[PiColumn]=I$54),0)),SUM(IF((INDIRECT($B$3)=$B226)*(INDIRECT($C$3)=$D226)*((INDIRECT($E$3)="TOTS")+(INDIRECT($E$3)=$E226)),INDIRECT(I$3)))),_xlpm.y,SUM(_xlfn.CHOOSECOLS(_xlfn._xlws.FILTER(F_RT14[],(F_RT14[PrjId]=$B226)*(F_RT14[Vrs]=$D226)*(_xlfn.TEXTAFTER(F_RT14[ActGrp],":")=_xlfn.TEXTAFTER($H226,":")),"X"),MATCH("*"&amp;I$54,F_RT14[#Headers],0))),IF(AND(_xlpm.x=0,_xlpm.y&lt;&gt;0),-1,IF(AND(_xlpm.x&lt;&gt;0,_xlpm.y&lt;&gt;0),_xlpm.x,IF(AND(_xlpm.x-SUM(IF((INDIRECT($B$3)=$B226)*(INDIRECT($C$3)=$D226)*((INDIRECT($E$3)="TOTS")+(INDIRECT($E$3)=$E226)),INDIRECT(I$3)))&lt;&gt;0,_xlpm.y=0),-2,_xlpm.x)))),0))</f>
        <v>0</v>
      </c>
      <c r="J226" s="199" cm="1">
        <f t="array" aca="1" ref="J226" ca="1">IF(OR($B226="",$B226="X",$D226="",$D226="X",$E226="",$E226="X"),0,IFERROR(_xlfn.LET(_xlpm.x,SUM(SUM(_xlfn._xlws.FILTER(VALUE(PptoSty[Sign]&amp;1)*(1/PptoSty[Division]),(PptoSty[Division]&lt;&gt;0)*(PptoSty[Division]&lt;&gt;"")*(PptoSty[Division]&lt;&gt;"X")*(PptoSty[Project]=$B226)*(PptoSty[Vrs]=$D226)*(PptoSty[PiRow]=_xlfn.TEXTAFTER($H226,":"))*(PptoSty[PiColumn]=J$54),0)),SUM(IF((INDIRECT($B$3)=$B226)*(INDIRECT($C$3)=$D226)*((INDIRECT($E$3)="TOTS")+(INDIRECT($E$3)=$E226)),INDIRECT(J$3)))),_xlpm.y,SUM(_xlfn.CHOOSECOLS(_xlfn._xlws.FILTER(F_RT14[],(F_RT14[PrjId]=$B226)*(F_RT14[Vrs]=$D226)*(_xlfn.TEXTAFTER(F_RT14[ActGrp],":")=_xlfn.TEXTAFTER($H226,":")),"X"),MATCH("*"&amp;J$54,F_RT14[#Headers],0))),IF(AND(_xlpm.x=0,_xlpm.y&lt;&gt;0),-1,IF(AND(_xlpm.x&lt;&gt;0,_xlpm.y&lt;&gt;0),_xlpm.x,IF(AND(_xlpm.x-SUM(IF((INDIRECT($B$3)=$B226)*(INDIRECT($C$3)=$D226)*((INDIRECT($E$3)="TOTS")+(INDIRECT($E$3)=$E226)),INDIRECT(J$3)))&lt;&gt;0,_xlpm.y=0),-2,_xlpm.x)))),0))</f>
        <v>0</v>
      </c>
      <c r="K226" s="199" cm="1">
        <f t="array" aca="1" ref="K226" ca="1">IF(OR($B226="",$B226="X",$D226="",$D226="X",$E226="",$E226="X"),0,IFERROR(_xlfn.LET(_xlpm.x,SUM(SUM(_xlfn._xlws.FILTER(VALUE(PptoSty[Sign]&amp;1)*(1/PptoSty[Division]),(PptoSty[Division]&lt;&gt;0)*(PptoSty[Division]&lt;&gt;"")*(PptoSty[Division]&lt;&gt;"X")*(PptoSty[Project]=$B226)*(PptoSty[Vrs]=$D226)*(PptoSty[PiRow]=_xlfn.TEXTAFTER($H226,":"))*(PptoSty[PiColumn]=K$54),0)),SUM(IF((INDIRECT($B$3)=$B226)*(INDIRECT($C$3)=$D226)*((INDIRECT($E$3)="TOTS")+(INDIRECT($E$3)=$E226)),INDIRECT(K$3)))),_xlpm.y,SUM(_xlfn.CHOOSECOLS(_xlfn._xlws.FILTER(F_RT14[],(F_RT14[PrjId]=$B226)*(F_RT14[Vrs]=$D226)*(_xlfn.TEXTAFTER(F_RT14[ActGrp],":")=_xlfn.TEXTAFTER($H226,":")),"X"),MATCH("*"&amp;K$54,F_RT14[#Headers],0))),IF(AND(_xlpm.x=0,_xlpm.y&lt;&gt;0),-1,IF(AND(_xlpm.x&lt;&gt;0,_xlpm.y&lt;&gt;0),_xlpm.x,IF(AND(_xlpm.x-SUM(IF((INDIRECT($B$3)=$B226)*(INDIRECT($C$3)=$D226)*((INDIRECT($E$3)="TOTS")+(INDIRECT($E$3)=$E226)),INDIRECT(K$3)))&lt;&gt;0,_xlpm.y=0),-2,_xlpm.x)))),0))</f>
        <v>0</v>
      </c>
      <c r="L226" s="199" cm="1">
        <f t="array" aca="1" ref="L226" ca="1">IF(OR($B226="",$B226="X",$D226="",$D226="X",$E226="",$E226="X"),0,IFERROR(_xlfn.LET(_xlpm.x,SUM(SUM(_xlfn._xlws.FILTER(VALUE(PptoSty[Sign]&amp;1)*(1/PptoSty[Division]),(PptoSty[Division]&lt;&gt;0)*(PptoSty[Division]&lt;&gt;"")*(PptoSty[Division]&lt;&gt;"X")*(PptoSty[Project]=$B226)*(PptoSty[Vrs]=$D226)*(PptoSty[PiRow]=_xlfn.TEXTAFTER($H226,":"))*(PptoSty[PiColumn]=L$54),0)),SUM(IF((INDIRECT($B$3)=$B226)*(INDIRECT($C$3)=$D226)*((INDIRECT($E$3)="TOTS")+(INDIRECT($E$3)=$E226)),INDIRECT(L$3)))),_xlpm.y,SUM(_xlfn.CHOOSECOLS(_xlfn._xlws.FILTER(F_RT14[],(F_RT14[PrjId]=$B226)*(F_RT14[Vrs]=$D226)*(_xlfn.TEXTAFTER(F_RT14[ActGrp],":")=_xlfn.TEXTAFTER($H226,":")),"X"),MATCH("*"&amp;L$54,F_RT14[#Headers],0))),IF(AND(_xlpm.x=0,_xlpm.y&lt;&gt;0),-1,IF(AND(_xlpm.x&lt;&gt;0,_xlpm.y&lt;&gt;0),_xlpm.x,IF(AND(_xlpm.x-SUM(IF((INDIRECT($B$3)=$B226)*(INDIRECT($C$3)=$D226)*((INDIRECT($E$3)="TOTS")+(INDIRECT($E$3)=$E226)),INDIRECT(L$3)))&lt;&gt;0,_xlpm.y=0),-2,_xlpm.x)))),0))</f>
        <v>0</v>
      </c>
      <c r="M226" s="199" cm="1">
        <f t="array" aca="1" ref="M226" ca="1">IF(OR($B226="",$B226="X",$D226="",$D226="X",$E226="",$E226="X"),0,IFERROR(_xlfn.LET(_xlpm.x,SUM(SUM(_xlfn._xlws.FILTER(VALUE(PptoSty[Sign]&amp;1)*(1/PptoSty[Division]),(PptoSty[Division]&lt;&gt;0)*(PptoSty[Division]&lt;&gt;"")*(PptoSty[Division]&lt;&gt;"X")*(PptoSty[Project]=$B226)*(PptoSty[Vrs]=$D226)*(PptoSty[PiRow]=_xlfn.TEXTAFTER($H226,":"))*(PptoSty[PiColumn]=M$54),0)),SUM(IF((INDIRECT($B$3)=$B226)*(INDIRECT($C$3)=$D226)*((INDIRECT($E$3)="TOTS")+(INDIRECT($E$3)=$E226)),INDIRECT(M$3)))),_xlpm.y,SUM(_xlfn.CHOOSECOLS(_xlfn._xlws.FILTER(F_RT14[],(F_RT14[PrjId]=$B226)*(F_RT14[Vrs]=$D226)*(_xlfn.TEXTAFTER(F_RT14[ActGrp],":")=_xlfn.TEXTAFTER($H226,":")),"X"),MATCH("*"&amp;M$54,F_RT14[#Headers],0))),IF(AND(_xlpm.x=0,_xlpm.y&lt;&gt;0),-1,IF(AND(_xlpm.x&lt;&gt;0,_xlpm.y&lt;&gt;0),_xlpm.x,IF(AND(_xlpm.x-SUM(IF((INDIRECT($B$3)=$B226)*(INDIRECT($C$3)=$D226)*((INDIRECT($E$3)="TOTS")+(INDIRECT($E$3)=$E226)),INDIRECT(M$3)))&lt;&gt;0,_xlpm.y=0),-2,_xlpm.x)))),0))</f>
        <v>0</v>
      </c>
      <c r="N226" s="199" cm="1">
        <f t="array" aca="1" ref="N226" ca="1">IF(OR($B226="",$B226="X",$D226="",$D226="X",$E226="",$E226="X"),0,IFERROR(_xlfn.LET(_xlpm.x,SUM(SUM(_xlfn._xlws.FILTER(VALUE(PptoSty[Sign]&amp;1)*(1/PptoSty[Division]),(PptoSty[Division]&lt;&gt;0)*(PptoSty[Division]&lt;&gt;"")*(PptoSty[Division]&lt;&gt;"X")*(PptoSty[Project]=$B226)*(PptoSty[Vrs]=$D226)*(PptoSty[PiRow]=_xlfn.TEXTAFTER($H226,":"))*(PptoSty[PiColumn]=N$54),0)),SUM(IF((INDIRECT($B$3)=$B226)*(INDIRECT($C$3)=$D226)*((INDIRECT($E$3)="TOTS")+(INDIRECT($E$3)=$E226)),INDIRECT(N$3)))),_xlpm.y,SUM(_xlfn.CHOOSECOLS(_xlfn._xlws.FILTER(F_RT14[],(F_RT14[PrjId]=$B226)*(F_RT14[Vrs]=$D226)*(_xlfn.TEXTAFTER(F_RT14[ActGrp],":")=_xlfn.TEXTAFTER($H226,":")),"X"),MATCH("*"&amp;N$54,F_RT14[#Headers],0))),IF(AND(_xlpm.x=0,_xlpm.y&lt;&gt;0),-1,IF(AND(_xlpm.x&lt;&gt;0,_xlpm.y&lt;&gt;0),_xlpm.x,IF(AND(_xlpm.x-SUM(IF((INDIRECT($B$3)=$B226)*(INDIRECT($C$3)=$D226)*((INDIRECT($E$3)="TOTS")+(INDIRECT($E$3)=$E226)),INDIRECT(N$3)))&lt;&gt;0,_xlpm.y=0),-2,_xlpm.x)))),0))</f>
        <v>0</v>
      </c>
      <c r="O226" s="199" cm="1">
        <f t="array" aca="1" ref="O226" ca="1">IF(OR($B226="",$B226="X",$D226="",$D226="X",$E226="",$E226="X"),0,IFERROR(_xlfn.LET(_xlpm.x,SUM(SUM(_xlfn._xlws.FILTER(VALUE(PptoSty[Sign]&amp;1)*(1/PptoSty[Division]),(PptoSty[Division]&lt;&gt;0)*(PptoSty[Division]&lt;&gt;"")*(PptoSty[Division]&lt;&gt;"X")*(PptoSty[Project]=$B226)*(PptoSty[Vrs]=$D226)*(PptoSty[PiRow]=_xlfn.TEXTAFTER($H226,":"))*(PptoSty[PiColumn]=O$54),0)),SUM(IF((INDIRECT($B$3)=$B226)*(INDIRECT($C$3)=$D226)*((INDIRECT($E$3)="TOTS")+(INDIRECT($E$3)=$E226)),INDIRECT(O$3)))),_xlpm.y,SUM(_xlfn.CHOOSECOLS(_xlfn._xlws.FILTER(F_RT14[],(F_RT14[PrjId]=$B226)*(F_RT14[Vrs]=$D226)*(_xlfn.TEXTAFTER(F_RT14[ActGrp],":")=_xlfn.TEXTAFTER($H226,":")),"X"),MATCH("*"&amp;O$54,F_RT14[#Headers],0))),IF(AND(_xlpm.x=0,_xlpm.y&lt;&gt;0),-1,IF(AND(_xlpm.x&lt;&gt;0,_xlpm.y&lt;&gt;0),_xlpm.x,IF(AND(_xlpm.x-SUM(IF((INDIRECT($B$3)=$B226)*(INDIRECT($C$3)=$D226)*((INDIRECT($E$3)="TOTS")+(INDIRECT($E$3)=$E226)),INDIRECT(O$3)))&lt;&gt;0,_xlpm.y=0),-2,_xlpm.x)))),0))</f>
        <v>0</v>
      </c>
      <c r="P226" s="199" cm="1">
        <f t="array" aca="1" ref="P226" ca="1">IF(OR($B226="",$B226="X",$D226="",$D226="X",$E226="",$E226="X"),0,IFERROR(_xlfn.LET(_xlpm.x,SUM(SUM(_xlfn._xlws.FILTER(VALUE(PptoSty[Sign]&amp;1)*(1/PptoSty[Division]),(PptoSty[Division]&lt;&gt;0)*(PptoSty[Division]&lt;&gt;"")*(PptoSty[Division]&lt;&gt;"X")*(PptoSty[Project]=$B226)*(PptoSty[Vrs]=$D226)*(PptoSty[PiRow]=_xlfn.TEXTAFTER($H226,":"))*(PptoSty[PiColumn]=P$54),0)),SUM(IF((INDIRECT($B$3)=$B226)*(INDIRECT($C$3)=$D226)*((INDIRECT($E$3)="TOTS")+(INDIRECT($E$3)=$E226)),INDIRECT(P$3)))),_xlpm.y,SUM(_xlfn.CHOOSECOLS(_xlfn._xlws.FILTER(F_RT14[],(F_RT14[PrjId]=$B226)*(F_RT14[Vrs]=$D226)*(_xlfn.TEXTAFTER(F_RT14[ActGrp],":")=_xlfn.TEXTAFTER($H226,":")),"X"),MATCH("*"&amp;P$54,F_RT14[#Headers],0))),IF(AND(_xlpm.x=0,_xlpm.y&lt;&gt;0),-1,IF(AND(_xlpm.x&lt;&gt;0,_xlpm.y&lt;&gt;0),_xlpm.x,IF(AND(_xlpm.x-SUM(IF((INDIRECT($B$3)=$B226)*(INDIRECT($C$3)=$D226)*((INDIRECT($E$3)="TOTS")+(INDIRECT($E$3)=$E226)),INDIRECT(P$3)))&lt;&gt;0,_xlpm.y=0),-2,_xlpm.x)))),0))</f>
        <v>0</v>
      </c>
      <c r="Q226" s="199" cm="1">
        <f t="array" aca="1" ref="Q226" ca="1">IF(OR($B226="",$B226="X",$D226="",$D226="X",$E226="",$E226="X"),0,IFERROR(_xlfn.LET(_xlpm.x,SUM(SUM(_xlfn._xlws.FILTER(VALUE(PptoSty[Sign]&amp;1)*(1/PptoSty[Division]),(PptoSty[Division]&lt;&gt;0)*(PptoSty[Division]&lt;&gt;"")*(PptoSty[Division]&lt;&gt;"X")*(PptoSty[Project]=$B226)*(PptoSty[Vrs]=$D226)*(PptoSty[PiRow]=_xlfn.TEXTAFTER($H226,":"))*(PptoSty[PiColumn]=Q$54),0)),SUM(IF((INDIRECT($B$3)=$B226)*(INDIRECT($C$3)=$D226)*((INDIRECT($E$3)="TOTS")+(INDIRECT($E$3)=$E226)),INDIRECT(Q$3)))),_xlpm.y,SUM(_xlfn.CHOOSECOLS(_xlfn._xlws.FILTER(F_RT14[],(F_RT14[PrjId]=$B226)*(F_RT14[Vrs]=$D226)*(_xlfn.TEXTAFTER(F_RT14[ActGrp],":")=_xlfn.TEXTAFTER($H226,":")),"X"),MATCH("*"&amp;Q$54,F_RT14[#Headers],0))),IF(AND(_xlpm.x=0,_xlpm.y&lt;&gt;0),-1,IF(AND(_xlpm.x&lt;&gt;0,_xlpm.y&lt;&gt;0),_xlpm.x,IF(AND(_xlpm.x-SUM(IF((INDIRECT($B$3)=$B226)*(INDIRECT($C$3)=$D226)*((INDIRECT($E$3)="TOTS")+(INDIRECT($E$3)=$E226)),INDIRECT(Q$3)))&lt;&gt;0,_xlpm.y=0),-2,_xlpm.x)))),0))</f>
        <v>0</v>
      </c>
      <c r="R226" s="199" cm="1">
        <f t="array" aca="1" ref="R226" ca="1">IF(OR($B226="",$B226="X",$D226="",$D226="X",$E226="",$E226="X"),0,IFERROR(_xlfn.LET(_xlpm.x,SUM(SUM(_xlfn._xlws.FILTER(VALUE(PptoSty[Sign]&amp;1)*(1/PptoSty[Division]),(PptoSty[Division]&lt;&gt;0)*(PptoSty[Division]&lt;&gt;"")*(PptoSty[Division]&lt;&gt;"X")*(PptoSty[Project]=$B226)*(PptoSty[Vrs]=$D226)*(PptoSty[PiRow]=_xlfn.TEXTAFTER($H226,":"))*(PptoSty[PiColumn]=R$54),0)),SUM(IF((INDIRECT($B$3)=$B226)*(INDIRECT($C$3)=$D226)*((INDIRECT($E$3)="TOTS")+(INDIRECT($E$3)=$E226)),INDIRECT(R$3)))),_xlpm.y,SUM(_xlfn.CHOOSECOLS(_xlfn._xlws.FILTER(F_RT14[],(F_RT14[PrjId]=$B226)*(F_RT14[Vrs]=$D226)*(_xlfn.TEXTAFTER(F_RT14[ActGrp],":")=_xlfn.TEXTAFTER($H226,":")),"X"),MATCH("*"&amp;R$54,F_RT14[#Headers],0))),IF(AND(_xlpm.x=0,_xlpm.y&lt;&gt;0),-1,IF(AND(_xlpm.x&lt;&gt;0,_xlpm.y&lt;&gt;0),_xlpm.x,IF(AND(_xlpm.x-SUM(IF((INDIRECT($B$3)=$B226)*(INDIRECT($C$3)=$D226)*((INDIRECT($E$3)="TOTS")+(INDIRECT($E$3)=$E226)),INDIRECT(R$3)))&lt;&gt;0,_xlpm.y=0),-2,_xlpm.x)))),0))</f>
        <v>0</v>
      </c>
      <c r="S226" s="199" cm="1">
        <f t="array" aca="1" ref="S226" ca="1">IF(OR($B226="",$B226="X",$D226="",$D226="X",$E226="",$E226="X"),0,IFERROR(_xlfn.LET(_xlpm.x,SUM(SUM(_xlfn._xlws.FILTER(VALUE(PptoSty[Sign]&amp;1)*(1/PptoSty[Division]),(PptoSty[Division]&lt;&gt;0)*(PptoSty[Division]&lt;&gt;"")*(PptoSty[Division]&lt;&gt;"X")*(PptoSty[Project]=$B226)*(PptoSty[Vrs]=$D226)*(PptoSty[PiRow]=_xlfn.TEXTAFTER($H226,":"))*(PptoSty[PiColumn]=S$54),0)),SUM(IF((INDIRECT($B$3)=$B226)*(INDIRECT($C$3)=$D226)*((INDIRECT($E$3)="TOTS")+(INDIRECT($E$3)=$E226)),INDIRECT(S$3)))),_xlpm.y,SUM(_xlfn.CHOOSECOLS(_xlfn._xlws.FILTER(F_RT14[],(F_RT14[PrjId]=$B226)*(F_RT14[Vrs]=$D226)*(_xlfn.TEXTAFTER(F_RT14[ActGrp],":")=_xlfn.TEXTAFTER($H226,":")),"X"),MATCH("*"&amp;S$54,F_RT14[#Headers],0))),IF(AND(_xlpm.x=0,_xlpm.y&lt;&gt;0),-1,IF(AND(_xlpm.x&lt;&gt;0,_xlpm.y&lt;&gt;0),_xlpm.x,IF(AND(_xlpm.x-SUM(IF((INDIRECT($B$3)=$B226)*(INDIRECT($C$3)=$D226)*((INDIRECT($E$3)="TOTS")+(INDIRECT($E$3)=$E226)),INDIRECT(S$3)))&lt;&gt;0,_xlpm.y=0),-2,_xlpm.x)))),0))</f>
        <v>0</v>
      </c>
      <c r="T226" s="199" cm="1">
        <f t="array" aca="1" ref="T226" ca="1">IF(OR($B226="",$B226="X",$D226="",$D226="X",$E226="",$E226="X"),0,IFERROR(_xlfn.LET(_xlpm.x,SUM(SUM(_xlfn._xlws.FILTER(VALUE(PptoSty[Sign]&amp;1)*(1/PptoSty[Division]),(PptoSty[Division]&lt;&gt;0)*(PptoSty[Division]&lt;&gt;"")*(PptoSty[Division]&lt;&gt;"X")*(PptoSty[Project]=$B226)*(PptoSty[Vrs]=$D226)*(PptoSty[PiRow]=_xlfn.TEXTAFTER($H226,":"))*(PptoSty[PiColumn]=T$54),0)),SUM(IF((INDIRECT($B$3)=$B226)*(INDIRECT($C$3)=$D226)*((INDIRECT($E$3)="TOTS")+(INDIRECT($E$3)=$E226)),INDIRECT(T$3)))),_xlpm.y,SUM(_xlfn.CHOOSECOLS(_xlfn._xlws.FILTER(F_RT14[],(F_RT14[PrjId]=$B226)*(F_RT14[Vrs]=$D226)*(_xlfn.TEXTAFTER(F_RT14[ActGrp],":")=_xlfn.TEXTAFTER($H226,":")),"X"),MATCH("*"&amp;T$54,F_RT14[#Headers],0))),IF(AND(_xlpm.x=0,_xlpm.y&lt;&gt;0),-1,IF(AND(_xlpm.x&lt;&gt;0,_xlpm.y&lt;&gt;0),_xlpm.x,IF(AND(_xlpm.x-SUM(IF((INDIRECT($B$3)=$B226)*(INDIRECT($C$3)=$D226)*((INDIRECT($E$3)="TOTS")+(INDIRECT($E$3)=$E226)),INDIRECT(T$3)))&lt;&gt;0,_xlpm.y=0),-2,_xlpm.x)))),0))</f>
        <v>0</v>
      </c>
      <c r="U226" s="199" cm="1">
        <f t="array" aca="1" ref="U226" ca="1">IF(OR($B226="",$B226="X",$D226="",$D226="X",$E226="",$E226="X"),0,IFERROR(_xlfn.LET(_xlpm.x,SUM(SUM(_xlfn._xlws.FILTER(VALUE(PptoSty[Sign]&amp;1)*(1/PptoSty[Division]),(PptoSty[Division]&lt;&gt;0)*(PptoSty[Division]&lt;&gt;"")*(PptoSty[Division]&lt;&gt;"X")*(PptoSty[Project]=$B226)*(PptoSty[Vrs]=$D226)*(PptoSty[PiRow]=_xlfn.TEXTAFTER($H226,":"))*(PptoSty[PiColumn]=U$54),0)),SUM(IF((INDIRECT($B$3)=$B226)*(INDIRECT($C$3)=$D226)*((INDIRECT($E$3)="TOTS")+(INDIRECT($E$3)=$E226)),INDIRECT(U$3)))),_xlpm.y,SUM(_xlfn.CHOOSECOLS(_xlfn._xlws.FILTER(F_RT14[],(F_RT14[PrjId]=$B226)*(F_RT14[Vrs]=$D226)*(_xlfn.TEXTAFTER(F_RT14[ActGrp],":")=_xlfn.TEXTAFTER($H226,":")),"X"),MATCH("*"&amp;U$54,F_RT14[#Headers],0))),IF(AND(_xlpm.x=0,_xlpm.y&lt;&gt;0),-1,IF(AND(_xlpm.x&lt;&gt;0,_xlpm.y&lt;&gt;0),_xlpm.x,IF(AND(_xlpm.x-SUM(IF((INDIRECT($B$3)=$B226)*(INDIRECT($C$3)=$D226)*((INDIRECT($E$3)="TOTS")+(INDIRECT($E$3)=$E226)),INDIRECT(U$3)))&lt;&gt;0,_xlpm.y=0),-2,_xlpm.x)))),0))</f>
        <v>0</v>
      </c>
      <c r="V226" s="199" cm="1">
        <f t="array" aca="1" ref="V226" ca="1">IF(OR($B226="",$B226="X",$D226="",$D226="X",$E226="",$E226="X"),0,IFERROR(_xlfn.LET(_xlpm.x,SUM(SUM(_xlfn._xlws.FILTER(VALUE(PptoSty[Sign]&amp;1)*(1/PptoSty[Division]),(PptoSty[Division]&lt;&gt;0)*(PptoSty[Division]&lt;&gt;"")*(PptoSty[Division]&lt;&gt;"X")*(PptoSty[Project]=$B226)*(PptoSty[Vrs]=$D226)*(PptoSty[PiRow]=_xlfn.TEXTAFTER($H226,":"))*(PptoSty[PiColumn]=V$54),0)),SUM(IF((INDIRECT($B$3)=$B226)*(INDIRECT($C$3)=$D226)*((INDIRECT($E$3)="TOTS")+(INDIRECT($E$3)=$E226)),INDIRECT(V$3)))),_xlpm.y,SUM(_xlfn.CHOOSECOLS(_xlfn._xlws.FILTER(F_RT14[],(F_RT14[PrjId]=$B226)*(F_RT14[Vrs]=$D226)*(_xlfn.TEXTAFTER(F_RT14[ActGrp],":")=_xlfn.TEXTAFTER($H226,":")),"X"),MATCH("*"&amp;V$54,F_RT14[#Headers],0))),IF(AND(_xlpm.x=0,_xlpm.y&lt;&gt;0),-1,IF(AND(_xlpm.x&lt;&gt;0,_xlpm.y&lt;&gt;0),_xlpm.x,IF(AND(_xlpm.x-SUM(IF((INDIRECT($B$3)=$B226)*(INDIRECT($C$3)=$D226)*((INDIRECT($E$3)="TOTS")+(INDIRECT($E$3)=$E226)),INDIRECT(V$3)))&lt;&gt;0,_xlpm.y=0),-2,_xlpm.x)))),0))</f>
        <v>0</v>
      </c>
      <c r="W226" s="199" cm="1">
        <f t="array" aca="1" ref="W226" ca="1">IF(OR($B226="",$B226="X",$D226="",$D226="X",$E226="",$E226="X"),0,IFERROR(_xlfn.LET(_xlpm.x,SUM(SUM(_xlfn._xlws.FILTER(VALUE(PptoSty[Sign]&amp;1)*(1/PptoSty[Division]),(PptoSty[Division]&lt;&gt;0)*(PptoSty[Division]&lt;&gt;"")*(PptoSty[Division]&lt;&gt;"X")*(PptoSty[Project]=$B226)*(PptoSty[Vrs]=$D226)*(PptoSty[PiRow]=_xlfn.TEXTAFTER($H226,":"))*(PptoSty[PiColumn]=W$54),0)),SUM(IF((INDIRECT($B$3)=$B226)*(INDIRECT($C$3)=$D226)*((INDIRECT($E$3)="TOTS")+(INDIRECT($E$3)=$E226)),INDIRECT(W$3)))),_xlpm.y,SUM(_xlfn.CHOOSECOLS(_xlfn._xlws.FILTER(F_RT14[],(F_RT14[PrjId]=$B226)*(F_RT14[Vrs]=$D226)*(_xlfn.TEXTAFTER(F_RT14[ActGrp],":")=_xlfn.TEXTAFTER($H226,":")),"X"),MATCH("*"&amp;W$54,F_RT14[#Headers],0))),IF(AND(_xlpm.x=0,_xlpm.y&lt;&gt;0),-1,IF(AND(_xlpm.x&lt;&gt;0,_xlpm.y&lt;&gt;0),_xlpm.x,IF(AND(_xlpm.x-SUM(IF((INDIRECT($B$3)=$B226)*(INDIRECT($C$3)=$D226)*((INDIRECT($E$3)="TOTS")+(INDIRECT($E$3)=$E226)),INDIRECT(W$3)))&lt;&gt;0,_xlpm.y=0),-2,_xlpm.x)))),0))</f>
        <v>0</v>
      </c>
      <c r="X226" s="199" cm="1">
        <f t="array" aca="1" ref="X226" ca="1">IF(OR($B226="",$B226="X",$D226="",$D226="X",$E226="",$E226="X"),0,IFERROR(_xlfn.LET(_xlpm.x,SUM(SUM(_xlfn._xlws.FILTER(VALUE(PptoSty[Sign]&amp;1)*(1/PptoSty[Division]),(PptoSty[Division]&lt;&gt;0)*(PptoSty[Division]&lt;&gt;"")*(PptoSty[Division]&lt;&gt;"X")*(PptoSty[Project]=$B226)*(PptoSty[Vrs]=$D226)*(PptoSty[PiRow]=_xlfn.TEXTAFTER($H226,":"))*(PptoSty[PiColumn]=X$54),0)),SUM(IF((INDIRECT($B$3)=$B226)*(INDIRECT($C$3)=$D226)*((INDIRECT($E$3)="TOTS")+(INDIRECT($E$3)=$E226)),INDIRECT(X$3)))),_xlpm.y,SUM(_xlfn.CHOOSECOLS(_xlfn._xlws.FILTER(F_RT14[],(F_RT14[PrjId]=$B226)*(F_RT14[Vrs]=$D226)*(_xlfn.TEXTAFTER(F_RT14[ActGrp],":")=_xlfn.TEXTAFTER($H226,":")),"X"),MATCH("*"&amp;X$54,F_RT14[#Headers],0))),IF(AND(_xlpm.x=0,_xlpm.y&lt;&gt;0),-1,IF(AND(_xlpm.x&lt;&gt;0,_xlpm.y&lt;&gt;0),_xlpm.x,IF(AND(_xlpm.x-SUM(IF((INDIRECT($B$3)=$B226)*(INDIRECT($C$3)=$D226)*((INDIRECT($E$3)="TOTS")+(INDIRECT($E$3)=$E226)),INDIRECT(X$3)))&lt;&gt;0,_xlpm.y=0),-2,_xlpm.x)))),0))</f>
        <v>0</v>
      </c>
      <c r="Y226" s="199" cm="1">
        <f t="array" aca="1" ref="Y226" ca="1">IF(OR($B226="",$B226="X",$D226="",$D226="X",$E226="",$E226="X"),0,IFERROR(_xlfn.LET(_xlpm.x,SUM(SUM(_xlfn._xlws.FILTER(VALUE(PptoSty[Sign]&amp;1)*(1/PptoSty[Division]),(PptoSty[Division]&lt;&gt;0)*(PptoSty[Division]&lt;&gt;"")*(PptoSty[Division]&lt;&gt;"X")*(PptoSty[Project]=$B226)*(PptoSty[Vrs]=$D226)*(PptoSty[PiRow]=_xlfn.TEXTAFTER($H226,":"))*(PptoSty[PiColumn]=Y$54),0)),SUM(IF((INDIRECT($B$3)=$B226)*(INDIRECT($C$3)=$D226)*((INDIRECT($E$3)="TOTS")+(INDIRECT($E$3)=$E226)),INDIRECT(Y$3)))),_xlpm.y,SUM(_xlfn.CHOOSECOLS(_xlfn._xlws.FILTER(F_RT14[],(F_RT14[PrjId]=$B226)*(F_RT14[Vrs]=$D226)*(_xlfn.TEXTAFTER(F_RT14[ActGrp],":")=_xlfn.TEXTAFTER($H226,":")),"X"),MATCH("*"&amp;Y$54,F_RT14[#Headers],0))),IF(AND(_xlpm.x=0,_xlpm.y&lt;&gt;0),-1,IF(AND(_xlpm.x&lt;&gt;0,_xlpm.y&lt;&gt;0),_xlpm.x,IF(AND(_xlpm.x-SUM(IF((INDIRECT($B$3)=$B226)*(INDIRECT($C$3)=$D226)*((INDIRECT($E$3)="TOTS")+(INDIRECT($E$3)=$E226)),INDIRECT(Y$3)))&lt;&gt;0,_xlpm.y=0),-2,_xlpm.x)))),0))</f>
        <v>0</v>
      </c>
      <c r="Z226" s="198" t="str">
        <f t="shared" ca="1" si="4"/>
        <v>Fback!B226:Y226</v>
      </c>
    </row>
    <row r="227" spans="2:26" ht="21" customHeight="1" outlineLevel="1">
      <c r="B227" s="128"/>
      <c r="C227" s="128"/>
      <c r="D227" s="128"/>
      <c r="E227" s="128"/>
      <c r="F227" s="139"/>
      <c r="G227" s="139"/>
      <c r="H227" s="139"/>
      <c r="I227" s="199" cm="1">
        <f t="array" aca="1" ref="I227" ca="1">IF(OR($B227="",$B227="X",$D227="",$D227="X",$E227="",$E227="X"),0,IFERROR(_xlfn.LET(_xlpm.x,SUM(SUM(_xlfn._xlws.FILTER(VALUE(PptoSty[Sign]&amp;1)*(1/PptoSty[Division]),(PptoSty[Division]&lt;&gt;0)*(PptoSty[Division]&lt;&gt;"")*(PptoSty[Division]&lt;&gt;"X")*(PptoSty[Project]=$B227)*(PptoSty[Vrs]=$D227)*(PptoSty[PiRow]=_xlfn.TEXTAFTER($H227,":"))*(PptoSty[PiColumn]=I$54),0)),SUM(IF((INDIRECT($B$3)=$B227)*(INDIRECT($C$3)=$D227)*((INDIRECT($E$3)="TOTS")+(INDIRECT($E$3)=$E227)),INDIRECT(I$3)))),_xlpm.y,SUM(_xlfn.CHOOSECOLS(_xlfn._xlws.FILTER(F_RT14[],(F_RT14[PrjId]=$B227)*(F_RT14[Vrs]=$D227)*(_xlfn.TEXTAFTER(F_RT14[ActGrp],":")=_xlfn.TEXTAFTER($H227,":")),"X"),MATCH("*"&amp;I$54,F_RT14[#Headers],0))),IF(AND(_xlpm.x=0,_xlpm.y&lt;&gt;0),-1,IF(AND(_xlpm.x&lt;&gt;0,_xlpm.y&lt;&gt;0),_xlpm.x,IF(AND(_xlpm.x-SUM(IF((INDIRECT($B$3)=$B227)*(INDIRECT($C$3)=$D227)*((INDIRECT($E$3)="TOTS")+(INDIRECT($E$3)=$E227)),INDIRECT(I$3)))&lt;&gt;0,_xlpm.y=0),-2,_xlpm.x)))),0))</f>
        <v>0</v>
      </c>
      <c r="J227" s="199" cm="1">
        <f t="array" aca="1" ref="J227" ca="1">IF(OR($B227="",$B227="X",$D227="",$D227="X",$E227="",$E227="X"),0,IFERROR(_xlfn.LET(_xlpm.x,SUM(SUM(_xlfn._xlws.FILTER(VALUE(PptoSty[Sign]&amp;1)*(1/PptoSty[Division]),(PptoSty[Division]&lt;&gt;0)*(PptoSty[Division]&lt;&gt;"")*(PptoSty[Division]&lt;&gt;"X")*(PptoSty[Project]=$B227)*(PptoSty[Vrs]=$D227)*(PptoSty[PiRow]=_xlfn.TEXTAFTER($H227,":"))*(PptoSty[PiColumn]=J$54),0)),SUM(IF((INDIRECT($B$3)=$B227)*(INDIRECT($C$3)=$D227)*((INDIRECT($E$3)="TOTS")+(INDIRECT($E$3)=$E227)),INDIRECT(J$3)))),_xlpm.y,SUM(_xlfn.CHOOSECOLS(_xlfn._xlws.FILTER(F_RT14[],(F_RT14[PrjId]=$B227)*(F_RT14[Vrs]=$D227)*(_xlfn.TEXTAFTER(F_RT14[ActGrp],":")=_xlfn.TEXTAFTER($H227,":")),"X"),MATCH("*"&amp;J$54,F_RT14[#Headers],0))),IF(AND(_xlpm.x=0,_xlpm.y&lt;&gt;0),-1,IF(AND(_xlpm.x&lt;&gt;0,_xlpm.y&lt;&gt;0),_xlpm.x,IF(AND(_xlpm.x-SUM(IF((INDIRECT($B$3)=$B227)*(INDIRECT($C$3)=$D227)*((INDIRECT($E$3)="TOTS")+(INDIRECT($E$3)=$E227)),INDIRECT(J$3)))&lt;&gt;0,_xlpm.y=0),-2,_xlpm.x)))),0))</f>
        <v>0</v>
      </c>
      <c r="K227" s="199" cm="1">
        <f t="array" aca="1" ref="K227" ca="1">IF(OR($B227="",$B227="X",$D227="",$D227="X",$E227="",$E227="X"),0,IFERROR(_xlfn.LET(_xlpm.x,SUM(SUM(_xlfn._xlws.FILTER(VALUE(PptoSty[Sign]&amp;1)*(1/PptoSty[Division]),(PptoSty[Division]&lt;&gt;0)*(PptoSty[Division]&lt;&gt;"")*(PptoSty[Division]&lt;&gt;"X")*(PptoSty[Project]=$B227)*(PptoSty[Vrs]=$D227)*(PptoSty[PiRow]=_xlfn.TEXTAFTER($H227,":"))*(PptoSty[PiColumn]=K$54),0)),SUM(IF((INDIRECT($B$3)=$B227)*(INDIRECT($C$3)=$D227)*((INDIRECT($E$3)="TOTS")+(INDIRECT($E$3)=$E227)),INDIRECT(K$3)))),_xlpm.y,SUM(_xlfn.CHOOSECOLS(_xlfn._xlws.FILTER(F_RT14[],(F_RT14[PrjId]=$B227)*(F_RT14[Vrs]=$D227)*(_xlfn.TEXTAFTER(F_RT14[ActGrp],":")=_xlfn.TEXTAFTER($H227,":")),"X"),MATCH("*"&amp;K$54,F_RT14[#Headers],0))),IF(AND(_xlpm.x=0,_xlpm.y&lt;&gt;0),-1,IF(AND(_xlpm.x&lt;&gt;0,_xlpm.y&lt;&gt;0),_xlpm.x,IF(AND(_xlpm.x-SUM(IF((INDIRECT($B$3)=$B227)*(INDIRECT($C$3)=$D227)*((INDIRECT($E$3)="TOTS")+(INDIRECT($E$3)=$E227)),INDIRECT(K$3)))&lt;&gt;0,_xlpm.y=0),-2,_xlpm.x)))),0))</f>
        <v>0</v>
      </c>
      <c r="L227" s="199" cm="1">
        <f t="array" aca="1" ref="L227" ca="1">IF(OR($B227="",$B227="X",$D227="",$D227="X",$E227="",$E227="X"),0,IFERROR(_xlfn.LET(_xlpm.x,SUM(SUM(_xlfn._xlws.FILTER(VALUE(PptoSty[Sign]&amp;1)*(1/PptoSty[Division]),(PptoSty[Division]&lt;&gt;0)*(PptoSty[Division]&lt;&gt;"")*(PptoSty[Division]&lt;&gt;"X")*(PptoSty[Project]=$B227)*(PptoSty[Vrs]=$D227)*(PptoSty[PiRow]=_xlfn.TEXTAFTER($H227,":"))*(PptoSty[PiColumn]=L$54),0)),SUM(IF((INDIRECT($B$3)=$B227)*(INDIRECT($C$3)=$D227)*((INDIRECT($E$3)="TOTS")+(INDIRECT($E$3)=$E227)),INDIRECT(L$3)))),_xlpm.y,SUM(_xlfn.CHOOSECOLS(_xlfn._xlws.FILTER(F_RT14[],(F_RT14[PrjId]=$B227)*(F_RT14[Vrs]=$D227)*(_xlfn.TEXTAFTER(F_RT14[ActGrp],":")=_xlfn.TEXTAFTER($H227,":")),"X"),MATCH("*"&amp;L$54,F_RT14[#Headers],0))),IF(AND(_xlpm.x=0,_xlpm.y&lt;&gt;0),-1,IF(AND(_xlpm.x&lt;&gt;0,_xlpm.y&lt;&gt;0),_xlpm.x,IF(AND(_xlpm.x-SUM(IF((INDIRECT($B$3)=$B227)*(INDIRECT($C$3)=$D227)*((INDIRECT($E$3)="TOTS")+(INDIRECT($E$3)=$E227)),INDIRECT(L$3)))&lt;&gt;0,_xlpm.y=0),-2,_xlpm.x)))),0))</f>
        <v>0</v>
      </c>
      <c r="M227" s="199" cm="1">
        <f t="array" aca="1" ref="M227" ca="1">IF(OR($B227="",$B227="X",$D227="",$D227="X",$E227="",$E227="X"),0,IFERROR(_xlfn.LET(_xlpm.x,SUM(SUM(_xlfn._xlws.FILTER(VALUE(PptoSty[Sign]&amp;1)*(1/PptoSty[Division]),(PptoSty[Division]&lt;&gt;0)*(PptoSty[Division]&lt;&gt;"")*(PptoSty[Division]&lt;&gt;"X")*(PptoSty[Project]=$B227)*(PptoSty[Vrs]=$D227)*(PptoSty[PiRow]=_xlfn.TEXTAFTER($H227,":"))*(PptoSty[PiColumn]=M$54),0)),SUM(IF((INDIRECT($B$3)=$B227)*(INDIRECT($C$3)=$D227)*((INDIRECT($E$3)="TOTS")+(INDIRECT($E$3)=$E227)),INDIRECT(M$3)))),_xlpm.y,SUM(_xlfn.CHOOSECOLS(_xlfn._xlws.FILTER(F_RT14[],(F_RT14[PrjId]=$B227)*(F_RT14[Vrs]=$D227)*(_xlfn.TEXTAFTER(F_RT14[ActGrp],":")=_xlfn.TEXTAFTER($H227,":")),"X"),MATCH("*"&amp;M$54,F_RT14[#Headers],0))),IF(AND(_xlpm.x=0,_xlpm.y&lt;&gt;0),-1,IF(AND(_xlpm.x&lt;&gt;0,_xlpm.y&lt;&gt;0),_xlpm.x,IF(AND(_xlpm.x-SUM(IF((INDIRECT($B$3)=$B227)*(INDIRECT($C$3)=$D227)*((INDIRECT($E$3)="TOTS")+(INDIRECT($E$3)=$E227)),INDIRECT(M$3)))&lt;&gt;0,_xlpm.y=0),-2,_xlpm.x)))),0))</f>
        <v>0</v>
      </c>
      <c r="N227" s="199" cm="1">
        <f t="array" aca="1" ref="N227" ca="1">IF(OR($B227="",$B227="X",$D227="",$D227="X",$E227="",$E227="X"),0,IFERROR(_xlfn.LET(_xlpm.x,SUM(SUM(_xlfn._xlws.FILTER(VALUE(PptoSty[Sign]&amp;1)*(1/PptoSty[Division]),(PptoSty[Division]&lt;&gt;0)*(PptoSty[Division]&lt;&gt;"")*(PptoSty[Division]&lt;&gt;"X")*(PptoSty[Project]=$B227)*(PptoSty[Vrs]=$D227)*(PptoSty[PiRow]=_xlfn.TEXTAFTER($H227,":"))*(PptoSty[PiColumn]=N$54),0)),SUM(IF((INDIRECT($B$3)=$B227)*(INDIRECT($C$3)=$D227)*((INDIRECT($E$3)="TOTS")+(INDIRECT($E$3)=$E227)),INDIRECT(N$3)))),_xlpm.y,SUM(_xlfn.CHOOSECOLS(_xlfn._xlws.FILTER(F_RT14[],(F_RT14[PrjId]=$B227)*(F_RT14[Vrs]=$D227)*(_xlfn.TEXTAFTER(F_RT14[ActGrp],":")=_xlfn.TEXTAFTER($H227,":")),"X"),MATCH("*"&amp;N$54,F_RT14[#Headers],0))),IF(AND(_xlpm.x=0,_xlpm.y&lt;&gt;0),-1,IF(AND(_xlpm.x&lt;&gt;0,_xlpm.y&lt;&gt;0),_xlpm.x,IF(AND(_xlpm.x-SUM(IF((INDIRECT($B$3)=$B227)*(INDIRECT($C$3)=$D227)*((INDIRECT($E$3)="TOTS")+(INDIRECT($E$3)=$E227)),INDIRECT(N$3)))&lt;&gt;0,_xlpm.y=0),-2,_xlpm.x)))),0))</f>
        <v>0</v>
      </c>
      <c r="O227" s="199" cm="1">
        <f t="array" aca="1" ref="O227" ca="1">IF(OR($B227="",$B227="X",$D227="",$D227="X",$E227="",$E227="X"),0,IFERROR(_xlfn.LET(_xlpm.x,SUM(SUM(_xlfn._xlws.FILTER(VALUE(PptoSty[Sign]&amp;1)*(1/PptoSty[Division]),(PptoSty[Division]&lt;&gt;0)*(PptoSty[Division]&lt;&gt;"")*(PptoSty[Division]&lt;&gt;"X")*(PptoSty[Project]=$B227)*(PptoSty[Vrs]=$D227)*(PptoSty[PiRow]=_xlfn.TEXTAFTER($H227,":"))*(PptoSty[PiColumn]=O$54),0)),SUM(IF((INDIRECT($B$3)=$B227)*(INDIRECT($C$3)=$D227)*((INDIRECT($E$3)="TOTS")+(INDIRECT($E$3)=$E227)),INDIRECT(O$3)))),_xlpm.y,SUM(_xlfn.CHOOSECOLS(_xlfn._xlws.FILTER(F_RT14[],(F_RT14[PrjId]=$B227)*(F_RT14[Vrs]=$D227)*(_xlfn.TEXTAFTER(F_RT14[ActGrp],":")=_xlfn.TEXTAFTER($H227,":")),"X"),MATCH("*"&amp;O$54,F_RT14[#Headers],0))),IF(AND(_xlpm.x=0,_xlpm.y&lt;&gt;0),-1,IF(AND(_xlpm.x&lt;&gt;0,_xlpm.y&lt;&gt;0),_xlpm.x,IF(AND(_xlpm.x-SUM(IF((INDIRECT($B$3)=$B227)*(INDIRECT($C$3)=$D227)*((INDIRECT($E$3)="TOTS")+(INDIRECT($E$3)=$E227)),INDIRECT(O$3)))&lt;&gt;0,_xlpm.y=0),-2,_xlpm.x)))),0))</f>
        <v>0</v>
      </c>
      <c r="P227" s="199" cm="1">
        <f t="array" aca="1" ref="P227" ca="1">IF(OR($B227="",$B227="X",$D227="",$D227="X",$E227="",$E227="X"),0,IFERROR(_xlfn.LET(_xlpm.x,SUM(SUM(_xlfn._xlws.FILTER(VALUE(PptoSty[Sign]&amp;1)*(1/PptoSty[Division]),(PptoSty[Division]&lt;&gt;0)*(PptoSty[Division]&lt;&gt;"")*(PptoSty[Division]&lt;&gt;"X")*(PptoSty[Project]=$B227)*(PptoSty[Vrs]=$D227)*(PptoSty[PiRow]=_xlfn.TEXTAFTER($H227,":"))*(PptoSty[PiColumn]=P$54),0)),SUM(IF((INDIRECT($B$3)=$B227)*(INDIRECT($C$3)=$D227)*((INDIRECT($E$3)="TOTS")+(INDIRECT($E$3)=$E227)),INDIRECT(P$3)))),_xlpm.y,SUM(_xlfn.CHOOSECOLS(_xlfn._xlws.FILTER(F_RT14[],(F_RT14[PrjId]=$B227)*(F_RT14[Vrs]=$D227)*(_xlfn.TEXTAFTER(F_RT14[ActGrp],":")=_xlfn.TEXTAFTER($H227,":")),"X"),MATCH("*"&amp;P$54,F_RT14[#Headers],0))),IF(AND(_xlpm.x=0,_xlpm.y&lt;&gt;0),-1,IF(AND(_xlpm.x&lt;&gt;0,_xlpm.y&lt;&gt;0),_xlpm.x,IF(AND(_xlpm.x-SUM(IF((INDIRECT($B$3)=$B227)*(INDIRECT($C$3)=$D227)*((INDIRECT($E$3)="TOTS")+(INDIRECT($E$3)=$E227)),INDIRECT(P$3)))&lt;&gt;0,_xlpm.y=0),-2,_xlpm.x)))),0))</f>
        <v>0</v>
      </c>
      <c r="Q227" s="199" cm="1">
        <f t="array" aca="1" ref="Q227" ca="1">IF(OR($B227="",$B227="X",$D227="",$D227="X",$E227="",$E227="X"),0,IFERROR(_xlfn.LET(_xlpm.x,SUM(SUM(_xlfn._xlws.FILTER(VALUE(PptoSty[Sign]&amp;1)*(1/PptoSty[Division]),(PptoSty[Division]&lt;&gt;0)*(PptoSty[Division]&lt;&gt;"")*(PptoSty[Division]&lt;&gt;"X")*(PptoSty[Project]=$B227)*(PptoSty[Vrs]=$D227)*(PptoSty[PiRow]=_xlfn.TEXTAFTER($H227,":"))*(PptoSty[PiColumn]=Q$54),0)),SUM(IF((INDIRECT($B$3)=$B227)*(INDIRECT($C$3)=$D227)*((INDIRECT($E$3)="TOTS")+(INDIRECT($E$3)=$E227)),INDIRECT(Q$3)))),_xlpm.y,SUM(_xlfn.CHOOSECOLS(_xlfn._xlws.FILTER(F_RT14[],(F_RT14[PrjId]=$B227)*(F_RT14[Vrs]=$D227)*(_xlfn.TEXTAFTER(F_RT14[ActGrp],":")=_xlfn.TEXTAFTER($H227,":")),"X"),MATCH("*"&amp;Q$54,F_RT14[#Headers],0))),IF(AND(_xlpm.x=0,_xlpm.y&lt;&gt;0),-1,IF(AND(_xlpm.x&lt;&gt;0,_xlpm.y&lt;&gt;0),_xlpm.x,IF(AND(_xlpm.x-SUM(IF((INDIRECT($B$3)=$B227)*(INDIRECT($C$3)=$D227)*((INDIRECT($E$3)="TOTS")+(INDIRECT($E$3)=$E227)),INDIRECT(Q$3)))&lt;&gt;0,_xlpm.y=0),-2,_xlpm.x)))),0))</f>
        <v>0</v>
      </c>
      <c r="R227" s="199" cm="1">
        <f t="array" aca="1" ref="R227" ca="1">IF(OR($B227="",$B227="X",$D227="",$D227="X",$E227="",$E227="X"),0,IFERROR(_xlfn.LET(_xlpm.x,SUM(SUM(_xlfn._xlws.FILTER(VALUE(PptoSty[Sign]&amp;1)*(1/PptoSty[Division]),(PptoSty[Division]&lt;&gt;0)*(PptoSty[Division]&lt;&gt;"")*(PptoSty[Division]&lt;&gt;"X")*(PptoSty[Project]=$B227)*(PptoSty[Vrs]=$D227)*(PptoSty[PiRow]=_xlfn.TEXTAFTER($H227,":"))*(PptoSty[PiColumn]=R$54),0)),SUM(IF((INDIRECT($B$3)=$B227)*(INDIRECT($C$3)=$D227)*((INDIRECT($E$3)="TOTS")+(INDIRECT($E$3)=$E227)),INDIRECT(R$3)))),_xlpm.y,SUM(_xlfn.CHOOSECOLS(_xlfn._xlws.FILTER(F_RT14[],(F_RT14[PrjId]=$B227)*(F_RT14[Vrs]=$D227)*(_xlfn.TEXTAFTER(F_RT14[ActGrp],":")=_xlfn.TEXTAFTER($H227,":")),"X"),MATCH("*"&amp;R$54,F_RT14[#Headers],0))),IF(AND(_xlpm.x=0,_xlpm.y&lt;&gt;0),-1,IF(AND(_xlpm.x&lt;&gt;0,_xlpm.y&lt;&gt;0),_xlpm.x,IF(AND(_xlpm.x-SUM(IF((INDIRECT($B$3)=$B227)*(INDIRECT($C$3)=$D227)*((INDIRECT($E$3)="TOTS")+(INDIRECT($E$3)=$E227)),INDIRECT(R$3)))&lt;&gt;0,_xlpm.y=0),-2,_xlpm.x)))),0))</f>
        <v>0</v>
      </c>
      <c r="S227" s="199" cm="1">
        <f t="array" aca="1" ref="S227" ca="1">IF(OR($B227="",$B227="X",$D227="",$D227="X",$E227="",$E227="X"),0,IFERROR(_xlfn.LET(_xlpm.x,SUM(SUM(_xlfn._xlws.FILTER(VALUE(PptoSty[Sign]&amp;1)*(1/PptoSty[Division]),(PptoSty[Division]&lt;&gt;0)*(PptoSty[Division]&lt;&gt;"")*(PptoSty[Division]&lt;&gt;"X")*(PptoSty[Project]=$B227)*(PptoSty[Vrs]=$D227)*(PptoSty[PiRow]=_xlfn.TEXTAFTER($H227,":"))*(PptoSty[PiColumn]=S$54),0)),SUM(IF((INDIRECT($B$3)=$B227)*(INDIRECT($C$3)=$D227)*((INDIRECT($E$3)="TOTS")+(INDIRECT($E$3)=$E227)),INDIRECT(S$3)))),_xlpm.y,SUM(_xlfn.CHOOSECOLS(_xlfn._xlws.FILTER(F_RT14[],(F_RT14[PrjId]=$B227)*(F_RT14[Vrs]=$D227)*(_xlfn.TEXTAFTER(F_RT14[ActGrp],":")=_xlfn.TEXTAFTER($H227,":")),"X"),MATCH("*"&amp;S$54,F_RT14[#Headers],0))),IF(AND(_xlpm.x=0,_xlpm.y&lt;&gt;0),-1,IF(AND(_xlpm.x&lt;&gt;0,_xlpm.y&lt;&gt;0),_xlpm.x,IF(AND(_xlpm.x-SUM(IF((INDIRECT($B$3)=$B227)*(INDIRECT($C$3)=$D227)*((INDIRECT($E$3)="TOTS")+(INDIRECT($E$3)=$E227)),INDIRECT(S$3)))&lt;&gt;0,_xlpm.y=0),-2,_xlpm.x)))),0))</f>
        <v>0</v>
      </c>
      <c r="T227" s="199" cm="1">
        <f t="array" aca="1" ref="T227" ca="1">IF(OR($B227="",$B227="X",$D227="",$D227="X",$E227="",$E227="X"),0,IFERROR(_xlfn.LET(_xlpm.x,SUM(SUM(_xlfn._xlws.FILTER(VALUE(PptoSty[Sign]&amp;1)*(1/PptoSty[Division]),(PptoSty[Division]&lt;&gt;0)*(PptoSty[Division]&lt;&gt;"")*(PptoSty[Division]&lt;&gt;"X")*(PptoSty[Project]=$B227)*(PptoSty[Vrs]=$D227)*(PptoSty[PiRow]=_xlfn.TEXTAFTER($H227,":"))*(PptoSty[PiColumn]=T$54),0)),SUM(IF((INDIRECT($B$3)=$B227)*(INDIRECT($C$3)=$D227)*((INDIRECT($E$3)="TOTS")+(INDIRECT($E$3)=$E227)),INDIRECT(T$3)))),_xlpm.y,SUM(_xlfn.CHOOSECOLS(_xlfn._xlws.FILTER(F_RT14[],(F_RT14[PrjId]=$B227)*(F_RT14[Vrs]=$D227)*(_xlfn.TEXTAFTER(F_RT14[ActGrp],":")=_xlfn.TEXTAFTER($H227,":")),"X"),MATCH("*"&amp;T$54,F_RT14[#Headers],0))),IF(AND(_xlpm.x=0,_xlpm.y&lt;&gt;0),-1,IF(AND(_xlpm.x&lt;&gt;0,_xlpm.y&lt;&gt;0),_xlpm.x,IF(AND(_xlpm.x-SUM(IF((INDIRECT($B$3)=$B227)*(INDIRECT($C$3)=$D227)*((INDIRECT($E$3)="TOTS")+(INDIRECT($E$3)=$E227)),INDIRECT(T$3)))&lt;&gt;0,_xlpm.y=0),-2,_xlpm.x)))),0))</f>
        <v>0</v>
      </c>
      <c r="U227" s="199" cm="1">
        <f t="array" aca="1" ref="U227" ca="1">IF(OR($B227="",$B227="X",$D227="",$D227="X",$E227="",$E227="X"),0,IFERROR(_xlfn.LET(_xlpm.x,SUM(SUM(_xlfn._xlws.FILTER(VALUE(PptoSty[Sign]&amp;1)*(1/PptoSty[Division]),(PptoSty[Division]&lt;&gt;0)*(PptoSty[Division]&lt;&gt;"")*(PptoSty[Division]&lt;&gt;"X")*(PptoSty[Project]=$B227)*(PptoSty[Vrs]=$D227)*(PptoSty[PiRow]=_xlfn.TEXTAFTER($H227,":"))*(PptoSty[PiColumn]=U$54),0)),SUM(IF((INDIRECT($B$3)=$B227)*(INDIRECT($C$3)=$D227)*((INDIRECT($E$3)="TOTS")+(INDIRECT($E$3)=$E227)),INDIRECT(U$3)))),_xlpm.y,SUM(_xlfn.CHOOSECOLS(_xlfn._xlws.FILTER(F_RT14[],(F_RT14[PrjId]=$B227)*(F_RT14[Vrs]=$D227)*(_xlfn.TEXTAFTER(F_RT14[ActGrp],":")=_xlfn.TEXTAFTER($H227,":")),"X"),MATCH("*"&amp;U$54,F_RT14[#Headers],0))),IF(AND(_xlpm.x=0,_xlpm.y&lt;&gt;0),-1,IF(AND(_xlpm.x&lt;&gt;0,_xlpm.y&lt;&gt;0),_xlpm.x,IF(AND(_xlpm.x-SUM(IF((INDIRECT($B$3)=$B227)*(INDIRECT($C$3)=$D227)*((INDIRECT($E$3)="TOTS")+(INDIRECT($E$3)=$E227)),INDIRECT(U$3)))&lt;&gt;0,_xlpm.y=0),-2,_xlpm.x)))),0))</f>
        <v>0</v>
      </c>
      <c r="V227" s="199" cm="1">
        <f t="array" aca="1" ref="V227" ca="1">IF(OR($B227="",$B227="X",$D227="",$D227="X",$E227="",$E227="X"),0,IFERROR(_xlfn.LET(_xlpm.x,SUM(SUM(_xlfn._xlws.FILTER(VALUE(PptoSty[Sign]&amp;1)*(1/PptoSty[Division]),(PptoSty[Division]&lt;&gt;0)*(PptoSty[Division]&lt;&gt;"")*(PptoSty[Division]&lt;&gt;"X")*(PptoSty[Project]=$B227)*(PptoSty[Vrs]=$D227)*(PptoSty[PiRow]=_xlfn.TEXTAFTER($H227,":"))*(PptoSty[PiColumn]=V$54),0)),SUM(IF((INDIRECT($B$3)=$B227)*(INDIRECT($C$3)=$D227)*((INDIRECT($E$3)="TOTS")+(INDIRECT($E$3)=$E227)),INDIRECT(V$3)))),_xlpm.y,SUM(_xlfn.CHOOSECOLS(_xlfn._xlws.FILTER(F_RT14[],(F_RT14[PrjId]=$B227)*(F_RT14[Vrs]=$D227)*(_xlfn.TEXTAFTER(F_RT14[ActGrp],":")=_xlfn.TEXTAFTER($H227,":")),"X"),MATCH("*"&amp;V$54,F_RT14[#Headers],0))),IF(AND(_xlpm.x=0,_xlpm.y&lt;&gt;0),-1,IF(AND(_xlpm.x&lt;&gt;0,_xlpm.y&lt;&gt;0),_xlpm.x,IF(AND(_xlpm.x-SUM(IF((INDIRECT($B$3)=$B227)*(INDIRECT($C$3)=$D227)*((INDIRECT($E$3)="TOTS")+(INDIRECT($E$3)=$E227)),INDIRECT(V$3)))&lt;&gt;0,_xlpm.y=0),-2,_xlpm.x)))),0))</f>
        <v>0</v>
      </c>
      <c r="W227" s="199" cm="1">
        <f t="array" aca="1" ref="W227" ca="1">IF(OR($B227="",$B227="X",$D227="",$D227="X",$E227="",$E227="X"),0,IFERROR(_xlfn.LET(_xlpm.x,SUM(SUM(_xlfn._xlws.FILTER(VALUE(PptoSty[Sign]&amp;1)*(1/PptoSty[Division]),(PptoSty[Division]&lt;&gt;0)*(PptoSty[Division]&lt;&gt;"")*(PptoSty[Division]&lt;&gt;"X")*(PptoSty[Project]=$B227)*(PptoSty[Vrs]=$D227)*(PptoSty[PiRow]=_xlfn.TEXTAFTER($H227,":"))*(PptoSty[PiColumn]=W$54),0)),SUM(IF((INDIRECT($B$3)=$B227)*(INDIRECT($C$3)=$D227)*((INDIRECT($E$3)="TOTS")+(INDIRECT($E$3)=$E227)),INDIRECT(W$3)))),_xlpm.y,SUM(_xlfn.CHOOSECOLS(_xlfn._xlws.FILTER(F_RT14[],(F_RT14[PrjId]=$B227)*(F_RT14[Vrs]=$D227)*(_xlfn.TEXTAFTER(F_RT14[ActGrp],":")=_xlfn.TEXTAFTER($H227,":")),"X"),MATCH("*"&amp;W$54,F_RT14[#Headers],0))),IF(AND(_xlpm.x=0,_xlpm.y&lt;&gt;0),-1,IF(AND(_xlpm.x&lt;&gt;0,_xlpm.y&lt;&gt;0),_xlpm.x,IF(AND(_xlpm.x-SUM(IF((INDIRECT($B$3)=$B227)*(INDIRECT($C$3)=$D227)*((INDIRECT($E$3)="TOTS")+(INDIRECT($E$3)=$E227)),INDIRECT(W$3)))&lt;&gt;0,_xlpm.y=0),-2,_xlpm.x)))),0))</f>
        <v>0</v>
      </c>
      <c r="X227" s="199" cm="1">
        <f t="array" aca="1" ref="X227" ca="1">IF(OR($B227="",$B227="X",$D227="",$D227="X",$E227="",$E227="X"),0,IFERROR(_xlfn.LET(_xlpm.x,SUM(SUM(_xlfn._xlws.FILTER(VALUE(PptoSty[Sign]&amp;1)*(1/PptoSty[Division]),(PptoSty[Division]&lt;&gt;0)*(PptoSty[Division]&lt;&gt;"")*(PptoSty[Division]&lt;&gt;"X")*(PptoSty[Project]=$B227)*(PptoSty[Vrs]=$D227)*(PptoSty[PiRow]=_xlfn.TEXTAFTER($H227,":"))*(PptoSty[PiColumn]=X$54),0)),SUM(IF((INDIRECT($B$3)=$B227)*(INDIRECT($C$3)=$D227)*((INDIRECT($E$3)="TOTS")+(INDIRECT($E$3)=$E227)),INDIRECT(X$3)))),_xlpm.y,SUM(_xlfn.CHOOSECOLS(_xlfn._xlws.FILTER(F_RT14[],(F_RT14[PrjId]=$B227)*(F_RT14[Vrs]=$D227)*(_xlfn.TEXTAFTER(F_RT14[ActGrp],":")=_xlfn.TEXTAFTER($H227,":")),"X"),MATCH("*"&amp;X$54,F_RT14[#Headers],0))),IF(AND(_xlpm.x=0,_xlpm.y&lt;&gt;0),-1,IF(AND(_xlpm.x&lt;&gt;0,_xlpm.y&lt;&gt;0),_xlpm.x,IF(AND(_xlpm.x-SUM(IF((INDIRECT($B$3)=$B227)*(INDIRECT($C$3)=$D227)*((INDIRECT($E$3)="TOTS")+(INDIRECT($E$3)=$E227)),INDIRECT(X$3)))&lt;&gt;0,_xlpm.y=0),-2,_xlpm.x)))),0))</f>
        <v>0</v>
      </c>
      <c r="Y227" s="199" cm="1">
        <f t="array" aca="1" ref="Y227" ca="1">IF(OR($B227="",$B227="X",$D227="",$D227="X",$E227="",$E227="X"),0,IFERROR(_xlfn.LET(_xlpm.x,SUM(SUM(_xlfn._xlws.FILTER(VALUE(PptoSty[Sign]&amp;1)*(1/PptoSty[Division]),(PptoSty[Division]&lt;&gt;0)*(PptoSty[Division]&lt;&gt;"")*(PptoSty[Division]&lt;&gt;"X")*(PptoSty[Project]=$B227)*(PptoSty[Vrs]=$D227)*(PptoSty[PiRow]=_xlfn.TEXTAFTER($H227,":"))*(PptoSty[PiColumn]=Y$54),0)),SUM(IF((INDIRECT($B$3)=$B227)*(INDIRECT($C$3)=$D227)*((INDIRECT($E$3)="TOTS")+(INDIRECT($E$3)=$E227)),INDIRECT(Y$3)))),_xlpm.y,SUM(_xlfn.CHOOSECOLS(_xlfn._xlws.FILTER(F_RT14[],(F_RT14[PrjId]=$B227)*(F_RT14[Vrs]=$D227)*(_xlfn.TEXTAFTER(F_RT14[ActGrp],":")=_xlfn.TEXTAFTER($H227,":")),"X"),MATCH("*"&amp;Y$54,F_RT14[#Headers],0))),IF(AND(_xlpm.x=0,_xlpm.y&lt;&gt;0),-1,IF(AND(_xlpm.x&lt;&gt;0,_xlpm.y&lt;&gt;0),_xlpm.x,IF(AND(_xlpm.x-SUM(IF((INDIRECT($B$3)=$B227)*(INDIRECT($C$3)=$D227)*((INDIRECT($E$3)="TOTS")+(INDIRECT($E$3)=$E227)),INDIRECT(Y$3)))&lt;&gt;0,_xlpm.y=0),-2,_xlpm.x)))),0))</f>
        <v>0</v>
      </c>
      <c r="Z227" s="198" t="str">
        <f t="shared" ca="1" si="4"/>
        <v>Fback!B227:Y227</v>
      </c>
    </row>
    <row r="228" spans="2:26" ht="21" customHeight="1" outlineLevel="1">
      <c r="B228" s="128"/>
      <c r="C228" s="128"/>
      <c r="D228" s="128"/>
      <c r="E228" s="128"/>
      <c r="F228" s="139"/>
      <c r="G228" s="139"/>
      <c r="H228" s="139"/>
      <c r="I228" s="199" cm="1">
        <f t="array" aca="1" ref="I228" ca="1">IF(OR($B228="",$B228="X",$D228="",$D228="X",$E228="",$E228="X"),0,IFERROR(_xlfn.LET(_xlpm.x,SUM(SUM(_xlfn._xlws.FILTER(VALUE(PptoSty[Sign]&amp;1)*(1/PptoSty[Division]),(PptoSty[Division]&lt;&gt;0)*(PptoSty[Division]&lt;&gt;"")*(PptoSty[Division]&lt;&gt;"X")*(PptoSty[Project]=$B228)*(PptoSty[Vrs]=$D228)*(PptoSty[PiRow]=_xlfn.TEXTAFTER($H228,":"))*(PptoSty[PiColumn]=I$54),0)),SUM(IF((INDIRECT($B$3)=$B228)*(INDIRECT($C$3)=$D228)*((INDIRECT($E$3)="TOTS")+(INDIRECT($E$3)=$E228)),INDIRECT(I$3)))),_xlpm.y,SUM(_xlfn.CHOOSECOLS(_xlfn._xlws.FILTER(F_RT14[],(F_RT14[PrjId]=$B228)*(F_RT14[Vrs]=$D228)*(_xlfn.TEXTAFTER(F_RT14[ActGrp],":")=_xlfn.TEXTAFTER($H228,":")),"X"),MATCH("*"&amp;I$54,F_RT14[#Headers],0))),IF(AND(_xlpm.x=0,_xlpm.y&lt;&gt;0),-1,IF(AND(_xlpm.x&lt;&gt;0,_xlpm.y&lt;&gt;0),_xlpm.x,IF(AND(_xlpm.x-SUM(IF((INDIRECT($B$3)=$B228)*(INDIRECT($C$3)=$D228)*((INDIRECT($E$3)="TOTS")+(INDIRECT($E$3)=$E228)),INDIRECT(I$3)))&lt;&gt;0,_xlpm.y=0),-2,_xlpm.x)))),0))</f>
        <v>0</v>
      </c>
      <c r="J228" s="199" cm="1">
        <f t="array" aca="1" ref="J228" ca="1">IF(OR($B228="",$B228="X",$D228="",$D228="X",$E228="",$E228="X"),0,IFERROR(_xlfn.LET(_xlpm.x,SUM(SUM(_xlfn._xlws.FILTER(VALUE(PptoSty[Sign]&amp;1)*(1/PptoSty[Division]),(PptoSty[Division]&lt;&gt;0)*(PptoSty[Division]&lt;&gt;"")*(PptoSty[Division]&lt;&gt;"X")*(PptoSty[Project]=$B228)*(PptoSty[Vrs]=$D228)*(PptoSty[PiRow]=_xlfn.TEXTAFTER($H228,":"))*(PptoSty[PiColumn]=J$54),0)),SUM(IF((INDIRECT($B$3)=$B228)*(INDIRECT($C$3)=$D228)*((INDIRECT($E$3)="TOTS")+(INDIRECT($E$3)=$E228)),INDIRECT(J$3)))),_xlpm.y,SUM(_xlfn.CHOOSECOLS(_xlfn._xlws.FILTER(F_RT14[],(F_RT14[PrjId]=$B228)*(F_RT14[Vrs]=$D228)*(_xlfn.TEXTAFTER(F_RT14[ActGrp],":")=_xlfn.TEXTAFTER($H228,":")),"X"),MATCH("*"&amp;J$54,F_RT14[#Headers],0))),IF(AND(_xlpm.x=0,_xlpm.y&lt;&gt;0),-1,IF(AND(_xlpm.x&lt;&gt;0,_xlpm.y&lt;&gt;0),_xlpm.x,IF(AND(_xlpm.x-SUM(IF((INDIRECT($B$3)=$B228)*(INDIRECT($C$3)=$D228)*((INDIRECT($E$3)="TOTS")+(INDIRECT($E$3)=$E228)),INDIRECT(J$3)))&lt;&gt;0,_xlpm.y=0),-2,_xlpm.x)))),0))</f>
        <v>0</v>
      </c>
      <c r="K228" s="199" cm="1">
        <f t="array" aca="1" ref="K228" ca="1">IF(OR($B228="",$B228="X",$D228="",$D228="X",$E228="",$E228="X"),0,IFERROR(_xlfn.LET(_xlpm.x,SUM(SUM(_xlfn._xlws.FILTER(VALUE(PptoSty[Sign]&amp;1)*(1/PptoSty[Division]),(PptoSty[Division]&lt;&gt;0)*(PptoSty[Division]&lt;&gt;"")*(PptoSty[Division]&lt;&gt;"X")*(PptoSty[Project]=$B228)*(PptoSty[Vrs]=$D228)*(PptoSty[PiRow]=_xlfn.TEXTAFTER($H228,":"))*(PptoSty[PiColumn]=K$54),0)),SUM(IF((INDIRECT($B$3)=$B228)*(INDIRECT($C$3)=$D228)*((INDIRECT($E$3)="TOTS")+(INDIRECT($E$3)=$E228)),INDIRECT(K$3)))),_xlpm.y,SUM(_xlfn.CHOOSECOLS(_xlfn._xlws.FILTER(F_RT14[],(F_RT14[PrjId]=$B228)*(F_RT14[Vrs]=$D228)*(_xlfn.TEXTAFTER(F_RT14[ActGrp],":")=_xlfn.TEXTAFTER($H228,":")),"X"),MATCH("*"&amp;K$54,F_RT14[#Headers],0))),IF(AND(_xlpm.x=0,_xlpm.y&lt;&gt;0),-1,IF(AND(_xlpm.x&lt;&gt;0,_xlpm.y&lt;&gt;0),_xlpm.x,IF(AND(_xlpm.x-SUM(IF((INDIRECT($B$3)=$B228)*(INDIRECT($C$3)=$D228)*((INDIRECT($E$3)="TOTS")+(INDIRECT($E$3)=$E228)),INDIRECT(K$3)))&lt;&gt;0,_xlpm.y=0),-2,_xlpm.x)))),0))</f>
        <v>0</v>
      </c>
      <c r="L228" s="199" cm="1">
        <f t="array" aca="1" ref="L228" ca="1">IF(OR($B228="",$B228="X",$D228="",$D228="X",$E228="",$E228="X"),0,IFERROR(_xlfn.LET(_xlpm.x,SUM(SUM(_xlfn._xlws.FILTER(VALUE(PptoSty[Sign]&amp;1)*(1/PptoSty[Division]),(PptoSty[Division]&lt;&gt;0)*(PptoSty[Division]&lt;&gt;"")*(PptoSty[Division]&lt;&gt;"X")*(PptoSty[Project]=$B228)*(PptoSty[Vrs]=$D228)*(PptoSty[PiRow]=_xlfn.TEXTAFTER($H228,":"))*(PptoSty[PiColumn]=L$54),0)),SUM(IF((INDIRECT($B$3)=$B228)*(INDIRECT($C$3)=$D228)*((INDIRECT($E$3)="TOTS")+(INDIRECT($E$3)=$E228)),INDIRECT(L$3)))),_xlpm.y,SUM(_xlfn.CHOOSECOLS(_xlfn._xlws.FILTER(F_RT14[],(F_RT14[PrjId]=$B228)*(F_RT14[Vrs]=$D228)*(_xlfn.TEXTAFTER(F_RT14[ActGrp],":")=_xlfn.TEXTAFTER($H228,":")),"X"),MATCH("*"&amp;L$54,F_RT14[#Headers],0))),IF(AND(_xlpm.x=0,_xlpm.y&lt;&gt;0),-1,IF(AND(_xlpm.x&lt;&gt;0,_xlpm.y&lt;&gt;0),_xlpm.x,IF(AND(_xlpm.x-SUM(IF((INDIRECT($B$3)=$B228)*(INDIRECT($C$3)=$D228)*((INDIRECT($E$3)="TOTS")+(INDIRECT($E$3)=$E228)),INDIRECT(L$3)))&lt;&gt;0,_xlpm.y=0),-2,_xlpm.x)))),0))</f>
        <v>0</v>
      </c>
      <c r="M228" s="199" cm="1">
        <f t="array" aca="1" ref="M228" ca="1">IF(OR($B228="",$B228="X",$D228="",$D228="X",$E228="",$E228="X"),0,IFERROR(_xlfn.LET(_xlpm.x,SUM(SUM(_xlfn._xlws.FILTER(VALUE(PptoSty[Sign]&amp;1)*(1/PptoSty[Division]),(PptoSty[Division]&lt;&gt;0)*(PptoSty[Division]&lt;&gt;"")*(PptoSty[Division]&lt;&gt;"X")*(PptoSty[Project]=$B228)*(PptoSty[Vrs]=$D228)*(PptoSty[PiRow]=_xlfn.TEXTAFTER($H228,":"))*(PptoSty[PiColumn]=M$54),0)),SUM(IF((INDIRECT($B$3)=$B228)*(INDIRECT($C$3)=$D228)*((INDIRECT($E$3)="TOTS")+(INDIRECT($E$3)=$E228)),INDIRECT(M$3)))),_xlpm.y,SUM(_xlfn.CHOOSECOLS(_xlfn._xlws.FILTER(F_RT14[],(F_RT14[PrjId]=$B228)*(F_RT14[Vrs]=$D228)*(_xlfn.TEXTAFTER(F_RT14[ActGrp],":")=_xlfn.TEXTAFTER($H228,":")),"X"),MATCH("*"&amp;M$54,F_RT14[#Headers],0))),IF(AND(_xlpm.x=0,_xlpm.y&lt;&gt;0),-1,IF(AND(_xlpm.x&lt;&gt;0,_xlpm.y&lt;&gt;0),_xlpm.x,IF(AND(_xlpm.x-SUM(IF((INDIRECT($B$3)=$B228)*(INDIRECT($C$3)=$D228)*((INDIRECT($E$3)="TOTS")+(INDIRECT($E$3)=$E228)),INDIRECT(M$3)))&lt;&gt;0,_xlpm.y=0),-2,_xlpm.x)))),0))</f>
        <v>0</v>
      </c>
      <c r="N228" s="199" cm="1">
        <f t="array" aca="1" ref="N228" ca="1">IF(OR($B228="",$B228="X",$D228="",$D228="X",$E228="",$E228="X"),0,IFERROR(_xlfn.LET(_xlpm.x,SUM(SUM(_xlfn._xlws.FILTER(VALUE(PptoSty[Sign]&amp;1)*(1/PptoSty[Division]),(PptoSty[Division]&lt;&gt;0)*(PptoSty[Division]&lt;&gt;"")*(PptoSty[Division]&lt;&gt;"X")*(PptoSty[Project]=$B228)*(PptoSty[Vrs]=$D228)*(PptoSty[PiRow]=_xlfn.TEXTAFTER($H228,":"))*(PptoSty[PiColumn]=N$54),0)),SUM(IF((INDIRECT($B$3)=$B228)*(INDIRECT($C$3)=$D228)*((INDIRECT($E$3)="TOTS")+(INDIRECT($E$3)=$E228)),INDIRECT(N$3)))),_xlpm.y,SUM(_xlfn.CHOOSECOLS(_xlfn._xlws.FILTER(F_RT14[],(F_RT14[PrjId]=$B228)*(F_RT14[Vrs]=$D228)*(_xlfn.TEXTAFTER(F_RT14[ActGrp],":")=_xlfn.TEXTAFTER($H228,":")),"X"),MATCH("*"&amp;N$54,F_RT14[#Headers],0))),IF(AND(_xlpm.x=0,_xlpm.y&lt;&gt;0),-1,IF(AND(_xlpm.x&lt;&gt;0,_xlpm.y&lt;&gt;0),_xlpm.x,IF(AND(_xlpm.x-SUM(IF((INDIRECT($B$3)=$B228)*(INDIRECT($C$3)=$D228)*((INDIRECT($E$3)="TOTS")+(INDIRECT($E$3)=$E228)),INDIRECT(N$3)))&lt;&gt;0,_xlpm.y=0),-2,_xlpm.x)))),0))</f>
        <v>0</v>
      </c>
      <c r="O228" s="199" cm="1">
        <f t="array" aca="1" ref="O228" ca="1">IF(OR($B228="",$B228="X",$D228="",$D228="X",$E228="",$E228="X"),0,IFERROR(_xlfn.LET(_xlpm.x,SUM(SUM(_xlfn._xlws.FILTER(VALUE(PptoSty[Sign]&amp;1)*(1/PptoSty[Division]),(PptoSty[Division]&lt;&gt;0)*(PptoSty[Division]&lt;&gt;"")*(PptoSty[Division]&lt;&gt;"X")*(PptoSty[Project]=$B228)*(PptoSty[Vrs]=$D228)*(PptoSty[PiRow]=_xlfn.TEXTAFTER($H228,":"))*(PptoSty[PiColumn]=O$54),0)),SUM(IF((INDIRECT($B$3)=$B228)*(INDIRECT($C$3)=$D228)*((INDIRECT($E$3)="TOTS")+(INDIRECT($E$3)=$E228)),INDIRECT(O$3)))),_xlpm.y,SUM(_xlfn.CHOOSECOLS(_xlfn._xlws.FILTER(F_RT14[],(F_RT14[PrjId]=$B228)*(F_RT14[Vrs]=$D228)*(_xlfn.TEXTAFTER(F_RT14[ActGrp],":")=_xlfn.TEXTAFTER($H228,":")),"X"),MATCH("*"&amp;O$54,F_RT14[#Headers],0))),IF(AND(_xlpm.x=0,_xlpm.y&lt;&gt;0),-1,IF(AND(_xlpm.x&lt;&gt;0,_xlpm.y&lt;&gt;0),_xlpm.x,IF(AND(_xlpm.x-SUM(IF((INDIRECT($B$3)=$B228)*(INDIRECT($C$3)=$D228)*((INDIRECT($E$3)="TOTS")+(INDIRECT($E$3)=$E228)),INDIRECT(O$3)))&lt;&gt;0,_xlpm.y=0),-2,_xlpm.x)))),0))</f>
        <v>0</v>
      </c>
      <c r="P228" s="199" cm="1">
        <f t="array" aca="1" ref="P228" ca="1">IF(OR($B228="",$B228="X",$D228="",$D228="X",$E228="",$E228="X"),0,IFERROR(_xlfn.LET(_xlpm.x,SUM(SUM(_xlfn._xlws.FILTER(VALUE(PptoSty[Sign]&amp;1)*(1/PptoSty[Division]),(PptoSty[Division]&lt;&gt;0)*(PptoSty[Division]&lt;&gt;"")*(PptoSty[Division]&lt;&gt;"X")*(PptoSty[Project]=$B228)*(PptoSty[Vrs]=$D228)*(PptoSty[PiRow]=_xlfn.TEXTAFTER($H228,":"))*(PptoSty[PiColumn]=P$54),0)),SUM(IF((INDIRECT($B$3)=$B228)*(INDIRECT($C$3)=$D228)*((INDIRECT($E$3)="TOTS")+(INDIRECT($E$3)=$E228)),INDIRECT(P$3)))),_xlpm.y,SUM(_xlfn.CHOOSECOLS(_xlfn._xlws.FILTER(F_RT14[],(F_RT14[PrjId]=$B228)*(F_RT14[Vrs]=$D228)*(_xlfn.TEXTAFTER(F_RT14[ActGrp],":")=_xlfn.TEXTAFTER($H228,":")),"X"),MATCH("*"&amp;P$54,F_RT14[#Headers],0))),IF(AND(_xlpm.x=0,_xlpm.y&lt;&gt;0),-1,IF(AND(_xlpm.x&lt;&gt;0,_xlpm.y&lt;&gt;0),_xlpm.x,IF(AND(_xlpm.x-SUM(IF((INDIRECT($B$3)=$B228)*(INDIRECT($C$3)=$D228)*((INDIRECT($E$3)="TOTS")+(INDIRECT($E$3)=$E228)),INDIRECT(P$3)))&lt;&gt;0,_xlpm.y=0),-2,_xlpm.x)))),0))</f>
        <v>0</v>
      </c>
      <c r="Q228" s="199" cm="1">
        <f t="array" aca="1" ref="Q228" ca="1">IF(OR($B228="",$B228="X",$D228="",$D228="X",$E228="",$E228="X"),0,IFERROR(_xlfn.LET(_xlpm.x,SUM(SUM(_xlfn._xlws.FILTER(VALUE(PptoSty[Sign]&amp;1)*(1/PptoSty[Division]),(PptoSty[Division]&lt;&gt;0)*(PptoSty[Division]&lt;&gt;"")*(PptoSty[Division]&lt;&gt;"X")*(PptoSty[Project]=$B228)*(PptoSty[Vrs]=$D228)*(PptoSty[PiRow]=_xlfn.TEXTAFTER($H228,":"))*(PptoSty[PiColumn]=Q$54),0)),SUM(IF((INDIRECT($B$3)=$B228)*(INDIRECT($C$3)=$D228)*((INDIRECT($E$3)="TOTS")+(INDIRECT($E$3)=$E228)),INDIRECT(Q$3)))),_xlpm.y,SUM(_xlfn.CHOOSECOLS(_xlfn._xlws.FILTER(F_RT14[],(F_RT14[PrjId]=$B228)*(F_RT14[Vrs]=$D228)*(_xlfn.TEXTAFTER(F_RT14[ActGrp],":")=_xlfn.TEXTAFTER($H228,":")),"X"),MATCH("*"&amp;Q$54,F_RT14[#Headers],0))),IF(AND(_xlpm.x=0,_xlpm.y&lt;&gt;0),-1,IF(AND(_xlpm.x&lt;&gt;0,_xlpm.y&lt;&gt;0),_xlpm.x,IF(AND(_xlpm.x-SUM(IF((INDIRECT($B$3)=$B228)*(INDIRECT($C$3)=$D228)*((INDIRECT($E$3)="TOTS")+(INDIRECT($E$3)=$E228)),INDIRECT(Q$3)))&lt;&gt;0,_xlpm.y=0),-2,_xlpm.x)))),0))</f>
        <v>0</v>
      </c>
      <c r="R228" s="199" cm="1">
        <f t="array" aca="1" ref="R228" ca="1">IF(OR($B228="",$B228="X",$D228="",$D228="X",$E228="",$E228="X"),0,IFERROR(_xlfn.LET(_xlpm.x,SUM(SUM(_xlfn._xlws.FILTER(VALUE(PptoSty[Sign]&amp;1)*(1/PptoSty[Division]),(PptoSty[Division]&lt;&gt;0)*(PptoSty[Division]&lt;&gt;"")*(PptoSty[Division]&lt;&gt;"X")*(PptoSty[Project]=$B228)*(PptoSty[Vrs]=$D228)*(PptoSty[PiRow]=_xlfn.TEXTAFTER($H228,":"))*(PptoSty[PiColumn]=R$54),0)),SUM(IF((INDIRECT($B$3)=$B228)*(INDIRECT($C$3)=$D228)*((INDIRECT($E$3)="TOTS")+(INDIRECT($E$3)=$E228)),INDIRECT(R$3)))),_xlpm.y,SUM(_xlfn.CHOOSECOLS(_xlfn._xlws.FILTER(F_RT14[],(F_RT14[PrjId]=$B228)*(F_RT14[Vrs]=$D228)*(_xlfn.TEXTAFTER(F_RT14[ActGrp],":")=_xlfn.TEXTAFTER($H228,":")),"X"),MATCH("*"&amp;R$54,F_RT14[#Headers],0))),IF(AND(_xlpm.x=0,_xlpm.y&lt;&gt;0),-1,IF(AND(_xlpm.x&lt;&gt;0,_xlpm.y&lt;&gt;0),_xlpm.x,IF(AND(_xlpm.x-SUM(IF((INDIRECT($B$3)=$B228)*(INDIRECT($C$3)=$D228)*((INDIRECT($E$3)="TOTS")+(INDIRECT($E$3)=$E228)),INDIRECT(R$3)))&lt;&gt;0,_xlpm.y=0),-2,_xlpm.x)))),0))</f>
        <v>0</v>
      </c>
      <c r="S228" s="199" cm="1">
        <f t="array" aca="1" ref="S228" ca="1">IF(OR($B228="",$B228="X",$D228="",$D228="X",$E228="",$E228="X"),0,IFERROR(_xlfn.LET(_xlpm.x,SUM(SUM(_xlfn._xlws.FILTER(VALUE(PptoSty[Sign]&amp;1)*(1/PptoSty[Division]),(PptoSty[Division]&lt;&gt;0)*(PptoSty[Division]&lt;&gt;"")*(PptoSty[Division]&lt;&gt;"X")*(PptoSty[Project]=$B228)*(PptoSty[Vrs]=$D228)*(PptoSty[PiRow]=_xlfn.TEXTAFTER($H228,":"))*(PptoSty[PiColumn]=S$54),0)),SUM(IF((INDIRECT($B$3)=$B228)*(INDIRECT($C$3)=$D228)*((INDIRECT($E$3)="TOTS")+(INDIRECT($E$3)=$E228)),INDIRECT(S$3)))),_xlpm.y,SUM(_xlfn.CHOOSECOLS(_xlfn._xlws.FILTER(F_RT14[],(F_RT14[PrjId]=$B228)*(F_RT14[Vrs]=$D228)*(_xlfn.TEXTAFTER(F_RT14[ActGrp],":")=_xlfn.TEXTAFTER($H228,":")),"X"),MATCH("*"&amp;S$54,F_RT14[#Headers],0))),IF(AND(_xlpm.x=0,_xlpm.y&lt;&gt;0),-1,IF(AND(_xlpm.x&lt;&gt;0,_xlpm.y&lt;&gt;0),_xlpm.x,IF(AND(_xlpm.x-SUM(IF((INDIRECT($B$3)=$B228)*(INDIRECT($C$3)=$D228)*((INDIRECT($E$3)="TOTS")+(INDIRECT($E$3)=$E228)),INDIRECT(S$3)))&lt;&gt;0,_xlpm.y=0),-2,_xlpm.x)))),0))</f>
        <v>0</v>
      </c>
      <c r="T228" s="199" cm="1">
        <f t="array" aca="1" ref="T228" ca="1">IF(OR($B228="",$B228="X",$D228="",$D228="X",$E228="",$E228="X"),0,IFERROR(_xlfn.LET(_xlpm.x,SUM(SUM(_xlfn._xlws.FILTER(VALUE(PptoSty[Sign]&amp;1)*(1/PptoSty[Division]),(PptoSty[Division]&lt;&gt;0)*(PptoSty[Division]&lt;&gt;"")*(PptoSty[Division]&lt;&gt;"X")*(PptoSty[Project]=$B228)*(PptoSty[Vrs]=$D228)*(PptoSty[PiRow]=_xlfn.TEXTAFTER($H228,":"))*(PptoSty[PiColumn]=T$54),0)),SUM(IF((INDIRECT($B$3)=$B228)*(INDIRECT($C$3)=$D228)*((INDIRECT($E$3)="TOTS")+(INDIRECT($E$3)=$E228)),INDIRECT(T$3)))),_xlpm.y,SUM(_xlfn.CHOOSECOLS(_xlfn._xlws.FILTER(F_RT14[],(F_RT14[PrjId]=$B228)*(F_RT14[Vrs]=$D228)*(_xlfn.TEXTAFTER(F_RT14[ActGrp],":")=_xlfn.TEXTAFTER($H228,":")),"X"),MATCH("*"&amp;T$54,F_RT14[#Headers],0))),IF(AND(_xlpm.x=0,_xlpm.y&lt;&gt;0),-1,IF(AND(_xlpm.x&lt;&gt;0,_xlpm.y&lt;&gt;0),_xlpm.x,IF(AND(_xlpm.x-SUM(IF((INDIRECT($B$3)=$B228)*(INDIRECT($C$3)=$D228)*((INDIRECT($E$3)="TOTS")+(INDIRECT($E$3)=$E228)),INDIRECT(T$3)))&lt;&gt;0,_xlpm.y=0),-2,_xlpm.x)))),0))</f>
        <v>0</v>
      </c>
      <c r="U228" s="199" cm="1">
        <f t="array" aca="1" ref="U228" ca="1">IF(OR($B228="",$B228="X",$D228="",$D228="X",$E228="",$E228="X"),0,IFERROR(_xlfn.LET(_xlpm.x,SUM(SUM(_xlfn._xlws.FILTER(VALUE(PptoSty[Sign]&amp;1)*(1/PptoSty[Division]),(PptoSty[Division]&lt;&gt;0)*(PptoSty[Division]&lt;&gt;"")*(PptoSty[Division]&lt;&gt;"X")*(PptoSty[Project]=$B228)*(PptoSty[Vrs]=$D228)*(PptoSty[PiRow]=_xlfn.TEXTAFTER($H228,":"))*(PptoSty[PiColumn]=U$54),0)),SUM(IF((INDIRECT($B$3)=$B228)*(INDIRECT($C$3)=$D228)*((INDIRECT($E$3)="TOTS")+(INDIRECT($E$3)=$E228)),INDIRECT(U$3)))),_xlpm.y,SUM(_xlfn.CHOOSECOLS(_xlfn._xlws.FILTER(F_RT14[],(F_RT14[PrjId]=$B228)*(F_RT14[Vrs]=$D228)*(_xlfn.TEXTAFTER(F_RT14[ActGrp],":")=_xlfn.TEXTAFTER($H228,":")),"X"),MATCH("*"&amp;U$54,F_RT14[#Headers],0))),IF(AND(_xlpm.x=0,_xlpm.y&lt;&gt;0),-1,IF(AND(_xlpm.x&lt;&gt;0,_xlpm.y&lt;&gt;0),_xlpm.x,IF(AND(_xlpm.x-SUM(IF((INDIRECT($B$3)=$B228)*(INDIRECT($C$3)=$D228)*((INDIRECT($E$3)="TOTS")+(INDIRECT($E$3)=$E228)),INDIRECT(U$3)))&lt;&gt;0,_xlpm.y=0),-2,_xlpm.x)))),0))</f>
        <v>0</v>
      </c>
      <c r="V228" s="199" cm="1">
        <f t="array" aca="1" ref="V228" ca="1">IF(OR($B228="",$B228="X",$D228="",$D228="X",$E228="",$E228="X"),0,IFERROR(_xlfn.LET(_xlpm.x,SUM(SUM(_xlfn._xlws.FILTER(VALUE(PptoSty[Sign]&amp;1)*(1/PptoSty[Division]),(PptoSty[Division]&lt;&gt;0)*(PptoSty[Division]&lt;&gt;"")*(PptoSty[Division]&lt;&gt;"X")*(PptoSty[Project]=$B228)*(PptoSty[Vrs]=$D228)*(PptoSty[PiRow]=_xlfn.TEXTAFTER($H228,":"))*(PptoSty[PiColumn]=V$54),0)),SUM(IF((INDIRECT($B$3)=$B228)*(INDIRECT($C$3)=$D228)*((INDIRECT($E$3)="TOTS")+(INDIRECT($E$3)=$E228)),INDIRECT(V$3)))),_xlpm.y,SUM(_xlfn.CHOOSECOLS(_xlfn._xlws.FILTER(F_RT14[],(F_RT14[PrjId]=$B228)*(F_RT14[Vrs]=$D228)*(_xlfn.TEXTAFTER(F_RT14[ActGrp],":")=_xlfn.TEXTAFTER($H228,":")),"X"),MATCH("*"&amp;V$54,F_RT14[#Headers],0))),IF(AND(_xlpm.x=0,_xlpm.y&lt;&gt;0),-1,IF(AND(_xlpm.x&lt;&gt;0,_xlpm.y&lt;&gt;0),_xlpm.x,IF(AND(_xlpm.x-SUM(IF((INDIRECT($B$3)=$B228)*(INDIRECT($C$3)=$D228)*((INDIRECT($E$3)="TOTS")+(INDIRECT($E$3)=$E228)),INDIRECT(V$3)))&lt;&gt;0,_xlpm.y=0),-2,_xlpm.x)))),0))</f>
        <v>0</v>
      </c>
      <c r="W228" s="199" cm="1">
        <f t="array" aca="1" ref="W228" ca="1">IF(OR($B228="",$B228="X",$D228="",$D228="X",$E228="",$E228="X"),0,IFERROR(_xlfn.LET(_xlpm.x,SUM(SUM(_xlfn._xlws.FILTER(VALUE(PptoSty[Sign]&amp;1)*(1/PptoSty[Division]),(PptoSty[Division]&lt;&gt;0)*(PptoSty[Division]&lt;&gt;"")*(PptoSty[Division]&lt;&gt;"X")*(PptoSty[Project]=$B228)*(PptoSty[Vrs]=$D228)*(PptoSty[PiRow]=_xlfn.TEXTAFTER($H228,":"))*(PptoSty[PiColumn]=W$54),0)),SUM(IF((INDIRECT($B$3)=$B228)*(INDIRECT($C$3)=$D228)*((INDIRECT($E$3)="TOTS")+(INDIRECT($E$3)=$E228)),INDIRECT(W$3)))),_xlpm.y,SUM(_xlfn.CHOOSECOLS(_xlfn._xlws.FILTER(F_RT14[],(F_RT14[PrjId]=$B228)*(F_RT14[Vrs]=$D228)*(_xlfn.TEXTAFTER(F_RT14[ActGrp],":")=_xlfn.TEXTAFTER($H228,":")),"X"),MATCH("*"&amp;W$54,F_RT14[#Headers],0))),IF(AND(_xlpm.x=0,_xlpm.y&lt;&gt;0),-1,IF(AND(_xlpm.x&lt;&gt;0,_xlpm.y&lt;&gt;0),_xlpm.x,IF(AND(_xlpm.x-SUM(IF((INDIRECT($B$3)=$B228)*(INDIRECT($C$3)=$D228)*((INDIRECT($E$3)="TOTS")+(INDIRECT($E$3)=$E228)),INDIRECT(W$3)))&lt;&gt;0,_xlpm.y=0),-2,_xlpm.x)))),0))</f>
        <v>0</v>
      </c>
      <c r="X228" s="199" cm="1">
        <f t="array" aca="1" ref="X228" ca="1">IF(OR($B228="",$B228="X",$D228="",$D228="X",$E228="",$E228="X"),0,IFERROR(_xlfn.LET(_xlpm.x,SUM(SUM(_xlfn._xlws.FILTER(VALUE(PptoSty[Sign]&amp;1)*(1/PptoSty[Division]),(PptoSty[Division]&lt;&gt;0)*(PptoSty[Division]&lt;&gt;"")*(PptoSty[Division]&lt;&gt;"X")*(PptoSty[Project]=$B228)*(PptoSty[Vrs]=$D228)*(PptoSty[PiRow]=_xlfn.TEXTAFTER($H228,":"))*(PptoSty[PiColumn]=X$54),0)),SUM(IF((INDIRECT($B$3)=$B228)*(INDIRECT($C$3)=$D228)*((INDIRECT($E$3)="TOTS")+(INDIRECT($E$3)=$E228)),INDIRECT(X$3)))),_xlpm.y,SUM(_xlfn.CHOOSECOLS(_xlfn._xlws.FILTER(F_RT14[],(F_RT14[PrjId]=$B228)*(F_RT14[Vrs]=$D228)*(_xlfn.TEXTAFTER(F_RT14[ActGrp],":")=_xlfn.TEXTAFTER($H228,":")),"X"),MATCH("*"&amp;X$54,F_RT14[#Headers],0))),IF(AND(_xlpm.x=0,_xlpm.y&lt;&gt;0),-1,IF(AND(_xlpm.x&lt;&gt;0,_xlpm.y&lt;&gt;0),_xlpm.x,IF(AND(_xlpm.x-SUM(IF((INDIRECT($B$3)=$B228)*(INDIRECT($C$3)=$D228)*((INDIRECT($E$3)="TOTS")+(INDIRECT($E$3)=$E228)),INDIRECT(X$3)))&lt;&gt;0,_xlpm.y=0),-2,_xlpm.x)))),0))</f>
        <v>0</v>
      </c>
      <c r="Y228" s="199" cm="1">
        <f t="array" aca="1" ref="Y228" ca="1">IF(OR($B228="",$B228="X",$D228="",$D228="X",$E228="",$E228="X"),0,IFERROR(_xlfn.LET(_xlpm.x,SUM(SUM(_xlfn._xlws.FILTER(VALUE(PptoSty[Sign]&amp;1)*(1/PptoSty[Division]),(PptoSty[Division]&lt;&gt;0)*(PptoSty[Division]&lt;&gt;"")*(PptoSty[Division]&lt;&gt;"X")*(PptoSty[Project]=$B228)*(PptoSty[Vrs]=$D228)*(PptoSty[PiRow]=_xlfn.TEXTAFTER($H228,":"))*(PptoSty[PiColumn]=Y$54),0)),SUM(IF((INDIRECT($B$3)=$B228)*(INDIRECT($C$3)=$D228)*((INDIRECT($E$3)="TOTS")+(INDIRECT($E$3)=$E228)),INDIRECT(Y$3)))),_xlpm.y,SUM(_xlfn.CHOOSECOLS(_xlfn._xlws.FILTER(F_RT14[],(F_RT14[PrjId]=$B228)*(F_RT14[Vrs]=$D228)*(_xlfn.TEXTAFTER(F_RT14[ActGrp],":")=_xlfn.TEXTAFTER($H228,":")),"X"),MATCH("*"&amp;Y$54,F_RT14[#Headers],0))),IF(AND(_xlpm.x=0,_xlpm.y&lt;&gt;0),-1,IF(AND(_xlpm.x&lt;&gt;0,_xlpm.y&lt;&gt;0),_xlpm.x,IF(AND(_xlpm.x-SUM(IF((INDIRECT($B$3)=$B228)*(INDIRECT($C$3)=$D228)*((INDIRECT($E$3)="TOTS")+(INDIRECT($E$3)=$E228)),INDIRECT(Y$3)))&lt;&gt;0,_xlpm.y=0),-2,_xlpm.x)))),0))</f>
        <v>0</v>
      </c>
      <c r="Z228" s="198" t="str">
        <f t="shared" ca="1" si="4"/>
        <v>Fback!B228:Y228</v>
      </c>
    </row>
    <row r="229" spans="2:26" ht="21" customHeight="1" outlineLevel="1">
      <c r="B229" s="128"/>
      <c r="C229" s="128"/>
      <c r="D229" s="128"/>
      <c r="E229" s="128"/>
      <c r="F229" s="139"/>
      <c r="G229" s="139"/>
      <c r="H229" s="139"/>
      <c r="I229" s="199" cm="1">
        <f t="array" aca="1" ref="I229" ca="1">IF(OR($B229="",$B229="X",$D229="",$D229="X",$E229="",$E229="X"),0,IFERROR(_xlfn.LET(_xlpm.x,SUM(SUM(_xlfn._xlws.FILTER(VALUE(PptoSty[Sign]&amp;1)*(1/PptoSty[Division]),(PptoSty[Division]&lt;&gt;0)*(PptoSty[Division]&lt;&gt;"")*(PptoSty[Division]&lt;&gt;"X")*(PptoSty[Project]=$B229)*(PptoSty[Vrs]=$D229)*(PptoSty[PiRow]=_xlfn.TEXTAFTER($H229,":"))*(PptoSty[PiColumn]=I$54),0)),SUM(IF((INDIRECT($B$3)=$B229)*(INDIRECT($C$3)=$D229)*((INDIRECT($E$3)="TOTS")+(INDIRECT($E$3)=$E229)),INDIRECT(I$3)))),_xlpm.y,SUM(_xlfn.CHOOSECOLS(_xlfn._xlws.FILTER(F_RT14[],(F_RT14[PrjId]=$B229)*(F_RT14[Vrs]=$D229)*(_xlfn.TEXTAFTER(F_RT14[ActGrp],":")=_xlfn.TEXTAFTER($H229,":")),"X"),MATCH("*"&amp;I$54,F_RT14[#Headers],0))),IF(AND(_xlpm.x=0,_xlpm.y&lt;&gt;0),-1,IF(AND(_xlpm.x&lt;&gt;0,_xlpm.y&lt;&gt;0),_xlpm.x,IF(AND(_xlpm.x-SUM(IF((INDIRECT($B$3)=$B229)*(INDIRECT($C$3)=$D229)*((INDIRECT($E$3)="TOTS")+(INDIRECT($E$3)=$E229)),INDIRECT(I$3)))&lt;&gt;0,_xlpm.y=0),-2,_xlpm.x)))),0))</f>
        <v>0</v>
      </c>
      <c r="J229" s="199" cm="1">
        <f t="array" aca="1" ref="J229" ca="1">IF(OR($B229="",$B229="X",$D229="",$D229="X",$E229="",$E229="X"),0,IFERROR(_xlfn.LET(_xlpm.x,SUM(SUM(_xlfn._xlws.FILTER(VALUE(PptoSty[Sign]&amp;1)*(1/PptoSty[Division]),(PptoSty[Division]&lt;&gt;0)*(PptoSty[Division]&lt;&gt;"")*(PptoSty[Division]&lt;&gt;"X")*(PptoSty[Project]=$B229)*(PptoSty[Vrs]=$D229)*(PptoSty[PiRow]=_xlfn.TEXTAFTER($H229,":"))*(PptoSty[PiColumn]=J$54),0)),SUM(IF((INDIRECT($B$3)=$B229)*(INDIRECT($C$3)=$D229)*((INDIRECT($E$3)="TOTS")+(INDIRECT($E$3)=$E229)),INDIRECT(J$3)))),_xlpm.y,SUM(_xlfn.CHOOSECOLS(_xlfn._xlws.FILTER(F_RT14[],(F_RT14[PrjId]=$B229)*(F_RT14[Vrs]=$D229)*(_xlfn.TEXTAFTER(F_RT14[ActGrp],":")=_xlfn.TEXTAFTER($H229,":")),"X"),MATCH("*"&amp;J$54,F_RT14[#Headers],0))),IF(AND(_xlpm.x=0,_xlpm.y&lt;&gt;0),-1,IF(AND(_xlpm.x&lt;&gt;0,_xlpm.y&lt;&gt;0),_xlpm.x,IF(AND(_xlpm.x-SUM(IF((INDIRECT($B$3)=$B229)*(INDIRECT($C$3)=$D229)*((INDIRECT($E$3)="TOTS")+(INDIRECT($E$3)=$E229)),INDIRECT(J$3)))&lt;&gt;0,_xlpm.y=0),-2,_xlpm.x)))),0))</f>
        <v>0</v>
      </c>
      <c r="K229" s="199" cm="1">
        <f t="array" aca="1" ref="K229" ca="1">IF(OR($B229="",$B229="X",$D229="",$D229="X",$E229="",$E229="X"),0,IFERROR(_xlfn.LET(_xlpm.x,SUM(SUM(_xlfn._xlws.FILTER(VALUE(PptoSty[Sign]&amp;1)*(1/PptoSty[Division]),(PptoSty[Division]&lt;&gt;0)*(PptoSty[Division]&lt;&gt;"")*(PptoSty[Division]&lt;&gt;"X")*(PptoSty[Project]=$B229)*(PptoSty[Vrs]=$D229)*(PptoSty[PiRow]=_xlfn.TEXTAFTER($H229,":"))*(PptoSty[PiColumn]=K$54),0)),SUM(IF((INDIRECT($B$3)=$B229)*(INDIRECT($C$3)=$D229)*((INDIRECT($E$3)="TOTS")+(INDIRECT($E$3)=$E229)),INDIRECT(K$3)))),_xlpm.y,SUM(_xlfn.CHOOSECOLS(_xlfn._xlws.FILTER(F_RT14[],(F_RT14[PrjId]=$B229)*(F_RT14[Vrs]=$D229)*(_xlfn.TEXTAFTER(F_RT14[ActGrp],":")=_xlfn.TEXTAFTER($H229,":")),"X"),MATCH("*"&amp;K$54,F_RT14[#Headers],0))),IF(AND(_xlpm.x=0,_xlpm.y&lt;&gt;0),-1,IF(AND(_xlpm.x&lt;&gt;0,_xlpm.y&lt;&gt;0),_xlpm.x,IF(AND(_xlpm.x-SUM(IF((INDIRECT($B$3)=$B229)*(INDIRECT($C$3)=$D229)*((INDIRECT($E$3)="TOTS")+(INDIRECT($E$3)=$E229)),INDIRECT(K$3)))&lt;&gt;0,_xlpm.y=0),-2,_xlpm.x)))),0))</f>
        <v>0</v>
      </c>
      <c r="L229" s="199" cm="1">
        <f t="array" aca="1" ref="L229" ca="1">IF(OR($B229="",$B229="X",$D229="",$D229="X",$E229="",$E229="X"),0,IFERROR(_xlfn.LET(_xlpm.x,SUM(SUM(_xlfn._xlws.FILTER(VALUE(PptoSty[Sign]&amp;1)*(1/PptoSty[Division]),(PptoSty[Division]&lt;&gt;0)*(PptoSty[Division]&lt;&gt;"")*(PptoSty[Division]&lt;&gt;"X")*(PptoSty[Project]=$B229)*(PptoSty[Vrs]=$D229)*(PptoSty[PiRow]=_xlfn.TEXTAFTER($H229,":"))*(PptoSty[PiColumn]=L$54),0)),SUM(IF((INDIRECT($B$3)=$B229)*(INDIRECT($C$3)=$D229)*((INDIRECT($E$3)="TOTS")+(INDIRECT($E$3)=$E229)),INDIRECT(L$3)))),_xlpm.y,SUM(_xlfn.CHOOSECOLS(_xlfn._xlws.FILTER(F_RT14[],(F_RT14[PrjId]=$B229)*(F_RT14[Vrs]=$D229)*(_xlfn.TEXTAFTER(F_RT14[ActGrp],":")=_xlfn.TEXTAFTER($H229,":")),"X"),MATCH("*"&amp;L$54,F_RT14[#Headers],0))),IF(AND(_xlpm.x=0,_xlpm.y&lt;&gt;0),-1,IF(AND(_xlpm.x&lt;&gt;0,_xlpm.y&lt;&gt;0),_xlpm.x,IF(AND(_xlpm.x-SUM(IF((INDIRECT($B$3)=$B229)*(INDIRECT($C$3)=$D229)*((INDIRECT($E$3)="TOTS")+(INDIRECT($E$3)=$E229)),INDIRECT(L$3)))&lt;&gt;0,_xlpm.y=0),-2,_xlpm.x)))),0))</f>
        <v>0</v>
      </c>
      <c r="M229" s="199" cm="1">
        <f t="array" aca="1" ref="M229" ca="1">IF(OR($B229="",$B229="X",$D229="",$D229="X",$E229="",$E229="X"),0,IFERROR(_xlfn.LET(_xlpm.x,SUM(SUM(_xlfn._xlws.FILTER(VALUE(PptoSty[Sign]&amp;1)*(1/PptoSty[Division]),(PptoSty[Division]&lt;&gt;0)*(PptoSty[Division]&lt;&gt;"")*(PptoSty[Division]&lt;&gt;"X")*(PptoSty[Project]=$B229)*(PptoSty[Vrs]=$D229)*(PptoSty[PiRow]=_xlfn.TEXTAFTER($H229,":"))*(PptoSty[PiColumn]=M$54),0)),SUM(IF((INDIRECT($B$3)=$B229)*(INDIRECT($C$3)=$D229)*((INDIRECT($E$3)="TOTS")+(INDIRECT($E$3)=$E229)),INDIRECT(M$3)))),_xlpm.y,SUM(_xlfn.CHOOSECOLS(_xlfn._xlws.FILTER(F_RT14[],(F_RT14[PrjId]=$B229)*(F_RT14[Vrs]=$D229)*(_xlfn.TEXTAFTER(F_RT14[ActGrp],":")=_xlfn.TEXTAFTER($H229,":")),"X"),MATCH("*"&amp;M$54,F_RT14[#Headers],0))),IF(AND(_xlpm.x=0,_xlpm.y&lt;&gt;0),-1,IF(AND(_xlpm.x&lt;&gt;0,_xlpm.y&lt;&gt;0),_xlpm.x,IF(AND(_xlpm.x-SUM(IF((INDIRECT($B$3)=$B229)*(INDIRECT($C$3)=$D229)*((INDIRECT($E$3)="TOTS")+(INDIRECT($E$3)=$E229)),INDIRECT(M$3)))&lt;&gt;0,_xlpm.y=0),-2,_xlpm.x)))),0))</f>
        <v>0</v>
      </c>
      <c r="N229" s="199" cm="1">
        <f t="array" aca="1" ref="N229" ca="1">IF(OR($B229="",$B229="X",$D229="",$D229="X",$E229="",$E229="X"),0,IFERROR(_xlfn.LET(_xlpm.x,SUM(SUM(_xlfn._xlws.FILTER(VALUE(PptoSty[Sign]&amp;1)*(1/PptoSty[Division]),(PptoSty[Division]&lt;&gt;0)*(PptoSty[Division]&lt;&gt;"")*(PptoSty[Division]&lt;&gt;"X")*(PptoSty[Project]=$B229)*(PptoSty[Vrs]=$D229)*(PptoSty[PiRow]=_xlfn.TEXTAFTER($H229,":"))*(PptoSty[PiColumn]=N$54),0)),SUM(IF((INDIRECT($B$3)=$B229)*(INDIRECT($C$3)=$D229)*((INDIRECT($E$3)="TOTS")+(INDIRECT($E$3)=$E229)),INDIRECT(N$3)))),_xlpm.y,SUM(_xlfn.CHOOSECOLS(_xlfn._xlws.FILTER(F_RT14[],(F_RT14[PrjId]=$B229)*(F_RT14[Vrs]=$D229)*(_xlfn.TEXTAFTER(F_RT14[ActGrp],":")=_xlfn.TEXTAFTER($H229,":")),"X"),MATCH("*"&amp;N$54,F_RT14[#Headers],0))),IF(AND(_xlpm.x=0,_xlpm.y&lt;&gt;0),-1,IF(AND(_xlpm.x&lt;&gt;0,_xlpm.y&lt;&gt;0),_xlpm.x,IF(AND(_xlpm.x-SUM(IF((INDIRECT($B$3)=$B229)*(INDIRECT($C$3)=$D229)*((INDIRECT($E$3)="TOTS")+(INDIRECT($E$3)=$E229)),INDIRECT(N$3)))&lt;&gt;0,_xlpm.y=0),-2,_xlpm.x)))),0))</f>
        <v>0</v>
      </c>
      <c r="O229" s="199" cm="1">
        <f t="array" aca="1" ref="O229" ca="1">IF(OR($B229="",$B229="X",$D229="",$D229="X",$E229="",$E229="X"),0,IFERROR(_xlfn.LET(_xlpm.x,SUM(SUM(_xlfn._xlws.FILTER(VALUE(PptoSty[Sign]&amp;1)*(1/PptoSty[Division]),(PptoSty[Division]&lt;&gt;0)*(PptoSty[Division]&lt;&gt;"")*(PptoSty[Division]&lt;&gt;"X")*(PptoSty[Project]=$B229)*(PptoSty[Vrs]=$D229)*(PptoSty[PiRow]=_xlfn.TEXTAFTER($H229,":"))*(PptoSty[PiColumn]=O$54),0)),SUM(IF((INDIRECT($B$3)=$B229)*(INDIRECT($C$3)=$D229)*((INDIRECT($E$3)="TOTS")+(INDIRECT($E$3)=$E229)),INDIRECT(O$3)))),_xlpm.y,SUM(_xlfn.CHOOSECOLS(_xlfn._xlws.FILTER(F_RT14[],(F_RT14[PrjId]=$B229)*(F_RT14[Vrs]=$D229)*(_xlfn.TEXTAFTER(F_RT14[ActGrp],":")=_xlfn.TEXTAFTER($H229,":")),"X"),MATCH("*"&amp;O$54,F_RT14[#Headers],0))),IF(AND(_xlpm.x=0,_xlpm.y&lt;&gt;0),-1,IF(AND(_xlpm.x&lt;&gt;0,_xlpm.y&lt;&gt;0),_xlpm.x,IF(AND(_xlpm.x-SUM(IF((INDIRECT($B$3)=$B229)*(INDIRECT($C$3)=$D229)*((INDIRECT($E$3)="TOTS")+(INDIRECT($E$3)=$E229)),INDIRECT(O$3)))&lt;&gt;0,_xlpm.y=0),-2,_xlpm.x)))),0))</f>
        <v>0</v>
      </c>
      <c r="P229" s="199" cm="1">
        <f t="array" aca="1" ref="P229" ca="1">IF(OR($B229="",$B229="X",$D229="",$D229="X",$E229="",$E229="X"),0,IFERROR(_xlfn.LET(_xlpm.x,SUM(SUM(_xlfn._xlws.FILTER(VALUE(PptoSty[Sign]&amp;1)*(1/PptoSty[Division]),(PptoSty[Division]&lt;&gt;0)*(PptoSty[Division]&lt;&gt;"")*(PptoSty[Division]&lt;&gt;"X")*(PptoSty[Project]=$B229)*(PptoSty[Vrs]=$D229)*(PptoSty[PiRow]=_xlfn.TEXTAFTER($H229,":"))*(PptoSty[PiColumn]=P$54),0)),SUM(IF((INDIRECT($B$3)=$B229)*(INDIRECT($C$3)=$D229)*((INDIRECT($E$3)="TOTS")+(INDIRECT($E$3)=$E229)),INDIRECT(P$3)))),_xlpm.y,SUM(_xlfn.CHOOSECOLS(_xlfn._xlws.FILTER(F_RT14[],(F_RT14[PrjId]=$B229)*(F_RT14[Vrs]=$D229)*(_xlfn.TEXTAFTER(F_RT14[ActGrp],":")=_xlfn.TEXTAFTER($H229,":")),"X"),MATCH("*"&amp;P$54,F_RT14[#Headers],0))),IF(AND(_xlpm.x=0,_xlpm.y&lt;&gt;0),-1,IF(AND(_xlpm.x&lt;&gt;0,_xlpm.y&lt;&gt;0),_xlpm.x,IF(AND(_xlpm.x-SUM(IF((INDIRECT($B$3)=$B229)*(INDIRECT($C$3)=$D229)*((INDIRECT($E$3)="TOTS")+(INDIRECT($E$3)=$E229)),INDIRECT(P$3)))&lt;&gt;0,_xlpm.y=0),-2,_xlpm.x)))),0))</f>
        <v>0</v>
      </c>
      <c r="Q229" s="199" cm="1">
        <f t="array" aca="1" ref="Q229" ca="1">IF(OR($B229="",$B229="X",$D229="",$D229="X",$E229="",$E229="X"),0,IFERROR(_xlfn.LET(_xlpm.x,SUM(SUM(_xlfn._xlws.FILTER(VALUE(PptoSty[Sign]&amp;1)*(1/PptoSty[Division]),(PptoSty[Division]&lt;&gt;0)*(PptoSty[Division]&lt;&gt;"")*(PptoSty[Division]&lt;&gt;"X")*(PptoSty[Project]=$B229)*(PptoSty[Vrs]=$D229)*(PptoSty[PiRow]=_xlfn.TEXTAFTER($H229,":"))*(PptoSty[PiColumn]=Q$54),0)),SUM(IF((INDIRECT($B$3)=$B229)*(INDIRECT($C$3)=$D229)*((INDIRECT($E$3)="TOTS")+(INDIRECT($E$3)=$E229)),INDIRECT(Q$3)))),_xlpm.y,SUM(_xlfn.CHOOSECOLS(_xlfn._xlws.FILTER(F_RT14[],(F_RT14[PrjId]=$B229)*(F_RT14[Vrs]=$D229)*(_xlfn.TEXTAFTER(F_RT14[ActGrp],":")=_xlfn.TEXTAFTER($H229,":")),"X"),MATCH("*"&amp;Q$54,F_RT14[#Headers],0))),IF(AND(_xlpm.x=0,_xlpm.y&lt;&gt;0),-1,IF(AND(_xlpm.x&lt;&gt;0,_xlpm.y&lt;&gt;0),_xlpm.x,IF(AND(_xlpm.x-SUM(IF((INDIRECT($B$3)=$B229)*(INDIRECT($C$3)=$D229)*((INDIRECT($E$3)="TOTS")+(INDIRECT($E$3)=$E229)),INDIRECT(Q$3)))&lt;&gt;0,_xlpm.y=0),-2,_xlpm.x)))),0))</f>
        <v>0</v>
      </c>
      <c r="R229" s="199" cm="1">
        <f t="array" aca="1" ref="R229" ca="1">IF(OR($B229="",$B229="X",$D229="",$D229="X",$E229="",$E229="X"),0,IFERROR(_xlfn.LET(_xlpm.x,SUM(SUM(_xlfn._xlws.FILTER(VALUE(PptoSty[Sign]&amp;1)*(1/PptoSty[Division]),(PptoSty[Division]&lt;&gt;0)*(PptoSty[Division]&lt;&gt;"")*(PptoSty[Division]&lt;&gt;"X")*(PptoSty[Project]=$B229)*(PptoSty[Vrs]=$D229)*(PptoSty[PiRow]=_xlfn.TEXTAFTER($H229,":"))*(PptoSty[PiColumn]=R$54),0)),SUM(IF((INDIRECT($B$3)=$B229)*(INDIRECT($C$3)=$D229)*((INDIRECT($E$3)="TOTS")+(INDIRECT($E$3)=$E229)),INDIRECT(R$3)))),_xlpm.y,SUM(_xlfn.CHOOSECOLS(_xlfn._xlws.FILTER(F_RT14[],(F_RT14[PrjId]=$B229)*(F_RT14[Vrs]=$D229)*(_xlfn.TEXTAFTER(F_RT14[ActGrp],":")=_xlfn.TEXTAFTER($H229,":")),"X"),MATCH("*"&amp;R$54,F_RT14[#Headers],0))),IF(AND(_xlpm.x=0,_xlpm.y&lt;&gt;0),-1,IF(AND(_xlpm.x&lt;&gt;0,_xlpm.y&lt;&gt;0),_xlpm.x,IF(AND(_xlpm.x-SUM(IF((INDIRECT($B$3)=$B229)*(INDIRECT($C$3)=$D229)*((INDIRECT($E$3)="TOTS")+(INDIRECT($E$3)=$E229)),INDIRECT(R$3)))&lt;&gt;0,_xlpm.y=0),-2,_xlpm.x)))),0))</f>
        <v>0</v>
      </c>
      <c r="S229" s="199" cm="1">
        <f t="array" aca="1" ref="S229" ca="1">IF(OR($B229="",$B229="X",$D229="",$D229="X",$E229="",$E229="X"),0,IFERROR(_xlfn.LET(_xlpm.x,SUM(SUM(_xlfn._xlws.FILTER(VALUE(PptoSty[Sign]&amp;1)*(1/PptoSty[Division]),(PptoSty[Division]&lt;&gt;0)*(PptoSty[Division]&lt;&gt;"")*(PptoSty[Division]&lt;&gt;"X")*(PptoSty[Project]=$B229)*(PptoSty[Vrs]=$D229)*(PptoSty[PiRow]=_xlfn.TEXTAFTER($H229,":"))*(PptoSty[PiColumn]=S$54),0)),SUM(IF((INDIRECT($B$3)=$B229)*(INDIRECT($C$3)=$D229)*((INDIRECT($E$3)="TOTS")+(INDIRECT($E$3)=$E229)),INDIRECT(S$3)))),_xlpm.y,SUM(_xlfn.CHOOSECOLS(_xlfn._xlws.FILTER(F_RT14[],(F_RT14[PrjId]=$B229)*(F_RT14[Vrs]=$D229)*(_xlfn.TEXTAFTER(F_RT14[ActGrp],":")=_xlfn.TEXTAFTER($H229,":")),"X"),MATCH("*"&amp;S$54,F_RT14[#Headers],0))),IF(AND(_xlpm.x=0,_xlpm.y&lt;&gt;0),-1,IF(AND(_xlpm.x&lt;&gt;0,_xlpm.y&lt;&gt;0),_xlpm.x,IF(AND(_xlpm.x-SUM(IF((INDIRECT($B$3)=$B229)*(INDIRECT($C$3)=$D229)*((INDIRECT($E$3)="TOTS")+(INDIRECT($E$3)=$E229)),INDIRECT(S$3)))&lt;&gt;0,_xlpm.y=0),-2,_xlpm.x)))),0))</f>
        <v>0</v>
      </c>
      <c r="T229" s="199" cm="1">
        <f t="array" aca="1" ref="T229" ca="1">IF(OR($B229="",$B229="X",$D229="",$D229="X",$E229="",$E229="X"),0,IFERROR(_xlfn.LET(_xlpm.x,SUM(SUM(_xlfn._xlws.FILTER(VALUE(PptoSty[Sign]&amp;1)*(1/PptoSty[Division]),(PptoSty[Division]&lt;&gt;0)*(PptoSty[Division]&lt;&gt;"")*(PptoSty[Division]&lt;&gt;"X")*(PptoSty[Project]=$B229)*(PptoSty[Vrs]=$D229)*(PptoSty[PiRow]=_xlfn.TEXTAFTER($H229,":"))*(PptoSty[PiColumn]=T$54),0)),SUM(IF((INDIRECT($B$3)=$B229)*(INDIRECT($C$3)=$D229)*((INDIRECT($E$3)="TOTS")+(INDIRECT($E$3)=$E229)),INDIRECT(T$3)))),_xlpm.y,SUM(_xlfn.CHOOSECOLS(_xlfn._xlws.FILTER(F_RT14[],(F_RT14[PrjId]=$B229)*(F_RT14[Vrs]=$D229)*(_xlfn.TEXTAFTER(F_RT14[ActGrp],":")=_xlfn.TEXTAFTER($H229,":")),"X"),MATCH("*"&amp;T$54,F_RT14[#Headers],0))),IF(AND(_xlpm.x=0,_xlpm.y&lt;&gt;0),-1,IF(AND(_xlpm.x&lt;&gt;0,_xlpm.y&lt;&gt;0),_xlpm.x,IF(AND(_xlpm.x-SUM(IF((INDIRECT($B$3)=$B229)*(INDIRECT($C$3)=$D229)*((INDIRECT($E$3)="TOTS")+(INDIRECT($E$3)=$E229)),INDIRECT(T$3)))&lt;&gt;0,_xlpm.y=0),-2,_xlpm.x)))),0))</f>
        <v>0</v>
      </c>
      <c r="U229" s="199" cm="1">
        <f t="array" aca="1" ref="U229" ca="1">IF(OR($B229="",$B229="X",$D229="",$D229="X",$E229="",$E229="X"),0,IFERROR(_xlfn.LET(_xlpm.x,SUM(SUM(_xlfn._xlws.FILTER(VALUE(PptoSty[Sign]&amp;1)*(1/PptoSty[Division]),(PptoSty[Division]&lt;&gt;0)*(PptoSty[Division]&lt;&gt;"")*(PptoSty[Division]&lt;&gt;"X")*(PptoSty[Project]=$B229)*(PptoSty[Vrs]=$D229)*(PptoSty[PiRow]=_xlfn.TEXTAFTER($H229,":"))*(PptoSty[PiColumn]=U$54),0)),SUM(IF((INDIRECT($B$3)=$B229)*(INDIRECT($C$3)=$D229)*((INDIRECT($E$3)="TOTS")+(INDIRECT($E$3)=$E229)),INDIRECT(U$3)))),_xlpm.y,SUM(_xlfn.CHOOSECOLS(_xlfn._xlws.FILTER(F_RT14[],(F_RT14[PrjId]=$B229)*(F_RT14[Vrs]=$D229)*(_xlfn.TEXTAFTER(F_RT14[ActGrp],":")=_xlfn.TEXTAFTER($H229,":")),"X"),MATCH("*"&amp;U$54,F_RT14[#Headers],0))),IF(AND(_xlpm.x=0,_xlpm.y&lt;&gt;0),-1,IF(AND(_xlpm.x&lt;&gt;0,_xlpm.y&lt;&gt;0),_xlpm.x,IF(AND(_xlpm.x-SUM(IF((INDIRECT($B$3)=$B229)*(INDIRECT($C$3)=$D229)*((INDIRECT($E$3)="TOTS")+(INDIRECT($E$3)=$E229)),INDIRECT(U$3)))&lt;&gt;0,_xlpm.y=0),-2,_xlpm.x)))),0))</f>
        <v>0</v>
      </c>
      <c r="V229" s="199" cm="1">
        <f t="array" aca="1" ref="V229" ca="1">IF(OR($B229="",$B229="X",$D229="",$D229="X",$E229="",$E229="X"),0,IFERROR(_xlfn.LET(_xlpm.x,SUM(SUM(_xlfn._xlws.FILTER(VALUE(PptoSty[Sign]&amp;1)*(1/PptoSty[Division]),(PptoSty[Division]&lt;&gt;0)*(PptoSty[Division]&lt;&gt;"")*(PptoSty[Division]&lt;&gt;"X")*(PptoSty[Project]=$B229)*(PptoSty[Vrs]=$D229)*(PptoSty[PiRow]=_xlfn.TEXTAFTER($H229,":"))*(PptoSty[PiColumn]=V$54),0)),SUM(IF((INDIRECT($B$3)=$B229)*(INDIRECT($C$3)=$D229)*((INDIRECT($E$3)="TOTS")+(INDIRECT($E$3)=$E229)),INDIRECT(V$3)))),_xlpm.y,SUM(_xlfn.CHOOSECOLS(_xlfn._xlws.FILTER(F_RT14[],(F_RT14[PrjId]=$B229)*(F_RT14[Vrs]=$D229)*(_xlfn.TEXTAFTER(F_RT14[ActGrp],":")=_xlfn.TEXTAFTER($H229,":")),"X"),MATCH("*"&amp;V$54,F_RT14[#Headers],0))),IF(AND(_xlpm.x=0,_xlpm.y&lt;&gt;0),-1,IF(AND(_xlpm.x&lt;&gt;0,_xlpm.y&lt;&gt;0),_xlpm.x,IF(AND(_xlpm.x-SUM(IF((INDIRECT($B$3)=$B229)*(INDIRECT($C$3)=$D229)*((INDIRECT($E$3)="TOTS")+(INDIRECT($E$3)=$E229)),INDIRECT(V$3)))&lt;&gt;0,_xlpm.y=0),-2,_xlpm.x)))),0))</f>
        <v>0</v>
      </c>
      <c r="W229" s="199" cm="1">
        <f t="array" aca="1" ref="W229" ca="1">IF(OR($B229="",$B229="X",$D229="",$D229="X",$E229="",$E229="X"),0,IFERROR(_xlfn.LET(_xlpm.x,SUM(SUM(_xlfn._xlws.FILTER(VALUE(PptoSty[Sign]&amp;1)*(1/PptoSty[Division]),(PptoSty[Division]&lt;&gt;0)*(PptoSty[Division]&lt;&gt;"")*(PptoSty[Division]&lt;&gt;"X")*(PptoSty[Project]=$B229)*(PptoSty[Vrs]=$D229)*(PptoSty[PiRow]=_xlfn.TEXTAFTER($H229,":"))*(PptoSty[PiColumn]=W$54),0)),SUM(IF((INDIRECT($B$3)=$B229)*(INDIRECT($C$3)=$D229)*((INDIRECT($E$3)="TOTS")+(INDIRECT($E$3)=$E229)),INDIRECT(W$3)))),_xlpm.y,SUM(_xlfn.CHOOSECOLS(_xlfn._xlws.FILTER(F_RT14[],(F_RT14[PrjId]=$B229)*(F_RT14[Vrs]=$D229)*(_xlfn.TEXTAFTER(F_RT14[ActGrp],":")=_xlfn.TEXTAFTER($H229,":")),"X"),MATCH("*"&amp;W$54,F_RT14[#Headers],0))),IF(AND(_xlpm.x=0,_xlpm.y&lt;&gt;0),-1,IF(AND(_xlpm.x&lt;&gt;0,_xlpm.y&lt;&gt;0),_xlpm.x,IF(AND(_xlpm.x-SUM(IF((INDIRECT($B$3)=$B229)*(INDIRECT($C$3)=$D229)*((INDIRECT($E$3)="TOTS")+(INDIRECT($E$3)=$E229)),INDIRECT(W$3)))&lt;&gt;0,_xlpm.y=0),-2,_xlpm.x)))),0))</f>
        <v>0</v>
      </c>
      <c r="X229" s="199" cm="1">
        <f t="array" aca="1" ref="X229" ca="1">IF(OR($B229="",$B229="X",$D229="",$D229="X",$E229="",$E229="X"),0,IFERROR(_xlfn.LET(_xlpm.x,SUM(SUM(_xlfn._xlws.FILTER(VALUE(PptoSty[Sign]&amp;1)*(1/PptoSty[Division]),(PptoSty[Division]&lt;&gt;0)*(PptoSty[Division]&lt;&gt;"")*(PptoSty[Division]&lt;&gt;"X")*(PptoSty[Project]=$B229)*(PptoSty[Vrs]=$D229)*(PptoSty[PiRow]=_xlfn.TEXTAFTER($H229,":"))*(PptoSty[PiColumn]=X$54),0)),SUM(IF((INDIRECT($B$3)=$B229)*(INDIRECT($C$3)=$D229)*((INDIRECT($E$3)="TOTS")+(INDIRECT($E$3)=$E229)),INDIRECT(X$3)))),_xlpm.y,SUM(_xlfn.CHOOSECOLS(_xlfn._xlws.FILTER(F_RT14[],(F_RT14[PrjId]=$B229)*(F_RT14[Vrs]=$D229)*(_xlfn.TEXTAFTER(F_RT14[ActGrp],":")=_xlfn.TEXTAFTER($H229,":")),"X"),MATCH("*"&amp;X$54,F_RT14[#Headers],0))),IF(AND(_xlpm.x=0,_xlpm.y&lt;&gt;0),-1,IF(AND(_xlpm.x&lt;&gt;0,_xlpm.y&lt;&gt;0),_xlpm.x,IF(AND(_xlpm.x-SUM(IF((INDIRECT($B$3)=$B229)*(INDIRECT($C$3)=$D229)*((INDIRECT($E$3)="TOTS")+(INDIRECT($E$3)=$E229)),INDIRECT(X$3)))&lt;&gt;0,_xlpm.y=0),-2,_xlpm.x)))),0))</f>
        <v>0</v>
      </c>
      <c r="Y229" s="199" cm="1">
        <f t="array" aca="1" ref="Y229" ca="1">IF(OR($B229="",$B229="X",$D229="",$D229="X",$E229="",$E229="X"),0,IFERROR(_xlfn.LET(_xlpm.x,SUM(SUM(_xlfn._xlws.FILTER(VALUE(PptoSty[Sign]&amp;1)*(1/PptoSty[Division]),(PptoSty[Division]&lt;&gt;0)*(PptoSty[Division]&lt;&gt;"")*(PptoSty[Division]&lt;&gt;"X")*(PptoSty[Project]=$B229)*(PptoSty[Vrs]=$D229)*(PptoSty[PiRow]=_xlfn.TEXTAFTER($H229,":"))*(PptoSty[PiColumn]=Y$54),0)),SUM(IF((INDIRECT($B$3)=$B229)*(INDIRECT($C$3)=$D229)*((INDIRECT($E$3)="TOTS")+(INDIRECT($E$3)=$E229)),INDIRECT(Y$3)))),_xlpm.y,SUM(_xlfn.CHOOSECOLS(_xlfn._xlws.FILTER(F_RT14[],(F_RT14[PrjId]=$B229)*(F_RT14[Vrs]=$D229)*(_xlfn.TEXTAFTER(F_RT14[ActGrp],":")=_xlfn.TEXTAFTER($H229,":")),"X"),MATCH("*"&amp;Y$54,F_RT14[#Headers],0))),IF(AND(_xlpm.x=0,_xlpm.y&lt;&gt;0),-1,IF(AND(_xlpm.x&lt;&gt;0,_xlpm.y&lt;&gt;0),_xlpm.x,IF(AND(_xlpm.x-SUM(IF((INDIRECT($B$3)=$B229)*(INDIRECT($C$3)=$D229)*((INDIRECT($E$3)="TOTS")+(INDIRECT($E$3)=$E229)),INDIRECT(Y$3)))&lt;&gt;0,_xlpm.y=0),-2,_xlpm.x)))),0))</f>
        <v>0</v>
      </c>
      <c r="Z229" s="198" t="str">
        <f t="shared" ca="1" si="4"/>
        <v>Fback!B229:Y229</v>
      </c>
    </row>
    <row r="230" spans="2:26" ht="21" customHeight="1" outlineLevel="1">
      <c r="B230" s="128"/>
      <c r="C230" s="128"/>
      <c r="D230" s="128"/>
      <c r="E230" s="128"/>
      <c r="F230" s="139"/>
      <c r="G230" s="139"/>
      <c r="H230" s="139"/>
      <c r="I230" s="199" cm="1">
        <f t="array" aca="1" ref="I230" ca="1">IF(OR($B230="",$B230="X",$D230="",$D230="X",$E230="",$E230="X"),0,IFERROR(_xlfn.LET(_xlpm.x,SUM(SUM(_xlfn._xlws.FILTER(VALUE(PptoSty[Sign]&amp;1)*(1/PptoSty[Division]),(PptoSty[Division]&lt;&gt;0)*(PptoSty[Division]&lt;&gt;"")*(PptoSty[Division]&lt;&gt;"X")*(PptoSty[Project]=$B230)*(PptoSty[Vrs]=$D230)*(PptoSty[PiRow]=_xlfn.TEXTAFTER($H230,":"))*(PptoSty[PiColumn]=I$54),0)),SUM(IF((INDIRECT($B$3)=$B230)*(INDIRECT($C$3)=$D230)*((INDIRECT($E$3)="TOTS")+(INDIRECT($E$3)=$E230)),INDIRECT(I$3)))),_xlpm.y,SUM(_xlfn.CHOOSECOLS(_xlfn._xlws.FILTER(F_RT14[],(F_RT14[PrjId]=$B230)*(F_RT14[Vrs]=$D230)*(_xlfn.TEXTAFTER(F_RT14[ActGrp],":")=_xlfn.TEXTAFTER($H230,":")),"X"),MATCH("*"&amp;I$54,F_RT14[#Headers],0))),IF(AND(_xlpm.x=0,_xlpm.y&lt;&gt;0),-1,IF(AND(_xlpm.x&lt;&gt;0,_xlpm.y&lt;&gt;0),_xlpm.x,IF(AND(_xlpm.x-SUM(IF((INDIRECT($B$3)=$B230)*(INDIRECT($C$3)=$D230)*((INDIRECT($E$3)="TOTS")+(INDIRECT($E$3)=$E230)),INDIRECT(I$3)))&lt;&gt;0,_xlpm.y=0),-2,_xlpm.x)))),0))</f>
        <v>0</v>
      </c>
      <c r="J230" s="199" cm="1">
        <f t="array" aca="1" ref="J230" ca="1">IF(OR($B230="",$B230="X",$D230="",$D230="X",$E230="",$E230="X"),0,IFERROR(_xlfn.LET(_xlpm.x,SUM(SUM(_xlfn._xlws.FILTER(VALUE(PptoSty[Sign]&amp;1)*(1/PptoSty[Division]),(PptoSty[Division]&lt;&gt;0)*(PptoSty[Division]&lt;&gt;"")*(PptoSty[Division]&lt;&gt;"X")*(PptoSty[Project]=$B230)*(PptoSty[Vrs]=$D230)*(PptoSty[PiRow]=_xlfn.TEXTAFTER($H230,":"))*(PptoSty[PiColumn]=J$54),0)),SUM(IF((INDIRECT($B$3)=$B230)*(INDIRECT($C$3)=$D230)*((INDIRECT($E$3)="TOTS")+(INDIRECT($E$3)=$E230)),INDIRECT(J$3)))),_xlpm.y,SUM(_xlfn.CHOOSECOLS(_xlfn._xlws.FILTER(F_RT14[],(F_RT14[PrjId]=$B230)*(F_RT14[Vrs]=$D230)*(_xlfn.TEXTAFTER(F_RT14[ActGrp],":")=_xlfn.TEXTAFTER($H230,":")),"X"),MATCH("*"&amp;J$54,F_RT14[#Headers],0))),IF(AND(_xlpm.x=0,_xlpm.y&lt;&gt;0),-1,IF(AND(_xlpm.x&lt;&gt;0,_xlpm.y&lt;&gt;0),_xlpm.x,IF(AND(_xlpm.x-SUM(IF((INDIRECT($B$3)=$B230)*(INDIRECT($C$3)=$D230)*((INDIRECT($E$3)="TOTS")+(INDIRECT($E$3)=$E230)),INDIRECT(J$3)))&lt;&gt;0,_xlpm.y=0),-2,_xlpm.x)))),0))</f>
        <v>0</v>
      </c>
      <c r="K230" s="199" cm="1">
        <f t="array" aca="1" ref="K230" ca="1">IF(OR($B230="",$B230="X",$D230="",$D230="X",$E230="",$E230="X"),0,IFERROR(_xlfn.LET(_xlpm.x,SUM(SUM(_xlfn._xlws.FILTER(VALUE(PptoSty[Sign]&amp;1)*(1/PptoSty[Division]),(PptoSty[Division]&lt;&gt;0)*(PptoSty[Division]&lt;&gt;"")*(PptoSty[Division]&lt;&gt;"X")*(PptoSty[Project]=$B230)*(PptoSty[Vrs]=$D230)*(PptoSty[PiRow]=_xlfn.TEXTAFTER($H230,":"))*(PptoSty[PiColumn]=K$54),0)),SUM(IF((INDIRECT($B$3)=$B230)*(INDIRECT($C$3)=$D230)*((INDIRECT($E$3)="TOTS")+(INDIRECT($E$3)=$E230)),INDIRECT(K$3)))),_xlpm.y,SUM(_xlfn.CHOOSECOLS(_xlfn._xlws.FILTER(F_RT14[],(F_RT14[PrjId]=$B230)*(F_RT14[Vrs]=$D230)*(_xlfn.TEXTAFTER(F_RT14[ActGrp],":")=_xlfn.TEXTAFTER($H230,":")),"X"),MATCH("*"&amp;K$54,F_RT14[#Headers],0))),IF(AND(_xlpm.x=0,_xlpm.y&lt;&gt;0),-1,IF(AND(_xlpm.x&lt;&gt;0,_xlpm.y&lt;&gt;0),_xlpm.x,IF(AND(_xlpm.x-SUM(IF((INDIRECT($B$3)=$B230)*(INDIRECT($C$3)=$D230)*((INDIRECT($E$3)="TOTS")+(INDIRECT($E$3)=$E230)),INDIRECT(K$3)))&lt;&gt;0,_xlpm.y=0),-2,_xlpm.x)))),0))</f>
        <v>0</v>
      </c>
      <c r="L230" s="199" cm="1">
        <f t="array" aca="1" ref="L230" ca="1">IF(OR($B230="",$B230="X",$D230="",$D230="X",$E230="",$E230="X"),0,IFERROR(_xlfn.LET(_xlpm.x,SUM(SUM(_xlfn._xlws.FILTER(VALUE(PptoSty[Sign]&amp;1)*(1/PptoSty[Division]),(PptoSty[Division]&lt;&gt;0)*(PptoSty[Division]&lt;&gt;"")*(PptoSty[Division]&lt;&gt;"X")*(PptoSty[Project]=$B230)*(PptoSty[Vrs]=$D230)*(PptoSty[PiRow]=_xlfn.TEXTAFTER($H230,":"))*(PptoSty[PiColumn]=L$54),0)),SUM(IF((INDIRECT($B$3)=$B230)*(INDIRECT($C$3)=$D230)*((INDIRECT($E$3)="TOTS")+(INDIRECT($E$3)=$E230)),INDIRECT(L$3)))),_xlpm.y,SUM(_xlfn.CHOOSECOLS(_xlfn._xlws.FILTER(F_RT14[],(F_RT14[PrjId]=$B230)*(F_RT14[Vrs]=$D230)*(_xlfn.TEXTAFTER(F_RT14[ActGrp],":")=_xlfn.TEXTAFTER($H230,":")),"X"),MATCH("*"&amp;L$54,F_RT14[#Headers],0))),IF(AND(_xlpm.x=0,_xlpm.y&lt;&gt;0),-1,IF(AND(_xlpm.x&lt;&gt;0,_xlpm.y&lt;&gt;0),_xlpm.x,IF(AND(_xlpm.x-SUM(IF((INDIRECT($B$3)=$B230)*(INDIRECT($C$3)=$D230)*((INDIRECT($E$3)="TOTS")+(INDIRECT($E$3)=$E230)),INDIRECT(L$3)))&lt;&gt;0,_xlpm.y=0),-2,_xlpm.x)))),0))</f>
        <v>0</v>
      </c>
      <c r="M230" s="199" cm="1">
        <f t="array" aca="1" ref="M230" ca="1">IF(OR($B230="",$B230="X",$D230="",$D230="X",$E230="",$E230="X"),0,IFERROR(_xlfn.LET(_xlpm.x,SUM(SUM(_xlfn._xlws.FILTER(VALUE(PptoSty[Sign]&amp;1)*(1/PptoSty[Division]),(PptoSty[Division]&lt;&gt;0)*(PptoSty[Division]&lt;&gt;"")*(PptoSty[Division]&lt;&gt;"X")*(PptoSty[Project]=$B230)*(PptoSty[Vrs]=$D230)*(PptoSty[PiRow]=_xlfn.TEXTAFTER($H230,":"))*(PptoSty[PiColumn]=M$54),0)),SUM(IF((INDIRECT($B$3)=$B230)*(INDIRECT($C$3)=$D230)*((INDIRECT($E$3)="TOTS")+(INDIRECT($E$3)=$E230)),INDIRECT(M$3)))),_xlpm.y,SUM(_xlfn.CHOOSECOLS(_xlfn._xlws.FILTER(F_RT14[],(F_RT14[PrjId]=$B230)*(F_RT14[Vrs]=$D230)*(_xlfn.TEXTAFTER(F_RT14[ActGrp],":")=_xlfn.TEXTAFTER($H230,":")),"X"),MATCH("*"&amp;M$54,F_RT14[#Headers],0))),IF(AND(_xlpm.x=0,_xlpm.y&lt;&gt;0),-1,IF(AND(_xlpm.x&lt;&gt;0,_xlpm.y&lt;&gt;0),_xlpm.x,IF(AND(_xlpm.x-SUM(IF((INDIRECT($B$3)=$B230)*(INDIRECT($C$3)=$D230)*((INDIRECT($E$3)="TOTS")+(INDIRECT($E$3)=$E230)),INDIRECT(M$3)))&lt;&gt;0,_xlpm.y=0),-2,_xlpm.x)))),0))</f>
        <v>0</v>
      </c>
      <c r="N230" s="199" cm="1">
        <f t="array" aca="1" ref="N230" ca="1">IF(OR($B230="",$B230="X",$D230="",$D230="X",$E230="",$E230="X"),0,IFERROR(_xlfn.LET(_xlpm.x,SUM(SUM(_xlfn._xlws.FILTER(VALUE(PptoSty[Sign]&amp;1)*(1/PptoSty[Division]),(PptoSty[Division]&lt;&gt;0)*(PptoSty[Division]&lt;&gt;"")*(PptoSty[Division]&lt;&gt;"X")*(PptoSty[Project]=$B230)*(PptoSty[Vrs]=$D230)*(PptoSty[PiRow]=_xlfn.TEXTAFTER($H230,":"))*(PptoSty[PiColumn]=N$54),0)),SUM(IF((INDIRECT($B$3)=$B230)*(INDIRECT($C$3)=$D230)*((INDIRECT($E$3)="TOTS")+(INDIRECT($E$3)=$E230)),INDIRECT(N$3)))),_xlpm.y,SUM(_xlfn.CHOOSECOLS(_xlfn._xlws.FILTER(F_RT14[],(F_RT14[PrjId]=$B230)*(F_RT14[Vrs]=$D230)*(_xlfn.TEXTAFTER(F_RT14[ActGrp],":")=_xlfn.TEXTAFTER($H230,":")),"X"),MATCH("*"&amp;N$54,F_RT14[#Headers],0))),IF(AND(_xlpm.x=0,_xlpm.y&lt;&gt;0),-1,IF(AND(_xlpm.x&lt;&gt;0,_xlpm.y&lt;&gt;0),_xlpm.x,IF(AND(_xlpm.x-SUM(IF((INDIRECT($B$3)=$B230)*(INDIRECT($C$3)=$D230)*((INDIRECT($E$3)="TOTS")+(INDIRECT($E$3)=$E230)),INDIRECT(N$3)))&lt;&gt;0,_xlpm.y=0),-2,_xlpm.x)))),0))</f>
        <v>0</v>
      </c>
      <c r="O230" s="199" cm="1">
        <f t="array" aca="1" ref="O230" ca="1">IF(OR($B230="",$B230="X",$D230="",$D230="X",$E230="",$E230="X"),0,IFERROR(_xlfn.LET(_xlpm.x,SUM(SUM(_xlfn._xlws.FILTER(VALUE(PptoSty[Sign]&amp;1)*(1/PptoSty[Division]),(PptoSty[Division]&lt;&gt;0)*(PptoSty[Division]&lt;&gt;"")*(PptoSty[Division]&lt;&gt;"X")*(PptoSty[Project]=$B230)*(PptoSty[Vrs]=$D230)*(PptoSty[PiRow]=_xlfn.TEXTAFTER($H230,":"))*(PptoSty[PiColumn]=O$54),0)),SUM(IF((INDIRECT($B$3)=$B230)*(INDIRECT($C$3)=$D230)*((INDIRECT($E$3)="TOTS")+(INDIRECT($E$3)=$E230)),INDIRECT(O$3)))),_xlpm.y,SUM(_xlfn.CHOOSECOLS(_xlfn._xlws.FILTER(F_RT14[],(F_RT14[PrjId]=$B230)*(F_RT14[Vrs]=$D230)*(_xlfn.TEXTAFTER(F_RT14[ActGrp],":")=_xlfn.TEXTAFTER($H230,":")),"X"),MATCH("*"&amp;O$54,F_RT14[#Headers],0))),IF(AND(_xlpm.x=0,_xlpm.y&lt;&gt;0),-1,IF(AND(_xlpm.x&lt;&gt;0,_xlpm.y&lt;&gt;0),_xlpm.x,IF(AND(_xlpm.x-SUM(IF((INDIRECT($B$3)=$B230)*(INDIRECT($C$3)=$D230)*((INDIRECT($E$3)="TOTS")+(INDIRECT($E$3)=$E230)),INDIRECT(O$3)))&lt;&gt;0,_xlpm.y=0),-2,_xlpm.x)))),0))</f>
        <v>0</v>
      </c>
      <c r="P230" s="199" cm="1">
        <f t="array" aca="1" ref="P230" ca="1">IF(OR($B230="",$B230="X",$D230="",$D230="X",$E230="",$E230="X"),0,IFERROR(_xlfn.LET(_xlpm.x,SUM(SUM(_xlfn._xlws.FILTER(VALUE(PptoSty[Sign]&amp;1)*(1/PptoSty[Division]),(PptoSty[Division]&lt;&gt;0)*(PptoSty[Division]&lt;&gt;"")*(PptoSty[Division]&lt;&gt;"X")*(PptoSty[Project]=$B230)*(PptoSty[Vrs]=$D230)*(PptoSty[PiRow]=_xlfn.TEXTAFTER($H230,":"))*(PptoSty[PiColumn]=P$54),0)),SUM(IF((INDIRECT($B$3)=$B230)*(INDIRECT($C$3)=$D230)*((INDIRECT($E$3)="TOTS")+(INDIRECT($E$3)=$E230)),INDIRECT(P$3)))),_xlpm.y,SUM(_xlfn.CHOOSECOLS(_xlfn._xlws.FILTER(F_RT14[],(F_RT14[PrjId]=$B230)*(F_RT14[Vrs]=$D230)*(_xlfn.TEXTAFTER(F_RT14[ActGrp],":")=_xlfn.TEXTAFTER($H230,":")),"X"),MATCH("*"&amp;P$54,F_RT14[#Headers],0))),IF(AND(_xlpm.x=0,_xlpm.y&lt;&gt;0),-1,IF(AND(_xlpm.x&lt;&gt;0,_xlpm.y&lt;&gt;0),_xlpm.x,IF(AND(_xlpm.x-SUM(IF((INDIRECT($B$3)=$B230)*(INDIRECT($C$3)=$D230)*((INDIRECT($E$3)="TOTS")+(INDIRECT($E$3)=$E230)),INDIRECT(P$3)))&lt;&gt;0,_xlpm.y=0),-2,_xlpm.x)))),0))</f>
        <v>0</v>
      </c>
      <c r="Q230" s="199" cm="1">
        <f t="array" aca="1" ref="Q230" ca="1">IF(OR($B230="",$B230="X",$D230="",$D230="X",$E230="",$E230="X"),0,IFERROR(_xlfn.LET(_xlpm.x,SUM(SUM(_xlfn._xlws.FILTER(VALUE(PptoSty[Sign]&amp;1)*(1/PptoSty[Division]),(PptoSty[Division]&lt;&gt;0)*(PptoSty[Division]&lt;&gt;"")*(PptoSty[Division]&lt;&gt;"X")*(PptoSty[Project]=$B230)*(PptoSty[Vrs]=$D230)*(PptoSty[PiRow]=_xlfn.TEXTAFTER($H230,":"))*(PptoSty[PiColumn]=Q$54),0)),SUM(IF((INDIRECT($B$3)=$B230)*(INDIRECT($C$3)=$D230)*((INDIRECT($E$3)="TOTS")+(INDIRECT($E$3)=$E230)),INDIRECT(Q$3)))),_xlpm.y,SUM(_xlfn.CHOOSECOLS(_xlfn._xlws.FILTER(F_RT14[],(F_RT14[PrjId]=$B230)*(F_RT14[Vrs]=$D230)*(_xlfn.TEXTAFTER(F_RT14[ActGrp],":")=_xlfn.TEXTAFTER($H230,":")),"X"),MATCH("*"&amp;Q$54,F_RT14[#Headers],0))),IF(AND(_xlpm.x=0,_xlpm.y&lt;&gt;0),-1,IF(AND(_xlpm.x&lt;&gt;0,_xlpm.y&lt;&gt;0),_xlpm.x,IF(AND(_xlpm.x-SUM(IF((INDIRECT($B$3)=$B230)*(INDIRECT($C$3)=$D230)*((INDIRECT($E$3)="TOTS")+(INDIRECT($E$3)=$E230)),INDIRECT(Q$3)))&lt;&gt;0,_xlpm.y=0),-2,_xlpm.x)))),0))</f>
        <v>0</v>
      </c>
      <c r="R230" s="199" cm="1">
        <f t="array" aca="1" ref="R230" ca="1">IF(OR($B230="",$B230="X",$D230="",$D230="X",$E230="",$E230="X"),0,IFERROR(_xlfn.LET(_xlpm.x,SUM(SUM(_xlfn._xlws.FILTER(VALUE(PptoSty[Sign]&amp;1)*(1/PptoSty[Division]),(PptoSty[Division]&lt;&gt;0)*(PptoSty[Division]&lt;&gt;"")*(PptoSty[Division]&lt;&gt;"X")*(PptoSty[Project]=$B230)*(PptoSty[Vrs]=$D230)*(PptoSty[PiRow]=_xlfn.TEXTAFTER($H230,":"))*(PptoSty[PiColumn]=R$54),0)),SUM(IF((INDIRECT($B$3)=$B230)*(INDIRECT($C$3)=$D230)*((INDIRECT($E$3)="TOTS")+(INDIRECT($E$3)=$E230)),INDIRECT(R$3)))),_xlpm.y,SUM(_xlfn.CHOOSECOLS(_xlfn._xlws.FILTER(F_RT14[],(F_RT14[PrjId]=$B230)*(F_RT14[Vrs]=$D230)*(_xlfn.TEXTAFTER(F_RT14[ActGrp],":")=_xlfn.TEXTAFTER($H230,":")),"X"),MATCH("*"&amp;R$54,F_RT14[#Headers],0))),IF(AND(_xlpm.x=0,_xlpm.y&lt;&gt;0),-1,IF(AND(_xlpm.x&lt;&gt;0,_xlpm.y&lt;&gt;0),_xlpm.x,IF(AND(_xlpm.x-SUM(IF((INDIRECT($B$3)=$B230)*(INDIRECT($C$3)=$D230)*((INDIRECT($E$3)="TOTS")+(INDIRECT($E$3)=$E230)),INDIRECT(R$3)))&lt;&gt;0,_xlpm.y=0),-2,_xlpm.x)))),0))</f>
        <v>0</v>
      </c>
      <c r="S230" s="199" cm="1">
        <f t="array" aca="1" ref="S230" ca="1">IF(OR($B230="",$B230="X",$D230="",$D230="X",$E230="",$E230="X"),0,IFERROR(_xlfn.LET(_xlpm.x,SUM(SUM(_xlfn._xlws.FILTER(VALUE(PptoSty[Sign]&amp;1)*(1/PptoSty[Division]),(PptoSty[Division]&lt;&gt;0)*(PptoSty[Division]&lt;&gt;"")*(PptoSty[Division]&lt;&gt;"X")*(PptoSty[Project]=$B230)*(PptoSty[Vrs]=$D230)*(PptoSty[PiRow]=_xlfn.TEXTAFTER($H230,":"))*(PptoSty[PiColumn]=S$54),0)),SUM(IF((INDIRECT($B$3)=$B230)*(INDIRECT($C$3)=$D230)*((INDIRECT($E$3)="TOTS")+(INDIRECT($E$3)=$E230)),INDIRECT(S$3)))),_xlpm.y,SUM(_xlfn.CHOOSECOLS(_xlfn._xlws.FILTER(F_RT14[],(F_RT14[PrjId]=$B230)*(F_RT14[Vrs]=$D230)*(_xlfn.TEXTAFTER(F_RT14[ActGrp],":")=_xlfn.TEXTAFTER($H230,":")),"X"),MATCH("*"&amp;S$54,F_RT14[#Headers],0))),IF(AND(_xlpm.x=0,_xlpm.y&lt;&gt;0),-1,IF(AND(_xlpm.x&lt;&gt;0,_xlpm.y&lt;&gt;0),_xlpm.x,IF(AND(_xlpm.x-SUM(IF((INDIRECT($B$3)=$B230)*(INDIRECT($C$3)=$D230)*((INDIRECT($E$3)="TOTS")+(INDIRECT($E$3)=$E230)),INDIRECT(S$3)))&lt;&gt;0,_xlpm.y=0),-2,_xlpm.x)))),0))</f>
        <v>0</v>
      </c>
      <c r="T230" s="199" cm="1">
        <f t="array" aca="1" ref="T230" ca="1">IF(OR($B230="",$B230="X",$D230="",$D230="X",$E230="",$E230="X"),0,IFERROR(_xlfn.LET(_xlpm.x,SUM(SUM(_xlfn._xlws.FILTER(VALUE(PptoSty[Sign]&amp;1)*(1/PptoSty[Division]),(PptoSty[Division]&lt;&gt;0)*(PptoSty[Division]&lt;&gt;"")*(PptoSty[Division]&lt;&gt;"X")*(PptoSty[Project]=$B230)*(PptoSty[Vrs]=$D230)*(PptoSty[PiRow]=_xlfn.TEXTAFTER($H230,":"))*(PptoSty[PiColumn]=T$54),0)),SUM(IF((INDIRECT($B$3)=$B230)*(INDIRECT($C$3)=$D230)*((INDIRECT($E$3)="TOTS")+(INDIRECT($E$3)=$E230)),INDIRECT(T$3)))),_xlpm.y,SUM(_xlfn.CHOOSECOLS(_xlfn._xlws.FILTER(F_RT14[],(F_RT14[PrjId]=$B230)*(F_RT14[Vrs]=$D230)*(_xlfn.TEXTAFTER(F_RT14[ActGrp],":")=_xlfn.TEXTAFTER($H230,":")),"X"),MATCH("*"&amp;T$54,F_RT14[#Headers],0))),IF(AND(_xlpm.x=0,_xlpm.y&lt;&gt;0),-1,IF(AND(_xlpm.x&lt;&gt;0,_xlpm.y&lt;&gt;0),_xlpm.x,IF(AND(_xlpm.x-SUM(IF((INDIRECT($B$3)=$B230)*(INDIRECT($C$3)=$D230)*((INDIRECT($E$3)="TOTS")+(INDIRECT($E$3)=$E230)),INDIRECT(T$3)))&lt;&gt;0,_xlpm.y=0),-2,_xlpm.x)))),0))</f>
        <v>0</v>
      </c>
      <c r="U230" s="199" cm="1">
        <f t="array" aca="1" ref="U230" ca="1">IF(OR($B230="",$B230="X",$D230="",$D230="X",$E230="",$E230="X"),0,IFERROR(_xlfn.LET(_xlpm.x,SUM(SUM(_xlfn._xlws.FILTER(VALUE(PptoSty[Sign]&amp;1)*(1/PptoSty[Division]),(PptoSty[Division]&lt;&gt;0)*(PptoSty[Division]&lt;&gt;"")*(PptoSty[Division]&lt;&gt;"X")*(PptoSty[Project]=$B230)*(PptoSty[Vrs]=$D230)*(PptoSty[PiRow]=_xlfn.TEXTAFTER($H230,":"))*(PptoSty[PiColumn]=U$54),0)),SUM(IF((INDIRECT($B$3)=$B230)*(INDIRECT($C$3)=$D230)*((INDIRECT($E$3)="TOTS")+(INDIRECT($E$3)=$E230)),INDIRECT(U$3)))),_xlpm.y,SUM(_xlfn.CHOOSECOLS(_xlfn._xlws.FILTER(F_RT14[],(F_RT14[PrjId]=$B230)*(F_RT14[Vrs]=$D230)*(_xlfn.TEXTAFTER(F_RT14[ActGrp],":")=_xlfn.TEXTAFTER($H230,":")),"X"),MATCH("*"&amp;U$54,F_RT14[#Headers],0))),IF(AND(_xlpm.x=0,_xlpm.y&lt;&gt;0),-1,IF(AND(_xlpm.x&lt;&gt;0,_xlpm.y&lt;&gt;0),_xlpm.x,IF(AND(_xlpm.x-SUM(IF((INDIRECT($B$3)=$B230)*(INDIRECT($C$3)=$D230)*((INDIRECT($E$3)="TOTS")+(INDIRECT($E$3)=$E230)),INDIRECT(U$3)))&lt;&gt;0,_xlpm.y=0),-2,_xlpm.x)))),0))</f>
        <v>0</v>
      </c>
      <c r="V230" s="199" cm="1">
        <f t="array" aca="1" ref="V230" ca="1">IF(OR($B230="",$B230="X",$D230="",$D230="X",$E230="",$E230="X"),0,IFERROR(_xlfn.LET(_xlpm.x,SUM(SUM(_xlfn._xlws.FILTER(VALUE(PptoSty[Sign]&amp;1)*(1/PptoSty[Division]),(PptoSty[Division]&lt;&gt;0)*(PptoSty[Division]&lt;&gt;"")*(PptoSty[Division]&lt;&gt;"X")*(PptoSty[Project]=$B230)*(PptoSty[Vrs]=$D230)*(PptoSty[PiRow]=_xlfn.TEXTAFTER($H230,":"))*(PptoSty[PiColumn]=V$54),0)),SUM(IF((INDIRECT($B$3)=$B230)*(INDIRECT($C$3)=$D230)*((INDIRECT($E$3)="TOTS")+(INDIRECT($E$3)=$E230)),INDIRECT(V$3)))),_xlpm.y,SUM(_xlfn.CHOOSECOLS(_xlfn._xlws.FILTER(F_RT14[],(F_RT14[PrjId]=$B230)*(F_RT14[Vrs]=$D230)*(_xlfn.TEXTAFTER(F_RT14[ActGrp],":")=_xlfn.TEXTAFTER($H230,":")),"X"),MATCH("*"&amp;V$54,F_RT14[#Headers],0))),IF(AND(_xlpm.x=0,_xlpm.y&lt;&gt;0),-1,IF(AND(_xlpm.x&lt;&gt;0,_xlpm.y&lt;&gt;0),_xlpm.x,IF(AND(_xlpm.x-SUM(IF((INDIRECT($B$3)=$B230)*(INDIRECT($C$3)=$D230)*((INDIRECT($E$3)="TOTS")+(INDIRECT($E$3)=$E230)),INDIRECT(V$3)))&lt;&gt;0,_xlpm.y=0),-2,_xlpm.x)))),0))</f>
        <v>0</v>
      </c>
      <c r="W230" s="199" cm="1">
        <f t="array" aca="1" ref="W230" ca="1">IF(OR($B230="",$B230="X",$D230="",$D230="X",$E230="",$E230="X"),0,IFERROR(_xlfn.LET(_xlpm.x,SUM(SUM(_xlfn._xlws.FILTER(VALUE(PptoSty[Sign]&amp;1)*(1/PptoSty[Division]),(PptoSty[Division]&lt;&gt;0)*(PptoSty[Division]&lt;&gt;"")*(PptoSty[Division]&lt;&gt;"X")*(PptoSty[Project]=$B230)*(PptoSty[Vrs]=$D230)*(PptoSty[PiRow]=_xlfn.TEXTAFTER($H230,":"))*(PptoSty[PiColumn]=W$54),0)),SUM(IF((INDIRECT($B$3)=$B230)*(INDIRECT($C$3)=$D230)*((INDIRECT($E$3)="TOTS")+(INDIRECT($E$3)=$E230)),INDIRECT(W$3)))),_xlpm.y,SUM(_xlfn.CHOOSECOLS(_xlfn._xlws.FILTER(F_RT14[],(F_RT14[PrjId]=$B230)*(F_RT14[Vrs]=$D230)*(_xlfn.TEXTAFTER(F_RT14[ActGrp],":")=_xlfn.TEXTAFTER($H230,":")),"X"),MATCH("*"&amp;W$54,F_RT14[#Headers],0))),IF(AND(_xlpm.x=0,_xlpm.y&lt;&gt;0),-1,IF(AND(_xlpm.x&lt;&gt;0,_xlpm.y&lt;&gt;0),_xlpm.x,IF(AND(_xlpm.x-SUM(IF((INDIRECT($B$3)=$B230)*(INDIRECT($C$3)=$D230)*((INDIRECT($E$3)="TOTS")+(INDIRECT($E$3)=$E230)),INDIRECT(W$3)))&lt;&gt;0,_xlpm.y=0),-2,_xlpm.x)))),0))</f>
        <v>0</v>
      </c>
      <c r="X230" s="199" cm="1">
        <f t="array" aca="1" ref="X230" ca="1">IF(OR($B230="",$B230="X",$D230="",$D230="X",$E230="",$E230="X"),0,IFERROR(_xlfn.LET(_xlpm.x,SUM(SUM(_xlfn._xlws.FILTER(VALUE(PptoSty[Sign]&amp;1)*(1/PptoSty[Division]),(PptoSty[Division]&lt;&gt;0)*(PptoSty[Division]&lt;&gt;"")*(PptoSty[Division]&lt;&gt;"X")*(PptoSty[Project]=$B230)*(PptoSty[Vrs]=$D230)*(PptoSty[PiRow]=_xlfn.TEXTAFTER($H230,":"))*(PptoSty[PiColumn]=X$54),0)),SUM(IF((INDIRECT($B$3)=$B230)*(INDIRECT($C$3)=$D230)*((INDIRECT($E$3)="TOTS")+(INDIRECT($E$3)=$E230)),INDIRECT(X$3)))),_xlpm.y,SUM(_xlfn.CHOOSECOLS(_xlfn._xlws.FILTER(F_RT14[],(F_RT14[PrjId]=$B230)*(F_RT14[Vrs]=$D230)*(_xlfn.TEXTAFTER(F_RT14[ActGrp],":")=_xlfn.TEXTAFTER($H230,":")),"X"),MATCH("*"&amp;X$54,F_RT14[#Headers],0))),IF(AND(_xlpm.x=0,_xlpm.y&lt;&gt;0),-1,IF(AND(_xlpm.x&lt;&gt;0,_xlpm.y&lt;&gt;0),_xlpm.x,IF(AND(_xlpm.x-SUM(IF((INDIRECT($B$3)=$B230)*(INDIRECT($C$3)=$D230)*((INDIRECT($E$3)="TOTS")+(INDIRECT($E$3)=$E230)),INDIRECT(X$3)))&lt;&gt;0,_xlpm.y=0),-2,_xlpm.x)))),0))</f>
        <v>0</v>
      </c>
      <c r="Y230" s="199" cm="1">
        <f t="array" aca="1" ref="Y230" ca="1">IF(OR($B230="",$B230="X",$D230="",$D230="X",$E230="",$E230="X"),0,IFERROR(_xlfn.LET(_xlpm.x,SUM(SUM(_xlfn._xlws.FILTER(VALUE(PptoSty[Sign]&amp;1)*(1/PptoSty[Division]),(PptoSty[Division]&lt;&gt;0)*(PptoSty[Division]&lt;&gt;"")*(PptoSty[Division]&lt;&gt;"X")*(PptoSty[Project]=$B230)*(PptoSty[Vrs]=$D230)*(PptoSty[PiRow]=_xlfn.TEXTAFTER($H230,":"))*(PptoSty[PiColumn]=Y$54),0)),SUM(IF((INDIRECT($B$3)=$B230)*(INDIRECT($C$3)=$D230)*((INDIRECT($E$3)="TOTS")+(INDIRECT($E$3)=$E230)),INDIRECT(Y$3)))),_xlpm.y,SUM(_xlfn.CHOOSECOLS(_xlfn._xlws.FILTER(F_RT14[],(F_RT14[PrjId]=$B230)*(F_RT14[Vrs]=$D230)*(_xlfn.TEXTAFTER(F_RT14[ActGrp],":")=_xlfn.TEXTAFTER($H230,":")),"X"),MATCH("*"&amp;Y$54,F_RT14[#Headers],0))),IF(AND(_xlpm.x=0,_xlpm.y&lt;&gt;0),-1,IF(AND(_xlpm.x&lt;&gt;0,_xlpm.y&lt;&gt;0),_xlpm.x,IF(AND(_xlpm.x-SUM(IF((INDIRECT($B$3)=$B230)*(INDIRECT($C$3)=$D230)*((INDIRECT($E$3)="TOTS")+(INDIRECT($E$3)=$E230)),INDIRECT(Y$3)))&lt;&gt;0,_xlpm.y=0),-2,_xlpm.x)))),0))</f>
        <v>0</v>
      </c>
      <c r="Z230" s="198" t="str">
        <f t="shared" ca="1" si="4"/>
        <v>Fback!B230:Y230</v>
      </c>
    </row>
    <row r="231" spans="2:26" ht="21" customHeight="1" outlineLevel="1">
      <c r="B231" s="128"/>
      <c r="C231" s="128"/>
      <c r="D231" s="128"/>
      <c r="E231" s="128"/>
      <c r="F231" s="139"/>
      <c r="G231" s="139"/>
      <c r="H231" s="139"/>
      <c r="I231" s="199" cm="1">
        <f t="array" aca="1" ref="I231" ca="1">IF(OR($B231="",$B231="X",$D231="",$D231="X",$E231="",$E231="X"),0,IFERROR(_xlfn.LET(_xlpm.x,SUM(SUM(_xlfn._xlws.FILTER(VALUE(PptoSty[Sign]&amp;1)*(1/PptoSty[Division]),(PptoSty[Division]&lt;&gt;0)*(PptoSty[Division]&lt;&gt;"")*(PptoSty[Division]&lt;&gt;"X")*(PptoSty[Project]=$B231)*(PptoSty[Vrs]=$D231)*(PptoSty[PiRow]=_xlfn.TEXTAFTER($H231,":"))*(PptoSty[PiColumn]=I$54),0)),SUM(IF((INDIRECT($B$3)=$B231)*(INDIRECT($C$3)=$D231)*((INDIRECT($E$3)="TOTS")+(INDIRECT($E$3)=$E231)),INDIRECT(I$3)))),_xlpm.y,SUM(_xlfn.CHOOSECOLS(_xlfn._xlws.FILTER(F_RT14[],(F_RT14[PrjId]=$B231)*(F_RT14[Vrs]=$D231)*(_xlfn.TEXTAFTER(F_RT14[ActGrp],":")=_xlfn.TEXTAFTER($H231,":")),"X"),MATCH("*"&amp;I$54,F_RT14[#Headers],0))),IF(AND(_xlpm.x=0,_xlpm.y&lt;&gt;0),-1,IF(AND(_xlpm.x&lt;&gt;0,_xlpm.y&lt;&gt;0),_xlpm.x,IF(AND(_xlpm.x-SUM(IF((INDIRECT($B$3)=$B231)*(INDIRECT($C$3)=$D231)*((INDIRECT($E$3)="TOTS")+(INDIRECT($E$3)=$E231)),INDIRECT(I$3)))&lt;&gt;0,_xlpm.y=0),-2,_xlpm.x)))),0))</f>
        <v>0</v>
      </c>
      <c r="J231" s="199" cm="1">
        <f t="array" aca="1" ref="J231" ca="1">IF(OR($B231="",$B231="X",$D231="",$D231="X",$E231="",$E231="X"),0,IFERROR(_xlfn.LET(_xlpm.x,SUM(SUM(_xlfn._xlws.FILTER(VALUE(PptoSty[Sign]&amp;1)*(1/PptoSty[Division]),(PptoSty[Division]&lt;&gt;0)*(PptoSty[Division]&lt;&gt;"")*(PptoSty[Division]&lt;&gt;"X")*(PptoSty[Project]=$B231)*(PptoSty[Vrs]=$D231)*(PptoSty[PiRow]=_xlfn.TEXTAFTER($H231,":"))*(PptoSty[PiColumn]=J$54),0)),SUM(IF((INDIRECT($B$3)=$B231)*(INDIRECT($C$3)=$D231)*((INDIRECT($E$3)="TOTS")+(INDIRECT($E$3)=$E231)),INDIRECT(J$3)))),_xlpm.y,SUM(_xlfn.CHOOSECOLS(_xlfn._xlws.FILTER(F_RT14[],(F_RT14[PrjId]=$B231)*(F_RT14[Vrs]=$D231)*(_xlfn.TEXTAFTER(F_RT14[ActGrp],":")=_xlfn.TEXTAFTER($H231,":")),"X"),MATCH("*"&amp;J$54,F_RT14[#Headers],0))),IF(AND(_xlpm.x=0,_xlpm.y&lt;&gt;0),-1,IF(AND(_xlpm.x&lt;&gt;0,_xlpm.y&lt;&gt;0),_xlpm.x,IF(AND(_xlpm.x-SUM(IF((INDIRECT($B$3)=$B231)*(INDIRECT($C$3)=$D231)*((INDIRECT($E$3)="TOTS")+(INDIRECT($E$3)=$E231)),INDIRECT(J$3)))&lt;&gt;0,_xlpm.y=0),-2,_xlpm.x)))),0))</f>
        <v>0</v>
      </c>
      <c r="K231" s="199" cm="1">
        <f t="array" aca="1" ref="K231" ca="1">IF(OR($B231="",$B231="X",$D231="",$D231="X",$E231="",$E231="X"),0,IFERROR(_xlfn.LET(_xlpm.x,SUM(SUM(_xlfn._xlws.FILTER(VALUE(PptoSty[Sign]&amp;1)*(1/PptoSty[Division]),(PptoSty[Division]&lt;&gt;0)*(PptoSty[Division]&lt;&gt;"")*(PptoSty[Division]&lt;&gt;"X")*(PptoSty[Project]=$B231)*(PptoSty[Vrs]=$D231)*(PptoSty[PiRow]=_xlfn.TEXTAFTER($H231,":"))*(PptoSty[PiColumn]=K$54),0)),SUM(IF((INDIRECT($B$3)=$B231)*(INDIRECT($C$3)=$D231)*((INDIRECT($E$3)="TOTS")+(INDIRECT($E$3)=$E231)),INDIRECT(K$3)))),_xlpm.y,SUM(_xlfn.CHOOSECOLS(_xlfn._xlws.FILTER(F_RT14[],(F_RT14[PrjId]=$B231)*(F_RT14[Vrs]=$D231)*(_xlfn.TEXTAFTER(F_RT14[ActGrp],":")=_xlfn.TEXTAFTER($H231,":")),"X"),MATCH("*"&amp;K$54,F_RT14[#Headers],0))),IF(AND(_xlpm.x=0,_xlpm.y&lt;&gt;0),-1,IF(AND(_xlpm.x&lt;&gt;0,_xlpm.y&lt;&gt;0),_xlpm.x,IF(AND(_xlpm.x-SUM(IF((INDIRECT($B$3)=$B231)*(INDIRECT($C$3)=$D231)*((INDIRECT($E$3)="TOTS")+(INDIRECT($E$3)=$E231)),INDIRECT(K$3)))&lt;&gt;0,_xlpm.y=0),-2,_xlpm.x)))),0))</f>
        <v>0</v>
      </c>
      <c r="L231" s="199" cm="1">
        <f t="array" aca="1" ref="L231" ca="1">IF(OR($B231="",$B231="X",$D231="",$D231="X",$E231="",$E231="X"),0,IFERROR(_xlfn.LET(_xlpm.x,SUM(SUM(_xlfn._xlws.FILTER(VALUE(PptoSty[Sign]&amp;1)*(1/PptoSty[Division]),(PptoSty[Division]&lt;&gt;0)*(PptoSty[Division]&lt;&gt;"")*(PptoSty[Division]&lt;&gt;"X")*(PptoSty[Project]=$B231)*(PptoSty[Vrs]=$D231)*(PptoSty[PiRow]=_xlfn.TEXTAFTER($H231,":"))*(PptoSty[PiColumn]=L$54),0)),SUM(IF((INDIRECT($B$3)=$B231)*(INDIRECT($C$3)=$D231)*((INDIRECT($E$3)="TOTS")+(INDIRECT($E$3)=$E231)),INDIRECT(L$3)))),_xlpm.y,SUM(_xlfn.CHOOSECOLS(_xlfn._xlws.FILTER(F_RT14[],(F_RT14[PrjId]=$B231)*(F_RT14[Vrs]=$D231)*(_xlfn.TEXTAFTER(F_RT14[ActGrp],":")=_xlfn.TEXTAFTER($H231,":")),"X"),MATCH("*"&amp;L$54,F_RT14[#Headers],0))),IF(AND(_xlpm.x=0,_xlpm.y&lt;&gt;0),-1,IF(AND(_xlpm.x&lt;&gt;0,_xlpm.y&lt;&gt;0),_xlpm.x,IF(AND(_xlpm.x-SUM(IF((INDIRECT($B$3)=$B231)*(INDIRECT($C$3)=$D231)*((INDIRECT($E$3)="TOTS")+(INDIRECT($E$3)=$E231)),INDIRECT(L$3)))&lt;&gt;0,_xlpm.y=0),-2,_xlpm.x)))),0))</f>
        <v>0</v>
      </c>
      <c r="M231" s="199" cm="1">
        <f t="array" aca="1" ref="M231" ca="1">IF(OR($B231="",$B231="X",$D231="",$D231="X",$E231="",$E231="X"),0,IFERROR(_xlfn.LET(_xlpm.x,SUM(SUM(_xlfn._xlws.FILTER(VALUE(PptoSty[Sign]&amp;1)*(1/PptoSty[Division]),(PptoSty[Division]&lt;&gt;0)*(PptoSty[Division]&lt;&gt;"")*(PptoSty[Division]&lt;&gt;"X")*(PptoSty[Project]=$B231)*(PptoSty[Vrs]=$D231)*(PptoSty[PiRow]=_xlfn.TEXTAFTER($H231,":"))*(PptoSty[PiColumn]=M$54),0)),SUM(IF((INDIRECT($B$3)=$B231)*(INDIRECT($C$3)=$D231)*((INDIRECT($E$3)="TOTS")+(INDIRECT($E$3)=$E231)),INDIRECT(M$3)))),_xlpm.y,SUM(_xlfn.CHOOSECOLS(_xlfn._xlws.FILTER(F_RT14[],(F_RT14[PrjId]=$B231)*(F_RT14[Vrs]=$D231)*(_xlfn.TEXTAFTER(F_RT14[ActGrp],":")=_xlfn.TEXTAFTER($H231,":")),"X"),MATCH("*"&amp;M$54,F_RT14[#Headers],0))),IF(AND(_xlpm.x=0,_xlpm.y&lt;&gt;0),-1,IF(AND(_xlpm.x&lt;&gt;0,_xlpm.y&lt;&gt;0),_xlpm.x,IF(AND(_xlpm.x-SUM(IF((INDIRECT($B$3)=$B231)*(INDIRECT($C$3)=$D231)*((INDIRECT($E$3)="TOTS")+(INDIRECT($E$3)=$E231)),INDIRECT(M$3)))&lt;&gt;0,_xlpm.y=0),-2,_xlpm.x)))),0))</f>
        <v>0</v>
      </c>
      <c r="N231" s="199" cm="1">
        <f t="array" aca="1" ref="N231" ca="1">IF(OR($B231="",$B231="X",$D231="",$D231="X",$E231="",$E231="X"),0,IFERROR(_xlfn.LET(_xlpm.x,SUM(SUM(_xlfn._xlws.FILTER(VALUE(PptoSty[Sign]&amp;1)*(1/PptoSty[Division]),(PptoSty[Division]&lt;&gt;0)*(PptoSty[Division]&lt;&gt;"")*(PptoSty[Division]&lt;&gt;"X")*(PptoSty[Project]=$B231)*(PptoSty[Vrs]=$D231)*(PptoSty[PiRow]=_xlfn.TEXTAFTER($H231,":"))*(PptoSty[PiColumn]=N$54),0)),SUM(IF((INDIRECT($B$3)=$B231)*(INDIRECT($C$3)=$D231)*((INDIRECT($E$3)="TOTS")+(INDIRECT($E$3)=$E231)),INDIRECT(N$3)))),_xlpm.y,SUM(_xlfn.CHOOSECOLS(_xlfn._xlws.FILTER(F_RT14[],(F_RT14[PrjId]=$B231)*(F_RT14[Vrs]=$D231)*(_xlfn.TEXTAFTER(F_RT14[ActGrp],":")=_xlfn.TEXTAFTER($H231,":")),"X"),MATCH("*"&amp;N$54,F_RT14[#Headers],0))),IF(AND(_xlpm.x=0,_xlpm.y&lt;&gt;0),-1,IF(AND(_xlpm.x&lt;&gt;0,_xlpm.y&lt;&gt;0),_xlpm.x,IF(AND(_xlpm.x-SUM(IF((INDIRECT($B$3)=$B231)*(INDIRECT($C$3)=$D231)*((INDIRECT($E$3)="TOTS")+(INDIRECT($E$3)=$E231)),INDIRECT(N$3)))&lt;&gt;0,_xlpm.y=0),-2,_xlpm.x)))),0))</f>
        <v>0</v>
      </c>
      <c r="O231" s="199" cm="1">
        <f t="array" aca="1" ref="O231" ca="1">IF(OR($B231="",$B231="X",$D231="",$D231="X",$E231="",$E231="X"),0,IFERROR(_xlfn.LET(_xlpm.x,SUM(SUM(_xlfn._xlws.FILTER(VALUE(PptoSty[Sign]&amp;1)*(1/PptoSty[Division]),(PptoSty[Division]&lt;&gt;0)*(PptoSty[Division]&lt;&gt;"")*(PptoSty[Division]&lt;&gt;"X")*(PptoSty[Project]=$B231)*(PptoSty[Vrs]=$D231)*(PptoSty[PiRow]=_xlfn.TEXTAFTER($H231,":"))*(PptoSty[PiColumn]=O$54),0)),SUM(IF((INDIRECT($B$3)=$B231)*(INDIRECT($C$3)=$D231)*((INDIRECT($E$3)="TOTS")+(INDIRECT($E$3)=$E231)),INDIRECT(O$3)))),_xlpm.y,SUM(_xlfn.CHOOSECOLS(_xlfn._xlws.FILTER(F_RT14[],(F_RT14[PrjId]=$B231)*(F_RT14[Vrs]=$D231)*(_xlfn.TEXTAFTER(F_RT14[ActGrp],":")=_xlfn.TEXTAFTER($H231,":")),"X"),MATCH("*"&amp;O$54,F_RT14[#Headers],0))),IF(AND(_xlpm.x=0,_xlpm.y&lt;&gt;0),-1,IF(AND(_xlpm.x&lt;&gt;0,_xlpm.y&lt;&gt;0),_xlpm.x,IF(AND(_xlpm.x-SUM(IF((INDIRECT($B$3)=$B231)*(INDIRECT($C$3)=$D231)*((INDIRECT($E$3)="TOTS")+(INDIRECT($E$3)=$E231)),INDIRECT(O$3)))&lt;&gt;0,_xlpm.y=0),-2,_xlpm.x)))),0))</f>
        <v>0</v>
      </c>
      <c r="P231" s="199" cm="1">
        <f t="array" aca="1" ref="P231" ca="1">IF(OR($B231="",$B231="X",$D231="",$D231="X",$E231="",$E231="X"),0,IFERROR(_xlfn.LET(_xlpm.x,SUM(SUM(_xlfn._xlws.FILTER(VALUE(PptoSty[Sign]&amp;1)*(1/PptoSty[Division]),(PptoSty[Division]&lt;&gt;0)*(PptoSty[Division]&lt;&gt;"")*(PptoSty[Division]&lt;&gt;"X")*(PptoSty[Project]=$B231)*(PptoSty[Vrs]=$D231)*(PptoSty[PiRow]=_xlfn.TEXTAFTER($H231,":"))*(PptoSty[PiColumn]=P$54),0)),SUM(IF((INDIRECT($B$3)=$B231)*(INDIRECT($C$3)=$D231)*((INDIRECT($E$3)="TOTS")+(INDIRECT($E$3)=$E231)),INDIRECT(P$3)))),_xlpm.y,SUM(_xlfn.CHOOSECOLS(_xlfn._xlws.FILTER(F_RT14[],(F_RT14[PrjId]=$B231)*(F_RT14[Vrs]=$D231)*(_xlfn.TEXTAFTER(F_RT14[ActGrp],":")=_xlfn.TEXTAFTER($H231,":")),"X"),MATCH("*"&amp;P$54,F_RT14[#Headers],0))),IF(AND(_xlpm.x=0,_xlpm.y&lt;&gt;0),-1,IF(AND(_xlpm.x&lt;&gt;0,_xlpm.y&lt;&gt;0),_xlpm.x,IF(AND(_xlpm.x-SUM(IF((INDIRECT($B$3)=$B231)*(INDIRECT($C$3)=$D231)*((INDIRECT($E$3)="TOTS")+(INDIRECT($E$3)=$E231)),INDIRECT(P$3)))&lt;&gt;0,_xlpm.y=0),-2,_xlpm.x)))),0))</f>
        <v>0</v>
      </c>
      <c r="Q231" s="199" cm="1">
        <f t="array" aca="1" ref="Q231" ca="1">IF(OR($B231="",$B231="X",$D231="",$D231="X",$E231="",$E231="X"),0,IFERROR(_xlfn.LET(_xlpm.x,SUM(SUM(_xlfn._xlws.FILTER(VALUE(PptoSty[Sign]&amp;1)*(1/PptoSty[Division]),(PptoSty[Division]&lt;&gt;0)*(PptoSty[Division]&lt;&gt;"")*(PptoSty[Division]&lt;&gt;"X")*(PptoSty[Project]=$B231)*(PptoSty[Vrs]=$D231)*(PptoSty[PiRow]=_xlfn.TEXTAFTER($H231,":"))*(PptoSty[PiColumn]=Q$54),0)),SUM(IF((INDIRECT($B$3)=$B231)*(INDIRECT($C$3)=$D231)*((INDIRECT($E$3)="TOTS")+(INDIRECT($E$3)=$E231)),INDIRECT(Q$3)))),_xlpm.y,SUM(_xlfn.CHOOSECOLS(_xlfn._xlws.FILTER(F_RT14[],(F_RT14[PrjId]=$B231)*(F_RT14[Vrs]=$D231)*(_xlfn.TEXTAFTER(F_RT14[ActGrp],":")=_xlfn.TEXTAFTER($H231,":")),"X"),MATCH("*"&amp;Q$54,F_RT14[#Headers],0))),IF(AND(_xlpm.x=0,_xlpm.y&lt;&gt;0),-1,IF(AND(_xlpm.x&lt;&gt;0,_xlpm.y&lt;&gt;0),_xlpm.x,IF(AND(_xlpm.x-SUM(IF((INDIRECT($B$3)=$B231)*(INDIRECT($C$3)=$D231)*((INDIRECT($E$3)="TOTS")+(INDIRECT($E$3)=$E231)),INDIRECT(Q$3)))&lt;&gt;0,_xlpm.y=0),-2,_xlpm.x)))),0))</f>
        <v>0</v>
      </c>
      <c r="R231" s="199" cm="1">
        <f t="array" aca="1" ref="R231" ca="1">IF(OR($B231="",$B231="X",$D231="",$D231="X",$E231="",$E231="X"),0,IFERROR(_xlfn.LET(_xlpm.x,SUM(SUM(_xlfn._xlws.FILTER(VALUE(PptoSty[Sign]&amp;1)*(1/PptoSty[Division]),(PptoSty[Division]&lt;&gt;0)*(PptoSty[Division]&lt;&gt;"")*(PptoSty[Division]&lt;&gt;"X")*(PptoSty[Project]=$B231)*(PptoSty[Vrs]=$D231)*(PptoSty[PiRow]=_xlfn.TEXTAFTER($H231,":"))*(PptoSty[PiColumn]=R$54),0)),SUM(IF((INDIRECT($B$3)=$B231)*(INDIRECT($C$3)=$D231)*((INDIRECT($E$3)="TOTS")+(INDIRECT($E$3)=$E231)),INDIRECT(R$3)))),_xlpm.y,SUM(_xlfn.CHOOSECOLS(_xlfn._xlws.FILTER(F_RT14[],(F_RT14[PrjId]=$B231)*(F_RT14[Vrs]=$D231)*(_xlfn.TEXTAFTER(F_RT14[ActGrp],":")=_xlfn.TEXTAFTER($H231,":")),"X"),MATCH("*"&amp;R$54,F_RT14[#Headers],0))),IF(AND(_xlpm.x=0,_xlpm.y&lt;&gt;0),-1,IF(AND(_xlpm.x&lt;&gt;0,_xlpm.y&lt;&gt;0),_xlpm.x,IF(AND(_xlpm.x-SUM(IF((INDIRECT($B$3)=$B231)*(INDIRECT($C$3)=$D231)*((INDIRECT($E$3)="TOTS")+(INDIRECT($E$3)=$E231)),INDIRECT(R$3)))&lt;&gt;0,_xlpm.y=0),-2,_xlpm.x)))),0))</f>
        <v>0</v>
      </c>
      <c r="S231" s="199" cm="1">
        <f t="array" aca="1" ref="S231" ca="1">IF(OR($B231="",$B231="X",$D231="",$D231="X",$E231="",$E231="X"),0,IFERROR(_xlfn.LET(_xlpm.x,SUM(SUM(_xlfn._xlws.FILTER(VALUE(PptoSty[Sign]&amp;1)*(1/PptoSty[Division]),(PptoSty[Division]&lt;&gt;0)*(PptoSty[Division]&lt;&gt;"")*(PptoSty[Division]&lt;&gt;"X")*(PptoSty[Project]=$B231)*(PptoSty[Vrs]=$D231)*(PptoSty[PiRow]=_xlfn.TEXTAFTER($H231,":"))*(PptoSty[PiColumn]=S$54),0)),SUM(IF((INDIRECT($B$3)=$B231)*(INDIRECT($C$3)=$D231)*((INDIRECT($E$3)="TOTS")+(INDIRECT($E$3)=$E231)),INDIRECT(S$3)))),_xlpm.y,SUM(_xlfn.CHOOSECOLS(_xlfn._xlws.FILTER(F_RT14[],(F_RT14[PrjId]=$B231)*(F_RT14[Vrs]=$D231)*(_xlfn.TEXTAFTER(F_RT14[ActGrp],":")=_xlfn.TEXTAFTER($H231,":")),"X"),MATCH("*"&amp;S$54,F_RT14[#Headers],0))),IF(AND(_xlpm.x=0,_xlpm.y&lt;&gt;0),-1,IF(AND(_xlpm.x&lt;&gt;0,_xlpm.y&lt;&gt;0),_xlpm.x,IF(AND(_xlpm.x-SUM(IF((INDIRECT($B$3)=$B231)*(INDIRECT($C$3)=$D231)*((INDIRECT($E$3)="TOTS")+(INDIRECT($E$3)=$E231)),INDIRECT(S$3)))&lt;&gt;0,_xlpm.y=0),-2,_xlpm.x)))),0))</f>
        <v>0</v>
      </c>
      <c r="T231" s="199" cm="1">
        <f t="array" aca="1" ref="T231" ca="1">IF(OR($B231="",$B231="X",$D231="",$D231="X",$E231="",$E231="X"),0,IFERROR(_xlfn.LET(_xlpm.x,SUM(SUM(_xlfn._xlws.FILTER(VALUE(PptoSty[Sign]&amp;1)*(1/PptoSty[Division]),(PptoSty[Division]&lt;&gt;0)*(PptoSty[Division]&lt;&gt;"")*(PptoSty[Division]&lt;&gt;"X")*(PptoSty[Project]=$B231)*(PptoSty[Vrs]=$D231)*(PptoSty[PiRow]=_xlfn.TEXTAFTER($H231,":"))*(PptoSty[PiColumn]=T$54),0)),SUM(IF((INDIRECT($B$3)=$B231)*(INDIRECT($C$3)=$D231)*((INDIRECT($E$3)="TOTS")+(INDIRECT($E$3)=$E231)),INDIRECT(T$3)))),_xlpm.y,SUM(_xlfn.CHOOSECOLS(_xlfn._xlws.FILTER(F_RT14[],(F_RT14[PrjId]=$B231)*(F_RT14[Vrs]=$D231)*(_xlfn.TEXTAFTER(F_RT14[ActGrp],":")=_xlfn.TEXTAFTER($H231,":")),"X"),MATCH("*"&amp;T$54,F_RT14[#Headers],0))),IF(AND(_xlpm.x=0,_xlpm.y&lt;&gt;0),-1,IF(AND(_xlpm.x&lt;&gt;0,_xlpm.y&lt;&gt;0),_xlpm.x,IF(AND(_xlpm.x-SUM(IF((INDIRECT($B$3)=$B231)*(INDIRECT($C$3)=$D231)*((INDIRECT($E$3)="TOTS")+(INDIRECT($E$3)=$E231)),INDIRECT(T$3)))&lt;&gt;0,_xlpm.y=0),-2,_xlpm.x)))),0))</f>
        <v>0</v>
      </c>
      <c r="U231" s="199" cm="1">
        <f t="array" aca="1" ref="U231" ca="1">IF(OR($B231="",$B231="X",$D231="",$D231="X",$E231="",$E231="X"),0,IFERROR(_xlfn.LET(_xlpm.x,SUM(SUM(_xlfn._xlws.FILTER(VALUE(PptoSty[Sign]&amp;1)*(1/PptoSty[Division]),(PptoSty[Division]&lt;&gt;0)*(PptoSty[Division]&lt;&gt;"")*(PptoSty[Division]&lt;&gt;"X")*(PptoSty[Project]=$B231)*(PptoSty[Vrs]=$D231)*(PptoSty[PiRow]=_xlfn.TEXTAFTER($H231,":"))*(PptoSty[PiColumn]=U$54),0)),SUM(IF((INDIRECT($B$3)=$B231)*(INDIRECT($C$3)=$D231)*((INDIRECT($E$3)="TOTS")+(INDIRECT($E$3)=$E231)),INDIRECT(U$3)))),_xlpm.y,SUM(_xlfn.CHOOSECOLS(_xlfn._xlws.FILTER(F_RT14[],(F_RT14[PrjId]=$B231)*(F_RT14[Vrs]=$D231)*(_xlfn.TEXTAFTER(F_RT14[ActGrp],":")=_xlfn.TEXTAFTER($H231,":")),"X"),MATCH("*"&amp;U$54,F_RT14[#Headers],0))),IF(AND(_xlpm.x=0,_xlpm.y&lt;&gt;0),-1,IF(AND(_xlpm.x&lt;&gt;0,_xlpm.y&lt;&gt;0),_xlpm.x,IF(AND(_xlpm.x-SUM(IF((INDIRECT($B$3)=$B231)*(INDIRECT($C$3)=$D231)*((INDIRECT($E$3)="TOTS")+(INDIRECT($E$3)=$E231)),INDIRECT(U$3)))&lt;&gt;0,_xlpm.y=0),-2,_xlpm.x)))),0))</f>
        <v>0</v>
      </c>
      <c r="V231" s="199" cm="1">
        <f t="array" aca="1" ref="V231" ca="1">IF(OR($B231="",$B231="X",$D231="",$D231="X",$E231="",$E231="X"),0,IFERROR(_xlfn.LET(_xlpm.x,SUM(SUM(_xlfn._xlws.FILTER(VALUE(PptoSty[Sign]&amp;1)*(1/PptoSty[Division]),(PptoSty[Division]&lt;&gt;0)*(PptoSty[Division]&lt;&gt;"")*(PptoSty[Division]&lt;&gt;"X")*(PptoSty[Project]=$B231)*(PptoSty[Vrs]=$D231)*(PptoSty[PiRow]=_xlfn.TEXTAFTER($H231,":"))*(PptoSty[PiColumn]=V$54),0)),SUM(IF((INDIRECT($B$3)=$B231)*(INDIRECT($C$3)=$D231)*((INDIRECT($E$3)="TOTS")+(INDIRECT($E$3)=$E231)),INDIRECT(V$3)))),_xlpm.y,SUM(_xlfn.CHOOSECOLS(_xlfn._xlws.FILTER(F_RT14[],(F_RT14[PrjId]=$B231)*(F_RT14[Vrs]=$D231)*(_xlfn.TEXTAFTER(F_RT14[ActGrp],":")=_xlfn.TEXTAFTER($H231,":")),"X"),MATCH("*"&amp;V$54,F_RT14[#Headers],0))),IF(AND(_xlpm.x=0,_xlpm.y&lt;&gt;0),-1,IF(AND(_xlpm.x&lt;&gt;0,_xlpm.y&lt;&gt;0),_xlpm.x,IF(AND(_xlpm.x-SUM(IF((INDIRECT($B$3)=$B231)*(INDIRECT($C$3)=$D231)*((INDIRECT($E$3)="TOTS")+(INDIRECT($E$3)=$E231)),INDIRECT(V$3)))&lt;&gt;0,_xlpm.y=0),-2,_xlpm.x)))),0))</f>
        <v>0</v>
      </c>
      <c r="W231" s="199" cm="1">
        <f t="array" aca="1" ref="W231" ca="1">IF(OR($B231="",$B231="X",$D231="",$D231="X",$E231="",$E231="X"),0,IFERROR(_xlfn.LET(_xlpm.x,SUM(SUM(_xlfn._xlws.FILTER(VALUE(PptoSty[Sign]&amp;1)*(1/PptoSty[Division]),(PptoSty[Division]&lt;&gt;0)*(PptoSty[Division]&lt;&gt;"")*(PptoSty[Division]&lt;&gt;"X")*(PptoSty[Project]=$B231)*(PptoSty[Vrs]=$D231)*(PptoSty[PiRow]=_xlfn.TEXTAFTER($H231,":"))*(PptoSty[PiColumn]=W$54),0)),SUM(IF((INDIRECT($B$3)=$B231)*(INDIRECT($C$3)=$D231)*((INDIRECT($E$3)="TOTS")+(INDIRECT($E$3)=$E231)),INDIRECT(W$3)))),_xlpm.y,SUM(_xlfn.CHOOSECOLS(_xlfn._xlws.FILTER(F_RT14[],(F_RT14[PrjId]=$B231)*(F_RT14[Vrs]=$D231)*(_xlfn.TEXTAFTER(F_RT14[ActGrp],":")=_xlfn.TEXTAFTER($H231,":")),"X"),MATCH("*"&amp;W$54,F_RT14[#Headers],0))),IF(AND(_xlpm.x=0,_xlpm.y&lt;&gt;0),-1,IF(AND(_xlpm.x&lt;&gt;0,_xlpm.y&lt;&gt;0),_xlpm.x,IF(AND(_xlpm.x-SUM(IF((INDIRECT($B$3)=$B231)*(INDIRECT($C$3)=$D231)*((INDIRECT($E$3)="TOTS")+(INDIRECT($E$3)=$E231)),INDIRECT(W$3)))&lt;&gt;0,_xlpm.y=0),-2,_xlpm.x)))),0))</f>
        <v>0</v>
      </c>
      <c r="X231" s="199" cm="1">
        <f t="array" aca="1" ref="X231" ca="1">IF(OR($B231="",$B231="X",$D231="",$D231="X",$E231="",$E231="X"),0,IFERROR(_xlfn.LET(_xlpm.x,SUM(SUM(_xlfn._xlws.FILTER(VALUE(PptoSty[Sign]&amp;1)*(1/PptoSty[Division]),(PptoSty[Division]&lt;&gt;0)*(PptoSty[Division]&lt;&gt;"")*(PptoSty[Division]&lt;&gt;"X")*(PptoSty[Project]=$B231)*(PptoSty[Vrs]=$D231)*(PptoSty[PiRow]=_xlfn.TEXTAFTER($H231,":"))*(PptoSty[PiColumn]=X$54),0)),SUM(IF((INDIRECT($B$3)=$B231)*(INDIRECT($C$3)=$D231)*((INDIRECT($E$3)="TOTS")+(INDIRECT($E$3)=$E231)),INDIRECT(X$3)))),_xlpm.y,SUM(_xlfn.CHOOSECOLS(_xlfn._xlws.FILTER(F_RT14[],(F_RT14[PrjId]=$B231)*(F_RT14[Vrs]=$D231)*(_xlfn.TEXTAFTER(F_RT14[ActGrp],":")=_xlfn.TEXTAFTER($H231,":")),"X"),MATCH("*"&amp;X$54,F_RT14[#Headers],0))),IF(AND(_xlpm.x=0,_xlpm.y&lt;&gt;0),-1,IF(AND(_xlpm.x&lt;&gt;0,_xlpm.y&lt;&gt;0),_xlpm.x,IF(AND(_xlpm.x-SUM(IF((INDIRECT($B$3)=$B231)*(INDIRECT($C$3)=$D231)*((INDIRECT($E$3)="TOTS")+(INDIRECT($E$3)=$E231)),INDIRECT(X$3)))&lt;&gt;0,_xlpm.y=0),-2,_xlpm.x)))),0))</f>
        <v>0</v>
      </c>
      <c r="Y231" s="199" cm="1">
        <f t="array" aca="1" ref="Y231" ca="1">IF(OR($B231="",$B231="X",$D231="",$D231="X",$E231="",$E231="X"),0,IFERROR(_xlfn.LET(_xlpm.x,SUM(SUM(_xlfn._xlws.FILTER(VALUE(PptoSty[Sign]&amp;1)*(1/PptoSty[Division]),(PptoSty[Division]&lt;&gt;0)*(PptoSty[Division]&lt;&gt;"")*(PptoSty[Division]&lt;&gt;"X")*(PptoSty[Project]=$B231)*(PptoSty[Vrs]=$D231)*(PptoSty[PiRow]=_xlfn.TEXTAFTER($H231,":"))*(PptoSty[PiColumn]=Y$54),0)),SUM(IF((INDIRECT($B$3)=$B231)*(INDIRECT($C$3)=$D231)*((INDIRECT($E$3)="TOTS")+(INDIRECT($E$3)=$E231)),INDIRECT(Y$3)))),_xlpm.y,SUM(_xlfn.CHOOSECOLS(_xlfn._xlws.FILTER(F_RT14[],(F_RT14[PrjId]=$B231)*(F_RT14[Vrs]=$D231)*(_xlfn.TEXTAFTER(F_RT14[ActGrp],":")=_xlfn.TEXTAFTER($H231,":")),"X"),MATCH("*"&amp;Y$54,F_RT14[#Headers],0))),IF(AND(_xlpm.x=0,_xlpm.y&lt;&gt;0),-1,IF(AND(_xlpm.x&lt;&gt;0,_xlpm.y&lt;&gt;0),_xlpm.x,IF(AND(_xlpm.x-SUM(IF((INDIRECT($B$3)=$B231)*(INDIRECT($C$3)=$D231)*((INDIRECT($E$3)="TOTS")+(INDIRECT($E$3)=$E231)),INDIRECT(Y$3)))&lt;&gt;0,_xlpm.y=0),-2,_xlpm.x)))),0))</f>
        <v>0</v>
      </c>
      <c r="Z231" s="198" t="str">
        <f t="shared" ca="1" si="4"/>
        <v>Fback!B231:Y231</v>
      </c>
    </row>
    <row r="232" spans="2:26" ht="21" customHeight="1" outlineLevel="1">
      <c r="B232" s="128"/>
      <c r="C232" s="128"/>
      <c r="D232" s="128"/>
      <c r="E232" s="128"/>
      <c r="F232" s="139"/>
      <c r="G232" s="139"/>
      <c r="H232" s="139"/>
      <c r="I232" s="199" cm="1">
        <f t="array" aca="1" ref="I232" ca="1">IF(OR($B232="",$B232="X",$D232="",$D232="X",$E232="",$E232="X"),0,IFERROR(_xlfn.LET(_xlpm.x,SUM(SUM(_xlfn._xlws.FILTER(VALUE(PptoSty[Sign]&amp;1)*(1/PptoSty[Division]),(PptoSty[Division]&lt;&gt;0)*(PptoSty[Division]&lt;&gt;"")*(PptoSty[Division]&lt;&gt;"X")*(PptoSty[Project]=$B232)*(PptoSty[Vrs]=$D232)*(PptoSty[PiRow]=_xlfn.TEXTAFTER($H232,":"))*(PptoSty[PiColumn]=I$54),0)),SUM(IF((INDIRECT($B$3)=$B232)*(INDIRECT($C$3)=$D232)*((INDIRECT($E$3)="TOTS")+(INDIRECT($E$3)=$E232)),INDIRECT(I$3)))),_xlpm.y,SUM(_xlfn.CHOOSECOLS(_xlfn._xlws.FILTER(F_RT14[],(F_RT14[PrjId]=$B232)*(F_RT14[Vrs]=$D232)*(_xlfn.TEXTAFTER(F_RT14[ActGrp],":")=_xlfn.TEXTAFTER($H232,":")),"X"),MATCH("*"&amp;I$54,F_RT14[#Headers],0))),IF(AND(_xlpm.x=0,_xlpm.y&lt;&gt;0),-1,IF(AND(_xlpm.x&lt;&gt;0,_xlpm.y&lt;&gt;0),_xlpm.x,IF(AND(_xlpm.x-SUM(IF((INDIRECT($B$3)=$B232)*(INDIRECT($C$3)=$D232)*((INDIRECT($E$3)="TOTS")+(INDIRECT($E$3)=$E232)),INDIRECT(I$3)))&lt;&gt;0,_xlpm.y=0),-2,_xlpm.x)))),0))</f>
        <v>0</v>
      </c>
      <c r="J232" s="199" cm="1">
        <f t="array" aca="1" ref="J232" ca="1">IF(OR($B232="",$B232="X",$D232="",$D232="X",$E232="",$E232="X"),0,IFERROR(_xlfn.LET(_xlpm.x,SUM(SUM(_xlfn._xlws.FILTER(VALUE(PptoSty[Sign]&amp;1)*(1/PptoSty[Division]),(PptoSty[Division]&lt;&gt;0)*(PptoSty[Division]&lt;&gt;"")*(PptoSty[Division]&lt;&gt;"X")*(PptoSty[Project]=$B232)*(PptoSty[Vrs]=$D232)*(PptoSty[PiRow]=_xlfn.TEXTAFTER($H232,":"))*(PptoSty[PiColumn]=J$54),0)),SUM(IF((INDIRECT($B$3)=$B232)*(INDIRECT($C$3)=$D232)*((INDIRECT($E$3)="TOTS")+(INDIRECT($E$3)=$E232)),INDIRECT(J$3)))),_xlpm.y,SUM(_xlfn.CHOOSECOLS(_xlfn._xlws.FILTER(F_RT14[],(F_RT14[PrjId]=$B232)*(F_RT14[Vrs]=$D232)*(_xlfn.TEXTAFTER(F_RT14[ActGrp],":")=_xlfn.TEXTAFTER($H232,":")),"X"),MATCH("*"&amp;J$54,F_RT14[#Headers],0))),IF(AND(_xlpm.x=0,_xlpm.y&lt;&gt;0),-1,IF(AND(_xlpm.x&lt;&gt;0,_xlpm.y&lt;&gt;0),_xlpm.x,IF(AND(_xlpm.x-SUM(IF((INDIRECT($B$3)=$B232)*(INDIRECT($C$3)=$D232)*((INDIRECT($E$3)="TOTS")+(INDIRECT($E$3)=$E232)),INDIRECT(J$3)))&lt;&gt;0,_xlpm.y=0),-2,_xlpm.x)))),0))</f>
        <v>0</v>
      </c>
      <c r="K232" s="199" cm="1">
        <f t="array" aca="1" ref="K232" ca="1">IF(OR($B232="",$B232="X",$D232="",$D232="X",$E232="",$E232="X"),0,IFERROR(_xlfn.LET(_xlpm.x,SUM(SUM(_xlfn._xlws.FILTER(VALUE(PptoSty[Sign]&amp;1)*(1/PptoSty[Division]),(PptoSty[Division]&lt;&gt;0)*(PptoSty[Division]&lt;&gt;"")*(PptoSty[Division]&lt;&gt;"X")*(PptoSty[Project]=$B232)*(PptoSty[Vrs]=$D232)*(PptoSty[PiRow]=_xlfn.TEXTAFTER($H232,":"))*(PptoSty[PiColumn]=K$54),0)),SUM(IF((INDIRECT($B$3)=$B232)*(INDIRECT($C$3)=$D232)*((INDIRECT($E$3)="TOTS")+(INDIRECT($E$3)=$E232)),INDIRECT(K$3)))),_xlpm.y,SUM(_xlfn.CHOOSECOLS(_xlfn._xlws.FILTER(F_RT14[],(F_RT14[PrjId]=$B232)*(F_RT14[Vrs]=$D232)*(_xlfn.TEXTAFTER(F_RT14[ActGrp],":")=_xlfn.TEXTAFTER($H232,":")),"X"),MATCH("*"&amp;K$54,F_RT14[#Headers],0))),IF(AND(_xlpm.x=0,_xlpm.y&lt;&gt;0),-1,IF(AND(_xlpm.x&lt;&gt;0,_xlpm.y&lt;&gt;0),_xlpm.x,IF(AND(_xlpm.x-SUM(IF((INDIRECT($B$3)=$B232)*(INDIRECT($C$3)=$D232)*((INDIRECT($E$3)="TOTS")+(INDIRECT($E$3)=$E232)),INDIRECT(K$3)))&lt;&gt;0,_xlpm.y=0),-2,_xlpm.x)))),0))</f>
        <v>0</v>
      </c>
      <c r="L232" s="199" cm="1">
        <f t="array" aca="1" ref="L232" ca="1">IF(OR($B232="",$B232="X",$D232="",$D232="X",$E232="",$E232="X"),0,IFERROR(_xlfn.LET(_xlpm.x,SUM(SUM(_xlfn._xlws.FILTER(VALUE(PptoSty[Sign]&amp;1)*(1/PptoSty[Division]),(PptoSty[Division]&lt;&gt;0)*(PptoSty[Division]&lt;&gt;"")*(PptoSty[Division]&lt;&gt;"X")*(PptoSty[Project]=$B232)*(PptoSty[Vrs]=$D232)*(PptoSty[PiRow]=_xlfn.TEXTAFTER($H232,":"))*(PptoSty[PiColumn]=L$54),0)),SUM(IF((INDIRECT($B$3)=$B232)*(INDIRECT($C$3)=$D232)*((INDIRECT($E$3)="TOTS")+(INDIRECT($E$3)=$E232)),INDIRECT(L$3)))),_xlpm.y,SUM(_xlfn.CHOOSECOLS(_xlfn._xlws.FILTER(F_RT14[],(F_RT14[PrjId]=$B232)*(F_RT14[Vrs]=$D232)*(_xlfn.TEXTAFTER(F_RT14[ActGrp],":")=_xlfn.TEXTAFTER($H232,":")),"X"),MATCH("*"&amp;L$54,F_RT14[#Headers],0))),IF(AND(_xlpm.x=0,_xlpm.y&lt;&gt;0),-1,IF(AND(_xlpm.x&lt;&gt;0,_xlpm.y&lt;&gt;0),_xlpm.x,IF(AND(_xlpm.x-SUM(IF((INDIRECT($B$3)=$B232)*(INDIRECT($C$3)=$D232)*((INDIRECT($E$3)="TOTS")+(INDIRECT($E$3)=$E232)),INDIRECT(L$3)))&lt;&gt;0,_xlpm.y=0),-2,_xlpm.x)))),0))</f>
        <v>0</v>
      </c>
      <c r="M232" s="199" cm="1">
        <f t="array" aca="1" ref="M232" ca="1">IF(OR($B232="",$B232="X",$D232="",$D232="X",$E232="",$E232="X"),0,IFERROR(_xlfn.LET(_xlpm.x,SUM(SUM(_xlfn._xlws.FILTER(VALUE(PptoSty[Sign]&amp;1)*(1/PptoSty[Division]),(PptoSty[Division]&lt;&gt;0)*(PptoSty[Division]&lt;&gt;"")*(PptoSty[Division]&lt;&gt;"X")*(PptoSty[Project]=$B232)*(PptoSty[Vrs]=$D232)*(PptoSty[PiRow]=_xlfn.TEXTAFTER($H232,":"))*(PptoSty[PiColumn]=M$54),0)),SUM(IF((INDIRECT($B$3)=$B232)*(INDIRECT($C$3)=$D232)*((INDIRECT($E$3)="TOTS")+(INDIRECT($E$3)=$E232)),INDIRECT(M$3)))),_xlpm.y,SUM(_xlfn.CHOOSECOLS(_xlfn._xlws.FILTER(F_RT14[],(F_RT14[PrjId]=$B232)*(F_RT14[Vrs]=$D232)*(_xlfn.TEXTAFTER(F_RT14[ActGrp],":")=_xlfn.TEXTAFTER($H232,":")),"X"),MATCH("*"&amp;M$54,F_RT14[#Headers],0))),IF(AND(_xlpm.x=0,_xlpm.y&lt;&gt;0),-1,IF(AND(_xlpm.x&lt;&gt;0,_xlpm.y&lt;&gt;0),_xlpm.x,IF(AND(_xlpm.x-SUM(IF((INDIRECT($B$3)=$B232)*(INDIRECT($C$3)=$D232)*((INDIRECT($E$3)="TOTS")+(INDIRECT($E$3)=$E232)),INDIRECT(M$3)))&lt;&gt;0,_xlpm.y=0),-2,_xlpm.x)))),0))</f>
        <v>0</v>
      </c>
      <c r="N232" s="199" cm="1">
        <f t="array" aca="1" ref="N232" ca="1">IF(OR($B232="",$B232="X",$D232="",$D232="X",$E232="",$E232="X"),0,IFERROR(_xlfn.LET(_xlpm.x,SUM(SUM(_xlfn._xlws.FILTER(VALUE(PptoSty[Sign]&amp;1)*(1/PptoSty[Division]),(PptoSty[Division]&lt;&gt;0)*(PptoSty[Division]&lt;&gt;"")*(PptoSty[Division]&lt;&gt;"X")*(PptoSty[Project]=$B232)*(PptoSty[Vrs]=$D232)*(PptoSty[PiRow]=_xlfn.TEXTAFTER($H232,":"))*(PptoSty[PiColumn]=N$54),0)),SUM(IF((INDIRECT($B$3)=$B232)*(INDIRECT($C$3)=$D232)*((INDIRECT($E$3)="TOTS")+(INDIRECT($E$3)=$E232)),INDIRECT(N$3)))),_xlpm.y,SUM(_xlfn.CHOOSECOLS(_xlfn._xlws.FILTER(F_RT14[],(F_RT14[PrjId]=$B232)*(F_RT14[Vrs]=$D232)*(_xlfn.TEXTAFTER(F_RT14[ActGrp],":")=_xlfn.TEXTAFTER($H232,":")),"X"),MATCH("*"&amp;N$54,F_RT14[#Headers],0))),IF(AND(_xlpm.x=0,_xlpm.y&lt;&gt;0),-1,IF(AND(_xlpm.x&lt;&gt;0,_xlpm.y&lt;&gt;0),_xlpm.x,IF(AND(_xlpm.x-SUM(IF((INDIRECT($B$3)=$B232)*(INDIRECT($C$3)=$D232)*((INDIRECT($E$3)="TOTS")+(INDIRECT($E$3)=$E232)),INDIRECT(N$3)))&lt;&gt;0,_xlpm.y=0),-2,_xlpm.x)))),0))</f>
        <v>0</v>
      </c>
      <c r="O232" s="199" cm="1">
        <f t="array" aca="1" ref="O232" ca="1">IF(OR($B232="",$B232="X",$D232="",$D232="X",$E232="",$E232="X"),0,IFERROR(_xlfn.LET(_xlpm.x,SUM(SUM(_xlfn._xlws.FILTER(VALUE(PptoSty[Sign]&amp;1)*(1/PptoSty[Division]),(PptoSty[Division]&lt;&gt;0)*(PptoSty[Division]&lt;&gt;"")*(PptoSty[Division]&lt;&gt;"X")*(PptoSty[Project]=$B232)*(PptoSty[Vrs]=$D232)*(PptoSty[PiRow]=_xlfn.TEXTAFTER($H232,":"))*(PptoSty[PiColumn]=O$54),0)),SUM(IF((INDIRECT($B$3)=$B232)*(INDIRECT($C$3)=$D232)*((INDIRECT($E$3)="TOTS")+(INDIRECT($E$3)=$E232)),INDIRECT(O$3)))),_xlpm.y,SUM(_xlfn.CHOOSECOLS(_xlfn._xlws.FILTER(F_RT14[],(F_RT14[PrjId]=$B232)*(F_RT14[Vrs]=$D232)*(_xlfn.TEXTAFTER(F_RT14[ActGrp],":")=_xlfn.TEXTAFTER($H232,":")),"X"),MATCH("*"&amp;O$54,F_RT14[#Headers],0))),IF(AND(_xlpm.x=0,_xlpm.y&lt;&gt;0),-1,IF(AND(_xlpm.x&lt;&gt;0,_xlpm.y&lt;&gt;0),_xlpm.x,IF(AND(_xlpm.x-SUM(IF((INDIRECT($B$3)=$B232)*(INDIRECT($C$3)=$D232)*((INDIRECT($E$3)="TOTS")+(INDIRECT($E$3)=$E232)),INDIRECT(O$3)))&lt;&gt;0,_xlpm.y=0),-2,_xlpm.x)))),0))</f>
        <v>0</v>
      </c>
      <c r="P232" s="199" cm="1">
        <f t="array" aca="1" ref="P232" ca="1">IF(OR($B232="",$B232="X",$D232="",$D232="X",$E232="",$E232="X"),0,IFERROR(_xlfn.LET(_xlpm.x,SUM(SUM(_xlfn._xlws.FILTER(VALUE(PptoSty[Sign]&amp;1)*(1/PptoSty[Division]),(PptoSty[Division]&lt;&gt;0)*(PptoSty[Division]&lt;&gt;"")*(PptoSty[Division]&lt;&gt;"X")*(PptoSty[Project]=$B232)*(PptoSty[Vrs]=$D232)*(PptoSty[PiRow]=_xlfn.TEXTAFTER($H232,":"))*(PptoSty[PiColumn]=P$54),0)),SUM(IF((INDIRECT($B$3)=$B232)*(INDIRECT($C$3)=$D232)*((INDIRECT($E$3)="TOTS")+(INDIRECT($E$3)=$E232)),INDIRECT(P$3)))),_xlpm.y,SUM(_xlfn.CHOOSECOLS(_xlfn._xlws.FILTER(F_RT14[],(F_RT14[PrjId]=$B232)*(F_RT14[Vrs]=$D232)*(_xlfn.TEXTAFTER(F_RT14[ActGrp],":")=_xlfn.TEXTAFTER($H232,":")),"X"),MATCH("*"&amp;P$54,F_RT14[#Headers],0))),IF(AND(_xlpm.x=0,_xlpm.y&lt;&gt;0),-1,IF(AND(_xlpm.x&lt;&gt;0,_xlpm.y&lt;&gt;0),_xlpm.x,IF(AND(_xlpm.x-SUM(IF((INDIRECT($B$3)=$B232)*(INDIRECT($C$3)=$D232)*((INDIRECT($E$3)="TOTS")+(INDIRECT($E$3)=$E232)),INDIRECT(P$3)))&lt;&gt;0,_xlpm.y=0),-2,_xlpm.x)))),0))</f>
        <v>0</v>
      </c>
      <c r="Q232" s="199" cm="1">
        <f t="array" aca="1" ref="Q232" ca="1">IF(OR($B232="",$B232="X",$D232="",$D232="X",$E232="",$E232="X"),0,IFERROR(_xlfn.LET(_xlpm.x,SUM(SUM(_xlfn._xlws.FILTER(VALUE(PptoSty[Sign]&amp;1)*(1/PptoSty[Division]),(PptoSty[Division]&lt;&gt;0)*(PptoSty[Division]&lt;&gt;"")*(PptoSty[Division]&lt;&gt;"X")*(PptoSty[Project]=$B232)*(PptoSty[Vrs]=$D232)*(PptoSty[PiRow]=_xlfn.TEXTAFTER($H232,":"))*(PptoSty[PiColumn]=Q$54),0)),SUM(IF((INDIRECT($B$3)=$B232)*(INDIRECT($C$3)=$D232)*((INDIRECT($E$3)="TOTS")+(INDIRECT($E$3)=$E232)),INDIRECT(Q$3)))),_xlpm.y,SUM(_xlfn.CHOOSECOLS(_xlfn._xlws.FILTER(F_RT14[],(F_RT14[PrjId]=$B232)*(F_RT14[Vrs]=$D232)*(_xlfn.TEXTAFTER(F_RT14[ActGrp],":")=_xlfn.TEXTAFTER($H232,":")),"X"),MATCH("*"&amp;Q$54,F_RT14[#Headers],0))),IF(AND(_xlpm.x=0,_xlpm.y&lt;&gt;0),-1,IF(AND(_xlpm.x&lt;&gt;0,_xlpm.y&lt;&gt;0),_xlpm.x,IF(AND(_xlpm.x-SUM(IF((INDIRECT($B$3)=$B232)*(INDIRECT($C$3)=$D232)*((INDIRECT($E$3)="TOTS")+(INDIRECT($E$3)=$E232)),INDIRECT(Q$3)))&lt;&gt;0,_xlpm.y=0),-2,_xlpm.x)))),0))</f>
        <v>0</v>
      </c>
      <c r="R232" s="199" cm="1">
        <f t="array" aca="1" ref="R232" ca="1">IF(OR($B232="",$B232="X",$D232="",$D232="X",$E232="",$E232="X"),0,IFERROR(_xlfn.LET(_xlpm.x,SUM(SUM(_xlfn._xlws.FILTER(VALUE(PptoSty[Sign]&amp;1)*(1/PptoSty[Division]),(PptoSty[Division]&lt;&gt;0)*(PptoSty[Division]&lt;&gt;"")*(PptoSty[Division]&lt;&gt;"X")*(PptoSty[Project]=$B232)*(PptoSty[Vrs]=$D232)*(PptoSty[PiRow]=_xlfn.TEXTAFTER($H232,":"))*(PptoSty[PiColumn]=R$54),0)),SUM(IF((INDIRECT($B$3)=$B232)*(INDIRECT($C$3)=$D232)*((INDIRECT($E$3)="TOTS")+(INDIRECT($E$3)=$E232)),INDIRECT(R$3)))),_xlpm.y,SUM(_xlfn.CHOOSECOLS(_xlfn._xlws.FILTER(F_RT14[],(F_RT14[PrjId]=$B232)*(F_RT14[Vrs]=$D232)*(_xlfn.TEXTAFTER(F_RT14[ActGrp],":")=_xlfn.TEXTAFTER($H232,":")),"X"),MATCH("*"&amp;R$54,F_RT14[#Headers],0))),IF(AND(_xlpm.x=0,_xlpm.y&lt;&gt;0),-1,IF(AND(_xlpm.x&lt;&gt;0,_xlpm.y&lt;&gt;0),_xlpm.x,IF(AND(_xlpm.x-SUM(IF((INDIRECT($B$3)=$B232)*(INDIRECT($C$3)=$D232)*((INDIRECT($E$3)="TOTS")+(INDIRECT($E$3)=$E232)),INDIRECT(R$3)))&lt;&gt;0,_xlpm.y=0),-2,_xlpm.x)))),0))</f>
        <v>0</v>
      </c>
      <c r="S232" s="199" cm="1">
        <f t="array" aca="1" ref="S232" ca="1">IF(OR($B232="",$B232="X",$D232="",$D232="X",$E232="",$E232="X"),0,IFERROR(_xlfn.LET(_xlpm.x,SUM(SUM(_xlfn._xlws.FILTER(VALUE(PptoSty[Sign]&amp;1)*(1/PptoSty[Division]),(PptoSty[Division]&lt;&gt;0)*(PptoSty[Division]&lt;&gt;"")*(PptoSty[Division]&lt;&gt;"X")*(PptoSty[Project]=$B232)*(PptoSty[Vrs]=$D232)*(PptoSty[PiRow]=_xlfn.TEXTAFTER($H232,":"))*(PptoSty[PiColumn]=S$54),0)),SUM(IF((INDIRECT($B$3)=$B232)*(INDIRECT($C$3)=$D232)*((INDIRECT($E$3)="TOTS")+(INDIRECT($E$3)=$E232)),INDIRECT(S$3)))),_xlpm.y,SUM(_xlfn.CHOOSECOLS(_xlfn._xlws.FILTER(F_RT14[],(F_RT14[PrjId]=$B232)*(F_RT14[Vrs]=$D232)*(_xlfn.TEXTAFTER(F_RT14[ActGrp],":")=_xlfn.TEXTAFTER($H232,":")),"X"),MATCH("*"&amp;S$54,F_RT14[#Headers],0))),IF(AND(_xlpm.x=0,_xlpm.y&lt;&gt;0),-1,IF(AND(_xlpm.x&lt;&gt;0,_xlpm.y&lt;&gt;0),_xlpm.x,IF(AND(_xlpm.x-SUM(IF((INDIRECT($B$3)=$B232)*(INDIRECT($C$3)=$D232)*((INDIRECT($E$3)="TOTS")+(INDIRECT($E$3)=$E232)),INDIRECT(S$3)))&lt;&gt;0,_xlpm.y=0),-2,_xlpm.x)))),0))</f>
        <v>0</v>
      </c>
      <c r="T232" s="199" cm="1">
        <f t="array" aca="1" ref="T232" ca="1">IF(OR($B232="",$B232="X",$D232="",$D232="X",$E232="",$E232="X"),0,IFERROR(_xlfn.LET(_xlpm.x,SUM(SUM(_xlfn._xlws.FILTER(VALUE(PptoSty[Sign]&amp;1)*(1/PptoSty[Division]),(PptoSty[Division]&lt;&gt;0)*(PptoSty[Division]&lt;&gt;"")*(PptoSty[Division]&lt;&gt;"X")*(PptoSty[Project]=$B232)*(PptoSty[Vrs]=$D232)*(PptoSty[PiRow]=_xlfn.TEXTAFTER($H232,":"))*(PptoSty[PiColumn]=T$54),0)),SUM(IF((INDIRECT($B$3)=$B232)*(INDIRECT($C$3)=$D232)*((INDIRECT($E$3)="TOTS")+(INDIRECT($E$3)=$E232)),INDIRECT(T$3)))),_xlpm.y,SUM(_xlfn.CHOOSECOLS(_xlfn._xlws.FILTER(F_RT14[],(F_RT14[PrjId]=$B232)*(F_RT14[Vrs]=$D232)*(_xlfn.TEXTAFTER(F_RT14[ActGrp],":")=_xlfn.TEXTAFTER($H232,":")),"X"),MATCH("*"&amp;T$54,F_RT14[#Headers],0))),IF(AND(_xlpm.x=0,_xlpm.y&lt;&gt;0),-1,IF(AND(_xlpm.x&lt;&gt;0,_xlpm.y&lt;&gt;0),_xlpm.x,IF(AND(_xlpm.x-SUM(IF((INDIRECT($B$3)=$B232)*(INDIRECT($C$3)=$D232)*((INDIRECT($E$3)="TOTS")+(INDIRECT($E$3)=$E232)),INDIRECT(T$3)))&lt;&gt;0,_xlpm.y=0),-2,_xlpm.x)))),0))</f>
        <v>0</v>
      </c>
      <c r="U232" s="199" cm="1">
        <f t="array" aca="1" ref="U232" ca="1">IF(OR($B232="",$B232="X",$D232="",$D232="X",$E232="",$E232="X"),0,IFERROR(_xlfn.LET(_xlpm.x,SUM(SUM(_xlfn._xlws.FILTER(VALUE(PptoSty[Sign]&amp;1)*(1/PptoSty[Division]),(PptoSty[Division]&lt;&gt;0)*(PptoSty[Division]&lt;&gt;"")*(PptoSty[Division]&lt;&gt;"X")*(PptoSty[Project]=$B232)*(PptoSty[Vrs]=$D232)*(PptoSty[PiRow]=_xlfn.TEXTAFTER($H232,":"))*(PptoSty[PiColumn]=U$54),0)),SUM(IF((INDIRECT($B$3)=$B232)*(INDIRECT($C$3)=$D232)*((INDIRECT($E$3)="TOTS")+(INDIRECT($E$3)=$E232)),INDIRECT(U$3)))),_xlpm.y,SUM(_xlfn.CHOOSECOLS(_xlfn._xlws.FILTER(F_RT14[],(F_RT14[PrjId]=$B232)*(F_RT14[Vrs]=$D232)*(_xlfn.TEXTAFTER(F_RT14[ActGrp],":")=_xlfn.TEXTAFTER($H232,":")),"X"),MATCH("*"&amp;U$54,F_RT14[#Headers],0))),IF(AND(_xlpm.x=0,_xlpm.y&lt;&gt;0),-1,IF(AND(_xlpm.x&lt;&gt;0,_xlpm.y&lt;&gt;0),_xlpm.x,IF(AND(_xlpm.x-SUM(IF((INDIRECT($B$3)=$B232)*(INDIRECT($C$3)=$D232)*((INDIRECT($E$3)="TOTS")+(INDIRECT($E$3)=$E232)),INDIRECT(U$3)))&lt;&gt;0,_xlpm.y=0),-2,_xlpm.x)))),0))</f>
        <v>0</v>
      </c>
      <c r="V232" s="199" cm="1">
        <f t="array" aca="1" ref="V232" ca="1">IF(OR($B232="",$B232="X",$D232="",$D232="X",$E232="",$E232="X"),0,IFERROR(_xlfn.LET(_xlpm.x,SUM(SUM(_xlfn._xlws.FILTER(VALUE(PptoSty[Sign]&amp;1)*(1/PptoSty[Division]),(PptoSty[Division]&lt;&gt;0)*(PptoSty[Division]&lt;&gt;"")*(PptoSty[Division]&lt;&gt;"X")*(PptoSty[Project]=$B232)*(PptoSty[Vrs]=$D232)*(PptoSty[PiRow]=_xlfn.TEXTAFTER($H232,":"))*(PptoSty[PiColumn]=V$54),0)),SUM(IF((INDIRECT($B$3)=$B232)*(INDIRECT($C$3)=$D232)*((INDIRECT($E$3)="TOTS")+(INDIRECT($E$3)=$E232)),INDIRECT(V$3)))),_xlpm.y,SUM(_xlfn.CHOOSECOLS(_xlfn._xlws.FILTER(F_RT14[],(F_RT14[PrjId]=$B232)*(F_RT14[Vrs]=$D232)*(_xlfn.TEXTAFTER(F_RT14[ActGrp],":")=_xlfn.TEXTAFTER($H232,":")),"X"),MATCH("*"&amp;V$54,F_RT14[#Headers],0))),IF(AND(_xlpm.x=0,_xlpm.y&lt;&gt;0),-1,IF(AND(_xlpm.x&lt;&gt;0,_xlpm.y&lt;&gt;0),_xlpm.x,IF(AND(_xlpm.x-SUM(IF((INDIRECT($B$3)=$B232)*(INDIRECT($C$3)=$D232)*((INDIRECT($E$3)="TOTS")+(INDIRECT($E$3)=$E232)),INDIRECT(V$3)))&lt;&gt;0,_xlpm.y=0),-2,_xlpm.x)))),0))</f>
        <v>0</v>
      </c>
      <c r="W232" s="199" cm="1">
        <f t="array" aca="1" ref="W232" ca="1">IF(OR($B232="",$B232="X",$D232="",$D232="X",$E232="",$E232="X"),0,IFERROR(_xlfn.LET(_xlpm.x,SUM(SUM(_xlfn._xlws.FILTER(VALUE(PptoSty[Sign]&amp;1)*(1/PptoSty[Division]),(PptoSty[Division]&lt;&gt;0)*(PptoSty[Division]&lt;&gt;"")*(PptoSty[Division]&lt;&gt;"X")*(PptoSty[Project]=$B232)*(PptoSty[Vrs]=$D232)*(PptoSty[PiRow]=_xlfn.TEXTAFTER($H232,":"))*(PptoSty[PiColumn]=W$54),0)),SUM(IF((INDIRECT($B$3)=$B232)*(INDIRECT($C$3)=$D232)*((INDIRECT($E$3)="TOTS")+(INDIRECT($E$3)=$E232)),INDIRECT(W$3)))),_xlpm.y,SUM(_xlfn.CHOOSECOLS(_xlfn._xlws.FILTER(F_RT14[],(F_RT14[PrjId]=$B232)*(F_RT14[Vrs]=$D232)*(_xlfn.TEXTAFTER(F_RT14[ActGrp],":")=_xlfn.TEXTAFTER($H232,":")),"X"),MATCH("*"&amp;W$54,F_RT14[#Headers],0))),IF(AND(_xlpm.x=0,_xlpm.y&lt;&gt;0),-1,IF(AND(_xlpm.x&lt;&gt;0,_xlpm.y&lt;&gt;0),_xlpm.x,IF(AND(_xlpm.x-SUM(IF((INDIRECT($B$3)=$B232)*(INDIRECT($C$3)=$D232)*((INDIRECT($E$3)="TOTS")+(INDIRECT($E$3)=$E232)),INDIRECT(W$3)))&lt;&gt;0,_xlpm.y=0),-2,_xlpm.x)))),0))</f>
        <v>0</v>
      </c>
      <c r="X232" s="199" cm="1">
        <f t="array" aca="1" ref="X232" ca="1">IF(OR($B232="",$B232="X",$D232="",$D232="X",$E232="",$E232="X"),0,IFERROR(_xlfn.LET(_xlpm.x,SUM(SUM(_xlfn._xlws.FILTER(VALUE(PptoSty[Sign]&amp;1)*(1/PptoSty[Division]),(PptoSty[Division]&lt;&gt;0)*(PptoSty[Division]&lt;&gt;"")*(PptoSty[Division]&lt;&gt;"X")*(PptoSty[Project]=$B232)*(PptoSty[Vrs]=$D232)*(PptoSty[PiRow]=_xlfn.TEXTAFTER($H232,":"))*(PptoSty[PiColumn]=X$54),0)),SUM(IF((INDIRECT($B$3)=$B232)*(INDIRECT($C$3)=$D232)*((INDIRECT($E$3)="TOTS")+(INDIRECT($E$3)=$E232)),INDIRECT(X$3)))),_xlpm.y,SUM(_xlfn.CHOOSECOLS(_xlfn._xlws.FILTER(F_RT14[],(F_RT14[PrjId]=$B232)*(F_RT14[Vrs]=$D232)*(_xlfn.TEXTAFTER(F_RT14[ActGrp],":")=_xlfn.TEXTAFTER($H232,":")),"X"),MATCH("*"&amp;X$54,F_RT14[#Headers],0))),IF(AND(_xlpm.x=0,_xlpm.y&lt;&gt;0),-1,IF(AND(_xlpm.x&lt;&gt;0,_xlpm.y&lt;&gt;0),_xlpm.x,IF(AND(_xlpm.x-SUM(IF((INDIRECT($B$3)=$B232)*(INDIRECT($C$3)=$D232)*((INDIRECT($E$3)="TOTS")+(INDIRECT($E$3)=$E232)),INDIRECT(X$3)))&lt;&gt;0,_xlpm.y=0),-2,_xlpm.x)))),0))</f>
        <v>0</v>
      </c>
      <c r="Y232" s="199" cm="1">
        <f t="array" aca="1" ref="Y232" ca="1">IF(OR($B232="",$B232="X",$D232="",$D232="X",$E232="",$E232="X"),0,IFERROR(_xlfn.LET(_xlpm.x,SUM(SUM(_xlfn._xlws.FILTER(VALUE(PptoSty[Sign]&amp;1)*(1/PptoSty[Division]),(PptoSty[Division]&lt;&gt;0)*(PptoSty[Division]&lt;&gt;"")*(PptoSty[Division]&lt;&gt;"X")*(PptoSty[Project]=$B232)*(PptoSty[Vrs]=$D232)*(PptoSty[PiRow]=_xlfn.TEXTAFTER($H232,":"))*(PptoSty[PiColumn]=Y$54),0)),SUM(IF((INDIRECT($B$3)=$B232)*(INDIRECT($C$3)=$D232)*((INDIRECT($E$3)="TOTS")+(INDIRECT($E$3)=$E232)),INDIRECT(Y$3)))),_xlpm.y,SUM(_xlfn.CHOOSECOLS(_xlfn._xlws.FILTER(F_RT14[],(F_RT14[PrjId]=$B232)*(F_RT14[Vrs]=$D232)*(_xlfn.TEXTAFTER(F_RT14[ActGrp],":")=_xlfn.TEXTAFTER($H232,":")),"X"),MATCH("*"&amp;Y$54,F_RT14[#Headers],0))),IF(AND(_xlpm.x=0,_xlpm.y&lt;&gt;0),-1,IF(AND(_xlpm.x&lt;&gt;0,_xlpm.y&lt;&gt;0),_xlpm.x,IF(AND(_xlpm.x-SUM(IF((INDIRECT($B$3)=$B232)*(INDIRECT($C$3)=$D232)*((INDIRECT($E$3)="TOTS")+(INDIRECT($E$3)=$E232)),INDIRECT(Y$3)))&lt;&gt;0,_xlpm.y=0),-2,_xlpm.x)))),0))</f>
        <v>0</v>
      </c>
      <c r="Z232" s="198" t="str">
        <f t="shared" ca="1" si="4"/>
        <v>Fback!B232:Y232</v>
      </c>
    </row>
    <row r="233" spans="2:26" ht="21" customHeight="1" outlineLevel="1">
      <c r="B233" s="128"/>
      <c r="C233" s="128"/>
      <c r="D233" s="128"/>
      <c r="E233" s="128"/>
      <c r="F233" s="139"/>
      <c r="G233" s="139"/>
      <c r="H233" s="139"/>
      <c r="I233" s="199" cm="1">
        <f t="array" aca="1" ref="I233" ca="1">IF(OR($B233="",$B233="X",$D233="",$D233="X",$E233="",$E233="X"),0,IFERROR(_xlfn.LET(_xlpm.x,SUM(SUM(_xlfn._xlws.FILTER(VALUE(PptoSty[Sign]&amp;1)*(1/PptoSty[Division]),(PptoSty[Division]&lt;&gt;0)*(PptoSty[Division]&lt;&gt;"")*(PptoSty[Division]&lt;&gt;"X")*(PptoSty[Project]=$B233)*(PptoSty[Vrs]=$D233)*(PptoSty[PiRow]=_xlfn.TEXTAFTER($H233,":"))*(PptoSty[PiColumn]=I$54),0)),SUM(IF((INDIRECT($B$3)=$B233)*(INDIRECT($C$3)=$D233)*((INDIRECT($E$3)="TOTS")+(INDIRECT($E$3)=$E233)),INDIRECT(I$3)))),_xlpm.y,SUM(_xlfn.CHOOSECOLS(_xlfn._xlws.FILTER(F_RT14[],(F_RT14[PrjId]=$B233)*(F_RT14[Vrs]=$D233)*(_xlfn.TEXTAFTER(F_RT14[ActGrp],":")=_xlfn.TEXTAFTER($H233,":")),"X"),MATCH("*"&amp;I$54,F_RT14[#Headers],0))),IF(AND(_xlpm.x=0,_xlpm.y&lt;&gt;0),-1,IF(AND(_xlpm.x&lt;&gt;0,_xlpm.y&lt;&gt;0),_xlpm.x,IF(AND(_xlpm.x-SUM(IF((INDIRECT($B$3)=$B233)*(INDIRECT($C$3)=$D233)*((INDIRECT($E$3)="TOTS")+(INDIRECT($E$3)=$E233)),INDIRECT(I$3)))&lt;&gt;0,_xlpm.y=0),-2,_xlpm.x)))),0))</f>
        <v>0</v>
      </c>
      <c r="J233" s="199" cm="1">
        <f t="array" aca="1" ref="J233" ca="1">IF(OR($B233="",$B233="X",$D233="",$D233="X",$E233="",$E233="X"),0,IFERROR(_xlfn.LET(_xlpm.x,SUM(SUM(_xlfn._xlws.FILTER(VALUE(PptoSty[Sign]&amp;1)*(1/PptoSty[Division]),(PptoSty[Division]&lt;&gt;0)*(PptoSty[Division]&lt;&gt;"")*(PptoSty[Division]&lt;&gt;"X")*(PptoSty[Project]=$B233)*(PptoSty[Vrs]=$D233)*(PptoSty[PiRow]=_xlfn.TEXTAFTER($H233,":"))*(PptoSty[PiColumn]=J$54),0)),SUM(IF((INDIRECT($B$3)=$B233)*(INDIRECT($C$3)=$D233)*((INDIRECT($E$3)="TOTS")+(INDIRECT($E$3)=$E233)),INDIRECT(J$3)))),_xlpm.y,SUM(_xlfn.CHOOSECOLS(_xlfn._xlws.FILTER(F_RT14[],(F_RT14[PrjId]=$B233)*(F_RT14[Vrs]=$D233)*(_xlfn.TEXTAFTER(F_RT14[ActGrp],":")=_xlfn.TEXTAFTER($H233,":")),"X"),MATCH("*"&amp;J$54,F_RT14[#Headers],0))),IF(AND(_xlpm.x=0,_xlpm.y&lt;&gt;0),-1,IF(AND(_xlpm.x&lt;&gt;0,_xlpm.y&lt;&gt;0),_xlpm.x,IF(AND(_xlpm.x-SUM(IF((INDIRECT($B$3)=$B233)*(INDIRECT($C$3)=$D233)*((INDIRECT($E$3)="TOTS")+(INDIRECT($E$3)=$E233)),INDIRECT(J$3)))&lt;&gt;0,_xlpm.y=0),-2,_xlpm.x)))),0))</f>
        <v>0</v>
      </c>
      <c r="K233" s="199" cm="1">
        <f t="array" aca="1" ref="K233" ca="1">IF(OR($B233="",$B233="X",$D233="",$D233="X",$E233="",$E233="X"),0,IFERROR(_xlfn.LET(_xlpm.x,SUM(SUM(_xlfn._xlws.FILTER(VALUE(PptoSty[Sign]&amp;1)*(1/PptoSty[Division]),(PptoSty[Division]&lt;&gt;0)*(PptoSty[Division]&lt;&gt;"")*(PptoSty[Division]&lt;&gt;"X")*(PptoSty[Project]=$B233)*(PptoSty[Vrs]=$D233)*(PptoSty[PiRow]=_xlfn.TEXTAFTER($H233,":"))*(PptoSty[PiColumn]=K$54),0)),SUM(IF((INDIRECT($B$3)=$B233)*(INDIRECT($C$3)=$D233)*((INDIRECT($E$3)="TOTS")+(INDIRECT($E$3)=$E233)),INDIRECT(K$3)))),_xlpm.y,SUM(_xlfn.CHOOSECOLS(_xlfn._xlws.FILTER(F_RT14[],(F_RT14[PrjId]=$B233)*(F_RT14[Vrs]=$D233)*(_xlfn.TEXTAFTER(F_RT14[ActGrp],":")=_xlfn.TEXTAFTER($H233,":")),"X"),MATCH("*"&amp;K$54,F_RT14[#Headers],0))),IF(AND(_xlpm.x=0,_xlpm.y&lt;&gt;0),-1,IF(AND(_xlpm.x&lt;&gt;0,_xlpm.y&lt;&gt;0),_xlpm.x,IF(AND(_xlpm.x-SUM(IF((INDIRECT($B$3)=$B233)*(INDIRECT($C$3)=$D233)*((INDIRECT($E$3)="TOTS")+(INDIRECT($E$3)=$E233)),INDIRECT(K$3)))&lt;&gt;0,_xlpm.y=0),-2,_xlpm.x)))),0))</f>
        <v>0</v>
      </c>
      <c r="L233" s="199" cm="1">
        <f t="array" aca="1" ref="L233" ca="1">IF(OR($B233="",$B233="X",$D233="",$D233="X",$E233="",$E233="X"),0,IFERROR(_xlfn.LET(_xlpm.x,SUM(SUM(_xlfn._xlws.FILTER(VALUE(PptoSty[Sign]&amp;1)*(1/PptoSty[Division]),(PptoSty[Division]&lt;&gt;0)*(PptoSty[Division]&lt;&gt;"")*(PptoSty[Division]&lt;&gt;"X")*(PptoSty[Project]=$B233)*(PptoSty[Vrs]=$D233)*(PptoSty[PiRow]=_xlfn.TEXTAFTER($H233,":"))*(PptoSty[PiColumn]=L$54),0)),SUM(IF((INDIRECT($B$3)=$B233)*(INDIRECT($C$3)=$D233)*((INDIRECT($E$3)="TOTS")+(INDIRECT($E$3)=$E233)),INDIRECT(L$3)))),_xlpm.y,SUM(_xlfn.CHOOSECOLS(_xlfn._xlws.FILTER(F_RT14[],(F_RT14[PrjId]=$B233)*(F_RT14[Vrs]=$D233)*(_xlfn.TEXTAFTER(F_RT14[ActGrp],":")=_xlfn.TEXTAFTER($H233,":")),"X"),MATCH("*"&amp;L$54,F_RT14[#Headers],0))),IF(AND(_xlpm.x=0,_xlpm.y&lt;&gt;0),-1,IF(AND(_xlpm.x&lt;&gt;0,_xlpm.y&lt;&gt;0),_xlpm.x,IF(AND(_xlpm.x-SUM(IF((INDIRECT($B$3)=$B233)*(INDIRECT($C$3)=$D233)*((INDIRECT($E$3)="TOTS")+(INDIRECT($E$3)=$E233)),INDIRECT(L$3)))&lt;&gt;0,_xlpm.y=0),-2,_xlpm.x)))),0))</f>
        <v>0</v>
      </c>
      <c r="M233" s="199" cm="1">
        <f t="array" aca="1" ref="M233" ca="1">IF(OR($B233="",$B233="X",$D233="",$D233="X",$E233="",$E233="X"),0,IFERROR(_xlfn.LET(_xlpm.x,SUM(SUM(_xlfn._xlws.FILTER(VALUE(PptoSty[Sign]&amp;1)*(1/PptoSty[Division]),(PptoSty[Division]&lt;&gt;0)*(PptoSty[Division]&lt;&gt;"")*(PptoSty[Division]&lt;&gt;"X")*(PptoSty[Project]=$B233)*(PptoSty[Vrs]=$D233)*(PptoSty[PiRow]=_xlfn.TEXTAFTER($H233,":"))*(PptoSty[PiColumn]=M$54),0)),SUM(IF((INDIRECT($B$3)=$B233)*(INDIRECT($C$3)=$D233)*((INDIRECT($E$3)="TOTS")+(INDIRECT($E$3)=$E233)),INDIRECT(M$3)))),_xlpm.y,SUM(_xlfn.CHOOSECOLS(_xlfn._xlws.FILTER(F_RT14[],(F_RT14[PrjId]=$B233)*(F_RT14[Vrs]=$D233)*(_xlfn.TEXTAFTER(F_RT14[ActGrp],":")=_xlfn.TEXTAFTER($H233,":")),"X"),MATCH("*"&amp;M$54,F_RT14[#Headers],0))),IF(AND(_xlpm.x=0,_xlpm.y&lt;&gt;0),-1,IF(AND(_xlpm.x&lt;&gt;0,_xlpm.y&lt;&gt;0),_xlpm.x,IF(AND(_xlpm.x-SUM(IF((INDIRECT($B$3)=$B233)*(INDIRECT($C$3)=$D233)*((INDIRECT($E$3)="TOTS")+(INDIRECT($E$3)=$E233)),INDIRECT(M$3)))&lt;&gt;0,_xlpm.y=0),-2,_xlpm.x)))),0))</f>
        <v>0</v>
      </c>
      <c r="N233" s="199" cm="1">
        <f t="array" aca="1" ref="N233" ca="1">IF(OR($B233="",$B233="X",$D233="",$D233="X",$E233="",$E233="X"),0,IFERROR(_xlfn.LET(_xlpm.x,SUM(SUM(_xlfn._xlws.FILTER(VALUE(PptoSty[Sign]&amp;1)*(1/PptoSty[Division]),(PptoSty[Division]&lt;&gt;0)*(PptoSty[Division]&lt;&gt;"")*(PptoSty[Division]&lt;&gt;"X")*(PptoSty[Project]=$B233)*(PptoSty[Vrs]=$D233)*(PptoSty[PiRow]=_xlfn.TEXTAFTER($H233,":"))*(PptoSty[PiColumn]=N$54),0)),SUM(IF((INDIRECT($B$3)=$B233)*(INDIRECT($C$3)=$D233)*((INDIRECT($E$3)="TOTS")+(INDIRECT($E$3)=$E233)),INDIRECT(N$3)))),_xlpm.y,SUM(_xlfn.CHOOSECOLS(_xlfn._xlws.FILTER(F_RT14[],(F_RT14[PrjId]=$B233)*(F_RT14[Vrs]=$D233)*(_xlfn.TEXTAFTER(F_RT14[ActGrp],":")=_xlfn.TEXTAFTER($H233,":")),"X"),MATCH("*"&amp;N$54,F_RT14[#Headers],0))),IF(AND(_xlpm.x=0,_xlpm.y&lt;&gt;0),-1,IF(AND(_xlpm.x&lt;&gt;0,_xlpm.y&lt;&gt;0),_xlpm.x,IF(AND(_xlpm.x-SUM(IF((INDIRECT($B$3)=$B233)*(INDIRECT($C$3)=$D233)*((INDIRECT($E$3)="TOTS")+(INDIRECT($E$3)=$E233)),INDIRECT(N$3)))&lt;&gt;0,_xlpm.y=0),-2,_xlpm.x)))),0))</f>
        <v>0</v>
      </c>
      <c r="O233" s="199" cm="1">
        <f t="array" aca="1" ref="O233" ca="1">IF(OR($B233="",$B233="X",$D233="",$D233="X",$E233="",$E233="X"),0,IFERROR(_xlfn.LET(_xlpm.x,SUM(SUM(_xlfn._xlws.FILTER(VALUE(PptoSty[Sign]&amp;1)*(1/PptoSty[Division]),(PptoSty[Division]&lt;&gt;0)*(PptoSty[Division]&lt;&gt;"")*(PptoSty[Division]&lt;&gt;"X")*(PptoSty[Project]=$B233)*(PptoSty[Vrs]=$D233)*(PptoSty[PiRow]=_xlfn.TEXTAFTER($H233,":"))*(PptoSty[PiColumn]=O$54),0)),SUM(IF((INDIRECT($B$3)=$B233)*(INDIRECT($C$3)=$D233)*((INDIRECT($E$3)="TOTS")+(INDIRECT($E$3)=$E233)),INDIRECT(O$3)))),_xlpm.y,SUM(_xlfn.CHOOSECOLS(_xlfn._xlws.FILTER(F_RT14[],(F_RT14[PrjId]=$B233)*(F_RT14[Vrs]=$D233)*(_xlfn.TEXTAFTER(F_RT14[ActGrp],":")=_xlfn.TEXTAFTER($H233,":")),"X"),MATCH("*"&amp;O$54,F_RT14[#Headers],0))),IF(AND(_xlpm.x=0,_xlpm.y&lt;&gt;0),-1,IF(AND(_xlpm.x&lt;&gt;0,_xlpm.y&lt;&gt;0),_xlpm.x,IF(AND(_xlpm.x-SUM(IF((INDIRECT($B$3)=$B233)*(INDIRECT($C$3)=$D233)*((INDIRECT($E$3)="TOTS")+(INDIRECT($E$3)=$E233)),INDIRECT(O$3)))&lt;&gt;0,_xlpm.y=0),-2,_xlpm.x)))),0))</f>
        <v>0</v>
      </c>
      <c r="P233" s="199" cm="1">
        <f t="array" aca="1" ref="P233" ca="1">IF(OR($B233="",$B233="X",$D233="",$D233="X",$E233="",$E233="X"),0,IFERROR(_xlfn.LET(_xlpm.x,SUM(SUM(_xlfn._xlws.FILTER(VALUE(PptoSty[Sign]&amp;1)*(1/PptoSty[Division]),(PptoSty[Division]&lt;&gt;0)*(PptoSty[Division]&lt;&gt;"")*(PptoSty[Division]&lt;&gt;"X")*(PptoSty[Project]=$B233)*(PptoSty[Vrs]=$D233)*(PptoSty[PiRow]=_xlfn.TEXTAFTER($H233,":"))*(PptoSty[PiColumn]=P$54),0)),SUM(IF((INDIRECT($B$3)=$B233)*(INDIRECT($C$3)=$D233)*((INDIRECT($E$3)="TOTS")+(INDIRECT($E$3)=$E233)),INDIRECT(P$3)))),_xlpm.y,SUM(_xlfn.CHOOSECOLS(_xlfn._xlws.FILTER(F_RT14[],(F_RT14[PrjId]=$B233)*(F_RT14[Vrs]=$D233)*(_xlfn.TEXTAFTER(F_RT14[ActGrp],":")=_xlfn.TEXTAFTER($H233,":")),"X"),MATCH("*"&amp;P$54,F_RT14[#Headers],0))),IF(AND(_xlpm.x=0,_xlpm.y&lt;&gt;0),-1,IF(AND(_xlpm.x&lt;&gt;0,_xlpm.y&lt;&gt;0),_xlpm.x,IF(AND(_xlpm.x-SUM(IF((INDIRECT($B$3)=$B233)*(INDIRECT($C$3)=$D233)*((INDIRECT($E$3)="TOTS")+(INDIRECT($E$3)=$E233)),INDIRECT(P$3)))&lt;&gt;0,_xlpm.y=0),-2,_xlpm.x)))),0))</f>
        <v>0</v>
      </c>
      <c r="Q233" s="199" cm="1">
        <f t="array" aca="1" ref="Q233" ca="1">IF(OR($B233="",$B233="X",$D233="",$D233="X",$E233="",$E233="X"),0,IFERROR(_xlfn.LET(_xlpm.x,SUM(SUM(_xlfn._xlws.FILTER(VALUE(PptoSty[Sign]&amp;1)*(1/PptoSty[Division]),(PptoSty[Division]&lt;&gt;0)*(PptoSty[Division]&lt;&gt;"")*(PptoSty[Division]&lt;&gt;"X")*(PptoSty[Project]=$B233)*(PptoSty[Vrs]=$D233)*(PptoSty[PiRow]=_xlfn.TEXTAFTER($H233,":"))*(PptoSty[PiColumn]=Q$54),0)),SUM(IF((INDIRECT($B$3)=$B233)*(INDIRECT($C$3)=$D233)*((INDIRECT($E$3)="TOTS")+(INDIRECT($E$3)=$E233)),INDIRECT(Q$3)))),_xlpm.y,SUM(_xlfn.CHOOSECOLS(_xlfn._xlws.FILTER(F_RT14[],(F_RT14[PrjId]=$B233)*(F_RT14[Vrs]=$D233)*(_xlfn.TEXTAFTER(F_RT14[ActGrp],":")=_xlfn.TEXTAFTER($H233,":")),"X"),MATCH("*"&amp;Q$54,F_RT14[#Headers],0))),IF(AND(_xlpm.x=0,_xlpm.y&lt;&gt;0),-1,IF(AND(_xlpm.x&lt;&gt;0,_xlpm.y&lt;&gt;0),_xlpm.x,IF(AND(_xlpm.x-SUM(IF((INDIRECT($B$3)=$B233)*(INDIRECT($C$3)=$D233)*((INDIRECT($E$3)="TOTS")+(INDIRECT($E$3)=$E233)),INDIRECT(Q$3)))&lt;&gt;0,_xlpm.y=0),-2,_xlpm.x)))),0))</f>
        <v>0</v>
      </c>
      <c r="R233" s="199" cm="1">
        <f t="array" aca="1" ref="R233" ca="1">IF(OR($B233="",$B233="X",$D233="",$D233="X",$E233="",$E233="X"),0,IFERROR(_xlfn.LET(_xlpm.x,SUM(SUM(_xlfn._xlws.FILTER(VALUE(PptoSty[Sign]&amp;1)*(1/PptoSty[Division]),(PptoSty[Division]&lt;&gt;0)*(PptoSty[Division]&lt;&gt;"")*(PptoSty[Division]&lt;&gt;"X")*(PptoSty[Project]=$B233)*(PptoSty[Vrs]=$D233)*(PptoSty[PiRow]=_xlfn.TEXTAFTER($H233,":"))*(PptoSty[PiColumn]=R$54),0)),SUM(IF((INDIRECT($B$3)=$B233)*(INDIRECT($C$3)=$D233)*((INDIRECT($E$3)="TOTS")+(INDIRECT($E$3)=$E233)),INDIRECT(R$3)))),_xlpm.y,SUM(_xlfn.CHOOSECOLS(_xlfn._xlws.FILTER(F_RT14[],(F_RT14[PrjId]=$B233)*(F_RT14[Vrs]=$D233)*(_xlfn.TEXTAFTER(F_RT14[ActGrp],":")=_xlfn.TEXTAFTER($H233,":")),"X"),MATCH("*"&amp;R$54,F_RT14[#Headers],0))),IF(AND(_xlpm.x=0,_xlpm.y&lt;&gt;0),-1,IF(AND(_xlpm.x&lt;&gt;0,_xlpm.y&lt;&gt;0),_xlpm.x,IF(AND(_xlpm.x-SUM(IF((INDIRECT($B$3)=$B233)*(INDIRECT($C$3)=$D233)*((INDIRECT($E$3)="TOTS")+(INDIRECT($E$3)=$E233)),INDIRECT(R$3)))&lt;&gt;0,_xlpm.y=0),-2,_xlpm.x)))),0))</f>
        <v>0</v>
      </c>
      <c r="S233" s="199" cm="1">
        <f t="array" aca="1" ref="S233" ca="1">IF(OR($B233="",$B233="X",$D233="",$D233="X",$E233="",$E233="X"),0,IFERROR(_xlfn.LET(_xlpm.x,SUM(SUM(_xlfn._xlws.FILTER(VALUE(PptoSty[Sign]&amp;1)*(1/PptoSty[Division]),(PptoSty[Division]&lt;&gt;0)*(PptoSty[Division]&lt;&gt;"")*(PptoSty[Division]&lt;&gt;"X")*(PptoSty[Project]=$B233)*(PptoSty[Vrs]=$D233)*(PptoSty[PiRow]=_xlfn.TEXTAFTER($H233,":"))*(PptoSty[PiColumn]=S$54),0)),SUM(IF((INDIRECT($B$3)=$B233)*(INDIRECT($C$3)=$D233)*((INDIRECT($E$3)="TOTS")+(INDIRECT($E$3)=$E233)),INDIRECT(S$3)))),_xlpm.y,SUM(_xlfn.CHOOSECOLS(_xlfn._xlws.FILTER(F_RT14[],(F_RT14[PrjId]=$B233)*(F_RT14[Vrs]=$D233)*(_xlfn.TEXTAFTER(F_RT14[ActGrp],":")=_xlfn.TEXTAFTER($H233,":")),"X"),MATCH("*"&amp;S$54,F_RT14[#Headers],0))),IF(AND(_xlpm.x=0,_xlpm.y&lt;&gt;0),-1,IF(AND(_xlpm.x&lt;&gt;0,_xlpm.y&lt;&gt;0),_xlpm.x,IF(AND(_xlpm.x-SUM(IF((INDIRECT($B$3)=$B233)*(INDIRECT($C$3)=$D233)*((INDIRECT($E$3)="TOTS")+(INDIRECT($E$3)=$E233)),INDIRECT(S$3)))&lt;&gt;0,_xlpm.y=0),-2,_xlpm.x)))),0))</f>
        <v>0</v>
      </c>
      <c r="T233" s="199" cm="1">
        <f t="array" aca="1" ref="T233" ca="1">IF(OR($B233="",$B233="X",$D233="",$D233="X",$E233="",$E233="X"),0,IFERROR(_xlfn.LET(_xlpm.x,SUM(SUM(_xlfn._xlws.FILTER(VALUE(PptoSty[Sign]&amp;1)*(1/PptoSty[Division]),(PptoSty[Division]&lt;&gt;0)*(PptoSty[Division]&lt;&gt;"")*(PptoSty[Division]&lt;&gt;"X")*(PptoSty[Project]=$B233)*(PptoSty[Vrs]=$D233)*(PptoSty[PiRow]=_xlfn.TEXTAFTER($H233,":"))*(PptoSty[PiColumn]=T$54),0)),SUM(IF((INDIRECT($B$3)=$B233)*(INDIRECT($C$3)=$D233)*((INDIRECT($E$3)="TOTS")+(INDIRECT($E$3)=$E233)),INDIRECT(T$3)))),_xlpm.y,SUM(_xlfn.CHOOSECOLS(_xlfn._xlws.FILTER(F_RT14[],(F_RT14[PrjId]=$B233)*(F_RT14[Vrs]=$D233)*(_xlfn.TEXTAFTER(F_RT14[ActGrp],":")=_xlfn.TEXTAFTER($H233,":")),"X"),MATCH("*"&amp;T$54,F_RT14[#Headers],0))),IF(AND(_xlpm.x=0,_xlpm.y&lt;&gt;0),-1,IF(AND(_xlpm.x&lt;&gt;0,_xlpm.y&lt;&gt;0),_xlpm.x,IF(AND(_xlpm.x-SUM(IF((INDIRECT($B$3)=$B233)*(INDIRECT($C$3)=$D233)*((INDIRECT($E$3)="TOTS")+(INDIRECT($E$3)=$E233)),INDIRECT(T$3)))&lt;&gt;0,_xlpm.y=0),-2,_xlpm.x)))),0))</f>
        <v>0</v>
      </c>
      <c r="U233" s="199" cm="1">
        <f t="array" aca="1" ref="U233" ca="1">IF(OR($B233="",$B233="X",$D233="",$D233="X",$E233="",$E233="X"),0,IFERROR(_xlfn.LET(_xlpm.x,SUM(SUM(_xlfn._xlws.FILTER(VALUE(PptoSty[Sign]&amp;1)*(1/PptoSty[Division]),(PptoSty[Division]&lt;&gt;0)*(PptoSty[Division]&lt;&gt;"")*(PptoSty[Division]&lt;&gt;"X")*(PptoSty[Project]=$B233)*(PptoSty[Vrs]=$D233)*(PptoSty[PiRow]=_xlfn.TEXTAFTER($H233,":"))*(PptoSty[PiColumn]=U$54),0)),SUM(IF((INDIRECT($B$3)=$B233)*(INDIRECT($C$3)=$D233)*((INDIRECT($E$3)="TOTS")+(INDIRECT($E$3)=$E233)),INDIRECT(U$3)))),_xlpm.y,SUM(_xlfn.CHOOSECOLS(_xlfn._xlws.FILTER(F_RT14[],(F_RT14[PrjId]=$B233)*(F_RT14[Vrs]=$D233)*(_xlfn.TEXTAFTER(F_RT14[ActGrp],":")=_xlfn.TEXTAFTER($H233,":")),"X"),MATCH("*"&amp;U$54,F_RT14[#Headers],0))),IF(AND(_xlpm.x=0,_xlpm.y&lt;&gt;0),-1,IF(AND(_xlpm.x&lt;&gt;0,_xlpm.y&lt;&gt;0),_xlpm.x,IF(AND(_xlpm.x-SUM(IF((INDIRECT($B$3)=$B233)*(INDIRECT($C$3)=$D233)*((INDIRECT($E$3)="TOTS")+(INDIRECT($E$3)=$E233)),INDIRECT(U$3)))&lt;&gt;0,_xlpm.y=0),-2,_xlpm.x)))),0))</f>
        <v>0</v>
      </c>
      <c r="V233" s="199" cm="1">
        <f t="array" aca="1" ref="V233" ca="1">IF(OR($B233="",$B233="X",$D233="",$D233="X",$E233="",$E233="X"),0,IFERROR(_xlfn.LET(_xlpm.x,SUM(SUM(_xlfn._xlws.FILTER(VALUE(PptoSty[Sign]&amp;1)*(1/PptoSty[Division]),(PptoSty[Division]&lt;&gt;0)*(PptoSty[Division]&lt;&gt;"")*(PptoSty[Division]&lt;&gt;"X")*(PptoSty[Project]=$B233)*(PptoSty[Vrs]=$D233)*(PptoSty[PiRow]=_xlfn.TEXTAFTER($H233,":"))*(PptoSty[PiColumn]=V$54),0)),SUM(IF((INDIRECT($B$3)=$B233)*(INDIRECT($C$3)=$D233)*((INDIRECT($E$3)="TOTS")+(INDIRECT($E$3)=$E233)),INDIRECT(V$3)))),_xlpm.y,SUM(_xlfn.CHOOSECOLS(_xlfn._xlws.FILTER(F_RT14[],(F_RT14[PrjId]=$B233)*(F_RT14[Vrs]=$D233)*(_xlfn.TEXTAFTER(F_RT14[ActGrp],":")=_xlfn.TEXTAFTER($H233,":")),"X"),MATCH("*"&amp;V$54,F_RT14[#Headers],0))),IF(AND(_xlpm.x=0,_xlpm.y&lt;&gt;0),-1,IF(AND(_xlpm.x&lt;&gt;0,_xlpm.y&lt;&gt;0),_xlpm.x,IF(AND(_xlpm.x-SUM(IF((INDIRECT($B$3)=$B233)*(INDIRECT($C$3)=$D233)*((INDIRECT($E$3)="TOTS")+(INDIRECT($E$3)=$E233)),INDIRECT(V$3)))&lt;&gt;0,_xlpm.y=0),-2,_xlpm.x)))),0))</f>
        <v>0</v>
      </c>
      <c r="W233" s="199" cm="1">
        <f t="array" aca="1" ref="W233" ca="1">IF(OR($B233="",$B233="X",$D233="",$D233="X",$E233="",$E233="X"),0,IFERROR(_xlfn.LET(_xlpm.x,SUM(SUM(_xlfn._xlws.FILTER(VALUE(PptoSty[Sign]&amp;1)*(1/PptoSty[Division]),(PptoSty[Division]&lt;&gt;0)*(PptoSty[Division]&lt;&gt;"")*(PptoSty[Division]&lt;&gt;"X")*(PptoSty[Project]=$B233)*(PptoSty[Vrs]=$D233)*(PptoSty[PiRow]=_xlfn.TEXTAFTER($H233,":"))*(PptoSty[PiColumn]=W$54),0)),SUM(IF((INDIRECT($B$3)=$B233)*(INDIRECT($C$3)=$D233)*((INDIRECT($E$3)="TOTS")+(INDIRECT($E$3)=$E233)),INDIRECT(W$3)))),_xlpm.y,SUM(_xlfn.CHOOSECOLS(_xlfn._xlws.FILTER(F_RT14[],(F_RT14[PrjId]=$B233)*(F_RT14[Vrs]=$D233)*(_xlfn.TEXTAFTER(F_RT14[ActGrp],":")=_xlfn.TEXTAFTER($H233,":")),"X"),MATCH("*"&amp;W$54,F_RT14[#Headers],0))),IF(AND(_xlpm.x=0,_xlpm.y&lt;&gt;0),-1,IF(AND(_xlpm.x&lt;&gt;0,_xlpm.y&lt;&gt;0),_xlpm.x,IF(AND(_xlpm.x-SUM(IF((INDIRECT($B$3)=$B233)*(INDIRECT($C$3)=$D233)*((INDIRECT($E$3)="TOTS")+(INDIRECT($E$3)=$E233)),INDIRECT(W$3)))&lt;&gt;0,_xlpm.y=0),-2,_xlpm.x)))),0))</f>
        <v>0</v>
      </c>
      <c r="X233" s="199" cm="1">
        <f t="array" aca="1" ref="X233" ca="1">IF(OR($B233="",$B233="X",$D233="",$D233="X",$E233="",$E233="X"),0,IFERROR(_xlfn.LET(_xlpm.x,SUM(SUM(_xlfn._xlws.FILTER(VALUE(PptoSty[Sign]&amp;1)*(1/PptoSty[Division]),(PptoSty[Division]&lt;&gt;0)*(PptoSty[Division]&lt;&gt;"")*(PptoSty[Division]&lt;&gt;"X")*(PptoSty[Project]=$B233)*(PptoSty[Vrs]=$D233)*(PptoSty[PiRow]=_xlfn.TEXTAFTER($H233,":"))*(PptoSty[PiColumn]=X$54),0)),SUM(IF((INDIRECT($B$3)=$B233)*(INDIRECT($C$3)=$D233)*((INDIRECT($E$3)="TOTS")+(INDIRECT($E$3)=$E233)),INDIRECT(X$3)))),_xlpm.y,SUM(_xlfn.CHOOSECOLS(_xlfn._xlws.FILTER(F_RT14[],(F_RT14[PrjId]=$B233)*(F_RT14[Vrs]=$D233)*(_xlfn.TEXTAFTER(F_RT14[ActGrp],":")=_xlfn.TEXTAFTER($H233,":")),"X"),MATCH("*"&amp;X$54,F_RT14[#Headers],0))),IF(AND(_xlpm.x=0,_xlpm.y&lt;&gt;0),-1,IF(AND(_xlpm.x&lt;&gt;0,_xlpm.y&lt;&gt;0),_xlpm.x,IF(AND(_xlpm.x-SUM(IF((INDIRECT($B$3)=$B233)*(INDIRECT($C$3)=$D233)*((INDIRECT($E$3)="TOTS")+(INDIRECT($E$3)=$E233)),INDIRECT(X$3)))&lt;&gt;0,_xlpm.y=0),-2,_xlpm.x)))),0))</f>
        <v>0</v>
      </c>
      <c r="Y233" s="199" cm="1">
        <f t="array" aca="1" ref="Y233" ca="1">IF(OR($B233="",$B233="X",$D233="",$D233="X",$E233="",$E233="X"),0,IFERROR(_xlfn.LET(_xlpm.x,SUM(SUM(_xlfn._xlws.FILTER(VALUE(PptoSty[Sign]&amp;1)*(1/PptoSty[Division]),(PptoSty[Division]&lt;&gt;0)*(PptoSty[Division]&lt;&gt;"")*(PptoSty[Division]&lt;&gt;"X")*(PptoSty[Project]=$B233)*(PptoSty[Vrs]=$D233)*(PptoSty[PiRow]=_xlfn.TEXTAFTER($H233,":"))*(PptoSty[PiColumn]=Y$54),0)),SUM(IF((INDIRECT($B$3)=$B233)*(INDIRECT($C$3)=$D233)*((INDIRECT($E$3)="TOTS")+(INDIRECT($E$3)=$E233)),INDIRECT(Y$3)))),_xlpm.y,SUM(_xlfn.CHOOSECOLS(_xlfn._xlws.FILTER(F_RT14[],(F_RT14[PrjId]=$B233)*(F_RT14[Vrs]=$D233)*(_xlfn.TEXTAFTER(F_RT14[ActGrp],":")=_xlfn.TEXTAFTER($H233,":")),"X"),MATCH("*"&amp;Y$54,F_RT14[#Headers],0))),IF(AND(_xlpm.x=0,_xlpm.y&lt;&gt;0),-1,IF(AND(_xlpm.x&lt;&gt;0,_xlpm.y&lt;&gt;0),_xlpm.x,IF(AND(_xlpm.x-SUM(IF((INDIRECT($B$3)=$B233)*(INDIRECT($C$3)=$D233)*((INDIRECT($E$3)="TOTS")+(INDIRECT($E$3)=$E233)),INDIRECT(Y$3)))&lt;&gt;0,_xlpm.y=0),-2,_xlpm.x)))),0))</f>
        <v>0</v>
      </c>
      <c r="Z233" s="198" t="str">
        <f t="shared" ca="1" si="4"/>
        <v>Fback!B233:Y233</v>
      </c>
    </row>
    <row r="234" spans="2:26" ht="21" customHeight="1" outlineLevel="1">
      <c r="B234" s="128"/>
      <c r="C234" s="128"/>
      <c r="D234" s="128"/>
      <c r="E234" s="128"/>
      <c r="F234" s="139"/>
      <c r="G234" s="139"/>
      <c r="H234" s="139"/>
      <c r="I234" s="199" cm="1">
        <f t="array" aca="1" ref="I234" ca="1">IF(OR($B234="",$B234="X",$D234="",$D234="X",$E234="",$E234="X"),0,IFERROR(_xlfn.LET(_xlpm.x,SUM(SUM(_xlfn._xlws.FILTER(VALUE(PptoSty[Sign]&amp;1)*(1/PptoSty[Division]),(PptoSty[Division]&lt;&gt;0)*(PptoSty[Division]&lt;&gt;"")*(PptoSty[Division]&lt;&gt;"X")*(PptoSty[Project]=$B234)*(PptoSty[Vrs]=$D234)*(PptoSty[PiRow]=_xlfn.TEXTAFTER($H234,":"))*(PptoSty[PiColumn]=I$54),0)),SUM(IF((INDIRECT($B$3)=$B234)*(INDIRECT($C$3)=$D234)*((INDIRECT($E$3)="TOTS")+(INDIRECT($E$3)=$E234)),INDIRECT(I$3)))),_xlpm.y,SUM(_xlfn.CHOOSECOLS(_xlfn._xlws.FILTER(F_RT14[],(F_RT14[PrjId]=$B234)*(F_RT14[Vrs]=$D234)*(_xlfn.TEXTAFTER(F_RT14[ActGrp],":")=_xlfn.TEXTAFTER($H234,":")),"X"),MATCH("*"&amp;I$54,F_RT14[#Headers],0))),IF(AND(_xlpm.x=0,_xlpm.y&lt;&gt;0),-1,IF(AND(_xlpm.x&lt;&gt;0,_xlpm.y&lt;&gt;0),_xlpm.x,IF(AND(_xlpm.x-SUM(IF((INDIRECT($B$3)=$B234)*(INDIRECT($C$3)=$D234)*((INDIRECT($E$3)="TOTS")+(INDIRECT($E$3)=$E234)),INDIRECT(I$3)))&lt;&gt;0,_xlpm.y=0),-2,_xlpm.x)))),0))</f>
        <v>0</v>
      </c>
      <c r="J234" s="199" cm="1">
        <f t="array" aca="1" ref="J234" ca="1">IF(OR($B234="",$B234="X",$D234="",$D234="X",$E234="",$E234="X"),0,IFERROR(_xlfn.LET(_xlpm.x,SUM(SUM(_xlfn._xlws.FILTER(VALUE(PptoSty[Sign]&amp;1)*(1/PptoSty[Division]),(PptoSty[Division]&lt;&gt;0)*(PptoSty[Division]&lt;&gt;"")*(PptoSty[Division]&lt;&gt;"X")*(PptoSty[Project]=$B234)*(PptoSty[Vrs]=$D234)*(PptoSty[PiRow]=_xlfn.TEXTAFTER($H234,":"))*(PptoSty[PiColumn]=J$54),0)),SUM(IF((INDIRECT($B$3)=$B234)*(INDIRECT($C$3)=$D234)*((INDIRECT($E$3)="TOTS")+(INDIRECT($E$3)=$E234)),INDIRECT(J$3)))),_xlpm.y,SUM(_xlfn.CHOOSECOLS(_xlfn._xlws.FILTER(F_RT14[],(F_RT14[PrjId]=$B234)*(F_RT14[Vrs]=$D234)*(_xlfn.TEXTAFTER(F_RT14[ActGrp],":")=_xlfn.TEXTAFTER($H234,":")),"X"),MATCH("*"&amp;J$54,F_RT14[#Headers],0))),IF(AND(_xlpm.x=0,_xlpm.y&lt;&gt;0),-1,IF(AND(_xlpm.x&lt;&gt;0,_xlpm.y&lt;&gt;0),_xlpm.x,IF(AND(_xlpm.x-SUM(IF((INDIRECT($B$3)=$B234)*(INDIRECT($C$3)=$D234)*((INDIRECT($E$3)="TOTS")+(INDIRECT($E$3)=$E234)),INDIRECT(J$3)))&lt;&gt;0,_xlpm.y=0),-2,_xlpm.x)))),0))</f>
        <v>0</v>
      </c>
      <c r="K234" s="199" cm="1">
        <f t="array" aca="1" ref="K234" ca="1">IF(OR($B234="",$B234="X",$D234="",$D234="X",$E234="",$E234="X"),0,IFERROR(_xlfn.LET(_xlpm.x,SUM(SUM(_xlfn._xlws.FILTER(VALUE(PptoSty[Sign]&amp;1)*(1/PptoSty[Division]),(PptoSty[Division]&lt;&gt;0)*(PptoSty[Division]&lt;&gt;"")*(PptoSty[Division]&lt;&gt;"X")*(PptoSty[Project]=$B234)*(PptoSty[Vrs]=$D234)*(PptoSty[PiRow]=_xlfn.TEXTAFTER($H234,":"))*(PptoSty[PiColumn]=K$54),0)),SUM(IF((INDIRECT($B$3)=$B234)*(INDIRECT($C$3)=$D234)*((INDIRECT($E$3)="TOTS")+(INDIRECT($E$3)=$E234)),INDIRECT(K$3)))),_xlpm.y,SUM(_xlfn.CHOOSECOLS(_xlfn._xlws.FILTER(F_RT14[],(F_RT14[PrjId]=$B234)*(F_RT14[Vrs]=$D234)*(_xlfn.TEXTAFTER(F_RT14[ActGrp],":")=_xlfn.TEXTAFTER($H234,":")),"X"),MATCH("*"&amp;K$54,F_RT14[#Headers],0))),IF(AND(_xlpm.x=0,_xlpm.y&lt;&gt;0),-1,IF(AND(_xlpm.x&lt;&gt;0,_xlpm.y&lt;&gt;0),_xlpm.x,IF(AND(_xlpm.x-SUM(IF((INDIRECT($B$3)=$B234)*(INDIRECT($C$3)=$D234)*((INDIRECT($E$3)="TOTS")+(INDIRECT($E$3)=$E234)),INDIRECT(K$3)))&lt;&gt;0,_xlpm.y=0),-2,_xlpm.x)))),0))</f>
        <v>0</v>
      </c>
      <c r="L234" s="199" cm="1">
        <f t="array" aca="1" ref="L234" ca="1">IF(OR($B234="",$B234="X",$D234="",$D234="X",$E234="",$E234="X"),0,IFERROR(_xlfn.LET(_xlpm.x,SUM(SUM(_xlfn._xlws.FILTER(VALUE(PptoSty[Sign]&amp;1)*(1/PptoSty[Division]),(PptoSty[Division]&lt;&gt;0)*(PptoSty[Division]&lt;&gt;"")*(PptoSty[Division]&lt;&gt;"X")*(PptoSty[Project]=$B234)*(PptoSty[Vrs]=$D234)*(PptoSty[PiRow]=_xlfn.TEXTAFTER($H234,":"))*(PptoSty[PiColumn]=L$54),0)),SUM(IF((INDIRECT($B$3)=$B234)*(INDIRECT($C$3)=$D234)*((INDIRECT($E$3)="TOTS")+(INDIRECT($E$3)=$E234)),INDIRECT(L$3)))),_xlpm.y,SUM(_xlfn.CHOOSECOLS(_xlfn._xlws.FILTER(F_RT14[],(F_RT14[PrjId]=$B234)*(F_RT14[Vrs]=$D234)*(_xlfn.TEXTAFTER(F_RT14[ActGrp],":")=_xlfn.TEXTAFTER($H234,":")),"X"),MATCH("*"&amp;L$54,F_RT14[#Headers],0))),IF(AND(_xlpm.x=0,_xlpm.y&lt;&gt;0),-1,IF(AND(_xlpm.x&lt;&gt;0,_xlpm.y&lt;&gt;0),_xlpm.x,IF(AND(_xlpm.x-SUM(IF((INDIRECT($B$3)=$B234)*(INDIRECT($C$3)=$D234)*((INDIRECT($E$3)="TOTS")+(INDIRECT($E$3)=$E234)),INDIRECT(L$3)))&lt;&gt;0,_xlpm.y=0),-2,_xlpm.x)))),0))</f>
        <v>0</v>
      </c>
      <c r="M234" s="199" cm="1">
        <f t="array" aca="1" ref="M234" ca="1">IF(OR($B234="",$B234="X",$D234="",$D234="X",$E234="",$E234="X"),0,IFERROR(_xlfn.LET(_xlpm.x,SUM(SUM(_xlfn._xlws.FILTER(VALUE(PptoSty[Sign]&amp;1)*(1/PptoSty[Division]),(PptoSty[Division]&lt;&gt;0)*(PptoSty[Division]&lt;&gt;"")*(PptoSty[Division]&lt;&gt;"X")*(PptoSty[Project]=$B234)*(PptoSty[Vrs]=$D234)*(PptoSty[PiRow]=_xlfn.TEXTAFTER($H234,":"))*(PptoSty[PiColumn]=M$54),0)),SUM(IF((INDIRECT($B$3)=$B234)*(INDIRECT($C$3)=$D234)*((INDIRECT($E$3)="TOTS")+(INDIRECT($E$3)=$E234)),INDIRECT(M$3)))),_xlpm.y,SUM(_xlfn.CHOOSECOLS(_xlfn._xlws.FILTER(F_RT14[],(F_RT14[PrjId]=$B234)*(F_RT14[Vrs]=$D234)*(_xlfn.TEXTAFTER(F_RT14[ActGrp],":")=_xlfn.TEXTAFTER($H234,":")),"X"),MATCH("*"&amp;M$54,F_RT14[#Headers],0))),IF(AND(_xlpm.x=0,_xlpm.y&lt;&gt;0),-1,IF(AND(_xlpm.x&lt;&gt;0,_xlpm.y&lt;&gt;0),_xlpm.x,IF(AND(_xlpm.x-SUM(IF((INDIRECT($B$3)=$B234)*(INDIRECT($C$3)=$D234)*((INDIRECT($E$3)="TOTS")+(INDIRECT($E$3)=$E234)),INDIRECT(M$3)))&lt;&gt;0,_xlpm.y=0),-2,_xlpm.x)))),0))</f>
        <v>0</v>
      </c>
      <c r="N234" s="199" cm="1">
        <f t="array" aca="1" ref="N234" ca="1">IF(OR($B234="",$B234="X",$D234="",$D234="X",$E234="",$E234="X"),0,IFERROR(_xlfn.LET(_xlpm.x,SUM(SUM(_xlfn._xlws.FILTER(VALUE(PptoSty[Sign]&amp;1)*(1/PptoSty[Division]),(PptoSty[Division]&lt;&gt;0)*(PptoSty[Division]&lt;&gt;"")*(PptoSty[Division]&lt;&gt;"X")*(PptoSty[Project]=$B234)*(PptoSty[Vrs]=$D234)*(PptoSty[PiRow]=_xlfn.TEXTAFTER($H234,":"))*(PptoSty[PiColumn]=N$54),0)),SUM(IF((INDIRECT($B$3)=$B234)*(INDIRECT($C$3)=$D234)*((INDIRECT($E$3)="TOTS")+(INDIRECT($E$3)=$E234)),INDIRECT(N$3)))),_xlpm.y,SUM(_xlfn.CHOOSECOLS(_xlfn._xlws.FILTER(F_RT14[],(F_RT14[PrjId]=$B234)*(F_RT14[Vrs]=$D234)*(_xlfn.TEXTAFTER(F_RT14[ActGrp],":")=_xlfn.TEXTAFTER($H234,":")),"X"),MATCH("*"&amp;N$54,F_RT14[#Headers],0))),IF(AND(_xlpm.x=0,_xlpm.y&lt;&gt;0),-1,IF(AND(_xlpm.x&lt;&gt;0,_xlpm.y&lt;&gt;0),_xlpm.x,IF(AND(_xlpm.x-SUM(IF((INDIRECT($B$3)=$B234)*(INDIRECT($C$3)=$D234)*((INDIRECT($E$3)="TOTS")+(INDIRECT($E$3)=$E234)),INDIRECT(N$3)))&lt;&gt;0,_xlpm.y=0),-2,_xlpm.x)))),0))</f>
        <v>0</v>
      </c>
      <c r="O234" s="199" cm="1">
        <f t="array" aca="1" ref="O234" ca="1">IF(OR($B234="",$B234="X",$D234="",$D234="X",$E234="",$E234="X"),0,IFERROR(_xlfn.LET(_xlpm.x,SUM(SUM(_xlfn._xlws.FILTER(VALUE(PptoSty[Sign]&amp;1)*(1/PptoSty[Division]),(PptoSty[Division]&lt;&gt;0)*(PptoSty[Division]&lt;&gt;"")*(PptoSty[Division]&lt;&gt;"X")*(PptoSty[Project]=$B234)*(PptoSty[Vrs]=$D234)*(PptoSty[PiRow]=_xlfn.TEXTAFTER($H234,":"))*(PptoSty[PiColumn]=O$54),0)),SUM(IF((INDIRECT($B$3)=$B234)*(INDIRECT($C$3)=$D234)*((INDIRECT($E$3)="TOTS")+(INDIRECT($E$3)=$E234)),INDIRECT(O$3)))),_xlpm.y,SUM(_xlfn.CHOOSECOLS(_xlfn._xlws.FILTER(F_RT14[],(F_RT14[PrjId]=$B234)*(F_RT14[Vrs]=$D234)*(_xlfn.TEXTAFTER(F_RT14[ActGrp],":")=_xlfn.TEXTAFTER($H234,":")),"X"),MATCH("*"&amp;O$54,F_RT14[#Headers],0))),IF(AND(_xlpm.x=0,_xlpm.y&lt;&gt;0),-1,IF(AND(_xlpm.x&lt;&gt;0,_xlpm.y&lt;&gt;0),_xlpm.x,IF(AND(_xlpm.x-SUM(IF((INDIRECT($B$3)=$B234)*(INDIRECT($C$3)=$D234)*((INDIRECT($E$3)="TOTS")+(INDIRECT($E$3)=$E234)),INDIRECT(O$3)))&lt;&gt;0,_xlpm.y=0),-2,_xlpm.x)))),0))</f>
        <v>0</v>
      </c>
      <c r="P234" s="199" cm="1">
        <f t="array" aca="1" ref="P234" ca="1">IF(OR($B234="",$B234="X",$D234="",$D234="X",$E234="",$E234="X"),0,IFERROR(_xlfn.LET(_xlpm.x,SUM(SUM(_xlfn._xlws.FILTER(VALUE(PptoSty[Sign]&amp;1)*(1/PptoSty[Division]),(PptoSty[Division]&lt;&gt;0)*(PptoSty[Division]&lt;&gt;"")*(PptoSty[Division]&lt;&gt;"X")*(PptoSty[Project]=$B234)*(PptoSty[Vrs]=$D234)*(PptoSty[PiRow]=_xlfn.TEXTAFTER($H234,":"))*(PptoSty[PiColumn]=P$54),0)),SUM(IF((INDIRECT($B$3)=$B234)*(INDIRECT($C$3)=$D234)*((INDIRECT($E$3)="TOTS")+(INDIRECT($E$3)=$E234)),INDIRECT(P$3)))),_xlpm.y,SUM(_xlfn.CHOOSECOLS(_xlfn._xlws.FILTER(F_RT14[],(F_RT14[PrjId]=$B234)*(F_RT14[Vrs]=$D234)*(_xlfn.TEXTAFTER(F_RT14[ActGrp],":")=_xlfn.TEXTAFTER($H234,":")),"X"),MATCH("*"&amp;P$54,F_RT14[#Headers],0))),IF(AND(_xlpm.x=0,_xlpm.y&lt;&gt;0),-1,IF(AND(_xlpm.x&lt;&gt;0,_xlpm.y&lt;&gt;0),_xlpm.x,IF(AND(_xlpm.x-SUM(IF((INDIRECT($B$3)=$B234)*(INDIRECT($C$3)=$D234)*((INDIRECT($E$3)="TOTS")+(INDIRECT($E$3)=$E234)),INDIRECT(P$3)))&lt;&gt;0,_xlpm.y=0),-2,_xlpm.x)))),0))</f>
        <v>0</v>
      </c>
      <c r="Q234" s="199" cm="1">
        <f t="array" aca="1" ref="Q234" ca="1">IF(OR($B234="",$B234="X",$D234="",$D234="X",$E234="",$E234="X"),0,IFERROR(_xlfn.LET(_xlpm.x,SUM(SUM(_xlfn._xlws.FILTER(VALUE(PptoSty[Sign]&amp;1)*(1/PptoSty[Division]),(PptoSty[Division]&lt;&gt;0)*(PptoSty[Division]&lt;&gt;"")*(PptoSty[Division]&lt;&gt;"X")*(PptoSty[Project]=$B234)*(PptoSty[Vrs]=$D234)*(PptoSty[PiRow]=_xlfn.TEXTAFTER($H234,":"))*(PptoSty[PiColumn]=Q$54),0)),SUM(IF((INDIRECT($B$3)=$B234)*(INDIRECT($C$3)=$D234)*((INDIRECT($E$3)="TOTS")+(INDIRECT($E$3)=$E234)),INDIRECT(Q$3)))),_xlpm.y,SUM(_xlfn.CHOOSECOLS(_xlfn._xlws.FILTER(F_RT14[],(F_RT14[PrjId]=$B234)*(F_RT14[Vrs]=$D234)*(_xlfn.TEXTAFTER(F_RT14[ActGrp],":")=_xlfn.TEXTAFTER($H234,":")),"X"),MATCH("*"&amp;Q$54,F_RT14[#Headers],0))),IF(AND(_xlpm.x=0,_xlpm.y&lt;&gt;0),-1,IF(AND(_xlpm.x&lt;&gt;0,_xlpm.y&lt;&gt;0),_xlpm.x,IF(AND(_xlpm.x-SUM(IF((INDIRECT($B$3)=$B234)*(INDIRECT($C$3)=$D234)*((INDIRECT($E$3)="TOTS")+(INDIRECT($E$3)=$E234)),INDIRECT(Q$3)))&lt;&gt;0,_xlpm.y=0),-2,_xlpm.x)))),0))</f>
        <v>0</v>
      </c>
      <c r="R234" s="199" cm="1">
        <f t="array" aca="1" ref="R234" ca="1">IF(OR($B234="",$B234="X",$D234="",$D234="X",$E234="",$E234="X"),0,IFERROR(_xlfn.LET(_xlpm.x,SUM(SUM(_xlfn._xlws.FILTER(VALUE(PptoSty[Sign]&amp;1)*(1/PptoSty[Division]),(PptoSty[Division]&lt;&gt;0)*(PptoSty[Division]&lt;&gt;"")*(PptoSty[Division]&lt;&gt;"X")*(PptoSty[Project]=$B234)*(PptoSty[Vrs]=$D234)*(PptoSty[PiRow]=_xlfn.TEXTAFTER($H234,":"))*(PptoSty[PiColumn]=R$54),0)),SUM(IF((INDIRECT($B$3)=$B234)*(INDIRECT($C$3)=$D234)*((INDIRECT($E$3)="TOTS")+(INDIRECT($E$3)=$E234)),INDIRECT(R$3)))),_xlpm.y,SUM(_xlfn.CHOOSECOLS(_xlfn._xlws.FILTER(F_RT14[],(F_RT14[PrjId]=$B234)*(F_RT14[Vrs]=$D234)*(_xlfn.TEXTAFTER(F_RT14[ActGrp],":")=_xlfn.TEXTAFTER($H234,":")),"X"),MATCH("*"&amp;R$54,F_RT14[#Headers],0))),IF(AND(_xlpm.x=0,_xlpm.y&lt;&gt;0),-1,IF(AND(_xlpm.x&lt;&gt;0,_xlpm.y&lt;&gt;0),_xlpm.x,IF(AND(_xlpm.x-SUM(IF((INDIRECT($B$3)=$B234)*(INDIRECT($C$3)=$D234)*((INDIRECT($E$3)="TOTS")+(INDIRECT($E$3)=$E234)),INDIRECT(R$3)))&lt;&gt;0,_xlpm.y=0),-2,_xlpm.x)))),0))</f>
        <v>0</v>
      </c>
      <c r="S234" s="199" cm="1">
        <f t="array" aca="1" ref="S234" ca="1">IF(OR($B234="",$B234="X",$D234="",$D234="X",$E234="",$E234="X"),0,IFERROR(_xlfn.LET(_xlpm.x,SUM(SUM(_xlfn._xlws.FILTER(VALUE(PptoSty[Sign]&amp;1)*(1/PptoSty[Division]),(PptoSty[Division]&lt;&gt;0)*(PptoSty[Division]&lt;&gt;"")*(PptoSty[Division]&lt;&gt;"X")*(PptoSty[Project]=$B234)*(PptoSty[Vrs]=$D234)*(PptoSty[PiRow]=_xlfn.TEXTAFTER($H234,":"))*(PptoSty[PiColumn]=S$54),0)),SUM(IF((INDIRECT($B$3)=$B234)*(INDIRECT($C$3)=$D234)*((INDIRECT($E$3)="TOTS")+(INDIRECT($E$3)=$E234)),INDIRECT(S$3)))),_xlpm.y,SUM(_xlfn.CHOOSECOLS(_xlfn._xlws.FILTER(F_RT14[],(F_RT14[PrjId]=$B234)*(F_RT14[Vrs]=$D234)*(_xlfn.TEXTAFTER(F_RT14[ActGrp],":")=_xlfn.TEXTAFTER($H234,":")),"X"),MATCH("*"&amp;S$54,F_RT14[#Headers],0))),IF(AND(_xlpm.x=0,_xlpm.y&lt;&gt;0),-1,IF(AND(_xlpm.x&lt;&gt;0,_xlpm.y&lt;&gt;0),_xlpm.x,IF(AND(_xlpm.x-SUM(IF((INDIRECT($B$3)=$B234)*(INDIRECT($C$3)=$D234)*((INDIRECT($E$3)="TOTS")+(INDIRECT($E$3)=$E234)),INDIRECT(S$3)))&lt;&gt;0,_xlpm.y=0),-2,_xlpm.x)))),0))</f>
        <v>0</v>
      </c>
      <c r="T234" s="199" cm="1">
        <f t="array" aca="1" ref="T234" ca="1">IF(OR($B234="",$B234="X",$D234="",$D234="X",$E234="",$E234="X"),0,IFERROR(_xlfn.LET(_xlpm.x,SUM(SUM(_xlfn._xlws.FILTER(VALUE(PptoSty[Sign]&amp;1)*(1/PptoSty[Division]),(PptoSty[Division]&lt;&gt;0)*(PptoSty[Division]&lt;&gt;"")*(PptoSty[Division]&lt;&gt;"X")*(PptoSty[Project]=$B234)*(PptoSty[Vrs]=$D234)*(PptoSty[PiRow]=_xlfn.TEXTAFTER($H234,":"))*(PptoSty[PiColumn]=T$54),0)),SUM(IF((INDIRECT($B$3)=$B234)*(INDIRECT($C$3)=$D234)*((INDIRECT($E$3)="TOTS")+(INDIRECT($E$3)=$E234)),INDIRECT(T$3)))),_xlpm.y,SUM(_xlfn.CHOOSECOLS(_xlfn._xlws.FILTER(F_RT14[],(F_RT14[PrjId]=$B234)*(F_RT14[Vrs]=$D234)*(_xlfn.TEXTAFTER(F_RT14[ActGrp],":")=_xlfn.TEXTAFTER($H234,":")),"X"),MATCH("*"&amp;T$54,F_RT14[#Headers],0))),IF(AND(_xlpm.x=0,_xlpm.y&lt;&gt;0),-1,IF(AND(_xlpm.x&lt;&gt;0,_xlpm.y&lt;&gt;0),_xlpm.x,IF(AND(_xlpm.x-SUM(IF((INDIRECT($B$3)=$B234)*(INDIRECT($C$3)=$D234)*((INDIRECT($E$3)="TOTS")+(INDIRECT($E$3)=$E234)),INDIRECT(T$3)))&lt;&gt;0,_xlpm.y=0),-2,_xlpm.x)))),0))</f>
        <v>0</v>
      </c>
      <c r="U234" s="199" cm="1">
        <f t="array" aca="1" ref="U234" ca="1">IF(OR($B234="",$B234="X",$D234="",$D234="X",$E234="",$E234="X"),0,IFERROR(_xlfn.LET(_xlpm.x,SUM(SUM(_xlfn._xlws.FILTER(VALUE(PptoSty[Sign]&amp;1)*(1/PptoSty[Division]),(PptoSty[Division]&lt;&gt;0)*(PptoSty[Division]&lt;&gt;"")*(PptoSty[Division]&lt;&gt;"X")*(PptoSty[Project]=$B234)*(PptoSty[Vrs]=$D234)*(PptoSty[PiRow]=_xlfn.TEXTAFTER($H234,":"))*(PptoSty[PiColumn]=U$54),0)),SUM(IF((INDIRECT($B$3)=$B234)*(INDIRECT($C$3)=$D234)*((INDIRECT($E$3)="TOTS")+(INDIRECT($E$3)=$E234)),INDIRECT(U$3)))),_xlpm.y,SUM(_xlfn.CHOOSECOLS(_xlfn._xlws.FILTER(F_RT14[],(F_RT14[PrjId]=$B234)*(F_RT14[Vrs]=$D234)*(_xlfn.TEXTAFTER(F_RT14[ActGrp],":")=_xlfn.TEXTAFTER($H234,":")),"X"),MATCH("*"&amp;U$54,F_RT14[#Headers],0))),IF(AND(_xlpm.x=0,_xlpm.y&lt;&gt;0),-1,IF(AND(_xlpm.x&lt;&gt;0,_xlpm.y&lt;&gt;0),_xlpm.x,IF(AND(_xlpm.x-SUM(IF((INDIRECT($B$3)=$B234)*(INDIRECT($C$3)=$D234)*((INDIRECT($E$3)="TOTS")+(INDIRECT($E$3)=$E234)),INDIRECT(U$3)))&lt;&gt;0,_xlpm.y=0),-2,_xlpm.x)))),0))</f>
        <v>0</v>
      </c>
      <c r="V234" s="199" cm="1">
        <f t="array" aca="1" ref="V234" ca="1">IF(OR($B234="",$B234="X",$D234="",$D234="X",$E234="",$E234="X"),0,IFERROR(_xlfn.LET(_xlpm.x,SUM(SUM(_xlfn._xlws.FILTER(VALUE(PptoSty[Sign]&amp;1)*(1/PptoSty[Division]),(PptoSty[Division]&lt;&gt;0)*(PptoSty[Division]&lt;&gt;"")*(PptoSty[Division]&lt;&gt;"X")*(PptoSty[Project]=$B234)*(PptoSty[Vrs]=$D234)*(PptoSty[PiRow]=_xlfn.TEXTAFTER($H234,":"))*(PptoSty[PiColumn]=V$54),0)),SUM(IF((INDIRECT($B$3)=$B234)*(INDIRECT($C$3)=$D234)*((INDIRECT($E$3)="TOTS")+(INDIRECT($E$3)=$E234)),INDIRECT(V$3)))),_xlpm.y,SUM(_xlfn.CHOOSECOLS(_xlfn._xlws.FILTER(F_RT14[],(F_RT14[PrjId]=$B234)*(F_RT14[Vrs]=$D234)*(_xlfn.TEXTAFTER(F_RT14[ActGrp],":")=_xlfn.TEXTAFTER($H234,":")),"X"),MATCH("*"&amp;V$54,F_RT14[#Headers],0))),IF(AND(_xlpm.x=0,_xlpm.y&lt;&gt;0),-1,IF(AND(_xlpm.x&lt;&gt;0,_xlpm.y&lt;&gt;0),_xlpm.x,IF(AND(_xlpm.x-SUM(IF((INDIRECT($B$3)=$B234)*(INDIRECT($C$3)=$D234)*((INDIRECT($E$3)="TOTS")+(INDIRECT($E$3)=$E234)),INDIRECT(V$3)))&lt;&gt;0,_xlpm.y=0),-2,_xlpm.x)))),0))</f>
        <v>0</v>
      </c>
      <c r="W234" s="199" cm="1">
        <f t="array" aca="1" ref="W234" ca="1">IF(OR($B234="",$B234="X",$D234="",$D234="X",$E234="",$E234="X"),0,IFERROR(_xlfn.LET(_xlpm.x,SUM(SUM(_xlfn._xlws.FILTER(VALUE(PptoSty[Sign]&amp;1)*(1/PptoSty[Division]),(PptoSty[Division]&lt;&gt;0)*(PptoSty[Division]&lt;&gt;"")*(PptoSty[Division]&lt;&gt;"X")*(PptoSty[Project]=$B234)*(PptoSty[Vrs]=$D234)*(PptoSty[PiRow]=_xlfn.TEXTAFTER($H234,":"))*(PptoSty[PiColumn]=W$54),0)),SUM(IF((INDIRECT($B$3)=$B234)*(INDIRECT($C$3)=$D234)*((INDIRECT($E$3)="TOTS")+(INDIRECT($E$3)=$E234)),INDIRECT(W$3)))),_xlpm.y,SUM(_xlfn.CHOOSECOLS(_xlfn._xlws.FILTER(F_RT14[],(F_RT14[PrjId]=$B234)*(F_RT14[Vrs]=$D234)*(_xlfn.TEXTAFTER(F_RT14[ActGrp],":")=_xlfn.TEXTAFTER($H234,":")),"X"),MATCH("*"&amp;W$54,F_RT14[#Headers],0))),IF(AND(_xlpm.x=0,_xlpm.y&lt;&gt;0),-1,IF(AND(_xlpm.x&lt;&gt;0,_xlpm.y&lt;&gt;0),_xlpm.x,IF(AND(_xlpm.x-SUM(IF((INDIRECT($B$3)=$B234)*(INDIRECT($C$3)=$D234)*((INDIRECT($E$3)="TOTS")+(INDIRECT($E$3)=$E234)),INDIRECT(W$3)))&lt;&gt;0,_xlpm.y=0),-2,_xlpm.x)))),0))</f>
        <v>0</v>
      </c>
      <c r="X234" s="199" cm="1">
        <f t="array" aca="1" ref="X234" ca="1">IF(OR($B234="",$B234="X",$D234="",$D234="X",$E234="",$E234="X"),0,IFERROR(_xlfn.LET(_xlpm.x,SUM(SUM(_xlfn._xlws.FILTER(VALUE(PptoSty[Sign]&amp;1)*(1/PptoSty[Division]),(PptoSty[Division]&lt;&gt;0)*(PptoSty[Division]&lt;&gt;"")*(PptoSty[Division]&lt;&gt;"X")*(PptoSty[Project]=$B234)*(PptoSty[Vrs]=$D234)*(PptoSty[PiRow]=_xlfn.TEXTAFTER($H234,":"))*(PptoSty[PiColumn]=X$54),0)),SUM(IF((INDIRECT($B$3)=$B234)*(INDIRECT($C$3)=$D234)*((INDIRECT($E$3)="TOTS")+(INDIRECT($E$3)=$E234)),INDIRECT(X$3)))),_xlpm.y,SUM(_xlfn.CHOOSECOLS(_xlfn._xlws.FILTER(F_RT14[],(F_RT14[PrjId]=$B234)*(F_RT14[Vrs]=$D234)*(_xlfn.TEXTAFTER(F_RT14[ActGrp],":")=_xlfn.TEXTAFTER($H234,":")),"X"),MATCH("*"&amp;X$54,F_RT14[#Headers],0))),IF(AND(_xlpm.x=0,_xlpm.y&lt;&gt;0),-1,IF(AND(_xlpm.x&lt;&gt;0,_xlpm.y&lt;&gt;0),_xlpm.x,IF(AND(_xlpm.x-SUM(IF((INDIRECT($B$3)=$B234)*(INDIRECT($C$3)=$D234)*((INDIRECT($E$3)="TOTS")+(INDIRECT($E$3)=$E234)),INDIRECT(X$3)))&lt;&gt;0,_xlpm.y=0),-2,_xlpm.x)))),0))</f>
        <v>0</v>
      </c>
      <c r="Y234" s="199" cm="1">
        <f t="array" aca="1" ref="Y234" ca="1">IF(OR($B234="",$B234="X",$D234="",$D234="X",$E234="",$E234="X"),0,IFERROR(_xlfn.LET(_xlpm.x,SUM(SUM(_xlfn._xlws.FILTER(VALUE(PptoSty[Sign]&amp;1)*(1/PptoSty[Division]),(PptoSty[Division]&lt;&gt;0)*(PptoSty[Division]&lt;&gt;"")*(PptoSty[Division]&lt;&gt;"X")*(PptoSty[Project]=$B234)*(PptoSty[Vrs]=$D234)*(PptoSty[PiRow]=_xlfn.TEXTAFTER($H234,":"))*(PptoSty[PiColumn]=Y$54),0)),SUM(IF((INDIRECT($B$3)=$B234)*(INDIRECT($C$3)=$D234)*((INDIRECT($E$3)="TOTS")+(INDIRECT($E$3)=$E234)),INDIRECT(Y$3)))),_xlpm.y,SUM(_xlfn.CHOOSECOLS(_xlfn._xlws.FILTER(F_RT14[],(F_RT14[PrjId]=$B234)*(F_RT14[Vrs]=$D234)*(_xlfn.TEXTAFTER(F_RT14[ActGrp],":")=_xlfn.TEXTAFTER($H234,":")),"X"),MATCH("*"&amp;Y$54,F_RT14[#Headers],0))),IF(AND(_xlpm.x=0,_xlpm.y&lt;&gt;0),-1,IF(AND(_xlpm.x&lt;&gt;0,_xlpm.y&lt;&gt;0),_xlpm.x,IF(AND(_xlpm.x-SUM(IF((INDIRECT($B$3)=$B234)*(INDIRECT($C$3)=$D234)*((INDIRECT($E$3)="TOTS")+(INDIRECT($E$3)=$E234)),INDIRECT(Y$3)))&lt;&gt;0,_xlpm.y=0),-2,_xlpm.x)))),0))</f>
        <v>0</v>
      </c>
      <c r="Z234" s="198" t="str">
        <f t="shared" ca="1" si="4"/>
        <v>Fback!B234:Y234</v>
      </c>
    </row>
    <row r="235" spans="2:26" ht="21" customHeight="1" outlineLevel="1">
      <c r="B235" s="128"/>
      <c r="C235" s="128"/>
      <c r="D235" s="128"/>
      <c r="E235" s="128"/>
      <c r="F235" s="139"/>
      <c r="G235" s="139"/>
      <c r="H235" s="139"/>
      <c r="I235" s="199" cm="1">
        <f t="array" aca="1" ref="I235" ca="1">IF(OR($B235="",$B235="X",$D235="",$D235="X",$E235="",$E235="X"),0,IFERROR(_xlfn.LET(_xlpm.x,SUM(SUM(_xlfn._xlws.FILTER(VALUE(PptoSty[Sign]&amp;1)*(1/PptoSty[Division]),(PptoSty[Division]&lt;&gt;0)*(PptoSty[Division]&lt;&gt;"")*(PptoSty[Division]&lt;&gt;"X")*(PptoSty[Project]=$B235)*(PptoSty[Vrs]=$D235)*(PptoSty[PiRow]=_xlfn.TEXTAFTER($H235,":"))*(PptoSty[PiColumn]=I$54),0)),SUM(IF((INDIRECT($B$3)=$B235)*(INDIRECT($C$3)=$D235)*((INDIRECT($E$3)="TOTS")+(INDIRECT($E$3)=$E235)),INDIRECT(I$3)))),_xlpm.y,SUM(_xlfn.CHOOSECOLS(_xlfn._xlws.FILTER(F_RT14[],(F_RT14[PrjId]=$B235)*(F_RT14[Vrs]=$D235)*(_xlfn.TEXTAFTER(F_RT14[ActGrp],":")=_xlfn.TEXTAFTER($H235,":")),"X"),MATCH("*"&amp;I$54,F_RT14[#Headers],0))),IF(AND(_xlpm.x=0,_xlpm.y&lt;&gt;0),-1,IF(AND(_xlpm.x&lt;&gt;0,_xlpm.y&lt;&gt;0),_xlpm.x,IF(AND(_xlpm.x-SUM(IF((INDIRECT($B$3)=$B235)*(INDIRECT($C$3)=$D235)*((INDIRECT($E$3)="TOTS")+(INDIRECT($E$3)=$E235)),INDIRECT(I$3)))&lt;&gt;0,_xlpm.y=0),-2,_xlpm.x)))),0))</f>
        <v>0</v>
      </c>
      <c r="J235" s="199" cm="1">
        <f t="array" aca="1" ref="J235" ca="1">IF(OR($B235="",$B235="X",$D235="",$D235="X",$E235="",$E235="X"),0,IFERROR(_xlfn.LET(_xlpm.x,SUM(SUM(_xlfn._xlws.FILTER(VALUE(PptoSty[Sign]&amp;1)*(1/PptoSty[Division]),(PptoSty[Division]&lt;&gt;0)*(PptoSty[Division]&lt;&gt;"")*(PptoSty[Division]&lt;&gt;"X")*(PptoSty[Project]=$B235)*(PptoSty[Vrs]=$D235)*(PptoSty[PiRow]=_xlfn.TEXTAFTER($H235,":"))*(PptoSty[PiColumn]=J$54),0)),SUM(IF((INDIRECT($B$3)=$B235)*(INDIRECT($C$3)=$D235)*((INDIRECT($E$3)="TOTS")+(INDIRECT($E$3)=$E235)),INDIRECT(J$3)))),_xlpm.y,SUM(_xlfn.CHOOSECOLS(_xlfn._xlws.FILTER(F_RT14[],(F_RT14[PrjId]=$B235)*(F_RT14[Vrs]=$D235)*(_xlfn.TEXTAFTER(F_RT14[ActGrp],":")=_xlfn.TEXTAFTER($H235,":")),"X"),MATCH("*"&amp;J$54,F_RT14[#Headers],0))),IF(AND(_xlpm.x=0,_xlpm.y&lt;&gt;0),-1,IF(AND(_xlpm.x&lt;&gt;0,_xlpm.y&lt;&gt;0),_xlpm.x,IF(AND(_xlpm.x-SUM(IF((INDIRECT($B$3)=$B235)*(INDIRECT($C$3)=$D235)*((INDIRECT($E$3)="TOTS")+(INDIRECT($E$3)=$E235)),INDIRECT(J$3)))&lt;&gt;0,_xlpm.y=0),-2,_xlpm.x)))),0))</f>
        <v>0</v>
      </c>
      <c r="K235" s="199" cm="1">
        <f t="array" aca="1" ref="K235" ca="1">IF(OR($B235="",$B235="X",$D235="",$D235="X",$E235="",$E235="X"),0,IFERROR(_xlfn.LET(_xlpm.x,SUM(SUM(_xlfn._xlws.FILTER(VALUE(PptoSty[Sign]&amp;1)*(1/PptoSty[Division]),(PptoSty[Division]&lt;&gt;0)*(PptoSty[Division]&lt;&gt;"")*(PptoSty[Division]&lt;&gt;"X")*(PptoSty[Project]=$B235)*(PptoSty[Vrs]=$D235)*(PptoSty[PiRow]=_xlfn.TEXTAFTER($H235,":"))*(PptoSty[PiColumn]=K$54),0)),SUM(IF((INDIRECT($B$3)=$B235)*(INDIRECT($C$3)=$D235)*((INDIRECT($E$3)="TOTS")+(INDIRECT($E$3)=$E235)),INDIRECT(K$3)))),_xlpm.y,SUM(_xlfn.CHOOSECOLS(_xlfn._xlws.FILTER(F_RT14[],(F_RT14[PrjId]=$B235)*(F_RT14[Vrs]=$D235)*(_xlfn.TEXTAFTER(F_RT14[ActGrp],":")=_xlfn.TEXTAFTER($H235,":")),"X"),MATCH("*"&amp;K$54,F_RT14[#Headers],0))),IF(AND(_xlpm.x=0,_xlpm.y&lt;&gt;0),-1,IF(AND(_xlpm.x&lt;&gt;0,_xlpm.y&lt;&gt;0),_xlpm.x,IF(AND(_xlpm.x-SUM(IF((INDIRECT($B$3)=$B235)*(INDIRECT($C$3)=$D235)*((INDIRECT($E$3)="TOTS")+(INDIRECT($E$3)=$E235)),INDIRECT(K$3)))&lt;&gt;0,_xlpm.y=0),-2,_xlpm.x)))),0))</f>
        <v>0</v>
      </c>
      <c r="L235" s="199" cm="1">
        <f t="array" aca="1" ref="L235" ca="1">IF(OR($B235="",$B235="X",$D235="",$D235="X",$E235="",$E235="X"),0,IFERROR(_xlfn.LET(_xlpm.x,SUM(SUM(_xlfn._xlws.FILTER(VALUE(PptoSty[Sign]&amp;1)*(1/PptoSty[Division]),(PptoSty[Division]&lt;&gt;0)*(PptoSty[Division]&lt;&gt;"")*(PptoSty[Division]&lt;&gt;"X")*(PptoSty[Project]=$B235)*(PptoSty[Vrs]=$D235)*(PptoSty[PiRow]=_xlfn.TEXTAFTER($H235,":"))*(PptoSty[PiColumn]=L$54),0)),SUM(IF((INDIRECT($B$3)=$B235)*(INDIRECT($C$3)=$D235)*((INDIRECT($E$3)="TOTS")+(INDIRECT($E$3)=$E235)),INDIRECT(L$3)))),_xlpm.y,SUM(_xlfn.CHOOSECOLS(_xlfn._xlws.FILTER(F_RT14[],(F_RT14[PrjId]=$B235)*(F_RT14[Vrs]=$D235)*(_xlfn.TEXTAFTER(F_RT14[ActGrp],":")=_xlfn.TEXTAFTER($H235,":")),"X"),MATCH("*"&amp;L$54,F_RT14[#Headers],0))),IF(AND(_xlpm.x=0,_xlpm.y&lt;&gt;0),-1,IF(AND(_xlpm.x&lt;&gt;0,_xlpm.y&lt;&gt;0),_xlpm.x,IF(AND(_xlpm.x-SUM(IF((INDIRECT($B$3)=$B235)*(INDIRECT($C$3)=$D235)*((INDIRECT($E$3)="TOTS")+(INDIRECT($E$3)=$E235)),INDIRECT(L$3)))&lt;&gt;0,_xlpm.y=0),-2,_xlpm.x)))),0))</f>
        <v>0</v>
      </c>
      <c r="M235" s="199" cm="1">
        <f t="array" aca="1" ref="M235" ca="1">IF(OR($B235="",$B235="X",$D235="",$D235="X",$E235="",$E235="X"),0,IFERROR(_xlfn.LET(_xlpm.x,SUM(SUM(_xlfn._xlws.FILTER(VALUE(PptoSty[Sign]&amp;1)*(1/PptoSty[Division]),(PptoSty[Division]&lt;&gt;0)*(PptoSty[Division]&lt;&gt;"")*(PptoSty[Division]&lt;&gt;"X")*(PptoSty[Project]=$B235)*(PptoSty[Vrs]=$D235)*(PptoSty[PiRow]=_xlfn.TEXTAFTER($H235,":"))*(PptoSty[PiColumn]=M$54),0)),SUM(IF((INDIRECT($B$3)=$B235)*(INDIRECT($C$3)=$D235)*((INDIRECT($E$3)="TOTS")+(INDIRECT($E$3)=$E235)),INDIRECT(M$3)))),_xlpm.y,SUM(_xlfn.CHOOSECOLS(_xlfn._xlws.FILTER(F_RT14[],(F_RT14[PrjId]=$B235)*(F_RT14[Vrs]=$D235)*(_xlfn.TEXTAFTER(F_RT14[ActGrp],":")=_xlfn.TEXTAFTER($H235,":")),"X"),MATCH("*"&amp;M$54,F_RT14[#Headers],0))),IF(AND(_xlpm.x=0,_xlpm.y&lt;&gt;0),-1,IF(AND(_xlpm.x&lt;&gt;0,_xlpm.y&lt;&gt;0),_xlpm.x,IF(AND(_xlpm.x-SUM(IF((INDIRECT($B$3)=$B235)*(INDIRECT($C$3)=$D235)*((INDIRECT($E$3)="TOTS")+(INDIRECT($E$3)=$E235)),INDIRECT(M$3)))&lt;&gt;0,_xlpm.y=0),-2,_xlpm.x)))),0))</f>
        <v>0</v>
      </c>
      <c r="N235" s="199" cm="1">
        <f t="array" aca="1" ref="N235" ca="1">IF(OR($B235="",$B235="X",$D235="",$D235="X",$E235="",$E235="X"),0,IFERROR(_xlfn.LET(_xlpm.x,SUM(SUM(_xlfn._xlws.FILTER(VALUE(PptoSty[Sign]&amp;1)*(1/PptoSty[Division]),(PptoSty[Division]&lt;&gt;0)*(PptoSty[Division]&lt;&gt;"")*(PptoSty[Division]&lt;&gt;"X")*(PptoSty[Project]=$B235)*(PptoSty[Vrs]=$D235)*(PptoSty[PiRow]=_xlfn.TEXTAFTER($H235,":"))*(PptoSty[PiColumn]=N$54),0)),SUM(IF((INDIRECT($B$3)=$B235)*(INDIRECT($C$3)=$D235)*((INDIRECT($E$3)="TOTS")+(INDIRECT($E$3)=$E235)),INDIRECT(N$3)))),_xlpm.y,SUM(_xlfn.CHOOSECOLS(_xlfn._xlws.FILTER(F_RT14[],(F_RT14[PrjId]=$B235)*(F_RT14[Vrs]=$D235)*(_xlfn.TEXTAFTER(F_RT14[ActGrp],":")=_xlfn.TEXTAFTER($H235,":")),"X"),MATCH("*"&amp;N$54,F_RT14[#Headers],0))),IF(AND(_xlpm.x=0,_xlpm.y&lt;&gt;0),-1,IF(AND(_xlpm.x&lt;&gt;0,_xlpm.y&lt;&gt;0),_xlpm.x,IF(AND(_xlpm.x-SUM(IF((INDIRECT($B$3)=$B235)*(INDIRECT($C$3)=$D235)*((INDIRECT($E$3)="TOTS")+(INDIRECT($E$3)=$E235)),INDIRECT(N$3)))&lt;&gt;0,_xlpm.y=0),-2,_xlpm.x)))),0))</f>
        <v>0</v>
      </c>
      <c r="O235" s="199" cm="1">
        <f t="array" aca="1" ref="O235" ca="1">IF(OR($B235="",$B235="X",$D235="",$D235="X",$E235="",$E235="X"),0,IFERROR(_xlfn.LET(_xlpm.x,SUM(SUM(_xlfn._xlws.FILTER(VALUE(PptoSty[Sign]&amp;1)*(1/PptoSty[Division]),(PptoSty[Division]&lt;&gt;0)*(PptoSty[Division]&lt;&gt;"")*(PptoSty[Division]&lt;&gt;"X")*(PptoSty[Project]=$B235)*(PptoSty[Vrs]=$D235)*(PptoSty[PiRow]=_xlfn.TEXTAFTER($H235,":"))*(PptoSty[PiColumn]=O$54),0)),SUM(IF((INDIRECT($B$3)=$B235)*(INDIRECT($C$3)=$D235)*((INDIRECT($E$3)="TOTS")+(INDIRECT($E$3)=$E235)),INDIRECT(O$3)))),_xlpm.y,SUM(_xlfn.CHOOSECOLS(_xlfn._xlws.FILTER(F_RT14[],(F_RT14[PrjId]=$B235)*(F_RT14[Vrs]=$D235)*(_xlfn.TEXTAFTER(F_RT14[ActGrp],":")=_xlfn.TEXTAFTER($H235,":")),"X"),MATCH("*"&amp;O$54,F_RT14[#Headers],0))),IF(AND(_xlpm.x=0,_xlpm.y&lt;&gt;0),-1,IF(AND(_xlpm.x&lt;&gt;0,_xlpm.y&lt;&gt;0),_xlpm.x,IF(AND(_xlpm.x-SUM(IF((INDIRECT($B$3)=$B235)*(INDIRECT($C$3)=$D235)*((INDIRECT($E$3)="TOTS")+(INDIRECT($E$3)=$E235)),INDIRECT(O$3)))&lt;&gt;0,_xlpm.y=0),-2,_xlpm.x)))),0))</f>
        <v>0</v>
      </c>
      <c r="P235" s="199" cm="1">
        <f t="array" aca="1" ref="P235" ca="1">IF(OR($B235="",$B235="X",$D235="",$D235="X",$E235="",$E235="X"),0,IFERROR(_xlfn.LET(_xlpm.x,SUM(SUM(_xlfn._xlws.FILTER(VALUE(PptoSty[Sign]&amp;1)*(1/PptoSty[Division]),(PptoSty[Division]&lt;&gt;0)*(PptoSty[Division]&lt;&gt;"")*(PptoSty[Division]&lt;&gt;"X")*(PptoSty[Project]=$B235)*(PptoSty[Vrs]=$D235)*(PptoSty[PiRow]=_xlfn.TEXTAFTER($H235,":"))*(PptoSty[PiColumn]=P$54),0)),SUM(IF((INDIRECT($B$3)=$B235)*(INDIRECT($C$3)=$D235)*((INDIRECT($E$3)="TOTS")+(INDIRECT($E$3)=$E235)),INDIRECT(P$3)))),_xlpm.y,SUM(_xlfn.CHOOSECOLS(_xlfn._xlws.FILTER(F_RT14[],(F_RT14[PrjId]=$B235)*(F_RT14[Vrs]=$D235)*(_xlfn.TEXTAFTER(F_RT14[ActGrp],":")=_xlfn.TEXTAFTER($H235,":")),"X"),MATCH("*"&amp;P$54,F_RT14[#Headers],0))),IF(AND(_xlpm.x=0,_xlpm.y&lt;&gt;0),-1,IF(AND(_xlpm.x&lt;&gt;0,_xlpm.y&lt;&gt;0),_xlpm.x,IF(AND(_xlpm.x-SUM(IF((INDIRECT($B$3)=$B235)*(INDIRECT($C$3)=$D235)*((INDIRECT($E$3)="TOTS")+(INDIRECT($E$3)=$E235)),INDIRECT(P$3)))&lt;&gt;0,_xlpm.y=0),-2,_xlpm.x)))),0))</f>
        <v>0</v>
      </c>
      <c r="Q235" s="199" cm="1">
        <f t="array" aca="1" ref="Q235" ca="1">IF(OR($B235="",$B235="X",$D235="",$D235="X",$E235="",$E235="X"),0,IFERROR(_xlfn.LET(_xlpm.x,SUM(SUM(_xlfn._xlws.FILTER(VALUE(PptoSty[Sign]&amp;1)*(1/PptoSty[Division]),(PptoSty[Division]&lt;&gt;0)*(PptoSty[Division]&lt;&gt;"")*(PptoSty[Division]&lt;&gt;"X")*(PptoSty[Project]=$B235)*(PptoSty[Vrs]=$D235)*(PptoSty[PiRow]=_xlfn.TEXTAFTER($H235,":"))*(PptoSty[PiColumn]=Q$54),0)),SUM(IF((INDIRECT($B$3)=$B235)*(INDIRECT($C$3)=$D235)*((INDIRECT($E$3)="TOTS")+(INDIRECT($E$3)=$E235)),INDIRECT(Q$3)))),_xlpm.y,SUM(_xlfn.CHOOSECOLS(_xlfn._xlws.FILTER(F_RT14[],(F_RT14[PrjId]=$B235)*(F_RT14[Vrs]=$D235)*(_xlfn.TEXTAFTER(F_RT14[ActGrp],":")=_xlfn.TEXTAFTER($H235,":")),"X"),MATCH("*"&amp;Q$54,F_RT14[#Headers],0))),IF(AND(_xlpm.x=0,_xlpm.y&lt;&gt;0),-1,IF(AND(_xlpm.x&lt;&gt;0,_xlpm.y&lt;&gt;0),_xlpm.x,IF(AND(_xlpm.x-SUM(IF((INDIRECT($B$3)=$B235)*(INDIRECT($C$3)=$D235)*((INDIRECT($E$3)="TOTS")+(INDIRECT($E$3)=$E235)),INDIRECT(Q$3)))&lt;&gt;0,_xlpm.y=0),-2,_xlpm.x)))),0))</f>
        <v>0</v>
      </c>
      <c r="R235" s="199" cm="1">
        <f t="array" aca="1" ref="R235" ca="1">IF(OR($B235="",$B235="X",$D235="",$D235="X",$E235="",$E235="X"),0,IFERROR(_xlfn.LET(_xlpm.x,SUM(SUM(_xlfn._xlws.FILTER(VALUE(PptoSty[Sign]&amp;1)*(1/PptoSty[Division]),(PptoSty[Division]&lt;&gt;0)*(PptoSty[Division]&lt;&gt;"")*(PptoSty[Division]&lt;&gt;"X")*(PptoSty[Project]=$B235)*(PptoSty[Vrs]=$D235)*(PptoSty[PiRow]=_xlfn.TEXTAFTER($H235,":"))*(PptoSty[PiColumn]=R$54),0)),SUM(IF((INDIRECT($B$3)=$B235)*(INDIRECT($C$3)=$D235)*((INDIRECT($E$3)="TOTS")+(INDIRECT($E$3)=$E235)),INDIRECT(R$3)))),_xlpm.y,SUM(_xlfn.CHOOSECOLS(_xlfn._xlws.FILTER(F_RT14[],(F_RT14[PrjId]=$B235)*(F_RT14[Vrs]=$D235)*(_xlfn.TEXTAFTER(F_RT14[ActGrp],":")=_xlfn.TEXTAFTER($H235,":")),"X"),MATCH("*"&amp;R$54,F_RT14[#Headers],0))),IF(AND(_xlpm.x=0,_xlpm.y&lt;&gt;0),-1,IF(AND(_xlpm.x&lt;&gt;0,_xlpm.y&lt;&gt;0),_xlpm.x,IF(AND(_xlpm.x-SUM(IF((INDIRECT($B$3)=$B235)*(INDIRECT($C$3)=$D235)*((INDIRECT($E$3)="TOTS")+(INDIRECT($E$3)=$E235)),INDIRECT(R$3)))&lt;&gt;0,_xlpm.y=0),-2,_xlpm.x)))),0))</f>
        <v>0</v>
      </c>
      <c r="S235" s="199" cm="1">
        <f t="array" aca="1" ref="S235" ca="1">IF(OR($B235="",$B235="X",$D235="",$D235="X",$E235="",$E235="X"),0,IFERROR(_xlfn.LET(_xlpm.x,SUM(SUM(_xlfn._xlws.FILTER(VALUE(PptoSty[Sign]&amp;1)*(1/PptoSty[Division]),(PptoSty[Division]&lt;&gt;0)*(PptoSty[Division]&lt;&gt;"")*(PptoSty[Division]&lt;&gt;"X")*(PptoSty[Project]=$B235)*(PptoSty[Vrs]=$D235)*(PptoSty[PiRow]=_xlfn.TEXTAFTER($H235,":"))*(PptoSty[PiColumn]=S$54),0)),SUM(IF((INDIRECT($B$3)=$B235)*(INDIRECT($C$3)=$D235)*((INDIRECT($E$3)="TOTS")+(INDIRECT($E$3)=$E235)),INDIRECT(S$3)))),_xlpm.y,SUM(_xlfn.CHOOSECOLS(_xlfn._xlws.FILTER(F_RT14[],(F_RT14[PrjId]=$B235)*(F_RT14[Vrs]=$D235)*(_xlfn.TEXTAFTER(F_RT14[ActGrp],":")=_xlfn.TEXTAFTER($H235,":")),"X"),MATCH("*"&amp;S$54,F_RT14[#Headers],0))),IF(AND(_xlpm.x=0,_xlpm.y&lt;&gt;0),-1,IF(AND(_xlpm.x&lt;&gt;0,_xlpm.y&lt;&gt;0),_xlpm.x,IF(AND(_xlpm.x-SUM(IF((INDIRECT($B$3)=$B235)*(INDIRECT($C$3)=$D235)*((INDIRECT($E$3)="TOTS")+(INDIRECT($E$3)=$E235)),INDIRECT(S$3)))&lt;&gt;0,_xlpm.y=0),-2,_xlpm.x)))),0))</f>
        <v>0</v>
      </c>
      <c r="T235" s="199" cm="1">
        <f t="array" aca="1" ref="T235" ca="1">IF(OR($B235="",$B235="X",$D235="",$D235="X",$E235="",$E235="X"),0,IFERROR(_xlfn.LET(_xlpm.x,SUM(SUM(_xlfn._xlws.FILTER(VALUE(PptoSty[Sign]&amp;1)*(1/PptoSty[Division]),(PptoSty[Division]&lt;&gt;0)*(PptoSty[Division]&lt;&gt;"")*(PptoSty[Division]&lt;&gt;"X")*(PptoSty[Project]=$B235)*(PptoSty[Vrs]=$D235)*(PptoSty[PiRow]=_xlfn.TEXTAFTER($H235,":"))*(PptoSty[PiColumn]=T$54),0)),SUM(IF((INDIRECT($B$3)=$B235)*(INDIRECT($C$3)=$D235)*((INDIRECT($E$3)="TOTS")+(INDIRECT($E$3)=$E235)),INDIRECT(T$3)))),_xlpm.y,SUM(_xlfn.CHOOSECOLS(_xlfn._xlws.FILTER(F_RT14[],(F_RT14[PrjId]=$B235)*(F_RT14[Vrs]=$D235)*(_xlfn.TEXTAFTER(F_RT14[ActGrp],":")=_xlfn.TEXTAFTER($H235,":")),"X"),MATCH("*"&amp;T$54,F_RT14[#Headers],0))),IF(AND(_xlpm.x=0,_xlpm.y&lt;&gt;0),-1,IF(AND(_xlpm.x&lt;&gt;0,_xlpm.y&lt;&gt;0),_xlpm.x,IF(AND(_xlpm.x-SUM(IF((INDIRECT($B$3)=$B235)*(INDIRECT($C$3)=$D235)*((INDIRECT($E$3)="TOTS")+(INDIRECT($E$3)=$E235)),INDIRECT(T$3)))&lt;&gt;0,_xlpm.y=0),-2,_xlpm.x)))),0))</f>
        <v>0</v>
      </c>
      <c r="U235" s="199" cm="1">
        <f t="array" aca="1" ref="U235" ca="1">IF(OR($B235="",$B235="X",$D235="",$D235="X",$E235="",$E235="X"),0,IFERROR(_xlfn.LET(_xlpm.x,SUM(SUM(_xlfn._xlws.FILTER(VALUE(PptoSty[Sign]&amp;1)*(1/PptoSty[Division]),(PptoSty[Division]&lt;&gt;0)*(PptoSty[Division]&lt;&gt;"")*(PptoSty[Division]&lt;&gt;"X")*(PptoSty[Project]=$B235)*(PptoSty[Vrs]=$D235)*(PptoSty[PiRow]=_xlfn.TEXTAFTER($H235,":"))*(PptoSty[PiColumn]=U$54),0)),SUM(IF((INDIRECT($B$3)=$B235)*(INDIRECT($C$3)=$D235)*((INDIRECT($E$3)="TOTS")+(INDIRECT($E$3)=$E235)),INDIRECT(U$3)))),_xlpm.y,SUM(_xlfn.CHOOSECOLS(_xlfn._xlws.FILTER(F_RT14[],(F_RT14[PrjId]=$B235)*(F_RT14[Vrs]=$D235)*(_xlfn.TEXTAFTER(F_RT14[ActGrp],":")=_xlfn.TEXTAFTER($H235,":")),"X"),MATCH("*"&amp;U$54,F_RT14[#Headers],0))),IF(AND(_xlpm.x=0,_xlpm.y&lt;&gt;0),-1,IF(AND(_xlpm.x&lt;&gt;0,_xlpm.y&lt;&gt;0),_xlpm.x,IF(AND(_xlpm.x-SUM(IF((INDIRECT($B$3)=$B235)*(INDIRECT($C$3)=$D235)*((INDIRECT($E$3)="TOTS")+(INDIRECT($E$3)=$E235)),INDIRECT(U$3)))&lt;&gt;0,_xlpm.y=0),-2,_xlpm.x)))),0))</f>
        <v>0</v>
      </c>
      <c r="V235" s="199" cm="1">
        <f t="array" aca="1" ref="V235" ca="1">IF(OR($B235="",$B235="X",$D235="",$D235="X",$E235="",$E235="X"),0,IFERROR(_xlfn.LET(_xlpm.x,SUM(SUM(_xlfn._xlws.FILTER(VALUE(PptoSty[Sign]&amp;1)*(1/PptoSty[Division]),(PptoSty[Division]&lt;&gt;0)*(PptoSty[Division]&lt;&gt;"")*(PptoSty[Division]&lt;&gt;"X")*(PptoSty[Project]=$B235)*(PptoSty[Vrs]=$D235)*(PptoSty[PiRow]=_xlfn.TEXTAFTER($H235,":"))*(PptoSty[PiColumn]=V$54),0)),SUM(IF((INDIRECT($B$3)=$B235)*(INDIRECT($C$3)=$D235)*((INDIRECT($E$3)="TOTS")+(INDIRECT($E$3)=$E235)),INDIRECT(V$3)))),_xlpm.y,SUM(_xlfn.CHOOSECOLS(_xlfn._xlws.FILTER(F_RT14[],(F_RT14[PrjId]=$B235)*(F_RT14[Vrs]=$D235)*(_xlfn.TEXTAFTER(F_RT14[ActGrp],":")=_xlfn.TEXTAFTER($H235,":")),"X"),MATCH("*"&amp;V$54,F_RT14[#Headers],0))),IF(AND(_xlpm.x=0,_xlpm.y&lt;&gt;0),-1,IF(AND(_xlpm.x&lt;&gt;0,_xlpm.y&lt;&gt;0),_xlpm.x,IF(AND(_xlpm.x-SUM(IF((INDIRECT($B$3)=$B235)*(INDIRECT($C$3)=$D235)*((INDIRECT($E$3)="TOTS")+(INDIRECT($E$3)=$E235)),INDIRECT(V$3)))&lt;&gt;0,_xlpm.y=0),-2,_xlpm.x)))),0))</f>
        <v>0</v>
      </c>
      <c r="W235" s="199" cm="1">
        <f t="array" aca="1" ref="W235" ca="1">IF(OR($B235="",$B235="X",$D235="",$D235="X",$E235="",$E235="X"),0,IFERROR(_xlfn.LET(_xlpm.x,SUM(SUM(_xlfn._xlws.FILTER(VALUE(PptoSty[Sign]&amp;1)*(1/PptoSty[Division]),(PptoSty[Division]&lt;&gt;0)*(PptoSty[Division]&lt;&gt;"")*(PptoSty[Division]&lt;&gt;"X")*(PptoSty[Project]=$B235)*(PptoSty[Vrs]=$D235)*(PptoSty[PiRow]=_xlfn.TEXTAFTER($H235,":"))*(PptoSty[PiColumn]=W$54),0)),SUM(IF((INDIRECT($B$3)=$B235)*(INDIRECT($C$3)=$D235)*((INDIRECT($E$3)="TOTS")+(INDIRECT($E$3)=$E235)),INDIRECT(W$3)))),_xlpm.y,SUM(_xlfn.CHOOSECOLS(_xlfn._xlws.FILTER(F_RT14[],(F_RT14[PrjId]=$B235)*(F_RT14[Vrs]=$D235)*(_xlfn.TEXTAFTER(F_RT14[ActGrp],":")=_xlfn.TEXTAFTER($H235,":")),"X"),MATCH("*"&amp;W$54,F_RT14[#Headers],0))),IF(AND(_xlpm.x=0,_xlpm.y&lt;&gt;0),-1,IF(AND(_xlpm.x&lt;&gt;0,_xlpm.y&lt;&gt;0),_xlpm.x,IF(AND(_xlpm.x-SUM(IF((INDIRECT($B$3)=$B235)*(INDIRECT($C$3)=$D235)*((INDIRECT($E$3)="TOTS")+(INDIRECT($E$3)=$E235)),INDIRECT(W$3)))&lt;&gt;0,_xlpm.y=0),-2,_xlpm.x)))),0))</f>
        <v>0</v>
      </c>
      <c r="X235" s="199" cm="1">
        <f t="array" aca="1" ref="X235" ca="1">IF(OR($B235="",$B235="X",$D235="",$D235="X",$E235="",$E235="X"),0,IFERROR(_xlfn.LET(_xlpm.x,SUM(SUM(_xlfn._xlws.FILTER(VALUE(PptoSty[Sign]&amp;1)*(1/PptoSty[Division]),(PptoSty[Division]&lt;&gt;0)*(PptoSty[Division]&lt;&gt;"")*(PptoSty[Division]&lt;&gt;"X")*(PptoSty[Project]=$B235)*(PptoSty[Vrs]=$D235)*(PptoSty[PiRow]=_xlfn.TEXTAFTER($H235,":"))*(PptoSty[PiColumn]=X$54),0)),SUM(IF((INDIRECT($B$3)=$B235)*(INDIRECT($C$3)=$D235)*((INDIRECT($E$3)="TOTS")+(INDIRECT($E$3)=$E235)),INDIRECT(X$3)))),_xlpm.y,SUM(_xlfn.CHOOSECOLS(_xlfn._xlws.FILTER(F_RT14[],(F_RT14[PrjId]=$B235)*(F_RT14[Vrs]=$D235)*(_xlfn.TEXTAFTER(F_RT14[ActGrp],":")=_xlfn.TEXTAFTER($H235,":")),"X"),MATCH("*"&amp;X$54,F_RT14[#Headers],0))),IF(AND(_xlpm.x=0,_xlpm.y&lt;&gt;0),-1,IF(AND(_xlpm.x&lt;&gt;0,_xlpm.y&lt;&gt;0),_xlpm.x,IF(AND(_xlpm.x-SUM(IF((INDIRECT($B$3)=$B235)*(INDIRECT($C$3)=$D235)*((INDIRECT($E$3)="TOTS")+(INDIRECT($E$3)=$E235)),INDIRECT(X$3)))&lt;&gt;0,_xlpm.y=0),-2,_xlpm.x)))),0))</f>
        <v>0</v>
      </c>
      <c r="Y235" s="199" cm="1">
        <f t="array" aca="1" ref="Y235" ca="1">IF(OR($B235="",$B235="X",$D235="",$D235="X",$E235="",$E235="X"),0,IFERROR(_xlfn.LET(_xlpm.x,SUM(SUM(_xlfn._xlws.FILTER(VALUE(PptoSty[Sign]&amp;1)*(1/PptoSty[Division]),(PptoSty[Division]&lt;&gt;0)*(PptoSty[Division]&lt;&gt;"")*(PptoSty[Division]&lt;&gt;"X")*(PptoSty[Project]=$B235)*(PptoSty[Vrs]=$D235)*(PptoSty[PiRow]=_xlfn.TEXTAFTER($H235,":"))*(PptoSty[PiColumn]=Y$54),0)),SUM(IF((INDIRECT($B$3)=$B235)*(INDIRECT($C$3)=$D235)*((INDIRECT($E$3)="TOTS")+(INDIRECT($E$3)=$E235)),INDIRECT(Y$3)))),_xlpm.y,SUM(_xlfn.CHOOSECOLS(_xlfn._xlws.FILTER(F_RT14[],(F_RT14[PrjId]=$B235)*(F_RT14[Vrs]=$D235)*(_xlfn.TEXTAFTER(F_RT14[ActGrp],":")=_xlfn.TEXTAFTER($H235,":")),"X"),MATCH("*"&amp;Y$54,F_RT14[#Headers],0))),IF(AND(_xlpm.x=0,_xlpm.y&lt;&gt;0),-1,IF(AND(_xlpm.x&lt;&gt;0,_xlpm.y&lt;&gt;0),_xlpm.x,IF(AND(_xlpm.x-SUM(IF((INDIRECT($B$3)=$B235)*(INDIRECT($C$3)=$D235)*((INDIRECT($E$3)="TOTS")+(INDIRECT($E$3)=$E235)),INDIRECT(Y$3)))&lt;&gt;0,_xlpm.y=0),-2,_xlpm.x)))),0))</f>
        <v>0</v>
      </c>
      <c r="Z235" s="198" t="str">
        <f t="shared" ca="1" si="4"/>
        <v>Fback!B235:Y235</v>
      </c>
    </row>
    <row r="236" spans="2:26" ht="21" customHeight="1" outlineLevel="1">
      <c r="B236" s="128"/>
      <c r="C236" s="128"/>
      <c r="D236" s="128"/>
      <c r="E236" s="128"/>
      <c r="F236" s="139"/>
      <c r="G236" s="139"/>
      <c r="H236" s="139"/>
      <c r="I236" s="199" cm="1">
        <f t="array" aca="1" ref="I236" ca="1">IF(OR($B236="",$B236="X",$D236="",$D236="X",$E236="",$E236="X"),0,IFERROR(_xlfn.LET(_xlpm.x,SUM(SUM(_xlfn._xlws.FILTER(VALUE(PptoSty[Sign]&amp;1)*(1/PptoSty[Division]),(PptoSty[Division]&lt;&gt;0)*(PptoSty[Division]&lt;&gt;"")*(PptoSty[Division]&lt;&gt;"X")*(PptoSty[Project]=$B236)*(PptoSty[Vrs]=$D236)*(PptoSty[PiRow]=_xlfn.TEXTAFTER($H236,":"))*(PptoSty[PiColumn]=I$54),0)),SUM(IF((INDIRECT($B$3)=$B236)*(INDIRECT($C$3)=$D236)*((INDIRECT($E$3)="TOTS")+(INDIRECT($E$3)=$E236)),INDIRECT(I$3)))),_xlpm.y,SUM(_xlfn.CHOOSECOLS(_xlfn._xlws.FILTER(F_RT14[],(F_RT14[PrjId]=$B236)*(F_RT14[Vrs]=$D236)*(_xlfn.TEXTAFTER(F_RT14[ActGrp],":")=_xlfn.TEXTAFTER($H236,":")),"X"),MATCH("*"&amp;I$54,F_RT14[#Headers],0))),IF(AND(_xlpm.x=0,_xlpm.y&lt;&gt;0),-1,IF(AND(_xlpm.x&lt;&gt;0,_xlpm.y&lt;&gt;0),_xlpm.x,IF(AND(_xlpm.x-SUM(IF((INDIRECT($B$3)=$B236)*(INDIRECT($C$3)=$D236)*((INDIRECT($E$3)="TOTS")+(INDIRECT($E$3)=$E236)),INDIRECT(I$3)))&lt;&gt;0,_xlpm.y=0),-2,_xlpm.x)))),0))</f>
        <v>0</v>
      </c>
      <c r="J236" s="199" cm="1">
        <f t="array" aca="1" ref="J236" ca="1">IF(OR($B236="",$B236="X",$D236="",$D236="X",$E236="",$E236="X"),0,IFERROR(_xlfn.LET(_xlpm.x,SUM(SUM(_xlfn._xlws.FILTER(VALUE(PptoSty[Sign]&amp;1)*(1/PptoSty[Division]),(PptoSty[Division]&lt;&gt;0)*(PptoSty[Division]&lt;&gt;"")*(PptoSty[Division]&lt;&gt;"X")*(PptoSty[Project]=$B236)*(PptoSty[Vrs]=$D236)*(PptoSty[PiRow]=_xlfn.TEXTAFTER($H236,":"))*(PptoSty[PiColumn]=J$54),0)),SUM(IF((INDIRECT($B$3)=$B236)*(INDIRECT($C$3)=$D236)*((INDIRECT($E$3)="TOTS")+(INDIRECT($E$3)=$E236)),INDIRECT(J$3)))),_xlpm.y,SUM(_xlfn.CHOOSECOLS(_xlfn._xlws.FILTER(F_RT14[],(F_RT14[PrjId]=$B236)*(F_RT14[Vrs]=$D236)*(_xlfn.TEXTAFTER(F_RT14[ActGrp],":")=_xlfn.TEXTAFTER($H236,":")),"X"),MATCH("*"&amp;J$54,F_RT14[#Headers],0))),IF(AND(_xlpm.x=0,_xlpm.y&lt;&gt;0),-1,IF(AND(_xlpm.x&lt;&gt;0,_xlpm.y&lt;&gt;0),_xlpm.x,IF(AND(_xlpm.x-SUM(IF((INDIRECT($B$3)=$B236)*(INDIRECT($C$3)=$D236)*((INDIRECT($E$3)="TOTS")+(INDIRECT($E$3)=$E236)),INDIRECT(J$3)))&lt;&gt;0,_xlpm.y=0),-2,_xlpm.x)))),0))</f>
        <v>0</v>
      </c>
      <c r="K236" s="199" cm="1">
        <f t="array" aca="1" ref="K236" ca="1">IF(OR($B236="",$B236="X",$D236="",$D236="X",$E236="",$E236="X"),0,IFERROR(_xlfn.LET(_xlpm.x,SUM(SUM(_xlfn._xlws.FILTER(VALUE(PptoSty[Sign]&amp;1)*(1/PptoSty[Division]),(PptoSty[Division]&lt;&gt;0)*(PptoSty[Division]&lt;&gt;"")*(PptoSty[Division]&lt;&gt;"X")*(PptoSty[Project]=$B236)*(PptoSty[Vrs]=$D236)*(PptoSty[PiRow]=_xlfn.TEXTAFTER($H236,":"))*(PptoSty[PiColumn]=K$54),0)),SUM(IF((INDIRECT($B$3)=$B236)*(INDIRECT($C$3)=$D236)*((INDIRECT($E$3)="TOTS")+(INDIRECT($E$3)=$E236)),INDIRECT(K$3)))),_xlpm.y,SUM(_xlfn.CHOOSECOLS(_xlfn._xlws.FILTER(F_RT14[],(F_RT14[PrjId]=$B236)*(F_RT14[Vrs]=$D236)*(_xlfn.TEXTAFTER(F_RT14[ActGrp],":")=_xlfn.TEXTAFTER($H236,":")),"X"),MATCH("*"&amp;K$54,F_RT14[#Headers],0))),IF(AND(_xlpm.x=0,_xlpm.y&lt;&gt;0),-1,IF(AND(_xlpm.x&lt;&gt;0,_xlpm.y&lt;&gt;0),_xlpm.x,IF(AND(_xlpm.x-SUM(IF((INDIRECT($B$3)=$B236)*(INDIRECT($C$3)=$D236)*((INDIRECT($E$3)="TOTS")+(INDIRECT($E$3)=$E236)),INDIRECT(K$3)))&lt;&gt;0,_xlpm.y=0),-2,_xlpm.x)))),0))</f>
        <v>0</v>
      </c>
      <c r="L236" s="199" cm="1">
        <f t="array" aca="1" ref="L236" ca="1">IF(OR($B236="",$B236="X",$D236="",$D236="X",$E236="",$E236="X"),0,IFERROR(_xlfn.LET(_xlpm.x,SUM(SUM(_xlfn._xlws.FILTER(VALUE(PptoSty[Sign]&amp;1)*(1/PptoSty[Division]),(PptoSty[Division]&lt;&gt;0)*(PptoSty[Division]&lt;&gt;"")*(PptoSty[Division]&lt;&gt;"X")*(PptoSty[Project]=$B236)*(PptoSty[Vrs]=$D236)*(PptoSty[PiRow]=_xlfn.TEXTAFTER($H236,":"))*(PptoSty[PiColumn]=L$54),0)),SUM(IF((INDIRECT($B$3)=$B236)*(INDIRECT($C$3)=$D236)*((INDIRECT($E$3)="TOTS")+(INDIRECT($E$3)=$E236)),INDIRECT(L$3)))),_xlpm.y,SUM(_xlfn.CHOOSECOLS(_xlfn._xlws.FILTER(F_RT14[],(F_RT14[PrjId]=$B236)*(F_RT14[Vrs]=$D236)*(_xlfn.TEXTAFTER(F_RT14[ActGrp],":")=_xlfn.TEXTAFTER($H236,":")),"X"),MATCH("*"&amp;L$54,F_RT14[#Headers],0))),IF(AND(_xlpm.x=0,_xlpm.y&lt;&gt;0),-1,IF(AND(_xlpm.x&lt;&gt;0,_xlpm.y&lt;&gt;0),_xlpm.x,IF(AND(_xlpm.x-SUM(IF((INDIRECT($B$3)=$B236)*(INDIRECT($C$3)=$D236)*((INDIRECT($E$3)="TOTS")+(INDIRECT($E$3)=$E236)),INDIRECT(L$3)))&lt;&gt;0,_xlpm.y=0),-2,_xlpm.x)))),0))</f>
        <v>0</v>
      </c>
      <c r="M236" s="199" cm="1">
        <f t="array" aca="1" ref="M236" ca="1">IF(OR($B236="",$B236="X",$D236="",$D236="X",$E236="",$E236="X"),0,IFERROR(_xlfn.LET(_xlpm.x,SUM(SUM(_xlfn._xlws.FILTER(VALUE(PptoSty[Sign]&amp;1)*(1/PptoSty[Division]),(PptoSty[Division]&lt;&gt;0)*(PptoSty[Division]&lt;&gt;"")*(PptoSty[Division]&lt;&gt;"X")*(PptoSty[Project]=$B236)*(PptoSty[Vrs]=$D236)*(PptoSty[PiRow]=_xlfn.TEXTAFTER($H236,":"))*(PptoSty[PiColumn]=M$54),0)),SUM(IF((INDIRECT($B$3)=$B236)*(INDIRECT($C$3)=$D236)*((INDIRECT($E$3)="TOTS")+(INDIRECT($E$3)=$E236)),INDIRECT(M$3)))),_xlpm.y,SUM(_xlfn.CHOOSECOLS(_xlfn._xlws.FILTER(F_RT14[],(F_RT14[PrjId]=$B236)*(F_RT14[Vrs]=$D236)*(_xlfn.TEXTAFTER(F_RT14[ActGrp],":")=_xlfn.TEXTAFTER($H236,":")),"X"),MATCH("*"&amp;M$54,F_RT14[#Headers],0))),IF(AND(_xlpm.x=0,_xlpm.y&lt;&gt;0),-1,IF(AND(_xlpm.x&lt;&gt;0,_xlpm.y&lt;&gt;0),_xlpm.x,IF(AND(_xlpm.x-SUM(IF((INDIRECT($B$3)=$B236)*(INDIRECT($C$3)=$D236)*((INDIRECT($E$3)="TOTS")+(INDIRECT($E$3)=$E236)),INDIRECT(M$3)))&lt;&gt;0,_xlpm.y=0),-2,_xlpm.x)))),0))</f>
        <v>0</v>
      </c>
      <c r="N236" s="199" cm="1">
        <f t="array" aca="1" ref="N236" ca="1">IF(OR($B236="",$B236="X",$D236="",$D236="X",$E236="",$E236="X"),0,IFERROR(_xlfn.LET(_xlpm.x,SUM(SUM(_xlfn._xlws.FILTER(VALUE(PptoSty[Sign]&amp;1)*(1/PptoSty[Division]),(PptoSty[Division]&lt;&gt;0)*(PptoSty[Division]&lt;&gt;"")*(PptoSty[Division]&lt;&gt;"X")*(PptoSty[Project]=$B236)*(PptoSty[Vrs]=$D236)*(PptoSty[PiRow]=_xlfn.TEXTAFTER($H236,":"))*(PptoSty[PiColumn]=N$54),0)),SUM(IF((INDIRECT($B$3)=$B236)*(INDIRECT($C$3)=$D236)*((INDIRECT($E$3)="TOTS")+(INDIRECT($E$3)=$E236)),INDIRECT(N$3)))),_xlpm.y,SUM(_xlfn.CHOOSECOLS(_xlfn._xlws.FILTER(F_RT14[],(F_RT14[PrjId]=$B236)*(F_RT14[Vrs]=$D236)*(_xlfn.TEXTAFTER(F_RT14[ActGrp],":")=_xlfn.TEXTAFTER($H236,":")),"X"),MATCH("*"&amp;N$54,F_RT14[#Headers],0))),IF(AND(_xlpm.x=0,_xlpm.y&lt;&gt;0),-1,IF(AND(_xlpm.x&lt;&gt;0,_xlpm.y&lt;&gt;0),_xlpm.x,IF(AND(_xlpm.x-SUM(IF((INDIRECT($B$3)=$B236)*(INDIRECT($C$3)=$D236)*((INDIRECT($E$3)="TOTS")+(INDIRECT($E$3)=$E236)),INDIRECT(N$3)))&lt;&gt;0,_xlpm.y=0),-2,_xlpm.x)))),0))</f>
        <v>0</v>
      </c>
      <c r="O236" s="199" cm="1">
        <f t="array" aca="1" ref="O236" ca="1">IF(OR($B236="",$B236="X",$D236="",$D236="X",$E236="",$E236="X"),0,IFERROR(_xlfn.LET(_xlpm.x,SUM(SUM(_xlfn._xlws.FILTER(VALUE(PptoSty[Sign]&amp;1)*(1/PptoSty[Division]),(PptoSty[Division]&lt;&gt;0)*(PptoSty[Division]&lt;&gt;"")*(PptoSty[Division]&lt;&gt;"X")*(PptoSty[Project]=$B236)*(PptoSty[Vrs]=$D236)*(PptoSty[PiRow]=_xlfn.TEXTAFTER($H236,":"))*(PptoSty[PiColumn]=O$54),0)),SUM(IF((INDIRECT($B$3)=$B236)*(INDIRECT($C$3)=$D236)*((INDIRECT($E$3)="TOTS")+(INDIRECT($E$3)=$E236)),INDIRECT(O$3)))),_xlpm.y,SUM(_xlfn.CHOOSECOLS(_xlfn._xlws.FILTER(F_RT14[],(F_RT14[PrjId]=$B236)*(F_RT14[Vrs]=$D236)*(_xlfn.TEXTAFTER(F_RT14[ActGrp],":")=_xlfn.TEXTAFTER($H236,":")),"X"),MATCH("*"&amp;O$54,F_RT14[#Headers],0))),IF(AND(_xlpm.x=0,_xlpm.y&lt;&gt;0),-1,IF(AND(_xlpm.x&lt;&gt;0,_xlpm.y&lt;&gt;0),_xlpm.x,IF(AND(_xlpm.x-SUM(IF((INDIRECT($B$3)=$B236)*(INDIRECT($C$3)=$D236)*((INDIRECT($E$3)="TOTS")+(INDIRECT($E$3)=$E236)),INDIRECT(O$3)))&lt;&gt;0,_xlpm.y=0),-2,_xlpm.x)))),0))</f>
        <v>0</v>
      </c>
      <c r="P236" s="199" cm="1">
        <f t="array" aca="1" ref="P236" ca="1">IF(OR($B236="",$B236="X",$D236="",$D236="X",$E236="",$E236="X"),0,IFERROR(_xlfn.LET(_xlpm.x,SUM(SUM(_xlfn._xlws.FILTER(VALUE(PptoSty[Sign]&amp;1)*(1/PptoSty[Division]),(PptoSty[Division]&lt;&gt;0)*(PptoSty[Division]&lt;&gt;"")*(PptoSty[Division]&lt;&gt;"X")*(PptoSty[Project]=$B236)*(PptoSty[Vrs]=$D236)*(PptoSty[PiRow]=_xlfn.TEXTAFTER($H236,":"))*(PptoSty[PiColumn]=P$54),0)),SUM(IF((INDIRECT($B$3)=$B236)*(INDIRECT($C$3)=$D236)*((INDIRECT($E$3)="TOTS")+(INDIRECT($E$3)=$E236)),INDIRECT(P$3)))),_xlpm.y,SUM(_xlfn.CHOOSECOLS(_xlfn._xlws.FILTER(F_RT14[],(F_RT14[PrjId]=$B236)*(F_RT14[Vrs]=$D236)*(_xlfn.TEXTAFTER(F_RT14[ActGrp],":")=_xlfn.TEXTAFTER($H236,":")),"X"),MATCH("*"&amp;P$54,F_RT14[#Headers],0))),IF(AND(_xlpm.x=0,_xlpm.y&lt;&gt;0),-1,IF(AND(_xlpm.x&lt;&gt;0,_xlpm.y&lt;&gt;0),_xlpm.x,IF(AND(_xlpm.x-SUM(IF((INDIRECT($B$3)=$B236)*(INDIRECT($C$3)=$D236)*((INDIRECT($E$3)="TOTS")+(INDIRECT($E$3)=$E236)),INDIRECT(P$3)))&lt;&gt;0,_xlpm.y=0),-2,_xlpm.x)))),0))</f>
        <v>0</v>
      </c>
      <c r="Q236" s="199" cm="1">
        <f t="array" aca="1" ref="Q236" ca="1">IF(OR($B236="",$B236="X",$D236="",$D236="X",$E236="",$E236="X"),0,IFERROR(_xlfn.LET(_xlpm.x,SUM(SUM(_xlfn._xlws.FILTER(VALUE(PptoSty[Sign]&amp;1)*(1/PptoSty[Division]),(PptoSty[Division]&lt;&gt;0)*(PptoSty[Division]&lt;&gt;"")*(PptoSty[Division]&lt;&gt;"X")*(PptoSty[Project]=$B236)*(PptoSty[Vrs]=$D236)*(PptoSty[PiRow]=_xlfn.TEXTAFTER($H236,":"))*(PptoSty[PiColumn]=Q$54),0)),SUM(IF((INDIRECT($B$3)=$B236)*(INDIRECT($C$3)=$D236)*((INDIRECT($E$3)="TOTS")+(INDIRECT($E$3)=$E236)),INDIRECT(Q$3)))),_xlpm.y,SUM(_xlfn.CHOOSECOLS(_xlfn._xlws.FILTER(F_RT14[],(F_RT14[PrjId]=$B236)*(F_RT14[Vrs]=$D236)*(_xlfn.TEXTAFTER(F_RT14[ActGrp],":")=_xlfn.TEXTAFTER($H236,":")),"X"),MATCH("*"&amp;Q$54,F_RT14[#Headers],0))),IF(AND(_xlpm.x=0,_xlpm.y&lt;&gt;0),-1,IF(AND(_xlpm.x&lt;&gt;0,_xlpm.y&lt;&gt;0),_xlpm.x,IF(AND(_xlpm.x-SUM(IF((INDIRECT($B$3)=$B236)*(INDIRECT($C$3)=$D236)*((INDIRECT($E$3)="TOTS")+(INDIRECT($E$3)=$E236)),INDIRECT(Q$3)))&lt;&gt;0,_xlpm.y=0),-2,_xlpm.x)))),0))</f>
        <v>0</v>
      </c>
      <c r="R236" s="199" cm="1">
        <f t="array" aca="1" ref="R236" ca="1">IF(OR($B236="",$B236="X",$D236="",$D236="X",$E236="",$E236="X"),0,IFERROR(_xlfn.LET(_xlpm.x,SUM(SUM(_xlfn._xlws.FILTER(VALUE(PptoSty[Sign]&amp;1)*(1/PptoSty[Division]),(PptoSty[Division]&lt;&gt;0)*(PptoSty[Division]&lt;&gt;"")*(PptoSty[Division]&lt;&gt;"X")*(PptoSty[Project]=$B236)*(PptoSty[Vrs]=$D236)*(PptoSty[PiRow]=_xlfn.TEXTAFTER($H236,":"))*(PptoSty[PiColumn]=R$54),0)),SUM(IF((INDIRECT($B$3)=$B236)*(INDIRECT($C$3)=$D236)*((INDIRECT($E$3)="TOTS")+(INDIRECT($E$3)=$E236)),INDIRECT(R$3)))),_xlpm.y,SUM(_xlfn.CHOOSECOLS(_xlfn._xlws.FILTER(F_RT14[],(F_RT14[PrjId]=$B236)*(F_RT14[Vrs]=$D236)*(_xlfn.TEXTAFTER(F_RT14[ActGrp],":")=_xlfn.TEXTAFTER($H236,":")),"X"),MATCH("*"&amp;R$54,F_RT14[#Headers],0))),IF(AND(_xlpm.x=0,_xlpm.y&lt;&gt;0),-1,IF(AND(_xlpm.x&lt;&gt;0,_xlpm.y&lt;&gt;0),_xlpm.x,IF(AND(_xlpm.x-SUM(IF((INDIRECT($B$3)=$B236)*(INDIRECT($C$3)=$D236)*((INDIRECT($E$3)="TOTS")+(INDIRECT($E$3)=$E236)),INDIRECT(R$3)))&lt;&gt;0,_xlpm.y=0),-2,_xlpm.x)))),0))</f>
        <v>0</v>
      </c>
      <c r="S236" s="199" cm="1">
        <f t="array" aca="1" ref="S236" ca="1">IF(OR($B236="",$B236="X",$D236="",$D236="X",$E236="",$E236="X"),0,IFERROR(_xlfn.LET(_xlpm.x,SUM(SUM(_xlfn._xlws.FILTER(VALUE(PptoSty[Sign]&amp;1)*(1/PptoSty[Division]),(PptoSty[Division]&lt;&gt;0)*(PptoSty[Division]&lt;&gt;"")*(PptoSty[Division]&lt;&gt;"X")*(PptoSty[Project]=$B236)*(PptoSty[Vrs]=$D236)*(PptoSty[PiRow]=_xlfn.TEXTAFTER($H236,":"))*(PptoSty[PiColumn]=S$54),0)),SUM(IF((INDIRECT($B$3)=$B236)*(INDIRECT($C$3)=$D236)*((INDIRECT($E$3)="TOTS")+(INDIRECT($E$3)=$E236)),INDIRECT(S$3)))),_xlpm.y,SUM(_xlfn.CHOOSECOLS(_xlfn._xlws.FILTER(F_RT14[],(F_RT14[PrjId]=$B236)*(F_RT14[Vrs]=$D236)*(_xlfn.TEXTAFTER(F_RT14[ActGrp],":")=_xlfn.TEXTAFTER($H236,":")),"X"),MATCH("*"&amp;S$54,F_RT14[#Headers],0))),IF(AND(_xlpm.x=0,_xlpm.y&lt;&gt;0),-1,IF(AND(_xlpm.x&lt;&gt;0,_xlpm.y&lt;&gt;0),_xlpm.x,IF(AND(_xlpm.x-SUM(IF((INDIRECT($B$3)=$B236)*(INDIRECT($C$3)=$D236)*((INDIRECT($E$3)="TOTS")+(INDIRECT($E$3)=$E236)),INDIRECT(S$3)))&lt;&gt;0,_xlpm.y=0),-2,_xlpm.x)))),0))</f>
        <v>0</v>
      </c>
      <c r="T236" s="199" cm="1">
        <f t="array" aca="1" ref="T236" ca="1">IF(OR($B236="",$B236="X",$D236="",$D236="X",$E236="",$E236="X"),0,IFERROR(_xlfn.LET(_xlpm.x,SUM(SUM(_xlfn._xlws.FILTER(VALUE(PptoSty[Sign]&amp;1)*(1/PptoSty[Division]),(PptoSty[Division]&lt;&gt;0)*(PptoSty[Division]&lt;&gt;"")*(PptoSty[Division]&lt;&gt;"X")*(PptoSty[Project]=$B236)*(PptoSty[Vrs]=$D236)*(PptoSty[PiRow]=_xlfn.TEXTAFTER($H236,":"))*(PptoSty[PiColumn]=T$54),0)),SUM(IF((INDIRECT($B$3)=$B236)*(INDIRECT($C$3)=$D236)*((INDIRECT($E$3)="TOTS")+(INDIRECT($E$3)=$E236)),INDIRECT(T$3)))),_xlpm.y,SUM(_xlfn.CHOOSECOLS(_xlfn._xlws.FILTER(F_RT14[],(F_RT14[PrjId]=$B236)*(F_RT14[Vrs]=$D236)*(_xlfn.TEXTAFTER(F_RT14[ActGrp],":")=_xlfn.TEXTAFTER($H236,":")),"X"),MATCH("*"&amp;T$54,F_RT14[#Headers],0))),IF(AND(_xlpm.x=0,_xlpm.y&lt;&gt;0),-1,IF(AND(_xlpm.x&lt;&gt;0,_xlpm.y&lt;&gt;0),_xlpm.x,IF(AND(_xlpm.x-SUM(IF((INDIRECT($B$3)=$B236)*(INDIRECT($C$3)=$D236)*((INDIRECT($E$3)="TOTS")+(INDIRECT($E$3)=$E236)),INDIRECT(T$3)))&lt;&gt;0,_xlpm.y=0),-2,_xlpm.x)))),0))</f>
        <v>0</v>
      </c>
      <c r="U236" s="199" cm="1">
        <f t="array" aca="1" ref="U236" ca="1">IF(OR($B236="",$B236="X",$D236="",$D236="X",$E236="",$E236="X"),0,IFERROR(_xlfn.LET(_xlpm.x,SUM(SUM(_xlfn._xlws.FILTER(VALUE(PptoSty[Sign]&amp;1)*(1/PptoSty[Division]),(PptoSty[Division]&lt;&gt;0)*(PptoSty[Division]&lt;&gt;"")*(PptoSty[Division]&lt;&gt;"X")*(PptoSty[Project]=$B236)*(PptoSty[Vrs]=$D236)*(PptoSty[PiRow]=_xlfn.TEXTAFTER($H236,":"))*(PptoSty[PiColumn]=U$54),0)),SUM(IF((INDIRECT($B$3)=$B236)*(INDIRECT($C$3)=$D236)*((INDIRECT($E$3)="TOTS")+(INDIRECT($E$3)=$E236)),INDIRECT(U$3)))),_xlpm.y,SUM(_xlfn.CHOOSECOLS(_xlfn._xlws.FILTER(F_RT14[],(F_RT14[PrjId]=$B236)*(F_RT14[Vrs]=$D236)*(_xlfn.TEXTAFTER(F_RT14[ActGrp],":")=_xlfn.TEXTAFTER($H236,":")),"X"),MATCH("*"&amp;U$54,F_RT14[#Headers],0))),IF(AND(_xlpm.x=0,_xlpm.y&lt;&gt;0),-1,IF(AND(_xlpm.x&lt;&gt;0,_xlpm.y&lt;&gt;0),_xlpm.x,IF(AND(_xlpm.x-SUM(IF((INDIRECT($B$3)=$B236)*(INDIRECT($C$3)=$D236)*((INDIRECT($E$3)="TOTS")+(INDIRECT($E$3)=$E236)),INDIRECT(U$3)))&lt;&gt;0,_xlpm.y=0),-2,_xlpm.x)))),0))</f>
        <v>0</v>
      </c>
      <c r="V236" s="199" cm="1">
        <f t="array" aca="1" ref="V236" ca="1">IF(OR($B236="",$B236="X",$D236="",$D236="X",$E236="",$E236="X"),0,IFERROR(_xlfn.LET(_xlpm.x,SUM(SUM(_xlfn._xlws.FILTER(VALUE(PptoSty[Sign]&amp;1)*(1/PptoSty[Division]),(PptoSty[Division]&lt;&gt;0)*(PptoSty[Division]&lt;&gt;"")*(PptoSty[Division]&lt;&gt;"X")*(PptoSty[Project]=$B236)*(PptoSty[Vrs]=$D236)*(PptoSty[PiRow]=_xlfn.TEXTAFTER($H236,":"))*(PptoSty[PiColumn]=V$54),0)),SUM(IF((INDIRECT($B$3)=$B236)*(INDIRECT($C$3)=$D236)*((INDIRECT($E$3)="TOTS")+(INDIRECT($E$3)=$E236)),INDIRECT(V$3)))),_xlpm.y,SUM(_xlfn.CHOOSECOLS(_xlfn._xlws.FILTER(F_RT14[],(F_RT14[PrjId]=$B236)*(F_RT14[Vrs]=$D236)*(_xlfn.TEXTAFTER(F_RT14[ActGrp],":")=_xlfn.TEXTAFTER($H236,":")),"X"),MATCH("*"&amp;V$54,F_RT14[#Headers],0))),IF(AND(_xlpm.x=0,_xlpm.y&lt;&gt;0),-1,IF(AND(_xlpm.x&lt;&gt;0,_xlpm.y&lt;&gt;0),_xlpm.x,IF(AND(_xlpm.x-SUM(IF((INDIRECT($B$3)=$B236)*(INDIRECT($C$3)=$D236)*((INDIRECT($E$3)="TOTS")+(INDIRECT($E$3)=$E236)),INDIRECT(V$3)))&lt;&gt;0,_xlpm.y=0),-2,_xlpm.x)))),0))</f>
        <v>0</v>
      </c>
      <c r="W236" s="199" cm="1">
        <f t="array" aca="1" ref="W236" ca="1">IF(OR($B236="",$B236="X",$D236="",$D236="X",$E236="",$E236="X"),0,IFERROR(_xlfn.LET(_xlpm.x,SUM(SUM(_xlfn._xlws.FILTER(VALUE(PptoSty[Sign]&amp;1)*(1/PptoSty[Division]),(PptoSty[Division]&lt;&gt;0)*(PptoSty[Division]&lt;&gt;"")*(PptoSty[Division]&lt;&gt;"X")*(PptoSty[Project]=$B236)*(PptoSty[Vrs]=$D236)*(PptoSty[PiRow]=_xlfn.TEXTAFTER($H236,":"))*(PptoSty[PiColumn]=W$54),0)),SUM(IF((INDIRECT($B$3)=$B236)*(INDIRECT($C$3)=$D236)*((INDIRECT($E$3)="TOTS")+(INDIRECT($E$3)=$E236)),INDIRECT(W$3)))),_xlpm.y,SUM(_xlfn.CHOOSECOLS(_xlfn._xlws.FILTER(F_RT14[],(F_RT14[PrjId]=$B236)*(F_RT14[Vrs]=$D236)*(_xlfn.TEXTAFTER(F_RT14[ActGrp],":")=_xlfn.TEXTAFTER($H236,":")),"X"),MATCH("*"&amp;W$54,F_RT14[#Headers],0))),IF(AND(_xlpm.x=0,_xlpm.y&lt;&gt;0),-1,IF(AND(_xlpm.x&lt;&gt;0,_xlpm.y&lt;&gt;0),_xlpm.x,IF(AND(_xlpm.x-SUM(IF((INDIRECT($B$3)=$B236)*(INDIRECT($C$3)=$D236)*((INDIRECT($E$3)="TOTS")+(INDIRECT($E$3)=$E236)),INDIRECT(W$3)))&lt;&gt;0,_xlpm.y=0),-2,_xlpm.x)))),0))</f>
        <v>0</v>
      </c>
      <c r="X236" s="199" cm="1">
        <f t="array" aca="1" ref="X236" ca="1">IF(OR($B236="",$B236="X",$D236="",$D236="X",$E236="",$E236="X"),0,IFERROR(_xlfn.LET(_xlpm.x,SUM(SUM(_xlfn._xlws.FILTER(VALUE(PptoSty[Sign]&amp;1)*(1/PptoSty[Division]),(PptoSty[Division]&lt;&gt;0)*(PptoSty[Division]&lt;&gt;"")*(PptoSty[Division]&lt;&gt;"X")*(PptoSty[Project]=$B236)*(PptoSty[Vrs]=$D236)*(PptoSty[PiRow]=_xlfn.TEXTAFTER($H236,":"))*(PptoSty[PiColumn]=X$54),0)),SUM(IF((INDIRECT($B$3)=$B236)*(INDIRECT($C$3)=$D236)*((INDIRECT($E$3)="TOTS")+(INDIRECT($E$3)=$E236)),INDIRECT(X$3)))),_xlpm.y,SUM(_xlfn.CHOOSECOLS(_xlfn._xlws.FILTER(F_RT14[],(F_RT14[PrjId]=$B236)*(F_RT14[Vrs]=$D236)*(_xlfn.TEXTAFTER(F_RT14[ActGrp],":")=_xlfn.TEXTAFTER($H236,":")),"X"),MATCH("*"&amp;X$54,F_RT14[#Headers],0))),IF(AND(_xlpm.x=0,_xlpm.y&lt;&gt;0),-1,IF(AND(_xlpm.x&lt;&gt;0,_xlpm.y&lt;&gt;0),_xlpm.x,IF(AND(_xlpm.x-SUM(IF((INDIRECT($B$3)=$B236)*(INDIRECT($C$3)=$D236)*((INDIRECT($E$3)="TOTS")+(INDIRECT($E$3)=$E236)),INDIRECT(X$3)))&lt;&gt;0,_xlpm.y=0),-2,_xlpm.x)))),0))</f>
        <v>0</v>
      </c>
      <c r="Y236" s="199" cm="1">
        <f t="array" aca="1" ref="Y236" ca="1">IF(OR($B236="",$B236="X",$D236="",$D236="X",$E236="",$E236="X"),0,IFERROR(_xlfn.LET(_xlpm.x,SUM(SUM(_xlfn._xlws.FILTER(VALUE(PptoSty[Sign]&amp;1)*(1/PptoSty[Division]),(PptoSty[Division]&lt;&gt;0)*(PptoSty[Division]&lt;&gt;"")*(PptoSty[Division]&lt;&gt;"X")*(PptoSty[Project]=$B236)*(PptoSty[Vrs]=$D236)*(PptoSty[PiRow]=_xlfn.TEXTAFTER($H236,":"))*(PptoSty[PiColumn]=Y$54),0)),SUM(IF((INDIRECT($B$3)=$B236)*(INDIRECT($C$3)=$D236)*((INDIRECT($E$3)="TOTS")+(INDIRECT($E$3)=$E236)),INDIRECT(Y$3)))),_xlpm.y,SUM(_xlfn.CHOOSECOLS(_xlfn._xlws.FILTER(F_RT14[],(F_RT14[PrjId]=$B236)*(F_RT14[Vrs]=$D236)*(_xlfn.TEXTAFTER(F_RT14[ActGrp],":")=_xlfn.TEXTAFTER($H236,":")),"X"),MATCH("*"&amp;Y$54,F_RT14[#Headers],0))),IF(AND(_xlpm.x=0,_xlpm.y&lt;&gt;0),-1,IF(AND(_xlpm.x&lt;&gt;0,_xlpm.y&lt;&gt;0),_xlpm.x,IF(AND(_xlpm.x-SUM(IF((INDIRECT($B$3)=$B236)*(INDIRECT($C$3)=$D236)*((INDIRECT($E$3)="TOTS")+(INDIRECT($E$3)=$E236)),INDIRECT(Y$3)))&lt;&gt;0,_xlpm.y=0),-2,_xlpm.x)))),0))</f>
        <v>0</v>
      </c>
      <c r="Z236" s="198" t="str">
        <f t="shared" ca="1" si="4"/>
        <v>Fback!B236:Y236</v>
      </c>
    </row>
    <row r="237" spans="2:26" ht="21" customHeight="1" outlineLevel="1">
      <c r="B237" s="128"/>
      <c r="C237" s="128"/>
      <c r="D237" s="128"/>
      <c r="E237" s="128"/>
      <c r="F237" s="139"/>
      <c r="G237" s="139"/>
      <c r="H237" s="139"/>
      <c r="I237" s="199" cm="1">
        <f t="array" aca="1" ref="I237" ca="1">IF(OR($B237="",$B237="X",$D237="",$D237="X",$E237="",$E237="X"),0,IFERROR(_xlfn.LET(_xlpm.x,SUM(SUM(_xlfn._xlws.FILTER(VALUE(PptoSty[Sign]&amp;1)*(1/PptoSty[Division]),(PptoSty[Division]&lt;&gt;0)*(PptoSty[Division]&lt;&gt;"")*(PptoSty[Division]&lt;&gt;"X")*(PptoSty[Project]=$B237)*(PptoSty[Vrs]=$D237)*(PptoSty[PiRow]=_xlfn.TEXTAFTER($H237,":"))*(PptoSty[PiColumn]=I$54),0)),SUM(IF((INDIRECT($B$3)=$B237)*(INDIRECT($C$3)=$D237)*((INDIRECT($E$3)="TOTS")+(INDIRECT($E$3)=$E237)),INDIRECT(I$3)))),_xlpm.y,SUM(_xlfn.CHOOSECOLS(_xlfn._xlws.FILTER(F_RT14[],(F_RT14[PrjId]=$B237)*(F_RT14[Vrs]=$D237)*(_xlfn.TEXTAFTER(F_RT14[ActGrp],":")=_xlfn.TEXTAFTER($H237,":")),"X"),MATCH("*"&amp;I$54,F_RT14[#Headers],0))),IF(AND(_xlpm.x=0,_xlpm.y&lt;&gt;0),-1,IF(AND(_xlpm.x&lt;&gt;0,_xlpm.y&lt;&gt;0),_xlpm.x,IF(AND(_xlpm.x-SUM(IF((INDIRECT($B$3)=$B237)*(INDIRECT($C$3)=$D237)*((INDIRECT($E$3)="TOTS")+(INDIRECT($E$3)=$E237)),INDIRECT(I$3)))&lt;&gt;0,_xlpm.y=0),-2,_xlpm.x)))),0))</f>
        <v>0</v>
      </c>
      <c r="J237" s="199" cm="1">
        <f t="array" aca="1" ref="J237" ca="1">IF(OR($B237="",$B237="X",$D237="",$D237="X",$E237="",$E237="X"),0,IFERROR(_xlfn.LET(_xlpm.x,SUM(SUM(_xlfn._xlws.FILTER(VALUE(PptoSty[Sign]&amp;1)*(1/PptoSty[Division]),(PptoSty[Division]&lt;&gt;0)*(PptoSty[Division]&lt;&gt;"")*(PptoSty[Division]&lt;&gt;"X")*(PptoSty[Project]=$B237)*(PptoSty[Vrs]=$D237)*(PptoSty[PiRow]=_xlfn.TEXTAFTER($H237,":"))*(PptoSty[PiColumn]=J$54),0)),SUM(IF((INDIRECT($B$3)=$B237)*(INDIRECT($C$3)=$D237)*((INDIRECT($E$3)="TOTS")+(INDIRECT($E$3)=$E237)),INDIRECT(J$3)))),_xlpm.y,SUM(_xlfn.CHOOSECOLS(_xlfn._xlws.FILTER(F_RT14[],(F_RT14[PrjId]=$B237)*(F_RT14[Vrs]=$D237)*(_xlfn.TEXTAFTER(F_RT14[ActGrp],":")=_xlfn.TEXTAFTER($H237,":")),"X"),MATCH("*"&amp;J$54,F_RT14[#Headers],0))),IF(AND(_xlpm.x=0,_xlpm.y&lt;&gt;0),-1,IF(AND(_xlpm.x&lt;&gt;0,_xlpm.y&lt;&gt;0),_xlpm.x,IF(AND(_xlpm.x-SUM(IF((INDIRECT($B$3)=$B237)*(INDIRECT($C$3)=$D237)*((INDIRECT($E$3)="TOTS")+(INDIRECT($E$3)=$E237)),INDIRECT(J$3)))&lt;&gt;0,_xlpm.y=0),-2,_xlpm.x)))),0))</f>
        <v>0</v>
      </c>
      <c r="K237" s="199" cm="1">
        <f t="array" aca="1" ref="K237" ca="1">IF(OR($B237="",$B237="X",$D237="",$D237="X",$E237="",$E237="X"),0,IFERROR(_xlfn.LET(_xlpm.x,SUM(SUM(_xlfn._xlws.FILTER(VALUE(PptoSty[Sign]&amp;1)*(1/PptoSty[Division]),(PptoSty[Division]&lt;&gt;0)*(PptoSty[Division]&lt;&gt;"")*(PptoSty[Division]&lt;&gt;"X")*(PptoSty[Project]=$B237)*(PptoSty[Vrs]=$D237)*(PptoSty[PiRow]=_xlfn.TEXTAFTER($H237,":"))*(PptoSty[PiColumn]=K$54),0)),SUM(IF((INDIRECT($B$3)=$B237)*(INDIRECT($C$3)=$D237)*((INDIRECT($E$3)="TOTS")+(INDIRECT($E$3)=$E237)),INDIRECT(K$3)))),_xlpm.y,SUM(_xlfn.CHOOSECOLS(_xlfn._xlws.FILTER(F_RT14[],(F_RT14[PrjId]=$B237)*(F_RT14[Vrs]=$D237)*(_xlfn.TEXTAFTER(F_RT14[ActGrp],":")=_xlfn.TEXTAFTER($H237,":")),"X"),MATCH("*"&amp;K$54,F_RT14[#Headers],0))),IF(AND(_xlpm.x=0,_xlpm.y&lt;&gt;0),-1,IF(AND(_xlpm.x&lt;&gt;0,_xlpm.y&lt;&gt;0),_xlpm.x,IF(AND(_xlpm.x-SUM(IF((INDIRECT($B$3)=$B237)*(INDIRECT($C$3)=$D237)*((INDIRECT($E$3)="TOTS")+(INDIRECT($E$3)=$E237)),INDIRECT(K$3)))&lt;&gt;0,_xlpm.y=0),-2,_xlpm.x)))),0))</f>
        <v>0</v>
      </c>
      <c r="L237" s="199" cm="1">
        <f t="array" aca="1" ref="L237" ca="1">IF(OR($B237="",$B237="X",$D237="",$D237="X",$E237="",$E237="X"),0,IFERROR(_xlfn.LET(_xlpm.x,SUM(SUM(_xlfn._xlws.FILTER(VALUE(PptoSty[Sign]&amp;1)*(1/PptoSty[Division]),(PptoSty[Division]&lt;&gt;0)*(PptoSty[Division]&lt;&gt;"")*(PptoSty[Division]&lt;&gt;"X")*(PptoSty[Project]=$B237)*(PptoSty[Vrs]=$D237)*(PptoSty[PiRow]=_xlfn.TEXTAFTER($H237,":"))*(PptoSty[PiColumn]=L$54),0)),SUM(IF((INDIRECT($B$3)=$B237)*(INDIRECT($C$3)=$D237)*((INDIRECT($E$3)="TOTS")+(INDIRECT($E$3)=$E237)),INDIRECT(L$3)))),_xlpm.y,SUM(_xlfn.CHOOSECOLS(_xlfn._xlws.FILTER(F_RT14[],(F_RT14[PrjId]=$B237)*(F_RT14[Vrs]=$D237)*(_xlfn.TEXTAFTER(F_RT14[ActGrp],":")=_xlfn.TEXTAFTER($H237,":")),"X"),MATCH("*"&amp;L$54,F_RT14[#Headers],0))),IF(AND(_xlpm.x=0,_xlpm.y&lt;&gt;0),-1,IF(AND(_xlpm.x&lt;&gt;0,_xlpm.y&lt;&gt;0),_xlpm.x,IF(AND(_xlpm.x-SUM(IF((INDIRECT($B$3)=$B237)*(INDIRECT($C$3)=$D237)*((INDIRECT($E$3)="TOTS")+(INDIRECT($E$3)=$E237)),INDIRECT(L$3)))&lt;&gt;0,_xlpm.y=0),-2,_xlpm.x)))),0))</f>
        <v>0</v>
      </c>
      <c r="M237" s="199" cm="1">
        <f t="array" aca="1" ref="M237" ca="1">IF(OR($B237="",$B237="X",$D237="",$D237="X",$E237="",$E237="X"),0,IFERROR(_xlfn.LET(_xlpm.x,SUM(SUM(_xlfn._xlws.FILTER(VALUE(PptoSty[Sign]&amp;1)*(1/PptoSty[Division]),(PptoSty[Division]&lt;&gt;0)*(PptoSty[Division]&lt;&gt;"")*(PptoSty[Division]&lt;&gt;"X")*(PptoSty[Project]=$B237)*(PptoSty[Vrs]=$D237)*(PptoSty[PiRow]=_xlfn.TEXTAFTER($H237,":"))*(PptoSty[PiColumn]=M$54),0)),SUM(IF((INDIRECT($B$3)=$B237)*(INDIRECT($C$3)=$D237)*((INDIRECT($E$3)="TOTS")+(INDIRECT($E$3)=$E237)),INDIRECT(M$3)))),_xlpm.y,SUM(_xlfn.CHOOSECOLS(_xlfn._xlws.FILTER(F_RT14[],(F_RT14[PrjId]=$B237)*(F_RT14[Vrs]=$D237)*(_xlfn.TEXTAFTER(F_RT14[ActGrp],":")=_xlfn.TEXTAFTER($H237,":")),"X"),MATCH("*"&amp;M$54,F_RT14[#Headers],0))),IF(AND(_xlpm.x=0,_xlpm.y&lt;&gt;0),-1,IF(AND(_xlpm.x&lt;&gt;0,_xlpm.y&lt;&gt;0),_xlpm.x,IF(AND(_xlpm.x-SUM(IF((INDIRECT($B$3)=$B237)*(INDIRECT($C$3)=$D237)*((INDIRECT($E$3)="TOTS")+(INDIRECT($E$3)=$E237)),INDIRECT(M$3)))&lt;&gt;0,_xlpm.y=0),-2,_xlpm.x)))),0))</f>
        <v>0</v>
      </c>
      <c r="N237" s="199" cm="1">
        <f t="array" aca="1" ref="N237" ca="1">IF(OR($B237="",$B237="X",$D237="",$D237="X",$E237="",$E237="X"),0,IFERROR(_xlfn.LET(_xlpm.x,SUM(SUM(_xlfn._xlws.FILTER(VALUE(PptoSty[Sign]&amp;1)*(1/PptoSty[Division]),(PptoSty[Division]&lt;&gt;0)*(PptoSty[Division]&lt;&gt;"")*(PptoSty[Division]&lt;&gt;"X")*(PptoSty[Project]=$B237)*(PptoSty[Vrs]=$D237)*(PptoSty[PiRow]=_xlfn.TEXTAFTER($H237,":"))*(PptoSty[PiColumn]=N$54),0)),SUM(IF((INDIRECT($B$3)=$B237)*(INDIRECT($C$3)=$D237)*((INDIRECT($E$3)="TOTS")+(INDIRECT($E$3)=$E237)),INDIRECT(N$3)))),_xlpm.y,SUM(_xlfn.CHOOSECOLS(_xlfn._xlws.FILTER(F_RT14[],(F_RT14[PrjId]=$B237)*(F_RT14[Vrs]=$D237)*(_xlfn.TEXTAFTER(F_RT14[ActGrp],":")=_xlfn.TEXTAFTER($H237,":")),"X"),MATCH("*"&amp;N$54,F_RT14[#Headers],0))),IF(AND(_xlpm.x=0,_xlpm.y&lt;&gt;0),-1,IF(AND(_xlpm.x&lt;&gt;0,_xlpm.y&lt;&gt;0),_xlpm.x,IF(AND(_xlpm.x-SUM(IF((INDIRECT($B$3)=$B237)*(INDIRECT($C$3)=$D237)*((INDIRECT($E$3)="TOTS")+(INDIRECT($E$3)=$E237)),INDIRECT(N$3)))&lt;&gt;0,_xlpm.y=0),-2,_xlpm.x)))),0))</f>
        <v>0</v>
      </c>
      <c r="O237" s="199" cm="1">
        <f t="array" aca="1" ref="O237" ca="1">IF(OR($B237="",$B237="X",$D237="",$D237="X",$E237="",$E237="X"),0,IFERROR(_xlfn.LET(_xlpm.x,SUM(SUM(_xlfn._xlws.FILTER(VALUE(PptoSty[Sign]&amp;1)*(1/PptoSty[Division]),(PptoSty[Division]&lt;&gt;0)*(PptoSty[Division]&lt;&gt;"")*(PptoSty[Division]&lt;&gt;"X")*(PptoSty[Project]=$B237)*(PptoSty[Vrs]=$D237)*(PptoSty[PiRow]=_xlfn.TEXTAFTER($H237,":"))*(PptoSty[PiColumn]=O$54),0)),SUM(IF((INDIRECT($B$3)=$B237)*(INDIRECT($C$3)=$D237)*((INDIRECT($E$3)="TOTS")+(INDIRECT($E$3)=$E237)),INDIRECT(O$3)))),_xlpm.y,SUM(_xlfn.CHOOSECOLS(_xlfn._xlws.FILTER(F_RT14[],(F_RT14[PrjId]=$B237)*(F_RT14[Vrs]=$D237)*(_xlfn.TEXTAFTER(F_RT14[ActGrp],":")=_xlfn.TEXTAFTER($H237,":")),"X"),MATCH("*"&amp;O$54,F_RT14[#Headers],0))),IF(AND(_xlpm.x=0,_xlpm.y&lt;&gt;0),-1,IF(AND(_xlpm.x&lt;&gt;0,_xlpm.y&lt;&gt;0),_xlpm.x,IF(AND(_xlpm.x-SUM(IF((INDIRECT($B$3)=$B237)*(INDIRECT($C$3)=$D237)*((INDIRECT($E$3)="TOTS")+(INDIRECT($E$3)=$E237)),INDIRECT(O$3)))&lt;&gt;0,_xlpm.y=0),-2,_xlpm.x)))),0))</f>
        <v>0</v>
      </c>
      <c r="P237" s="199" cm="1">
        <f t="array" aca="1" ref="P237" ca="1">IF(OR($B237="",$B237="X",$D237="",$D237="X",$E237="",$E237="X"),0,IFERROR(_xlfn.LET(_xlpm.x,SUM(SUM(_xlfn._xlws.FILTER(VALUE(PptoSty[Sign]&amp;1)*(1/PptoSty[Division]),(PptoSty[Division]&lt;&gt;0)*(PptoSty[Division]&lt;&gt;"")*(PptoSty[Division]&lt;&gt;"X")*(PptoSty[Project]=$B237)*(PptoSty[Vrs]=$D237)*(PptoSty[PiRow]=_xlfn.TEXTAFTER($H237,":"))*(PptoSty[PiColumn]=P$54),0)),SUM(IF((INDIRECT($B$3)=$B237)*(INDIRECT($C$3)=$D237)*((INDIRECT($E$3)="TOTS")+(INDIRECT($E$3)=$E237)),INDIRECT(P$3)))),_xlpm.y,SUM(_xlfn.CHOOSECOLS(_xlfn._xlws.FILTER(F_RT14[],(F_RT14[PrjId]=$B237)*(F_RT14[Vrs]=$D237)*(_xlfn.TEXTAFTER(F_RT14[ActGrp],":")=_xlfn.TEXTAFTER($H237,":")),"X"),MATCH("*"&amp;P$54,F_RT14[#Headers],0))),IF(AND(_xlpm.x=0,_xlpm.y&lt;&gt;0),-1,IF(AND(_xlpm.x&lt;&gt;0,_xlpm.y&lt;&gt;0),_xlpm.x,IF(AND(_xlpm.x-SUM(IF((INDIRECT($B$3)=$B237)*(INDIRECT($C$3)=$D237)*((INDIRECT($E$3)="TOTS")+(INDIRECT($E$3)=$E237)),INDIRECT(P$3)))&lt;&gt;0,_xlpm.y=0),-2,_xlpm.x)))),0))</f>
        <v>0</v>
      </c>
      <c r="Q237" s="199" cm="1">
        <f t="array" aca="1" ref="Q237" ca="1">IF(OR($B237="",$B237="X",$D237="",$D237="X",$E237="",$E237="X"),0,IFERROR(_xlfn.LET(_xlpm.x,SUM(SUM(_xlfn._xlws.FILTER(VALUE(PptoSty[Sign]&amp;1)*(1/PptoSty[Division]),(PptoSty[Division]&lt;&gt;0)*(PptoSty[Division]&lt;&gt;"")*(PptoSty[Division]&lt;&gt;"X")*(PptoSty[Project]=$B237)*(PptoSty[Vrs]=$D237)*(PptoSty[PiRow]=_xlfn.TEXTAFTER($H237,":"))*(PptoSty[PiColumn]=Q$54),0)),SUM(IF((INDIRECT($B$3)=$B237)*(INDIRECT($C$3)=$D237)*((INDIRECT($E$3)="TOTS")+(INDIRECT($E$3)=$E237)),INDIRECT(Q$3)))),_xlpm.y,SUM(_xlfn.CHOOSECOLS(_xlfn._xlws.FILTER(F_RT14[],(F_RT14[PrjId]=$B237)*(F_RT14[Vrs]=$D237)*(_xlfn.TEXTAFTER(F_RT14[ActGrp],":")=_xlfn.TEXTAFTER($H237,":")),"X"),MATCH("*"&amp;Q$54,F_RT14[#Headers],0))),IF(AND(_xlpm.x=0,_xlpm.y&lt;&gt;0),-1,IF(AND(_xlpm.x&lt;&gt;0,_xlpm.y&lt;&gt;0),_xlpm.x,IF(AND(_xlpm.x-SUM(IF((INDIRECT($B$3)=$B237)*(INDIRECT($C$3)=$D237)*((INDIRECT($E$3)="TOTS")+(INDIRECT($E$3)=$E237)),INDIRECT(Q$3)))&lt;&gt;0,_xlpm.y=0),-2,_xlpm.x)))),0))</f>
        <v>0</v>
      </c>
      <c r="R237" s="199" cm="1">
        <f t="array" aca="1" ref="R237" ca="1">IF(OR($B237="",$B237="X",$D237="",$D237="X",$E237="",$E237="X"),0,IFERROR(_xlfn.LET(_xlpm.x,SUM(SUM(_xlfn._xlws.FILTER(VALUE(PptoSty[Sign]&amp;1)*(1/PptoSty[Division]),(PptoSty[Division]&lt;&gt;0)*(PptoSty[Division]&lt;&gt;"")*(PptoSty[Division]&lt;&gt;"X")*(PptoSty[Project]=$B237)*(PptoSty[Vrs]=$D237)*(PptoSty[PiRow]=_xlfn.TEXTAFTER($H237,":"))*(PptoSty[PiColumn]=R$54),0)),SUM(IF((INDIRECT($B$3)=$B237)*(INDIRECT($C$3)=$D237)*((INDIRECT($E$3)="TOTS")+(INDIRECT($E$3)=$E237)),INDIRECT(R$3)))),_xlpm.y,SUM(_xlfn.CHOOSECOLS(_xlfn._xlws.FILTER(F_RT14[],(F_RT14[PrjId]=$B237)*(F_RT14[Vrs]=$D237)*(_xlfn.TEXTAFTER(F_RT14[ActGrp],":")=_xlfn.TEXTAFTER($H237,":")),"X"),MATCH("*"&amp;R$54,F_RT14[#Headers],0))),IF(AND(_xlpm.x=0,_xlpm.y&lt;&gt;0),-1,IF(AND(_xlpm.x&lt;&gt;0,_xlpm.y&lt;&gt;0),_xlpm.x,IF(AND(_xlpm.x-SUM(IF((INDIRECT($B$3)=$B237)*(INDIRECT($C$3)=$D237)*((INDIRECT($E$3)="TOTS")+(INDIRECT($E$3)=$E237)),INDIRECT(R$3)))&lt;&gt;0,_xlpm.y=0),-2,_xlpm.x)))),0))</f>
        <v>0</v>
      </c>
      <c r="S237" s="199" cm="1">
        <f t="array" aca="1" ref="S237" ca="1">IF(OR($B237="",$B237="X",$D237="",$D237="X",$E237="",$E237="X"),0,IFERROR(_xlfn.LET(_xlpm.x,SUM(SUM(_xlfn._xlws.FILTER(VALUE(PptoSty[Sign]&amp;1)*(1/PptoSty[Division]),(PptoSty[Division]&lt;&gt;0)*(PptoSty[Division]&lt;&gt;"")*(PptoSty[Division]&lt;&gt;"X")*(PptoSty[Project]=$B237)*(PptoSty[Vrs]=$D237)*(PptoSty[PiRow]=_xlfn.TEXTAFTER($H237,":"))*(PptoSty[PiColumn]=S$54),0)),SUM(IF((INDIRECT($B$3)=$B237)*(INDIRECT($C$3)=$D237)*((INDIRECT($E$3)="TOTS")+(INDIRECT($E$3)=$E237)),INDIRECT(S$3)))),_xlpm.y,SUM(_xlfn.CHOOSECOLS(_xlfn._xlws.FILTER(F_RT14[],(F_RT14[PrjId]=$B237)*(F_RT14[Vrs]=$D237)*(_xlfn.TEXTAFTER(F_RT14[ActGrp],":")=_xlfn.TEXTAFTER($H237,":")),"X"),MATCH("*"&amp;S$54,F_RT14[#Headers],0))),IF(AND(_xlpm.x=0,_xlpm.y&lt;&gt;0),-1,IF(AND(_xlpm.x&lt;&gt;0,_xlpm.y&lt;&gt;0),_xlpm.x,IF(AND(_xlpm.x-SUM(IF((INDIRECT($B$3)=$B237)*(INDIRECT($C$3)=$D237)*((INDIRECT($E$3)="TOTS")+(INDIRECT($E$3)=$E237)),INDIRECT(S$3)))&lt;&gt;0,_xlpm.y=0),-2,_xlpm.x)))),0))</f>
        <v>0</v>
      </c>
      <c r="T237" s="199" cm="1">
        <f t="array" aca="1" ref="T237" ca="1">IF(OR($B237="",$B237="X",$D237="",$D237="X",$E237="",$E237="X"),0,IFERROR(_xlfn.LET(_xlpm.x,SUM(SUM(_xlfn._xlws.FILTER(VALUE(PptoSty[Sign]&amp;1)*(1/PptoSty[Division]),(PptoSty[Division]&lt;&gt;0)*(PptoSty[Division]&lt;&gt;"")*(PptoSty[Division]&lt;&gt;"X")*(PptoSty[Project]=$B237)*(PptoSty[Vrs]=$D237)*(PptoSty[PiRow]=_xlfn.TEXTAFTER($H237,":"))*(PptoSty[PiColumn]=T$54),0)),SUM(IF((INDIRECT($B$3)=$B237)*(INDIRECT($C$3)=$D237)*((INDIRECT($E$3)="TOTS")+(INDIRECT($E$3)=$E237)),INDIRECT(T$3)))),_xlpm.y,SUM(_xlfn.CHOOSECOLS(_xlfn._xlws.FILTER(F_RT14[],(F_RT14[PrjId]=$B237)*(F_RT14[Vrs]=$D237)*(_xlfn.TEXTAFTER(F_RT14[ActGrp],":")=_xlfn.TEXTAFTER($H237,":")),"X"),MATCH("*"&amp;T$54,F_RT14[#Headers],0))),IF(AND(_xlpm.x=0,_xlpm.y&lt;&gt;0),-1,IF(AND(_xlpm.x&lt;&gt;0,_xlpm.y&lt;&gt;0),_xlpm.x,IF(AND(_xlpm.x-SUM(IF((INDIRECT($B$3)=$B237)*(INDIRECT($C$3)=$D237)*((INDIRECT($E$3)="TOTS")+(INDIRECT($E$3)=$E237)),INDIRECT(T$3)))&lt;&gt;0,_xlpm.y=0),-2,_xlpm.x)))),0))</f>
        <v>0</v>
      </c>
      <c r="U237" s="199" cm="1">
        <f t="array" aca="1" ref="U237" ca="1">IF(OR($B237="",$B237="X",$D237="",$D237="X",$E237="",$E237="X"),0,IFERROR(_xlfn.LET(_xlpm.x,SUM(SUM(_xlfn._xlws.FILTER(VALUE(PptoSty[Sign]&amp;1)*(1/PptoSty[Division]),(PptoSty[Division]&lt;&gt;0)*(PptoSty[Division]&lt;&gt;"")*(PptoSty[Division]&lt;&gt;"X")*(PptoSty[Project]=$B237)*(PptoSty[Vrs]=$D237)*(PptoSty[PiRow]=_xlfn.TEXTAFTER($H237,":"))*(PptoSty[PiColumn]=U$54),0)),SUM(IF((INDIRECT($B$3)=$B237)*(INDIRECT($C$3)=$D237)*((INDIRECT($E$3)="TOTS")+(INDIRECT($E$3)=$E237)),INDIRECT(U$3)))),_xlpm.y,SUM(_xlfn.CHOOSECOLS(_xlfn._xlws.FILTER(F_RT14[],(F_RT14[PrjId]=$B237)*(F_RT14[Vrs]=$D237)*(_xlfn.TEXTAFTER(F_RT14[ActGrp],":")=_xlfn.TEXTAFTER($H237,":")),"X"),MATCH("*"&amp;U$54,F_RT14[#Headers],0))),IF(AND(_xlpm.x=0,_xlpm.y&lt;&gt;0),-1,IF(AND(_xlpm.x&lt;&gt;0,_xlpm.y&lt;&gt;0),_xlpm.x,IF(AND(_xlpm.x-SUM(IF((INDIRECT($B$3)=$B237)*(INDIRECT($C$3)=$D237)*((INDIRECT($E$3)="TOTS")+(INDIRECT($E$3)=$E237)),INDIRECT(U$3)))&lt;&gt;0,_xlpm.y=0),-2,_xlpm.x)))),0))</f>
        <v>0</v>
      </c>
      <c r="V237" s="199" cm="1">
        <f t="array" aca="1" ref="V237" ca="1">IF(OR($B237="",$B237="X",$D237="",$D237="X",$E237="",$E237="X"),0,IFERROR(_xlfn.LET(_xlpm.x,SUM(SUM(_xlfn._xlws.FILTER(VALUE(PptoSty[Sign]&amp;1)*(1/PptoSty[Division]),(PptoSty[Division]&lt;&gt;0)*(PptoSty[Division]&lt;&gt;"")*(PptoSty[Division]&lt;&gt;"X")*(PptoSty[Project]=$B237)*(PptoSty[Vrs]=$D237)*(PptoSty[PiRow]=_xlfn.TEXTAFTER($H237,":"))*(PptoSty[PiColumn]=V$54),0)),SUM(IF((INDIRECT($B$3)=$B237)*(INDIRECT($C$3)=$D237)*((INDIRECT($E$3)="TOTS")+(INDIRECT($E$3)=$E237)),INDIRECT(V$3)))),_xlpm.y,SUM(_xlfn.CHOOSECOLS(_xlfn._xlws.FILTER(F_RT14[],(F_RT14[PrjId]=$B237)*(F_RT14[Vrs]=$D237)*(_xlfn.TEXTAFTER(F_RT14[ActGrp],":")=_xlfn.TEXTAFTER($H237,":")),"X"),MATCH("*"&amp;V$54,F_RT14[#Headers],0))),IF(AND(_xlpm.x=0,_xlpm.y&lt;&gt;0),-1,IF(AND(_xlpm.x&lt;&gt;0,_xlpm.y&lt;&gt;0),_xlpm.x,IF(AND(_xlpm.x-SUM(IF((INDIRECT($B$3)=$B237)*(INDIRECT($C$3)=$D237)*((INDIRECT($E$3)="TOTS")+(INDIRECT($E$3)=$E237)),INDIRECT(V$3)))&lt;&gt;0,_xlpm.y=0),-2,_xlpm.x)))),0))</f>
        <v>0</v>
      </c>
      <c r="W237" s="199" cm="1">
        <f t="array" aca="1" ref="W237" ca="1">IF(OR($B237="",$B237="X",$D237="",$D237="X",$E237="",$E237="X"),0,IFERROR(_xlfn.LET(_xlpm.x,SUM(SUM(_xlfn._xlws.FILTER(VALUE(PptoSty[Sign]&amp;1)*(1/PptoSty[Division]),(PptoSty[Division]&lt;&gt;0)*(PptoSty[Division]&lt;&gt;"")*(PptoSty[Division]&lt;&gt;"X")*(PptoSty[Project]=$B237)*(PptoSty[Vrs]=$D237)*(PptoSty[PiRow]=_xlfn.TEXTAFTER($H237,":"))*(PptoSty[PiColumn]=W$54),0)),SUM(IF((INDIRECT($B$3)=$B237)*(INDIRECT($C$3)=$D237)*((INDIRECT($E$3)="TOTS")+(INDIRECT($E$3)=$E237)),INDIRECT(W$3)))),_xlpm.y,SUM(_xlfn.CHOOSECOLS(_xlfn._xlws.FILTER(F_RT14[],(F_RT14[PrjId]=$B237)*(F_RT14[Vrs]=$D237)*(_xlfn.TEXTAFTER(F_RT14[ActGrp],":")=_xlfn.TEXTAFTER($H237,":")),"X"),MATCH("*"&amp;W$54,F_RT14[#Headers],0))),IF(AND(_xlpm.x=0,_xlpm.y&lt;&gt;0),-1,IF(AND(_xlpm.x&lt;&gt;0,_xlpm.y&lt;&gt;0),_xlpm.x,IF(AND(_xlpm.x-SUM(IF((INDIRECT($B$3)=$B237)*(INDIRECT($C$3)=$D237)*((INDIRECT($E$3)="TOTS")+(INDIRECT($E$3)=$E237)),INDIRECT(W$3)))&lt;&gt;0,_xlpm.y=0),-2,_xlpm.x)))),0))</f>
        <v>0</v>
      </c>
      <c r="X237" s="199" cm="1">
        <f t="array" aca="1" ref="X237" ca="1">IF(OR($B237="",$B237="X",$D237="",$D237="X",$E237="",$E237="X"),0,IFERROR(_xlfn.LET(_xlpm.x,SUM(SUM(_xlfn._xlws.FILTER(VALUE(PptoSty[Sign]&amp;1)*(1/PptoSty[Division]),(PptoSty[Division]&lt;&gt;0)*(PptoSty[Division]&lt;&gt;"")*(PptoSty[Division]&lt;&gt;"X")*(PptoSty[Project]=$B237)*(PptoSty[Vrs]=$D237)*(PptoSty[PiRow]=_xlfn.TEXTAFTER($H237,":"))*(PptoSty[PiColumn]=X$54),0)),SUM(IF((INDIRECT($B$3)=$B237)*(INDIRECT($C$3)=$D237)*((INDIRECT($E$3)="TOTS")+(INDIRECT($E$3)=$E237)),INDIRECT(X$3)))),_xlpm.y,SUM(_xlfn.CHOOSECOLS(_xlfn._xlws.FILTER(F_RT14[],(F_RT14[PrjId]=$B237)*(F_RT14[Vrs]=$D237)*(_xlfn.TEXTAFTER(F_RT14[ActGrp],":")=_xlfn.TEXTAFTER($H237,":")),"X"),MATCH("*"&amp;X$54,F_RT14[#Headers],0))),IF(AND(_xlpm.x=0,_xlpm.y&lt;&gt;0),-1,IF(AND(_xlpm.x&lt;&gt;0,_xlpm.y&lt;&gt;0),_xlpm.x,IF(AND(_xlpm.x-SUM(IF((INDIRECT($B$3)=$B237)*(INDIRECT($C$3)=$D237)*((INDIRECT($E$3)="TOTS")+(INDIRECT($E$3)=$E237)),INDIRECT(X$3)))&lt;&gt;0,_xlpm.y=0),-2,_xlpm.x)))),0))</f>
        <v>0</v>
      </c>
      <c r="Y237" s="199" cm="1">
        <f t="array" aca="1" ref="Y237" ca="1">IF(OR($B237="",$B237="X",$D237="",$D237="X",$E237="",$E237="X"),0,IFERROR(_xlfn.LET(_xlpm.x,SUM(SUM(_xlfn._xlws.FILTER(VALUE(PptoSty[Sign]&amp;1)*(1/PptoSty[Division]),(PptoSty[Division]&lt;&gt;0)*(PptoSty[Division]&lt;&gt;"")*(PptoSty[Division]&lt;&gt;"X")*(PptoSty[Project]=$B237)*(PptoSty[Vrs]=$D237)*(PptoSty[PiRow]=_xlfn.TEXTAFTER($H237,":"))*(PptoSty[PiColumn]=Y$54),0)),SUM(IF((INDIRECT($B$3)=$B237)*(INDIRECT($C$3)=$D237)*((INDIRECT($E$3)="TOTS")+(INDIRECT($E$3)=$E237)),INDIRECT(Y$3)))),_xlpm.y,SUM(_xlfn.CHOOSECOLS(_xlfn._xlws.FILTER(F_RT14[],(F_RT14[PrjId]=$B237)*(F_RT14[Vrs]=$D237)*(_xlfn.TEXTAFTER(F_RT14[ActGrp],":")=_xlfn.TEXTAFTER($H237,":")),"X"),MATCH("*"&amp;Y$54,F_RT14[#Headers],0))),IF(AND(_xlpm.x=0,_xlpm.y&lt;&gt;0),-1,IF(AND(_xlpm.x&lt;&gt;0,_xlpm.y&lt;&gt;0),_xlpm.x,IF(AND(_xlpm.x-SUM(IF((INDIRECT($B$3)=$B237)*(INDIRECT($C$3)=$D237)*((INDIRECT($E$3)="TOTS")+(INDIRECT($E$3)=$E237)),INDIRECT(Y$3)))&lt;&gt;0,_xlpm.y=0),-2,_xlpm.x)))),0))</f>
        <v>0</v>
      </c>
      <c r="Z237" s="198" t="str">
        <f t="shared" ca="1" si="4"/>
        <v>Fback!B237:Y237</v>
      </c>
    </row>
    <row r="238" spans="2:26" ht="21" customHeight="1" outlineLevel="1">
      <c r="B238" s="128"/>
      <c r="C238" s="128"/>
      <c r="D238" s="128"/>
      <c r="E238" s="128"/>
      <c r="F238" s="139"/>
      <c r="G238" s="139"/>
      <c r="H238" s="139"/>
      <c r="I238" s="199" cm="1">
        <f t="array" aca="1" ref="I238" ca="1">IF(OR($B238="",$B238="X",$D238="",$D238="X",$E238="",$E238="X"),0,IFERROR(_xlfn.LET(_xlpm.x,SUM(SUM(_xlfn._xlws.FILTER(VALUE(PptoSty[Sign]&amp;1)*(1/PptoSty[Division]),(PptoSty[Division]&lt;&gt;0)*(PptoSty[Division]&lt;&gt;"")*(PptoSty[Division]&lt;&gt;"X")*(PptoSty[Project]=$B238)*(PptoSty[Vrs]=$D238)*(PptoSty[PiRow]=_xlfn.TEXTAFTER($H238,":"))*(PptoSty[PiColumn]=I$54),0)),SUM(IF((INDIRECT($B$3)=$B238)*(INDIRECT($C$3)=$D238)*((INDIRECT($E$3)="TOTS")+(INDIRECT($E$3)=$E238)),INDIRECT(I$3)))),_xlpm.y,SUM(_xlfn.CHOOSECOLS(_xlfn._xlws.FILTER(F_RT14[],(F_RT14[PrjId]=$B238)*(F_RT14[Vrs]=$D238)*(_xlfn.TEXTAFTER(F_RT14[ActGrp],":")=_xlfn.TEXTAFTER($H238,":")),"X"),MATCH("*"&amp;I$54,F_RT14[#Headers],0))),IF(AND(_xlpm.x=0,_xlpm.y&lt;&gt;0),-1,IF(AND(_xlpm.x&lt;&gt;0,_xlpm.y&lt;&gt;0),_xlpm.x,IF(AND(_xlpm.x-SUM(IF((INDIRECT($B$3)=$B238)*(INDIRECT($C$3)=$D238)*((INDIRECT($E$3)="TOTS")+(INDIRECT($E$3)=$E238)),INDIRECT(I$3)))&lt;&gt;0,_xlpm.y=0),-2,_xlpm.x)))),0))</f>
        <v>0</v>
      </c>
      <c r="J238" s="199" cm="1">
        <f t="array" aca="1" ref="J238" ca="1">IF(OR($B238="",$B238="X",$D238="",$D238="X",$E238="",$E238="X"),0,IFERROR(_xlfn.LET(_xlpm.x,SUM(SUM(_xlfn._xlws.FILTER(VALUE(PptoSty[Sign]&amp;1)*(1/PptoSty[Division]),(PptoSty[Division]&lt;&gt;0)*(PptoSty[Division]&lt;&gt;"")*(PptoSty[Division]&lt;&gt;"X")*(PptoSty[Project]=$B238)*(PptoSty[Vrs]=$D238)*(PptoSty[PiRow]=_xlfn.TEXTAFTER($H238,":"))*(PptoSty[PiColumn]=J$54),0)),SUM(IF((INDIRECT($B$3)=$B238)*(INDIRECT($C$3)=$D238)*((INDIRECT($E$3)="TOTS")+(INDIRECT($E$3)=$E238)),INDIRECT(J$3)))),_xlpm.y,SUM(_xlfn.CHOOSECOLS(_xlfn._xlws.FILTER(F_RT14[],(F_RT14[PrjId]=$B238)*(F_RT14[Vrs]=$D238)*(_xlfn.TEXTAFTER(F_RT14[ActGrp],":")=_xlfn.TEXTAFTER($H238,":")),"X"),MATCH("*"&amp;J$54,F_RT14[#Headers],0))),IF(AND(_xlpm.x=0,_xlpm.y&lt;&gt;0),-1,IF(AND(_xlpm.x&lt;&gt;0,_xlpm.y&lt;&gt;0),_xlpm.x,IF(AND(_xlpm.x-SUM(IF((INDIRECT($B$3)=$B238)*(INDIRECT($C$3)=$D238)*((INDIRECT($E$3)="TOTS")+(INDIRECT($E$3)=$E238)),INDIRECT(J$3)))&lt;&gt;0,_xlpm.y=0),-2,_xlpm.x)))),0))</f>
        <v>0</v>
      </c>
      <c r="K238" s="199" cm="1">
        <f t="array" aca="1" ref="K238" ca="1">IF(OR($B238="",$B238="X",$D238="",$D238="X",$E238="",$E238="X"),0,IFERROR(_xlfn.LET(_xlpm.x,SUM(SUM(_xlfn._xlws.FILTER(VALUE(PptoSty[Sign]&amp;1)*(1/PptoSty[Division]),(PptoSty[Division]&lt;&gt;0)*(PptoSty[Division]&lt;&gt;"")*(PptoSty[Division]&lt;&gt;"X")*(PptoSty[Project]=$B238)*(PptoSty[Vrs]=$D238)*(PptoSty[PiRow]=_xlfn.TEXTAFTER($H238,":"))*(PptoSty[PiColumn]=K$54),0)),SUM(IF((INDIRECT($B$3)=$B238)*(INDIRECT($C$3)=$D238)*((INDIRECT($E$3)="TOTS")+(INDIRECT($E$3)=$E238)),INDIRECT(K$3)))),_xlpm.y,SUM(_xlfn.CHOOSECOLS(_xlfn._xlws.FILTER(F_RT14[],(F_RT14[PrjId]=$B238)*(F_RT14[Vrs]=$D238)*(_xlfn.TEXTAFTER(F_RT14[ActGrp],":")=_xlfn.TEXTAFTER($H238,":")),"X"),MATCH("*"&amp;K$54,F_RT14[#Headers],0))),IF(AND(_xlpm.x=0,_xlpm.y&lt;&gt;0),-1,IF(AND(_xlpm.x&lt;&gt;0,_xlpm.y&lt;&gt;0),_xlpm.x,IF(AND(_xlpm.x-SUM(IF((INDIRECT($B$3)=$B238)*(INDIRECT($C$3)=$D238)*((INDIRECT($E$3)="TOTS")+(INDIRECT($E$3)=$E238)),INDIRECT(K$3)))&lt;&gt;0,_xlpm.y=0),-2,_xlpm.x)))),0))</f>
        <v>0</v>
      </c>
      <c r="L238" s="199" cm="1">
        <f t="array" aca="1" ref="L238" ca="1">IF(OR($B238="",$B238="X",$D238="",$D238="X",$E238="",$E238="X"),0,IFERROR(_xlfn.LET(_xlpm.x,SUM(SUM(_xlfn._xlws.FILTER(VALUE(PptoSty[Sign]&amp;1)*(1/PptoSty[Division]),(PptoSty[Division]&lt;&gt;0)*(PptoSty[Division]&lt;&gt;"")*(PptoSty[Division]&lt;&gt;"X")*(PptoSty[Project]=$B238)*(PptoSty[Vrs]=$D238)*(PptoSty[PiRow]=_xlfn.TEXTAFTER($H238,":"))*(PptoSty[PiColumn]=L$54),0)),SUM(IF((INDIRECT($B$3)=$B238)*(INDIRECT($C$3)=$D238)*((INDIRECT($E$3)="TOTS")+(INDIRECT($E$3)=$E238)),INDIRECT(L$3)))),_xlpm.y,SUM(_xlfn.CHOOSECOLS(_xlfn._xlws.FILTER(F_RT14[],(F_RT14[PrjId]=$B238)*(F_RT14[Vrs]=$D238)*(_xlfn.TEXTAFTER(F_RT14[ActGrp],":")=_xlfn.TEXTAFTER($H238,":")),"X"),MATCH("*"&amp;L$54,F_RT14[#Headers],0))),IF(AND(_xlpm.x=0,_xlpm.y&lt;&gt;0),-1,IF(AND(_xlpm.x&lt;&gt;0,_xlpm.y&lt;&gt;0),_xlpm.x,IF(AND(_xlpm.x-SUM(IF((INDIRECT($B$3)=$B238)*(INDIRECT($C$3)=$D238)*((INDIRECT($E$3)="TOTS")+(INDIRECT($E$3)=$E238)),INDIRECT(L$3)))&lt;&gt;0,_xlpm.y=0),-2,_xlpm.x)))),0))</f>
        <v>0</v>
      </c>
      <c r="M238" s="199" cm="1">
        <f t="array" aca="1" ref="M238" ca="1">IF(OR($B238="",$B238="X",$D238="",$D238="X",$E238="",$E238="X"),0,IFERROR(_xlfn.LET(_xlpm.x,SUM(SUM(_xlfn._xlws.FILTER(VALUE(PptoSty[Sign]&amp;1)*(1/PptoSty[Division]),(PptoSty[Division]&lt;&gt;0)*(PptoSty[Division]&lt;&gt;"")*(PptoSty[Division]&lt;&gt;"X")*(PptoSty[Project]=$B238)*(PptoSty[Vrs]=$D238)*(PptoSty[PiRow]=_xlfn.TEXTAFTER($H238,":"))*(PptoSty[PiColumn]=M$54),0)),SUM(IF((INDIRECT($B$3)=$B238)*(INDIRECT($C$3)=$D238)*((INDIRECT($E$3)="TOTS")+(INDIRECT($E$3)=$E238)),INDIRECT(M$3)))),_xlpm.y,SUM(_xlfn.CHOOSECOLS(_xlfn._xlws.FILTER(F_RT14[],(F_RT14[PrjId]=$B238)*(F_RT14[Vrs]=$D238)*(_xlfn.TEXTAFTER(F_RT14[ActGrp],":")=_xlfn.TEXTAFTER($H238,":")),"X"),MATCH("*"&amp;M$54,F_RT14[#Headers],0))),IF(AND(_xlpm.x=0,_xlpm.y&lt;&gt;0),-1,IF(AND(_xlpm.x&lt;&gt;0,_xlpm.y&lt;&gt;0),_xlpm.x,IF(AND(_xlpm.x-SUM(IF((INDIRECT($B$3)=$B238)*(INDIRECT($C$3)=$D238)*((INDIRECT($E$3)="TOTS")+(INDIRECT($E$3)=$E238)),INDIRECT(M$3)))&lt;&gt;0,_xlpm.y=0),-2,_xlpm.x)))),0))</f>
        <v>0</v>
      </c>
      <c r="N238" s="199" cm="1">
        <f t="array" aca="1" ref="N238" ca="1">IF(OR($B238="",$B238="X",$D238="",$D238="X",$E238="",$E238="X"),0,IFERROR(_xlfn.LET(_xlpm.x,SUM(SUM(_xlfn._xlws.FILTER(VALUE(PptoSty[Sign]&amp;1)*(1/PptoSty[Division]),(PptoSty[Division]&lt;&gt;0)*(PptoSty[Division]&lt;&gt;"")*(PptoSty[Division]&lt;&gt;"X")*(PptoSty[Project]=$B238)*(PptoSty[Vrs]=$D238)*(PptoSty[PiRow]=_xlfn.TEXTAFTER($H238,":"))*(PptoSty[PiColumn]=N$54),0)),SUM(IF((INDIRECT($B$3)=$B238)*(INDIRECT($C$3)=$D238)*((INDIRECT($E$3)="TOTS")+(INDIRECT($E$3)=$E238)),INDIRECT(N$3)))),_xlpm.y,SUM(_xlfn.CHOOSECOLS(_xlfn._xlws.FILTER(F_RT14[],(F_RT14[PrjId]=$B238)*(F_RT14[Vrs]=$D238)*(_xlfn.TEXTAFTER(F_RT14[ActGrp],":")=_xlfn.TEXTAFTER($H238,":")),"X"),MATCH("*"&amp;N$54,F_RT14[#Headers],0))),IF(AND(_xlpm.x=0,_xlpm.y&lt;&gt;0),-1,IF(AND(_xlpm.x&lt;&gt;0,_xlpm.y&lt;&gt;0),_xlpm.x,IF(AND(_xlpm.x-SUM(IF((INDIRECT($B$3)=$B238)*(INDIRECT($C$3)=$D238)*((INDIRECT($E$3)="TOTS")+(INDIRECT($E$3)=$E238)),INDIRECT(N$3)))&lt;&gt;0,_xlpm.y=0),-2,_xlpm.x)))),0))</f>
        <v>0</v>
      </c>
      <c r="O238" s="199" cm="1">
        <f t="array" aca="1" ref="O238" ca="1">IF(OR($B238="",$B238="X",$D238="",$D238="X",$E238="",$E238="X"),0,IFERROR(_xlfn.LET(_xlpm.x,SUM(SUM(_xlfn._xlws.FILTER(VALUE(PptoSty[Sign]&amp;1)*(1/PptoSty[Division]),(PptoSty[Division]&lt;&gt;0)*(PptoSty[Division]&lt;&gt;"")*(PptoSty[Division]&lt;&gt;"X")*(PptoSty[Project]=$B238)*(PptoSty[Vrs]=$D238)*(PptoSty[PiRow]=_xlfn.TEXTAFTER($H238,":"))*(PptoSty[PiColumn]=O$54),0)),SUM(IF((INDIRECT($B$3)=$B238)*(INDIRECT($C$3)=$D238)*((INDIRECT($E$3)="TOTS")+(INDIRECT($E$3)=$E238)),INDIRECT(O$3)))),_xlpm.y,SUM(_xlfn.CHOOSECOLS(_xlfn._xlws.FILTER(F_RT14[],(F_RT14[PrjId]=$B238)*(F_RT14[Vrs]=$D238)*(_xlfn.TEXTAFTER(F_RT14[ActGrp],":")=_xlfn.TEXTAFTER($H238,":")),"X"),MATCH("*"&amp;O$54,F_RT14[#Headers],0))),IF(AND(_xlpm.x=0,_xlpm.y&lt;&gt;0),-1,IF(AND(_xlpm.x&lt;&gt;0,_xlpm.y&lt;&gt;0),_xlpm.x,IF(AND(_xlpm.x-SUM(IF((INDIRECT($B$3)=$B238)*(INDIRECT($C$3)=$D238)*((INDIRECT($E$3)="TOTS")+(INDIRECT($E$3)=$E238)),INDIRECT(O$3)))&lt;&gt;0,_xlpm.y=0),-2,_xlpm.x)))),0))</f>
        <v>0</v>
      </c>
      <c r="P238" s="199" cm="1">
        <f t="array" aca="1" ref="P238" ca="1">IF(OR($B238="",$B238="X",$D238="",$D238="X",$E238="",$E238="X"),0,IFERROR(_xlfn.LET(_xlpm.x,SUM(SUM(_xlfn._xlws.FILTER(VALUE(PptoSty[Sign]&amp;1)*(1/PptoSty[Division]),(PptoSty[Division]&lt;&gt;0)*(PptoSty[Division]&lt;&gt;"")*(PptoSty[Division]&lt;&gt;"X")*(PptoSty[Project]=$B238)*(PptoSty[Vrs]=$D238)*(PptoSty[PiRow]=_xlfn.TEXTAFTER($H238,":"))*(PptoSty[PiColumn]=P$54),0)),SUM(IF((INDIRECT($B$3)=$B238)*(INDIRECT($C$3)=$D238)*((INDIRECT($E$3)="TOTS")+(INDIRECT($E$3)=$E238)),INDIRECT(P$3)))),_xlpm.y,SUM(_xlfn.CHOOSECOLS(_xlfn._xlws.FILTER(F_RT14[],(F_RT14[PrjId]=$B238)*(F_RT14[Vrs]=$D238)*(_xlfn.TEXTAFTER(F_RT14[ActGrp],":")=_xlfn.TEXTAFTER($H238,":")),"X"),MATCH("*"&amp;P$54,F_RT14[#Headers],0))),IF(AND(_xlpm.x=0,_xlpm.y&lt;&gt;0),-1,IF(AND(_xlpm.x&lt;&gt;0,_xlpm.y&lt;&gt;0),_xlpm.x,IF(AND(_xlpm.x-SUM(IF((INDIRECT($B$3)=$B238)*(INDIRECT($C$3)=$D238)*((INDIRECT($E$3)="TOTS")+(INDIRECT($E$3)=$E238)),INDIRECT(P$3)))&lt;&gt;0,_xlpm.y=0),-2,_xlpm.x)))),0))</f>
        <v>0</v>
      </c>
      <c r="Q238" s="199" cm="1">
        <f t="array" aca="1" ref="Q238" ca="1">IF(OR($B238="",$B238="X",$D238="",$D238="X",$E238="",$E238="X"),0,IFERROR(_xlfn.LET(_xlpm.x,SUM(SUM(_xlfn._xlws.FILTER(VALUE(PptoSty[Sign]&amp;1)*(1/PptoSty[Division]),(PptoSty[Division]&lt;&gt;0)*(PptoSty[Division]&lt;&gt;"")*(PptoSty[Division]&lt;&gt;"X")*(PptoSty[Project]=$B238)*(PptoSty[Vrs]=$D238)*(PptoSty[PiRow]=_xlfn.TEXTAFTER($H238,":"))*(PptoSty[PiColumn]=Q$54),0)),SUM(IF((INDIRECT($B$3)=$B238)*(INDIRECT($C$3)=$D238)*((INDIRECT($E$3)="TOTS")+(INDIRECT($E$3)=$E238)),INDIRECT(Q$3)))),_xlpm.y,SUM(_xlfn.CHOOSECOLS(_xlfn._xlws.FILTER(F_RT14[],(F_RT14[PrjId]=$B238)*(F_RT14[Vrs]=$D238)*(_xlfn.TEXTAFTER(F_RT14[ActGrp],":")=_xlfn.TEXTAFTER($H238,":")),"X"),MATCH("*"&amp;Q$54,F_RT14[#Headers],0))),IF(AND(_xlpm.x=0,_xlpm.y&lt;&gt;0),-1,IF(AND(_xlpm.x&lt;&gt;0,_xlpm.y&lt;&gt;0),_xlpm.x,IF(AND(_xlpm.x-SUM(IF((INDIRECT($B$3)=$B238)*(INDIRECT($C$3)=$D238)*((INDIRECT($E$3)="TOTS")+(INDIRECT($E$3)=$E238)),INDIRECT(Q$3)))&lt;&gt;0,_xlpm.y=0),-2,_xlpm.x)))),0))</f>
        <v>0</v>
      </c>
      <c r="R238" s="199" cm="1">
        <f t="array" aca="1" ref="R238" ca="1">IF(OR($B238="",$B238="X",$D238="",$D238="X",$E238="",$E238="X"),0,IFERROR(_xlfn.LET(_xlpm.x,SUM(SUM(_xlfn._xlws.FILTER(VALUE(PptoSty[Sign]&amp;1)*(1/PptoSty[Division]),(PptoSty[Division]&lt;&gt;0)*(PptoSty[Division]&lt;&gt;"")*(PptoSty[Division]&lt;&gt;"X")*(PptoSty[Project]=$B238)*(PptoSty[Vrs]=$D238)*(PptoSty[PiRow]=_xlfn.TEXTAFTER($H238,":"))*(PptoSty[PiColumn]=R$54),0)),SUM(IF((INDIRECT($B$3)=$B238)*(INDIRECT($C$3)=$D238)*((INDIRECT($E$3)="TOTS")+(INDIRECT($E$3)=$E238)),INDIRECT(R$3)))),_xlpm.y,SUM(_xlfn.CHOOSECOLS(_xlfn._xlws.FILTER(F_RT14[],(F_RT14[PrjId]=$B238)*(F_RT14[Vrs]=$D238)*(_xlfn.TEXTAFTER(F_RT14[ActGrp],":")=_xlfn.TEXTAFTER($H238,":")),"X"),MATCH("*"&amp;R$54,F_RT14[#Headers],0))),IF(AND(_xlpm.x=0,_xlpm.y&lt;&gt;0),-1,IF(AND(_xlpm.x&lt;&gt;0,_xlpm.y&lt;&gt;0),_xlpm.x,IF(AND(_xlpm.x-SUM(IF((INDIRECT($B$3)=$B238)*(INDIRECT($C$3)=$D238)*((INDIRECT($E$3)="TOTS")+(INDIRECT($E$3)=$E238)),INDIRECT(R$3)))&lt;&gt;0,_xlpm.y=0),-2,_xlpm.x)))),0))</f>
        <v>0</v>
      </c>
      <c r="S238" s="199" cm="1">
        <f t="array" aca="1" ref="S238" ca="1">IF(OR($B238="",$B238="X",$D238="",$D238="X",$E238="",$E238="X"),0,IFERROR(_xlfn.LET(_xlpm.x,SUM(SUM(_xlfn._xlws.FILTER(VALUE(PptoSty[Sign]&amp;1)*(1/PptoSty[Division]),(PptoSty[Division]&lt;&gt;0)*(PptoSty[Division]&lt;&gt;"")*(PptoSty[Division]&lt;&gt;"X")*(PptoSty[Project]=$B238)*(PptoSty[Vrs]=$D238)*(PptoSty[PiRow]=_xlfn.TEXTAFTER($H238,":"))*(PptoSty[PiColumn]=S$54),0)),SUM(IF((INDIRECT($B$3)=$B238)*(INDIRECT($C$3)=$D238)*((INDIRECT($E$3)="TOTS")+(INDIRECT($E$3)=$E238)),INDIRECT(S$3)))),_xlpm.y,SUM(_xlfn.CHOOSECOLS(_xlfn._xlws.FILTER(F_RT14[],(F_RT14[PrjId]=$B238)*(F_RT14[Vrs]=$D238)*(_xlfn.TEXTAFTER(F_RT14[ActGrp],":")=_xlfn.TEXTAFTER($H238,":")),"X"),MATCH("*"&amp;S$54,F_RT14[#Headers],0))),IF(AND(_xlpm.x=0,_xlpm.y&lt;&gt;0),-1,IF(AND(_xlpm.x&lt;&gt;0,_xlpm.y&lt;&gt;0),_xlpm.x,IF(AND(_xlpm.x-SUM(IF((INDIRECT($B$3)=$B238)*(INDIRECT($C$3)=$D238)*((INDIRECT($E$3)="TOTS")+(INDIRECT($E$3)=$E238)),INDIRECT(S$3)))&lt;&gt;0,_xlpm.y=0),-2,_xlpm.x)))),0))</f>
        <v>0</v>
      </c>
      <c r="T238" s="199" cm="1">
        <f t="array" aca="1" ref="T238" ca="1">IF(OR($B238="",$B238="X",$D238="",$D238="X",$E238="",$E238="X"),0,IFERROR(_xlfn.LET(_xlpm.x,SUM(SUM(_xlfn._xlws.FILTER(VALUE(PptoSty[Sign]&amp;1)*(1/PptoSty[Division]),(PptoSty[Division]&lt;&gt;0)*(PptoSty[Division]&lt;&gt;"")*(PptoSty[Division]&lt;&gt;"X")*(PptoSty[Project]=$B238)*(PptoSty[Vrs]=$D238)*(PptoSty[PiRow]=_xlfn.TEXTAFTER($H238,":"))*(PptoSty[PiColumn]=T$54),0)),SUM(IF((INDIRECT($B$3)=$B238)*(INDIRECT($C$3)=$D238)*((INDIRECT($E$3)="TOTS")+(INDIRECT($E$3)=$E238)),INDIRECT(T$3)))),_xlpm.y,SUM(_xlfn.CHOOSECOLS(_xlfn._xlws.FILTER(F_RT14[],(F_RT14[PrjId]=$B238)*(F_RT14[Vrs]=$D238)*(_xlfn.TEXTAFTER(F_RT14[ActGrp],":")=_xlfn.TEXTAFTER($H238,":")),"X"),MATCH("*"&amp;T$54,F_RT14[#Headers],0))),IF(AND(_xlpm.x=0,_xlpm.y&lt;&gt;0),-1,IF(AND(_xlpm.x&lt;&gt;0,_xlpm.y&lt;&gt;0),_xlpm.x,IF(AND(_xlpm.x-SUM(IF((INDIRECT($B$3)=$B238)*(INDIRECT($C$3)=$D238)*((INDIRECT($E$3)="TOTS")+(INDIRECT($E$3)=$E238)),INDIRECT(T$3)))&lt;&gt;0,_xlpm.y=0),-2,_xlpm.x)))),0))</f>
        <v>0</v>
      </c>
      <c r="U238" s="199" cm="1">
        <f t="array" aca="1" ref="U238" ca="1">IF(OR($B238="",$B238="X",$D238="",$D238="X",$E238="",$E238="X"),0,IFERROR(_xlfn.LET(_xlpm.x,SUM(SUM(_xlfn._xlws.FILTER(VALUE(PptoSty[Sign]&amp;1)*(1/PptoSty[Division]),(PptoSty[Division]&lt;&gt;0)*(PptoSty[Division]&lt;&gt;"")*(PptoSty[Division]&lt;&gt;"X")*(PptoSty[Project]=$B238)*(PptoSty[Vrs]=$D238)*(PptoSty[PiRow]=_xlfn.TEXTAFTER($H238,":"))*(PptoSty[PiColumn]=U$54),0)),SUM(IF((INDIRECT($B$3)=$B238)*(INDIRECT($C$3)=$D238)*((INDIRECT($E$3)="TOTS")+(INDIRECT($E$3)=$E238)),INDIRECT(U$3)))),_xlpm.y,SUM(_xlfn.CHOOSECOLS(_xlfn._xlws.FILTER(F_RT14[],(F_RT14[PrjId]=$B238)*(F_RT14[Vrs]=$D238)*(_xlfn.TEXTAFTER(F_RT14[ActGrp],":")=_xlfn.TEXTAFTER($H238,":")),"X"),MATCH("*"&amp;U$54,F_RT14[#Headers],0))),IF(AND(_xlpm.x=0,_xlpm.y&lt;&gt;0),-1,IF(AND(_xlpm.x&lt;&gt;0,_xlpm.y&lt;&gt;0),_xlpm.x,IF(AND(_xlpm.x-SUM(IF((INDIRECT($B$3)=$B238)*(INDIRECT($C$3)=$D238)*((INDIRECT($E$3)="TOTS")+(INDIRECT($E$3)=$E238)),INDIRECT(U$3)))&lt;&gt;0,_xlpm.y=0),-2,_xlpm.x)))),0))</f>
        <v>0</v>
      </c>
      <c r="V238" s="199" cm="1">
        <f t="array" aca="1" ref="V238" ca="1">IF(OR($B238="",$B238="X",$D238="",$D238="X",$E238="",$E238="X"),0,IFERROR(_xlfn.LET(_xlpm.x,SUM(SUM(_xlfn._xlws.FILTER(VALUE(PptoSty[Sign]&amp;1)*(1/PptoSty[Division]),(PptoSty[Division]&lt;&gt;0)*(PptoSty[Division]&lt;&gt;"")*(PptoSty[Division]&lt;&gt;"X")*(PptoSty[Project]=$B238)*(PptoSty[Vrs]=$D238)*(PptoSty[PiRow]=_xlfn.TEXTAFTER($H238,":"))*(PptoSty[PiColumn]=V$54),0)),SUM(IF((INDIRECT($B$3)=$B238)*(INDIRECT($C$3)=$D238)*((INDIRECT($E$3)="TOTS")+(INDIRECT($E$3)=$E238)),INDIRECT(V$3)))),_xlpm.y,SUM(_xlfn.CHOOSECOLS(_xlfn._xlws.FILTER(F_RT14[],(F_RT14[PrjId]=$B238)*(F_RT14[Vrs]=$D238)*(_xlfn.TEXTAFTER(F_RT14[ActGrp],":")=_xlfn.TEXTAFTER($H238,":")),"X"),MATCH("*"&amp;V$54,F_RT14[#Headers],0))),IF(AND(_xlpm.x=0,_xlpm.y&lt;&gt;0),-1,IF(AND(_xlpm.x&lt;&gt;0,_xlpm.y&lt;&gt;0),_xlpm.x,IF(AND(_xlpm.x-SUM(IF((INDIRECT($B$3)=$B238)*(INDIRECT($C$3)=$D238)*((INDIRECT($E$3)="TOTS")+(INDIRECT($E$3)=$E238)),INDIRECT(V$3)))&lt;&gt;0,_xlpm.y=0),-2,_xlpm.x)))),0))</f>
        <v>0</v>
      </c>
      <c r="W238" s="199" cm="1">
        <f t="array" aca="1" ref="W238" ca="1">IF(OR($B238="",$B238="X",$D238="",$D238="X",$E238="",$E238="X"),0,IFERROR(_xlfn.LET(_xlpm.x,SUM(SUM(_xlfn._xlws.FILTER(VALUE(PptoSty[Sign]&amp;1)*(1/PptoSty[Division]),(PptoSty[Division]&lt;&gt;0)*(PptoSty[Division]&lt;&gt;"")*(PptoSty[Division]&lt;&gt;"X")*(PptoSty[Project]=$B238)*(PptoSty[Vrs]=$D238)*(PptoSty[PiRow]=_xlfn.TEXTAFTER($H238,":"))*(PptoSty[PiColumn]=W$54),0)),SUM(IF((INDIRECT($B$3)=$B238)*(INDIRECT($C$3)=$D238)*((INDIRECT($E$3)="TOTS")+(INDIRECT($E$3)=$E238)),INDIRECT(W$3)))),_xlpm.y,SUM(_xlfn.CHOOSECOLS(_xlfn._xlws.FILTER(F_RT14[],(F_RT14[PrjId]=$B238)*(F_RT14[Vrs]=$D238)*(_xlfn.TEXTAFTER(F_RT14[ActGrp],":")=_xlfn.TEXTAFTER($H238,":")),"X"),MATCH("*"&amp;W$54,F_RT14[#Headers],0))),IF(AND(_xlpm.x=0,_xlpm.y&lt;&gt;0),-1,IF(AND(_xlpm.x&lt;&gt;0,_xlpm.y&lt;&gt;0),_xlpm.x,IF(AND(_xlpm.x-SUM(IF((INDIRECT($B$3)=$B238)*(INDIRECT($C$3)=$D238)*((INDIRECT($E$3)="TOTS")+(INDIRECT($E$3)=$E238)),INDIRECT(W$3)))&lt;&gt;0,_xlpm.y=0),-2,_xlpm.x)))),0))</f>
        <v>0</v>
      </c>
      <c r="X238" s="199" cm="1">
        <f t="array" aca="1" ref="X238" ca="1">IF(OR($B238="",$B238="X",$D238="",$D238="X",$E238="",$E238="X"),0,IFERROR(_xlfn.LET(_xlpm.x,SUM(SUM(_xlfn._xlws.FILTER(VALUE(PptoSty[Sign]&amp;1)*(1/PptoSty[Division]),(PptoSty[Division]&lt;&gt;0)*(PptoSty[Division]&lt;&gt;"")*(PptoSty[Division]&lt;&gt;"X")*(PptoSty[Project]=$B238)*(PptoSty[Vrs]=$D238)*(PptoSty[PiRow]=_xlfn.TEXTAFTER($H238,":"))*(PptoSty[PiColumn]=X$54),0)),SUM(IF((INDIRECT($B$3)=$B238)*(INDIRECT($C$3)=$D238)*((INDIRECT($E$3)="TOTS")+(INDIRECT($E$3)=$E238)),INDIRECT(X$3)))),_xlpm.y,SUM(_xlfn.CHOOSECOLS(_xlfn._xlws.FILTER(F_RT14[],(F_RT14[PrjId]=$B238)*(F_RT14[Vrs]=$D238)*(_xlfn.TEXTAFTER(F_RT14[ActGrp],":")=_xlfn.TEXTAFTER($H238,":")),"X"),MATCH("*"&amp;X$54,F_RT14[#Headers],0))),IF(AND(_xlpm.x=0,_xlpm.y&lt;&gt;0),-1,IF(AND(_xlpm.x&lt;&gt;0,_xlpm.y&lt;&gt;0),_xlpm.x,IF(AND(_xlpm.x-SUM(IF((INDIRECT($B$3)=$B238)*(INDIRECT($C$3)=$D238)*((INDIRECT($E$3)="TOTS")+(INDIRECT($E$3)=$E238)),INDIRECT(X$3)))&lt;&gt;0,_xlpm.y=0),-2,_xlpm.x)))),0))</f>
        <v>0</v>
      </c>
      <c r="Y238" s="199" cm="1">
        <f t="array" aca="1" ref="Y238" ca="1">IF(OR($B238="",$B238="X",$D238="",$D238="X",$E238="",$E238="X"),0,IFERROR(_xlfn.LET(_xlpm.x,SUM(SUM(_xlfn._xlws.FILTER(VALUE(PptoSty[Sign]&amp;1)*(1/PptoSty[Division]),(PptoSty[Division]&lt;&gt;0)*(PptoSty[Division]&lt;&gt;"")*(PptoSty[Division]&lt;&gt;"X")*(PptoSty[Project]=$B238)*(PptoSty[Vrs]=$D238)*(PptoSty[PiRow]=_xlfn.TEXTAFTER($H238,":"))*(PptoSty[PiColumn]=Y$54),0)),SUM(IF((INDIRECT($B$3)=$B238)*(INDIRECT($C$3)=$D238)*((INDIRECT($E$3)="TOTS")+(INDIRECT($E$3)=$E238)),INDIRECT(Y$3)))),_xlpm.y,SUM(_xlfn.CHOOSECOLS(_xlfn._xlws.FILTER(F_RT14[],(F_RT14[PrjId]=$B238)*(F_RT14[Vrs]=$D238)*(_xlfn.TEXTAFTER(F_RT14[ActGrp],":")=_xlfn.TEXTAFTER($H238,":")),"X"),MATCH("*"&amp;Y$54,F_RT14[#Headers],0))),IF(AND(_xlpm.x=0,_xlpm.y&lt;&gt;0),-1,IF(AND(_xlpm.x&lt;&gt;0,_xlpm.y&lt;&gt;0),_xlpm.x,IF(AND(_xlpm.x-SUM(IF((INDIRECT($B$3)=$B238)*(INDIRECT($C$3)=$D238)*((INDIRECT($E$3)="TOTS")+(INDIRECT($E$3)=$E238)),INDIRECT(Y$3)))&lt;&gt;0,_xlpm.y=0),-2,_xlpm.x)))),0))</f>
        <v>0</v>
      </c>
      <c r="Z238" s="198" t="str">
        <f t="shared" ca="1" si="4"/>
        <v>Fback!B238:Y238</v>
      </c>
    </row>
    <row r="239" spans="2:26" ht="21" customHeight="1" outlineLevel="1">
      <c r="B239" s="128"/>
      <c r="C239" s="128"/>
      <c r="D239" s="128"/>
      <c r="E239" s="128"/>
      <c r="F239" s="139"/>
      <c r="G239" s="139"/>
      <c r="H239" s="139"/>
      <c r="I239" s="199" cm="1">
        <f t="array" aca="1" ref="I239" ca="1">IF(OR($B239="",$B239="X",$D239="",$D239="X",$E239="",$E239="X"),0,IFERROR(_xlfn.LET(_xlpm.x,SUM(SUM(_xlfn._xlws.FILTER(VALUE(PptoSty[Sign]&amp;1)*(1/PptoSty[Division]),(PptoSty[Division]&lt;&gt;0)*(PptoSty[Division]&lt;&gt;"")*(PptoSty[Division]&lt;&gt;"X")*(PptoSty[Project]=$B239)*(PptoSty[Vrs]=$D239)*(PptoSty[PiRow]=_xlfn.TEXTAFTER($H239,":"))*(PptoSty[PiColumn]=I$54),0)),SUM(IF((INDIRECT($B$3)=$B239)*(INDIRECT($C$3)=$D239)*((INDIRECT($E$3)="TOTS")+(INDIRECT($E$3)=$E239)),INDIRECT(I$3)))),_xlpm.y,SUM(_xlfn.CHOOSECOLS(_xlfn._xlws.FILTER(F_RT14[],(F_RT14[PrjId]=$B239)*(F_RT14[Vrs]=$D239)*(_xlfn.TEXTAFTER(F_RT14[ActGrp],":")=_xlfn.TEXTAFTER($H239,":")),"X"),MATCH("*"&amp;I$54,F_RT14[#Headers],0))),IF(AND(_xlpm.x=0,_xlpm.y&lt;&gt;0),-1,IF(AND(_xlpm.x&lt;&gt;0,_xlpm.y&lt;&gt;0),_xlpm.x,IF(AND(_xlpm.x-SUM(IF((INDIRECT($B$3)=$B239)*(INDIRECT($C$3)=$D239)*((INDIRECT($E$3)="TOTS")+(INDIRECT($E$3)=$E239)),INDIRECT(I$3)))&lt;&gt;0,_xlpm.y=0),-2,_xlpm.x)))),0))</f>
        <v>0</v>
      </c>
      <c r="J239" s="199" cm="1">
        <f t="array" aca="1" ref="J239" ca="1">IF(OR($B239="",$B239="X",$D239="",$D239="X",$E239="",$E239="X"),0,IFERROR(_xlfn.LET(_xlpm.x,SUM(SUM(_xlfn._xlws.FILTER(VALUE(PptoSty[Sign]&amp;1)*(1/PptoSty[Division]),(PptoSty[Division]&lt;&gt;0)*(PptoSty[Division]&lt;&gt;"")*(PptoSty[Division]&lt;&gt;"X")*(PptoSty[Project]=$B239)*(PptoSty[Vrs]=$D239)*(PptoSty[PiRow]=_xlfn.TEXTAFTER($H239,":"))*(PptoSty[PiColumn]=J$54),0)),SUM(IF((INDIRECT($B$3)=$B239)*(INDIRECT($C$3)=$D239)*((INDIRECT($E$3)="TOTS")+(INDIRECT($E$3)=$E239)),INDIRECT(J$3)))),_xlpm.y,SUM(_xlfn.CHOOSECOLS(_xlfn._xlws.FILTER(F_RT14[],(F_RT14[PrjId]=$B239)*(F_RT14[Vrs]=$D239)*(_xlfn.TEXTAFTER(F_RT14[ActGrp],":")=_xlfn.TEXTAFTER($H239,":")),"X"),MATCH("*"&amp;J$54,F_RT14[#Headers],0))),IF(AND(_xlpm.x=0,_xlpm.y&lt;&gt;0),-1,IF(AND(_xlpm.x&lt;&gt;0,_xlpm.y&lt;&gt;0),_xlpm.x,IF(AND(_xlpm.x-SUM(IF((INDIRECT($B$3)=$B239)*(INDIRECT($C$3)=$D239)*((INDIRECT($E$3)="TOTS")+(INDIRECT($E$3)=$E239)),INDIRECT(J$3)))&lt;&gt;0,_xlpm.y=0),-2,_xlpm.x)))),0))</f>
        <v>0</v>
      </c>
      <c r="K239" s="199" cm="1">
        <f t="array" aca="1" ref="K239" ca="1">IF(OR($B239="",$B239="X",$D239="",$D239="X",$E239="",$E239="X"),0,IFERROR(_xlfn.LET(_xlpm.x,SUM(SUM(_xlfn._xlws.FILTER(VALUE(PptoSty[Sign]&amp;1)*(1/PptoSty[Division]),(PptoSty[Division]&lt;&gt;0)*(PptoSty[Division]&lt;&gt;"")*(PptoSty[Division]&lt;&gt;"X")*(PptoSty[Project]=$B239)*(PptoSty[Vrs]=$D239)*(PptoSty[PiRow]=_xlfn.TEXTAFTER($H239,":"))*(PptoSty[PiColumn]=K$54),0)),SUM(IF((INDIRECT($B$3)=$B239)*(INDIRECT($C$3)=$D239)*((INDIRECT($E$3)="TOTS")+(INDIRECT($E$3)=$E239)),INDIRECT(K$3)))),_xlpm.y,SUM(_xlfn.CHOOSECOLS(_xlfn._xlws.FILTER(F_RT14[],(F_RT14[PrjId]=$B239)*(F_RT14[Vrs]=$D239)*(_xlfn.TEXTAFTER(F_RT14[ActGrp],":")=_xlfn.TEXTAFTER($H239,":")),"X"),MATCH("*"&amp;K$54,F_RT14[#Headers],0))),IF(AND(_xlpm.x=0,_xlpm.y&lt;&gt;0),-1,IF(AND(_xlpm.x&lt;&gt;0,_xlpm.y&lt;&gt;0),_xlpm.x,IF(AND(_xlpm.x-SUM(IF((INDIRECT($B$3)=$B239)*(INDIRECT($C$3)=$D239)*((INDIRECT($E$3)="TOTS")+(INDIRECT($E$3)=$E239)),INDIRECT(K$3)))&lt;&gt;0,_xlpm.y=0),-2,_xlpm.x)))),0))</f>
        <v>0</v>
      </c>
      <c r="L239" s="199" cm="1">
        <f t="array" aca="1" ref="L239" ca="1">IF(OR($B239="",$B239="X",$D239="",$D239="X",$E239="",$E239="X"),0,IFERROR(_xlfn.LET(_xlpm.x,SUM(SUM(_xlfn._xlws.FILTER(VALUE(PptoSty[Sign]&amp;1)*(1/PptoSty[Division]),(PptoSty[Division]&lt;&gt;0)*(PptoSty[Division]&lt;&gt;"")*(PptoSty[Division]&lt;&gt;"X")*(PptoSty[Project]=$B239)*(PptoSty[Vrs]=$D239)*(PptoSty[PiRow]=_xlfn.TEXTAFTER($H239,":"))*(PptoSty[PiColumn]=L$54),0)),SUM(IF((INDIRECT($B$3)=$B239)*(INDIRECT($C$3)=$D239)*((INDIRECT($E$3)="TOTS")+(INDIRECT($E$3)=$E239)),INDIRECT(L$3)))),_xlpm.y,SUM(_xlfn.CHOOSECOLS(_xlfn._xlws.FILTER(F_RT14[],(F_RT14[PrjId]=$B239)*(F_RT14[Vrs]=$D239)*(_xlfn.TEXTAFTER(F_RT14[ActGrp],":")=_xlfn.TEXTAFTER($H239,":")),"X"),MATCH("*"&amp;L$54,F_RT14[#Headers],0))),IF(AND(_xlpm.x=0,_xlpm.y&lt;&gt;0),-1,IF(AND(_xlpm.x&lt;&gt;0,_xlpm.y&lt;&gt;0),_xlpm.x,IF(AND(_xlpm.x-SUM(IF((INDIRECT($B$3)=$B239)*(INDIRECT($C$3)=$D239)*((INDIRECT($E$3)="TOTS")+(INDIRECT($E$3)=$E239)),INDIRECT(L$3)))&lt;&gt;0,_xlpm.y=0),-2,_xlpm.x)))),0))</f>
        <v>0</v>
      </c>
      <c r="M239" s="199" cm="1">
        <f t="array" aca="1" ref="M239" ca="1">IF(OR($B239="",$B239="X",$D239="",$D239="X",$E239="",$E239="X"),0,IFERROR(_xlfn.LET(_xlpm.x,SUM(SUM(_xlfn._xlws.FILTER(VALUE(PptoSty[Sign]&amp;1)*(1/PptoSty[Division]),(PptoSty[Division]&lt;&gt;0)*(PptoSty[Division]&lt;&gt;"")*(PptoSty[Division]&lt;&gt;"X")*(PptoSty[Project]=$B239)*(PptoSty[Vrs]=$D239)*(PptoSty[PiRow]=_xlfn.TEXTAFTER($H239,":"))*(PptoSty[PiColumn]=M$54),0)),SUM(IF((INDIRECT($B$3)=$B239)*(INDIRECT($C$3)=$D239)*((INDIRECT($E$3)="TOTS")+(INDIRECT($E$3)=$E239)),INDIRECT(M$3)))),_xlpm.y,SUM(_xlfn.CHOOSECOLS(_xlfn._xlws.FILTER(F_RT14[],(F_RT14[PrjId]=$B239)*(F_RT14[Vrs]=$D239)*(_xlfn.TEXTAFTER(F_RT14[ActGrp],":")=_xlfn.TEXTAFTER($H239,":")),"X"),MATCH("*"&amp;M$54,F_RT14[#Headers],0))),IF(AND(_xlpm.x=0,_xlpm.y&lt;&gt;0),-1,IF(AND(_xlpm.x&lt;&gt;0,_xlpm.y&lt;&gt;0),_xlpm.x,IF(AND(_xlpm.x-SUM(IF((INDIRECT($B$3)=$B239)*(INDIRECT($C$3)=$D239)*((INDIRECT($E$3)="TOTS")+(INDIRECT($E$3)=$E239)),INDIRECT(M$3)))&lt;&gt;0,_xlpm.y=0),-2,_xlpm.x)))),0))</f>
        <v>0</v>
      </c>
      <c r="N239" s="199" cm="1">
        <f t="array" aca="1" ref="N239" ca="1">IF(OR($B239="",$B239="X",$D239="",$D239="X",$E239="",$E239="X"),0,IFERROR(_xlfn.LET(_xlpm.x,SUM(SUM(_xlfn._xlws.FILTER(VALUE(PptoSty[Sign]&amp;1)*(1/PptoSty[Division]),(PptoSty[Division]&lt;&gt;0)*(PptoSty[Division]&lt;&gt;"")*(PptoSty[Division]&lt;&gt;"X")*(PptoSty[Project]=$B239)*(PptoSty[Vrs]=$D239)*(PptoSty[PiRow]=_xlfn.TEXTAFTER($H239,":"))*(PptoSty[PiColumn]=N$54),0)),SUM(IF((INDIRECT($B$3)=$B239)*(INDIRECT($C$3)=$D239)*((INDIRECT($E$3)="TOTS")+(INDIRECT($E$3)=$E239)),INDIRECT(N$3)))),_xlpm.y,SUM(_xlfn.CHOOSECOLS(_xlfn._xlws.FILTER(F_RT14[],(F_RT14[PrjId]=$B239)*(F_RT14[Vrs]=$D239)*(_xlfn.TEXTAFTER(F_RT14[ActGrp],":")=_xlfn.TEXTAFTER($H239,":")),"X"),MATCH("*"&amp;N$54,F_RT14[#Headers],0))),IF(AND(_xlpm.x=0,_xlpm.y&lt;&gt;0),-1,IF(AND(_xlpm.x&lt;&gt;0,_xlpm.y&lt;&gt;0),_xlpm.x,IF(AND(_xlpm.x-SUM(IF((INDIRECT($B$3)=$B239)*(INDIRECT($C$3)=$D239)*((INDIRECT($E$3)="TOTS")+(INDIRECT($E$3)=$E239)),INDIRECT(N$3)))&lt;&gt;0,_xlpm.y=0),-2,_xlpm.x)))),0))</f>
        <v>0</v>
      </c>
      <c r="O239" s="199" cm="1">
        <f t="array" aca="1" ref="O239" ca="1">IF(OR($B239="",$B239="X",$D239="",$D239="X",$E239="",$E239="X"),0,IFERROR(_xlfn.LET(_xlpm.x,SUM(SUM(_xlfn._xlws.FILTER(VALUE(PptoSty[Sign]&amp;1)*(1/PptoSty[Division]),(PptoSty[Division]&lt;&gt;0)*(PptoSty[Division]&lt;&gt;"")*(PptoSty[Division]&lt;&gt;"X")*(PptoSty[Project]=$B239)*(PptoSty[Vrs]=$D239)*(PptoSty[PiRow]=_xlfn.TEXTAFTER($H239,":"))*(PptoSty[PiColumn]=O$54),0)),SUM(IF((INDIRECT($B$3)=$B239)*(INDIRECT($C$3)=$D239)*((INDIRECT($E$3)="TOTS")+(INDIRECT($E$3)=$E239)),INDIRECT(O$3)))),_xlpm.y,SUM(_xlfn.CHOOSECOLS(_xlfn._xlws.FILTER(F_RT14[],(F_RT14[PrjId]=$B239)*(F_RT14[Vrs]=$D239)*(_xlfn.TEXTAFTER(F_RT14[ActGrp],":")=_xlfn.TEXTAFTER($H239,":")),"X"),MATCH("*"&amp;O$54,F_RT14[#Headers],0))),IF(AND(_xlpm.x=0,_xlpm.y&lt;&gt;0),-1,IF(AND(_xlpm.x&lt;&gt;0,_xlpm.y&lt;&gt;0),_xlpm.x,IF(AND(_xlpm.x-SUM(IF((INDIRECT($B$3)=$B239)*(INDIRECT($C$3)=$D239)*((INDIRECT($E$3)="TOTS")+(INDIRECT($E$3)=$E239)),INDIRECT(O$3)))&lt;&gt;0,_xlpm.y=0),-2,_xlpm.x)))),0))</f>
        <v>0</v>
      </c>
      <c r="P239" s="199" cm="1">
        <f t="array" aca="1" ref="P239" ca="1">IF(OR($B239="",$B239="X",$D239="",$D239="X",$E239="",$E239="X"),0,IFERROR(_xlfn.LET(_xlpm.x,SUM(SUM(_xlfn._xlws.FILTER(VALUE(PptoSty[Sign]&amp;1)*(1/PptoSty[Division]),(PptoSty[Division]&lt;&gt;0)*(PptoSty[Division]&lt;&gt;"")*(PptoSty[Division]&lt;&gt;"X")*(PptoSty[Project]=$B239)*(PptoSty[Vrs]=$D239)*(PptoSty[PiRow]=_xlfn.TEXTAFTER($H239,":"))*(PptoSty[PiColumn]=P$54),0)),SUM(IF((INDIRECT($B$3)=$B239)*(INDIRECT($C$3)=$D239)*((INDIRECT($E$3)="TOTS")+(INDIRECT($E$3)=$E239)),INDIRECT(P$3)))),_xlpm.y,SUM(_xlfn.CHOOSECOLS(_xlfn._xlws.FILTER(F_RT14[],(F_RT14[PrjId]=$B239)*(F_RT14[Vrs]=$D239)*(_xlfn.TEXTAFTER(F_RT14[ActGrp],":")=_xlfn.TEXTAFTER($H239,":")),"X"),MATCH("*"&amp;P$54,F_RT14[#Headers],0))),IF(AND(_xlpm.x=0,_xlpm.y&lt;&gt;0),-1,IF(AND(_xlpm.x&lt;&gt;0,_xlpm.y&lt;&gt;0),_xlpm.x,IF(AND(_xlpm.x-SUM(IF((INDIRECT($B$3)=$B239)*(INDIRECT($C$3)=$D239)*((INDIRECT($E$3)="TOTS")+(INDIRECT($E$3)=$E239)),INDIRECT(P$3)))&lt;&gt;0,_xlpm.y=0),-2,_xlpm.x)))),0))</f>
        <v>0</v>
      </c>
      <c r="Q239" s="199" cm="1">
        <f t="array" aca="1" ref="Q239" ca="1">IF(OR($B239="",$B239="X",$D239="",$D239="X",$E239="",$E239="X"),0,IFERROR(_xlfn.LET(_xlpm.x,SUM(SUM(_xlfn._xlws.FILTER(VALUE(PptoSty[Sign]&amp;1)*(1/PptoSty[Division]),(PptoSty[Division]&lt;&gt;0)*(PptoSty[Division]&lt;&gt;"")*(PptoSty[Division]&lt;&gt;"X")*(PptoSty[Project]=$B239)*(PptoSty[Vrs]=$D239)*(PptoSty[PiRow]=_xlfn.TEXTAFTER($H239,":"))*(PptoSty[PiColumn]=Q$54),0)),SUM(IF((INDIRECT($B$3)=$B239)*(INDIRECT($C$3)=$D239)*((INDIRECT($E$3)="TOTS")+(INDIRECT($E$3)=$E239)),INDIRECT(Q$3)))),_xlpm.y,SUM(_xlfn.CHOOSECOLS(_xlfn._xlws.FILTER(F_RT14[],(F_RT14[PrjId]=$B239)*(F_RT14[Vrs]=$D239)*(_xlfn.TEXTAFTER(F_RT14[ActGrp],":")=_xlfn.TEXTAFTER($H239,":")),"X"),MATCH("*"&amp;Q$54,F_RT14[#Headers],0))),IF(AND(_xlpm.x=0,_xlpm.y&lt;&gt;0),-1,IF(AND(_xlpm.x&lt;&gt;0,_xlpm.y&lt;&gt;0),_xlpm.x,IF(AND(_xlpm.x-SUM(IF((INDIRECT($B$3)=$B239)*(INDIRECT($C$3)=$D239)*((INDIRECT($E$3)="TOTS")+(INDIRECT($E$3)=$E239)),INDIRECT(Q$3)))&lt;&gt;0,_xlpm.y=0),-2,_xlpm.x)))),0))</f>
        <v>0</v>
      </c>
      <c r="R239" s="199" cm="1">
        <f t="array" aca="1" ref="R239" ca="1">IF(OR($B239="",$B239="X",$D239="",$D239="X",$E239="",$E239="X"),0,IFERROR(_xlfn.LET(_xlpm.x,SUM(SUM(_xlfn._xlws.FILTER(VALUE(PptoSty[Sign]&amp;1)*(1/PptoSty[Division]),(PptoSty[Division]&lt;&gt;0)*(PptoSty[Division]&lt;&gt;"")*(PptoSty[Division]&lt;&gt;"X")*(PptoSty[Project]=$B239)*(PptoSty[Vrs]=$D239)*(PptoSty[PiRow]=_xlfn.TEXTAFTER($H239,":"))*(PptoSty[PiColumn]=R$54),0)),SUM(IF((INDIRECT($B$3)=$B239)*(INDIRECT($C$3)=$D239)*((INDIRECT($E$3)="TOTS")+(INDIRECT($E$3)=$E239)),INDIRECT(R$3)))),_xlpm.y,SUM(_xlfn.CHOOSECOLS(_xlfn._xlws.FILTER(F_RT14[],(F_RT14[PrjId]=$B239)*(F_RT14[Vrs]=$D239)*(_xlfn.TEXTAFTER(F_RT14[ActGrp],":")=_xlfn.TEXTAFTER($H239,":")),"X"),MATCH("*"&amp;R$54,F_RT14[#Headers],0))),IF(AND(_xlpm.x=0,_xlpm.y&lt;&gt;0),-1,IF(AND(_xlpm.x&lt;&gt;0,_xlpm.y&lt;&gt;0),_xlpm.x,IF(AND(_xlpm.x-SUM(IF((INDIRECT($B$3)=$B239)*(INDIRECT($C$3)=$D239)*((INDIRECT($E$3)="TOTS")+(INDIRECT($E$3)=$E239)),INDIRECT(R$3)))&lt;&gt;0,_xlpm.y=0),-2,_xlpm.x)))),0))</f>
        <v>0</v>
      </c>
      <c r="S239" s="199" cm="1">
        <f t="array" aca="1" ref="S239" ca="1">IF(OR($B239="",$B239="X",$D239="",$D239="X",$E239="",$E239="X"),0,IFERROR(_xlfn.LET(_xlpm.x,SUM(SUM(_xlfn._xlws.FILTER(VALUE(PptoSty[Sign]&amp;1)*(1/PptoSty[Division]),(PptoSty[Division]&lt;&gt;0)*(PptoSty[Division]&lt;&gt;"")*(PptoSty[Division]&lt;&gt;"X")*(PptoSty[Project]=$B239)*(PptoSty[Vrs]=$D239)*(PptoSty[PiRow]=_xlfn.TEXTAFTER($H239,":"))*(PptoSty[PiColumn]=S$54),0)),SUM(IF((INDIRECT($B$3)=$B239)*(INDIRECT($C$3)=$D239)*((INDIRECT($E$3)="TOTS")+(INDIRECT($E$3)=$E239)),INDIRECT(S$3)))),_xlpm.y,SUM(_xlfn.CHOOSECOLS(_xlfn._xlws.FILTER(F_RT14[],(F_RT14[PrjId]=$B239)*(F_RT14[Vrs]=$D239)*(_xlfn.TEXTAFTER(F_RT14[ActGrp],":")=_xlfn.TEXTAFTER($H239,":")),"X"),MATCH("*"&amp;S$54,F_RT14[#Headers],0))),IF(AND(_xlpm.x=0,_xlpm.y&lt;&gt;0),-1,IF(AND(_xlpm.x&lt;&gt;0,_xlpm.y&lt;&gt;0),_xlpm.x,IF(AND(_xlpm.x-SUM(IF((INDIRECT($B$3)=$B239)*(INDIRECT($C$3)=$D239)*((INDIRECT($E$3)="TOTS")+(INDIRECT($E$3)=$E239)),INDIRECT(S$3)))&lt;&gt;0,_xlpm.y=0),-2,_xlpm.x)))),0))</f>
        <v>0</v>
      </c>
      <c r="T239" s="199" cm="1">
        <f t="array" aca="1" ref="T239" ca="1">IF(OR($B239="",$B239="X",$D239="",$D239="X",$E239="",$E239="X"),0,IFERROR(_xlfn.LET(_xlpm.x,SUM(SUM(_xlfn._xlws.FILTER(VALUE(PptoSty[Sign]&amp;1)*(1/PptoSty[Division]),(PptoSty[Division]&lt;&gt;0)*(PptoSty[Division]&lt;&gt;"")*(PptoSty[Division]&lt;&gt;"X")*(PptoSty[Project]=$B239)*(PptoSty[Vrs]=$D239)*(PptoSty[PiRow]=_xlfn.TEXTAFTER($H239,":"))*(PptoSty[PiColumn]=T$54),0)),SUM(IF((INDIRECT($B$3)=$B239)*(INDIRECT($C$3)=$D239)*((INDIRECT($E$3)="TOTS")+(INDIRECT($E$3)=$E239)),INDIRECT(T$3)))),_xlpm.y,SUM(_xlfn.CHOOSECOLS(_xlfn._xlws.FILTER(F_RT14[],(F_RT14[PrjId]=$B239)*(F_RT14[Vrs]=$D239)*(_xlfn.TEXTAFTER(F_RT14[ActGrp],":")=_xlfn.TEXTAFTER($H239,":")),"X"),MATCH("*"&amp;T$54,F_RT14[#Headers],0))),IF(AND(_xlpm.x=0,_xlpm.y&lt;&gt;0),-1,IF(AND(_xlpm.x&lt;&gt;0,_xlpm.y&lt;&gt;0),_xlpm.x,IF(AND(_xlpm.x-SUM(IF((INDIRECT($B$3)=$B239)*(INDIRECT($C$3)=$D239)*((INDIRECT($E$3)="TOTS")+(INDIRECT($E$3)=$E239)),INDIRECT(T$3)))&lt;&gt;0,_xlpm.y=0),-2,_xlpm.x)))),0))</f>
        <v>0</v>
      </c>
      <c r="U239" s="199" cm="1">
        <f t="array" aca="1" ref="U239" ca="1">IF(OR($B239="",$B239="X",$D239="",$D239="X",$E239="",$E239="X"),0,IFERROR(_xlfn.LET(_xlpm.x,SUM(SUM(_xlfn._xlws.FILTER(VALUE(PptoSty[Sign]&amp;1)*(1/PptoSty[Division]),(PptoSty[Division]&lt;&gt;0)*(PptoSty[Division]&lt;&gt;"")*(PptoSty[Division]&lt;&gt;"X")*(PptoSty[Project]=$B239)*(PptoSty[Vrs]=$D239)*(PptoSty[PiRow]=_xlfn.TEXTAFTER($H239,":"))*(PptoSty[PiColumn]=U$54),0)),SUM(IF((INDIRECT($B$3)=$B239)*(INDIRECT($C$3)=$D239)*((INDIRECT($E$3)="TOTS")+(INDIRECT($E$3)=$E239)),INDIRECT(U$3)))),_xlpm.y,SUM(_xlfn.CHOOSECOLS(_xlfn._xlws.FILTER(F_RT14[],(F_RT14[PrjId]=$B239)*(F_RT14[Vrs]=$D239)*(_xlfn.TEXTAFTER(F_RT14[ActGrp],":")=_xlfn.TEXTAFTER($H239,":")),"X"),MATCH("*"&amp;U$54,F_RT14[#Headers],0))),IF(AND(_xlpm.x=0,_xlpm.y&lt;&gt;0),-1,IF(AND(_xlpm.x&lt;&gt;0,_xlpm.y&lt;&gt;0),_xlpm.x,IF(AND(_xlpm.x-SUM(IF((INDIRECT($B$3)=$B239)*(INDIRECT($C$3)=$D239)*((INDIRECT($E$3)="TOTS")+(INDIRECT($E$3)=$E239)),INDIRECT(U$3)))&lt;&gt;0,_xlpm.y=0),-2,_xlpm.x)))),0))</f>
        <v>0</v>
      </c>
      <c r="V239" s="199" cm="1">
        <f t="array" aca="1" ref="V239" ca="1">IF(OR($B239="",$B239="X",$D239="",$D239="X",$E239="",$E239="X"),0,IFERROR(_xlfn.LET(_xlpm.x,SUM(SUM(_xlfn._xlws.FILTER(VALUE(PptoSty[Sign]&amp;1)*(1/PptoSty[Division]),(PptoSty[Division]&lt;&gt;0)*(PptoSty[Division]&lt;&gt;"")*(PptoSty[Division]&lt;&gt;"X")*(PptoSty[Project]=$B239)*(PptoSty[Vrs]=$D239)*(PptoSty[PiRow]=_xlfn.TEXTAFTER($H239,":"))*(PptoSty[PiColumn]=V$54),0)),SUM(IF((INDIRECT($B$3)=$B239)*(INDIRECT($C$3)=$D239)*((INDIRECT($E$3)="TOTS")+(INDIRECT($E$3)=$E239)),INDIRECT(V$3)))),_xlpm.y,SUM(_xlfn.CHOOSECOLS(_xlfn._xlws.FILTER(F_RT14[],(F_RT14[PrjId]=$B239)*(F_RT14[Vrs]=$D239)*(_xlfn.TEXTAFTER(F_RT14[ActGrp],":")=_xlfn.TEXTAFTER($H239,":")),"X"),MATCH("*"&amp;V$54,F_RT14[#Headers],0))),IF(AND(_xlpm.x=0,_xlpm.y&lt;&gt;0),-1,IF(AND(_xlpm.x&lt;&gt;0,_xlpm.y&lt;&gt;0),_xlpm.x,IF(AND(_xlpm.x-SUM(IF((INDIRECT($B$3)=$B239)*(INDIRECT($C$3)=$D239)*((INDIRECT($E$3)="TOTS")+(INDIRECT($E$3)=$E239)),INDIRECT(V$3)))&lt;&gt;0,_xlpm.y=0),-2,_xlpm.x)))),0))</f>
        <v>0</v>
      </c>
      <c r="W239" s="199" cm="1">
        <f t="array" aca="1" ref="W239" ca="1">IF(OR($B239="",$B239="X",$D239="",$D239="X",$E239="",$E239="X"),0,IFERROR(_xlfn.LET(_xlpm.x,SUM(SUM(_xlfn._xlws.FILTER(VALUE(PptoSty[Sign]&amp;1)*(1/PptoSty[Division]),(PptoSty[Division]&lt;&gt;0)*(PptoSty[Division]&lt;&gt;"")*(PptoSty[Division]&lt;&gt;"X")*(PptoSty[Project]=$B239)*(PptoSty[Vrs]=$D239)*(PptoSty[PiRow]=_xlfn.TEXTAFTER($H239,":"))*(PptoSty[PiColumn]=W$54),0)),SUM(IF((INDIRECT($B$3)=$B239)*(INDIRECT($C$3)=$D239)*((INDIRECT($E$3)="TOTS")+(INDIRECT($E$3)=$E239)),INDIRECT(W$3)))),_xlpm.y,SUM(_xlfn.CHOOSECOLS(_xlfn._xlws.FILTER(F_RT14[],(F_RT14[PrjId]=$B239)*(F_RT14[Vrs]=$D239)*(_xlfn.TEXTAFTER(F_RT14[ActGrp],":")=_xlfn.TEXTAFTER($H239,":")),"X"),MATCH("*"&amp;W$54,F_RT14[#Headers],0))),IF(AND(_xlpm.x=0,_xlpm.y&lt;&gt;0),-1,IF(AND(_xlpm.x&lt;&gt;0,_xlpm.y&lt;&gt;0),_xlpm.x,IF(AND(_xlpm.x-SUM(IF((INDIRECT($B$3)=$B239)*(INDIRECT($C$3)=$D239)*((INDIRECT($E$3)="TOTS")+(INDIRECT($E$3)=$E239)),INDIRECT(W$3)))&lt;&gt;0,_xlpm.y=0),-2,_xlpm.x)))),0))</f>
        <v>0</v>
      </c>
      <c r="X239" s="199" cm="1">
        <f t="array" aca="1" ref="X239" ca="1">IF(OR($B239="",$B239="X",$D239="",$D239="X",$E239="",$E239="X"),0,IFERROR(_xlfn.LET(_xlpm.x,SUM(SUM(_xlfn._xlws.FILTER(VALUE(PptoSty[Sign]&amp;1)*(1/PptoSty[Division]),(PptoSty[Division]&lt;&gt;0)*(PptoSty[Division]&lt;&gt;"")*(PptoSty[Division]&lt;&gt;"X")*(PptoSty[Project]=$B239)*(PptoSty[Vrs]=$D239)*(PptoSty[PiRow]=_xlfn.TEXTAFTER($H239,":"))*(PptoSty[PiColumn]=X$54),0)),SUM(IF((INDIRECT($B$3)=$B239)*(INDIRECT($C$3)=$D239)*((INDIRECT($E$3)="TOTS")+(INDIRECT($E$3)=$E239)),INDIRECT(X$3)))),_xlpm.y,SUM(_xlfn.CHOOSECOLS(_xlfn._xlws.FILTER(F_RT14[],(F_RT14[PrjId]=$B239)*(F_RT14[Vrs]=$D239)*(_xlfn.TEXTAFTER(F_RT14[ActGrp],":")=_xlfn.TEXTAFTER($H239,":")),"X"),MATCH("*"&amp;X$54,F_RT14[#Headers],0))),IF(AND(_xlpm.x=0,_xlpm.y&lt;&gt;0),-1,IF(AND(_xlpm.x&lt;&gt;0,_xlpm.y&lt;&gt;0),_xlpm.x,IF(AND(_xlpm.x-SUM(IF((INDIRECT($B$3)=$B239)*(INDIRECT($C$3)=$D239)*((INDIRECT($E$3)="TOTS")+(INDIRECT($E$3)=$E239)),INDIRECT(X$3)))&lt;&gt;0,_xlpm.y=0),-2,_xlpm.x)))),0))</f>
        <v>0</v>
      </c>
      <c r="Y239" s="199" cm="1">
        <f t="array" aca="1" ref="Y239" ca="1">IF(OR($B239="",$B239="X",$D239="",$D239="X",$E239="",$E239="X"),0,IFERROR(_xlfn.LET(_xlpm.x,SUM(SUM(_xlfn._xlws.FILTER(VALUE(PptoSty[Sign]&amp;1)*(1/PptoSty[Division]),(PptoSty[Division]&lt;&gt;0)*(PptoSty[Division]&lt;&gt;"")*(PptoSty[Division]&lt;&gt;"X")*(PptoSty[Project]=$B239)*(PptoSty[Vrs]=$D239)*(PptoSty[PiRow]=_xlfn.TEXTAFTER($H239,":"))*(PptoSty[PiColumn]=Y$54),0)),SUM(IF((INDIRECT($B$3)=$B239)*(INDIRECT($C$3)=$D239)*((INDIRECT($E$3)="TOTS")+(INDIRECT($E$3)=$E239)),INDIRECT(Y$3)))),_xlpm.y,SUM(_xlfn.CHOOSECOLS(_xlfn._xlws.FILTER(F_RT14[],(F_RT14[PrjId]=$B239)*(F_RT14[Vrs]=$D239)*(_xlfn.TEXTAFTER(F_RT14[ActGrp],":")=_xlfn.TEXTAFTER($H239,":")),"X"),MATCH("*"&amp;Y$54,F_RT14[#Headers],0))),IF(AND(_xlpm.x=0,_xlpm.y&lt;&gt;0),-1,IF(AND(_xlpm.x&lt;&gt;0,_xlpm.y&lt;&gt;0),_xlpm.x,IF(AND(_xlpm.x-SUM(IF((INDIRECT($B$3)=$B239)*(INDIRECT($C$3)=$D239)*((INDIRECT($E$3)="TOTS")+(INDIRECT($E$3)=$E239)),INDIRECT(Y$3)))&lt;&gt;0,_xlpm.y=0),-2,_xlpm.x)))),0))</f>
        <v>0</v>
      </c>
      <c r="Z239" s="198" t="str">
        <f t="shared" ca="1" si="4"/>
        <v>Fback!B239:Y239</v>
      </c>
    </row>
    <row r="240" spans="2:26" ht="21" customHeight="1" outlineLevel="1">
      <c r="B240" s="128"/>
      <c r="C240" s="128"/>
      <c r="D240" s="128"/>
      <c r="E240" s="128"/>
      <c r="F240" s="139"/>
      <c r="G240" s="139"/>
      <c r="H240" s="139"/>
      <c r="I240" s="199" cm="1">
        <f t="array" aca="1" ref="I240" ca="1">IF(OR($B240="",$B240="X",$D240="",$D240="X",$E240="",$E240="X"),0,IFERROR(_xlfn.LET(_xlpm.x,SUM(SUM(_xlfn._xlws.FILTER(VALUE(PptoSty[Sign]&amp;1)*(1/PptoSty[Division]),(PptoSty[Division]&lt;&gt;0)*(PptoSty[Division]&lt;&gt;"")*(PptoSty[Division]&lt;&gt;"X")*(PptoSty[Project]=$B240)*(PptoSty[Vrs]=$D240)*(PptoSty[PiRow]=_xlfn.TEXTAFTER($H240,":"))*(PptoSty[PiColumn]=I$54),0)),SUM(IF((INDIRECT($B$3)=$B240)*(INDIRECT($C$3)=$D240)*((INDIRECT($E$3)="TOTS")+(INDIRECT($E$3)=$E240)),INDIRECT(I$3)))),_xlpm.y,SUM(_xlfn.CHOOSECOLS(_xlfn._xlws.FILTER(F_RT14[],(F_RT14[PrjId]=$B240)*(F_RT14[Vrs]=$D240)*(_xlfn.TEXTAFTER(F_RT14[ActGrp],":")=_xlfn.TEXTAFTER($H240,":")),"X"),MATCH("*"&amp;I$54,F_RT14[#Headers],0))),IF(AND(_xlpm.x=0,_xlpm.y&lt;&gt;0),-1,IF(AND(_xlpm.x&lt;&gt;0,_xlpm.y&lt;&gt;0),_xlpm.x,IF(AND(_xlpm.x-SUM(IF((INDIRECT($B$3)=$B240)*(INDIRECT($C$3)=$D240)*((INDIRECT($E$3)="TOTS")+(INDIRECT($E$3)=$E240)),INDIRECT(I$3)))&lt;&gt;0,_xlpm.y=0),-2,_xlpm.x)))),0))</f>
        <v>0</v>
      </c>
      <c r="J240" s="199" cm="1">
        <f t="array" aca="1" ref="J240" ca="1">IF(OR($B240="",$B240="X",$D240="",$D240="X",$E240="",$E240="X"),0,IFERROR(_xlfn.LET(_xlpm.x,SUM(SUM(_xlfn._xlws.FILTER(VALUE(PptoSty[Sign]&amp;1)*(1/PptoSty[Division]),(PptoSty[Division]&lt;&gt;0)*(PptoSty[Division]&lt;&gt;"")*(PptoSty[Division]&lt;&gt;"X")*(PptoSty[Project]=$B240)*(PptoSty[Vrs]=$D240)*(PptoSty[PiRow]=_xlfn.TEXTAFTER($H240,":"))*(PptoSty[PiColumn]=J$54),0)),SUM(IF((INDIRECT($B$3)=$B240)*(INDIRECT($C$3)=$D240)*((INDIRECT($E$3)="TOTS")+(INDIRECT($E$3)=$E240)),INDIRECT(J$3)))),_xlpm.y,SUM(_xlfn.CHOOSECOLS(_xlfn._xlws.FILTER(F_RT14[],(F_RT14[PrjId]=$B240)*(F_RT14[Vrs]=$D240)*(_xlfn.TEXTAFTER(F_RT14[ActGrp],":")=_xlfn.TEXTAFTER($H240,":")),"X"),MATCH("*"&amp;J$54,F_RT14[#Headers],0))),IF(AND(_xlpm.x=0,_xlpm.y&lt;&gt;0),-1,IF(AND(_xlpm.x&lt;&gt;0,_xlpm.y&lt;&gt;0),_xlpm.x,IF(AND(_xlpm.x-SUM(IF((INDIRECT($B$3)=$B240)*(INDIRECT($C$3)=$D240)*((INDIRECT($E$3)="TOTS")+(INDIRECT($E$3)=$E240)),INDIRECT(J$3)))&lt;&gt;0,_xlpm.y=0),-2,_xlpm.x)))),0))</f>
        <v>0</v>
      </c>
      <c r="K240" s="199" cm="1">
        <f t="array" aca="1" ref="K240" ca="1">IF(OR($B240="",$B240="X",$D240="",$D240="X",$E240="",$E240="X"),0,IFERROR(_xlfn.LET(_xlpm.x,SUM(SUM(_xlfn._xlws.FILTER(VALUE(PptoSty[Sign]&amp;1)*(1/PptoSty[Division]),(PptoSty[Division]&lt;&gt;0)*(PptoSty[Division]&lt;&gt;"")*(PptoSty[Division]&lt;&gt;"X")*(PptoSty[Project]=$B240)*(PptoSty[Vrs]=$D240)*(PptoSty[PiRow]=_xlfn.TEXTAFTER($H240,":"))*(PptoSty[PiColumn]=K$54),0)),SUM(IF((INDIRECT($B$3)=$B240)*(INDIRECT($C$3)=$D240)*((INDIRECT($E$3)="TOTS")+(INDIRECT($E$3)=$E240)),INDIRECT(K$3)))),_xlpm.y,SUM(_xlfn.CHOOSECOLS(_xlfn._xlws.FILTER(F_RT14[],(F_RT14[PrjId]=$B240)*(F_RT14[Vrs]=$D240)*(_xlfn.TEXTAFTER(F_RT14[ActGrp],":")=_xlfn.TEXTAFTER($H240,":")),"X"),MATCH("*"&amp;K$54,F_RT14[#Headers],0))),IF(AND(_xlpm.x=0,_xlpm.y&lt;&gt;0),-1,IF(AND(_xlpm.x&lt;&gt;0,_xlpm.y&lt;&gt;0),_xlpm.x,IF(AND(_xlpm.x-SUM(IF((INDIRECT($B$3)=$B240)*(INDIRECT($C$3)=$D240)*((INDIRECT($E$3)="TOTS")+(INDIRECT($E$3)=$E240)),INDIRECT(K$3)))&lt;&gt;0,_xlpm.y=0),-2,_xlpm.x)))),0))</f>
        <v>0</v>
      </c>
      <c r="L240" s="199" cm="1">
        <f t="array" aca="1" ref="L240" ca="1">IF(OR($B240="",$B240="X",$D240="",$D240="X",$E240="",$E240="X"),0,IFERROR(_xlfn.LET(_xlpm.x,SUM(SUM(_xlfn._xlws.FILTER(VALUE(PptoSty[Sign]&amp;1)*(1/PptoSty[Division]),(PptoSty[Division]&lt;&gt;0)*(PptoSty[Division]&lt;&gt;"")*(PptoSty[Division]&lt;&gt;"X")*(PptoSty[Project]=$B240)*(PptoSty[Vrs]=$D240)*(PptoSty[PiRow]=_xlfn.TEXTAFTER($H240,":"))*(PptoSty[PiColumn]=L$54),0)),SUM(IF((INDIRECT($B$3)=$B240)*(INDIRECT($C$3)=$D240)*((INDIRECT($E$3)="TOTS")+(INDIRECT($E$3)=$E240)),INDIRECT(L$3)))),_xlpm.y,SUM(_xlfn.CHOOSECOLS(_xlfn._xlws.FILTER(F_RT14[],(F_RT14[PrjId]=$B240)*(F_RT14[Vrs]=$D240)*(_xlfn.TEXTAFTER(F_RT14[ActGrp],":")=_xlfn.TEXTAFTER($H240,":")),"X"),MATCH("*"&amp;L$54,F_RT14[#Headers],0))),IF(AND(_xlpm.x=0,_xlpm.y&lt;&gt;0),-1,IF(AND(_xlpm.x&lt;&gt;0,_xlpm.y&lt;&gt;0),_xlpm.x,IF(AND(_xlpm.x-SUM(IF((INDIRECT($B$3)=$B240)*(INDIRECT($C$3)=$D240)*((INDIRECT($E$3)="TOTS")+(INDIRECT($E$3)=$E240)),INDIRECT(L$3)))&lt;&gt;0,_xlpm.y=0),-2,_xlpm.x)))),0))</f>
        <v>0</v>
      </c>
      <c r="M240" s="199" cm="1">
        <f t="array" aca="1" ref="M240" ca="1">IF(OR($B240="",$B240="X",$D240="",$D240="X",$E240="",$E240="X"),0,IFERROR(_xlfn.LET(_xlpm.x,SUM(SUM(_xlfn._xlws.FILTER(VALUE(PptoSty[Sign]&amp;1)*(1/PptoSty[Division]),(PptoSty[Division]&lt;&gt;0)*(PptoSty[Division]&lt;&gt;"")*(PptoSty[Division]&lt;&gt;"X")*(PptoSty[Project]=$B240)*(PptoSty[Vrs]=$D240)*(PptoSty[PiRow]=_xlfn.TEXTAFTER($H240,":"))*(PptoSty[PiColumn]=M$54),0)),SUM(IF((INDIRECT($B$3)=$B240)*(INDIRECT($C$3)=$D240)*((INDIRECT($E$3)="TOTS")+(INDIRECT($E$3)=$E240)),INDIRECT(M$3)))),_xlpm.y,SUM(_xlfn.CHOOSECOLS(_xlfn._xlws.FILTER(F_RT14[],(F_RT14[PrjId]=$B240)*(F_RT14[Vrs]=$D240)*(_xlfn.TEXTAFTER(F_RT14[ActGrp],":")=_xlfn.TEXTAFTER($H240,":")),"X"),MATCH("*"&amp;M$54,F_RT14[#Headers],0))),IF(AND(_xlpm.x=0,_xlpm.y&lt;&gt;0),-1,IF(AND(_xlpm.x&lt;&gt;0,_xlpm.y&lt;&gt;0),_xlpm.x,IF(AND(_xlpm.x-SUM(IF((INDIRECT($B$3)=$B240)*(INDIRECT($C$3)=$D240)*((INDIRECT($E$3)="TOTS")+(INDIRECT($E$3)=$E240)),INDIRECT(M$3)))&lt;&gt;0,_xlpm.y=0),-2,_xlpm.x)))),0))</f>
        <v>0</v>
      </c>
      <c r="N240" s="199" cm="1">
        <f t="array" aca="1" ref="N240" ca="1">IF(OR($B240="",$B240="X",$D240="",$D240="X",$E240="",$E240="X"),0,IFERROR(_xlfn.LET(_xlpm.x,SUM(SUM(_xlfn._xlws.FILTER(VALUE(PptoSty[Sign]&amp;1)*(1/PptoSty[Division]),(PptoSty[Division]&lt;&gt;0)*(PptoSty[Division]&lt;&gt;"")*(PptoSty[Division]&lt;&gt;"X")*(PptoSty[Project]=$B240)*(PptoSty[Vrs]=$D240)*(PptoSty[PiRow]=_xlfn.TEXTAFTER($H240,":"))*(PptoSty[PiColumn]=N$54),0)),SUM(IF((INDIRECT($B$3)=$B240)*(INDIRECT($C$3)=$D240)*((INDIRECT($E$3)="TOTS")+(INDIRECT($E$3)=$E240)),INDIRECT(N$3)))),_xlpm.y,SUM(_xlfn.CHOOSECOLS(_xlfn._xlws.FILTER(F_RT14[],(F_RT14[PrjId]=$B240)*(F_RT14[Vrs]=$D240)*(_xlfn.TEXTAFTER(F_RT14[ActGrp],":")=_xlfn.TEXTAFTER($H240,":")),"X"),MATCH("*"&amp;N$54,F_RT14[#Headers],0))),IF(AND(_xlpm.x=0,_xlpm.y&lt;&gt;0),-1,IF(AND(_xlpm.x&lt;&gt;0,_xlpm.y&lt;&gt;0),_xlpm.x,IF(AND(_xlpm.x-SUM(IF((INDIRECT($B$3)=$B240)*(INDIRECT($C$3)=$D240)*((INDIRECT($E$3)="TOTS")+(INDIRECT($E$3)=$E240)),INDIRECT(N$3)))&lt;&gt;0,_xlpm.y=0),-2,_xlpm.x)))),0))</f>
        <v>0</v>
      </c>
      <c r="O240" s="199" cm="1">
        <f t="array" aca="1" ref="O240" ca="1">IF(OR($B240="",$B240="X",$D240="",$D240="X",$E240="",$E240="X"),0,IFERROR(_xlfn.LET(_xlpm.x,SUM(SUM(_xlfn._xlws.FILTER(VALUE(PptoSty[Sign]&amp;1)*(1/PptoSty[Division]),(PptoSty[Division]&lt;&gt;0)*(PptoSty[Division]&lt;&gt;"")*(PptoSty[Division]&lt;&gt;"X")*(PptoSty[Project]=$B240)*(PptoSty[Vrs]=$D240)*(PptoSty[PiRow]=_xlfn.TEXTAFTER($H240,":"))*(PptoSty[PiColumn]=O$54),0)),SUM(IF((INDIRECT($B$3)=$B240)*(INDIRECT($C$3)=$D240)*((INDIRECT($E$3)="TOTS")+(INDIRECT($E$3)=$E240)),INDIRECT(O$3)))),_xlpm.y,SUM(_xlfn.CHOOSECOLS(_xlfn._xlws.FILTER(F_RT14[],(F_RT14[PrjId]=$B240)*(F_RT14[Vrs]=$D240)*(_xlfn.TEXTAFTER(F_RT14[ActGrp],":")=_xlfn.TEXTAFTER($H240,":")),"X"),MATCH("*"&amp;O$54,F_RT14[#Headers],0))),IF(AND(_xlpm.x=0,_xlpm.y&lt;&gt;0),-1,IF(AND(_xlpm.x&lt;&gt;0,_xlpm.y&lt;&gt;0),_xlpm.x,IF(AND(_xlpm.x-SUM(IF((INDIRECT($B$3)=$B240)*(INDIRECT($C$3)=$D240)*((INDIRECT($E$3)="TOTS")+(INDIRECT($E$3)=$E240)),INDIRECT(O$3)))&lt;&gt;0,_xlpm.y=0),-2,_xlpm.x)))),0))</f>
        <v>0</v>
      </c>
      <c r="P240" s="199" cm="1">
        <f t="array" aca="1" ref="P240" ca="1">IF(OR($B240="",$B240="X",$D240="",$D240="X",$E240="",$E240="X"),0,IFERROR(_xlfn.LET(_xlpm.x,SUM(SUM(_xlfn._xlws.FILTER(VALUE(PptoSty[Sign]&amp;1)*(1/PptoSty[Division]),(PptoSty[Division]&lt;&gt;0)*(PptoSty[Division]&lt;&gt;"")*(PptoSty[Division]&lt;&gt;"X")*(PptoSty[Project]=$B240)*(PptoSty[Vrs]=$D240)*(PptoSty[PiRow]=_xlfn.TEXTAFTER($H240,":"))*(PptoSty[PiColumn]=P$54),0)),SUM(IF((INDIRECT($B$3)=$B240)*(INDIRECT($C$3)=$D240)*((INDIRECT($E$3)="TOTS")+(INDIRECT($E$3)=$E240)),INDIRECT(P$3)))),_xlpm.y,SUM(_xlfn.CHOOSECOLS(_xlfn._xlws.FILTER(F_RT14[],(F_RT14[PrjId]=$B240)*(F_RT14[Vrs]=$D240)*(_xlfn.TEXTAFTER(F_RT14[ActGrp],":")=_xlfn.TEXTAFTER($H240,":")),"X"),MATCH("*"&amp;P$54,F_RT14[#Headers],0))),IF(AND(_xlpm.x=0,_xlpm.y&lt;&gt;0),-1,IF(AND(_xlpm.x&lt;&gt;0,_xlpm.y&lt;&gt;0),_xlpm.x,IF(AND(_xlpm.x-SUM(IF((INDIRECT($B$3)=$B240)*(INDIRECT($C$3)=$D240)*((INDIRECT($E$3)="TOTS")+(INDIRECT($E$3)=$E240)),INDIRECT(P$3)))&lt;&gt;0,_xlpm.y=0),-2,_xlpm.x)))),0))</f>
        <v>0</v>
      </c>
      <c r="Q240" s="199" cm="1">
        <f t="array" aca="1" ref="Q240" ca="1">IF(OR($B240="",$B240="X",$D240="",$D240="X",$E240="",$E240="X"),0,IFERROR(_xlfn.LET(_xlpm.x,SUM(SUM(_xlfn._xlws.FILTER(VALUE(PptoSty[Sign]&amp;1)*(1/PptoSty[Division]),(PptoSty[Division]&lt;&gt;0)*(PptoSty[Division]&lt;&gt;"")*(PptoSty[Division]&lt;&gt;"X")*(PptoSty[Project]=$B240)*(PptoSty[Vrs]=$D240)*(PptoSty[PiRow]=_xlfn.TEXTAFTER($H240,":"))*(PptoSty[PiColumn]=Q$54),0)),SUM(IF((INDIRECT($B$3)=$B240)*(INDIRECT($C$3)=$D240)*((INDIRECT($E$3)="TOTS")+(INDIRECT($E$3)=$E240)),INDIRECT(Q$3)))),_xlpm.y,SUM(_xlfn.CHOOSECOLS(_xlfn._xlws.FILTER(F_RT14[],(F_RT14[PrjId]=$B240)*(F_RT14[Vrs]=$D240)*(_xlfn.TEXTAFTER(F_RT14[ActGrp],":")=_xlfn.TEXTAFTER($H240,":")),"X"),MATCH("*"&amp;Q$54,F_RT14[#Headers],0))),IF(AND(_xlpm.x=0,_xlpm.y&lt;&gt;0),-1,IF(AND(_xlpm.x&lt;&gt;0,_xlpm.y&lt;&gt;0),_xlpm.x,IF(AND(_xlpm.x-SUM(IF((INDIRECT($B$3)=$B240)*(INDIRECT($C$3)=$D240)*((INDIRECT($E$3)="TOTS")+(INDIRECT($E$3)=$E240)),INDIRECT(Q$3)))&lt;&gt;0,_xlpm.y=0),-2,_xlpm.x)))),0))</f>
        <v>0</v>
      </c>
      <c r="R240" s="199" cm="1">
        <f t="array" aca="1" ref="R240" ca="1">IF(OR($B240="",$B240="X",$D240="",$D240="X",$E240="",$E240="X"),0,IFERROR(_xlfn.LET(_xlpm.x,SUM(SUM(_xlfn._xlws.FILTER(VALUE(PptoSty[Sign]&amp;1)*(1/PptoSty[Division]),(PptoSty[Division]&lt;&gt;0)*(PptoSty[Division]&lt;&gt;"")*(PptoSty[Division]&lt;&gt;"X")*(PptoSty[Project]=$B240)*(PptoSty[Vrs]=$D240)*(PptoSty[PiRow]=_xlfn.TEXTAFTER($H240,":"))*(PptoSty[PiColumn]=R$54),0)),SUM(IF((INDIRECT($B$3)=$B240)*(INDIRECT($C$3)=$D240)*((INDIRECT($E$3)="TOTS")+(INDIRECT($E$3)=$E240)),INDIRECT(R$3)))),_xlpm.y,SUM(_xlfn.CHOOSECOLS(_xlfn._xlws.FILTER(F_RT14[],(F_RT14[PrjId]=$B240)*(F_RT14[Vrs]=$D240)*(_xlfn.TEXTAFTER(F_RT14[ActGrp],":")=_xlfn.TEXTAFTER($H240,":")),"X"),MATCH("*"&amp;R$54,F_RT14[#Headers],0))),IF(AND(_xlpm.x=0,_xlpm.y&lt;&gt;0),-1,IF(AND(_xlpm.x&lt;&gt;0,_xlpm.y&lt;&gt;0),_xlpm.x,IF(AND(_xlpm.x-SUM(IF((INDIRECT($B$3)=$B240)*(INDIRECT($C$3)=$D240)*((INDIRECT($E$3)="TOTS")+(INDIRECT($E$3)=$E240)),INDIRECT(R$3)))&lt;&gt;0,_xlpm.y=0),-2,_xlpm.x)))),0))</f>
        <v>0</v>
      </c>
      <c r="S240" s="199" cm="1">
        <f t="array" aca="1" ref="S240" ca="1">IF(OR($B240="",$B240="X",$D240="",$D240="X",$E240="",$E240="X"),0,IFERROR(_xlfn.LET(_xlpm.x,SUM(SUM(_xlfn._xlws.FILTER(VALUE(PptoSty[Sign]&amp;1)*(1/PptoSty[Division]),(PptoSty[Division]&lt;&gt;0)*(PptoSty[Division]&lt;&gt;"")*(PptoSty[Division]&lt;&gt;"X")*(PptoSty[Project]=$B240)*(PptoSty[Vrs]=$D240)*(PptoSty[PiRow]=_xlfn.TEXTAFTER($H240,":"))*(PptoSty[PiColumn]=S$54),0)),SUM(IF((INDIRECT($B$3)=$B240)*(INDIRECT($C$3)=$D240)*((INDIRECT($E$3)="TOTS")+(INDIRECT($E$3)=$E240)),INDIRECT(S$3)))),_xlpm.y,SUM(_xlfn.CHOOSECOLS(_xlfn._xlws.FILTER(F_RT14[],(F_RT14[PrjId]=$B240)*(F_RT14[Vrs]=$D240)*(_xlfn.TEXTAFTER(F_RT14[ActGrp],":")=_xlfn.TEXTAFTER($H240,":")),"X"),MATCH("*"&amp;S$54,F_RT14[#Headers],0))),IF(AND(_xlpm.x=0,_xlpm.y&lt;&gt;0),-1,IF(AND(_xlpm.x&lt;&gt;0,_xlpm.y&lt;&gt;0),_xlpm.x,IF(AND(_xlpm.x-SUM(IF((INDIRECT($B$3)=$B240)*(INDIRECT($C$3)=$D240)*((INDIRECT($E$3)="TOTS")+(INDIRECT($E$3)=$E240)),INDIRECT(S$3)))&lt;&gt;0,_xlpm.y=0),-2,_xlpm.x)))),0))</f>
        <v>0</v>
      </c>
      <c r="T240" s="199" cm="1">
        <f t="array" aca="1" ref="T240" ca="1">IF(OR($B240="",$B240="X",$D240="",$D240="X",$E240="",$E240="X"),0,IFERROR(_xlfn.LET(_xlpm.x,SUM(SUM(_xlfn._xlws.FILTER(VALUE(PptoSty[Sign]&amp;1)*(1/PptoSty[Division]),(PptoSty[Division]&lt;&gt;0)*(PptoSty[Division]&lt;&gt;"")*(PptoSty[Division]&lt;&gt;"X")*(PptoSty[Project]=$B240)*(PptoSty[Vrs]=$D240)*(PptoSty[PiRow]=_xlfn.TEXTAFTER($H240,":"))*(PptoSty[PiColumn]=T$54),0)),SUM(IF((INDIRECT($B$3)=$B240)*(INDIRECT($C$3)=$D240)*((INDIRECT($E$3)="TOTS")+(INDIRECT($E$3)=$E240)),INDIRECT(T$3)))),_xlpm.y,SUM(_xlfn.CHOOSECOLS(_xlfn._xlws.FILTER(F_RT14[],(F_RT14[PrjId]=$B240)*(F_RT14[Vrs]=$D240)*(_xlfn.TEXTAFTER(F_RT14[ActGrp],":")=_xlfn.TEXTAFTER($H240,":")),"X"),MATCH("*"&amp;T$54,F_RT14[#Headers],0))),IF(AND(_xlpm.x=0,_xlpm.y&lt;&gt;0),-1,IF(AND(_xlpm.x&lt;&gt;0,_xlpm.y&lt;&gt;0),_xlpm.x,IF(AND(_xlpm.x-SUM(IF((INDIRECT($B$3)=$B240)*(INDIRECT($C$3)=$D240)*((INDIRECT($E$3)="TOTS")+(INDIRECT($E$3)=$E240)),INDIRECT(T$3)))&lt;&gt;0,_xlpm.y=0),-2,_xlpm.x)))),0))</f>
        <v>0</v>
      </c>
      <c r="U240" s="199" cm="1">
        <f t="array" aca="1" ref="U240" ca="1">IF(OR($B240="",$B240="X",$D240="",$D240="X",$E240="",$E240="X"),0,IFERROR(_xlfn.LET(_xlpm.x,SUM(SUM(_xlfn._xlws.FILTER(VALUE(PptoSty[Sign]&amp;1)*(1/PptoSty[Division]),(PptoSty[Division]&lt;&gt;0)*(PptoSty[Division]&lt;&gt;"")*(PptoSty[Division]&lt;&gt;"X")*(PptoSty[Project]=$B240)*(PptoSty[Vrs]=$D240)*(PptoSty[PiRow]=_xlfn.TEXTAFTER($H240,":"))*(PptoSty[PiColumn]=U$54),0)),SUM(IF((INDIRECT($B$3)=$B240)*(INDIRECT($C$3)=$D240)*((INDIRECT($E$3)="TOTS")+(INDIRECT($E$3)=$E240)),INDIRECT(U$3)))),_xlpm.y,SUM(_xlfn.CHOOSECOLS(_xlfn._xlws.FILTER(F_RT14[],(F_RT14[PrjId]=$B240)*(F_RT14[Vrs]=$D240)*(_xlfn.TEXTAFTER(F_RT14[ActGrp],":")=_xlfn.TEXTAFTER($H240,":")),"X"),MATCH("*"&amp;U$54,F_RT14[#Headers],0))),IF(AND(_xlpm.x=0,_xlpm.y&lt;&gt;0),-1,IF(AND(_xlpm.x&lt;&gt;0,_xlpm.y&lt;&gt;0),_xlpm.x,IF(AND(_xlpm.x-SUM(IF((INDIRECT($B$3)=$B240)*(INDIRECT($C$3)=$D240)*((INDIRECT($E$3)="TOTS")+(INDIRECT($E$3)=$E240)),INDIRECT(U$3)))&lt;&gt;0,_xlpm.y=0),-2,_xlpm.x)))),0))</f>
        <v>0</v>
      </c>
      <c r="V240" s="199" cm="1">
        <f t="array" aca="1" ref="V240" ca="1">IF(OR($B240="",$B240="X",$D240="",$D240="X",$E240="",$E240="X"),0,IFERROR(_xlfn.LET(_xlpm.x,SUM(SUM(_xlfn._xlws.FILTER(VALUE(PptoSty[Sign]&amp;1)*(1/PptoSty[Division]),(PptoSty[Division]&lt;&gt;0)*(PptoSty[Division]&lt;&gt;"")*(PptoSty[Division]&lt;&gt;"X")*(PptoSty[Project]=$B240)*(PptoSty[Vrs]=$D240)*(PptoSty[PiRow]=_xlfn.TEXTAFTER($H240,":"))*(PptoSty[PiColumn]=V$54),0)),SUM(IF((INDIRECT($B$3)=$B240)*(INDIRECT($C$3)=$D240)*((INDIRECT($E$3)="TOTS")+(INDIRECT($E$3)=$E240)),INDIRECT(V$3)))),_xlpm.y,SUM(_xlfn.CHOOSECOLS(_xlfn._xlws.FILTER(F_RT14[],(F_RT14[PrjId]=$B240)*(F_RT14[Vrs]=$D240)*(_xlfn.TEXTAFTER(F_RT14[ActGrp],":")=_xlfn.TEXTAFTER($H240,":")),"X"),MATCH("*"&amp;V$54,F_RT14[#Headers],0))),IF(AND(_xlpm.x=0,_xlpm.y&lt;&gt;0),-1,IF(AND(_xlpm.x&lt;&gt;0,_xlpm.y&lt;&gt;0),_xlpm.x,IF(AND(_xlpm.x-SUM(IF((INDIRECT($B$3)=$B240)*(INDIRECT($C$3)=$D240)*((INDIRECT($E$3)="TOTS")+(INDIRECT($E$3)=$E240)),INDIRECT(V$3)))&lt;&gt;0,_xlpm.y=0),-2,_xlpm.x)))),0))</f>
        <v>0</v>
      </c>
      <c r="W240" s="199" cm="1">
        <f t="array" aca="1" ref="W240" ca="1">IF(OR($B240="",$B240="X",$D240="",$D240="X",$E240="",$E240="X"),0,IFERROR(_xlfn.LET(_xlpm.x,SUM(SUM(_xlfn._xlws.FILTER(VALUE(PptoSty[Sign]&amp;1)*(1/PptoSty[Division]),(PptoSty[Division]&lt;&gt;0)*(PptoSty[Division]&lt;&gt;"")*(PptoSty[Division]&lt;&gt;"X")*(PptoSty[Project]=$B240)*(PptoSty[Vrs]=$D240)*(PptoSty[PiRow]=_xlfn.TEXTAFTER($H240,":"))*(PptoSty[PiColumn]=W$54),0)),SUM(IF((INDIRECT($B$3)=$B240)*(INDIRECT($C$3)=$D240)*((INDIRECT($E$3)="TOTS")+(INDIRECT($E$3)=$E240)),INDIRECT(W$3)))),_xlpm.y,SUM(_xlfn.CHOOSECOLS(_xlfn._xlws.FILTER(F_RT14[],(F_RT14[PrjId]=$B240)*(F_RT14[Vrs]=$D240)*(_xlfn.TEXTAFTER(F_RT14[ActGrp],":")=_xlfn.TEXTAFTER($H240,":")),"X"),MATCH("*"&amp;W$54,F_RT14[#Headers],0))),IF(AND(_xlpm.x=0,_xlpm.y&lt;&gt;0),-1,IF(AND(_xlpm.x&lt;&gt;0,_xlpm.y&lt;&gt;0),_xlpm.x,IF(AND(_xlpm.x-SUM(IF((INDIRECT($B$3)=$B240)*(INDIRECT($C$3)=$D240)*((INDIRECT($E$3)="TOTS")+(INDIRECT($E$3)=$E240)),INDIRECT(W$3)))&lt;&gt;0,_xlpm.y=0),-2,_xlpm.x)))),0))</f>
        <v>0</v>
      </c>
      <c r="X240" s="199" cm="1">
        <f t="array" aca="1" ref="X240" ca="1">IF(OR($B240="",$B240="X",$D240="",$D240="X",$E240="",$E240="X"),0,IFERROR(_xlfn.LET(_xlpm.x,SUM(SUM(_xlfn._xlws.FILTER(VALUE(PptoSty[Sign]&amp;1)*(1/PptoSty[Division]),(PptoSty[Division]&lt;&gt;0)*(PptoSty[Division]&lt;&gt;"")*(PptoSty[Division]&lt;&gt;"X")*(PptoSty[Project]=$B240)*(PptoSty[Vrs]=$D240)*(PptoSty[PiRow]=_xlfn.TEXTAFTER($H240,":"))*(PptoSty[PiColumn]=X$54),0)),SUM(IF((INDIRECT($B$3)=$B240)*(INDIRECT($C$3)=$D240)*((INDIRECT($E$3)="TOTS")+(INDIRECT($E$3)=$E240)),INDIRECT(X$3)))),_xlpm.y,SUM(_xlfn.CHOOSECOLS(_xlfn._xlws.FILTER(F_RT14[],(F_RT14[PrjId]=$B240)*(F_RT14[Vrs]=$D240)*(_xlfn.TEXTAFTER(F_RT14[ActGrp],":")=_xlfn.TEXTAFTER($H240,":")),"X"),MATCH("*"&amp;X$54,F_RT14[#Headers],0))),IF(AND(_xlpm.x=0,_xlpm.y&lt;&gt;0),-1,IF(AND(_xlpm.x&lt;&gt;0,_xlpm.y&lt;&gt;0),_xlpm.x,IF(AND(_xlpm.x-SUM(IF((INDIRECT($B$3)=$B240)*(INDIRECT($C$3)=$D240)*((INDIRECT($E$3)="TOTS")+(INDIRECT($E$3)=$E240)),INDIRECT(X$3)))&lt;&gt;0,_xlpm.y=0),-2,_xlpm.x)))),0))</f>
        <v>0</v>
      </c>
      <c r="Y240" s="199" cm="1">
        <f t="array" aca="1" ref="Y240" ca="1">IF(OR($B240="",$B240="X",$D240="",$D240="X",$E240="",$E240="X"),0,IFERROR(_xlfn.LET(_xlpm.x,SUM(SUM(_xlfn._xlws.FILTER(VALUE(PptoSty[Sign]&amp;1)*(1/PptoSty[Division]),(PptoSty[Division]&lt;&gt;0)*(PptoSty[Division]&lt;&gt;"")*(PptoSty[Division]&lt;&gt;"X")*(PptoSty[Project]=$B240)*(PptoSty[Vrs]=$D240)*(PptoSty[PiRow]=_xlfn.TEXTAFTER($H240,":"))*(PptoSty[PiColumn]=Y$54),0)),SUM(IF((INDIRECT($B$3)=$B240)*(INDIRECT($C$3)=$D240)*((INDIRECT($E$3)="TOTS")+(INDIRECT($E$3)=$E240)),INDIRECT(Y$3)))),_xlpm.y,SUM(_xlfn.CHOOSECOLS(_xlfn._xlws.FILTER(F_RT14[],(F_RT14[PrjId]=$B240)*(F_RT14[Vrs]=$D240)*(_xlfn.TEXTAFTER(F_RT14[ActGrp],":")=_xlfn.TEXTAFTER($H240,":")),"X"),MATCH("*"&amp;Y$54,F_RT14[#Headers],0))),IF(AND(_xlpm.x=0,_xlpm.y&lt;&gt;0),-1,IF(AND(_xlpm.x&lt;&gt;0,_xlpm.y&lt;&gt;0),_xlpm.x,IF(AND(_xlpm.x-SUM(IF((INDIRECT($B$3)=$B240)*(INDIRECT($C$3)=$D240)*((INDIRECT($E$3)="TOTS")+(INDIRECT($E$3)=$E240)),INDIRECT(Y$3)))&lt;&gt;0,_xlpm.y=0),-2,_xlpm.x)))),0))</f>
        <v>0</v>
      </c>
      <c r="Z240" s="198" t="str">
        <f t="shared" ca="1" si="4"/>
        <v>Fback!B240:Y240</v>
      </c>
    </row>
    <row r="241" spans="1:27" ht="21" customHeight="1" outlineLevel="1">
      <c r="B241" s="128"/>
      <c r="C241" s="128"/>
      <c r="D241" s="128"/>
      <c r="E241" s="128"/>
      <c r="F241" s="139"/>
      <c r="G241" s="139"/>
      <c r="H241" s="139"/>
      <c r="I241" s="199" cm="1">
        <f t="array" aca="1" ref="I241" ca="1">IF(OR($B241="",$B241="X",$D241="",$D241="X",$E241="",$E241="X"),0,IFERROR(_xlfn.LET(_xlpm.x,SUM(SUM(_xlfn._xlws.FILTER(VALUE(PptoSty[Sign]&amp;1)*(1/PptoSty[Division]),(PptoSty[Division]&lt;&gt;0)*(PptoSty[Division]&lt;&gt;"")*(PptoSty[Division]&lt;&gt;"X")*(PptoSty[Project]=$B241)*(PptoSty[Vrs]=$D241)*(PptoSty[PiRow]=_xlfn.TEXTAFTER($H241,":"))*(PptoSty[PiColumn]=I$54),0)),SUM(IF((INDIRECT($B$3)=$B241)*(INDIRECT($C$3)=$D241)*((INDIRECT($E$3)="TOTS")+(INDIRECT($E$3)=$E241)),INDIRECT(I$3)))),_xlpm.y,SUM(_xlfn.CHOOSECOLS(_xlfn._xlws.FILTER(F_RT14[],(F_RT14[PrjId]=$B241)*(F_RT14[Vrs]=$D241)*(_xlfn.TEXTAFTER(F_RT14[ActGrp],":")=_xlfn.TEXTAFTER($H241,":")),"X"),MATCH("*"&amp;I$54,F_RT14[#Headers],0))),IF(AND(_xlpm.x=0,_xlpm.y&lt;&gt;0),-1,IF(AND(_xlpm.x&lt;&gt;0,_xlpm.y&lt;&gt;0),_xlpm.x,IF(AND(_xlpm.x-SUM(IF((INDIRECT($B$3)=$B241)*(INDIRECT($C$3)=$D241)*((INDIRECT($E$3)="TOTS")+(INDIRECT($E$3)=$E241)),INDIRECT(I$3)))&lt;&gt;0,_xlpm.y=0),-2,_xlpm.x)))),0))</f>
        <v>0</v>
      </c>
      <c r="J241" s="199" cm="1">
        <f t="array" aca="1" ref="J241" ca="1">IF(OR($B241="",$B241="X",$D241="",$D241="X",$E241="",$E241="X"),0,IFERROR(_xlfn.LET(_xlpm.x,SUM(SUM(_xlfn._xlws.FILTER(VALUE(PptoSty[Sign]&amp;1)*(1/PptoSty[Division]),(PptoSty[Division]&lt;&gt;0)*(PptoSty[Division]&lt;&gt;"")*(PptoSty[Division]&lt;&gt;"X")*(PptoSty[Project]=$B241)*(PptoSty[Vrs]=$D241)*(PptoSty[PiRow]=_xlfn.TEXTAFTER($H241,":"))*(PptoSty[PiColumn]=J$54),0)),SUM(IF((INDIRECT($B$3)=$B241)*(INDIRECT($C$3)=$D241)*((INDIRECT($E$3)="TOTS")+(INDIRECT($E$3)=$E241)),INDIRECT(J$3)))),_xlpm.y,SUM(_xlfn.CHOOSECOLS(_xlfn._xlws.FILTER(F_RT14[],(F_RT14[PrjId]=$B241)*(F_RT14[Vrs]=$D241)*(_xlfn.TEXTAFTER(F_RT14[ActGrp],":")=_xlfn.TEXTAFTER($H241,":")),"X"),MATCH("*"&amp;J$54,F_RT14[#Headers],0))),IF(AND(_xlpm.x=0,_xlpm.y&lt;&gt;0),-1,IF(AND(_xlpm.x&lt;&gt;0,_xlpm.y&lt;&gt;0),_xlpm.x,IF(AND(_xlpm.x-SUM(IF((INDIRECT($B$3)=$B241)*(INDIRECT($C$3)=$D241)*((INDIRECT($E$3)="TOTS")+(INDIRECT($E$3)=$E241)),INDIRECT(J$3)))&lt;&gt;0,_xlpm.y=0),-2,_xlpm.x)))),0))</f>
        <v>0</v>
      </c>
      <c r="K241" s="199" cm="1">
        <f t="array" aca="1" ref="K241" ca="1">IF(OR($B241="",$B241="X",$D241="",$D241="X",$E241="",$E241="X"),0,IFERROR(_xlfn.LET(_xlpm.x,SUM(SUM(_xlfn._xlws.FILTER(VALUE(PptoSty[Sign]&amp;1)*(1/PptoSty[Division]),(PptoSty[Division]&lt;&gt;0)*(PptoSty[Division]&lt;&gt;"")*(PptoSty[Division]&lt;&gt;"X")*(PptoSty[Project]=$B241)*(PptoSty[Vrs]=$D241)*(PptoSty[PiRow]=_xlfn.TEXTAFTER($H241,":"))*(PptoSty[PiColumn]=K$54),0)),SUM(IF((INDIRECT($B$3)=$B241)*(INDIRECT($C$3)=$D241)*((INDIRECT($E$3)="TOTS")+(INDIRECT($E$3)=$E241)),INDIRECT(K$3)))),_xlpm.y,SUM(_xlfn.CHOOSECOLS(_xlfn._xlws.FILTER(F_RT14[],(F_RT14[PrjId]=$B241)*(F_RT14[Vrs]=$D241)*(_xlfn.TEXTAFTER(F_RT14[ActGrp],":")=_xlfn.TEXTAFTER($H241,":")),"X"),MATCH("*"&amp;K$54,F_RT14[#Headers],0))),IF(AND(_xlpm.x=0,_xlpm.y&lt;&gt;0),-1,IF(AND(_xlpm.x&lt;&gt;0,_xlpm.y&lt;&gt;0),_xlpm.x,IF(AND(_xlpm.x-SUM(IF((INDIRECT($B$3)=$B241)*(INDIRECT($C$3)=$D241)*((INDIRECT($E$3)="TOTS")+(INDIRECT($E$3)=$E241)),INDIRECT(K$3)))&lt;&gt;0,_xlpm.y=0),-2,_xlpm.x)))),0))</f>
        <v>0</v>
      </c>
      <c r="L241" s="199" cm="1">
        <f t="array" aca="1" ref="L241" ca="1">IF(OR($B241="",$B241="X",$D241="",$D241="X",$E241="",$E241="X"),0,IFERROR(_xlfn.LET(_xlpm.x,SUM(SUM(_xlfn._xlws.FILTER(VALUE(PptoSty[Sign]&amp;1)*(1/PptoSty[Division]),(PptoSty[Division]&lt;&gt;0)*(PptoSty[Division]&lt;&gt;"")*(PptoSty[Division]&lt;&gt;"X")*(PptoSty[Project]=$B241)*(PptoSty[Vrs]=$D241)*(PptoSty[PiRow]=_xlfn.TEXTAFTER($H241,":"))*(PptoSty[PiColumn]=L$54),0)),SUM(IF((INDIRECT($B$3)=$B241)*(INDIRECT($C$3)=$D241)*((INDIRECT($E$3)="TOTS")+(INDIRECT($E$3)=$E241)),INDIRECT(L$3)))),_xlpm.y,SUM(_xlfn.CHOOSECOLS(_xlfn._xlws.FILTER(F_RT14[],(F_RT14[PrjId]=$B241)*(F_RT14[Vrs]=$D241)*(_xlfn.TEXTAFTER(F_RT14[ActGrp],":")=_xlfn.TEXTAFTER($H241,":")),"X"),MATCH("*"&amp;L$54,F_RT14[#Headers],0))),IF(AND(_xlpm.x=0,_xlpm.y&lt;&gt;0),-1,IF(AND(_xlpm.x&lt;&gt;0,_xlpm.y&lt;&gt;0),_xlpm.x,IF(AND(_xlpm.x-SUM(IF((INDIRECT($B$3)=$B241)*(INDIRECT($C$3)=$D241)*((INDIRECT($E$3)="TOTS")+(INDIRECT($E$3)=$E241)),INDIRECT(L$3)))&lt;&gt;0,_xlpm.y=0),-2,_xlpm.x)))),0))</f>
        <v>0</v>
      </c>
      <c r="M241" s="199" cm="1">
        <f t="array" aca="1" ref="M241" ca="1">IF(OR($B241="",$B241="X",$D241="",$D241="X",$E241="",$E241="X"),0,IFERROR(_xlfn.LET(_xlpm.x,SUM(SUM(_xlfn._xlws.FILTER(VALUE(PptoSty[Sign]&amp;1)*(1/PptoSty[Division]),(PptoSty[Division]&lt;&gt;0)*(PptoSty[Division]&lt;&gt;"")*(PptoSty[Division]&lt;&gt;"X")*(PptoSty[Project]=$B241)*(PptoSty[Vrs]=$D241)*(PptoSty[PiRow]=_xlfn.TEXTAFTER($H241,":"))*(PptoSty[PiColumn]=M$54),0)),SUM(IF((INDIRECT($B$3)=$B241)*(INDIRECT($C$3)=$D241)*((INDIRECT($E$3)="TOTS")+(INDIRECT($E$3)=$E241)),INDIRECT(M$3)))),_xlpm.y,SUM(_xlfn.CHOOSECOLS(_xlfn._xlws.FILTER(F_RT14[],(F_RT14[PrjId]=$B241)*(F_RT14[Vrs]=$D241)*(_xlfn.TEXTAFTER(F_RT14[ActGrp],":")=_xlfn.TEXTAFTER($H241,":")),"X"),MATCH("*"&amp;M$54,F_RT14[#Headers],0))),IF(AND(_xlpm.x=0,_xlpm.y&lt;&gt;0),-1,IF(AND(_xlpm.x&lt;&gt;0,_xlpm.y&lt;&gt;0),_xlpm.x,IF(AND(_xlpm.x-SUM(IF((INDIRECT($B$3)=$B241)*(INDIRECT($C$3)=$D241)*((INDIRECT($E$3)="TOTS")+(INDIRECT($E$3)=$E241)),INDIRECT(M$3)))&lt;&gt;0,_xlpm.y=0),-2,_xlpm.x)))),0))</f>
        <v>0</v>
      </c>
      <c r="N241" s="199" cm="1">
        <f t="array" aca="1" ref="N241" ca="1">IF(OR($B241="",$B241="X",$D241="",$D241="X",$E241="",$E241="X"),0,IFERROR(_xlfn.LET(_xlpm.x,SUM(SUM(_xlfn._xlws.FILTER(VALUE(PptoSty[Sign]&amp;1)*(1/PptoSty[Division]),(PptoSty[Division]&lt;&gt;0)*(PptoSty[Division]&lt;&gt;"")*(PptoSty[Division]&lt;&gt;"X")*(PptoSty[Project]=$B241)*(PptoSty[Vrs]=$D241)*(PptoSty[PiRow]=_xlfn.TEXTAFTER($H241,":"))*(PptoSty[PiColumn]=N$54),0)),SUM(IF((INDIRECT($B$3)=$B241)*(INDIRECT($C$3)=$D241)*((INDIRECT($E$3)="TOTS")+(INDIRECT($E$3)=$E241)),INDIRECT(N$3)))),_xlpm.y,SUM(_xlfn.CHOOSECOLS(_xlfn._xlws.FILTER(F_RT14[],(F_RT14[PrjId]=$B241)*(F_RT14[Vrs]=$D241)*(_xlfn.TEXTAFTER(F_RT14[ActGrp],":")=_xlfn.TEXTAFTER($H241,":")),"X"),MATCH("*"&amp;N$54,F_RT14[#Headers],0))),IF(AND(_xlpm.x=0,_xlpm.y&lt;&gt;0),-1,IF(AND(_xlpm.x&lt;&gt;0,_xlpm.y&lt;&gt;0),_xlpm.x,IF(AND(_xlpm.x-SUM(IF((INDIRECT($B$3)=$B241)*(INDIRECT($C$3)=$D241)*((INDIRECT($E$3)="TOTS")+(INDIRECT($E$3)=$E241)),INDIRECT(N$3)))&lt;&gt;0,_xlpm.y=0),-2,_xlpm.x)))),0))</f>
        <v>0</v>
      </c>
      <c r="O241" s="199" cm="1">
        <f t="array" aca="1" ref="O241" ca="1">IF(OR($B241="",$B241="X",$D241="",$D241="X",$E241="",$E241="X"),0,IFERROR(_xlfn.LET(_xlpm.x,SUM(SUM(_xlfn._xlws.FILTER(VALUE(PptoSty[Sign]&amp;1)*(1/PptoSty[Division]),(PptoSty[Division]&lt;&gt;0)*(PptoSty[Division]&lt;&gt;"")*(PptoSty[Division]&lt;&gt;"X")*(PptoSty[Project]=$B241)*(PptoSty[Vrs]=$D241)*(PptoSty[PiRow]=_xlfn.TEXTAFTER($H241,":"))*(PptoSty[PiColumn]=O$54),0)),SUM(IF((INDIRECT($B$3)=$B241)*(INDIRECT($C$3)=$D241)*((INDIRECT($E$3)="TOTS")+(INDIRECT($E$3)=$E241)),INDIRECT(O$3)))),_xlpm.y,SUM(_xlfn.CHOOSECOLS(_xlfn._xlws.FILTER(F_RT14[],(F_RT14[PrjId]=$B241)*(F_RT14[Vrs]=$D241)*(_xlfn.TEXTAFTER(F_RT14[ActGrp],":")=_xlfn.TEXTAFTER($H241,":")),"X"),MATCH("*"&amp;O$54,F_RT14[#Headers],0))),IF(AND(_xlpm.x=0,_xlpm.y&lt;&gt;0),-1,IF(AND(_xlpm.x&lt;&gt;0,_xlpm.y&lt;&gt;0),_xlpm.x,IF(AND(_xlpm.x-SUM(IF((INDIRECT($B$3)=$B241)*(INDIRECT($C$3)=$D241)*((INDIRECT($E$3)="TOTS")+(INDIRECT($E$3)=$E241)),INDIRECT(O$3)))&lt;&gt;0,_xlpm.y=0),-2,_xlpm.x)))),0))</f>
        <v>0</v>
      </c>
      <c r="P241" s="199" cm="1">
        <f t="array" aca="1" ref="P241" ca="1">IF(OR($B241="",$B241="X",$D241="",$D241="X",$E241="",$E241="X"),0,IFERROR(_xlfn.LET(_xlpm.x,SUM(SUM(_xlfn._xlws.FILTER(VALUE(PptoSty[Sign]&amp;1)*(1/PptoSty[Division]),(PptoSty[Division]&lt;&gt;0)*(PptoSty[Division]&lt;&gt;"")*(PptoSty[Division]&lt;&gt;"X")*(PptoSty[Project]=$B241)*(PptoSty[Vrs]=$D241)*(PptoSty[PiRow]=_xlfn.TEXTAFTER($H241,":"))*(PptoSty[PiColumn]=P$54),0)),SUM(IF((INDIRECT($B$3)=$B241)*(INDIRECT($C$3)=$D241)*((INDIRECT($E$3)="TOTS")+(INDIRECT($E$3)=$E241)),INDIRECT(P$3)))),_xlpm.y,SUM(_xlfn.CHOOSECOLS(_xlfn._xlws.FILTER(F_RT14[],(F_RT14[PrjId]=$B241)*(F_RT14[Vrs]=$D241)*(_xlfn.TEXTAFTER(F_RT14[ActGrp],":")=_xlfn.TEXTAFTER($H241,":")),"X"),MATCH("*"&amp;P$54,F_RT14[#Headers],0))),IF(AND(_xlpm.x=0,_xlpm.y&lt;&gt;0),-1,IF(AND(_xlpm.x&lt;&gt;0,_xlpm.y&lt;&gt;0),_xlpm.x,IF(AND(_xlpm.x-SUM(IF((INDIRECT($B$3)=$B241)*(INDIRECT($C$3)=$D241)*((INDIRECT($E$3)="TOTS")+(INDIRECT($E$3)=$E241)),INDIRECT(P$3)))&lt;&gt;0,_xlpm.y=0),-2,_xlpm.x)))),0))</f>
        <v>0</v>
      </c>
      <c r="Q241" s="199" cm="1">
        <f t="array" aca="1" ref="Q241" ca="1">IF(OR($B241="",$B241="X",$D241="",$D241="X",$E241="",$E241="X"),0,IFERROR(_xlfn.LET(_xlpm.x,SUM(SUM(_xlfn._xlws.FILTER(VALUE(PptoSty[Sign]&amp;1)*(1/PptoSty[Division]),(PptoSty[Division]&lt;&gt;0)*(PptoSty[Division]&lt;&gt;"")*(PptoSty[Division]&lt;&gt;"X")*(PptoSty[Project]=$B241)*(PptoSty[Vrs]=$D241)*(PptoSty[PiRow]=_xlfn.TEXTAFTER($H241,":"))*(PptoSty[PiColumn]=Q$54),0)),SUM(IF((INDIRECT($B$3)=$B241)*(INDIRECT($C$3)=$D241)*((INDIRECT($E$3)="TOTS")+(INDIRECT($E$3)=$E241)),INDIRECT(Q$3)))),_xlpm.y,SUM(_xlfn.CHOOSECOLS(_xlfn._xlws.FILTER(F_RT14[],(F_RT14[PrjId]=$B241)*(F_RT14[Vrs]=$D241)*(_xlfn.TEXTAFTER(F_RT14[ActGrp],":")=_xlfn.TEXTAFTER($H241,":")),"X"),MATCH("*"&amp;Q$54,F_RT14[#Headers],0))),IF(AND(_xlpm.x=0,_xlpm.y&lt;&gt;0),-1,IF(AND(_xlpm.x&lt;&gt;0,_xlpm.y&lt;&gt;0),_xlpm.x,IF(AND(_xlpm.x-SUM(IF((INDIRECT($B$3)=$B241)*(INDIRECT($C$3)=$D241)*((INDIRECT($E$3)="TOTS")+(INDIRECT($E$3)=$E241)),INDIRECT(Q$3)))&lt;&gt;0,_xlpm.y=0),-2,_xlpm.x)))),0))</f>
        <v>0</v>
      </c>
      <c r="R241" s="199" cm="1">
        <f t="array" aca="1" ref="R241" ca="1">IF(OR($B241="",$B241="X",$D241="",$D241="X",$E241="",$E241="X"),0,IFERROR(_xlfn.LET(_xlpm.x,SUM(SUM(_xlfn._xlws.FILTER(VALUE(PptoSty[Sign]&amp;1)*(1/PptoSty[Division]),(PptoSty[Division]&lt;&gt;0)*(PptoSty[Division]&lt;&gt;"")*(PptoSty[Division]&lt;&gt;"X")*(PptoSty[Project]=$B241)*(PptoSty[Vrs]=$D241)*(PptoSty[PiRow]=_xlfn.TEXTAFTER($H241,":"))*(PptoSty[PiColumn]=R$54),0)),SUM(IF((INDIRECT($B$3)=$B241)*(INDIRECT($C$3)=$D241)*((INDIRECT($E$3)="TOTS")+(INDIRECT($E$3)=$E241)),INDIRECT(R$3)))),_xlpm.y,SUM(_xlfn.CHOOSECOLS(_xlfn._xlws.FILTER(F_RT14[],(F_RT14[PrjId]=$B241)*(F_RT14[Vrs]=$D241)*(_xlfn.TEXTAFTER(F_RT14[ActGrp],":")=_xlfn.TEXTAFTER($H241,":")),"X"),MATCH("*"&amp;R$54,F_RT14[#Headers],0))),IF(AND(_xlpm.x=0,_xlpm.y&lt;&gt;0),-1,IF(AND(_xlpm.x&lt;&gt;0,_xlpm.y&lt;&gt;0),_xlpm.x,IF(AND(_xlpm.x-SUM(IF((INDIRECT($B$3)=$B241)*(INDIRECT($C$3)=$D241)*((INDIRECT($E$3)="TOTS")+(INDIRECT($E$3)=$E241)),INDIRECT(R$3)))&lt;&gt;0,_xlpm.y=0),-2,_xlpm.x)))),0))</f>
        <v>0</v>
      </c>
      <c r="S241" s="199" cm="1">
        <f t="array" aca="1" ref="S241" ca="1">IF(OR($B241="",$B241="X",$D241="",$D241="X",$E241="",$E241="X"),0,IFERROR(_xlfn.LET(_xlpm.x,SUM(SUM(_xlfn._xlws.FILTER(VALUE(PptoSty[Sign]&amp;1)*(1/PptoSty[Division]),(PptoSty[Division]&lt;&gt;0)*(PptoSty[Division]&lt;&gt;"")*(PptoSty[Division]&lt;&gt;"X")*(PptoSty[Project]=$B241)*(PptoSty[Vrs]=$D241)*(PptoSty[PiRow]=_xlfn.TEXTAFTER($H241,":"))*(PptoSty[PiColumn]=S$54),0)),SUM(IF((INDIRECT($B$3)=$B241)*(INDIRECT($C$3)=$D241)*((INDIRECT($E$3)="TOTS")+(INDIRECT($E$3)=$E241)),INDIRECT(S$3)))),_xlpm.y,SUM(_xlfn.CHOOSECOLS(_xlfn._xlws.FILTER(F_RT14[],(F_RT14[PrjId]=$B241)*(F_RT14[Vrs]=$D241)*(_xlfn.TEXTAFTER(F_RT14[ActGrp],":")=_xlfn.TEXTAFTER($H241,":")),"X"),MATCH("*"&amp;S$54,F_RT14[#Headers],0))),IF(AND(_xlpm.x=0,_xlpm.y&lt;&gt;0),-1,IF(AND(_xlpm.x&lt;&gt;0,_xlpm.y&lt;&gt;0),_xlpm.x,IF(AND(_xlpm.x-SUM(IF((INDIRECT($B$3)=$B241)*(INDIRECT($C$3)=$D241)*((INDIRECT($E$3)="TOTS")+(INDIRECT($E$3)=$E241)),INDIRECT(S$3)))&lt;&gt;0,_xlpm.y=0),-2,_xlpm.x)))),0))</f>
        <v>0</v>
      </c>
      <c r="T241" s="199" cm="1">
        <f t="array" aca="1" ref="T241" ca="1">IF(OR($B241="",$B241="X",$D241="",$D241="X",$E241="",$E241="X"),0,IFERROR(_xlfn.LET(_xlpm.x,SUM(SUM(_xlfn._xlws.FILTER(VALUE(PptoSty[Sign]&amp;1)*(1/PptoSty[Division]),(PptoSty[Division]&lt;&gt;0)*(PptoSty[Division]&lt;&gt;"")*(PptoSty[Division]&lt;&gt;"X")*(PptoSty[Project]=$B241)*(PptoSty[Vrs]=$D241)*(PptoSty[PiRow]=_xlfn.TEXTAFTER($H241,":"))*(PptoSty[PiColumn]=T$54),0)),SUM(IF((INDIRECT($B$3)=$B241)*(INDIRECT($C$3)=$D241)*((INDIRECT($E$3)="TOTS")+(INDIRECT($E$3)=$E241)),INDIRECT(T$3)))),_xlpm.y,SUM(_xlfn.CHOOSECOLS(_xlfn._xlws.FILTER(F_RT14[],(F_RT14[PrjId]=$B241)*(F_RT14[Vrs]=$D241)*(_xlfn.TEXTAFTER(F_RT14[ActGrp],":")=_xlfn.TEXTAFTER($H241,":")),"X"),MATCH("*"&amp;T$54,F_RT14[#Headers],0))),IF(AND(_xlpm.x=0,_xlpm.y&lt;&gt;0),-1,IF(AND(_xlpm.x&lt;&gt;0,_xlpm.y&lt;&gt;0),_xlpm.x,IF(AND(_xlpm.x-SUM(IF((INDIRECT($B$3)=$B241)*(INDIRECT($C$3)=$D241)*((INDIRECT($E$3)="TOTS")+(INDIRECT($E$3)=$E241)),INDIRECT(T$3)))&lt;&gt;0,_xlpm.y=0),-2,_xlpm.x)))),0))</f>
        <v>0</v>
      </c>
      <c r="U241" s="199" cm="1">
        <f t="array" aca="1" ref="U241" ca="1">IF(OR($B241="",$B241="X",$D241="",$D241="X",$E241="",$E241="X"),0,IFERROR(_xlfn.LET(_xlpm.x,SUM(SUM(_xlfn._xlws.FILTER(VALUE(PptoSty[Sign]&amp;1)*(1/PptoSty[Division]),(PptoSty[Division]&lt;&gt;0)*(PptoSty[Division]&lt;&gt;"")*(PptoSty[Division]&lt;&gt;"X")*(PptoSty[Project]=$B241)*(PptoSty[Vrs]=$D241)*(PptoSty[PiRow]=_xlfn.TEXTAFTER($H241,":"))*(PptoSty[PiColumn]=U$54),0)),SUM(IF((INDIRECT($B$3)=$B241)*(INDIRECT($C$3)=$D241)*((INDIRECT($E$3)="TOTS")+(INDIRECT($E$3)=$E241)),INDIRECT(U$3)))),_xlpm.y,SUM(_xlfn.CHOOSECOLS(_xlfn._xlws.FILTER(F_RT14[],(F_RT14[PrjId]=$B241)*(F_RT14[Vrs]=$D241)*(_xlfn.TEXTAFTER(F_RT14[ActGrp],":")=_xlfn.TEXTAFTER($H241,":")),"X"),MATCH("*"&amp;U$54,F_RT14[#Headers],0))),IF(AND(_xlpm.x=0,_xlpm.y&lt;&gt;0),-1,IF(AND(_xlpm.x&lt;&gt;0,_xlpm.y&lt;&gt;0),_xlpm.x,IF(AND(_xlpm.x-SUM(IF((INDIRECT($B$3)=$B241)*(INDIRECT($C$3)=$D241)*((INDIRECT($E$3)="TOTS")+(INDIRECT($E$3)=$E241)),INDIRECT(U$3)))&lt;&gt;0,_xlpm.y=0),-2,_xlpm.x)))),0))</f>
        <v>0</v>
      </c>
      <c r="V241" s="199" cm="1">
        <f t="array" aca="1" ref="V241" ca="1">IF(OR($B241="",$B241="X",$D241="",$D241="X",$E241="",$E241="X"),0,IFERROR(_xlfn.LET(_xlpm.x,SUM(SUM(_xlfn._xlws.FILTER(VALUE(PptoSty[Sign]&amp;1)*(1/PptoSty[Division]),(PptoSty[Division]&lt;&gt;0)*(PptoSty[Division]&lt;&gt;"")*(PptoSty[Division]&lt;&gt;"X")*(PptoSty[Project]=$B241)*(PptoSty[Vrs]=$D241)*(PptoSty[PiRow]=_xlfn.TEXTAFTER($H241,":"))*(PptoSty[PiColumn]=V$54),0)),SUM(IF((INDIRECT($B$3)=$B241)*(INDIRECT($C$3)=$D241)*((INDIRECT($E$3)="TOTS")+(INDIRECT($E$3)=$E241)),INDIRECT(V$3)))),_xlpm.y,SUM(_xlfn.CHOOSECOLS(_xlfn._xlws.FILTER(F_RT14[],(F_RT14[PrjId]=$B241)*(F_RT14[Vrs]=$D241)*(_xlfn.TEXTAFTER(F_RT14[ActGrp],":")=_xlfn.TEXTAFTER($H241,":")),"X"),MATCH("*"&amp;V$54,F_RT14[#Headers],0))),IF(AND(_xlpm.x=0,_xlpm.y&lt;&gt;0),-1,IF(AND(_xlpm.x&lt;&gt;0,_xlpm.y&lt;&gt;0),_xlpm.x,IF(AND(_xlpm.x-SUM(IF((INDIRECT($B$3)=$B241)*(INDIRECT($C$3)=$D241)*((INDIRECT($E$3)="TOTS")+(INDIRECT($E$3)=$E241)),INDIRECT(V$3)))&lt;&gt;0,_xlpm.y=0),-2,_xlpm.x)))),0))</f>
        <v>0</v>
      </c>
      <c r="W241" s="199" cm="1">
        <f t="array" aca="1" ref="W241" ca="1">IF(OR($B241="",$B241="X",$D241="",$D241="X",$E241="",$E241="X"),0,IFERROR(_xlfn.LET(_xlpm.x,SUM(SUM(_xlfn._xlws.FILTER(VALUE(PptoSty[Sign]&amp;1)*(1/PptoSty[Division]),(PptoSty[Division]&lt;&gt;0)*(PptoSty[Division]&lt;&gt;"")*(PptoSty[Division]&lt;&gt;"X")*(PptoSty[Project]=$B241)*(PptoSty[Vrs]=$D241)*(PptoSty[PiRow]=_xlfn.TEXTAFTER($H241,":"))*(PptoSty[PiColumn]=W$54),0)),SUM(IF((INDIRECT($B$3)=$B241)*(INDIRECT($C$3)=$D241)*((INDIRECT($E$3)="TOTS")+(INDIRECT($E$3)=$E241)),INDIRECT(W$3)))),_xlpm.y,SUM(_xlfn.CHOOSECOLS(_xlfn._xlws.FILTER(F_RT14[],(F_RT14[PrjId]=$B241)*(F_RT14[Vrs]=$D241)*(_xlfn.TEXTAFTER(F_RT14[ActGrp],":")=_xlfn.TEXTAFTER($H241,":")),"X"),MATCH("*"&amp;W$54,F_RT14[#Headers],0))),IF(AND(_xlpm.x=0,_xlpm.y&lt;&gt;0),-1,IF(AND(_xlpm.x&lt;&gt;0,_xlpm.y&lt;&gt;0),_xlpm.x,IF(AND(_xlpm.x-SUM(IF((INDIRECT($B$3)=$B241)*(INDIRECT($C$3)=$D241)*((INDIRECT($E$3)="TOTS")+(INDIRECT($E$3)=$E241)),INDIRECT(W$3)))&lt;&gt;0,_xlpm.y=0),-2,_xlpm.x)))),0))</f>
        <v>0</v>
      </c>
      <c r="X241" s="199" cm="1">
        <f t="array" aca="1" ref="X241" ca="1">IF(OR($B241="",$B241="X",$D241="",$D241="X",$E241="",$E241="X"),0,IFERROR(_xlfn.LET(_xlpm.x,SUM(SUM(_xlfn._xlws.FILTER(VALUE(PptoSty[Sign]&amp;1)*(1/PptoSty[Division]),(PptoSty[Division]&lt;&gt;0)*(PptoSty[Division]&lt;&gt;"")*(PptoSty[Division]&lt;&gt;"X")*(PptoSty[Project]=$B241)*(PptoSty[Vrs]=$D241)*(PptoSty[PiRow]=_xlfn.TEXTAFTER($H241,":"))*(PptoSty[PiColumn]=X$54),0)),SUM(IF((INDIRECT($B$3)=$B241)*(INDIRECT($C$3)=$D241)*((INDIRECT($E$3)="TOTS")+(INDIRECT($E$3)=$E241)),INDIRECT(X$3)))),_xlpm.y,SUM(_xlfn.CHOOSECOLS(_xlfn._xlws.FILTER(F_RT14[],(F_RT14[PrjId]=$B241)*(F_RT14[Vrs]=$D241)*(_xlfn.TEXTAFTER(F_RT14[ActGrp],":")=_xlfn.TEXTAFTER($H241,":")),"X"),MATCH("*"&amp;X$54,F_RT14[#Headers],0))),IF(AND(_xlpm.x=0,_xlpm.y&lt;&gt;0),-1,IF(AND(_xlpm.x&lt;&gt;0,_xlpm.y&lt;&gt;0),_xlpm.x,IF(AND(_xlpm.x-SUM(IF((INDIRECT($B$3)=$B241)*(INDIRECT($C$3)=$D241)*((INDIRECT($E$3)="TOTS")+(INDIRECT($E$3)=$E241)),INDIRECT(X$3)))&lt;&gt;0,_xlpm.y=0),-2,_xlpm.x)))),0))</f>
        <v>0</v>
      </c>
      <c r="Y241" s="199" cm="1">
        <f t="array" aca="1" ref="Y241" ca="1">IF(OR($B241="",$B241="X",$D241="",$D241="X",$E241="",$E241="X"),0,IFERROR(_xlfn.LET(_xlpm.x,SUM(SUM(_xlfn._xlws.FILTER(VALUE(PptoSty[Sign]&amp;1)*(1/PptoSty[Division]),(PptoSty[Division]&lt;&gt;0)*(PptoSty[Division]&lt;&gt;"")*(PptoSty[Division]&lt;&gt;"X")*(PptoSty[Project]=$B241)*(PptoSty[Vrs]=$D241)*(PptoSty[PiRow]=_xlfn.TEXTAFTER($H241,":"))*(PptoSty[PiColumn]=Y$54),0)),SUM(IF((INDIRECT($B$3)=$B241)*(INDIRECT($C$3)=$D241)*((INDIRECT($E$3)="TOTS")+(INDIRECT($E$3)=$E241)),INDIRECT(Y$3)))),_xlpm.y,SUM(_xlfn.CHOOSECOLS(_xlfn._xlws.FILTER(F_RT14[],(F_RT14[PrjId]=$B241)*(F_RT14[Vrs]=$D241)*(_xlfn.TEXTAFTER(F_RT14[ActGrp],":")=_xlfn.TEXTAFTER($H241,":")),"X"),MATCH("*"&amp;Y$54,F_RT14[#Headers],0))),IF(AND(_xlpm.x=0,_xlpm.y&lt;&gt;0),-1,IF(AND(_xlpm.x&lt;&gt;0,_xlpm.y&lt;&gt;0),_xlpm.x,IF(AND(_xlpm.x-SUM(IF((INDIRECT($B$3)=$B241)*(INDIRECT($C$3)=$D241)*((INDIRECT($E$3)="TOTS")+(INDIRECT($E$3)=$E241)),INDIRECT(Y$3)))&lt;&gt;0,_xlpm.y=0),-2,_xlpm.x)))),0))</f>
        <v>0</v>
      </c>
      <c r="Z241" s="198" t="str">
        <f t="shared" ca="1" si="4"/>
        <v>Fback!B241:Y241</v>
      </c>
    </row>
    <row r="242" spans="1:27" ht="21" customHeight="1" outlineLevel="1">
      <c r="B242" s="128"/>
      <c r="C242" s="128"/>
      <c r="D242" s="128"/>
      <c r="E242" s="128"/>
      <c r="F242" s="139"/>
      <c r="G242" s="139"/>
      <c r="H242" s="139"/>
      <c r="I242" s="199" cm="1">
        <f t="array" aca="1" ref="I242" ca="1">IF(OR($B242="",$B242="X",$D242="",$D242="X",$E242="",$E242="X"),0,IFERROR(_xlfn.LET(_xlpm.x,SUM(SUM(_xlfn._xlws.FILTER(VALUE(PptoSty[Sign]&amp;1)*(1/PptoSty[Division]),(PptoSty[Division]&lt;&gt;0)*(PptoSty[Division]&lt;&gt;"")*(PptoSty[Division]&lt;&gt;"X")*(PptoSty[Project]=$B242)*(PptoSty[Vrs]=$D242)*(PptoSty[PiRow]=_xlfn.TEXTAFTER($H242,":"))*(PptoSty[PiColumn]=I$54),0)),SUM(IF((INDIRECT($B$3)=$B242)*(INDIRECT($C$3)=$D242)*((INDIRECT($E$3)="TOTS")+(INDIRECT($E$3)=$E242)),INDIRECT(I$3)))),_xlpm.y,SUM(_xlfn.CHOOSECOLS(_xlfn._xlws.FILTER(F_RT14[],(F_RT14[PrjId]=$B242)*(F_RT14[Vrs]=$D242)*(_xlfn.TEXTAFTER(F_RT14[ActGrp],":")=_xlfn.TEXTAFTER($H242,":")),"X"),MATCH("*"&amp;I$54,F_RT14[#Headers],0))),IF(AND(_xlpm.x=0,_xlpm.y&lt;&gt;0),-1,IF(AND(_xlpm.x&lt;&gt;0,_xlpm.y&lt;&gt;0),_xlpm.x,IF(AND(_xlpm.x-SUM(IF((INDIRECT($B$3)=$B242)*(INDIRECT($C$3)=$D242)*((INDIRECT($E$3)="TOTS")+(INDIRECT($E$3)=$E242)),INDIRECT(I$3)))&lt;&gt;0,_xlpm.y=0),-2,_xlpm.x)))),0))</f>
        <v>0</v>
      </c>
      <c r="J242" s="199" cm="1">
        <f t="array" aca="1" ref="J242" ca="1">IF(OR($B242="",$B242="X",$D242="",$D242="X",$E242="",$E242="X"),0,IFERROR(_xlfn.LET(_xlpm.x,SUM(SUM(_xlfn._xlws.FILTER(VALUE(PptoSty[Sign]&amp;1)*(1/PptoSty[Division]),(PptoSty[Division]&lt;&gt;0)*(PptoSty[Division]&lt;&gt;"")*(PptoSty[Division]&lt;&gt;"X")*(PptoSty[Project]=$B242)*(PptoSty[Vrs]=$D242)*(PptoSty[PiRow]=_xlfn.TEXTAFTER($H242,":"))*(PptoSty[PiColumn]=J$54),0)),SUM(IF((INDIRECT($B$3)=$B242)*(INDIRECT($C$3)=$D242)*((INDIRECT($E$3)="TOTS")+(INDIRECT($E$3)=$E242)),INDIRECT(J$3)))),_xlpm.y,SUM(_xlfn.CHOOSECOLS(_xlfn._xlws.FILTER(F_RT14[],(F_RT14[PrjId]=$B242)*(F_RT14[Vrs]=$D242)*(_xlfn.TEXTAFTER(F_RT14[ActGrp],":")=_xlfn.TEXTAFTER($H242,":")),"X"),MATCH("*"&amp;J$54,F_RT14[#Headers],0))),IF(AND(_xlpm.x=0,_xlpm.y&lt;&gt;0),-1,IF(AND(_xlpm.x&lt;&gt;0,_xlpm.y&lt;&gt;0),_xlpm.x,IF(AND(_xlpm.x-SUM(IF((INDIRECT($B$3)=$B242)*(INDIRECT($C$3)=$D242)*((INDIRECT($E$3)="TOTS")+(INDIRECT($E$3)=$E242)),INDIRECT(J$3)))&lt;&gt;0,_xlpm.y=0),-2,_xlpm.x)))),0))</f>
        <v>0</v>
      </c>
      <c r="K242" s="199" cm="1">
        <f t="array" aca="1" ref="K242" ca="1">IF(OR($B242="",$B242="X",$D242="",$D242="X",$E242="",$E242="X"),0,IFERROR(_xlfn.LET(_xlpm.x,SUM(SUM(_xlfn._xlws.FILTER(VALUE(PptoSty[Sign]&amp;1)*(1/PptoSty[Division]),(PptoSty[Division]&lt;&gt;0)*(PptoSty[Division]&lt;&gt;"")*(PptoSty[Division]&lt;&gt;"X")*(PptoSty[Project]=$B242)*(PptoSty[Vrs]=$D242)*(PptoSty[PiRow]=_xlfn.TEXTAFTER($H242,":"))*(PptoSty[PiColumn]=K$54),0)),SUM(IF((INDIRECT($B$3)=$B242)*(INDIRECT($C$3)=$D242)*((INDIRECT($E$3)="TOTS")+(INDIRECT($E$3)=$E242)),INDIRECT(K$3)))),_xlpm.y,SUM(_xlfn.CHOOSECOLS(_xlfn._xlws.FILTER(F_RT14[],(F_RT14[PrjId]=$B242)*(F_RT14[Vrs]=$D242)*(_xlfn.TEXTAFTER(F_RT14[ActGrp],":")=_xlfn.TEXTAFTER($H242,":")),"X"),MATCH("*"&amp;K$54,F_RT14[#Headers],0))),IF(AND(_xlpm.x=0,_xlpm.y&lt;&gt;0),-1,IF(AND(_xlpm.x&lt;&gt;0,_xlpm.y&lt;&gt;0),_xlpm.x,IF(AND(_xlpm.x-SUM(IF((INDIRECT($B$3)=$B242)*(INDIRECT($C$3)=$D242)*((INDIRECT($E$3)="TOTS")+(INDIRECT($E$3)=$E242)),INDIRECT(K$3)))&lt;&gt;0,_xlpm.y=0),-2,_xlpm.x)))),0))</f>
        <v>0</v>
      </c>
      <c r="L242" s="199" cm="1">
        <f t="array" aca="1" ref="L242" ca="1">IF(OR($B242="",$B242="X",$D242="",$D242="X",$E242="",$E242="X"),0,IFERROR(_xlfn.LET(_xlpm.x,SUM(SUM(_xlfn._xlws.FILTER(VALUE(PptoSty[Sign]&amp;1)*(1/PptoSty[Division]),(PptoSty[Division]&lt;&gt;0)*(PptoSty[Division]&lt;&gt;"")*(PptoSty[Division]&lt;&gt;"X")*(PptoSty[Project]=$B242)*(PptoSty[Vrs]=$D242)*(PptoSty[PiRow]=_xlfn.TEXTAFTER($H242,":"))*(PptoSty[PiColumn]=L$54),0)),SUM(IF((INDIRECT($B$3)=$B242)*(INDIRECT($C$3)=$D242)*((INDIRECT($E$3)="TOTS")+(INDIRECT($E$3)=$E242)),INDIRECT(L$3)))),_xlpm.y,SUM(_xlfn.CHOOSECOLS(_xlfn._xlws.FILTER(F_RT14[],(F_RT14[PrjId]=$B242)*(F_RT14[Vrs]=$D242)*(_xlfn.TEXTAFTER(F_RT14[ActGrp],":")=_xlfn.TEXTAFTER($H242,":")),"X"),MATCH("*"&amp;L$54,F_RT14[#Headers],0))),IF(AND(_xlpm.x=0,_xlpm.y&lt;&gt;0),-1,IF(AND(_xlpm.x&lt;&gt;0,_xlpm.y&lt;&gt;0),_xlpm.x,IF(AND(_xlpm.x-SUM(IF((INDIRECT($B$3)=$B242)*(INDIRECT($C$3)=$D242)*((INDIRECT($E$3)="TOTS")+(INDIRECT($E$3)=$E242)),INDIRECT(L$3)))&lt;&gt;0,_xlpm.y=0),-2,_xlpm.x)))),0))</f>
        <v>0</v>
      </c>
      <c r="M242" s="199" cm="1">
        <f t="array" aca="1" ref="M242" ca="1">IF(OR($B242="",$B242="X",$D242="",$D242="X",$E242="",$E242="X"),0,IFERROR(_xlfn.LET(_xlpm.x,SUM(SUM(_xlfn._xlws.FILTER(VALUE(PptoSty[Sign]&amp;1)*(1/PptoSty[Division]),(PptoSty[Division]&lt;&gt;0)*(PptoSty[Division]&lt;&gt;"")*(PptoSty[Division]&lt;&gt;"X")*(PptoSty[Project]=$B242)*(PptoSty[Vrs]=$D242)*(PptoSty[PiRow]=_xlfn.TEXTAFTER($H242,":"))*(PptoSty[PiColumn]=M$54),0)),SUM(IF((INDIRECT($B$3)=$B242)*(INDIRECT($C$3)=$D242)*((INDIRECT($E$3)="TOTS")+(INDIRECT($E$3)=$E242)),INDIRECT(M$3)))),_xlpm.y,SUM(_xlfn.CHOOSECOLS(_xlfn._xlws.FILTER(F_RT14[],(F_RT14[PrjId]=$B242)*(F_RT14[Vrs]=$D242)*(_xlfn.TEXTAFTER(F_RT14[ActGrp],":")=_xlfn.TEXTAFTER($H242,":")),"X"),MATCH("*"&amp;M$54,F_RT14[#Headers],0))),IF(AND(_xlpm.x=0,_xlpm.y&lt;&gt;0),-1,IF(AND(_xlpm.x&lt;&gt;0,_xlpm.y&lt;&gt;0),_xlpm.x,IF(AND(_xlpm.x-SUM(IF((INDIRECT($B$3)=$B242)*(INDIRECT($C$3)=$D242)*((INDIRECT($E$3)="TOTS")+(INDIRECT($E$3)=$E242)),INDIRECT(M$3)))&lt;&gt;0,_xlpm.y=0),-2,_xlpm.x)))),0))</f>
        <v>0</v>
      </c>
      <c r="N242" s="199" cm="1">
        <f t="array" aca="1" ref="N242" ca="1">IF(OR($B242="",$B242="X",$D242="",$D242="X",$E242="",$E242="X"),0,IFERROR(_xlfn.LET(_xlpm.x,SUM(SUM(_xlfn._xlws.FILTER(VALUE(PptoSty[Sign]&amp;1)*(1/PptoSty[Division]),(PptoSty[Division]&lt;&gt;0)*(PptoSty[Division]&lt;&gt;"")*(PptoSty[Division]&lt;&gt;"X")*(PptoSty[Project]=$B242)*(PptoSty[Vrs]=$D242)*(PptoSty[PiRow]=_xlfn.TEXTAFTER($H242,":"))*(PptoSty[PiColumn]=N$54),0)),SUM(IF((INDIRECT($B$3)=$B242)*(INDIRECT($C$3)=$D242)*((INDIRECT($E$3)="TOTS")+(INDIRECT($E$3)=$E242)),INDIRECT(N$3)))),_xlpm.y,SUM(_xlfn.CHOOSECOLS(_xlfn._xlws.FILTER(F_RT14[],(F_RT14[PrjId]=$B242)*(F_RT14[Vrs]=$D242)*(_xlfn.TEXTAFTER(F_RT14[ActGrp],":")=_xlfn.TEXTAFTER($H242,":")),"X"),MATCH("*"&amp;N$54,F_RT14[#Headers],0))),IF(AND(_xlpm.x=0,_xlpm.y&lt;&gt;0),-1,IF(AND(_xlpm.x&lt;&gt;0,_xlpm.y&lt;&gt;0),_xlpm.x,IF(AND(_xlpm.x-SUM(IF((INDIRECT($B$3)=$B242)*(INDIRECT($C$3)=$D242)*((INDIRECT($E$3)="TOTS")+(INDIRECT($E$3)=$E242)),INDIRECT(N$3)))&lt;&gt;0,_xlpm.y=0),-2,_xlpm.x)))),0))</f>
        <v>0</v>
      </c>
      <c r="O242" s="199" cm="1">
        <f t="array" aca="1" ref="O242" ca="1">IF(OR($B242="",$B242="X",$D242="",$D242="X",$E242="",$E242="X"),0,IFERROR(_xlfn.LET(_xlpm.x,SUM(SUM(_xlfn._xlws.FILTER(VALUE(PptoSty[Sign]&amp;1)*(1/PptoSty[Division]),(PptoSty[Division]&lt;&gt;0)*(PptoSty[Division]&lt;&gt;"")*(PptoSty[Division]&lt;&gt;"X")*(PptoSty[Project]=$B242)*(PptoSty[Vrs]=$D242)*(PptoSty[PiRow]=_xlfn.TEXTAFTER($H242,":"))*(PptoSty[PiColumn]=O$54),0)),SUM(IF((INDIRECT($B$3)=$B242)*(INDIRECT($C$3)=$D242)*((INDIRECT($E$3)="TOTS")+(INDIRECT($E$3)=$E242)),INDIRECT(O$3)))),_xlpm.y,SUM(_xlfn.CHOOSECOLS(_xlfn._xlws.FILTER(F_RT14[],(F_RT14[PrjId]=$B242)*(F_RT14[Vrs]=$D242)*(_xlfn.TEXTAFTER(F_RT14[ActGrp],":")=_xlfn.TEXTAFTER($H242,":")),"X"),MATCH("*"&amp;O$54,F_RT14[#Headers],0))),IF(AND(_xlpm.x=0,_xlpm.y&lt;&gt;0),-1,IF(AND(_xlpm.x&lt;&gt;0,_xlpm.y&lt;&gt;0),_xlpm.x,IF(AND(_xlpm.x-SUM(IF((INDIRECT($B$3)=$B242)*(INDIRECT($C$3)=$D242)*((INDIRECT($E$3)="TOTS")+(INDIRECT($E$3)=$E242)),INDIRECT(O$3)))&lt;&gt;0,_xlpm.y=0),-2,_xlpm.x)))),0))</f>
        <v>0</v>
      </c>
      <c r="P242" s="199" cm="1">
        <f t="array" aca="1" ref="P242" ca="1">IF(OR($B242="",$B242="X",$D242="",$D242="X",$E242="",$E242="X"),0,IFERROR(_xlfn.LET(_xlpm.x,SUM(SUM(_xlfn._xlws.FILTER(VALUE(PptoSty[Sign]&amp;1)*(1/PptoSty[Division]),(PptoSty[Division]&lt;&gt;0)*(PptoSty[Division]&lt;&gt;"")*(PptoSty[Division]&lt;&gt;"X")*(PptoSty[Project]=$B242)*(PptoSty[Vrs]=$D242)*(PptoSty[PiRow]=_xlfn.TEXTAFTER($H242,":"))*(PptoSty[PiColumn]=P$54),0)),SUM(IF((INDIRECT($B$3)=$B242)*(INDIRECT($C$3)=$D242)*((INDIRECT($E$3)="TOTS")+(INDIRECT($E$3)=$E242)),INDIRECT(P$3)))),_xlpm.y,SUM(_xlfn.CHOOSECOLS(_xlfn._xlws.FILTER(F_RT14[],(F_RT14[PrjId]=$B242)*(F_RT14[Vrs]=$D242)*(_xlfn.TEXTAFTER(F_RT14[ActGrp],":")=_xlfn.TEXTAFTER($H242,":")),"X"),MATCH("*"&amp;P$54,F_RT14[#Headers],0))),IF(AND(_xlpm.x=0,_xlpm.y&lt;&gt;0),-1,IF(AND(_xlpm.x&lt;&gt;0,_xlpm.y&lt;&gt;0),_xlpm.x,IF(AND(_xlpm.x-SUM(IF((INDIRECT($B$3)=$B242)*(INDIRECT($C$3)=$D242)*((INDIRECT($E$3)="TOTS")+(INDIRECT($E$3)=$E242)),INDIRECT(P$3)))&lt;&gt;0,_xlpm.y=0),-2,_xlpm.x)))),0))</f>
        <v>0</v>
      </c>
      <c r="Q242" s="199" cm="1">
        <f t="array" aca="1" ref="Q242" ca="1">IF(OR($B242="",$B242="X",$D242="",$D242="X",$E242="",$E242="X"),0,IFERROR(_xlfn.LET(_xlpm.x,SUM(SUM(_xlfn._xlws.FILTER(VALUE(PptoSty[Sign]&amp;1)*(1/PptoSty[Division]),(PptoSty[Division]&lt;&gt;0)*(PptoSty[Division]&lt;&gt;"")*(PptoSty[Division]&lt;&gt;"X")*(PptoSty[Project]=$B242)*(PptoSty[Vrs]=$D242)*(PptoSty[PiRow]=_xlfn.TEXTAFTER($H242,":"))*(PptoSty[PiColumn]=Q$54),0)),SUM(IF((INDIRECT($B$3)=$B242)*(INDIRECT($C$3)=$D242)*((INDIRECT($E$3)="TOTS")+(INDIRECT($E$3)=$E242)),INDIRECT(Q$3)))),_xlpm.y,SUM(_xlfn.CHOOSECOLS(_xlfn._xlws.FILTER(F_RT14[],(F_RT14[PrjId]=$B242)*(F_RT14[Vrs]=$D242)*(_xlfn.TEXTAFTER(F_RT14[ActGrp],":")=_xlfn.TEXTAFTER($H242,":")),"X"),MATCH("*"&amp;Q$54,F_RT14[#Headers],0))),IF(AND(_xlpm.x=0,_xlpm.y&lt;&gt;0),-1,IF(AND(_xlpm.x&lt;&gt;0,_xlpm.y&lt;&gt;0),_xlpm.x,IF(AND(_xlpm.x-SUM(IF((INDIRECT($B$3)=$B242)*(INDIRECT($C$3)=$D242)*((INDIRECT($E$3)="TOTS")+(INDIRECT($E$3)=$E242)),INDIRECT(Q$3)))&lt;&gt;0,_xlpm.y=0),-2,_xlpm.x)))),0))</f>
        <v>0</v>
      </c>
      <c r="R242" s="199" cm="1">
        <f t="array" aca="1" ref="R242" ca="1">IF(OR($B242="",$B242="X",$D242="",$D242="X",$E242="",$E242="X"),0,IFERROR(_xlfn.LET(_xlpm.x,SUM(SUM(_xlfn._xlws.FILTER(VALUE(PptoSty[Sign]&amp;1)*(1/PptoSty[Division]),(PptoSty[Division]&lt;&gt;0)*(PptoSty[Division]&lt;&gt;"")*(PptoSty[Division]&lt;&gt;"X")*(PptoSty[Project]=$B242)*(PptoSty[Vrs]=$D242)*(PptoSty[PiRow]=_xlfn.TEXTAFTER($H242,":"))*(PptoSty[PiColumn]=R$54),0)),SUM(IF((INDIRECT($B$3)=$B242)*(INDIRECT($C$3)=$D242)*((INDIRECT($E$3)="TOTS")+(INDIRECT($E$3)=$E242)),INDIRECT(R$3)))),_xlpm.y,SUM(_xlfn.CHOOSECOLS(_xlfn._xlws.FILTER(F_RT14[],(F_RT14[PrjId]=$B242)*(F_RT14[Vrs]=$D242)*(_xlfn.TEXTAFTER(F_RT14[ActGrp],":")=_xlfn.TEXTAFTER($H242,":")),"X"),MATCH("*"&amp;R$54,F_RT14[#Headers],0))),IF(AND(_xlpm.x=0,_xlpm.y&lt;&gt;0),-1,IF(AND(_xlpm.x&lt;&gt;0,_xlpm.y&lt;&gt;0),_xlpm.x,IF(AND(_xlpm.x-SUM(IF((INDIRECT($B$3)=$B242)*(INDIRECT($C$3)=$D242)*((INDIRECT($E$3)="TOTS")+(INDIRECT($E$3)=$E242)),INDIRECT(R$3)))&lt;&gt;0,_xlpm.y=0),-2,_xlpm.x)))),0))</f>
        <v>0</v>
      </c>
      <c r="S242" s="199" cm="1">
        <f t="array" aca="1" ref="S242" ca="1">IF(OR($B242="",$B242="X",$D242="",$D242="X",$E242="",$E242="X"),0,IFERROR(_xlfn.LET(_xlpm.x,SUM(SUM(_xlfn._xlws.FILTER(VALUE(PptoSty[Sign]&amp;1)*(1/PptoSty[Division]),(PptoSty[Division]&lt;&gt;0)*(PptoSty[Division]&lt;&gt;"")*(PptoSty[Division]&lt;&gt;"X")*(PptoSty[Project]=$B242)*(PptoSty[Vrs]=$D242)*(PptoSty[PiRow]=_xlfn.TEXTAFTER($H242,":"))*(PptoSty[PiColumn]=S$54),0)),SUM(IF((INDIRECT($B$3)=$B242)*(INDIRECT($C$3)=$D242)*((INDIRECT($E$3)="TOTS")+(INDIRECT($E$3)=$E242)),INDIRECT(S$3)))),_xlpm.y,SUM(_xlfn.CHOOSECOLS(_xlfn._xlws.FILTER(F_RT14[],(F_RT14[PrjId]=$B242)*(F_RT14[Vrs]=$D242)*(_xlfn.TEXTAFTER(F_RT14[ActGrp],":")=_xlfn.TEXTAFTER($H242,":")),"X"),MATCH("*"&amp;S$54,F_RT14[#Headers],0))),IF(AND(_xlpm.x=0,_xlpm.y&lt;&gt;0),-1,IF(AND(_xlpm.x&lt;&gt;0,_xlpm.y&lt;&gt;0),_xlpm.x,IF(AND(_xlpm.x-SUM(IF((INDIRECT($B$3)=$B242)*(INDIRECT($C$3)=$D242)*((INDIRECT($E$3)="TOTS")+(INDIRECT($E$3)=$E242)),INDIRECT(S$3)))&lt;&gt;0,_xlpm.y=0),-2,_xlpm.x)))),0))</f>
        <v>0</v>
      </c>
      <c r="T242" s="199" cm="1">
        <f t="array" aca="1" ref="T242" ca="1">IF(OR($B242="",$B242="X",$D242="",$D242="X",$E242="",$E242="X"),0,IFERROR(_xlfn.LET(_xlpm.x,SUM(SUM(_xlfn._xlws.FILTER(VALUE(PptoSty[Sign]&amp;1)*(1/PptoSty[Division]),(PptoSty[Division]&lt;&gt;0)*(PptoSty[Division]&lt;&gt;"")*(PptoSty[Division]&lt;&gt;"X")*(PptoSty[Project]=$B242)*(PptoSty[Vrs]=$D242)*(PptoSty[PiRow]=_xlfn.TEXTAFTER($H242,":"))*(PptoSty[PiColumn]=T$54),0)),SUM(IF((INDIRECT($B$3)=$B242)*(INDIRECT($C$3)=$D242)*((INDIRECT($E$3)="TOTS")+(INDIRECT($E$3)=$E242)),INDIRECT(T$3)))),_xlpm.y,SUM(_xlfn.CHOOSECOLS(_xlfn._xlws.FILTER(F_RT14[],(F_RT14[PrjId]=$B242)*(F_RT14[Vrs]=$D242)*(_xlfn.TEXTAFTER(F_RT14[ActGrp],":")=_xlfn.TEXTAFTER($H242,":")),"X"),MATCH("*"&amp;T$54,F_RT14[#Headers],0))),IF(AND(_xlpm.x=0,_xlpm.y&lt;&gt;0),-1,IF(AND(_xlpm.x&lt;&gt;0,_xlpm.y&lt;&gt;0),_xlpm.x,IF(AND(_xlpm.x-SUM(IF((INDIRECT($B$3)=$B242)*(INDIRECT($C$3)=$D242)*((INDIRECT($E$3)="TOTS")+(INDIRECT($E$3)=$E242)),INDIRECT(T$3)))&lt;&gt;0,_xlpm.y=0),-2,_xlpm.x)))),0))</f>
        <v>0</v>
      </c>
      <c r="U242" s="199" cm="1">
        <f t="array" aca="1" ref="U242" ca="1">IF(OR($B242="",$B242="X",$D242="",$D242="X",$E242="",$E242="X"),0,IFERROR(_xlfn.LET(_xlpm.x,SUM(SUM(_xlfn._xlws.FILTER(VALUE(PptoSty[Sign]&amp;1)*(1/PptoSty[Division]),(PptoSty[Division]&lt;&gt;0)*(PptoSty[Division]&lt;&gt;"")*(PptoSty[Division]&lt;&gt;"X")*(PptoSty[Project]=$B242)*(PptoSty[Vrs]=$D242)*(PptoSty[PiRow]=_xlfn.TEXTAFTER($H242,":"))*(PptoSty[PiColumn]=U$54),0)),SUM(IF((INDIRECT($B$3)=$B242)*(INDIRECT($C$3)=$D242)*((INDIRECT($E$3)="TOTS")+(INDIRECT($E$3)=$E242)),INDIRECT(U$3)))),_xlpm.y,SUM(_xlfn.CHOOSECOLS(_xlfn._xlws.FILTER(F_RT14[],(F_RT14[PrjId]=$B242)*(F_RT14[Vrs]=$D242)*(_xlfn.TEXTAFTER(F_RT14[ActGrp],":")=_xlfn.TEXTAFTER($H242,":")),"X"),MATCH("*"&amp;U$54,F_RT14[#Headers],0))),IF(AND(_xlpm.x=0,_xlpm.y&lt;&gt;0),-1,IF(AND(_xlpm.x&lt;&gt;0,_xlpm.y&lt;&gt;0),_xlpm.x,IF(AND(_xlpm.x-SUM(IF((INDIRECT($B$3)=$B242)*(INDIRECT($C$3)=$D242)*((INDIRECT($E$3)="TOTS")+(INDIRECT($E$3)=$E242)),INDIRECT(U$3)))&lt;&gt;0,_xlpm.y=0),-2,_xlpm.x)))),0))</f>
        <v>0</v>
      </c>
      <c r="V242" s="199" cm="1">
        <f t="array" aca="1" ref="V242" ca="1">IF(OR($B242="",$B242="X",$D242="",$D242="X",$E242="",$E242="X"),0,IFERROR(_xlfn.LET(_xlpm.x,SUM(SUM(_xlfn._xlws.FILTER(VALUE(PptoSty[Sign]&amp;1)*(1/PptoSty[Division]),(PptoSty[Division]&lt;&gt;0)*(PptoSty[Division]&lt;&gt;"")*(PptoSty[Division]&lt;&gt;"X")*(PptoSty[Project]=$B242)*(PptoSty[Vrs]=$D242)*(PptoSty[PiRow]=_xlfn.TEXTAFTER($H242,":"))*(PptoSty[PiColumn]=V$54),0)),SUM(IF((INDIRECT($B$3)=$B242)*(INDIRECT($C$3)=$D242)*((INDIRECT($E$3)="TOTS")+(INDIRECT($E$3)=$E242)),INDIRECT(V$3)))),_xlpm.y,SUM(_xlfn.CHOOSECOLS(_xlfn._xlws.FILTER(F_RT14[],(F_RT14[PrjId]=$B242)*(F_RT14[Vrs]=$D242)*(_xlfn.TEXTAFTER(F_RT14[ActGrp],":")=_xlfn.TEXTAFTER($H242,":")),"X"),MATCH("*"&amp;V$54,F_RT14[#Headers],0))),IF(AND(_xlpm.x=0,_xlpm.y&lt;&gt;0),-1,IF(AND(_xlpm.x&lt;&gt;0,_xlpm.y&lt;&gt;0),_xlpm.x,IF(AND(_xlpm.x-SUM(IF((INDIRECT($B$3)=$B242)*(INDIRECT($C$3)=$D242)*((INDIRECT($E$3)="TOTS")+(INDIRECT($E$3)=$E242)),INDIRECT(V$3)))&lt;&gt;0,_xlpm.y=0),-2,_xlpm.x)))),0))</f>
        <v>0</v>
      </c>
      <c r="W242" s="199" cm="1">
        <f t="array" aca="1" ref="W242" ca="1">IF(OR($B242="",$B242="X",$D242="",$D242="X",$E242="",$E242="X"),0,IFERROR(_xlfn.LET(_xlpm.x,SUM(SUM(_xlfn._xlws.FILTER(VALUE(PptoSty[Sign]&amp;1)*(1/PptoSty[Division]),(PptoSty[Division]&lt;&gt;0)*(PptoSty[Division]&lt;&gt;"")*(PptoSty[Division]&lt;&gt;"X")*(PptoSty[Project]=$B242)*(PptoSty[Vrs]=$D242)*(PptoSty[PiRow]=_xlfn.TEXTAFTER($H242,":"))*(PptoSty[PiColumn]=W$54),0)),SUM(IF((INDIRECT($B$3)=$B242)*(INDIRECT($C$3)=$D242)*((INDIRECT($E$3)="TOTS")+(INDIRECT($E$3)=$E242)),INDIRECT(W$3)))),_xlpm.y,SUM(_xlfn.CHOOSECOLS(_xlfn._xlws.FILTER(F_RT14[],(F_RT14[PrjId]=$B242)*(F_RT14[Vrs]=$D242)*(_xlfn.TEXTAFTER(F_RT14[ActGrp],":")=_xlfn.TEXTAFTER($H242,":")),"X"),MATCH("*"&amp;W$54,F_RT14[#Headers],0))),IF(AND(_xlpm.x=0,_xlpm.y&lt;&gt;0),-1,IF(AND(_xlpm.x&lt;&gt;0,_xlpm.y&lt;&gt;0),_xlpm.x,IF(AND(_xlpm.x-SUM(IF((INDIRECT($B$3)=$B242)*(INDIRECT($C$3)=$D242)*((INDIRECT($E$3)="TOTS")+(INDIRECT($E$3)=$E242)),INDIRECT(W$3)))&lt;&gt;0,_xlpm.y=0),-2,_xlpm.x)))),0))</f>
        <v>0</v>
      </c>
      <c r="X242" s="199" cm="1">
        <f t="array" aca="1" ref="X242" ca="1">IF(OR($B242="",$B242="X",$D242="",$D242="X",$E242="",$E242="X"),0,IFERROR(_xlfn.LET(_xlpm.x,SUM(SUM(_xlfn._xlws.FILTER(VALUE(PptoSty[Sign]&amp;1)*(1/PptoSty[Division]),(PptoSty[Division]&lt;&gt;0)*(PptoSty[Division]&lt;&gt;"")*(PptoSty[Division]&lt;&gt;"X")*(PptoSty[Project]=$B242)*(PptoSty[Vrs]=$D242)*(PptoSty[PiRow]=_xlfn.TEXTAFTER($H242,":"))*(PptoSty[PiColumn]=X$54),0)),SUM(IF((INDIRECT($B$3)=$B242)*(INDIRECT($C$3)=$D242)*((INDIRECT($E$3)="TOTS")+(INDIRECT($E$3)=$E242)),INDIRECT(X$3)))),_xlpm.y,SUM(_xlfn.CHOOSECOLS(_xlfn._xlws.FILTER(F_RT14[],(F_RT14[PrjId]=$B242)*(F_RT14[Vrs]=$D242)*(_xlfn.TEXTAFTER(F_RT14[ActGrp],":")=_xlfn.TEXTAFTER($H242,":")),"X"),MATCH("*"&amp;X$54,F_RT14[#Headers],0))),IF(AND(_xlpm.x=0,_xlpm.y&lt;&gt;0),-1,IF(AND(_xlpm.x&lt;&gt;0,_xlpm.y&lt;&gt;0),_xlpm.x,IF(AND(_xlpm.x-SUM(IF((INDIRECT($B$3)=$B242)*(INDIRECT($C$3)=$D242)*((INDIRECT($E$3)="TOTS")+(INDIRECT($E$3)=$E242)),INDIRECT(X$3)))&lt;&gt;0,_xlpm.y=0),-2,_xlpm.x)))),0))</f>
        <v>0</v>
      </c>
      <c r="Y242" s="199" cm="1">
        <f t="array" aca="1" ref="Y242" ca="1">IF(OR($B242="",$B242="X",$D242="",$D242="X",$E242="",$E242="X"),0,IFERROR(_xlfn.LET(_xlpm.x,SUM(SUM(_xlfn._xlws.FILTER(VALUE(PptoSty[Sign]&amp;1)*(1/PptoSty[Division]),(PptoSty[Division]&lt;&gt;0)*(PptoSty[Division]&lt;&gt;"")*(PptoSty[Division]&lt;&gt;"X")*(PptoSty[Project]=$B242)*(PptoSty[Vrs]=$D242)*(PptoSty[PiRow]=_xlfn.TEXTAFTER($H242,":"))*(PptoSty[PiColumn]=Y$54),0)),SUM(IF((INDIRECT($B$3)=$B242)*(INDIRECT($C$3)=$D242)*((INDIRECT($E$3)="TOTS")+(INDIRECT($E$3)=$E242)),INDIRECT(Y$3)))),_xlpm.y,SUM(_xlfn.CHOOSECOLS(_xlfn._xlws.FILTER(F_RT14[],(F_RT14[PrjId]=$B242)*(F_RT14[Vrs]=$D242)*(_xlfn.TEXTAFTER(F_RT14[ActGrp],":")=_xlfn.TEXTAFTER($H242,":")),"X"),MATCH("*"&amp;Y$54,F_RT14[#Headers],0))),IF(AND(_xlpm.x=0,_xlpm.y&lt;&gt;0),-1,IF(AND(_xlpm.x&lt;&gt;0,_xlpm.y&lt;&gt;0),_xlpm.x,IF(AND(_xlpm.x-SUM(IF((INDIRECT($B$3)=$B242)*(INDIRECT($C$3)=$D242)*((INDIRECT($E$3)="TOTS")+(INDIRECT($E$3)=$E242)),INDIRECT(Y$3)))&lt;&gt;0,_xlpm.y=0),-2,_xlpm.x)))),0))</f>
        <v>0</v>
      </c>
      <c r="Z242" s="198" t="str">
        <f t="shared" ca="1" si="4"/>
        <v>Fback!B242:Y242</v>
      </c>
    </row>
    <row r="243" spans="1:27" ht="21" customHeight="1" outlineLevel="1">
      <c r="B243" s="128"/>
      <c r="C243" s="128"/>
      <c r="D243" s="128"/>
      <c r="E243" s="128"/>
      <c r="F243" s="139"/>
      <c r="G243" s="139"/>
      <c r="H243" s="139"/>
      <c r="I243" s="199" cm="1">
        <f t="array" aca="1" ref="I243" ca="1">IF(OR($B243="",$B243="X",$D243="",$D243="X",$E243="",$E243="X"),0,IFERROR(_xlfn.LET(_xlpm.x,SUM(SUM(_xlfn._xlws.FILTER(VALUE(PptoSty[Sign]&amp;1)*(1/PptoSty[Division]),(PptoSty[Division]&lt;&gt;0)*(PptoSty[Division]&lt;&gt;"")*(PptoSty[Division]&lt;&gt;"X")*(PptoSty[Project]=$B243)*(PptoSty[Vrs]=$D243)*(PptoSty[PiRow]=_xlfn.TEXTAFTER($H243,":"))*(PptoSty[PiColumn]=I$54),0)),SUM(IF((INDIRECT($B$3)=$B243)*(INDIRECT($C$3)=$D243)*((INDIRECT($E$3)="TOTS")+(INDIRECT($E$3)=$E243)),INDIRECT(I$3)))),_xlpm.y,SUM(_xlfn.CHOOSECOLS(_xlfn._xlws.FILTER(F_RT14[],(F_RT14[PrjId]=$B243)*(F_RT14[Vrs]=$D243)*(_xlfn.TEXTAFTER(F_RT14[ActGrp],":")=_xlfn.TEXTAFTER($H243,":")),"X"),MATCH("*"&amp;I$54,F_RT14[#Headers],0))),IF(AND(_xlpm.x=0,_xlpm.y&lt;&gt;0),-1,IF(AND(_xlpm.x&lt;&gt;0,_xlpm.y&lt;&gt;0),_xlpm.x,IF(AND(_xlpm.x-SUM(IF((INDIRECT($B$3)=$B243)*(INDIRECT($C$3)=$D243)*((INDIRECT($E$3)="TOTS")+(INDIRECT($E$3)=$E243)),INDIRECT(I$3)))&lt;&gt;0,_xlpm.y=0),-2,_xlpm.x)))),0))</f>
        <v>0</v>
      </c>
      <c r="J243" s="199" cm="1">
        <f t="array" aca="1" ref="J243" ca="1">IF(OR($B243="",$B243="X",$D243="",$D243="X",$E243="",$E243="X"),0,IFERROR(_xlfn.LET(_xlpm.x,SUM(SUM(_xlfn._xlws.FILTER(VALUE(PptoSty[Sign]&amp;1)*(1/PptoSty[Division]),(PptoSty[Division]&lt;&gt;0)*(PptoSty[Division]&lt;&gt;"")*(PptoSty[Division]&lt;&gt;"X")*(PptoSty[Project]=$B243)*(PptoSty[Vrs]=$D243)*(PptoSty[PiRow]=_xlfn.TEXTAFTER($H243,":"))*(PptoSty[PiColumn]=J$54),0)),SUM(IF((INDIRECT($B$3)=$B243)*(INDIRECT($C$3)=$D243)*((INDIRECT($E$3)="TOTS")+(INDIRECT($E$3)=$E243)),INDIRECT(J$3)))),_xlpm.y,SUM(_xlfn.CHOOSECOLS(_xlfn._xlws.FILTER(F_RT14[],(F_RT14[PrjId]=$B243)*(F_RT14[Vrs]=$D243)*(_xlfn.TEXTAFTER(F_RT14[ActGrp],":")=_xlfn.TEXTAFTER($H243,":")),"X"),MATCH("*"&amp;J$54,F_RT14[#Headers],0))),IF(AND(_xlpm.x=0,_xlpm.y&lt;&gt;0),-1,IF(AND(_xlpm.x&lt;&gt;0,_xlpm.y&lt;&gt;0),_xlpm.x,IF(AND(_xlpm.x-SUM(IF((INDIRECT($B$3)=$B243)*(INDIRECT($C$3)=$D243)*((INDIRECT($E$3)="TOTS")+(INDIRECT($E$3)=$E243)),INDIRECT(J$3)))&lt;&gt;0,_xlpm.y=0),-2,_xlpm.x)))),0))</f>
        <v>0</v>
      </c>
      <c r="K243" s="199" cm="1">
        <f t="array" aca="1" ref="K243" ca="1">IF(OR($B243="",$B243="X",$D243="",$D243="X",$E243="",$E243="X"),0,IFERROR(_xlfn.LET(_xlpm.x,SUM(SUM(_xlfn._xlws.FILTER(VALUE(PptoSty[Sign]&amp;1)*(1/PptoSty[Division]),(PptoSty[Division]&lt;&gt;0)*(PptoSty[Division]&lt;&gt;"")*(PptoSty[Division]&lt;&gt;"X")*(PptoSty[Project]=$B243)*(PptoSty[Vrs]=$D243)*(PptoSty[PiRow]=_xlfn.TEXTAFTER($H243,":"))*(PptoSty[PiColumn]=K$54),0)),SUM(IF((INDIRECT($B$3)=$B243)*(INDIRECT($C$3)=$D243)*((INDIRECT($E$3)="TOTS")+(INDIRECT($E$3)=$E243)),INDIRECT(K$3)))),_xlpm.y,SUM(_xlfn.CHOOSECOLS(_xlfn._xlws.FILTER(F_RT14[],(F_RT14[PrjId]=$B243)*(F_RT14[Vrs]=$D243)*(_xlfn.TEXTAFTER(F_RT14[ActGrp],":")=_xlfn.TEXTAFTER($H243,":")),"X"),MATCH("*"&amp;K$54,F_RT14[#Headers],0))),IF(AND(_xlpm.x=0,_xlpm.y&lt;&gt;0),-1,IF(AND(_xlpm.x&lt;&gt;0,_xlpm.y&lt;&gt;0),_xlpm.x,IF(AND(_xlpm.x-SUM(IF((INDIRECT($B$3)=$B243)*(INDIRECT($C$3)=$D243)*((INDIRECT($E$3)="TOTS")+(INDIRECT($E$3)=$E243)),INDIRECT(K$3)))&lt;&gt;0,_xlpm.y=0),-2,_xlpm.x)))),0))</f>
        <v>0</v>
      </c>
      <c r="L243" s="199" cm="1">
        <f t="array" aca="1" ref="L243" ca="1">IF(OR($B243="",$B243="X",$D243="",$D243="X",$E243="",$E243="X"),0,IFERROR(_xlfn.LET(_xlpm.x,SUM(SUM(_xlfn._xlws.FILTER(VALUE(PptoSty[Sign]&amp;1)*(1/PptoSty[Division]),(PptoSty[Division]&lt;&gt;0)*(PptoSty[Division]&lt;&gt;"")*(PptoSty[Division]&lt;&gt;"X")*(PptoSty[Project]=$B243)*(PptoSty[Vrs]=$D243)*(PptoSty[PiRow]=_xlfn.TEXTAFTER($H243,":"))*(PptoSty[PiColumn]=L$54),0)),SUM(IF((INDIRECT($B$3)=$B243)*(INDIRECT($C$3)=$D243)*((INDIRECT($E$3)="TOTS")+(INDIRECT($E$3)=$E243)),INDIRECT(L$3)))),_xlpm.y,SUM(_xlfn.CHOOSECOLS(_xlfn._xlws.FILTER(F_RT14[],(F_RT14[PrjId]=$B243)*(F_RT14[Vrs]=$D243)*(_xlfn.TEXTAFTER(F_RT14[ActGrp],":")=_xlfn.TEXTAFTER($H243,":")),"X"),MATCH("*"&amp;L$54,F_RT14[#Headers],0))),IF(AND(_xlpm.x=0,_xlpm.y&lt;&gt;0),-1,IF(AND(_xlpm.x&lt;&gt;0,_xlpm.y&lt;&gt;0),_xlpm.x,IF(AND(_xlpm.x-SUM(IF((INDIRECT($B$3)=$B243)*(INDIRECT($C$3)=$D243)*((INDIRECT($E$3)="TOTS")+(INDIRECT($E$3)=$E243)),INDIRECT(L$3)))&lt;&gt;0,_xlpm.y=0),-2,_xlpm.x)))),0))</f>
        <v>0</v>
      </c>
      <c r="M243" s="199" cm="1">
        <f t="array" aca="1" ref="M243" ca="1">IF(OR($B243="",$B243="X",$D243="",$D243="X",$E243="",$E243="X"),0,IFERROR(_xlfn.LET(_xlpm.x,SUM(SUM(_xlfn._xlws.FILTER(VALUE(PptoSty[Sign]&amp;1)*(1/PptoSty[Division]),(PptoSty[Division]&lt;&gt;0)*(PptoSty[Division]&lt;&gt;"")*(PptoSty[Division]&lt;&gt;"X")*(PptoSty[Project]=$B243)*(PptoSty[Vrs]=$D243)*(PptoSty[PiRow]=_xlfn.TEXTAFTER($H243,":"))*(PptoSty[PiColumn]=M$54),0)),SUM(IF((INDIRECT($B$3)=$B243)*(INDIRECT($C$3)=$D243)*((INDIRECT($E$3)="TOTS")+(INDIRECT($E$3)=$E243)),INDIRECT(M$3)))),_xlpm.y,SUM(_xlfn.CHOOSECOLS(_xlfn._xlws.FILTER(F_RT14[],(F_RT14[PrjId]=$B243)*(F_RT14[Vrs]=$D243)*(_xlfn.TEXTAFTER(F_RT14[ActGrp],":")=_xlfn.TEXTAFTER($H243,":")),"X"),MATCH("*"&amp;M$54,F_RT14[#Headers],0))),IF(AND(_xlpm.x=0,_xlpm.y&lt;&gt;0),-1,IF(AND(_xlpm.x&lt;&gt;0,_xlpm.y&lt;&gt;0),_xlpm.x,IF(AND(_xlpm.x-SUM(IF((INDIRECT($B$3)=$B243)*(INDIRECT($C$3)=$D243)*((INDIRECT($E$3)="TOTS")+(INDIRECT($E$3)=$E243)),INDIRECT(M$3)))&lt;&gt;0,_xlpm.y=0),-2,_xlpm.x)))),0))</f>
        <v>0</v>
      </c>
      <c r="N243" s="199" cm="1">
        <f t="array" aca="1" ref="N243" ca="1">IF(OR($B243="",$B243="X",$D243="",$D243="X",$E243="",$E243="X"),0,IFERROR(_xlfn.LET(_xlpm.x,SUM(SUM(_xlfn._xlws.FILTER(VALUE(PptoSty[Sign]&amp;1)*(1/PptoSty[Division]),(PptoSty[Division]&lt;&gt;0)*(PptoSty[Division]&lt;&gt;"")*(PptoSty[Division]&lt;&gt;"X")*(PptoSty[Project]=$B243)*(PptoSty[Vrs]=$D243)*(PptoSty[PiRow]=_xlfn.TEXTAFTER($H243,":"))*(PptoSty[PiColumn]=N$54),0)),SUM(IF((INDIRECT($B$3)=$B243)*(INDIRECT($C$3)=$D243)*((INDIRECT($E$3)="TOTS")+(INDIRECT($E$3)=$E243)),INDIRECT(N$3)))),_xlpm.y,SUM(_xlfn.CHOOSECOLS(_xlfn._xlws.FILTER(F_RT14[],(F_RT14[PrjId]=$B243)*(F_RT14[Vrs]=$D243)*(_xlfn.TEXTAFTER(F_RT14[ActGrp],":")=_xlfn.TEXTAFTER($H243,":")),"X"),MATCH("*"&amp;N$54,F_RT14[#Headers],0))),IF(AND(_xlpm.x=0,_xlpm.y&lt;&gt;0),-1,IF(AND(_xlpm.x&lt;&gt;0,_xlpm.y&lt;&gt;0),_xlpm.x,IF(AND(_xlpm.x-SUM(IF((INDIRECT($B$3)=$B243)*(INDIRECT($C$3)=$D243)*((INDIRECT($E$3)="TOTS")+(INDIRECT($E$3)=$E243)),INDIRECT(N$3)))&lt;&gt;0,_xlpm.y=0),-2,_xlpm.x)))),0))</f>
        <v>0</v>
      </c>
      <c r="O243" s="199" cm="1">
        <f t="array" aca="1" ref="O243" ca="1">IF(OR($B243="",$B243="X",$D243="",$D243="X",$E243="",$E243="X"),0,IFERROR(_xlfn.LET(_xlpm.x,SUM(SUM(_xlfn._xlws.FILTER(VALUE(PptoSty[Sign]&amp;1)*(1/PptoSty[Division]),(PptoSty[Division]&lt;&gt;0)*(PptoSty[Division]&lt;&gt;"")*(PptoSty[Division]&lt;&gt;"X")*(PptoSty[Project]=$B243)*(PptoSty[Vrs]=$D243)*(PptoSty[PiRow]=_xlfn.TEXTAFTER($H243,":"))*(PptoSty[PiColumn]=O$54),0)),SUM(IF((INDIRECT($B$3)=$B243)*(INDIRECT($C$3)=$D243)*((INDIRECT($E$3)="TOTS")+(INDIRECT($E$3)=$E243)),INDIRECT(O$3)))),_xlpm.y,SUM(_xlfn.CHOOSECOLS(_xlfn._xlws.FILTER(F_RT14[],(F_RT14[PrjId]=$B243)*(F_RT14[Vrs]=$D243)*(_xlfn.TEXTAFTER(F_RT14[ActGrp],":")=_xlfn.TEXTAFTER($H243,":")),"X"),MATCH("*"&amp;O$54,F_RT14[#Headers],0))),IF(AND(_xlpm.x=0,_xlpm.y&lt;&gt;0),-1,IF(AND(_xlpm.x&lt;&gt;0,_xlpm.y&lt;&gt;0),_xlpm.x,IF(AND(_xlpm.x-SUM(IF((INDIRECT($B$3)=$B243)*(INDIRECT($C$3)=$D243)*((INDIRECT($E$3)="TOTS")+(INDIRECT($E$3)=$E243)),INDIRECT(O$3)))&lt;&gt;0,_xlpm.y=0),-2,_xlpm.x)))),0))</f>
        <v>0</v>
      </c>
      <c r="P243" s="199" cm="1">
        <f t="array" aca="1" ref="P243" ca="1">IF(OR($B243="",$B243="X",$D243="",$D243="X",$E243="",$E243="X"),0,IFERROR(_xlfn.LET(_xlpm.x,SUM(SUM(_xlfn._xlws.FILTER(VALUE(PptoSty[Sign]&amp;1)*(1/PptoSty[Division]),(PptoSty[Division]&lt;&gt;0)*(PptoSty[Division]&lt;&gt;"")*(PptoSty[Division]&lt;&gt;"X")*(PptoSty[Project]=$B243)*(PptoSty[Vrs]=$D243)*(PptoSty[PiRow]=_xlfn.TEXTAFTER($H243,":"))*(PptoSty[PiColumn]=P$54),0)),SUM(IF((INDIRECT($B$3)=$B243)*(INDIRECT($C$3)=$D243)*((INDIRECT($E$3)="TOTS")+(INDIRECT($E$3)=$E243)),INDIRECT(P$3)))),_xlpm.y,SUM(_xlfn.CHOOSECOLS(_xlfn._xlws.FILTER(F_RT14[],(F_RT14[PrjId]=$B243)*(F_RT14[Vrs]=$D243)*(_xlfn.TEXTAFTER(F_RT14[ActGrp],":")=_xlfn.TEXTAFTER($H243,":")),"X"),MATCH("*"&amp;P$54,F_RT14[#Headers],0))),IF(AND(_xlpm.x=0,_xlpm.y&lt;&gt;0),-1,IF(AND(_xlpm.x&lt;&gt;0,_xlpm.y&lt;&gt;0),_xlpm.x,IF(AND(_xlpm.x-SUM(IF((INDIRECT($B$3)=$B243)*(INDIRECT($C$3)=$D243)*((INDIRECT($E$3)="TOTS")+(INDIRECT($E$3)=$E243)),INDIRECT(P$3)))&lt;&gt;0,_xlpm.y=0),-2,_xlpm.x)))),0))</f>
        <v>0</v>
      </c>
      <c r="Q243" s="199" cm="1">
        <f t="array" aca="1" ref="Q243" ca="1">IF(OR($B243="",$B243="X",$D243="",$D243="X",$E243="",$E243="X"),0,IFERROR(_xlfn.LET(_xlpm.x,SUM(SUM(_xlfn._xlws.FILTER(VALUE(PptoSty[Sign]&amp;1)*(1/PptoSty[Division]),(PptoSty[Division]&lt;&gt;0)*(PptoSty[Division]&lt;&gt;"")*(PptoSty[Division]&lt;&gt;"X")*(PptoSty[Project]=$B243)*(PptoSty[Vrs]=$D243)*(PptoSty[PiRow]=_xlfn.TEXTAFTER($H243,":"))*(PptoSty[PiColumn]=Q$54),0)),SUM(IF((INDIRECT($B$3)=$B243)*(INDIRECT($C$3)=$D243)*((INDIRECT($E$3)="TOTS")+(INDIRECT($E$3)=$E243)),INDIRECT(Q$3)))),_xlpm.y,SUM(_xlfn.CHOOSECOLS(_xlfn._xlws.FILTER(F_RT14[],(F_RT14[PrjId]=$B243)*(F_RT14[Vrs]=$D243)*(_xlfn.TEXTAFTER(F_RT14[ActGrp],":")=_xlfn.TEXTAFTER($H243,":")),"X"),MATCH("*"&amp;Q$54,F_RT14[#Headers],0))),IF(AND(_xlpm.x=0,_xlpm.y&lt;&gt;0),-1,IF(AND(_xlpm.x&lt;&gt;0,_xlpm.y&lt;&gt;0),_xlpm.x,IF(AND(_xlpm.x-SUM(IF((INDIRECT($B$3)=$B243)*(INDIRECT($C$3)=$D243)*((INDIRECT($E$3)="TOTS")+(INDIRECT($E$3)=$E243)),INDIRECT(Q$3)))&lt;&gt;0,_xlpm.y=0),-2,_xlpm.x)))),0))</f>
        <v>0</v>
      </c>
      <c r="R243" s="199" cm="1">
        <f t="array" aca="1" ref="R243" ca="1">IF(OR($B243="",$B243="X",$D243="",$D243="X",$E243="",$E243="X"),0,IFERROR(_xlfn.LET(_xlpm.x,SUM(SUM(_xlfn._xlws.FILTER(VALUE(PptoSty[Sign]&amp;1)*(1/PptoSty[Division]),(PptoSty[Division]&lt;&gt;0)*(PptoSty[Division]&lt;&gt;"")*(PptoSty[Division]&lt;&gt;"X")*(PptoSty[Project]=$B243)*(PptoSty[Vrs]=$D243)*(PptoSty[PiRow]=_xlfn.TEXTAFTER($H243,":"))*(PptoSty[PiColumn]=R$54),0)),SUM(IF((INDIRECT($B$3)=$B243)*(INDIRECT($C$3)=$D243)*((INDIRECT($E$3)="TOTS")+(INDIRECT($E$3)=$E243)),INDIRECT(R$3)))),_xlpm.y,SUM(_xlfn.CHOOSECOLS(_xlfn._xlws.FILTER(F_RT14[],(F_RT14[PrjId]=$B243)*(F_RT14[Vrs]=$D243)*(_xlfn.TEXTAFTER(F_RT14[ActGrp],":")=_xlfn.TEXTAFTER($H243,":")),"X"),MATCH("*"&amp;R$54,F_RT14[#Headers],0))),IF(AND(_xlpm.x=0,_xlpm.y&lt;&gt;0),-1,IF(AND(_xlpm.x&lt;&gt;0,_xlpm.y&lt;&gt;0),_xlpm.x,IF(AND(_xlpm.x-SUM(IF((INDIRECT($B$3)=$B243)*(INDIRECT($C$3)=$D243)*((INDIRECT($E$3)="TOTS")+(INDIRECT($E$3)=$E243)),INDIRECT(R$3)))&lt;&gt;0,_xlpm.y=0),-2,_xlpm.x)))),0))</f>
        <v>0</v>
      </c>
      <c r="S243" s="199" cm="1">
        <f t="array" aca="1" ref="S243" ca="1">IF(OR($B243="",$B243="X",$D243="",$D243="X",$E243="",$E243="X"),0,IFERROR(_xlfn.LET(_xlpm.x,SUM(SUM(_xlfn._xlws.FILTER(VALUE(PptoSty[Sign]&amp;1)*(1/PptoSty[Division]),(PptoSty[Division]&lt;&gt;0)*(PptoSty[Division]&lt;&gt;"")*(PptoSty[Division]&lt;&gt;"X")*(PptoSty[Project]=$B243)*(PptoSty[Vrs]=$D243)*(PptoSty[PiRow]=_xlfn.TEXTAFTER($H243,":"))*(PptoSty[PiColumn]=S$54),0)),SUM(IF((INDIRECT($B$3)=$B243)*(INDIRECT($C$3)=$D243)*((INDIRECT($E$3)="TOTS")+(INDIRECT($E$3)=$E243)),INDIRECT(S$3)))),_xlpm.y,SUM(_xlfn.CHOOSECOLS(_xlfn._xlws.FILTER(F_RT14[],(F_RT14[PrjId]=$B243)*(F_RT14[Vrs]=$D243)*(_xlfn.TEXTAFTER(F_RT14[ActGrp],":")=_xlfn.TEXTAFTER($H243,":")),"X"),MATCH("*"&amp;S$54,F_RT14[#Headers],0))),IF(AND(_xlpm.x=0,_xlpm.y&lt;&gt;0),-1,IF(AND(_xlpm.x&lt;&gt;0,_xlpm.y&lt;&gt;0),_xlpm.x,IF(AND(_xlpm.x-SUM(IF((INDIRECT($B$3)=$B243)*(INDIRECT($C$3)=$D243)*((INDIRECT($E$3)="TOTS")+(INDIRECT($E$3)=$E243)),INDIRECT(S$3)))&lt;&gt;0,_xlpm.y=0),-2,_xlpm.x)))),0))</f>
        <v>0</v>
      </c>
      <c r="T243" s="199" cm="1">
        <f t="array" aca="1" ref="T243" ca="1">IF(OR($B243="",$B243="X",$D243="",$D243="X",$E243="",$E243="X"),0,IFERROR(_xlfn.LET(_xlpm.x,SUM(SUM(_xlfn._xlws.FILTER(VALUE(PptoSty[Sign]&amp;1)*(1/PptoSty[Division]),(PptoSty[Division]&lt;&gt;0)*(PptoSty[Division]&lt;&gt;"")*(PptoSty[Division]&lt;&gt;"X")*(PptoSty[Project]=$B243)*(PptoSty[Vrs]=$D243)*(PptoSty[PiRow]=_xlfn.TEXTAFTER($H243,":"))*(PptoSty[PiColumn]=T$54),0)),SUM(IF((INDIRECT($B$3)=$B243)*(INDIRECT($C$3)=$D243)*((INDIRECT($E$3)="TOTS")+(INDIRECT($E$3)=$E243)),INDIRECT(T$3)))),_xlpm.y,SUM(_xlfn.CHOOSECOLS(_xlfn._xlws.FILTER(F_RT14[],(F_RT14[PrjId]=$B243)*(F_RT14[Vrs]=$D243)*(_xlfn.TEXTAFTER(F_RT14[ActGrp],":")=_xlfn.TEXTAFTER($H243,":")),"X"),MATCH("*"&amp;T$54,F_RT14[#Headers],0))),IF(AND(_xlpm.x=0,_xlpm.y&lt;&gt;0),-1,IF(AND(_xlpm.x&lt;&gt;0,_xlpm.y&lt;&gt;0),_xlpm.x,IF(AND(_xlpm.x-SUM(IF((INDIRECT($B$3)=$B243)*(INDIRECT($C$3)=$D243)*((INDIRECT($E$3)="TOTS")+(INDIRECT($E$3)=$E243)),INDIRECT(T$3)))&lt;&gt;0,_xlpm.y=0),-2,_xlpm.x)))),0))</f>
        <v>0</v>
      </c>
      <c r="U243" s="199" cm="1">
        <f t="array" aca="1" ref="U243" ca="1">IF(OR($B243="",$B243="X",$D243="",$D243="X",$E243="",$E243="X"),0,IFERROR(_xlfn.LET(_xlpm.x,SUM(SUM(_xlfn._xlws.FILTER(VALUE(PptoSty[Sign]&amp;1)*(1/PptoSty[Division]),(PptoSty[Division]&lt;&gt;0)*(PptoSty[Division]&lt;&gt;"")*(PptoSty[Division]&lt;&gt;"X")*(PptoSty[Project]=$B243)*(PptoSty[Vrs]=$D243)*(PptoSty[PiRow]=_xlfn.TEXTAFTER($H243,":"))*(PptoSty[PiColumn]=U$54),0)),SUM(IF((INDIRECT($B$3)=$B243)*(INDIRECT($C$3)=$D243)*((INDIRECT($E$3)="TOTS")+(INDIRECT($E$3)=$E243)),INDIRECT(U$3)))),_xlpm.y,SUM(_xlfn.CHOOSECOLS(_xlfn._xlws.FILTER(F_RT14[],(F_RT14[PrjId]=$B243)*(F_RT14[Vrs]=$D243)*(_xlfn.TEXTAFTER(F_RT14[ActGrp],":")=_xlfn.TEXTAFTER($H243,":")),"X"),MATCH("*"&amp;U$54,F_RT14[#Headers],0))),IF(AND(_xlpm.x=0,_xlpm.y&lt;&gt;0),-1,IF(AND(_xlpm.x&lt;&gt;0,_xlpm.y&lt;&gt;0),_xlpm.x,IF(AND(_xlpm.x-SUM(IF((INDIRECT($B$3)=$B243)*(INDIRECT($C$3)=$D243)*((INDIRECT($E$3)="TOTS")+(INDIRECT($E$3)=$E243)),INDIRECT(U$3)))&lt;&gt;0,_xlpm.y=0),-2,_xlpm.x)))),0))</f>
        <v>0</v>
      </c>
      <c r="V243" s="199" cm="1">
        <f t="array" aca="1" ref="V243" ca="1">IF(OR($B243="",$B243="X",$D243="",$D243="X",$E243="",$E243="X"),0,IFERROR(_xlfn.LET(_xlpm.x,SUM(SUM(_xlfn._xlws.FILTER(VALUE(PptoSty[Sign]&amp;1)*(1/PptoSty[Division]),(PptoSty[Division]&lt;&gt;0)*(PptoSty[Division]&lt;&gt;"")*(PptoSty[Division]&lt;&gt;"X")*(PptoSty[Project]=$B243)*(PptoSty[Vrs]=$D243)*(PptoSty[PiRow]=_xlfn.TEXTAFTER($H243,":"))*(PptoSty[PiColumn]=V$54),0)),SUM(IF((INDIRECT($B$3)=$B243)*(INDIRECT($C$3)=$D243)*((INDIRECT($E$3)="TOTS")+(INDIRECT($E$3)=$E243)),INDIRECT(V$3)))),_xlpm.y,SUM(_xlfn.CHOOSECOLS(_xlfn._xlws.FILTER(F_RT14[],(F_RT14[PrjId]=$B243)*(F_RT14[Vrs]=$D243)*(_xlfn.TEXTAFTER(F_RT14[ActGrp],":")=_xlfn.TEXTAFTER($H243,":")),"X"),MATCH("*"&amp;V$54,F_RT14[#Headers],0))),IF(AND(_xlpm.x=0,_xlpm.y&lt;&gt;0),-1,IF(AND(_xlpm.x&lt;&gt;0,_xlpm.y&lt;&gt;0),_xlpm.x,IF(AND(_xlpm.x-SUM(IF((INDIRECT($B$3)=$B243)*(INDIRECT($C$3)=$D243)*((INDIRECT($E$3)="TOTS")+(INDIRECT($E$3)=$E243)),INDIRECT(V$3)))&lt;&gt;0,_xlpm.y=0),-2,_xlpm.x)))),0))</f>
        <v>0</v>
      </c>
      <c r="W243" s="199" cm="1">
        <f t="array" aca="1" ref="W243" ca="1">IF(OR($B243="",$B243="X",$D243="",$D243="X",$E243="",$E243="X"),0,IFERROR(_xlfn.LET(_xlpm.x,SUM(SUM(_xlfn._xlws.FILTER(VALUE(PptoSty[Sign]&amp;1)*(1/PptoSty[Division]),(PptoSty[Division]&lt;&gt;0)*(PptoSty[Division]&lt;&gt;"")*(PptoSty[Division]&lt;&gt;"X")*(PptoSty[Project]=$B243)*(PptoSty[Vrs]=$D243)*(PptoSty[PiRow]=_xlfn.TEXTAFTER($H243,":"))*(PptoSty[PiColumn]=W$54),0)),SUM(IF((INDIRECT($B$3)=$B243)*(INDIRECT($C$3)=$D243)*((INDIRECT($E$3)="TOTS")+(INDIRECT($E$3)=$E243)),INDIRECT(W$3)))),_xlpm.y,SUM(_xlfn.CHOOSECOLS(_xlfn._xlws.FILTER(F_RT14[],(F_RT14[PrjId]=$B243)*(F_RT14[Vrs]=$D243)*(_xlfn.TEXTAFTER(F_RT14[ActGrp],":")=_xlfn.TEXTAFTER($H243,":")),"X"),MATCH("*"&amp;W$54,F_RT14[#Headers],0))),IF(AND(_xlpm.x=0,_xlpm.y&lt;&gt;0),-1,IF(AND(_xlpm.x&lt;&gt;0,_xlpm.y&lt;&gt;0),_xlpm.x,IF(AND(_xlpm.x-SUM(IF((INDIRECT($B$3)=$B243)*(INDIRECT($C$3)=$D243)*((INDIRECT($E$3)="TOTS")+(INDIRECT($E$3)=$E243)),INDIRECT(W$3)))&lt;&gt;0,_xlpm.y=0),-2,_xlpm.x)))),0))</f>
        <v>0</v>
      </c>
      <c r="X243" s="199" cm="1">
        <f t="array" aca="1" ref="X243" ca="1">IF(OR($B243="",$B243="X",$D243="",$D243="X",$E243="",$E243="X"),0,IFERROR(_xlfn.LET(_xlpm.x,SUM(SUM(_xlfn._xlws.FILTER(VALUE(PptoSty[Sign]&amp;1)*(1/PptoSty[Division]),(PptoSty[Division]&lt;&gt;0)*(PptoSty[Division]&lt;&gt;"")*(PptoSty[Division]&lt;&gt;"X")*(PptoSty[Project]=$B243)*(PptoSty[Vrs]=$D243)*(PptoSty[PiRow]=_xlfn.TEXTAFTER($H243,":"))*(PptoSty[PiColumn]=X$54),0)),SUM(IF((INDIRECT($B$3)=$B243)*(INDIRECT($C$3)=$D243)*((INDIRECT($E$3)="TOTS")+(INDIRECT($E$3)=$E243)),INDIRECT(X$3)))),_xlpm.y,SUM(_xlfn.CHOOSECOLS(_xlfn._xlws.FILTER(F_RT14[],(F_RT14[PrjId]=$B243)*(F_RT14[Vrs]=$D243)*(_xlfn.TEXTAFTER(F_RT14[ActGrp],":")=_xlfn.TEXTAFTER($H243,":")),"X"),MATCH("*"&amp;X$54,F_RT14[#Headers],0))),IF(AND(_xlpm.x=0,_xlpm.y&lt;&gt;0),-1,IF(AND(_xlpm.x&lt;&gt;0,_xlpm.y&lt;&gt;0),_xlpm.x,IF(AND(_xlpm.x-SUM(IF((INDIRECT($B$3)=$B243)*(INDIRECT($C$3)=$D243)*((INDIRECT($E$3)="TOTS")+(INDIRECT($E$3)=$E243)),INDIRECT(X$3)))&lt;&gt;0,_xlpm.y=0),-2,_xlpm.x)))),0))</f>
        <v>0</v>
      </c>
      <c r="Y243" s="199" cm="1">
        <f t="array" aca="1" ref="Y243" ca="1">IF(OR($B243="",$B243="X",$D243="",$D243="X",$E243="",$E243="X"),0,IFERROR(_xlfn.LET(_xlpm.x,SUM(SUM(_xlfn._xlws.FILTER(VALUE(PptoSty[Sign]&amp;1)*(1/PptoSty[Division]),(PptoSty[Division]&lt;&gt;0)*(PptoSty[Division]&lt;&gt;"")*(PptoSty[Division]&lt;&gt;"X")*(PptoSty[Project]=$B243)*(PptoSty[Vrs]=$D243)*(PptoSty[PiRow]=_xlfn.TEXTAFTER($H243,":"))*(PptoSty[PiColumn]=Y$54),0)),SUM(IF((INDIRECT($B$3)=$B243)*(INDIRECT($C$3)=$D243)*((INDIRECT($E$3)="TOTS")+(INDIRECT($E$3)=$E243)),INDIRECT(Y$3)))),_xlpm.y,SUM(_xlfn.CHOOSECOLS(_xlfn._xlws.FILTER(F_RT14[],(F_RT14[PrjId]=$B243)*(F_RT14[Vrs]=$D243)*(_xlfn.TEXTAFTER(F_RT14[ActGrp],":")=_xlfn.TEXTAFTER($H243,":")),"X"),MATCH("*"&amp;Y$54,F_RT14[#Headers],0))),IF(AND(_xlpm.x=0,_xlpm.y&lt;&gt;0),-1,IF(AND(_xlpm.x&lt;&gt;0,_xlpm.y&lt;&gt;0),_xlpm.x,IF(AND(_xlpm.x-SUM(IF((INDIRECT($B$3)=$B243)*(INDIRECT($C$3)=$D243)*((INDIRECT($E$3)="TOTS")+(INDIRECT($E$3)=$E243)),INDIRECT(Y$3)))&lt;&gt;0,_xlpm.y=0),-2,_xlpm.x)))),0))</f>
        <v>0</v>
      </c>
      <c r="Z243" s="198" t="str">
        <f t="shared" ca="1" si="4"/>
        <v>Fback!B243:Y243</v>
      </c>
      <c r="AA243" s="38"/>
    </row>
    <row r="244" spans="1:27" ht="21" customHeight="1" outlineLevel="1">
      <c r="B244" s="128"/>
      <c r="C244" s="128"/>
      <c r="D244" s="128"/>
      <c r="E244" s="128"/>
      <c r="F244" s="139"/>
      <c r="G244" s="139"/>
      <c r="H244" s="139"/>
      <c r="I244" s="199" cm="1">
        <f t="array" aca="1" ref="I244" ca="1">IF(OR($B244="",$B244="X",$D244="",$D244="X",$E244="",$E244="X"),0,IFERROR(_xlfn.LET(_xlpm.x,SUM(SUM(_xlfn._xlws.FILTER(VALUE(PptoSty[Sign]&amp;1)*(1/PptoSty[Division]),(PptoSty[Division]&lt;&gt;0)*(PptoSty[Division]&lt;&gt;"")*(PptoSty[Division]&lt;&gt;"X")*(PptoSty[Project]=$B244)*(PptoSty[Vrs]=$D244)*(PptoSty[PiRow]=_xlfn.TEXTAFTER($H244,":"))*(PptoSty[PiColumn]=I$54),0)),SUM(IF((INDIRECT($B$3)=$B244)*(INDIRECT($C$3)=$D244)*((INDIRECT($E$3)="TOTS")+(INDIRECT($E$3)=$E244)),INDIRECT(I$3)))),_xlpm.y,SUM(_xlfn.CHOOSECOLS(_xlfn._xlws.FILTER(F_RT14[],(F_RT14[PrjId]=$B244)*(F_RT14[Vrs]=$D244)*(_xlfn.TEXTAFTER(F_RT14[ActGrp],":")=_xlfn.TEXTAFTER($H244,":")),"X"),MATCH("*"&amp;I$54,F_RT14[#Headers],0))),IF(AND(_xlpm.x=0,_xlpm.y&lt;&gt;0),-1,IF(AND(_xlpm.x&lt;&gt;0,_xlpm.y&lt;&gt;0),_xlpm.x,IF(AND(_xlpm.x-SUM(IF((INDIRECT($B$3)=$B244)*(INDIRECT($C$3)=$D244)*((INDIRECT($E$3)="TOTS")+(INDIRECT($E$3)=$E244)),INDIRECT(I$3)))&lt;&gt;0,_xlpm.y=0),-2,_xlpm.x)))),0))</f>
        <v>0</v>
      </c>
      <c r="J244" s="199" cm="1">
        <f t="array" aca="1" ref="J244" ca="1">IF(OR($B244="",$B244="X",$D244="",$D244="X",$E244="",$E244="X"),0,IFERROR(_xlfn.LET(_xlpm.x,SUM(SUM(_xlfn._xlws.FILTER(VALUE(PptoSty[Sign]&amp;1)*(1/PptoSty[Division]),(PptoSty[Division]&lt;&gt;0)*(PptoSty[Division]&lt;&gt;"")*(PptoSty[Division]&lt;&gt;"X")*(PptoSty[Project]=$B244)*(PptoSty[Vrs]=$D244)*(PptoSty[PiRow]=_xlfn.TEXTAFTER($H244,":"))*(PptoSty[PiColumn]=J$54),0)),SUM(IF((INDIRECT($B$3)=$B244)*(INDIRECT($C$3)=$D244)*((INDIRECT($E$3)="TOTS")+(INDIRECT($E$3)=$E244)),INDIRECT(J$3)))),_xlpm.y,SUM(_xlfn.CHOOSECOLS(_xlfn._xlws.FILTER(F_RT14[],(F_RT14[PrjId]=$B244)*(F_RT14[Vrs]=$D244)*(_xlfn.TEXTAFTER(F_RT14[ActGrp],":")=_xlfn.TEXTAFTER($H244,":")),"X"),MATCH("*"&amp;J$54,F_RT14[#Headers],0))),IF(AND(_xlpm.x=0,_xlpm.y&lt;&gt;0),-1,IF(AND(_xlpm.x&lt;&gt;0,_xlpm.y&lt;&gt;0),_xlpm.x,IF(AND(_xlpm.x-SUM(IF((INDIRECT($B$3)=$B244)*(INDIRECT($C$3)=$D244)*((INDIRECT($E$3)="TOTS")+(INDIRECT($E$3)=$E244)),INDIRECT(J$3)))&lt;&gt;0,_xlpm.y=0),-2,_xlpm.x)))),0))</f>
        <v>0</v>
      </c>
      <c r="K244" s="199" cm="1">
        <f t="array" aca="1" ref="K244" ca="1">IF(OR($B244="",$B244="X",$D244="",$D244="X",$E244="",$E244="X"),0,IFERROR(_xlfn.LET(_xlpm.x,SUM(SUM(_xlfn._xlws.FILTER(VALUE(PptoSty[Sign]&amp;1)*(1/PptoSty[Division]),(PptoSty[Division]&lt;&gt;0)*(PptoSty[Division]&lt;&gt;"")*(PptoSty[Division]&lt;&gt;"X")*(PptoSty[Project]=$B244)*(PptoSty[Vrs]=$D244)*(PptoSty[PiRow]=_xlfn.TEXTAFTER($H244,":"))*(PptoSty[PiColumn]=K$54),0)),SUM(IF((INDIRECT($B$3)=$B244)*(INDIRECT($C$3)=$D244)*((INDIRECT($E$3)="TOTS")+(INDIRECT($E$3)=$E244)),INDIRECT(K$3)))),_xlpm.y,SUM(_xlfn.CHOOSECOLS(_xlfn._xlws.FILTER(F_RT14[],(F_RT14[PrjId]=$B244)*(F_RT14[Vrs]=$D244)*(_xlfn.TEXTAFTER(F_RT14[ActGrp],":")=_xlfn.TEXTAFTER($H244,":")),"X"),MATCH("*"&amp;K$54,F_RT14[#Headers],0))),IF(AND(_xlpm.x=0,_xlpm.y&lt;&gt;0),-1,IF(AND(_xlpm.x&lt;&gt;0,_xlpm.y&lt;&gt;0),_xlpm.x,IF(AND(_xlpm.x-SUM(IF((INDIRECT($B$3)=$B244)*(INDIRECT($C$3)=$D244)*((INDIRECT($E$3)="TOTS")+(INDIRECT($E$3)=$E244)),INDIRECT(K$3)))&lt;&gt;0,_xlpm.y=0),-2,_xlpm.x)))),0))</f>
        <v>0</v>
      </c>
      <c r="L244" s="199" cm="1">
        <f t="array" aca="1" ref="L244" ca="1">IF(OR($B244="",$B244="X",$D244="",$D244="X",$E244="",$E244="X"),0,IFERROR(_xlfn.LET(_xlpm.x,SUM(SUM(_xlfn._xlws.FILTER(VALUE(PptoSty[Sign]&amp;1)*(1/PptoSty[Division]),(PptoSty[Division]&lt;&gt;0)*(PptoSty[Division]&lt;&gt;"")*(PptoSty[Division]&lt;&gt;"X")*(PptoSty[Project]=$B244)*(PptoSty[Vrs]=$D244)*(PptoSty[PiRow]=_xlfn.TEXTAFTER($H244,":"))*(PptoSty[PiColumn]=L$54),0)),SUM(IF((INDIRECT($B$3)=$B244)*(INDIRECT($C$3)=$D244)*((INDIRECT($E$3)="TOTS")+(INDIRECT($E$3)=$E244)),INDIRECT(L$3)))),_xlpm.y,SUM(_xlfn.CHOOSECOLS(_xlfn._xlws.FILTER(F_RT14[],(F_RT14[PrjId]=$B244)*(F_RT14[Vrs]=$D244)*(_xlfn.TEXTAFTER(F_RT14[ActGrp],":")=_xlfn.TEXTAFTER($H244,":")),"X"),MATCH("*"&amp;L$54,F_RT14[#Headers],0))),IF(AND(_xlpm.x=0,_xlpm.y&lt;&gt;0),-1,IF(AND(_xlpm.x&lt;&gt;0,_xlpm.y&lt;&gt;0),_xlpm.x,IF(AND(_xlpm.x-SUM(IF((INDIRECT($B$3)=$B244)*(INDIRECT($C$3)=$D244)*((INDIRECT($E$3)="TOTS")+(INDIRECT($E$3)=$E244)),INDIRECT(L$3)))&lt;&gt;0,_xlpm.y=0),-2,_xlpm.x)))),0))</f>
        <v>0</v>
      </c>
      <c r="M244" s="199" cm="1">
        <f t="array" aca="1" ref="M244" ca="1">IF(OR($B244="",$B244="X",$D244="",$D244="X",$E244="",$E244="X"),0,IFERROR(_xlfn.LET(_xlpm.x,SUM(SUM(_xlfn._xlws.FILTER(VALUE(PptoSty[Sign]&amp;1)*(1/PptoSty[Division]),(PptoSty[Division]&lt;&gt;0)*(PptoSty[Division]&lt;&gt;"")*(PptoSty[Division]&lt;&gt;"X")*(PptoSty[Project]=$B244)*(PptoSty[Vrs]=$D244)*(PptoSty[PiRow]=_xlfn.TEXTAFTER($H244,":"))*(PptoSty[PiColumn]=M$54),0)),SUM(IF((INDIRECT($B$3)=$B244)*(INDIRECT($C$3)=$D244)*((INDIRECT($E$3)="TOTS")+(INDIRECT($E$3)=$E244)),INDIRECT(M$3)))),_xlpm.y,SUM(_xlfn.CHOOSECOLS(_xlfn._xlws.FILTER(F_RT14[],(F_RT14[PrjId]=$B244)*(F_RT14[Vrs]=$D244)*(_xlfn.TEXTAFTER(F_RT14[ActGrp],":")=_xlfn.TEXTAFTER($H244,":")),"X"),MATCH("*"&amp;M$54,F_RT14[#Headers],0))),IF(AND(_xlpm.x=0,_xlpm.y&lt;&gt;0),-1,IF(AND(_xlpm.x&lt;&gt;0,_xlpm.y&lt;&gt;0),_xlpm.x,IF(AND(_xlpm.x-SUM(IF((INDIRECT($B$3)=$B244)*(INDIRECT($C$3)=$D244)*((INDIRECT($E$3)="TOTS")+(INDIRECT($E$3)=$E244)),INDIRECT(M$3)))&lt;&gt;0,_xlpm.y=0),-2,_xlpm.x)))),0))</f>
        <v>0</v>
      </c>
      <c r="N244" s="199" cm="1">
        <f t="array" aca="1" ref="N244" ca="1">IF(OR($B244="",$B244="X",$D244="",$D244="X",$E244="",$E244="X"),0,IFERROR(_xlfn.LET(_xlpm.x,SUM(SUM(_xlfn._xlws.FILTER(VALUE(PptoSty[Sign]&amp;1)*(1/PptoSty[Division]),(PptoSty[Division]&lt;&gt;0)*(PptoSty[Division]&lt;&gt;"")*(PptoSty[Division]&lt;&gt;"X")*(PptoSty[Project]=$B244)*(PptoSty[Vrs]=$D244)*(PptoSty[PiRow]=_xlfn.TEXTAFTER($H244,":"))*(PptoSty[PiColumn]=N$54),0)),SUM(IF((INDIRECT($B$3)=$B244)*(INDIRECT($C$3)=$D244)*((INDIRECT($E$3)="TOTS")+(INDIRECT($E$3)=$E244)),INDIRECT(N$3)))),_xlpm.y,SUM(_xlfn.CHOOSECOLS(_xlfn._xlws.FILTER(F_RT14[],(F_RT14[PrjId]=$B244)*(F_RT14[Vrs]=$D244)*(_xlfn.TEXTAFTER(F_RT14[ActGrp],":")=_xlfn.TEXTAFTER($H244,":")),"X"),MATCH("*"&amp;N$54,F_RT14[#Headers],0))),IF(AND(_xlpm.x=0,_xlpm.y&lt;&gt;0),-1,IF(AND(_xlpm.x&lt;&gt;0,_xlpm.y&lt;&gt;0),_xlpm.x,IF(AND(_xlpm.x-SUM(IF((INDIRECT($B$3)=$B244)*(INDIRECT($C$3)=$D244)*((INDIRECT($E$3)="TOTS")+(INDIRECT($E$3)=$E244)),INDIRECT(N$3)))&lt;&gt;0,_xlpm.y=0),-2,_xlpm.x)))),0))</f>
        <v>0</v>
      </c>
      <c r="O244" s="199" cm="1">
        <f t="array" aca="1" ref="O244" ca="1">IF(OR($B244="",$B244="X",$D244="",$D244="X",$E244="",$E244="X"),0,IFERROR(_xlfn.LET(_xlpm.x,SUM(SUM(_xlfn._xlws.FILTER(VALUE(PptoSty[Sign]&amp;1)*(1/PptoSty[Division]),(PptoSty[Division]&lt;&gt;0)*(PptoSty[Division]&lt;&gt;"")*(PptoSty[Division]&lt;&gt;"X")*(PptoSty[Project]=$B244)*(PptoSty[Vrs]=$D244)*(PptoSty[PiRow]=_xlfn.TEXTAFTER($H244,":"))*(PptoSty[PiColumn]=O$54),0)),SUM(IF((INDIRECT($B$3)=$B244)*(INDIRECT($C$3)=$D244)*((INDIRECT($E$3)="TOTS")+(INDIRECT($E$3)=$E244)),INDIRECT(O$3)))),_xlpm.y,SUM(_xlfn.CHOOSECOLS(_xlfn._xlws.FILTER(F_RT14[],(F_RT14[PrjId]=$B244)*(F_RT14[Vrs]=$D244)*(_xlfn.TEXTAFTER(F_RT14[ActGrp],":")=_xlfn.TEXTAFTER($H244,":")),"X"),MATCH("*"&amp;O$54,F_RT14[#Headers],0))),IF(AND(_xlpm.x=0,_xlpm.y&lt;&gt;0),-1,IF(AND(_xlpm.x&lt;&gt;0,_xlpm.y&lt;&gt;0),_xlpm.x,IF(AND(_xlpm.x-SUM(IF((INDIRECT($B$3)=$B244)*(INDIRECT($C$3)=$D244)*((INDIRECT($E$3)="TOTS")+(INDIRECT($E$3)=$E244)),INDIRECT(O$3)))&lt;&gt;0,_xlpm.y=0),-2,_xlpm.x)))),0))</f>
        <v>0</v>
      </c>
      <c r="P244" s="199" cm="1">
        <f t="array" aca="1" ref="P244" ca="1">IF(OR($B244="",$B244="X",$D244="",$D244="X",$E244="",$E244="X"),0,IFERROR(_xlfn.LET(_xlpm.x,SUM(SUM(_xlfn._xlws.FILTER(VALUE(PptoSty[Sign]&amp;1)*(1/PptoSty[Division]),(PptoSty[Division]&lt;&gt;0)*(PptoSty[Division]&lt;&gt;"")*(PptoSty[Division]&lt;&gt;"X")*(PptoSty[Project]=$B244)*(PptoSty[Vrs]=$D244)*(PptoSty[PiRow]=_xlfn.TEXTAFTER($H244,":"))*(PptoSty[PiColumn]=P$54),0)),SUM(IF((INDIRECT($B$3)=$B244)*(INDIRECT($C$3)=$D244)*((INDIRECT($E$3)="TOTS")+(INDIRECT($E$3)=$E244)),INDIRECT(P$3)))),_xlpm.y,SUM(_xlfn.CHOOSECOLS(_xlfn._xlws.FILTER(F_RT14[],(F_RT14[PrjId]=$B244)*(F_RT14[Vrs]=$D244)*(_xlfn.TEXTAFTER(F_RT14[ActGrp],":")=_xlfn.TEXTAFTER($H244,":")),"X"),MATCH("*"&amp;P$54,F_RT14[#Headers],0))),IF(AND(_xlpm.x=0,_xlpm.y&lt;&gt;0),-1,IF(AND(_xlpm.x&lt;&gt;0,_xlpm.y&lt;&gt;0),_xlpm.x,IF(AND(_xlpm.x-SUM(IF((INDIRECT($B$3)=$B244)*(INDIRECT($C$3)=$D244)*((INDIRECT($E$3)="TOTS")+(INDIRECT($E$3)=$E244)),INDIRECT(P$3)))&lt;&gt;0,_xlpm.y=0),-2,_xlpm.x)))),0))</f>
        <v>0</v>
      </c>
      <c r="Q244" s="199" cm="1">
        <f t="array" aca="1" ref="Q244" ca="1">IF(OR($B244="",$B244="X",$D244="",$D244="X",$E244="",$E244="X"),0,IFERROR(_xlfn.LET(_xlpm.x,SUM(SUM(_xlfn._xlws.FILTER(VALUE(PptoSty[Sign]&amp;1)*(1/PptoSty[Division]),(PptoSty[Division]&lt;&gt;0)*(PptoSty[Division]&lt;&gt;"")*(PptoSty[Division]&lt;&gt;"X")*(PptoSty[Project]=$B244)*(PptoSty[Vrs]=$D244)*(PptoSty[PiRow]=_xlfn.TEXTAFTER($H244,":"))*(PptoSty[PiColumn]=Q$54),0)),SUM(IF((INDIRECT($B$3)=$B244)*(INDIRECT($C$3)=$D244)*((INDIRECT($E$3)="TOTS")+(INDIRECT($E$3)=$E244)),INDIRECT(Q$3)))),_xlpm.y,SUM(_xlfn.CHOOSECOLS(_xlfn._xlws.FILTER(F_RT14[],(F_RT14[PrjId]=$B244)*(F_RT14[Vrs]=$D244)*(_xlfn.TEXTAFTER(F_RT14[ActGrp],":")=_xlfn.TEXTAFTER($H244,":")),"X"),MATCH("*"&amp;Q$54,F_RT14[#Headers],0))),IF(AND(_xlpm.x=0,_xlpm.y&lt;&gt;0),-1,IF(AND(_xlpm.x&lt;&gt;0,_xlpm.y&lt;&gt;0),_xlpm.x,IF(AND(_xlpm.x-SUM(IF((INDIRECT($B$3)=$B244)*(INDIRECT($C$3)=$D244)*((INDIRECT($E$3)="TOTS")+(INDIRECT($E$3)=$E244)),INDIRECT(Q$3)))&lt;&gt;0,_xlpm.y=0),-2,_xlpm.x)))),0))</f>
        <v>0</v>
      </c>
      <c r="R244" s="199" cm="1">
        <f t="array" aca="1" ref="R244" ca="1">IF(OR($B244="",$B244="X",$D244="",$D244="X",$E244="",$E244="X"),0,IFERROR(_xlfn.LET(_xlpm.x,SUM(SUM(_xlfn._xlws.FILTER(VALUE(PptoSty[Sign]&amp;1)*(1/PptoSty[Division]),(PptoSty[Division]&lt;&gt;0)*(PptoSty[Division]&lt;&gt;"")*(PptoSty[Division]&lt;&gt;"X")*(PptoSty[Project]=$B244)*(PptoSty[Vrs]=$D244)*(PptoSty[PiRow]=_xlfn.TEXTAFTER($H244,":"))*(PptoSty[PiColumn]=R$54),0)),SUM(IF((INDIRECT($B$3)=$B244)*(INDIRECT($C$3)=$D244)*((INDIRECT($E$3)="TOTS")+(INDIRECT($E$3)=$E244)),INDIRECT(R$3)))),_xlpm.y,SUM(_xlfn.CHOOSECOLS(_xlfn._xlws.FILTER(F_RT14[],(F_RT14[PrjId]=$B244)*(F_RT14[Vrs]=$D244)*(_xlfn.TEXTAFTER(F_RT14[ActGrp],":")=_xlfn.TEXTAFTER($H244,":")),"X"),MATCH("*"&amp;R$54,F_RT14[#Headers],0))),IF(AND(_xlpm.x=0,_xlpm.y&lt;&gt;0),-1,IF(AND(_xlpm.x&lt;&gt;0,_xlpm.y&lt;&gt;0),_xlpm.x,IF(AND(_xlpm.x-SUM(IF((INDIRECT($B$3)=$B244)*(INDIRECT($C$3)=$D244)*((INDIRECT($E$3)="TOTS")+(INDIRECT($E$3)=$E244)),INDIRECT(R$3)))&lt;&gt;0,_xlpm.y=0),-2,_xlpm.x)))),0))</f>
        <v>0</v>
      </c>
      <c r="S244" s="199" cm="1">
        <f t="array" aca="1" ref="S244" ca="1">IF(OR($B244="",$B244="X",$D244="",$D244="X",$E244="",$E244="X"),0,IFERROR(_xlfn.LET(_xlpm.x,SUM(SUM(_xlfn._xlws.FILTER(VALUE(PptoSty[Sign]&amp;1)*(1/PptoSty[Division]),(PptoSty[Division]&lt;&gt;0)*(PptoSty[Division]&lt;&gt;"")*(PptoSty[Division]&lt;&gt;"X")*(PptoSty[Project]=$B244)*(PptoSty[Vrs]=$D244)*(PptoSty[PiRow]=_xlfn.TEXTAFTER($H244,":"))*(PptoSty[PiColumn]=S$54),0)),SUM(IF((INDIRECT($B$3)=$B244)*(INDIRECT($C$3)=$D244)*((INDIRECT($E$3)="TOTS")+(INDIRECT($E$3)=$E244)),INDIRECT(S$3)))),_xlpm.y,SUM(_xlfn.CHOOSECOLS(_xlfn._xlws.FILTER(F_RT14[],(F_RT14[PrjId]=$B244)*(F_RT14[Vrs]=$D244)*(_xlfn.TEXTAFTER(F_RT14[ActGrp],":")=_xlfn.TEXTAFTER($H244,":")),"X"),MATCH("*"&amp;S$54,F_RT14[#Headers],0))),IF(AND(_xlpm.x=0,_xlpm.y&lt;&gt;0),-1,IF(AND(_xlpm.x&lt;&gt;0,_xlpm.y&lt;&gt;0),_xlpm.x,IF(AND(_xlpm.x-SUM(IF((INDIRECT($B$3)=$B244)*(INDIRECT($C$3)=$D244)*((INDIRECT($E$3)="TOTS")+(INDIRECT($E$3)=$E244)),INDIRECT(S$3)))&lt;&gt;0,_xlpm.y=0),-2,_xlpm.x)))),0))</f>
        <v>0</v>
      </c>
      <c r="T244" s="199" cm="1">
        <f t="array" aca="1" ref="T244" ca="1">IF(OR($B244="",$B244="X",$D244="",$D244="X",$E244="",$E244="X"),0,IFERROR(_xlfn.LET(_xlpm.x,SUM(SUM(_xlfn._xlws.FILTER(VALUE(PptoSty[Sign]&amp;1)*(1/PptoSty[Division]),(PptoSty[Division]&lt;&gt;0)*(PptoSty[Division]&lt;&gt;"")*(PptoSty[Division]&lt;&gt;"X")*(PptoSty[Project]=$B244)*(PptoSty[Vrs]=$D244)*(PptoSty[PiRow]=_xlfn.TEXTAFTER($H244,":"))*(PptoSty[PiColumn]=T$54),0)),SUM(IF((INDIRECT($B$3)=$B244)*(INDIRECT($C$3)=$D244)*((INDIRECT($E$3)="TOTS")+(INDIRECT($E$3)=$E244)),INDIRECT(T$3)))),_xlpm.y,SUM(_xlfn.CHOOSECOLS(_xlfn._xlws.FILTER(F_RT14[],(F_RT14[PrjId]=$B244)*(F_RT14[Vrs]=$D244)*(_xlfn.TEXTAFTER(F_RT14[ActGrp],":")=_xlfn.TEXTAFTER($H244,":")),"X"),MATCH("*"&amp;T$54,F_RT14[#Headers],0))),IF(AND(_xlpm.x=0,_xlpm.y&lt;&gt;0),-1,IF(AND(_xlpm.x&lt;&gt;0,_xlpm.y&lt;&gt;0),_xlpm.x,IF(AND(_xlpm.x-SUM(IF((INDIRECT($B$3)=$B244)*(INDIRECT($C$3)=$D244)*((INDIRECT($E$3)="TOTS")+(INDIRECT($E$3)=$E244)),INDIRECT(T$3)))&lt;&gt;0,_xlpm.y=0),-2,_xlpm.x)))),0))</f>
        <v>0</v>
      </c>
      <c r="U244" s="199" cm="1">
        <f t="array" aca="1" ref="U244" ca="1">IF(OR($B244="",$B244="X",$D244="",$D244="X",$E244="",$E244="X"),0,IFERROR(_xlfn.LET(_xlpm.x,SUM(SUM(_xlfn._xlws.FILTER(VALUE(PptoSty[Sign]&amp;1)*(1/PptoSty[Division]),(PptoSty[Division]&lt;&gt;0)*(PptoSty[Division]&lt;&gt;"")*(PptoSty[Division]&lt;&gt;"X")*(PptoSty[Project]=$B244)*(PptoSty[Vrs]=$D244)*(PptoSty[PiRow]=_xlfn.TEXTAFTER($H244,":"))*(PptoSty[PiColumn]=U$54),0)),SUM(IF((INDIRECT($B$3)=$B244)*(INDIRECT($C$3)=$D244)*((INDIRECT($E$3)="TOTS")+(INDIRECT($E$3)=$E244)),INDIRECT(U$3)))),_xlpm.y,SUM(_xlfn.CHOOSECOLS(_xlfn._xlws.FILTER(F_RT14[],(F_RT14[PrjId]=$B244)*(F_RT14[Vrs]=$D244)*(_xlfn.TEXTAFTER(F_RT14[ActGrp],":")=_xlfn.TEXTAFTER($H244,":")),"X"),MATCH("*"&amp;U$54,F_RT14[#Headers],0))),IF(AND(_xlpm.x=0,_xlpm.y&lt;&gt;0),-1,IF(AND(_xlpm.x&lt;&gt;0,_xlpm.y&lt;&gt;0),_xlpm.x,IF(AND(_xlpm.x-SUM(IF((INDIRECT($B$3)=$B244)*(INDIRECT($C$3)=$D244)*((INDIRECT($E$3)="TOTS")+(INDIRECT($E$3)=$E244)),INDIRECT(U$3)))&lt;&gt;0,_xlpm.y=0),-2,_xlpm.x)))),0))</f>
        <v>0</v>
      </c>
      <c r="V244" s="199" cm="1">
        <f t="array" aca="1" ref="V244" ca="1">IF(OR($B244="",$B244="X",$D244="",$D244="X",$E244="",$E244="X"),0,IFERROR(_xlfn.LET(_xlpm.x,SUM(SUM(_xlfn._xlws.FILTER(VALUE(PptoSty[Sign]&amp;1)*(1/PptoSty[Division]),(PptoSty[Division]&lt;&gt;0)*(PptoSty[Division]&lt;&gt;"")*(PptoSty[Division]&lt;&gt;"X")*(PptoSty[Project]=$B244)*(PptoSty[Vrs]=$D244)*(PptoSty[PiRow]=_xlfn.TEXTAFTER($H244,":"))*(PptoSty[PiColumn]=V$54),0)),SUM(IF((INDIRECT($B$3)=$B244)*(INDIRECT($C$3)=$D244)*((INDIRECT($E$3)="TOTS")+(INDIRECT($E$3)=$E244)),INDIRECT(V$3)))),_xlpm.y,SUM(_xlfn.CHOOSECOLS(_xlfn._xlws.FILTER(F_RT14[],(F_RT14[PrjId]=$B244)*(F_RT14[Vrs]=$D244)*(_xlfn.TEXTAFTER(F_RT14[ActGrp],":")=_xlfn.TEXTAFTER($H244,":")),"X"),MATCH("*"&amp;V$54,F_RT14[#Headers],0))),IF(AND(_xlpm.x=0,_xlpm.y&lt;&gt;0),-1,IF(AND(_xlpm.x&lt;&gt;0,_xlpm.y&lt;&gt;0),_xlpm.x,IF(AND(_xlpm.x-SUM(IF((INDIRECT($B$3)=$B244)*(INDIRECT($C$3)=$D244)*((INDIRECT($E$3)="TOTS")+(INDIRECT($E$3)=$E244)),INDIRECT(V$3)))&lt;&gt;0,_xlpm.y=0),-2,_xlpm.x)))),0))</f>
        <v>0</v>
      </c>
      <c r="W244" s="199" cm="1">
        <f t="array" aca="1" ref="W244" ca="1">IF(OR($B244="",$B244="X",$D244="",$D244="X",$E244="",$E244="X"),0,IFERROR(_xlfn.LET(_xlpm.x,SUM(SUM(_xlfn._xlws.FILTER(VALUE(PptoSty[Sign]&amp;1)*(1/PptoSty[Division]),(PptoSty[Division]&lt;&gt;0)*(PptoSty[Division]&lt;&gt;"")*(PptoSty[Division]&lt;&gt;"X")*(PptoSty[Project]=$B244)*(PptoSty[Vrs]=$D244)*(PptoSty[PiRow]=_xlfn.TEXTAFTER($H244,":"))*(PptoSty[PiColumn]=W$54),0)),SUM(IF((INDIRECT($B$3)=$B244)*(INDIRECT($C$3)=$D244)*((INDIRECT($E$3)="TOTS")+(INDIRECT($E$3)=$E244)),INDIRECT(W$3)))),_xlpm.y,SUM(_xlfn.CHOOSECOLS(_xlfn._xlws.FILTER(F_RT14[],(F_RT14[PrjId]=$B244)*(F_RT14[Vrs]=$D244)*(_xlfn.TEXTAFTER(F_RT14[ActGrp],":")=_xlfn.TEXTAFTER($H244,":")),"X"),MATCH("*"&amp;W$54,F_RT14[#Headers],0))),IF(AND(_xlpm.x=0,_xlpm.y&lt;&gt;0),-1,IF(AND(_xlpm.x&lt;&gt;0,_xlpm.y&lt;&gt;0),_xlpm.x,IF(AND(_xlpm.x-SUM(IF((INDIRECT($B$3)=$B244)*(INDIRECT($C$3)=$D244)*((INDIRECT($E$3)="TOTS")+(INDIRECT($E$3)=$E244)),INDIRECT(W$3)))&lt;&gt;0,_xlpm.y=0),-2,_xlpm.x)))),0))</f>
        <v>0</v>
      </c>
      <c r="X244" s="199" cm="1">
        <f t="array" aca="1" ref="X244" ca="1">IF(OR($B244="",$B244="X",$D244="",$D244="X",$E244="",$E244="X"),0,IFERROR(_xlfn.LET(_xlpm.x,SUM(SUM(_xlfn._xlws.FILTER(VALUE(PptoSty[Sign]&amp;1)*(1/PptoSty[Division]),(PptoSty[Division]&lt;&gt;0)*(PptoSty[Division]&lt;&gt;"")*(PptoSty[Division]&lt;&gt;"X")*(PptoSty[Project]=$B244)*(PptoSty[Vrs]=$D244)*(PptoSty[PiRow]=_xlfn.TEXTAFTER($H244,":"))*(PptoSty[PiColumn]=X$54),0)),SUM(IF((INDIRECT($B$3)=$B244)*(INDIRECT($C$3)=$D244)*((INDIRECT($E$3)="TOTS")+(INDIRECT($E$3)=$E244)),INDIRECT(X$3)))),_xlpm.y,SUM(_xlfn.CHOOSECOLS(_xlfn._xlws.FILTER(F_RT14[],(F_RT14[PrjId]=$B244)*(F_RT14[Vrs]=$D244)*(_xlfn.TEXTAFTER(F_RT14[ActGrp],":")=_xlfn.TEXTAFTER($H244,":")),"X"),MATCH("*"&amp;X$54,F_RT14[#Headers],0))),IF(AND(_xlpm.x=0,_xlpm.y&lt;&gt;0),-1,IF(AND(_xlpm.x&lt;&gt;0,_xlpm.y&lt;&gt;0),_xlpm.x,IF(AND(_xlpm.x-SUM(IF((INDIRECT($B$3)=$B244)*(INDIRECT($C$3)=$D244)*((INDIRECT($E$3)="TOTS")+(INDIRECT($E$3)=$E244)),INDIRECT(X$3)))&lt;&gt;0,_xlpm.y=0),-2,_xlpm.x)))),0))</f>
        <v>0</v>
      </c>
      <c r="Y244" s="199" cm="1">
        <f t="array" aca="1" ref="Y244" ca="1">IF(OR($B244="",$B244="X",$D244="",$D244="X",$E244="",$E244="X"),0,IFERROR(_xlfn.LET(_xlpm.x,SUM(SUM(_xlfn._xlws.FILTER(VALUE(PptoSty[Sign]&amp;1)*(1/PptoSty[Division]),(PptoSty[Division]&lt;&gt;0)*(PptoSty[Division]&lt;&gt;"")*(PptoSty[Division]&lt;&gt;"X")*(PptoSty[Project]=$B244)*(PptoSty[Vrs]=$D244)*(PptoSty[PiRow]=_xlfn.TEXTAFTER($H244,":"))*(PptoSty[PiColumn]=Y$54),0)),SUM(IF((INDIRECT($B$3)=$B244)*(INDIRECT($C$3)=$D244)*((INDIRECT($E$3)="TOTS")+(INDIRECT($E$3)=$E244)),INDIRECT(Y$3)))),_xlpm.y,SUM(_xlfn.CHOOSECOLS(_xlfn._xlws.FILTER(F_RT14[],(F_RT14[PrjId]=$B244)*(F_RT14[Vrs]=$D244)*(_xlfn.TEXTAFTER(F_RT14[ActGrp],":")=_xlfn.TEXTAFTER($H244,":")),"X"),MATCH("*"&amp;Y$54,F_RT14[#Headers],0))),IF(AND(_xlpm.x=0,_xlpm.y&lt;&gt;0),-1,IF(AND(_xlpm.x&lt;&gt;0,_xlpm.y&lt;&gt;0),_xlpm.x,IF(AND(_xlpm.x-SUM(IF((INDIRECT($B$3)=$B244)*(INDIRECT($C$3)=$D244)*((INDIRECT($E$3)="TOTS")+(INDIRECT($E$3)=$E244)),INDIRECT(Y$3)))&lt;&gt;0,_xlpm.y=0),-2,_xlpm.x)))),0))</f>
        <v>0</v>
      </c>
      <c r="Z244" s="198" t="str">
        <f t="shared" ca="1" si="4"/>
        <v>Fback!B244:Y244</v>
      </c>
      <c r="AA244" s="38"/>
    </row>
    <row r="245" spans="1:27" ht="21" customHeight="1" outlineLevel="1">
      <c r="B245" s="128"/>
      <c r="C245" s="128"/>
      <c r="D245" s="128"/>
      <c r="E245" s="128"/>
      <c r="F245" s="139"/>
      <c r="G245" s="139"/>
      <c r="H245" s="139"/>
      <c r="I245" s="199" cm="1">
        <f t="array" aca="1" ref="I245" ca="1">IF(OR($B245="",$B245="X",$D245="",$D245="X",$E245="",$E245="X"),0,IFERROR(_xlfn.LET(_xlpm.x,SUM(SUM(_xlfn._xlws.FILTER(VALUE(PptoSty[Sign]&amp;1)*(1/PptoSty[Division]),(PptoSty[Division]&lt;&gt;0)*(PptoSty[Division]&lt;&gt;"")*(PptoSty[Division]&lt;&gt;"X")*(PptoSty[Project]=$B245)*(PptoSty[Vrs]=$D245)*(PptoSty[PiRow]=_xlfn.TEXTAFTER($H245,":"))*(PptoSty[PiColumn]=I$54),0)),SUM(IF((INDIRECT($B$3)=$B245)*(INDIRECT($C$3)=$D245)*((INDIRECT($E$3)="TOTS")+(INDIRECT($E$3)=$E245)),INDIRECT(I$3)))),_xlpm.y,SUM(_xlfn.CHOOSECOLS(_xlfn._xlws.FILTER(F_RT14[],(F_RT14[PrjId]=$B245)*(F_RT14[Vrs]=$D245)*(_xlfn.TEXTAFTER(F_RT14[ActGrp],":")=_xlfn.TEXTAFTER($H245,":")),"X"),MATCH("*"&amp;I$54,F_RT14[#Headers],0))),IF(AND(_xlpm.x=0,_xlpm.y&lt;&gt;0),-1,IF(AND(_xlpm.x&lt;&gt;0,_xlpm.y&lt;&gt;0),_xlpm.x,IF(AND(_xlpm.x-SUM(IF((INDIRECT($B$3)=$B245)*(INDIRECT($C$3)=$D245)*((INDIRECT($E$3)="TOTS")+(INDIRECT($E$3)=$E245)),INDIRECT(I$3)))&lt;&gt;0,_xlpm.y=0),-2,_xlpm.x)))),0))</f>
        <v>0</v>
      </c>
      <c r="J245" s="199" cm="1">
        <f t="array" aca="1" ref="J245" ca="1">IF(OR($B245="",$B245="X",$D245="",$D245="X",$E245="",$E245="X"),0,IFERROR(_xlfn.LET(_xlpm.x,SUM(SUM(_xlfn._xlws.FILTER(VALUE(PptoSty[Sign]&amp;1)*(1/PptoSty[Division]),(PptoSty[Division]&lt;&gt;0)*(PptoSty[Division]&lt;&gt;"")*(PptoSty[Division]&lt;&gt;"X")*(PptoSty[Project]=$B245)*(PptoSty[Vrs]=$D245)*(PptoSty[PiRow]=_xlfn.TEXTAFTER($H245,":"))*(PptoSty[PiColumn]=J$54),0)),SUM(IF((INDIRECT($B$3)=$B245)*(INDIRECT($C$3)=$D245)*((INDIRECT($E$3)="TOTS")+(INDIRECT($E$3)=$E245)),INDIRECT(J$3)))),_xlpm.y,SUM(_xlfn.CHOOSECOLS(_xlfn._xlws.FILTER(F_RT14[],(F_RT14[PrjId]=$B245)*(F_RT14[Vrs]=$D245)*(_xlfn.TEXTAFTER(F_RT14[ActGrp],":")=_xlfn.TEXTAFTER($H245,":")),"X"),MATCH("*"&amp;J$54,F_RT14[#Headers],0))),IF(AND(_xlpm.x=0,_xlpm.y&lt;&gt;0),-1,IF(AND(_xlpm.x&lt;&gt;0,_xlpm.y&lt;&gt;0),_xlpm.x,IF(AND(_xlpm.x-SUM(IF((INDIRECT($B$3)=$B245)*(INDIRECT($C$3)=$D245)*((INDIRECT($E$3)="TOTS")+(INDIRECT($E$3)=$E245)),INDIRECT(J$3)))&lt;&gt;0,_xlpm.y=0),-2,_xlpm.x)))),0))</f>
        <v>0</v>
      </c>
      <c r="K245" s="199" cm="1">
        <f t="array" aca="1" ref="K245" ca="1">IF(OR($B245="",$B245="X",$D245="",$D245="X",$E245="",$E245="X"),0,IFERROR(_xlfn.LET(_xlpm.x,SUM(SUM(_xlfn._xlws.FILTER(VALUE(PptoSty[Sign]&amp;1)*(1/PptoSty[Division]),(PptoSty[Division]&lt;&gt;0)*(PptoSty[Division]&lt;&gt;"")*(PptoSty[Division]&lt;&gt;"X")*(PptoSty[Project]=$B245)*(PptoSty[Vrs]=$D245)*(PptoSty[PiRow]=_xlfn.TEXTAFTER($H245,":"))*(PptoSty[PiColumn]=K$54),0)),SUM(IF((INDIRECT($B$3)=$B245)*(INDIRECT($C$3)=$D245)*((INDIRECT($E$3)="TOTS")+(INDIRECT($E$3)=$E245)),INDIRECT(K$3)))),_xlpm.y,SUM(_xlfn.CHOOSECOLS(_xlfn._xlws.FILTER(F_RT14[],(F_RT14[PrjId]=$B245)*(F_RT14[Vrs]=$D245)*(_xlfn.TEXTAFTER(F_RT14[ActGrp],":")=_xlfn.TEXTAFTER($H245,":")),"X"),MATCH("*"&amp;K$54,F_RT14[#Headers],0))),IF(AND(_xlpm.x=0,_xlpm.y&lt;&gt;0),-1,IF(AND(_xlpm.x&lt;&gt;0,_xlpm.y&lt;&gt;0),_xlpm.x,IF(AND(_xlpm.x-SUM(IF((INDIRECT($B$3)=$B245)*(INDIRECT($C$3)=$D245)*((INDIRECT($E$3)="TOTS")+(INDIRECT($E$3)=$E245)),INDIRECT(K$3)))&lt;&gt;0,_xlpm.y=0),-2,_xlpm.x)))),0))</f>
        <v>0</v>
      </c>
      <c r="L245" s="199" cm="1">
        <f t="array" aca="1" ref="L245" ca="1">IF(OR($B245="",$B245="X",$D245="",$D245="X",$E245="",$E245="X"),0,IFERROR(_xlfn.LET(_xlpm.x,SUM(SUM(_xlfn._xlws.FILTER(VALUE(PptoSty[Sign]&amp;1)*(1/PptoSty[Division]),(PptoSty[Division]&lt;&gt;0)*(PptoSty[Division]&lt;&gt;"")*(PptoSty[Division]&lt;&gt;"X")*(PptoSty[Project]=$B245)*(PptoSty[Vrs]=$D245)*(PptoSty[PiRow]=_xlfn.TEXTAFTER($H245,":"))*(PptoSty[PiColumn]=L$54),0)),SUM(IF((INDIRECT($B$3)=$B245)*(INDIRECT($C$3)=$D245)*((INDIRECT($E$3)="TOTS")+(INDIRECT($E$3)=$E245)),INDIRECT(L$3)))),_xlpm.y,SUM(_xlfn.CHOOSECOLS(_xlfn._xlws.FILTER(F_RT14[],(F_RT14[PrjId]=$B245)*(F_RT14[Vrs]=$D245)*(_xlfn.TEXTAFTER(F_RT14[ActGrp],":")=_xlfn.TEXTAFTER($H245,":")),"X"),MATCH("*"&amp;L$54,F_RT14[#Headers],0))),IF(AND(_xlpm.x=0,_xlpm.y&lt;&gt;0),-1,IF(AND(_xlpm.x&lt;&gt;0,_xlpm.y&lt;&gt;0),_xlpm.x,IF(AND(_xlpm.x-SUM(IF((INDIRECT($B$3)=$B245)*(INDIRECT($C$3)=$D245)*((INDIRECT($E$3)="TOTS")+(INDIRECT($E$3)=$E245)),INDIRECT(L$3)))&lt;&gt;0,_xlpm.y=0),-2,_xlpm.x)))),0))</f>
        <v>0</v>
      </c>
      <c r="M245" s="199" cm="1">
        <f t="array" aca="1" ref="M245" ca="1">IF(OR($B245="",$B245="X",$D245="",$D245="X",$E245="",$E245="X"),0,IFERROR(_xlfn.LET(_xlpm.x,SUM(SUM(_xlfn._xlws.FILTER(VALUE(PptoSty[Sign]&amp;1)*(1/PptoSty[Division]),(PptoSty[Division]&lt;&gt;0)*(PptoSty[Division]&lt;&gt;"")*(PptoSty[Division]&lt;&gt;"X")*(PptoSty[Project]=$B245)*(PptoSty[Vrs]=$D245)*(PptoSty[PiRow]=_xlfn.TEXTAFTER($H245,":"))*(PptoSty[PiColumn]=M$54),0)),SUM(IF((INDIRECT($B$3)=$B245)*(INDIRECT($C$3)=$D245)*((INDIRECT($E$3)="TOTS")+(INDIRECT($E$3)=$E245)),INDIRECT(M$3)))),_xlpm.y,SUM(_xlfn.CHOOSECOLS(_xlfn._xlws.FILTER(F_RT14[],(F_RT14[PrjId]=$B245)*(F_RT14[Vrs]=$D245)*(_xlfn.TEXTAFTER(F_RT14[ActGrp],":")=_xlfn.TEXTAFTER($H245,":")),"X"),MATCH("*"&amp;M$54,F_RT14[#Headers],0))),IF(AND(_xlpm.x=0,_xlpm.y&lt;&gt;0),-1,IF(AND(_xlpm.x&lt;&gt;0,_xlpm.y&lt;&gt;0),_xlpm.x,IF(AND(_xlpm.x-SUM(IF((INDIRECT($B$3)=$B245)*(INDIRECT($C$3)=$D245)*((INDIRECT($E$3)="TOTS")+(INDIRECT($E$3)=$E245)),INDIRECT(M$3)))&lt;&gt;0,_xlpm.y=0),-2,_xlpm.x)))),0))</f>
        <v>0</v>
      </c>
      <c r="N245" s="199" cm="1">
        <f t="array" aca="1" ref="N245" ca="1">IF(OR($B245="",$B245="X",$D245="",$D245="X",$E245="",$E245="X"),0,IFERROR(_xlfn.LET(_xlpm.x,SUM(SUM(_xlfn._xlws.FILTER(VALUE(PptoSty[Sign]&amp;1)*(1/PptoSty[Division]),(PptoSty[Division]&lt;&gt;0)*(PptoSty[Division]&lt;&gt;"")*(PptoSty[Division]&lt;&gt;"X")*(PptoSty[Project]=$B245)*(PptoSty[Vrs]=$D245)*(PptoSty[PiRow]=_xlfn.TEXTAFTER($H245,":"))*(PptoSty[PiColumn]=N$54),0)),SUM(IF((INDIRECT($B$3)=$B245)*(INDIRECT($C$3)=$D245)*((INDIRECT($E$3)="TOTS")+(INDIRECT($E$3)=$E245)),INDIRECT(N$3)))),_xlpm.y,SUM(_xlfn.CHOOSECOLS(_xlfn._xlws.FILTER(F_RT14[],(F_RT14[PrjId]=$B245)*(F_RT14[Vrs]=$D245)*(_xlfn.TEXTAFTER(F_RT14[ActGrp],":")=_xlfn.TEXTAFTER($H245,":")),"X"),MATCH("*"&amp;N$54,F_RT14[#Headers],0))),IF(AND(_xlpm.x=0,_xlpm.y&lt;&gt;0),-1,IF(AND(_xlpm.x&lt;&gt;0,_xlpm.y&lt;&gt;0),_xlpm.x,IF(AND(_xlpm.x-SUM(IF((INDIRECT($B$3)=$B245)*(INDIRECT($C$3)=$D245)*((INDIRECT($E$3)="TOTS")+(INDIRECT($E$3)=$E245)),INDIRECT(N$3)))&lt;&gt;0,_xlpm.y=0),-2,_xlpm.x)))),0))</f>
        <v>0</v>
      </c>
      <c r="O245" s="199" cm="1">
        <f t="array" aca="1" ref="O245" ca="1">IF(OR($B245="",$B245="X",$D245="",$D245="X",$E245="",$E245="X"),0,IFERROR(_xlfn.LET(_xlpm.x,SUM(SUM(_xlfn._xlws.FILTER(VALUE(PptoSty[Sign]&amp;1)*(1/PptoSty[Division]),(PptoSty[Division]&lt;&gt;0)*(PptoSty[Division]&lt;&gt;"")*(PptoSty[Division]&lt;&gt;"X")*(PptoSty[Project]=$B245)*(PptoSty[Vrs]=$D245)*(PptoSty[PiRow]=_xlfn.TEXTAFTER($H245,":"))*(PptoSty[PiColumn]=O$54),0)),SUM(IF((INDIRECT($B$3)=$B245)*(INDIRECT($C$3)=$D245)*((INDIRECT($E$3)="TOTS")+(INDIRECT($E$3)=$E245)),INDIRECT(O$3)))),_xlpm.y,SUM(_xlfn.CHOOSECOLS(_xlfn._xlws.FILTER(F_RT14[],(F_RT14[PrjId]=$B245)*(F_RT14[Vrs]=$D245)*(_xlfn.TEXTAFTER(F_RT14[ActGrp],":")=_xlfn.TEXTAFTER($H245,":")),"X"),MATCH("*"&amp;O$54,F_RT14[#Headers],0))),IF(AND(_xlpm.x=0,_xlpm.y&lt;&gt;0),-1,IF(AND(_xlpm.x&lt;&gt;0,_xlpm.y&lt;&gt;0),_xlpm.x,IF(AND(_xlpm.x-SUM(IF((INDIRECT($B$3)=$B245)*(INDIRECT($C$3)=$D245)*((INDIRECT($E$3)="TOTS")+(INDIRECT($E$3)=$E245)),INDIRECT(O$3)))&lt;&gt;0,_xlpm.y=0),-2,_xlpm.x)))),0))</f>
        <v>0</v>
      </c>
      <c r="P245" s="199" cm="1">
        <f t="array" aca="1" ref="P245" ca="1">IF(OR($B245="",$B245="X",$D245="",$D245="X",$E245="",$E245="X"),0,IFERROR(_xlfn.LET(_xlpm.x,SUM(SUM(_xlfn._xlws.FILTER(VALUE(PptoSty[Sign]&amp;1)*(1/PptoSty[Division]),(PptoSty[Division]&lt;&gt;0)*(PptoSty[Division]&lt;&gt;"")*(PptoSty[Division]&lt;&gt;"X")*(PptoSty[Project]=$B245)*(PptoSty[Vrs]=$D245)*(PptoSty[PiRow]=_xlfn.TEXTAFTER($H245,":"))*(PptoSty[PiColumn]=P$54),0)),SUM(IF((INDIRECT($B$3)=$B245)*(INDIRECT($C$3)=$D245)*((INDIRECT($E$3)="TOTS")+(INDIRECT($E$3)=$E245)),INDIRECT(P$3)))),_xlpm.y,SUM(_xlfn.CHOOSECOLS(_xlfn._xlws.FILTER(F_RT14[],(F_RT14[PrjId]=$B245)*(F_RT14[Vrs]=$D245)*(_xlfn.TEXTAFTER(F_RT14[ActGrp],":")=_xlfn.TEXTAFTER($H245,":")),"X"),MATCH("*"&amp;P$54,F_RT14[#Headers],0))),IF(AND(_xlpm.x=0,_xlpm.y&lt;&gt;0),-1,IF(AND(_xlpm.x&lt;&gt;0,_xlpm.y&lt;&gt;0),_xlpm.x,IF(AND(_xlpm.x-SUM(IF((INDIRECT($B$3)=$B245)*(INDIRECT($C$3)=$D245)*((INDIRECT($E$3)="TOTS")+(INDIRECT($E$3)=$E245)),INDIRECT(P$3)))&lt;&gt;0,_xlpm.y=0),-2,_xlpm.x)))),0))</f>
        <v>0</v>
      </c>
      <c r="Q245" s="199" cm="1">
        <f t="array" aca="1" ref="Q245" ca="1">IF(OR($B245="",$B245="X",$D245="",$D245="X",$E245="",$E245="X"),0,IFERROR(_xlfn.LET(_xlpm.x,SUM(SUM(_xlfn._xlws.FILTER(VALUE(PptoSty[Sign]&amp;1)*(1/PptoSty[Division]),(PptoSty[Division]&lt;&gt;0)*(PptoSty[Division]&lt;&gt;"")*(PptoSty[Division]&lt;&gt;"X")*(PptoSty[Project]=$B245)*(PptoSty[Vrs]=$D245)*(PptoSty[PiRow]=_xlfn.TEXTAFTER($H245,":"))*(PptoSty[PiColumn]=Q$54),0)),SUM(IF((INDIRECT($B$3)=$B245)*(INDIRECT($C$3)=$D245)*((INDIRECT($E$3)="TOTS")+(INDIRECT($E$3)=$E245)),INDIRECT(Q$3)))),_xlpm.y,SUM(_xlfn.CHOOSECOLS(_xlfn._xlws.FILTER(F_RT14[],(F_RT14[PrjId]=$B245)*(F_RT14[Vrs]=$D245)*(_xlfn.TEXTAFTER(F_RT14[ActGrp],":")=_xlfn.TEXTAFTER($H245,":")),"X"),MATCH("*"&amp;Q$54,F_RT14[#Headers],0))),IF(AND(_xlpm.x=0,_xlpm.y&lt;&gt;0),-1,IF(AND(_xlpm.x&lt;&gt;0,_xlpm.y&lt;&gt;0),_xlpm.x,IF(AND(_xlpm.x-SUM(IF((INDIRECT($B$3)=$B245)*(INDIRECT($C$3)=$D245)*((INDIRECT($E$3)="TOTS")+(INDIRECT($E$3)=$E245)),INDIRECT(Q$3)))&lt;&gt;0,_xlpm.y=0),-2,_xlpm.x)))),0))</f>
        <v>0</v>
      </c>
      <c r="R245" s="199" cm="1">
        <f t="array" aca="1" ref="R245" ca="1">IF(OR($B245="",$B245="X",$D245="",$D245="X",$E245="",$E245="X"),0,IFERROR(_xlfn.LET(_xlpm.x,SUM(SUM(_xlfn._xlws.FILTER(VALUE(PptoSty[Sign]&amp;1)*(1/PptoSty[Division]),(PptoSty[Division]&lt;&gt;0)*(PptoSty[Division]&lt;&gt;"")*(PptoSty[Division]&lt;&gt;"X")*(PptoSty[Project]=$B245)*(PptoSty[Vrs]=$D245)*(PptoSty[PiRow]=_xlfn.TEXTAFTER($H245,":"))*(PptoSty[PiColumn]=R$54),0)),SUM(IF((INDIRECT($B$3)=$B245)*(INDIRECT($C$3)=$D245)*((INDIRECT($E$3)="TOTS")+(INDIRECT($E$3)=$E245)),INDIRECT(R$3)))),_xlpm.y,SUM(_xlfn.CHOOSECOLS(_xlfn._xlws.FILTER(F_RT14[],(F_RT14[PrjId]=$B245)*(F_RT14[Vrs]=$D245)*(_xlfn.TEXTAFTER(F_RT14[ActGrp],":")=_xlfn.TEXTAFTER($H245,":")),"X"),MATCH("*"&amp;R$54,F_RT14[#Headers],0))),IF(AND(_xlpm.x=0,_xlpm.y&lt;&gt;0),-1,IF(AND(_xlpm.x&lt;&gt;0,_xlpm.y&lt;&gt;0),_xlpm.x,IF(AND(_xlpm.x-SUM(IF((INDIRECT($B$3)=$B245)*(INDIRECT($C$3)=$D245)*((INDIRECT($E$3)="TOTS")+(INDIRECT($E$3)=$E245)),INDIRECT(R$3)))&lt;&gt;0,_xlpm.y=0),-2,_xlpm.x)))),0))</f>
        <v>0</v>
      </c>
      <c r="S245" s="199" cm="1">
        <f t="array" aca="1" ref="S245" ca="1">IF(OR($B245="",$B245="X",$D245="",$D245="X",$E245="",$E245="X"),0,IFERROR(_xlfn.LET(_xlpm.x,SUM(SUM(_xlfn._xlws.FILTER(VALUE(PptoSty[Sign]&amp;1)*(1/PptoSty[Division]),(PptoSty[Division]&lt;&gt;0)*(PptoSty[Division]&lt;&gt;"")*(PptoSty[Division]&lt;&gt;"X")*(PptoSty[Project]=$B245)*(PptoSty[Vrs]=$D245)*(PptoSty[PiRow]=_xlfn.TEXTAFTER($H245,":"))*(PptoSty[PiColumn]=S$54),0)),SUM(IF((INDIRECT($B$3)=$B245)*(INDIRECT($C$3)=$D245)*((INDIRECT($E$3)="TOTS")+(INDIRECT($E$3)=$E245)),INDIRECT(S$3)))),_xlpm.y,SUM(_xlfn.CHOOSECOLS(_xlfn._xlws.FILTER(F_RT14[],(F_RT14[PrjId]=$B245)*(F_RT14[Vrs]=$D245)*(_xlfn.TEXTAFTER(F_RT14[ActGrp],":")=_xlfn.TEXTAFTER($H245,":")),"X"),MATCH("*"&amp;S$54,F_RT14[#Headers],0))),IF(AND(_xlpm.x=0,_xlpm.y&lt;&gt;0),-1,IF(AND(_xlpm.x&lt;&gt;0,_xlpm.y&lt;&gt;0),_xlpm.x,IF(AND(_xlpm.x-SUM(IF((INDIRECT($B$3)=$B245)*(INDIRECT($C$3)=$D245)*((INDIRECT($E$3)="TOTS")+(INDIRECT($E$3)=$E245)),INDIRECT(S$3)))&lt;&gt;0,_xlpm.y=0),-2,_xlpm.x)))),0))</f>
        <v>0</v>
      </c>
      <c r="T245" s="199" cm="1">
        <f t="array" aca="1" ref="T245" ca="1">IF(OR($B245="",$B245="X",$D245="",$D245="X",$E245="",$E245="X"),0,IFERROR(_xlfn.LET(_xlpm.x,SUM(SUM(_xlfn._xlws.FILTER(VALUE(PptoSty[Sign]&amp;1)*(1/PptoSty[Division]),(PptoSty[Division]&lt;&gt;0)*(PptoSty[Division]&lt;&gt;"")*(PptoSty[Division]&lt;&gt;"X")*(PptoSty[Project]=$B245)*(PptoSty[Vrs]=$D245)*(PptoSty[PiRow]=_xlfn.TEXTAFTER($H245,":"))*(PptoSty[PiColumn]=T$54),0)),SUM(IF((INDIRECT($B$3)=$B245)*(INDIRECT($C$3)=$D245)*((INDIRECT($E$3)="TOTS")+(INDIRECT($E$3)=$E245)),INDIRECT(T$3)))),_xlpm.y,SUM(_xlfn.CHOOSECOLS(_xlfn._xlws.FILTER(F_RT14[],(F_RT14[PrjId]=$B245)*(F_RT14[Vrs]=$D245)*(_xlfn.TEXTAFTER(F_RT14[ActGrp],":")=_xlfn.TEXTAFTER($H245,":")),"X"),MATCH("*"&amp;T$54,F_RT14[#Headers],0))),IF(AND(_xlpm.x=0,_xlpm.y&lt;&gt;0),-1,IF(AND(_xlpm.x&lt;&gt;0,_xlpm.y&lt;&gt;0),_xlpm.x,IF(AND(_xlpm.x-SUM(IF((INDIRECT($B$3)=$B245)*(INDIRECT($C$3)=$D245)*((INDIRECT($E$3)="TOTS")+(INDIRECT($E$3)=$E245)),INDIRECT(T$3)))&lt;&gt;0,_xlpm.y=0),-2,_xlpm.x)))),0))</f>
        <v>0</v>
      </c>
      <c r="U245" s="199" cm="1">
        <f t="array" aca="1" ref="U245" ca="1">IF(OR($B245="",$B245="X",$D245="",$D245="X",$E245="",$E245="X"),0,IFERROR(_xlfn.LET(_xlpm.x,SUM(SUM(_xlfn._xlws.FILTER(VALUE(PptoSty[Sign]&amp;1)*(1/PptoSty[Division]),(PptoSty[Division]&lt;&gt;0)*(PptoSty[Division]&lt;&gt;"")*(PptoSty[Division]&lt;&gt;"X")*(PptoSty[Project]=$B245)*(PptoSty[Vrs]=$D245)*(PptoSty[PiRow]=_xlfn.TEXTAFTER($H245,":"))*(PptoSty[PiColumn]=U$54),0)),SUM(IF((INDIRECT($B$3)=$B245)*(INDIRECT($C$3)=$D245)*((INDIRECT($E$3)="TOTS")+(INDIRECT($E$3)=$E245)),INDIRECT(U$3)))),_xlpm.y,SUM(_xlfn.CHOOSECOLS(_xlfn._xlws.FILTER(F_RT14[],(F_RT14[PrjId]=$B245)*(F_RT14[Vrs]=$D245)*(_xlfn.TEXTAFTER(F_RT14[ActGrp],":")=_xlfn.TEXTAFTER($H245,":")),"X"),MATCH("*"&amp;U$54,F_RT14[#Headers],0))),IF(AND(_xlpm.x=0,_xlpm.y&lt;&gt;0),-1,IF(AND(_xlpm.x&lt;&gt;0,_xlpm.y&lt;&gt;0),_xlpm.x,IF(AND(_xlpm.x-SUM(IF((INDIRECT($B$3)=$B245)*(INDIRECT($C$3)=$D245)*((INDIRECT($E$3)="TOTS")+(INDIRECT($E$3)=$E245)),INDIRECT(U$3)))&lt;&gt;0,_xlpm.y=0),-2,_xlpm.x)))),0))</f>
        <v>0</v>
      </c>
      <c r="V245" s="199" cm="1">
        <f t="array" aca="1" ref="V245" ca="1">IF(OR($B245="",$B245="X",$D245="",$D245="X",$E245="",$E245="X"),0,IFERROR(_xlfn.LET(_xlpm.x,SUM(SUM(_xlfn._xlws.FILTER(VALUE(PptoSty[Sign]&amp;1)*(1/PptoSty[Division]),(PptoSty[Division]&lt;&gt;0)*(PptoSty[Division]&lt;&gt;"")*(PptoSty[Division]&lt;&gt;"X")*(PptoSty[Project]=$B245)*(PptoSty[Vrs]=$D245)*(PptoSty[PiRow]=_xlfn.TEXTAFTER($H245,":"))*(PptoSty[PiColumn]=V$54),0)),SUM(IF((INDIRECT($B$3)=$B245)*(INDIRECT($C$3)=$D245)*((INDIRECT($E$3)="TOTS")+(INDIRECT($E$3)=$E245)),INDIRECT(V$3)))),_xlpm.y,SUM(_xlfn.CHOOSECOLS(_xlfn._xlws.FILTER(F_RT14[],(F_RT14[PrjId]=$B245)*(F_RT14[Vrs]=$D245)*(_xlfn.TEXTAFTER(F_RT14[ActGrp],":")=_xlfn.TEXTAFTER($H245,":")),"X"),MATCH("*"&amp;V$54,F_RT14[#Headers],0))),IF(AND(_xlpm.x=0,_xlpm.y&lt;&gt;0),-1,IF(AND(_xlpm.x&lt;&gt;0,_xlpm.y&lt;&gt;0),_xlpm.x,IF(AND(_xlpm.x-SUM(IF((INDIRECT($B$3)=$B245)*(INDIRECT($C$3)=$D245)*((INDIRECT($E$3)="TOTS")+(INDIRECT($E$3)=$E245)),INDIRECT(V$3)))&lt;&gt;0,_xlpm.y=0),-2,_xlpm.x)))),0))</f>
        <v>0</v>
      </c>
      <c r="W245" s="199" cm="1">
        <f t="array" aca="1" ref="W245" ca="1">IF(OR($B245="",$B245="X",$D245="",$D245="X",$E245="",$E245="X"),0,IFERROR(_xlfn.LET(_xlpm.x,SUM(SUM(_xlfn._xlws.FILTER(VALUE(PptoSty[Sign]&amp;1)*(1/PptoSty[Division]),(PptoSty[Division]&lt;&gt;0)*(PptoSty[Division]&lt;&gt;"")*(PptoSty[Division]&lt;&gt;"X")*(PptoSty[Project]=$B245)*(PptoSty[Vrs]=$D245)*(PptoSty[PiRow]=_xlfn.TEXTAFTER($H245,":"))*(PptoSty[PiColumn]=W$54),0)),SUM(IF((INDIRECT($B$3)=$B245)*(INDIRECT($C$3)=$D245)*((INDIRECT($E$3)="TOTS")+(INDIRECT($E$3)=$E245)),INDIRECT(W$3)))),_xlpm.y,SUM(_xlfn.CHOOSECOLS(_xlfn._xlws.FILTER(F_RT14[],(F_RT14[PrjId]=$B245)*(F_RT14[Vrs]=$D245)*(_xlfn.TEXTAFTER(F_RT14[ActGrp],":")=_xlfn.TEXTAFTER($H245,":")),"X"),MATCH("*"&amp;W$54,F_RT14[#Headers],0))),IF(AND(_xlpm.x=0,_xlpm.y&lt;&gt;0),-1,IF(AND(_xlpm.x&lt;&gt;0,_xlpm.y&lt;&gt;0),_xlpm.x,IF(AND(_xlpm.x-SUM(IF((INDIRECT($B$3)=$B245)*(INDIRECT($C$3)=$D245)*((INDIRECT($E$3)="TOTS")+(INDIRECT($E$3)=$E245)),INDIRECT(W$3)))&lt;&gt;0,_xlpm.y=0),-2,_xlpm.x)))),0))</f>
        <v>0</v>
      </c>
      <c r="X245" s="199" cm="1">
        <f t="array" aca="1" ref="X245" ca="1">IF(OR($B245="",$B245="X",$D245="",$D245="X",$E245="",$E245="X"),0,IFERROR(_xlfn.LET(_xlpm.x,SUM(SUM(_xlfn._xlws.FILTER(VALUE(PptoSty[Sign]&amp;1)*(1/PptoSty[Division]),(PptoSty[Division]&lt;&gt;0)*(PptoSty[Division]&lt;&gt;"")*(PptoSty[Division]&lt;&gt;"X")*(PptoSty[Project]=$B245)*(PptoSty[Vrs]=$D245)*(PptoSty[PiRow]=_xlfn.TEXTAFTER($H245,":"))*(PptoSty[PiColumn]=X$54),0)),SUM(IF((INDIRECT($B$3)=$B245)*(INDIRECT($C$3)=$D245)*((INDIRECT($E$3)="TOTS")+(INDIRECT($E$3)=$E245)),INDIRECT(X$3)))),_xlpm.y,SUM(_xlfn.CHOOSECOLS(_xlfn._xlws.FILTER(F_RT14[],(F_RT14[PrjId]=$B245)*(F_RT14[Vrs]=$D245)*(_xlfn.TEXTAFTER(F_RT14[ActGrp],":")=_xlfn.TEXTAFTER($H245,":")),"X"),MATCH("*"&amp;X$54,F_RT14[#Headers],0))),IF(AND(_xlpm.x=0,_xlpm.y&lt;&gt;0),-1,IF(AND(_xlpm.x&lt;&gt;0,_xlpm.y&lt;&gt;0),_xlpm.x,IF(AND(_xlpm.x-SUM(IF((INDIRECT($B$3)=$B245)*(INDIRECT($C$3)=$D245)*((INDIRECT($E$3)="TOTS")+(INDIRECT($E$3)=$E245)),INDIRECT(X$3)))&lt;&gt;0,_xlpm.y=0),-2,_xlpm.x)))),0))</f>
        <v>0</v>
      </c>
      <c r="Y245" s="199" cm="1">
        <f t="array" aca="1" ref="Y245" ca="1">IF(OR($B245="",$B245="X",$D245="",$D245="X",$E245="",$E245="X"),0,IFERROR(_xlfn.LET(_xlpm.x,SUM(SUM(_xlfn._xlws.FILTER(VALUE(PptoSty[Sign]&amp;1)*(1/PptoSty[Division]),(PptoSty[Division]&lt;&gt;0)*(PptoSty[Division]&lt;&gt;"")*(PptoSty[Division]&lt;&gt;"X")*(PptoSty[Project]=$B245)*(PptoSty[Vrs]=$D245)*(PptoSty[PiRow]=_xlfn.TEXTAFTER($H245,":"))*(PptoSty[PiColumn]=Y$54),0)),SUM(IF((INDIRECT($B$3)=$B245)*(INDIRECT($C$3)=$D245)*((INDIRECT($E$3)="TOTS")+(INDIRECT($E$3)=$E245)),INDIRECT(Y$3)))),_xlpm.y,SUM(_xlfn.CHOOSECOLS(_xlfn._xlws.FILTER(F_RT14[],(F_RT14[PrjId]=$B245)*(F_RT14[Vrs]=$D245)*(_xlfn.TEXTAFTER(F_RT14[ActGrp],":")=_xlfn.TEXTAFTER($H245,":")),"X"),MATCH("*"&amp;Y$54,F_RT14[#Headers],0))),IF(AND(_xlpm.x=0,_xlpm.y&lt;&gt;0),-1,IF(AND(_xlpm.x&lt;&gt;0,_xlpm.y&lt;&gt;0),_xlpm.x,IF(AND(_xlpm.x-SUM(IF((INDIRECT($B$3)=$B245)*(INDIRECT($C$3)=$D245)*((INDIRECT($E$3)="TOTS")+(INDIRECT($E$3)=$E245)),INDIRECT(Y$3)))&lt;&gt;0,_xlpm.y=0),-2,_xlpm.x)))),0))</f>
        <v>0</v>
      </c>
      <c r="Z245" s="198" t="str">
        <f t="shared" ref="Z245:Z255" ca="1" si="5">ADDRESS(SUM(ROW()),MATCH("SOC",$1:$1,0)+1,4,1,$B$2)&amp;":"&amp;ADDRESS(SUM(ROW()),MATCH("EOC",$1:$1,0)-1,4)</f>
        <v>Fback!B245:Y245</v>
      </c>
      <c r="AA245" s="38"/>
    </row>
    <row r="246" spans="1:27" ht="21" customHeight="1" outlineLevel="1">
      <c r="B246" s="128"/>
      <c r="C246" s="128"/>
      <c r="D246" s="128"/>
      <c r="E246" s="128"/>
      <c r="F246" s="139"/>
      <c r="G246" s="139"/>
      <c r="H246" s="139"/>
      <c r="I246" s="199" cm="1">
        <f t="array" aca="1" ref="I246" ca="1">IF(OR($B246="",$B246="X",$D246="",$D246="X",$E246="",$E246="X"),0,IFERROR(_xlfn.LET(_xlpm.x,SUM(SUM(_xlfn._xlws.FILTER(VALUE(PptoSty[Sign]&amp;1)*(1/PptoSty[Division]),(PptoSty[Division]&lt;&gt;0)*(PptoSty[Division]&lt;&gt;"")*(PptoSty[Division]&lt;&gt;"X")*(PptoSty[Project]=$B246)*(PptoSty[Vrs]=$D246)*(PptoSty[PiRow]=_xlfn.TEXTAFTER($H246,":"))*(PptoSty[PiColumn]=I$54),0)),SUM(IF((INDIRECT($B$3)=$B246)*(INDIRECT($C$3)=$D246)*((INDIRECT($E$3)="TOTS")+(INDIRECT($E$3)=$E246)),INDIRECT(I$3)))),_xlpm.y,SUM(_xlfn.CHOOSECOLS(_xlfn._xlws.FILTER(F_RT14[],(F_RT14[PrjId]=$B246)*(F_RT14[Vrs]=$D246)*(_xlfn.TEXTAFTER(F_RT14[ActGrp],":")=_xlfn.TEXTAFTER($H246,":")),"X"),MATCH("*"&amp;I$54,F_RT14[#Headers],0))),IF(AND(_xlpm.x=0,_xlpm.y&lt;&gt;0),-1,IF(AND(_xlpm.x&lt;&gt;0,_xlpm.y&lt;&gt;0),_xlpm.x,IF(AND(_xlpm.x-SUM(IF((INDIRECT($B$3)=$B246)*(INDIRECT($C$3)=$D246)*((INDIRECT($E$3)="TOTS")+(INDIRECT($E$3)=$E246)),INDIRECT(I$3)))&lt;&gt;0,_xlpm.y=0),-2,_xlpm.x)))),0))</f>
        <v>0</v>
      </c>
      <c r="J246" s="199" cm="1">
        <f t="array" aca="1" ref="J246" ca="1">IF(OR($B246="",$B246="X",$D246="",$D246="X",$E246="",$E246="X"),0,IFERROR(_xlfn.LET(_xlpm.x,SUM(SUM(_xlfn._xlws.FILTER(VALUE(PptoSty[Sign]&amp;1)*(1/PptoSty[Division]),(PptoSty[Division]&lt;&gt;0)*(PptoSty[Division]&lt;&gt;"")*(PptoSty[Division]&lt;&gt;"X")*(PptoSty[Project]=$B246)*(PptoSty[Vrs]=$D246)*(PptoSty[PiRow]=_xlfn.TEXTAFTER($H246,":"))*(PptoSty[PiColumn]=J$54),0)),SUM(IF((INDIRECT($B$3)=$B246)*(INDIRECT($C$3)=$D246)*((INDIRECT($E$3)="TOTS")+(INDIRECT($E$3)=$E246)),INDIRECT(J$3)))),_xlpm.y,SUM(_xlfn.CHOOSECOLS(_xlfn._xlws.FILTER(F_RT14[],(F_RT14[PrjId]=$B246)*(F_RT14[Vrs]=$D246)*(_xlfn.TEXTAFTER(F_RT14[ActGrp],":")=_xlfn.TEXTAFTER($H246,":")),"X"),MATCH("*"&amp;J$54,F_RT14[#Headers],0))),IF(AND(_xlpm.x=0,_xlpm.y&lt;&gt;0),-1,IF(AND(_xlpm.x&lt;&gt;0,_xlpm.y&lt;&gt;0),_xlpm.x,IF(AND(_xlpm.x-SUM(IF((INDIRECT($B$3)=$B246)*(INDIRECT($C$3)=$D246)*((INDIRECT($E$3)="TOTS")+(INDIRECT($E$3)=$E246)),INDIRECT(J$3)))&lt;&gt;0,_xlpm.y=0),-2,_xlpm.x)))),0))</f>
        <v>0</v>
      </c>
      <c r="K246" s="199" cm="1">
        <f t="array" aca="1" ref="K246" ca="1">IF(OR($B246="",$B246="X",$D246="",$D246="X",$E246="",$E246="X"),0,IFERROR(_xlfn.LET(_xlpm.x,SUM(SUM(_xlfn._xlws.FILTER(VALUE(PptoSty[Sign]&amp;1)*(1/PptoSty[Division]),(PptoSty[Division]&lt;&gt;0)*(PptoSty[Division]&lt;&gt;"")*(PptoSty[Division]&lt;&gt;"X")*(PptoSty[Project]=$B246)*(PptoSty[Vrs]=$D246)*(PptoSty[PiRow]=_xlfn.TEXTAFTER($H246,":"))*(PptoSty[PiColumn]=K$54),0)),SUM(IF((INDIRECT($B$3)=$B246)*(INDIRECT($C$3)=$D246)*((INDIRECT($E$3)="TOTS")+(INDIRECT($E$3)=$E246)),INDIRECT(K$3)))),_xlpm.y,SUM(_xlfn.CHOOSECOLS(_xlfn._xlws.FILTER(F_RT14[],(F_RT14[PrjId]=$B246)*(F_RT14[Vrs]=$D246)*(_xlfn.TEXTAFTER(F_RT14[ActGrp],":")=_xlfn.TEXTAFTER($H246,":")),"X"),MATCH("*"&amp;K$54,F_RT14[#Headers],0))),IF(AND(_xlpm.x=0,_xlpm.y&lt;&gt;0),-1,IF(AND(_xlpm.x&lt;&gt;0,_xlpm.y&lt;&gt;0),_xlpm.x,IF(AND(_xlpm.x-SUM(IF((INDIRECT($B$3)=$B246)*(INDIRECT($C$3)=$D246)*((INDIRECT($E$3)="TOTS")+(INDIRECT($E$3)=$E246)),INDIRECT(K$3)))&lt;&gt;0,_xlpm.y=0),-2,_xlpm.x)))),0))</f>
        <v>0</v>
      </c>
      <c r="L246" s="199" cm="1">
        <f t="array" aca="1" ref="L246" ca="1">IF(OR($B246="",$B246="X",$D246="",$D246="X",$E246="",$E246="X"),0,IFERROR(_xlfn.LET(_xlpm.x,SUM(SUM(_xlfn._xlws.FILTER(VALUE(PptoSty[Sign]&amp;1)*(1/PptoSty[Division]),(PptoSty[Division]&lt;&gt;0)*(PptoSty[Division]&lt;&gt;"")*(PptoSty[Division]&lt;&gt;"X")*(PptoSty[Project]=$B246)*(PptoSty[Vrs]=$D246)*(PptoSty[PiRow]=_xlfn.TEXTAFTER($H246,":"))*(PptoSty[PiColumn]=L$54),0)),SUM(IF((INDIRECT($B$3)=$B246)*(INDIRECT($C$3)=$D246)*((INDIRECT($E$3)="TOTS")+(INDIRECT($E$3)=$E246)),INDIRECT(L$3)))),_xlpm.y,SUM(_xlfn.CHOOSECOLS(_xlfn._xlws.FILTER(F_RT14[],(F_RT14[PrjId]=$B246)*(F_RT14[Vrs]=$D246)*(_xlfn.TEXTAFTER(F_RT14[ActGrp],":")=_xlfn.TEXTAFTER($H246,":")),"X"),MATCH("*"&amp;L$54,F_RT14[#Headers],0))),IF(AND(_xlpm.x=0,_xlpm.y&lt;&gt;0),-1,IF(AND(_xlpm.x&lt;&gt;0,_xlpm.y&lt;&gt;0),_xlpm.x,IF(AND(_xlpm.x-SUM(IF((INDIRECT($B$3)=$B246)*(INDIRECT($C$3)=$D246)*((INDIRECT($E$3)="TOTS")+(INDIRECT($E$3)=$E246)),INDIRECT(L$3)))&lt;&gt;0,_xlpm.y=0),-2,_xlpm.x)))),0))</f>
        <v>0</v>
      </c>
      <c r="M246" s="199" cm="1">
        <f t="array" aca="1" ref="M246" ca="1">IF(OR($B246="",$B246="X",$D246="",$D246="X",$E246="",$E246="X"),0,IFERROR(_xlfn.LET(_xlpm.x,SUM(SUM(_xlfn._xlws.FILTER(VALUE(PptoSty[Sign]&amp;1)*(1/PptoSty[Division]),(PptoSty[Division]&lt;&gt;0)*(PptoSty[Division]&lt;&gt;"")*(PptoSty[Division]&lt;&gt;"X")*(PptoSty[Project]=$B246)*(PptoSty[Vrs]=$D246)*(PptoSty[PiRow]=_xlfn.TEXTAFTER($H246,":"))*(PptoSty[PiColumn]=M$54),0)),SUM(IF((INDIRECT($B$3)=$B246)*(INDIRECT($C$3)=$D246)*((INDIRECT($E$3)="TOTS")+(INDIRECT($E$3)=$E246)),INDIRECT(M$3)))),_xlpm.y,SUM(_xlfn.CHOOSECOLS(_xlfn._xlws.FILTER(F_RT14[],(F_RT14[PrjId]=$B246)*(F_RT14[Vrs]=$D246)*(_xlfn.TEXTAFTER(F_RT14[ActGrp],":")=_xlfn.TEXTAFTER($H246,":")),"X"),MATCH("*"&amp;M$54,F_RT14[#Headers],0))),IF(AND(_xlpm.x=0,_xlpm.y&lt;&gt;0),-1,IF(AND(_xlpm.x&lt;&gt;0,_xlpm.y&lt;&gt;0),_xlpm.x,IF(AND(_xlpm.x-SUM(IF((INDIRECT($B$3)=$B246)*(INDIRECT($C$3)=$D246)*((INDIRECT($E$3)="TOTS")+(INDIRECT($E$3)=$E246)),INDIRECT(M$3)))&lt;&gt;0,_xlpm.y=0),-2,_xlpm.x)))),0))</f>
        <v>0</v>
      </c>
      <c r="N246" s="199" cm="1">
        <f t="array" aca="1" ref="N246" ca="1">IF(OR($B246="",$B246="X",$D246="",$D246="X",$E246="",$E246="X"),0,IFERROR(_xlfn.LET(_xlpm.x,SUM(SUM(_xlfn._xlws.FILTER(VALUE(PptoSty[Sign]&amp;1)*(1/PptoSty[Division]),(PptoSty[Division]&lt;&gt;0)*(PptoSty[Division]&lt;&gt;"")*(PptoSty[Division]&lt;&gt;"X")*(PptoSty[Project]=$B246)*(PptoSty[Vrs]=$D246)*(PptoSty[PiRow]=_xlfn.TEXTAFTER($H246,":"))*(PptoSty[PiColumn]=N$54),0)),SUM(IF((INDIRECT($B$3)=$B246)*(INDIRECT($C$3)=$D246)*((INDIRECT($E$3)="TOTS")+(INDIRECT($E$3)=$E246)),INDIRECT(N$3)))),_xlpm.y,SUM(_xlfn.CHOOSECOLS(_xlfn._xlws.FILTER(F_RT14[],(F_RT14[PrjId]=$B246)*(F_RT14[Vrs]=$D246)*(_xlfn.TEXTAFTER(F_RT14[ActGrp],":")=_xlfn.TEXTAFTER($H246,":")),"X"),MATCH("*"&amp;N$54,F_RT14[#Headers],0))),IF(AND(_xlpm.x=0,_xlpm.y&lt;&gt;0),-1,IF(AND(_xlpm.x&lt;&gt;0,_xlpm.y&lt;&gt;0),_xlpm.x,IF(AND(_xlpm.x-SUM(IF((INDIRECT($B$3)=$B246)*(INDIRECT($C$3)=$D246)*((INDIRECT($E$3)="TOTS")+(INDIRECT($E$3)=$E246)),INDIRECT(N$3)))&lt;&gt;0,_xlpm.y=0),-2,_xlpm.x)))),0))</f>
        <v>0</v>
      </c>
      <c r="O246" s="199" cm="1">
        <f t="array" aca="1" ref="O246" ca="1">IF(OR($B246="",$B246="X",$D246="",$D246="X",$E246="",$E246="X"),0,IFERROR(_xlfn.LET(_xlpm.x,SUM(SUM(_xlfn._xlws.FILTER(VALUE(PptoSty[Sign]&amp;1)*(1/PptoSty[Division]),(PptoSty[Division]&lt;&gt;0)*(PptoSty[Division]&lt;&gt;"")*(PptoSty[Division]&lt;&gt;"X")*(PptoSty[Project]=$B246)*(PptoSty[Vrs]=$D246)*(PptoSty[PiRow]=_xlfn.TEXTAFTER($H246,":"))*(PptoSty[PiColumn]=O$54),0)),SUM(IF((INDIRECT($B$3)=$B246)*(INDIRECT($C$3)=$D246)*((INDIRECT($E$3)="TOTS")+(INDIRECT($E$3)=$E246)),INDIRECT(O$3)))),_xlpm.y,SUM(_xlfn.CHOOSECOLS(_xlfn._xlws.FILTER(F_RT14[],(F_RT14[PrjId]=$B246)*(F_RT14[Vrs]=$D246)*(_xlfn.TEXTAFTER(F_RT14[ActGrp],":")=_xlfn.TEXTAFTER($H246,":")),"X"),MATCH("*"&amp;O$54,F_RT14[#Headers],0))),IF(AND(_xlpm.x=0,_xlpm.y&lt;&gt;0),-1,IF(AND(_xlpm.x&lt;&gt;0,_xlpm.y&lt;&gt;0),_xlpm.x,IF(AND(_xlpm.x-SUM(IF((INDIRECT($B$3)=$B246)*(INDIRECT($C$3)=$D246)*((INDIRECT($E$3)="TOTS")+(INDIRECT($E$3)=$E246)),INDIRECT(O$3)))&lt;&gt;0,_xlpm.y=0),-2,_xlpm.x)))),0))</f>
        <v>0</v>
      </c>
      <c r="P246" s="199" cm="1">
        <f t="array" aca="1" ref="P246" ca="1">IF(OR($B246="",$B246="X",$D246="",$D246="X",$E246="",$E246="X"),0,IFERROR(_xlfn.LET(_xlpm.x,SUM(SUM(_xlfn._xlws.FILTER(VALUE(PptoSty[Sign]&amp;1)*(1/PptoSty[Division]),(PptoSty[Division]&lt;&gt;0)*(PptoSty[Division]&lt;&gt;"")*(PptoSty[Division]&lt;&gt;"X")*(PptoSty[Project]=$B246)*(PptoSty[Vrs]=$D246)*(PptoSty[PiRow]=_xlfn.TEXTAFTER($H246,":"))*(PptoSty[PiColumn]=P$54),0)),SUM(IF((INDIRECT($B$3)=$B246)*(INDIRECT($C$3)=$D246)*((INDIRECT($E$3)="TOTS")+(INDIRECT($E$3)=$E246)),INDIRECT(P$3)))),_xlpm.y,SUM(_xlfn.CHOOSECOLS(_xlfn._xlws.FILTER(F_RT14[],(F_RT14[PrjId]=$B246)*(F_RT14[Vrs]=$D246)*(_xlfn.TEXTAFTER(F_RT14[ActGrp],":")=_xlfn.TEXTAFTER($H246,":")),"X"),MATCH("*"&amp;P$54,F_RT14[#Headers],0))),IF(AND(_xlpm.x=0,_xlpm.y&lt;&gt;0),-1,IF(AND(_xlpm.x&lt;&gt;0,_xlpm.y&lt;&gt;0),_xlpm.x,IF(AND(_xlpm.x-SUM(IF((INDIRECT($B$3)=$B246)*(INDIRECT($C$3)=$D246)*((INDIRECT($E$3)="TOTS")+(INDIRECT($E$3)=$E246)),INDIRECT(P$3)))&lt;&gt;0,_xlpm.y=0),-2,_xlpm.x)))),0))</f>
        <v>0</v>
      </c>
      <c r="Q246" s="199" cm="1">
        <f t="array" aca="1" ref="Q246" ca="1">IF(OR($B246="",$B246="X",$D246="",$D246="X",$E246="",$E246="X"),0,IFERROR(_xlfn.LET(_xlpm.x,SUM(SUM(_xlfn._xlws.FILTER(VALUE(PptoSty[Sign]&amp;1)*(1/PptoSty[Division]),(PptoSty[Division]&lt;&gt;0)*(PptoSty[Division]&lt;&gt;"")*(PptoSty[Division]&lt;&gt;"X")*(PptoSty[Project]=$B246)*(PptoSty[Vrs]=$D246)*(PptoSty[PiRow]=_xlfn.TEXTAFTER($H246,":"))*(PptoSty[PiColumn]=Q$54),0)),SUM(IF((INDIRECT($B$3)=$B246)*(INDIRECT($C$3)=$D246)*((INDIRECT($E$3)="TOTS")+(INDIRECT($E$3)=$E246)),INDIRECT(Q$3)))),_xlpm.y,SUM(_xlfn.CHOOSECOLS(_xlfn._xlws.FILTER(F_RT14[],(F_RT14[PrjId]=$B246)*(F_RT14[Vrs]=$D246)*(_xlfn.TEXTAFTER(F_RT14[ActGrp],":")=_xlfn.TEXTAFTER($H246,":")),"X"),MATCH("*"&amp;Q$54,F_RT14[#Headers],0))),IF(AND(_xlpm.x=0,_xlpm.y&lt;&gt;0),-1,IF(AND(_xlpm.x&lt;&gt;0,_xlpm.y&lt;&gt;0),_xlpm.x,IF(AND(_xlpm.x-SUM(IF((INDIRECT($B$3)=$B246)*(INDIRECT($C$3)=$D246)*((INDIRECT($E$3)="TOTS")+(INDIRECT($E$3)=$E246)),INDIRECT(Q$3)))&lt;&gt;0,_xlpm.y=0),-2,_xlpm.x)))),0))</f>
        <v>0</v>
      </c>
      <c r="R246" s="199" cm="1">
        <f t="array" aca="1" ref="R246" ca="1">IF(OR($B246="",$B246="X",$D246="",$D246="X",$E246="",$E246="X"),0,IFERROR(_xlfn.LET(_xlpm.x,SUM(SUM(_xlfn._xlws.FILTER(VALUE(PptoSty[Sign]&amp;1)*(1/PptoSty[Division]),(PptoSty[Division]&lt;&gt;0)*(PptoSty[Division]&lt;&gt;"")*(PptoSty[Division]&lt;&gt;"X")*(PptoSty[Project]=$B246)*(PptoSty[Vrs]=$D246)*(PptoSty[PiRow]=_xlfn.TEXTAFTER($H246,":"))*(PptoSty[PiColumn]=R$54),0)),SUM(IF((INDIRECT($B$3)=$B246)*(INDIRECT($C$3)=$D246)*((INDIRECT($E$3)="TOTS")+(INDIRECT($E$3)=$E246)),INDIRECT(R$3)))),_xlpm.y,SUM(_xlfn.CHOOSECOLS(_xlfn._xlws.FILTER(F_RT14[],(F_RT14[PrjId]=$B246)*(F_RT14[Vrs]=$D246)*(_xlfn.TEXTAFTER(F_RT14[ActGrp],":")=_xlfn.TEXTAFTER($H246,":")),"X"),MATCH("*"&amp;R$54,F_RT14[#Headers],0))),IF(AND(_xlpm.x=0,_xlpm.y&lt;&gt;0),-1,IF(AND(_xlpm.x&lt;&gt;0,_xlpm.y&lt;&gt;0),_xlpm.x,IF(AND(_xlpm.x-SUM(IF((INDIRECT($B$3)=$B246)*(INDIRECT($C$3)=$D246)*((INDIRECT($E$3)="TOTS")+(INDIRECT($E$3)=$E246)),INDIRECT(R$3)))&lt;&gt;0,_xlpm.y=0),-2,_xlpm.x)))),0))</f>
        <v>0</v>
      </c>
      <c r="S246" s="199" cm="1">
        <f t="array" aca="1" ref="S246" ca="1">IF(OR($B246="",$B246="X",$D246="",$D246="X",$E246="",$E246="X"),0,IFERROR(_xlfn.LET(_xlpm.x,SUM(SUM(_xlfn._xlws.FILTER(VALUE(PptoSty[Sign]&amp;1)*(1/PptoSty[Division]),(PptoSty[Division]&lt;&gt;0)*(PptoSty[Division]&lt;&gt;"")*(PptoSty[Division]&lt;&gt;"X")*(PptoSty[Project]=$B246)*(PptoSty[Vrs]=$D246)*(PptoSty[PiRow]=_xlfn.TEXTAFTER($H246,":"))*(PptoSty[PiColumn]=S$54),0)),SUM(IF((INDIRECT($B$3)=$B246)*(INDIRECT($C$3)=$D246)*((INDIRECT($E$3)="TOTS")+(INDIRECT($E$3)=$E246)),INDIRECT(S$3)))),_xlpm.y,SUM(_xlfn.CHOOSECOLS(_xlfn._xlws.FILTER(F_RT14[],(F_RT14[PrjId]=$B246)*(F_RT14[Vrs]=$D246)*(_xlfn.TEXTAFTER(F_RT14[ActGrp],":")=_xlfn.TEXTAFTER($H246,":")),"X"),MATCH("*"&amp;S$54,F_RT14[#Headers],0))),IF(AND(_xlpm.x=0,_xlpm.y&lt;&gt;0),-1,IF(AND(_xlpm.x&lt;&gt;0,_xlpm.y&lt;&gt;0),_xlpm.x,IF(AND(_xlpm.x-SUM(IF((INDIRECT($B$3)=$B246)*(INDIRECT($C$3)=$D246)*((INDIRECT($E$3)="TOTS")+(INDIRECT($E$3)=$E246)),INDIRECT(S$3)))&lt;&gt;0,_xlpm.y=0),-2,_xlpm.x)))),0))</f>
        <v>0</v>
      </c>
      <c r="T246" s="199" cm="1">
        <f t="array" aca="1" ref="T246" ca="1">IF(OR($B246="",$B246="X",$D246="",$D246="X",$E246="",$E246="X"),0,IFERROR(_xlfn.LET(_xlpm.x,SUM(SUM(_xlfn._xlws.FILTER(VALUE(PptoSty[Sign]&amp;1)*(1/PptoSty[Division]),(PptoSty[Division]&lt;&gt;0)*(PptoSty[Division]&lt;&gt;"")*(PptoSty[Division]&lt;&gt;"X")*(PptoSty[Project]=$B246)*(PptoSty[Vrs]=$D246)*(PptoSty[PiRow]=_xlfn.TEXTAFTER($H246,":"))*(PptoSty[PiColumn]=T$54),0)),SUM(IF((INDIRECT($B$3)=$B246)*(INDIRECT($C$3)=$D246)*((INDIRECT($E$3)="TOTS")+(INDIRECT($E$3)=$E246)),INDIRECT(T$3)))),_xlpm.y,SUM(_xlfn.CHOOSECOLS(_xlfn._xlws.FILTER(F_RT14[],(F_RT14[PrjId]=$B246)*(F_RT14[Vrs]=$D246)*(_xlfn.TEXTAFTER(F_RT14[ActGrp],":")=_xlfn.TEXTAFTER($H246,":")),"X"),MATCH("*"&amp;T$54,F_RT14[#Headers],0))),IF(AND(_xlpm.x=0,_xlpm.y&lt;&gt;0),-1,IF(AND(_xlpm.x&lt;&gt;0,_xlpm.y&lt;&gt;0),_xlpm.x,IF(AND(_xlpm.x-SUM(IF((INDIRECT($B$3)=$B246)*(INDIRECT($C$3)=$D246)*((INDIRECT($E$3)="TOTS")+(INDIRECT($E$3)=$E246)),INDIRECT(T$3)))&lt;&gt;0,_xlpm.y=0),-2,_xlpm.x)))),0))</f>
        <v>0</v>
      </c>
      <c r="U246" s="199" cm="1">
        <f t="array" aca="1" ref="U246" ca="1">IF(OR($B246="",$B246="X",$D246="",$D246="X",$E246="",$E246="X"),0,IFERROR(_xlfn.LET(_xlpm.x,SUM(SUM(_xlfn._xlws.FILTER(VALUE(PptoSty[Sign]&amp;1)*(1/PptoSty[Division]),(PptoSty[Division]&lt;&gt;0)*(PptoSty[Division]&lt;&gt;"")*(PptoSty[Division]&lt;&gt;"X")*(PptoSty[Project]=$B246)*(PptoSty[Vrs]=$D246)*(PptoSty[PiRow]=_xlfn.TEXTAFTER($H246,":"))*(PptoSty[PiColumn]=U$54),0)),SUM(IF((INDIRECT($B$3)=$B246)*(INDIRECT($C$3)=$D246)*((INDIRECT($E$3)="TOTS")+(INDIRECT($E$3)=$E246)),INDIRECT(U$3)))),_xlpm.y,SUM(_xlfn.CHOOSECOLS(_xlfn._xlws.FILTER(F_RT14[],(F_RT14[PrjId]=$B246)*(F_RT14[Vrs]=$D246)*(_xlfn.TEXTAFTER(F_RT14[ActGrp],":")=_xlfn.TEXTAFTER($H246,":")),"X"),MATCH("*"&amp;U$54,F_RT14[#Headers],0))),IF(AND(_xlpm.x=0,_xlpm.y&lt;&gt;0),-1,IF(AND(_xlpm.x&lt;&gt;0,_xlpm.y&lt;&gt;0),_xlpm.x,IF(AND(_xlpm.x-SUM(IF((INDIRECT($B$3)=$B246)*(INDIRECT($C$3)=$D246)*((INDIRECT($E$3)="TOTS")+(INDIRECT($E$3)=$E246)),INDIRECT(U$3)))&lt;&gt;0,_xlpm.y=0),-2,_xlpm.x)))),0))</f>
        <v>0</v>
      </c>
      <c r="V246" s="199" cm="1">
        <f t="array" aca="1" ref="V246" ca="1">IF(OR($B246="",$B246="X",$D246="",$D246="X",$E246="",$E246="X"),0,IFERROR(_xlfn.LET(_xlpm.x,SUM(SUM(_xlfn._xlws.FILTER(VALUE(PptoSty[Sign]&amp;1)*(1/PptoSty[Division]),(PptoSty[Division]&lt;&gt;0)*(PptoSty[Division]&lt;&gt;"")*(PptoSty[Division]&lt;&gt;"X")*(PptoSty[Project]=$B246)*(PptoSty[Vrs]=$D246)*(PptoSty[PiRow]=_xlfn.TEXTAFTER($H246,":"))*(PptoSty[PiColumn]=V$54),0)),SUM(IF((INDIRECT($B$3)=$B246)*(INDIRECT($C$3)=$D246)*((INDIRECT($E$3)="TOTS")+(INDIRECT($E$3)=$E246)),INDIRECT(V$3)))),_xlpm.y,SUM(_xlfn.CHOOSECOLS(_xlfn._xlws.FILTER(F_RT14[],(F_RT14[PrjId]=$B246)*(F_RT14[Vrs]=$D246)*(_xlfn.TEXTAFTER(F_RT14[ActGrp],":")=_xlfn.TEXTAFTER($H246,":")),"X"),MATCH("*"&amp;V$54,F_RT14[#Headers],0))),IF(AND(_xlpm.x=0,_xlpm.y&lt;&gt;0),-1,IF(AND(_xlpm.x&lt;&gt;0,_xlpm.y&lt;&gt;0),_xlpm.x,IF(AND(_xlpm.x-SUM(IF((INDIRECT($B$3)=$B246)*(INDIRECT($C$3)=$D246)*((INDIRECT($E$3)="TOTS")+(INDIRECT($E$3)=$E246)),INDIRECT(V$3)))&lt;&gt;0,_xlpm.y=0),-2,_xlpm.x)))),0))</f>
        <v>0</v>
      </c>
      <c r="W246" s="199" cm="1">
        <f t="array" aca="1" ref="W246" ca="1">IF(OR($B246="",$B246="X",$D246="",$D246="X",$E246="",$E246="X"),0,IFERROR(_xlfn.LET(_xlpm.x,SUM(SUM(_xlfn._xlws.FILTER(VALUE(PptoSty[Sign]&amp;1)*(1/PptoSty[Division]),(PptoSty[Division]&lt;&gt;0)*(PptoSty[Division]&lt;&gt;"")*(PptoSty[Division]&lt;&gt;"X")*(PptoSty[Project]=$B246)*(PptoSty[Vrs]=$D246)*(PptoSty[PiRow]=_xlfn.TEXTAFTER($H246,":"))*(PptoSty[PiColumn]=W$54),0)),SUM(IF((INDIRECT($B$3)=$B246)*(INDIRECT($C$3)=$D246)*((INDIRECT($E$3)="TOTS")+(INDIRECT($E$3)=$E246)),INDIRECT(W$3)))),_xlpm.y,SUM(_xlfn.CHOOSECOLS(_xlfn._xlws.FILTER(F_RT14[],(F_RT14[PrjId]=$B246)*(F_RT14[Vrs]=$D246)*(_xlfn.TEXTAFTER(F_RT14[ActGrp],":")=_xlfn.TEXTAFTER($H246,":")),"X"),MATCH("*"&amp;W$54,F_RT14[#Headers],0))),IF(AND(_xlpm.x=0,_xlpm.y&lt;&gt;0),-1,IF(AND(_xlpm.x&lt;&gt;0,_xlpm.y&lt;&gt;0),_xlpm.x,IF(AND(_xlpm.x-SUM(IF((INDIRECT($B$3)=$B246)*(INDIRECT($C$3)=$D246)*((INDIRECT($E$3)="TOTS")+(INDIRECT($E$3)=$E246)),INDIRECT(W$3)))&lt;&gt;0,_xlpm.y=0),-2,_xlpm.x)))),0))</f>
        <v>0</v>
      </c>
      <c r="X246" s="199" cm="1">
        <f t="array" aca="1" ref="X246" ca="1">IF(OR($B246="",$B246="X",$D246="",$D246="X",$E246="",$E246="X"),0,IFERROR(_xlfn.LET(_xlpm.x,SUM(SUM(_xlfn._xlws.FILTER(VALUE(PptoSty[Sign]&amp;1)*(1/PptoSty[Division]),(PptoSty[Division]&lt;&gt;0)*(PptoSty[Division]&lt;&gt;"")*(PptoSty[Division]&lt;&gt;"X")*(PptoSty[Project]=$B246)*(PptoSty[Vrs]=$D246)*(PptoSty[PiRow]=_xlfn.TEXTAFTER($H246,":"))*(PptoSty[PiColumn]=X$54),0)),SUM(IF((INDIRECT($B$3)=$B246)*(INDIRECT($C$3)=$D246)*((INDIRECT($E$3)="TOTS")+(INDIRECT($E$3)=$E246)),INDIRECT(X$3)))),_xlpm.y,SUM(_xlfn.CHOOSECOLS(_xlfn._xlws.FILTER(F_RT14[],(F_RT14[PrjId]=$B246)*(F_RT14[Vrs]=$D246)*(_xlfn.TEXTAFTER(F_RT14[ActGrp],":")=_xlfn.TEXTAFTER($H246,":")),"X"),MATCH("*"&amp;X$54,F_RT14[#Headers],0))),IF(AND(_xlpm.x=0,_xlpm.y&lt;&gt;0),-1,IF(AND(_xlpm.x&lt;&gt;0,_xlpm.y&lt;&gt;0),_xlpm.x,IF(AND(_xlpm.x-SUM(IF((INDIRECT($B$3)=$B246)*(INDIRECT($C$3)=$D246)*((INDIRECT($E$3)="TOTS")+(INDIRECT($E$3)=$E246)),INDIRECT(X$3)))&lt;&gt;0,_xlpm.y=0),-2,_xlpm.x)))),0))</f>
        <v>0</v>
      </c>
      <c r="Y246" s="199" cm="1">
        <f t="array" aca="1" ref="Y246" ca="1">IF(OR($B246="",$B246="X",$D246="",$D246="X",$E246="",$E246="X"),0,IFERROR(_xlfn.LET(_xlpm.x,SUM(SUM(_xlfn._xlws.FILTER(VALUE(PptoSty[Sign]&amp;1)*(1/PptoSty[Division]),(PptoSty[Division]&lt;&gt;0)*(PptoSty[Division]&lt;&gt;"")*(PptoSty[Division]&lt;&gt;"X")*(PptoSty[Project]=$B246)*(PptoSty[Vrs]=$D246)*(PptoSty[PiRow]=_xlfn.TEXTAFTER($H246,":"))*(PptoSty[PiColumn]=Y$54),0)),SUM(IF((INDIRECT($B$3)=$B246)*(INDIRECT($C$3)=$D246)*((INDIRECT($E$3)="TOTS")+(INDIRECT($E$3)=$E246)),INDIRECT(Y$3)))),_xlpm.y,SUM(_xlfn.CHOOSECOLS(_xlfn._xlws.FILTER(F_RT14[],(F_RT14[PrjId]=$B246)*(F_RT14[Vrs]=$D246)*(_xlfn.TEXTAFTER(F_RT14[ActGrp],":")=_xlfn.TEXTAFTER($H246,":")),"X"),MATCH("*"&amp;Y$54,F_RT14[#Headers],0))),IF(AND(_xlpm.x=0,_xlpm.y&lt;&gt;0),-1,IF(AND(_xlpm.x&lt;&gt;0,_xlpm.y&lt;&gt;0),_xlpm.x,IF(AND(_xlpm.x-SUM(IF((INDIRECT($B$3)=$B246)*(INDIRECT($C$3)=$D246)*((INDIRECT($E$3)="TOTS")+(INDIRECT($E$3)=$E246)),INDIRECT(Y$3)))&lt;&gt;0,_xlpm.y=0),-2,_xlpm.x)))),0))</f>
        <v>0</v>
      </c>
      <c r="Z246" s="198" t="str">
        <f t="shared" ca="1" si="5"/>
        <v>Fback!B246:Y246</v>
      </c>
      <c r="AA246" s="38"/>
    </row>
    <row r="247" spans="1:27" ht="21" customHeight="1" outlineLevel="1">
      <c r="B247" s="128"/>
      <c r="C247" s="128"/>
      <c r="D247" s="128"/>
      <c r="E247" s="128"/>
      <c r="F247" s="139"/>
      <c r="G247" s="139"/>
      <c r="H247" s="139"/>
      <c r="I247" s="199" cm="1">
        <f t="array" aca="1" ref="I247" ca="1">IF(OR($B247="",$B247="X",$D247="",$D247="X",$E247="",$E247="X"),0,IFERROR(_xlfn.LET(_xlpm.x,SUM(SUM(_xlfn._xlws.FILTER(VALUE(PptoSty[Sign]&amp;1)*(1/PptoSty[Division]),(PptoSty[Division]&lt;&gt;0)*(PptoSty[Division]&lt;&gt;"")*(PptoSty[Division]&lt;&gt;"X")*(PptoSty[Project]=$B247)*(PptoSty[Vrs]=$D247)*(PptoSty[PiRow]=_xlfn.TEXTAFTER($H247,":"))*(PptoSty[PiColumn]=I$54),0)),SUM(IF((INDIRECT($B$3)=$B247)*(INDIRECT($C$3)=$D247)*((INDIRECT($E$3)="TOTS")+(INDIRECT($E$3)=$E247)),INDIRECT(I$3)))),_xlpm.y,SUM(_xlfn.CHOOSECOLS(_xlfn._xlws.FILTER(F_RT14[],(F_RT14[PrjId]=$B247)*(F_RT14[Vrs]=$D247)*(_xlfn.TEXTAFTER(F_RT14[ActGrp],":")=_xlfn.TEXTAFTER($H247,":")),"X"),MATCH("*"&amp;I$54,F_RT14[#Headers],0))),IF(AND(_xlpm.x=0,_xlpm.y&lt;&gt;0),-1,IF(AND(_xlpm.x&lt;&gt;0,_xlpm.y&lt;&gt;0),_xlpm.x,IF(AND(_xlpm.x-SUM(IF((INDIRECT($B$3)=$B247)*(INDIRECT($C$3)=$D247)*((INDIRECT($E$3)="TOTS")+(INDIRECT($E$3)=$E247)),INDIRECT(I$3)))&lt;&gt;0,_xlpm.y=0),-2,_xlpm.x)))),0))</f>
        <v>0</v>
      </c>
      <c r="J247" s="199" cm="1">
        <f t="array" aca="1" ref="J247" ca="1">IF(OR($B247="",$B247="X",$D247="",$D247="X",$E247="",$E247="X"),0,IFERROR(_xlfn.LET(_xlpm.x,SUM(SUM(_xlfn._xlws.FILTER(VALUE(PptoSty[Sign]&amp;1)*(1/PptoSty[Division]),(PptoSty[Division]&lt;&gt;0)*(PptoSty[Division]&lt;&gt;"")*(PptoSty[Division]&lt;&gt;"X")*(PptoSty[Project]=$B247)*(PptoSty[Vrs]=$D247)*(PptoSty[PiRow]=_xlfn.TEXTAFTER($H247,":"))*(PptoSty[PiColumn]=J$54),0)),SUM(IF((INDIRECT($B$3)=$B247)*(INDIRECT($C$3)=$D247)*((INDIRECT($E$3)="TOTS")+(INDIRECT($E$3)=$E247)),INDIRECT(J$3)))),_xlpm.y,SUM(_xlfn.CHOOSECOLS(_xlfn._xlws.FILTER(F_RT14[],(F_RT14[PrjId]=$B247)*(F_RT14[Vrs]=$D247)*(_xlfn.TEXTAFTER(F_RT14[ActGrp],":")=_xlfn.TEXTAFTER($H247,":")),"X"),MATCH("*"&amp;J$54,F_RT14[#Headers],0))),IF(AND(_xlpm.x=0,_xlpm.y&lt;&gt;0),-1,IF(AND(_xlpm.x&lt;&gt;0,_xlpm.y&lt;&gt;0),_xlpm.x,IF(AND(_xlpm.x-SUM(IF((INDIRECT($B$3)=$B247)*(INDIRECT($C$3)=$D247)*((INDIRECT($E$3)="TOTS")+(INDIRECT($E$3)=$E247)),INDIRECT(J$3)))&lt;&gt;0,_xlpm.y=0),-2,_xlpm.x)))),0))</f>
        <v>0</v>
      </c>
      <c r="K247" s="199" cm="1">
        <f t="array" aca="1" ref="K247" ca="1">IF(OR($B247="",$B247="X",$D247="",$D247="X",$E247="",$E247="X"),0,IFERROR(_xlfn.LET(_xlpm.x,SUM(SUM(_xlfn._xlws.FILTER(VALUE(PptoSty[Sign]&amp;1)*(1/PptoSty[Division]),(PptoSty[Division]&lt;&gt;0)*(PptoSty[Division]&lt;&gt;"")*(PptoSty[Division]&lt;&gt;"X")*(PptoSty[Project]=$B247)*(PptoSty[Vrs]=$D247)*(PptoSty[PiRow]=_xlfn.TEXTAFTER($H247,":"))*(PptoSty[PiColumn]=K$54),0)),SUM(IF((INDIRECT($B$3)=$B247)*(INDIRECT($C$3)=$D247)*((INDIRECT($E$3)="TOTS")+(INDIRECT($E$3)=$E247)),INDIRECT(K$3)))),_xlpm.y,SUM(_xlfn.CHOOSECOLS(_xlfn._xlws.FILTER(F_RT14[],(F_RT14[PrjId]=$B247)*(F_RT14[Vrs]=$D247)*(_xlfn.TEXTAFTER(F_RT14[ActGrp],":")=_xlfn.TEXTAFTER($H247,":")),"X"),MATCH("*"&amp;K$54,F_RT14[#Headers],0))),IF(AND(_xlpm.x=0,_xlpm.y&lt;&gt;0),-1,IF(AND(_xlpm.x&lt;&gt;0,_xlpm.y&lt;&gt;0),_xlpm.x,IF(AND(_xlpm.x-SUM(IF((INDIRECT($B$3)=$B247)*(INDIRECT($C$3)=$D247)*((INDIRECT($E$3)="TOTS")+(INDIRECT($E$3)=$E247)),INDIRECT(K$3)))&lt;&gt;0,_xlpm.y=0),-2,_xlpm.x)))),0))</f>
        <v>0</v>
      </c>
      <c r="L247" s="199" cm="1">
        <f t="array" aca="1" ref="L247" ca="1">IF(OR($B247="",$B247="X",$D247="",$D247="X",$E247="",$E247="X"),0,IFERROR(_xlfn.LET(_xlpm.x,SUM(SUM(_xlfn._xlws.FILTER(VALUE(PptoSty[Sign]&amp;1)*(1/PptoSty[Division]),(PptoSty[Division]&lt;&gt;0)*(PptoSty[Division]&lt;&gt;"")*(PptoSty[Division]&lt;&gt;"X")*(PptoSty[Project]=$B247)*(PptoSty[Vrs]=$D247)*(PptoSty[PiRow]=_xlfn.TEXTAFTER($H247,":"))*(PptoSty[PiColumn]=L$54),0)),SUM(IF((INDIRECT($B$3)=$B247)*(INDIRECT($C$3)=$D247)*((INDIRECT($E$3)="TOTS")+(INDIRECT($E$3)=$E247)),INDIRECT(L$3)))),_xlpm.y,SUM(_xlfn.CHOOSECOLS(_xlfn._xlws.FILTER(F_RT14[],(F_RT14[PrjId]=$B247)*(F_RT14[Vrs]=$D247)*(_xlfn.TEXTAFTER(F_RT14[ActGrp],":")=_xlfn.TEXTAFTER($H247,":")),"X"),MATCH("*"&amp;L$54,F_RT14[#Headers],0))),IF(AND(_xlpm.x=0,_xlpm.y&lt;&gt;0),-1,IF(AND(_xlpm.x&lt;&gt;0,_xlpm.y&lt;&gt;0),_xlpm.x,IF(AND(_xlpm.x-SUM(IF((INDIRECT($B$3)=$B247)*(INDIRECT($C$3)=$D247)*((INDIRECT($E$3)="TOTS")+(INDIRECT($E$3)=$E247)),INDIRECT(L$3)))&lt;&gt;0,_xlpm.y=0),-2,_xlpm.x)))),0))</f>
        <v>0</v>
      </c>
      <c r="M247" s="199" cm="1">
        <f t="array" aca="1" ref="M247" ca="1">IF(OR($B247="",$B247="X",$D247="",$D247="X",$E247="",$E247="X"),0,IFERROR(_xlfn.LET(_xlpm.x,SUM(SUM(_xlfn._xlws.FILTER(VALUE(PptoSty[Sign]&amp;1)*(1/PptoSty[Division]),(PptoSty[Division]&lt;&gt;0)*(PptoSty[Division]&lt;&gt;"")*(PptoSty[Division]&lt;&gt;"X")*(PptoSty[Project]=$B247)*(PptoSty[Vrs]=$D247)*(PptoSty[PiRow]=_xlfn.TEXTAFTER($H247,":"))*(PptoSty[PiColumn]=M$54),0)),SUM(IF((INDIRECT($B$3)=$B247)*(INDIRECT($C$3)=$D247)*((INDIRECT($E$3)="TOTS")+(INDIRECT($E$3)=$E247)),INDIRECT(M$3)))),_xlpm.y,SUM(_xlfn.CHOOSECOLS(_xlfn._xlws.FILTER(F_RT14[],(F_RT14[PrjId]=$B247)*(F_RT14[Vrs]=$D247)*(_xlfn.TEXTAFTER(F_RT14[ActGrp],":")=_xlfn.TEXTAFTER($H247,":")),"X"),MATCH("*"&amp;M$54,F_RT14[#Headers],0))),IF(AND(_xlpm.x=0,_xlpm.y&lt;&gt;0),-1,IF(AND(_xlpm.x&lt;&gt;0,_xlpm.y&lt;&gt;0),_xlpm.x,IF(AND(_xlpm.x-SUM(IF((INDIRECT($B$3)=$B247)*(INDIRECT($C$3)=$D247)*((INDIRECT($E$3)="TOTS")+(INDIRECT($E$3)=$E247)),INDIRECT(M$3)))&lt;&gt;0,_xlpm.y=0),-2,_xlpm.x)))),0))</f>
        <v>0</v>
      </c>
      <c r="N247" s="199" cm="1">
        <f t="array" aca="1" ref="N247" ca="1">IF(OR($B247="",$B247="X",$D247="",$D247="X",$E247="",$E247="X"),0,IFERROR(_xlfn.LET(_xlpm.x,SUM(SUM(_xlfn._xlws.FILTER(VALUE(PptoSty[Sign]&amp;1)*(1/PptoSty[Division]),(PptoSty[Division]&lt;&gt;0)*(PptoSty[Division]&lt;&gt;"")*(PptoSty[Division]&lt;&gt;"X")*(PptoSty[Project]=$B247)*(PptoSty[Vrs]=$D247)*(PptoSty[PiRow]=_xlfn.TEXTAFTER($H247,":"))*(PptoSty[PiColumn]=N$54),0)),SUM(IF((INDIRECT($B$3)=$B247)*(INDIRECT($C$3)=$D247)*((INDIRECT($E$3)="TOTS")+(INDIRECT($E$3)=$E247)),INDIRECT(N$3)))),_xlpm.y,SUM(_xlfn.CHOOSECOLS(_xlfn._xlws.FILTER(F_RT14[],(F_RT14[PrjId]=$B247)*(F_RT14[Vrs]=$D247)*(_xlfn.TEXTAFTER(F_RT14[ActGrp],":")=_xlfn.TEXTAFTER($H247,":")),"X"),MATCH("*"&amp;N$54,F_RT14[#Headers],0))),IF(AND(_xlpm.x=0,_xlpm.y&lt;&gt;0),-1,IF(AND(_xlpm.x&lt;&gt;0,_xlpm.y&lt;&gt;0),_xlpm.x,IF(AND(_xlpm.x-SUM(IF((INDIRECT($B$3)=$B247)*(INDIRECT($C$3)=$D247)*((INDIRECT($E$3)="TOTS")+(INDIRECT($E$3)=$E247)),INDIRECT(N$3)))&lt;&gt;0,_xlpm.y=0),-2,_xlpm.x)))),0))</f>
        <v>0</v>
      </c>
      <c r="O247" s="199" cm="1">
        <f t="array" aca="1" ref="O247" ca="1">IF(OR($B247="",$B247="X",$D247="",$D247="X",$E247="",$E247="X"),0,IFERROR(_xlfn.LET(_xlpm.x,SUM(SUM(_xlfn._xlws.FILTER(VALUE(PptoSty[Sign]&amp;1)*(1/PptoSty[Division]),(PptoSty[Division]&lt;&gt;0)*(PptoSty[Division]&lt;&gt;"")*(PptoSty[Division]&lt;&gt;"X")*(PptoSty[Project]=$B247)*(PptoSty[Vrs]=$D247)*(PptoSty[PiRow]=_xlfn.TEXTAFTER($H247,":"))*(PptoSty[PiColumn]=O$54),0)),SUM(IF((INDIRECT($B$3)=$B247)*(INDIRECT($C$3)=$D247)*((INDIRECT($E$3)="TOTS")+(INDIRECT($E$3)=$E247)),INDIRECT(O$3)))),_xlpm.y,SUM(_xlfn.CHOOSECOLS(_xlfn._xlws.FILTER(F_RT14[],(F_RT14[PrjId]=$B247)*(F_RT14[Vrs]=$D247)*(_xlfn.TEXTAFTER(F_RT14[ActGrp],":")=_xlfn.TEXTAFTER($H247,":")),"X"),MATCH("*"&amp;O$54,F_RT14[#Headers],0))),IF(AND(_xlpm.x=0,_xlpm.y&lt;&gt;0),-1,IF(AND(_xlpm.x&lt;&gt;0,_xlpm.y&lt;&gt;0),_xlpm.x,IF(AND(_xlpm.x-SUM(IF((INDIRECT($B$3)=$B247)*(INDIRECT($C$3)=$D247)*((INDIRECT($E$3)="TOTS")+(INDIRECT($E$3)=$E247)),INDIRECT(O$3)))&lt;&gt;0,_xlpm.y=0),-2,_xlpm.x)))),0))</f>
        <v>0</v>
      </c>
      <c r="P247" s="199" cm="1">
        <f t="array" aca="1" ref="P247" ca="1">IF(OR($B247="",$B247="X",$D247="",$D247="X",$E247="",$E247="X"),0,IFERROR(_xlfn.LET(_xlpm.x,SUM(SUM(_xlfn._xlws.FILTER(VALUE(PptoSty[Sign]&amp;1)*(1/PptoSty[Division]),(PptoSty[Division]&lt;&gt;0)*(PptoSty[Division]&lt;&gt;"")*(PptoSty[Division]&lt;&gt;"X")*(PptoSty[Project]=$B247)*(PptoSty[Vrs]=$D247)*(PptoSty[PiRow]=_xlfn.TEXTAFTER($H247,":"))*(PptoSty[PiColumn]=P$54),0)),SUM(IF((INDIRECT($B$3)=$B247)*(INDIRECT($C$3)=$D247)*((INDIRECT($E$3)="TOTS")+(INDIRECT($E$3)=$E247)),INDIRECT(P$3)))),_xlpm.y,SUM(_xlfn.CHOOSECOLS(_xlfn._xlws.FILTER(F_RT14[],(F_RT14[PrjId]=$B247)*(F_RT14[Vrs]=$D247)*(_xlfn.TEXTAFTER(F_RT14[ActGrp],":")=_xlfn.TEXTAFTER($H247,":")),"X"),MATCH("*"&amp;P$54,F_RT14[#Headers],0))),IF(AND(_xlpm.x=0,_xlpm.y&lt;&gt;0),-1,IF(AND(_xlpm.x&lt;&gt;0,_xlpm.y&lt;&gt;0),_xlpm.x,IF(AND(_xlpm.x-SUM(IF((INDIRECT($B$3)=$B247)*(INDIRECT($C$3)=$D247)*((INDIRECT($E$3)="TOTS")+(INDIRECT($E$3)=$E247)),INDIRECT(P$3)))&lt;&gt;0,_xlpm.y=0),-2,_xlpm.x)))),0))</f>
        <v>0</v>
      </c>
      <c r="Q247" s="199" cm="1">
        <f t="array" aca="1" ref="Q247" ca="1">IF(OR($B247="",$B247="X",$D247="",$D247="X",$E247="",$E247="X"),0,IFERROR(_xlfn.LET(_xlpm.x,SUM(SUM(_xlfn._xlws.FILTER(VALUE(PptoSty[Sign]&amp;1)*(1/PptoSty[Division]),(PptoSty[Division]&lt;&gt;0)*(PptoSty[Division]&lt;&gt;"")*(PptoSty[Division]&lt;&gt;"X")*(PptoSty[Project]=$B247)*(PptoSty[Vrs]=$D247)*(PptoSty[PiRow]=_xlfn.TEXTAFTER($H247,":"))*(PptoSty[PiColumn]=Q$54),0)),SUM(IF((INDIRECT($B$3)=$B247)*(INDIRECT($C$3)=$D247)*((INDIRECT($E$3)="TOTS")+(INDIRECT($E$3)=$E247)),INDIRECT(Q$3)))),_xlpm.y,SUM(_xlfn.CHOOSECOLS(_xlfn._xlws.FILTER(F_RT14[],(F_RT14[PrjId]=$B247)*(F_RT14[Vrs]=$D247)*(_xlfn.TEXTAFTER(F_RT14[ActGrp],":")=_xlfn.TEXTAFTER($H247,":")),"X"),MATCH("*"&amp;Q$54,F_RT14[#Headers],0))),IF(AND(_xlpm.x=0,_xlpm.y&lt;&gt;0),-1,IF(AND(_xlpm.x&lt;&gt;0,_xlpm.y&lt;&gt;0),_xlpm.x,IF(AND(_xlpm.x-SUM(IF((INDIRECT($B$3)=$B247)*(INDIRECT($C$3)=$D247)*((INDIRECT($E$3)="TOTS")+(INDIRECT($E$3)=$E247)),INDIRECT(Q$3)))&lt;&gt;0,_xlpm.y=0),-2,_xlpm.x)))),0))</f>
        <v>0</v>
      </c>
      <c r="R247" s="199" cm="1">
        <f t="array" aca="1" ref="R247" ca="1">IF(OR($B247="",$B247="X",$D247="",$D247="X",$E247="",$E247="X"),0,IFERROR(_xlfn.LET(_xlpm.x,SUM(SUM(_xlfn._xlws.FILTER(VALUE(PptoSty[Sign]&amp;1)*(1/PptoSty[Division]),(PptoSty[Division]&lt;&gt;0)*(PptoSty[Division]&lt;&gt;"")*(PptoSty[Division]&lt;&gt;"X")*(PptoSty[Project]=$B247)*(PptoSty[Vrs]=$D247)*(PptoSty[PiRow]=_xlfn.TEXTAFTER($H247,":"))*(PptoSty[PiColumn]=R$54),0)),SUM(IF((INDIRECT($B$3)=$B247)*(INDIRECT($C$3)=$D247)*((INDIRECT($E$3)="TOTS")+(INDIRECT($E$3)=$E247)),INDIRECT(R$3)))),_xlpm.y,SUM(_xlfn.CHOOSECOLS(_xlfn._xlws.FILTER(F_RT14[],(F_RT14[PrjId]=$B247)*(F_RT14[Vrs]=$D247)*(_xlfn.TEXTAFTER(F_RT14[ActGrp],":")=_xlfn.TEXTAFTER($H247,":")),"X"),MATCH("*"&amp;R$54,F_RT14[#Headers],0))),IF(AND(_xlpm.x=0,_xlpm.y&lt;&gt;0),-1,IF(AND(_xlpm.x&lt;&gt;0,_xlpm.y&lt;&gt;0),_xlpm.x,IF(AND(_xlpm.x-SUM(IF((INDIRECT($B$3)=$B247)*(INDIRECT($C$3)=$D247)*((INDIRECT($E$3)="TOTS")+(INDIRECT($E$3)=$E247)),INDIRECT(R$3)))&lt;&gt;0,_xlpm.y=0),-2,_xlpm.x)))),0))</f>
        <v>0</v>
      </c>
      <c r="S247" s="199" cm="1">
        <f t="array" aca="1" ref="S247" ca="1">IF(OR($B247="",$B247="X",$D247="",$D247="X",$E247="",$E247="X"),0,IFERROR(_xlfn.LET(_xlpm.x,SUM(SUM(_xlfn._xlws.FILTER(VALUE(PptoSty[Sign]&amp;1)*(1/PptoSty[Division]),(PptoSty[Division]&lt;&gt;0)*(PptoSty[Division]&lt;&gt;"")*(PptoSty[Division]&lt;&gt;"X")*(PptoSty[Project]=$B247)*(PptoSty[Vrs]=$D247)*(PptoSty[PiRow]=_xlfn.TEXTAFTER($H247,":"))*(PptoSty[PiColumn]=S$54),0)),SUM(IF((INDIRECT($B$3)=$B247)*(INDIRECT($C$3)=$D247)*((INDIRECT($E$3)="TOTS")+(INDIRECT($E$3)=$E247)),INDIRECT(S$3)))),_xlpm.y,SUM(_xlfn.CHOOSECOLS(_xlfn._xlws.FILTER(F_RT14[],(F_RT14[PrjId]=$B247)*(F_RT14[Vrs]=$D247)*(_xlfn.TEXTAFTER(F_RT14[ActGrp],":")=_xlfn.TEXTAFTER($H247,":")),"X"),MATCH("*"&amp;S$54,F_RT14[#Headers],0))),IF(AND(_xlpm.x=0,_xlpm.y&lt;&gt;0),-1,IF(AND(_xlpm.x&lt;&gt;0,_xlpm.y&lt;&gt;0),_xlpm.x,IF(AND(_xlpm.x-SUM(IF((INDIRECT($B$3)=$B247)*(INDIRECT($C$3)=$D247)*((INDIRECT($E$3)="TOTS")+(INDIRECT($E$3)=$E247)),INDIRECT(S$3)))&lt;&gt;0,_xlpm.y=0),-2,_xlpm.x)))),0))</f>
        <v>0</v>
      </c>
      <c r="T247" s="199" cm="1">
        <f t="array" aca="1" ref="T247" ca="1">IF(OR($B247="",$B247="X",$D247="",$D247="X",$E247="",$E247="X"),0,IFERROR(_xlfn.LET(_xlpm.x,SUM(SUM(_xlfn._xlws.FILTER(VALUE(PptoSty[Sign]&amp;1)*(1/PptoSty[Division]),(PptoSty[Division]&lt;&gt;0)*(PptoSty[Division]&lt;&gt;"")*(PptoSty[Division]&lt;&gt;"X")*(PptoSty[Project]=$B247)*(PptoSty[Vrs]=$D247)*(PptoSty[PiRow]=_xlfn.TEXTAFTER($H247,":"))*(PptoSty[PiColumn]=T$54),0)),SUM(IF((INDIRECT($B$3)=$B247)*(INDIRECT($C$3)=$D247)*((INDIRECT($E$3)="TOTS")+(INDIRECT($E$3)=$E247)),INDIRECT(T$3)))),_xlpm.y,SUM(_xlfn.CHOOSECOLS(_xlfn._xlws.FILTER(F_RT14[],(F_RT14[PrjId]=$B247)*(F_RT14[Vrs]=$D247)*(_xlfn.TEXTAFTER(F_RT14[ActGrp],":")=_xlfn.TEXTAFTER($H247,":")),"X"),MATCH("*"&amp;T$54,F_RT14[#Headers],0))),IF(AND(_xlpm.x=0,_xlpm.y&lt;&gt;0),-1,IF(AND(_xlpm.x&lt;&gt;0,_xlpm.y&lt;&gt;0),_xlpm.x,IF(AND(_xlpm.x-SUM(IF((INDIRECT($B$3)=$B247)*(INDIRECT($C$3)=$D247)*((INDIRECT($E$3)="TOTS")+(INDIRECT($E$3)=$E247)),INDIRECT(T$3)))&lt;&gt;0,_xlpm.y=0),-2,_xlpm.x)))),0))</f>
        <v>0</v>
      </c>
      <c r="U247" s="199" cm="1">
        <f t="array" aca="1" ref="U247" ca="1">IF(OR($B247="",$B247="X",$D247="",$D247="X",$E247="",$E247="X"),0,IFERROR(_xlfn.LET(_xlpm.x,SUM(SUM(_xlfn._xlws.FILTER(VALUE(PptoSty[Sign]&amp;1)*(1/PptoSty[Division]),(PptoSty[Division]&lt;&gt;0)*(PptoSty[Division]&lt;&gt;"")*(PptoSty[Division]&lt;&gt;"X")*(PptoSty[Project]=$B247)*(PptoSty[Vrs]=$D247)*(PptoSty[PiRow]=_xlfn.TEXTAFTER($H247,":"))*(PptoSty[PiColumn]=U$54),0)),SUM(IF((INDIRECT($B$3)=$B247)*(INDIRECT($C$3)=$D247)*((INDIRECT($E$3)="TOTS")+(INDIRECT($E$3)=$E247)),INDIRECT(U$3)))),_xlpm.y,SUM(_xlfn.CHOOSECOLS(_xlfn._xlws.FILTER(F_RT14[],(F_RT14[PrjId]=$B247)*(F_RT14[Vrs]=$D247)*(_xlfn.TEXTAFTER(F_RT14[ActGrp],":")=_xlfn.TEXTAFTER($H247,":")),"X"),MATCH("*"&amp;U$54,F_RT14[#Headers],0))),IF(AND(_xlpm.x=0,_xlpm.y&lt;&gt;0),-1,IF(AND(_xlpm.x&lt;&gt;0,_xlpm.y&lt;&gt;0),_xlpm.x,IF(AND(_xlpm.x-SUM(IF((INDIRECT($B$3)=$B247)*(INDIRECT($C$3)=$D247)*((INDIRECT($E$3)="TOTS")+(INDIRECT($E$3)=$E247)),INDIRECT(U$3)))&lt;&gt;0,_xlpm.y=0),-2,_xlpm.x)))),0))</f>
        <v>0</v>
      </c>
      <c r="V247" s="199" cm="1">
        <f t="array" aca="1" ref="V247" ca="1">IF(OR($B247="",$B247="X",$D247="",$D247="X",$E247="",$E247="X"),0,IFERROR(_xlfn.LET(_xlpm.x,SUM(SUM(_xlfn._xlws.FILTER(VALUE(PptoSty[Sign]&amp;1)*(1/PptoSty[Division]),(PptoSty[Division]&lt;&gt;0)*(PptoSty[Division]&lt;&gt;"")*(PptoSty[Division]&lt;&gt;"X")*(PptoSty[Project]=$B247)*(PptoSty[Vrs]=$D247)*(PptoSty[PiRow]=_xlfn.TEXTAFTER($H247,":"))*(PptoSty[PiColumn]=V$54),0)),SUM(IF((INDIRECT($B$3)=$B247)*(INDIRECT($C$3)=$D247)*((INDIRECT($E$3)="TOTS")+(INDIRECT($E$3)=$E247)),INDIRECT(V$3)))),_xlpm.y,SUM(_xlfn.CHOOSECOLS(_xlfn._xlws.FILTER(F_RT14[],(F_RT14[PrjId]=$B247)*(F_RT14[Vrs]=$D247)*(_xlfn.TEXTAFTER(F_RT14[ActGrp],":")=_xlfn.TEXTAFTER($H247,":")),"X"),MATCH("*"&amp;V$54,F_RT14[#Headers],0))),IF(AND(_xlpm.x=0,_xlpm.y&lt;&gt;0),-1,IF(AND(_xlpm.x&lt;&gt;0,_xlpm.y&lt;&gt;0),_xlpm.x,IF(AND(_xlpm.x-SUM(IF((INDIRECT($B$3)=$B247)*(INDIRECT($C$3)=$D247)*((INDIRECT($E$3)="TOTS")+(INDIRECT($E$3)=$E247)),INDIRECT(V$3)))&lt;&gt;0,_xlpm.y=0),-2,_xlpm.x)))),0))</f>
        <v>0</v>
      </c>
      <c r="W247" s="199" cm="1">
        <f t="array" aca="1" ref="W247" ca="1">IF(OR($B247="",$B247="X",$D247="",$D247="X",$E247="",$E247="X"),0,IFERROR(_xlfn.LET(_xlpm.x,SUM(SUM(_xlfn._xlws.FILTER(VALUE(PptoSty[Sign]&amp;1)*(1/PptoSty[Division]),(PptoSty[Division]&lt;&gt;0)*(PptoSty[Division]&lt;&gt;"")*(PptoSty[Division]&lt;&gt;"X")*(PptoSty[Project]=$B247)*(PptoSty[Vrs]=$D247)*(PptoSty[PiRow]=_xlfn.TEXTAFTER($H247,":"))*(PptoSty[PiColumn]=W$54),0)),SUM(IF((INDIRECT($B$3)=$B247)*(INDIRECT($C$3)=$D247)*((INDIRECT($E$3)="TOTS")+(INDIRECT($E$3)=$E247)),INDIRECT(W$3)))),_xlpm.y,SUM(_xlfn.CHOOSECOLS(_xlfn._xlws.FILTER(F_RT14[],(F_RT14[PrjId]=$B247)*(F_RT14[Vrs]=$D247)*(_xlfn.TEXTAFTER(F_RT14[ActGrp],":")=_xlfn.TEXTAFTER($H247,":")),"X"),MATCH("*"&amp;W$54,F_RT14[#Headers],0))),IF(AND(_xlpm.x=0,_xlpm.y&lt;&gt;0),-1,IF(AND(_xlpm.x&lt;&gt;0,_xlpm.y&lt;&gt;0),_xlpm.x,IF(AND(_xlpm.x-SUM(IF((INDIRECT($B$3)=$B247)*(INDIRECT($C$3)=$D247)*((INDIRECT($E$3)="TOTS")+(INDIRECT($E$3)=$E247)),INDIRECT(W$3)))&lt;&gt;0,_xlpm.y=0),-2,_xlpm.x)))),0))</f>
        <v>0</v>
      </c>
      <c r="X247" s="199" cm="1">
        <f t="array" aca="1" ref="X247" ca="1">IF(OR($B247="",$B247="X",$D247="",$D247="X",$E247="",$E247="X"),0,IFERROR(_xlfn.LET(_xlpm.x,SUM(SUM(_xlfn._xlws.FILTER(VALUE(PptoSty[Sign]&amp;1)*(1/PptoSty[Division]),(PptoSty[Division]&lt;&gt;0)*(PptoSty[Division]&lt;&gt;"")*(PptoSty[Division]&lt;&gt;"X")*(PptoSty[Project]=$B247)*(PptoSty[Vrs]=$D247)*(PptoSty[PiRow]=_xlfn.TEXTAFTER($H247,":"))*(PptoSty[PiColumn]=X$54),0)),SUM(IF((INDIRECT($B$3)=$B247)*(INDIRECT($C$3)=$D247)*((INDIRECT($E$3)="TOTS")+(INDIRECT($E$3)=$E247)),INDIRECT(X$3)))),_xlpm.y,SUM(_xlfn.CHOOSECOLS(_xlfn._xlws.FILTER(F_RT14[],(F_RT14[PrjId]=$B247)*(F_RT14[Vrs]=$D247)*(_xlfn.TEXTAFTER(F_RT14[ActGrp],":")=_xlfn.TEXTAFTER($H247,":")),"X"),MATCH("*"&amp;X$54,F_RT14[#Headers],0))),IF(AND(_xlpm.x=0,_xlpm.y&lt;&gt;0),-1,IF(AND(_xlpm.x&lt;&gt;0,_xlpm.y&lt;&gt;0),_xlpm.x,IF(AND(_xlpm.x-SUM(IF((INDIRECT($B$3)=$B247)*(INDIRECT($C$3)=$D247)*((INDIRECT($E$3)="TOTS")+(INDIRECT($E$3)=$E247)),INDIRECT(X$3)))&lt;&gt;0,_xlpm.y=0),-2,_xlpm.x)))),0))</f>
        <v>0</v>
      </c>
      <c r="Y247" s="199" cm="1">
        <f t="array" aca="1" ref="Y247" ca="1">IF(OR($B247="",$B247="X",$D247="",$D247="X",$E247="",$E247="X"),0,IFERROR(_xlfn.LET(_xlpm.x,SUM(SUM(_xlfn._xlws.FILTER(VALUE(PptoSty[Sign]&amp;1)*(1/PptoSty[Division]),(PptoSty[Division]&lt;&gt;0)*(PptoSty[Division]&lt;&gt;"")*(PptoSty[Division]&lt;&gt;"X")*(PptoSty[Project]=$B247)*(PptoSty[Vrs]=$D247)*(PptoSty[PiRow]=_xlfn.TEXTAFTER($H247,":"))*(PptoSty[PiColumn]=Y$54),0)),SUM(IF((INDIRECT($B$3)=$B247)*(INDIRECT($C$3)=$D247)*((INDIRECT($E$3)="TOTS")+(INDIRECT($E$3)=$E247)),INDIRECT(Y$3)))),_xlpm.y,SUM(_xlfn.CHOOSECOLS(_xlfn._xlws.FILTER(F_RT14[],(F_RT14[PrjId]=$B247)*(F_RT14[Vrs]=$D247)*(_xlfn.TEXTAFTER(F_RT14[ActGrp],":")=_xlfn.TEXTAFTER($H247,":")),"X"),MATCH("*"&amp;Y$54,F_RT14[#Headers],0))),IF(AND(_xlpm.x=0,_xlpm.y&lt;&gt;0),-1,IF(AND(_xlpm.x&lt;&gt;0,_xlpm.y&lt;&gt;0),_xlpm.x,IF(AND(_xlpm.x-SUM(IF((INDIRECT($B$3)=$B247)*(INDIRECT($C$3)=$D247)*((INDIRECT($E$3)="TOTS")+(INDIRECT($E$3)=$E247)),INDIRECT(Y$3)))&lt;&gt;0,_xlpm.y=0),-2,_xlpm.x)))),0))</f>
        <v>0</v>
      </c>
      <c r="Z247" s="198" t="str">
        <f t="shared" ca="1" si="5"/>
        <v>Fback!B247:Y247</v>
      </c>
      <c r="AA247" s="38"/>
    </row>
    <row r="248" spans="1:27" ht="21" customHeight="1" outlineLevel="1">
      <c r="B248" s="128"/>
      <c r="C248" s="128"/>
      <c r="D248" s="128"/>
      <c r="E248" s="128"/>
      <c r="F248" s="139"/>
      <c r="G248" s="139"/>
      <c r="H248" s="139"/>
      <c r="I248" s="199" cm="1">
        <f t="array" aca="1" ref="I248" ca="1">IF(OR($B248="",$B248="X",$D248="",$D248="X",$E248="",$E248="X"),0,IFERROR(_xlfn.LET(_xlpm.x,SUM(SUM(_xlfn._xlws.FILTER(VALUE(PptoSty[Sign]&amp;1)*(1/PptoSty[Division]),(PptoSty[Division]&lt;&gt;0)*(PptoSty[Division]&lt;&gt;"")*(PptoSty[Division]&lt;&gt;"X")*(PptoSty[Project]=$B248)*(PptoSty[Vrs]=$D248)*(PptoSty[PiRow]=_xlfn.TEXTAFTER($H248,":"))*(PptoSty[PiColumn]=I$54),0)),SUM(IF((INDIRECT($B$3)=$B248)*(INDIRECT($C$3)=$D248)*((INDIRECT($E$3)="TOTS")+(INDIRECT($E$3)=$E248)),INDIRECT(I$3)))),_xlpm.y,SUM(_xlfn.CHOOSECOLS(_xlfn._xlws.FILTER(F_RT14[],(F_RT14[PrjId]=$B248)*(F_RT14[Vrs]=$D248)*(_xlfn.TEXTAFTER(F_RT14[ActGrp],":")=_xlfn.TEXTAFTER($H248,":")),"X"),MATCH("*"&amp;I$54,F_RT14[#Headers],0))),IF(AND(_xlpm.x=0,_xlpm.y&lt;&gt;0),-1,IF(AND(_xlpm.x&lt;&gt;0,_xlpm.y&lt;&gt;0),_xlpm.x,IF(AND(_xlpm.x-SUM(IF((INDIRECT($B$3)=$B248)*(INDIRECT($C$3)=$D248)*((INDIRECT($E$3)="TOTS")+(INDIRECT($E$3)=$E248)),INDIRECT(I$3)))&lt;&gt;0,_xlpm.y=0),-2,_xlpm.x)))),0))</f>
        <v>0</v>
      </c>
      <c r="J248" s="199" cm="1">
        <f t="array" aca="1" ref="J248" ca="1">IF(OR($B248="",$B248="X",$D248="",$D248="X",$E248="",$E248="X"),0,IFERROR(_xlfn.LET(_xlpm.x,SUM(SUM(_xlfn._xlws.FILTER(VALUE(PptoSty[Sign]&amp;1)*(1/PptoSty[Division]),(PptoSty[Division]&lt;&gt;0)*(PptoSty[Division]&lt;&gt;"")*(PptoSty[Division]&lt;&gt;"X")*(PptoSty[Project]=$B248)*(PptoSty[Vrs]=$D248)*(PptoSty[PiRow]=_xlfn.TEXTAFTER($H248,":"))*(PptoSty[PiColumn]=J$54),0)),SUM(IF((INDIRECT($B$3)=$B248)*(INDIRECT($C$3)=$D248)*((INDIRECT($E$3)="TOTS")+(INDIRECT($E$3)=$E248)),INDIRECT(J$3)))),_xlpm.y,SUM(_xlfn.CHOOSECOLS(_xlfn._xlws.FILTER(F_RT14[],(F_RT14[PrjId]=$B248)*(F_RT14[Vrs]=$D248)*(_xlfn.TEXTAFTER(F_RT14[ActGrp],":")=_xlfn.TEXTAFTER($H248,":")),"X"),MATCH("*"&amp;J$54,F_RT14[#Headers],0))),IF(AND(_xlpm.x=0,_xlpm.y&lt;&gt;0),-1,IF(AND(_xlpm.x&lt;&gt;0,_xlpm.y&lt;&gt;0),_xlpm.x,IF(AND(_xlpm.x-SUM(IF((INDIRECT($B$3)=$B248)*(INDIRECT($C$3)=$D248)*((INDIRECT($E$3)="TOTS")+(INDIRECT($E$3)=$E248)),INDIRECT(J$3)))&lt;&gt;0,_xlpm.y=0),-2,_xlpm.x)))),0))</f>
        <v>0</v>
      </c>
      <c r="K248" s="199" cm="1">
        <f t="array" aca="1" ref="K248" ca="1">IF(OR($B248="",$B248="X",$D248="",$D248="X",$E248="",$E248="X"),0,IFERROR(_xlfn.LET(_xlpm.x,SUM(SUM(_xlfn._xlws.FILTER(VALUE(PptoSty[Sign]&amp;1)*(1/PptoSty[Division]),(PptoSty[Division]&lt;&gt;0)*(PptoSty[Division]&lt;&gt;"")*(PptoSty[Division]&lt;&gt;"X")*(PptoSty[Project]=$B248)*(PptoSty[Vrs]=$D248)*(PptoSty[PiRow]=_xlfn.TEXTAFTER($H248,":"))*(PptoSty[PiColumn]=K$54),0)),SUM(IF((INDIRECT($B$3)=$B248)*(INDIRECT($C$3)=$D248)*((INDIRECT($E$3)="TOTS")+(INDIRECT($E$3)=$E248)),INDIRECT(K$3)))),_xlpm.y,SUM(_xlfn.CHOOSECOLS(_xlfn._xlws.FILTER(F_RT14[],(F_RT14[PrjId]=$B248)*(F_RT14[Vrs]=$D248)*(_xlfn.TEXTAFTER(F_RT14[ActGrp],":")=_xlfn.TEXTAFTER($H248,":")),"X"),MATCH("*"&amp;K$54,F_RT14[#Headers],0))),IF(AND(_xlpm.x=0,_xlpm.y&lt;&gt;0),-1,IF(AND(_xlpm.x&lt;&gt;0,_xlpm.y&lt;&gt;0),_xlpm.x,IF(AND(_xlpm.x-SUM(IF((INDIRECT($B$3)=$B248)*(INDIRECT($C$3)=$D248)*((INDIRECT($E$3)="TOTS")+(INDIRECT($E$3)=$E248)),INDIRECT(K$3)))&lt;&gt;0,_xlpm.y=0),-2,_xlpm.x)))),0))</f>
        <v>0</v>
      </c>
      <c r="L248" s="199" cm="1">
        <f t="array" aca="1" ref="L248" ca="1">IF(OR($B248="",$B248="X",$D248="",$D248="X",$E248="",$E248="X"),0,IFERROR(_xlfn.LET(_xlpm.x,SUM(SUM(_xlfn._xlws.FILTER(VALUE(PptoSty[Sign]&amp;1)*(1/PptoSty[Division]),(PptoSty[Division]&lt;&gt;0)*(PptoSty[Division]&lt;&gt;"")*(PptoSty[Division]&lt;&gt;"X")*(PptoSty[Project]=$B248)*(PptoSty[Vrs]=$D248)*(PptoSty[PiRow]=_xlfn.TEXTAFTER($H248,":"))*(PptoSty[PiColumn]=L$54),0)),SUM(IF((INDIRECT($B$3)=$B248)*(INDIRECT($C$3)=$D248)*((INDIRECT($E$3)="TOTS")+(INDIRECT($E$3)=$E248)),INDIRECT(L$3)))),_xlpm.y,SUM(_xlfn.CHOOSECOLS(_xlfn._xlws.FILTER(F_RT14[],(F_RT14[PrjId]=$B248)*(F_RT14[Vrs]=$D248)*(_xlfn.TEXTAFTER(F_RT14[ActGrp],":")=_xlfn.TEXTAFTER($H248,":")),"X"),MATCH("*"&amp;L$54,F_RT14[#Headers],0))),IF(AND(_xlpm.x=0,_xlpm.y&lt;&gt;0),-1,IF(AND(_xlpm.x&lt;&gt;0,_xlpm.y&lt;&gt;0),_xlpm.x,IF(AND(_xlpm.x-SUM(IF((INDIRECT($B$3)=$B248)*(INDIRECT($C$3)=$D248)*((INDIRECT($E$3)="TOTS")+(INDIRECT($E$3)=$E248)),INDIRECT(L$3)))&lt;&gt;0,_xlpm.y=0),-2,_xlpm.x)))),0))</f>
        <v>0</v>
      </c>
      <c r="M248" s="199" cm="1">
        <f t="array" aca="1" ref="M248" ca="1">IF(OR($B248="",$B248="X",$D248="",$D248="X",$E248="",$E248="X"),0,IFERROR(_xlfn.LET(_xlpm.x,SUM(SUM(_xlfn._xlws.FILTER(VALUE(PptoSty[Sign]&amp;1)*(1/PptoSty[Division]),(PptoSty[Division]&lt;&gt;0)*(PptoSty[Division]&lt;&gt;"")*(PptoSty[Division]&lt;&gt;"X")*(PptoSty[Project]=$B248)*(PptoSty[Vrs]=$D248)*(PptoSty[PiRow]=_xlfn.TEXTAFTER($H248,":"))*(PptoSty[PiColumn]=M$54),0)),SUM(IF((INDIRECT($B$3)=$B248)*(INDIRECT($C$3)=$D248)*((INDIRECT($E$3)="TOTS")+(INDIRECT($E$3)=$E248)),INDIRECT(M$3)))),_xlpm.y,SUM(_xlfn.CHOOSECOLS(_xlfn._xlws.FILTER(F_RT14[],(F_RT14[PrjId]=$B248)*(F_RT14[Vrs]=$D248)*(_xlfn.TEXTAFTER(F_RT14[ActGrp],":")=_xlfn.TEXTAFTER($H248,":")),"X"),MATCH("*"&amp;M$54,F_RT14[#Headers],0))),IF(AND(_xlpm.x=0,_xlpm.y&lt;&gt;0),-1,IF(AND(_xlpm.x&lt;&gt;0,_xlpm.y&lt;&gt;0),_xlpm.x,IF(AND(_xlpm.x-SUM(IF((INDIRECT($B$3)=$B248)*(INDIRECT($C$3)=$D248)*((INDIRECT($E$3)="TOTS")+(INDIRECT($E$3)=$E248)),INDIRECT(M$3)))&lt;&gt;0,_xlpm.y=0),-2,_xlpm.x)))),0))</f>
        <v>0</v>
      </c>
      <c r="N248" s="199" cm="1">
        <f t="array" aca="1" ref="N248" ca="1">IF(OR($B248="",$B248="X",$D248="",$D248="X",$E248="",$E248="X"),0,IFERROR(_xlfn.LET(_xlpm.x,SUM(SUM(_xlfn._xlws.FILTER(VALUE(PptoSty[Sign]&amp;1)*(1/PptoSty[Division]),(PptoSty[Division]&lt;&gt;0)*(PptoSty[Division]&lt;&gt;"")*(PptoSty[Division]&lt;&gt;"X")*(PptoSty[Project]=$B248)*(PptoSty[Vrs]=$D248)*(PptoSty[PiRow]=_xlfn.TEXTAFTER($H248,":"))*(PptoSty[PiColumn]=N$54),0)),SUM(IF((INDIRECT($B$3)=$B248)*(INDIRECT($C$3)=$D248)*((INDIRECT($E$3)="TOTS")+(INDIRECT($E$3)=$E248)),INDIRECT(N$3)))),_xlpm.y,SUM(_xlfn.CHOOSECOLS(_xlfn._xlws.FILTER(F_RT14[],(F_RT14[PrjId]=$B248)*(F_RT14[Vrs]=$D248)*(_xlfn.TEXTAFTER(F_RT14[ActGrp],":")=_xlfn.TEXTAFTER($H248,":")),"X"),MATCH("*"&amp;N$54,F_RT14[#Headers],0))),IF(AND(_xlpm.x=0,_xlpm.y&lt;&gt;0),-1,IF(AND(_xlpm.x&lt;&gt;0,_xlpm.y&lt;&gt;0),_xlpm.x,IF(AND(_xlpm.x-SUM(IF((INDIRECT($B$3)=$B248)*(INDIRECT($C$3)=$D248)*((INDIRECT($E$3)="TOTS")+(INDIRECT($E$3)=$E248)),INDIRECT(N$3)))&lt;&gt;0,_xlpm.y=0),-2,_xlpm.x)))),0))</f>
        <v>0</v>
      </c>
      <c r="O248" s="199" cm="1">
        <f t="array" aca="1" ref="O248" ca="1">IF(OR($B248="",$B248="X",$D248="",$D248="X",$E248="",$E248="X"),0,IFERROR(_xlfn.LET(_xlpm.x,SUM(SUM(_xlfn._xlws.FILTER(VALUE(PptoSty[Sign]&amp;1)*(1/PptoSty[Division]),(PptoSty[Division]&lt;&gt;0)*(PptoSty[Division]&lt;&gt;"")*(PptoSty[Division]&lt;&gt;"X")*(PptoSty[Project]=$B248)*(PptoSty[Vrs]=$D248)*(PptoSty[PiRow]=_xlfn.TEXTAFTER($H248,":"))*(PptoSty[PiColumn]=O$54),0)),SUM(IF((INDIRECT($B$3)=$B248)*(INDIRECT($C$3)=$D248)*((INDIRECT($E$3)="TOTS")+(INDIRECT($E$3)=$E248)),INDIRECT(O$3)))),_xlpm.y,SUM(_xlfn.CHOOSECOLS(_xlfn._xlws.FILTER(F_RT14[],(F_RT14[PrjId]=$B248)*(F_RT14[Vrs]=$D248)*(_xlfn.TEXTAFTER(F_RT14[ActGrp],":")=_xlfn.TEXTAFTER($H248,":")),"X"),MATCH("*"&amp;O$54,F_RT14[#Headers],0))),IF(AND(_xlpm.x=0,_xlpm.y&lt;&gt;0),-1,IF(AND(_xlpm.x&lt;&gt;0,_xlpm.y&lt;&gt;0),_xlpm.x,IF(AND(_xlpm.x-SUM(IF((INDIRECT($B$3)=$B248)*(INDIRECT($C$3)=$D248)*((INDIRECT($E$3)="TOTS")+(INDIRECT($E$3)=$E248)),INDIRECT(O$3)))&lt;&gt;0,_xlpm.y=0),-2,_xlpm.x)))),0))</f>
        <v>0</v>
      </c>
      <c r="P248" s="199" cm="1">
        <f t="array" aca="1" ref="P248" ca="1">IF(OR($B248="",$B248="X",$D248="",$D248="X",$E248="",$E248="X"),0,IFERROR(_xlfn.LET(_xlpm.x,SUM(SUM(_xlfn._xlws.FILTER(VALUE(PptoSty[Sign]&amp;1)*(1/PptoSty[Division]),(PptoSty[Division]&lt;&gt;0)*(PptoSty[Division]&lt;&gt;"")*(PptoSty[Division]&lt;&gt;"X")*(PptoSty[Project]=$B248)*(PptoSty[Vrs]=$D248)*(PptoSty[PiRow]=_xlfn.TEXTAFTER($H248,":"))*(PptoSty[PiColumn]=P$54),0)),SUM(IF((INDIRECT($B$3)=$B248)*(INDIRECT($C$3)=$D248)*((INDIRECT($E$3)="TOTS")+(INDIRECT($E$3)=$E248)),INDIRECT(P$3)))),_xlpm.y,SUM(_xlfn.CHOOSECOLS(_xlfn._xlws.FILTER(F_RT14[],(F_RT14[PrjId]=$B248)*(F_RT14[Vrs]=$D248)*(_xlfn.TEXTAFTER(F_RT14[ActGrp],":")=_xlfn.TEXTAFTER($H248,":")),"X"),MATCH("*"&amp;P$54,F_RT14[#Headers],0))),IF(AND(_xlpm.x=0,_xlpm.y&lt;&gt;0),-1,IF(AND(_xlpm.x&lt;&gt;0,_xlpm.y&lt;&gt;0),_xlpm.x,IF(AND(_xlpm.x-SUM(IF((INDIRECT($B$3)=$B248)*(INDIRECT($C$3)=$D248)*((INDIRECT($E$3)="TOTS")+(INDIRECT($E$3)=$E248)),INDIRECT(P$3)))&lt;&gt;0,_xlpm.y=0),-2,_xlpm.x)))),0))</f>
        <v>0</v>
      </c>
      <c r="Q248" s="199" cm="1">
        <f t="array" aca="1" ref="Q248" ca="1">IF(OR($B248="",$B248="X",$D248="",$D248="X",$E248="",$E248="X"),0,IFERROR(_xlfn.LET(_xlpm.x,SUM(SUM(_xlfn._xlws.FILTER(VALUE(PptoSty[Sign]&amp;1)*(1/PptoSty[Division]),(PptoSty[Division]&lt;&gt;0)*(PptoSty[Division]&lt;&gt;"")*(PptoSty[Division]&lt;&gt;"X")*(PptoSty[Project]=$B248)*(PptoSty[Vrs]=$D248)*(PptoSty[PiRow]=_xlfn.TEXTAFTER($H248,":"))*(PptoSty[PiColumn]=Q$54),0)),SUM(IF((INDIRECT($B$3)=$B248)*(INDIRECT($C$3)=$D248)*((INDIRECT($E$3)="TOTS")+(INDIRECT($E$3)=$E248)),INDIRECT(Q$3)))),_xlpm.y,SUM(_xlfn.CHOOSECOLS(_xlfn._xlws.FILTER(F_RT14[],(F_RT14[PrjId]=$B248)*(F_RT14[Vrs]=$D248)*(_xlfn.TEXTAFTER(F_RT14[ActGrp],":")=_xlfn.TEXTAFTER($H248,":")),"X"),MATCH("*"&amp;Q$54,F_RT14[#Headers],0))),IF(AND(_xlpm.x=0,_xlpm.y&lt;&gt;0),-1,IF(AND(_xlpm.x&lt;&gt;0,_xlpm.y&lt;&gt;0),_xlpm.x,IF(AND(_xlpm.x-SUM(IF((INDIRECT($B$3)=$B248)*(INDIRECT($C$3)=$D248)*((INDIRECT($E$3)="TOTS")+(INDIRECT($E$3)=$E248)),INDIRECT(Q$3)))&lt;&gt;0,_xlpm.y=0),-2,_xlpm.x)))),0))</f>
        <v>0</v>
      </c>
      <c r="R248" s="199" cm="1">
        <f t="array" aca="1" ref="R248" ca="1">IF(OR($B248="",$B248="X",$D248="",$D248="X",$E248="",$E248="X"),0,IFERROR(_xlfn.LET(_xlpm.x,SUM(SUM(_xlfn._xlws.FILTER(VALUE(PptoSty[Sign]&amp;1)*(1/PptoSty[Division]),(PptoSty[Division]&lt;&gt;0)*(PptoSty[Division]&lt;&gt;"")*(PptoSty[Division]&lt;&gt;"X")*(PptoSty[Project]=$B248)*(PptoSty[Vrs]=$D248)*(PptoSty[PiRow]=_xlfn.TEXTAFTER($H248,":"))*(PptoSty[PiColumn]=R$54),0)),SUM(IF((INDIRECT($B$3)=$B248)*(INDIRECT($C$3)=$D248)*((INDIRECT($E$3)="TOTS")+(INDIRECT($E$3)=$E248)),INDIRECT(R$3)))),_xlpm.y,SUM(_xlfn.CHOOSECOLS(_xlfn._xlws.FILTER(F_RT14[],(F_RT14[PrjId]=$B248)*(F_RT14[Vrs]=$D248)*(_xlfn.TEXTAFTER(F_RT14[ActGrp],":")=_xlfn.TEXTAFTER($H248,":")),"X"),MATCH("*"&amp;R$54,F_RT14[#Headers],0))),IF(AND(_xlpm.x=0,_xlpm.y&lt;&gt;0),-1,IF(AND(_xlpm.x&lt;&gt;0,_xlpm.y&lt;&gt;0),_xlpm.x,IF(AND(_xlpm.x-SUM(IF((INDIRECT($B$3)=$B248)*(INDIRECT($C$3)=$D248)*((INDIRECT($E$3)="TOTS")+(INDIRECT($E$3)=$E248)),INDIRECT(R$3)))&lt;&gt;0,_xlpm.y=0),-2,_xlpm.x)))),0))</f>
        <v>0</v>
      </c>
      <c r="S248" s="199" cm="1">
        <f t="array" aca="1" ref="S248" ca="1">IF(OR($B248="",$B248="X",$D248="",$D248="X",$E248="",$E248="X"),0,IFERROR(_xlfn.LET(_xlpm.x,SUM(SUM(_xlfn._xlws.FILTER(VALUE(PptoSty[Sign]&amp;1)*(1/PptoSty[Division]),(PptoSty[Division]&lt;&gt;0)*(PptoSty[Division]&lt;&gt;"")*(PptoSty[Division]&lt;&gt;"X")*(PptoSty[Project]=$B248)*(PptoSty[Vrs]=$D248)*(PptoSty[PiRow]=_xlfn.TEXTAFTER($H248,":"))*(PptoSty[PiColumn]=S$54),0)),SUM(IF((INDIRECT($B$3)=$B248)*(INDIRECT($C$3)=$D248)*((INDIRECT($E$3)="TOTS")+(INDIRECT($E$3)=$E248)),INDIRECT(S$3)))),_xlpm.y,SUM(_xlfn.CHOOSECOLS(_xlfn._xlws.FILTER(F_RT14[],(F_RT14[PrjId]=$B248)*(F_RT14[Vrs]=$D248)*(_xlfn.TEXTAFTER(F_RT14[ActGrp],":")=_xlfn.TEXTAFTER($H248,":")),"X"),MATCH("*"&amp;S$54,F_RT14[#Headers],0))),IF(AND(_xlpm.x=0,_xlpm.y&lt;&gt;0),-1,IF(AND(_xlpm.x&lt;&gt;0,_xlpm.y&lt;&gt;0),_xlpm.x,IF(AND(_xlpm.x-SUM(IF((INDIRECT($B$3)=$B248)*(INDIRECT($C$3)=$D248)*((INDIRECT($E$3)="TOTS")+(INDIRECT($E$3)=$E248)),INDIRECT(S$3)))&lt;&gt;0,_xlpm.y=0),-2,_xlpm.x)))),0))</f>
        <v>0</v>
      </c>
      <c r="T248" s="199" cm="1">
        <f t="array" aca="1" ref="T248" ca="1">IF(OR($B248="",$B248="X",$D248="",$D248="X",$E248="",$E248="X"),0,IFERROR(_xlfn.LET(_xlpm.x,SUM(SUM(_xlfn._xlws.FILTER(VALUE(PptoSty[Sign]&amp;1)*(1/PptoSty[Division]),(PptoSty[Division]&lt;&gt;0)*(PptoSty[Division]&lt;&gt;"")*(PptoSty[Division]&lt;&gt;"X")*(PptoSty[Project]=$B248)*(PptoSty[Vrs]=$D248)*(PptoSty[PiRow]=_xlfn.TEXTAFTER($H248,":"))*(PptoSty[PiColumn]=T$54),0)),SUM(IF((INDIRECT($B$3)=$B248)*(INDIRECT($C$3)=$D248)*((INDIRECT($E$3)="TOTS")+(INDIRECT($E$3)=$E248)),INDIRECT(T$3)))),_xlpm.y,SUM(_xlfn.CHOOSECOLS(_xlfn._xlws.FILTER(F_RT14[],(F_RT14[PrjId]=$B248)*(F_RT14[Vrs]=$D248)*(_xlfn.TEXTAFTER(F_RT14[ActGrp],":")=_xlfn.TEXTAFTER($H248,":")),"X"),MATCH("*"&amp;T$54,F_RT14[#Headers],0))),IF(AND(_xlpm.x=0,_xlpm.y&lt;&gt;0),-1,IF(AND(_xlpm.x&lt;&gt;0,_xlpm.y&lt;&gt;0),_xlpm.x,IF(AND(_xlpm.x-SUM(IF((INDIRECT($B$3)=$B248)*(INDIRECT($C$3)=$D248)*((INDIRECT($E$3)="TOTS")+(INDIRECT($E$3)=$E248)),INDIRECT(T$3)))&lt;&gt;0,_xlpm.y=0),-2,_xlpm.x)))),0))</f>
        <v>0</v>
      </c>
      <c r="U248" s="199" cm="1">
        <f t="array" aca="1" ref="U248" ca="1">IF(OR($B248="",$B248="X",$D248="",$D248="X",$E248="",$E248="X"),0,IFERROR(_xlfn.LET(_xlpm.x,SUM(SUM(_xlfn._xlws.FILTER(VALUE(PptoSty[Sign]&amp;1)*(1/PptoSty[Division]),(PptoSty[Division]&lt;&gt;0)*(PptoSty[Division]&lt;&gt;"")*(PptoSty[Division]&lt;&gt;"X")*(PptoSty[Project]=$B248)*(PptoSty[Vrs]=$D248)*(PptoSty[PiRow]=_xlfn.TEXTAFTER($H248,":"))*(PptoSty[PiColumn]=U$54),0)),SUM(IF((INDIRECT($B$3)=$B248)*(INDIRECT($C$3)=$D248)*((INDIRECT($E$3)="TOTS")+(INDIRECT($E$3)=$E248)),INDIRECT(U$3)))),_xlpm.y,SUM(_xlfn.CHOOSECOLS(_xlfn._xlws.FILTER(F_RT14[],(F_RT14[PrjId]=$B248)*(F_RT14[Vrs]=$D248)*(_xlfn.TEXTAFTER(F_RT14[ActGrp],":")=_xlfn.TEXTAFTER($H248,":")),"X"),MATCH("*"&amp;U$54,F_RT14[#Headers],0))),IF(AND(_xlpm.x=0,_xlpm.y&lt;&gt;0),-1,IF(AND(_xlpm.x&lt;&gt;0,_xlpm.y&lt;&gt;0),_xlpm.x,IF(AND(_xlpm.x-SUM(IF((INDIRECT($B$3)=$B248)*(INDIRECT($C$3)=$D248)*((INDIRECT($E$3)="TOTS")+(INDIRECT($E$3)=$E248)),INDIRECT(U$3)))&lt;&gt;0,_xlpm.y=0),-2,_xlpm.x)))),0))</f>
        <v>0</v>
      </c>
      <c r="V248" s="199" cm="1">
        <f t="array" aca="1" ref="V248" ca="1">IF(OR($B248="",$B248="X",$D248="",$D248="X",$E248="",$E248="X"),0,IFERROR(_xlfn.LET(_xlpm.x,SUM(SUM(_xlfn._xlws.FILTER(VALUE(PptoSty[Sign]&amp;1)*(1/PptoSty[Division]),(PptoSty[Division]&lt;&gt;0)*(PptoSty[Division]&lt;&gt;"")*(PptoSty[Division]&lt;&gt;"X")*(PptoSty[Project]=$B248)*(PptoSty[Vrs]=$D248)*(PptoSty[PiRow]=_xlfn.TEXTAFTER($H248,":"))*(PptoSty[PiColumn]=V$54),0)),SUM(IF((INDIRECT($B$3)=$B248)*(INDIRECT($C$3)=$D248)*((INDIRECT($E$3)="TOTS")+(INDIRECT($E$3)=$E248)),INDIRECT(V$3)))),_xlpm.y,SUM(_xlfn.CHOOSECOLS(_xlfn._xlws.FILTER(F_RT14[],(F_RT14[PrjId]=$B248)*(F_RT14[Vrs]=$D248)*(_xlfn.TEXTAFTER(F_RT14[ActGrp],":")=_xlfn.TEXTAFTER($H248,":")),"X"),MATCH("*"&amp;V$54,F_RT14[#Headers],0))),IF(AND(_xlpm.x=0,_xlpm.y&lt;&gt;0),-1,IF(AND(_xlpm.x&lt;&gt;0,_xlpm.y&lt;&gt;0),_xlpm.x,IF(AND(_xlpm.x-SUM(IF((INDIRECT($B$3)=$B248)*(INDIRECT($C$3)=$D248)*((INDIRECT($E$3)="TOTS")+(INDIRECT($E$3)=$E248)),INDIRECT(V$3)))&lt;&gt;0,_xlpm.y=0),-2,_xlpm.x)))),0))</f>
        <v>0</v>
      </c>
      <c r="W248" s="199" cm="1">
        <f t="array" aca="1" ref="W248" ca="1">IF(OR($B248="",$B248="X",$D248="",$D248="X",$E248="",$E248="X"),0,IFERROR(_xlfn.LET(_xlpm.x,SUM(SUM(_xlfn._xlws.FILTER(VALUE(PptoSty[Sign]&amp;1)*(1/PptoSty[Division]),(PptoSty[Division]&lt;&gt;0)*(PptoSty[Division]&lt;&gt;"")*(PptoSty[Division]&lt;&gt;"X")*(PptoSty[Project]=$B248)*(PptoSty[Vrs]=$D248)*(PptoSty[PiRow]=_xlfn.TEXTAFTER($H248,":"))*(PptoSty[PiColumn]=W$54),0)),SUM(IF((INDIRECT($B$3)=$B248)*(INDIRECT($C$3)=$D248)*((INDIRECT($E$3)="TOTS")+(INDIRECT($E$3)=$E248)),INDIRECT(W$3)))),_xlpm.y,SUM(_xlfn.CHOOSECOLS(_xlfn._xlws.FILTER(F_RT14[],(F_RT14[PrjId]=$B248)*(F_RT14[Vrs]=$D248)*(_xlfn.TEXTAFTER(F_RT14[ActGrp],":")=_xlfn.TEXTAFTER($H248,":")),"X"),MATCH("*"&amp;W$54,F_RT14[#Headers],0))),IF(AND(_xlpm.x=0,_xlpm.y&lt;&gt;0),-1,IF(AND(_xlpm.x&lt;&gt;0,_xlpm.y&lt;&gt;0),_xlpm.x,IF(AND(_xlpm.x-SUM(IF((INDIRECT($B$3)=$B248)*(INDIRECT($C$3)=$D248)*((INDIRECT($E$3)="TOTS")+(INDIRECT($E$3)=$E248)),INDIRECT(W$3)))&lt;&gt;0,_xlpm.y=0),-2,_xlpm.x)))),0))</f>
        <v>0</v>
      </c>
      <c r="X248" s="199" cm="1">
        <f t="array" aca="1" ref="X248" ca="1">IF(OR($B248="",$B248="X",$D248="",$D248="X",$E248="",$E248="X"),0,IFERROR(_xlfn.LET(_xlpm.x,SUM(SUM(_xlfn._xlws.FILTER(VALUE(PptoSty[Sign]&amp;1)*(1/PptoSty[Division]),(PptoSty[Division]&lt;&gt;0)*(PptoSty[Division]&lt;&gt;"")*(PptoSty[Division]&lt;&gt;"X")*(PptoSty[Project]=$B248)*(PptoSty[Vrs]=$D248)*(PptoSty[PiRow]=_xlfn.TEXTAFTER($H248,":"))*(PptoSty[PiColumn]=X$54),0)),SUM(IF((INDIRECT($B$3)=$B248)*(INDIRECT($C$3)=$D248)*((INDIRECT($E$3)="TOTS")+(INDIRECT($E$3)=$E248)),INDIRECT(X$3)))),_xlpm.y,SUM(_xlfn.CHOOSECOLS(_xlfn._xlws.FILTER(F_RT14[],(F_RT14[PrjId]=$B248)*(F_RT14[Vrs]=$D248)*(_xlfn.TEXTAFTER(F_RT14[ActGrp],":")=_xlfn.TEXTAFTER($H248,":")),"X"),MATCH("*"&amp;X$54,F_RT14[#Headers],0))),IF(AND(_xlpm.x=0,_xlpm.y&lt;&gt;0),-1,IF(AND(_xlpm.x&lt;&gt;0,_xlpm.y&lt;&gt;0),_xlpm.x,IF(AND(_xlpm.x-SUM(IF((INDIRECT($B$3)=$B248)*(INDIRECT($C$3)=$D248)*((INDIRECT($E$3)="TOTS")+(INDIRECT($E$3)=$E248)),INDIRECT(X$3)))&lt;&gt;0,_xlpm.y=0),-2,_xlpm.x)))),0))</f>
        <v>0</v>
      </c>
      <c r="Y248" s="199" cm="1">
        <f t="array" aca="1" ref="Y248" ca="1">IF(OR($B248="",$B248="X",$D248="",$D248="X",$E248="",$E248="X"),0,IFERROR(_xlfn.LET(_xlpm.x,SUM(SUM(_xlfn._xlws.FILTER(VALUE(PptoSty[Sign]&amp;1)*(1/PptoSty[Division]),(PptoSty[Division]&lt;&gt;0)*(PptoSty[Division]&lt;&gt;"")*(PptoSty[Division]&lt;&gt;"X")*(PptoSty[Project]=$B248)*(PptoSty[Vrs]=$D248)*(PptoSty[PiRow]=_xlfn.TEXTAFTER($H248,":"))*(PptoSty[PiColumn]=Y$54),0)),SUM(IF((INDIRECT($B$3)=$B248)*(INDIRECT($C$3)=$D248)*((INDIRECT($E$3)="TOTS")+(INDIRECT($E$3)=$E248)),INDIRECT(Y$3)))),_xlpm.y,SUM(_xlfn.CHOOSECOLS(_xlfn._xlws.FILTER(F_RT14[],(F_RT14[PrjId]=$B248)*(F_RT14[Vrs]=$D248)*(_xlfn.TEXTAFTER(F_RT14[ActGrp],":")=_xlfn.TEXTAFTER($H248,":")),"X"),MATCH("*"&amp;Y$54,F_RT14[#Headers],0))),IF(AND(_xlpm.x=0,_xlpm.y&lt;&gt;0),-1,IF(AND(_xlpm.x&lt;&gt;0,_xlpm.y&lt;&gt;0),_xlpm.x,IF(AND(_xlpm.x-SUM(IF((INDIRECT($B$3)=$B248)*(INDIRECT($C$3)=$D248)*((INDIRECT($E$3)="TOTS")+(INDIRECT($E$3)=$E248)),INDIRECT(Y$3)))&lt;&gt;0,_xlpm.y=0),-2,_xlpm.x)))),0))</f>
        <v>0</v>
      </c>
      <c r="Z248" s="198" t="str">
        <f t="shared" ca="1" si="5"/>
        <v>Fback!B248:Y248</v>
      </c>
      <c r="AA248" s="38"/>
    </row>
    <row r="249" spans="1:27" ht="21" customHeight="1" outlineLevel="1">
      <c r="B249" s="128"/>
      <c r="C249" s="128"/>
      <c r="D249" s="128"/>
      <c r="E249" s="128"/>
      <c r="F249" s="139"/>
      <c r="G249" s="139"/>
      <c r="H249" s="139"/>
      <c r="I249" s="199" cm="1">
        <f t="array" aca="1" ref="I249" ca="1">IF(OR($B249="",$B249="X",$D249="",$D249="X",$E249="",$E249="X"),0,IFERROR(_xlfn.LET(_xlpm.x,SUM(SUM(_xlfn._xlws.FILTER(VALUE(PptoSty[Sign]&amp;1)*(1/PptoSty[Division]),(PptoSty[Division]&lt;&gt;0)*(PptoSty[Division]&lt;&gt;"")*(PptoSty[Division]&lt;&gt;"X")*(PptoSty[Project]=$B249)*(PptoSty[Vrs]=$D249)*(PptoSty[PiRow]=_xlfn.TEXTAFTER($H249,":"))*(PptoSty[PiColumn]=I$54),0)),SUM(IF((INDIRECT($B$3)=$B249)*(INDIRECT($C$3)=$D249)*((INDIRECT($E$3)="TOTS")+(INDIRECT($E$3)=$E249)),INDIRECT(I$3)))),_xlpm.y,SUM(_xlfn.CHOOSECOLS(_xlfn._xlws.FILTER(F_RT14[],(F_RT14[PrjId]=$B249)*(F_RT14[Vrs]=$D249)*(_xlfn.TEXTAFTER(F_RT14[ActGrp],":")=_xlfn.TEXTAFTER($H249,":")),"X"),MATCH("*"&amp;I$54,F_RT14[#Headers],0))),IF(AND(_xlpm.x=0,_xlpm.y&lt;&gt;0),-1,IF(AND(_xlpm.x&lt;&gt;0,_xlpm.y&lt;&gt;0),_xlpm.x,IF(AND(_xlpm.x-SUM(IF((INDIRECT($B$3)=$B249)*(INDIRECT($C$3)=$D249)*((INDIRECT($E$3)="TOTS")+(INDIRECT($E$3)=$E249)),INDIRECT(I$3)))&lt;&gt;0,_xlpm.y=0),-2,_xlpm.x)))),0))</f>
        <v>0</v>
      </c>
      <c r="J249" s="199" cm="1">
        <f t="array" aca="1" ref="J249" ca="1">IF(OR($B249="",$B249="X",$D249="",$D249="X",$E249="",$E249="X"),0,IFERROR(_xlfn.LET(_xlpm.x,SUM(SUM(_xlfn._xlws.FILTER(VALUE(PptoSty[Sign]&amp;1)*(1/PptoSty[Division]),(PptoSty[Division]&lt;&gt;0)*(PptoSty[Division]&lt;&gt;"")*(PptoSty[Division]&lt;&gt;"X")*(PptoSty[Project]=$B249)*(PptoSty[Vrs]=$D249)*(PptoSty[PiRow]=_xlfn.TEXTAFTER($H249,":"))*(PptoSty[PiColumn]=J$54),0)),SUM(IF((INDIRECT($B$3)=$B249)*(INDIRECT($C$3)=$D249)*((INDIRECT($E$3)="TOTS")+(INDIRECT($E$3)=$E249)),INDIRECT(J$3)))),_xlpm.y,SUM(_xlfn.CHOOSECOLS(_xlfn._xlws.FILTER(F_RT14[],(F_RT14[PrjId]=$B249)*(F_RT14[Vrs]=$D249)*(_xlfn.TEXTAFTER(F_RT14[ActGrp],":")=_xlfn.TEXTAFTER($H249,":")),"X"),MATCH("*"&amp;J$54,F_RT14[#Headers],0))),IF(AND(_xlpm.x=0,_xlpm.y&lt;&gt;0),-1,IF(AND(_xlpm.x&lt;&gt;0,_xlpm.y&lt;&gt;0),_xlpm.x,IF(AND(_xlpm.x-SUM(IF((INDIRECT($B$3)=$B249)*(INDIRECT($C$3)=$D249)*((INDIRECT($E$3)="TOTS")+(INDIRECT($E$3)=$E249)),INDIRECT(J$3)))&lt;&gt;0,_xlpm.y=0),-2,_xlpm.x)))),0))</f>
        <v>0</v>
      </c>
      <c r="K249" s="199" cm="1">
        <f t="array" aca="1" ref="K249" ca="1">IF(OR($B249="",$B249="X",$D249="",$D249="X",$E249="",$E249="X"),0,IFERROR(_xlfn.LET(_xlpm.x,SUM(SUM(_xlfn._xlws.FILTER(VALUE(PptoSty[Sign]&amp;1)*(1/PptoSty[Division]),(PptoSty[Division]&lt;&gt;0)*(PptoSty[Division]&lt;&gt;"")*(PptoSty[Division]&lt;&gt;"X")*(PptoSty[Project]=$B249)*(PptoSty[Vrs]=$D249)*(PptoSty[PiRow]=_xlfn.TEXTAFTER($H249,":"))*(PptoSty[PiColumn]=K$54),0)),SUM(IF((INDIRECT($B$3)=$B249)*(INDIRECT($C$3)=$D249)*((INDIRECT($E$3)="TOTS")+(INDIRECT($E$3)=$E249)),INDIRECT(K$3)))),_xlpm.y,SUM(_xlfn.CHOOSECOLS(_xlfn._xlws.FILTER(F_RT14[],(F_RT14[PrjId]=$B249)*(F_RT14[Vrs]=$D249)*(_xlfn.TEXTAFTER(F_RT14[ActGrp],":")=_xlfn.TEXTAFTER($H249,":")),"X"),MATCH("*"&amp;K$54,F_RT14[#Headers],0))),IF(AND(_xlpm.x=0,_xlpm.y&lt;&gt;0),-1,IF(AND(_xlpm.x&lt;&gt;0,_xlpm.y&lt;&gt;0),_xlpm.x,IF(AND(_xlpm.x-SUM(IF((INDIRECT($B$3)=$B249)*(INDIRECT($C$3)=$D249)*((INDIRECT($E$3)="TOTS")+(INDIRECT($E$3)=$E249)),INDIRECT(K$3)))&lt;&gt;0,_xlpm.y=0),-2,_xlpm.x)))),0))</f>
        <v>0</v>
      </c>
      <c r="L249" s="199" cm="1">
        <f t="array" aca="1" ref="L249" ca="1">IF(OR($B249="",$B249="X",$D249="",$D249="X",$E249="",$E249="X"),0,IFERROR(_xlfn.LET(_xlpm.x,SUM(SUM(_xlfn._xlws.FILTER(VALUE(PptoSty[Sign]&amp;1)*(1/PptoSty[Division]),(PptoSty[Division]&lt;&gt;0)*(PptoSty[Division]&lt;&gt;"")*(PptoSty[Division]&lt;&gt;"X")*(PptoSty[Project]=$B249)*(PptoSty[Vrs]=$D249)*(PptoSty[PiRow]=_xlfn.TEXTAFTER($H249,":"))*(PptoSty[PiColumn]=L$54),0)),SUM(IF((INDIRECT($B$3)=$B249)*(INDIRECT($C$3)=$D249)*((INDIRECT($E$3)="TOTS")+(INDIRECT($E$3)=$E249)),INDIRECT(L$3)))),_xlpm.y,SUM(_xlfn.CHOOSECOLS(_xlfn._xlws.FILTER(F_RT14[],(F_RT14[PrjId]=$B249)*(F_RT14[Vrs]=$D249)*(_xlfn.TEXTAFTER(F_RT14[ActGrp],":")=_xlfn.TEXTAFTER($H249,":")),"X"),MATCH("*"&amp;L$54,F_RT14[#Headers],0))),IF(AND(_xlpm.x=0,_xlpm.y&lt;&gt;0),-1,IF(AND(_xlpm.x&lt;&gt;0,_xlpm.y&lt;&gt;0),_xlpm.x,IF(AND(_xlpm.x-SUM(IF((INDIRECT($B$3)=$B249)*(INDIRECT($C$3)=$D249)*((INDIRECT($E$3)="TOTS")+(INDIRECT($E$3)=$E249)),INDIRECT(L$3)))&lt;&gt;0,_xlpm.y=0),-2,_xlpm.x)))),0))</f>
        <v>0</v>
      </c>
      <c r="M249" s="199" cm="1">
        <f t="array" aca="1" ref="M249" ca="1">IF(OR($B249="",$B249="X",$D249="",$D249="X",$E249="",$E249="X"),0,IFERROR(_xlfn.LET(_xlpm.x,SUM(SUM(_xlfn._xlws.FILTER(VALUE(PptoSty[Sign]&amp;1)*(1/PptoSty[Division]),(PptoSty[Division]&lt;&gt;0)*(PptoSty[Division]&lt;&gt;"")*(PptoSty[Division]&lt;&gt;"X")*(PptoSty[Project]=$B249)*(PptoSty[Vrs]=$D249)*(PptoSty[PiRow]=_xlfn.TEXTAFTER($H249,":"))*(PptoSty[PiColumn]=M$54),0)),SUM(IF((INDIRECT($B$3)=$B249)*(INDIRECT($C$3)=$D249)*((INDIRECT($E$3)="TOTS")+(INDIRECT($E$3)=$E249)),INDIRECT(M$3)))),_xlpm.y,SUM(_xlfn.CHOOSECOLS(_xlfn._xlws.FILTER(F_RT14[],(F_RT14[PrjId]=$B249)*(F_RT14[Vrs]=$D249)*(_xlfn.TEXTAFTER(F_RT14[ActGrp],":")=_xlfn.TEXTAFTER($H249,":")),"X"),MATCH("*"&amp;M$54,F_RT14[#Headers],0))),IF(AND(_xlpm.x=0,_xlpm.y&lt;&gt;0),-1,IF(AND(_xlpm.x&lt;&gt;0,_xlpm.y&lt;&gt;0),_xlpm.x,IF(AND(_xlpm.x-SUM(IF((INDIRECT($B$3)=$B249)*(INDIRECT($C$3)=$D249)*((INDIRECT($E$3)="TOTS")+(INDIRECT($E$3)=$E249)),INDIRECT(M$3)))&lt;&gt;0,_xlpm.y=0),-2,_xlpm.x)))),0))</f>
        <v>0</v>
      </c>
      <c r="N249" s="199" cm="1">
        <f t="array" aca="1" ref="N249" ca="1">IF(OR($B249="",$B249="X",$D249="",$D249="X",$E249="",$E249="X"),0,IFERROR(_xlfn.LET(_xlpm.x,SUM(SUM(_xlfn._xlws.FILTER(VALUE(PptoSty[Sign]&amp;1)*(1/PptoSty[Division]),(PptoSty[Division]&lt;&gt;0)*(PptoSty[Division]&lt;&gt;"")*(PptoSty[Division]&lt;&gt;"X")*(PptoSty[Project]=$B249)*(PptoSty[Vrs]=$D249)*(PptoSty[PiRow]=_xlfn.TEXTAFTER($H249,":"))*(PptoSty[PiColumn]=N$54),0)),SUM(IF((INDIRECT($B$3)=$B249)*(INDIRECT($C$3)=$D249)*((INDIRECT($E$3)="TOTS")+(INDIRECT($E$3)=$E249)),INDIRECT(N$3)))),_xlpm.y,SUM(_xlfn.CHOOSECOLS(_xlfn._xlws.FILTER(F_RT14[],(F_RT14[PrjId]=$B249)*(F_RT14[Vrs]=$D249)*(_xlfn.TEXTAFTER(F_RT14[ActGrp],":")=_xlfn.TEXTAFTER($H249,":")),"X"),MATCH("*"&amp;N$54,F_RT14[#Headers],0))),IF(AND(_xlpm.x=0,_xlpm.y&lt;&gt;0),-1,IF(AND(_xlpm.x&lt;&gt;0,_xlpm.y&lt;&gt;0),_xlpm.x,IF(AND(_xlpm.x-SUM(IF((INDIRECT($B$3)=$B249)*(INDIRECT($C$3)=$D249)*((INDIRECT($E$3)="TOTS")+(INDIRECT($E$3)=$E249)),INDIRECT(N$3)))&lt;&gt;0,_xlpm.y=0),-2,_xlpm.x)))),0))</f>
        <v>0</v>
      </c>
      <c r="O249" s="199" cm="1">
        <f t="array" aca="1" ref="O249" ca="1">IF(OR($B249="",$B249="X",$D249="",$D249="X",$E249="",$E249="X"),0,IFERROR(_xlfn.LET(_xlpm.x,SUM(SUM(_xlfn._xlws.FILTER(VALUE(PptoSty[Sign]&amp;1)*(1/PptoSty[Division]),(PptoSty[Division]&lt;&gt;0)*(PptoSty[Division]&lt;&gt;"")*(PptoSty[Division]&lt;&gt;"X")*(PptoSty[Project]=$B249)*(PptoSty[Vrs]=$D249)*(PptoSty[PiRow]=_xlfn.TEXTAFTER($H249,":"))*(PptoSty[PiColumn]=O$54),0)),SUM(IF((INDIRECT($B$3)=$B249)*(INDIRECT($C$3)=$D249)*((INDIRECT($E$3)="TOTS")+(INDIRECT($E$3)=$E249)),INDIRECT(O$3)))),_xlpm.y,SUM(_xlfn.CHOOSECOLS(_xlfn._xlws.FILTER(F_RT14[],(F_RT14[PrjId]=$B249)*(F_RT14[Vrs]=$D249)*(_xlfn.TEXTAFTER(F_RT14[ActGrp],":")=_xlfn.TEXTAFTER($H249,":")),"X"),MATCH("*"&amp;O$54,F_RT14[#Headers],0))),IF(AND(_xlpm.x=0,_xlpm.y&lt;&gt;0),-1,IF(AND(_xlpm.x&lt;&gt;0,_xlpm.y&lt;&gt;0),_xlpm.x,IF(AND(_xlpm.x-SUM(IF((INDIRECT($B$3)=$B249)*(INDIRECT($C$3)=$D249)*((INDIRECT($E$3)="TOTS")+(INDIRECT($E$3)=$E249)),INDIRECT(O$3)))&lt;&gt;0,_xlpm.y=0),-2,_xlpm.x)))),0))</f>
        <v>0</v>
      </c>
      <c r="P249" s="199" cm="1">
        <f t="array" aca="1" ref="P249" ca="1">IF(OR($B249="",$B249="X",$D249="",$D249="X",$E249="",$E249="X"),0,IFERROR(_xlfn.LET(_xlpm.x,SUM(SUM(_xlfn._xlws.FILTER(VALUE(PptoSty[Sign]&amp;1)*(1/PptoSty[Division]),(PptoSty[Division]&lt;&gt;0)*(PptoSty[Division]&lt;&gt;"")*(PptoSty[Division]&lt;&gt;"X")*(PptoSty[Project]=$B249)*(PptoSty[Vrs]=$D249)*(PptoSty[PiRow]=_xlfn.TEXTAFTER($H249,":"))*(PptoSty[PiColumn]=P$54),0)),SUM(IF((INDIRECT($B$3)=$B249)*(INDIRECT($C$3)=$D249)*((INDIRECT($E$3)="TOTS")+(INDIRECT($E$3)=$E249)),INDIRECT(P$3)))),_xlpm.y,SUM(_xlfn.CHOOSECOLS(_xlfn._xlws.FILTER(F_RT14[],(F_RT14[PrjId]=$B249)*(F_RT14[Vrs]=$D249)*(_xlfn.TEXTAFTER(F_RT14[ActGrp],":")=_xlfn.TEXTAFTER($H249,":")),"X"),MATCH("*"&amp;P$54,F_RT14[#Headers],0))),IF(AND(_xlpm.x=0,_xlpm.y&lt;&gt;0),-1,IF(AND(_xlpm.x&lt;&gt;0,_xlpm.y&lt;&gt;0),_xlpm.x,IF(AND(_xlpm.x-SUM(IF((INDIRECT($B$3)=$B249)*(INDIRECT($C$3)=$D249)*((INDIRECT($E$3)="TOTS")+(INDIRECT($E$3)=$E249)),INDIRECT(P$3)))&lt;&gt;0,_xlpm.y=0),-2,_xlpm.x)))),0))</f>
        <v>0</v>
      </c>
      <c r="Q249" s="199" cm="1">
        <f t="array" aca="1" ref="Q249" ca="1">IF(OR($B249="",$B249="X",$D249="",$D249="X",$E249="",$E249="X"),0,IFERROR(_xlfn.LET(_xlpm.x,SUM(SUM(_xlfn._xlws.FILTER(VALUE(PptoSty[Sign]&amp;1)*(1/PptoSty[Division]),(PptoSty[Division]&lt;&gt;0)*(PptoSty[Division]&lt;&gt;"")*(PptoSty[Division]&lt;&gt;"X")*(PptoSty[Project]=$B249)*(PptoSty[Vrs]=$D249)*(PptoSty[PiRow]=_xlfn.TEXTAFTER($H249,":"))*(PptoSty[PiColumn]=Q$54),0)),SUM(IF((INDIRECT($B$3)=$B249)*(INDIRECT($C$3)=$D249)*((INDIRECT($E$3)="TOTS")+(INDIRECT($E$3)=$E249)),INDIRECT(Q$3)))),_xlpm.y,SUM(_xlfn.CHOOSECOLS(_xlfn._xlws.FILTER(F_RT14[],(F_RT14[PrjId]=$B249)*(F_RT14[Vrs]=$D249)*(_xlfn.TEXTAFTER(F_RT14[ActGrp],":")=_xlfn.TEXTAFTER($H249,":")),"X"),MATCH("*"&amp;Q$54,F_RT14[#Headers],0))),IF(AND(_xlpm.x=0,_xlpm.y&lt;&gt;0),-1,IF(AND(_xlpm.x&lt;&gt;0,_xlpm.y&lt;&gt;0),_xlpm.x,IF(AND(_xlpm.x-SUM(IF((INDIRECT($B$3)=$B249)*(INDIRECT($C$3)=$D249)*((INDIRECT($E$3)="TOTS")+(INDIRECT($E$3)=$E249)),INDIRECT(Q$3)))&lt;&gt;0,_xlpm.y=0),-2,_xlpm.x)))),0))</f>
        <v>0</v>
      </c>
      <c r="R249" s="199" cm="1">
        <f t="array" aca="1" ref="R249" ca="1">IF(OR($B249="",$B249="X",$D249="",$D249="X",$E249="",$E249="X"),0,IFERROR(_xlfn.LET(_xlpm.x,SUM(SUM(_xlfn._xlws.FILTER(VALUE(PptoSty[Sign]&amp;1)*(1/PptoSty[Division]),(PptoSty[Division]&lt;&gt;0)*(PptoSty[Division]&lt;&gt;"")*(PptoSty[Division]&lt;&gt;"X")*(PptoSty[Project]=$B249)*(PptoSty[Vrs]=$D249)*(PptoSty[PiRow]=_xlfn.TEXTAFTER($H249,":"))*(PptoSty[PiColumn]=R$54),0)),SUM(IF((INDIRECT($B$3)=$B249)*(INDIRECT($C$3)=$D249)*((INDIRECT($E$3)="TOTS")+(INDIRECT($E$3)=$E249)),INDIRECT(R$3)))),_xlpm.y,SUM(_xlfn.CHOOSECOLS(_xlfn._xlws.FILTER(F_RT14[],(F_RT14[PrjId]=$B249)*(F_RT14[Vrs]=$D249)*(_xlfn.TEXTAFTER(F_RT14[ActGrp],":")=_xlfn.TEXTAFTER($H249,":")),"X"),MATCH("*"&amp;R$54,F_RT14[#Headers],0))),IF(AND(_xlpm.x=0,_xlpm.y&lt;&gt;0),-1,IF(AND(_xlpm.x&lt;&gt;0,_xlpm.y&lt;&gt;0),_xlpm.x,IF(AND(_xlpm.x-SUM(IF((INDIRECT($B$3)=$B249)*(INDIRECT($C$3)=$D249)*((INDIRECT($E$3)="TOTS")+(INDIRECT($E$3)=$E249)),INDIRECT(R$3)))&lt;&gt;0,_xlpm.y=0),-2,_xlpm.x)))),0))</f>
        <v>0</v>
      </c>
      <c r="S249" s="199" cm="1">
        <f t="array" aca="1" ref="S249" ca="1">IF(OR($B249="",$B249="X",$D249="",$D249="X",$E249="",$E249="X"),0,IFERROR(_xlfn.LET(_xlpm.x,SUM(SUM(_xlfn._xlws.FILTER(VALUE(PptoSty[Sign]&amp;1)*(1/PptoSty[Division]),(PptoSty[Division]&lt;&gt;0)*(PptoSty[Division]&lt;&gt;"")*(PptoSty[Division]&lt;&gt;"X")*(PptoSty[Project]=$B249)*(PptoSty[Vrs]=$D249)*(PptoSty[PiRow]=_xlfn.TEXTAFTER($H249,":"))*(PptoSty[PiColumn]=S$54),0)),SUM(IF((INDIRECT($B$3)=$B249)*(INDIRECT($C$3)=$D249)*((INDIRECT($E$3)="TOTS")+(INDIRECT($E$3)=$E249)),INDIRECT(S$3)))),_xlpm.y,SUM(_xlfn.CHOOSECOLS(_xlfn._xlws.FILTER(F_RT14[],(F_RT14[PrjId]=$B249)*(F_RT14[Vrs]=$D249)*(_xlfn.TEXTAFTER(F_RT14[ActGrp],":")=_xlfn.TEXTAFTER($H249,":")),"X"),MATCH("*"&amp;S$54,F_RT14[#Headers],0))),IF(AND(_xlpm.x=0,_xlpm.y&lt;&gt;0),-1,IF(AND(_xlpm.x&lt;&gt;0,_xlpm.y&lt;&gt;0),_xlpm.x,IF(AND(_xlpm.x-SUM(IF((INDIRECT($B$3)=$B249)*(INDIRECT($C$3)=$D249)*((INDIRECT($E$3)="TOTS")+(INDIRECT($E$3)=$E249)),INDIRECT(S$3)))&lt;&gt;0,_xlpm.y=0),-2,_xlpm.x)))),0))</f>
        <v>0</v>
      </c>
      <c r="T249" s="199" cm="1">
        <f t="array" aca="1" ref="T249" ca="1">IF(OR($B249="",$B249="X",$D249="",$D249="X",$E249="",$E249="X"),0,IFERROR(_xlfn.LET(_xlpm.x,SUM(SUM(_xlfn._xlws.FILTER(VALUE(PptoSty[Sign]&amp;1)*(1/PptoSty[Division]),(PptoSty[Division]&lt;&gt;0)*(PptoSty[Division]&lt;&gt;"")*(PptoSty[Division]&lt;&gt;"X")*(PptoSty[Project]=$B249)*(PptoSty[Vrs]=$D249)*(PptoSty[PiRow]=_xlfn.TEXTAFTER($H249,":"))*(PptoSty[PiColumn]=T$54),0)),SUM(IF((INDIRECT($B$3)=$B249)*(INDIRECT($C$3)=$D249)*((INDIRECT($E$3)="TOTS")+(INDIRECT($E$3)=$E249)),INDIRECT(T$3)))),_xlpm.y,SUM(_xlfn.CHOOSECOLS(_xlfn._xlws.FILTER(F_RT14[],(F_RT14[PrjId]=$B249)*(F_RT14[Vrs]=$D249)*(_xlfn.TEXTAFTER(F_RT14[ActGrp],":")=_xlfn.TEXTAFTER($H249,":")),"X"),MATCH("*"&amp;T$54,F_RT14[#Headers],0))),IF(AND(_xlpm.x=0,_xlpm.y&lt;&gt;0),-1,IF(AND(_xlpm.x&lt;&gt;0,_xlpm.y&lt;&gt;0),_xlpm.x,IF(AND(_xlpm.x-SUM(IF((INDIRECT($B$3)=$B249)*(INDIRECT($C$3)=$D249)*((INDIRECT($E$3)="TOTS")+(INDIRECT($E$3)=$E249)),INDIRECT(T$3)))&lt;&gt;0,_xlpm.y=0),-2,_xlpm.x)))),0))</f>
        <v>0</v>
      </c>
      <c r="U249" s="199" cm="1">
        <f t="array" aca="1" ref="U249" ca="1">IF(OR($B249="",$B249="X",$D249="",$D249="X",$E249="",$E249="X"),0,IFERROR(_xlfn.LET(_xlpm.x,SUM(SUM(_xlfn._xlws.FILTER(VALUE(PptoSty[Sign]&amp;1)*(1/PptoSty[Division]),(PptoSty[Division]&lt;&gt;0)*(PptoSty[Division]&lt;&gt;"")*(PptoSty[Division]&lt;&gt;"X")*(PptoSty[Project]=$B249)*(PptoSty[Vrs]=$D249)*(PptoSty[PiRow]=_xlfn.TEXTAFTER($H249,":"))*(PptoSty[PiColumn]=U$54),0)),SUM(IF((INDIRECT($B$3)=$B249)*(INDIRECT($C$3)=$D249)*((INDIRECT($E$3)="TOTS")+(INDIRECT($E$3)=$E249)),INDIRECT(U$3)))),_xlpm.y,SUM(_xlfn.CHOOSECOLS(_xlfn._xlws.FILTER(F_RT14[],(F_RT14[PrjId]=$B249)*(F_RT14[Vrs]=$D249)*(_xlfn.TEXTAFTER(F_RT14[ActGrp],":")=_xlfn.TEXTAFTER($H249,":")),"X"),MATCH("*"&amp;U$54,F_RT14[#Headers],0))),IF(AND(_xlpm.x=0,_xlpm.y&lt;&gt;0),-1,IF(AND(_xlpm.x&lt;&gt;0,_xlpm.y&lt;&gt;0),_xlpm.x,IF(AND(_xlpm.x-SUM(IF((INDIRECT($B$3)=$B249)*(INDIRECT($C$3)=$D249)*((INDIRECT($E$3)="TOTS")+(INDIRECT($E$3)=$E249)),INDIRECT(U$3)))&lt;&gt;0,_xlpm.y=0),-2,_xlpm.x)))),0))</f>
        <v>0</v>
      </c>
      <c r="V249" s="199" cm="1">
        <f t="array" aca="1" ref="V249" ca="1">IF(OR($B249="",$B249="X",$D249="",$D249="X",$E249="",$E249="X"),0,IFERROR(_xlfn.LET(_xlpm.x,SUM(SUM(_xlfn._xlws.FILTER(VALUE(PptoSty[Sign]&amp;1)*(1/PptoSty[Division]),(PptoSty[Division]&lt;&gt;0)*(PptoSty[Division]&lt;&gt;"")*(PptoSty[Division]&lt;&gt;"X")*(PptoSty[Project]=$B249)*(PptoSty[Vrs]=$D249)*(PptoSty[PiRow]=_xlfn.TEXTAFTER($H249,":"))*(PptoSty[PiColumn]=V$54),0)),SUM(IF((INDIRECT($B$3)=$B249)*(INDIRECT($C$3)=$D249)*((INDIRECT($E$3)="TOTS")+(INDIRECT($E$3)=$E249)),INDIRECT(V$3)))),_xlpm.y,SUM(_xlfn.CHOOSECOLS(_xlfn._xlws.FILTER(F_RT14[],(F_RT14[PrjId]=$B249)*(F_RT14[Vrs]=$D249)*(_xlfn.TEXTAFTER(F_RT14[ActGrp],":")=_xlfn.TEXTAFTER($H249,":")),"X"),MATCH("*"&amp;V$54,F_RT14[#Headers],0))),IF(AND(_xlpm.x=0,_xlpm.y&lt;&gt;0),-1,IF(AND(_xlpm.x&lt;&gt;0,_xlpm.y&lt;&gt;0),_xlpm.x,IF(AND(_xlpm.x-SUM(IF((INDIRECT($B$3)=$B249)*(INDIRECT($C$3)=$D249)*((INDIRECT($E$3)="TOTS")+(INDIRECT($E$3)=$E249)),INDIRECT(V$3)))&lt;&gt;0,_xlpm.y=0),-2,_xlpm.x)))),0))</f>
        <v>0</v>
      </c>
      <c r="W249" s="199" cm="1">
        <f t="array" aca="1" ref="W249" ca="1">IF(OR($B249="",$B249="X",$D249="",$D249="X",$E249="",$E249="X"),0,IFERROR(_xlfn.LET(_xlpm.x,SUM(SUM(_xlfn._xlws.FILTER(VALUE(PptoSty[Sign]&amp;1)*(1/PptoSty[Division]),(PptoSty[Division]&lt;&gt;0)*(PptoSty[Division]&lt;&gt;"")*(PptoSty[Division]&lt;&gt;"X")*(PptoSty[Project]=$B249)*(PptoSty[Vrs]=$D249)*(PptoSty[PiRow]=_xlfn.TEXTAFTER($H249,":"))*(PptoSty[PiColumn]=W$54),0)),SUM(IF((INDIRECT($B$3)=$B249)*(INDIRECT($C$3)=$D249)*((INDIRECT($E$3)="TOTS")+(INDIRECT($E$3)=$E249)),INDIRECT(W$3)))),_xlpm.y,SUM(_xlfn.CHOOSECOLS(_xlfn._xlws.FILTER(F_RT14[],(F_RT14[PrjId]=$B249)*(F_RT14[Vrs]=$D249)*(_xlfn.TEXTAFTER(F_RT14[ActGrp],":")=_xlfn.TEXTAFTER($H249,":")),"X"),MATCH("*"&amp;W$54,F_RT14[#Headers],0))),IF(AND(_xlpm.x=0,_xlpm.y&lt;&gt;0),-1,IF(AND(_xlpm.x&lt;&gt;0,_xlpm.y&lt;&gt;0),_xlpm.x,IF(AND(_xlpm.x-SUM(IF((INDIRECT($B$3)=$B249)*(INDIRECT($C$3)=$D249)*((INDIRECT($E$3)="TOTS")+(INDIRECT($E$3)=$E249)),INDIRECT(W$3)))&lt;&gt;0,_xlpm.y=0),-2,_xlpm.x)))),0))</f>
        <v>0</v>
      </c>
      <c r="X249" s="199" cm="1">
        <f t="array" aca="1" ref="X249" ca="1">IF(OR($B249="",$B249="X",$D249="",$D249="X",$E249="",$E249="X"),0,IFERROR(_xlfn.LET(_xlpm.x,SUM(SUM(_xlfn._xlws.FILTER(VALUE(PptoSty[Sign]&amp;1)*(1/PptoSty[Division]),(PptoSty[Division]&lt;&gt;0)*(PptoSty[Division]&lt;&gt;"")*(PptoSty[Division]&lt;&gt;"X")*(PptoSty[Project]=$B249)*(PptoSty[Vrs]=$D249)*(PptoSty[PiRow]=_xlfn.TEXTAFTER($H249,":"))*(PptoSty[PiColumn]=X$54),0)),SUM(IF((INDIRECT($B$3)=$B249)*(INDIRECT($C$3)=$D249)*((INDIRECT($E$3)="TOTS")+(INDIRECT($E$3)=$E249)),INDIRECT(X$3)))),_xlpm.y,SUM(_xlfn.CHOOSECOLS(_xlfn._xlws.FILTER(F_RT14[],(F_RT14[PrjId]=$B249)*(F_RT14[Vrs]=$D249)*(_xlfn.TEXTAFTER(F_RT14[ActGrp],":")=_xlfn.TEXTAFTER($H249,":")),"X"),MATCH("*"&amp;X$54,F_RT14[#Headers],0))),IF(AND(_xlpm.x=0,_xlpm.y&lt;&gt;0),-1,IF(AND(_xlpm.x&lt;&gt;0,_xlpm.y&lt;&gt;0),_xlpm.x,IF(AND(_xlpm.x-SUM(IF((INDIRECT($B$3)=$B249)*(INDIRECT($C$3)=$D249)*((INDIRECT($E$3)="TOTS")+(INDIRECT($E$3)=$E249)),INDIRECT(X$3)))&lt;&gt;0,_xlpm.y=0),-2,_xlpm.x)))),0))</f>
        <v>0</v>
      </c>
      <c r="Y249" s="199" cm="1">
        <f t="array" aca="1" ref="Y249" ca="1">IF(OR($B249="",$B249="X",$D249="",$D249="X",$E249="",$E249="X"),0,IFERROR(_xlfn.LET(_xlpm.x,SUM(SUM(_xlfn._xlws.FILTER(VALUE(PptoSty[Sign]&amp;1)*(1/PptoSty[Division]),(PptoSty[Division]&lt;&gt;0)*(PptoSty[Division]&lt;&gt;"")*(PptoSty[Division]&lt;&gt;"X")*(PptoSty[Project]=$B249)*(PptoSty[Vrs]=$D249)*(PptoSty[PiRow]=_xlfn.TEXTAFTER($H249,":"))*(PptoSty[PiColumn]=Y$54),0)),SUM(IF((INDIRECT($B$3)=$B249)*(INDIRECT($C$3)=$D249)*((INDIRECT($E$3)="TOTS")+(INDIRECT($E$3)=$E249)),INDIRECT(Y$3)))),_xlpm.y,SUM(_xlfn.CHOOSECOLS(_xlfn._xlws.FILTER(F_RT14[],(F_RT14[PrjId]=$B249)*(F_RT14[Vrs]=$D249)*(_xlfn.TEXTAFTER(F_RT14[ActGrp],":")=_xlfn.TEXTAFTER($H249,":")),"X"),MATCH("*"&amp;Y$54,F_RT14[#Headers],0))),IF(AND(_xlpm.x=0,_xlpm.y&lt;&gt;0),-1,IF(AND(_xlpm.x&lt;&gt;0,_xlpm.y&lt;&gt;0),_xlpm.x,IF(AND(_xlpm.x-SUM(IF((INDIRECT($B$3)=$B249)*(INDIRECT($C$3)=$D249)*((INDIRECT($E$3)="TOTS")+(INDIRECT($E$3)=$E249)),INDIRECT(Y$3)))&lt;&gt;0,_xlpm.y=0),-2,_xlpm.x)))),0))</f>
        <v>0</v>
      </c>
      <c r="Z249" s="198" t="str">
        <f t="shared" ca="1" si="5"/>
        <v>Fback!B249:Y249</v>
      </c>
      <c r="AA249" s="38"/>
    </row>
    <row r="250" spans="1:27" ht="21" customHeight="1" outlineLevel="1">
      <c r="B250" s="128"/>
      <c r="C250" s="128"/>
      <c r="D250" s="128"/>
      <c r="E250" s="128"/>
      <c r="F250" s="139"/>
      <c r="G250" s="139"/>
      <c r="H250" s="139"/>
      <c r="I250" s="199" cm="1">
        <f t="array" aca="1" ref="I250" ca="1">IF(OR($B250="",$B250="X",$D250="",$D250="X",$E250="",$E250="X"),0,IFERROR(_xlfn.LET(_xlpm.x,SUM(SUM(_xlfn._xlws.FILTER(VALUE(PptoSty[Sign]&amp;1)*(1/PptoSty[Division]),(PptoSty[Division]&lt;&gt;0)*(PptoSty[Division]&lt;&gt;"")*(PptoSty[Division]&lt;&gt;"X")*(PptoSty[Project]=$B250)*(PptoSty[Vrs]=$D250)*(PptoSty[PiRow]=_xlfn.TEXTAFTER($H250,":"))*(PptoSty[PiColumn]=I$54),0)),SUM(IF((INDIRECT($B$3)=$B250)*(INDIRECT($C$3)=$D250)*((INDIRECT($E$3)="TOTS")+(INDIRECT($E$3)=$E250)),INDIRECT(I$3)))),_xlpm.y,SUM(_xlfn.CHOOSECOLS(_xlfn._xlws.FILTER(F_RT14[],(F_RT14[PrjId]=$B250)*(F_RT14[Vrs]=$D250)*(_xlfn.TEXTAFTER(F_RT14[ActGrp],":")=_xlfn.TEXTAFTER($H250,":")),"X"),MATCH("*"&amp;I$54,F_RT14[#Headers],0))),IF(AND(_xlpm.x=0,_xlpm.y&lt;&gt;0),-1,IF(AND(_xlpm.x&lt;&gt;0,_xlpm.y&lt;&gt;0),_xlpm.x,IF(AND(_xlpm.x-SUM(IF((INDIRECT($B$3)=$B250)*(INDIRECT($C$3)=$D250)*((INDIRECT($E$3)="TOTS")+(INDIRECT($E$3)=$E250)),INDIRECT(I$3)))&lt;&gt;0,_xlpm.y=0),-2,_xlpm.x)))),0))</f>
        <v>0</v>
      </c>
      <c r="J250" s="199" cm="1">
        <f t="array" aca="1" ref="J250" ca="1">IF(OR($B250="",$B250="X",$D250="",$D250="X",$E250="",$E250="X"),0,IFERROR(_xlfn.LET(_xlpm.x,SUM(SUM(_xlfn._xlws.FILTER(VALUE(PptoSty[Sign]&amp;1)*(1/PptoSty[Division]),(PptoSty[Division]&lt;&gt;0)*(PptoSty[Division]&lt;&gt;"")*(PptoSty[Division]&lt;&gt;"X")*(PptoSty[Project]=$B250)*(PptoSty[Vrs]=$D250)*(PptoSty[PiRow]=_xlfn.TEXTAFTER($H250,":"))*(PptoSty[PiColumn]=J$54),0)),SUM(IF((INDIRECT($B$3)=$B250)*(INDIRECT($C$3)=$D250)*((INDIRECT($E$3)="TOTS")+(INDIRECT($E$3)=$E250)),INDIRECT(J$3)))),_xlpm.y,SUM(_xlfn.CHOOSECOLS(_xlfn._xlws.FILTER(F_RT14[],(F_RT14[PrjId]=$B250)*(F_RT14[Vrs]=$D250)*(_xlfn.TEXTAFTER(F_RT14[ActGrp],":")=_xlfn.TEXTAFTER($H250,":")),"X"),MATCH("*"&amp;J$54,F_RT14[#Headers],0))),IF(AND(_xlpm.x=0,_xlpm.y&lt;&gt;0),-1,IF(AND(_xlpm.x&lt;&gt;0,_xlpm.y&lt;&gt;0),_xlpm.x,IF(AND(_xlpm.x-SUM(IF((INDIRECT($B$3)=$B250)*(INDIRECT($C$3)=$D250)*((INDIRECT($E$3)="TOTS")+(INDIRECT($E$3)=$E250)),INDIRECT(J$3)))&lt;&gt;0,_xlpm.y=0),-2,_xlpm.x)))),0))</f>
        <v>0</v>
      </c>
      <c r="K250" s="199" cm="1">
        <f t="array" aca="1" ref="K250" ca="1">IF(OR($B250="",$B250="X",$D250="",$D250="X",$E250="",$E250="X"),0,IFERROR(_xlfn.LET(_xlpm.x,SUM(SUM(_xlfn._xlws.FILTER(VALUE(PptoSty[Sign]&amp;1)*(1/PptoSty[Division]),(PptoSty[Division]&lt;&gt;0)*(PptoSty[Division]&lt;&gt;"")*(PptoSty[Division]&lt;&gt;"X")*(PptoSty[Project]=$B250)*(PptoSty[Vrs]=$D250)*(PptoSty[PiRow]=_xlfn.TEXTAFTER($H250,":"))*(PptoSty[PiColumn]=K$54),0)),SUM(IF((INDIRECT($B$3)=$B250)*(INDIRECT($C$3)=$D250)*((INDIRECT($E$3)="TOTS")+(INDIRECT($E$3)=$E250)),INDIRECT(K$3)))),_xlpm.y,SUM(_xlfn.CHOOSECOLS(_xlfn._xlws.FILTER(F_RT14[],(F_RT14[PrjId]=$B250)*(F_RT14[Vrs]=$D250)*(_xlfn.TEXTAFTER(F_RT14[ActGrp],":")=_xlfn.TEXTAFTER($H250,":")),"X"),MATCH("*"&amp;K$54,F_RT14[#Headers],0))),IF(AND(_xlpm.x=0,_xlpm.y&lt;&gt;0),-1,IF(AND(_xlpm.x&lt;&gt;0,_xlpm.y&lt;&gt;0),_xlpm.x,IF(AND(_xlpm.x-SUM(IF((INDIRECT($B$3)=$B250)*(INDIRECT($C$3)=$D250)*((INDIRECT($E$3)="TOTS")+(INDIRECT($E$3)=$E250)),INDIRECT(K$3)))&lt;&gt;0,_xlpm.y=0),-2,_xlpm.x)))),0))</f>
        <v>0</v>
      </c>
      <c r="L250" s="199" cm="1">
        <f t="array" aca="1" ref="L250" ca="1">IF(OR($B250="",$B250="X",$D250="",$D250="X",$E250="",$E250="X"),0,IFERROR(_xlfn.LET(_xlpm.x,SUM(SUM(_xlfn._xlws.FILTER(VALUE(PptoSty[Sign]&amp;1)*(1/PptoSty[Division]),(PptoSty[Division]&lt;&gt;0)*(PptoSty[Division]&lt;&gt;"")*(PptoSty[Division]&lt;&gt;"X")*(PptoSty[Project]=$B250)*(PptoSty[Vrs]=$D250)*(PptoSty[PiRow]=_xlfn.TEXTAFTER($H250,":"))*(PptoSty[PiColumn]=L$54),0)),SUM(IF((INDIRECT($B$3)=$B250)*(INDIRECT($C$3)=$D250)*((INDIRECT($E$3)="TOTS")+(INDIRECT($E$3)=$E250)),INDIRECT(L$3)))),_xlpm.y,SUM(_xlfn.CHOOSECOLS(_xlfn._xlws.FILTER(F_RT14[],(F_RT14[PrjId]=$B250)*(F_RT14[Vrs]=$D250)*(_xlfn.TEXTAFTER(F_RT14[ActGrp],":")=_xlfn.TEXTAFTER($H250,":")),"X"),MATCH("*"&amp;L$54,F_RT14[#Headers],0))),IF(AND(_xlpm.x=0,_xlpm.y&lt;&gt;0),-1,IF(AND(_xlpm.x&lt;&gt;0,_xlpm.y&lt;&gt;0),_xlpm.x,IF(AND(_xlpm.x-SUM(IF((INDIRECT($B$3)=$B250)*(INDIRECT($C$3)=$D250)*((INDIRECT($E$3)="TOTS")+(INDIRECT($E$3)=$E250)),INDIRECT(L$3)))&lt;&gt;0,_xlpm.y=0),-2,_xlpm.x)))),0))</f>
        <v>0</v>
      </c>
      <c r="M250" s="199" cm="1">
        <f t="array" aca="1" ref="M250" ca="1">IF(OR($B250="",$B250="X",$D250="",$D250="X",$E250="",$E250="X"),0,IFERROR(_xlfn.LET(_xlpm.x,SUM(SUM(_xlfn._xlws.FILTER(VALUE(PptoSty[Sign]&amp;1)*(1/PptoSty[Division]),(PptoSty[Division]&lt;&gt;0)*(PptoSty[Division]&lt;&gt;"")*(PptoSty[Division]&lt;&gt;"X")*(PptoSty[Project]=$B250)*(PptoSty[Vrs]=$D250)*(PptoSty[PiRow]=_xlfn.TEXTAFTER($H250,":"))*(PptoSty[PiColumn]=M$54),0)),SUM(IF((INDIRECT($B$3)=$B250)*(INDIRECT($C$3)=$D250)*((INDIRECT($E$3)="TOTS")+(INDIRECT($E$3)=$E250)),INDIRECT(M$3)))),_xlpm.y,SUM(_xlfn.CHOOSECOLS(_xlfn._xlws.FILTER(F_RT14[],(F_RT14[PrjId]=$B250)*(F_RT14[Vrs]=$D250)*(_xlfn.TEXTAFTER(F_RT14[ActGrp],":")=_xlfn.TEXTAFTER($H250,":")),"X"),MATCH("*"&amp;M$54,F_RT14[#Headers],0))),IF(AND(_xlpm.x=0,_xlpm.y&lt;&gt;0),-1,IF(AND(_xlpm.x&lt;&gt;0,_xlpm.y&lt;&gt;0),_xlpm.x,IF(AND(_xlpm.x-SUM(IF((INDIRECT($B$3)=$B250)*(INDIRECT($C$3)=$D250)*((INDIRECT($E$3)="TOTS")+(INDIRECT($E$3)=$E250)),INDIRECT(M$3)))&lt;&gt;0,_xlpm.y=0),-2,_xlpm.x)))),0))</f>
        <v>0</v>
      </c>
      <c r="N250" s="199" cm="1">
        <f t="array" aca="1" ref="N250" ca="1">IF(OR($B250="",$B250="X",$D250="",$D250="X",$E250="",$E250="X"),0,IFERROR(_xlfn.LET(_xlpm.x,SUM(SUM(_xlfn._xlws.FILTER(VALUE(PptoSty[Sign]&amp;1)*(1/PptoSty[Division]),(PptoSty[Division]&lt;&gt;0)*(PptoSty[Division]&lt;&gt;"")*(PptoSty[Division]&lt;&gt;"X")*(PptoSty[Project]=$B250)*(PptoSty[Vrs]=$D250)*(PptoSty[PiRow]=_xlfn.TEXTAFTER($H250,":"))*(PptoSty[PiColumn]=N$54),0)),SUM(IF((INDIRECT($B$3)=$B250)*(INDIRECT($C$3)=$D250)*((INDIRECT($E$3)="TOTS")+(INDIRECT($E$3)=$E250)),INDIRECT(N$3)))),_xlpm.y,SUM(_xlfn.CHOOSECOLS(_xlfn._xlws.FILTER(F_RT14[],(F_RT14[PrjId]=$B250)*(F_RT14[Vrs]=$D250)*(_xlfn.TEXTAFTER(F_RT14[ActGrp],":")=_xlfn.TEXTAFTER($H250,":")),"X"),MATCH("*"&amp;N$54,F_RT14[#Headers],0))),IF(AND(_xlpm.x=0,_xlpm.y&lt;&gt;0),-1,IF(AND(_xlpm.x&lt;&gt;0,_xlpm.y&lt;&gt;0),_xlpm.x,IF(AND(_xlpm.x-SUM(IF((INDIRECT($B$3)=$B250)*(INDIRECT($C$3)=$D250)*((INDIRECT($E$3)="TOTS")+(INDIRECT($E$3)=$E250)),INDIRECT(N$3)))&lt;&gt;0,_xlpm.y=0),-2,_xlpm.x)))),0))</f>
        <v>0</v>
      </c>
      <c r="O250" s="199" cm="1">
        <f t="array" aca="1" ref="O250" ca="1">IF(OR($B250="",$B250="X",$D250="",$D250="X",$E250="",$E250="X"),0,IFERROR(_xlfn.LET(_xlpm.x,SUM(SUM(_xlfn._xlws.FILTER(VALUE(PptoSty[Sign]&amp;1)*(1/PptoSty[Division]),(PptoSty[Division]&lt;&gt;0)*(PptoSty[Division]&lt;&gt;"")*(PptoSty[Division]&lt;&gt;"X")*(PptoSty[Project]=$B250)*(PptoSty[Vrs]=$D250)*(PptoSty[PiRow]=_xlfn.TEXTAFTER($H250,":"))*(PptoSty[PiColumn]=O$54),0)),SUM(IF((INDIRECT($B$3)=$B250)*(INDIRECT($C$3)=$D250)*((INDIRECT($E$3)="TOTS")+(INDIRECT($E$3)=$E250)),INDIRECT(O$3)))),_xlpm.y,SUM(_xlfn.CHOOSECOLS(_xlfn._xlws.FILTER(F_RT14[],(F_RT14[PrjId]=$B250)*(F_RT14[Vrs]=$D250)*(_xlfn.TEXTAFTER(F_RT14[ActGrp],":")=_xlfn.TEXTAFTER($H250,":")),"X"),MATCH("*"&amp;O$54,F_RT14[#Headers],0))),IF(AND(_xlpm.x=0,_xlpm.y&lt;&gt;0),-1,IF(AND(_xlpm.x&lt;&gt;0,_xlpm.y&lt;&gt;0),_xlpm.x,IF(AND(_xlpm.x-SUM(IF((INDIRECT($B$3)=$B250)*(INDIRECT($C$3)=$D250)*((INDIRECT($E$3)="TOTS")+(INDIRECT($E$3)=$E250)),INDIRECT(O$3)))&lt;&gt;0,_xlpm.y=0),-2,_xlpm.x)))),0))</f>
        <v>0</v>
      </c>
      <c r="P250" s="199" cm="1">
        <f t="array" aca="1" ref="P250" ca="1">IF(OR($B250="",$B250="X",$D250="",$D250="X",$E250="",$E250="X"),0,IFERROR(_xlfn.LET(_xlpm.x,SUM(SUM(_xlfn._xlws.FILTER(VALUE(PptoSty[Sign]&amp;1)*(1/PptoSty[Division]),(PptoSty[Division]&lt;&gt;0)*(PptoSty[Division]&lt;&gt;"")*(PptoSty[Division]&lt;&gt;"X")*(PptoSty[Project]=$B250)*(PptoSty[Vrs]=$D250)*(PptoSty[PiRow]=_xlfn.TEXTAFTER($H250,":"))*(PptoSty[PiColumn]=P$54),0)),SUM(IF((INDIRECT($B$3)=$B250)*(INDIRECT($C$3)=$D250)*((INDIRECT($E$3)="TOTS")+(INDIRECT($E$3)=$E250)),INDIRECT(P$3)))),_xlpm.y,SUM(_xlfn.CHOOSECOLS(_xlfn._xlws.FILTER(F_RT14[],(F_RT14[PrjId]=$B250)*(F_RT14[Vrs]=$D250)*(_xlfn.TEXTAFTER(F_RT14[ActGrp],":")=_xlfn.TEXTAFTER($H250,":")),"X"),MATCH("*"&amp;P$54,F_RT14[#Headers],0))),IF(AND(_xlpm.x=0,_xlpm.y&lt;&gt;0),-1,IF(AND(_xlpm.x&lt;&gt;0,_xlpm.y&lt;&gt;0),_xlpm.x,IF(AND(_xlpm.x-SUM(IF((INDIRECT($B$3)=$B250)*(INDIRECT($C$3)=$D250)*((INDIRECT($E$3)="TOTS")+(INDIRECT($E$3)=$E250)),INDIRECT(P$3)))&lt;&gt;0,_xlpm.y=0),-2,_xlpm.x)))),0))</f>
        <v>0</v>
      </c>
      <c r="Q250" s="199" cm="1">
        <f t="array" aca="1" ref="Q250" ca="1">IF(OR($B250="",$B250="X",$D250="",$D250="X",$E250="",$E250="X"),0,IFERROR(_xlfn.LET(_xlpm.x,SUM(SUM(_xlfn._xlws.FILTER(VALUE(PptoSty[Sign]&amp;1)*(1/PptoSty[Division]),(PptoSty[Division]&lt;&gt;0)*(PptoSty[Division]&lt;&gt;"")*(PptoSty[Division]&lt;&gt;"X")*(PptoSty[Project]=$B250)*(PptoSty[Vrs]=$D250)*(PptoSty[PiRow]=_xlfn.TEXTAFTER($H250,":"))*(PptoSty[PiColumn]=Q$54),0)),SUM(IF((INDIRECT($B$3)=$B250)*(INDIRECT($C$3)=$D250)*((INDIRECT($E$3)="TOTS")+(INDIRECT($E$3)=$E250)),INDIRECT(Q$3)))),_xlpm.y,SUM(_xlfn.CHOOSECOLS(_xlfn._xlws.FILTER(F_RT14[],(F_RT14[PrjId]=$B250)*(F_RT14[Vrs]=$D250)*(_xlfn.TEXTAFTER(F_RT14[ActGrp],":")=_xlfn.TEXTAFTER($H250,":")),"X"),MATCH("*"&amp;Q$54,F_RT14[#Headers],0))),IF(AND(_xlpm.x=0,_xlpm.y&lt;&gt;0),-1,IF(AND(_xlpm.x&lt;&gt;0,_xlpm.y&lt;&gt;0),_xlpm.x,IF(AND(_xlpm.x-SUM(IF((INDIRECT($B$3)=$B250)*(INDIRECT($C$3)=$D250)*((INDIRECT($E$3)="TOTS")+(INDIRECT($E$3)=$E250)),INDIRECT(Q$3)))&lt;&gt;0,_xlpm.y=0),-2,_xlpm.x)))),0))</f>
        <v>0</v>
      </c>
      <c r="R250" s="199" cm="1">
        <f t="array" aca="1" ref="R250" ca="1">IF(OR($B250="",$B250="X",$D250="",$D250="X",$E250="",$E250="X"),0,IFERROR(_xlfn.LET(_xlpm.x,SUM(SUM(_xlfn._xlws.FILTER(VALUE(PptoSty[Sign]&amp;1)*(1/PptoSty[Division]),(PptoSty[Division]&lt;&gt;0)*(PptoSty[Division]&lt;&gt;"")*(PptoSty[Division]&lt;&gt;"X")*(PptoSty[Project]=$B250)*(PptoSty[Vrs]=$D250)*(PptoSty[PiRow]=_xlfn.TEXTAFTER($H250,":"))*(PptoSty[PiColumn]=R$54),0)),SUM(IF((INDIRECT($B$3)=$B250)*(INDIRECT($C$3)=$D250)*((INDIRECT($E$3)="TOTS")+(INDIRECT($E$3)=$E250)),INDIRECT(R$3)))),_xlpm.y,SUM(_xlfn.CHOOSECOLS(_xlfn._xlws.FILTER(F_RT14[],(F_RT14[PrjId]=$B250)*(F_RT14[Vrs]=$D250)*(_xlfn.TEXTAFTER(F_RT14[ActGrp],":")=_xlfn.TEXTAFTER($H250,":")),"X"),MATCH("*"&amp;R$54,F_RT14[#Headers],0))),IF(AND(_xlpm.x=0,_xlpm.y&lt;&gt;0),-1,IF(AND(_xlpm.x&lt;&gt;0,_xlpm.y&lt;&gt;0),_xlpm.x,IF(AND(_xlpm.x-SUM(IF((INDIRECT($B$3)=$B250)*(INDIRECT($C$3)=$D250)*((INDIRECT($E$3)="TOTS")+(INDIRECT($E$3)=$E250)),INDIRECT(R$3)))&lt;&gt;0,_xlpm.y=0),-2,_xlpm.x)))),0))</f>
        <v>0</v>
      </c>
      <c r="S250" s="199" cm="1">
        <f t="array" aca="1" ref="S250" ca="1">IF(OR($B250="",$B250="X",$D250="",$D250="X",$E250="",$E250="X"),0,IFERROR(_xlfn.LET(_xlpm.x,SUM(SUM(_xlfn._xlws.FILTER(VALUE(PptoSty[Sign]&amp;1)*(1/PptoSty[Division]),(PptoSty[Division]&lt;&gt;0)*(PptoSty[Division]&lt;&gt;"")*(PptoSty[Division]&lt;&gt;"X")*(PptoSty[Project]=$B250)*(PptoSty[Vrs]=$D250)*(PptoSty[PiRow]=_xlfn.TEXTAFTER($H250,":"))*(PptoSty[PiColumn]=S$54),0)),SUM(IF((INDIRECT($B$3)=$B250)*(INDIRECT($C$3)=$D250)*((INDIRECT($E$3)="TOTS")+(INDIRECT($E$3)=$E250)),INDIRECT(S$3)))),_xlpm.y,SUM(_xlfn.CHOOSECOLS(_xlfn._xlws.FILTER(F_RT14[],(F_RT14[PrjId]=$B250)*(F_RT14[Vrs]=$D250)*(_xlfn.TEXTAFTER(F_RT14[ActGrp],":")=_xlfn.TEXTAFTER($H250,":")),"X"),MATCH("*"&amp;S$54,F_RT14[#Headers],0))),IF(AND(_xlpm.x=0,_xlpm.y&lt;&gt;0),-1,IF(AND(_xlpm.x&lt;&gt;0,_xlpm.y&lt;&gt;0),_xlpm.x,IF(AND(_xlpm.x-SUM(IF((INDIRECT($B$3)=$B250)*(INDIRECT($C$3)=$D250)*((INDIRECT($E$3)="TOTS")+(INDIRECT($E$3)=$E250)),INDIRECT(S$3)))&lt;&gt;0,_xlpm.y=0),-2,_xlpm.x)))),0))</f>
        <v>0</v>
      </c>
      <c r="T250" s="199" cm="1">
        <f t="array" aca="1" ref="T250" ca="1">IF(OR($B250="",$B250="X",$D250="",$D250="X",$E250="",$E250="X"),0,IFERROR(_xlfn.LET(_xlpm.x,SUM(SUM(_xlfn._xlws.FILTER(VALUE(PptoSty[Sign]&amp;1)*(1/PptoSty[Division]),(PptoSty[Division]&lt;&gt;0)*(PptoSty[Division]&lt;&gt;"")*(PptoSty[Division]&lt;&gt;"X")*(PptoSty[Project]=$B250)*(PptoSty[Vrs]=$D250)*(PptoSty[PiRow]=_xlfn.TEXTAFTER($H250,":"))*(PptoSty[PiColumn]=T$54),0)),SUM(IF((INDIRECT($B$3)=$B250)*(INDIRECT($C$3)=$D250)*((INDIRECT($E$3)="TOTS")+(INDIRECT($E$3)=$E250)),INDIRECT(T$3)))),_xlpm.y,SUM(_xlfn.CHOOSECOLS(_xlfn._xlws.FILTER(F_RT14[],(F_RT14[PrjId]=$B250)*(F_RT14[Vrs]=$D250)*(_xlfn.TEXTAFTER(F_RT14[ActGrp],":")=_xlfn.TEXTAFTER($H250,":")),"X"),MATCH("*"&amp;T$54,F_RT14[#Headers],0))),IF(AND(_xlpm.x=0,_xlpm.y&lt;&gt;0),-1,IF(AND(_xlpm.x&lt;&gt;0,_xlpm.y&lt;&gt;0),_xlpm.x,IF(AND(_xlpm.x-SUM(IF((INDIRECT($B$3)=$B250)*(INDIRECT($C$3)=$D250)*((INDIRECT($E$3)="TOTS")+(INDIRECT($E$3)=$E250)),INDIRECT(T$3)))&lt;&gt;0,_xlpm.y=0),-2,_xlpm.x)))),0))</f>
        <v>0</v>
      </c>
      <c r="U250" s="199" cm="1">
        <f t="array" aca="1" ref="U250" ca="1">IF(OR($B250="",$B250="X",$D250="",$D250="X",$E250="",$E250="X"),0,IFERROR(_xlfn.LET(_xlpm.x,SUM(SUM(_xlfn._xlws.FILTER(VALUE(PptoSty[Sign]&amp;1)*(1/PptoSty[Division]),(PptoSty[Division]&lt;&gt;0)*(PptoSty[Division]&lt;&gt;"")*(PptoSty[Division]&lt;&gt;"X")*(PptoSty[Project]=$B250)*(PptoSty[Vrs]=$D250)*(PptoSty[PiRow]=_xlfn.TEXTAFTER($H250,":"))*(PptoSty[PiColumn]=U$54),0)),SUM(IF((INDIRECT($B$3)=$B250)*(INDIRECT($C$3)=$D250)*((INDIRECT($E$3)="TOTS")+(INDIRECT($E$3)=$E250)),INDIRECT(U$3)))),_xlpm.y,SUM(_xlfn.CHOOSECOLS(_xlfn._xlws.FILTER(F_RT14[],(F_RT14[PrjId]=$B250)*(F_RT14[Vrs]=$D250)*(_xlfn.TEXTAFTER(F_RT14[ActGrp],":")=_xlfn.TEXTAFTER($H250,":")),"X"),MATCH("*"&amp;U$54,F_RT14[#Headers],0))),IF(AND(_xlpm.x=0,_xlpm.y&lt;&gt;0),-1,IF(AND(_xlpm.x&lt;&gt;0,_xlpm.y&lt;&gt;0),_xlpm.x,IF(AND(_xlpm.x-SUM(IF((INDIRECT($B$3)=$B250)*(INDIRECT($C$3)=$D250)*((INDIRECT($E$3)="TOTS")+(INDIRECT($E$3)=$E250)),INDIRECT(U$3)))&lt;&gt;0,_xlpm.y=0),-2,_xlpm.x)))),0))</f>
        <v>0</v>
      </c>
      <c r="V250" s="199" cm="1">
        <f t="array" aca="1" ref="V250" ca="1">IF(OR($B250="",$B250="X",$D250="",$D250="X",$E250="",$E250="X"),0,IFERROR(_xlfn.LET(_xlpm.x,SUM(SUM(_xlfn._xlws.FILTER(VALUE(PptoSty[Sign]&amp;1)*(1/PptoSty[Division]),(PptoSty[Division]&lt;&gt;0)*(PptoSty[Division]&lt;&gt;"")*(PptoSty[Division]&lt;&gt;"X")*(PptoSty[Project]=$B250)*(PptoSty[Vrs]=$D250)*(PptoSty[PiRow]=_xlfn.TEXTAFTER($H250,":"))*(PptoSty[PiColumn]=V$54),0)),SUM(IF((INDIRECT($B$3)=$B250)*(INDIRECT($C$3)=$D250)*((INDIRECT($E$3)="TOTS")+(INDIRECT($E$3)=$E250)),INDIRECT(V$3)))),_xlpm.y,SUM(_xlfn.CHOOSECOLS(_xlfn._xlws.FILTER(F_RT14[],(F_RT14[PrjId]=$B250)*(F_RT14[Vrs]=$D250)*(_xlfn.TEXTAFTER(F_RT14[ActGrp],":")=_xlfn.TEXTAFTER($H250,":")),"X"),MATCH("*"&amp;V$54,F_RT14[#Headers],0))),IF(AND(_xlpm.x=0,_xlpm.y&lt;&gt;0),-1,IF(AND(_xlpm.x&lt;&gt;0,_xlpm.y&lt;&gt;0),_xlpm.x,IF(AND(_xlpm.x-SUM(IF((INDIRECT($B$3)=$B250)*(INDIRECT($C$3)=$D250)*((INDIRECT($E$3)="TOTS")+(INDIRECT($E$3)=$E250)),INDIRECT(V$3)))&lt;&gt;0,_xlpm.y=0),-2,_xlpm.x)))),0))</f>
        <v>0</v>
      </c>
      <c r="W250" s="199" cm="1">
        <f t="array" aca="1" ref="W250" ca="1">IF(OR($B250="",$B250="X",$D250="",$D250="X",$E250="",$E250="X"),0,IFERROR(_xlfn.LET(_xlpm.x,SUM(SUM(_xlfn._xlws.FILTER(VALUE(PptoSty[Sign]&amp;1)*(1/PptoSty[Division]),(PptoSty[Division]&lt;&gt;0)*(PptoSty[Division]&lt;&gt;"")*(PptoSty[Division]&lt;&gt;"X")*(PptoSty[Project]=$B250)*(PptoSty[Vrs]=$D250)*(PptoSty[PiRow]=_xlfn.TEXTAFTER($H250,":"))*(PptoSty[PiColumn]=W$54),0)),SUM(IF((INDIRECT($B$3)=$B250)*(INDIRECT($C$3)=$D250)*((INDIRECT($E$3)="TOTS")+(INDIRECT($E$3)=$E250)),INDIRECT(W$3)))),_xlpm.y,SUM(_xlfn.CHOOSECOLS(_xlfn._xlws.FILTER(F_RT14[],(F_RT14[PrjId]=$B250)*(F_RT14[Vrs]=$D250)*(_xlfn.TEXTAFTER(F_RT14[ActGrp],":")=_xlfn.TEXTAFTER($H250,":")),"X"),MATCH("*"&amp;W$54,F_RT14[#Headers],0))),IF(AND(_xlpm.x=0,_xlpm.y&lt;&gt;0),-1,IF(AND(_xlpm.x&lt;&gt;0,_xlpm.y&lt;&gt;0),_xlpm.x,IF(AND(_xlpm.x-SUM(IF((INDIRECT($B$3)=$B250)*(INDIRECT($C$3)=$D250)*((INDIRECT($E$3)="TOTS")+(INDIRECT($E$3)=$E250)),INDIRECT(W$3)))&lt;&gt;0,_xlpm.y=0),-2,_xlpm.x)))),0))</f>
        <v>0</v>
      </c>
      <c r="X250" s="199" cm="1">
        <f t="array" aca="1" ref="X250" ca="1">IF(OR($B250="",$B250="X",$D250="",$D250="X",$E250="",$E250="X"),0,IFERROR(_xlfn.LET(_xlpm.x,SUM(SUM(_xlfn._xlws.FILTER(VALUE(PptoSty[Sign]&amp;1)*(1/PptoSty[Division]),(PptoSty[Division]&lt;&gt;0)*(PptoSty[Division]&lt;&gt;"")*(PptoSty[Division]&lt;&gt;"X")*(PptoSty[Project]=$B250)*(PptoSty[Vrs]=$D250)*(PptoSty[PiRow]=_xlfn.TEXTAFTER($H250,":"))*(PptoSty[PiColumn]=X$54),0)),SUM(IF((INDIRECT($B$3)=$B250)*(INDIRECT($C$3)=$D250)*((INDIRECT($E$3)="TOTS")+(INDIRECT($E$3)=$E250)),INDIRECT(X$3)))),_xlpm.y,SUM(_xlfn.CHOOSECOLS(_xlfn._xlws.FILTER(F_RT14[],(F_RT14[PrjId]=$B250)*(F_RT14[Vrs]=$D250)*(_xlfn.TEXTAFTER(F_RT14[ActGrp],":")=_xlfn.TEXTAFTER($H250,":")),"X"),MATCH("*"&amp;X$54,F_RT14[#Headers],0))),IF(AND(_xlpm.x=0,_xlpm.y&lt;&gt;0),-1,IF(AND(_xlpm.x&lt;&gt;0,_xlpm.y&lt;&gt;0),_xlpm.x,IF(AND(_xlpm.x-SUM(IF((INDIRECT($B$3)=$B250)*(INDIRECT($C$3)=$D250)*((INDIRECT($E$3)="TOTS")+(INDIRECT($E$3)=$E250)),INDIRECT(X$3)))&lt;&gt;0,_xlpm.y=0),-2,_xlpm.x)))),0))</f>
        <v>0</v>
      </c>
      <c r="Y250" s="199" cm="1">
        <f t="array" aca="1" ref="Y250" ca="1">IF(OR($B250="",$B250="X",$D250="",$D250="X",$E250="",$E250="X"),0,IFERROR(_xlfn.LET(_xlpm.x,SUM(SUM(_xlfn._xlws.FILTER(VALUE(PptoSty[Sign]&amp;1)*(1/PptoSty[Division]),(PptoSty[Division]&lt;&gt;0)*(PptoSty[Division]&lt;&gt;"")*(PptoSty[Division]&lt;&gt;"X")*(PptoSty[Project]=$B250)*(PptoSty[Vrs]=$D250)*(PptoSty[PiRow]=_xlfn.TEXTAFTER($H250,":"))*(PptoSty[PiColumn]=Y$54),0)),SUM(IF((INDIRECT($B$3)=$B250)*(INDIRECT($C$3)=$D250)*((INDIRECT($E$3)="TOTS")+(INDIRECT($E$3)=$E250)),INDIRECT(Y$3)))),_xlpm.y,SUM(_xlfn.CHOOSECOLS(_xlfn._xlws.FILTER(F_RT14[],(F_RT14[PrjId]=$B250)*(F_RT14[Vrs]=$D250)*(_xlfn.TEXTAFTER(F_RT14[ActGrp],":")=_xlfn.TEXTAFTER($H250,":")),"X"),MATCH("*"&amp;Y$54,F_RT14[#Headers],0))),IF(AND(_xlpm.x=0,_xlpm.y&lt;&gt;0),-1,IF(AND(_xlpm.x&lt;&gt;0,_xlpm.y&lt;&gt;0),_xlpm.x,IF(AND(_xlpm.x-SUM(IF((INDIRECT($B$3)=$B250)*(INDIRECT($C$3)=$D250)*((INDIRECT($E$3)="TOTS")+(INDIRECT($E$3)=$E250)),INDIRECT(Y$3)))&lt;&gt;0,_xlpm.y=0),-2,_xlpm.x)))),0))</f>
        <v>0</v>
      </c>
      <c r="Z250" s="198" t="str">
        <f t="shared" ca="1" si="5"/>
        <v>Fback!B250:Y250</v>
      </c>
      <c r="AA250" s="38"/>
    </row>
    <row r="251" spans="1:27" ht="21" customHeight="1" outlineLevel="1">
      <c r="B251" s="128"/>
      <c r="C251" s="128"/>
      <c r="D251" s="128"/>
      <c r="E251" s="128"/>
      <c r="F251" s="139"/>
      <c r="G251" s="139"/>
      <c r="H251" s="139"/>
      <c r="I251" s="199" cm="1">
        <f t="array" aca="1" ref="I251" ca="1">IF(OR($B251="",$B251="X",$D251="",$D251="X",$E251="",$E251="X"),0,IFERROR(_xlfn.LET(_xlpm.x,SUM(SUM(_xlfn._xlws.FILTER(VALUE(PptoSty[Sign]&amp;1)*(1/PptoSty[Division]),(PptoSty[Division]&lt;&gt;0)*(PptoSty[Division]&lt;&gt;"")*(PptoSty[Division]&lt;&gt;"X")*(PptoSty[Project]=$B251)*(PptoSty[Vrs]=$D251)*(PptoSty[PiRow]=_xlfn.TEXTAFTER($H251,":"))*(PptoSty[PiColumn]=I$54),0)),SUM(IF((INDIRECT($B$3)=$B251)*(INDIRECT($C$3)=$D251)*((INDIRECT($E$3)="TOTS")+(INDIRECT($E$3)=$E251)),INDIRECT(I$3)))),_xlpm.y,SUM(_xlfn.CHOOSECOLS(_xlfn._xlws.FILTER(F_RT14[],(F_RT14[PrjId]=$B251)*(F_RT14[Vrs]=$D251)*(_xlfn.TEXTAFTER(F_RT14[ActGrp],":")=_xlfn.TEXTAFTER($H251,":")),"X"),MATCH("*"&amp;I$54,F_RT14[#Headers],0))),IF(AND(_xlpm.x=0,_xlpm.y&lt;&gt;0),-1,IF(AND(_xlpm.x&lt;&gt;0,_xlpm.y&lt;&gt;0),_xlpm.x,IF(AND(_xlpm.x-SUM(IF((INDIRECT($B$3)=$B251)*(INDIRECT($C$3)=$D251)*((INDIRECT($E$3)="TOTS")+(INDIRECT($E$3)=$E251)),INDIRECT(I$3)))&lt;&gt;0,_xlpm.y=0),-2,_xlpm.x)))),0))</f>
        <v>0</v>
      </c>
      <c r="J251" s="199" cm="1">
        <f t="array" aca="1" ref="J251" ca="1">IF(OR($B251="",$B251="X",$D251="",$D251="X",$E251="",$E251="X"),0,IFERROR(_xlfn.LET(_xlpm.x,SUM(SUM(_xlfn._xlws.FILTER(VALUE(PptoSty[Sign]&amp;1)*(1/PptoSty[Division]),(PptoSty[Division]&lt;&gt;0)*(PptoSty[Division]&lt;&gt;"")*(PptoSty[Division]&lt;&gt;"X")*(PptoSty[Project]=$B251)*(PptoSty[Vrs]=$D251)*(PptoSty[PiRow]=_xlfn.TEXTAFTER($H251,":"))*(PptoSty[PiColumn]=J$54),0)),SUM(IF((INDIRECT($B$3)=$B251)*(INDIRECT($C$3)=$D251)*((INDIRECT($E$3)="TOTS")+(INDIRECT($E$3)=$E251)),INDIRECT(J$3)))),_xlpm.y,SUM(_xlfn.CHOOSECOLS(_xlfn._xlws.FILTER(F_RT14[],(F_RT14[PrjId]=$B251)*(F_RT14[Vrs]=$D251)*(_xlfn.TEXTAFTER(F_RT14[ActGrp],":")=_xlfn.TEXTAFTER($H251,":")),"X"),MATCH("*"&amp;J$54,F_RT14[#Headers],0))),IF(AND(_xlpm.x=0,_xlpm.y&lt;&gt;0),-1,IF(AND(_xlpm.x&lt;&gt;0,_xlpm.y&lt;&gt;0),_xlpm.x,IF(AND(_xlpm.x-SUM(IF((INDIRECT($B$3)=$B251)*(INDIRECT($C$3)=$D251)*((INDIRECT($E$3)="TOTS")+(INDIRECT($E$3)=$E251)),INDIRECT(J$3)))&lt;&gt;0,_xlpm.y=0),-2,_xlpm.x)))),0))</f>
        <v>0</v>
      </c>
      <c r="K251" s="199" cm="1">
        <f t="array" aca="1" ref="K251" ca="1">IF(OR($B251="",$B251="X",$D251="",$D251="X",$E251="",$E251="X"),0,IFERROR(_xlfn.LET(_xlpm.x,SUM(SUM(_xlfn._xlws.FILTER(VALUE(PptoSty[Sign]&amp;1)*(1/PptoSty[Division]),(PptoSty[Division]&lt;&gt;0)*(PptoSty[Division]&lt;&gt;"")*(PptoSty[Division]&lt;&gt;"X")*(PptoSty[Project]=$B251)*(PptoSty[Vrs]=$D251)*(PptoSty[PiRow]=_xlfn.TEXTAFTER($H251,":"))*(PptoSty[PiColumn]=K$54),0)),SUM(IF((INDIRECT($B$3)=$B251)*(INDIRECT($C$3)=$D251)*((INDIRECT($E$3)="TOTS")+(INDIRECT($E$3)=$E251)),INDIRECT(K$3)))),_xlpm.y,SUM(_xlfn.CHOOSECOLS(_xlfn._xlws.FILTER(F_RT14[],(F_RT14[PrjId]=$B251)*(F_RT14[Vrs]=$D251)*(_xlfn.TEXTAFTER(F_RT14[ActGrp],":")=_xlfn.TEXTAFTER($H251,":")),"X"),MATCH("*"&amp;K$54,F_RT14[#Headers],0))),IF(AND(_xlpm.x=0,_xlpm.y&lt;&gt;0),-1,IF(AND(_xlpm.x&lt;&gt;0,_xlpm.y&lt;&gt;0),_xlpm.x,IF(AND(_xlpm.x-SUM(IF((INDIRECT($B$3)=$B251)*(INDIRECT($C$3)=$D251)*((INDIRECT($E$3)="TOTS")+(INDIRECT($E$3)=$E251)),INDIRECT(K$3)))&lt;&gt;0,_xlpm.y=0),-2,_xlpm.x)))),0))</f>
        <v>0</v>
      </c>
      <c r="L251" s="199" cm="1">
        <f t="array" aca="1" ref="L251" ca="1">IF(OR($B251="",$B251="X",$D251="",$D251="X",$E251="",$E251="X"),0,IFERROR(_xlfn.LET(_xlpm.x,SUM(SUM(_xlfn._xlws.FILTER(VALUE(PptoSty[Sign]&amp;1)*(1/PptoSty[Division]),(PptoSty[Division]&lt;&gt;0)*(PptoSty[Division]&lt;&gt;"")*(PptoSty[Division]&lt;&gt;"X")*(PptoSty[Project]=$B251)*(PptoSty[Vrs]=$D251)*(PptoSty[PiRow]=_xlfn.TEXTAFTER($H251,":"))*(PptoSty[PiColumn]=L$54),0)),SUM(IF((INDIRECT($B$3)=$B251)*(INDIRECT($C$3)=$D251)*((INDIRECT($E$3)="TOTS")+(INDIRECT($E$3)=$E251)),INDIRECT(L$3)))),_xlpm.y,SUM(_xlfn.CHOOSECOLS(_xlfn._xlws.FILTER(F_RT14[],(F_RT14[PrjId]=$B251)*(F_RT14[Vrs]=$D251)*(_xlfn.TEXTAFTER(F_RT14[ActGrp],":")=_xlfn.TEXTAFTER($H251,":")),"X"),MATCH("*"&amp;L$54,F_RT14[#Headers],0))),IF(AND(_xlpm.x=0,_xlpm.y&lt;&gt;0),-1,IF(AND(_xlpm.x&lt;&gt;0,_xlpm.y&lt;&gt;0),_xlpm.x,IF(AND(_xlpm.x-SUM(IF((INDIRECT($B$3)=$B251)*(INDIRECT($C$3)=$D251)*((INDIRECT($E$3)="TOTS")+(INDIRECT($E$3)=$E251)),INDIRECT(L$3)))&lt;&gt;0,_xlpm.y=0),-2,_xlpm.x)))),0))</f>
        <v>0</v>
      </c>
      <c r="M251" s="199" cm="1">
        <f t="array" aca="1" ref="M251" ca="1">IF(OR($B251="",$B251="X",$D251="",$D251="X",$E251="",$E251="X"),0,IFERROR(_xlfn.LET(_xlpm.x,SUM(SUM(_xlfn._xlws.FILTER(VALUE(PptoSty[Sign]&amp;1)*(1/PptoSty[Division]),(PptoSty[Division]&lt;&gt;0)*(PptoSty[Division]&lt;&gt;"")*(PptoSty[Division]&lt;&gt;"X")*(PptoSty[Project]=$B251)*(PptoSty[Vrs]=$D251)*(PptoSty[PiRow]=_xlfn.TEXTAFTER($H251,":"))*(PptoSty[PiColumn]=M$54),0)),SUM(IF((INDIRECT($B$3)=$B251)*(INDIRECT($C$3)=$D251)*((INDIRECT($E$3)="TOTS")+(INDIRECT($E$3)=$E251)),INDIRECT(M$3)))),_xlpm.y,SUM(_xlfn.CHOOSECOLS(_xlfn._xlws.FILTER(F_RT14[],(F_RT14[PrjId]=$B251)*(F_RT14[Vrs]=$D251)*(_xlfn.TEXTAFTER(F_RT14[ActGrp],":")=_xlfn.TEXTAFTER($H251,":")),"X"),MATCH("*"&amp;M$54,F_RT14[#Headers],0))),IF(AND(_xlpm.x=0,_xlpm.y&lt;&gt;0),-1,IF(AND(_xlpm.x&lt;&gt;0,_xlpm.y&lt;&gt;0),_xlpm.x,IF(AND(_xlpm.x-SUM(IF((INDIRECT($B$3)=$B251)*(INDIRECT($C$3)=$D251)*((INDIRECT($E$3)="TOTS")+(INDIRECT($E$3)=$E251)),INDIRECT(M$3)))&lt;&gt;0,_xlpm.y=0),-2,_xlpm.x)))),0))</f>
        <v>0</v>
      </c>
      <c r="N251" s="199" cm="1">
        <f t="array" aca="1" ref="N251" ca="1">IF(OR($B251="",$B251="X",$D251="",$D251="X",$E251="",$E251="X"),0,IFERROR(_xlfn.LET(_xlpm.x,SUM(SUM(_xlfn._xlws.FILTER(VALUE(PptoSty[Sign]&amp;1)*(1/PptoSty[Division]),(PptoSty[Division]&lt;&gt;0)*(PptoSty[Division]&lt;&gt;"")*(PptoSty[Division]&lt;&gt;"X")*(PptoSty[Project]=$B251)*(PptoSty[Vrs]=$D251)*(PptoSty[PiRow]=_xlfn.TEXTAFTER($H251,":"))*(PptoSty[PiColumn]=N$54),0)),SUM(IF((INDIRECT($B$3)=$B251)*(INDIRECT($C$3)=$D251)*((INDIRECT($E$3)="TOTS")+(INDIRECT($E$3)=$E251)),INDIRECT(N$3)))),_xlpm.y,SUM(_xlfn.CHOOSECOLS(_xlfn._xlws.FILTER(F_RT14[],(F_RT14[PrjId]=$B251)*(F_RT14[Vrs]=$D251)*(_xlfn.TEXTAFTER(F_RT14[ActGrp],":")=_xlfn.TEXTAFTER($H251,":")),"X"),MATCH("*"&amp;N$54,F_RT14[#Headers],0))),IF(AND(_xlpm.x=0,_xlpm.y&lt;&gt;0),-1,IF(AND(_xlpm.x&lt;&gt;0,_xlpm.y&lt;&gt;0),_xlpm.x,IF(AND(_xlpm.x-SUM(IF((INDIRECT($B$3)=$B251)*(INDIRECT($C$3)=$D251)*((INDIRECT($E$3)="TOTS")+(INDIRECT($E$3)=$E251)),INDIRECT(N$3)))&lt;&gt;0,_xlpm.y=0),-2,_xlpm.x)))),0))</f>
        <v>0</v>
      </c>
      <c r="O251" s="199" cm="1">
        <f t="array" aca="1" ref="O251" ca="1">IF(OR($B251="",$B251="X",$D251="",$D251="X",$E251="",$E251="X"),0,IFERROR(_xlfn.LET(_xlpm.x,SUM(SUM(_xlfn._xlws.FILTER(VALUE(PptoSty[Sign]&amp;1)*(1/PptoSty[Division]),(PptoSty[Division]&lt;&gt;0)*(PptoSty[Division]&lt;&gt;"")*(PptoSty[Division]&lt;&gt;"X")*(PptoSty[Project]=$B251)*(PptoSty[Vrs]=$D251)*(PptoSty[PiRow]=_xlfn.TEXTAFTER($H251,":"))*(PptoSty[PiColumn]=O$54),0)),SUM(IF((INDIRECT($B$3)=$B251)*(INDIRECT($C$3)=$D251)*((INDIRECT($E$3)="TOTS")+(INDIRECT($E$3)=$E251)),INDIRECT(O$3)))),_xlpm.y,SUM(_xlfn.CHOOSECOLS(_xlfn._xlws.FILTER(F_RT14[],(F_RT14[PrjId]=$B251)*(F_RT14[Vrs]=$D251)*(_xlfn.TEXTAFTER(F_RT14[ActGrp],":")=_xlfn.TEXTAFTER($H251,":")),"X"),MATCH("*"&amp;O$54,F_RT14[#Headers],0))),IF(AND(_xlpm.x=0,_xlpm.y&lt;&gt;0),-1,IF(AND(_xlpm.x&lt;&gt;0,_xlpm.y&lt;&gt;0),_xlpm.x,IF(AND(_xlpm.x-SUM(IF((INDIRECT($B$3)=$B251)*(INDIRECT($C$3)=$D251)*((INDIRECT($E$3)="TOTS")+(INDIRECT($E$3)=$E251)),INDIRECT(O$3)))&lt;&gt;0,_xlpm.y=0),-2,_xlpm.x)))),0))</f>
        <v>0</v>
      </c>
      <c r="P251" s="199" cm="1">
        <f t="array" aca="1" ref="P251" ca="1">IF(OR($B251="",$B251="X",$D251="",$D251="X",$E251="",$E251="X"),0,IFERROR(_xlfn.LET(_xlpm.x,SUM(SUM(_xlfn._xlws.FILTER(VALUE(PptoSty[Sign]&amp;1)*(1/PptoSty[Division]),(PptoSty[Division]&lt;&gt;0)*(PptoSty[Division]&lt;&gt;"")*(PptoSty[Division]&lt;&gt;"X")*(PptoSty[Project]=$B251)*(PptoSty[Vrs]=$D251)*(PptoSty[PiRow]=_xlfn.TEXTAFTER($H251,":"))*(PptoSty[PiColumn]=P$54),0)),SUM(IF((INDIRECT($B$3)=$B251)*(INDIRECT($C$3)=$D251)*((INDIRECT($E$3)="TOTS")+(INDIRECT($E$3)=$E251)),INDIRECT(P$3)))),_xlpm.y,SUM(_xlfn.CHOOSECOLS(_xlfn._xlws.FILTER(F_RT14[],(F_RT14[PrjId]=$B251)*(F_RT14[Vrs]=$D251)*(_xlfn.TEXTAFTER(F_RT14[ActGrp],":")=_xlfn.TEXTAFTER($H251,":")),"X"),MATCH("*"&amp;P$54,F_RT14[#Headers],0))),IF(AND(_xlpm.x=0,_xlpm.y&lt;&gt;0),-1,IF(AND(_xlpm.x&lt;&gt;0,_xlpm.y&lt;&gt;0),_xlpm.x,IF(AND(_xlpm.x-SUM(IF((INDIRECT($B$3)=$B251)*(INDIRECT($C$3)=$D251)*((INDIRECT($E$3)="TOTS")+(INDIRECT($E$3)=$E251)),INDIRECT(P$3)))&lt;&gt;0,_xlpm.y=0),-2,_xlpm.x)))),0))</f>
        <v>0</v>
      </c>
      <c r="Q251" s="199" cm="1">
        <f t="array" aca="1" ref="Q251" ca="1">IF(OR($B251="",$B251="X",$D251="",$D251="X",$E251="",$E251="X"),0,IFERROR(_xlfn.LET(_xlpm.x,SUM(SUM(_xlfn._xlws.FILTER(VALUE(PptoSty[Sign]&amp;1)*(1/PptoSty[Division]),(PptoSty[Division]&lt;&gt;0)*(PptoSty[Division]&lt;&gt;"")*(PptoSty[Division]&lt;&gt;"X")*(PptoSty[Project]=$B251)*(PptoSty[Vrs]=$D251)*(PptoSty[PiRow]=_xlfn.TEXTAFTER($H251,":"))*(PptoSty[PiColumn]=Q$54),0)),SUM(IF((INDIRECT($B$3)=$B251)*(INDIRECT($C$3)=$D251)*((INDIRECT($E$3)="TOTS")+(INDIRECT($E$3)=$E251)),INDIRECT(Q$3)))),_xlpm.y,SUM(_xlfn.CHOOSECOLS(_xlfn._xlws.FILTER(F_RT14[],(F_RT14[PrjId]=$B251)*(F_RT14[Vrs]=$D251)*(_xlfn.TEXTAFTER(F_RT14[ActGrp],":")=_xlfn.TEXTAFTER($H251,":")),"X"),MATCH("*"&amp;Q$54,F_RT14[#Headers],0))),IF(AND(_xlpm.x=0,_xlpm.y&lt;&gt;0),-1,IF(AND(_xlpm.x&lt;&gt;0,_xlpm.y&lt;&gt;0),_xlpm.x,IF(AND(_xlpm.x-SUM(IF((INDIRECT($B$3)=$B251)*(INDIRECT($C$3)=$D251)*((INDIRECT($E$3)="TOTS")+(INDIRECT($E$3)=$E251)),INDIRECT(Q$3)))&lt;&gt;0,_xlpm.y=0),-2,_xlpm.x)))),0))</f>
        <v>0</v>
      </c>
      <c r="R251" s="199" cm="1">
        <f t="array" aca="1" ref="R251" ca="1">IF(OR($B251="",$B251="X",$D251="",$D251="X",$E251="",$E251="X"),0,IFERROR(_xlfn.LET(_xlpm.x,SUM(SUM(_xlfn._xlws.FILTER(VALUE(PptoSty[Sign]&amp;1)*(1/PptoSty[Division]),(PptoSty[Division]&lt;&gt;0)*(PptoSty[Division]&lt;&gt;"")*(PptoSty[Division]&lt;&gt;"X")*(PptoSty[Project]=$B251)*(PptoSty[Vrs]=$D251)*(PptoSty[PiRow]=_xlfn.TEXTAFTER($H251,":"))*(PptoSty[PiColumn]=R$54),0)),SUM(IF((INDIRECT($B$3)=$B251)*(INDIRECT($C$3)=$D251)*((INDIRECT($E$3)="TOTS")+(INDIRECT($E$3)=$E251)),INDIRECT(R$3)))),_xlpm.y,SUM(_xlfn.CHOOSECOLS(_xlfn._xlws.FILTER(F_RT14[],(F_RT14[PrjId]=$B251)*(F_RT14[Vrs]=$D251)*(_xlfn.TEXTAFTER(F_RT14[ActGrp],":")=_xlfn.TEXTAFTER($H251,":")),"X"),MATCH("*"&amp;R$54,F_RT14[#Headers],0))),IF(AND(_xlpm.x=0,_xlpm.y&lt;&gt;0),-1,IF(AND(_xlpm.x&lt;&gt;0,_xlpm.y&lt;&gt;0),_xlpm.x,IF(AND(_xlpm.x-SUM(IF((INDIRECT($B$3)=$B251)*(INDIRECT($C$3)=$D251)*((INDIRECT($E$3)="TOTS")+(INDIRECT($E$3)=$E251)),INDIRECT(R$3)))&lt;&gt;0,_xlpm.y=0),-2,_xlpm.x)))),0))</f>
        <v>0</v>
      </c>
      <c r="S251" s="199" cm="1">
        <f t="array" aca="1" ref="S251" ca="1">IF(OR($B251="",$B251="X",$D251="",$D251="X",$E251="",$E251="X"),0,IFERROR(_xlfn.LET(_xlpm.x,SUM(SUM(_xlfn._xlws.FILTER(VALUE(PptoSty[Sign]&amp;1)*(1/PptoSty[Division]),(PptoSty[Division]&lt;&gt;0)*(PptoSty[Division]&lt;&gt;"")*(PptoSty[Division]&lt;&gt;"X")*(PptoSty[Project]=$B251)*(PptoSty[Vrs]=$D251)*(PptoSty[PiRow]=_xlfn.TEXTAFTER($H251,":"))*(PptoSty[PiColumn]=S$54),0)),SUM(IF((INDIRECT($B$3)=$B251)*(INDIRECT($C$3)=$D251)*((INDIRECT($E$3)="TOTS")+(INDIRECT($E$3)=$E251)),INDIRECT(S$3)))),_xlpm.y,SUM(_xlfn.CHOOSECOLS(_xlfn._xlws.FILTER(F_RT14[],(F_RT14[PrjId]=$B251)*(F_RT14[Vrs]=$D251)*(_xlfn.TEXTAFTER(F_RT14[ActGrp],":")=_xlfn.TEXTAFTER($H251,":")),"X"),MATCH("*"&amp;S$54,F_RT14[#Headers],0))),IF(AND(_xlpm.x=0,_xlpm.y&lt;&gt;0),-1,IF(AND(_xlpm.x&lt;&gt;0,_xlpm.y&lt;&gt;0),_xlpm.x,IF(AND(_xlpm.x-SUM(IF((INDIRECT($B$3)=$B251)*(INDIRECT($C$3)=$D251)*((INDIRECT($E$3)="TOTS")+(INDIRECT($E$3)=$E251)),INDIRECT(S$3)))&lt;&gt;0,_xlpm.y=0),-2,_xlpm.x)))),0))</f>
        <v>0</v>
      </c>
      <c r="T251" s="199" cm="1">
        <f t="array" aca="1" ref="T251" ca="1">IF(OR($B251="",$B251="X",$D251="",$D251="X",$E251="",$E251="X"),0,IFERROR(_xlfn.LET(_xlpm.x,SUM(SUM(_xlfn._xlws.FILTER(VALUE(PptoSty[Sign]&amp;1)*(1/PptoSty[Division]),(PptoSty[Division]&lt;&gt;0)*(PptoSty[Division]&lt;&gt;"")*(PptoSty[Division]&lt;&gt;"X")*(PptoSty[Project]=$B251)*(PptoSty[Vrs]=$D251)*(PptoSty[PiRow]=_xlfn.TEXTAFTER($H251,":"))*(PptoSty[PiColumn]=T$54),0)),SUM(IF((INDIRECT($B$3)=$B251)*(INDIRECT($C$3)=$D251)*((INDIRECT($E$3)="TOTS")+(INDIRECT($E$3)=$E251)),INDIRECT(T$3)))),_xlpm.y,SUM(_xlfn.CHOOSECOLS(_xlfn._xlws.FILTER(F_RT14[],(F_RT14[PrjId]=$B251)*(F_RT14[Vrs]=$D251)*(_xlfn.TEXTAFTER(F_RT14[ActGrp],":")=_xlfn.TEXTAFTER($H251,":")),"X"),MATCH("*"&amp;T$54,F_RT14[#Headers],0))),IF(AND(_xlpm.x=0,_xlpm.y&lt;&gt;0),-1,IF(AND(_xlpm.x&lt;&gt;0,_xlpm.y&lt;&gt;0),_xlpm.x,IF(AND(_xlpm.x-SUM(IF((INDIRECT($B$3)=$B251)*(INDIRECT($C$3)=$D251)*((INDIRECT($E$3)="TOTS")+(INDIRECT($E$3)=$E251)),INDIRECT(T$3)))&lt;&gt;0,_xlpm.y=0),-2,_xlpm.x)))),0))</f>
        <v>0</v>
      </c>
      <c r="U251" s="199" cm="1">
        <f t="array" aca="1" ref="U251" ca="1">IF(OR($B251="",$B251="X",$D251="",$D251="X",$E251="",$E251="X"),0,IFERROR(_xlfn.LET(_xlpm.x,SUM(SUM(_xlfn._xlws.FILTER(VALUE(PptoSty[Sign]&amp;1)*(1/PptoSty[Division]),(PptoSty[Division]&lt;&gt;0)*(PptoSty[Division]&lt;&gt;"")*(PptoSty[Division]&lt;&gt;"X")*(PptoSty[Project]=$B251)*(PptoSty[Vrs]=$D251)*(PptoSty[PiRow]=_xlfn.TEXTAFTER($H251,":"))*(PptoSty[PiColumn]=U$54),0)),SUM(IF((INDIRECT($B$3)=$B251)*(INDIRECT($C$3)=$D251)*((INDIRECT($E$3)="TOTS")+(INDIRECT($E$3)=$E251)),INDIRECT(U$3)))),_xlpm.y,SUM(_xlfn.CHOOSECOLS(_xlfn._xlws.FILTER(F_RT14[],(F_RT14[PrjId]=$B251)*(F_RT14[Vrs]=$D251)*(_xlfn.TEXTAFTER(F_RT14[ActGrp],":")=_xlfn.TEXTAFTER($H251,":")),"X"),MATCH("*"&amp;U$54,F_RT14[#Headers],0))),IF(AND(_xlpm.x=0,_xlpm.y&lt;&gt;0),-1,IF(AND(_xlpm.x&lt;&gt;0,_xlpm.y&lt;&gt;0),_xlpm.x,IF(AND(_xlpm.x-SUM(IF((INDIRECT($B$3)=$B251)*(INDIRECT($C$3)=$D251)*((INDIRECT($E$3)="TOTS")+(INDIRECT($E$3)=$E251)),INDIRECT(U$3)))&lt;&gt;0,_xlpm.y=0),-2,_xlpm.x)))),0))</f>
        <v>0</v>
      </c>
      <c r="V251" s="199" cm="1">
        <f t="array" aca="1" ref="V251" ca="1">IF(OR($B251="",$B251="X",$D251="",$D251="X",$E251="",$E251="X"),0,IFERROR(_xlfn.LET(_xlpm.x,SUM(SUM(_xlfn._xlws.FILTER(VALUE(PptoSty[Sign]&amp;1)*(1/PptoSty[Division]),(PptoSty[Division]&lt;&gt;0)*(PptoSty[Division]&lt;&gt;"")*(PptoSty[Division]&lt;&gt;"X")*(PptoSty[Project]=$B251)*(PptoSty[Vrs]=$D251)*(PptoSty[PiRow]=_xlfn.TEXTAFTER($H251,":"))*(PptoSty[PiColumn]=V$54),0)),SUM(IF((INDIRECT($B$3)=$B251)*(INDIRECT($C$3)=$D251)*((INDIRECT($E$3)="TOTS")+(INDIRECT($E$3)=$E251)),INDIRECT(V$3)))),_xlpm.y,SUM(_xlfn.CHOOSECOLS(_xlfn._xlws.FILTER(F_RT14[],(F_RT14[PrjId]=$B251)*(F_RT14[Vrs]=$D251)*(_xlfn.TEXTAFTER(F_RT14[ActGrp],":")=_xlfn.TEXTAFTER($H251,":")),"X"),MATCH("*"&amp;V$54,F_RT14[#Headers],0))),IF(AND(_xlpm.x=0,_xlpm.y&lt;&gt;0),-1,IF(AND(_xlpm.x&lt;&gt;0,_xlpm.y&lt;&gt;0),_xlpm.x,IF(AND(_xlpm.x-SUM(IF((INDIRECT($B$3)=$B251)*(INDIRECT($C$3)=$D251)*((INDIRECT($E$3)="TOTS")+(INDIRECT($E$3)=$E251)),INDIRECT(V$3)))&lt;&gt;0,_xlpm.y=0),-2,_xlpm.x)))),0))</f>
        <v>0</v>
      </c>
      <c r="W251" s="199" cm="1">
        <f t="array" aca="1" ref="W251" ca="1">IF(OR($B251="",$B251="X",$D251="",$D251="X",$E251="",$E251="X"),0,IFERROR(_xlfn.LET(_xlpm.x,SUM(SUM(_xlfn._xlws.FILTER(VALUE(PptoSty[Sign]&amp;1)*(1/PptoSty[Division]),(PptoSty[Division]&lt;&gt;0)*(PptoSty[Division]&lt;&gt;"")*(PptoSty[Division]&lt;&gt;"X")*(PptoSty[Project]=$B251)*(PptoSty[Vrs]=$D251)*(PptoSty[PiRow]=_xlfn.TEXTAFTER($H251,":"))*(PptoSty[PiColumn]=W$54),0)),SUM(IF((INDIRECT($B$3)=$B251)*(INDIRECT($C$3)=$D251)*((INDIRECT($E$3)="TOTS")+(INDIRECT($E$3)=$E251)),INDIRECT(W$3)))),_xlpm.y,SUM(_xlfn.CHOOSECOLS(_xlfn._xlws.FILTER(F_RT14[],(F_RT14[PrjId]=$B251)*(F_RT14[Vrs]=$D251)*(_xlfn.TEXTAFTER(F_RT14[ActGrp],":")=_xlfn.TEXTAFTER($H251,":")),"X"),MATCH("*"&amp;W$54,F_RT14[#Headers],0))),IF(AND(_xlpm.x=0,_xlpm.y&lt;&gt;0),-1,IF(AND(_xlpm.x&lt;&gt;0,_xlpm.y&lt;&gt;0),_xlpm.x,IF(AND(_xlpm.x-SUM(IF((INDIRECT($B$3)=$B251)*(INDIRECT($C$3)=$D251)*((INDIRECT($E$3)="TOTS")+(INDIRECT($E$3)=$E251)),INDIRECT(W$3)))&lt;&gt;0,_xlpm.y=0),-2,_xlpm.x)))),0))</f>
        <v>0</v>
      </c>
      <c r="X251" s="199" cm="1">
        <f t="array" aca="1" ref="X251" ca="1">IF(OR($B251="",$B251="X",$D251="",$D251="X",$E251="",$E251="X"),0,IFERROR(_xlfn.LET(_xlpm.x,SUM(SUM(_xlfn._xlws.FILTER(VALUE(PptoSty[Sign]&amp;1)*(1/PptoSty[Division]),(PptoSty[Division]&lt;&gt;0)*(PptoSty[Division]&lt;&gt;"")*(PptoSty[Division]&lt;&gt;"X")*(PptoSty[Project]=$B251)*(PptoSty[Vrs]=$D251)*(PptoSty[PiRow]=_xlfn.TEXTAFTER($H251,":"))*(PptoSty[PiColumn]=X$54),0)),SUM(IF((INDIRECT($B$3)=$B251)*(INDIRECT($C$3)=$D251)*((INDIRECT($E$3)="TOTS")+(INDIRECT($E$3)=$E251)),INDIRECT(X$3)))),_xlpm.y,SUM(_xlfn.CHOOSECOLS(_xlfn._xlws.FILTER(F_RT14[],(F_RT14[PrjId]=$B251)*(F_RT14[Vrs]=$D251)*(_xlfn.TEXTAFTER(F_RT14[ActGrp],":")=_xlfn.TEXTAFTER($H251,":")),"X"),MATCH("*"&amp;X$54,F_RT14[#Headers],0))),IF(AND(_xlpm.x=0,_xlpm.y&lt;&gt;0),-1,IF(AND(_xlpm.x&lt;&gt;0,_xlpm.y&lt;&gt;0),_xlpm.x,IF(AND(_xlpm.x-SUM(IF((INDIRECT($B$3)=$B251)*(INDIRECT($C$3)=$D251)*((INDIRECT($E$3)="TOTS")+(INDIRECT($E$3)=$E251)),INDIRECT(X$3)))&lt;&gt;0,_xlpm.y=0),-2,_xlpm.x)))),0))</f>
        <v>0</v>
      </c>
      <c r="Y251" s="199" cm="1">
        <f t="array" aca="1" ref="Y251" ca="1">IF(OR($B251="",$B251="X",$D251="",$D251="X",$E251="",$E251="X"),0,IFERROR(_xlfn.LET(_xlpm.x,SUM(SUM(_xlfn._xlws.FILTER(VALUE(PptoSty[Sign]&amp;1)*(1/PptoSty[Division]),(PptoSty[Division]&lt;&gt;0)*(PptoSty[Division]&lt;&gt;"")*(PptoSty[Division]&lt;&gt;"X")*(PptoSty[Project]=$B251)*(PptoSty[Vrs]=$D251)*(PptoSty[PiRow]=_xlfn.TEXTAFTER($H251,":"))*(PptoSty[PiColumn]=Y$54),0)),SUM(IF((INDIRECT($B$3)=$B251)*(INDIRECT($C$3)=$D251)*((INDIRECT($E$3)="TOTS")+(INDIRECT($E$3)=$E251)),INDIRECT(Y$3)))),_xlpm.y,SUM(_xlfn.CHOOSECOLS(_xlfn._xlws.FILTER(F_RT14[],(F_RT14[PrjId]=$B251)*(F_RT14[Vrs]=$D251)*(_xlfn.TEXTAFTER(F_RT14[ActGrp],":")=_xlfn.TEXTAFTER($H251,":")),"X"),MATCH("*"&amp;Y$54,F_RT14[#Headers],0))),IF(AND(_xlpm.x=0,_xlpm.y&lt;&gt;0),-1,IF(AND(_xlpm.x&lt;&gt;0,_xlpm.y&lt;&gt;0),_xlpm.x,IF(AND(_xlpm.x-SUM(IF((INDIRECT($B$3)=$B251)*(INDIRECT($C$3)=$D251)*((INDIRECT($E$3)="TOTS")+(INDIRECT($E$3)=$E251)),INDIRECT(Y$3)))&lt;&gt;0,_xlpm.y=0),-2,_xlpm.x)))),0))</f>
        <v>0</v>
      </c>
      <c r="Z251" s="198" t="str">
        <f t="shared" ca="1" si="5"/>
        <v>Fback!B251:Y251</v>
      </c>
      <c r="AA251" s="38"/>
    </row>
    <row r="252" spans="1:27" ht="21" customHeight="1" outlineLevel="1">
      <c r="B252" s="128"/>
      <c r="C252" s="128"/>
      <c r="D252" s="128"/>
      <c r="E252" s="128"/>
      <c r="F252" s="139"/>
      <c r="G252" s="139"/>
      <c r="H252" s="139"/>
      <c r="I252" s="199" cm="1">
        <f t="array" aca="1" ref="I252" ca="1">IF(OR($B252="",$B252="X",$D252="",$D252="X",$E252="",$E252="X"),0,IFERROR(_xlfn.LET(_xlpm.x,SUM(SUM(_xlfn._xlws.FILTER(VALUE(PptoSty[Sign]&amp;1)*(1/PptoSty[Division]),(PptoSty[Division]&lt;&gt;0)*(PptoSty[Division]&lt;&gt;"")*(PptoSty[Division]&lt;&gt;"X")*(PptoSty[Project]=$B252)*(PptoSty[Vrs]=$D252)*(PptoSty[PiRow]=_xlfn.TEXTAFTER($H252,":"))*(PptoSty[PiColumn]=I$54),0)),SUM(IF((INDIRECT($B$3)=$B252)*(INDIRECT($C$3)=$D252)*((INDIRECT($E$3)="TOTS")+(INDIRECT($E$3)=$E252)),INDIRECT(I$3)))),_xlpm.y,SUM(_xlfn.CHOOSECOLS(_xlfn._xlws.FILTER(F_RT14[],(F_RT14[PrjId]=$B252)*(F_RT14[Vrs]=$D252)*(_xlfn.TEXTAFTER(F_RT14[ActGrp],":")=_xlfn.TEXTAFTER($H252,":")),"X"),MATCH("*"&amp;I$54,F_RT14[#Headers],0))),IF(AND(_xlpm.x=0,_xlpm.y&lt;&gt;0),-1,IF(AND(_xlpm.x&lt;&gt;0,_xlpm.y&lt;&gt;0),_xlpm.x,IF(AND(_xlpm.x-SUM(IF((INDIRECT($B$3)=$B252)*(INDIRECT($C$3)=$D252)*((INDIRECT($E$3)="TOTS")+(INDIRECT($E$3)=$E252)),INDIRECT(I$3)))&lt;&gt;0,_xlpm.y=0),-2,_xlpm.x)))),0))</f>
        <v>0</v>
      </c>
      <c r="J252" s="199" cm="1">
        <f t="array" aca="1" ref="J252" ca="1">IF(OR($B252="",$B252="X",$D252="",$D252="X",$E252="",$E252="X"),0,IFERROR(_xlfn.LET(_xlpm.x,SUM(SUM(_xlfn._xlws.FILTER(VALUE(PptoSty[Sign]&amp;1)*(1/PptoSty[Division]),(PptoSty[Division]&lt;&gt;0)*(PptoSty[Division]&lt;&gt;"")*(PptoSty[Division]&lt;&gt;"X")*(PptoSty[Project]=$B252)*(PptoSty[Vrs]=$D252)*(PptoSty[PiRow]=_xlfn.TEXTAFTER($H252,":"))*(PptoSty[PiColumn]=J$54),0)),SUM(IF((INDIRECT($B$3)=$B252)*(INDIRECT($C$3)=$D252)*((INDIRECT($E$3)="TOTS")+(INDIRECT($E$3)=$E252)),INDIRECT(J$3)))),_xlpm.y,SUM(_xlfn.CHOOSECOLS(_xlfn._xlws.FILTER(F_RT14[],(F_RT14[PrjId]=$B252)*(F_RT14[Vrs]=$D252)*(_xlfn.TEXTAFTER(F_RT14[ActGrp],":")=_xlfn.TEXTAFTER($H252,":")),"X"),MATCH("*"&amp;J$54,F_RT14[#Headers],0))),IF(AND(_xlpm.x=0,_xlpm.y&lt;&gt;0),-1,IF(AND(_xlpm.x&lt;&gt;0,_xlpm.y&lt;&gt;0),_xlpm.x,IF(AND(_xlpm.x-SUM(IF((INDIRECT($B$3)=$B252)*(INDIRECT($C$3)=$D252)*((INDIRECT($E$3)="TOTS")+(INDIRECT($E$3)=$E252)),INDIRECT(J$3)))&lt;&gt;0,_xlpm.y=0),-2,_xlpm.x)))),0))</f>
        <v>0</v>
      </c>
      <c r="K252" s="199" cm="1">
        <f t="array" aca="1" ref="K252" ca="1">IF(OR($B252="",$B252="X",$D252="",$D252="X",$E252="",$E252="X"),0,IFERROR(_xlfn.LET(_xlpm.x,SUM(SUM(_xlfn._xlws.FILTER(VALUE(PptoSty[Sign]&amp;1)*(1/PptoSty[Division]),(PptoSty[Division]&lt;&gt;0)*(PptoSty[Division]&lt;&gt;"")*(PptoSty[Division]&lt;&gt;"X")*(PptoSty[Project]=$B252)*(PptoSty[Vrs]=$D252)*(PptoSty[PiRow]=_xlfn.TEXTAFTER($H252,":"))*(PptoSty[PiColumn]=K$54),0)),SUM(IF((INDIRECT($B$3)=$B252)*(INDIRECT($C$3)=$D252)*((INDIRECT($E$3)="TOTS")+(INDIRECT($E$3)=$E252)),INDIRECT(K$3)))),_xlpm.y,SUM(_xlfn.CHOOSECOLS(_xlfn._xlws.FILTER(F_RT14[],(F_RT14[PrjId]=$B252)*(F_RT14[Vrs]=$D252)*(_xlfn.TEXTAFTER(F_RT14[ActGrp],":")=_xlfn.TEXTAFTER($H252,":")),"X"),MATCH("*"&amp;K$54,F_RT14[#Headers],0))),IF(AND(_xlpm.x=0,_xlpm.y&lt;&gt;0),-1,IF(AND(_xlpm.x&lt;&gt;0,_xlpm.y&lt;&gt;0),_xlpm.x,IF(AND(_xlpm.x-SUM(IF((INDIRECT($B$3)=$B252)*(INDIRECT($C$3)=$D252)*((INDIRECT($E$3)="TOTS")+(INDIRECT($E$3)=$E252)),INDIRECT(K$3)))&lt;&gt;0,_xlpm.y=0),-2,_xlpm.x)))),0))</f>
        <v>0</v>
      </c>
      <c r="L252" s="199" cm="1">
        <f t="array" aca="1" ref="L252" ca="1">IF(OR($B252="",$B252="X",$D252="",$D252="X",$E252="",$E252="X"),0,IFERROR(_xlfn.LET(_xlpm.x,SUM(SUM(_xlfn._xlws.FILTER(VALUE(PptoSty[Sign]&amp;1)*(1/PptoSty[Division]),(PptoSty[Division]&lt;&gt;0)*(PptoSty[Division]&lt;&gt;"")*(PptoSty[Division]&lt;&gt;"X")*(PptoSty[Project]=$B252)*(PptoSty[Vrs]=$D252)*(PptoSty[PiRow]=_xlfn.TEXTAFTER($H252,":"))*(PptoSty[PiColumn]=L$54),0)),SUM(IF((INDIRECT($B$3)=$B252)*(INDIRECT($C$3)=$D252)*((INDIRECT($E$3)="TOTS")+(INDIRECT($E$3)=$E252)),INDIRECT(L$3)))),_xlpm.y,SUM(_xlfn.CHOOSECOLS(_xlfn._xlws.FILTER(F_RT14[],(F_RT14[PrjId]=$B252)*(F_RT14[Vrs]=$D252)*(_xlfn.TEXTAFTER(F_RT14[ActGrp],":")=_xlfn.TEXTAFTER($H252,":")),"X"),MATCH("*"&amp;L$54,F_RT14[#Headers],0))),IF(AND(_xlpm.x=0,_xlpm.y&lt;&gt;0),-1,IF(AND(_xlpm.x&lt;&gt;0,_xlpm.y&lt;&gt;0),_xlpm.x,IF(AND(_xlpm.x-SUM(IF((INDIRECT($B$3)=$B252)*(INDIRECT($C$3)=$D252)*((INDIRECT($E$3)="TOTS")+(INDIRECT($E$3)=$E252)),INDIRECT(L$3)))&lt;&gt;0,_xlpm.y=0),-2,_xlpm.x)))),0))</f>
        <v>0</v>
      </c>
      <c r="M252" s="199" cm="1">
        <f t="array" aca="1" ref="M252" ca="1">IF(OR($B252="",$B252="X",$D252="",$D252="X",$E252="",$E252="X"),0,IFERROR(_xlfn.LET(_xlpm.x,SUM(SUM(_xlfn._xlws.FILTER(VALUE(PptoSty[Sign]&amp;1)*(1/PptoSty[Division]),(PptoSty[Division]&lt;&gt;0)*(PptoSty[Division]&lt;&gt;"")*(PptoSty[Division]&lt;&gt;"X")*(PptoSty[Project]=$B252)*(PptoSty[Vrs]=$D252)*(PptoSty[PiRow]=_xlfn.TEXTAFTER($H252,":"))*(PptoSty[PiColumn]=M$54),0)),SUM(IF((INDIRECT($B$3)=$B252)*(INDIRECT($C$3)=$D252)*((INDIRECT($E$3)="TOTS")+(INDIRECT($E$3)=$E252)),INDIRECT(M$3)))),_xlpm.y,SUM(_xlfn.CHOOSECOLS(_xlfn._xlws.FILTER(F_RT14[],(F_RT14[PrjId]=$B252)*(F_RT14[Vrs]=$D252)*(_xlfn.TEXTAFTER(F_RT14[ActGrp],":")=_xlfn.TEXTAFTER($H252,":")),"X"),MATCH("*"&amp;M$54,F_RT14[#Headers],0))),IF(AND(_xlpm.x=0,_xlpm.y&lt;&gt;0),-1,IF(AND(_xlpm.x&lt;&gt;0,_xlpm.y&lt;&gt;0),_xlpm.x,IF(AND(_xlpm.x-SUM(IF((INDIRECT($B$3)=$B252)*(INDIRECT($C$3)=$D252)*((INDIRECT($E$3)="TOTS")+(INDIRECT($E$3)=$E252)),INDIRECT(M$3)))&lt;&gt;0,_xlpm.y=0),-2,_xlpm.x)))),0))</f>
        <v>0</v>
      </c>
      <c r="N252" s="199" cm="1">
        <f t="array" aca="1" ref="N252" ca="1">IF(OR($B252="",$B252="X",$D252="",$D252="X",$E252="",$E252="X"),0,IFERROR(_xlfn.LET(_xlpm.x,SUM(SUM(_xlfn._xlws.FILTER(VALUE(PptoSty[Sign]&amp;1)*(1/PptoSty[Division]),(PptoSty[Division]&lt;&gt;0)*(PptoSty[Division]&lt;&gt;"")*(PptoSty[Division]&lt;&gt;"X")*(PptoSty[Project]=$B252)*(PptoSty[Vrs]=$D252)*(PptoSty[PiRow]=_xlfn.TEXTAFTER($H252,":"))*(PptoSty[PiColumn]=N$54),0)),SUM(IF((INDIRECT($B$3)=$B252)*(INDIRECT($C$3)=$D252)*((INDIRECT($E$3)="TOTS")+(INDIRECT($E$3)=$E252)),INDIRECT(N$3)))),_xlpm.y,SUM(_xlfn.CHOOSECOLS(_xlfn._xlws.FILTER(F_RT14[],(F_RT14[PrjId]=$B252)*(F_RT14[Vrs]=$D252)*(_xlfn.TEXTAFTER(F_RT14[ActGrp],":")=_xlfn.TEXTAFTER($H252,":")),"X"),MATCH("*"&amp;N$54,F_RT14[#Headers],0))),IF(AND(_xlpm.x=0,_xlpm.y&lt;&gt;0),-1,IF(AND(_xlpm.x&lt;&gt;0,_xlpm.y&lt;&gt;0),_xlpm.x,IF(AND(_xlpm.x-SUM(IF((INDIRECT($B$3)=$B252)*(INDIRECT($C$3)=$D252)*((INDIRECT($E$3)="TOTS")+(INDIRECT($E$3)=$E252)),INDIRECT(N$3)))&lt;&gt;0,_xlpm.y=0),-2,_xlpm.x)))),0))</f>
        <v>0</v>
      </c>
      <c r="O252" s="199" cm="1">
        <f t="array" aca="1" ref="O252" ca="1">IF(OR($B252="",$B252="X",$D252="",$D252="X",$E252="",$E252="X"),0,IFERROR(_xlfn.LET(_xlpm.x,SUM(SUM(_xlfn._xlws.FILTER(VALUE(PptoSty[Sign]&amp;1)*(1/PptoSty[Division]),(PptoSty[Division]&lt;&gt;0)*(PptoSty[Division]&lt;&gt;"")*(PptoSty[Division]&lt;&gt;"X")*(PptoSty[Project]=$B252)*(PptoSty[Vrs]=$D252)*(PptoSty[PiRow]=_xlfn.TEXTAFTER($H252,":"))*(PptoSty[PiColumn]=O$54),0)),SUM(IF((INDIRECT($B$3)=$B252)*(INDIRECT($C$3)=$D252)*((INDIRECT($E$3)="TOTS")+(INDIRECT($E$3)=$E252)),INDIRECT(O$3)))),_xlpm.y,SUM(_xlfn.CHOOSECOLS(_xlfn._xlws.FILTER(F_RT14[],(F_RT14[PrjId]=$B252)*(F_RT14[Vrs]=$D252)*(_xlfn.TEXTAFTER(F_RT14[ActGrp],":")=_xlfn.TEXTAFTER($H252,":")),"X"),MATCH("*"&amp;O$54,F_RT14[#Headers],0))),IF(AND(_xlpm.x=0,_xlpm.y&lt;&gt;0),-1,IF(AND(_xlpm.x&lt;&gt;0,_xlpm.y&lt;&gt;0),_xlpm.x,IF(AND(_xlpm.x-SUM(IF((INDIRECT($B$3)=$B252)*(INDIRECT($C$3)=$D252)*((INDIRECT($E$3)="TOTS")+(INDIRECT($E$3)=$E252)),INDIRECT(O$3)))&lt;&gt;0,_xlpm.y=0),-2,_xlpm.x)))),0))</f>
        <v>0</v>
      </c>
      <c r="P252" s="199" cm="1">
        <f t="array" aca="1" ref="P252" ca="1">IF(OR($B252="",$B252="X",$D252="",$D252="X",$E252="",$E252="X"),0,IFERROR(_xlfn.LET(_xlpm.x,SUM(SUM(_xlfn._xlws.FILTER(VALUE(PptoSty[Sign]&amp;1)*(1/PptoSty[Division]),(PptoSty[Division]&lt;&gt;0)*(PptoSty[Division]&lt;&gt;"")*(PptoSty[Division]&lt;&gt;"X")*(PptoSty[Project]=$B252)*(PptoSty[Vrs]=$D252)*(PptoSty[PiRow]=_xlfn.TEXTAFTER($H252,":"))*(PptoSty[PiColumn]=P$54),0)),SUM(IF((INDIRECT($B$3)=$B252)*(INDIRECT($C$3)=$D252)*((INDIRECT($E$3)="TOTS")+(INDIRECT($E$3)=$E252)),INDIRECT(P$3)))),_xlpm.y,SUM(_xlfn.CHOOSECOLS(_xlfn._xlws.FILTER(F_RT14[],(F_RT14[PrjId]=$B252)*(F_RT14[Vrs]=$D252)*(_xlfn.TEXTAFTER(F_RT14[ActGrp],":")=_xlfn.TEXTAFTER($H252,":")),"X"),MATCH("*"&amp;P$54,F_RT14[#Headers],0))),IF(AND(_xlpm.x=0,_xlpm.y&lt;&gt;0),-1,IF(AND(_xlpm.x&lt;&gt;0,_xlpm.y&lt;&gt;0),_xlpm.x,IF(AND(_xlpm.x-SUM(IF((INDIRECT($B$3)=$B252)*(INDIRECT($C$3)=$D252)*((INDIRECT($E$3)="TOTS")+(INDIRECT($E$3)=$E252)),INDIRECT(P$3)))&lt;&gt;0,_xlpm.y=0),-2,_xlpm.x)))),0))</f>
        <v>0</v>
      </c>
      <c r="Q252" s="199" cm="1">
        <f t="array" aca="1" ref="Q252" ca="1">IF(OR($B252="",$B252="X",$D252="",$D252="X",$E252="",$E252="X"),0,IFERROR(_xlfn.LET(_xlpm.x,SUM(SUM(_xlfn._xlws.FILTER(VALUE(PptoSty[Sign]&amp;1)*(1/PptoSty[Division]),(PptoSty[Division]&lt;&gt;0)*(PptoSty[Division]&lt;&gt;"")*(PptoSty[Division]&lt;&gt;"X")*(PptoSty[Project]=$B252)*(PptoSty[Vrs]=$D252)*(PptoSty[PiRow]=_xlfn.TEXTAFTER($H252,":"))*(PptoSty[PiColumn]=Q$54),0)),SUM(IF((INDIRECT($B$3)=$B252)*(INDIRECT($C$3)=$D252)*((INDIRECT($E$3)="TOTS")+(INDIRECT($E$3)=$E252)),INDIRECT(Q$3)))),_xlpm.y,SUM(_xlfn.CHOOSECOLS(_xlfn._xlws.FILTER(F_RT14[],(F_RT14[PrjId]=$B252)*(F_RT14[Vrs]=$D252)*(_xlfn.TEXTAFTER(F_RT14[ActGrp],":")=_xlfn.TEXTAFTER($H252,":")),"X"),MATCH("*"&amp;Q$54,F_RT14[#Headers],0))),IF(AND(_xlpm.x=0,_xlpm.y&lt;&gt;0),-1,IF(AND(_xlpm.x&lt;&gt;0,_xlpm.y&lt;&gt;0),_xlpm.x,IF(AND(_xlpm.x-SUM(IF((INDIRECT($B$3)=$B252)*(INDIRECT($C$3)=$D252)*((INDIRECT($E$3)="TOTS")+(INDIRECT($E$3)=$E252)),INDIRECT(Q$3)))&lt;&gt;0,_xlpm.y=0),-2,_xlpm.x)))),0))</f>
        <v>0</v>
      </c>
      <c r="R252" s="199" cm="1">
        <f t="array" aca="1" ref="R252" ca="1">IF(OR($B252="",$B252="X",$D252="",$D252="X",$E252="",$E252="X"),0,IFERROR(_xlfn.LET(_xlpm.x,SUM(SUM(_xlfn._xlws.FILTER(VALUE(PptoSty[Sign]&amp;1)*(1/PptoSty[Division]),(PptoSty[Division]&lt;&gt;0)*(PptoSty[Division]&lt;&gt;"")*(PptoSty[Division]&lt;&gt;"X")*(PptoSty[Project]=$B252)*(PptoSty[Vrs]=$D252)*(PptoSty[PiRow]=_xlfn.TEXTAFTER($H252,":"))*(PptoSty[PiColumn]=R$54),0)),SUM(IF((INDIRECT($B$3)=$B252)*(INDIRECT($C$3)=$D252)*((INDIRECT($E$3)="TOTS")+(INDIRECT($E$3)=$E252)),INDIRECT(R$3)))),_xlpm.y,SUM(_xlfn.CHOOSECOLS(_xlfn._xlws.FILTER(F_RT14[],(F_RT14[PrjId]=$B252)*(F_RT14[Vrs]=$D252)*(_xlfn.TEXTAFTER(F_RT14[ActGrp],":")=_xlfn.TEXTAFTER($H252,":")),"X"),MATCH("*"&amp;R$54,F_RT14[#Headers],0))),IF(AND(_xlpm.x=0,_xlpm.y&lt;&gt;0),-1,IF(AND(_xlpm.x&lt;&gt;0,_xlpm.y&lt;&gt;0),_xlpm.x,IF(AND(_xlpm.x-SUM(IF((INDIRECT($B$3)=$B252)*(INDIRECT($C$3)=$D252)*((INDIRECT($E$3)="TOTS")+(INDIRECT($E$3)=$E252)),INDIRECT(R$3)))&lt;&gt;0,_xlpm.y=0),-2,_xlpm.x)))),0))</f>
        <v>0</v>
      </c>
      <c r="S252" s="199" cm="1">
        <f t="array" aca="1" ref="S252" ca="1">IF(OR($B252="",$B252="X",$D252="",$D252="X",$E252="",$E252="X"),0,IFERROR(_xlfn.LET(_xlpm.x,SUM(SUM(_xlfn._xlws.FILTER(VALUE(PptoSty[Sign]&amp;1)*(1/PptoSty[Division]),(PptoSty[Division]&lt;&gt;0)*(PptoSty[Division]&lt;&gt;"")*(PptoSty[Division]&lt;&gt;"X")*(PptoSty[Project]=$B252)*(PptoSty[Vrs]=$D252)*(PptoSty[PiRow]=_xlfn.TEXTAFTER($H252,":"))*(PptoSty[PiColumn]=S$54),0)),SUM(IF((INDIRECT($B$3)=$B252)*(INDIRECT($C$3)=$D252)*((INDIRECT($E$3)="TOTS")+(INDIRECT($E$3)=$E252)),INDIRECT(S$3)))),_xlpm.y,SUM(_xlfn.CHOOSECOLS(_xlfn._xlws.FILTER(F_RT14[],(F_RT14[PrjId]=$B252)*(F_RT14[Vrs]=$D252)*(_xlfn.TEXTAFTER(F_RT14[ActGrp],":")=_xlfn.TEXTAFTER($H252,":")),"X"),MATCH("*"&amp;S$54,F_RT14[#Headers],0))),IF(AND(_xlpm.x=0,_xlpm.y&lt;&gt;0),-1,IF(AND(_xlpm.x&lt;&gt;0,_xlpm.y&lt;&gt;0),_xlpm.x,IF(AND(_xlpm.x-SUM(IF((INDIRECT($B$3)=$B252)*(INDIRECT($C$3)=$D252)*((INDIRECT($E$3)="TOTS")+(INDIRECT($E$3)=$E252)),INDIRECT(S$3)))&lt;&gt;0,_xlpm.y=0),-2,_xlpm.x)))),0))</f>
        <v>0</v>
      </c>
      <c r="T252" s="199" cm="1">
        <f t="array" aca="1" ref="T252" ca="1">IF(OR($B252="",$B252="X",$D252="",$D252="X",$E252="",$E252="X"),0,IFERROR(_xlfn.LET(_xlpm.x,SUM(SUM(_xlfn._xlws.FILTER(VALUE(PptoSty[Sign]&amp;1)*(1/PptoSty[Division]),(PptoSty[Division]&lt;&gt;0)*(PptoSty[Division]&lt;&gt;"")*(PptoSty[Division]&lt;&gt;"X")*(PptoSty[Project]=$B252)*(PptoSty[Vrs]=$D252)*(PptoSty[PiRow]=_xlfn.TEXTAFTER($H252,":"))*(PptoSty[PiColumn]=T$54),0)),SUM(IF((INDIRECT($B$3)=$B252)*(INDIRECT($C$3)=$D252)*((INDIRECT($E$3)="TOTS")+(INDIRECT($E$3)=$E252)),INDIRECT(T$3)))),_xlpm.y,SUM(_xlfn.CHOOSECOLS(_xlfn._xlws.FILTER(F_RT14[],(F_RT14[PrjId]=$B252)*(F_RT14[Vrs]=$D252)*(_xlfn.TEXTAFTER(F_RT14[ActGrp],":")=_xlfn.TEXTAFTER($H252,":")),"X"),MATCH("*"&amp;T$54,F_RT14[#Headers],0))),IF(AND(_xlpm.x=0,_xlpm.y&lt;&gt;0),-1,IF(AND(_xlpm.x&lt;&gt;0,_xlpm.y&lt;&gt;0),_xlpm.x,IF(AND(_xlpm.x-SUM(IF((INDIRECT($B$3)=$B252)*(INDIRECT($C$3)=$D252)*((INDIRECT($E$3)="TOTS")+(INDIRECT($E$3)=$E252)),INDIRECT(T$3)))&lt;&gt;0,_xlpm.y=0),-2,_xlpm.x)))),0))</f>
        <v>0</v>
      </c>
      <c r="U252" s="199" cm="1">
        <f t="array" aca="1" ref="U252" ca="1">IF(OR($B252="",$B252="X",$D252="",$D252="X",$E252="",$E252="X"),0,IFERROR(_xlfn.LET(_xlpm.x,SUM(SUM(_xlfn._xlws.FILTER(VALUE(PptoSty[Sign]&amp;1)*(1/PptoSty[Division]),(PptoSty[Division]&lt;&gt;0)*(PptoSty[Division]&lt;&gt;"")*(PptoSty[Division]&lt;&gt;"X")*(PptoSty[Project]=$B252)*(PptoSty[Vrs]=$D252)*(PptoSty[PiRow]=_xlfn.TEXTAFTER($H252,":"))*(PptoSty[PiColumn]=U$54),0)),SUM(IF((INDIRECT($B$3)=$B252)*(INDIRECT($C$3)=$D252)*((INDIRECT($E$3)="TOTS")+(INDIRECT($E$3)=$E252)),INDIRECT(U$3)))),_xlpm.y,SUM(_xlfn.CHOOSECOLS(_xlfn._xlws.FILTER(F_RT14[],(F_RT14[PrjId]=$B252)*(F_RT14[Vrs]=$D252)*(_xlfn.TEXTAFTER(F_RT14[ActGrp],":")=_xlfn.TEXTAFTER($H252,":")),"X"),MATCH("*"&amp;U$54,F_RT14[#Headers],0))),IF(AND(_xlpm.x=0,_xlpm.y&lt;&gt;0),-1,IF(AND(_xlpm.x&lt;&gt;0,_xlpm.y&lt;&gt;0),_xlpm.x,IF(AND(_xlpm.x-SUM(IF((INDIRECT($B$3)=$B252)*(INDIRECT($C$3)=$D252)*((INDIRECT($E$3)="TOTS")+(INDIRECT($E$3)=$E252)),INDIRECT(U$3)))&lt;&gt;0,_xlpm.y=0),-2,_xlpm.x)))),0))</f>
        <v>0</v>
      </c>
      <c r="V252" s="199" cm="1">
        <f t="array" aca="1" ref="V252" ca="1">IF(OR($B252="",$B252="X",$D252="",$D252="X",$E252="",$E252="X"),0,IFERROR(_xlfn.LET(_xlpm.x,SUM(SUM(_xlfn._xlws.FILTER(VALUE(PptoSty[Sign]&amp;1)*(1/PptoSty[Division]),(PptoSty[Division]&lt;&gt;0)*(PptoSty[Division]&lt;&gt;"")*(PptoSty[Division]&lt;&gt;"X")*(PptoSty[Project]=$B252)*(PptoSty[Vrs]=$D252)*(PptoSty[PiRow]=_xlfn.TEXTAFTER($H252,":"))*(PptoSty[PiColumn]=V$54),0)),SUM(IF((INDIRECT($B$3)=$B252)*(INDIRECT($C$3)=$D252)*((INDIRECT($E$3)="TOTS")+(INDIRECT($E$3)=$E252)),INDIRECT(V$3)))),_xlpm.y,SUM(_xlfn.CHOOSECOLS(_xlfn._xlws.FILTER(F_RT14[],(F_RT14[PrjId]=$B252)*(F_RT14[Vrs]=$D252)*(_xlfn.TEXTAFTER(F_RT14[ActGrp],":")=_xlfn.TEXTAFTER($H252,":")),"X"),MATCH("*"&amp;V$54,F_RT14[#Headers],0))),IF(AND(_xlpm.x=0,_xlpm.y&lt;&gt;0),-1,IF(AND(_xlpm.x&lt;&gt;0,_xlpm.y&lt;&gt;0),_xlpm.x,IF(AND(_xlpm.x-SUM(IF((INDIRECT($B$3)=$B252)*(INDIRECT($C$3)=$D252)*((INDIRECT($E$3)="TOTS")+(INDIRECT($E$3)=$E252)),INDIRECT(V$3)))&lt;&gt;0,_xlpm.y=0),-2,_xlpm.x)))),0))</f>
        <v>0</v>
      </c>
      <c r="W252" s="199" cm="1">
        <f t="array" aca="1" ref="W252" ca="1">IF(OR($B252="",$B252="X",$D252="",$D252="X",$E252="",$E252="X"),0,IFERROR(_xlfn.LET(_xlpm.x,SUM(SUM(_xlfn._xlws.FILTER(VALUE(PptoSty[Sign]&amp;1)*(1/PptoSty[Division]),(PptoSty[Division]&lt;&gt;0)*(PptoSty[Division]&lt;&gt;"")*(PptoSty[Division]&lt;&gt;"X")*(PptoSty[Project]=$B252)*(PptoSty[Vrs]=$D252)*(PptoSty[PiRow]=_xlfn.TEXTAFTER($H252,":"))*(PptoSty[PiColumn]=W$54),0)),SUM(IF((INDIRECT($B$3)=$B252)*(INDIRECT($C$3)=$D252)*((INDIRECT($E$3)="TOTS")+(INDIRECT($E$3)=$E252)),INDIRECT(W$3)))),_xlpm.y,SUM(_xlfn.CHOOSECOLS(_xlfn._xlws.FILTER(F_RT14[],(F_RT14[PrjId]=$B252)*(F_RT14[Vrs]=$D252)*(_xlfn.TEXTAFTER(F_RT14[ActGrp],":")=_xlfn.TEXTAFTER($H252,":")),"X"),MATCH("*"&amp;W$54,F_RT14[#Headers],0))),IF(AND(_xlpm.x=0,_xlpm.y&lt;&gt;0),-1,IF(AND(_xlpm.x&lt;&gt;0,_xlpm.y&lt;&gt;0),_xlpm.x,IF(AND(_xlpm.x-SUM(IF((INDIRECT($B$3)=$B252)*(INDIRECT($C$3)=$D252)*((INDIRECT($E$3)="TOTS")+(INDIRECT($E$3)=$E252)),INDIRECT(W$3)))&lt;&gt;0,_xlpm.y=0),-2,_xlpm.x)))),0))</f>
        <v>0</v>
      </c>
      <c r="X252" s="199" cm="1">
        <f t="array" aca="1" ref="X252" ca="1">IF(OR($B252="",$B252="X",$D252="",$D252="X",$E252="",$E252="X"),0,IFERROR(_xlfn.LET(_xlpm.x,SUM(SUM(_xlfn._xlws.FILTER(VALUE(PptoSty[Sign]&amp;1)*(1/PptoSty[Division]),(PptoSty[Division]&lt;&gt;0)*(PptoSty[Division]&lt;&gt;"")*(PptoSty[Division]&lt;&gt;"X")*(PptoSty[Project]=$B252)*(PptoSty[Vrs]=$D252)*(PptoSty[PiRow]=_xlfn.TEXTAFTER($H252,":"))*(PptoSty[PiColumn]=X$54),0)),SUM(IF((INDIRECT($B$3)=$B252)*(INDIRECT($C$3)=$D252)*((INDIRECT($E$3)="TOTS")+(INDIRECT($E$3)=$E252)),INDIRECT(X$3)))),_xlpm.y,SUM(_xlfn.CHOOSECOLS(_xlfn._xlws.FILTER(F_RT14[],(F_RT14[PrjId]=$B252)*(F_RT14[Vrs]=$D252)*(_xlfn.TEXTAFTER(F_RT14[ActGrp],":")=_xlfn.TEXTAFTER($H252,":")),"X"),MATCH("*"&amp;X$54,F_RT14[#Headers],0))),IF(AND(_xlpm.x=0,_xlpm.y&lt;&gt;0),-1,IF(AND(_xlpm.x&lt;&gt;0,_xlpm.y&lt;&gt;0),_xlpm.x,IF(AND(_xlpm.x-SUM(IF((INDIRECT($B$3)=$B252)*(INDIRECT($C$3)=$D252)*((INDIRECT($E$3)="TOTS")+(INDIRECT($E$3)=$E252)),INDIRECT(X$3)))&lt;&gt;0,_xlpm.y=0),-2,_xlpm.x)))),0))</f>
        <v>0</v>
      </c>
      <c r="Y252" s="199" cm="1">
        <f t="array" aca="1" ref="Y252" ca="1">IF(OR($B252="",$B252="X",$D252="",$D252="X",$E252="",$E252="X"),0,IFERROR(_xlfn.LET(_xlpm.x,SUM(SUM(_xlfn._xlws.FILTER(VALUE(PptoSty[Sign]&amp;1)*(1/PptoSty[Division]),(PptoSty[Division]&lt;&gt;0)*(PptoSty[Division]&lt;&gt;"")*(PptoSty[Division]&lt;&gt;"X")*(PptoSty[Project]=$B252)*(PptoSty[Vrs]=$D252)*(PptoSty[PiRow]=_xlfn.TEXTAFTER($H252,":"))*(PptoSty[PiColumn]=Y$54),0)),SUM(IF((INDIRECT($B$3)=$B252)*(INDIRECT($C$3)=$D252)*((INDIRECT($E$3)="TOTS")+(INDIRECT($E$3)=$E252)),INDIRECT(Y$3)))),_xlpm.y,SUM(_xlfn.CHOOSECOLS(_xlfn._xlws.FILTER(F_RT14[],(F_RT14[PrjId]=$B252)*(F_RT14[Vrs]=$D252)*(_xlfn.TEXTAFTER(F_RT14[ActGrp],":")=_xlfn.TEXTAFTER($H252,":")),"X"),MATCH("*"&amp;Y$54,F_RT14[#Headers],0))),IF(AND(_xlpm.x=0,_xlpm.y&lt;&gt;0),-1,IF(AND(_xlpm.x&lt;&gt;0,_xlpm.y&lt;&gt;0),_xlpm.x,IF(AND(_xlpm.x-SUM(IF((INDIRECT($B$3)=$B252)*(INDIRECT($C$3)=$D252)*((INDIRECT($E$3)="TOTS")+(INDIRECT($E$3)=$E252)),INDIRECT(Y$3)))&lt;&gt;0,_xlpm.y=0),-2,_xlpm.x)))),0))</f>
        <v>0</v>
      </c>
      <c r="Z252" s="198" t="str">
        <f t="shared" ca="1" si="5"/>
        <v>Fback!B252:Y252</v>
      </c>
      <c r="AA252" s="38"/>
    </row>
    <row r="253" spans="1:27" ht="21" customHeight="1" outlineLevel="1">
      <c r="B253" s="128"/>
      <c r="C253" s="128"/>
      <c r="D253" s="128"/>
      <c r="E253" s="128"/>
      <c r="F253" s="139"/>
      <c r="G253" s="139"/>
      <c r="H253" s="139"/>
      <c r="I253" s="199" cm="1">
        <f t="array" aca="1" ref="I253" ca="1">IF(OR($B253="",$B253="X",$D253="",$D253="X",$E253="",$E253="X"),0,IFERROR(_xlfn.LET(_xlpm.x,SUM(SUM(_xlfn._xlws.FILTER(VALUE(PptoSty[Sign]&amp;1)*(1/PptoSty[Division]),(PptoSty[Division]&lt;&gt;0)*(PptoSty[Division]&lt;&gt;"")*(PptoSty[Division]&lt;&gt;"X")*(PptoSty[Project]=$B253)*(PptoSty[Vrs]=$D253)*(PptoSty[PiRow]=_xlfn.TEXTAFTER($H253,":"))*(PptoSty[PiColumn]=I$54),0)),SUM(IF((INDIRECT($B$3)=$B253)*(INDIRECT($C$3)=$D253)*((INDIRECT($E$3)="TOTS")+(INDIRECT($E$3)=$E253)),INDIRECT(I$3)))),_xlpm.y,SUM(_xlfn.CHOOSECOLS(_xlfn._xlws.FILTER(F_RT14[],(F_RT14[PrjId]=$B253)*(F_RT14[Vrs]=$D253)*(_xlfn.TEXTAFTER(F_RT14[ActGrp],":")=_xlfn.TEXTAFTER($H253,":")),"X"),MATCH("*"&amp;I$54,F_RT14[#Headers],0))),IF(AND(_xlpm.x=0,_xlpm.y&lt;&gt;0),-1,IF(AND(_xlpm.x&lt;&gt;0,_xlpm.y&lt;&gt;0),_xlpm.x,IF(AND(_xlpm.x-SUM(IF((INDIRECT($B$3)=$B253)*(INDIRECT($C$3)=$D253)*((INDIRECT($E$3)="TOTS")+(INDIRECT($E$3)=$E253)),INDIRECT(I$3)))&lt;&gt;0,_xlpm.y=0),-2,_xlpm.x)))),0))</f>
        <v>0</v>
      </c>
      <c r="J253" s="199" cm="1">
        <f t="array" aca="1" ref="J253" ca="1">IF(OR($B253="",$B253="X",$D253="",$D253="X",$E253="",$E253="X"),0,IFERROR(_xlfn.LET(_xlpm.x,SUM(SUM(_xlfn._xlws.FILTER(VALUE(PptoSty[Sign]&amp;1)*(1/PptoSty[Division]),(PptoSty[Division]&lt;&gt;0)*(PptoSty[Division]&lt;&gt;"")*(PptoSty[Division]&lt;&gt;"X")*(PptoSty[Project]=$B253)*(PptoSty[Vrs]=$D253)*(PptoSty[PiRow]=_xlfn.TEXTAFTER($H253,":"))*(PptoSty[PiColumn]=J$54),0)),SUM(IF((INDIRECT($B$3)=$B253)*(INDIRECT($C$3)=$D253)*((INDIRECT($E$3)="TOTS")+(INDIRECT($E$3)=$E253)),INDIRECT(J$3)))),_xlpm.y,SUM(_xlfn.CHOOSECOLS(_xlfn._xlws.FILTER(F_RT14[],(F_RT14[PrjId]=$B253)*(F_RT14[Vrs]=$D253)*(_xlfn.TEXTAFTER(F_RT14[ActGrp],":")=_xlfn.TEXTAFTER($H253,":")),"X"),MATCH("*"&amp;J$54,F_RT14[#Headers],0))),IF(AND(_xlpm.x=0,_xlpm.y&lt;&gt;0),-1,IF(AND(_xlpm.x&lt;&gt;0,_xlpm.y&lt;&gt;0),_xlpm.x,IF(AND(_xlpm.x-SUM(IF((INDIRECT($B$3)=$B253)*(INDIRECT($C$3)=$D253)*((INDIRECT($E$3)="TOTS")+(INDIRECT($E$3)=$E253)),INDIRECT(J$3)))&lt;&gt;0,_xlpm.y=0),-2,_xlpm.x)))),0))</f>
        <v>0</v>
      </c>
      <c r="K253" s="199" cm="1">
        <f t="array" aca="1" ref="K253" ca="1">IF(OR($B253="",$B253="X",$D253="",$D253="X",$E253="",$E253="X"),0,IFERROR(_xlfn.LET(_xlpm.x,SUM(SUM(_xlfn._xlws.FILTER(VALUE(PptoSty[Sign]&amp;1)*(1/PptoSty[Division]),(PptoSty[Division]&lt;&gt;0)*(PptoSty[Division]&lt;&gt;"")*(PptoSty[Division]&lt;&gt;"X")*(PptoSty[Project]=$B253)*(PptoSty[Vrs]=$D253)*(PptoSty[PiRow]=_xlfn.TEXTAFTER($H253,":"))*(PptoSty[PiColumn]=K$54),0)),SUM(IF((INDIRECT($B$3)=$B253)*(INDIRECT($C$3)=$D253)*((INDIRECT($E$3)="TOTS")+(INDIRECT($E$3)=$E253)),INDIRECT(K$3)))),_xlpm.y,SUM(_xlfn.CHOOSECOLS(_xlfn._xlws.FILTER(F_RT14[],(F_RT14[PrjId]=$B253)*(F_RT14[Vrs]=$D253)*(_xlfn.TEXTAFTER(F_RT14[ActGrp],":")=_xlfn.TEXTAFTER($H253,":")),"X"),MATCH("*"&amp;K$54,F_RT14[#Headers],0))),IF(AND(_xlpm.x=0,_xlpm.y&lt;&gt;0),-1,IF(AND(_xlpm.x&lt;&gt;0,_xlpm.y&lt;&gt;0),_xlpm.x,IF(AND(_xlpm.x-SUM(IF((INDIRECT($B$3)=$B253)*(INDIRECT($C$3)=$D253)*((INDIRECT($E$3)="TOTS")+(INDIRECT($E$3)=$E253)),INDIRECT(K$3)))&lt;&gt;0,_xlpm.y=0),-2,_xlpm.x)))),0))</f>
        <v>0</v>
      </c>
      <c r="L253" s="199" cm="1">
        <f t="array" aca="1" ref="L253" ca="1">IF(OR($B253="",$B253="X",$D253="",$D253="X",$E253="",$E253="X"),0,IFERROR(_xlfn.LET(_xlpm.x,SUM(SUM(_xlfn._xlws.FILTER(VALUE(PptoSty[Sign]&amp;1)*(1/PptoSty[Division]),(PptoSty[Division]&lt;&gt;0)*(PptoSty[Division]&lt;&gt;"")*(PptoSty[Division]&lt;&gt;"X")*(PptoSty[Project]=$B253)*(PptoSty[Vrs]=$D253)*(PptoSty[PiRow]=_xlfn.TEXTAFTER($H253,":"))*(PptoSty[PiColumn]=L$54),0)),SUM(IF((INDIRECT($B$3)=$B253)*(INDIRECT($C$3)=$D253)*((INDIRECT($E$3)="TOTS")+(INDIRECT($E$3)=$E253)),INDIRECT(L$3)))),_xlpm.y,SUM(_xlfn.CHOOSECOLS(_xlfn._xlws.FILTER(F_RT14[],(F_RT14[PrjId]=$B253)*(F_RT14[Vrs]=$D253)*(_xlfn.TEXTAFTER(F_RT14[ActGrp],":")=_xlfn.TEXTAFTER($H253,":")),"X"),MATCH("*"&amp;L$54,F_RT14[#Headers],0))),IF(AND(_xlpm.x=0,_xlpm.y&lt;&gt;0),-1,IF(AND(_xlpm.x&lt;&gt;0,_xlpm.y&lt;&gt;0),_xlpm.x,IF(AND(_xlpm.x-SUM(IF((INDIRECT($B$3)=$B253)*(INDIRECT($C$3)=$D253)*((INDIRECT($E$3)="TOTS")+(INDIRECT($E$3)=$E253)),INDIRECT(L$3)))&lt;&gt;0,_xlpm.y=0),-2,_xlpm.x)))),0))</f>
        <v>0</v>
      </c>
      <c r="M253" s="199" cm="1">
        <f t="array" aca="1" ref="M253" ca="1">IF(OR($B253="",$B253="X",$D253="",$D253="X",$E253="",$E253="X"),0,IFERROR(_xlfn.LET(_xlpm.x,SUM(SUM(_xlfn._xlws.FILTER(VALUE(PptoSty[Sign]&amp;1)*(1/PptoSty[Division]),(PptoSty[Division]&lt;&gt;0)*(PptoSty[Division]&lt;&gt;"")*(PptoSty[Division]&lt;&gt;"X")*(PptoSty[Project]=$B253)*(PptoSty[Vrs]=$D253)*(PptoSty[PiRow]=_xlfn.TEXTAFTER($H253,":"))*(PptoSty[PiColumn]=M$54),0)),SUM(IF((INDIRECT($B$3)=$B253)*(INDIRECT($C$3)=$D253)*((INDIRECT($E$3)="TOTS")+(INDIRECT($E$3)=$E253)),INDIRECT(M$3)))),_xlpm.y,SUM(_xlfn.CHOOSECOLS(_xlfn._xlws.FILTER(F_RT14[],(F_RT14[PrjId]=$B253)*(F_RT14[Vrs]=$D253)*(_xlfn.TEXTAFTER(F_RT14[ActGrp],":")=_xlfn.TEXTAFTER($H253,":")),"X"),MATCH("*"&amp;M$54,F_RT14[#Headers],0))),IF(AND(_xlpm.x=0,_xlpm.y&lt;&gt;0),-1,IF(AND(_xlpm.x&lt;&gt;0,_xlpm.y&lt;&gt;0),_xlpm.x,IF(AND(_xlpm.x-SUM(IF((INDIRECT($B$3)=$B253)*(INDIRECT($C$3)=$D253)*((INDIRECT($E$3)="TOTS")+(INDIRECT($E$3)=$E253)),INDIRECT(M$3)))&lt;&gt;0,_xlpm.y=0),-2,_xlpm.x)))),0))</f>
        <v>0</v>
      </c>
      <c r="N253" s="199" cm="1">
        <f t="array" aca="1" ref="N253" ca="1">IF(OR($B253="",$B253="X",$D253="",$D253="X",$E253="",$E253="X"),0,IFERROR(_xlfn.LET(_xlpm.x,SUM(SUM(_xlfn._xlws.FILTER(VALUE(PptoSty[Sign]&amp;1)*(1/PptoSty[Division]),(PptoSty[Division]&lt;&gt;0)*(PptoSty[Division]&lt;&gt;"")*(PptoSty[Division]&lt;&gt;"X")*(PptoSty[Project]=$B253)*(PptoSty[Vrs]=$D253)*(PptoSty[PiRow]=_xlfn.TEXTAFTER($H253,":"))*(PptoSty[PiColumn]=N$54),0)),SUM(IF((INDIRECT($B$3)=$B253)*(INDIRECT($C$3)=$D253)*((INDIRECT($E$3)="TOTS")+(INDIRECT($E$3)=$E253)),INDIRECT(N$3)))),_xlpm.y,SUM(_xlfn.CHOOSECOLS(_xlfn._xlws.FILTER(F_RT14[],(F_RT14[PrjId]=$B253)*(F_RT14[Vrs]=$D253)*(_xlfn.TEXTAFTER(F_RT14[ActGrp],":")=_xlfn.TEXTAFTER($H253,":")),"X"),MATCH("*"&amp;N$54,F_RT14[#Headers],0))),IF(AND(_xlpm.x=0,_xlpm.y&lt;&gt;0),-1,IF(AND(_xlpm.x&lt;&gt;0,_xlpm.y&lt;&gt;0),_xlpm.x,IF(AND(_xlpm.x-SUM(IF((INDIRECT($B$3)=$B253)*(INDIRECT($C$3)=$D253)*((INDIRECT($E$3)="TOTS")+(INDIRECT($E$3)=$E253)),INDIRECT(N$3)))&lt;&gt;0,_xlpm.y=0),-2,_xlpm.x)))),0))</f>
        <v>0</v>
      </c>
      <c r="O253" s="199" cm="1">
        <f t="array" aca="1" ref="O253" ca="1">IF(OR($B253="",$B253="X",$D253="",$D253="X",$E253="",$E253="X"),0,IFERROR(_xlfn.LET(_xlpm.x,SUM(SUM(_xlfn._xlws.FILTER(VALUE(PptoSty[Sign]&amp;1)*(1/PptoSty[Division]),(PptoSty[Division]&lt;&gt;0)*(PptoSty[Division]&lt;&gt;"")*(PptoSty[Division]&lt;&gt;"X")*(PptoSty[Project]=$B253)*(PptoSty[Vrs]=$D253)*(PptoSty[PiRow]=_xlfn.TEXTAFTER($H253,":"))*(PptoSty[PiColumn]=O$54),0)),SUM(IF((INDIRECT($B$3)=$B253)*(INDIRECT($C$3)=$D253)*((INDIRECT($E$3)="TOTS")+(INDIRECT($E$3)=$E253)),INDIRECT(O$3)))),_xlpm.y,SUM(_xlfn.CHOOSECOLS(_xlfn._xlws.FILTER(F_RT14[],(F_RT14[PrjId]=$B253)*(F_RT14[Vrs]=$D253)*(_xlfn.TEXTAFTER(F_RT14[ActGrp],":")=_xlfn.TEXTAFTER($H253,":")),"X"),MATCH("*"&amp;O$54,F_RT14[#Headers],0))),IF(AND(_xlpm.x=0,_xlpm.y&lt;&gt;0),-1,IF(AND(_xlpm.x&lt;&gt;0,_xlpm.y&lt;&gt;0),_xlpm.x,IF(AND(_xlpm.x-SUM(IF((INDIRECT($B$3)=$B253)*(INDIRECT($C$3)=$D253)*((INDIRECT($E$3)="TOTS")+(INDIRECT($E$3)=$E253)),INDIRECT(O$3)))&lt;&gt;0,_xlpm.y=0),-2,_xlpm.x)))),0))</f>
        <v>0</v>
      </c>
      <c r="P253" s="199" cm="1">
        <f t="array" aca="1" ref="P253" ca="1">IF(OR($B253="",$B253="X",$D253="",$D253="X",$E253="",$E253="X"),0,IFERROR(_xlfn.LET(_xlpm.x,SUM(SUM(_xlfn._xlws.FILTER(VALUE(PptoSty[Sign]&amp;1)*(1/PptoSty[Division]),(PptoSty[Division]&lt;&gt;0)*(PptoSty[Division]&lt;&gt;"")*(PptoSty[Division]&lt;&gt;"X")*(PptoSty[Project]=$B253)*(PptoSty[Vrs]=$D253)*(PptoSty[PiRow]=_xlfn.TEXTAFTER($H253,":"))*(PptoSty[PiColumn]=P$54),0)),SUM(IF((INDIRECT($B$3)=$B253)*(INDIRECT($C$3)=$D253)*((INDIRECT($E$3)="TOTS")+(INDIRECT($E$3)=$E253)),INDIRECT(P$3)))),_xlpm.y,SUM(_xlfn.CHOOSECOLS(_xlfn._xlws.FILTER(F_RT14[],(F_RT14[PrjId]=$B253)*(F_RT14[Vrs]=$D253)*(_xlfn.TEXTAFTER(F_RT14[ActGrp],":")=_xlfn.TEXTAFTER($H253,":")),"X"),MATCH("*"&amp;P$54,F_RT14[#Headers],0))),IF(AND(_xlpm.x=0,_xlpm.y&lt;&gt;0),-1,IF(AND(_xlpm.x&lt;&gt;0,_xlpm.y&lt;&gt;0),_xlpm.x,IF(AND(_xlpm.x-SUM(IF((INDIRECT($B$3)=$B253)*(INDIRECT($C$3)=$D253)*((INDIRECT($E$3)="TOTS")+(INDIRECT($E$3)=$E253)),INDIRECT(P$3)))&lt;&gt;0,_xlpm.y=0),-2,_xlpm.x)))),0))</f>
        <v>0</v>
      </c>
      <c r="Q253" s="199" cm="1">
        <f t="array" aca="1" ref="Q253" ca="1">IF(OR($B253="",$B253="X",$D253="",$D253="X",$E253="",$E253="X"),0,IFERROR(_xlfn.LET(_xlpm.x,SUM(SUM(_xlfn._xlws.FILTER(VALUE(PptoSty[Sign]&amp;1)*(1/PptoSty[Division]),(PptoSty[Division]&lt;&gt;0)*(PptoSty[Division]&lt;&gt;"")*(PptoSty[Division]&lt;&gt;"X")*(PptoSty[Project]=$B253)*(PptoSty[Vrs]=$D253)*(PptoSty[PiRow]=_xlfn.TEXTAFTER($H253,":"))*(PptoSty[PiColumn]=Q$54),0)),SUM(IF((INDIRECT($B$3)=$B253)*(INDIRECT($C$3)=$D253)*((INDIRECT($E$3)="TOTS")+(INDIRECT($E$3)=$E253)),INDIRECT(Q$3)))),_xlpm.y,SUM(_xlfn.CHOOSECOLS(_xlfn._xlws.FILTER(F_RT14[],(F_RT14[PrjId]=$B253)*(F_RT14[Vrs]=$D253)*(_xlfn.TEXTAFTER(F_RT14[ActGrp],":")=_xlfn.TEXTAFTER($H253,":")),"X"),MATCH("*"&amp;Q$54,F_RT14[#Headers],0))),IF(AND(_xlpm.x=0,_xlpm.y&lt;&gt;0),-1,IF(AND(_xlpm.x&lt;&gt;0,_xlpm.y&lt;&gt;0),_xlpm.x,IF(AND(_xlpm.x-SUM(IF((INDIRECT($B$3)=$B253)*(INDIRECT($C$3)=$D253)*((INDIRECT($E$3)="TOTS")+(INDIRECT($E$3)=$E253)),INDIRECT(Q$3)))&lt;&gt;0,_xlpm.y=0),-2,_xlpm.x)))),0))</f>
        <v>0</v>
      </c>
      <c r="R253" s="199" cm="1">
        <f t="array" aca="1" ref="R253" ca="1">IF(OR($B253="",$B253="X",$D253="",$D253="X",$E253="",$E253="X"),0,IFERROR(_xlfn.LET(_xlpm.x,SUM(SUM(_xlfn._xlws.FILTER(VALUE(PptoSty[Sign]&amp;1)*(1/PptoSty[Division]),(PptoSty[Division]&lt;&gt;0)*(PptoSty[Division]&lt;&gt;"")*(PptoSty[Division]&lt;&gt;"X")*(PptoSty[Project]=$B253)*(PptoSty[Vrs]=$D253)*(PptoSty[PiRow]=_xlfn.TEXTAFTER($H253,":"))*(PptoSty[PiColumn]=R$54),0)),SUM(IF((INDIRECT($B$3)=$B253)*(INDIRECT($C$3)=$D253)*((INDIRECT($E$3)="TOTS")+(INDIRECT($E$3)=$E253)),INDIRECT(R$3)))),_xlpm.y,SUM(_xlfn.CHOOSECOLS(_xlfn._xlws.FILTER(F_RT14[],(F_RT14[PrjId]=$B253)*(F_RT14[Vrs]=$D253)*(_xlfn.TEXTAFTER(F_RT14[ActGrp],":")=_xlfn.TEXTAFTER($H253,":")),"X"),MATCH("*"&amp;R$54,F_RT14[#Headers],0))),IF(AND(_xlpm.x=0,_xlpm.y&lt;&gt;0),-1,IF(AND(_xlpm.x&lt;&gt;0,_xlpm.y&lt;&gt;0),_xlpm.x,IF(AND(_xlpm.x-SUM(IF((INDIRECT($B$3)=$B253)*(INDIRECT($C$3)=$D253)*((INDIRECT($E$3)="TOTS")+(INDIRECT($E$3)=$E253)),INDIRECT(R$3)))&lt;&gt;0,_xlpm.y=0),-2,_xlpm.x)))),0))</f>
        <v>0</v>
      </c>
      <c r="S253" s="199" cm="1">
        <f t="array" aca="1" ref="S253" ca="1">IF(OR($B253="",$B253="X",$D253="",$D253="X",$E253="",$E253="X"),0,IFERROR(_xlfn.LET(_xlpm.x,SUM(SUM(_xlfn._xlws.FILTER(VALUE(PptoSty[Sign]&amp;1)*(1/PptoSty[Division]),(PptoSty[Division]&lt;&gt;0)*(PptoSty[Division]&lt;&gt;"")*(PptoSty[Division]&lt;&gt;"X")*(PptoSty[Project]=$B253)*(PptoSty[Vrs]=$D253)*(PptoSty[PiRow]=_xlfn.TEXTAFTER($H253,":"))*(PptoSty[PiColumn]=S$54),0)),SUM(IF((INDIRECT($B$3)=$B253)*(INDIRECT($C$3)=$D253)*((INDIRECT($E$3)="TOTS")+(INDIRECT($E$3)=$E253)),INDIRECT(S$3)))),_xlpm.y,SUM(_xlfn.CHOOSECOLS(_xlfn._xlws.FILTER(F_RT14[],(F_RT14[PrjId]=$B253)*(F_RT14[Vrs]=$D253)*(_xlfn.TEXTAFTER(F_RT14[ActGrp],":")=_xlfn.TEXTAFTER($H253,":")),"X"),MATCH("*"&amp;S$54,F_RT14[#Headers],0))),IF(AND(_xlpm.x=0,_xlpm.y&lt;&gt;0),-1,IF(AND(_xlpm.x&lt;&gt;0,_xlpm.y&lt;&gt;0),_xlpm.x,IF(AND(_xlpm.x-SUM(IF((INDIRECT($B$3)=$B253)*(INDIRECT($C$3)=$D253)*((INDIRECT($E$3)="TOTS")+(INDIRECT($E$3)=$E253)),INDIRECT(S$3)))&lt;&gt;0,_xlpm.y=0),-2,_xlpm.x)))),0))</f>
        <v>0</v>
      </c>
      <c r="T253" s="199" cm="1">
        <f t="array" aca="1" ref="T253" ca="1">IF(OR($B253="",$B253="X",$D253="",$D253="X",$E253="",$E253="X"),0,IFERROR(_xlfn.LET(_xlpm.x,SUM(SUM(_xlfn._xlws.FILTER(VALUE(PptoSty[Sign]&amp;1)*(1/PptoSty[Division]),(PptoSty[Division]&lt;&gt;0)*(PptoSty[Division]&lt;&gt;"")*(PptoSty[Division]&lt;&gt;"X")*(PptoSty[Project]=$B253)*(PptoSty[Vrs]=$D253)*(PptoSty[PiRow]=_xlfn.TEXTAFTER($H253,":"))*(PptoSty[PiColumn]=T$54),0)),SUM(IF((INDIRECT($B$3)=$B253)*(INDIRECT($C$3)=$D253)*((INDIRECT($E$3)="TOTS")+(INDIRECT($E$3)=$E253)),INDIRECT(T$3)))),_xlpm.y,SUM(_xlfn.CHOOSECOLS(_xlfn._xlws.FILTER(F_RT14[],(F_RT14[PrjId]=$B253)*(F_RT14[Vrs]=$D253)*(_xlfn.TEXTAFTER(F_RT14[ActGrp],":")=_xlfn.TEXTAFTER($H253,":")),"X"),MATCH("*"&amp;T$54,F_RT14[#Headers],0))),IF(AND(_xlpm.x=0,_xlpm.y&lt;&gt;0),-1,IF(AND(_xlpm.x&lt;&gt;0,_xlpm.y&lt;&gt;0),_xlpm.x,IF(AND(_xlpm.x-SUM(IF((INDIRECT($B$3)=$B253)*(INDIRECT($C$3)=$D253)*((INDIRECT($E$3)="TOTS")+(INDIRECT($E$3)=$E253)),INDIRECT(T$3)))&lt;&gt;0,_xlpm.y=0),-2,_xlpm.x)))),0))</f>
        <v>0</v>
      </c>
      <c r="U253" s="199" cm="1">
        <f t="array" aca="1" ref="U253" ca="1">IF(OR($B253="",$B253="X",$D253="",$D253="X",$E253="",$E253="X"),0,IFERROR(_xlfn.LET(_xlpm.x,SUM(SUM(_xlfn._xlws.FILTER(VALUE(PptoSty[Sign]&amp;1)*(1/PptoSty[Division]),(PptoSty[Division]&lt;&gt;0)*(PptoSty[Division]&lt;&gt;"")*(PptoSty[Division]&lt;&gt;"X")*(PptoSty[Project]=$B253)*(PptoSty[Vrs]=$D253)*(PptoSty[PiRow]=_xlfn.TEXTAFTER($H253,":"))*(PptoSty[PiColumn]=U$54),0)),SUM(IF((INDIRECT($B$3)=$B253)*(INDIRECT($C$3)=$D253)*((INDIRECT($E$3)="TOTS")+(INDIRECT($E$3)=$E253)),INDIRECT(U$3)))),_xlpm.y,SUM(_xlfn.CHOOSECOLS(_xlfn._xlws.FILTER(F_RT14[],(F_RT14[PrjId]=$B253)*(F_RT14[Vrs]=$D253)*(_xlfn.TEXTAFTER(F_RT14[ActGrp],":")=_xlfn.TEXTAFTER($H253,":")),"X"),MATCH("*"&amp;U$54,F_RT14[#Headers],0))),IF(AND(_xlpm.x=0,_xlpm.y&lt;&gt;0),-1,IF(AND(_xlpm.x&lt;&gt;0,_xlpm.y&lt;&gt;0),_xlpm.x,IF(AND(_xlpm.x-SUM(IF((INDIRECT($B$3)=$B253)*(INDIRECT($C$3)=$D253)*((INDIRECT($E$3)="TOTS")+(INDIRECT($E$3)=$E253)),INDIRECT(U$3)))&lt;&gt;0,_xlpm.y=0),-2,_xlpm.x)))),0))</f>
        <v>0</v>
      </c>
      <c r="V253" s="199" cm="1">
        <f t="array" aca="1" ref="V253" ca="1">IF(OR($B253="",$B253="X",$D253="",$D253="X",$E253="",$E253="X"),0,IFERROR(_xlfn.LET(_xlpm.x,SUM(SUM(_xlfn._xlws.FILTER(VALUE(PptoSty[Sign]&amp;1)*(1/PptoSty[Division]),(PptoSty[Division]&lt;&gt;0)*(PptoSty[Division]&lt;&gt;"")*(PptoSty[Division]&lt;&gt;"X")*(PptoSty[Project]=$B253)*(PptoSty[Vrs]=$D253)*(PptoSty[PiRow]=_xlfn.TEXTAFTER($H253,":"))*(PptoSty[PiColumn]=V$54),0)),SUM(IF((INDIRECT($B$3)=$B253)*(INDIRECT($C$3)=$D253)*((INDIRECT($E$3)="TOTS")+(INDIRECT($E$3)=$E253)),INDIRECT(V$3)))),_xlpm.y,SUM(_xlfn.CHOOSECOLS(_xlfn._xlws.FILTER(F_RT14[],(F_RT14[PrjId]=$B253)*(F_RT14[Vrs]=$D253)*(_xlfn.TEXTAFTER(F_RT14[ActGrp],":")=_xlfn.TEXTAFTER($H253,":")),"X"),MATCH("*"&amp;V$54,F_RT14[#Headers],0))),IF(AND(_xlpm.x=0,_xlpm.y&lt;&gt;0),-1,IF(AND(_xlpm.x&lt;&gt;0,_xlpm.y&lt;&gt;0),_xlpm.x,IF(AND(_xlpm.x-SUM(IF((INDIRECT($B$3)=$B253)*(INDIRECT($C$3)=$D253)*((INDIRECT($E$3)="TOTS")+(INDIRECT($E$3)=$E253)),INDIRECT(V$3)))&lt;&gt;0,_xlpm.y=0),-2,_xlpm.x)))),0))</f>
        <v>0</v>
      </c>
      <c r="W253" s="199" cm="1">
        <f t="array" aca="1" ref="W253" ca="1">IF(OR($B253="",$B253="X",$D253="",$D253="X",$E253="",$E253="X"),0,IFERROR(_xlfn.LET(_xlpm.x,SUM(SUM(_xlfn._xlws.FILTER(VALUE(PptoSty[Sign]&amp;1)*(1/PptoSty[Division]),(PptoSty[Division]&lt;&gt;0)*(PptoSty[Division]&lt;&gt;"")*(PptoSty[Division]&lt;&gt;"X")*(PptoSty[Project]=$B253)*(PptoSty[Vrs]=$D253)*(PptoSty[PiRow]=_xlfn.TEXTAFTER($H253,":"))*(PptoSty[PiColumn]=W$54),0)),SUM(IF((INDIRECT($B$3)=$B253)*(INDIRECT($C$3)=$D253)*((INDIRECT($E$3)="TOTS")+(INDIRECT($E$3)=$E253)),INDIRECT(W$3)))),_xlpm.y,SUM(_xlfn.CHOOSECOLS(_xlfn._xlws.FILTER(F_RT14[],(F_RT14[PrjId]=$B253)*(F_RT14[Vrs]=$D253)*(_xlfn.TEXTAFTER(F_RT14[ActGrp],":")=_xlfn.TEXTAFTER($H253,":")),"X"),MATCH("*"&amp;W$54,F_RT14[#Headers],0))),IF(AND(_xlpm.x=0,_xlpm.y&lt;&gt;0),-1,IF(AND(_xlpm.x&lt;&gt;0,_xlpm.y&lt;&gt;0),_xlpm.x,IF(AND(_xlpm.x-SUM(IF((INDIRECT($B$3)=$B253)*(INDIRECT($C$3)=$D253)*((INDIRECT($E$3)="TOTS")+(INDIRECT($E$3)=$E253)),INDIRECT(W$3)))&lt;&gt;0,_xlpm.y=0),-2,_xlpm.x)))),0))</f>
        <v>0</v>
      </c>
      <c r="X253" s="199" cm="1">
        <f t="array" aca="1" ref="X253" ca="1">IF(OR($B253="",$B253="X",$D253="",$D253="X",$E253="",$E253="X"),0,IFERROR(_xlfn.LET(_xlpm.x,SUM(SUM(_xlfn._xlws.FILTER(VALUE(PptoSty[Sign]&amp;1)*(1/PptoSty[Division]),(PptoSty[Division]&lt;&gt;0)*(PptoSty[Division]&lt;&gt;"")*(PptoSty[Division]&lt;&gt;"X")*(PptoSty[Project]=$B253)*(PptoSty[Vrs]=$D253)*(PptoSty[PiRow]=_xlfn.TEXTAFTER($H253,":"))*(PptoSty[PiColumn]=X$54),0)),SUM(IF((INDIRECT($B$3)=$B253)*(INDIRECT($C$3)=$D253)*((INDIRECT($E$3)="TOTS")+(INDIRECT($E$3)=$E253)),INDIRECT(X$3)))),_xlpm.y,SUM(_xlfn.CHOOSECOLS(_xlfn._xlws.FILTER(F_RT14[],(F_RT14[PrjId]=$B253)*(F_RT14[Vrs]=$D253)*(_xlfn.TEXTAFTER(F_RT14[ActGrp],":")=_xlfn.TEXTAFTER($H253,":")),"X"),MATCH("*"&amp;X$54,F_RT14[#Headers],0))),IF(AND(_xlpm.x=0,_xlpm.y&lt;&gt;0),-1,IF(AND(_xlpm.x&lt;&gt;0,_xlpm.y&lt;&gt;0),_xlpm.x,IF(AND(_xlpm.x-SUM(IF((INDIRECT($B$3)=$B253)*(INDIRECT($C$3)=$D253)*((INDIRECT($E$3)="TOTS")+(INDIRECT($E$3)=$E253)),INDIRECT(X$3)))&lt;&gt;0,_xlpm.y=0),-2,_xlpm.x)))),0))</f>
        <v>0</v>
      </c>
      <c r="Y253" s="199" cm="1">
        <f t="array" aca="1" ref="Y253" ca="1">IF(OR($B253="",$B253="X",$D253="",$D253="X",$E253="",$E253="X"),0,IFERROR(_xlfn.LET(_xlpm.x,SUM(SUM(_xlfn._xlws.FILTER(VALUE(PptoSty[Sign]&amp;1)*(1/PptoSty[Division]),(PptoSty[Division]&lt;&gt;0)*(PptoSty[Division]&lt;&gt;"")*(PptoSty[Division]&lt;&gt;"X")*(PptoSty[Project]=$B253)*(PptoSty[Vrs]=$D253)*(PptoSty[PiRow]=_xlfn.TEXTAFTER($H253,":"))*(PptoSty[PiColumn]=Y$54),0)),SUM(IF((INDIRECT($B$3)=$B253)*(INDIRECT($C$3)=$D253)*((INDIRECT($E$3)="TOTS")+(INDIRECT($E$3)=$E253)),INDIRECT(Y$3)))),_xlpm.y,SUM(_xlfn.CHOOSECOLS(_xlfn._xlws.FILTER(F_RT14[],(F_RT14[PrjId]=$B253)*(F_RT14[Vrs]=$D253)*(_xlfn.TEXTAFTER(F_RT14[ActGrp],":")=_xlfn.TEXTAFTER($H253,":")),"X"),MATCH("*"&amp;Y$54,F_RT14[#Headers],0))),IF(AND(_xlpm.x=0,_xlpm.y&lt;&gt;0),-1,IF(AND(_xlpm.x&lt;&gt;0,_xlpm.y&lt;&gt;0),_xlpm.x,IF(AND(_xlpm.x-SUM(IF((INDIRECT($B$3)=$B253)*(INDIRECT($C$3)=$D253)*((INDIRECT($E$3)="TOTS")+(INDIRECT($E$3)=$E253)),INDIRECT(Y$3)))&lt;&gt;0,_xlpm.y=0),-2,_xlpm.x)))),0))</f>
        <v>0</v>
      </c>
      <c r="Z253" s="198" t="str">
        <f t="shared" ca="1" si="5"/>
        <v>Fback!B253:Y253</v>
      </c>
      <c r="AA253" s="38"/>
    </row>
    <row r="254" spans="1:27" ht="21" customHeight="1" outlineLevel="1">
      <c r="B254" s="128"/>
      <c r="C254" s="128"/>
      <c r="D254" s="128"/>
      <c r="E254" s="128"/>
      <c r="F254" s="139"/>
      <c r="G254" s="139"/>
      <c r="H254" s="139"/>
      <c r="I254" s="199" cm="1">
        <f t="array" aca="1" ref="I254" ca="1">IF(OR($B254="",$B254="X",$D254="",$D254="X",$E254="",$E254="X"),0,IFERROR(_xlfn.LET(_xlpm.x,SUM(SUM(_xlfn._xlws.FILTER(VALUE(PptoSty[Sign]&amp;1)*(1/PptoSty[Division]),(PptoSty[Division]&lt;&gt;0)*(PptoSty[Division]&lt;&gt;"")*(PptoSty[Division]&lt;&gt;"X")*(PptoSty[Project]=$B254)*(PptoSty[Vrs]=$D254)*(PptoSty[PiRow]=_xlfn.TEXTAFTER($H254,":"))*(PptoSty[PiColumn]=I$54),0)),SUM(IF((INDIRECT($B$3)=$B254)*(INDIRECT($C$3)=$D254)*((INDIRECT($E$3)="TOTS")+(INDIRECT($E$3)=$E254)),INDIRECT(I$3)))),_xlpm.y,SUM(_xlfn.CHOOSECOLS(_xlfn._xlws.FILTER(F_RT14[],(F_RT14[PrjId]=$B254)*(F_RT14[Vrs]=$D254)*(_xlfn.TEXTAFTER(F_RT14[ActGrp],":")=_xlfn.TEXTAFTER($H254,":")),"X"),MATCH("*"&amp;I$54,F_RT14[#Headers],0))),IF(AND(_xlpm.x=0,_xlpm.y&lt;&gt;0),-1,IF(AND(_xlpm.x&lt;&gt;0,_xlpm.y&lt;&gt;0),_xlpm.x,IF(AND(_xlpm.x-SUM(IF((INDIRECT($B$3)=$B254)*(INDIRECT($C$3)=$D254)*((INDIRECT($E$3)="TOTS")+(INDIRECT($E$3)=$E254)),INDIRECT(I$3)))&lt;&gt;0,_xlpm.y=0),-2,_xlpm.x)))),0))</f>
        <v>0</v>
      </c>
      <c r="J254" s="199" cm="1">
        <f t="array" aca="1" ref="J254" ca="1">IF(OR($B254="",$B254="X",$D254="",$D254="X",$E254="",$E254="X"),0,IFERROR(_xlfn.LET(_xlpm.x,SUM(SUM(_xlfn._xlws.FILTER(VALUE(PptoSty[Sign]&amp;1)*(1/PptoSty[Division]),(PptoSty[Division]&lt;&gt;0)*(PptoSty[Division]&lt;&gt;"")*(PptoSty[Division]&lt;&gt;"X")*(PptoSty[Project]=$B254)*(PptoSty[Vrs]=$D254)*(PptoSty[PiRow]=_xlfn.TEXTAFTER($H254,":"))*(PptoSty[PiColumn]=J$54),0)),SUM(IF((INDIRECT($B$3)=$B254)*(INDIRECT($C$3)=$D254)*((INDIRECT($E$3)="TOTS")+(INDIRECT($E$3)=$E254)),INDIRECT(J$3)))),_xlpm.y,SUM(_xlfn.CHOOSECOLS(_xlfn._xlws.FILTER(F_RT14[],(F_RT14[PrjId]=$B254)*(F_RT14[Vrs]=$D254)*(_xlfn.TEXTAFTER(F_RT14[ActGrp],":")=_xlfn.TEXTAFTER($H254,":")),"X"),MATCH("*"&amp;J$54,F_RT14[#Headers],0))),IF(AND(_xlpm.x=0,_xlpm.y&lt;&gt;0),-1,IF(AND(_xlpm.x&lt;&gt;0,_xlpm.y&lt;&gt;0),_xlpm.x,IF(AND(_xlpm.x-SUM(IF((INDIRECT($B$3)=$B254)*(INDIRECT($C$3)=$D254)*((INDIRECT($E$3)="TOTS")+(INDIRECT($E$3)=$E254)),INDIRECT(J$3)))&lt;&gt;0,_xlpm.y=0),-2,_xlpm.x)))),0))</f>
        <v>0</v>
      </c>
      <c r="K254" s="199" cm="1">
        <f t="array" aca="1" ref="K254" ca="1">IF(OR($B254="",$B254="X",$D254="",$D254="X",$E254="",$E254="X"),0,IFERROR(_xlfn.LET(_xlpm.x,SUM(SUM(_xlfn._xlws.FILTER(VALUE(PptoSty[Sign]&amp;1)*(1/PptoSty[Division]),(PptoSty[Division]&lt;&gt;0)*(PptoSty[Division]&lt;&gt;"")*(PptoSty[Division]&lt;&gt;"X")*(PptoSty[Project]=$B254)*(PptoSty[Vrs]=$D254)*(PptoSty[PiRow]=_xlfn.TEXTAFTER($H254,":"))*(PptoSty[PiColumn]=K$54),0)),SUM(IF((INDIRECT($B$3)=$B254)*(INDIRECT($C$3)=$D254)*((INDIRECT($E$3)="TOTS")+(INDIRECT($E$3)=$E254)),INDIRECT(K$3)))),_xlpm.y,SUM(_xlfn.CHOOSECOLS(_xlfn._xlws.FILTER(F_RT14[],(F_RT14[PrjId]=$B254)*(F_RT14[Vrs]=$D254)*(_xlfn.TEXTAFTER(F_RT14[ActGrp],":")=_xlfn.TEXTAFTER($H254,":")),"X"),MATCH("*"&amp;K$54,F_RT14[#Headers],0))),IF(AND(_xlpm.x=0,_xlpm.y&lt;&gt;0),-1,IF(AND(_xlpm.x&lt;&gt;0,_xlpm.y&lt;&gt;0),_xlpm.x,IF(AND(_xlpm.x-SUM(IF((INDIRECT($B$3)=$B254)*(INDIRECT($C$3)=$D254)*((INDIRECT($E$3)="TOTS")+(INDIRECT($E$3)=$E254)),INDIRECT(K$3)))&lt;&gt;0,_xlpm.y=0),-2,_xlpm.x)))),0))</f>
        <v>0</v>
      </c>
      <c r="L254" s="199" cm="1">
        <f t="array" aca="1" ref="L254" ca="1">IF(OR($B254="",$B254="X",$D254="",$D254="X",$E254="",$E254="X"),0,IFERROR(_xlfn.LET(_xlpm.x,SUM(SUM(_xlfn._xlws.FILTER(VALUE(PptoSty[Sign]&amp;1)*(1/PptoSty[Division]),(PptoSty[Division]&lt;&gt;0)*(PptoSty[Division]&lt;&gt;"")*(PptoSty[Division]&lt;&gt;"X")*(PptoSty[Project]=$B254)*(PptoSty[Vrs]=$D254)*(PptoSty[PiRow]=_xlfn.TEXTAFTER($H254,":"))*(PptoSty[PiColumn]=L$54),0)),SUM(IF((INDIRECT($B$3)=$B254)*(INDIRECT($C$3)=$D254)*((INDIRECT($E$3)="TOTS")+(INDIRECT($E$3)=$E254)),INDIRECT(L$3)))),_xlpm.y,SUM(_xlfn.CHOOSECOLS(_xlfn._xlws.FILTER(F_RT14[],(F_RT14[PrjId]=$B254)*(F_RT14[Vrs]=$D254)*(_xlfn.TEXTAFTER(F_RT14[ActGrp],":")=_xlfn.TEXTAFTER($H254,":")),"X"),MATCH("*"&amp;L$54,F_RT14[#Headers],0))),IF(AND(_xlpm.x=0,_xlpm.y&lt;&gt;0),-1,IF(AND(_xlpm.x&lt;&gt;0,_xlpm.y&lt;&gt;0),_xlpm.x,IF(AND(_xlpm.x-SUM(IF((INDIRECT($B$3)=$B254)*(INDIRECT($C$3)=$D254)*((INDIRECT($E$3)="TOTS")+(INDIRECT($E$3)=$E254)),INDIRECT(L$3)))&lt;&gt;0,_xlpm.y=0),-2,_xlpm.x)))),0))</f>
        <v>0</v>
      </c>
      <c r="M254" s="199" cm="1">
        <f t="array" aca="1" ref="M254" ca="1">IF(OR($B254="",$B254="X",$D254="",$D254="X",$E254="",$E254="X"),0,IFERROR(_xlfn.LET(_xlpm.x,SUM(SUM(_xlfn._xlws.FILTER(VALUE(PptoSty[Sign]&amp;1)*(1/PptoSty[Division]),(PptoSty[Division]&lt;&gt;0)*(PptoSty[Division]&lt;&gt;"")*(PptoSty[Division]&lt;&gt;"X")*(PptoSty[Project]=$B254)*(PptoSty[Vrs]=$D254)*(PptoSty[PiRow]=_xlfn.TEXTAFTER($H254,":"))*(PptoSty[PiColumn]=M$54),0)),SUM(IF((INDIRECT($B$3)=$B254)*(INDIRECT($C$3)=$D254)*((INDIRECT($E$3)="TOTS")+(INDIRECT($E$3)=$E254)),INDIRECT(M$3)))),_xlpm.y,SUM(_xlfn.CHOOSECOLS(_xlfn._xlws.FILTER(F_RT14[],(F_RT14[PrjId]=$B254)*(F_RT14[Vrs]=$D254)*(_xlfn.TEXTAFTER(F_RT14[ActGrp],":")=_xlfn.TEXTAFTER($H254,":")),"X"),MATCH("*"&amp;M$54,F_RT14[#Headers],0))),IF(AND(_xlpm.x=0,_xlpm.y&lt;&gt;0),-1,IF(AND(_xlpm.x&lt;&gt;0,_xlpm.y&lt;&gt;0),_xlpm.x,IF(AND(_xlpm.x-SUM(IF((INDIRECT($B$3)=$B254)*(INDIRECT($C$3)=$D254)*((INDIRECT($E$3)="TOTS")+(INDIRECT($E$3)=$E254)),INDIRECT(M$3)))&lt;&gt;0,_xlpm.y=0),-2,_xlpm.x)))),0))</f>
        <v>0</v>
      </c>
      <c r="N254" s="199" cm="1">
        <f t="array" aca="1" ref="N254" ca="1">IF(OR($B254="",$B254="X",$D254="",$D254="X",$E254="",$E254="X"),0,IFERROR(_xlfn.LET(_xlpm.x,SUM(SUM(_xlfn._xlws.FILTER(VALUE(PptoSty[Sign]&amp;1)*(1/PptoSty[Division]),(PptoSty[Division]&lt;&gt;0)*(PptoSty[Division]&lt;&gt;"")*(PptoSty[Division]&lt;&gt;"X")*(PptoSty[Project]=$B254)*(PptoSty[Vrs]=$D254)*(PptoSty[PiRow]=_xlfn.TEXTAFTER($H254,":"))*(PptoSty[PiColumn]=N$54),0)),SUM(IF((INDIRECT($B$3)=$B254)*(INDIRECT($C$3)=$D254)*((INDIRECT($E$3)="TOTS")+(INDIRECT($E$3)=$E254)),INDIRECT(N$3)))),_xlpm.y,SUM(_xlfn.CHOOSECOLS(_xlfn._xlws.FILTER(F_RT14[],(F_RT14[PrjId]=$B254)*(F_RT14[Vrs]=$D254)*(_xlfn.TEXTAFTER(F_RT14[ActGrp],":")=_xlfn.TEXTAFTER($H254,":")),"X"),MATCH("*"&amp;N$54,F_RT14[#Headers],0))),IF(AND(_xlpm.x=0,_xlpm.y&lt;&gt;0),-1,IF(AND(_xlpm.x&lt;&gt;0,_xlpm.y&lt;&gt;0),_xlpm.x,IF(AND(_xlpm.x-SUM(IF((INDIRECT($B$3)=$B254)*(INDIRECT($C$3)=$D254)*((INDIRECT($E$3)="TOTS")+(INDIRECT($E$3)=$E254)),INDIRECT(N$3)))&lt;&gt;0,_xlpm.y=0),-2,_xlpm.x)))),0))</f>
        <v>0</v>
      </c>
      <c r="O254" s="199" cm="1">
        <f t="array" aca="1" ref="O254" ca="1">IF(OR($B254="",$B254="X",$D254="",$D254="X",$E254="",$E254="X"),0,IFERROR(_xlfn.LET(_xlpm.x,SUM(SUM(_xlfn._xlws.FILTER(VALUE(PptoSty[Sign]&amp;1)*(1/PptoSty[Division]),(PptoSty[Division]&lt;&gt;0)*(PptoSty[Division]&lt;&gt;"")*(PptoSty[Division]&lt;&gt;"X")*(PptoSty[Project]=$B254)*(PptoSty[Vrs]=$D254)*(PptoSty[PiRow]=_xlfn.TEXTAFTER($H254,":"))*(PptoSty[PiColumn]=O$54),0)),SUM(IF((INDIRECT($B$3)=$B254)*(INDIRECT($C$3)=$D254)*((INDIRECT($E$3)="TOTS")+(INDIRECT($E$3)=$E254)),INDIRECT(O$3)))),_xlpm.y,SUM(_xlfn.CHOOSECOLS(_xlfn._xlws.FILTER(F_RT14[],(F_RT14[PrjId]=$B254)*(F_RT14[Vrs]=$D254)*(_xlfn.TEXTAFTER(F_RT14[ActGrp],":")=_xlfn.TEXTAFTER($H254,":")),"X"),MATCH("*"&amp;O$54,F_RT14[#Headers],0))),IF(AND(_xlpm.x=0,_xlpm.y&lt;&gt;0),-1,IF(AND(_xlpm.x&lt;&gt;0,_xlpm.y&lt;&gt;0),_xlpm.x,IF(AND(_xlpm.x-SUM(IF((INDIRECT($B$3)=$B254)*(INDIRECT($C$3)=$D254)*((INDIRECT($E$3)="TOTS")+(INDIRECT($E$3)=$E254)),INDIRECT(O$3)))&lt;&gt;0,_xlpm.y=0),-2,_xlpm.x)))),0))</f>
        <v>0</v>
      </c>
      <c r="P254" s="199" cm="1">
        <f t="array" aca="1" ref="P254" ca="1">IF(OR($B254="",$B254="X",$D254="",$D254="X",$E254="",$E254="X"),0,IFERROR(_xlfn.LET(_xlpm.x,SUM(SUM(_xlfn._xlws.FILTER(VALUE(PptoSty[Sign]&amp;1)*(1/PptoSty[Division]),(PptoSty[Division]&lt;&gt;0)*(PptoSty[Division]&lt;&gt;"")*(PptoSty[Division]&lt;&gt;"X")*(PptoSty[Project]=$B254)*(PptoSty[Vrs]=$D254)*(PptoSty[PiRow]=_xlfn.TEXTAFTER($H254,":"))*(PptoSty[PiColumn]=P$54),0)),SUM(IF((INDIRECT($B$3)=$B254)*(INDIRECT($C$3)=$D254)*((INDIRECT($E$3)="TOTS")+(INDIRECT($E$3)=$E254)),INDIRECT(P$3)))),_xlpm.y,SUM(_xlfn.CHOOSECOLS(_xlfn._xlws.FILTER(F_RT14[],(F_RT14[PrjId]=$B254)*(F_RT14[Vrs]=$D254)*(_xlfn.TEXTAFTER(F_RT14[ActGrp],":")=_xlfn.TEXTAFTER($H254,":")),"X"),MATCH("*"&amp;P$54,F_RT14[#Headers],0))),IF(AND(_xlpm.x=0,_xlpm.y&lt;&gt;0),-1,IF(AND(_xlpm.x&lt;&gt;0,_xlpm.y&lt;&gt;0),_xlpm.x,IF(AND(_xlpm.x-SUM(IF((INDIRECT($B$3)=$B254)*(INDIRECT($C$3)=$D254)*((INDIRECT($E$3)="TOTS")+(INDIRECT($E$3)=$E254)),INDIRECT(P$3)))&lt;&gt;0,_xlpm.y=0),-2,_xlpm.x)))),0))</f>
        <v>0</v>
      </c>
      <c r="Q254" s="199" cm="1">
        <f t="array" aca="1" ref="Q254" ca="1">IF(OR($B254="",$B254="X",$D254="",$D254="X",$E254="",$E254="X"),0,IFERROR(_xlfn.LET(_xlpm.x,SUM(SUM(_xlfn._xlws.FILTER(VALUE(PptoSty[Sign]&amp;1)*(1/PptoSty[Division]),(PptoSty[Division]&lt;&gt;0)*(PptoSty[Division]&lt;&gt;"")*(PptoSty[Division]&lt;&gt;"X")*(PptoSty[Project]=$B254)*(PptoSty[Vrs]=$D254)*(PptoSty[PiRow]=_xlfn.TEXTAFTER($H254,":"))*(PptoSty[PiColumn]=Q$54),0)),SUM(IF((INDIRECT($B$3)=$B254)*(INDIRECT($C$3)=$D254)*((INDIRECT($E$3)="TOTS")+(INDIRECT($E$3)=$E254)),INDIRECT(Q$3)))),_xlpm.y,SUM(_xlfn.CHOOSECOLS(_xlfn._xlws.FILTER(F_RT14[],(F_RT14[PrjId]=$B254)*(F_RT14[Vrs]=$D254)*(_xlfn.TEXTAFTER(F_RT14[ActGrp],":")=_xlfn.TEXTAFTER($H254,":")),"X"),MATCH("*"&amp;Q$54,F_RT14[#Headers],0))),IF(AND(_xlpm.x=0,_xlpm.y&lt;&gt;0),-1,IF(AND(_xlpm.x&lt;&gt;0,_xlpm.y&lt;&gt;0),_xlpm.x,IF(AND(_xlpm.x-SUM(IF((INDIRECT($B$3)=$B254)*(INDIRECT($C$3)=$D254)*((INDIRECT($E$3)="TOTS")+(INDIRECT($E$3)=$E254)),INDIRECT(Q$3)))&lt;&gt;0,_xlpm.y=0),-2,_xlpm.x)))),0))</f>
        <v>0</v>
      </c>
      <c r="R254" s="199" cm="1">
        <f t="array" aca="1" ref="R254" ca="1">IF(OR($B254="",$B254="X",$D254="",$D254="X",$E254="",$E254="X"),0,IFERROR(_xlfn.LET(_xlpm.x,SUM(SUM(_xlfn._xlws.FILTER(VALUE(PptoSty[Sign]&amp;1)*(1/PptoSty[Division]),(PptoSty[Division]&lt;&gt;0)*(PptoSty[Division]&lt;&gt;"")*(PptoSty[Division]&lt;&gt;"X")*(PptoSty[Project]=$B254)*(PptoSty[Vrs]=$D254)*(PptoSty[PiRow]=_xlfn.TEXTAFTER($H254,":"))*(PptoSty[PiColumn]=R$54),0)),SUM(IF((INDIRECT($B$3)=$B254)*(INDIRECT($C$3)=$D254)*((INDIRECT($E$3)="TOTS")+(INDIRECT($E$3)=$E254)),INDIRECT(R$3)))),_xlpm.y,SUM(_xlfn.CHOOSECOLS(_xlfn._xlws.FILTER(F_RT14[],(F_RT14[PrjId]=$B254)*(F_RT14[Vrs]=$D254)*(_xlfn.TEXTAFTER(F_RT14[ActGrp],":")=_xlfn.TEXTAFTER($H254,":")),"X"),MATCH("*"&amp;R$54,F_RT14[#Headers],0))),IF(AND(_xlpm.x=0,_xlpm.y&lt;&gt;0),-1,IF(AND(_xlpm.x&lt;&gt;0,_xlpm.y&lt;&gt;0),_xlpm.x,IF(AND(_xlpm.x-SUM(IF((INDIRECT($B$3)=$B254)*(INDIRECT($C$3)=$D254)*((INDIRECT($E$3)="TOTS")+(INDIRECT($E$3)=$E254)),INDIRECT(R$3)))&lt;&gt;0,_xlpm.y=0),-2,_xlpm.x)))),0))</f>
        <v>0</v>
      </c>
      <c r="S254" s="199" cm="1">
        <f t="array" aca="1" ref="S254" ca="1">IF(OR($B254="",$B254="X",$D254="",$D254="X",$E254="",$E254="X"),0,IFERROR(_xlfn.LET(_xlpm.x,SUM(SUM(_xlfn._xlws.FILTER(VALUE(PptoSty[Sign]&amp;1)*(1/PptoSty[Division]),(PptoSty[Division]&lt;&gt;0)*(PptoSty[Division]&lt;&gt;"")*(PptoSty[Division]&lt;&gt;"X")*(PptoSty[Project]=$B254)*(PptoSty[Vrs]=$D254)*(PptoSty[PiRow]=_xlfn.TEXTAFTER($H254,":"))*(PptoSty[PiColumn]=S$54),0)),SUM(IF((INDIRECT($B$3)=$B254)*(INDIRECT($C$3)=$D254)*((INDIRECT($E$3)="TOTS")+(INDIRECT($E$3)=$E254)),INDIRECT(S$3)))),_xlpm.y,SUM(_xlfn.CHOOSECOLS(_xlfn._xlws.FILTER(F_RT14[],(F_RT14[PrjId]=$B254)*(F_RT14[Vrs]=$D254)*(_xlfn.TEXTAFTER(F_RT14[ActGrp],":")=_xlfn.TEXTAFTER($H254,":")),"X"),MATCH("*"&amp;S$54,F_RT14[#Headers],0))),IF(AND(_xlpm.x=0,_xlpm.y&lt;&gt;0),-1,IF(AND(_xlpm.x&lt;&gt;0,_xlpm.y&lt;&gt;0),_xlpm.x,IF(AND(_xlpm.x-SUM(IF((INDIRECT($B$3)=$B254)*(INDIRECT($C$3)=$D254)*((INDIRECT($E$3)="TOTS")+(INDIRECT($E$3)=$E254)),INDIRECT(S$3)))&lt;&gt;0,_xlpm.y=0),-2,_xlpm.x)))),0))</f>
        <v>0</v>
      </c>
      <c r="T254" s="199" cm="1">
        <f t="array" aca="1" ref="T254" ca="1">IF(OR($B254="",$B254="X",$D254="",$D254="X",$E254="",$E254="X"),0,IFERROR(_xlfn.LET(_xlpm.x,SUM(SUM(_xlfn._xlws.FILTER(VALUE(PptoSty[Sign]&amp;1)*(1/PptoSty[Division]),(PptoSty[Division]&lt;&gt;0)*(PptoSty[Division]&lt;&gt;"")*(PptoSty[Division]&lt;&gt;"X")*(PptoSty[Project]=$B254)*(PptoSty[Vrs]=$D254)*(PptoSty[PiRow]=_xlfn.TEXTAFTER($H254,":"))*(PptoSty[PiColumn]=T$54),0)),SUM(IF((INDIRECT($B$3)=$B254)*(INDIRECT($C$3)=$D254)*((INDIRECT($E$3)="TOTS")+(INDIRECT($E$3)=$E254)),INDIRECT(T$3)))),_xlpm.y,SUM(_xlfn.CHOOSECOLS(_xlfn._xlws.FILTER(F_RT14[],(F_RT14[PrjId]=$B254)*(F_RT14[Vrs]=$D254)*(_xlfn.TEXTAFTER(F_RT14[ActGrp],":")=_xlfn.TEXTAFTER($H254,":")),"X"),MATCH("*"&amp;T$54,F_RT14[#Headers],0))),IF(AND(_xlpm.x=0,_xlpm.y&lt;&gt;0),-1,IF(AND(_xlpm.x&lt;&gt;0,_xlpm.y&lt;&gt;0),_xlpm.x,IF(AND(_xlpm.x-SUM(IF((INDIRECT($B$3)=$B254)*(INDIRECT($C$3)=$D254)*((INDIRECT($E$3)="TOTS")+(INDIRECT($E$3)=$E254)),INDIRECT(T$3)))&lt;&gt;0,_xlpm.y=0),-2,_xlpm.x)))),0))</f>
        <v>0</v>
      </c>
      <c r="U254" s="199" cm="1">
        <f t="array" aca="1" ref="U254" ca="1">IF(OR($B254="",$B254="X",$D254="",$D254="X",$E254="",$E254="X"),0,IFERROR(_xlfn.LET(_xlpm.x,SUM(SUM(_xlfn._xlws.FILTER(VALUE(PptoSty[Sign]&amp;1)*(1/PptoSty[Division]),(PptoSty[Division]&lt;&gt;0)*(PptoSty[Division]&lt;&gt;"")*(PptoSty[Division]&lt;&gt;"X")*(PptoSty[Project]=$B254)*(PptoSty[Vrs]=$D254)*(PptoSty[PiRow]=_xlfn.TEXTAFTER($H254,":"))*(PptoSty[PiColumn]=U$54),0)),SUM(IF((INDIRECT($B$3)=$B254)*(INDIRECT($C$3)=$D254)*((INDIRECT($E$3)="TOTS")+(INDIRECT($E$3)=$E254)),INDIRECT(U$3)))),_xlpm.y,SUM(_xlfn.CHOOSECOLS(_xlfn._xlws.FILTER(F_RT14[],(F_RT14[PrjId]=$B254)*(F_RT14[Vrs]=$D254)*(_xlfn.TEXTAFTER(F_RT14[ActGrp],":")=_xlfn.TEXTAFTER($H254,":")),"X"),MATCH("*"&amp;U$54,F_RT14[#Headers],0))),IF(AND(_xlpm.x=0,_xlpm.y&lt;&gt;0),-1,IF(AND(_xlpm.x&lt;&gt;0,_xlpm.y&lt;&gt;0),_xlpm.x,IF(AND(_xlpm.x-SUM(IF((INDIRECT($B$3)=$B254)*(INDIRECT($C$3)=$D254)*((INDIRECT($E$3)="TOTS")+(INDIRECT($E$3)=$E254)),INDIRECT(U$3)))&lt;&gt;0,_xlpm.y=0),-2,_xlpm.x)))),0))</f>
        <v>0</v>
      </c>
      <c r="V254" s="199" cm="1">
        <f t="array" aca="1" ref="V254" ca="1">IF(OR($B254="",$B254="X",$D254="",$D254="X",$E254="",$E254="X"),0,IFERROR(_xlfn.LET(_xlpm.x,SUM(SUM(_xlfn._xlws.FILTER(VALUE(PptoSty[Sign]&amp;1)*(1/PptoSty[Division]),(PptoSty[Division]&lt;&gt;0)*(PptoSty[Division]&lt;&gt;"")*(PptoSty[Division]&lt;&gt;"X")*(PptoSty[Project]=$B254)*(PptoSty[Vrs]=$D254)*(PptoSty[PiRow]=_xlfn.TEXTAFTER($H254,":"))*(PptoSty[PiColumn]=V$54),0)),SUM(IF((INDIRECT($B$3)=$B254)*(INDIRECT($C$3)=$D254)*((INDIRECT($E$3)="TOTS")+(INDIRECT($E$3)=$E254)),INDIRECT(V$3)))),_xlpm.y,SUM(_xlfn.CHOOSECOLS(_xlfn._xlws.FILTER(F_RT14[],(F_RT14[PrjId]=$B254)*(F_RT14[Vrs]=$D254)*(_xlfn.TEXTAFTER(F_RT14[ActGrp],":")=_xlfn.TEXTAFTER($H254,":")),"X"),MATCH("*"&amp;V$54,F_RT14[#Headers],0))),IF(AND(_xlpm.x=0,_xlpm.y&lt;&gt;0),-1,IF(AND(_xlpm.x&lt;&gt;0,_xlpm.y&lt;&gt;0),_xlpm.x,IF(AND(_xlpm.x-SUM(IF((INDIRECT($B$3)=$B254)*(INDIRECT($C$3)=$D254)*((INDIRECT($E$3)="TOTS")+(INDIRECT($E$3)=$E254)),INDIRECT(V$3)))&lt;&gt;0,_xlpm.y=0),-2,_xlpm.x)))),0))</f>
        <v>0</v>
      </c>
      <c r="W254" s="199" cm="1">
        <f t="array" aca="1" ref="W254" ca="1">IF(OR($B254="",$B254="X",$D254="",$D254="X",$E254="",$E254="X"),0,IFERROR(_xlfn.LET(_xlpm.x,SUM(SUM(_xlfn._xlws.FILTER(VALUE(PptoSty[Sign]&amp;1)*(1/PptoSty[Division]),(PptoSty[Division]&lt;&gt;0)*(PptoSty[Division]&lt;&gt;"")*(PptoSty[Division]&lt;&gt;"X")*(PptoSty[Project]=$B254)*(PptoSty[Vrs]=$D254)*(PptoSty[PiRow]=_xlfn.TEXTAFTER($H254,":"))*(PptoSty[PiColumn]=W$54),0)),SUM(IF((INDIRECT($B$3)=$B254)*(INDIRECT($C$3)=$D254)*((INDIRECT($E$3)="TOTS")+(INDIRECT($E$3)=$E254)),INDIRECT(W$3)))),_xlpm.y,SUM(_xlfn.CHOOSECOLS(_xlfn._xlws.FILTER(F_RT14[],(F_RT14[PrjId]=$B254)*(F_RT14[Vrs]=$D254)*(_xlfn.TEXTAFTER(F_RT14[ActGrp],":")=_xlfn.TEXTAFTER($H254,":")),"X"),MATCH("*"&amp;W$54,F_RT14[#Headers],0))),IF(AND(_xlpm.x=0,_xlpm.y&lt;&gt;0),-1,IF(AND(_xlpm.x&lt;&gt;0,_xlpm.y&lt;&gt;0),_xlpm.x,IF(AND(_xlpm.x-SUM(IF((INDIRECT($B$3)=$B254)*(INDIRECT($C$3)=$D254)*((INDIRECT($E$3)="TOTS")+(INDIRECT($E$3)=$E254)),INDIRECT(W$3)))&lt;&gt;0,_xlpm.y=0),-2,_xlpm.x)))),0))</f>
        <v>0</v>
      </c>
      <c r="X254" s="199" cm="1">
        <f t="array" aca="1" ref="X254" ca="1">IF(OR($B254="",$B254="X",$D254="",$D254="X",$E254="",$E254="X"),0,IFERROR(_xlfn.LET(_xlpm.x,SUM(SUM(_xlfn._xlws.FILTER(VALUE(PptoSty[Sign]&amp;1)*(1/PptoSty[Division]),(PptoSty[Division]&lt;&gt;0)*(PptoSty[Division]&lt;&gt;"")*(PptoSty[Division]&lt;&gt;"X")*(PptoSty[Project]=$B254)*(PptoSty[Vrs]=$D254)*(PptoSty[PiRow]=_xlfn.TEXTAFTER($H254,":"))*(PptoSty[PiColumn]=X$54),0)),SUM(IF((INDIRECT($B$3)=$B254)*(INDIRECT($C$3)=$D254)*((INDIRECT($E$3)="TOTS")+(INDIRECT($E$3)=$E254)),INDIRECT(X$3)))),_xlpm.y,SUM(_xlfn.CHOOSECOLS(_xlfn._xlws.FILTER(F_RT14[],(F_RT14[PrjId]=$B254)*(F_RT14[Vrs]=$D254)*(_xlfn.TEXTAFTER(F_RT14[ActGrp],":")=_xlfn.TEXTAFTER($H254,":")),"X"),MATCH("*"&amp;X$54,F_RT14[#Headers],0))),IF(AND(_xlpm.x=0,_xlpm.y&lt;&gt;0),-1,IF(AND(_xlpm.x&lt;&gt;0,_xlpm.y&lt;&gt;0),_xlpm.x,IF(AND(_xlpm.x-SUM(IF((INDIRECT($B$3)=$B254)*(INDIRECT($C$3)=$D254)*((INDIRECT($E$3)="TOTS")+(INDIRECT($E$3)=$E254)),INDIRECT(X$3)))&lt;&gt;0,_xlpm.y=0),-2,_xlpm.x)))),0))</f>
        <v>0</v>
      </c>
      <c r="Y254" s="199" cm="1">
        <f t="array" aca="1" ref="Y254" ca="1">IF(OR($B254="",$B254="X",$D254="",$D254="X",$E254="",$E254="X"),0,IFERROR(_xlfn.LET(_xlpm.x,SUM(SUM(_xlfn._xlws.FILTER(VALUE(PptoSty[Sign]&amp;1)*(1/PptoSty[Division]),(PptoSty[Division]&lt;&gt;0)*(PptoSty[Division]&lt;&gt;"")*(PptoSty[Division]&lt;&gt;"X")*(PptoSty[Project]=$B254)*(PptoSty[Vrs]=$D254)*(PptoSty[PiRow]=_xlfn.TEXTAFTER($H254,":"))*(PptoSty[PiColumn]=Y$54),0)),SUM(IF((INDIRECT($B$3)=$B254)*(INDIRECT($C$3)=$D254)*((INDIRECT($E$3)="TOTS")+(INDIRECT($E$3)=$E254)),INDIRECT(Y$3)))),_xlpm.y,SUM(_xlfn.CHOOSECOLS(_xlfn._xlws.FILTER(F_RT14[],(F_RT14[PrjId]=$B254)*(F_RT14[Vrs]=$D254)*(_xlfn.TEXTAFTER(F_RT14[ActGrp],":")=_xlfn.TEXTAFTER($H254,":")),"X"),MATCH("*"&amp;Y$54,F_RT14[#Headers],0))),IF(AND(_xlpm.x=0,_xlpm.y&lt;&gt;0),-1,IF(AND(_xlpm.x&lt;&gt;0,_xlpm.y&lt;&gt;0),_xlpm.x,IF(AND(_xlpm.x-SUM(IF((INDIRECT($B$3)=$B254)*(INDIRECT($C$3)=$D254)*((INDIRECT($E$3)="TOTS")+(INDIRECT($E$3)=$E254)),INDIRECT(Y$3)))&lt;&gt;0,_xlpm.y=0),-2,_xlpm.x)))),0))</f>
        <v>0</v>
      </c>
      <c r="Z254" s="198" t="str">
        <f t="shared" ca="1" si="5"/>
        <v>Fback!B254:Y254</v>
      </c>
      <c r="AA254" s="38"/>
    </row>
    <row r="255" spans="1:27" ht="21" customHeight="1" outlineLevel="1">
      <c r="B255" s="128"/>
      <c r="C255" s="128"/>
      <c r="D255" s="128"/>
      <c r="E255" s="128"/>
      <c r="F255" s="139"/>
      <c r="G255" s="139"/>
      <c r="H255" s="139"/>
      <c r="I255" s="199" cm="1">
        <f t="array" aca="1" ref="I255" ca="1">IF(OR($B255="",$B255="X",$D255="",$D255="X",$E255="",$E255="X"),0,IFERROR(_xlfn.LET(_xlpm.x,SUM(SUM(_xlfn._xlws.FILTER(VALUE(PptoSty[Sign]&amp;1)*(1/PptoSty[Division]),(PptoSty[Division]&lt;&gt;0)*(PptoSty[Division]&lt;&gt;"")*(PptoSty[Division]&lt;&gt;"X")*(PptoSty[Project]=$B255)*(PptoSty[Vrs]=$D255)*(PptoSty[PiRow]=_xlfn.TEXTAFTER($H255,":"))*(PptoSty[PiColumn]=I$54),0)),SUM(IF((INDIRECT($B$3)=$B255)*(INDIRECT($C$3)=$D255)*((INDIRECT($E$3)="TOTS")+(INDIRECT($E$3)=$E255)),INDIRECT(I$3)))),_xlpm.y,SUM(_xlfn.CHOOSECOLS(_xlfn._xlws.FILTER(F_RT14[],(F_RT14[PrjId]=$B255)*(F_RT14[Vrs]=$D255)*(_xlfn.TEXTAFTER(F_RT14[ActGrp],":")=_xlfn.TEXTAFTER($H255,":")),"X"),MATCH("*"&amp;I$54,F_RT14[#Headers],0))),IF(AND(_xlpm.x=0,_xlpm.y&lt;&gt;0),-1,IF(AND(_xlpm.x&lt;&gt;0,_xlpm.y&lt;&gt;0),_xlpm.x,IF(AND(_xlpm.x-SUM(IF((INDIRECT($B$3)=$B255)*(INDIRECT($C$3)=$D255)*((INDIRECT($E$3)="TOTS")+(INDIRECT($E$3)=$E255)),INDIRECT(I$3)))&lt;&gt;0,_xlpm.y=0),-2,_xlpm.x)))),0))</f>
        <v>0</v>
      </c>
      <c r="J255" s="199" cm="1">
        <f t="array" aca="1" ref="J255" ca="1">IF(OR($B255="",$B255="X",$D255="",$D255="X",$E255="",$E255="X"),0,IFERROR(_xlfn.LET(_xlpm.x,SUM(SUM(_xlfn._xlws.FILTER(VALUE(PptoSty[Sign]&amp;1)*(1/PptoSty[Division]),(PptoSty[Division]&lt;&gt;0)*(PptoSty[Division]&lt;&gt;"")*(PptoSty[Division]&lt;&gt;"X")*(PptoSty[Project]=$B255)*(PptoSty[Vrs]=$D255)*(PptoSty[PiRow]=_xlfn.TEXTAFTER($H255,":"))*(PptoSty[PiColumn]=J$54),0)),SUM(IF((INDIRECT($B$3)=$B255)*(INDIRECT($C$3)=$D255)*((INDIRECT($E$3)="TOTS")+(INDIRECT($E$3)=$E255)),INDIRECT(J$3)))),_xlpm.y,SUM(_xlfn.CHOOSECOLS(_xlfn._xlws.FILTER(F_RT14[],(F_RT14[PrjId]=$B255)*(F_RT14[Vrs]=$D255)*(_xlfn.TEXTAFTER(F_RT14[ActGrp],":")=_xlfn.TEXTAFTER($H255,":")),"X"),MATCH("*"&amp;J$54,F_RT14[#Headers],0))),IF(AND(_xlpm.x=0,_xlpm.y&lt;&gt;0),-1,IF(AND(_xlpm.x&lt;&gt;0,_xlpm.y&lt;&gt;0),_xlpm.x,IF(AND(_xlpm.x-SUM(IF((INDIRECT($B$3)=$B255)*(INDIRECT($C$3)=$D255)*((INDIRECT($E$3)="TOTS")+(INDIRECT($E$3)=$E255)),INDIRECT(J$3)))&lt;&gt;0,_xlpm.y=0),-2,_xlpm.x)))),0))</f>
        <v>0</v>
      </c>
      <c r="K255" s="199" cm="1">
        <f t="array" aca="1" ref="K255" ca="1">IF(OR($B255="",$B255="X",$D255="",$D255="X",$E255="",$E255="X"),0,IFERROR(_xlfn.LET(_xlpm.x,SUM(SUM(_xlfn._xlws.FILTER(VALUE(PptoSty[Sign]&amp;1)*(1/PptoSty[Division]),(PptoSty[Division]&lt;&gt;0)*(PptoSty[Division]&lt;&gt;"")*(PptoSty[Division]&lt;&gt;"X")*(PptoSty[Project]=$B255)*(PptoSty[Vrs]=$D255)*(PptoSty[PiRow]=_xlfn.TEXTAFTER($H255,":"))*(PptoSty[PiColumn]=K$54),0)),SUM(IF((INDIRECT($B$3)=$B255)*(INDIRECT($C$3)=$D255)*((INDIRECT($E$3)="TOTS")+(INDIRECT($E$3)=$E255)),INDIRECT(K$3)))),_xlpm.y,SUM(_xlfn.CHOOSECOLS(_xlfn._xlws.FILTER(F_RT14[],(F_RT14[PrjId]=$B255)*(F_RT14[Vrs]=$D255)*(_xlfn.TEXTAFTER(F_RT14[ActGrp],":")=_xlfn.TEXTAFTER($H255,":")),"X"),MATCH("*"&amp;K$54,F_RT14[#Headers],0))),IF(AND(_xlpm.x=0,_xlpm.y&lt;&gt;0),-1,IF(AND(_xlpm.x&lt;&gt;0,_xlpm.y&lt;&gt;0),_xlpm.x,IF(AND(_xlpm.x-SUM(IF((INDIRECT($B$3)=$B255)*(INDIRECT($C$3)=$D255)*((INDIRECT($E$3)="TOTS")+(INDIRECT($E$3)=$E255)),INDIRECT(K$3)))&lt;&gt;0,_xlpm.y=0),-2,_xlpm.x)))),0))</f>
        <v>0</v>
      </c>
      <c r="L255" s="199" cm="1">
        <f t="array" aca="1" ref="L255" ca="1">IF(OR($B255="",$B255="X",$D255="",$D255="X",$E255="",$E255="X"),0,IFERROR(_xlfn.LET(_xlpm.x,SUM(SUM(_xlfn._xlws.FILTER(VALUE(PptoSty[Sign]&amp;1)*(1/PptoSty[Division]),(PptoSty[Division]&lt;&gt;0)*(PptoSty[Division]&lt;&gt;"")*(PptoSty[Division]&lt;&gt;"X")*(PptoSty[Project]=$B255)*(PptoSty[Vrs]=$D255)*(PptoSty[PiRow]=_xlfn.TEXTAFTER($H255,":"))*(PptoSty[PiColumn]=L$54),0)),SUM(IF((INDIRECT($B$3)=$B255)*(INDIRECT($C$3)=$D255)*((INDIRECT($E$3)="TOTS")+(INDIRECT($E$3)=$E255)),INDIRECT(L$3)))),_xlpm.y,SUM(_xlfn.CHOOSECOLS(_xlfn._xlws.FILTER(F_RT14[],(F_RT14[PrjId]=$B255)*(F_RT14[Vrs]=$D255)*(_xlfn.TEXTAFTER(F_RT14[ActGrp],":")=_xlfn.TEXTAFTER($H255,":")),"X"),MATCH("*"&amp;L$54,F_RT14[#Headers],0))),IF(AND(_xlpm.x=0,_xlpm.y&lt;&gt;0),-1,IF(AND(_xlpm.x&lt;&gt;0,_xlpm.y&lt;&gt;0),_xlpm.x,IF(AND(_xlpm.x-SUM(IF((INDIRECT($B$3)=$B255)*(INDIRECT($C$3)=$D255)*((INDIRECT($E$3)="TOTS")+(INDIRECT($E$3)=$E255)),INDIRECT(L$3)))&lt;&gt;0,_xlpm.y=0),-2,_xlpm.x)))),0))</f>
        <v>0</v>
      </c>
      <c r="M255" s="199" cm="1">
        <f t="array" aca="1" ref="M255" ca="1">IF(OR($B255="",$B255="X",$D255="",$D255="X",$E255="",$E255="X"),0,IFERROR(_xlfn.LET(_xlpm.x,SUM(SUM(_xlfn._xlws.FILTER(VALUE(PptoSty[Sign]&amp;1)*(1/PptoSty[Division]),(PptoSty[Division]&lt;&gt;0)*(PptoSty[Division]&lt;&gt;"")*(PptoSty[Division]&lt;&gt;"X")*(PptoSty[Project]=$B255)*(PptoSty[Vrs]=$D255)*(PptoSty[PiRow]=_xlfn.TEXTAFTER($H255,":"))*(PptoSty[PiColumn]=M$54),0)),SUM(IF((INDIRECT($B$3)=$B255)*(INDIRECT($C$3)=$D255)*((INDIRECT($E$3)="TOTS")+(INDIRECT($E$3)=$E255)),INDIRECT(M$3)))),_xlpm.y,SUM(_xlfn.CHOOSECOLS(_xlfn._xlws.FILTER(F_RT14[],(F_RT14[PrjId]=$B255)*(F_RT14[Vrs]=$D255)*(_xlfn.TEXTAFTER(F_RT14[ActGrp],":")=_xlfn.TEXTAFTER($H255,":")),"X"),MATCH("*"&amp;M$54,F_RT14[#Headers],0))),IF(AND(_xlpm.x=0,_xlpm.y&lt;&gt;0),-1,IF(AND(_xlpm.x&lt;&gt;0,_xlpm.y&lt;&gt;0),_xlpm.x,IF(AND(_xlpm.x-SUM(IF((INDIRECT($B$3)=$B255)*(INDIRECT($C$3)=$D255)*((INDIRECT($E$3)="TOTS")+(INDIRECT($E$3)=$E255)),INDIRECT(M$3)))&lt;&gt;0,_xlpm.y=0),-2,_xlpm.x)))),0))</f>
        <v>0</v>
      </c>
      <c r="N255" s="199" cm="1">
        <f t="array" aca="1" ref="N255" ca="1">IF(OR($B255="",$B255="X",$D255="",$D255="X",$E255="",$E255="X"),0,IFERROR(_xlfn.LET(_xlpm.x,SUM(SUM(_xlfn._xlws.FILTER(VALUE(PptoSty[Sign]&amp;1)*(1/PptoSty[Division]),(PptoSty[Division]&lt;&gt;0)*(PptoSty[Division]&lt;&gt;"")*(PptoSty[Division]&lt;&gt;"X")*(PptoSty[Project]=$B255)*(PptoSty[Vrs]=$D255)*(PptoSty[PiRow]=_xlfn.TEXTAFTER($H255,":"))*(PptoSty[PiColumn]=N$54),0)),SUM(IF((INDIRECT($B$3)=$B255)*(INDIRECT($C$3)=$D255)*((INDIRECT($E$3)="TOTS")+(INDIRECT($E$3)=$E255)),INDIRECT(N$3)))),_xlpm.y,SUM(_xlfn.CHOOSECOLS(_xlfn._xlws.FILTER(F_RT14[],(F_RT14[PrjId]=$B255)*(F_RT14[Vrs]=$D255)*(_xlfn.TEXTAFTER(F_RT14[ActGrp],":")=_xlfn.TEXTAFTER($H255,":")),"X"),MATCH("*"&amp;N$54,F_RT14[#Headers],0))),IF(AND(_xlpm.x=0,_xlpm.y&lt;&gt;0),-1,IF(AND(_xlpm.x&lt;&gt;0,_xlpm.y&lt;&gt;0),_xlpm.x,IF(AND(_xlpm.x-SUM(IF((INDIRECT($B$3)=$B255)*(INDIRECT($C$3)=$D255)*((INDIRECT($E$3)="TOTS")+(INDIRECT($E$3)=$E255)),INDIRECT(N$3)))&lt;&gt;0,_xlpm.y=0),-2,_xlpm.x)))),0))</f>
        <v>0</v>
      </c>
      <c r="O255" s="199" cm="1">
        <f t="array" aca="1" ref="O255" ca="1">IF(OR($B255="",$B255="X",$D255="",$D255="X",$E255="",$E255="X"),0,IFERROR(_xlfn.LET(_xlpm.x,SUM(SUM(_xlfn._xlws.FILTER(VALUE(PptoSty[Sign]&amp;1)*(1/PptoSty[Division]),(PptoSty[Division]&lt;&gt;0)*(PptoSty[Division]&lt;&gt;"")*(PptoSty[Division]&lt;&gt;"X")*(PptoSty[Project]=$B255)*(PptoSty[Vrs]=$D255)*(PptoSty[PiRow]=_xlfn.TEXTAFTER($H255,":"))*(PptoSty[PiColumn]=O$54),0)),SUM(IF((INDIRECT($B$3)=$B255)*(INDIRECT($C$3)=$D255)*((INDIRECT($E$3)="TOTS")+(INDIRECT($E$3)=$E255)),INDIRECT(O$3)))),_xlpm.y,SUM(_xlfn.CHOOSECOLS(_xlfn._xlws.FILTER(F_RT14[],(F_RT14[PrjId]=$B255)*(F_RT14[Vrs]=$D255)*(_xlfn.TEXTAFTER(F_RT14[ActGrp],":")=_xlfn.TEXTAFTER($H255,":")),"X"),MATCH("*"&amp;O$54,F_RT14[#Headers],0))),IF(AND(_xlpm.x=0,_xlpm.y&lt;&gt;0),-1,IF(AND(_xlpm.x&lt;&gt;0,_xlpm.y&lt;&gt;0),_xlpm.x,IF(AND(_xlpm.x-SUM(IF((INDIRECT($B$3)=$B255)*(INDIRECT($C$3)=$D255)*((INDIRECT($E$3)="TOTS")+(INDIRECT($E$3)=$E255)),INDIRECT(O$3)))&lt;&gt;0,_xlpm.y=0),-2,_xlpm.x)))),0))</f>
        <v>0</v>
      </c>
      <c r="P255" s="199" cm="1">
        <f t="array" aca="1" ref="P255" ca="1">IF(OR($B255="",$B255="X",$D255="",$D255="X",$E255="",$E255="X"),0,IFERROR(_xlfn.LET(_xlpm.x,SUM(SUM(_xlfn._xlws.FILTER(VALUE(PptoSty[Sign]&amp;1)*(1/PptoSty[Division]),(PptoSty[Division]&lt;&gt;0)*(PptoSty[Division]&lt;&gt;"")*(PptoSty[Division]&lt;&gt;"X")*(PptoSty[Project]=$B255)*(PptoSty[Vrs]=$D255)*(PptoSty[PiRow]=_xlfn.TEXTAFTER($H255,":"))*(PptoSty[PiColumn]=P$54),0)),SUM(IF((INDIRECT($B$3)=$B255)*(INDIRECT($C$3)=$D255)*((INDIRECT($E$3)="TOTS")+(INDIRECT($E$3)=$E255)),INDIRECT(P$3)))),_xlpm.y,SUM(_xlfn.CHOOSECOLS(_xlfn._xlws.FILTER(F_RT14[],(F_RT14[PrjId]=$B255)*(F_RT14[Vrs]=$D255)*(_xlfn.TEXTAFTER(F_RT14[ActGrp],":")=_xlfn.TEXTAFTER($H255,":")),"X"),MATCH("*"&amp;P$54,F_RT14[#Headers],0))),IF(AND(_xlpm.x=0,_xlpm.y&lt;&gt;0),-1,IF(AND(_xlpm.x&lt;&gt;0,_xlpm.y&lt;&gt;0),_xlpm.x,IF(AND(_xlpm.x-SUM(IF((INDIRECT($B$3)=$B255)*(INDIRECT($C$3)=$D255)*((INDIRECT($E$3)="TOTS")+(INDIRECT($E$3)=$E255)),INDIRECT(P$3)))&lt;&gt;0,_xlpm.y=0),-2,_xlpm.x)))),0))</f>
        <v>0</v>
      </c>
      <c r="Q255" s="199" cm="1">
        <f t="array" aca="1" ref="Q255" ca="1">IF(OR($B255="",$B255="X",$D255="",$D255="X",$E255="",$E255="X"),0,IFERROR(_xlfn.LET(_xlpm.x,SUM(SUM(_xlfn._xlws.FILTER(VALUE(PptoSty[Sign]&amp;1)*(1/PptoSty[Division]),(PptoSty[Division]&lt;&gt;0)*(PptoSty[Division]&lt;&gt;"")*(PptoSty[Division]&lt;&gt;"X")*(PptoSty[Project]=$B255)*(PptoSty[Vrs]=$D255)*(PptoSty[PiRow]=_xlfn.TEXTAFTER($H255,":"))*(PptoSty[PiColumn]=Q$54),0)),SUM(IF((INDIRECT($B$3)=$B255)*(INDIRECT($C$3)=$D255)*((INDIRECT($E$3)="TOTS")+(INDIRECT($E$3)=$E255)),INDIRECT(Q$3)))),_xlpm.y,SUM(_xlfn.CHOOSECOLS(_xlfn._xlws.FILTER(F_RT14[],(F_RT14[PrjId]=$B255)*(F_RT14[Vrs]=$D255)*(_xlfn.TEXTAFTER(F_RT14[ActGrp],":")=_xlfn.TEXTAFTER($H255,":")),"X"),MATCH("*"&amp;Q$54,F_RT14[#Headers],0))),IF(AND(_xlpm.x=0,_xlpm.y&lt;&gt;0),-1,IF(AND(_xlpm.x&lt;&gt;0,_xlpm.y&lt;&gt;0),_xlpm.x,IF(AND(_xlpm.x-SUM(IF((INDIRECT($B$3)=$B255)*(INDIRECT($C$3)=$D255)*((INDIRECT($E$3)="TOTS")+(INDIRECT($E$3)=$E255)),INDIRECT(Q$3)))&lt;&gt;0,_xlpm.y=0),-2,_xlpm.x)))),0))</f>
        <v>0</v>
      </c>
      <c r="R255" s="199" cm="1">
        <f t="array" aca="1" ref="R255" ca="1">IF(OR($B255="",$B255="X",$D255="",$D255="X",$E255="",$E255="X"),0,IFERROR(_xlfn.LET(_xlpm.x,SUM(SUM(_xlfn._xlws.FILTER(VALUE(PptoSty[Sign]&amp;1)*(1/PptoSty[Division]),(PptoSty[Division]&lt;&gt;0)*(PptoSty[Division]&lt;&gt;"")*(PptoSty[Division]&lt;&gt;"X")*(PptoSty[Project]=$B255)*(PptoSty[Vrs]=$D255)*(PptoSty[PiRow]=_xlfn.TEXTAFTER($H255,":"))*(PptoSty[PiColumn]=R$54),0)),SUM(IF((INDIRECT($B$3)=$B255)*(INDIRECT($C$3)=$D255)*((INDIRECT($E$3)="TOTS")+(INDIRECT($E$3)=$E255)),INDIRECT(R$3)))),_xlpm.y,SUM(_xlfn.CHOOSECOLS(_xlfn._xlws.FILTER(F_RT14[],(F_RT14[PrjId]=$B255)*(F_RT14[Vrs]=$D255)*(_xlfn.TEXTAFTER(F_RT14[ActGrp],":")=_xlfn.TEXTAFTER($H255,":")),"X"),MATCH("*"&amp;R$54,F_RT14[#Headers],0))),IF(AND(_xlpm.x=0,_xlpm.y&lt;&gt;0),-1,IF(AND(_xlpm.x&lt;&gt;0,_xlpm.y&lt;&gt;0),_xlpm.x,IF(AND(_xlpm.x-SUM(IF((INDIRECT($B$3)=$B255)*(INDIRECT($C$3)=$D255)*((INDIRECT($E$3)="TOTS")+(INDIRECT($E$3)=$E255)),INDIRECT(R$3)))&lt;&gt;0,_xlpm.y=0),-2,_xlpm.x)))),0))</f>
        <v>0</v>
      </c>
      <c r="S255" s="199" cm="1">
        <f t="array" aca="1" ref="S255" ca="1">IF(OR($B255="",$B255="X",$D255="",$D255="X",$E255="",$E255="X"),0,IFERROR(_xlfn.LET(_xlpm.x,SUM(SUM(_xlfn._xlws.FILTER(VALUE(PptoSty[Sign]&amp;1)*(1/PptoSty[Division]),(PptoSty[Division]&lt;&gt;0)*(PptoSty[Division]&lt;&gt;"")*(PptoSty[Division]&lt;&gt;"X")*(PptoSty[Project]=$B255)*(PptoSty[Vrs]=$D255)*(PptoSty[PiRow]=_xlfn.TEXTAFTER($H255,":"))*(PptoSty[PiColumn]=S$54),0)),SUM(IF((INDIRECT($B$3)=$B255)*(INDIRECT($C$3)=$D255)*((INDIRECT($E$3)="TOTS")+(INDIRECT($E$3)=$E255)),INDIRECT(S$3)))),_xlpm.y,SUM(_xlfn.CHOOSECOLS(_xlfn._xlws.FILTER(F_RT14[],(F_RT14[PrjId]=$B255)*(F_RT14[Vrs]=$D255)*(_xlfn.TEXTAFTER(F_RT14[ActGrp],":")=_xlfn.TEXTAFTER($H255,":")),"X"),MATCH("*"&amp;S$54,F_RT14[#Headers],0))),IF(AND(_xlpm.x=0,_xlpm.y&lt;&gt;0),-1,IF(AND(_xlpm.x&lt;&gt;0,_xlpm.y&lt;&gt;0),_xlpm.x,IF(AND(_xlpm.x-SUM(IF((INDIRECT($B$3)=$B255)*(INDIRECT($C$3)=$D255)*((INDIRECT($E$3)="TOTS")+(INDIRECT($E$3)=$E255)),INDIRECT(S$3)))&lt;&gt;0,_xlpm.y=0),-2,_xlpm.x)))),0))</f>
        <v>0</v>
      </c>
      <c r="T255" s="199" cm="1">
        <f t="array" aca="1" ref="T255" ca="1">IF(OR($B255="",$B255="X",$D255="",$D255="X",$E255="",$E255="X"),0,IFERROR(_xlfn.LET(_xlpm.x,SUM(SUM(_xlfn._xlws.FILTER(VALUE(PptoSty[Sign]&amp;1)*(1/PptoSty[Division]),(PptoSty[Division]&lt;&gt;0)*(PptoSty[Division]&lt;&gt;"")*(PptoSty[Division]&lt;&gt;"X")*(PptoSty[Project]=$B255)*(PptoSty[Vrs]=$D255)*(PptoSty[PiRow]=_xlfn.TEXTAFTER($H255,":"))*(PptoSty[PiColumn]=T$54),0)),SUM(IF((INDIRECT($B$3)=$B255)*(INDIRECT($C$3)=$D255)*((INDIRECT($E$3)="TOTS")+(INDIRECT($E$3)=$E255)),INDIRECT(T$3)))),_xlpm.y,SUM(_xlfn.CHOOSECOLS(_xlfn._xlws.FILTER(F_RT14[],(F_RT14[PrjId]=$B255)*(F_RT14[Vrs]=$D255)*(_xlfn.TEXTAFTER(F_RT14[ActGrp],":")=_xlfn.TEXTAFTER($H255,":")),"X"),MATCH("*"&amp;T$54,F_RT14[#Headers],0))),IF(AND(_xlpm.x=0,_xlpm.y&lt;&gt;0),-1,IF(AND(_xlpm.x&lt;&gt;0,_xlpm.y&lt;&gt;0),_xlpm.x,IF(AND(_xlpm.x-SUM(IF((INDIRECT($B$3)=$B255)*(INDIRECT($C$3)=$D255)*((INDIRECT($E$3)="TOTS")+(INDIRECT($E$3)=$E255)),INDIRECT(T$3)))&lt;&gt;0,_xlpm.y=0),-2,_xlpm.x)))),0))</f>
        <v>0</v>
      </c>
      <c r="U255" s="199" cm="1">
        <f t="array" aca="1" ref="U255" ca="1">IF(OR($B255="",$B255="X",$D255="",$D255="X",$E255="",$E255="X"),0,IFERROR(_xlfn.LET(_xlpm.x,SUM(SUM(_xlfn._xlws.FILTER(VALUE(PptoSty[Sign]&amp;1)*(1/PptoSty[Division]),(PptoSty[Division]&lt;&gt;0)*(PptoSty[Division]&lt;&gt;"")*(PptoSty[Division]&lt;&gt;"X")*(PptoSty[Project]=$B255)*(PptoSty[Vrs]=$D255)*(PptoSty[PiRow]=_xlfn.TEXTAFTER($H255,":"))*(PptoSty[PiColumn]=U$54),0)),SUM(IF((INDIRECT($B$3)=$B255)*(INDIRECT($C$3)=$D255)*((INDIRECT($E$3)="TOTS")+(INDIRECT($E$3)=$E255)),INDIRECT(U$3)))),_xlpm.y,SUM(_xlfn.CHOOSECOLS(_xlfn._xlws.FILTER(F_RT14[],(F_RT14[PrjId]=$B255)*(F_RT14[Vrs]=$D255)*(_xlfn.TEXTAFTER(F_RT14[ActGrp],":")=_xlfn.TEXTAFTER($H255,":")),"X"),MATCH("*"&amp;U$54,F_RT14[#Headers],0))),IF(AND(_xlpm.x=0,_xlpm.y&lt;&gt;0),-1,IF(AND(_xlpm.x&lt;&gt;0,_xlpm.y&lt;&gt;0),_xlpm.x,IF(AND(_xlpm.x-SUM(IF((INDIRECT($B$3)=$B255)*(INDIRECT($C$3)=$D255)*((INDIRECT($E$3)="TOTS")+(INDIRECT($E$3)=$E255)),INDIRECT(U$3)))&lt;&gt;0,_xlpm.y=0),-2,_xlpm.x)))),0))</f>
        <v>0</v>
      </c>
      <c r="V255" s="199" cm="1">
        <f t="array" aca="1" ref="V255" ca="1">IF(OR($B255="",$B255="X",$D255="",$D255="X",$E255="",$E255="X"),0,IFERROR(_xlfn.LET(_xlpm.x,SUM(SUM(_xlfn._xlws.FILTER(VALUE(PptoSty[Sign]&amp;1)*(1/PptoSty[Division]),(PptoSty[Division]&lt;&gt;0)*(PptoSty[Division]&lt;&gt;"")*(PptoSty[Division]&lt;&gt;"X")*(PptoSty[Project]=$B255)*(PptoSty[Vrs]=$D255)*(PptoSty[PiRow]=_xlfn.TEXTAFTER($H255,":"))*(PptoSty[PiColumn]=V$54),0)),SUM(IF((INDIRECT($B$3)=$B255)*(INDIRECT($C$3)=$D255)*((INDIRECT($E$3)="TOTS")+(INDIRECT($E$3)=$E255)),INDIRECT(V$3)))),_xlpm.y,SUM(_xlfn.CHOOSECOLS(_xlfn._xlws.FILTER(F_RT14[],(F_RT14[PrjId]=$B255)*(F_RT14[Vrs]=$D255)*(_xlfn.TEXTAFTER(F_RT14[ActGrp],":")=_xlfn.TEXTAFTER($H255,":")),"X"),MATCH("*"&amp;V$54,F_RT14[#Headers],0))),IF(AND(_xlpm.x=0,_xlpm.y&lt;&gt;0),-1,IF(AND(_xlpm.x&lt;&gt;0,_xlpm.y&lt;&gt;0),_xlpm.x,IF(AND(_xlpm.x-SUM(IF((INDIRECT($B$3)=$B255)*(INDIRECT($C$3)=$D255)*((INDIRECT($E$3)="TOTS")+(INDIRECT($E$3)=$E255)),INDIRECT(V$3)))&lt;&gt;0,_xlpm.y=0),-2,_xlpm.x)))),0))</f>
        <v>0</v>
      </c>
      <c r="W255" s="199" cm="1">
        <f t="array" aca="1" ref="W255" ca="1">IF(OR($B255="",$B255="X",$D255="",$D255="X",$E255="",$E255="X"),0,IFERROR(_xlfn.LET(_xlpm.x,SUM(SUM(_xlfn._xlws.FILTER(VALUE(PptoSty[Sign]&amp;1)*(1/PptoSty[Division]),(PptoSty[Division]&lt;&gt;0)*(PptoSty[Division]&lt;&gt;"")*(PptoSty[Division]&lt;&gt;"X")*(PptoSty[Project]=$B255)*(PptoSty[Vrs]=$D255)*(PptoSty[PiRow]=_xlfn.TEXTAFTER($H255,":"))*(PptoSty[PiColumn]=W$54),0)),SUM(IF((INDIRECT($B$3)=$B255)*(INDIRECT($C$3)=$D255)*((INDIRECT($E$3)="TOTS")+(INDIRECT($E$3)=$E255)),INDIRECT(W$3)))),_xlpm.y,SUM(_xlfn.CHOOSECOLS(_xlfn._xlws.FILTER(F_RT14[],(F_RT14[PrjId]=$B255)*(F_RT14[Vrs]=$D255)*(_xlfn.TEXTAFTER(F_RT14[ActGrp],":")=_xlfn.TEXTAFTER($H255,":")),"X"),MATCH("*"&amp;W$54,F_RT14[#Headers],0))),IF(AND(_xlpm.x=0,_xlpm.y&lt;&gt;0),-1,IF(AND(_xlpm.x&lt;&gt;0,_xlpm.y&lt;&gt;0),_xlpm.x,IF(AND(_xlpm.x-SUM(IF((INDIRECT($B$3)=$B255)*(INDIRECT($C$3)=$D255)*((INDIRECT($E$3)="TOTS")+(INDIRECT($E$3)=$E255)),INDIRECT(W$3)))&lt;&gt;0,_xlpm.y=0),-2,_xlpm.x)))),0))</f>
        <v>0</v>
      </c>
      <c r="X255" s="199" cm="1">
        <f t="array" aca="1" ref="X255" ca="1">IF(OR($B255="",$B255="X",$D255="",$D255="X",$E255="",$E255="X"),0,IFERROR(_xlfn.LET(_xlpm.x,SUM(SUM(_xlfn._xlws.FILTER(VALUE(PptoSty[Sign]&amp;1)*(1/PptoSty[Division]),(PptoSty[Division]&lt;&gt;0)*(PptoSty[Division]&lt;&gt;"")*(PptoSty[Division]&lt;&gt;"X")*(PptoSty[Project]=$B255)*(PptoSty[Vrs]=$D255)*(PptoSty[PiRow]=_xlfn.TEXTAFTER($H255,":"))*(PptoSty[PiColumn]=X$54),0)),SUM(IF((INDIRECT($B$3)=$B255)*(INDIRECT($C$3)=$D255)*((INDIRECT($E$3)="TOTS")+(INDIRECT($E$3)=$E255)),INDIRECT(X$3)))),_xlpm.y,SUM(_xlfn.CHOOSECOLS(_xlfn._xlws.FILTER(F_RT14[],(F_RT14[PrjId]=$B255)*(F_RT14[Vrs]=$D255)*(_xlfn.TEXTAFTER(F_RT14[ActGrp],":")=_xlfn.TEXTAFTER($H255,":")),"X"),MATCH("*"&amp;X$54,F_RT14[#Headers],0))),IF(AND(_xlpm.x=0,_xlpm.y&lt;&gt;0),-1,IF(AND(_xlpm.x&lt;&gt;0,_xlpm.y&lt;&gt;0),_xlpm.x,IF(AND(_xlpm.x-SUM(IF((INDIRECT($B$3)=$B255)*(INDIRECT($C$3)=$D255)*((INDIRECT($E$3)="TOTS")+(INDIRECT($E$3)=$E255)),INDIRECT(X$3)))&lt;&gt;0,_xlpm.y=0),-2,_xlpm.x)))),0))</f>
        <v>0</v>
      </c>
      <c r="Y255" s="199" cm="1">
        <f t="array" aca="1" ref="Y255" ca="1">IF(OR($B255="",$B255="X",$D255="",$D255="X",$E255="",$E255="X"),0,IFERROR(_xlfn.LET(_xlpm.x,SUM(SUM(_xlfn._xlws.FILTER(VALUE(PptoSty[Sign]&amp;1)*(1/PptoSty[Division]),(PptoSty[Division]&lt;&gt;0)*(PptoSty[Division]&lt;&gt;"")*(PptoSty[Division]&lt;&gt;"X")*(PptoSty[Project]=$B255)*(PptoSty[Vrs]=$D255)*(PptoSty[PiRow]=_xlfn.TEXTAFTER($H255,":"))*(PptoSty[PiColumn]=Y$54),0)),SUM(IF((INDIRECT($B$3)=$B255)*(INDIRECT($C$3)=$D255)*((INDIRECT($E$3)="TOTS")+(INDIRECT($E$3)=$E255)),INDIRECT(Y$3)))),_xlpm.y,SUM(_xlfn.CHOOSECOLS(_xlfn._xlws.FILTER(F_RT14[],(F_RT14[PrjId]=$B255)*(F_RT14[Vrs]=$D255)*(_xlfn.TEXTAFTER(F_RT14[ActGrp],":")=_xlfn.TEXTAFTER($H255,":")),"X"),MATCH("*"&amp;Y$54,F_RT14[#Headers],0))),IF(AND(_xlpm.x=0,_xlpm.y&lt;&gt;0),-1,IF(AND(_xlpm.x&lt;&gt;0,_xlpm.y&lt;&gt;0),_xlpm.x,IF(AND(_xlpm.x-SUM(IF((INDIRECT($B$3)=$B255)*(INDIRECT($C$3)=$D255)*((INDIRECT($E$3)="TOTS")+(INDIRECT($E$3)=$E255)),INDIRECT(Y$3)))&lt;&gt;0,_xlpm.y=0),-2,_xlpm.x)))),0))</f>
        <v>0</v>
      </c>
      <c r="Z255" s="198" t="str">
        <f t="shared" ca="1" si="5"/>
        <v>Fback!B255:Y255</v>
      </c>
      <c r="AA255" s="38"/>
    </row>
    <row r="256" spans="1:27" ht="13">
      <c r="A256" s="127" t="s">
        <v>406</v>
      </c>
    </row>
    <row r="257" spans="1:27" ht="14">
      <c r="A257" s="127" t="s">
        <v>1978</v>
      </c>
      <c r="I257" s="353" t="str">
        <f t="shared" ref="I257:R257" si="6">I260</f>
        <v>GESTIÓN PROYECTOS</v>
      </c>
      <c r="J257" s="353" t="str">
        <f t="shared" si="6"/>
        <v>DEFINICIÓN</v>
      </c>
      <c r="K257" s="353" t="str">
        <f t="shared" si="6"/>
        <v>DISEÑO MECÁNICO</v>
      </c>
      <c r="L257" s="353" t="str">
        <f t="shared" si="6"/>
        <v>ROBCAD</v>
      </c>
      <c r="M257" s="353" t="str">
        <f t="shared" si="6"/>
        <v>AUTOMATISMOS</v>
      </c>
      <c r="N257" s="353" t="str">
        <f t="shared" si="6"/>
        <v>DISEÑO FLUIDOS</v>
      </c>
      <c r="O257" s="353" t="str">
        <f t="shared" si="6"/>
        <v>ROBÓTICA</v>
      </c>
      <c r="P257" s="353" t="str">
        <f t="shared" si="6"/>
        <v>FABRICACIÓN MECÁNICA</v>
      </c>
      <c r="Q257" s="353" t="str">
        <f t="shared" si="6"/>
        <v>MONTAJE MECÁNICO</v>
      </c>
      <c r="R257" s="353" t="str">
        <f t="shared" si="6"/>
        <v>METROLOGÍA</v>
      </c>
      <c r="S257" s="279" t="str">
        <f>UPPER("Fabricación Eléctrica:Instalación ENR")</f>
        <v>FABRICACIÓN ELÉCTRICA:INSTALACIÓN ENR</v>
      </c>
      <c r="T257" s="279" t="str">
        <f>UPPER("Adicionales")</f>
        <v>ADICIONALES</v>
      </c>
      <c r="U257" s="353" t="str">
        <f>U260</f>
        <v>ASIST. TÉCNICA</v>
      </c>
      <c r="V257" s="353" t="str">
        <f>V260</f>
        <v>MATERIAL MECÁNICO +%</v>
      </c>
      <c r="W257" s="353" t="str">
        <f>W260</f>
        <v>MATERIAL ELÉCTRICO +%</v>
      </c>
      <c r="X257" s="353" t="str">
        <f>X260</f>
        <v>MATERIAL FLUIDOS +%</v>
      </c>
      <c r="Y257" s="353" t="str">
        <f>Y260</f>
        <v>TRANSP. &amp; DESPLAZ.</v>
      </c>
      <c r="Z257" s="198" t="str">
        <f ca="1">ADDRESS(SUM(ROW()),MATCH("SOC",$1:$1,0)+1,4,1,$B$2)&amp;":"&amp;ADDRESS(SUM(ROW()),MATCH("EOC",$1:$1,0)-1,4)</f>
        <v>Fback!B257:Y257</v>
      </c>
    </row>
    <row r="258" spans="1:27" s="33" customFormat="1" ht="17.25" customHeight="1">
      <c r="A258" s="126"/>
      <c r="B258" s="33" t="str">
        <f ca="1">ADDRESS(MATCH("SO"&amp;RIGHT($A259,1),$A:$A,0)+1,MATCH("SOC",$1:$1,0)+1,4,1,$B$2)&amp;":"&amp;ADDRESS(MATCH("EO"&amp;RIGHT($A259,1),$A:$A,0)-1,MATCH("EOC",$1:$1,0)-1,4)</f>
        <v>Fback!B261:Y294</v>
      </c>
      <c r="F258" s="31"/>
      <c r="G258" s="31"/>
      <c r="H258" s="31"/>
    </row>
    <row r="259" spans="1:27" s="33" customFormat="1" ht="17.25" customHeight="1">
      <c r="A259" s="123" t="s">
        <v>1720</v>
      </c>
      <c r="B259" s="198" t="str">
        <f ca="1">ADDRESS(MATCH("SO"&amp;RIGHT($A259,1),$A:$A,0)+1,SUM(COLUMN()),4,1,$B$2)&amp;":"&amp;ADDRESS(MATCH("EO"&amp;RIGHT($A259,1),$A:$A,0)-1,SUM(COLUMN()),4)</f>
        <v>Fback!B261:B294</v>
      </c>
      <c r="C259" s="198" t="str">
        <f ca="1">ADDRESS(MATCH("SO"&amp;RIGHT($A259,1),$A:$A,0)+1,SUM(COLUMN()),4,1,$B$2)&amp;":"&amp;ADDRESS(MATCH("EO"&amp;RIGHT($A259,1),$A:$A,0)-1,SUM(COLUMN()),4)</f>
        <v>Fback!C261:C294</v>
      </c>
      <c r="D259" s="198" t="str">
        <f ca="1">ADDRESS(MATCH("SO"&amp;RIGHT($A259,1),$A:$A,0)+1,SUM(COLUMN()),4,1,$B$2)&amp;":"&amp;ADDRESS(MATCH("EO"&amp;RIGHT($A259,1),$A:$A,0)-1,SUM(COLUMN()),4)</f>
        <v>Fback!D261:D294</v>
      </c>
      <c r="E259" s="198" t="str">
        <f ca="1">ADDRESS(MATCH("SO"&amp;RIGHT($A259,1),$A:$A,0)+1,SUM(COLUMN()),4,1,$B$2)&amp;":"&amp;ADDRESS(MATCH("EO"&amp;RIGHT($A259,1),$A:$A,0)-1,SUM(COLUMN()),4)</f>
        <v>Fback!E261:E294</v>
      </c>
      <c r="F259" s="198" t="str">
        <f ca="1">ADDRESS(MATCH("SO"&amp;RIGHT($A259,1),$A:$A,0)+1,SUM(COLUMN()),4,1,$B$2)&amp;":"&amp;ADDRESS(MATCH("EO"&amp;RIGHT($A259,1),$A:$A,0)-1,SUM(COLUMN()),4)</f>
        <v>Fback!F261:F294</v>
      </c>
      <c r="G259" s="198"/>
      <c r="H259" s="198"/>
      <c r="I259" s="198" t="str">
        <f t="shared" ref="I259:AA259" ca="1" si="7">ADDRESS(MATCH("SO"&amp;RIGHT($A259,1),$A:$A,0)+1,SUM(COLUMN()),4,1,$B$2)&amp;":"&amp;ADDRESS(MATCH("EO"&amp;RIGHT($A259,1),$A:$A,0)-1,SUM(COLUMN()),4)</f>
        <v>Fback!I261:I294</v>
      </c>
      <c r="J259" s="198" t="str">
        <f t="shared" ca="1" si="7"/>
        <v>Fback!J261:J294</v>
      </c>
      <c r="K259" s="198" t="str">
        <f t="shared" ca="1" si="7"/>
        <v>Fback!K261:K294</v>
      </c>
      <c r="L259" s="198" t="str">
        <f t="shared" ca="1" si="7"/>
        <v>Fback!L261:L294</v>
      </c>
      <c r="M259" s="198" t="str">
        <f t="shared" ca="1" si="7"/>
        <v>Fback!M261:M294</v>
      </c>
      <c r="N259" s="198" t="str">
        <f t="shared" ca="1" si="7"/>
        <v>Fback!N261:N294</v>
      </c>
      <c r="O259" s="198" t="str">
        <f t="shared" ca="1" si="7"/>
        <v>Fback!O261:O294</v>
      </c>
      <c r="P259" s="198" t="str">
        <f t="shared" ca="1" si="7"/>
        <v>Fback!P261:P294</v>
      </c>
      <c r="Q259" s="198" t="str">
        <f t="shared" ca="1" si="7"/>
        <v>Fback!Q261:Q294</v>
      </c>
      <c r="R259" s="198" t="str">
        <f t="shared" ca="1" si="7"/>
        <v>Fback!R261:R294</v>
      </c>
      <c r="S259" s="198" t="str">
        <f t="shared" ca="1" si="7"/>
        <v>Fback!S261:S294</v>
      </c>
      <c r="T259" s="198" t="str">
        <f t="shared" ca="1" si="7"/>
        <v>Fback!T261:T294</v>
      </c>
      <c r="U259" s="198" t="str">
        <f t="shared" ca="1" si="7"/>
        <v>Fback!U261:U294</v>
      </c>
      <c r="V259" s="198" t="str">
        <f t="shared" ca="1" si="7"/>
        <v>Fback!V261:V294</v>
      </c>
      <c r="W259" s="198" t="str">
        <f t="shared" ca="1" si="7"/>
        <v>Fback!W261:W294</v>
      </c>
      <c r="X259" s="198" t="str">
        <f t="shared" ca="1" si="7"/>
        <v>Fback!X261:X294</v>
      </c>
      <c r="Y259" s="198" t="str">
        <f t="shared" ca="1" si="7"/>
        <v>Fback!Y261:Y294</v>
      </c>
      <c r="Z259" s="198" t="str">
        <f t="shared" ref="Z259:Z294" ca="1" si="8">ADDRESS(SUM(ROW()),MATCH("SOC",$1:$1,0)+1,4,1,$B$2)&amp;":"&amp;ADDRESS(SUM(ROW()),MATCH("EOC",$1:$1,0)-1,4)</f>
        <v>Fback!B259:Y259</v>
      </c>
      <c r="AA259" s="198" t="str">
        <f t="shared" ca="1" si="7"/>
        <v>Fback!AA261:AA294</v>
      </c>
    </row>
    <row r="260" spans="1:27" s="34" customFormat="1" ht="40.5" customHeight="1">
      <c r="A260" s="126" t="s">
        <v>1721</v>
      </c>
      <c r="B260" s="192" t="s">
        <v>1299</v>
      </c>
      <c r="C260" s="192" t="s">
        <v>2129</v>
      </c>
      <c r="D260" s="192" t="s">
        <v>1565</v>
      </c>
      <c r="E260" s="192" t="s">
        <v>1716</v>
      </c>
      <c r="F260" s="192" t="s">
        <v>1353</v>
      </c>
      <c r="G260" s="192"/>
      <c r="H260" s="192"/>
      <c r="I260" s="193" t="s">
        <v>1641</v>
      </c>
      <c r="J260" s="194" t="s">
        <v>1642</v>
      </c>
      <c r="K260" s="194" t="s">
        <v>1274</v>
      </c>
      <c r="L260" s="193" t="s">
        <v>360</v>
      </c>
      <c r="M260" s="194" t="s">
        <v>1643</v>
      </c>
      <c r="N260" s="194" t="s">
        <v>1644</v>
      </c>
      <c r="O260" s="193" t="s">
        <v>372</v>
      </c>
      <c r="P260" s="194" t="s">
        <v>379</v>
      </c>
      <c r="Q260" s="194" t="s">
        <v>380</v>
      </c>
      <c r="R260" s="194" t="s">
        <v>373</v>
      </c>
      <c r="S260" s="193" t="s">
        <v>381</v>
      </c>
      <c r="T260" s="194" t="s">
        <v>1645</v>
      </c>
      <c r="U260" s="193" t="s">
        <v>384</v>
      </c>
      <c r="V260" s="193" t="s">
        <v>1639</v>
      </c>
      <c r="W260" s="193" t="s">
        <v>1646</v>
      </c>
      <c r="X260" s="193" t="s">
        <v>1647</v>
      </c>
      <c r="Y260" s="193" t="s">
        <v>386</v>
      </c>
      <c r="Z260" s="198" t="str">
        <f t="shared" ca="1" si="8"/>
        <v>Fback!B260:Y260</v>
      </c>
      <c r="AA260" s="193" t="s">
        <v>7</v>
      </c>
    </row>
    <row r="261" spans="1:27" ht="21" customHeight="1" outlineLevel="1">
      <c r="B261" s="247" t="str" cm="1">
        <f t="array" ref="B261:C261">IF($E261="X","X",_xlfn._xlws.FILTER(P_SelPrj[[PrjId]:[Cia]],P_SelPrj[Attribute]=VALUE(LEFT($E261,1)),"X"))</f>
        <v>31200</v>
      </c>
      <c r="C261" s="247" t="str">
        <v>Sp</v>
      </c>
      <c r="D261" s="247" t="s">
        <v>375</v>
      </c>
      <c r="E261" s="247" t="str" cm="1">
        <f t="array" ref="E261">_xlfn.LET(_xlpm.x,IFERROR(INDEX(TbRsmIn[Enquiry No],SUM(ROW()-MATCH("SOM",$A:$A,0))),"X"),IF(_xlpm.x=0,"X",_xlpm.x))</f>
        <v>0CT001</v>
      </c>
      <c r="F261" s="413" t="str" cm="1">
        <f t="array" ref="F261">_xlfn._xlws.FILTER(CstClcData[Value],(CstClcData[Attribute]="Concept")*(CstClcData[Name]=$E261),"X")</f>
        <v>PW offline according Gestamp EUR standard</v>
      </c>
      <c r="G261" s="281"/>
      <c r="H261" s="281"/>
      <c r="I261" s="282" cm="1">
        <f t="array" aca="1" ref="I261" ca="1">IF(OR($E261="",$E261="X"),0,IFERROR(_xlfn.LET(_xlpm.x,SUM(SUM(_xlfn._xlws.FILTER(VALUE(PptoSty[Sign]&amp;1)*(1/PptoSty[Division]),(PptoSty[Division]&lt;&gt;0)*(PptoSty[Division]&lt;&gt;"")*(PptoSty[Division]&lt;&gt;"X")*(PptoSty[RowGrp]=$E261)*(ISNUMBER(FIND(PptoSty[PiColumn],I$257))),0)),$AA261),_xlpm.y,IF(_xlfn._xlws.FILTER(TbRsmIn[Alive],TbRsmIn[Enquiry No]=$E261,"X")="C",0,INDEX(INDIRECT(Mods!$B$2),MATCH($E261,INDIRECT(Mods!$B$4),0),MATCH(I$257,INDIRECT(Mods!$AL$3),0))),IF(AND(_xlpm.x=0,_xlpm.y&lt;&gt;0),-1,IF(AND(_xlpm.x&lt;&gt;0,_xlpm.y&lt;&gt;0),_xlpm.x,IF(AND(_xlpm.x-$AA261&lt;&gt;0,_xlpm.y=0),-2,_xlpm.x)))),0))</f>
        <v>0</v>
      </c>
      <c r="J261" s="282" cm="1">
        <f t="array" aca="1" ref="J261" ca="1">IF(OR($E261="",$E261="X"),0,IFERROR(_xlfn.LET(_xlpm.x,SUM(SUM(_xlfn._xlws.FILTER(VALUE(PptoSty[Sign]&amp;1)*(1/PptoSty[Division]),(PptoSty[Division]&lt;&gt;0)*(PptoSty[Division]&lt;&gt;"")*(PptoSty[Division]&lt;&gt;"X")*(PptoSty[RowGrp]=$E261)*(ISNUMBER(FIND(PptoSty[PiColumn],J$257))),0)),$AA261),_xlpm.y,IF(_xlfn._xlws.FILTER(TbRsmIn[Alive],TbRsmIn[Enquiry No]=$E261,"X")="C",0,INDEX(INDIRECT(Mods!$B$2),MATCH($E261,INDIRECT(Mods!$B$4),0),MATCH(J$257,INDIRECT(Mods!$AL$3),0))),IF(AND(_xlpm.x=0,_xlpm.y&lt;&gt;0),-1,IF(AND(_xlpm.x&lt;&gt;0,_xlpm.y&lt;&gt;0),_xlpm.x,IF(AND(_xlpm.x-$AA261&lt;&gt;0,_xlpm.y=0),-2,_xlpm.x)))),0))</f>
        <v>0</v>
      </c>
      <c r="K261" s="282" cm="1">
        <f t="array" aca="1" ref="K261" ca="1">IF(OR($E261="",$E261="X"),0,IFERROR(_xlfn.LET(_xlpm.x,SUM(SUM(_xlfn._xlws.FILTER(VALUE(PptoSty[Sign]&amp;1)*(1/PptoSty[Division]),(PptoSty[Division]&lt;&gt;0)*(PptoSty[Division]&lt;&gt;"")*(PptoSty[Division]&lt;&gt;"X")*(PptoSty[RowGrp]=$E261)*(ISNUMBER(FIND(PptoSty[PiColumn],K$257))),0)),$AA261),_xlpm.y,IF(_xlfn._xlws.FILTER(TbRsmIn[Alive],TbRsmIn[Enquiry No]=$E261,"X")="C",0,INDEX(INDIRECT(Mods!$B$2),MATCH($E261,INDIRECT(Mods!$B$4),0),MATCH(K$257,INDIRECT(Mods!$AL$3),0))),IF(AND(_xlpm.x=0,_xlpm.y&lt;&gt;0),-1,IF(AND(_xlpm.x&lt;&gt;0,_xlpm.y&lt;&gt;0),_xlpm.x,IF(AND(_xlpm.x-$AA261&lt;&gt;0,_xlpm.y=0),-2,_xlpm.x)))),0))</f>
        <v>0</v>
      </c>
      <c r="L261" s="282" cm="1">
        <f t="array" aca="1" ref="L261" ca="1">IF(OR($E261="",$E261="X"),0,IFERROR(_xlfn.LET(_xlpm.x,SUM(SUM(_xlfn._xlws.FILTER(VALUE(PptoSty[Sign]&amp;1)*(1/PptoSty[Division]),(PptoSty[Division]&lt;&gt;0)*(PptoSty[Division]&lt;&gt;"")*(PptoSty[Division]&lt;&gt;"X")*(PptoSty[RowGrp]=$E261)*(ISNUMBER(FIND(PptoSty[PiColumn],L$257))),0)),$AA261),_xlpm.y,IF(_xlfn._xlws.FILTER(TbRsmIn[Alive],TbRsmIn[Enquiry No]=$E261,"X")="C",0,INDEX(INDIRECT(Mods!$B$2),MATCH($E261,INDIRECT(Mods!$B$4),0),MATCH(L$257,INDIRECT(Mods!$AL$3),0))),IF(AND(_xlpm.x=0,_xlpm.y&lt;&gt;0),-1,IF(AND(_xlpm.x&lt;&gt;0,_xlpm.y&lt;&gt;0),_xlpm.x,IF(AND(_xlpm.x-$AA261&lt;&gt;0,_xlpm.y=0),-2,_xlpm.x)))),0))</f>
        <v>0</v>
      </c>
      <c r="M261" s="282" cm="1">
        <f t="array" aca="1" ref="M261" ca="1">IF(OR($E261="",$E261="X"),0,IFERROR(_xlfn.LET(_xlpm.x,SUM(SUM(_xlfn._xlws.FILTER(VALUE(PptoSty[Sign]&amp;1)*(1/PptoSty[Division]),(PptoSty[Division]&lt;&gt;0)*(PptoSty[Division]&lt;&gt;"")*(PptoSty[Division]&lt;&gt;"X")*(PptoSty[RowGrp]=$E261)*(ISNUMBER(FIND(PptoSty[PiColumn],M$257))),0)),$AA261),_xlpm.y,IF(_xlfn._xlws.FILTER(TbRsmIn[Alive],TbRsmIn[Enquiry No]=$E261,"X")="C",0,INDEX(INDIRECT(Mods!$B$2),MATCH($E261,INDIRECT(Mods!$B$4),0),MATCH(M$257,INDIRECT(Mods!$AL$3),0))),IF(AND(_xlpm.x=0,_xlpm.y&lt;&gt;0),-1,IF(AND(_xlpm.x&lt;&gt;0,_xlpm.y&lt;&gt;0),_xlpm.x,IF(AND(_xlpm.x-$AA261&lt;&gt;0,_xlpm.y=0),-2,_xlpm.x)))),0))</f>
        <v>0</v>
      </c>
      <c r="N261" s="282" cm="1">
        <f t="array" aca="1" ref="N261" ca="1">IF(OR($E261="",$E261="X"),0,IFERROR(_xlfn.LET(_xlpm.x,SUM(SUM(_xlfn._xlws.FILTER(VALUE(PptoSty[Sign]&amp;1)*(1/PptoSty[Division]),(PptoSty[Division]&lt;&gt;0)*(PptoSty[Division]&lt;&gt;"")*(PptoSty[Division]&lt;&gt;"X")*(PptoSty[RowGrp]=$E261)*(ISNUMBER(FIND(PptoSty[PiColumn],N$257))),0)),$AA261),_xlpm.y,IF(_xlfn._xlws.FILTER(TbRsmIn[Alive],TbRsmIn[Enquiry No]=$E261,"X")="C",0,INDEX(INDIRECT(Mods!$B$2),MATCH($E261,INDIRECT(Mods!$B$4),0),MATCH(N$257,INDIRECT(Mods!$AL$3),0))),IF(AND(_xlpm.x=0,_xlpm.y&lt;&gt;0),-1,IF(AND(_xlpm.x&lt;&gt;0,_xlpm.y&lt;&gt;0),_xlpm.x,IF(AND(_xlpm.x-$AA261&lt;&gt;0,_xlpm.y=0),-2,_xlpm.x)))),0))</f>
        <v>0</v>
      </c>
      <c r="O261" s="282" cm="1">
        <f t="array" aca="1" ref="O261" ca="1">IF(OR($E261="",$E261="X"),0,IFERROR(_xlfn.LET(_xlpm.x,SUM(SUM(_xlfn._xlws.FILTER(VALUE(PptoSty[Sign]&amp;1)*(1/PptoSty[Division]),(PptoSty[Division]&lt;&gt;0)*(PptoSty[Division]&lt;&gt;"")*(PptoSty[Division]&lt;&gt;"X")*(PptoSty[RowGrp]=$E261)*(ISNUMBER(FIND(PptoSty[PiColumn],O$257))),0)),$AA261),_xlpm.y,IF(_xlfn._xlws.FILTER(TbRsmIn[Alive],TbRsmIn[Enquiry No]=$E261,"X")="C",0,INDEX(INDIRECT(Mods!$B$2),MATCH($E261,INDIRECT(Mods!$B$4),0),MATCH(O$257,INDIRECT(Mods!$AL$3),0))),IF(AND(_xlpm.x=0,_xlpm.y&lt;&gt;0),-1,IF(AND(_xlpm.x&lt;&gt;0,_xlpm.y&lt;&gt;0),_xlpm.x,IF(AND(_xlpm.x-$AA261&lt;&gt;0,_xlpm.y=0),-2,_xlpm.x)))),0))</f>
        <v>0</v>
      </c>
      <c r="P261" s="282" cm="1">
        <f t="array" aca="1" ref="P261" ca="1">IF(OR($E261="",$E261="X"),0,IFERROR(_xlfn.LET(_xlpm.x,SUM(SUM(_xlfn._xlws.FILTER(VALUE(PptoSty[Sign]&amp;1)*(1/PptoSty[Division]),(PptoSty[Division]&lt;&gt;0)*(PptoSty[Division]&lt;&gt;"")*(PptoSty[Division]&lt;&gt;"X")*(PptoSty[RowGrp]=$E261)*(ISNUMBER(FIND(PptoSty[PiColumn],P$257))),0)),$AA261),_xlpm.y,IF(_xlfn._xlws.FILTER(TbRsmIn[Alive],TbRsmIn[Enquiry No]=$E261,"X")="C",0,INDEX(INDIRECT(Mods!$B$2),MATCH($E261,INDIRECT(Mods!$B$4),0),MATCH(P$257,INDIRECT(Mods!$AL$3),0))),IF(AND(_xlpm.x=0,_xlpm.y&lt;&gt;0),-1,IF(AND(_xlpm.x&lt;&gt;0,_xlpm.y&lt;&gt;0),_xlpm.x,IF(AND(_xlpm.x-$AA261&lt;&gt;0,_xlpm.y=0),-2,_xlpm.x)))),0))</f>
        <v>0</v>
      </c>
      <c r="Q261" s="282" cm="1">
        <f t="array" aca="1" ref="Q261" ca="1">IF(OR($E261="",$E261="X"),0,IFERROR(_xlfn.LET(_xlpm.x,SUM(SUM(_xlfn._xlws.FILTER(VALUE(PptoSty[Sign]&amp;1)*(1/PptoSty[Division]),(PptoSty[Division]&lt;&gt;0)*(PptoSty[Division]&lt;&gt;"")*(PptoSty[Division]&lt;&gt;"X")*(PptoSty[RowGrp]=$E261)*(ISNUMBER(FIND(PptoSty[PiColumn],Q$257))),0)),$AA261),_xlpm.y,IF(_xlfn._xlws.FILTER(TbRsmIn[Alive],TbRsmIn[Enquiry No]=$E261,"X")="C",0,INDEX(INDIRECT(Mods!$B$2),MATCH($E261,INDIRECT(Mods!$B$4),0),MATCH(Q$257,INDIRECT(Mods!$AL$3),0))),IF(AND(_xlpm.x=0,_xlpm.y&lt;&gt;0),-1,IF(AND(_xlpm.x&lt;&gt;0,_xlpm.y&lt;&gt;0),_xlpm.x,IF(AND(_xlpm.x-$AA261&lt;&gt;0,_xlpm.y=0),-2,_xlpm.x)))),0))</f>
        <v>0</v>
      </c>
      <c r="R261" s="282" cm="1">
        <f t="array" aca="1" ref="R261" ca="1">IF(OR($E261="",$E261="X"),0,IFERROR(_xlfn.LET(_xlpm.x,SUM(SUM(_xlfn._xlws.FILTER(VALUE(PptoSty[Sign]&amp;1)*(1/PptoSty[Division]),(PptoSty[Division]&lt;&gt;0)*(PptoSty[Division]&lt;&gt;"")*(PptoSty[Division]&lt;&gt;"X")*(PptoSty[RowGrp]=$E261)*(ISNUMBER(FIND(PptoSty[PiColumn],R$257))),0)),$AA261),_xlpm.y,IF(_xlfn._xlws.FILTER(TbRsmIn[Alive],TbRsmIn[Enquiry No]=$E261,"X")="C",0,INDEX(INDIRECT(Mods!$B$2),MATCH($E261,INDIRECT(Mods!$B$4),0),MATCH(R$257,INDIRECT(Mods!$AL$3),0))),IF(AND(_xlpm.x=0,_xlpm.y&lt;&gt;0),-1,IF(AND(_xlpm.x&lt;&gt;0,_xlpm.y&lt;&gt;0),_xlpm.x,IF(AND(_xlpm.x-$AA261&lt;&gt;0,_xlpm.y=0),-2,_xlpm.x)))),0))</f>
        <v>0</v>
      </c>
      <c r="S261" s="282" cm="1">
        <f t="array" aca="1" ref="S261" ca="1">IF(OR($E261="",$E261="X"),0,IFERROR(_xlfn.LET(_xlpm.x,SUM(SUM(_xlfn._xlws.FILTER(VALUE(PptoSty[Sign]&amp;1)*(1/PptoSty[Division]),(PptoSty[Division]&lt;&gt;0)*(PptoSty[Division]&lt;&gt;"")*(PptoSty[Division]&lt;&gt;"X")*(PptoSty[RowGrp]=$E261)*(ISNUMBER(FIND(PptoSty[PiColumn],S$257))),0)),$AA261),_xlpm.y,IF(_xlfn._xlws.FILTER(TbRsmIn[Alive],TbRsmIn[Enquiry No]=$E261,"X")="C",0,INDEX(INDIRECT(Mods!$B$2),MATCH($E261,INDIRECT(Mods!$B$4),0),MATCH(S$257,INDIRECT(Mods!$AL$3),0))),IF(AND(_xlpm.x=0,_xlpm.y&lt;&gt;0),-1,IF(AND(_xlpm.x&lt;&gt;0,_xlpm.y&lt;&gt;0),_xlpm.x,IF(AND(_xlpm.x-$AA261&lt;&gt;0,_xlpm.y=0),-2,_xlpm.x)))),0))</f>
        <v>0</v>
      </c>
      <c r="T261" s="282" cm="1">
        <f t="array" aca="1" ref="T261" ca="1">IF(OR($E261="",$E261="X"),0,IFERROR(_xlfn.LET(_xlpm.x,SUM(SUM(_xlfn._xlws.FILTER(VALUE(PptoSty[Sign]&amp;1)*(1/PptoSty[Division]),(PptoSty[Division]&lt;&gt;0)*(PptoSty[Division]&lt;&gt;"")*(PptoSty[Division]&lt;&gt;"X")*(PptoSty[RowGrp]=$E261)*(ISNUMBER(FIND(PptoSty[PiColumn],T$257))),0)),$AA261),_xlpm.y,IF(_xlfn._xlws.FILTER(TbRsmIn[Alive],TbRsmIn[Enquiry No]=$E261,"X")="C",0,INDEX(INDIRECT(Mods!$B$2),MATCH($E261,INDIRECT(Mods!$B$4),0),MATCH(T$257,INDIRECT(Mods!$AL$3),0))),IF(AND(_xlpm.x=0,_xlpm.y&lt;&gt;0),-1,IF(AND(_xlpm.x&lt;&gt;0,_xlpm.y&lt;&gt;0),_xlpm.x,IF(AND(_xlpm.x-$AA261&lt;&gt;0,_xlpm.y=0),-2,_xlpm.x)))),0))</f>
        <v>0</v>
      </c>
      <c r="U261" s="282" cm="1">
        <f t="array" aca="1" ref="U261" ca="1">IF(OR($E261="",$E261="X"),0,IFERROR(_xlfn.LET(_xlpm.x,SUM(SUM(_xlfn._xlws.FILTER(VALUE(PptoSty[Sign]&amp;1)*(1/PptoSty[Division]),(PptoSty[Division]&lt;&gt;0)*(PptoSty[Division]&lt;&gt;"")*(PptoSty[Division]&lt;&gt;"X")*(PptoSty[RowGrp]=$E261)*(ISNUMBER(FIND(PptoSty[PiColumn],U$257))),0)),$AA261),_xlpm.y,IF(_xlfn._xlws.FILTER(TbRsmIn[Alive],TbRsmIn[Enquiry No]=$E261,"X")="C",0,INDEX(INDIRECT(Mods!$B$2),MATCH($E261,INDIRECT(Mods!$B$4),0),MATCH(U$257,INDIRECT(Mods!$AL$3),0))),IF(AND(_xlpm.x=0,_xlpm.y&lt;&gt;0),-1,IF(AND(_xlpm.x&lt;&gt;0,_xlpm.y&lt;&gt;0),_xlpm.x,IF(AND(_xlpm.x-$AA261&lt;&gt;0,_xlpm.y=0),-2,_xlpm.x)))),0))</f>
        <v>0</v>
      </c>
      <c r="V261" s="282" cm="1">
        <f t="array" aca="1" ref="V261" ca="1">IF(OR($E261="",$E261="X"),0,IFERROR(_xlfn.LET(_xlpm.x,SUM(SUM(_xlfn._xlws.FILTER(VALUE(PptoSty[Sign]&amp;1)*(1/PptoSty[Division]),(PptoSty[Division]&lt;&gt;0)*(PptoSty[Division]&lt;&gt;"")*(PptoSty[Division]&lt;&gt;"X")*(PptoSty[RowGrp]=$E261)*(ISNUMBER(FIND(PptoSty[PiColumn],V$257))),0)),$AA261),_xlpm.y,IF(_xlfn._xlws.FILTER(TbRsmIn[Alive],TbRsmIn[Enquiry No]=$E261,"X")="C",0,INDEX(INDIRECT(Mods!$B$2),MATCH($E261,INDIRECT(Mods!$B$4),0),MATCH(V$257,INDIRECT(Mods!$AL$3),0))),IF(AND(_xlpm.x=0,_xlpm.y&lt;&gt;0),-1,IF(AND(_xlpm.x&lt;&gt;0,_xlpm.y&lt;&gt;0),_xlpm.x,IF(AND(_xlpm.x-$AA261&lt;&gt;0,_xlpm.y=0),-2,_xlpm.x)))),0))</f>
        <v>0</v>
      </c>
      <c r="W261" s="282" cm="1">
        <f t="array" aca="1" ref="W261" ca="1">IF(OR($E261="",$E261="X"),0,IFERROR(_xlfn.LET(_xlpm.x,SUM(SUM(_xlfn._xlws.FILTER(VALUE(PptoSty[Sign]&amp;1)*(1/PptoSty[Division]),(PptoSty[Division]&lt;&gt;0)*(PptoSty[Division]&lt;&gt;"")*(PptoSty[Division]&lt;&gt;"X")*(PptoSty[RowGrp]=$E261)*(ISNUMBER(FIND(PptoSty[PiColumn],W$257))),0)),$AA261),_xlpm.y,IF(_xlfn._xlws.FILTER(TbRsmIn[Alive],TbRsmIn[Enquiry No]=$E261,"X")="C",0,INDEX(INDIRECT(Mods!$B$2),MATCH($E261,INDIRECT(Mods!$B$4),0),MATCH(W$257,INDIRECT(Mods!$AL$3),0))),IF(AND(_xlpm.x=0,_xlpm.y&lt;&gt;0),-1,IF(AND(_xlpm.x&lt;&gt;0,_xlpm.y&lt;&gt;0),_xlpm.x,IF(AND(_xlpm.x-$AA261&lt;&gt;0,_xlpm.y=0),-2,_xlpm.x)))),0))</f>
        <v>0</v>
      </c>
      <c r="X261" s="282" cm="1">
        <f t="array" aca="1" ref="X261" ca="1">IF(OR($E261="",$E261="X"),0,IFERROR(_xlfn.LET(_xlpm.x,SUM(SUM(_xlfn._xlws.FILTER(VALUE(PptoSty[Sign]&amp;1)*(1/PptoSty[Division]),(PptoSty[Division]&lt;&gt;0)*(PptoSty[Division]&lt;&gt;"")*(PptoSty[Division]&lt;&gt;"X")*(PptoSty[RowGrp]=$E261)*(ISNUMBER(FIND(PptoSty[PiColumn],X$257))),0)),$AA261),_xlpm.y,IF(_xlfn._xlws.FILTER(TbRsmIn[Alive],TbRsmIn[Enquiry No]=$E261,"X")="C",0,INDEX(INDIRECT(Mods!$B$2),MATCH($E261,INDIRECT(Mods!$B$4),0),MATCH(X$257,INDIRECT(Mods!$AL$3),0))),IF(AND(_xlpm.x=0,_xlpm.y&lt;&gt;0),-1,IF(AND(_xlpm.x&lt;&gt;0,_xlpm.y&lt;&gt;0),_xlpm.x,IF(AND(_xlpm.x-$AA261&lt;&gt;0,_xlpm.y=0),-2,_xlpm.x)))),0))</f>
        <v>0</v>
      </c>
      <c r="Y261" s="282" cm="1">
        <f t="array" aca="1" ref="Y261" ca="1">IF(OR($E261="",$E261="X"),0,IFERROR(_xlfn.LET(_xlpm.x,SUM(SUM(_xlfn._xlws.FILTER(VALUE(PptoSty[Sign]&amp;1)*(1/PptoSty[Division]),(PptoSty[Division]&lt;&gt;0)*(PptoSty[Division]&lt;&gt;"")*(PptoSty[Division]&lt;&gt;"X")*(PptoSty[RowGrp]=$E261)*(ISNUMBER(FIND(PptoSty[PiColumn],Y$257))),0)),$AA261),_xlpm.y,IF(_xlfn._xlws.FILTER(TbRsmIn[Alive],TbRsmIn[Enquiry No]=$E261,"X")="C",0,INDEX(INDIRECT(Mods!$B$2),MATCH($E261,INDIRECT(Mods!$B$4),0),MATCH(Y$257,INDIRECT(Mods!$AL$3),0))),IF(AND(_xlpm.x=0,_xlpm.y&lt;&gt;0),-1,IF(AND(_xlpm.x&lt;&gt;0,_xlpm.y&lt;&gt;0),_xlpm.x,IF(AND(_xlpm.x-$AA261&lt;&gt;0,_xlpm.y=0),-2,_xlpm.x)))),0))</f>
        <v>0</v>
      </c>
      <c r="Z261" s="280" t="str">
        <f t="shared" ca="1" si="8"/>
        <v>Fback!B261:Y261</v>
      </c>
      <c r="AA261" s="282" cm="1">
        <f t="array" aca="1" ref="AA261" ca="1">IF(OR($E261="",$E261="X"),0,IFERROR(SUM(_xlfn._xlws.FILTER(VALUE(#REF!&amp;1)*(1/PptoSty[PptoVsRow]),(PptoSty[PptoVsRow]&lt;&gt;0)*(PptoSty[PptoVsRow]&lt;&gt;"")*(PptoSty[PptoVsRow]&lt;&gt;"X")*(PptoSty[Num]=$E261)*(PptoSty[RowGrp]=AA$260),0)),0))</f>
        <v>0</v>
      </c>
    </row>
    <row r="262" spans="1:27" ht="21" customHeight="1" outlineLevel="1">
      <c r="B262" s="247" t="str" cm="1">
        <f t="array" ref="B262:C262">IF($E262="X","X",_xlfn._xlws.FILTER(P_SelPrj[[PrjId]:[Cia]],P_SelPrj[Attribute]=VALUE(LEFT($E262,1)),"X"))</f>
        <v>31200</v>
      </c>
      <c r="C262" s="247" t="str">
        <v>Sp</v>
      </c>
      <c r="D262" s="247" t="s">
        <v>375</v>
      </c>
      <c r="E262" s="247" t="str" cm="1">
        <f t="array" ref="E262">_xlfn.LET(_xlpm.x,IFERROR(INDEX(TbRsmIn[Enquiry No],SUM(ROW()-MATCH("SOM",$A:$A,0))),"X"),IF(_xlpm.x=0,"X",_xlpm.x))</f>
        <v>0CT002</v>
      </c>
      <c r="F262" s="413" t="str" cm="1">
        <f t="array" ref="F262">_xlfn._xlws.FILTER(CstClcData[Value],(CstClcData[Attribute]="Concept")*(CstClcData[Name]=$E262),"X")</f>
        <v>EMA RR EOL auto unload AGV rack (pending AGV concept). Email 26/09/23.</v>
      </c>
      <c r="G262" s="281"/>
      <c r="H262" s="281"/>
      <c r="I262" s="282" cm="1">
        <f t="array" aca="1" ref="I262" ca="1">IF(OR($E262="",$E262="X"),0,IFERROR(_xlfn.LET(_xlpm.x,SUM(SUM(_xlfn._xlws.FILTER(VALUE(PptoSty[Sign]&amp;1)*(1/PptoSty[Division]),(PptoSty[Division]&lt;&gt;0)*(PptoSty[Division]&lt;&gt;"")*(PptoSty[Division]&lt;&gt;"X")*(PptoSty[RowGrp]=$E262)*(ISNUMBER(FIND(PptoSty[PiColumn],I$257))),0)),$AA262),_xlpm.y,IF(_xlfn._xlws.FILTER(TbRsmIn[Alive],TbRsmIn[Enquiry No]=$E262,"X")="C",0,INDEX(INDIRECT(Mods!$B$2),MATCH($E262,INDIRECT(Mods!$B$4),0),MATCH(I$257,INDIRECT(Mods!$AL$3),0))),IF(AND(_xlpm.x=0,_xlpm.y&lt;&gt;0),-1,IF(AND(_xlpm.x&lt;&gt;0,_xlpm.y&lt;&gt;0),_xlpm.x,IF(AND(_xlpm.x-$AA262&lt;&gt;0,_xlpm.y=0),-2,_xlpm.x)))),0))</f>
        <v>0</v>
      </c>
      <c r="J262" s="282" cm="1">
        <f t="array" aca="1" ref="J262" ca="1">IF(OR($E262="",$E262="X"),0,IFERROR(_xlfn.LET(_xlpm.x,SUM(SUM(_xlfn._xlws.FILTER(VALUE(PptoSty[Sign]&amp;1)*(1/PptoSty[Division]),(PptoSty[Division]&lt;&gt;0)*(PptoSty[Division]&lt;&gt;"")*(PptoSty[Division]&lt;&gt;"X")*(PptoSty[RowGrp]=$E262)*(ISNUMBER(FIND(PptoSty[PiColumn],J$257))),0)),$AA262),_xlpm.y,IF(_xlfn._xlws.FILTER(TbRsmIn[Alive],TbRsmIn[Enquiry No]=$E262,"X")="C",0,INDEX(INDIRECT(Mods!$B$2),MATCH($E262,INDIRECT(Mods!$B$4),0),MATCH(J$257,INDIRECT(Mods!$AL$3),0))),IF(AND(_xlpm.x=0,_xlpm.y&lt;&gt;0),-1,IF(AND(_xlpm.x&lt;&gt;0,_xlpm.y&lt;&gt;0),_xlpm.x,IF(AND(_xlpm.x-$AA262&lt;&gt;0,_xlpm.y=0),-2,_xlpm.x)))),0))</f>
        <v>0</v>
      </c>
      <c r="K262" s="282" cm="1">
        <f t="array" aca="1" ref="K262" ca="1">IF(OR($E262="",$E262="X"),0,IFERROR(_xlfn.LET(_xlpm.x,SUM(SUM(_xlfn._xlws.FILTER(VALUE(PptoSty[Sign]&amp;1)*(1/PptoSty[Division]),(PptoSty[Division]&lt;&gt;0)*(PptoSty[Division]&lt;&gt;"")*(PptoSty[Division]&lt;&gt;"X")*(PptoSty[RowGrp]=$E262)*(ISNUMBER(FIND(PptoSty[PiColumn],K$257))),0)),$AA262),_xlpm.y,IF(_xlfn._xlws.FILTER(TbRsmIn[Alive],TbRsmIn[Enquiry No]=$E262,"X")="C",0,INDEX(INDIRECT(Mods!$B$2),MATCH($E262,INDIRECT(Mods!$B$4),0),MATCH(K$257,INDIRECT(Mods!$AL$3),0))),IF(AND(_xlpm.x=0,_xlpm.y&lt;&gt;0),-1,IF(AND(_xlpm.x&lt;&gt;0,_xlpm.y&lt;&gt;0),_xlpm.x,IF(AND(_xlpm.x-$AA262&lt;&gt;0,_xlpm.y=0),-2,_xlpm.x)))),0))</f>
        <v>0</v>
      </c>
      <c r="L262" s="282" cm="1">
        <f t="array" aca="1" ref="L262" ca="1">IF(OR($E262="",$E262="X"),0,IFERROR(_xlfn.LET(_xlpm.x,SUM(SUM(_xlfn._xlws.FILTER(VALUE(PptoSty[Sign]&amp;1)*(1/PptoSty[Division]),(PptoSty[Division]&lt;&gt;0)*(PptoSty[Division]&lt;&gt;"")*(PptoSty[Division]&lt;&gt;"X")*(PptoSty[RowGrp]=$E262)*(ISNUMBER(FIND(PptoSty[PiColumn],L$257))),0)),$AA262),_xlpm.y,IF(_xlfn._xlws.FILTER(TbRsmIn[Alive],TbRsmIn[Enquiry No]=$E262,"X")="C",0,INDEX(INDIRECT(Mods!$B$2),MATCH($E262,INDIRECT(Mods!$B$4),0),MATCH(L$257,INDIRECT(Mods!$AL$3),0))),IF(AND(_xlpm.x=0,_xlpm.y&lt;&gt;0),-1,IF(AND(_xlpm.x&lt;&gt;0,_xlpm.y&lt;&gt;0),_xlpm.x,IF(AND(_xlpm.x-$AA262&lt;&gt;0,_xlpm.y=0),-2,_xlpm.x)))),0))</f>
        <v>0</v>
      </c>
      <c r="M262" s="282" cm="1">
        <f t="array" aca="1" ref="M262" ca="1">IF(OR($E262="",$E262="X"),0,IFERROR(_xlfn.LET(_xlpm.x,SUM(SUM(_xlfn._xlws.FILTER(VALUE(PptoSty[Sign]&amp;1)*(1/PptoSty[Division]),(PptoSty[Division]&lt;&gt;0)*(PptoSty[Division]&lt;&gt;"")*(PptoSty[Division]&lt;&gt;"X")*(PptoSty[RowGrp]=$E262)*(ISNUMBER(FIND(PptoSty[PiColumn],M$257))),0)),$AA262),_xlpm.y,IF(_xlfn._xlws.FILTER(TbRsmIn[Alive],TbRsmIn[Enquiry No]=$E262,"X")="C",0,INDEX(INDIRECT(Mods!$B$2),MATCH($E262,INDIRECT(Mods!$B$4),0),MATCH(M$257,INDIRECT(Mods!$AL$3),0))),IF(AND(_xlpm.x=0,_xlpm.y&lt;&gt;0),-1,IF(AND(_xlpm.x&lt;&gt;0,_xlpm.y&lt;&gt;0),_xlpm.x,IF(AND(_xlpm.x-$AA262&lt;&gt;0,_xlpm.y=0),-2,_xlpm.x)))),0))</f>
        <v>0</v>
      </c>
      <c r="N262" s="282" cm="1">
        <f t="array" aca="1" ref="N262" ca="1">IF(OR($E262="",$E262="X"),0,IFERROR(_xlfn.LET(_xlpm.x,SUM(SUM(_xlfn._xlws.FILTER(VALUE(PptoSty[Sign]&amp;1)*(1/PptoSty[Division]),(PptoSty[Division]&lt;&gt;0)*(PptoSty[Division]&lt;&gt;"")*(PptoSty[Division]&lt;&gt;"X")*(PptoSty[RowGrp]=$E262)*(ISNUMBER(FIND(PptoSty[PiColumn],N$257))),0)),$AA262),_xlpm.y,IF(_xlfn._xlws.FILTER(TbRsmIn[Alive],TbRsmIn[Enquiry No]=$E262,"X")="C",0,INDEX(INDIRECT(Mods!$B$2),MATCH($E262,INDIRECT(Mods!$B$4),0),MATCH(N$257,INDIRECT(Mods!$AL$3),0))),IF(AND(_xlpm.x=0,_xlpm.y&lt;&gt;0),-1,IF(AND(_xlpm.x&lt;&gt;0,_xlpm.y&lt;&gt;0),_xlpm.x,IF(AND(_xlpm.x-$AA262&lt;&gt;0,_xlpm.y=0),-2,_xlpm.x)))),0))</f>
        <v>0</v>
      </c>
      <c r="O262" s="282" cm="1">
        <f t="array" aca="1" ref="O262" ca="1">IF(OR($E262="",$E262="X"),0,IFERROR(_xlfn.LET(_xlpm.x,SUM(SUM(_xlfn._xlws.FILTER(VALUE(PptoSty[Sign]&amp;1)*(1/PptoSty[Division]),(PptoSty[Division]&lt;&gt;0)*(PptoSty[Division]&lt;&gt;"")*(PptoSty[Division]&lt;&gt;"X")*(PptoSty[RowGrp]=$E262)*(ISNUMBER(FIND(PptoSty[PiColumn],O$257))),0)),$AA262),_xlpm.y,IF(_xlfn._xlws.FILTER(TbRsmIn[Alive],TbRsmIn[Enquiry No]=$E262,"X")="C",0,INDEX(INDIRECT(Mods!$B$2),MATCH($E262,INDIRECT(Mods!$B$4),0),MATCH(O$257,INDIRECT(Mods!$AL$3),0))),IF(AND(_xlpm.x=0,_xlpm.y&lt;&gt;0),-1,IF(AND(_xlpm.x&lt;&gt;0,_xlpm.y&lt;&gt;0),_xlpm.x,IF(AND(_xlpm.x-$AA262&lt;&gt;0,_xlpm.y=0),-2,_xlpm.x)))),0))</f>
        <v>0</v>
      </c>
      <c r="P262" s="282" cm="1">
        <f t="array" aca="1" ref="P262" ca="1">IF(OR($E262="",$E262="X"),0,IFERROR(_xlfn.LET(_xlpm.x,SUM(SUM(_xlfn._xlws.FILTER(VALUE(PptoSty[Sign]&amp;1)*(1/PptoSty[Division]),(PptoSty[Division]&lt;&gt;0)*(PptoSty[Division]&lt;&gt;"")*(PptoSty[Division]&lt;&gt;"X")*(PptoSty[RowGrp]=$E262)*(ISNUMBER(FIND(PptoSty[PiColumn],P$257))),0)),$AA262),_xlpm.y,IF(_xlfn._xlws.FILTER(TbRsmIn[Alive],TbRsmIn[Enquiry No]=$E262,"X")="C",0,INDEX(INDIRECT(Mods!$B$2),MATCH($E262,INDIRECT(Mods!$B$4),0),MATCH(P$257,INDIRECT(Mods!$AL$3),0))),IF(AND(_xlpm.x=0,_xlpm.y&lt;&gt;0),-1,IF(AND(_xlpm.x&lt;&gt;0,_xlpm.y&lt;&gt;0),_xlpm.x,IF(AND(_xlpm.x-$AA262&lt;&gt;0,_xlpm.y=0),-2,_xlpm.x)))),0))</f>
        <v>0</v>
      </c>
      <c r="Q262" s="282" cm="1">
        <f t="array" aca="1" ref="Q262" ca="1">IF(OR($E262="",$E262="X"),0,IFERROR(_xlfn.LET(_xlpm.x,SUM(SUM(_xlfn._xlws.FILTER(VALUE(PptoSty[Sign]&amp;1)*(1/PptoSty[Division]),(PptoSty[Division]&lt;&gt;0)*(PptoSty[Division]&lt;&gt;"")*(PptoSty[Division]&lt;&gt;"X")*(PptoSty[RowGrp]=$E262)*(ISNUMBER(FIND(PptoSty[PiColumn],Q$257))),0)),$AA262),_xlpm.y,IF(_xlfn._xlws.FILTER(TbRsmIn[Alive],TbRsmIn[Enquiry No]=$E262,"X")="C",0,INDEX(INDIRECT(Mods!$B$2),MATCH($E262,INDIRECT(Mods!$B$4),0),MATCH(Q$257,INDIRECT(Mods!$AL$3),0))),IF(AND(_xlpm.x=0,_xlpm.y&lt;&gt;0),-1,IF(AND(_xlpm.x&lt;&gt;0,_xlpm.y&lt;&gt;0),_xlpm.x,IF(AND(_xlpm.x-$AA262&lt;&gt;0,_xlpm.y=0),-2,_xlpm.x)))),0))</f>
        <v>0</v>
      </c>
      <c r="R262" s="282" cm="1">
        <f t="array" aca="1" ref="R262" ca="1">IF(OR($E262="",$E262="X"),0,IFERROR(_xlfn.LET(_xlpm.x,SUM(SUM(_xlfn._xlws.FILTER(VALUE(PptoSty[Sign]&amp;1)*(1/PptoSty[Division]),(PptoSty[Division]&lt;&gt;0)*(PptoSty[Division]&lt;&gt;"")*(PptoSty[Division]&lt;&gt;"X")*(PptoSty[RowGrp]=$E262)*(ISNUMBER(FIND(PptoSty[PiColumn],R$257))),0)),$AA262),_xlpm.y,IF(_xlfn._xlws.FILTER(TbRsmIn[Alive],TbRsmIn[Enquiry No]=$E262,"X")="C",0,INDEX(INDIRECT(Mods!$B$2),MATCH($E262,INDIRECT(Mods!$B$4),0),MATCH(R$257,INDIRECT(Mods!$AL$3),0))),IF(AND(_xlpm.x=0,_xlpm.y&lt;&gt;0),-1,IF(AND(_xlpm.x&lt;&gt;0,_xlpm.y&lt;&gt;0),_xlpm.x,IF(AND(_xlpm.x-$AA262&lt;&gt;0,_xlpm.y=0),-2,_xlpm.x)))),0))</f>
        <v>0</v>
      </c>
      <c r="S262" s="282" cm="1">
        <f t="array" aca="1" ref="S262" ca="1">IF(OR($E262="",$E262="X"),0,IFERROR(_xlfn.LET(_xlpm.x,SUM(SUM(_xlfn._xlws.FILTER(VALUE(PptoSty[Sign]&amp;1)*(1/PptoSty[Division]),(PptoSty[Division]&lt;&gt;0)*(PptoSty[Division]&lt;&gt;"")*(PptoSty[Division]&lt;&gt;"X")*(PptoSty[RowGrp]=$E262)*(ISNUMBER(FIND(PptoSty[PiColumn],S$257))),0)),$AA262),_xlpm.y,IF(_xlfn._xlws.FILTER(TbRsmIn[Alive],TbRsmIn[Enquiry No]=$E262,"X")="C",0,INDEX(INDIRECT(Mods!$B$2),MATCH($E262,INDIRECT(Mods!$B$4),0),MATCH(S$257,INDIRECT(Mods!$AL$3),0))),IF(AND(_xlpm.x=0,_xlpm.y&lt;&gt;0),-1,IF(AND(_xlpm.x&lt;&gt;0,_xlpm.y&lt;&gt;0),_xlpm.x,IF(AND(_xlpm.x-$AA262&lt;&gt;0,_xlpm.y=0),-2,_xlpm.x)))),0))</f>
        <v>0</v>
      </c>
      <c r="T262" s="282" cm="1">
        <f t="array" aca="1" ref="T262" ca="1">IF(OR($E262="",$E262="X"),0,IFERROR(_xlfn.LET(_xlpm.x,SUM(SUM(_xlfn._xlws.FILTER(VALUE(PptoSty[Sign]&amp;1)*(1/PptoSty[Division]),(PptoSty[Division]&lt;&gt;0)*(PptoSty[Division]&lt;&gt;"")*(PptoSty[Division]&lt;&gt;"X")*(PptoSty[RowGrp]=$E262)*(ISNUMBER(FIND(PptoSty[PiColumn],T$257))),0)),$AA262),_xlpm.y,IF(_xlfn._xlws.FILTER(TbRsmIn[Alive],TbRsmIn[Enquiry No]=$E262,"X")="C",0,INDEX(INDIRECT(Mods!$B$2),MATCH($E262,INDIRECT(Mods!$B$4),0),MATCH(T$257,INDIRECT(Mods!$AL$3),0))),IF(AND(_xlpm.x=0,_xlpm.y&lt;&gt;0),-1,IF(AND(_xlpm.x&lt;&gt;0,_xlpm.y&lt;&gt;0),_xlpm.x,IF(AND(_xlpm.x-$AA262&lt;&gt;0,_xlpm.y=0),-2,_xlpm.x)))),0))</f>
        <v>0</v>
      </c>
      <c r="U262" s="282" cm="1">
        <f t="array" aca="1" ref="U262" ca="1">IF(OR($E262="",$E262="X"),0,IFERROR(_xlfn.LET(_xlpm.x,SUM(SUM(_xlfn._xlws.FILTER(VALUE(PptoSty[Sign]&amp;1)*(1/PptoSty[Division]),(PptoSty[Division]&lt;&gt;0)*(PptoSty[Division]&lt;&gt;"")*(PptoSty[Division]&lt;&gt;"X")*(PptoSty[RowGrp]=$E262)*(ISNUMBER(FIND(PptoSty[PiColumn],U$257))),0)),$AA262),_xlpm.y,IF(_xlfn._xlws.FILTER(TbRsmIn[Alive],TbRsmIn[Enquiry No]=$E262,"X")="C",0,INDEX(INDIRECT(Mods!$B$2),MATCH($E262,INDIRECT(Mods!$B$4),0),MATCH(U$257,INDIRECT(Mods!$AL$3),0))),IF(AND(_xlpm.x=0,_xlpm.y&lt;&gt;0),-1,IF(AND(_xlpm.x&lt;&gt;0,_xlpm.y&lt;&gt;0),_xlpm.x,IF(AND(_xlpm.x-$AA262&lt;&gt;0,_xlpm.y=0),-2,_xlpm.x)))),0))</f>
        <v>0</v>
      </c>
      <c r="V262" s="282" cm="1">
        <f t="array" aca="1" ref="V262" ca="1">IF(OR($E262="",$E262="X"),0,IFERROR(_xlfn.LET(_xlpm.x,SUM(SUM(_xlfn._xlws.FILTER(VALUE(PptoSty[Sign]&amp;1)*(1/PptoSty[Division]),(PptoSty[Division]&lt;&gt;0)*(PptoSty[Division]&lt;&gt;"")*(PptoSty[Division]&lt;&gt;"X")*(PptoSty[RowGrp]=$E262)*(ISNUMBER(FIND(PptoSty[PiColumn],V$257))),0)),$AA262),_xlpm.y,IF(_xlfn._xlws.FILTER(TbRsmIn[Alive],TbRsmIn[Enquiry No]=$E262,"X")="C",0,INDEX(INDIRECT(Mods!$B$2),MATCH($E262,INDIRECT(Mods!$B$4),0),MATCH(V$257,INDIRECT(Mods!$AL$3),0))),IF(AND(_xlpm.x=0,_xlpm.y&lt;&gt;0),-1,IF(AND(_xlpm.x&lt;&gt;0,_xlpm.y&lt;&gt;0),_xlpm.x,IF(AND(_xlpm.x-$AA262&lt;&gt;0,_xlpm.y=0),-2,_xlpm.x)))),0))</f>
        <v>0</v>
      </c>
      <c r="W262" s="282" cm="1">
        <f t="array" aca="1" ref="W262" ca="1">IF(OR($E262="",$E262="X"),0,IFERROR(_xlfn.LET(_xlpm.x,SUM(SUM(_xlfn._xlws.FILTER(VALUE(PptoSty[Sign]&amp;1)*(1/PptoSty[Division]),(PptoSty[Division]&lt;&gt;0)*(PptoSty[Division]&lt;&gt;"")*(PptoSty[Division]&lt;&gt;"X")*(PptoSty[RowGrp]=$E262)*(ISNUMBER(FIND(PptoSty[PiColumn],W$257))),0)),$AA262),_xlpm.y,IF(_xlfn._xlws.FILTER(TbRsmIn[Alive],TbRsmIn[Enquiry No]=$E262,"X")="C",0,INDEX(INDIRECT(Mods!$B$2),MATCH($E262,INDIRECT(Mods!$B$4),0),MATCH(W$257,INDIRECT(Mods!$AL$3),0))),IF(AND(_xlpm.x=0,_xlpm.y&lt;&gt;0),-1,IF(AND(_xlpm.x&lt;&gt;0,_xlpm.y&lt;&gt;0),_xlpm.x,IF(AND(_xlpm.x-$AA262&lt;&gt;0,_xlpm.y=0),-2,_xlpm.x)))),0))</f>
        <v>0</v>
      </c>
      <c r="X262" s="282" cm="1">
        <f t="array" aca="1" ref="X262" ca="1">IF(OR($E262="",$E262="X"),0,IFERROR(_xlfn.LET(_xlpm.x,SUM(SUM(_xlfn._xlws.FILTER(VALUE(PptoSty[Sign]&amp;1)*(1/PptoSty[Division]),(PptoSty[Division]&lt;&gt;0)*(PptoSty[Division]&lt;&gt;"")*(PptoSty[Division]&lt;&gt;"X")*(PptoSty[RowGrp]=$E262)*(ISNUMBER(FIND(PptoSty[PiColumn],X$257))),0)),$AA262),_xlpm.y,IF(_xlfn._xlws.FILTER(TbRsmIn[Alive],TbRsmIn[Enquiry No]=$E262,"X")="C",0,INDEX(INDIRECT(Mods!$B$2),MATCH($E262,INDIRECT(Mods!$B$4),0),MATCH(X$257,INDIRECT(Mods!$AL$3),0))),IF(AND(_xlpm.x=0,_xlpm.y&lt;&gt;0),-1,IF(AND(_xlpm.x&lt;&gt;0,_xlpm.y&lt;&gt;0),_xlpm.x,IF(AND(_xlpm.x-$AA262&lt;&gt;0,_xlpm.y=0),-2,_xlpm.x)))),0))</f>
        <v>0</v>
      </c>
      <c r="Y262" s="282" cm="1">
        <f t="array" aca="1" ref="Y262" ca="1">IF(OR($E262="",$E262="X"),0,IFERROR(_xlfn.LET(_xlpm.x,SUM(SUM(_xlfn._xlws.FILTER(VALUE(PptoSty[Sign]&amp;1)*(1/PptoSty[Division]),(PptoSty[Division]&lt;&gt;0)*(PptoSty[Division]&lt;&gt;"")*(PptoSty[Division]&lt;&gt;"X")*(PptoSty[RowGrp]=$E262)*(ISNUMBER(FIND(PptoSty[PiColumn],Y$257))),0)),$AA262),_xlpm.y,IF(_xlfn._xlws.FILTER(TbRsmIn[Alive],TbRsmIn[Enquiry No]=$E262,"X")="C",0,INDEX(INDIRECT(Mods!$B$2),MATCH($E262,INDIRECT(Mods!$B$4),0),MATCH(Y$257,INDIRECT(Mods!$AL$3),0))),IF(AND(_xlpm.x=0,_xlpm.y&lt;&gt;0),-1,IF(AND(_xlpm.x&lt;&gt;0,_xlpm.y&lt;&gt;0),_xlpm.x,IF(AND(_xlpm.x-$AA262&lt;&gt;0,_xlpm.y=0),-2,_xlpm.x)))),0))</f>
        <v>0</v>
      </c>
      <c r="Z262" s="280" t="str">
        <f t="shared" ca="1" si="8"/>
        <v>Fback!B262:Y262</v>
      </c>
      <c r="AA262" s="282" cm="1">
        <f t="array" aca="1" ref="AA262" ca="1">IF(OR($E262="",$E262="X"),0,IFERROR(SUM(_xlfn._xlws.FILTER(VALUE(#REF!&amp;1)*(1/PptoSty[PptoVsRow]),(PptoSty[PptoVsRow]&lt;&gt;0)*(PptoSty[PptoVsRow]&lt;&gt;"")*(PptoSty[PptoVsRow]&lt;&gt;"X")*(PptoSty[Num]=$E262)*(PptoSty[RowGrp]=AA$260),0)),0))</f>
        <v>0</v>
      </c>
    </row>
    <row r="263" spans="1:27" ht="21" customHeight="1" outlineLevel="1">
      <c r="B263" s="247" t="str" cm="1">
        <f t="array" ref="B263:C263">IF($E263="X","X",_xlfn._xlws.FILTER(P_SelPrj[[PrjId]:[Cia]],P_SelPrj[Attribute]=VALUE(LEFT($E263,1)),"X"))</f>
        <v>31200</v>
      </c>
      <c r="C263" s="247" t="str">
        <v>Sp</v>
      </c>
      <c r="D263" s="247" t="s">
        <v>375</v>
      </c>
      <c r="E263" s="247" t="str" cm="1">
        <f t="array" ref="E263">_xlfn.LET(_xlpm.x,IFERROR(INDEX(TbRsmIn[Enquiry No],SUM(ROW()-MATCH("SOM",$A:$A,0))),"X"),IF(_xlpm.x=0,"X",_xlpm.x))</f>
        <v>0CT003</v>
      </c>
      <c r="F263" s="413" t="str" cm="1">
        <f t="array" ref="F263">_xlfn._xlws.FILTER(CstClcData[Value],(CstClcData[Attribute]="Concept")*(CstClcData[Name]=$E263),"X")</f>
        <v>Electrical hardware components free issue Barcelona. Email 27/09/23.</v>
      </c>
      <c r="G263" s="281"/>
      <c r="H263" s="281"/>
      <c r="I263" s="282" cm="1">
        <f t="array" aca="1" ref="I263" ca="1">IF(OR($E263="",$E263="X"),0,IFERROR(_xlfn.LET(_xlpm.x,SUM(SUM(_xlfn._xlws.FILTER(VALUE(PptoSty[Sign]&amp;1)*(1/PptoSty[Division]),(PptoSty[Division]&lt;&gt;0)*(PptoSty[Division]&lt;&gt;"")*(PptoSty[Division]&lt;&gt;"X")*(PptoSty[RowGrp]=$E263)*(ISNUMBER(FIND(PptoSty[PiColumn],I$257))),0)),$AA263),_xlpm.y,IF(_xlfn._xlws.FILTER(TbRsmIn[Alive],TbRsmIn[Enquiry No]=$E263,"X")="C",0,INDEX(INDIRECT(Mods!$B$2),MATCH($E263,INDIRECT(Mods!$B$4),0),MATCH(I$257,INDIRECT(Mods!$AL$3),0))),IF(AND(_xlpm.x=0,_xlpm.y&lt;&gt;0),-1,IF(AND(_xlpm.x&lt;&gt;0,_xlpm.y&lt;&gt;0),_xlpm.x,IF(AND(_xlpm.x-$AA263&lt;&gt;0,_xlpm.y=0),-2,_xlpm.x)))),0))</f>
        <v>0</v>
      </c>
      <c r="J263" s="282" cm="1">
        <f t="array" aca="1" ref="J263" ca="1">IF(OR($E263="",$E263="X"),0,IFERROR(_xlfn.LET(_xlpm.x,SUM(SUM(_xlfn._xlws.FILTER(VALUE(PptoSty[Sign]&amp;1)*(1/PptoSty[Division]),(PptoSty[Division]&lt;&gt;0)*(PptoSty[Division]&lt;&gt;"")*(PptoSty[Division]&lt;&gt;"X")*(PptoSty[RowGrp]=$E263)*(ISNUMBER(FIND(PptoSty[PiColumn],J$257))),0)),$AA263),_xlpm.y,IF(_xlfn._xlws.FILTER(TbRsmIn[Alive],TbRsmIn[Enquiry No]=$E263,"X")="C",0,INDEX(INDIRECT(Mods!$B$2),MATCH($E263,INDIRECT(Mods!$B$4),0),MATCH(J$257,INDIRECT(Mods!$AL$3),0))),IF(AND(_xlpm.x=0,_xlpm.y&lt;&gt;0),-1,IF(AND(_xlpm.x&lt;&gt;0,_xlpm.y&lt;&gt;0),_xlpm.x,IF(AND(_xlpm.x-$AA263&lt;&gt;0,_xlpm.y=0),-2,_xlpm.x)))),0))</f>
        <v>0</v>
      </c>
      <c r="K263" s="282" cm="1">
        <f t="array" aca="1" ref="K263" ca="1">IF(OR($E263="",$E263="X"),0,IFERROR(_xlfn.LET(_xlpm.x,SUM(SUM(_xlfn._xlws.FILTER(VALUE(PptoSty[Sign]&amp;1)*(1/PptoSty[Division]),(PptoSty[Division]&lt;&gt;0)*(PptoSty[Division]&lt;&gt;"")*(PptoSty[Division]&lt;&gt;"X")*(PptoSty[RowGrp]=$E263)*(ISNUMBER(FIND(PptoSty[PiColumn],K$257))),0)),$AA263),_xlpm.y,IF(_xlfn._xlws.FILTER(TbRsmIn[Alive],TbRsmIn[Enquiry No]=$E263,"X")="C",0,INDEX(INDIRECT(Mods!$B$2),MATCH($E263,INDIRECT(Mods!$B$4),0),MATCH(K$257,INDIRECT(Mods!$AL$3),0))),IF(AND(_xlpm.x=0,_xlpm.y&lt;&gt;0),-1,IF(AND(_xlpm.x&lt;&gt;0,_xlpm.y&lt;&gt;0),_xlpm.x,IF(AND(_xlpm.x-$AA263&lt;&gt;0,_xlpm.y=0),-2,_xlpm.x)))),0))</f>
        <v>0</v>
      </c>
      <c r="L263" s="282" cm="1">
        <f t="array" aca="1" ref="L263" ca="1">IF(OR($E263="",$E263="X"),0,IFERROR(_xlfn.LET(_xlpm.x,SUM(SUM(_xlfn._xlws.FILTER(VALUE(PptoSty[Sign]&amp;1)*(1/PptoSty[Division]),(PptoSty[Division]&lt;&gt;0)*(PptoSty[Division]&lt;&gt;"")*(PptoSty[Division]&lt;&gt;"X")*(PptoSty[RowGrp]=$E263)*(ISNUMBER(FIND(PptoSty[PiColumn],L$257))),0)),$AA263),_xlpm.y,IF(_xlfn._xlws.FILTER(TbRsmIn[Alive],TbRsmIn[Enquiry No]=$E263,"X")="C",0,INDEX(INDIRECT(Mods!$B$2),MATCH($E263,INDIRECT(Mods!$B$4),0),MATCH(L$257,INDIRECT(Mods!$AL$3),0))),IF(AND(_xlpm.x=0,_xlpm.y&lt;&gt;0),-1,IF(AND(_xlpm.x&lt;&gt;0,_xlpm.y&lt;&gt;0),_xlpm.x,IF(AND(_xlpm.x-$AA263&lt;&gt;0,_xlpm.y=0),-2,_xlpm.x)))),0))</f>
        <v>0</v>
      </c>
      <c r="M263" s="282" cm="1">
        <f t="array" aca="1" ref="M263" ca="1">IF(OR($E263="",$E263="X"),0,IFERROR(_xlfn.LET(_xlpm.x,SUM(SUM(_xlfn._xlws.FILTER(VALUE(PptoSty[Sign]&amp;1)*(1/PptoSty[Division]),(PptoSty[Division]&lt;&gt;0)*(PptoSty[Division]&lt;&gt;"")*(PptoSty[Division]&lt;&gt;"X")*(PptoSty[RowGrp]=$E263)*(ISNUMBER(FIND(PptoSty[PiColumn],M$257))),0)),$AA263),_xlpm.y,IF(_xlfn._xlws.FILTER(TbRsmIn[Alive],TbRsmIn[Enquiry No]=$E263,"X")="C",0,INDEX(INDIRECT(Mods!$B$2),MATCH($E263,INDIRECT(Mods!$B$4),0),MATCH(M$257,INDIRECT(Mods!$AL$3),0))),IF(AND(_xlpm.x=0,_xlpm.y&lt;&gt;0),-1,IF(AND(_xlpm.x&lt;&gt;0,_xlpm.y&lt;&gt;0),_xlpm.x,IF(AND(_xlpm.x-$AA263&lt;&gt;0,_xlpm.y=0),-2,_xlpm.x)))),0))</f>
        <v>0</v>
      </c>
      <c r="N263" s="282" cm="1">
        <f t="array" aca="1" ref="N263" ca="1">IF(OR($E263="",$E263="X"),0,IFERROR(_xlfn.LET(_xlpm.x,SUM(SUM(_xlfn._xlws.FILTER(VALUE(PptoSty[Sign]&amp;1)*(1/PptoSty[Division]),(PptoSty[Division]&lt;&gt;0)*(PptoSty[Division]&lt;&gt;"")*(PptoSty[Division]&lt;&gt;"X")*(PptoSty[RowGrp]=$E263)*(ISNUMBER(FIND(PptoSty[PiColumn],N$257))),0)),$AA263),_xlpm.y,IF(_xlfn._xlws.FILTER(TbRsmIn[Alive],TbRsmIn[Enquiry No]=$E263,"X")="C",0,INDEX(INDIRECT(Mods!$B$2),MATCH($E263,INDIRECT(Mods!$B$4),0),MATCH(N$257,INDIRECT(Mods!$AL$3),0))),IF(AND(_xlpm.x=0,_xlpm.y&lt;&gt;0),-1,IF(AND(_xlpm.x&lt;&gt;0,_xlpm.y&lt;&gt;0),_xlpm.x,IF(AND(_xlpm.x-$AA263&lt;&gt;0,_xlpm.y=0),-2,_xlpm.x)))),0))</f>
        <v>0</v>
      </c>
      <c r="O263" s="282" cm="1">
        <f t="array" aca="1" ref="O263" ca="1">IF(OR($E263="",$E263="X"),0,IFERROR(_xlfn.LET(_xlpm.x,SUM(SUM(_xlfn._xlws.FILTER(VALUE(PptoSty[Sign]&amp;1)*(1/PptoSty[Division]),(PptoSty[Division]&lt;&gt;0)*(PptoSty[Division]&lt;&gt;"")*(PptoSty[Division]&lt;&gt;"X")*(PptoSty[RowGrp]=$E263)*(ISNUMBER(FIND(PptoSty[PiColumn],O$257))),0)),$AA263),_xlpm.y,IF(_xlfn._xlws.FILTER(TbRsmIn[Alive],TbRsmIn[Enquiry No]=$E263,"X")="C",0,INDEX(INDIRECT(Mods!$B$2),MATCH($E263,INDIRECT(Mods!$B$4),0),MATCH(O$257,INDIRECT(Mods!$AL$3),0))),IF(AND(_xlpm.x=0,_xlpm.y&lt;&gt;0),-1,IF(AND(_xlpm.x&lt;&gt;0,_xlpm.y&lt;&gt;0),_xlpm.x,IF(AND(_xlpm.x-$AA263&lt;&gt;0,_xlpm.y=0),-2,_xlpm.x)))),0))</f>
        <v>0</v>
      </c>
      <c r="P263" s="282" cm="1">
        <f t="array" aca="1" ref="P263" ca="1">IF(OR($E263="",$E263="X"),0,IFERROR(_xlfn.LET(_xlpm.x,SUM(SUM(_xlfn._xlws.FILTER(VALUE(PptoSty[Sign]&amp;1)*(1/PptoSty[Division]),(PptoSty[Division]&lt;&gt;0)*(PptoSty[Division]&lt;&gt;"")*(PptoSty[Division]&lt;&gt;"X")*(PptoSty[RowGrp]=$E263)*(ISNUMBER(FIND(PptoSty[PiColumn],P$257))),0)),$AA263),_xlpm.y,IF(_xlfn._xlws.FILTER(TbRsmIn[Alive],TbRsmIn[Enquiry No]=$E263,"X")="C",0,INDEX(INDIRECT(Mods!$B$2),MATCH($E263,INDIRECT(Mods!$B$4),0),MATCH(P$257,INDIRECT(Mods!$AL$3),0))),IF(AND(_xlpm.x=0,_xlpm.y&lt;&gt;0),-1,IF(AND(_xlpm.x&lt;&gt;0,_xlpm.y&lt;&gt;0),_xlpm.x,IF(AND(_xlpm.x-$AA263&lt;&gt;0,_xlpm.y=0),-2,_xlpm.x)))),0))</f>
        <v>0</v>
      </c>
      <c r="Q263" s="282" cm="1">
        <f t="array" aca="1" ref="Q263" ca="1">IF(OR($E263="",$E263="X"),0,IFERROR(_xlfn.LET(_xlpm.x,SUM(SUM(_xlfn._xlws.FILTER(VALUE(PptoSty[Sign]&amp;1)*(1/PptoSty[Division]),(PptoSty[Division]&lt;&gt;0)*(PptoSty[Division]&lt;&gt;"")*(PptoSty[Division]&lt;&gt;"X")*(PptoSty[RowGrp]=$E263)*(ISNUMBER(FIND(PptoSty[PiColumn],Q$257))),0)),$AA263),_xlpm.y,IF(_xlfn._xlws.FILTER(TbRsmIn[Alive],TbRsmIn[Enquiry No]=$E263,"X")="C",0,INDEX(INDIRECT(Mods!$B$2),MATCH($E263,INDIRECT(Mods!$B$4),0),MATCH(Q$257,INDIRECT(Mods!$AL$3),0))),IF(AND(_xlpm.x=0,_xlpm.y&lt;&gt;0),-1,IF(AND(_xlpm.x&lt;&gt;0,_xlpm.y&lt;&gt;0),_xlpm.x,IF(AND(_xlpm.x-$AA263&lt;&gt;0,_xlpm.y=0),-2,_xlpm.x)))),0))</f>
        <v>0</v>
      </c>
      <c r="R263" s="282" cm="1">
        <f t="array" aca="1" ref="R263" ca="1">IF(OR($E263="",$E263="X"),0,IFERROR(_xlfn.LET(_xlpm.x,SUM(SUM(_xlfn._xlws.FILTER(VALUE(PptoSty[Sign]&amp;1)*(1/PptoSty[Division]),(PptoSty[Division]&lt;&gt;0)*(PptoSty[Division]&lt;&gt;"")*(PptoSty[Division]&lt;&gt;"X")*(PptoSty[RowGrp]=$E263)*(ISNUMBER(FIND(PptoSty[PiColumn],R$257))),0)),$AA263),_xlpm.y,IF(_xlfn._xlws.FILTER(TbRsmIn[Alive],TbRsmIn[Enquiry No]=$E263,"X")="C",0,INDEX(INDIRECT(Mods!$B$2),MATCH($E263,INDIRECT(Mods!$B$4),0),MATCH(R$257,INDIRECT(Mods!$AL$3),0))),IF(AND(_xlpm.x=0,_xlpm.y&lt;&gt;0),-1,IF(AND(_xlpm.x&lt;&gt;0,_xlpm.y&lt;&gt;0),_xlpm.x,IF(AND(_xlpm.x-$AA263&lt;&gt;0,_xlpm.y=0),-2,_xlpm.x)))),0))</f>
        <v>0</v>
      </c>
      <c r="S263" s="282" cm="1">
        <f t="array" aca="1" ref="S263" ca="1">IF(OR($E263="",$E263="X"),0,IFERROR(_xlfn.LET(_xlpm.x,SUM(SUM(_xlfn._xlws.FILTER(VALUE(PptoSty[Sign]&amp;1)*(1/PptoSty[Division]),(PptoSty[Division]&lt;&gt;0)*(PptoSty[Division]&lt;&gt;"")*(PptoSty[Division]&lt;&gt;"X")*(PptoSty[RowGrp]=$E263)*(ISNUMBER(FIND(PptoSty[PiColumn],S$257))),0)),$AA263),_xlpm.y,IF(_xlfn._xlws.FILTER(TbRsmIn[Alive],TbRsmIn[Enquiry No]=$E263,"X")="C",0,INDEX(INDIRECT(Mods!$B$2),MATCH($E263,INDIRECT(Mods!$B$4),0),MATCH(S$257,INDIRECT(Mods!$AL$3),0))),IF(AND(_xlpm.x=0,_xlpm.y&lt;&gt;0),-1,IF(AND(_xlpm.x&lt;&gt;0,_xlpm.y&lt;&gt;0),_xlpm.x,IF(AND(_xlpm.x-$AA263&lt;&gt;0,_xlpm.y=0),-2,_xlpm.x)))),0))</f>
        <v>0</v>
      </c>
      <c r="T263" s="282" cm="1">
        <f t="array" aca="1" ref="T263" ca="1">IF(OR($E263="",$E263="X"),0,IFERROR(_xlfn.LET(_xlpm.x,SUM(SUM(_xlfn._xlws.FILTER(VALUE(PptoSty[Sign]&amp;1)*(1/PptoSty[Division]),(PptoSty[Division]&lt;&gt;0)*(PptoSty[Division]&lt;&gt;"")*(PptoSty[Division]&lt;&gt;"X")*(PptoSty[RowGrp]=$E263)*(ISNUMBER(FIND(PptoSty[PiColumn],T$257))),0)),$AA263),_xlpm.y,IF(_xlfn._xlws.FILTER(TbRsmIn[Alive],TbRsmIn[Enquiry No]=$E263,"X")="C",0,INDEX(INDIRECT(Mods!$B$2),MATCH($E263,INDIRECT(Mods!$B$4),0),MATCH(T$257,INDIRECT(Mods!$AL$3),0))),IF(AND(_xlpm.x=0,_xlpm.y&lt;&gt;0),-1,IF(AND(_xlpm.x&lt;&gt;0,_xlpm.y&lt;&gt;0),_xlpm.x,IF(AND(_xlpm.x-$AA263&lt;&gt;0,_xlpm.y=0),-2,_xlpm.x)))),0))</f>
        <v>-1</v>
      </c>
      <c r="U263" s="282" cm="1">
        <f t="array" aca="1" ref="U263" ca="1">IF(OR($E263="",$E263="X"),0,IFERROR(_xlfn.LET(_xlpm.x,SUM(SUM(_xlfn._xlws.FILTER(VALUE(PptoSty[Sign]&amp;1)*(1/PptoSty[Division]),(PptoSty[Division]&lt;&gt;0)*(PptoSty[Division]&lt;&gt;"")*(PptoSty[Division]&lt;&gt;"X")*(PptoSty[RowGrp]=$E263)*(ISNUMBER(FIND(PptoSty[PiColumn],U$257))),0)),$AA263),_xlpm.y,IF(_xlfn._xlws.FILTER(TbRsmIn[Alive],TbRsmIn[Enquiry No]=$E263,"X")="C",0,INDEX(INDIRECT(Mods!$B$2),MATCH($E263,INDIRECT(Mods!$B$4),0),MATCH(U$257,INDIRECT(Mods!$AL$3),0))),IF(AND(_xlpm.x=0,_xlpm.y&lt;&gt;0),-1,IF(AND(_xlpm.x&lt;&gt;0,_xlpm.y&lt;&gt;0),_xlpm.x,IF(AND(_xlpm.x-$AA263&lt;&gt;0,_xlpm.y=0),-2,_xlpm.x)))),0))</f>
        <v>0</v>
      </c>
      <c r="V263" s="282" cm="1">
        <f t="array" aca="1" ref="V263" ca="1">IF(OR($E263="",$E263="X"),0,IFERROR(_xlfn.LET(_xlpm.x,SUM(SUM(_xlfn._xlws.FILTER(VALUE(PptoSty[Sign]&amp;1)*(1/PptoSty[Division]),(PptoSty[Division]&lt;&gt;0)*(PptoSty[Division]&lt;&gt;"")*(PptoSty[Division]&lt;&gt;"X")*(PptoSty[RowGrp]=$E263)*(ISNUMBER(FIND(PptoSty[PiColumn],V$257))),0)),$AA263),_xlpm.y,IF(_xlfn._xlws.FILTER(TbRsmIn[Alive],TbRsmIn[Enquiry No]=$E263,"X")="C",0,INDEX(INDIRECT(Mods!$B$2),MATCH($E263,INDIRECT(Mods!$B$4),0),MATCH(V$257,INDIRECT(Mods!$AL$3),0))),IF(AND(_xlpm.x=0,_xlpm.y&lt;&gt;0),-1,IF(AND(_xlpm.x&lt;&gt;0,_xlpm.y&lt;&gt;0),_xlpm.x,IF(AND(_xlpm.x-$AA263&lt;&gt;0,_xlpm.y=0),-2,_xlpm.x)))),0))</f>
        <v>0</v>
      </c>
      <c r="W263" s="282" cm="1">
        <f t="array" aca="1" ref="W263" ca="1">IF(OR($E263="",$E263="X"),0,IFERROR(_xlfn.LET(_xlpm.x,SUM(SUM(_xlfn._xlws.FILTER(VALUE(PptoSty[Sign]&amp;1)*(1/PptoSty[Division]),(PptoSty[Division]&lt;&gt;0)*(PptoSty[Division]&lt;&gt;"")*(PptoSty[Division]&lt;&gt;"X")*(PptoSty[RowGrp]=$E263)*(ISNUMBER(FIND(PptoSty[PiColumn],W$257))),0)),$AA263),_xlpm.y,IF(_xlfn._xlws.FILTER(TbRsmIn[Alive],TbRsmIn[Enquiry No]=$E263,"X")="C",0,INDEX(INDIRECT(Mods!$B$2),MATCH($E263,INDIRECT(Mods!$B$4),0),MATCH(W$257,INDIRECT(Mods!$AL$3),0))),IF(AND(_xlpm.x=0,_xlpm.y&lt;&gt;0),-1,IF(AND(_xlpm.x&lt;&gt;0,_xlpm.y&lt;&gt;0),_xlpm.x,IF(AND(_xlpm.x-$AA263&lt;&gt;0,_xlpm.y=0),-2,_xlpm.x)))),0))</f>
        <v>0</v>
      </c>
      <c r="X263" s="282" cm="1">
        <f t="array" aca="1" ref="X263" ca="1">IF(OR($E263="",$E263="X"),0,IFERROR(_xlfn.LET(_xlpm.x,SUM(SUM(_xlfn._xlws.FILTER(VALUE(PptoSty[Sign]&amp;1)*(1/PptoSty[Division]),(PptoSty[Division]&lt;&gt;0)*(PptoSty[Division]&lt;&gt;"")*(PptoSty[Division]&lt;&gt;"X")*(PptoSty[RowGrp]=$E263)*(ISNUMBER(FIND(PptoSty[PiColumn],X$257))),0)),$AA263),_xlpm.y,IF(_xlfn._xlws.FILTER(TbRsmIn[Alive],TbRsmIn[Enquiry No]=$E263,"X")="C",0,INDEX(INDIRECT(Mods!$B$2),MATCH($E263,INDIRECT(Mods!$B$4),0),MATCH(X$257,INDIRECT(Mods!$AL$3),0))),IF(AND(_xlpm.x=0,_xlpm.y&lt;&gt;0),-1,IF(AND(_xlpm.x&lt;&gt;0,_xlpm.y&lt;&gt;0),_xlpm.x,IF(AND(_xlpm.x-$AA263&lt;&gt;0,_xlpm.y=0),-2,_xlpm.x)))),0))</f>
        <v>0</v>
      </c>
      <c r="Y263" s="282" cm="1">
        <f t="array" aca="1" ref="Y263" ca="1">IF(OR($E263="",$E263="X"),0,IFERROR(_xlfn.LET(_xlpm.x,SUM(SUM(_xlfn._xlws.FILTER(VALUE(PptoSty[Sign]&amp;1)*(1/PptoSty[Division]),(PptoSty[Division]&lt;&gt;0)*(PptoSty[Division]&lt;&gt;"")*(PptoSty[Division]&lt;&gt;"X")*(PptoSty[RowGrp]=$E263)*(ISNUMBER(FIND(PptoSty[PiColumn],Y$257))),0)),$AA263),_xlpm.y,IF(_xlfn._xlws.FILTER(TbRsmIn[Alive],TbRsmIn[Enquiry No]=$E263,"X")="C",0,INDEX(INDIRECT(Mods!$B$2),MATCH($E263,INDIRECT(Mods!$B$4),0),MATCH(Y$257,INDIRECT(Mods!$AL$3),0))),IF(AND(_xlpm.x=0,_xlpm.y&lt;&gt;0),-1,IF(AND(_xlpm.x&lt;&gt;0,_xlpm.y&lt;&gt;0),_xlpm.x,IF(AND(_xlpm.x-$AA263&lt;&gt;0,_xlpm.y=0),-2,_xlpm.x)))),0))</f>
        <v>0</v>
      </c>
      <c r="Z263" s="280" t="str">
        <f t="shared" ca="1" si="8"/>
        <v>Fback!B263:Y263</v>
      </c>
      <c r="AA263" s="282" cm="1">
        <f t="array" aca="1" ref="AA263" ca="1">IF(OR($E263="",$E263="X"),0,IFERROR(SUM(_xlfn._xlws.FILTER(VALUE(#REF!&amp;1)*(1/PptoSty[PptoVsRow]),(PptoSty[PptoVsRow]&lt;&gt;0)*(PptoSty[PptoVsRow]&lt;&gt;"")*(PptoSty[PptoVsRow]&lt;&gt;"X")*(PptoSty[Num]=$E263)*(PptoSty[RowGrp]=AA$260),0)),0))</f>
        <v>0</v>
      </c>
    </row>
    <row r="264" spans="1:27" ht="21" customHeight="1" outlineLevel="1">
      <c r="B264" s="247" t="str" cm="1">
        <f t="array" ref="B264:C264">IF($E264="X","X",_xlfn._xlws.FILTER(P_SelPrj[[PrjId]:[Cia]],P_SelPrj[Attribute]=VALUE(LEFT($E264,1)),"X"))</f>
        <v>31200</v>
      </c>
      <c r="C264" s="247" t="str">
        <v>Sp</v>
      </c>
      <c r="D264" s="247" t="s">
        <v>375</v>
      </c>
      <c r="E264" s="247" t="str" cm="1">
        <f t="array" ref="E264">_xlfn.LET(_xlpm.x,IFERROR(INDEX(TbRsmIn[Enquiry No],SUM(ROW()-MATCH("SOM",$A:$A,0))),"X"),IF(_xlpm.x=0,"X",_xlpm.x))</f>
        <v>0CT004</v>
      </c>
      <c r="F264" s="413" t="str" cm="1">
        <f t="array" ref="F264">_xlfn._xlws.FILTER(CstClcData[Value],(CstClcData[Attribute]="Concept")*(CstClcData[Name]=$E264),"X")</f>
        <v>Software development PLC, excl. Sicar &gt; Omron to Siemens</v>
      </c>
      <c r="G264" s="281"/>
      <c r="H264" s="281"/>
      <c r="I264" s="282" cm="1">
        <f t="array" aca="1" ref="I264" ca="1">IF(OR($E264="",$E264="X"),0,IFERROR(_xlfn.LET(_xlpm.x,SUM(SUM(_xlfn._xlws.FILTER(VALUE(PptoSty[Sign]&amp;1)*(1/PptoSty[Division]),(PptoSty[Division]&lt;&gt;0)*(PptoSty[Division]&lt;&gt;"")*(PptoSty[Division]&lt;&gt;"X")*(PptoSty[RowGrp]=$E264)*(ISNUMBER(FIND(PptoSty[PiColumn],I$257))),0)),$AA264),_xlpm.y,IF(_xlfn._xlws.FILTER(TbRsmIn[Alive],TbRsmIn[Enquiry No]=$E264,"X")="C",0,INDEX(INDIRECT(Mods!$B$2),MATCH($E264,INDIRECT(Mods!$B$4),0),MATCH(I$257,INDIRECT(Mods!$AL$3),0))),IF(AND(_xlpm.x=0,_xlpm.y&lt;&gt;0),-1,IF(AND(_xlpm.x&lt;&gt;0,_xlpm.y&lt;&gt;0),_xlpm.x,IF(AND(_xlpm.x-$AA264&lt;&gt;0,_xlpm.y=0),-2,_xlpm.x)))),0))</f>
        <v>0</v>
      </c>
      <c r="J264" s="282" cm="1">
        <f t="array" aca="1" ref="J264" ca="1">IF(OR($E264="",$E264="X"),0,IFERROR(_xlfn.LET(_xlpm.x,SUM(SUM(_xlfn._xlws.FILTER(VALUE(PptoSty[Sign]&amp;1)*(1/PptoSty[Division]),(PptoSty[Division]&lt;&gt;0)*(PptoSty[Division]&lt;&gt;"")*(PptoSty[Division]&lt;&gt;"X")*(PptoSty[RowGrp]=$E264)*(ISNUMBER(FIND(PptoSty[PiColumn],J$257))),0)),$AA264),_xlpm.y,IF(_xlfn._xlws.FILTER(TbRsmIn[Alive],TbRsmIn[Enquiry No]=$E264,"X")="C",0,INDEX(INDIRECT(Mods!$B$2),MATCH($E264,INDIRECT(Mods!$B$4),0),MATCH(J$257,INDIRECT(Mods!$AL$3),0))),IF(AND(_xlpm.x=0,_xlpm.y&lt;&gt;0),-1,IF(AND(_xlpm.x&lt;&gt;0,_xlpm.y&lt;&gt;0),_xlpm.x,IF(AND(_xlpm.x-$AA264&lt;&gt;0,_xlpm.y=0),-2,_xlpm.x)))),0))</f>
        <v>0</v>
      </c>
      <c r="K264" s="282" cm="1">
        <f t="array" aca="1" ref="K264" ca="1">IF(OR($E264="",$E264="X"),0,IFERROR(_xlfn.LET(_xlpm.x,SUM(SUM(_xlfn._xlws.FILTER(VALUE(PptoSty[Sign]&amp;1)*(1/PptoSty[Division]),(PptoSty[Division]&lt;&gt;0)*(PptoSty[Division]&lt;&gt;"")*(PptoSty[Division]&lt;&gt;"X")*(PptoSty[RowGrp]=$E264)*(ISNUMBER(FIND(PptoSty[PiColumn],K$257))),0)),$AA264),_xlpm.y,IF(_xlfn._xlws.FILTER(TbRsmIn[Alive],TbRsmIn[Enquiry No]=$E264,"X")="C",0,INDEX(INDIRECT(Mods!$B$2),MATCH($E264,INDIRECT(Mods!$B$4),0),MATCH(K$257,INDIRECT(Mods!$AL$3),0))),IF(AND(_xlpm.x=0,_xlpm.y&lt;&gt;0),-1,IF(AND(_xlpm.x&lt;&gt;0,_xlpm.y&lt;&gt;0),_xlpm.x,IF(AND(_xlpm.x-$AA264&lt;&gt;0,_xlpm.y=0),-2,_xlpm.x)))),0))</f>
        <v>0</v>
      </c>
      <c r="L264" s="282" cm="1">
        <f t="array" aca="1" ref="L264" ca="1">IF(OR($E264="",$E264="X"),0,IFERROR(_xlfn.LET(_xlpm.x,SUM(SUM(_xlfn._xlws.FILTER(VALUE(PptoSty[Sign]&amp;1)*(1/PptoSty[Division]),(PptoSty[Division]&lt;&gt;0)*(PptoSty[Division]&lt;&gt;"")*(PptoSty[Division]&lt;&gt;"X")*(PptoSty[RowGrp]=$E264)*(ISNUMBER(FIND(PptoSty[PiColumn],L$257))),0)),$AA264),_xlpm.y,IF(_xlfn._xlws.FILTER(TbRsmIn[Alive],TbRsmIn[Enquiry No]=$E264,"X")="C",0,INDEX(INDIRECT(Mods!$B$2),MATCH($E264,INDIRECT(Mods!$B$4),0),MATCH(L$257,INDIRECT(Mods!$AL$3),0))),IF(AND(_xlpm.x=0,_xlpm.y&lt;&gt;0),-1,IF(AND(_xlpm.x&lt;&gt;0,_xlpm.y&lt;&gt;0),_xlpm.x,IF(AND(_xlpm.x-$AA264&lt;&gt;0,_xlpm.y=0),-2,_xlpm.x)))),0))</f>
        <v>0</v>
      </c>
      <c r="M264" s="282" cm="1">
        <f t="array" aca="1" ref="M264" ca="1">IF(OR($E264="",$E264="X"),0,IFERROR(_xlfn.LET(_xlpm.x,SUM(SUM(_xlfn._xlws.FILTER(VALUE(PptoSty[Sign]&amp;1)*(1/PptoSty[Division]),(PptoSty[Division]&lt;&gt;0)*(PptoSty[Division]&lt;&gt;"")*(PptoSty[Division]&lt;&gt;"X")*(PptoSty[RowGrp]=$E264)*(ISNUMBER(FIND(PptoSty[PiColumn],M$257))),0)),$AA264),_xlpm.y,IF(_xlfn._xlws.FILTER(TbRsmIn[Alive],TbRsmIn[Enquiry No]=$E264,"X")="C",0,INDEX(INDIRECT(Mods!$B$2),MATCH($E264,INDIRECT(Mods!$B$4),0),MATCH(M$257,INDIRECT(Mods!$AL$3),0))),IF(AND(_xlpm.x=0,_xlpm.y&lt;&gt;0),-1,IF(AND(_xlpm.x&lt;&gt;0,_xlpm.y&lt;&gt;0),_xlpm.x,IF(AND(_xlpm.x-$AA264&lt;&gt;0,_xlpm.y=0),-2,_xlpm.x)))),0))</f>
        <v>0</v>
      </c>
      <c r="N264" s="282" cm="1">
        <f t="array" aca="1" ref="N264" ca="1">IF(OR($E264="",$E264="X"),0,IFERROR(_xlfn.LET(_xlpm.x,SUM(SUM(_xlfn._xlws.FILTER(VALUE(PptoSty[Sign]&amp;1)*(1/PptoSty[Division]),(PptoSty[Division]&lt;&gt;0)*(PptoSty[Division]&lt;&gt;"")*(PptoSty[Division]&lt;&gt;"X")*(PptoSty[RowGrp]=$E264)*(ISNUMBER(FIND(PptoSty[PiColumn],N$257))),0)),$AA264),_xlpm.y,IF(_xlfn._xlws.FILTER(TbRsmIn[Alive],TbRsmIn[Enquiry No]=$E264,"X")="C",0,INDEX(INDIRECT(Mods!$B$2),MATCH($E264,INDIRECT(Mods!$B$4),0),MATCH(N$257,INDIRECT(Mods!$AL$3),0))),IF(AND(_xlpm.x=0,_xlpm.y&lt;&gt;0),-1,IF(AND(_xlpm.x&lt;&gt;0,_xlpm.y&lt;&gt;0),_xlpm.x,IF(AND(_xlpm.x-$AA264&lt;&gt;0,_xlpm.y=0),-2,_xlpm.x)))),0))</f>
        <v>0</v>
      </c>
      <c r="O264" s="282" cm="1">
        <f t="array" aca="1" ref="O264" ca="1">IF(OR($E264="",$E264="X"),0,IFERROR(_xlfn.LET(_xlpm.x,SUM(SUM(_xlfn._xlws.FILTER(VALUE(PptoSty[Sign]&amp;1)*(1/PptoSty[Division]),(PptoSty[Division]&lt;&gt;0)*(PptoSty[Division]&lt;&gt;"")*(PptoSty[Division]&lt;&gt;"X")*(PptoSty[RowGrp]=$E264)*(ISNUMBER(FIND(PptoSty[PiColumn],O$257))),0)),$AA264),_xlpm.y,IF(_xlfn._xlws.FILTER(TbRsmIn[Alive],TbRsmIn[Enquiry No]=$E264,"X")="C",0,INDEX(INDIRECT(Mods!$B$2),MATCH($E264,INDIRECT(Mods!$B$4),0),MATCH(O$257,INDIRECT(Mods!$AL$3),0))),IF(AND(_xlpm.x=0,_xlpm.y&lt;&gt;0),-1,IF(AND(_xlpm.x&lt;&gt;0,_xlpm.y&lt;&gt;0),_xlpm.x,IF(AND(_xlpm.x-$AA264&lt;&gt;0,_xlpm.y=0),-2,_xlpm.x)))),0))</f>
        <v>0</v>
      </c>
      <c r="P264" s="282" cm="1">
        <f t="array" aca="1" ref="P264" ca="1">IF(OR($E264="",$E264="X"),0,IFERROR(_xlfn.LET(_xlpm.x,SUM(SUM(_xlfn._xlws.FILTER(VALUE(PptoSty[Sign]&amp;1)*(1/PptoSty[Division]),(PptoSty[Division]&lt;&gt;0)*(PptoSty[Division]&lt;&gt;"")*(PptoSty[Division]&lt;&gt;"X")*(PptoSty[RowGrp]=$E264)*(ISNUMBER(FIND(PptoSty[PiColumn],P$257))),0)),$AA264),_xlpm.y,IF(_xlfn._xlws.FILTER(TbRsmIn[Alive],TbRsmIn[Enquiry No]=$E264,"X")="C",0,INDEX(INDIRECT(Mods!$B$2),MATCH($E264,INDIRECT(Mods!$B$4),0),MATCH(P$257,INDIRECT(Mods!$AL$3),0))),IF(AND(_xlpm.x=0,_xlpm.y&lt;&gt;0),-1,IF(AND(_xlpm.x&lt;&gt;0,_xlpm.y&lt;&gt;0),_xlpm.x,IF(AND(_xlpm.x-$AA264&lt;&gt;0,_xlpm.y=0),-2,_xlpm.x)))),0))</f>
        <v>0</v>
      </c>
      <c r="Q264" s="282" cm="1">
        <f t="array" aca="1" ref="Q264" ca="1">IF(OR($E264="",$E264="X"),0,IFERROR(_xlfn.LET(_xlpm.x,SUM(SUM(_xlfn._xlws.FILTER(VALUE(PptoSty[Sign]&amp;1)*(1/PptoSty[Division]),(PptoSty[Division]&lt;&gt;0)*(PptoSty[Division]&lt;&gt;"")*(PptoSty[Division]&lt;&gt;"X")*(PptoSty[RowGrp]=$E264)*(ISNUMBER(FIND(PptoSty[PiColumn],Q$257))),0)),$AA264),_xlpm.y,IF(_xlfn._xlws.FILTER(TbRsmIn[Alive],TbRsmIn[Enquiry No]=$E264,"X")="C",0,INDEX(INDIRECT(Mods!$B$2),MATCH($E264,INDIRECT(Mods!$B$4),0),MATCH(Q$257,INDIRECT(Mods!$AL$3),0))),IF(AND(_xlpm.x=0,_xlpm.y&lt;&gt;0),-1,IF(AND(_xlpm.x&lt;&gt;0,_xlpm.y&lt;&gt;0),_xlpm.x,IF(AND(_xlpm.x-$AA264&lt;&gt;0,_xlpm.y=0),-2,_xlpm.x)))),0))</f>
        <v>0</v>
      </c>
      <c r="R264" s="282" cm="1">
        <f t="array" aca="1" ref="R264" ca="1">IF(OR($E264="",$E264="X"),0,IFERROR(_xlfn.LET(_xlpm.x,SUM(SUM(_xlfn._xlws.FILTER(VALUE(PptoSty[Sign]&amp;1)*(1/PptoSty[Division]),(PptoSty[Division]&lt;&gt;0)*(PptoSty[Division]&lt;&gt;"")*(PptoSty[Division]&lt;&gt;"X")*(PptoSty[RowGrp]=$E264)*(ISNUMBER(FIND(PptoSty[PiColumn],R$257))),0)),$AA264),_xlpm.y,IF(_xlfn._xlws.FILTER(TbRsmIn[Alive],TbRsmIn[Enquiry No]=$E264,"X")="C",0,INDEX(INDIRECT(Mods!$B$2),MATCH($E264,INDIRECT(Mods!$B$4),0),MATCH(R$257,INDIRECT(Mods!$AL$3),0))),IF(AND(_xlpm.x=0,_xlpm.y&lt;&gt;0),-1,IF(AND(_xlpm.x&lt;&gt;0,_xlpm.y&lt;&gt;0),_xlpm.x,IF(AND(_xlpm.x-$AA264&lt;&gt;0,_xlpm.y=0),-2,_xlpm.x)))),0))</f>
        <v>0</v>
      </c>
      <c r="S264" s="282" cm="1">
        <f t="array" aca="1" ref="S264" ca="1">IF(OR($E264="",$E264="X"),0,IFERROR(_xlfn.LET(_xlpm.x,SUM(SUM(_xlfn._xlws.FILTER(VALUE(PptoSty[Sign]&amp;1)*(1/PptoSty[Division]),(PptoSty[Division]&lt;&gt;0)*(PptoSty[Division]&lt;&gt;"")*(PptoSty[Division]&lt;&gt;"X")*(PptoSty[RowGrp]=$E264)*(ISNUMBER(FIND(PptoSty[PiColumn],S$257))),0)),$AA264),_xlpm.y,IF(_xlfn._xlws.FILTER(TbRsmIn[Alive],TbRsmIn[Enquiry No]=$E264,"X")="C",0,INDEX(INDIRECT(Mods!$B$2),MATCH($E264,INDIRECT(Mods!$B$4),0),MATCH(S$257,INDIRECT(Mods!$AL$3),0))),IF(AND(_xlpm.x=0,_xlpm.y&lt;&gt;0),-1,IF(AND(_xlpm.x&lt;&gt;0,_xlpm.y&lt;&gt;0),_xlpm.x,IF(AND(_xlpm.x-$AA264&lt;&gt;0,_xlpm.y=0),-2,_xlpm.x)))),0))</f>
        <v>0</v>
      </c>
      <c r="T264" s="282" cm="1">
        <f t="array" aca="1" ref="T264" ca="1">IF(OR($E264="",$E264="X"),0,IFERROR(_xlfn.LET(_xlpm.x,SUM(SUM(_xlfn._xlws.FILTER(VALUE(PptoSty[Sign]&amp;1)*(1/PptoSty[Division]),(PptoSty[Division]&lt;&gt;0)*(PptoSty[Division]&lt;&gt;"")*(PptoSty[Division]&lt;&gt;"X")*(PptoSty[RowGrp]=$E264)*(ISNUMBER(FIND(PptoSty[PiColumn],T$257))),0)),$AA264),_xlpm.y,IF(_xlfn._xlws.FILTER(TbRsmIn[Alive],TbRsmIn[Enquiry No]=$E264,"X")="C",0,INDEX(INDIRECT(Mods!$B$2),MATCH($E264,INDIRECT(Mods!$B$4),0),MATCH(T$257,INDIRECT(Mods!$AL$3),0))),IF(AND(_xlpm.x=0,_xlpm.y&lt;&gt;0),-1,IF(AND(_xlpm.x&lt;&gt;0,_xlpm.y&lt;&gt;0),_xlpm.x,IF(AND(_xlpm.x-$AA264&lt;&gt;0,_xlpm.y=0),-2,_xlpm.x)))),0))</f>
        <v>0</v>
      </c>
      <c r="U264" s="282" cm="1">
        <f t="array" aca="1" ref="U264" ca="1">IF(OR($E264="",$E264="X"),0,IFERROR(_xlfn.LET(_xlpm.x,SUM(SUM(_xlfn._xlws.FILTER(VALUE(PptoSty[Sign]&amp;1)*(1/PptoSty[Division]),(PptoSty[Division]&lt;&gt;0)*(PptoSty[Division]&lt;&gt;"")*(PptoSty[Division]&lt;&gt;"X")*(PptoSty[RowGrp]=$E264)*(ISNUMBER(FIND(PptoSty[PiColumn],U$257))),0)),$AA264),_xlpm.y,IF(_xlfn._xlws.FILTER(TbRsmIn[Alive],TbRsmIn[Enquiry No]=$E264,"X")="C",0,INDEX(INDIRECT(Mods!$B$2),MATCH($E264,INDIRECT(Mods!$B$4),0),MATCH(U$257,INDIRECT(Mods!$AL$3),0))),IF(AND(_xlpm.x=0,_xlpm.y&lt;&gt;0),-1,IF(AND(_xlpm.x&lt;&gt;0,_xlpm.y&lt;&gt;0),_xlpm.x,IF(AND(_xlpm.x-$AA264&lt;&gt;0,_xlpm.y=0),-2,_xlpm.x)))),0))</f>
        <v>0</v>
      </c>
      <c r="V264" s="282" cm="1">
        <f t="array" aca="1" ref="V264" ca="1">IF(OR($E264="",$E264="X"),0,IFERROR(_xlfn.LET(_xlpm.x,SUM(SUM(_xlfn._xlws.FILTER(VALUE(PptoSty[Sign]&amp;1)*(1/PptoSty[Division]),(PptoSty[Division]&lt;&gt;0)*(PptoSty[Division]&lt;&gt;"")*(PptoSty[Division]&lt;&gt;"X")*(PptoSty[RowGrp]=$E264)*(ISNUMBER(FIND(PptoSty[PiColumn],V$257))),0)),$AA264),_xlpm.y,IF(_xlfn._xlws.FILTER(TbRsmIn[Alive],TbRsmIn[Enquiry No]=$E264,"X")="C",0,INDEX(INDIRECT(Mods!$B$2),MATCH($E264,INDIRECT(Mods!$B$4),0),MATCH(V$257,INDIRECT(Mods!$AL$3),0))),IF(AND(_xlpm.x=0,_xlpm.y&lt;&gt;0),-1,IF(AND(_xlpm.x&lt;&gt;0,_xlpm.y&lt;&gt;0),_xlpm.x,IF(AND(_xlpm.x-$AA264&lt;&gt;0,_xlpm.y=0),-2,_xlpm.x)))),0))</f>
        <v>0</v>
      </c>
      <c r="W264" s="282" cm="1">
        <f t="array" aca="1" ref="W264" ca="1">IF(OR($E264="",$E264="X"),0,IFERROR(_xlfn.LET(_xlpm.x,SUM(SUM(_xlfn._xlws.FILTER(VALUE(PptoSty[Sign]&amp;1)*(1/PptoSty[Division]),(PptoSty[Division]&lt;&gt;0)*(PptoSty[Division]&lt;&gt;"")*(PptoSty[Division]&lt;&gt;"X")*(PptoSty[RowGrp]=$E264)*(ISNUMBER(FIND(PptoSty[PiColumn],W$257))),0)),$AA264),_xlpm.y,IF(_xlfn._xlws.FILTER(TbRsmIn[Alive],TbRsmIn[Enquiry No]=$E264,"X")="C",0,INDEX(INDIRECT(Mods!$B$2),MATCH($E264,INDIRECT(Mods!$B$4),0),MATCH(W$257,INDIRECT(Mods!$AL$3),0))),IF(AND(_xlpm.x=0,_xlpm.y&lt;&gt;0),-1,IF(AND(_xlpm.x&lt;&gt;0,_xlpm.y&lt;&gt;0),_xlpm.x,IF(AND(_xlpm.x-$AA264&lt;&gt;0,_xlpm.y=0),-2,_xlpm.x)))),0))</f>
        <v>0</v>
      </c>
      <c r="X264" s="282" cm="1">
        <f t="array" aca="1" ref="X264" ca="1">IF(OR($E264="",$E264="X"),0,IFERROR(_xlfn.LET(_xlpm.x,SUM(SUM(_xlfn._xlws.FILTER(VALUE(PptoSty[Sign]&amp;1)*(1/PptoSty[Division]),(PptoSty[Division]&lt;&gt;0)*(PptoSty[Division]&lt;&gt;"")*(PptoSty[Division]&lt;&gt;"X")*(PptoSty[RowGrp]=$E264)*(ISNUMBER(FIND(PptoSty[PiColumn],X$257))),0)),$AA264),_xlpm.y,IF(_xlfn._xlws.FILTER(TbRsmIn[Alive],TbRsmIn[Enquiry No]=$E264,"X")="C",0,INDEX(INDIRECT(Mods!$B$2),MATCH($E264,INDIRECT(Mods!$B$4),0),MATCH(X$257,INDIRECT(Mods!$AL$3),0))),IF(AND(_xlpm.x=0,_xlpm.y&lt;&gt;0),-1,IF(AND(_xlpm.x&lt;&gt;0,_xlpm.y&lt;&gt;0),_xlpm.x,IF(AND(_xlpm.x-$AA264&lt;&gt;0,_xlpm.y=0),-2,_xlpm.x)))),0))</f>
        <v>0</v>
      </c>
      <c r="Y264" s="282" cm="1">
        <f t="array" aca="1" ref="Y264" ca="1">IF(OR($E264="",$E264="X"),0,IFERROR(_xlfn.LET(_xlpm.x,SUM(SUM(_xlfn._xlws.FILTER(VALUE(PptoSty[Sign]&amp;1)*(1/PptoSty[Division]),(PptoSty[Division]&lt;&gt;0)*(PptoSty[Division]&lt;&gt;"")*(PptoSty[Division]&lt;&gt;"X")*(PptoSty[RowGrp]=$E264)*(ISNUMBER(FIND(PptoSty[PiColumn],Y$257))),0)),$AA264),_xlpm.y,IF(_xlfn._xlws.FILTER(TbRsmIn[Alive],TbRsmIn[Enquiry No]=$E264,"X")="C",0,INDEX(INDIRECT(Mods!$B$2),MATCH($E264,INDIRECT(Mods!$B$4),0),MATCH(Y$257,INDIRECT(Mods!$AL$3),0))),IF(AND(_xlpm.x=0,_xlpm.y&lt;&gt;0),-1,IF(AND(_xlpm.x&lt;&gt;0,_xlpm.y&lt;&gt;0),_xlpm.x,IF(AND(_xlpm.x-$AA264&lt;&gt;0,_xlpm.y=0),-2,_xlpm.x)))),0))</f>
        <v>0</v>
      </c>
      <c r="Z264" s="280" t="str">
        <f t="shared" ca="1" si="8"/>
        <v>Fback!B264:Y264</v>
      </c>
      <c r="AA264" s="282" cm="1">
        <f t="array" aca="1" ref="AA264" ca="1">IF(OR($E264="",$E264="X"),0,IFERROR(SUM(_xlfn._xlws.FILTER(VALUE(#REF!&amp;1)*(1/PptoSty[PptoVsRow]),(PptoSty[PptoVsRow]&lt;&gt;0)*(PptoSty[PptoVsRow]&lt;&gt;"")*(PptoSty[PptoVsRow]&lt;&gt;"X")*(PptoSty[Num]=$E264)*(PptoSty[RowGrp]=AA$260),0)),0))</f>
        <v>0</v>
      </c>
    </row>
    <row r="265" spans="1:27" ht="21" customHeight="1" outlineLevel="1">
      <c r="B265" s="247" t="str" cm="1">
        <f t="array" ref="B265:C265">IF($E265="X","X",_xlfn._xlws.FILTER(P_SelPrj[[PrjId]:[Cia]],P_SelPrj[Attribute]=VALUE(LEFT($E265,1)),"X"))</f>
        <v>31200</v>
      </c>
      <c r="C265" s="247" t="str">
        <v>Sp</v>
      </c>
      <c r="D265" s="247" t="s">
        <v>375</v>
      </c>
      <c r="E265" s="247" t="str" cm="1">
        <f t="array" ref="E265">_xlfn.LET(_xlpm.x,IFERROR(INDEX(TbRsmIn[Enquiry No],SUM(ROW()-MATCH("SOM",$A:$A,0))),"X"),IF(_xlpm.x=0,"X",_xlpm.x))</f>
        <v>0CT005</v>
      </c>
      <c r="F265" s="413" t="str" cm="1">
        <f t="array" ref="F265">_xlfn._xlws.FILTER(CstClcData[Value],(CstClcData[Attribute]="Concept")*(CstClcData[Name]=$E265),"X")</f>
        <v>X</v>
      </c>
      <c r="G265" s="281"/>
      <c r="H265" s="281"/>
      <c r="I265" s="282" cm="1">
        <f t="array" aca="1" ref="I265" ca="1">IF(OR($E265="",$E265="X"),0,IFERROR(_xlfn.LET(_xlpm.x,SUM(SUM(_xlfn._xlws.FILTER(VALUE(PptoSty[Sign]&amp;1)*(1/PptoSty[Division]),(PptoSty[Division]&lt;&gt;0)*(PptoSty[Division]&lt;&gt;"")*(PptoSty[Division]&lt;&gt;"X")*(PptoSty[RowGrp]=$E265)*(ISNUMBER(FIND(PptoSty[PiColumn],I$257))),0)),$AA265),_xlpm.y,IF(_xlfn._xlws.FILTER(TbRsmIn[Alive],TbRsmIn[Enquiry No]=$E265,"X")="C",0,INDEX(INDIRECT(Mods!$B$2),MATCH($E265,INDIRECT(Mods!$B$4),0),MATCH(I$257,INDIRECT(Mods!$AL$3),0))),IF(AND(_xlpm.x=0,_xlpm.y&lt;&gt;0),-1,IF(AND(_xlpm.x&lt;&gt;0,_xlpm.y&lt;&gt;0),_xlpm.x,IF(AND(_xlpm.x-$AA265&lt;&gt;0,_xlpm.y=0),-2,_xlpm.x)))),0))</f>
        <v>0</v>
      </c>
      <c r="J265" s="282" cm="1">
        <f t="array" aca="1" ref="J265" ca="1">IF(OR($E265="",$E265="X"),0,IFERROR(_xlfn.LET(_xlpm.x,SUM(SUM(_xlfn._xlws.FILTER(VALUE(PptoSty[Sign]&amp;1)*(1/PptoSty[Division]),(PptoSty[Division]&lt;&gt;0)*(PptoSty[Division]&lt;&gt;"")*(PptoSty[Division]&lt;&gt;"X")*(PptoSty[RowGrp]=$E265)*(ISNUMBER(FIND(PptoSty[PiColumn],J$257))),0)),$AA265),_xlpm.y,IF(_xlfn._xlws.FILTER(TbRsmIn[Alive],TbRsmIn[Enquiry No]=$E265,"X")="C",0,INDEX(INDIRECT(Mods!$B$2),MATCH($E265,INDIRECT(Mods!$B$4),0),MATCH(J$257,INDIRECT(Mods!$AL$3),0))),IF(AND(_xlpm.x=0,_xlpm.y&lt;&gt;0),-1,IF(AND(_xlpm.x&lt;&gt;0,_xlpm.y&lt;&gt;0),_xlpm.x,IF(AND(_xlpm.x-$AA265&lt;&gt;0,_xlpm.y=0),-2,_xlpm.x)))),0))</f>
        <v>0</v>
      </c>
      <c r="K265" s="282" cm="1">
        <f t="array" aca="1" ref="K265" ca="1">IF(OR($E265="",$E265="X"),0,IFERROR(_xlfn.LET(_xlpm.x,SUM(SUM(_xlfn._xlws.FILTER(VALUE(PptoSty[Sign]&amp;1)*(1/PptoSty[Division]),(PptoSty[Division]&lt;&gt;0)*(PptoSty[Division]&lt;&gt;"")*(PptoSty[Division]&lt;&gt;"X")*(PptoSty[RowGrp]=$E265)*(ISNUMBER(FIND(PptoSty[PiColumn],K$257))),0)),$AA265),_xlpm.y,IF(_xlfn._xlws.FILTER(TbRsmIn[Alive],TbRsmIn[Enquiry No]=$E265,"X")="C",0,INDEX(INDIRECT(Mods!$B$2),MATCH($E265,INDIRECT(Mods!$B$4),0),MATCH(K$257,INDIRECT(Mods!$AL$3),0))),IF(AND(_xlpm.x=0,_xlpm.y&lt;&gt;0),-1,IF(AND(_xlpm.x&lt;&gt;0,_xlpm.y&lt;&gt;0),_xlpm.x,IF(AND(_xlpm.x-$AA265&lt;&gt;0,_xlpm.y=0),-2,_xlpm.x)))),0))</f>
        <v>0</v>
      </c>
      <c r="L265" s="282" cm="1">
        <f t="array" aca="1" ref="L265" ca="1">IF(OR($E265="",$E265="X"),0,IFERROR(_xlfn.LET(_xlpm.x,SUM(SUM(_xlfn._xlws.FILTER(VALUE(PptoSty[Sign]&amp;1)*(1/PptoSty[Division]),(PptoSty[Division]&lt;&gt;0)*(PptoSty[Division]&lt;&gt;"")*(PptoSty[Division]&lt;&gt;"X")*(PptoSty[RowGrp]=$E265)*(ISNUMBER(FIND(PptoSty[PiColumn],L$257))),0)),$AA265),_xlpm.y,IF(_xlfn._xlws.FILTER(TbRsmIn[Alive],TbRsmIn[Enquiry No]=$E265,"X")="C",0,INDEX(INDIRECT(Mods!$B$2),MATCH($E265,INDIRECT(Mods!$B$4),0),MATCH(L$257,INDIRECT(Mods!$AL$3),0))),IF(AND(_xlpm.x=0,_xlpm.y&lt;&gt;0),-1,IF(AND(_xlpm.x&lt;&gt;0,_xlpm.y&lt;&gt;0),_xlpm.x,IF(AND(_xlpm.x-$AA265&lt;&gt;0,_xlpm.y=0),-2,_xlpm.x)))),0))</f>
        <v>0</v>
      </c>
      <c r="M265" s="282" cm="1">
        <f t="array" aca="1" ref="M265" ca="1">IF(OR($E265="",$E265="X"),0,IFERROR(_xlfn.LET(_xlpm.x,SUM(SUM(_xlfn._xlws.FILTER(VALUE(PptoSty[Sign]&amp;1)*(1/PptoSty[Division]),(PptoSty[Division]&lt;&gt;0)*(PptoSty[Division]&lt;&gt;"")*(PptoSty[Division]&lt;&gt;"X")*(PptoSty[RowGrp]=$E265)*(ISNUMBER(FIND(PptoSty[PiColumn],M$257))),0)),$AA265),_xlpm.y,IF(_xlfn._xlws.FILTER(TbRsmIn[Alive],TbRsmIn[Enquiry No]=$E265,"X")="C",0,INDEX(INDIRECT(Mods!$B$2),MATCH($E265,INDIRECT(Mods!$B$4),0),MATCH(M$257,INDIRECT(Mods!$AL$3),0))),IF(AND(_xlpm.x=0,_xlpm.y&lt;&gt;0),-1,IF(AND(_xlpm.x&lt;&gt;0,_xlpm.y&lt;&gt;0),_xlpm.x,IF(AND(_xlpm.x-$AA265&lt;&gt;0,_xlpm.y=0),-2,_xlpm.x)))),0))</f>
        <v>0</v>
      </c>
      <c r="N265" s="282" cm="1">
        <f t="array" aca="1" ref="N265" ca="1">IF(OR($E265="",$E265="X"),0,IFERROR(_xlfn.LET(_xlpm.x,SUM(SUM(_xlfn._xlws.FILTER(VALUE(PptoSty[Sign]&amp;1)*(1/PptoSty[Division]),(PptoSty[Division]&lt;&gt;0)*(PptoSty[Division]&lt;&gt;"")*(PptoSty[Division]&lt;&gt;"X")*(PptoSty[RowGrp]=$E265)*(ISNUMBER(FIND(PptoSty[PiColumn],N$257))),0)),$AA265),_xlpm.y,IF(_xlfn._xlws.FILTER(TbRsmIn[Alive],TbRsmIn[Enquiry No]=$E265,"X")="C",0,INDEX(INDIRECT(Mods!$B$2),MATCH($E265,INDIRECT(Mods!$B$4),0),MATCH(N$257,INDIRECT(Mods!$AL$3),0))),IF(AND(_xlpm.x=0,_xlpm.y&lt;&gt;0),-1,IF(AND(_xlpm.x&lt;&gt;0,_xlpm.y&lt;&gt;0),_xlpm.x,IF(AND(_xlpm.x-$AA265&lt;&gt;0,_xlpm.y=0),-2,_xlpm.x)))),0))</f>
        <v>0</v>
      </c>
      <c r="O265" s="282" cm="1">
        <f t="array" aca="1" ref="O265" ca="1">IF(OR($E265="",$E265="X"),0,IFERROR(_xlfn.LET(_xlpm.x,SUM(SUM(_xlfn._xlws.FILTER(VALUE(PptoSty[Sign]&amp;1)*(1/PptoSty[Division]),(PptoSty[Division]&lt;&gt;0)*(PptoSty[Division]&lt;&gt;"")*(PptoSty[Division]&lt;&gt;"X")*(PptoSty[RowGrp]=$E265)*(ISNUMBER(FIND(PptoSty[PiColumn],O$257))),0)),$AA265),_xlpm.y,IF(_xlfn._xlws.FILTER(TbRsmIn[Alive],TbRsmIn[Enquiry No]=$E265,"X")="C",0,INDEX(INDIRECT(Mods!$B$2),MATCH($E265,INDIRECT(Mods!$B$4),0),MATCH(O$257,INDIRECT(Mods!$AL$3),0))),IF(AND(_xlpm.x=0,_xlpm.y&lt;&gt;0),-1,IF(AND(_xlpm.x&lt;&gt;0,_xlpm.y&lt;&gt;0),_xlpm.x,IF(AND(_xlpm.x-$AA265&lt;&gt;0,_xlpm.y=0),-2,_xlpm.x)))),0))</f>
        <v>0</v>
      </c>
      <c r="P265" s="282" cm="1">
        <f t="array" aca="1" ref="P265" ca="1">IF(OR($E265="",$E265="X"),0,IFERROR(_xlfn.LET(_xlpm.x,SUM(SUM(_xlfn._xlws.FILTER(VALUE(PptoSty[Sign]&amp;1)*(1/PptoSty[Division]),(PptoSty[Division]&lt;&gt;0)*(PptoSty[Division]&lt;&gt;"")*(PptoSty[Division]&lt;&gt;"X")*(PptoSty[RowGrp]=$E265)*(ISNUMBER(FIND(PptoSty[PiColumn],P$257))),0)),$AA265),_xlpm.y,IF(_xlfn._xlws.FILTER(TbRsmIn[Alive],TbRsmIn[Enquiry No]=$E265,"X")="C",0,INDEX(INDIRECT(Mods!$B$2),MATCH($E265,INDIRECT(Mods!$B$4),0),MATCH(P$257,INDIRECT(Mods!$AL$3),0))),IF(AND(_xlpm.x=0,_xlpm.y&lt;&gt;0),-1,IF(AND(_xlpm.x&lt;&gt;0,_xlpm.y&lt;&gt;0),_xlpm.x,IF(AND(_xlpm.x-$AA265&lt;&gt;0,_xlpm.y=0),-2,_xlpm.x)))),0))</f>
        <v>0</v>
      </c>
      <c r="Q265" s="282" cm="1">
        <f t="array" aca="1" ref="Q265" ca="1">IF(OR($E265="",$E265="X"),0,IFERROR(_xlfn.LET(_xlpm.x,SUM(SUM(_xlfn._xlws.FILTER(VALUE(PptoSty[Sign]&amp;1)*(1/PptoSty[Division]),(PptoSty[Division]&lt;&gt;0)*(PptoSty[Division]&lt;&gt;"")*(PptoSty[Division]&lt;&gt;"X")*(PptoSty[RowGrp]=$E265)*(ISNUMBER(FIND(PptoSty[PiColumn],Q$257))),0)),$AA265),_xlpm.y,IF(_xlfn._xlws.FILTER(TbRsmIn[Alive],TbRsmIn[Enquiry No]=$E265,"X")="C",0,INDEX(INDIRECT(Mods!$B$2),MATCH($E265,INDIRECT(Mods!$B$4),0),MATCH(Q$257,INDIRECT(Mods!$AL$3),0))),IF(AND(_xlpm.x=0,_xlpm.y&lt;&gt;0),-1,IF(AND(_xlpm.x&lt;&gt;0,_xlpm.y&lt;&gt;0),_xlpm.x,IF(AND(_xlpm.x-$AA265&lt;&gt;0,_xlpm.y=0),-2,_xlpm.x)))),0))</f>
        <v>0</v>
      </c>
      <c r="R265" s="282" cm="1">
        <f t="array" aca="1" ref="R265" ca="1">IF(OR($E265="",$E265="X"),0,IFERROR(_xlfn.LET(_xlpm.x,SUM(SUM(_xlfn._xlws.FILTER(VALUE(PptoSty[Sign]&amp;1)*(1/PptoSty[Division]),(PptoSty[Division]&lt;&gt;0)*(PptoSty[Division]&lt;&gt;"")*(PptoSty[Division]&lt;&gt;"X")*(PptoSty[RowGrp]=$E265)*(ISNUMBER(FIND(PptoSty[PiColumn],R$257))),0)),$AA265),_xlpm.y,IF(_xlfn._xlws.FILTER(TbRsmIn[Alive],TbRsmIn[Enquiry No]=$E265,"X")="C",0,INDEX(INDIRECT(Mods!$B$2),MATCH($E265,INDIRECT(Mods!$B$4),0),MATCH(R$257,INDIRECT(Mods!$AL$3),0))),IF(AND(_xlpm.x=0,_xlpm.y&lt;&gt;0),-1,IF(AND(_xlpm.x&lt;&gt;0,_xlpm.y&lt;&gt;0),_xlpm.x,IF(AND(_xlpm.x-$AA265&lt;&gt;0,_xlpm.y=0),-2,_xlpm.x)))),0))</f>
        <v>0</v>
      </c>
      <c r="S265" s="282" cm="1">
        <f t="array" aca="1" ref="S265" ca="1">IF(OR($E265="",$E265="X"),0,IFERROR(_xlfn.LET(_xlpm.x,SUM(SUM(_xlfn._xlws.FILTER(VALUE(PptoSty[Sign]&amp;1)*(1/PptoSty[Division]),(PptoSty[Division]&lt;&gt;0)*(PptoSty[Division]&lt;&gt;"")*(PptoSty[Division]&lt;&gt;"X")*(PptoSty[RowGrp]=$E265)*(ISNUMBER(FIND(PptoSty[PiColumn],S$257))),0)),$AA265),_xlpm.y,IF(_xlfn._xlws.FILTER(TbRsmIn[Alive],TbRsmIn[Enquiry No]=$E265,"X")="C",0,INDEX(INDIRECT(Mods!$B$2),MATCH($E265,INDIRECT(Mods!$B$4),0),MATCH(S$257,INDIRECT(Mods!$AL$3),0))),IF(AND(_xlpm.x=0,_xlpm.y&lt;&gt;0),-1,IF(AND(_xlpm.x&lt;&gt;0,_xlpm.y&lt;&gt;0),_xlpm.x,IF(AND(_xlpm.x-$AA265&lt;&gt;0,_xlpm.y=0),-2,_xlpm.x)))),0))</f>
        <v>0</v>
      </c>
      <c r="T265" s="282" cm="1">
        <f t="array" aca="1" ref="T265" ca="1">IF(OR($E265="",$E265="X"),0,IFERROR(_xlfn.LET(_xlpm.x,SUM(SUM(_xlfn._xlws.FILTER(VALUE(PptoSty[Sign]&amp;1)*(1/PptoSty[Division]),(PptoSty[Division]&lt;&gt;0)*(PptoSty[Division]&lt;&gt;"")*(PptoSty[Division]&lt;&gt;"X")*(PptoSty[RowGrp]=$E265)*(ISNUMBER(FIND(PptoSty[PiColumn],T$257))),0)),$AA265),_xlpm.y,IF(_xlfn._xlws.FILTER(TbRsmIn[Alive],TbRsmIn[Enquiry No]=$E265,"X")="C",0,INDEX(INDIRECT(Mods!$B$2),MATCH($E265,INDIRECT(Mods!$B$4),0),MATCH(T$257,INDIRECT(Mods!$AL$3),0))),IF(AND(_xlpm.x=0,_xlpm.y&lt;&gt;0),-1,IF(AND(_xlpm.x&lt;&gt;0,_xlpm.y&lt;&gt;0),_xlpm.x,IF(AND(_xlpm.x-$AA265&lt;&gt;0,_xlpm.y=0),-2,_xlpm.x)))),0))</f>
        <v>0</v>
      </c>
      <c r="U265" s="282" cm="1">
        <f t="array" aca="1" ref="U265" ca="1">IF(OR($E265="",$E265="X"),0,IFERROR(_xlfn.LET(_xlpm.x,SUM(SUM(_xlfn._xlws.FILTER(VALUE(PptoSty[Sign]&amp;1)*(1/PptoSty[Division]),(PptoSty[Division]&lt;&gt;0)*(PptoSty[Division]&lt;&gt;"")*(PptoSty[Division]&lt;&gt;"X")*(PptoSty[RowGrp]=$E265)*(ISNUMBER(FIND(PptoSty[PiColumn],U$257))),0)),$AA265),_xlpm.y,IF(_xlfn._xlws.FILTER(TbRsmIn[Alive],TbRsmIn[Enquiry No]=$E265,"X")="C",0,INDEX(INDIRECT(Mods!$B$2),MATCH($E265,INDIRECT(Mods!$B$4),0),MATCH(U$257,INDIRECT(Mods!$AL$3),0))),IF(AND(_xlpm.x=0,_xlpm.y&lt;&gt;0),-1,IF(AND(_xlpm.x&lt;&gt;0,_xlpm.y&lt;&gt;0),_xlpm.x,IF(AND(_xlpm.x-$AA265&lt;&gt;0,_xlpm.y=0),-2,_xlpm.x)))),0))</f>
        <v>0</v>
      </c>
      <c r="V265" s="282" cm="1">
        <f t="array" aca="1" ref="V265" ca="1">IF(OR($E265="",$E265="X"),0,IFERROR(_xlfn.LET(_xlpm.x,SUM(SUM(_xlfn._xlws.FILTER(VALUE(PptoSty[Sign]&amp;1)*(1/PptoSty[Division]),(PptoSty[Division]&lt;&gt;0)*(PptoSty[Division]&lt;&gt;"")*(PptoSty[Division]&lt;&gt;"X")*(PptoSty[RowGrp]=$E265)*(ISNUMBER(FIND(PptoSty[PiColumn],V$257))),0)),$AA265),_xlpm.y,IF(_xlfn._xlws.FILTER(TbRsmIn[Alive],TbRsmIn[Enquiry No]=$E265,"X")="C",0,INDEX(INDIRECT(Mods!$B$2),MATCH($E265,INDIRECT(Mods!$B$4),0),MATCH(V$257,INDIRECT(Mods!$AL$3),0))),IF(AND(_xlpm.x=0,_xlpm.y&lt;&gt;0),-1,IF(AND(_xlpm.x&lt;&gt;0,_xlpm.y&lt;&gt;0),_xlpm.x,IF(AND(_xlpm.x-$AA265&lt;&gt;0,_xlpm.y=0),-2,_xlpm.x)))),0))</f>
        <v>0</v>
      </c>
      <c r="W265" s="282" cm="1">
        <f t="array" aca="1" ref="W265" ca="1">IF(OR($E265="",$E265="X"),0,IFERROR(_xlfn.LET(_xlpm.x,SUM(SUM(_xlfn._xlws.FILTER(VALUE(PptoSty[Sign]&amp;1)*(1/PptoSty[Division]),(PptoSty[Division]&lt;&gt;0)*(PptoSty[Division]&lt;&gt;"")*(PptoSty[Division]&lt;&gt;"X")*(PptoSty[RowGrp]=$E265)*(ISNUMBER(FIND(PptoSty[PiColumn],W$257))),0)),$AA265),_xlpm.y,IF(_xlfn._xlws.FILTER(TbRsmIn[Alive],TbRsmIn[Enquiry No]=$E265,"X")="C",0,INDEX(INDIRECT(Mods!$B$2),MATCH($E265,INDIRECT(Mods!$B$4),0),MATCH(W$257,INDIRECT(Mods!$AL$3),0))),IF(AND(_xlpm.x=0,_xlpm.y&lt;&gt;0),-1,IF(AND(_xlpm.x&lt;&gt;0,_xlpm.y&lt;&gt;0),_xlpm.x,IF(AND(_xlpm.x-$AA265&lt;&gt;0,_xlpm.y=0),-2,_xlpm.x)))),0))</f>
        <v>0</v>
      </c>
      <c r="X265" s="282" cm="1">
        <f t="array" aca="1" ref="X265" ca="1">IF(OR($E265="",$E265="X"),0,IFERROR(_xlfn.LET(_xlpm.x,SUM(SUM(_xlfn._xlws.FILTER(VALUE(PptoSty[Sign]&amp;1)*(1/PptoSty[Division]),(PptoSty[Division]&lt;&gt;0)*(PptoSty[Division]&lt;&gt;"")*(PptoSty[Division]&lt;&gt;"X")*(PptoSty[RowGrp]=$E265)*(ISNUMBER(FIND(PptoSty[PiColumn],X$257))),0)),$AA265),_xlpm.y,IF(_xlfn._xlws.FILTER(TbRsmIn[Alive],TbRsmIn[Enquiry No]=$E265,"X")="C",0,INDEX(INDIRECT(Mods!$B$2),MATCH($E265,INDIRECT(Mods!$B$4),0),MATCH(X$257,INDIRECT(Mods!$AL$3),0))),IF(AND(_xlpm.x=0,_xlpm.y&lt;&gt;0),-1,IF(AND(_xlpm.x&lt;&gt;0,_xlpm.y&lt;&gt;0),_xlpm.x,IF(AND(_xlpm.x-$AA265&lt;&gt;0,_xlpm.y=0),-2,_xlpm.x)))),0))</f>
        <v>0</v>
      </c>
      <c r="Y265" s="282" cm="1">
        <f t="array" aca="1" ref="Y265" ca="1">IF(OR($E265="",$E265="X"),0,IFERROR(_xlfn.LET(_xlpm.x,SUM(SUM(_xlfn._xlws.FILTER(VALUE(PptoSty[Sign]&amp;1)*(1/PptoSty[Division]),(PptoSty[Division]&lt;&gt;0)*(PptoSty[Division]&lt;&gt;"")*(PptoSty[Division]&lt;&gt;"X")*(PptoSty[RowGrp]=$E265)*(ISNUMBER(FIND(PptoSty[PiColumn],Y$257))),0)),$AA265),_xlpm.y,IF(_xlfn._xlws.FILTER(TbRsmIn[Alive],TbRsmIn[Enquiry No]=$E265,"X")="C",0,INDEX(INDIRECT(Mods!$B$2),MATCH($E265,INDIRECT(Mods!$B$4),0),MATCH(Y$257,INDIRECT(Mods!$AL$3),0))),IF(AND(_xlpm.x=0,_xlpm.y&lt;&gt;0),-1,IF(AND(_xlpm.x&lt;&gt;0,_xlpm.y&lt;&gt;0),_xlpm.x,IF(AND(_xlpm.x-$AA265&lt;&gt;0,_xlpm.y=0),-2,_xlpm.x)))),0))</f>
        <v>0</v>
      </c>
      <c r="Z265" s="280" t="str">
        <f t="shared" ca="1" si="8"/>
        <v>Fback!B265:Y265</v>
      </c>
      <c r="AA265" s="282" cm="1">
        <f t="array" aca="1" ref="AA265" ca="1">IF(OR($E265="",$E265="X"),0,IFERROR(SUM(_xlfn._xlws.FILTER(VALUE(#REF!&amp;1)*(1/PptoSty[PptoVsRow]),(PptoSty[PptoVsRow]&lt;&gt;0)*(PptoSty[PptoVsRow]&lt;&gt;"")*(PptoSty[PptoVsRow]&lt;&gt;"X")*(PptoSty[Num]=$E265)*(PptoSty[RowGrp]=AA$260),0)),0))</f>
        <v>0</v>
      </c>
    </row>
    <row r="266" spans="1:27" ht="21" customHeight="1" outlineLevel="1">
      <c r="B266" s="247" t="str" cm="1">
        <f t="array" ref="B266:C266">IF($E266="X","X",_xlfn._xlws.FILTER(P_SelPrj[[PrjId]:[Cia]],P_SelPrj[Attribute]=VALUE(LEFT($E266,1)),"X"))</f>
        <v>31200</v>
      </c>
      <c r="C266" s="247" t="str">
        <v>Sp</v>
      </c>
      <c r="D266" s="247" t="s">
        <v>375</v>
      </c>
      <c r="E266" s="247" t="str" cm="1">
        <f t="array" ref="E266">_xlfn.LET(_xlpm.x,IFERROR(INDEX(TbRsmIn[Enquiry No],SUM(ROW()-MATCH("SOM",$A:$A,0))),"X"),IF(_xlpm.x=0,"X",_xlpm.x))</f>
        <v>0CT006</v>
      </c>
      <c r="F266" s="413" t="str" cm="1">
        <f t="array" ref="F266">_xlfn._xlws.FILTER(CstClcData[Value],(CstClcData[Attribute]="Concept")*(CstClcData[Name]=$E266),"X")</f>
        <v>EMA RR EOL auto unload AGV rack (Revisited). Email 04/12/23.  V14 file included.</v>
      </c>
      <c r="G266" s="281"/>
      <c r="H266" s="281"/>
      <c r="I266" s="282" cm="1">
        <f t="array" aca="1" ref="I266" ca="1">IF(OR($E266="",$E266="X"),0,IFERROR(_xlfn.LET(_xlpm.x,SUM(SUM(_xlfn._xlws.FILTER(VALUE(PptoSty[Sign]&amp;1)*(1/PptoSty[Division]),(PptoSty[Division]&lt;&gt;0)*(PptoSty[Division]&lt;&gt;"")*(PptoSty[Division]&lt;&gt;"X")*(PptoSty[RowGrp]=$E266)*(ISNUMBER(FIND(PptoSty[PiColumn],I$257))),0)),$AA266),_xlpm.y,IF(_xlfn._xlws.FILTER(TbRsmIn[Alive],TbRsmIn[Enquiry No]=$E266,"X")="C",0,INDEX(INDIRECT(Mods!$B$2),MATCH($E266,INDIRECT(Mods!$B$4),0),MATCH(I$257,INDIRECT(Mods!$AL$3),0))),IF(AND(_xlpm.x=0,_xlpm.y&lt;&gt;0),-1,IF(AND(_xlpm.x&lt;&gt;0,_xlpm.y&lt;&gt;0),_xlpm.x,IF(AND(_xlpm.x-$AA266&lt;&gt;0,_xlpm.y=0),-2,_xlpm.x)))),0))</f>
        <v>0</v>
      </c>
      <c r="J266" s="282" cm="1">
        <f t="array" aca="1" ref="J266" ca="1">IF(OR($E266="",$E266="X"),0,IFERROR(_xlfn.LET(_xlpm.x,SUM(SUM(_xlfn._xlws.FILTER(VALUE(PptoSty[Sign]&amp;1)*(1/PptoSty[Division]),(PptoSty[Division]&lt;&gt;0)*(PptoSty[Division]&lt;&gt;"")*(PptoSty[Division]&lt;&gt;"X")*(PptoSty[RowGrp]=$E266)*(ISNUMBER(FIND(PptoSty[PiColumn],J$257))),0)),$AA266),_xlpm.y,IF(_xlfn._xlws.FILTER(TbRsmIn[Alive],TbRsmIn[Enquiry No]=$E266,"X")="C",0,INDEX(INDIRECT(Mods!$B$2),MATCH($E266,INDIRECT(Mods!$B$4),0),MATCH(J$257,INDIRECT(Mods!$AL$3),0))),IF(AND(_xlpm.x=0,_xlpm.y&lt;&gt;0),-1,IF(AND(_xlpm.x&lt;&gt;0,_xlpm.y&lt;&gt;0),_xlpm.x,IF(AND(_xlpm.x-$AA266&lt;&gt;0,_xlpm.y=0),-2,_xlpm.x)))),0))</f>
        <v>0</v>
      </c>
      <c r="K266" s="282" cm="1">
        <f t="array" aca="1" ref="K266" ca="1">IF(OR($E266="",$E266="X"),0,IFERROR(_xlfn.LET(_xlpm.x,SUM(SUM(_xlfn._xlws.FILTER(VALUE(PptoSty[Sign]&amp;1)*(1/PptoSty[Division]),(PptoSty[Division]&lt;&gt;0)*(PptoSty[Division]&lt;&gt;"")*(PptoSty[Division]&lt;&gt;"X")*(PptoSty[RowGrp]=$E266)*(ISNUMBER(FIND(PptoSty[PiColumn],K$257))),0)),$AA266),_xlpm.y,IF(_xlfn._xlws.FILTER(TbRsmIn[Alive],TbRsmIn[Enquiry No]=$E266,"X")="C",0,INDEX(INDIRECT(Mods!$B$2),MATCH($E266,INDIRECT(Mods!$B$4),0),MATCH(K$257,INDIRECT(Mods!$AL$3),0))),IF(AND(_xlpm.x=0,_xlpm.y&lt;&gt;0),-1,IF(AND(_xlpm.x&lt;&gt;0,_xlpm.y&lt;&gt;0),_xlpm.x,IF(AND(_xlpm.x-$AA266&lt;&gt;0,_xlpm.y=0),-2,_xlpm.x)))),0))</f>
        <v>0</v>
      </c>
      <c r="L266" s="282" cm="1">
        <f t="array" aca="1" ref="L266" ca="1">IF(OR($E266="",$E266="X"),0,IFERROR(_xlfn.LET(_xlpm.x,SUM(SUM(_xlfn._xlws.FILTER(VALUE(PptoSty[Sign]&amp;1)*(1/PptoSty[Division]),(PptoSty[Division]&lt;&gt;0)*(PptoSty[Division]&lt;&gt;"")*(PptoSty[Division]&lt;&gt;"X")*(PptoSty[RowGrp]=$E266)*(ISNUMBER(FIND(PptoSty[PiColumn],L$257))),0)),$AA266),_xlpm.y,IF(_xlfn._xlws.FILTER(TbRsmIn[Alive],TbRsmIn[Enquiry No]=$E266,"X")="C",0,INDEX(INDIRECT(Mods!$B$2),MATCH($E266,INDIRECT(Mods!$B$4),0),MATCH(L$257,INDIRECT(Mods!$AL$3),0))),IF(AND(_xlpm.x=0,_xlpm.y&lt;&gt;0),-1,IF(AND(_xlpm.x&lt;&gt;0,_xlpm.y&lt;&gt;0),_xlpm.x,IF(AND(_xlpm.x-$AA266&lt;&gt;0,_xlpm.y=0),-2,_xlpm.x)))),0))</f>
        <v>0</v>
      </c>
      <c r="M266" s="282" cm="1">
        <f t="array" aca="1" ref="M266" ca="1">IF(OR($E266="",$E266="X"),0,IFERROR(_xlfn.LET(_xlpm.x,SUM(SUM(_xlfn._xlws.FILTER(VALUE(PptoSty[Sign]&amp;1)*(1/PptoSty[Division]),(PptoSty[Division]&lt;&gt;0)*(PptoSty[Division]&lt;&gt;"")*(PptoSty[Division]&lt;&gt;"X")*(PptoSty[RowGrp]=$E266)*(ISNUMBER(FIND(PptoSty[PiColumn],M$257))),0)),$AA266),_xlpm.y,IF(_xlfn._xlws.FILTER(TbRsmIn[Alive],TbRsmIn[Enquiry No]=$E266,"X")="C",0,INDEX(INDIRECT(Mods!$B$2),MATCH($E266,INDIRECT(Mods!$B$4),0),MATCH(M$257,INDIRECT(Mods!$AL$3),0))),IF(AND(_xlpm.x=0,_xlpm.y&lt;&gt;0),-1,IF(AND(_xlpm.x&lt;&gt;0,_xlpm.y&lt;&gt;0),_xlpm.x,IF(AND(_xlpm.x-$AA266&lt;&gt;0,_xlpm.y=0),-2,_xlpm.x)))),0))</f>
        <v>0</v>
      </c>
      <c r="N266" s="282" cm="1">
        <f t="array" aca="1" ref="N266" ca="1">IF(OR($E266="",$E266="X"),0,IFERROR(_xlfn.LET(_xlpm.x,SUM(SUM(_xlfn._xlws.FILTER(VALUE(PptoSty[Sign]&amp;1)*(1/PptoSty[Division]),(PptoSty[Division]&lt;&gt;0)*(PptoSty[Division]&lt;&gt;"")*(PptoSty[Division]&lt;&gt;"X")*(PptoSty[RowGrp]=$E266)*(ISNUMBER(FIND(PptoSty[PiColumn],N$257))),0)),$AA266),_xlpm.y,IF(_xlfn._xlws.FILTER(TbRsmIn[Alive],TbRsmIn[Enquiry No]=$E266,"X")="C",0,INDEX(INDIRECT(Mods!$B$2),MATCH($E266,INDIRECT(Mods!$B$4),0),MATCH(N$257,INDIRECT(Mods!$AL$3),0))),IF(AND(_xlpm.x=0,_xlpm.y&lt;&gt;0),-1,IF(AND(_xlpm.x&lt;&gt;0,_xlpm.y&lt;&gt;0),_xlpm.x,IF(AND(_xlpm.x-$AA266&lt;&gt;0,_xlpm.y=0),-2,_xlpm.x)))),0))</f>
        <v>0</v>
      </c>
      <c r="O266" s="282" cm="1">
        <f t="array" aca="1" ref="O266" ca="1">IF(OR($E266="",$E266="X"),0,IFERROR(_xlfn.LET(_xlpm.x,SUM(SUM(_xlfn._xlws.FILTER(VALUE(PptoSty[Sign]&amp;1)*(1/PptoSty[Division]),(PptoSty[Division]&lt;&gt;0)*(PptoSty[Division]&lt;&gt;"")*(PptoSty[Division]&lt;&gt;"X")*(PptoSty[RowGrp]=$E266)*(ISNUMBER(FIND(PptoSty[PiColumn],O$257))),0)),$AA266),_xlpm.y,IF(_xlfn._xlws.FILTER(TbRsmIn[Alive],TbRsmIn[Enquiry No]=$E266,"X")="C",0,INDEX(INDIRECT(Mods!$B$2),MATCH($E266,INDIRECT(Mods!$B$4),0),MATCH(O$257,INDIRECT(Mods!$AL$3),0))),IF(AND(_xlpm.x=0,_xlpm.y&lt;&gt;0),-1,IF(AND(_xlpm.x&lt;&gt;0,_xlpm.y&lt;&gt;0),_xlpm.x,IF(AND(_xlpm.x-$AA266&lt;&gt;0,_xlpm.y=0),-2,_xlpm.x)))),0))</f>
        <v>0</v>
      </c>
      <c r="P266" s="282" cm="1">
        <f t="array" aca="1" ref="P266" ca="1">IF(OR($E266="",$E266="X"),0,IFERROR(_xlfn.LET(_xlpm.x,SUM(SUM(_xlfn._xlws.FILTER(VALUE(PptoSty[Sign]&amp;1)*(1/PptoSty[Division]),(PptoSty[Division]&lt;&gt;0)*(PptoSty[Division]&lt;&gt;"")*(PptoSty[Division]&lt;&gt;"X")*(PptoSty[RowGrp]=$E266)*(ISNUMBER(FIND(PptoSty[PiColumn],P$257))),0)),$AA266),_xlpm.y,IF(_xlfn._xlws.FILTER(TbRsmIn[Alive],TbRsmIn[Enquiry No]=$E266,"X")="C",0,INDEX(INDIRECT(Mods!$B$2),MATCH($E266,INDIRECT(Mods!$B$4),0),MATCH(P$257,INDIRECT(Mods!$AL$3),0))),IF(AND(_xlpm.x=0,_xlpm.y&lt;&gt;0),-1,IF(AND(_xlpm.x&lt;&gt;0,_xlpm.y&lt;&gt;0),_xlpm.x,IF(AND(_xlpm.x-$AA266&lt;&gt;0,_xlpm.y=0),-2,_xlpm.x)))),0))</f>
        <v>0</v>
      </c>
      <c r="Q266" s="282" cm="1">
        <f t="array" aca="1" ref="Q266" ca="1">IF(OR($E266="",$E266="X"),0,IFERROR(_xlfn.LET(_xlpm.x,SUM(SUM(_xlfn._xlws.FILTER(VALUE(PptoSty[Sign]&amp;1)*(1/PptoSty[Division]),(PptoSty[Division]&lt;&gt;0)*(PptoSty[Division]&lt;&gt;"")*(PptoSty[Division]&lt;&gt;"X")*(PptoSty[RowGrp]=$E266)*(ISNUMBER(FIND(PptoSty[PiColumn],Q$257))),0)),$AA266),_xlpm.y,IF(_xlfn._xlws.FILTER(TbRsmIn[Alive],TbRsmIn[Enquiry No]=$E266,"X")="C",0,INDEX(INDIRECT(Mods!$B$2),MATCH($E266,INDIRECT(Mods!$B$4),0),MATCH(Q$257,INDIRECT(Mods!$AL$3),0))),IF(AND(_xlpm.x=0,_xlpm.y&lt;&gt;0),-1,IF(AND(_xlpm.x&lt;&gt;0,_xlpm.y&lt;&gt;0),_xlpm.x,IF(AND(_xlpm.x-$AA266&lt;&gt;0,_xlpm.y=0),-2,_xlpm.x)))),0))</f>
        <v>0</v>
      </c>
      <c r="R266" s="282" cm="1">
        <f t="array" aca="1" ref="R266" ca="1">IF(OR($E266="",$E266="X"),0,IFERROR(_xlfn.LET(_xlpm.x,SUM(SUM(_xlfn._xlws.FILTER(VALUE(PptoSty[Sign]&amp;1)*(1/PptoSty[Division]),(PptoSty[Division]&lt;&gt;0)*(PptoSty[Division]&lt;&gt;"")*(PptoSty[Division]&lt;&gt;"X")*(PptoSty[RowGrp]=$E266)*(ISNUMBER(FIND(PptoSty[PiColumn],R$257))),0)),$AA266),_xlpm.y,IF(_xlfn._xlws.FILTER(TbRsmIn[Alive],TbRsmIn[Enquiry No]=$E266,"X")="C",0,INDEX(INDIRECT(Mods!$B$2),MATCH($E266,INDIRECT(Mods!$B$4),0),MATCH(R$257,INDIRECT(Mods!$AL$3),0))),IF(AND(_xlpm.x=0,_xlpm.y&lt;&gt;0),-1,IF(AND(_xlpm.x&lt;&gt;0,_xlpm.y&lt;&gt;0),_xlpm.x,IF(AND(_xlpm.x-$AA266&lt;&gt;0,_xlpm.y=0),-2,_xlpm.x)))),0))</f>
        <v>0</v>
      </c>
      <c r="S266" s="282" cm="1">
        <f t="array" aca="1" ref="S266" ca="1">IF(OR($E266="",$E266="X"),0,IFERROR(_xlfn.LET(_xlpm.x,SUM(SUM(_xlfn._xlws.FILTER(VALUE(PptoSty[Sign]&amp;1)*(1/PptoSty[Division]),(PptoSty[Division]&lt;&gt;0)*(PptoSty[Division]&lt;&gt;"")*(PptoSty[Division]&lt;&gt;"X")*(PptoSty[RowGrp]=$E266)*(ISNUMBER(FIND(PptoSty[PiColumn],S$257))),0)),$AA266),_xlpm.y,IF(_xlfn._xlws.FILTER(TbRsmIn[Alive],TbRsmIn[Enquiry No]=$E266,"X")="C",0,INDEX(INDIRECT(Mods!$B$2),MATCH($E266,INDIRECT(Mods!$B$4),0),MATCH(S$257,INDIRECT(Mods!$AL$3),0))),IF(AND(_xlpm.x=0,_xlpm.y&lt;&gt;0),-1,IF(AND(_xlpm.x&lt;&gt;0,_xlpm.y&lt;&gt;0),_xlpm.x,IF(AND(_xlpm.x-$AA266&lt;&gt;0,_xlpm.y=0),-2,_xlpm.x)))),0))</f>
        <v>0</v>
      </c>
      <c r="T266" s="282" cm="1">
        <f t="array" aca="1" ref="T266" ca="1">IF(OR($E266="",$E266="X"),0,IFERROR(_xlfn.LET(_xlpm.x,SUM(SUM(_xlfn._xlws.FILTER(VALUE(PptoSty[Sign]&amp;1)*(1/PptoSty[Division]),(PptoSty[Division]&lt;&gt;0)*(PptoSty[Division]&lt;&gt;"")*(PptoSty[Division]&lt;&gt;"X")*(PptoSty[RowGrp]=$E266)*(ISNUMBER(FIND(PptoSty[PiColumn],T$257))),0)),$AA266),_xlpm.y,IF(_xlfn._xlws.FILTER(TbRsmIn[Alive],TbRsmIn[Enquiry No]=$E266,"X")="C",0,INDEX(INDIRECT(Mods!$B$2),MATCH($E266,INDIRECT(Mods!$B$4),0),MATCH(T$257,INDIRECT(Mods!$AL$3),0))),IF(AND(_xlpm.x=0,_xlpm.y&lt;&gt;0),-1,IF(AND(_xlpm.x&lt;&gt;0,_xlpm.y&lt;&gt;0),_xlpm.x,IF(AND(_xlpm.x-$AA266&lt;&gt;0,_xlpm.y=0),-2,_xlpm.x)))),0))</f>
        <v>0</v>
      </c>
      <c r="U266" s="282" cm="1">
        <f t="array" aca="1" ref="U266" ca="1">IF(OR($E266="",$E266="X"),0,IFERROR(_xlfn.LET(_xlpm.x,SUM(SUM(_xlfn._xlws.FILTER(VALUE(PptoSty[Sign]&amp;1)*(1/PptoSty[Division]),(PptoSty[Division]&lt;&gt;0)*(PptoSty[Division]&lt;&gt;"")*(PptoSty[Division]&lt;&gt;"X")*(PptoSty[RowGrp]=$E266)*(ISNUMBER(FIND(PptoSty[PiColumn],U$257))),0)),$AA266),_xlpm.y,IF(_xlfn._xlws.FILTER(TbRsmIn[Alive],TbRsmIn[Enquiry No]=$E266,"X")="C",0,INDEX(INDIRECT(Mods!$B$2),MATCH($E266,INDIRECT(Mods!$B$4),0),MATCH(U$257,INDIRECT(Mods!$AL$3),0))),IF(AND(_xlpm.x=0,_xlpm.y&lt;&gt;0),-1,IF(AND(_xlpm.x&lt;&gt;0,_xlpm.y&lt;&gt;0),_xlpm.x,IF(AND(_xlpm.x-$AA266&lt;&gt;0,_xlpm.y=0),-2,_xlpm.x)))),0))</f>
        <v>0</v>
      </c>
      <c r="V266" s="282" cm="1">
        <f t="array" aca="1" ref="V266" ca="1">IF(OR($E266="",$E266="X"),0,IFERROR(_xlfn.LET(_xlpm.x,SUM(SUM(_xlfn._xlws.FILTER(VALUE(PptoSty[Sign]&amp;1)*(1/PptoSty[Division]),(PptoSty[Division]&lt;&gt;0)*(PptoSty[Division]&lt;&gt;"")*(PptoSty[Division]&lt;&gt;"X")*(PptoSty[RowGrp]=$E266)*(ISNUMBER(FIND(PptoSty[PiColumn],V$257))),0)),$AA266),_xlpm.y,IF(_xlfn._xlws.FILTER(TbRsmIn[Alive],TbRsmIn[Enquiry No]=$E266,"X")="C",0,INDEX(INDIRECT(Mods!$B$2),MATCH($E266,INDIRECT(Mods!$B$4),0),MATCH(V$257,INDIRECT(Mods!$AL$3),0))),IF(AND(_xlpm.x=0,_xlpm.y&lt;&gt;0),-1,IF(AND(_xlpm.x&lt;&gt;0,_xlpm.y&lt;&gt;0),_xlpm.x,IF(AND(_xlpm.x-$AA266&lt;&gt;0,_xlpm.y=0),-2,_xlpm.x)))),0))</f>
        <v>0</v>
      </c>
      <c r="W266" s="282" cm="1">
        <f t="array" aca="1" ref="W266" ca="1">IF(OR($E266="",$E266="X"),0,IFERROR(_xlfn.LET(_xlpm.x,SUM(SUM(_xlfn._xlws.FILTER(VALUE(PptoSty[Sign]&amp;1)*(1/PptoSty[Division]),(PptoSty[Division]&lt;&gt;0)*(PptoSty[Division]&lt;&gt;"")*(PptoSty[Division]&lt;&gt;"X")*(PptoSty[RowGrp]=$E266)*(ISNUMBER(FIND(PptoSty[PiColumn],W$257))),0)),$AA266),_xlpm.y,IF(_xlfn._xlws.FILTER(TbRsmIn[Alive],TbRsmIn[Enquiry No]=$E266,"X")="C",0,INDEX(INDIRECT(Mods!$B$2),MATCH($E266,INDIRECT(Mods!$B$4),0),MATCH(W$257,INDIRECT(Mods!$AL$3),0))),IF(AND(_xlpm.x=0,_xlpm.y&lt;&gt;0),-1,IF(AND(_xlpm.x&lt;&gt;0,_xlpm.y&lt;&gt;0),_xlpm.x,IF(AND(_xlpm.x-$AA266&lt;&gt;0,_xlpm.y=0),-2,_xlpm.x)))),0))</f>
        <v>0</v>
      </c>
      <c r="X266" s="282" cm="1">
        <f t="array" aca="1" ref="X266" ca="1">IF(OR($E266="",$E266="X"),0,IFERROR(_xlfn.LET(_xlpm.x,SUM(SUM(_xlfn._xlws.FILTER(VALUE(PptoSty[Sign]&amp;1)*(1/PptoSty[Division]),(PptoSty[Division]&lt;&gt;0)*(PptoSty[Division]&lt;&gt;"")*(PptoSty[Division]&lt;&gt;"X")*(PptoSty[RowGrp]=$E266)*(ISNUMBER(FIND(PptoSty[PiColumn],X$257))),0)),$AA266),_xlpm.y,IF(_xlfn._xlws.FILTER(TbRsmIn[Alive],TbRsmIn[Enquiry No]=$E266,"X")="C",0,INDEX(INDIRECT(Mods!$B$2),MATCH($E266,INDIRECT(Mods!$B$4),0),MATCH(X$257,INDIRECT(Mods!$AL$3),0))),IF(AND(_xlpm.x=0,_xlpm.y&lt;&gt;0),-1,IF(AND(_xlpm.x&lt;&gt;0,_xlpm.y&lt;&gt;0),_xlpm.x,IF(AND(_xlpm.x-$AA266&lt;&gt;0,_xlpm.y=0),-2,_xlpm.x)))),0))</f>
        <v>0</v>
      </c>
      <c r="Y266" s="282" cm="1">
        <f t="array" aca="1" ref="Y266" ca="1">IF(OR($E266="",$E266="X"),0,IFERROR(_xlfn.LET(_xlpm.x,SUM(SUM(_xlfn._xlws.FILTER(VALUE(PptoSty[Sign]&amp;1)*(1/PptoSty[Division]),(PptoSty[Division]&lt;&gt;0)*(PptoSty[Division]&lt;&gt;"")*(PptoSty[Division]&lt;&gt;"X")*(PptoSty[RowGrp]=$E266)*(ISNUMBER(FIND(PptoSty[PiColumn],Y$257))),0)),$AA266),_xlpm.y,IF(_xlfn._xlws.FILTER(TbRsmIn[Alive],TbRsmIn[Enquiry No]=$E266,"X")="C",0,INDEX(INDIRECT(Mods!$B$2),MATCH($E266,INDIRECT(Mods!$B$4),0),MATCH(Y$257,INDIRECT(Mods!$AL$3),0))),IF(AND(_xlpm.x=0,_xlpm.y&lt;&gt;0),-1,IF(AND(_xlpm.x&lt;&gt;0,_xlpm.y&lt;&gt;0),_xlpm.x,IF(AND(_xlpm.x-$AA266&lt;&gt;0,_xlpm.y=0),-2,_xlpm.x)))),0))</f>
        <v>0</v>
      </c>
      <c r="Z266" s="280" t="str">
        <f t="shared" ca="1" si="8"/>
        <v>Fback!B266:Y266</v>
      </c>
      <c r="AA266" s="282" cm="1">
        <f t="array" aca="1" ref="AA266" ca="1">IF(OR($E266="",$E266="X"),0,IFERROR(SUM(_xlfn._xlws.FILTER(VALUE(#REF!&amp;1)*(1/PptoSty[PptoVsRow]),(PptoSty[PptoVsRow]&lt;&gt;0)*(PptoSty[PptoVsRow]&lt;&gt;"")*(PptoSty[PptoVsRow]&lt;&gt;"X")*(PptoSty[Num]=$E266)*(PptoSty[RowGrp]=AA$260),0)),0))</f>
        <v>0</v>
      </c>
    </row>
    <row r="267" spans="1:27" ht="21" customHeight="1" outlineLevel="1">
      <c r="B267" s="247" t="str" cm="1">
        <f t="array" ref="B267:C267">IF($E267="X","X",_xlfn._xlws.FILTER(P_SelPrj[[PrjId]:[Cia]],P_SelPrj[Attribute]=VALUE(LEFT($E267,1)),"X"))</f>
        <v>31200</v>
      </c>
      <c r="C267" s="247" t="str">
        <v>Sp</v>
      </c>
      <c r="D267" s="247" t="s">
        <v>375</v>
      </c>
      <c r="E267" s="247" t="str" cm="1">
        <f t="array" ref="E267">_xlfn.LET(_xlpm.x,IFERROR(INDEX(TbRsmIn[Enquiry No],SUM(ROW()-MATCH("SOM",$A:$A,0))),"X"),IF(_xlpm.x=0,"X",_xlpm.x))</f>
        <v>0CT007</v>
      </c>
      <c r="F267" s="413" t="str" cm="1">
        <f t="array" ref="F267">_xlfn._xlws.FILTER(CstClcData[Value],(CstClcData[Attribute]="Concept")*(CstClcData[Name]=$E267),"X")</f>
        <v>EMA RR EOL Change product and Layout Process. Email 16/12/23.  V14 file included.</v>
      </c>
      <c r="G267" s="281"/>
      <c r="H267" s="281"/>
      <c r="I267" s="282" cm="1">
        <f t="array" aca="1" ref="I267" ca="1">IF(OR($E267="",$E267="X"),0,IFERROR(_xlfn.LET(_xlpm.x,SUM(SUM(_xlfn._xlws.FILTER(VALUE(PptoSty[Sign]&amp;1)*(1/PptoSty[Division]),(PptoSty[Division]&lt;&gt;0)*(PptoSty[Division]&lt;&gt;"")*(PptoSty[Division]&lt;&gt;"X")*(PptoSty[RowGrp]=$E267)*(ISNUMBER(FIND(PptoSty[PiColumn],I$257))),0)),$AA267),_xlpm.y,IF(_xlfn._xlws.FILTER(TbRsmIn[Alive],TbRsmIn[Enquiry No]=$E267,"X")="C",0,INDEX(INDIRECT(Mods!$B$2),MATCH($E267,INDIRECT(Mods!$B$4),0),MATCH(I$257,INDIRECT(Mods!$AL$3),0))),IF(AND(_xlpm.x=0,_xlpm.y&lt;&gt;0),-1,IF(AND(_xlpm.x&lt;&gt;0,_xlpm.y&lt;&gt;0),_xlpm.x,IF(AND(_xlpm.x-$AA267&lt;&gt;0,_xlpm.y=0),-2,_xlpm.x)))),0))</f>
        <v>0</v>
      </c>
      <c r="J267" s="282" cm="1">
        <f t="array" aca="1" ref="J267" ca="1">IF(OR($E267="",$E267="X"),0,IFERROR(_xlfn.LET(_xlpm.x,SUM(SUM(_xlfn._xlws.FILTER(VALUE(PptoSty[Sign]&amp;1)*(1/PptoSty[Division]),(PptoSty[Division]&lt;&gt;0)*(PptoSty[Division]&lt;&gt;"")*(PptoSty[Division]&lt;&gt;"X")*(PptoSty[RowGrp]=$E267)*(ISNUMBER(FIND(PptoSty[PiColumn],J$257))),0)),$AA267),_xlpm.y,IF(_xlfn._xlws.FILTER(TbRsmIn[Alive],TbRsmIn[Enquiry No]=$E267,"X")="C",0,INDEX(INDIRECT(Mods!$B$2),MATCH($E267,INDIRECT(Mods!$B$4),0),MATCH(J$257,INDIRECT(Mods!$AL$3),0))),IF(AND(_xlpm.x=0,_xlpm.y&lt;&gt;0),-1,IF(AND(_xlpm.x&lt;&gt;0,_xlpm.y&lt;&gt;0),_xlpm.x,IF(AND(_xlpm.x-$AA267&lt;&gt;0,_xlpm.y=0),-2,_xlpm.x)))),0))</f>
        <v>0</v>
      </c>
      <c r="K267" s="282" cm="1">
        <f t="array" aca="1" ref="K267" ca="1">IF(OR($E267="",$E267="X"),0,IFERROR(_xlfn.LET(_xlpm.x,SUM(SUM(_xlfn._xlws.FILTER(VALUE(PptoSty[Sign]&amp;1)*(1/PptoSty[Division]),(PptoSty[Division]&lt;&gt;0)*(PptoSty[Division]&lt;&gt;"")*(PptoSty[Division]&lt;&gt;"X")*(PptoSty[RowGrp]=$E267)*(ISNUMBER(FIND(PptoSty[PiColumn],K$257))),0)),$AA267),_xlpm.y,IF(_xlfn._xlws.FILTER(TbRsmIn[Alive],TbRsmIn[Enquiry No]=$E267,"X")="C",0,INDEX(INDIRECT(Mods!$B$2),MATCH($E267,INDIRECT(Mods!$B$4),0),MATCH(K$257,INDIRECT(Mods!$AL$3),0))),IF(AND(_xlpm.x=0,_xlpm.y&lt;&gt;0),-1,IF(AND(_xlpm.x&lt;&gt;0,_xlpm.y&lt;&gt;0),_xlpm.x,IF(AND(_xlpm.x-$AA267&lt;&gt;0,_xlpm.y=0),-2,_xlpm.x)))),0))</f>
        <v>0</v>
      </c>
      <c r="L267" s="282" cm="1">
        <f t="array" aca="1" ref="L267" ca="1">IF(OR($E267="",$E267="X"),0,IFERROR(_xlfn.LET(_xlpm.x,SUM(SUM(_xlfn._xlws.FILTER(VALUE(PptoSty[Sign]&amp;1)*(1/PptoSty[Division]),(PptoSty[Division]&lt;&gt;0)*(PptoSty[Division]&lt;&gt;"")*(PptoSty[Division]&lt;&gt;"X")*(PptoSty[RowGrp]=$E267)*(ISNUMBER(FIND(PptoSty[PiColumn],L$257))),0)),$AA267),_xlpm.y,IF(_xlfn._xlws.FILTER(TbRsmIn[Alive],TbRsmIn[Enquiry No]=$E267,"X")="C",0,INDEX(INDIRECT(Mods!$B$2),MATCH($E267,INDIRECT(Mods!$B$4),0),MATCH(L$257,INDIRECT(Mods!$AL$3),0))),IF(AND(_xlpm.x=0,_xlpm.y&lt;&gt;0),-1,IF(AND(_xlpm.x&lt;&gt;0,_xlpm.y&lt;&gt;0),_xlpm.x,IF(AND(_xlpm.x-$AA267&lt;&gt;0,_xlpm.y=0),-2,_xlpm.x)))),0))</f>
        <v>0</v>
      </c>
      <c r="M267" s="282" cm="1">
        <f t="array" aca="1" ref="M267" ca="1">IF(OR($E267="",$E267="X"),0,IFERROR(_xlfn.LET(_xlpm.x,SUM(SUM(_xlfn._xlws.FILTER(VALUE(PptoSty[Sign]&amp;1)*(1/PptoSty[Division]),(PptoSty[Division]&lt;&gt;0)*(PptoSty[Division]&lt;&gt;"")*(PptoSty[Division]&lt;&gt;"X")*(PptoSty[RowGrp]=$E267)*(ISNUMBER(FIND(PptoSty[PiColumn],M$257))),0)),$AA267),_xlpm.y,IF(_xlfn._xlws.FILTER(TbRsmIn[Alive],TbRsmIn[Enquiry No]=$E267,"X")="C",0,INDEX(INDIRECT(Mods!$B$2),MATCH($E267,INDIRECT(Mods!$B$4),0),MATCH(M$257,INDIRECT(Mods!$AL$3),0))),IF(AND(_xlpm.x=0,_xlpm.y&lt;&gt;0),-1,IF(AND(_xlpm.x&lt;&gt;0,_xlpm.y&lt;&gt;0),_xlpm.x,IF(AND(_xlpm.x-$AA267&lt;&gt;0,_xlpm.y=0),-2,_xlpm.x)))),0))</f>
        <v>0</v>
      </c>
      <c r="N267" s="282" cm="1">
        <f t="array" aca="1" ref="N267" ca="1">IF(OR($E267="",$E267="X"),0,IFERROR(_xlfn.LET(_xlpm.x,SUM(SUM(_xlfn._xlws.FILTER(VALUE(PptoSty[Sign]&amp;1)*(1/PptoSty[Division]),(PptoSty[Division]&lt;&gt;0)*(PptoSty[Division]&lt;&gt;"")*(PptoSty[Division]&lt;&gt;"X")*(PptoSty[RowGrp]=$E267)*(ISNUMBER(FIND(PptoSty[PiColumn],N$257))),0)),$AA267),_xlpm.y,IF(_xlfn._xlws.FILTER(TbRsmIn[Alive],TbRsmIn[Enquiry No]=$E267,"X")="C",0,INDEX(INDIRECT(Mods!$B$2),MATCH($E267,INDIRECT(Mods!$B$4),0),MATCH(N$257,INDIRECT(Mods!$AL$3),0))),IF(AND(_xlpm.x=0,_xlpm.y&lt;&gt;0),-1,IF(AND(_xlpm.x&lt;&gt;0,_xlpm.y&lt;&gt;0),_xlpm.x,IF(AND(_xlpm.x-$AA267&lt;&gt;0,_xlpm.y=0),-2,_xlpm.x)))),0))</f>
        <v>0</v>
      </c>
      <c r="O267" s="282" cm="1">
        <f t="array" aca="1" ref="O267" ca="1">IF(OR($E267="",$E267="X"),0,IFERROR(_xlfn.LET(_xlpm.x,SUM(SUM(_xlfn._xlws.FILTER(VALUE(PptoSty[Sign]&amp;1)*(1/PptoSty[Division]),(PptoSty[Division]&lt;&gt;0)*(PptoSty[Division]&lt;&gt;"")*(PptoSty[Division]&lt;&gt;"X")*(PptoSty[RowGrp]=$E267)*(ISNUMBER(FIND(PptoSty[PiColumn],O$257))),0)),$AA267),_xlpm.y,IF(_xlfn._xlws.FILTER(TbRsmIn[Alive],TbRsmIn[Enquiry No]=$E267,"X")="C",0,INDEX(INDIRECT(Mods!$B$2),MATCH($E267,INDIRECT(Mods!$B$4),0),MATCH(O$257,INDIRECT(Mods!$AL$3),0))),IF(AND(_xlpm.x=0,_xlpm.y&lt;&gt;0),-1,IF(AND(_xlpm.x&lt;&gt;0,_xlpm.y&lt;&gt;0),_xlpm.x,IF(AND(_xlpm.x-$AA267&lt;&gt;0,_xlpm.y=0),-2,_xlpm.x)))),0))</f>
        <v>0</v>
      </c>
      <c r="P267" s="282" cm="1">
        <f t="array" aca="1" ref="P267" ca="1">IF(OR($E267="",$E267="X"),0,IFERROR(_xlfn.LET(_xlpm.x,SUM(SUM(_xlfn._xlws.FILTER(VALUE(PptoSty[Sign]&amp;1)*(1/PptoSty[Division]),(PptoSty[Division]&lt;&gt;0)*(PptoSty[Division]&lt;&gt;"")*(PptoSty[Division]&lt;&gt;"X")*(PptoSty[RowGrp]=$E267)*(ISNUMBER(FIND(PptoSty[PiColumn],P$257))),0)),$AA267),_xlpm.y,IF(_xlfn._xlws.FILTER(TbRsmIn[Alive],TbRsmIn[Enquiry No]=$E267,"X")="C",0,INDEX(INDIRECT(Mods!$B$2),MATCH($E267,INDIRECT(Mods!$B$4),0),MATCH(P$257,INDIRECT(Mods!$AL$3),0))),IF(AND(_xlpm.x=0,_xlpm.y&lt;&gt;0),-1,IF(AND(_xlpm.x&lt;&gt;0,_xlpm.y&lt;&gt;0),_xlpm.x,IF(AND(_xlpm.x-$AA267&lt;&gt;0,_xlpm.y=0),-2,_xlpm.x)))),0))</f>
        <v>0</v>
      </c>
      <c r="Q267" s="282" cm="1">
        <f t="array" aca="1" ref="Q267" ca="1">IF(OR($E267="",$E267="X"),0,IFERROR(_xlfn.LET(_xlpm.x,SUM(SUM(_xlfn._xlws.FILTER(VALUE(PptoSty[Sign]&amp;1)*(1/PptoSty[Division]),(PptoSty[Division]&lt;&gt;0)*(PptoSty[Division]&lt;&gt;"")*(PptoSty[Division]&lt;&gt;"X")*(PptoSty[RowGrp]=$E267)*(ISNUMBER(FIND(PptoSty[PiColumn],Q$257))),0)),$AA267),_xlpm.y,IF(_xlfn._xlws.FILTER(TbRsmIn[Alive],TbRsmIn[Enquiry No]=$E267,"X")="C",0,INDEX(INDIRECT(Mods!$B$2),MATCH($E267,INDIRECT(Mods!$B$4),0),MATCH(Q$257,INDIRECT(Mods!$AL$3),0))),IF(AND(_xlpm.x=0,_xlpm.y&lt;&gt;0),-1,IF(AND(_xlpm.x&lt;&gt;0,_xlpm.y&lt;&gt;0),_xlpm.x,IF(AND(_xlpm.x-$AA267&lt;&gt;0,_xlpm.y=0),-2,_xlpm.x)))),0))</f>
        <v>0</v>
      </c>
      <c r="R267" s="282" cm="1">
        <f t="array" aca="1" ref="R267" ca="1">IF(OR($E267="",$E267="X"),0,IFERROR(_xlfn.LET(_xlpm.x,SUM(SUM(_xlfn._xlws.FILTER(VALUE(PptoSty[Sign]&amp;1)*(1/PptoSty[Division]),(PptoSty[Division]&lt;&gt;0)*(PptoSty[Division]&lt;&gt;"")*(PptoSty[Division]&lt;&gt;"X")*(PptoSty[RowGrp]=$E267)*(ISNUMBER(FIND(PptoSty[PiColumn],R$257))),0)),$AA267),_xlpm.y,IF(_xlfn._xlws.FILTER(TbRsmIn[Alive],TbRsmIn[Enquiry No]=$E267,"X")="C",0,INDEX(INDIRECT(Mods!$B$2),MATCH($E267,INDIRECT(Mods!$B$4),0),MATCH(R$257,INDIRECT(Mods!$AL$3),0))),IF(AND(_xlpm.x=0,_xlpm.y&lt;&gt;0),-1,IF(AND(_xlpm.x&lt;&gt;0,_xlpm.y&lt;&gt;0),_xlpm.x,IF(AND(_xlpm.x-$AA267&lt;&gt;0,_xlpm.y=0),-2,_xlpm.x)))),0))</f>
        <v>0</v>
      </c>
      <c r="S267" s="282" cm="1">
        <f t="array" aca="1" ref="S267" ca="1">IF(OR($E267="",$E267="X"),0,IFERROR(_xlfn.LET(_xlpm.x,SUM(SUM(_xlfn._xlws.FILTER(VALUE(PptoSty[Sign]&amp;1)*(1/PptoSty[Division]),(PptoSty[Division]&lt;&gt;0)*(PptoSty[Division]&lt;&gt;"")*(PptoSty[Division]&lt;&gt;"X")*(PptoSty[RowGrp]=$E267)*(ISNUMBER(FIND(PptoSty[PiColumn],S$257))),0)),$AA267),_xlpm.y,IF(_xlfn._xlws.FILTER(TbRsmIn[Alive],TbRsmIn[Enquiry No]=$E267,"X")="C",0,INDEX(INDIRECT(Mods!$B$2),MATCH($E267,INDIRECT(Mods!$B$4),0),MATCH(S$257,INDIRECT(Mods!$AL$3),0))),IF(AND(_xlpm.x=0,_xlpm.y&lt;&gt;0),-1,IF(AND(_xlpm.x&lt;&gt;0,_xlpm.y&lt;&gt;0),_xlpm.x,IF(AND(_xlpm.x-$AA267&lt;&gt;0,_xlpm.y=0),-2,_xlpm.x)))),0))</f>
        <v>0</v>
      </c>
      <c r="T267" s="282" cm="1">
        <f t="array" aca="1" ref="T267" ca="1">IF(OR($E267="",$E267="X"),0,IFERROR(_xlfn.LET(_xlpm.x,SUM(SUM(_xlfn._xlws.FILTER(VALUE(PptoSty[Sign]&amp;1)*(1/PptoSty[Division]),(PptoSty[Division]&lt;&gt;0)*(PptoSty[Division]&lt;&gt;"")*(PptoSty[Division]&lt;&gt;"X")*(PptoSty[RowGrp]=$E267)*(ISNUMBER(FIND(PptoSty[PiColumn],T$257))),0)),$AA267),_xlpm.y,IF(_xlfn._xlws.FILTER(TbRsmIn[Alive],TbRsmIn[Enquiry No]=$E267,"X")="C",0,INDEX(INDIRECT(Mods!$B$2),MATCH($E267,INDIRECT(Mods!$B$4),0),MATCH(T$257,INDIRECT(Mods!$AL$3),0))),IF(AND(_xlpm.x=0,_xlpm.y&lt;&gt;0),-1,IF(AND(_xlpm.x&lt;&gt;0,_xlpm.y&lt;&gt;0),_xlpm.x,IF(AND(_xlpm.x-$AA267&lt;&gt;0,_xlpm.y=0),-2,_xlpm.x)))),0))</f>
        <v>0</v>
      </c>
      <c r="U267" s="282" cm="1">
        <f t="array" aca="1" ref="U267" ca="1">IF(OR($E267="",$E267="X"),0,IFERROR(_xlfn.LET(_xlpm.x,SUM(SUM(_xlfn._xlws.FILTER(VALUE(PptoSty[Sign]&amp;1)*(1/PptoSty[Division]),(PptoSty[Division]&lt;&gt;0)*(PptoSty[Division]&lt;&gt;"")*(PptoSty[Division]&lt;&gt;"X")*(PptoSty[RowGrp]=$E267)*(ISNUMBER(FIND(PptoSty[PiColumn],U$257))),0)),$AA267),_xlpm.y,IF(_xlfn._xlws.FILTER(TbRsmIn[Alive],TbRsmIn[Enquiry No]=$E267,"X")="C",0,INDEX(INDIRECT(Mods!$B$2),MATCH($E267,INDIRECT(Mods!$B$4),0),MATCH(U$257,INDIRECT(Mods!$AL$3),0))),IF(AND(_xlpm.x=0,_xlpm.y&lt;&gt;0),-1,IF(AND(_xlpm.x&lt;&gt;0,_xlpm.y&lt;&gt;0),_xlpm.x,IF(AND(_xlpm.x-$AA267&lt;&gt;0,_xlpm.y=0),-2,_xlpm.x)))),0))</f>
        <v>0</v>
      </c>
      <c r="V267" s="282" cm="1">
        <f t="array" aca="1" ref="V267" ca="1">IF(OR($E267="",$E267="X"),0,IFERROR(_xlfn.LET(_xlpm.x,SUM(SUM(_xlfn._xlws.FILTER(VALUE(PptoSty[Sign]&amp;1)*(1/PptoSty[Division]),(PptoSty[Division]&lt;&gt;0)*(PptoSty[Division]&lt;&gt;"")*(PptoSty[Division]&lt;&gt;"X")*(PptoSty[RowGrp]=$E267)*(ISNUMBER(FIND(PptoSty[PiColumn],V$257))),0)),$AA267),_xlpm.y,IF(_xlfn._xlws.FILTER(TbRsmIn[Alive],TbRsmIn[Enquiry No]=$E267,"X")="C",0,INDEX(INDIRECT(Mods!$B$2),MATCH($E267,INDIRECT(Mods!$B$4),0),MATCH(V$257,INDIRECT(Mods!$AL$3),0))),IF(AND(_xlpm.x=0,_xlpm.y&lt;&gt;0),-1,IF(AND(_xlpm.x&lt;&gt;0,_xlpm.y&lt;&gt;0),_xlpm.x,IF(AND(_xlpm.x-$AA267&lt;&gt;0,_xlpm.y=0),-2,_xlpm.x)))),0))</f>
        <v>0</v>
      </c>
      <c r="W267" s="282" cm="1">
        <f t="array" aca="1" ref="W267" ca="1">IF(OR($E267="",$E267="X"),0,IFERROR(_xlfn.LET(_xlpm.x,SUM(SUM(_xlfn._xlws.FILTER(VALUE(PptoSty[Sign]&amp;1)*(1/PptoSty[Division]),(PptoSty[Division]&lt;&gt;0)*(PptoSty[Division]&lt;&gt;"")*(PptoSty[Division]&lt;&gt;"X")*(PptoSty[RowGrp]=$E267)*(ISNUMBER(FIND(PptoSty[PiColumn],W$257))),0)),$AA267),_xlpm.y,IF(_xlfn._xlws.FILTER(TbRsmIn[Alive],TbRsmIn[Enquiry No]=$E267,"X")="C",0,INDEX(INDIRECT(Mods!$B$2),MATCH($E267,INDIRECT(Mods!$B$4),0),MATCH(W$257,INDIRECT(Mods!$AL$3),0))),IF(AND(_xlpm.x=0,_xlpm.y&lt;&gt;0),-1,IF(AND(_xlpm.x&lt;&gt;0,_xlpm.y&lt;&gt;0),_xlpm.x,IF(AND(_xlpm.x-$AA267&lt;&gt;0,_xlpm.y=0),-2,_xlpm.x)))),0))</f>
        <v>0</v>
      </c>
      <c r="X267" s="282" cm="1">
        <f t="array" aca="1" ref="X267" ca="1">IF(OR($E267="",$E267="X"),0,IFERROR(_xlfn.LET(_xlpm.x,SUM(SUM(_xlfn._xlws.FILTER(VALUE(PptoSty[Sign]&amp;1)*(1/PptoSty[Division]),(PptoSty[Division]&lt;&gt;0)*(PptoSty[Division]&lt;&gt;"")*(PptoSty[Division]&lt;&gt;"X")*(PptoSty[RowGrp]=$E267)*(ISNUMBER(FIND(PptoSty[PiColumn],X$257))),0)),$AA267),_xlpm.y,IF(_xlfn._xlws.FILTER(TbRsmIn[Alive],TbRsmIn[Enquiry No]=$E267,"X")="C",0,INDEX(INDIRECT(Mods!$B$2),MATCH($E267,INDIRECT(Mods!$B$4),0),MATCH(X$257,INDIRECT(Mods!$AL$3),0))),IF(AND(_xlpm.x=0,_xlpm.y&lt;&gt;0),-1,IF(AND(_xlpm.x&lt;&gt;0,_xlpm.y&lt;&gt;0),_xlpm.x,IF(AND(_xlpm.x-$AA267&lt;&gt;0,_xlpm.y=0),-2,_xlpm.x)))),0))</f>
        <v>0</v>
      </c>
      <c r="Y267" s="282" cm="1">
        <f t="array" aca="1" ref="Y267" ca="1">IF(OR($E267="",$E267="X"),0,IFERROR(_xlfn.LET(_xlpm.x,SUM(SUM(_xlfn._xlws.FILTER(VALUE(PptoSty[Sign]&amp;1)*(1/PptoSty[Division]),(PptoSty[Division]&lt;&gt;0)*(PptoSty[Division]&lt;&gt;"")*(PptoSty[Division]&lt;&gt;"X")*(PptoSty[RowGrp]=$E267)*(ISNUMBER(FIND(PptoSty[PiColumn],Y$257))),0)),$AA267),_xlpm.y,IF(_xlfn._xlws.FILTER(TbRsmIn[Alive],TbRsmIn[Enquiry No]=$E267,"X")="C",0,INDEX(INDIRECT(Mods!$B$2),MATCH($E267,INDIRECT(Mods!$B$4),0),MATCH(Y$257,INDIRECT(Mods!$AL$3),0))),IF(AND(_xlpm.x=0,_xlpm.y&lt;&gt;0),-1,IF(AND(_xlpm.x&lt;&gt;0,_xlpm.y&lt;&gt;0),_xlpm.x,IF(AND(_xlpm.x-$AA267&lt;&gt;0,_xlpm.y=0),-2,_xlpm.x)))),0))</f>
        <v>0</v>
      </c>
      <c r="Z267" s="280" t="str">
        <f t="shared" ca="1" si="8"/>
        <v>Fback!B267:Y267</v>
      </c>
      <c r="AA267" s="282" cm="1">
        <f t="array" aca="1" ref="AA267" ca="1">IF(OR($E267="",$E267="X"),0,IFERROR(SUM(_xlfn._xlws.FILTER(VALUE(#REF!&amp;1)*(1/PptoSty[PptoVsRow]),(PptoSty[PptoVsRow]&lt;&gt;0)*(PptoSty[PptoVsRow]&lt;&gt;"")*(PptoSty[PptoVsRow]&lt;&gt;"X")*(PptoSty[Num]=$E267)*(PptoSty[RowGrp]=AA$260),0)),0))</f>
        <v>0</v>
      </c>
    </row>
    <row r="268" spans="1:27" ht="21" customHeight="1" outlineLevel="1">
      <c r="B268" s="247" t="str" cm="1">
        <f t="array" ref="B268:C268">IF($E268="X","X",_xlfn._xlws.FILTER(P_SelPrj[[PrjId]:[Cia]],P_SelPrj[Attribute]=VALUE(LEFT($E268,1)),"X"))</f>
        <v>31200</v>
      </c>
      <c r="C268" s="247" t="str">
        <v>Sp</v>
      </c>
      <c r="D268" s="247" t="s">
        <v>375</v>
      </c>
      <c r="E268" s="247" t="str" cm="1">
        <f t="array" ref="E268">_xlfn.LET(_xlpm.x,IFERROR(INDEX(TbRsmIn[Enquiry No],SUM(ROW()-MATCH("SOM",$A:$A,0))),"X"),IF(_xlpm.x=0,"X",_xlpm.x))</f>
        <v>0CT008</v>
      </c>
      <c r="F268" s="413" t="str" cm="1">
        <f t="array" ref="F268">_xlfn._xlws.FILTER(CstClcData[Value],(CstClcData[Attribute]="Concept")*(CstClcData[Name]=$E268),"X")</f>
        <v>Change of pneumatic components to SANDFIELD from DESTACO (just manual double bar slide guided)</v>
      </c>
      <c r="G268" s="281"/>
      <c r="H268" s="281"/>
      <c r="I268" s="282" cm="1">
        <f t="array" aca="1" ref="I268" ca="1">IF(OR($E268="",$E268="X"),0,IFERROR(_xlfn.LET(_xlpm.x,SUM(SUM(_xlfn._xlws.FILTER(VALUE(PptoSty[Sign]&amp;1)*(1/PptoSty[Division]),(PptoSty[Division]&lt;&gt;0)*(PptoSty[Division]&lt;&gt;"")*(PptoSty[Division]&lt;&gt;"X")*(PptoSty[RowGrp]=$E268)*(ISNUMBER(FIND(PptoSty[PiColumn],I$257))),0)),$AA268),_xlpm.y,IF(_xlfn._xlws.FILTER(TbRsmIn[Alive],TbRsmIn[Enquiry No]=$E268,"X")="C",0,INDEX(INDIRECT(Mods!$B$2),MATCH($E268,INDIRECT(Mods!$B$4),0),MATCH(I$257,INDIRECT(Mods!$AL$3),0))),IF(AND(_xlpm.x=0,_xlpm.y&lt;&gt;0),-1,IF(AND(_xlpm.x&lt;&gt;0,_xlpm.y&lt;&gt;0),_xlpm.x,IF(AND(_xlpm.x-$AA268&lt;&gt;0,_xlpm.y=0),-2,_xlpm.x)))),0))</f>
        <v>0</v>
      </c>
      <c r="J268" s="282" cm="1">
        <f t="array" aca="1" ref="J268" ca="1">IF(OR($E268="",$E268="X"),0,IFERROR(_xlfn.LET(_xlpm.x,SUM(SUM(_xlfn._xlws.FILTER(VALUE(PptoSty[Sign]&amp;1)*(1/PptoSty[Division]),(PptoSty[Division]&lt;&gt;0)*(PptoSty[Division]&lt;&gt;"")*(PptoSty[Division]&lt;&gt;"X")*(PptoSty[RowGrp]=$E268)*(ISNUMBER(FIND(PptoSty[PiColumn],J$257))),0)),$AA268),_xlpm.y,IF(_xlfn._xlws.FILTER(TbRsmIn[Alive],TbRsmIn[Enquiry No]=$E268,"X")="C",0,INDEX(INDIRECT(Mods!$B$2),MATCH($E268,INDIRECT(Mods!$B$4),0),MATCH(J$257,INDIRECT(Mods!$AL$3),0))),IF(AND(_xlpm.x=0,_xlpm.y&lt;&gt;0),-1,IF(AND(_xlpm.x&lt;&gt;0,_xlpm.y&lt;&gt;0),_xlpm.x,IF(AND(_xlpm.x-$AA268&lt;&gt;0,_xlpm.y=0),-2,_xlpm.x)))),0))</f>
        <v>0</v>
      </c>
      <c r="K268" s="282" cm="1">
        <f t="array" aca="1" ref="K268" ca="1">IF(OR($E268="",$E268="X"),0,IFERROR(_xlfn.LET(_xlpm.x,SUM(SUM(_xlfn._xlws.FILTER(VALUE(PptoSty[Sign]&amp;1)*(1/PptoSty[Division]),(PptoSty[Division]&lt;&gt;0)*(PptoSty[Division]&lt;&gt;"")*(PptoSty[Division]&lt;&gt;"X")*(PptoSty[RowGrp]=$E268)*(ISNUMBER(FIND(PptoSty[PiColumn],K$257))),0)),$AA268),_xlpm.y,IF(_xlfn._xlws.FILTER(TbRsmIn[Alive],TbRsmIn[Enquiry No]=$E268,"X")="C",0,INDEX(INDIRECT(Mods!$B$2),MATCH($E268,INDIRECT(Mods!$B$4),0),MATCH(K$257,INDIRECT(Mods!$AL$3),0))),IF(AND(_xlpm.x=0,_xlpm.y&lt;&gt;0),-1,IF(AND(_xlpm.x&lt;&gt;0,_xlpm.y&lt;&gt;0),_xlpm.x,IF(AND(_xlpm.x-$AA268&lt;&gt;0,_xlpm.y=0),-2,_xlpm.x)))),0))</f>
        <v>0</v>
      </c>
      <c r="L268" s="282" cm="1">
        <f t="array" aca="1" ref="L268" ca="1">IF(OR($E268="",$E268="X"),0,IFERROR(_xlfn.LET(_xlpm.x,SUM(SUM(_xlfn._xlws.FILTER(VALUE(PptoSty[Sign]&amp;1)*(1/PptoSty[Division]),(PptoSty[Division]&lt;&gt;0)*(PptoSty[Division]&lt;&gt;"")*(PptoSty[Division]&lt;&gt;"X")*(PptoSty[RowGrp]=$E268)*(ISNUMBER(FIND(PptoSty[PiColumn],L$257))),0)),$AA268),_xlpm.y,IF(_xlfn._xlws.FILTER(TbRsmIn[Alive],TbRsmIn[Enquiry No]=$E268,"X")="C",0,INDEX(INDIRECT(Mods!$B$2),MATCH($E268,INDIRECT(Mods!$B$4),0),MATCH(L$257,INDIRECT(Mods!$AL$3),0))),IF(AND(_xlpm.x=0,_xlpm.y&lt;&gt;0),-1,IF(AND(_xlpm.x&lt;&gt;0,_xlpm.y&lt;&gt;0),_xlpm.x,IF(AND(_xlpm.x-$AA268&lt;&gt;0,_xlpm.y=0),-2,_xlpm.x)))),0))</f>
        <v>0</v>
      </c>
      <c r="M268" s="282" cm="1">
        <f t="array" aca="1" ref="M268" ca="1">IF(OR($E268="",$E268="X"),0,IFERROR(_xlfn.LET(_xlpm.x,SUM(SUM(_xlfn._xlws.FILTER(VALUE(PptoSty[Sign]&amp;1)*(1/PptoSty[Division]),(PptoSty[Division]&lt;&gt;0)*(PptoSty[Division]&lt;&gt;"")*(PptoSty[Division]&lt;&gt;"X")*(PptoSty[RowGrp]=$E268)*(ISNUMBER(FIND(PptoSty[PiColumn],M$257))),0)),$AA268),_xlpm.y,IF(_xlfn._xlws.FILTER(TbRsmIn[Alive],TbRsmIn[Enquiry No]=$E268,"X")="C",0,INDEX(INDIRECT(Mods!$B$2),MATCH($E268,INDIRECT(Mods!$B$4),0),MATCH(M$257,INDIRECT(Mods!$AL$3),0))),IF(AND(_xlpm.x=0,_xlpm.y&lt;&gt;0),-1,IF(AND(_xlpm.x&lt;&gt;0,_xlpm.y&lt;&gt;0),_xlpm.x,IF(AND(_xlpm.x-$AA268&lt;&gt;0,_xlpm.y=0),-2,_xlpm.x)))),0))</f>
        <v>0</v>
      </c>
      <c r="N268" s="282" cm="1">
        <f t="array" aca="1" ref="N268" ca="1">IF(OR($E268="",$E268="X"),0,IFERROR(_xlfn.LET(_xlpm.x,SUM(SUM(_xlfn._xlws.FILTER(VALUE(PptoSty[Sign]&amp;1)*(1/PptoSty[Division]),(PptoSty[Division]&lt;&gt;0)*(PptoSty[Division]&lt;&gt;"")*(PptoSty[Division]&lt;&gt;"X")*(PptoSty[RowGrp]=$E268)*(ISNUMBER(FIND(PptoSty[PiColumn],N$257))),0)),$AA268),_xlpm.y,IF(_xlfn._xlws.FILTER(TbRsmIn[Alive],TbRsmIn[Enquiry No]=$E268,"X")="C",0,INDEX(INDIRECT(Mods!$B$2),MATCH($E268,INDIRECT(Mods!$B$4),0),MATCH(N$257,INDIRECT(Mods!$AL$3),0))),IF(AND(_xlpm.x=0,_xlpm.y&lt;&gt;0),-1,IF(AND(_xlpm.x&lt;&gt;0,_xlpm.y&lt;&gt;0),_xlpm.x,IF(AND(_xlpm.x-$AA268&lt;&gt;0,_xlpm.y=0),-2,_xlpm.x)))),0))</f>
        <v>0</v>
      </c>
      <c r="O268" s="282" cm="1">
        <f t="array" aca="1" ref="O268" ca="1">IF(OR($E268="",$E268="X"),0,IFERROR(_xlfn.LET(_xlpm.x,SUM(SUM(_xlfn._xlws.FILTER(VALUE(PptoSty[Sign]&amp;1)*(1/PptoSty[Division]),(PptoSty[Division]&lt;&gt;0)*(PptoSty[Division]&lt;&gt;"")*(PptoSty[Division]&lt;&gt;"X")*(PptoSty[RowGrp]=$E268)*(ISNUMBER(FIND(PptoSty[PiColumn],O$257))),0)),$AA268),_xlpm.y,IF(_xlfn._xlws.FILTER(TbRsmIn[Alive],TbRsmIn[Enquiry No]=$E268,"X")="C",0,INDEX(INDIRECT(Mods!$B$2),MATCH($E268,INDIRECT(Mods!$B$4),0),MATCH(O$257,INDIRECT(Mods!$AL$3),0))),IF(AND(_xlpm.x=0,_xlpm.y&lt;&gt;0),-1,IF(AND(_xlpm.x&lt;&gt;0,_xlpm.y&lt;&gt;0),_xlpm.x,IF(AND(_xlpm.x-$AA268&lt;&gt;0,_xlpm.y=0),-2,_xlpm.x)))),0))</f>
        <v>0</v>
      </c>
      <c r="P268" s="282" cm="1">
        <f t="array" aca="1" ref="P268" ca="1">IF(OR($E268="",$E268="X"),0,IFERROR(_xlfn.LET(_xlpm.x,SUM(SUM(_xlfn._xlws.FILTER(VALUE(PptoSty[Sign]&amp;1)*(1/PptoSty[Division]),(PptoSty[Division]&lt;&gt;0)*(PptoSty[Division]&lt;&gt;"")*(PptoSty[Division]&lt;&gt;"X")*(PptoSty[RowGrp]=$E268)*(ISNUMBER(FIND(PptoSty[PiColumn],P$257))),0)),$AA268),_xlpm.y,IF(_xlfn._xlws.FILTER(TbRsmIn[Alive],TbRsmIn[Enquiry No]=$E268,"X")="C",0,INDEX(INDIRECT(Mods!$B$2),MATCH($E268,INDIRECT(Mods!$B$4),0),MATCH(P$257,INDIRECT(Mods!$AL$3),0))),IF(AND(_xlpm.x=0,_xlpm.y&lt;&gt;0),-1,IF(AND(_xlpm.x&lt;&gt;0,_xlpm.y&lt;&gt;0),_xlpm.x,IF(AND(_xlpm.x-$AA268&lt;&gt;0,_xlpm.y=0),-2,_xlpm.x)))),0))</f>
        <v>0</v>
      </c>
      <c r="Q268" s="282" cm="1">
        <f t="array" aca="1" ref="Q268" ca="1">IF(OR($E268="",$E268="X"),0,IFERROR(_xlfn.LET(_xlpm.x,SUM(SUM(_xlfn._xlws.FILTER(VALUE(PptoSty[Sign]&amp;1)*(1/PptoSty[Division]),(PptoSty[Division]&lt;&gt;0)*(PptoSty[Division]&lt;&gt;"")*(PptoSty[Division]&lt;&gt;"X")*(PptoSty[RowGrp]=$E268)*(ISNUMBER(FIND(PptoSty[PiColumn],Q$257))),0)),$AA268),_xlpm.y,IF(_xlfn._xlws.FILTER(TbRsmIn[Alive],TbRsmIn[Enquiry No]=$E268,"X")="C",0,INDEX(INDIRECT(Mods!$B$2),MATCH($E268,INDIRECT(Mods!$B$4),0),MATCH(Q$257,INDIRECT(Mods!$AL$3),0))),IF(AND(_xlpm.x=0,_xlpm.y&lt;&gt;0),-1,IF(AND(_xlpm.x&lt;&gt;0,_xlpm.y&lt;&gt;0),_xlpm.x,IF(AND(_xlpm.x-$AA268&lt;&gt;0,_xlpm.y=0),-2,_xlpm.x)))),0))</f>
        <v>0</v>
      </c>
      <c r="R268" s="282" cm="1">
        <f t="array" aca="1" ref="R268" ca="1">IF(OR($E268="",$E268="X"),0,IFERROR(_xlfn.LET(_xlpm.x,SUM(SUM(_xlfn._xlws.FILTER(VALUE(PptoSty[Sign]&amp;1)*(1/PptoSty[Division]),(PptoSty[Division]&lt;&gt;0)*(PptoSty[Division]&lt;&gt;"")*(PptoSty[Division]&lt;&gt;"X")*(PptoSty[RowGrp]=$E268)*(ISNUMBER(FIND(PptoSty[PiColumn],R$257))),0)),$AA268),_xlpm.y,IF(_xlfn._xlws.FILTER(TbRsmIn[Alive],TbRsmIn[Enquiry No]=$E268,"X")="C",0,INDEX(INDIRECT(Mods!$B$2),MATCH($E268,INDIRECT(Mods!$B$4),0),MATCH(R$257,INDIRECT(Mods!$AL$3),0))),IF(AND(_xlpm.x=0,_xlpm.y&lt;&gt;0),-1,IF(AND(_xlpm.x&lt;&gt;0,_xlpm.y&lt;&gt;0),_xlpm.x,IF(AND(_xlpm.x-$AA268&lt;&gt;0,_xlpm.y=0),-2,_xlpm.x)))),0))</f>
        <v>0</v>
      </c>
      <c r="S268" s="282" cm="1">
        <f t="array" aca="1" ref="S268" ca="1">IF(OR($E268="",$E268="X"),0,IFERROR(_xlfn.LET(_xlpm.x,SUM(SUM(_xlfn._xlws.FILTER(VALUE(PptoSty[Sign]&amp;1)*(1/PptoSty[Division]),(PptoSty[Division]&lt;&gt;0)*(PptoSty[Division]&lt;&gt;"")*(PptoSty[Division]&lt;&gt;"X")*(PptoSty[RowGrp]=$E268)*(ISNUMBER(FIND(PptoSty[PiColumn],S$257))),0)),$AA268),_xlpm.y,IF(_xlfn._xlws.FILTER(TbRsmIn[Alive],TbRsmIn[Enquiry No]=$E268,"X")="C",0,INDEX(INDIRECT(Mods!$B$2),MATCH($E268,INDIRECT(Mods!$B$4),0),MATCH(S$257,INDIRECT(Mods!$AL$3),0))),IF(AND(_xlpm.x=0,_xlpm.y&lt;&gt;0),-1,IF(AND(_xlpm.x&lt;&gt;0,_xlpm.y&lt;&gt;0),_xlpm.x,IF(AND(_xlpm.x-$AA268&lt;&gt;0,_xlpm.y=0),-2,_xlpm.x)))),0))</f>
        <v>0</v>
      </c>
      <c r="T268" s="282" cm="1">
        <f t="array" aca="1" ref="T268" ca="1">IF(OR($E268="",$E268="X"),0,IFERROR(_xlfn.LET(_xlpm.x,SUM(SUM(_xlfn._xlws.FILTER(VALUE(PptoSty[Sign]&amp;1)*(1/PptoSty[Division]),(PptoSty[Division]&lt;&gt;0)*(PptoSty[Division]&lt;&gt;"")*(PptoSty[Division]&lt;&gt;"X")*(PptoSty[RowGrp]=$E268)*(ISNUMBER(FIND(PptoSty[PiColumn],T$257))),0)),$AA268),_xlpm.y,IF(_xlfn._xlws.FILTER(TbRsmIn[Alive],TbRsmIn[Enquiry No]=$E268,"X")="C",0,INDEX(INDIRECT(Mods!$B$2),MATCH($E268,INDIRECT(Mods!$B$4),0),MATCH(T$257,INDIRECT(Mods!$AL$3),0))),IF(AND(_xlpm.x=0,_xlpm.y&lt;&gt;0),-1,IF(AND(_xlpm.x&lt;&gt;0,_xlpm.y&lt;&gt;0),_xlpm.x,IF(AND(_xlpm.x-$AA268&lt;&gt;0,_xlpm.y=0),-2,_xlpm.x)))),0))</f>
        <v>0</v>
      </c>
      <c r="U268" s="282" cm="1">
        <f t="array" aca="1" ref="U268" ca="1">IF(OR($E268="",$E268="X"),0,IFERROR(_xlfn.LET(_xlpm.x,SUM(SUM(_xlfn._xlws.FILTER(VALUE(PptoSty[Sign]&amp;1)*(1/PptoSty[Division]),(PptoSty[Division]&lt;&gt;0)*(PptoSty[Division]&lt;&gt;"")*(PptoSty[Division]&lt;&gt;"X")*(PptoSty[RowGrp]=$E268)*(ISNUMBER(FIND(PptoSty[PiColumn],U$257))),0)),$AA268),_xlpm.y,IF(_xlfn._xlws.FILTER(TbRsmIn[Alive],TbRsmIn[Enquiry No]=$E268,"X")="C",0,INDEX(INDIRECT(Mods!$B$2),MATCH($E268,INDIRECT(Mods!$B$4),0),MATCH(U$257,INDIRECT(Mods!$AL$3),0))),IF(AND(_xlpm.x=0,_xlpm.y&lt;&gt;0),-1,IF(AND(_xlpm.x&lt;&gt;0,_xlpm.y&lt;&gt;0),_xlpm.x,IF(AND(_xlpm.x-$AA268&lt;&gt;0,_xlpm.y=0),-2,_xlpm.x)))),0))</f>
        <v>0</v>
      </c>
      <c r="V268" s="282" cm="1">
        <f t="array" aca="1" ref="V268" ca="1">IF(OR($E268="",$E268="X"),0,IFERROR(_xlfn.LET(_xlpm.x,SUM(SUM(_xlfn._xlws.FILTER(VALUE(PptoSty[Sign]&amp;1)*(1/PptoSty[Division]),(PptoSty[Division]&lt;&gt;0)*(PptoSty[Division]&lt;&gt;"")*(PptoSty[Division]&lt;&gt;"X")*(PptoSty[RowGrp]=$E268)*(ISNUMBER(FIND(PptoSty[PiColumn],V$257))),0)),$AA268),_xlpm.y,IF(_xlfn._xlws.FILTER(TbRsmIn[Alive],TbRsmIn[Enquiry No]=$E268,"X")="C",0,INDEX(INDIRECT(Mods!$B$2),MATCH($E268,INDIRECT(Mods!$B$4),0),MATCH(V$257,INDIRECT(Mods!$AL$3),0))),IF(AND(_xlpm.x=0,_xlpm.y&lt;&gt;0),-1,IF(AND(_xlpm.x&lt;&gt;0,_xlpm.y&lt;&gt;0),_xlpm.x,IF(AND(_xlpm.x-$AA268&lt;&gt;0,_xlpm.y=0),-2,_xlpm.x)))),0))</f>
        <v>0</v>
      </c>
      <c r="W268" s="282" cm="1">
        <f t="array" aca="1" ref="W268" ca="1">IF(OR($E268="",$E268="X"),0,IFERROR(_xlfn.LET(_xlpm.x,SUM(SUM(_xlfn._xlws.FILTER(VALUE(PptoSty[Sign]&amp;1)*(1/PptoSty[Division]),(PptoSty[Division]&lt;&gt;0)*(PptoSty[Division]&lt;&gt;"")*(PptoSty[Division]&lt;&gt;"X")*(PptoSty[RowGrp]=$E268)*(ISNUMBER(FIND(PptoSty[PiColumn],W$257))),0)),$AA268),_xlpm.y,IF(_xlfn._xlws.FILTER(TbRsmIn[Alive],TbRsmIn[Enquiry No]=$E268,"X")="C",0,INDEX(INDIRECT(Mods!$B$2),MATCH($E268,INDIRECT(Mods!$B$4),0),MATCH(W$257,INDIRECT(Mods!$AL$3),0))),IF(AND(_xlpm.x=0,_xlpm.y&lt;&gt;0),-1,IF(AND(_xlpm.x&lt;&gt;0,_xlpm.y&lt;&gt;0),_xlpm.x,IF(AND(_xlpm.x-$AA268&lt;&gt;0,_xlpm.y=0),-2,_xlpm.x)))),0))</f>
        <v>0</v>
      </c>
      <c r="X268" s="282" cm="1">
        <f t="array" aca="1" ref="X268" ca="1">IF(OR($E268="",$E268="X"),0,IFERROR(_xlfn.LET(_xlpm.x,SUM(SUM(_xlfn._xlws.FILTER(VALUE(PptoSty[Sign]&amp;1)*(1/PptoSty[Division]),(PptoSty[Division]&lt;&gt;0)*(PptoSty[Division]&lt;&gt;"")*(PptoSty[Division]&lt;&gt;"X")*(PptoSty[RowGrp]=$E268)*(ISNUMBER(FIND(PptoSty[PiColumn],X$257))),0)),$AA268),_xlpm.y,IF(_xlfn._xlws.FILTER(TbRsmIn[Alive],TbRsmIn[Enquiry No]=$E268,"X")="C",0,INDEX(INDIRECT(Mods!$B$2),MATCH($E268,INDIRECT(Mods!$B$4),0),MATCH(X$257,INDIRECT(Mods!$AL$3),0))),IF(AND(_xlpm.x=0,_xlpm.y&lt;&gt;0),-1,IF(AND(_xlpm.x&lt;&gt;0,_xlpm.y&lt;&gt;0),_xlpm.x,IF(AND(_xlpm.x-$AA268&lt;&gt;0,_xlpm.y=0),-2,_xlpm.x)))),0))</f>
        <v>0</v>
      </c>
      <c r="Y268" s="282" cm="1">
        <f t="array" aca="1" ref="Y268" ca="1">IF(OR($E268="",$E268="X"),0,IFERROR(_xlfn.LET(_xlpm.x,SUM(SUM(_xlfn._xlws.FILTER(VALUE(PptoSty[Sign]&amp;1)*(1/PptoSty[Division]),(PptoSty[Division]&lt;&gt;0)*(PptoSty[Division]&lt;&gt;"")*(PptoSty[Division]&lt;&gt;"X")*(PptoSty[RowGrp]=$E268)*(ISNUMBER(FIND(PptoSty[PiColumn],Y$257))),0)),$AA268),_xlpm.y,IF(_xlfn._xlws.FILTER(TbRsmIn[Alive],TbRsmIn[Enquiry No]=$E268,"X")="C",0,INDEX(INDIRECT(Mods!$B$2),MATCH($E268,INDIRECT(Mods!$B$4),0),MATCH(Y$257,INDIRECT(Mods!$AL$3),0))),IF(AND(_xlpm.x=0,_xlpm.y&lt;&gt;0),-1,IF(AND(_xlpm.x&lt;&gt;0,_xlpm.y&lt;&gt;0),_xlpm.x,IF(AND(_xlpm.x-$AA268&lt;&gt;0,_xlpm.y=0),-2,_xlpm.x)))),0))</f>
        <v>0</v>
      </c>
      <c r="Z268" s="280" t="str">
        <f t="shared" ca="1" si="8"/>
        <v>Fback!B268:Y268</v>
      </c>
      <c r="AA268" s="282" cm="1">
        <f t="array" aca="1" ref="AA268" ca="1">IF(OR($E268="",$E268="X"),0,IFERROR(SUM(_xlfn._xlws.FILTER(VALUE(#REF!&amp;1)*(1/PptoSty[PptoVsRow]),(PptoSty[PptoVsRow]&lt;&gt;0)*(PptoSty[PptoVsRow]&lt;&gt;"")*(PptoSty[PptoVsRow]&lt;&gt;"X")*(PptoSty[Num]=$E268)*(PptoSty[RowGrp]=AA$260),0)),0))</f>
        <v>0</v>
      </c>
    </row>
    <row r="269" spans="1:27" ht="21" customHeight="1" outlineLevel="1">
      <c r="B269" s="247" t="str" cm="1">
        <f t="array" ref="B269:C269">IF($E269="X","X",_xlfn._xlws.FILTER(P_SelPrj[[PrjId]:[Cia]],P_SelPrj[Attribute]=VALUE(LEFT($E269,1)),"X"))</f>
        <v>31200</v>
      </c>
      <c r="C269" s="247" t="str">
        <v>Sp</v>
      </c>
      <c r="D269" s="247" t="s">
        <v>375</v>
      </c>
      <c r="E269" s="247" t="str" cm="1">
        <f t="array" ref="E269">_xlfn.LET(_xlpm.x,IFERROR(INDEX(TbRsmIn[Enquiry No],SUM(ROW()-MATCH("SOM",$A:$A,0))),"X"),IF(_xlpm.x=0,"X",_xlpm.x))</f>
        <v>0CT009</v>
      </c>
      <c r="F269" s="413" t="str" cm="1">
        <f t="array" ref="F269">_xlfn._xlws.FILTER(CstClcData[Value],(CstClcData[Attribute]="Concept")*(CstClcData[Name]=$E269),"X")</f>
        <v>Support cost for payment Temporal Import Taxes and Management</v>
      </c>
      <c r="G269" s="281"/>
      <c r="H269" s="281"/>
      <c r="I269" s="282" cm="1">
        <f t="array" aca="1" ref="I269" ca="1">IF(OR($E269="",$E269="X"),0,IFERROR(_xlfn.LET(_xlpm.x,SUM(SUM(_xlfn._xlws.FILTER(VALUE(PptoSty[Sign]&amp;1)*(1/PptoSty[Division]),(PptoSty[Division]&lt;&gt;0)*(PptoSty[Division]&lt;&gt;"")*(PptoSty[Division]&lt;&gt;"X")*(PptoSty[RowGrp]=$E269)*(ISNUMBER(FIND(PptoSty[PiColumn],I$257))),0)),$AA269),_xlpm.y,IF(_xlfn._xlws.FILTER(TbRsmIn[Alive],TbRsmIn[Enquiry No]=$E269,"X")="C",0,INDEX(INDIRECT(Mods!$B$2),MATCH($E269,INDIRECT(Mods!$B$4),0),MATCH(I$257,INDIRECT(Mods!$AL$3),0))),IF(AND(_xlpm.x=0,_xlpm.y&lt;&gt;0),-1,IF(AND(_xlpm.x&lt;&gt;0,_xlpm.y&lt;&gt;0),_xlpm.x,IF(AND(_xlpm.x-$AA269&lt;&gt;0,_xlpm.y=0),-2,_xlpm.x)))),0))</f>
        <v>0</v>
      </c>
      <c r="J269" s="282" cm="1">
        <f t="array" aca="1" ref="J269" ca="1">IF(OR($E269="",$E269="X"),0,IFERROR(_xlfn.LET(_xlpm.x,SUM(SUM(_xlfn._xlws.FILTER(VALUE(PptoSty[Sign]&amp;1)*(1/PptoSty[Division]),(PptoSty[Division]&lt;&gt;0)*(PptoSty[Division]&lt;&gt;"")*(PptoSty[Division]&lt;&gt;"X")*(PptoSty[RowGrp]=$E269)*(ISNUMBER(FIND(PptoSty[PiColumn],J$257))),0)),$AA269),_xlpm.y,IF(_xlfn._xlws.FILTER(TbRsmIn[Alive],TbRsmIn[Enquiry No]=$E269,"X")="C",0,INDEX(INDIRECT(Mods!$B$2),MATCH($E269,INDIRECT(Mods!$B$4),0),MATCH(J$257,INDIRECT(Mods!$AL$3),0))),IF(AND(_xlpm.x=0,_xlpm.y&lt;&gt;0),-1,IF(AND(_xlpm.x&lt;&gt;0,_xlpm.y&lt;&gt;0),_xlpm.x,IF(AND(_xlpm.x-$AA269&lt;&gt;0,_xlpm.y=0),-2,_xlpm.x)))),0))</f>
        <v>0</v>
      </c>
      <c r="K269" s="282" cm="1">
        <f t="array" aca="1" ref="K269" ca="1">IF(OR($E269="",$E269="X"),0,IFERROR(_xlfn.LET(_xlpm.x,SUM(SUM(_xlfn._xlws.FILTER(VALUE(PptoSty[Sign]&amp;1)*(1/PptoSty[Division]),(PptoSty[Division]&lt;&gt;0)*(PptoSty[Division]&lt;&gt;"")*(PptoSty[Division]&lt;&gt;"X")*(PptoSty[RowGrp]=$E269)*(ISNUMBER(FIND(PptoSty[PiColumn],K$257))),0)),$AA269),_xlpm.y,IF(_xlfn._xlws.FILTER(TbRsmIn[Alive],TbRsmIn[Enquiry No]=$E269,"X")="C",0,INDEX(INDIRECT(Mods!$B$2),MATCH($E269,INDIRECT(Mods!$B$4),0),MATCH(K$257,INDIRECT(Mods!$AL$3),0))),IF(AND(_xlpm.x=0,_xlpm.y&lt;&gt;0),-1,IF(AND(_xlpm.x&lt;&gt;0,_xlpm.y&lt;&gt;0),_xlpm.x,IF(AND(_xlpm.x-$AA269&lt;&gt;0,_xlpm.y=0),-2,_xlpm.x)))),0))</f>
        <v>0</v>
      </c>
      <c r="L269" s="282" cm="1">
        <f t="array" aca="1" ref="L269" ca="1">IF(OR($E269="",$E269="X"),0,IFERROR(_xlfn.LET(_xlpm.x,SUM(SUM(_xlfn._xlws.FILTER(VALUE(PptoSty[Sign]&amp;1)*(1/PptoSty[Division]),(PptoSty[Division]&lt;&gt;0)*(PptoSty[Division]&lt;&gt;"")*(PptoSty[Division]&lt;&gt;"X")*(PptoSty[RowGrp]=$E269)*(ISNUMBER(FIND(PptoSty[PiColumn],L$257))),0)),$AA269),_xlpm.y,IF(_xlfn._xlws.FILTER(TbRsmIn[Alive],TbRsmIn[Enquiry No]=$E269,"X")="C",0,INDEX(INDIRECT(Mods!$B$2),MATCH($E269,INDIRECT(Mods!$B$4),0),MATCH(L$257,INDIRECT(Mods!$AL$3),0))),IF(AND(_xlpm.x=0,_xlpm.y&lt;&gt;0),-1,IF(AND(_xlpm.x&lt;&gt;0,_xlpm.y&lt;&gt;0),_xlpm.x,IF(AND(_xlpm.x-$AA269&lt;&gt;0,_xlpm.y=0),-2,_xlpm.x)))),0))</f>
        <v>0</v>
      </c>
      <c r="M269" s="282" cm="1">
        <f t="array" aca="1" ref="M269" ca="1">IF(OR($E269="",$E269="X"),0,IFERROR(_xlfn.LET(_xlpm.x,SUM(SUM(_xlfn._xlws.FILTER(VALUE(PptoSty[Sign]&amp;1)*(1/PptoSty[Division]),(PptoSty[Division]&lt;&gt;0)*(PptoSty[Division]&lt;&gt;"")*(PptoSty[Division]&lt;&gt;"X")*(PptoSty[RowGrp]=$E269)*(ISNUMBER(FIND(PptoSty[PiColumn],M$257))),0)),$AA269),_xlpm.y,IF(_xlfn._xlws.FILTER(TbRsmIn[Alive],TbRsmIn[Enquiry No]=$E269,"X")="C",0,INDEX(INDIRECT(Mods!$B$2),MATCH($E269,INDIRECT(Mods!$B$4),0),MATCH(M$257,INDIRECT(Mods!$AL$3),0))),IF(AND(_xlpm.x=0,_xlpm.y&lt;&gt;0),-1,IF(AND(_xlpm.x&lt;&gt;0,_xlpm.y&lt;&gt;0),_xlpm.x,IF(AND(_xlpm.x-$AA269&lt;&gt;0,_xlpm.y=0),-2,_xlpm.x)))),0))</f>
        <v>0</v>
      </c>
      <c r="N269" s="282" cm="1">
        <f t="array" aca="1" ref="N269" ca="1">IF(OR($E269="",$E269="X"),0,IFERROR(_xlfn.LET(_xlpm.x,SUM(SUM(_xlfn._xlws.FILTER(VALUE(PptoSty[Sign]&amp;1)*(1/PptoSty[Division]),(PptoSty[Division]&lt;&gt;0)*(PptoSty[Division]&lt;&gt;"")*(PptoSty[Division]&lt;&gt;"X")*(PptoSty[RowGrp]=$E269)*(ISNUMBER(FIND(PptoSty[PiColumn],N$257))),0)),$AA269),_xlpm.y,IF(_xlfn._xlws.FILTER(TbRsmIn[Alive],TbRsmIn[Enquiry No]=$E269,"X")="C",0,INDEX(INDIRECT(Mods!$B$2),MATCH($E269,INDIRECT(Mods!$B$4),0),MATCH(N$257,INDIRECT(Mods!$AL$3),0))),IF(AND(_xlpm.x=0,_xlpm.y&lt;&gt;0),-1,IF(AND(_xlpm.x&lt;&gt;0,_xlpm.y&lt;&gt;0),_xlpm.x,IF(AND(_xlpm.x-$AA269&lt;&gt;0,_xlpm.y=0),-2,_xlpm.x)))),0))</f>
        <v>0</v>
      </c>
      <c r="O269" s="282" cm="1">
        <f t="array" aca="1" ref="O269" ca="1">IF(OR($E269="",$E269="X"),0,IFERROR(_xlfn.LET(_xlpm.x,SUM(SUM(_xlfn._xlws.FILTER(VALUE(PptoSty[Sign]&amp;1)*(1/PptoSty[Division]),(PptoSty[Division]&lt;&gt;0)*(PptoSty[Division]&lt;&gt;"")*(PptoSty[Division]&lt;&gt;"X")*(PptoSty[RowGrp]=$E269)*(ISNUMBER(FIND(PptoSty[PiColumn],O$257))),0)),$AA269),_xlpm.y,IF(_xlfn._xlws.FILTER(TbRsmIn[Alive],TbRsmIn[Enquiry No]=$E269,"X")="C",0,INDEX(INDIRECT(Mods!$B$2),MATCH($E269,INDIRECT(Mods!$B$4),0),MATCH(O$257,INDIRECT(Mods!$AL$3),0))),IF(AND(_xlpm.x=0,_xlpm.y&lt;&gt;0),-1,IF(AND(_xlpm.x&lt;&gt;0,_xlpm.y&lt;&gt;0),_xlpm.x,IF(AND(_xlpm.x-$AA269&lt;&gt;0,_xlpm.y=0),-2,_xlpm.x)))),0))</f>
        <v>0</v>
      </c>
      <c r="P269" s="282" cm="1">
        <f t="array" aca="1" ref="P269" ca="1">IF(OR($E269="",$E269="X"),0,IFERROR(_xlfn.LET(_xlpm.x,SUM(SUM(_xlfn._xlws.FILTER(VALUE(PptoSty[Sign]&amp;1)*(1/PptoSty[Division]),(PptoSty[Division]&lt;&gt;0)*(PptoSty[Division]&lt;&gt;"")*(PptoSty[Division]&lt;&gt;"X")*(PptoSty[RowGrp]=$E269)*(ISNUMBER(FIND(PptoSty[PiColumn],P$257))),0)),$AA269),_xlpm.y,IF(_xlfn._xlws.FILTER(TbRsmIn[Alive],TbRsmIn[Enquiry No]=$E269,"X")="C",0,INDEX(INDIRECT(Mods!$B$2),MATCH($E269,INDIRECT(Mods!$B$4),0),MATCH(P$257,INDIRECT(Mods!$AL$3),0))),IF(AND(_xlpm.x=0,_xlpm.y&lt;&gt;0),-1,IF(AND(_xlpm.x&lt;&gt;0,_xlpm.y&lt;&gt;0),_xlpm.x,IF(AND(_xlpm.x-$AA269&lt;&gt;0,_xlpm.y=0),-2,_xlpm.x)))),0))</f>
        <v>0</v>
      </c>
      <c r="Q269" s="282" cm="1">
        <f t="array" aca="1" ref="Q269" ca="1">IF(OR($E269="",$E269="X"),0,IFERROR(_xlfn.LET(_xlpm.x,SUM(SUM(_xlfn._xlws.FILTER(VALUE(PptoSty[Sign]&amp;1)*(1/PptoSty[Division]),(PptoSty[Division]&lt;&gt;0)*(PptoSty[Division]&lt;&gt;"")*(PptoSty[Division]&lt;&gt;"X")*(PptoSty[RowGrp]=$E269)*(ISNUMBER(FIND(PptoSty[PiColumn],Q$257))),0)),$AA269),_xlpm.y,IF(_xlfn._xlws.FILTER(TbRsmIn[Alive],TbRsmIn[Enquiry No]=$E269,"X")="C",0,INDEX(INDIRECT(Mods!$B$2),MATCH($E269,INDIRECT(Mods!$B$4),0),MATCH(Q$257,INDIRECT(Mods!$AL$3),0))),IF(AND(_xlpm.x=0,_xlpm.y&lt;&gt;0),-1,IF(AND(_xlpm.x&lt;&gt;0,_xlpm.y&lt;&gt;0),_xlpm.x,IF(AND(_xlpm.x-$AA269&lt;&gt;0,_xlpm.y=0),-2,_xlpm.x)))),0))</f>
        <v>0</v>
      </c>
      <c r="R269" s="282" cm="1">
        <f t="array" aca="1" ref="R269" ca="1">IF(OR($E269="",$E269="X"),0,IFERROR(_xlfn.LET(_xlpm.x,SUM(SUM(_xlfn._xlws.FILTER(VALUE(PptoSty[Sign]&amp;1)*(1/PptoSty[Division]),(PptoSty[Division]&lt;&gt;0)*(PptoSty[Division]&lt;&gt;"")*(PptoSty[Division]&lt;&gt;"X")*(PptoSty[RowGrp]=$E269)*(ISNUMBER(FIND(PptoSty[PiColumn],R$257))),0)),$AA269),_xlpm.y,IF(_xlfn._xlws.FILTER(TbRsmIn[Alive],TbRsmIn[Enquiry No]=$E269,"X")="C",0,INDEX(INDIRECT(Mods!$B$2),MATCH($E269,INDIRECT(Mods!$B$4),0),MATCH(R$257,INDIRECT(Mods!$AL$3),0))),IF(AND(_xlpm.x=0,_xlpm.y&lt;&gt;0),-1,IF(AND(_xlpm.x&lt;&gt;0,_xlpm.y&lt;&gt;0),_xlpm.x,IF(AND(_xlpm.x-$AA269&lt;&gt;0,_xlpm.y=0),-2,_xlpm.x)))),0))</f>
        <v>0</v>
      </c>
      <c r="S269" s="282" cm="1">
        <f t="array" aca="1" ref="S269" ca="1">IF(OR($E269="",$E269="X"),0,IFERROR(_xlfn.LET(_xlpm.x,SUM(SUM(_xlfn._xlws.FILTER(VALUE(PptoSty[Sign]&amp;1)*(1/PptoSty[Division]),(PptoSty[Division]&lt;&gt;0)*(PptoSty[Division]&lt;&gt;"")*(PptoSty[Division]&lt;&gt;"X")*(PptoSty[RowGrp]=$E269)*(ISNUMBER(FIND(PptoSty[PiColumn],S$257))),0)),$AA269),_xlpm.y,IF(_xlfn._xlws.FILTER(TbRsmIn[Alive],TbRsmIn[Enquiry No]=$E269,"X")="C",0,INDEX(INDIRECT(Mods!$B$2),MATCH($E269,INDIRECT(Mods!$B$4),0),MATCH(S$257,INDIRECT(Mods!$AL$3),0))),IF(AND(_xlpm.x=0,_xlpm.y&lt;&gt;0),-1,IF(AND(_xlpm.x&lt;&gt;0,_xlpm.y&lt;&gt;0),_xlpm.x,IF(AND(_xlpm.x-$AA269&lt;&gt;0,_xlpm.y=0),-2,_xlpm.x)))),0))</f>
        <v>0</v>
      </c>
      <c r="T269" s="282" cm="1">
        <f t="array" aca="1" ref="T269" ca="1">IF(OR($E269="",$E269="X"),0,IFERROR(_xlfn.LET(_xlpm.x,SUM(SUM(_xlfn._xlws.FILTER(VALUE(PptoSty[Sign]&amp;1)*(1/PptoSty[Division]),(PptoSty[Division]&lt;&gt;0)*(PptoSty[Division]&lt;&gt;"")*(PptoSty[Division]&lt;&gt;"X")*(PptoSty[RowGrp]=$E269)*(ISNUMBER(FIND(PptoSty[PiColumn],T$257))),0)),$AA269),_xlpm.y,IF(_xlfn._xlws.FILTER(TbRsmIn[Alive],TbRsmIn[Enquiry No]=$E269,"X")="C",0,INDEX(INDIRECT(Mods!$B$2),MATCH($E269,INDIRECT(Mods!$B$4),0),MATCH(T$257,INDIRECT(Mods!$AL$3),0))),IF(AND(_xlpm.x=0,_xlpm.y&lt;&gt;0),-1,IF(AND(_xlpm.x&lt;&gt;0,_xlpm.y&lt;&gt;0),_xlpm.x,IF(AND(_xlpm.x-$AA269&lt;&gt;0,_xlpm.y=0),-2,_xlpm.x)))),0))</f>
        <v>0</v>
      </c>
      <c r="U269" s="282" cm="1">
        <f t="array" aca="1" ref="U269" ca="1">IF(OR($E269="",$E269="X"),0,IFERROR(_xlfn.LET(_xlpm.x,SUM(SUM(_xlfn._xlws.FILTER(VALUE(PptoSty[Sign]&amp;1)*(1/PptoSty[Division]),(PptoSty[Division]&lt;&gt;0)*(PptoSty[Division]&lt;&gt;"")*(PptoSty[Division]&lt;&gt;"X")*(PptoSty[RowGrp]=$E269)*(ISNUMBER(FIND(PptoSty[PiColumn],U$257))),0)),$AA269),_xlpm.y,IF(_xlfn._xlws.FILTER(TbRsmIn[Alive],TbRsmIn[Enquiry No]=$E269,"X")="C",0,INDEX(INDIRECT(Mods!$B$2),MATCH($E269,INDIRECT(Mods!$B$4),0),MATCH(U$257,INDIRECT(Mods!$AL$3),0))),IF(AND(_xlpm.x=0,_xlpm.y&lt;&gt;0),-1,IF(AND(_xlpm.x&lt;&gt;0,_xlpm.y&lt;&gt;0),_xlpm.x,IF(AND(_xlpm.x-$AA269&lt;&gt;0,_xlpm.y=0),-2,_xlpm.x)))),0))</f>
        <v>0</v>
      </c>
      <c r="V269" s="282" cm="1">
        <f t="array" aca="1" ref="V269" ca="1">IF(OR($E269="",$E269="X"),0,IFERROR(_xlfn.LET(_xlpm.x,SUM(SUM(_xlfn._xlws.FILTER(VALUE(PptoSty[Sign]&amp;1)*(1/PptoSty[Division]),(PptoSty[Division]&lt;&gt;0)*(PptoSty[Division]&lt;&gt;"")*(PptoSty[Division]&lt;&gt;"X")*(PptoSty[RowGrp]=$E269)*(ISNUMBER(FIND(PptoSty[PiColumn],V$257))),0)),$AA269),_xlpm.y,IF(_xlfn._xlws.FILTER(TbRsmIn[Alive],TbRsmIn[Enquiry No]=$E269,"X")="C",0,INDEX(INDIRECT(Mods!$B$2),MATCH($E269,INDIRECT(Mods!$B$4),0),MATCH(V$257,INDIRECT(Mods!$AL$3),0))),IF(AND(_xlpm.x=0,_xlpm.y&lt;&gt;0),-1,IF(AND(_xlpm.x&lt;&gt;0,_xlpm.y&lt;&gt;0),_xlpm.x,IF(AND(_xlpm.x-$AA269&lt;&gt;0,_xlpm.y=0),-2,_xlpm.x)))),0))</f>
        <v>0</v>
      </c>
      <c r="W269" s="282" cm="1">
        <f t="array" aca="1" ref="W269" ca="1">IF(OR($E269="",$E269="X"),0,IFERROR(_xlfn.LET(_xlpm.x,SUM(SUM(_xlfn._xlws.FILTER(VALUE(PptoSty[Sign]&amp;1)*(1/PptoSty[Division]),(PptoSty[Division]&lt;&gt;0)*(PptoSty[Division]&lt;&gt;"")*(PptoSty[Division]&lt;&gt;"X")*(PptoSty[RowGrp]=$E269)*(ISNUMBER(FIND(PptoSty[PiColumn],W$257))),0)),$AA269),_xlpm.y,IF(_xlfn._xlws.FILTER(TbRsmIn[Alive],TbRsmIn[Enquiry No]=$E269,"X")="C",0,INDEX(INDIRECT(Mods!$B$2),MATCH($E269,INDIRECT(Mods!$B$4),0),MATCH(W$257,INDIRECT(Mods!$AL$3),0))),IF(AND(_xlpm.x=0,_xlpm.y&lt;&gt;0),-1,IF(AND(_xlpm.x&lt;&gt;0,_xlpm.y&lt;&gt;0),_xlpm.x,IF(AND(_xlpm.x-$AA269&lt;&gt;0,_xlpm.y=0),-2,_xlpm.x)))),0))</f>
        <v>0</v>
      </c>
      <c r="X269" s="282" cm="1">
        <f t="array" aca="1" ref="X269" ca="1">IF(OR($E269="",$E269="X"),0,IFERROR(_xlfn.LET(_xlpm.x,SUM(SUM(_xlfn._xlws.FILTER(VALUE(PptoSty[Sign]&amp;1)*(1/PptoSty[Division]),(PptoSty[Division]&lt;&gt;0)*(PptoSty[Division]&lt;&gt;"")*(PptoSty[Division]&lt;&gt;"X")*(PptoSty[RowGrp]=$E269)*(ISNUMBER(FIND(PptoSty[PiColumn],X$257))),0)),$AA269),_xlpm.y,IF(_xlfn._xlws.FILTER(TbRsmIn[Alive],TbRsmIn[Enquiry No]=$E269,"X")="C",0,INDEX(INDIRECT(Mods!$B$2),MATCH($E269,INDIRECT(Mods!$B$4),0),MATCH(X$257,INDIRECT(Mods!$AL$3),0))),IF(AND(_xlpm.x=0,_xlpm.y&lt;&gt;0),-1,IF(AND(_xlpm.x&lt;&gt;0,_xlpm.y&lt;&gt;0),_xlpm.x,IF(AND(_xlpm.x-$AA269&lt;&gt;0,_xlpm.y=0),-2,_xlpm.x)))),0))</f>
        <v>0</v>
      </c>
      <c r="Y269" s="282" cm="1">
        <f t="array" aca="1" ref="Y269" ca="1">IF(OR($E269="",$E269="X"),0,IFERROR(_xlfn.LET(_xlpm.x,SUM(SUM(_xlfn._xlws.FILTER(VALUE(PptoSty[Sign]&amp;1)*(1/PptoSty[Division]),(PptoSty[Division]&lt;&gt;0)*(PptoSty[Division]&lt;&gt;"")*(PptoSty[Division]&lt;&gt;"X")*(PptoSty[RowGrp]=$E269)*(ISNUMBER(FIND(PptoSty[PiColumn],Y$257))),0)),$AA269),_xlpm.y,IF(_xlfn._xlws.FILTER(TbRsmIn[Alive],TbRsmIn[Enquiry No]=$E269,"X")="C",0,INDEX(INDIRECT(Mods!$B$2),MATCH($E269,INDIRECT(Mods!$B$4),0),MATCH(Y$257,INDIRECT(Mods!$AL$3),0))),IF(AND(_xlpm.x=0,_xlpm.y&lt;&gt;0),-1,IF(AND(_xlpm.x&lt;&gt;0,_xlpm.y&lt;&gt;0),_xlpm.x,IF(AND(_xlpm.x-$AA269&lt;&gt;0,_xlpm.y=0),-2,_xlpm.x)))),0))</f>
        <v>0</v>
      </c>
      <c r="Z269" s="280" t="str">
        <f t="shared" ca="1" si="8"/>
        <v>Fback!B269:Y269</v>
      </c>
      <c r="AA269" s="282" cm="1">
        <f t="array" aca="1" ref="AA269" ca="1">IF(OR($E269="",$E269="X"),0,IFERROR(SUM(_xlfn._xlws.FILTER(VALUE(#REF!&amp;1)*(1/PptoSty[PptoVsRow]),(PptoSty[PptoVsRow]&lt;&gt;0)*(PptoSty[PptoVsRow]&lt;&gt;"")*(PptoSty[PptoVsRow]&lt;&gt;"X")*(PptoSty[Num]=$E269)*(PptoSty[RowGrp]=AA$260),0)),0))</f>
        <v>0</v>
      </c>
    </row>
    <row r="270" spans="1:27" ht="21" customHeight="1" outlineLevel="1">
      <c r="B270" s="247" t="str" cm="1">
        <f t="array" ref="B270:C270">IF($E270="X","X",_xlfn._xlws.FILTER(P_SelPrj[[PrjId]:[Cia]],P_SelPrj[Attribute]=VALUE(LEFT($E270,1)),"X"))</f>
        <v>31200</v>
      </c>
      <c r="C270" s="247" t="str">
        <v>Sp</v>
      </c>
      <c r="D270" s="247" t="s">
        <v>375</v>
      </c>
      <c r="E270" s="247" t="str" cm="1">
        <f t="array" ref="E270">_xlfn.LET(_xlpm.x,IFERROR(INDEX(TbRsmIn[Enquiry No],SUM(ROW()-MATCH("SOM",$A:$A,0))),"X"),IF(_xlpm.x=0,"X",_xlpm.x))</f>
        <v>0CT010</v>
      </c>
      <c r="F270" s="413" t="str" cm="1">
        <f t="array" ref="F270">_xlfn._xlws.FILTER(CstClcData[Value],(CstClcData[Attribute]="Concept")*(CstClcData[Name]=$E270),"X")</f>
        <v>EMA RR EOL Change product isolated impact PW5 removed from PO.</v>
      </c>
      <c r="G270" s="281"/>
      <c r="H270" s="281"/>
      <c r="I270" s="282" cm="1">
        <f t="array" aca="1" ref="I270" ca="1">IF(OR($E270="",$E270="X"),0,IFERROR(_xlfn.LET(_xlpm.x,SUM(SUM(_xlfn._xlws.FILTER(VALUE(PptoSty[Sign]&amp;1)*(1/PptoSty[Division]),(PptoSty[Division]&lt;&gt;0)*(PptoSty[Division]&lt;&gt;"")*(PptoSty[Division]&lt;&gt;"X")*(PptoSty[RowGrp]=$E270)*(ISNUMBER(FIND(PptoSty[PiColumn],I$257))),0)),$AA270),_xlpm.y,IF(_xlfn._xlws.FILTER(TbRsmIn[Alive],TbRsmIn[Enquiry No]=$E270,"X")="C",0,INDEX(INDIRECT(Mods!$B$2),MATCH($E270,INDIRECT(Mods!$B$4),0),MATCH(I$257,INDIRECT(Mods!$AL$3),0))),IF(AND(_xlpm.x=0,_xlpm.y&lt;&gt;0),-1,IF(AND(_xlpm.x&lt;&gt;0,_xlpm.y&lt;&gt;0),_xlpm.x,IF(AND(_xlpm.x-$AA270&lt;&gt;0,_xlpm.y=0),-2,_xlpm.x)))),0))</f>
        <v>0</v>
      </c>
      <c r="J270" s="282" cm="1">
        <f t="array" aca="1" ref="J270" ca="1">IF(OR($E270="",$E270="X"),0,IFERROR(_xlfn.LET(_xlpm.x,SUM(SUM(_xlfn._xlws.FILTER(VALUE(PptoSty[Sign]&amp;1)*(1/PptoSty[Division]),(PptoSty[Division]&lt;&gt;0)*(PptoSty[Division]&lt;&gt;"")*(PptoSty[Division]&lt;&gt;"X")*(PptoSty[RowGrp]=$E270)*(ISNUMBER(FIND(PptoSty[PiColumn],J$257))),0)),$AA270),_xlpm.y,IF(_xlfn._xlws.FILTER(TbRsmIn[Alive],TbRsmIn[Enquiry No]=$E270,"X")="C",0,INDEX(INDIRECT(Mods!$B$2),MATCH($E270,INDIRECT(Mods!$B$4),0),MATCH(J$257,INDIRECT(Mods!$AL$3),0))),IF(AND(_xlpm.x=0,_xlpm.y&lt;&gt;0),-1,IF(AND(_xlpm.x&lt;&gt;0,_xlpm.y&lt;&gt;0),_xlpm.x,IF(AND(_xlpm.x-$AA270&lt;&gt;0,_xlpm.y=0),-2,_xlpm.x)))),0))</f>
        <v>0</v>
      </c>
      <c r="K270" s="282" cm="1">
        <f t="array" aca="1" ref="K270" ca="1">IF(OR($E270="",$E270="X"),0,IFERROR(_xlfn.LET(_xlpm.x,SUM(SUM(_xlfn._xlws.FILTER(VALUE(PptoSty[Sign]&amp;1)*(1/PptoSty[Division]),(PptoSty[Division]&lt;&gt;0)*(PptoSty[Division]&lt;&gt;"")*(PptoSty[Division]&lt;&gt;"X")*(PptoSty[RowGrp]=$E270)*(ISNUMBER(FIND(PptoSty[PiColumn],K$257))),0)),$AA270),_xlpm.y,IF(_xlfn._xlws.FILTER(TbRsmIn[Alive],TbRsmIn[Enquiry No]=$E270,"X")="C",0,INDEX(INDIRECT(Mods!$B$2),MATCH($E270,INDIRECT(Mods!$B$4),0),MATCH(K$257,INDIRECT(Mods!$AL$3),0))),IF(AND(_xlpm.x=0,_xlpm.y&lt;&gt;0),-1,IF(AND(_xlpm.x&lt;&gt;0,_xlpm.y&lt;&gt;0),_xlpm.x,IF(AND(_xlpm.x-$AA270&lt;&gt;0,_xlpm.y=0),-2,_xlpm.x)))),0))</f>
        <v>0</v>
      </c>
      <c r="L270" s="282" cm="1">
        <f t="array" aca="1" ref="L270" ca="1">IF(OR($E270="",$E270="X"),0,IFERROR(_xlfn.LET(_xlpm.x,SUM(SUM(_xlfn._xlws.FILTER(VALUE(PptoSty[Sign]&amp;1)*(1/PptoSty[Division]),(PptoSty[Division]&lt;&gt;0)*(PptoSty[Division]&lt;&gt;"")*(PptoSty[Division]&lt;&gt;"X")*(PptoSty[RowGrp]=$E270)*(ISNUMBER(FIND(PptoSty[PiColumn],L$257))),0)),$AA270),_xlpm.y,IF(_xlfn._xlws.FILTER(TbRsmIn[Alive],TbRsmIn[Enquiry No]=$E270,"X")="C",0,INDEX(INDIRECT(Mods!$B$2),MATCH($E270,INDIRECT(Mods!$B$4),0),MATCH(L$257,INDIRECT(Mods!$AL$3),0))),IF(AND(_xlpm.x=0,_xlpm.y&lt;&gt;0),-1,IF(AND(_xlpm.x&lt;&gt;0,_xlpm.y&lt;&gt;0),_xlpm.x,IF(AND(_xlpm.x-$AA270&lt;&gt;0,_xlpm.y=0),-2,_xlpm.x)))),0))</f>
        <v>0</v>
      </c>
      <c r="M270" s="282" cm="1">
        <f t="array" aca="1" ref="M270" ca="1">IF(OR($E270="",$E270="X"),0,IFERROR(_xlfn.LET(_xlpm.x,SUM(SUM(_xlfn._xlws.FILTER(VALUE(PptoSty[Sign]&amp;1)*(1/PptoSty[Division]),(PptoSty[Division]&lt;&gt;0)*(PptoSty[Division]&lt;&gt;"")*(PptoSty[Division]&lt;&gt;"X")*(PptoSty[RowGrp]=$E270)*(ISNUMBER(FIND(PptoSty[PiColumn],M$257))),0)),$AA270),_xlpm.y,IF(_xlfn._xlws.FILTER(TbRsmIn[Alive],TbRsmIn[Enquiry No]=$E270,"X")="C",0,INDEX(INDIRECT(Mods!$B$2),MATCH($E270,INDIRECT(Mods!$B$4),0),MATCH(M$257,INDIRECT(Mods!$AL$3),0))),IF(AND(_xlpm.x=0,_xlpm.y&lt;&gt;0),-1,IF(AND(_xlpm.x&lt;&gt;0,_xlpm.y&lt;&gt;0),_xlpm.x,IF(AND(_xlpm.x-$AA270&lt;&gt;0,_xlpm.y=0),-2,_xlpm.x)))),0))</f>
        <v>0</v>
      </c>
      <c r="N270" s="282" cm="1">
        <f t="array" aca="1" ref="N270" ca="1">IF(OR($E270="",$E270="X"),0,IFERROR(_xlfn.LET(_xlpm.x,SUM(SUM(_xlfn._xlws.FILTER(VALUE(PptoSty[Sign]&amp;1)*(1/PptoSty[Division]),(PptoSty[Division]&lt;&gt;0)*(PptoSty[Division]&lt;&gt;"")*(PptoSty[Division]&lt;&gt;"X")*(PptoSty[RowGrp]=$E270)*(ISNUMBER(FIND(PptoSty[PiColumn],N$257))),0)),$AA270),_xlpm.y,IF(_xlfn._xlws.FILTER(TbRsmIn[Alive],TbRsmIn[Enquiry No]=$E270,"X")="C",0,INDEX(INDIRECT(Mods!$B$2),MATCH($E270,INDIRECT(Mods!$B$4),0),MATCH(N$257,INDIRECT(Mods!$AL$3),0))),IF(AND(_xlpm.x=0,_xlpm.y&lt;&gt;0),-1,IF(AND(_xlpm.x&lt;&gt;0,_xlpm.y&lt;&gt;0),_xlpm.x,IF(AND(_xlpm.x-$AA270&lt;&gt;0,_xlpm.y=0),-2,_xlpm.x)))),0))</f>
        <v>0</v>
      </c>
      <c r="O270" s="282" cm="1">
        <f t="array" aca="1" ref="O270" ca="1">IF(OR($E270="",$E270="X"),0,IFERROR(_xlfn.LET(_xlpm.x,SUM(SUM(_xlfn._xlws.FILTER(VALUE(PptoSty[Sign]&amp;1)*(1/PptoSty[Division]),(PptoSty[Division]&lt;&gt;0)*(PptoSty[Division]&lt;&gt;"")*(PptoSty[Division]&lt;&gt;"X")*(PptoSty[RowGrp]=$E270)*(ISNUMBER(FIND(PptoSty[PiColumn],O$257))),0)),$AA270),_xlpm.y,IF(_xlfn._xlws.FILTER(TbRsmIn[Alive],TbRsmIn[Enquiry No]=$E270,"X")="C",0,INDEX(INDIRECT(Mods!$B$2),MATCH($E270,INDIRECT(Mods!$B$4),0),MATCH(O$257,INDIRECT(Mods!$AL$3),0))),IF(AND(_xlpm.x=0,_xlpm.y&lt;&gt;0),-1,IF(AND(_xlpm.x&lt;&gt;0,_xlpm.y&lt;&gt;0),_xlpm.x,IF(AND(_xlpm.x-$AA270&lt;&gt;0,_xlpm.y=0),-2,_xlpm.x)))),0))</f>
        <v>0</v>
      </c>
      <c r="P270" s="282" cm="1">
        <f t="array" aca="1" ref="P270" ca="1">IF(OR($E270="",$E270="X"),0,IFERROR(_xlfn.LET(_xlpm.x,SUM(SUM(_xlfn._xlws.FILTER(VALUE(PptoSty[Sign]&amp;1)*(1/PptoSty[Division]),(PptoSty[Division]&lt;&gt;0)*(PptoSty[Division]&lt;&gt;"")*(PptoSty[Division]&lt;&gt;"X")*(PptoSty[RowGrp]=$E270)*(ISNUMBER(FIND(PptoSty[PiColumn],P$257))),0)),$AA270),_xlpm.y,IF(_xlfn._xlws.FILTER(TbRsmIn[Alive],TbRsmIn[Enquiry No]=$E270,"X")="C",0,INDEX(INDIRECT(Mods!$B$2),MATCH($E270,INDIRECT(Mods!$B$4),0),MATCH(P$257,INDIRECT(Mods!$AL$3),0))),IF(AND(_xlpm.x=0,_xlpm.y&lt;&gt;0),-1,IF(AND(_xlpm.x&lt;&gt;0,_xlpm.y&lt;&gt;0),_xlpm.x,IF(AND(_xlpm.x-$AA270&lt;&gt;0,_xlpm.y=0),-2,_xlpm.x)))),0))</f>
        <v>0</v>
      </c>
      <c r="Q270" s="282" cm="1">
        <f t="array" aca="1" ref="Q270" ca="1">IF(OR($E270="",$E270="X"),0,IFERROR(_xlfn.LET(_xlpm.x,SUM(SUM(_xlfn._xlws.FILTER(VALUE(PptoSty[Sign]&amp;1)*(1/PptoSty[Division]),(PptoSty[Division]&lt;&gt;0)*(PptoSty[Division]&lt;&gt;"")*(PptoSty[Division]&lt;&gt;"X")*(PptoSty[RowGrp]=$E270)*(ISNUMBER(FIND(PptoSty[PiColumn],Q$257))),0)),$AA270),_xlpm.y,IF(_xlfn._xlws.FILTER(TbRsmIn[Alive],TbRsmIn[Enquiry No]=$E270,"X")="C",0,INDEX(INDIRECT(Mods!$B$2),MATCH($E270,INDIRECT(Mods!$B$4),0),MATCH(Q$257,INDIRECT(Mods!$AL$3),0))),IF(AND(_xlpm.x=0,_xlpm.y&lt;&gt;0),-1,IF(AND(_xlpm.x&lt;&gt;0,_xlpm.y&lt;&gt;0),_xlpm.x,IF(AND(_xlpm.x-$AA270&lt;&gt;0,_xlpm.y=0),-2,_xlpm.x)))),0))</f>
        <v>0</v>
      </c>
      <c r="R270" s="282" cm="1">
        <f t="array" aca="1" ref="R270" ca="1">IF(OR($E270="",$E270="X"),0,IFERROR(_xlfn.LET(_xlpm.x,SUM(SUM(_xlfn._xlws.FILTER(VALUE(PptoSty[Sign]&amp;1)*(1/PptoSty[Division]),(PptoSty[Division]&lt;&gt;0)*(PptoSty[Division]&lt;&gt;"")*(PptoSty[Division]&lt;&gt;"X")*(PptoSty[RowGrp]=$E270)*(ISNUMBER(FIND(PptoSty[PiColumn],R$257))),0)),$AA270),_xlpm.y,IF(_xlfn._xlws.FILTER(TbRsmIn[Alive],TbRsmIn[Enquiry No]=$E270,"X")="C",0,INDEX(INDIRECT(Mods!$B$2),MATCH($E270,INDIRECT(Mods!$B$4),0),MATCH(R$257,INDIRECT(Mods!$AL$3),0))),IF(AND(_xlpm.x=0,_xlpm.y&lt;&gt;0),-1,IF(AND(_xlpm.x&lt;&gt;0,_xlpm.y&lt;&gt;0),_xlpm.x,IF(AND(_xlpm.x-$AA270&lt;&gt;0,_xlpm.y=0),-2,_xlpm.x)))),0))</f>
        <v>0</v>
      </c>
      <c r="S270" s="282" cm="1">
        <f t="array" aca="1" ref="S270" ca="1">IF(OR($E270="",$E270="X"),0,IFERROR(_xlfn.LET(_xlpm.x,SUM(SUM(_xlfn._xlws.FILTER(VALUE(PptoSty[Sign]&amp;1)*(1/PptoSty[Division]),(PptoSty[Division]&lt;&gt;0)*(PptoSty[Division]&lt;&gt;"")*(PptoSty[Division]&lt;&gt;"X")*(PptoSty[RowGrp]=$E270)*(ISNUMBER(FIND(PptoSty[PiColumn],S$257))),0)),$AA270),_xlpm.y,IF(_xlfn._xlws.FILTER(TbRsmIn[Alive],TbRsmIn[Enquiry No]=$E270,"X")="C",0,INDEX(INDIRECT(Mods!$B$2),MATCH($E270,INDIRECT(Mods!$B$4),0),MATCH(S$257,INDIRECT(Mods!$AL$3),0))),IF(AND(_xlpm.x=0,_xlpm.y&lt;&gt;0),-1,IF(AND(_xlpm.x&lt;&gt;0,_xlpm.y&lt;&gt;0),_xlpm.x,IF(AND(_xlpm.x-$AA270&lt;&gt;0,_xlpm.y=0),-2,_xlpm.x)))),0))</f>
        <v>0</v>
      </c>
      <c r="T270" s="282" cm="1">
        <f t="array" aca="1" ref="T270" ca="1">IF(OR($E270="",$E270="X"),0,IFERROR(_xlfn.LET(_xlpm.x,SUM(SUM(_xlfn._xlws.FILTER(VALUE(PptoSty[Sign]&amp;1)*(1/PptoSty[Division]),(PptoSty[Division]&lt;&gt;0)*(PptoSty[Division]&lt;&gt;"")*(PptoSty[Division]&lt;&gt;"X")*(PptoSty[RowGrp]=$E270)*(ISNUMBER(FIND(PptoSty[PiColumn],T$257))),0)),$AA270),_xlpm.y,IF(_xlfn._xlws.FILTER(TbRsmIn[Alive],TbRsmIn[Enquiry No]=$E270,"X")="C",0,INDEX(INDIRECT(Mods!$B$2),MATCH($E270,INDIRECT(Mods!$B$4),0),MATCH(T$257,INDIRECT(Mods!$AL$3),0))),IF(AND(_xlpm.x=0,_xlpm.y&lt;&gt;0),-1,IF(AND(_xlpm.x&lt;&gt;0,_xlpm.y&lt;&gt;0),_xlpm.x,IF(AND(_xlpm.x-$AA270&lt;&gt;0,_xlpm.y=0),-2,_xlpm.x)))),0))</f>
        <v>0</v>
      </c>
      <c r="U270" s="282" cm="1">
        <f t="array" aca="1" ref="U270" ca="1">IF(OR($E270="",$E270="X"),0,IFERROR(_xlfn.LET(_xlpm.x,SUM(SUM(_xlfn._xlws.FILTER(VALUE(PptoSty[Sign]&amp;1)*(1/PptoSty[Division]),(PptoSty[Division]&lt;&gt;0)*(PptoSty[Division]&lt;&gt;"")*(PptoSty[Division]&lt;&gt;"X")*(PptoSty[RowGrp]=$E270)*(ISNUMBER(FIND(PptoSty[PiColumn],U$257))),0)),$AA270),_xlpm.y,IF(_xlfn._xlws.FILTER(TbRsmIn[Alive],TbRsmIn[Enquiry No]=$E270,"X")="C",0,INDEX(INDIRECT(Mods!$B$2),MATCH($E270,INDIRECT(Mods!$B$4),0),MATCH(U$257,INDIRECT(Mods!$AL$3),0))),IF(AND(_xlpm.x=0,_xlpm.y&lt;&gt;0),-1,IF(AND(_xlpm.x&lt;&gt;0,_xlpm.y&lt;&gt;0),_xlpm.x,IF(AND(_xlpm.x-$AA270&lt;&gt;0,_xlpm.y=0),-2,_xlpm.x)))),0))</f>
        <v>0</v>
      </c>
      <c r="V270" s="282" cm="1">
        <f t="array" aca="1" ref="V270" ca="1">IF(OR($E270="",$E270="X"),0,IFERROR(_xlfn.LET(_xlpm.x,SUM(SUM(_xlfn._xlws.FILTER(VALUE(PptoSty[Sign]&amp;1)*(1/PptoSty[Division]),(PptoSty[Division]&lt;&gt;0)*(PptoSty[Division]&lt;&gt;"")*(PptoSty[Division]&lt;&gt;"X")*(PptoSty[RowGrp]=$E270)*(ISNUMBER(FIND(PptoSty[PiColumn],V$257))),0)),$AA270),_xlpm.y,IF(_xlfn._xlws.FILTER(TbRsmIn[Alive],TbRsmIn[Enquiry No]=$E270,"X")="C",0,INDEX(INDIRECT(Mods!$B$2),MATCH($E270,INDIRECT(Mods!$B$4),0),MATCH(V$257,INDIRECT(Mods!$AL$3),0))),IF(AND(_xlpm.x=0,_xlpm.y&lt;&gt;0),-1,IF(AND(_xlpm.x&lt;&gt;0,_xlpm.y&lt;&gt;0),_xlpm.x,IF(AND(_xlpm.x-$AA270&lt;&gt;0,_xlpm.y=0),-2,_xlpm.x)))),0))</f>
        <v>0</v>
      </c>
      <c r="W270" s="282" cm="1">
        <f t="array" aca="1" ref="W270" ca="1">IF(OR($E270="",$E270="X"),0,IFERROR(_xlfn.LET(_xlpm.x,SUM(SUM(_xlfn._xlws.FILTER(VALUE(PptoSty[Sign]&amp;1)*(1/PptoSty[Division]),(PptoSty[Division]&lt;&gt;0)*(PptoSty[Division]&lt;&gt;"")*(PptoSty[Division]&lt;&gt;"X")*(PptoSty[RowGrp]=$E270)*(ISNUMBER(FIND(PptoSty[PiColumn],W$257))),0)),$AA270),_xlpm.y,IF(_xlfn._xlws.FILTER(TbRsmIn[Alive],TbRsmIn[Enquiry No]=$E270,"X")="C",0,INDEX(INDIRECT(Mods!$B$2),MATCH($E270,INDIRECT(Mods!$B$4),0),MATCH(W$257,INDIRECT(Mods!$AL$3),0))),IF(AND(_xlpm.x=0,_xlpm.y&lt;&gt;0),-1,IF(AND(_xlpm.x&lt;&gt;0,_xlpm.y&lt;&gt;0),_xlpm.x,IF(AND(_xlpm.x-$AA270&lt;&gt;0,_xlpm.y=0),-2,_xlpm.x)))),0))</f>
        <v>0</v>
      </c>
      <c r="X270" s="282" cm="1">
        <f t="array" aca="1" ref="X270" ca="1">IF(OR($E270="",$E270="X"),0,IFERROR(_xlfn.LET(_xlpm.x,SUM(SUM(_xlfn._xlws.FILTER(VALUE(PptoSty[Sign]&amp;1)*(1/PptoSty[Division]),(PptoSty[Division]&lt;&gt;0)*(PptoSty[Division]&lt;&gt;"")*(PptoSty[Division]&lt;&gt;"X")*(PptoSty[RowGrp]=$E270)*(ISNUMBER(FIND(PptoSty[PiColumn],X$257))),0)),$AA270),_xlpm.y,IF(_xlfn._xlws.FILTER(TbRsmIn[Alive],TbRsmIn[Enquiry No]=$E270,"X")="C",0,INDEX(INDIRECT(Mods!$B$2),MATCH($E270,INDIRECT(Mods!$B$4),0),MATCH(X$257,INDIRECT(Mods!$AL$3),0))),IF(AND(_xlpm.x=0,_xlpm.y&lt;&gt;0),-1,IF(AND(_xlpm.x&lt;&gt;0,_xlpm.y&lt;&gt;0),_xlpm.x,IF(AND(_xlpm.x-$AA270&lt;&gt;0,_xlpm.y=0),-2,_xlpm.x)))),0))</f>
        <v>0</v>
      </c>
      <c r="Y270" s="282" cm="1">
        <f t="array" aca="1" ref="Y270" ca="1">IF(OR($E270="",$E270="X"),0,IFERROR(_xlfn.LET(_xlpm.x,SUM(SUM(_xlfn._xlws.FILTER(VALUE(PptoSty[Sign]&amp;1)*(1/PptoSty[Division]),(PptoSty[Division]&lt;&gt;0)*(PptoSty[Division]&lt;&gt;"")*(PptoSty[Division]&lt;&gt;"X")*(PptoSty[RowGrp]=$E270)*(ISNUMBER(FIND(PptoSty[PiColumn],Y$257))),0)),$AA270),_xlpm.y,IF(_xlfn._xlws.FILTER(TbRsmIn[Alive],TbRsmIn[Enquiry No]=$E270,"X")="C",0,INDEX(INDIRECT(Mods!$B$2),MATCH($E270,INDIRECT(Mods!$B$4),0),MATCH(Y$257,INDIRECT(Mods!$AL$3),0))),IF(AND(_xlpm.x=0,_xlpm.y&lt;&gt;0),-1,IF(AND(_xlpm.x&lt;&gt;0,_xlpm.y&lt;&gt;0),_xlpm.x,IF(AND(_xlpm.x-$AA270&lt;&gt;0,_xlpm.y=0),-2,_xlpm.x)))),0))</f>
        <v>0</v>
      </c>
      <c r="Z270" s="280" t="str">
        <f t="shared" ca="1" si="8"/>
        <v>Fback!B270:Y270</v>
      </c>
      <c r="AA270" s="282" cm="1">
        <f t="array" aca="1" ref="AA270" ca="1">IF(OR($E270="",$E270="X"),0,IFERROR(SUM(_xlfn._xlws.FILTER(VALUE(#REF!&amp;1)*(1/PptoSty[PptoVsRow]),(PptoSty[PptoVsRow]&lt;&gt;0)*(PptoSty[PptoVsRow]&lt;&gt;"")*(PptoSty[PptoVsRow]&lt;&gt;"X")*(PptoSty[Num]=$E270)*(PptoSty[RowGrp]=AA$260),0)),0))</f>
        <v>0</v>
      </c>
    </row>
    <row r="271" spans="1:27" ht="21" customHeight="1" outlineLevel="1">
      <c r="B271" s="247" t="str" cm="1">
        <f t="array" ref="B271:C271">IF($E271="X","X",_xlfn._xlws.FILTER(P_SelPrj[[PrjId]:[Cia]],P_SelPrj[Attribute]=VALUE(LEFT($E271,1)),"X"))</f>
        <v>31200</v>
      </c>
      <c r="C271" s="247" t="str">
        <v>Sp</v>
      </c>
      <c r="D271" s="247" t="s">
        <v>375</v>
      </c>
      <c r="E271" s="247" t="str" cm="1">
        <f t="array" ref="E271">_xlfn.LET(_xlpm.x,IFERROR(INDEX(TbRsmIn[Enquiry No],SUM(ROW()-MATCH("SOM",$A:$A,0))),"X"),IF(_xlpm.x=0,"X",_xlpm.x))</f>
        <v>0CT011</v>
      </c>
      <c r="F271" s="413" t="str" cm="1">
        <f t="array" ref="F271">_xlfn._xlws.FILTER(CstClcData[Value],(CstClcData[Attribute]="Concept")*(CstClcData[Name]=$E271),"X")</f>
        <v>Out of scope welding Wire conduit purchased by SERRA</v>
      </c>
      <c r="G271" s="281"/>
      <c r="H271" s="281"/>
      <c r="I271" s="282" cm="1">
        <f t="array" aca="1" ref="I271" ca="1">IF(OR($E271="",$E271="X"),0,IFERROR(_xlfn.LET(_xlpm.x,SUM(SUM(_xlfn._xlws.FILTER(VALUE(PptoSty[Sign]&amp;1)*(1/PptoSty[Division]),(PptoSty[Division]&lt;&gt;0)*(PptoSty[Division]&lt;&gt;"")*(PptoSty[Division]&lt;&gt;"X")*(PptoSty[RowGrp]=$E271)*(ISNUMBER(FIND(PptoSty[PiColumn],I$257))),0)),$AA271),_xlpm.y,IF(_xlfn._xlws.FILTER(TbRsmIn[Alive],TbRsmIn[Enquiry No]=$E271,"X")="C",0,INDEX(INDIRECT(Mods!$B$2),MATCH($E271,INDIRECT(Mods!$B$4),0),MATCH(I$257,INDIRECT(Mods!$AL$3),0))),IF(AND(_xlpm.x=0,_xlpm.y&lt;&gt;0),-1,IF(AND(_xlpm.x&lt;&gt;0,_xlpm.y&lt;&gt;0),_xlpm.x,IF(AND(_xlpm.x-$AA271&lt;&gt;0,_xlpm.y=0),-2,_xlpm.x)))),0))</f>
        <v>0</v>
      </c>
      <c r="J271" s="282" cm="1">
        <f t="array" aca="1" ref="J271" ca="1">IF(OR($E271="",$E271="X"),0,IFERROR(_xlfn.LET(_xlpm.x,SUM(SUM(_xlfn._xlws.FILTER(VALUE(PptoSty[Sign]&amp;1)*(1/PptoSty[Division]),(PptoSty[Division]&lt;&gt;0)*(PptoSty[Division]&lt;&gt;"")*(PptoSty[Division]&lt;&gt;"X")*(PptoSty[RowGrp]=$E271)*(ISNUMBER(FIND(PptoSty[PiColumn],J$257))),0)),$AA271),_xlpm.y,IF(_xlfn._xlws.FILTER(TbRsmIn[Alive],TbRsmIn[Enquiry No]=$E271,"X")="C",0,INDEX(INDIRECT(Mods!$B$2),MATCH($E271,INDIRECT(Mods!$B$4),0),MATCH(J$257,INDIRECT(Mods!$AL$3),0))),IF(AND(_xlpm.x=0,_xlpm.y&lt;&gt;0),-1,IF(AND(_xlpm.x&lt;&gt;0,_xlpm.y&lt;&gt;0),_xlpm.x,IF(AND(_xlpm.x-$AA271&lt;&gt;0,_xlpm.y=0),-2,_xlpm.x)))),0))</f>
        <v>0</v>
      </c>
      <c r="K271" s="282" cm="1">
        <f t="array" aca="1" ref="K271" ca="1">IF(OR($E271="",$E271="X"),0,IFERROR(_xlfn.LET(_xlpm.x,SUM(SUM(_xlfn._xlws.FILTER(VALUE(PptoSty[Sign]&amp;1)*(1/PptoSty[Division]),(PptoSty[Division]&lt;&gt;0)*(PptoSty[Division]&lt;&gt;"")*(PptoSty[Division]&lt;&gt;"X")*(PptoSty[RowGrp]=$E271)*(ISNUMBER(FIND(PptoSty[PiColumn],K$257))),0)),$AA271),_xlpm.y,IF(_xlfn._xlws.FILTER(TbRsmIn[Alive],TbRsmIn[Enquiry No]=$E271,"X")="C",0,INDEX(INDIRECT(Mods!$B$2),MATCH($E271,INDIRECT(Mods!$B$4),0),MATCH(K$257,INDIRECT(Mods!$AL$3),0))),IF(AND(_xlpm.x=0,_xlpm.y&lt;&gt;0),-1,IF(AND(_xlpm.x&lt;&gt;0,_xlpm.y&lt;&gt;0),_xlpm.x,IF(AND(_xlpm.x-$AA271&lt;&gt;0,_xlpm.y=0),-2,_xlpm.x)))),0))</f>
        <v>0</v>
      </c>
      <c r="L271" s="282" cm="1">
        <f t="array" aca="1" ref="L271" ca="1">IF(OR($E271="",$E271="X"),0,IFERROR(_xlfn.LET(_xlpm.x,SUM(SUM(_xlfn._xlws.FILTER(VALUE(PptoSty[Sign]&amp;1)*(1/PptoSty[Division]),(PptoSty[Division]&lt;&gt;0)*(PptoSty[Division]&lt;&gt;"")*(PptoSty[Division]&lt;&gt;"X")*(PptoSty[RowGrp]=$E271)*(ISNUMBER(FIND(PptoSty[PiColumn],L$257))),0)),$AA271),_xlpm.y,IF(_xlfn._xlws.FILTER(TbRsmIn[Alive],TbRsmIn[Enquiry No]=$E271,"X")="C",0,INDEX(INDIRECT(Mods!$B$2),MATCH($E271,INDIRECT(Mods!$B$4),0),MATCH(L$257,INDIRECT(Mods!$AL$3),0))),IF(AND(_xlpm.x=0,_xlpm.y&lt;&gt;0),-1,IF(AND(_xlpm.x&lt;&gt;0,_xlpm.y&lt;&gt;0),_xlpm.x,IF(AND(_xlpm.x-$AA271&lt;&gt;0,_xlpm.y=0),-2,_xlpm.x)))),0))</f>
        <v>0</v>
      </c>
      <c r="M271" s="282" cm="1">
        <f t="array" aca="1" ref="M271" ca="1">IF(OR($E271="",$E271="X"),0,IFERROR(_xlfn.LET(_xlpm.x,SUM(SUM(_xlfn._xlws.FILTER(VALUE(PptoSty[Sign]&amp;1)*(1/PptoSty[Division]),(PptoSty[Division]&lt;&gt;0)*(PptoSty[Division]&lt;&gt;"")*(PptoSty[Division]&lt;&gt;"X")*(PptoSty[RowGrp]=$E271)*(ISNUMBER(FIND(PptoSty[PiColumn],M$257))),0)),$AA271),_xlpm.y,IF(_xlfn._xlws.FILTER(TbRsmIn[Alive],TbRsmIn[Enquiry No]=$E271,"X")="C",0,INDEX(INDIRECT(Mods!$B$2),MATCH($E271,INDIRECT(Mods!$B$4),0),MATCH(M$257,INDIRECT(Mods!$AL$3),0))),IF(AND(_xlpm.x=0,_xlpm.y&lt;&gt;0),-1,IF(AND(_xlpm.x&lt;&gt;0,_xlpm.y&lt;&gt;0),_xlpm.x,IF(AND(_xlpm.x-$AA271&lt;&gt;0,_xlpm.y=0),-2,_xlpm.x)))),0))</f>
        <v>0</v>
      </c>
      <c r="N271" s="282" cm="1">
        <f t="array" aca="1" ref="N271" ca="1">IF(OR($E271="",$E271="X"),0,IFERROR(_xlfn.LET(_xlpm.x,SUM(SUM(_xlfn._xlws.FILTER(VALUE(PptoSty[Sign]&amp;1)*(1/PptoSty[Division]),(PptoSty[Division]&lt;&gt;0)*(PptoSty[Division]&lt;&gt;"")*(PptoSty[Division]&lt;&gt;"X")*(PptoSty[RowGrp]=$E271)*(ISNUMBER(FIND(PptoSty[PiColumn],N$257))),0)),$AA271),_xlpm.y,IF(_xlfn._xlws.FILTER(TbRsmIn[Alive],TbRsmIn[Enquiry No]=$E271,"X")="C",0,INDEX(INDIRECT(Mods!$B$2),MATCH($E271,INDIRECT(Mods!$B$4),0),MATCH(N$257,INDIRECT(Mods!$AL$3),0))),IF(AND(_xlpm.x=0,_xlpm.y&lt;&gt;0),-1,IF(AND(_xlpm.x&lt;&gt;0,_xlpm.y&lt;&gt;0),_xlpm.x,IF(AND(_xlpm.x-$AA271&lt;&gt;0,_xlpm.y=0),-2,_xlpm.x)))),0))</f>
        <v>0</v>
      </c>
      <c r="O271" s="282" cm="1">
        <f t="array" aca="1" ref="O271" ca="1">IF(OR($E271="",$E271="X"),0,IFERROR(_xlfn.LET(_xlpm.x,SUM(SUM(_xlfn._xlws.FILTER(VALUE(PptoSty[Sign]&amp;1)*(1/PptoSty[Division]),(PptoSty[Division]&lt;&gt;0)*(PptoSty[Division]&lt;&gt;"")*(PptoSty[Division]&lt;&gt;"X")*(PptoSty[RowGrp]=$E271)*(ISNUMBER(FIND(PptoSty[PiColumn],O$257))),0)),$AA271),_xlpm.y,IF(_xlfn._xlws.FILTER(TbRsmIn[Alive],TbRsmIn[Enquiry No]=$E271,"X")="C",0,INDEX(INDIRECT(Mods!$B$2),MATCH($E271,INDIRECT(Mods!$B$4),0),MATCH(O$257,INDIRECT(Mods!$AL$3),0))),IF(AND(_xlpm.x=0,_xlpm.y&lt;&gt;0),-1,IF(AND(_xlpm.x&lt;&gt;0,_xlpm.y&lt;&gt;0),_xlpm.x,IF(AND(_xlpm.x-$AA271&lt;&gt;0,_xlpm.y=0),-2,_xlpm.x)))),0))</f>
        <v>0</v>
      </c>
      <c r="P271" s="282" cm="1">
        <f t="array" aca="1" ref="P271" ca="1">IF(OR($E271="",$E271="X"),0,IFERROR(_xlfn.LET(_xlpm.x,SUM(SUM(_xlfn._xlws.FILTER(VALUE(PptoSty[Sign]&amp;1)*(1/PptoSty[Division]),(PptoSty[Division]&lt;&gt;0)*(PptoSty[Division]&lt;&gt;"")*(PptoSty[Division]&lt;&gt;"X")*(PptoSty[RowGrp]=$E271)*(ISNUMBER(FIND(PptoSty[PiColumn],P$257))),0)),$AA271),_xlpm.y,IF(_xlfn._xlws.FILTER(TbRsmIn[Alive],TbRsmIn[Enquiry No]=$E271,"X")="C",0,INDEX(INDIRECT(Mods!$B$2),MATCH($E271,INDIRECT(Mods!$B$4),0),MATCH(P$257,INDIRECT(Mods!$AL$3),0))),IF(AND(_xlpm.x=0,_xlpm.y&lt;&gt;0),-1,IF(AND(_xlpm.x&lt;&gt;0,_xlpm.y&lt;&gt;0),_xlpm.x,IF(AND(_xlpm.x-$AA271&lt;&gt;0,_xlpm.y=0),-2,_xlpm.x)))),0))</f>
        <v>0</v>
      </c>
      <c r="Q271" s="282" cm="1">
        <f t="array" aca="1" ref="Q271" ca="1">IF(OR($E271="",$E271="X"),0,IFERROR(_xlfn.LET(_xlpm.x,SUM(SUM(_xlfn._xlws.FILTER(VALUE(PptoSty[Sign]&amp;1)*(1/PptoSty[Division]),(PptoSty[Division]&lt;&gt;0)*(PptoSty[Division]&lt;&gt;"")*(PptoSty[Division]&lt;&gt;"X")*(PptoSty[RowGrp]=$E271)*(ISNUMBER(FIND(PptoSty[PiColumn],Q$257))),0)),$AA271),_xlpm.y,IF(_xlfn._xlws.FILTER(TbRsmIn[Alive],TbRsmIn[Enquiry No]=$E271,"X")="C",0,INDEX(INDIRECT(Mods!$B$2),MATCH($E271,INDIRECT(Mods!$B$4),0),MATCH(Q$257,INDIRECT(Mods!$AL$3),0))),IF(AND(_xlpm.x=0,_xlpm.y&lt;&gt;0),-1,IF(AND(_xlpm.x&lt;&gt;0,_xlpm.y&lt;&gt;0),_xlpm.x,IF(AND(_xlpm.x-$AA271&lt;&gt;0,_xlpm.y=0),-2,_xlpm.x)))),0))</f>
        <v>0</v>
      </c>
      <c r="R271" s="282" cm="1">
        <f t="array" aca="1" ref="R271" ca="1">IF(OR($E271="",$E271="X"),0,IFERROR(_xlfn.LET(_xlpm.x,SUM(SUM(_xlfn._xlws.FILTER(VALUE(PptoSty[Sign]&amp;1)*(1/PptoSty[Division]),(PptoSty[Division]&lt;&gt;0)*(PptoSty[Division]&lt;&gt;"")*(PptoSty[Division]&lt;&gt;"X")*(PptoSty[RowGrp]=$E271)*(ISNUMBER(FIND(PptoSty[PiColumn],R$257))),0)),$AA271),_xlpm.y,IF(_xlfn._xlws.FILTER(TbRsmIn[Alive],TbRsmIn[Enquiry No]=$E271,"X")="C",0,INDEX(INDIRECT(Mods!$B$2),MATCH($E271,INDIRECT(Mods!$B$4),0),MATCH(R$257,INDIRECT(Mods!$AL$3),0))),IF(AND(_xlpm.x=0,_xlpm.y&lt;&gt;0),-1,IF(AND(_xlpm.x&lt;&gt;0,_xlpm.y&lt;&gt;0),_xlpm.x,IF(AND(_xlpm.x-$AA271&lt;&gt;0,_xlpm.y=0),-2,_xlpm.x)))),0))</f>
        <v>0</v>
      </c>
      <c r="S271" s="282" cm="1">
        <f t="array" aca="1" ref="S271" ca="1">IF(OR($E271="",$E271="X"),0,IFERROR(_xlfn.LET(_xlpm.x,SUM(SUM(_xlfn._xlws.FILTER(VALUE(PptoSty[Sign]&amp;1)*(1/PptoSty[Division]),(PptoSty[Division]&lt;&gt;0)*(PptoSty[Division]&lt;&gt;"")*(PptoSty[Division]&lt;&gt;"X")*(PptoSty[RowGrp]=$E271)*(ISNUMBER(FIND(PptoSty[PiColumn],S$257))),0)),$AA271),_xlpm.y,IF(_xlfn._xlws.FILTER(TbRsmIn[Alive],TbRsmIn[Enquiry No]=$E271,"X")="C",0,INDEX(INDIRECT(Mods!$B$2),MATCH($E271,INDIRECT(Mods!$B$4),0),MATCH(S$257,INDIRECT(Mods!$AL$3),0))),IF(AND(_xlpm.x=0,_xlpm.y&lt;&gt;0),-1,IF(AND(_xlpm.x&lt;&gt;0,_xlpm.y&lt;&gt;0),_xlpm.x,IF(AND(_xlpm.x-$AA271&lt;&gt;0,_xlpm.y=0),-2,_xlpm.x)))),0))</f>
        <v>0</v>
      </c>
      <c r="T271" s="282" cm="1">
        <f t="array" aca="1" ref="T271" ca="1">IF(OR($E271="",$E271="X"),0,IFERROR(_xlfn.LET(_xlpm.x,SUM(SUM(_xlfn._xlws.FILTER(VALUE(PptoSty[Sign]&amp;1)*(1/PptoSty[Division]),(PptoSty[Division]&lt;&gt;0)*(PptoSty[Division]&lt;&gt;"")*(PptoSty[Division]&lt;&gt;"X")*(PptoSty[RowGrp]=$E271)*(ISNUMBER(FIND(PptoSty[PiColumn],T$257))),0)),$AA271),_xlpm.y,IF(_xlfn._xlws.FILTER(TbRsmIn[Alive],TbRsmIn[Enquiry No]=$E271,"X")="C",0,INDEX(INDIRECT(Mods!$B$2),MATCH($E271,INDIRECT(Mods!$B$4),0),MATCH(T$257,INDIRECT(Mods!$AL$3),0))),IF(AND(_xlpm.x=0,_xlpm.y&lt;&gt;0),-1,IF(AND(_xlpm.x&lt;&gt;0,_xlpm.y&lt;&gt;0),_xlpm.x,IF(AND(_xlpm.x-$AA271&lt;&gt;0,_xlpm.y=0),-2,_xlpm.x)))),0))</f>
        <v>0</v>
      </c>
      <c r="U271" s="282" cm="1">
        <f t="array" aca="1" ref="U271" ca="1">IF(OR($E271="",$E271="X"),0,IFERROR(_xlfn.LET(_xlpm.x,SUM(SUM(_xlfn._xlws.FILTER(VALUE(PptoSty[Sign]&amp;1)*(1/PptoSty[Division]),(PptoSty[Division]&lt;&gt;0)*(PptoSty[Division]&lt;&gt;"")*(PptoSty[Division]&lt;&gt;"X")*(PptoSty[RowGrp]=$E271)*(ISNUMBER(FIND(PptoSty[PiColumn],U$257))),0)),$AA271),_xlpm.y,IF(_xlfn._xlws.FILTER(TbRsmIn[Alive],TbRsmIn[Enquiry No]=$E271,"X")="C",0,INDEX(INDIRECT(Mods!$B$2),MATCH($E271,INDIRECT(Mods!$B$4),0),MATCH(U$257,INDIRECT(Mods!$AL$3),0))),IF(AND(_xlpm.x=0,_xlpm.y&lt;&gt;0),-1,IF(AND(_xlpm.x&lt;&gt;0,_xlpm.y&lt;&gt;0),_xlpm.x,IF(AND(_xlpm.x-$AA271&lt;&gt;0,_xlpm.y=0),-2,_xlpm.x)))),0))</f>
        <v>0</v>
      </c>
      <c r="V271" s="282" cm="1">
        <f t="array" aca="1" ref="V271" ca="1">IF(OR($E271="",$E271="X"),0,IFERROR(_xlfn.LET(_xlpm.x,SUM(SUM(_xlfn._xlws.FILTER(VALUE(PptoSty[Sign]&amp;1)*(1/PptoSty[Division]),(PptoSty[Division]&lt;&gt;0)*(PptoSty[Division]&lt;&gt;"")*(PptoSty[Division]&lt;&gt;"X")*(PptoSty[RowGrp]=$E271)*(ISNUMBER(FIND(PptoSty[PiColumn],V$257))),0)),$AA271),_xlpm.y,IF(_xlfn._xlws.FILTER(TbRsmIn[Alive],TbRsmIn[Enquiry No]=$E271,"X")="C",0,INDEX(INDIRECT(Mods!$B$2),MATCH($E271,INDIRECT(Mods!$B$4),0),MATCH(V$257,INDIRECT(Mods!$AL$3),0))),IF(AND(_xlpm.x=0,_xlpm.y&lt;&gt;0),-1,IF(AND(_xlpm.x&lt;&gt;0,_xlpm.y&lt;&gt;0),_xlpm.x,IF(AND(_xlpm.x-$AA271&lt;&gt;0,_xlpm.y=0),-2,_xlpm.x)))),0))</f>
        <v>0</v>
      </c>
      <c r="W271" s="282" cm="1">
        <f t="array" aca="1" ref="W271" ca="1">IF(OR($E271="",$E271="X"),0,IFERROR(_xlfn.LET(_xlpm.x,SUM(SUM(_xlfn._xlws.FILTER(VALUE(PptoSty[Sign]&amp;1)*(1/PptoSty[Division]),(PptoSty[Division]&lt;&gt;0)*(PptoSty[Division]&lt;&gt;"")*(PptoSty[Division]&lt;&gt;"X")*(PptoSty[RowGrp]=$E271)*(ISNUMBER(FIND(PptoSty[PiColumn],W$257))),0)),$AA271),_xlpm.y,IF(_xlfn._xlws.FILTER(TbRsmIn[Alive],TbRsmIn[Enquiry No]=$E271,"X")="C",0,INDEX(INDIRECT(Mods!$B$2),MATCH($E271,INDIRECT(Mods!$B$4),0),MATCH(W$257,INDIRECT(Mods!$AL$3),0))),IF(AND(_xlpm.x=0,_xlpm.y&lt;&gt;0),-1,IF(AND(_xlpm.x&lt;&gt;0,_xlpm.y&lt;&gt;0),_xlpm.x,IF(AND(_xlpm.x-$AA271&lt;&gt;0,_xlpm.y=0),-2,_xlpm.x)))),0))</f>
        <v>-1</v>
      </c>
      <c r="X271" s="282" cm="1">
        <f t="array" aca="1" ref="X271" ca="1">IF(OR($E271="",$E271="X"),0,IFERROR(_xlfn.LET(_xlpm.x,SUM(SUM(_xlfn._xlws.FILTER(VALUE(PptoSty[Sign]&amp;1)*(1/PptoSty[Division]),(PptoSty[Division]&lt;&gt;0)*(PptoSty[Division]&lt;&gt;"")*(PptoSty[Division]&lt;&gt;"X")*(PptoSty[RowGrp]=$E271)*(ISNUMBER(FIND(PptoSty[PiColumn],X$257))),0)),$AA271),_xlpm.y,IF(_xlfn._xlws.FILTER(TbRsmIn[Alive],TbRsmIn[Enquiry No]=$E271,"X")="C",0,INDEX(INDIRECT(Mods!$B$2),MATCH($E271,INDIRECT(Mods!$B$4),0),MATCH(X$257,INDIRECT(Mods!$AL$3),0))),IF(AND(_xlpm.x=0,_xlpm.y&lt;&gt;0),-1,IF(AND(_xlpm.x&lt;&gt;0,_xlpm.y&lt;&gt;0),_xlpm.x,IF(AND(_xlpm.x-$AA271&lt;&gt;0,_xlpm.y=0),-2,_xlpm.x)))),0))</f>
        <v>0</v>
      </c>
      <c r="Y271" s="282" cm="1">
        <f t="array" aca="1" ref="Y271" ca="1">IF(OR($E271="",$E271="X"),0,IFERROR(_xlfn.LET(_xlpm.x,SUM(SUM(_xlfn._xlws.FILTER(VALUE(PptoSty[Sign]&amp;1)*(1/PptoSty[Division]),(PptoSty[Division]&lt;&gt;0)*(PptoSty[Division]&lt;&gt;"")*(PptoSty[Division]&lt;&gt;"X")*(PptoSty[RowGrp]=$E271)*(ISNUMBER(FIND(PptoSty[PiColumn],Y$257))),0)),$AA271),_xlpm.y,IF(_xlfn._xlws.FILTER(TbRsmIn[Alive],TbRsmIn[Enquiry No]=$E271,"X")="C",0,INDEX(INDIRECT(Mods!$B$2),MATCH($E271,INDIRECT(Mods!$B$4),0),MATCH(Y$257,INDIRECT(Mods!$AL$3),0))),IF(AND(_xlpm.x=0,_xlpm.y&lt;&gt;0),-1,IF(AND(_xlpm.x&lt;&gt;0,_xlpm.y&lt;&gt;0),_xlpm.x,IF(AND(_xlpm.x-$AA271&lt;&gt;0,_xlpm.y=0),-2,_xlpm.x)))),0))</f>
        <v>0</v>
      </c>
      <c r="Z271" s="280" t="str">
        <f t="shared" ca="1" si="8"/>
        <v>Fback!B271:Y271</v>
      </c>
      <c r="AA271" s="282" cm="1">
        <f t="array" aca="1" ref="AA271" ca="1">IF(OR($E271="",$E271="X"),0,IFERROR(SUM(_xlfn._xlws.FILTER(VALUE(#REF!&amp;1)*(1/PptoSty[PptoVsRow]),(PptoSty[PptoVsRow]&lt;&gt;0)*(PptoSty[PptoVsRow]&lt;&gt;"")*(PptoSty[PptoVsRow]&lt;&gt;"X")*(PptoSty[Num]=$E271)*(PptoSty[RowGrp]=AA$260),0)),0))</f>
        <v>0</v>
      </c>
    </row>
    <row r="272" spans="1:27" ht="21" customHeight="1" outlineLevel="1">
      <c r="B272" s="247" t="str" cm="1">
        <f t="array" ref="B272:C272">IF($E272="X","X",_xlfn._xlws.FILTER(P_SelPrj[[PrjId]:[Cia]],P_SelPrj[Attribute]=VALUE(LEFT($E272,1)),"X"))</f>
        <v>31200</v>
      </c>
      <c r="C272" s="247" t="str">
        <v>Sp</v>
      </c>
      <c r="D272" s="247" t="s">
        <v>375</v>
      </c>
      <c r="E272" s="247" t="str" cm="1">
        <f t="array" ref="E272">_xlfn.LET(_xlpm.x,IFERROR(INDEX(TbRsmIn[Enquiry No],SUM(ROW()-MATCH("SOM",$A:$A,0))),"X"),IF(_xlpm.x=0,"X",_xlpm.x))</f>
        <v>0CT012</v>
      </c>
      <c r="F272" s="413" t="str" cm="1">
        <f t="array" ref="F272">_xlfn._xlws.FILTER(CstClcData[Value],(CstClcData[Attribute]="Concept")*(CstClcData[Name]=$E272),"X")</f>
        <v>Hours of Assistence 900 from PO Original</v>
      </c>
      <c r="G272" s="281"/>
      <c r="H272" s="281"/>
      <c r="I272" s="282" cm="1">
        <f t="array" aca="1" ref="I272" ca="1">IF(OR($E272="",$E272="X"),0,IFERROR(_xlfn.LET(_xlpm.x,SUM(SUM(_xlfn._xlws.FILTER(VALUE(PptoSty[Sign]&amp;1)*(1/PptoSty[Division]),(PptoSty[Division]&lt;&gt;0)*(PptoSty[Division]&lt;&gt;"")*(PptoSty[Division]&lt;&gt;"X")*(PptoSty[RowGrp]=$E272)*(ISNUMBER(FIND(PptoSty[PiColumn],I$257))),0)),$AA272),_xlpm.y,IF(_xlfn._xlws.FILTER(TbRsmIn[Alive],TbRsmIn[Enquiry No]=$E272,"X")="C",0,INDEX(INDIRECT(Mods!$B$2),MATCH($E272,INDIRECT(Mods!$B$4),0),MATCH(I$257,INDIRECT(Mods!$AL$3),0))),IF(AND(_xlpm.x=0,_xlpm.y&lt;&gt;0),-1,IF(AND(_xlpm.x&lt;&gt;0,_xlpm.y&lt;&gt;0),_xlpm.x,IF(AND(_xlpm.x-$AA272&lt;&gt;0,_xlpm.y=0),-2,_xlpm.x)))),0))</f>
        <v>0</v>
      </c>
      <c r="J272" s="282" cm="1">
        <f t="array" aca="1" ref="J272" ca="1">IF(OR($E272="",$E272="X"),0,IFERROR(_xlfn.LET(_xlpm.x,SUM(SUM(_xlfn._xlws.FILTER(VALUE(PptoSty[Sign]&amp;1)*(1/PptoSty[Division]),(PptoSty[Division]&lt;&gt;0)*(PptoSty[Division]&lt;&gt;"")*(PptoSty[Division]&lt;&gt;"X")*(PptoSty[RowGrp]=$E272)*(ISNUMBER(FIND(PptoSty[PiColumn],J$257))),0)),$AA272),_xlpm.y,IF(_xlfn._xlws.FILTER(TbRsmIn[Alive],TbRsmIn[Enquiry No]=$E272,"X")="C",0,INDEX(INDIRECT(Mods!$B$2),MATCH($E272,INDIRECT(Mods!$B$4),0),MATCH(J$257,INDIRECT(Mods!$AL$3),0))),IF(AND(_xlpm.x=0,_xlpm.y&lt;&gt;0),-1,IF(AND(_xlpm.x&lt;&gt;0,_xlpm.y&lt;&gt;0),_xlpm.x,IF(AND(_xlpm.x-$AA272&lt;&gt;0,_xlpm.y=0),-2,_xlpm.x)))),0))</f>
        <v>0</v>
      </c>
      <c r="K272" s="282" cm="1">
        <f t="array" aca="1" ref="K272" ca="1">IF(OR($E272="",$E272="X"),0,IFERROR(_xlfn.LET(_xlpm.x,SUM(SUM(_xlfn._xlws.FILTER(VALUE(PptoSty[Sign]&amp;1)*(1/PptoSty[Division]),(PptoSty[Division]&lt;&gt;0)*(PptoSty[Division]&lt;&gt;"")*(PptoSty[Division]&lt;&gt;"X")*(PptoSty[RowGrp]=$E272)*(ISNUMBER(FIND(PptoSty[PiColumn],K$257))),0)),$AA272),_xlpm.y,IF(_xlfn._xlws.FILTER(TbRsmIn[Alive],TbRsmIn[Enquiry No]=$E272,"X")="C",0,INDEX(INDIRECT(Mods!$B$2),MATCH($E272,INDIRECT(Mods!$B$4),0),MATCH(K$257,INDIRECT(Mods!$AL$3),0))),IF(AND(_xlpm.x=0,_xlpm.y&lt;&gt;0),-1,IF(AND(_xlpm.x&lt;&gt;0,_xlpm.y&lt;&gt;0),_xlpm.x,IF(AND(_xlpm.x-$AA272&lt;&gt;0,_xlpm.y=0),-2,_xlpm.x)))),0))</f>
        <v>0</v>
      </c>
      <c r="L272" s="282" cm="1">
        <f t="array" aca="1" ref="L272" ca="1">IF(OR($E272="",$E272="X"),0,IFERROR(_xlfn.LET(_xlpm.x,SUM(SUM(_xlfn._xlws.FILTER(VALUE(PptoSty[Sign]&amp;1)*(1/PptoSty[Division]),(PptoSty[Division]&lt;&gt;0)*(PptoSty[Division]&lt;&gt;"")*(PptoSty[Division]&lt;&gt;"X")*(PptoSty[RowGrp]=$E272)*(ISNUMBER(FIND(PptoSty[PiColumn],L$257))),0)),$AA272),_xlpm.y,IF(_xlfn._xlws.FILTER(TbRsmIn[Alive],TbRsmIn[Enquiry No]=$E272,"X")="C",0,INDEX(INDIRECT(Mods!$B$2),MATCH($E272,INDIRECT(Mods!$B$4),0),MATCH(L$257,INDIRECT(Mods!$AL$3),0))),IF(AND(_xlpm.x=0,_xlpm.y&lt;&gt;0),-1,IF(AND(_xlpm.x&lt;&gt;0,_xlpm.y&lt;&gt;0),_xlpm.x,IF(AND(_xlpm.x-$AA272&lt;&gt;0,_xlpm.y=0),-2,_xlpm.x)))),0))</f>
        <v>0</v>
      </c>
      <c r="M272" s="282" cm="1">
        <f t="array" aca="1" ref="M272" ca="1">IF(OR($E272="",$E272="X"),0,IFERROR(_xlfn.LET(_xlpm.x,SUM(SUM(_xlfn._xlws.FILTER(VALUE(PptoSty[Sign]&amp;1)*(1/PptoSty[Division]),(PptoSty[Division]&lt;&gt;0)*(PptoSty[Division]&lt;&gt;"")*(PptoSty[Division]&lt;&gt;"X")*(PptoSty[RowGrp]=$E272)*(ISNUMBER(FIND(PptoSty[PiColumn],M$257))),0)),$AA272),_xlpm.y,IF(_xlfn._xlws.FILTER(TbRsmIn[Alive],TbRsmIn[Enquiry No]=$E272,"X")="C",0,INDEX(INDIRECT(Mods!$B$2),MATCH($E272,INDIRECT(Mods!$B$4),0),MATCH(M$257,INDIRECT(Mods!$AL$3),0))),IF(AND(_xlpm.x=0,_xlpm.y&lt;&gt;0),-1,IF(AND(_xlpm.x&lt;&gt;0,_xlpm.y&lt;&gt;0),_xlpm.x,IF(AND(_xlpm.x-$AA272&lt;&gt;0,_xlpm.y=0),-2,_xlpm.x)))),0))</f>
        <v>0</v>
      </c>
      <c r="N272" s="282" cm="1">
        <f t="array" aca="1" ref="N272" ca="1">IF(OR($E272="",$E272="X"),0,IFERROR(_xlfn.LET(_xlpm.x,SUM(SUM(_xlfn._xlws.FILTER(VALUE(PptoSty[Sign]&amp;1)*(1/PptoSty[Division]),(PptoSty[Division]&lt;&gt;0)*(PptoSty[Division]&lt;&gt;"")*(PptoSty[Division]&lt;&gt;"X")*(PptoSty[RowGrp]=$E272)*(ISNUMBER(FIND(PptoSty[PiColumn],N$257))),0)),$AA272),_xlpm.y,IF(_xlfn._xlws.FILTER(TbRsmIn[Alive],TbRsmIn[Enquiry No]=$E272,"X")="C",0,INDEX(INDIRECT(Mods!$B$2),MATCH($E272,INDIRECT(Mods!$B$4),0),MATCH(N$257,INDIRECT(Mods!$AL$3),0))),IF(AND(_xlpm.x=0,_xlpm.y&lt;&gt;0),-1,IF(AND(_xlpm.x&lt;&gt;0,_xlpm.y&lt;&gt;0),_xlpm.x,IF(AND(_xlpm.x-$AA272&lt;&gt;0,_xlpm.y=0),-2,_xlpm.x)))),0))</f>
        <v>0</v>
      </c>
      <c r="O272" s="282" cm="1">
        <f t="array" aca="1" ref="O272" ca="1">IF(OR($E272="",$E272="X"),0,IFERROR(_xlfn.LET(_xlpm.x,SUM(SUM(_xlfn._xlws.FILTER(VALUE(PptoSty[Sign]&amp;1)*(1/PptoSty[Division]),(PptoSty[Division]&lt;&gt;0)*(PptoSty[Division]&lt;&gt;"")*(PptoSty[Division]&lt;&gt;"X")*(PptoSty[RowGrp]=$E272)*(ISNUMBER(FIND(PptoSty[PiColumn],O$257))),0)),$AA272),_xlpm.y,IF(_xlfn._xlws.FILTER(TbRsmIn[Alive],TbRsmIn[Enquiry No]=$E272,"X")="C",0,INDEX(INDIRECT(Mods!$B$2),MATCH($E272,INDIRECT(Mods!$B$4),0),MATCH(O$257,INDIRECT(Mods!$AL$3),0))),IF(AND(_xlpm.x=0,_xlpm.y&lt;&gt;0),-1,IF(AND(_xlpm.x&lt;&gt;0,_xlpm.y&lt;&gt;0),_xlpm.x,IF(AND(_xlpm.x-$AA272&lt;&gt;0,_xlpm.y=0),-2,_xlpm.x)))),0))</f>
        <v>0</v>
      </c>
      <c r="P272" s="282" cm="1">
        <f t="array" aca="1" ref="P272" ca="1">IF(OR($E272="",$E272="X"),0,IFERROR(_xlfn.LET(_xlpm.x,SUM(SUM(_xlfn._xlws.FILTER(VALUE(PptoSty[Sign]&amp;1)*(1/PptoSty[Division]),(PptoSty[Division]&lt;&gt;0)*(PptoSty[Division]&lt;&gt;"")*(PptoSty[Division]&lt;&gt;"X")*(PptoSty[RowGrp]=$E272)*(ISNUMBER(FIND(PptoSty[PiColumn],P$257))),0)),$AA272),_xlpm.y,IF(_xlfn._xlws.FILTER(TbRsmIn[Alive],TbRsmIn[Enquiry No]=$E272,"X")="C",0,INDEX(INDIRECT(Mods!$B$2),MATCH($E272,INDIRECT(Mods!$B$4),0),MATCH(P$257,INDIRECT(Mods!$AL$3),0))),IF(AND(_xlpm.x=0,_xlpm.y&lt;&gt;0),-1,IF(AND(_xlpm.x&lt;&gt;0,_xlpm.y&lt;&gt;0),_xlpm.x,IF(AND(_xlpm.x-$AA272&lt;&gt;0,_xlpm.y=0),-2,_xlpm.x)))),0))</f>
        <v>0</v>
      </c>
      <c r="Q272" s="282" cm="1">
        <f t="array" aca="1" ref="Q272" ca="1">IF(OR($E272="",$E272="X"),0,IFERROR(_xlfn.LET(_xlpm.x,SUM(SUM(_xlfn._xlws.FILTER(VALUE(PptoSty[Sign]&amp;1)*(1/PptoSty[Division]),(PptoSty[Division]&lt;&gt;0)*(PptoSty[Division]&lt;&gt;"")*(PptoSty[Division]&lt;&gt;"X")*(PptoSty[RowGrp]=$E272)*(ISNUMBER(FIND(PptoSty[PiColumn],Q$257))),0)),$AA272),_xlpm.y,IF(_xlfn._xlws.FILTER(TbRsmIn[Alive],TbRsmIn[Enquiry No]=$E272,"X")="C",0,INDEX(INDIRECT(Mods!$B$2),MATCH($E272,INDIRECT(Mods!$B$4),0),MATCH(Q$257,INDIRECT(Mods!$AL$3),0))),IF(AND(_xlpm.x=0,_xlpm.y&lt;&gt;0),-1,IF(AND(_xlpm.x&lt;&gt;0,_xlpm.y&lt;&gt;0),_xlpm.x,IF(AND(_xlpm.x-$AA272&lt;&gt;0,_xlpm.y=0),-2,_xlpm.x)))),0))</f>
        <v>0</v>
      </c>
      <c r="R272" s="282" cm="1">
        <f t="array" aca="1" ref="R272" ca="1">IF(OR($E272="",$E272="X"),0,IFERROR(_xlfn.LET(_xlpm.x,SUM(SUM(_xlfn._xlws.FILTER(VALUE(PptoSty[Sign]&amp;1)*(1/PptoSty[Division]),(PptoSty[Division]&lt;&gt;0)*(PptoSty[Division]&lt;&gt;"")*(PptoSty[Division]&lt;&gt;"X")*(PptoSty[RowGrp]=$E272)*(ISNUMBER(FIND(PptoSty[PiColumn],R$257))),0)),$AA272),_xlpm.y,IF(_xlfn._xlws.FILTER(TbRsmIn[Alive],TbRsmIn[Enquiry No]=$E272,"X")="C",0,INDEX(INDIRECT(Mods!$B$2),MATCH($E272,INDIRECT(Mods!$B$4),0),MATCH(R$257,INDIRECT(Mods!$AL$3),0))),IF(AND(_xlpm.x=0,_xlpm.y&lt;&gt;0),-1,IF(AND(_xlpm.x&lt;&gt;0,_xlpm.y&lt;&gt;0),_xlpm.x,IF(AND(_xlpm.x-$AA272&lt;&gt;0,_xlpm.y=0),-2,_xlpm.x)))),0))</f>
        <v>0</v>
      </c>
      <c r="S272" s="282" cm="1">
        <f t="array" aca="1" ref="S272" ca="1">IF(OR($E272="",$E272="X"),0,IFERROR(_xlfn.LET(_xlpm.x,SUM(SUM(_xlfn._xlws.FILTER(VALUE(PptoSty[Sign]&amp;1)*(1/PptoSty[Division]),(PptoSty[Division]&lt;&gt;0)*(PptoSty[Division]&lt;&gt;"")*(PptoSty[Division]&lt;&gt;"X")*(PptoSty[RowGrp]=$E272)*(ISNUMBER(FIND(PptoSty[PiColumn],S$257))),0)),$AA272),_xlpm.y,IF(_xlfn._xlws.FILTER(TbRsmIn[Alive],TbRsmIn[Enquiry No]=$E272,"X")="C",0,INDEX(INDIRECT(Mods!$B$2),MATCH($E272,INDIRECT(Mods!$B$4),0),MATCH(S$257,INDIRECT(Mods!$AL$3),0))),IF(AND(_xlpm.x=0,_xlpm.y&lt;&gt;0),-1,IF(AND(_xlpm.x&lt;&gt;0,_xlpm.y&lt;&gt;0),_xlpm.x,IF(AND(_xlpm.x-$AA272&lt;&gt;0,_xlpm.y=0),-2,_xlpm.x)))),0))</f>
        <v>0</v>
      </c>
      <c r="T272" s="282" cm="1">
        <f t="array" aca="1" ref="T272" ca="1">IF(OR($E272="",$E272="X"),0,IFERROR(_xlfn.LET(_xlpm.x,SUM(SUM(_xlfn._xlws.FILTER(VALUE(PptoSty[Sign]&amp;1)*(1/PptoSty[Division]),(PptoSty[Division]&lt;&gt;0)*(PptoSty[Division]&lt;&gt;"")*(PptoSty[Division]&lt;&gt;"X")*(PptoSty[RowGrp]=$E272)*(ISNUMBER(FIND(PptoSty[PiColumn],T$257))),0)),$AA272),_xlpm.y,IF(_xlfn._xlws.FILTER(TbRsmIn[Alive],TbRsmIn[Enquiry No]=$E272,"X")="C",0,INDEX(INDIRECT(Mods!$B$2),MATCH($E272,INDIRECT(Mods!$B$4),0),MATCH(T$257,INDIRECT(Mods!$AL$3),0))),IF(AND(_xlpm.x=0,_xlpm.y&lt;&gt;0),-1,IF(AND(_xlpm.x&lt;&gt;0,_xlpm.y&lt;&gt;0),_xlpm.x,IF(AND(_xlpm.x-$AA272&lt;&gt;0,_xlpm.y=0),-2,_xlpm.x)))),0))</f>
        <v>0</v>
      </c>
      <c r="U272" s="282" cm="1">
        <f t="array" aca="1" ref="U272" ca="1">IF(OR($E272="",$E272="X"),0,IFERROR(_xlfn.LET(_xlpm.x,SUM(SUM(_xlfn._xlws.FILTER(VALUE(PptoSty[Sign]&amp;1)*(1/PptoSty[Division]),(PptoSty[Division]&lt;&gt;0)*(PptoSty[Division]&lt;&gt;"")*(PptoSty[Division]&lt;&gt;"X")*(PptoSty[RowGrp]=$E272)*(ISNUMBER(FIND(PptoSty[PiColumn],U$257))),0)),$AA272),_xlpm.y,IF(_xlfn._xlws.FILTER(TbRsmIn[Alive],TbRsmIn[Enquiry No]=$E272,"X")="C",0,INDEX(INDIRECT(Mods!$B$2),MATCH($E272,INDIRECT(Mods!$B$4),0),MATCH(U$257,INDIRECT(Mods!$AL$3),0))),IF(AND(_xlpm.x=0,_xlpm.y&lt;&gt;0),-1,IF(AND(_xlpm.x&lt;&gt;0,_xlpm.y&lt;&gt;0),_xlpm.x,IF(AND(_xlpm.x-$AA272&lt;&gt;0,_xlpm.y=0),-2,_xlpm.x)))),0))</f>
        <v>0</v>
      </c>
      <c r="V272" s="282" cm="1">
        <f t="array" aca="1" ref="V272" ca="1">IF(OR($E272="",$E272="X"),0,IFERROR(_xlfn.LET(_xlpm.x,SUM(SUM(_xlfn._xlws.FILTER(VALUE(PptoSty[Sign]&amp;1)*(1/PptoSty[Division]),(PptoSty[Division]&lt;&gt;0)*(PptoSty[Division]&lt;&gt;"")*(PptoSty[Division]&lt;&gt;"X")*(PptoSty[RowGrp]=$E272)*(ISNUMBER(FIND(PptoSty[PiColumn],V$257))),0)),$AA272),_xlpm.y,IF(_xlfn._xlws.FILTER(TbRsmIn[Alive],TbRsmIn[Enquiry No]=$E272,"X")="C",0,INDEX(INDIRECT(Mods!$B$2),MATCH($E272,INDIRECT(Mods!$B$4),0),MATCH(V$257,INDIRECT(Mods!$AL$3),0))),IF(AND(_xlpm.x=0,_xlpm.y&lt;&gt;0),-1,IF(AND(_xlpm.x&lt;&gt;0,_xlpm.y&lt;&gt;0),_xlpm.x,IF(AND(_xlpm.x-$AA272&lt;&gt;0,_xlpm.y=0),-2,_xlpm.x)))),0))</f>
        <v>0</v>
      </c>
      <c r="W272" s="282" cm="1">
        <f t="array" aca="1" ref="W272" ca="1">IF(OR($E272="",$E272="X"),0,IFERROR(_xlfn.LET(_xlpm.x,SUM(SUM(_xlfn._xlws.FILTER(VALUE(PptoSty[Sign]&amp;1)*(1/PptoSty[Division]),(PptoSty[Division]&lt;&gt;0)*(PptoSty[Division]&lt;&gt;"")*(PptoSty[Division]&lt;&gt;"X")*(PptoSty[RowGrp]=$E272)*(ISNUMBER(FIND(PptoSty[PiColumn],W$257))),0)),$AA272),_xlpm.y,IF(_xlfn._xlws.FILTER(TbRsmIn[Alive],TbRsmIn[Enquiry No]=$E272,"X")="C",0,INDEX(INDIRECT(Mods!$B$2),MATCH($E272,INDIRECT(Mods!$B$4),0),MATCH(W$257,INDIRECT(Mods!$AL$3),0))),IF(AND(_xlpm.x=0,_xlpm.y&lt;&gt;0),-1,IF(AND(_xlpm.x&lt;&gt;0,_xlpm.y&lt;&gt;0),_xlpm.x,IF(AND(_xlpm.x-$AA272&lt;&gt;0,_xlpm.y=0),-2,_xlpm.x)))),0))</f>
        <v>0</v>
      </c>
      <c r="X272" s="282" cm="1">
        <f t="array" aca="1" ref="X272" ca="1">IF(OR($E272="",$E272="X"),0,IFERROR(_xlfn.LET(_xlpm.x,SUM(SUM(_xlfn._xlws.FILTER(VALUE(PptoSty[Sign]&amp;1)*(1/PptoSty[Division]),(PptoSty[Division]&lt;&gt;0)*(PptoSty[Division]&lt;&gt;"")*(PptoSty[Division]&lt;&gt;"X")*(PptoSty[RowGrp]=$E272)*(ISNUMBER(FIND(PptoSty[PiColumn],X$257))),0)),$AA272),_xlpm.y,IF(_xlfn._xlws.FILTER(TbRsmIn[Alive],TbRsmIn[Enquiry No]=$E272,"X")="C",0,INDEX(INDIRECT(Mods!$B$2),MATCH($E272,INDIRECT(Mods!$B$4),0),MATCH(X$257,INDIRECT(Mods!$AL$3),0))),IF(AND(_xlpm.x=0,_xlpm.y&lt;&gt;0),-1,IF(AND(_xlpm.x&lt;&gt;0,_xlpm.y&lt;&gt;0),_xlpm.x,IF(AND(_xlpm.x-$AA272&lt;&gt;0,_xlpm.y=0),-2,_xlpm.x)))),0))</f>
        <v>0</v>
      </c>
      <c r="Y272" s="282" cm="1">
        <f t="array" aca="1" ref="Y272" ca="1">IF(OR($E272="",$E272="X"),0,IFERROR(_xlfn.LET(_xlpm.x,SUM(SUM(_xlfn._xlws.FILTER(VALUE(PptoSty[Sign]&amp;1)*(1/PptoSty[Division]),(PptoSty[Division]&lt;&gt;0)*(PptoSty[Division]&lt;&gt;"")*(PptoSty[Division]&lt;&gt;"X")*(PptoSty[RowGrp]=$E272)*(ISNUMBER(FIND(PptoSty[PiColumn],Y$257))),0)),$AA272),_xlpm.y,IF(_xlfn._xlws.FILTER(TbRsmIn[Alive],TbRsmIn[Enquiry No]=$E272,"X")="C",0,INDEX(INDIRECT(Mods!$B$2),MATCH($E272,INDIRECT(Mods!$B$4),0),MATCH(Y$257,INDIRECT(Mods!$AL$3),0))),IF(AND(_xlpm.x=0,_xlpm.y&lt;&gt;0),-1,IF(AND(_xlpm.x&lt;&gt;0,_xlpm.y&lt;&gt;0),_xlpm.x,IF(AND(_xlpm.x-$AA272&lt;&gt;0,_xlpm.y=0),-2,_xlpm.x)))),0))</f>
        <v>0</v>
      </c>
      <c r="Z272" s="280" t="str">
        <f t="shared" ca="1" si="8"/>
        <v>Fback!B272:Y272</v>
      </c>
      <c r="AA272" s="282" cm="1">
        <f t="array" aca="1" ref="AA272" ca="1">IF(OR($E272="",$E272="X"),0,IFERROR(SUM(_xlfn._xlws.FILTER(VALUE(#REF!&amp;1)*(1/PptoSty[PptoVsRow]),(PptoSty[PptoVsRow]&lt;&gt;0)*(PptoSty[PptoVsRow]&lt;&gt;"")*(PptoSty[PptoVsRow]&lt;&gt;"X")*(PptoSty[Num]=$E272)*(PptoSty[RowGrp]=AA$260),0)),0))</f>
        <v>0</v>
      </c>
    </row>
    <row r="273" spans="2:27" ht="21" customHeight="1" outlineLevel="1">
      <c r="B273" s="247" t="str" cm="1">
        <f t="array" ref="B273:C273">IF($E273="X","X",_xlfn._xlws.FILTER(P_SelPrj[[PrjId]:[Cia]],P_SelPrj[Attribute]=VALUE(LEFT($E273,1)),"X"))</f>
        <v>31200</v>
      </c>
      <c r="C273" s="247" t="str">
        <v>Sp</v>
      </c>
      <c r="D273" s="247" t="s">
        <v>375</v>
      </c>
      <c r="E273" s="247" t="str" cm="1">
        <f t="array" ref="E273">_xlfn.LET(_xlpm.x,IFERROR(INDEX(TbRsmIn[Enquiry No],SUM(ROW()-MATCH("SOM",$A:$A,0))),"X"),IF(_xlpm.x=0,"X",_xlpm.x))</f>
        <v>0CT013</v>
      </c>
      <c r="F273" s="413" t="str" cm="1">
        <f t="array" ref="F273">_xlfn._xlws.FILTER(CstClcData[Value],(CstClcData[Attribute]="Concept")*(CstClcData[Name]=$E273),"X")</f>
        <v>Impact on Marker supply from Product changes 20241216</v>
      </c>
      <c r="G273" s="281"/>
      <c r="H273" s="281"/>
      <c r="I273" s="282" cm="1">
        <f t="array" aca="1" ref="I273" ca="1">IF(OR($E273="",$E273="X"),0,IFERROR(_xlfn.LET(_xlpm.x,SUM(SUM(_xlfn._xlws.FILTER(VALUE(PptoSty[Sign]&amp;1)*(1/PptoSty[Division]),(PptoSty[Division]&lt;&gt;0)*(PptoSty[Division]&lt;&gt;"")*(PptoSty[Division]&lt;&gt;"X")*(PptoSty[RowGrp]=$E273)*(ISNUMBER(FIND(PptoSty[PiColumn],I$257))),0)),$AA273),_xlpm.y,IF(_xlfn._xlws.FILTER(TbRsmIn[Alive],TbRsmIn[Enquiry No]=$E273,"X")="C",0,INDEX(INDIRECT(Mods!$B$2),MATCH($E273,INDIRECT(Mods!$B$4),0),MATCH(I$257,INDIRECT(Mods!$AL$3),0))),IF(AND(_xlpm.x=0,_xlpm.y&lt;&gt;0),-1,IF(AND(_xlpm.x&lt;&gt;0,_xlpm.y&lt;&gt;0),_xlpm.x,IF(AND(_xlpm.x-$AA273&lt;&gt;0,_xlpm.y=0),-2,_xlpm.x)))),0))</f>
        <v>-1</v>
      </c>
      <c r="J273" s="282" cm="1">
        <f t="array" aca="1" ref="J273" ca="1">IF(OR($E273="",$E273="X"),0,IFERROR(_xlfn.LET(_xlpm.x,SUM(SUM(_xlfn._xlws.FILTER(VALUE(PptoSty[Sign]&amp;1)*(1/PptoSty[Division]),(PptoSty[Division]&lt;&gt;0)*(PptoSty[Division]&lt;&gt;"")*(PptoSty[Division]&lt;&gt;"X")*(PptoSty[RowGrp]=$E273)*(ISNUMBER(FIND(PptoSty[PiColumn],J$257))),0)),$AA273),_xlpm.y,IF(_xlfn._xlws.FILTER(TbRsmIn[Alive],TbRsmIn[Enquiry No]=$E273,"X")="C",0,INDEX(INDIRECT(Mods!$B$2),MATCH($E273,INDIRECT(Mods!$B$4),0),MATCH(J$257,INDIRECT(Mods!$AL$3),0))),IF(AND(_xlpm.x=0,_xlpm.y&lt;&gt;0),-1,IF(AND(_xlpm.x&lt;&gt;0,_xlpm.y&lt;&gt;0),_xlpm.x,IF(AND(_xlpm.x-$AA273&lt;&gt;0,_xlpm.y=0),-2,_xlpm.x)))),0))</f>
        <v>-1</v>
      </c>
      <c r="K273" s="282" cm="1">
        <f t="array" aca="1" ref="K273" ca="1">IF(OR($E273="",$E273="X"),0,IFERROR(_xlfn.LET(_xlpm.x,SUM(SUM(_xlfn._xlws.FILTER(VALUE(PptoSty[Sign]&amp;1)*(1/PptoSty[Division]),(PptoSty[Division]&lt;&gt;0)*(PptoSty[Division]&lt;&gt;"")*(PptoSty[Division]&lt;&gt;"X")*(PptoSty[RowGrp]=$E273)*(ISNUMBER(FIND(PptoSty[PiColumn],K$257))),0)),$AA273),_xlpm.y,IF(_xlfn._xlws.FILTER(TbRsmIn[Alive],TbRsmIn[Enquiry No]=$E273,"X")="C",0,INDEX(INDIRECT(Mods!$B$2),MATCH($E273,INDIRECT(Mods!$B$4),0),MATCH(K$257,INDIRECT(Mods!$AL$3),0))),IF(AND(_xlpm.x=0,_xlpm.y&lt;&gt;0),-1,IF(AND(_xlpm.x&lt;&gt;0,_xlpm.y&lt;&gt;0),_xlpm.x,IF(AND(_xlpm.x-$AA273&lt;&gt;0,_xlpm.y=0),-2,_xlpm.x)))),0))</f>
        <v>-1</v>
      </c>
      <c r="L273" s="282" cm="1">
        <f t="array" aca="1" ref="L273" ca="1">IF(OR($E273="",$E273="X"),0,IFERROR(_xlfn.LET(_xlpm.x,SUM(SUM(_xlfn._xlws.FILTER(VALUE(PptoSty[Sign]&amp;1)*(1/PptoSty[Division]),(PptoSty[Division]&lt;&gt;0)*(PptoSty[Division]&lt;&gt;"")*(PptoSty[Division]&lt;&gt;"X")*(PptoSty[RowGrp]=$E273)*(ISNUMBER(FIND(PptoSty[PiColumn],L$257))),0)),$AA273),_xlpm.y,IF(_xlfn._xlws.FILTER(TbRsmIn[Alive],TbRsmIn[Enquiry No]=$E273,"X")="C",0,INDEX(INDIRECT(Mods!$B$2),MATCH($E273,INDIRECT(Mods!$B$4),0),MATCH(L$257,INDIRECT(Mods!$AL$3),0))),IF(AND(_xlpm.x=0,_xlpm.y&lt;&gt;0),-1,IF(AND(_xlpm.x&lt;&gt;0,_xlpm.y&lt;&gt;0),_xlpm.x,IF(AND(_xlpm.x-$AA273&lt;&gt;0,_xlpm.y=0),-2,_xlpm.x)))),0))</f>
        <v>0</v>
      </c>
      <c r="M273" s="282" cm="1">
        <f t="array" aca="1" ref="M273" ca="1">IF(OR($E273="",$E273="X"),0,IFERROR(_xlfn.LET(_xlpm.x,SUM(SUM(_xlfn._xlws.FILTER(VALUE(PptoSty[Sign]&amp;1)*(1/PptoSty[Division]),(PptoSty[Division]&lt;&gt;0)*(PptoSty[Division]&lt;&gt;"")*(PptoSty[Division]&lt;&gt;"X")*(PptoSty[RowGrp]=$E273)*(ISNUMBER(FIND(PptoSty[PiColumn],M$257))),0)),$AA273),_xlpm.y,IF(_xlfn._xlws.FILTER(TbRsmIn[Alive],TbRsmIn[Enquiry No]=$E273,"X")="C",0,INDEX(INDIRECT(Mods!$B$2),MATCH($E273,INDIRECT(Mods!$B$4),0),MATCH(M$257,INDIRECT(Mods!$AL$3),0))),IF(AND(_xlpm.x=0,_xlpm.y&lt;&gt;0),-1,IF(AND(_xlpm.x&lt;&gt;0,_xlpm.y&lt;&gt;0),_xlpm.x,IF(AND(_xlpm.x-$AA273&lt;&gt;0,_xlpm.y=0),-2,_xlpm.x)))),0))</f>
        <v>0</v>
      </c>
      <c r="N273" s="282" cm="1">
        <f t="array" aca="1" ref="N273" ca="1">IF(OR($E273="",$E273="X"),0,IFERROR(_xlfn.LET(_xlpm.x,SUM(SUM(_xlfn._xlws.FILTER(VALUE(PptoSty[Sign]&amp;1)*(1/PptoSty[Division]),(PptoSty[Division]&lt;&gt;0)*(PptoSty[Division]&lt;&gt;"")*(PptoSty[Division]&lt;&gt;"X")*(PptoSty[RowGrp]=$E273)*(ISNUMBER(FIND(PptoSty[PiColumn],N$257))),0)),$AA273),_xlpm.y,IF(_xlfn._xlws.FILTER(TbRsmIn[Alive],TbRsmIn[Enquiry No]=$E273,"X")="C",0,INDEX(INDIRECT(Mods!$B$2),MATCH($E273,INDIRECT(Mods!$B$4),0),MATCH(N$257,INDIRECT(Mods!$AL$3),0))),IF(AND(_xlpm.x=0,_xlpm.y&lt;&gt;0),-1,IF(AND(_xlpm.x&lt;&gt;0,_xlpm.y&lt;&gt;0),_xlpm.x,IF(AND(_xlpm.x-$AA273&lt;&gt;0,_xlpm.y=0),-2,_xlpm.x)))),0))</f>
        <v>0</v>
      </c>
      <c r="O273" s="282" cm="1">
        <f t="array" aca="1" ref="O273" ca="1">IF(OR($E273="",$E273="X"),0,IFERROR(_xlfn.LET(_xlpm.x,SUM(SUM(_xlfn._xlws.FILTER(VALUE(PptoSty[Sign]&amp;1)*(1/PptoSty[Division]),(PptoSty[Division]&lt;&gt;0)*(PptoSty[Division]&lt;&gt;"")*(PptoSty[Division]&lt;&gt;"X")*(PptoSty[RowGrp]=$E273)*(ISNUMBER(FIND(PptoSty[PiColumn],O$257))),0)),$AA273),_xlpm.y,IF(_xlfn._xlws.FILTER(TbRsmIn[Alive],TbRsmIn[Enquiry No]=$E273,"X")="C",0,INDEX(INDIRECT(Mods!$B$2),MATCH($E273,INDIRECT(Mods!$B$4),0),MATCH(O$257,INDIRECT(Mods!$AL$3),0))),IF(AND(_xlpm.x=0,_xlpm.y&lt;&gt;0),-1,IF(AND(_xlpm.x&lt;&gt;0,_xlpm.y&lt;&gt;0),_xlpm.x,IF(AND(_xlpm.x-$AA273&lt;&gt;0,_xlpm.y=0),-2,_xlpm.x)))),0))</f>
        <v>0</v>
      </c>
      <c r="P273" s="282" cm="1">
        <f t="array" aca="1" ref="P273" ca="1">IF(OR($E273="",$E273="X"),0,IFERROR(_xlfn.LET(_xlpm.x,SUM(SUM(_xlfn._xlws.FILTER(VALUE(PptoSty[Sign]&amp;1)*(1/PptoSty[Division]),(PptoSty[Division]&lt;&gt;0)*(PptoSty[Division]&lt;&gt;"")*(PptoSty[Division]&lt;&gt;"X")*(PptoSty[RowGrp]=$E273)*(ISNUMBER(FIND(PptoSty[PiColumn],P$257))),0)),$AA273),_xlpm.y,IF(_xlfn._xlws.FILTER(TbRsmIn[Alive],TbRsmIn[Enquiry No]=$E273,"X")="C",0,INDEX(INDIRECT(Mods!$B$2),MATCH($E273,INDIRECT(Mods!$B$4),0),MATCH(P$257,INDIRECT(Mods!$AL$3),0))),IF(AND(_xlpm.x=0,_xlpm.y&lt;&gt;0),-1,IF(AND(_xlpm.x&lt;&gt;0,_xlpm.y&lt;&gt;0),_xlpm.x,IF(AND(_xlpm.x-$AA273&lt;&gt;0,_xlpm.y=0),-2,_xlpm.x)))),0))</f>
        <v>0</v>
      </c>
      <c r="Q273" s="282" cm="1">
        <f t="array" aca="1" ref="Q273" ca="1">IF(OR($E273="",$E273="X"),0,IFERROR(_xlfn.LET(_xlpm.x,SUM(SUM(_xlfn._xlws.FILTER(VALUE(PptoSty[Sign]&amp;1)*(1/PptoSty[Division]),(PptoSty[Division]&lt;&gt;0)*(PptoSty[Division]&lt;&gt;"")*(PptoSty[Division]&lt;&gt;"X")*(PptoSty[RowGrp]=$E273)*(ISNUMBER(FIND(PptoSty[PiColumn],Q$257))),0)),$AA273),_xlpm.y,IF(_xlfn._xlws.FILTER(TbRsmIn[Alive],TbRsmIn[Enquiry No]=$E273,"X")="C",0,INDEX(INDIRECT(Mods!$B$2),MATCH($E273,INDIRECT(Mods!$B$4),0),MATCH(Q$257,INDIRECT(Mods!$AL$3),0))),IF(AND(_xlpm.x=0,_xlpm.y&lt;&gt;0),-1,IF(AND(_xlpm.x&lt;&gt;0,_xlpm.y&lt;&gt;0),_xlpm.x,IF(AND(_xlpm.x-$AA273&lt;&gt;0,_xlpm.y=0),-2,_xlpm.x)))),0))</f>
        <v>0</v>
      </c>
      <c r="R273" s="282" cm="1">
        <f t="array" aca="1" ref="R273" ca="1">IF(OR($E273="",$E273="X"),0,IFERROR(_xlfn.LET(_xlpm.x,SUM(SUM(_xlfn._xlws.FILTER(VALUE(PptoSty[Sign]&amp;1)*(1/PptoSty[Division]),(PptoSty[Division]&lt;&gt;0)*(PptoSty[Division]&lt;&gt;"")*(PptoSty[Division]&lt;&gt;"X")*(PptoSty[RowGrp]=$E273)*(ISNUMBER(FIND(PptoSty[PiColumn],R$257))),0)),$AA273),_xlpm.y,IF(_xlfn._xlws.FILTER(TbRsmIn[Alive],TbRsmIn[Enquiry No]=$E273,"X")="C",0,INDEX(INDIRECT(Mods!$B$2),MATCH($E273,INDIRECT(Mods!$B$4),0),MATCH(R$257,INDIRECT(Mods!$AL$3),0))),IF(AND(_xlpm.x=0,_xlpm.y&lt;&gt;0),-1,IF(AND(_xlpm.x&lt;&gt;0,_xlpm.y&lt;&gt;0),_xlpm.x,IF(AND(_xlpm.x-$AA273&lt;&gt;0,_xlpm.y=0),-2,_xlpm.x)))),0))</f>
        <v>0</v>
      </c>
      <c r="S273" s="282" cm="1">
        <f t="array" aca="1" ref="S273" ca="1">IF(OR($E273="",$E273="X"),0,IFERROR(_xlfn.LET(_xlpm.x,SUM(SUM(_xlfn._xlws.FILTER(VALUE(PptoSty[Sign]&amp;1)*(1/PptoSty[Division]),(PptoSty[Division]&lt;&gt;0)*(PptoSty[Division]&lt;&gt;"")*(PptoSty[Division]&lt;&gt;"X")*(PptoSty[RowGrp]=$E273)*(ISNUMBER(FIND(PptoSty[PiColumn],S$257))),0)),$AA273),_xlpm.y,IF(_xlfn._xlws.FILTER(TbRsmIn[Alive],TbRsmIn[Enquiry No]=$E273,"X")="C",0,INDEX(INDIRECT(Mods!$B$2),MATCH($E273,INDIRECT(Mods!$B$4),0),MATCH(S$257,INDIRECT(Mods!$AL$3),0))),IF(AND(_xlpm.x=0,_xlpm.y&lt;&gt;0),-1,IF(AND(_xlpm.x&lt;&gt;0,_xlpm.y&lt;&gt;0),_xlpm.x,IF(AND(_xlpm.x-$AA273&lt;&gt;0,_xlpm.y=0),-2,_xlpm.x)))),0))</f>
        <v>0</v>
      </c>
      <c r="T273" s="282" cm="1">
        <f t="array" aca="1" ref="T273" ca="1">IF(OR($E273="",$E273="X"),0,IFERROR(_xlfn.LET(_xlpm.x,SUM(SUM(_xlfn._xlws.FILTER(VALUE(PptoSty[Sign]&amp;1)*(1/PptoSty[Division]),(PptoSty[Division]&lt;&gt;0)*(PptoSty[Division]&lt;&gt;"")*(PptoSty[Division]&lt;&gt;"X")*(PptoSty[RowGrp]=$E273)*(ISNUMBER(FIND(PptoSty[PiColumn],T$257))),0)),$AA273),_xlpm.y,IF(_xlfn._xlws.FILTER(TbRsmIn[Alive],TbRsmIn[Enquiry No]=$E273,"X")="C",0,INDEX(INDIRECT(Mods!$B$2),MATCH($E273,INDIRECT(Mods!$B$4),0),MATCH(T$257,INDIRECT(Mods!$AL$3),0))),IF(AND(_xlpm.x=0,_xlpm.y&lt;&gt;0),-1,IF(AND(_xlpm.x&lt;&gt;0,_xlpm.y&lt;&gt;0),_xlpm.x,IF(AND(_xlpm.x-$AA273&lt;&gt;0,_xlpm.y=0),-2,_xlpm.x)))),0))</f>
        <v>-1</v>
      </c>
      <c r="U273" s="282" cm="1">
        <f t="array" aca="1" ref="U273" ca="1">IF(OR($E273="",$E273="X"),0,IFERROR(_xlfn.LET(_xlpm.x,SUM(SUM(_xlfn._xlws.FILTER(VALUE(PptoSty[Sign]&amp;1)*(1/PptoSty[Division]),(PptoSty[Division]&lt;&gt;0)*(PptoSty[Division]&lt;&gt;"")*(PptoSty[Division]&lt;&gt;"X")*(PptoSty[RowGrp]=$E273)*(ISNUMBER(FIND(PptoSty[PiColumn],U$257))),0)),$AA273),_xlpm.y,IF(_xlfn._xlws.FILTER(TbRsmIn[Alive],TbRsmIn[Enquiry No]=$E273,"X")="C",0,INDEX(INDIRECT(Mods!$B$2),MATCH($E273,INDIRECT(Mods!$B$4),0),MATCH(U$257,INDIRECT(Mods!$AL$3),0))),IF(AND(_xlpm.x=0,_xlpm.y&lt;&gt;0),-1,IF(AND(_xlpm.x&lt;&gt;0,_xlpm.y&lt;&gt;0),_xlpm.x,IF(AND(_xlpm.x-$AA273&lt;&gt;0,_xlpm.y=0),-2,_xlpm.x)))),0))</f>
        <v>0</v>
      </c>
      <c r="V273" s="282" cm="1">
        <f t="array" aca="1" ref="V273" ca="1">IF(OR($E273="",$E273="X"),0,IFERROR(_xlfn.LET(_xlpm.x,SUM(SUM(_xlfn._xlws.FILTER(VALUE(PptoSty[Sign]&amp;1)*(1/PptoSty[Division]),(PptoSty[Division]&lt;&gt;0)*(PptoSty[Division]&lt;&gt;"")*(PptoSty[Division]&lt;&gt;"X")*(PptoSty[RowGrp]=$E273)*(ISNUMBER(FIND(PptoSty[PiColumn],V$257))),0)),$AA273),_xlpm.y,IF(_xlfn._xlws.FILTER(TbRsmIn[Alive],TbRsmIn[Enquiry No]=$E273,"X")="C",0,INDEX(INDIRECT(Mods!$B$2),MATCH($E273,INDIRECT(Mods!$B$4),0),MATCH(V$257,INDIRECT(Mods!$AL$3),0))),IF(AND(_xlpm.x=0,_xlpm.y&lt;&gt;0),-1,IF(AND(_xlpm.x&lt;&gt;0,_xlpm.y&lt;&gt;0),_xlpm.x,IF(AND(_xlpm.x-$AA273&lt;&gt;0,_xlpm.y=0),-2,_xlpm.x)))),0))</f>
        <v>0</v>
      </c>
      <c r="W273" s="282" cm="1">
        <f t="array" aca="1" ref="W273" ca="1">IF(OR($E273="",$E273="X"),0,IFERROR(_xlfn.LET(_xlpm.x,SUM(SUM(_xlfn._xlws.FILTER(VALUE(PptoSty[Sign]&amp;1)*(1/PptoSty[Division]),(PptoSty[Division]&lt;&gt;0)*(PptoSty[Division]&lt;&gt;"")*(PptoSty[Division]&lt;&gt;"X")*(PptoSty[RowGrp]=$E273)*(ISNUMBER(FIND(PptoSty[PiColumn],W$257))),0)),$AA273),_xlpm.y,IF(_xlfn._xlws.FILTER(TbRsmIn[Alive],TbRsmIn[Enquiry No]=$E273,"X")="C",0,INDEX(INDIRECT(Mods!$B$2),MATCH($E273,INDIRECT(Mods!$B$4),0),MATCH(W$257,INDIRECT(Mods!$AL$3),0))),IF(AND(_xlpm.x=0,_xlpm.y&lt;&gt;0),-1,IF(AND(_xlpm.x&lt;&gt;0,_xlpm.y&lt;&gt;0),_xlpm.x,IF(AND(_xlpm.x-$AA273&lt;&gt;0,_xlpm.y=0),-2,_xlpm.x)))),0))</f>
        <v>0</v>
      </c>
      <c r="X273" s="282" cm="1">
        <f t="array" aca="1" ref="X273" ca="1">IF(OR($E273="",$E273="X"),0,IFERROR(_xlfn.LET(_xlpm.x,SUM(SUM(_xlfn._xlws.FILTER(VALUE(PptoSty[Sign]&amp;1)*(1/PptoSty[Division]),(PptoSty[Division]&lt;&gt;0)*(PptoSty[Division]&lt;&gt;"")*(PptoSty[Division]&lt;&gt;"X")*(PptoSty[RowGrp]=$E273)*(ISNUMBER(FIND(PptoSty[PiColumn],X$257))),0)),$AA273),_xlpm.y,IF(_xlfn._xlws.FILTER(TbRsmIn[Alive],TbRsmIn[Enquiry No]=$E273,"X")="C",0,INDEX(INDIRECT(Mods!$B$2),MATCH($E273,INDIRECT(Mods!$B$4),0),MATCH(X$257,INDIRECT(Mods!$AL$3),0))),IF(AND(_xlpm.x=0,_xlpm.y&lt;&gt;0),-1,IF(AND(_xlpm.x&lt;&gt;0,_xlpm.y&lt;&gt;0),_xlpm.x,IF(AND(_xlpm.x-$AA273&lt;&gt;0,_xlpm.y=0),-2,_xlpm.x)))),0))</f>
        <v>0</v>
      </c>
      <c r="Y273" s="282" cm="1">
        <f t="array" aca="1" ref="Y273" ca="1">IF(OR($E273="",$E273="X"),0,IFERROR(_xlfn.LET(_xlpm.x,SUM(SUM(_xlfn._xlws.FILTER(VALUE(PptoSty[Sign]&amp;1)*(1/PptoSty[Division]),(PptoSty[Division]&lt;&gt;0)*(PptoSty[Division]&lt;&gt;"")*(PptoSty[Division]&lt;&gt;"X")*(PptoSty[RowGrp]=$E273)*(ISNUMBER(FIND(PptoSty[PiColumn],Y$257))),0)),$AA273),_xlpm.y,IF(_xlfn._xlws.FILTER(TbRsmIn[Alive],TbRsmIn[Enquiry No]=$E273,"X")="C",0,INDEX(INDIRECT(Mods!$B$2),MATCH($E273,INDIRECT(Mods!$B$4),0),MATCH(Y$257,INDIRECT(Mods!$AL$3),0))),IF(AND(_xlpm.x=0,_xlpm.y&lt;&gt;0),-1,IF(AND(_xlpm.x&lt;&gt;0,_xlpm.y&lt;&gt;0),_xlpm.x,IF(AND(_xlpm.x-$AA273&lt;&gt;0,_xlpm.y=0),-2,_xlpm.x)))),0))</f>
        <v>0</v>
      </c>
      <c r="Z273" s="280" t="str">
        <f t="shared" ca="1" si="8"/>
        <v>Fback!B273:Y273</v>
      </c>
      <c r="AA273" s="282" cm="1">
        <f t="array" aca="1" ref="AA273" ca="1">IF(OR($E273="",$E273="X"),0,IFERROR(SUM(_xlfn._xlws.FILTER(VALUE(#REF!&amp;1)*(1/PptoSty[PptoVsRow]),(PptoSty[PptoVsRow]&lt;&gt;0)*(PptoSty[PptoVsRow]&lt;&gt;"")*(PptoSty[PptoVsRow]&lt;&gt;"X")*(PptoSty[Num]=$E273)*(PptoSty[RowGrp]=AA$260),0)),0))</f>
        <v>0</v>
      </c>
    </row>
    <row r="274" spans="2:27" ht="21" customHeight="1" outlineLevel="1">
      <c r="B274" s="247" t="str" cm="1">
        <f t="array" ref="B274:C274">IF($E274="X","X",_xlfn._xlws.FILTER(P_SelPrj[[PrjId]:[Cia]],P_SelPrj[Attribute]=VALUE(LEFT($E274,1)),"X"))</f>
        <v>31200</v>
      </c>
      <c r="C274" s="247" t="str">
        <v>Sp</v>
      </c>
      <c r="D274" s="247" t="s">
        <v>375</v>
      </c>
      <c r="E274" s="247" t="str" cm="1">
        <f t="array" ref="E274">_xlfn.LET(_xlpm.x,IFERROR(INDEX(TbRsmIn[Enquiry No],SUM(ROW()-MATCH("SOM",$A:$A,0))),"X"),IF(_xlpm.x=0,"X",_xlpm.x))</f>
        <v>0CT014</v>
      </c>
      <c r="F274" s="413" t="str" cm="1">
        <f t="array" ref="F274">_xlfn._xlws.FILTER(CstClcData[Value],(CstClcData[Attribute]="Concept")*(CstClcData[Name]=$E274),"X")</f>
        <v>Impact on Projection Welder supply from Product changes 20241216</v>
      </c>
      <c r="G274" s="281"/>
      <c r="H274" s="281"/>
      <c r="I274" s="282" cm="1">
        <f t="array" aca="1" ref="I274" ca="1">IF(OR($E274="",$E274="X"),0,IFERROR(_xlfn.LET(_xlpm.x,SUM(SUM(_xlfn._xlws.FILTER(VALUE(PptoSty[Sign]&amp;1)*(1/PptoSty[Division]),(PptoSty[Division]&lt;&gt;0)*(PptoSty[Division]&lt;&gt;"")*(PptoSty[Division]&lt;&gt;"X")*(PptoSty[RowGrp]=$E274)*(ISNUMBER(FIND(PptoSty[PiColumn],I$257))),0)),$AA274),_xlpm.y,IF(_xlfn._xlws.FILTER(TbRsmIn[Alive],TbRsmIn[Enquiry No]=$E274,"X")="C",0,INDEX(INDIRECT(Mods!$B$2),MATCH($E274,INDIRECT(Mods!$B$4),0),MATCH(I$257,INDIRECT(Mods!$AL$3),0))),IF(AND(_xlpm.x=0,_xlpm.y&lt;&gt;0),-1,IF(AND(_xlpm.x&lt;&gt;0,_xlpm.y&lt;&gt;0),_xlpm.x,IF(AND(_xlpm.x-$AA274&lt;&gt;0,_xlpm.y=0),-2,_xlpm.x)))),0))</f>
        <v>-1</v>
      </c>
      <c r="J274" s="282" cm="1">
        <f t="array" aca="1" ref="J274" ca="1">IF(OR($E274="",$E274="X"),0,IFERROR(_xlfn.LET(_xlpm.x,SUM(SUM(_xlfn._xlws.FILTER(VALUE(PptoSty[Sign]&amp;1)*(1/PptoSty[Division]),(PptoSty[Division]&lt;&gt;0)*(PptoSty[Division]&lt;&gt;"")*(PptoSty[Division]&lt;&gt;"X")*(PptoSty[RowGrp]=$E274)*(ISNUMBER(FIND(PptoSty[PiColumn],J$257))),0)),$AA274),_xlpm.y,IF(_xlfn._xlws.FILTER(TbRsmIn[Alive],TbRsmIn[Enquiry No]=$E274,"X")="C",0,INDEX(INDIRECT(Mods!$B$2),MATCH($E274,INDIRECT(Mods!$B$4),0),MATCH(J$257,INDIRECT(Mods!$AL$3),0))),IF(AND(_xlpm.x=0,_xlpm.y&lt;&gt;0),-1,IF(AND(_xlpm.x&lt;&gt;0,_xlpm.y&lt;&gt;0),_xlpm.x,IF(AND(_xlpm.x-$AA274&lt;&gt;0,_xlpm.y=0),-2,_xlpm.x)))),0))</f>
        <v>-1</v>
      </c>
      <c r="K274" s="282" cm="1">
        <f t="array" aca="1" ref="K274" ca="1">IF(OR($E274="",$E274="X"),0,IFERROR(_xlfn.LET(_xlpm.x,SUM(SUM(_xlfn._xlws.FILTER(VALUE(PptoSty[Sign]&amp;1)*(1/PptoSty[Division]),(PptoSty[Division]&lt;&gt;0)*(PptoSty[Division]&lt;&gt;"")*(PptoSty[Division]&lt;&gt;"X")*(PptoSty[RowGrp]=$E274)*(ISNUMBER(FIND(PptoSty[PiColumn],K$257))),0)),$AA274),_xlpm.y,IF(_xlfn._xlws.FILTER(TbRsmIn[Alive],TbRsmIn[Enquiry No]=$E274,"X")="C",0,INDEX(INDIRECT(Mods!$B$2),MATCH($E274,INDIRECT(Mods!$B$4),0),MATCH(K$257,INDIRECT(Mods!$AL$3),0))),IF(AND(_xlpm.x=0,_xlpm.y&lt;&gt;0),-1,IF(AND(_xlpm.x&lt;&gt;0,_xlpm.y&lt;&gt;0),_xlpm.x,IF(AND(_xlpm.x-$AA274&lt;&gt;0,_xlpm.y=0),-2,_xlpm.x)))),0))</f>
        <v>-1</v>
      </c>
      <c r="L274" s="282" cm="1">
        <f t="array" aca="1" ref="L274" ca="1">IF(OR($E274="",$E274="X"),0,IFERROR(_xlfn.LET(_xlpm.x,SUM(SUM(_xlfn._xlws.FILTER(VALUE(PptoSty[Sign]&amp;1)*(1/PptoSty[Division]),(PptoSty[Division]&lt;&gt;0)*(PptoSty[Division]&lt;&gt;"")*(PptoSty[Division]&lt;&gt;"X")*(PptoSty[RowGrp]=$E274)*(ISNUMBER(FIND(PptoSty[PiColumn],L$257))),0)),$AA274),_xlpm.y,IF(_xlfn._xlws.FILTER(TbRsmIn[Alive],TbRsmIn[Enquiry No]=$E274,"X")="C",0,INDEX(INDIRECT(Mods!$B$2),MATCH($E274,INDIRECT(Mods!$B$4),0),MATCH(L$257,INDIRECT(Mods!$AL$3),0))),IF(AND(_xlpm.x=0,_xlpm.y&lt;&gt;0),-1,IF(AND(_xlpm.x&lt;&gt;0,_xlpm.y&lt;&gt;0),_xlpm.x,IF(AND(_xlpm.x-$AA274&lt;&gt;0,_xlpm.y=0),-2,_xlpm.x)))),0))</f>
        <v>0</v>
      </c>
      <c r="M274" s="282" cm="1">
        <f t="array" aca="1" ref="M274" ca="1">IF(OR($E274="",$E274="X"),0,IFERROR(_xlfn.LET(_xlpm.x,SUM(SUM(_xlfn._xlws.FILTER(VALUE(PptoSty[Sign]&amp;1)*(1/PptoSty[Division]),(PptoSty[Division]&lt;&gt;0)*(PptoSty[Division]&lt;&gt;"")*(PptoSty[Division]&lt;&gt;"X")*(PptoSty[RowGrp]=$E274)*(ISNUMBER(FIND(PptoSty[PiColumn],M$257))),0)),$AA274),_xlpm.y,IF(_xlfn._xlws.FILTER(TbRsmIn[Alive],TbRsmIn[Enquiry No]=$E274,"X")="C",0,INDEX(INDIRECT(Mods!$B$2),MATCH($E274,INDIRECT(Mods!$B$4),0),MATCH(M$257,INDIRECT(Mods!$AL$3),0))),IF(AND(_xlpm.x=0,_xlpm.y&lt;&gt;0),-1,IF(AND(_xlpm.x&lt;&gt;0,_xlpm.y&lt;&gt;0),_xlpm.x,IF(AND(_xlpm.x-$AA274&lt;&gt;0,_xlpm.y=0),-2,_xlpm.x)))),0))</f>
        <v>-1</v>
      </c>
      <c r="N274" s="282" cm="1">
        <f t="array" aca="1" ref="N274" ca="1">IF(OR($E274="",$E274="X"),0,IFERROR(_xlfn.LET(_xlpm.x,SUM(SUM(_xlfn._xlws.FILTER(VALUE(PptoSty[Sign]&amp;1)*(1/PptoSty[Division]),(PptoSty[Division]&lt;&gt;0)*(PptoSty[Division]&lt;&gt;"")*(PptoSty[Division]&lt;&gt;"X")*(PptoSty[RowGrp]=$E274)*(ISNUMBER(FIND(PptoSty[PiColumn],N$257))),0)),$AA274),_xlpm.y,IF(_xlfn._xlws.FILTER(TbRsmIn[Alive],TbRsmIn[Enquiry No]=$E274,"X")="C",0,INDEX(INDIRECT(Mods!$B$2),MATCH($E274,INDIRECT(Mods!$B$4),0),MATCH(N$257,INDIRECT(Mods!$AL$3),0))),IF(AND(_xlpm.x=0,_xlpm.y&lt;&gt;0),-1,IF(AND(_xlpm.x&lt;&gt;0,_xlpm.y&lt;&gt;0),_xlpm.x,IF(AND(_xlpm.x-$AA274&lt;&gt;0,_xlpm.y=0),-2,_xlpm.x)))),0))</f>
        <v>0</v>
      </c>
      <c r="O274" s="282" cm="1">
        <f t="array" aca="1" ref="O274" ca="1">IF(OR($E274="",$E274="X"),0,IFERROR(_xlfn.LET(_xlpm.x,SUM(SUM(_xlfn._xlws.FILTER(VALUE(PptoSty[Sign]&amp;1)*(1/PptoSty[Division]),(PptoSty[Division]&lt;&gt;0)*(PptoSty[Division]&lt;&gt;"")*(PptoSty[Division]&lt;&gt;"X")*(PptoSty[RowGrp]=$E274)*(ISNUMBER(FIND(PptoSty[PiColumn],O$257))),0)),$AA274),_xlpm.y,IF(_xlfn._xlws.FILTER(TbRsmIn[Alive],TbRsmIn[Enquiry No]=$E274,"X")="C",0,INDEX(INDIRECT(Mods!$B$2),MATCH($E274,INDIRECT(Mods!$B$4),0),MATCH(O$257,INDIRECT(Mods!$AL$3),0))),IF(AND(_xlpm.x=0,_xlpm.y&lt;&gt;0),-1,IF(AND(_xlpm.x&lt;&gt;0,_xlpm.y&lt;&gt;0),_xlpm.x,IF(AND(_xlpm.x-$AA274&lt;&gt;0,_xlpm.y=0),-2,_xlpm.x)))),0))</f>
        <v>0</v>
      </c>
      <c r="P274" s="282" cm="1">
        <f t="array" aca="1" ref="P274" ca="1">IF(OR($E274="",$E274="X"),0,IFERROR(_xlfn.LET(_xlpm.x,SUM(SUM(_xlfn._xlws.FILTER(VALUE(PptoSty[Sign]&amp;1)*(1/PptoSty[Division]),(PptoSty[Division]&lt;&gt;0)*(PptoSty[Division]&lt;&gt;"")*(PptoSty[Division]&lt;&gt;"X")*(PptoSty[RowGrp]=$E274)*(ISNUMBER(FIND(PptoSty[PiColumn],P$257))),0)),$AA274),_xlpm.y,IF(_xlfn._xlws.FILTER(TbRsmIn[Alive],TbRsmIn[Enquiry No]=$E274,"X")="C",0,INDEX(INDIRECT(Mods!$B$2),MATCH($E274,INDIRECT(Mods!$B$4),0),MATCH(P$257,INDIRECT(Mods!$AL$3),0))),IF(AND(_xlpm.x=0,_xlpm.y&lt;&gt;0),-1,IF(AND(_xlpm.x&lt;&gt;0,_xlpm.y&lt;&gt;0),_xlpm.x,IF(AND(_xlpm.x-$AA274&lt;&gt;0,_xlpm.y=0),-2,_xlpm.x)))),0))</f>
        <v>0</v>
      </c>
      <c r="Q274" s="282" cm="1">
        <f t="array" aca="1" ref="Q274" ca="1">IF(OR($E274="",$E274="X"),0,IFERROR(_xlfn.LET(_xlpm.x,SUM(SUM(_xlfn._xlws.FILTER(VALUE(PptoSty[Sign]&amp;1)*(1/PptoSty[Division]),(PptoSty[Division]&lt;&gt;0)*(PptoSty[Division]&lt;&gt;"")*(PptoSty[Division]&lt;&gt;"X")*(PptoSty[RowGrp]=$E274)*(ISNUMBER(FIND(PptoSty[PiColumn],Q$257))),0)),$AA274),_xlpm.y,IF(_xlfn._xlws.FILTER(TbRsmIn[Alive],TbRsmIn[Enquiry No]=$E274,"X")="C",0,INDEX(INDIRECT(Mods!$B$2),MATCH($E274,INDIRECT(Mods!$B$4),0),MATCH(Q$257,INDIRECT(Mods!$AL$3),0))),IF(AND(_xlpm.x=0,_xlpm.y&lt;&gt;0),-1,IF(AND(_xlpm.x&lt;&gt;0,_xlpm.y&lt;&gt;0),_xlpm.x,IF(AND(_xlpm.x-$AA274&lt;&gt;0,_xlpm.y=0),-2,_xlpm.x)))),0))</f>
        <v>-1</v>
      </c>
      <c r="R274" s="282" cm="1">
        <f t="array" aca="1" ref="R274" ca="1">IF(OR($E274="",$E274="X"),0,IFERROR(_xlfn.LET(_xlpm.x,SUM(SUM(_xlfn._xlws.FILTER(VALUE(PptoSty[Sign]&amp;1)*(1/PptoSty[Division]),(PptoSty[Division]&lt;&gt;0)*(PptoSty[Division]&lt;&gt;"")*(PptoSty[Division]&lt;&gt;"X")*(PptoSty[RowGrp]=$E274)*(ISNUMBER(FIND(PptoSty[PiColumn],R$257))),0)),$AA274),_xlpm.y,IF(_xlfn._xlws.FILTER(TbRsmIn[Alive],TbRsmIn[Enquiry No]=$E274,"X")="C",0,INDEX(INDIRECT(Mods!$B$2),MATCH($E274,INDIRECT(Mods!$B$4),0),MATCH(R$257,INDIRECT(Mods!$AL$3),0))),IF(AND(_xlpm.x=0,_xlpm.y&lt;&gt;0),-1,IF(AND(_xlpm.x&lt;&gt;0,_xlpm.y&lt;&gt;0),_xlpm.x,IF(AND(_xlpm.x-$AA274&lt;&gt;0,_xlpm.y=0),-2,_xlpm.x)))),0))</f>
        <v>0</v>
      </c>
      <c r="S274" s="282" cm="1">
        <f t="array" aca="1" ref="S274" ca="1">IF(OR($E274="",$E274="X"),0,IFERROR(_xlfn.LET(_xlpm.x,SUM(SUM(_xlfn._xlws.FILTER(VALUE(PptoSty[Sign]&amp;1)*(1/PptoSty[Division]),(PptoSty[Division]&lt;&gt;0)*(PptoSty[Division]&lt;&gt;"")*(PptoSty[Division]&lt;&gt;"X")*(PptoSty[RowGrp]=$E274)*(ISNUMBER(FIND(PptoSty[PiColumn],S$257))),0)),$AA274),_xlpm.y,IF(_xlfn._xlws.FILTER(TbRsmIn[Alive],TbRsmIn[Enquiry No]=$E274,"X")="C",0,INDEX(INDIRECT(Mods!$B$2),MATCH($E274,INDIRECT(Mods!$B$4),0),MATCH(S$257,INDIRECT(Mods!$AL$3),0))),IF(AND(_xlpm.x=0,_xlpm.y&lt;&gt;0),-1,IF(AND(_xlpm.x&lt;&gt;0,_xlpm.y&lt;&gt;0),_xlpm.x,IF(AND(_xlpm.x-$AA274&lt;&gt;0,_xlpm.y=0),-2,_xlpm.x)))),0))</f>
        <v>-1</v>
      </c>
      <c r="T274" s="282" cm="1">
        <f t="array" aca="1" ref="T274" ca="1">IF(OR($E274="",$E274="X"),0,IFERROR(_xlfn.LET(_xlpm.x,SUM(SUM(_xlfn._xlws.FILTER(VALUE(PptoSty[Sign]&amp;1)*(1/PptoSty[Division]),(PptoSty[Division]&lt;&gt;0)*(PptoSty[Division]&lt;&gt;"")*(PptoSty[Division]&lt;&gt;"X")*(PptoSty[RowGrp]=$E274)*(ISNUMBER(FIND(PptoSty[PiColumn],T$257))),0)),$AA274),_xlpm.y,IF(_xlfn._xlws.FILTER(TbRsmIn[Alive],TbRsmIn[Enquiry No]=$E274,"X")="C",0,INDEX(INDIRECT(Mods!$B$2),MATCH($E274,INDIRECT(Mods!$B$4),0),MATCH(T$257,INDIRECT(Mods!$AL$3),0))),IF(AND(_xlpm.x=0,_xlpm.y&lt;&gt;0),-1,IF(AND(_xlpm.x&lt;&gt;0,_xlpm.y&lt;&gt;0),_xlpm.x,IF(AND(_xlpm.x-$AA274&lt;&gt;0,_xlpm.y=0),-2,_xlpm.x)))),0))</f>
        <v>-1</v>
      </c>
      <c r="U274" s="282" cm="1">
        <f t="array" aca="1" ref="U274" ca="1">IF(OR($E274="",$E274="X"),0,IFERROR(_xlfn.LET(_xlpm.x,SUM(SUM(_xlfn._xlws.FILTER(VALUE(PptoSty[Sign]&amp;1)*(1/PptoSty[Division]),(PptoSty[Division]&lt;&gt;0)*(PptoSty[Division]&lt;&gt;"")*(PptoSty[Division]&lt;&gt;"X")*(PptoSty[RowGrp]=$E274)*(ISNUMBER(FIND(PptoSty[PiColumn],U$257))),0)),$AA274),_xlpm.y,IF(_xlfn._xlws.FILTER(TbRsmIn[Alive],TbRsmIn[Enquiry No]=$E274,"X")="C",0,INDEX(INDIRECT(Mods!$B$2),MATCH($E274,INDIRECT(Mods!$B$4),0),MATCH(U$257,INDIRECT(Mods!$AL$3),0))),IF(AND(_xlpm.x=0,_xlpm.y&lt;&gt;0),-1,IF(AND(_xlpm.x&lt;&gt;0,_xlpm.y&lt;&gt;0),_xlpm.x,IF(AND(_xlpm.x-$AA274&lt;&gt;0,_xlpm.y=0),-2,_xlpm.x)))),0))</f>
        <v>0</v>
      </c>
      <c r="V274" s="282" cm="1">
        <f t="array" aca="1" ref="V274" ca="1">IF(OR($E274="",$E274="X"),0,IFERROR(_xlfn.LET(_xlpm.x,SUM(SUM(_xlfn._xlws.FILTER(VALUE(PptoSty[Sign]&amp;1)*(1/PptoSty[Division]),(PptoSty[Division]&lt;&gt;0)*(PptoSty[Division]&lt;&gt;"")*(PptoSty[Division]&lt;&gt;"X")*(PptoSty[RowGrp]=$E274)*(ISNUMBER(FIND(PptoSty[PiColumn],V$257))),0)),$AA274),_xlpm.y,IF(_xlfn._xlws.FILTER(TbRsmIn[Alive],TbRsmIn[Enquiry No]=$E274,"X")="C",0,INDEX(INDIRECT(Mods!$B$2),MATCH($E274,INDIRECT(Mods!$B$4),0),MATCH(V$257,INDIRECT(Mods!$AL$3),0))),IF(AND(_xlpm.x=0,_xlpm.y&lt;&gt;0),-1,IF(AND(_xlpm.x&lt;&gt;0,_xlpm.y&lt;&gt;0),_xlpm.x,IF(AND(_xlpm.x-$AA274&lt;&gt;0,_xlpm.y=0),-2,_xlpm.x)))),0))</f>
        <v>0</v>
      </c>
      <c r="W274" s="282" cm="1">
        <f t="array" aca="1" ref="W274" ca="1">IF(OR($E274="",$E274="X"),0,IFERROR(_xlfn.LET(_xlpm.x,SUM(SUM(_xlfn._xlws.FILTER(VALUE(PptoSty[Sign]&amp;1)*(1/PptoSty[Division]),(PptoSty[Division]&lt;&gt;0)*(PptoSty[Division]&lt;&gt;"")*(PptoSty[Division]&lt;&gt;"X")*(PptoSty[RowGrp]=$E274)*(ISNUMBER(FIND(PptoSty[PiColumn],W$257))),0)),$AA274),_xlpm.y,IF(_xlfn._xlws.FILTER(TbRsmIn[Alive],TbRsmIn[Enquiry No]=$E274,"X")="C",0,INDEX(INDIRECT(Mods!$B$2),MATCH($E274,INDIRECT(Mods!$B$4),0),MATCH(W$257,INDIRECT(Mods!$AL$3),0))),IF(AND(_xlpm.x=0,_xlpm.y&lt;&gt;0),-1,IF(AND(_xlpm.x&lt;&gt;0,_xlpm.y&lt;&gt;0),_xlpm.x,IF(AND(_xlpm.x-$AA274&lt;&gt;0,_xlpm.y=0),-2,_xlpm.x)))),0))</f>
        <v>0</v>
      </c>
      <c r="X274" s="282" cm="1">
        <f t="array" aca="1" ref="X274" ca="1">IF(OR($E274="",$E274="X"),0,IFERROR(_xlfn.LET(_xlpm.x,SUM(SUM(_xlfn._xlws.FILTER(VALUE(PptoSty[Sign]&amp;1)*(1/PptoSty[Division]),(PptoSty[Division]&lt;&gt;0)*(PptoSty[Division]&lt;&gt;"")*(PptoSty[Division]&lt;&gt;"X")*(PptoSty[RowGrp]=$E274)*(ISNUMBER(FIND(PptoSty[PiColumn],X$257))),0)),$AA274),_xlpm.y,IF(_xlfn._xlws.FILTER(TbRsmIn[Alive],TbRsmIn[Enquiry No]=$E274,"X")="C",0,INDEX(INDIRECT(Mods!$B$2),MATCH($E274,INDIRECT(Mods!$B$4),0),MATCH(X$257,INDIRECT(Mods!$AL$3),0))),IF(AND(_xlpm.x=0,_xlpm.y&lt;&gt;0),-1,IF(AND(_xlpm.x&lt;&gt;0,_xlpm.y&lt;&gt;0),_xlpm.x,IF(AND(_xlpm.x-$AA274&lt;&gt;0,_xlpm.y=0),-2,_xlpm.x)))),0))</f>
        <v>0</v>
      </c>
      <c r="Y274" s="282" cm="1">
        <f t="array" aca="1" ref="Y274" ca="1">IF(OR($E274="",$E274="X"),0,IFERROR(_xlfn.LET(_xlpm.x,SUM(SUM(_xlfn._xlws.FILTER(VALUE(PptoSty[Sign]&amp;1)*(1/PptoSty[Division]),(PptoSty[Division]&lt;&gt;0)*(PptoSty[Division]&lt;&gt;"")*(PptoSty[Division]&lt;&gt;"X")*(PptoSty[RowGrp]=$E274)*(ISNUMBER(FIND(PptoSty[PiColumn],Y$257))),0)),$AA274),_xlpm.y,IF(_xlfn._xlws.FILTER(TbRsmIn[Alive],TbRsmIn[Enquiry No]=$E274,"X")="C",0,INDEX(INDIRECT(Mods!$B$2),MATCH($E274,INDIRECT(Mods!$B$4),0),MATCH(Y$257,INDIRECT(Mods!$AL$3),0))),IF(AND(_xlpm.x=0,_xlpm.y&lt;&gt;0),-1,IF(AND(_xlpm.x&lt;&gt;0,_xlpm.y&lt;&gt;0),_xlpm.x,IF(AND(_xlpm.x-$AA274&lt;&gt;0,_xlpm.y=0),-2,_xlpm.x)))),0))</f>
        <v>-1</v>
      </c>
      <c r="Z274" s="280" t="str">
        <f t="shared" ca="1" si="8"/>
        <v>Fback!B274:Y274</v>
      </c>
      <c r="AA274" s="282" cm="1">
        <f t="array" aca="1" ref="AA274" ca="1">IF(OR($E274="",$E274="X"),0,IFERROR(SUM(_xlfn._xlws.FILTER(VALUE(#REF!&amp;1)*(1/PptoSty[PptoVsRow]),(PptoSty[PptoVsRow]&lt;&gt;0)*(PptoSty[PptoVsRow]&lt;&gt;"")*(PptoSty[PptoVsRow]&lt;&gt;"X")*(PptoSty[Num]=$E274)*(PptoSty[RowGrp]=AA$260),0)),0))</f>
        <v>0</v>
      </c>
    </row>
    <row r="275" spans="2:27" ht="21" customHeight="1" outlineLevel="1">
      <c r="B275" s="247" t="str" cm="1">
        <f t="array" ref="B275:C275">IF($E275="X","X",_xlfn._xlws.FILTER(P_SelPrj[[PrjId]:[Cia]],P_SelPrj[Attribute]=VALUE(LEFT($E275,1)),"X"))</f>
        <v>31200</v>
      </c>
      <c r="C275" s="247" t="str">
        <v>Sp</v>
      </c>
      <c r="D275" s="247" t="s">
        <v>375</v>
      </c>
      <c r="E275" s="247" t="str" cm="1">
        <f t="array" ref="E275">_xlfn.LET(_xlpm.x,IFERROR(INDEX(TbRsmIn[Enquiry No],SUM(ROW()-MATCH("SOM",$A:$A,0))),"X"),IF(_xlpm.x=0,"X",_xlpm.x))</f>
        <v>0CT015</v>
      </c>
      <c r="F275" s="413" t="str" cm="1">
        <f t="array" ref="F275">_xlfn._xlws.FILTER(CstClcData[Value],(CstClcData[Attribute]="Concept")*(CstClcData[Name]=$E275),"X")</f>
        <v>Impact on Mig Welding process from Product changes 20241216</v>
      </c>
      <c r="G275" s="281"/>
      <c r="H275" s="281"/>
      <c r="I275" s="282" cm="1">
        <f t="array" aca="1" ref="I275" ca="1">IF(OR($E275="",$E275="X"),0,IFERROR(_xlfn.LET(_xlpm.x,SUM(SUM(_xlfn._xlws.FILTER(VALUE(PptoSty[Sign]&amp;1)*(1/PptoSty[Division]),(PptoSty[Division]&lt;&gt;0)*(PptoSty[Division]&lt;&gt;"")*(PptoSty[Division]&lt;&gt;"X")*(PptoSty[RowGrp]=$E275)*(ISNUMBER(FIND(PptoSty[PiColumn],I$257))),0)),$AA275),_xlpm.y,IF(_xlfn._xlws.FILTER(TbRsmIn[Alive],TbRsmIn[Enquiry No]=$E275,"X")="C",0,INDEX(INDIRECT(Mods!$B$2),MATCH($E275,INDIRECT(Mods!$B$4),0),MATCH(I$257,INDIRECT(Mods!$AL$3),0))),IF(AND(_xlpm.x=0,_xlpm.y&lt;&gt;0),-1,IF(AND(_xlpm.x&lt;&gt;0,_xlpm.y&lt;&gt;0),_xlpm.x,IF(AND(_xlpm.x-$AA275&lt;&gt;0,_xlpm.y=0),-2,_xlpm.x)))),0))</f>
        <v>-1</v>
      </c>
      <c r="J275" s="282" cm="1">
        <f t="array" aca="1" ref="J275" ca="1">IF(OR($E275="",$E275="X"),0,IFERROR(_xlfn.LET(_xlpm.x,SUM(SUM(_xlfn._xlws.FILTER(VALUE(PptoSty[Sign]&amp;1)*(1/PptoSty[Division]),(PptoSty[Division]&lt;&gt;0)*(PptoSty[Division]&lt;&gt;"")*(PptoSty[Division]&lt;&gt;"X")*(PptoSty[RowGrp]=$E275)*(ISNUMBER(FIND(PptoSty[PiColumn],J$257))),0)),$AA275),_xlpm.y,IF(_xlfn._xlws.FILTER(TbRsmIn[Alive],TbRsmIn[Enquiry No]=$E275,"X")="C",0,INDEX(INDIRECT(Mods!$B$2),MATCH($E275,INDIRECT(Mods!$B$4),0),MATCH(J$257,INDIRECT(Mods!$AL$3),0))),IF(AND(_xlpm.x=0,_xlpm.y&lt;&gt;0),-1,IF(AND(_xlpm.x&lt;&gt;0,_xlpm.y&lt;&gt;0),_xlpm.x,IF(AND(_xlpm.x-$AA275&lt;&gt;0,_xlpm.y=0),-2,_xlpm.x)))),0))</f>
        <v>-1</v>
      </c>
      <c r="K275" s="282" cm="1">
        <f t="array" aca="1" ref="K275" ca="1">IF(OR($E275="",$E275="X"),0,IFERROR(_xlfn.LET(_xlpm.x,SUM(SUM(_xlfn._xlws.FILTER(VALUE(PptoSty[Sign]&amp;1)*(1/PptoSty[Division]),(PptoSty[Division]&lt;&gt;0)*(PptoSty[Division]&lt;&gt;"")*(PptoSty[Division]&lt;&gt;"X")*(PptoSty[RowGrp]=$E275)*(ISNUMBER(FIND(PptoSty[PiColumn],K$257))),0)),$AA275),_xlpm.y,IF(_xlfn._xlws.FILTER(TbRsmIn[Alive],TbRsmIn[Enquiry No]=$E275,"X")="C",0,INDEX(INDIRECT(Mods!$B$2),MATCH($E275,INDIRECT(Mods!$B$4),0),MATCH(K$257,INDIRECT(Mods!$AL$3),0))),IF(AND(_xlpm.x=0,_xlpm.y&lt;&gt;0),-1,IF(AND(_xlpm.x&lt;&gt;0,_xlpm.y&lt;&gt;0),_xlpm.x,IF(AND(_xlpm.x-$AA275&lt;&gt;0,_xlpm.y=0),-2,_xlpm.x)))),0))</f>
        <v>-1</v>
      </c>
      <c r="L275" s="282" cm="1">
        <f t="array" aca="1" ref="L275" ca="1">IF(OR($E275="",$E275="X"),0,IFERROR(_xlfn.LET(_xlpm.x,SUM(SUM(_xlfn._xlws.FILTER(VALUE(PptoSty[Sign]&amp;1)*(1/PptoSty[Division]),(PptoSty[Division]&lt;&gt;0)*(PptoSty[Division]&lt;&gt;"")*(PptoSty[Division]&lt;&gt;"X")*(PptoSty[RowGrp]=$E275)*(ISNUMBER(FIND(PptoSty[PiColumn],L$257))),0)),$AA275),_xlpm.y,IF(_xlfn._xlws.FILTER(TbRsmIn[Alive],TbRsmIn[Enquiry No]=$E275,"X")="C",0,INDEX(INDIRECT(Mods!$B$2),MATCH($E275,INDIRECT(Mods!$B$4),0),MATCH(L$257,INDIRECT(Mods!$AL$3),0))),IF(AND(_xlpm.x=0,_xlpm.y&lt;&gt;0),-1,IF(AND(_xlpm.x&lt;&gt;0,_xlpm.y&lt;&gt;0),_xlpm.x,IF(AND(_xlpm.x-$AA275&lt;&gt;0,_xlpm.y=0),-2,_xlpm.x)))),0))</f>
        <v>-1</v>
      </c>
      <c r="M275" s="282" cm="1">
        <f t="array" aca="1" ref="M275" ca="1">IF(OR($E275="",$E275="X"),0,IFERROR(_xlfn.LET(_xlpm.x,SUM(SUM(_xlfn._xlws.FILTER(VALUE(PptoSty[Sign]&amp;1)*(1/PptoSty[Division]),(PptoSty[Division]&lt;&gt;0)*(PptoSty[Division]&lt;&gt;"")*(PptoSty[Division]&lt;&gt;"X")*(PptoSty[RowGrp]=$E275)*(ISNUMBER(FIND(PptoSty[PiColumn],M$257))),0)),$AA275),_xlpm.y,IF(_xlfn._xlws.FILTER(TbRsmIn[Alive],TbRsmIn[Enquiry No]=$E275,"X")="C",0,INDEX(INDIRECT(Mods!$B$2),MATCH($E275,INDIRECT(Mods!$B$4),0),MATCH(M$257,INDIRECT(Mods!$AL$3),0))),IF(AND(_xlpm.x=0,_xlpm.y&lt;&gt;0),-1,IF(AND(_xlpm.x&lt;&gt;0,_xlpm.y&lt;&gt;0),_xlpm.x,IF(AND(_xlpm.x-$AA275&lt;&gt;0,_xlpm.y=0),-2,_xlpm.x)))),0))</f>
        <v>-1</v>
      </c>
      <c r="N275" s="282" cm="1">
        <f t="array" aca="1" ref="N275" ca="1">IF(OR($E275="",$E275="X"),0,IFERROR(_xlfn.LET(_xlpm.x,SUM(SUM(_xlfn._xlws.FILTER(VALUE(PptoSty[Sign]&amp;1)*(1/PptoSty[Division]),(PptoSty[Division]&lt;&gt;0)*(PptoSty[Division]&lt;&gt;"")*(PptoSty[Division]&lt;&gt;"X")*(PptoSty[RowGrp]=$E275)*(ISNUMBER(FIND(PptoSty[PiColumn],N$257))),0)),$AA275),_xlpm.y,IF(_xlfn._xlws.FILTER(TbRsmIn[Alive],TbRsmIn[Enquiry No]=$E275,"X")="C",0,INDEX(INDIRECT(Mods!$B$2),MATCH($E275,INDIRECT(Mods!$B$4),0),MATCH(N$257,INDIRECT(Mods!$AL$3),0))),IF(AND(_xlpm.x=0,_xlpm.y&lt;&gt;0),-1,IF(AND(_xlpm.x&lt;&gt;0,_xlpm.y&lt;&gt;0),_xlpm.x,IF(AND(_xlpm.x-$AA275&lt;&gt;0,_xlpm.y=0),-2,_xlpm.x)))),0))</f>
        <v>0</v>
      </c>
      <c r="O275" s="282" cm="1">
        <f t="array" aca="1" ref="O275" ca="1">IF(OR($E275="",$E275="X"),0,IFERROR(_xlfn.LET(_xlpm.x,SUM(SUM(_xlfn._xlws.FILTER(VALUE(PptoSty[Sign]&amp;1)*(1/PptoSty[Division]),(PptoSty[Division]&lt;&gt;0)*(PptoSty[Division]&lt;&gt;"")*(PptoSty[Division]&lt;&gt;"X")*(PptoSty[RowGrp]=$E275)*(ISNUMBER(FIND(PptoSty[PiColumn],O$257))),0)),$AA275),_xlpm.y,IF(_xlfn._xlws.FILTER(TbRsmIn[Alive],TbRsmIn[Enquiry No]=$E275,"X")="C",0,INDEX(INDIRECT(Mods!$B$2),MATCH($E275,INDIRECT(Mods!$B$4),0),MATCH(O$257,INDIRECT(Mods!$AL$3),0))),IF(AND(_xlpm.x=0,_xlpm.y&lt;&gt;0),-1,IF(AND(_xlpm.x&lt;&gt;0,_xlpm.y&lt;&gt;0),_xlpm.x,IF(AND(_xlpm.x-$AA275&lt;&gt;0,_xlpm.y=0),-2,_xlpm.x)))),0))</f>
        <v>0</v>
      </c>
      <c r="P275" s="282" cm="1">
        <f t="array" aca="1" ref="P275" ca="1">IF(OR($E275="",$E275="X"),0,IFERROR(_xlfn.LET(_xlpm.x,SUM(SUM(_xlfn._xlws.FILTER(VALUE(PptoSty[Sign]&amp;1)*(1/PptoSty[Division]),(PptoSty[Division]&lt;&gt;0)*(PptoSty[Division]&lt;&gt;"")*(PptoSty[Division]&lt;&gt;"X")*(PptoSty[RowGrp]=$E275)*(ISNUMBER(FIND(PptoSty[PiColumn],P$257))),0)),$AA275),_xlpm.y,IF(_xlfn._xlws.FILTER(TbRsmIn[Alive],TbRsmIn[Enquiry No]=$E275,"X")="C",0,INDEX(INDIRECT(Mods!$B$2),MATCH($E275,INDIRECT(Mods!$B$4),0),MATCH(P$257,INDIRECT(Mods!$AL$3),0))),IF(AND(_xlpm.x=0,_xlpm.y&lt;&gt;0),-1,IF(AND(_xlpm.x&lt;&gt;0,_xlpm.y&lt;&gt;0),_xlpm.x,IF(AND(_xlpm.x-$AA275&lt;&gt;0,_xlpm.y=0),-2,_xlpm.x)))),0))</f>
        <v>-1</v>
      </c>
      <c r="Q275" s="282" cm="1">
        <f t="array" aca="1" ref="Q275" ca="1">IF(OR($E275="",$E275="X"),0,IFERROR(_xlfn.LET(_xlpm.x,SUM(SUM(_xlfn._xlws.FILTER(VALUE(PptoSty[Sign]&amp;1)*(1/PptoSty[Division]),(PptoSty[Division]&lt;&gt;0)*(PptoSty[Division]&lt;&gt;"")*(PptoSty[Division]&lt;&gt;"X")*(PptoSty[RowGrp]=$E275)*(ISNUMBER(FIND(PptoSty[PiColumn],Q$257))),0)),$AA275),_xlpm.y,IF(_xlfn._xlws.FILTER(TbRsmIn[Alive],TbRsmIn[Enquiry No]=$E275,"X")="C",0,INDEX(INDIRECT(Mods!$B$2),MATCH($E275,INDIRECT(Mods!$B$4),0),MATCH(Q$257,INDIRECT(Mods!$AL$3),0))),IF(AND(_xlpm.x=0,_xlpm.y&lt;&gt;0),-1,IF(AND(_xlpm.x&lt;&gt;0,_xlpm.y&lt;&gt;0),_xlpm.x,IF(AND(_xlpm.x-$AA275&lt;&gt;0,_xlpm.y=0),-2,_xlpm.x)))),0))</f>
        <v>-1</v>
      </c>
      <c r="R275" s="282" cm="1">
        <f t="array" aca="1" ref="R275" ca="1">IF(OR($E275="",$E275="X"),0,IFERROR(_xlfn.LET(_xlpm.x,SUM(SUM(_xlfn._xlws.FILTER(VALUE(PptoSty[Sign]&amp;1)*(1/PptoSty[Division]),(PptoSty[Division]&lt;&gt;0)*(PptoSty[Division]&lt;&gt;"")*(PptoSty[Division]&lt;&gt;"X")*(PptoSty[RowGrp]=$E275)*(ISNUMBER(FIND(PptoSty[PiColumn],R$257))),0)),$AA275),_xlpm.y,IF(_xlfn._xlws.FILTER(TbRsmIn[Alive],TbRsmIn[Enquiry No]=$E275,"X")="C",0,INDEX(INDIRECT(Mods!$B$2),MATCH($E275,INDIRECT(Mods!$B$4),0),MATCH(R$257,INDIRECT(Mods!$AL$3),0))),IF(AND(_xlpm.x=0,_xlpm.y&lt;&gt;0),-1,IF(AND(_xlpm.x&lt;&gt;0,_xlpm.y&lt;&gt;0),_xlpm.x,IF(AND(_xlpm.x-$AA275&lt;&gt;0,_xlpm.y=0),-2,_xlpm.x)))),0))</f>
        <v>-1</v>
      </c>
      <c r="S275" s="282" cm="1">
        <f t="array" aca="1" ref="S275" ca="1">IF(OR($E275="",$E275="X"),0,IFERROR(_xlfn.LET(_xlpm.x,SUM(SUM(_xlfn._xlws.FILTER(VALUE(PptoSty[Sign]&amp;1)*(1/PptoSty[Division]),(PptoSty[Division]&lt;&gt;0)*(PptoSty[Division]&lt;&gt;"")*(PptoSty[Division]&lt;&gt;"X")*(PptoSty[RowGrp]=$E275)*(ISNUMBER(FIND(PptoSty[PiColumn],S$257))),0)),$AA275),_xlpm.y,IF(_xlfn._xlws.FILTER(TbRsmIn[Alive],TbRsmIn[Enquiry No]=$E275,"X")="C",0,INDEX(INDIRECT(Mods!$B$2),MATCH($E275,INDIRECT(Mods!$B$4),0),MATCH(S$257,INDIRECT(Mods!$AL$3),0))),IF(AND(_xlpm.x=0,_xlpm.y&lt;&gt;0),-1,IF(AND(_xlpm.x&lt;&gt;0,_xlpm.y&lt;&gt;0),_xlpm.x,IF(AND(_xlpm.x-$AA275&lt;&gt;0,_xlpm.y=0),-2,_xlpm.x)))),0))</f>
        <v>-1</v>
      </c>
      <c r="T275" s="282" cm="1">
        <f t="array" aca="1" ref="T275" ca="1">IF(OR($E275="",$E275="X"),0,IFERROR(_xlfn.LET(_xlpm.x,SUM(SUM(_xlfn._xlws.FILTER(VALUE(PptoSty[Sign]&amp;1)*(1/PptoSty[Division]),(PptoSty[Division]&lt;&gt;0)*(PptoSty[Division]&lt;&gt;"")*(PptoSty[Division]&lt;&gt;"X")*(PptoSty[RowGrp]=$E275)*(ISNUMBER(FIND(PptoSty[PiColumn],T$257))),0)),$AA275),_xlpm.y,IF(_xlfn._xlws.FILTER(TbRsmIn[Alive],TbRsmIn[Enquiry No]=$E275,"X")="C",0,INDEX(INDIRECT(Mods!$B$2),MATCH($E275,INDIRECT(Mods!$B$4),0),MATCH(T$257,INDIRECT(Mods!$AL$3),0))),IF(AND(_xlpm.x=0,_xlpm.y&lt;&gt;0),-1,IF(AND(_xlpm.x&lt;&gt;0,_xlpm.y&lt;&gt;0),_xlpm.x,IF(AND(_xlpm.x-$AA275&lt;&gt;0,_xlpm.y=0),-2,_xlpm.x)))),0))</f>
        <v>0</v>
      </c>
      <c r="U275" s="282" cm="1">
        <f t="array" aca="1" ref="U275" ca="1">IF(OR($E275="",$E275="X"),0,IFERROR(_xlfn.LET(_xlpm.x,SUM(SUM(_xlfn._xlws.FILTER(VALUE(PptoSty[Sign]&amp;1)*(1/PptoSty[Division]),(PptoSty[Division]&lt;&gt;0)*(PptoSty[Division]&lt;&gt;"")*(PptoSty[Division]&lt;&gt;"X")*(PptoSty[RowGrp]=$E275)*(ISNUMBER(FIND(PptoSty[PiColumn],U$257))),0)),$AA275),_xlpm.y,IF(_xlfn._xlws.FILTER(TbRsmIn[Alive],TbRsmIn[Enquiry No]=$E275,"X")="C",0,INDEX(INDIRECT(Mods!$B$2),MATCH($E275,INDIRECT(Mods!$B$4),0),MATCH(U$257,INDIRECT(Mods!$AL$3),0))),IF(AND(_xlpm.x=0,_xlpm.y&lt;&gt;0),-1,IF(AND(_xlpm.x&lt;&gt;0,_xlpm.y&lt;&gt;0),_xlpm.x,IF(AND(_xlpm.x-$AA275&lt;&gt;0,_xlpm.y=0),-2,_xlpm.x)))),0))</f>
        <v>0</v>
      </c>
      <c r="V275" s="282" cm="1">
        <f t="array" aca="1" ref="V275" ca="1">IF(OR($E275="",$E275="X"),0,IFERROR(_xlfn.LET(_xlpm.x,SUM(SUM(_xlfn._xlws.FILTER(VALUE(PptoSty[Sign]&amp;1)*(1/PptoSty[Division]),(PptoSty[Division]&lt;&gt;0)*(PptoSty[Division]&lt;&gt;"")*(PptoSty[Division]&lt;&gt;"X")*(PptoSty[RowGrp]=$E275)*(ISNUMBER(FIND(PptoSty[PiColumn],V$257))),0)),$AA275),_xlpm.y,IF(_xlfn._xlws.FILTER(TbRsmIn[Alive],TbRsmIn[Enquiry No]=$E275,"X")="C",0,INDEX(INDIRECT(Mods!$B$2),MATCH($E275,INDIRECT(Mods!$B$4),0),MATCH(V$257,INDIRECT(Mods!$AL$3),0))),IF(AND(_xlpm.x=0,_xlpm.y&lt;&gt;0),-1,IF(AND(_xlpm.x&lt;&gt;0,_xlpm.y&lt;&gt;0),_xlpm.x,IF(AND(_xlpm.x-$AA275&lt;&gt;0,_xlpm.y=0),-2,_xlpm.x)))),0))</f>
        <v>-1</v>
      </c>
      <c r="W275" s="282" cm="1">
        <f t="array" aca="1" ref="W275" ca="1">IF(OR($E275="",$E275="X"),0,IFERROR(_xlfn.LET(_xlpm.x,SUM(SUM(_xlfn._xlws.FILTER(VALUE(PptoSty[Sign]&amp;1)*(1/PptoSty[Division]),(PptoSty[Division]&lt;&gt;0)*(PptoSty[Division]&lt;&gt;"")*(PptoSty[Division]&lt;&gt;"X")*(PptoSty[RowGrp]=$E275)*(ISNUMBER(FIND(PptoSty[PiColumn],W$257))),0)),$AA275),_xlpm.y,IF(_xlfn._xlws.FILTER(TbRsmIn[Alive],TbRsmIn[Enquiry No]=$E275,"X")="C",0,INDEX(INDIRECT(Mods!$B$2),MATCH($E275,INDIRECT(Mods!$B$4),0),MATCH(W$257,INDIRECT(Mods!$AL$3),0))),IF(AND(_xlpm.x=0,_xlpm.y&lt;&gt;0),-1,IF(AND(_xlpm.x&lt;&gt;0,_xlpm.y&lt;&gt;0),_xlpm.x,IF(AND(_xlpm.x-$AA275&lt;&gt;0,_xlpm.y=0),-2,_xlpm.x)))),0))</f>
        <v>-1</v>
      </c>
      <c r="X275" s="282" cm="1">
        <f t="array" aca="1" ref="X275" ca="1">IF(OR($E275="",$E275="X"),0,IFERROR(_xlfn.LET(_xlpm.x,SUM(SUM(_xlfn._xlws.FILTER(VALUE(PptoSty[Sign]&amp;1)*(1/PptoSty[Division]),(PptoSty[Division]&lt;&gt;0)*(PptoSty[Division]&lt;&gt;"")*(PptoSty[Division]&lt;&gt;"X")*(PptoSty[RowGrp]=$E275)*(ISNUMBER(FIND(PptoSty[PiColumn],X$257))),0)),$AA275),_xlpm.y,IF(_xlfn._xlws.FILTER(TbRsmIn[Alive],TbRsmIn[Enquiry No]=$E275,"X")="C",0,INDEX(INDIRECT(Mods!$B$2),MATCH($E275,INDIRECT(Mods!$B$4),0),MATCH(X$257,INDIRECT(Mods!$AL$3),0))),IF(AND(_xlpm.x=0,_xlpm.y&lt;&gt;0),-1,IF(AND(_xlpm.x&lt;&gt;0,_xlpm.y&lt;&gt;0),_xlpm.x,IF(AND(_xlpm.x-$AA275&lt;&gt;0,_xlpm.y=0),-2,_xlpm.x)))),0))</f>
        <v>0</v>
      </c>
      <c r="Y275" s="282" cm="1">
        <f t="array" aca="1" ref="Y275" ca="1">IF(OR($E275="",$E275="X"),0,IFERROR(_xlfn.LET(_xlpm.x,SUM(SUM(_xlfn._xlws.FILTER(VALUE(PptoSty[Sign]&amp;1)*(1/PptoSty[Division]),(PptoSty[Division]&lt;&gt;0)*(PptoSty[Division]&lt;&gt;"")*(PptoSty[Division]&lt;&gt;"X")*(PptoSty[RowGrp]=$E275)*(ISNUMBER(FIND(PptoSty[PiColumn],Y$257))),0)),$AA275),_xlpm.y,IF(_xlfn._xlws.FILTER(TbRsmIn[Alive],TbRsmIn[Enquiry No]=$E275,"X")="C",0,INDEX(INDIRECT(Mods!$B$2),MATCH($E275,INDIRECT(Mods!$B$4),0),MATCH(Y$257,INDIRECT(Mods!$AL$3),0))),IF(AND(_xlpm.x=0,_xlpm.y&lt;&gt;0),-1,IF(AND(_xlpm.x&lt;&gt;0,_xlpm.y&lt;&gt;0),_xlpm.x,IF(AND(_xlpm.x-$AA275&lt;&gt;0,_xlpm.y=0),-2,_xlpm.x)))),0))</f>
        <v>0</v>
      </c>
      <c r="Z275" s="280" t="str">
        <f t="shared" ca="1" si="8"/>
        <v>Fback!B275:Y275</v>
      </c>
      <c r="AA275" s="282" cm="1">
        <f t="array" aca="1" ref="AA275" ca="1">IF(OR($E275="",$E275="X"),0,IFERROR(SUM(_xlfn._xlws.FILTER(VALUE(#REF!&amp;1)*(1/PptoSty[PptoVsRow]),(PptoSty[PptoVsRow]&lt;&gt;0)*(PptoSty[PptoVsRow]&lt;&gt;"")*(PptoSty[PptoVsRow]&lt;&gt;"X")*(PptoSty[Num]=$E275)*(PptoSty[RowGrp]=AA$260),0)),0))</f>
        <v>0</v>
      </c>
    </row>
    <row r="276" spans="2:27" ht="21" customHeight="1" outlineLevel="1">
      <c r="B276" s="247" t="str" cm="1">
        <f t="array" ref="B276:C276">IF($E276="X","X",_xlfn._xlws.FILTER(P_SelPrj[[PrjId]:[Cia]],P_SelPrj[Attribute]=VALUE(LEFT($E276,1)),"X"))</f>
        <v>31200</v>
      </c>
      <c r="C276" s="247" t="str">
        <v>Sp</v>
      </c>
      <c r="D276" s="247" t="s">
        <v>375</v>
      </c>
      <c r="E276" s="247" t="str" cm="1">
        <f t="array" ref="E276">_xlfn.LET(_xlpm.x,IFERROR(INDEX(TbRsmIn[Enquiry No],SUM(ROW()-MATCH("SOM",$A:$A,0))),"X"),IF(_xlpm.x=0,"X",_xlpm.x))</f>
        <v>0CT016</v>
      </c>
      <c r="F276" s="413" t="str" cm="1">
        <f t="array" ref="F276">_xlfn._xlws.FILTER(CstClcData[Value],(CstClcData[Attribute]="Concept")*(CstClcData[Name]=$E276),"X")</f>
        <v>Impact on Programe and commissioning from Product changes 20241216 ECR 5883</v>
      </c>
      <c r="G276" s="281"/>
      <c r="H276" s="281"/>
      <c r="I276" s="282" cm="1">
        <f t="array" aca="1" ref="I276" ca="1">IF(OR($E276="",$E276="X"),0,IFERROR(_xlfn.LET(_xlpm.x,SUM(SUM(_xlfn._xlws.FILTER(VALUE(PptoSty[Sign]&amp;1)*(1/PptoSty[Division]),(PptoSty[Division]&lt;&gt;0)*(PptoSty[Division]&lt;&gt;"")*(PptoSty[Division]&lt;&gt;"X")*(PptoSty[RowGrp]=$E276)*(ISNUMBER(FIND(PptoSty[PiColumn],I$257))),0)),$AA276),_xlpm.y,IF(_xlfn._xlws.FILTER(TbRsmIn[Alive],TbRsmIn[Enquiry No]=$E276,"X")="C",0,INDEX(INDIRECT(Mods!$B$2),MATCH($E276,INDIRECT(Mods!$B$4),0),MATCH(I$257,INDIRECT(Mods!$AL$3),0))),IF(AND(_xlpm.x=0,_xlpm.y&lt;&gt;0),-1,IF(AND(_xlpm.x&lt;&gt;0,_xlpm.y&lt;&gt;0),_xlpm.x,IF(AND(_xlpm.x-$AA276&lt;&gt;0,_xlpm.y=0),-2,_xlpm.x)))),0))</f>
        <v>0</v>
      </c>
      <c r="J276" s="282" cm="1">
        <f t="array" aca="1" ref="J276" ca="1">IF(OR($E276="",$E276="X"),0,IFERROR(_xlfn.LET(_xlpm.x,SUM(SUM(_xlfn._xlws.FILTER(VALUE(PptoSty[Sign]&amp;1)*(1/PptoSty[Division]),(PptoSty[Division]&lt;&gt;0)*(PptoSty[Division]&lt;&gt;"")*(PptoSty[Division]&lt;&gt;"X")*(PptoSty[RowGrp]=$E276)*(ISNUMBER(FIND(PptoSty[PiColumn],J$257))),0)),$AA276),_xlpm.y,IF(_xlfn._xlws.FILTER(TbRsmIn[Alive],TbRsmIn[Enquiry No]=$E276,"X")="C",0,INDEX(INDIRECT(Mods!$B$2),MATCH($E276,INDIRECT(Mods!$B$4),0),MATCH(J$257,INDIRECT(Mods!$AL$3),0))),IF(AND(_xlpm.x=0,_xlpm.y&lt;&gt;0),-1,IF(AND(_xlpm.x&lt;&gt;0,_xlpm.y&lt;&gt;0),_xlpm.x,IF(AND(_xlpm.x-$AA276&lt;&gt;0,_xlpm.y=0),-2,_xlpm.x)))),0))</f>
        <v>0</v>
      </c>
      <c r="K276" s="282" cm="1">
        <f t="array" aca="1" ref="K276" ca="1">IF(OR($E276="",$E276="X"),0,IFERROR(_xlfn.LET(_xlpm.x,SUM(SUM(_xlfn._xlws.FILTER(VALUE(PptoSty[Sign]&amp;1)*(1/PptoSty[Division]),(PptoSty[Division]&lt;&gt;0)*(PptoSty[Division]&lt;&gt;"")*(PptoSty[Division]&lt;&gt;"X")*(PptoSty[RowGrp]=$E276)*(ISNUMBER(FIND(PptoSty[PiColumn],K$257))),0)),$AA276),_xlpm.y,IF(_xlfn._xlws.FILTER(TbRsmIn[Alive],TbRsmIn[Enquiry No]=$E276,"X")="C",0,INDEX(INDIRECT(Mods!$B$2),MATCH($E276,INDIRECT(Mods!$B$4),0),MATCH(K$257,INDIRECT(Mods!$AL$3),0))),IF(AND(_xlpm.x=0,_xlpm.y&lt;&gt;0),-1,IF(AND(_xlpm.x&lt;&gt;0,_xlpm.y&lt;&gt;0),_xlpm.x,IF(AND(_xlpm.x-$AA276&lt;&gt;0,_xlpm.y=0),-2,_xlpm.x)))),0))</f>
        <v>0</v>
      </c>
      <c r="L276" s="282" cm="1">
        <f t="array" aca="1" ref="L276" ca="1">IF(OR($E276="",$E276="X"),0,IFERROR(_xlfn.LET(_xlpm.x,SUM(SUM(_xlfn._xlws.FILTER(VALUE(PptoSty[Sign]&amp;1)*(1/PptoSty[Division]),(PptoSty[Division]&lt;&gt;0)*(PptoSty[Division]&lt;&gt;"")*(PptoSty[Division]&lt;&gt;"X")*(PptoSty[RowGrp]=$E276)*(ISNUMBER(FIND(PptoSty[PiColumn],L$257))),0)),$AA276),_xlpm.y,IF(_xlfn._xlws.FILTER(TbRsmIn[Alive],TbRsmIn[Enquiry No]=$E276,"X")="C",0,INDEX(INDIRECT(Mods!$B$2),MATCH($E276,INDIRECT(Mods!$B$4),0),MATCH(L$257,INDIRECT(Mods!$AL$3),0))),IF(AND(_xlpm.x=0,_xlpm.y&lt;&gt;0),-1,IF(AND(_xlpm.x&lt;&gt;0,_xlpm.y&lt;&gt;0),_xlpm.x,IF(AND(_xlpm.x-$AA276&lt;&gt;0,_xlpm.y=0),-2,_xlpm.x)))),0))</f>
        <v>0</v>
      </c>
      <c r="M276" s="282" cm="1">
        <f t="array" aca="1" ref="M276" ca="1">IF(OR($E276="",$E276="X"),0,IFERROR(_xlfn.LET(_xlpm.x,SUM(SUM(_xlfn._xlws.FILTER(VALUE(PptoSty[Sign]&amp;1)*(1/PptoSty[Division]),(PptoSty[Division]&lt;&gt;0)*(PptoSty[Division]&lt;&gt;"")*(PptoSty[Division]&lt;&gt;"X")*(PptoSty[RowGrp]=$E276)*(ISNUMBER(FIND(PptoSty[PiColumn],M$257))),0)),$AA276),_xlpm.y,IF(_xlfn._xlws.FILTER(TbRsmIn[Alive],TbRsmIn[Enquiry No]=$E276,"X")="C",0,INDEX(INDIRECT(Mods!$B$2),MATCH($E276,INDIRECT(Mods!$B$4),0),MATCH(M$257,INDIRECT(Mods!$AL$3),0))),IF(AND(_xlpm.x=0,_xlpm.y&lt;&gt;0),-1,IF(AND(_xlpm.x&lt;&gt;0,_xlpm.y&lt;&gt;0),_xlpm.x,IF(AND(_xlpm.x-$AA276&lt;&gt;0,_xlpm.y=0),-2,_xlpm.x)))),0))</f>
        <v>-1</v>
      </c>
      <c r="N276" s="282" cm="1">
        <f t="array" aca="1" ref="N276" ca="1">IF(OR($E276="",$E276="X"),0,IFERROR(_xlfn.LET(_xlpm.x,SUM(SUM(_xlfn._xlws.FILTER(VALUE(PptoSty[Sign]&amp;1)*(1/PptoSty[Division]),(PptoSty[Division]&lt;&gt;0)*(PptoSty[Division]&lt;&gt;"")*(PptoSty[Division]&lt;&gt;"X")*(PptoSty[RowGrp]=$E276)*(ISNUMBER(FIND(PptoSty[PiColumn],N$257))),0)),$AA276),_xlpm.y,IF(_xlfn._xlws.FILTER(TbRsmIn[Alive],TbRsmIn[Enquiry No]=$E276,"X")="C",0,INDEX(INDIRECT(Mods!$B$2),MATCH($E276,INDIRECT(Mods!$B$4),0),MATCH(N$257,INDIRECT(Mods!$AL$3),0))),IF(AND(_xlpm.x=0,_xlpm.y&lt;&gt;0),-1,IF(AND(_xlpm.x&lt;&gt;0,_xlpm.y&lt;&gt;0),_xlpm.x,IF(AND(_xlpm.x-$AA276&lt;&gt;0,_xlpm.y=0),-2,_xlpm.x)))),0))</f>
        <v>0</v>
      </c>
      <c r="O276" s="282" cm="1">
        <f t="array" aca="1" ref="O276" ca="1">IF(OR($E276="",$E276="X"),0,IFERROR(_xlfn.LET(_xlpm.x,SUM(SUM(_xlfn._xlws.FILTER(VALUE(PptoSty[Sign]&amp;1)*(1/PptoSty[Division]),(PptoSty[Division]&lt;&gt;0)*(PptoSty[Division]&lt;&gt;"")*(PptoSty[Division]&lt;&gt;"X")*(PptoSty[RowGrp]=$E276)*(ISNUMBER(FIND(PptoSty[PiColumn],O$257))),0)),$AA276),_xlpm.y,IF(_xlfn._xlws.FILTER(TbRsmIn[Alive],TbRsmIn[Enquiry No]=$E276,"X")="C",0,INDEX(INDIRECT(Mods!$B$2),MATCH($E276,INDIRECT(Mods!$B$4),0),MATCH(O$257,INDIRECT(Mods!$AL$3),0))),IF(AND(_xlpm.x=0,_xlpm.y&lt;&gt;0),-1,IF(AND(_xlpm.x&lt;&gt;0,_xlpm.y&lt;&gt;0),_xlpm.x,IF(AND(_xlpm.x-$AA276&lt;&gt;0,_xlpm.y=0),-2,_xlpm.x)))),0))</f>
        <v>-1</v>
      </c>
      <c r="P276" s="282" cm="1">
        <f t="array" aca="1" ref="P276" ca="1">IF(OR($E276="",$E276="X"),0,IFERROR(_xlfn.LET(_xlpm.x,SUM(SUM(_xlfn._xlws.FILTER(VALUE(PptoSty[Sign]&amp;1)*(1/PptoSty[Division]),(PptoSty[Division]&lt;&gt;0)*(PptoSty[Division]&lt;&gt;"")*(PptoSty[Division]&lt;&gt;"X")*(PptoSty[RowGrp]=$E276)*(ISNUMBER(FIND(PptoSty[PiColumn],P$257))),0)),$AA276),_xlpm.y,IF(_xlfn._xlws.FILTER(TbRsmIn[Alive],TbRsmIn[Enquiry No]=$E276,"X")="C",0,INDEX(INDIRECT(Mods!$B$2),MATCH($E276,INDIRECT(Mods!$B$4),0),MATCH(P$257,INDIRECT(Mods!$AL$3),0))),IF(AND(_xlpm.x=0,_xlpm.y&lt;&gt;0),-1,IF(AND(_xlpm.x&lt;&gt;0,_xlpm.y&lt;&gt;0),_xlpm.x,IF(AND(_xlpm.x-$AA276&lt;&gt;0,_xlpm.y=0),-2,_xlpm.x)))),0))</f>
        <v>0</v>
      </c>
      <c r="Q276" s="282" cm="1">
        <f t="array" aca="1" ref="Q276" ca="1">IF(OR($E276="",$E276="X"),0,IFERROR(_xlfn.LET(_xlpm.x,SUM(SUM(_xlfn._xlws.FILTER(VALUE(PptoSty[Sign]&amp;1)*(1/PptoSty[Division]),(PptoSty[Division]&lt;&gt;0)*(PptoSty[Division]&lt;&gt;"")*(PptoSty[Division]&lt;&gt;"X")*(PptoSty[RowGrp]=$E276)*(ISNUMBER(FIND(PptoSty[PiColumn],Q$257))),0)),$AA276),_xlpm.y,IF(_xlfn._xlws.FILTER(TbRsmIn[Alive],TbRsmIn[Enquiry No]=$E276,"X")="C",0,INDEX(INDIRECT(Mods!$B$2),MATCH($E276,INDIRECT(Mods!$B$4),0),MATCH(Q$257,INDIRECT(Mods!$AL$3),0))),IF(AND(_xlpm.x=0,_xlpm.y&lt;&gt;0),-1,IF(AND(_xlpm.x&lt;&gt;0,_xlpm.y&lt;&gt;0),_xlpm.x,IF(AND(_xlpm.x-$AA276&lt;&gt;0,_xlpm.y=0),-2,_xlpm.x)))),0))</f>
        <v>-1</v>
      </c>
      <c r="R276" s="282" cm="1">
        <f t="array" aca="1" ref="R276" ca="1">IF(OR($E276="",$E276="X"),0,IFERROR(_xlfn.LET(_xlpm.x,SUM(SUM(_xlfn._xlws.FILTER(VALUE(PptoSty[Sign]&amp;1)*(1/PptoSty[Division]),(PptoSty[Division]&lt;&gt;0)*(PptoSty[Division]&lt;&gt;"")*(PptoSty[Division]&lt;&gt;"X")*(PptoSty[RowGrp]=$E276)*(ISNUMBER(FIND(PptoSty[PiColumn],R$257))),0)),$AA276),_xlpm.y,IF(_xlfn._xlws.FILTER(TbRsmIn[Alive],TbRsmIn[Enquiry No]=$E276,"X")="C",0,INDEX(INDIRECT(Mods!$B$2),MATCH($E276,INDIRECT(Mods!$B$4),0),MATCH(R$257,INDIRECT(Mods!$AL$3),0))),IF(AND(_xlpm.x=0,_xlpm.y&lt;&gt;0),-1,IF(AND(_xlpm.x&lt;&gt;0,_xlpm.y&lt;&gt;0),_xlpm.x,IF(AND(_xlpm.x-$AA276&lt;&gt;0,_xlpm.y=0),-2,_xlpm.x)))),0))</f>
        <v>-1</v>
      </c>
      <c r="S276" s="282" cm="1">
        <f t="array" aca="1" ref="S276" ca="1">IF(OR($E276="",$E276="X"),0,IFERROR(_xlfn.LET(_xlpm.x,SUM(SUM(_xlfn._xlws.FILTER(VALUE(PptoSty[Sign]&amp;1)*(1/PptoSty[Division]),(PptoSty[Division]&lt;&gt;0)*(PptoSty[Division]&lt;&gt;"")*(PptoSty[Division]&lt;&gt;"X")*(PptoSty[RowGrp]=$E276)*(ISNUMBER(FIND(PptoSty[PiColumn],S$257))),0)),$AA276),_xlpm.y,IF(_xlfn._xlws.FILTER(TbRsmIn[Alive],TbRsmIn[Enquiry No]=$E276,"X")="C",0,INDEX(INDIRECT(Mods!$B$2),MATCH($E276,INDIRECT(Mods!$B$4),0),MATCH(S$257,INDIRECT(Mods!$AL$3),0))),IF(AND(_xlpm.x=0,_xlpm.y&lt;&gt;0),-1,IF(AND(_xlpm.x&lt;&gt;0,_xlpm.y&lt;&gt;0),_xlpm.x,IF(AND(_xlpm.x-$AA276&lt;&gt;0,_xlpm.y=0),-2,_xlpm.x)))),0))</f>
        <v>0</v>
      </c>
      <c r="T276" s="282" cm="1">
        <f t="array" aca="1" ref="T276" ca="1">IF(OR($E276="",$E276="X"),0,IFERROR(_xlfn.LET(_xlpm.x,SUM(SUM(_xlfn._xlws.FILTER(VALUE(PptoSty[Sign]&amp;1)*(1/PptoSty[Division]),(PptoSty[Division]&lt;&gt;0)*(PptoSty[Division]&lt;&gt;"")*(PptoSty[Division]&lt;&gt;"X")*(PptoSty[RowGrp]=$E276)*(ISNUMBER(FIND(PptoSty[PiColumn],T$257))),0)),$AA276),_xlpm.y,IF(_xlfn._xlws.FILTER(TbRsmIn[Alive],TbRsmIn[Enquiry No]=$E276,"X")="C",0,INDEX(INDIRECT(Mods!$B$2),MATCH($E276,INDIRECT(Mods!$B$4),0),MATCH(T$257,INDIRECT(Mods!$AL$3),0))),IF(AND(_xlpm.x=0,_xlpm.y&lt;&gt;0),-1,IF(AND(_xlpm.x&lt;&gt;0,_xlpm.y&lt;&gt;0),_xlpm.x,IF(AND(_xlpm.x-$AA276&lt;&gt;0,_xlpm.y=0),-2,_xlpm.x)))),0))</f>
        <v>0</v>
      </c>
      <c r="U276" s="282" cm="1">
        <f t="array" aca="1" ref="U276" ca="1">IF(OR($E276="",$E276="X"),0,IFERROR(_xlfn.LET(_xlpm.x,SUM(SUM(_xlfn._xlws.FILTER(VALUE(PptoSty[Sign]&amp;1)*(1/PptoSty[Division]),(PptoSty[Division]&lt;&gt;0)*(PptoSty[Division]&lt;&gt;"")*(PptoSty[Division]&lt;&gt;"X")*(PptoSty[RowGrp]=$E276)*(ISNUMBER(FIND(PptoSty[PiColumn],U$257))),0)),$AA276),_xlpm.y,IF(_xlfn._xlws.FILTER(TbRsmIn[Alive],TbRsmIn[Enquiry No]=$E276,"X")="C",0,INDEX(INDIRECT(Mods!$B$2),MATCH($E276,INDIRECT(Mods!$B$4),0),MATCH(U$257,INDIRECT(Mods!$AL$3),0))),IF(AND(_xlpm.x=0,_xlpm.y&lt;&gt;0),-1,IF(AND(_xlpm.x&lt;&gt;0,_xlpm.y&lt;&gt;0),_xlpm.x,IF(AND(_xlpm.x-$AA276&lt;&gt;0,_xlpm.y=0),-2,_xlpm.x)))),0))</f>
        <v>0</v>
      </c>
      <c r="V276" s="282" cm="1">
        <f t="array" aca="1" ref="V276" ca="1">IF(OR($E276="",$E276="X"),0,IFERROR(_xlfn.LET(_xlpm.x,SUM(SUM(_xlfn._xlws.FILTER(VALUE(PptoSty[Sign]&amp;1)*(1/PptoSty[Division]),(PptoSty[Division]&lt;&gt;0)*(PptoSty[Division]&lt;&gt;"")*(PptoSty[Division]&lt;&gt;"X")*(PptoSty[RowGrp]=$E276)*(ISNUMBER(FIND(PptoSty[PiColumn],V$257))),0)),$AA276),_xlpm.y,IF(_xlfn._xlws.FILTER(TbRsmIn[Alive],TbRsmIn[Enquiry No]=$E276,"X")="C",0,INDEX(INDIRECT(Mods!$B$2),MATCH($E276,INDIRECT(Mods!$B$4),0),MATCH(V$257,INDIRECT(Mods!$AL$3),0))),IF(AND(_xlpm.x=0,_xlpm.y&lt;&gt;0),-1,IF(AND(_xlpm.x&lt;&gt;0,_xlpm.y&lt;&gt;0),_xlpm.x,IF(AND(_xlpm.x-$AA276&lt;&gt;0,_xlpm.y=0),-2,_xlpm.x)))),0))</f>
        <v>0</v>
      </c>
      <c r="W276" s="282" cm="1">
        <f t="array" aca="1" ref="W276" ca="1">IF(OR($E276="",$E276="X"),0,IFERROR(_xlfn.LET(_xlpm.x,SUM(SUM(_xlfn._xlws.FILTER(VALUE(PptoSty[Sign]&amp;1)*(1/PptoSty[Division]),(PptoSty[Division]&lt;&gt;0)*(PptoSty[Division]&lt;&gt;"")*(PptoSty[Division]&lt;&gt;"X")*(PptoSty[RowGrp]=$E276)*(ISNUMBER(FIND(PptoSty[PiColumn],W$257))),0)),$AA276),_xlpm.y,IF(_xlfn._xlws.FILTER(TbRsmIn[Alive],TbRsmIn[Enquiry No]=$E276,"X")="C",0,INDEX(INDIRECT(Mods!$B$2),MATCH($E276,INDIRECT(Mods!$B$4),0),MATCH(W$257,INDIRECT(Mods!$AL$3),0))),IF(AND(_xlpm.x=0,_xlpm.y&lt;&gt;0),-1,IF(AND(_xlpm.x&lt;&gt;0,_xlpm.y&lt;&gt;0),_xlpm.x,IF(AND(_xlpm.x-$AA276&lt;&gt;0,_xlpm.y=0),-2,_xlpm.x)))),0))</f>
        <v>0</v>
      </c>
      <c r="X276" s="282" cm="1">
        <f t="array" aca="1" ref="X276" ca="1">IF(OR($E276="",$E276="X"),0,IFERROR(_xlfn.LET(_xlpm.x,SUM(SUM(_xlfn._xlws.FILTER(VALUE(PptoSty[Sign]&amp;1)*(1/PptoSty[Division]),(PptoSty[Division]&lt;&gt;0)*(PptoSty[Division]&lt;&gt;"")*(PptoSty[Division]&lt;&gt;"X")*(PptoSty[RowGrp]=$E276)*(ISNUMBER(FIND(PptoSty[PiColumn],X$257))),0)),$AA276),_xlpm.y,IF(_xlfn._xlws.FILTER(TbRsmIn[Alive],TbRsmIn[Enquiry No]=$E276,"X")="C",0,INDEX(INDIRECT(Mods!$B$2),MATCH($E276,INDIRECT(Mods!$B$4),0),MATCH(X$257,INDIRECT(Mods!$AL$3),0))),IF(AND(_xlpm.x=0,_xlpm.y&lt;&gt;0),-1,IF(AND(_xlpm.x&lt;&gt;0,_xlpm.y&lt;&gt;0),_xlpm.x,IF(AND(_xlpm.x-$AA276&lt;&gt;0,_xlpm.y=0),-2,_xlpm.x)))),0))</f>
        <v>0</v>
      </c>
      <c r="Y276" s="282" cm="1">
        <f t="array" aca="1" ref="Y276" ca="1">IF(OR($E276="",$E276="X"),0,IFERROR(_xlfn.LET(_xlpm.x,SUM(SUM(_xlfn._xlws.FILTER(VALUE(PptoSty[Sign]&amp;1)*(1/PptoSty[Division]),(PptoSty[Division]&lt;&gt;0)*(PptoSty[Division]&lt;&gt;"")*(PptoSty[Division]&lt;&gt;"X")*(PptoSty[RowGrp]=$E276)*(ISNUMBER(FIND(PptoSty[PiColumn],Y$257))),0)),$AA276),_xlpm.y,IF(_xlfn._xlws.FILTER(TbRsmIn[Alive],TbRsmIn[Enquiry No]=$E276,"X")="C",0,INDEX(INDIRECT(Mods!$B$2),MATCH($E276,INDIRECT(Mods!$B$4),0),MATCH(Y$257,INDIRECT(Mods!$AL$3),0))),IF(AND(_xlpm.x=0,_xlpm.y&lt;&gt;0),-1,IF(AND(_xlpm.x&lt;&gt;0,_xlpm.y&lt;&gt;0),_xlpm.x,IF(AND(_xlpm.x-$AA276&lt;&gt;0,_xlpm.y=0),-2,_xlpm.x)))),0))</f>
        <v>0</v>
      </c>
      <c r="Z276" s="280" t="str">
        <f t="shared" ca="1" si="8"/>
        <v>Fback!B276:Y276</v>
      </c>
      <c r="AA276" s="282" cm="1">
        <f t="array" aca="1" ref="AA276" ca="1">IF(OR($E276="",$E276="X"),0,IFERROR(SUM(_xlfn._xlws.FILTER(VALUE(#REF!&amp;1)*(1/PptoSty[PptoVsRow]),(PptoSty[PptoVsRow]&lt;&gt;0)*(PptoSty[PptoVsRow]&lt;&gt;"")*(PptoSty[PptoVsRow]&lt;&gt;"X")*(PptoSty[Num]=$E276)*(PptoSty[RowGrp]=AA$260),0)),0))</f>
        <v>0</v>
      </c>
    </row>
    <row r="277" spans="2:27" ht="21" customHeight="1" outlineLevel="1">
      <c r="B277" s="247" t="str" cm="1">
        <f t="array" ref="B277:C277">IF($E277="X","X",_xlfn._xlws.FILTER(P_SelPrj[[PrjId]:[Cia]],P_SelPrj[Attribute]=VALUE(LEFT($E277,1)),"X"))</f>
        <v>31200</v>
      </c>
      <c r="C277" s="247" t="str">
        <v>Sp</v>
      </c>
      <c r="D277" s="247" t="s">
        <v>375</v>
      </c>
      <c r="E277" s="247" t="str" cm="1">
        <f t="array" ref="E277">_xlfn.LET(_xlpm.x,IFERROR(INDEX(TbRsmIn[Enquiry No],SUM(ROW()-MATCH("SOM",$A:$A,0))),"X"),IF(_xlpm.x=0,"X",_xlpm.x))</f>
        <v>0CT017</v>
      </c>
      <c r="F277" s="413" t="str" cm="1">
        <f t="array" ref="F277">_xlfn._xlws.FILTER(CstClcData[Value],(CstClcData[Attribute]="Concept")*(CstClcData[Name]=$E277),"X")</f>
        <v>I4.0 additional performance to take feedback info from quality inspection operator at EOL cell</v>
      </c>
      <c r="G277" s="281"/>
      <c r="H277" s="281"/>
      <c r="I277" s="282" cm="1">
        <f t="array" aca="1" ref="I277" ca="1">IF(OR($E277="",$E277="X"),0,IFERROR(_xlfn.LET(_xlpm.x,SUM(SUM(_xlfn._xlws.FILTER(VALUE(PptoSty[Sign]&amp;1)*(1/PptoSty[Division]),(PptoSty[Division]&lt;&gt;0)*(PptoSty[Division]&lt;&gt;"")*(PptoSty[Division]&lt;&gt;"X")*(PptoSty[RowGrp]=$E277)*(ISNUMBER(FIND(PptoSty[PiColumn],I$257))),0)),$AA277),_xlpm.y,IF(_xlfn._xlws.FILTER(TbRsmIn[Alive],TbRsmIn[Enquiry No]=$E277,"X")="C",0,INDEX(INDIRECT(Mods!$B$2),MATCH($E277,INDIRECT(Mods!$B$4),0),MATCH(I$257,INDIRECT(Mods!$AL$3),0))),IF(AND(_xlpm.x=0,_xlpm.y&lt;&gt;0),-1,IF(AND(_xlpm.x&lt;&gt;0,_xlpm.y&lt;&gt;0),_xlpm.x,IF(AND(_xlpm.x-$AA277&lt;&gt;0,_xlpm.y=0),-2,_xlpm.x)))),0))</f>
        <v>-1</v>
      </c>
      <c r="J277" s="282" cm="1">
        <f t="array" aca="1" ref="J277" ca="1">IF(OR($E277="",$E277="X"),0,IFERROR(_xlfn.LET(_xlpm.x,SUM(SUM(_xlfn._xlws.FILTER(VALUE(PptoSty[Sign]&amp;1)*(1/PptoSty[Division]),(PptoSty[Division]&lt;&gt;0)*(PptoSty[Division]&lt;&gt;"")*(PptoSty[Division]&lt;&gt;"X")*(PptoSty[RowGrp]=$E277)*(ISNUMBER(FIND(PptoSty[PiColumn],J$257))),0)),$AA277),_xlpm.y,IF(_xlfn._xlws.FILTER(TbRsmIn[Alive],TbRsmIn[Enquiry No]=$E277,"X")="C",0,INDEX(INDIRECT(Mods!$B$2),MATCH($E277,INDIRECT(Mods!$B$4),0),MATCH(J$257,INDIRECT(Mods!$AL$3),0))),IF(AND(_xlpm.x=0,_xlpm.y&lt;&gt;0),-1,IF(AND(_xlpm.x&lt;&gt;0,_xlpm.y&lt;&gt;0),_xlpm.x,IF(AND(_xlpm.x-$AA277&lt;&gt;0,_xlpm.y=0),-2,_xlpm.x)))),0))</f>
        <v>0</v>
      </c>
      <c r="K277" s="282" cm="1">
        <f t="array" aca="1" ref="K277" ca="1">IF(OR($E277="",$E277="X"),0,IFERROR(_xlfn.LET(_xlpm.x,SUM(SUM(_xlfn._xlws.FILTER(VALUE(PptoSty[Sign]&amp;1)*(1/PptoSty[Division]),(PptoSty[Division]&lt;&gt;0)*(PptoSty[Division]&lt;&gt;"")*(PptoSty[Division]&lt;&gt;"X")*(PptoSty[RowGrp]=$E277)*(ISNUMBER(FIND(PptoSty[PiColumn],K$257))),0)),$AA277),_xlpm.y,IF(_xlfn._xlws.FILTER(TbRsmIn[Alive],TbRsmIn[Enquiry No]=$E277,"X")="C",0,INDEX(INDIRECT(Mods!$B$2),MATCH($E277,INDIRECT(Mods!$B$4),0),MATCH(K$257,INDIRECT(Mods!$AL$3),0))),IF(AND(_xlpm.x=0,_xlpm.y&lt;&gt;0),-1,IF(AND(_xlpm.x&lt;&gt;0,_xlpm.y&lt;&gt;0),_xlpm.x,IF(AND(_xlpm.x-$AA277&lt;&gt;0,_xlpm.y=0),-2,_xlpm.x)))),0))</f>
        <v>-1</v>
      </c>
      <c r="L277" s="282" cm="1">
        <f t="array" aca="1" ref="L277" ca="1">IF(OR($E277="",$E277="X"),0,IFERROR(_xlfn.LET(_xlpm.x,SUM(SUM(_xlfn._xlws.FILTER(VALUE(PptoSty[Sign]&amp;1)*(1/PptoSty[Division]),(PptoSty[Division]&lt;&gt;0)*(PptoSty[Division]&lt;&gt;"")*(PptoSty[Division]&lt;&gt;"X")*(PptoSty[RowGrp]=$E277)*(ISNUMBER(FIND(PptoSty[PiColumn],L$257))),0)),$AA277),_xlpm.y,IF(_xlfn._xlws.FILTER(TbRsmIn[Alive],TbRsmIn[Enquiry No]=$E277,"X")="C",0,INDEX(INDIRECT(Mods!$B$2),MATCH($E277,INDIRECT(Mods!$B$4),0),MATCH(L$257,INDIRECT(Mods!$AL$3),0))),IF(AND(_xlpm.x=0,_xlpm.y&lt;&gt;0),-1,IF(AND(_xlpm.x&lt;&gt;0,_xlpm.y&lt;&gt;0),_xlpm.x,IF(AND(_xlpm.x-$AA277&lt;&gt;0,_xlpm.y=0),-2,_xlpm.x)))),0))</f>
        <v>0</v>
      </c>
      <c r="M277" s="282" cm="1">
        <f t="array" aca="1" ref="M277" ca="1">IF(OR($E277="",$E277="X"),0,IFERROR(_xlfn.LET(_xlpm.x,SUM(SUM(_xlfn._xlws.FILTER(VALUE(PptoSty[Sign]&amp;1)*(1/PptoSty[Division]),(PptoSty[Division]&lt;&gt;0)*(PptoSty[Division]&lt;&gt;"")*(PptoSty[Division]&lt;&gt;"X")*(PptoSty[RowGrp]=$E277)*(ISNUMBER(FIND(PptoSty[PiColumn],M$257))),0)),$AA277),_xlpm.y,IF(_xlfn._xlws.FILTER(TbRsmIn[Alive],TbRsmIn[Enquiry No]=$E277,"X")="C",0,INDEX(INDIRECT(Mods!$B$2),MATCH($E277,INDIRECT(Mods!$B$4),0),MATCH(M$257,INDIRECT(Mods!$AL$3),0))),IF(AND(_xlpm.x=0,_xlpm.y&lt;&gt;0),-1,IF(AND(_xlpm.x&lt;&gt;0,_xlpm.y&lt;&gt;0),_xlpm.x,IF(AND(_xlpm.x-$AA277&lt;&gt;0,_xlpm.y=0),-2,_xlpm.x)))),0))</f>
        <v>-1</v>
      </c>
      <c r="N277" s="282" cm="1">
        <f t="array" aca="1" ref="N277" ca="1">IF(OR($E277="",$E277="X"),0,IFERROR(_xlfn.LET(_xlpm.x,SUM(SUM(_xlfn._xlws.FILTER(VALUE(PptoSty[Sign]&amp;1)*(1/PptoSty[Division]),(PptoSty[Division]&lt;&gt;0)*(PptoSty[Division]&lt;&gt;"")*(PptoSty[Division]&lt;&gt;"X")*(PptoSty[RowGrp]=$E277)*(ISNUMBER(FIND(PptoSty[PiColumn],N$257))),0)),$AA277),_xlpm.y,IF(_xlfn._xlws.FILTER(TbRsmIn[Alive],TbRsmIn[Enquiry No]=$E277,"X")="C",0,INDEX(INDIRECT(Mods!$B$2),MATCH($E277,INDIRECT(Mods!$B$4),0),MATCH(N$257,INDIRECT(Mods!$AL$3),0))),IF(AND(_xlpm.x=0,_xlpm.y&lt;&gt;0),-1,IF(AND(_xlpm.x&lt;&gt;0,_xlpm.y&lt;&gt;0),_xlpm.x,IF(AND(_xlpm.x-$AA277&lt;&gt;0,_xlpm.y=0),-2,_xlpm.x)))),0))</f>
        <v>0</v>
      </c>
      <c r="O277" s="282" cm="1">
        <f t="array" aca="1" ref="O277" ca="1">IF(OR($E277="",$E277="X"),0,IFERROR(_xlfn.LET(_xlpm.x,SUM(SUM(_xlfn._xlws.FILTER(VALUE(PptoSty[Sign]&amp;1)*(1/PptoSty[Division]),(PptoSty[Division]&lt;&gt;0)*(PptoSty[Division]&lt;&gt;"")*(PptoSty[Division]&lt;&gt;"X")*(PptoSty[RowGrp]=$E277)*(ISNUMBER(FIND(PptoSty[PiColumn],O$257))),0)),$AA277),_xlpm.y,IF(_xlfn._xlws.FILTER(TbRsmIn[Alive],TbRsmIn[Enquiry No]=$E277,"X")="C",0,INDEX(INDIRECT(Mods!$B$2),MATCH($E277,INDIRECT(Mods!$B$4),0),MATCH(O$257,INDIRECT(Mods!$AL$3),0))),IF(AND(_xlpm.x=0,_xlpm.y&lt;&gt;0),-1,IF(AND(_xlpm.x&lt;&gt;0,_xlpm.y&lt;&gt;0),_xlpm.x,IF(AND(_xlpm.x-$AA277&lt;&gt;0,_xlpm.y=0),-2,_xlpm.x)))),0))</f>
        <v>0</v>
      </c>
      <c r="P277" s="282" cm="1">
        <f t="array" aca="1" ref="P277" ca="1">IF(OR($E277="",$E277="X"),0,IFERROR(_xlfn.LET(_xlpm.x,SUM(SUM(_xlfn._xlws.FILTER(VALUE(PptoSty[Sign]&amp;1)*(1/PptoSty[Division]),(PptoSty[Division]&lt;&gt;0)*(PptoSty[Division]&lt;&gt;"")*(PptoSty[Division]&lt;&gt;"X")*(PptoSty[RowGrp]=$E277)*(ISNUMBER(FIND(PptoSty[PiColumn],P$257))),0)),$AA277),_xlpm.y,IF(_xlfn._xlws.FILTER(TbRsmIn[Alive],TbRsmIn[Enquiry No]=$E277,"X")="C",0,INDEX(INDIRECT(Mods!$B$2),MATCH($E277,INDIRECT(Mods!$B$4),0),MATCH(P$257,INDIRECT(Mods!$AL$3),0))),IF(AND(_xlpm.x=0,_xlpm.y&lt;&gt;0),-1,IF(AND(_xlpm.x&lt;&gt;0,_xlpm.y&lt;&gt;0),_xlpm.x,IF(AND(_xlpm.x-$AA277&lt;&gt;0,_xlpm.y=0),-2,_xlpm.x)))),0))</f>
        <v>-1</v>
      </c>
      <c r="Q277" s="282" cm="1">
        <f t="array" aca="1" ref="Q277" ca="1">IF(OR($E277="",$E277="X"),0,IFERROR(_xlfn.LET(_xlpm.x,SUM(SUM(_xlfn._xlws.FILTER(VALUE(PptoSty[Sign]&amp;1)*(1/PptoSty[Division]),(PptoSty[Division]&lt;&gt;0)*(PptoSty[Division]&lt;&gt;"")*(PptoSty[Division]&lt;&gt;"X")*(PptoSty[RowGrp]=$E277)*(ISNUMBER(FIND(PptoSty[PiColumn],Q$257))),0)),$AA277),_xlpm.y,IF(_xlfn._xlws.FILTER(TbRsmIn[Alive],TbRsmIn[Enquiry No]=$E277,"X")="C",0,INDEX(INDIRECT(Mods!$B$2),MATCH($E277,INDIRECT(Mods!$B$4),0),MATCH(Q$257,INDIRECT(Mods!$AL$3),0))),IF(AND(_xlpm.x=0,_xlpm.y&lt;&gt;0),-1,IF(AND(_xlpm.x&lt;&gt;0,_xlpm.y&lt;&gt;0),_xlpm.x,IF(AND(_xlpm.x-$AA277&lt;&gt;0,_xlpm.y=0),-2,_xlpm.x)))),0))</f>
        <v>-1</v>
      </c>
      <c r="R277" s="282" cm="1">
        <f t="array" aca="1" ref="R277" ca="1">IF(OR($E277="",$E277="X"),0,IFERROR(_xlfn.LET(_xlpm.x,SUM(SUM(_xlfn._xlws.FILTER(VALUE(PptoSty[Sign]&amp;1)*(1/PptoSty[Division]),(PptoSty[Division]&lt;&gt;0)*(PptoSty[Division]&lt;&gt;"")*(PptoSty[Division]&lt;&gt;"X")*(PptoSty[RowGrp]=$E277)*(ISNUMBER(FIND(PptoSty[PiColumn],R$257))),0)),$AA277),_xlpm.y,IF(_xlfn._xlws.FILTER(TbRsmIn[Alive],TbRsmIn[Enquiry No]=$E277,"X")="C",0,INDEX(INDIRECT(Mods!$B$2),MATCH($E277,INDIRECT(Mods!$B$4),0),MATCH(R$257,INDIRECT(Mods!$AL$3),0))),IF(AND(_xlpm.x=0,_xlpm.y&lt;&gt;0),-1,IF(AND(_xlpm.x&lt;&gt;0,_xlpm.y&lt;&gt;0),_xlpm.x,IF(AND(_xlpm.x-$AA277&lt;&gt;0,_xlpm.y=0),-2,_xlpm.x)))),0))</f>
        <v>0</v>
      </c>
      <c r="S277" s="282" cm="1">
        <f t="array" aca="1" ref="S277" ca="1">IF(OR($E277="",$E277="X"),0,IFERROR(_xlfn.LET(_xlpm.x,SUM(SUM(_xlfn._xlws.FILTER(VALUE(PptoSty[Sign]&amp;1)*(1/PptoSty[Division]),(PptoSty[Division]&lt;&gt;0)*(PptoSty[Division]&lt;&gt;"")*(PptoSty[Division]&lt;&gt;"X")*(PptoSty[RowGrp]=$E277)*(ISNUMBER(FIND(PptoSty[PiColumn],S$257))),0)),$AA277),_xlpm.y,IF(_xlfn._xlws.FILTER(TbRsmIn[Alive],TbRsmIn[Enquiry No]=$E277,"X")="C",0,INDEX(INDIRECT(Mods!$B$2),MATCH($E277,INDIRECT(Mods!$B$4),0),MATCH(S$257,INDIRECT(Mods!$AL$3),0))),IF(AND(_xlpm.x=0,_xlpm.y&lt;&gt;0),-1,IF(AND(_xlpm.x&lt;&gt;0,_xlpm.y&lt;&gt;0),_xlpm.x,IF(AND(_xlpm.x-$AA277&lt;&gt;0,_xlpm.y=0),-2,_xlpm.x)))),0))</f>
        <v>-1</v>
      </c>
      <c r="T277" s="282" cm="1">
        <f t="array" aca="1" ref="T277" ca="1">IF(OR($E277="",$E277="X"),0,IFERROR(_xlfn.LET(_xlpm.x,SUM(SUM(_xlfn._xlws.FILTER(VALUE(PptoSty[Sign]&amp;1)*(1/PptoSty[Division]),(PptoSty[Division]&lt;&gt;0)*(PptoSty[Division]&lt;&gt;"")*(PptoSty[Division]&lt;&gt;"X")*(PptoSty[RowGrp]=$E277)*(ISNUMBER(FIND(PptoSty[PiColumn],T$257))),0)),$AA277),_xlpm.y,IF(_xlfn._xlws.FILTER(TbRsmIn[Alive],TbRsmIn[Enquiry No]=$E277,"X")="C",0,INDEX(INDIRECT(Mods!$B$2),MATCH($E277,INDIRECT(Mods!$B$4),0),MATCH(T$257,INDIRECT(Mods!$AL$3),0))),IF(AND(_xlpm.x=0,_xlpm.y&lt;&gt;0),-1,IF(AND(_xlpm.x&lt;&gt;0,_xlpm.y&lt;&gt;0),_xlpm.x,IF(AND(_xlpm.x-$AA277&lt;&gt;0,_xlpm.y=0),-2,_xlpm.x)))),0))</f>
        <v>0</v>
      </c>
      <c r="U277" s="282" cm="1">
        <f t="array" aca="1" ref="U277" ca="1">IF(OR($E277="",$E277="X"),0,IFERROR(_xlfn.LET(_xlpm.x,SUM(SUM(_xlfn._xlws.FILTER(VALUE(PptoSty[Sign]&amp;1)*(1/PptoSty[Division]),(PptoSty[Division]&lt;&gt;0)*(PptoSty[Division]&lt;&gt;"")*(PptoSty[Division]&lt;&gt;"X")*(PptoSty[RowGrp]=$E277)*(ISNUMBER(FIND(PptoSty[PiColumn],U$257))),0)),$AA277),_xlpm.y,IF(_xlfn._xlws.FILTER(TbRsmIn[Alive],TbRsmIn[Enquiry No]=$E277,"X")="C",0,INDEX(INDIRECT(Mods!$B$2),MATCH($E277,INDIRECT(Mods!$B$4),0),MATCH(U$257,INDIRECT(Mods!$AL$3),0))),IF(AND(_xlpm.x=0,_xlpm.y&lt;&gt;0),-1,IF(AND(_xlpm.x&lt;&gt;0,_xlpm.y&lt;&gt;0),_xlpm.x,IF(AND(_xlpm.x-$AA277&lt;&gt;0,_xlpm.y=0),-2,_xlpm.x)))),0))</f>
        <v>0</v>
      </c>
      <c r="V277" s="282" cm="1">
        <f t="array" aca="1" ref="V277" ca="1">IF(OR($E277="",$E277="X"),0,IFERROR(_xlfn.LET(_xlpm.x,SUM(SUM(_xlfn._xlws.FILTER(VALUE(PptoSty[Sign]&amp;1)*(1/PptoSty[Division]),(PptoSty[Division]&lt;&gt;0)*(PptoSty[Division]&lt;&gt;"")*(PptoSty[Division]&lt;&gt;"X")*(PptoSty[RowGrp]=$E277)*(ISNUMBER(FIND(PptoSty[PiColumn],V$257))),0)),$AA277),_xlpm.y,IF(_xlfn._xlws.FILTER(TbRsmIn[Alive],TbRsmIn[Enquiry No]=$E277,"X")="C",0,INDEX(INDIRECT(Mods!$B$2),MATCH($E277,INDIRECT(Mods!$B$4),0),MATCH(V$257,INDIRECT(Mods!$AL$3),0))),IF(AND(_xlpm.x=0,_xlpm.y&lt;&gt;0),-1,IF(AND(_xlpm.x&lt;&gt;0,_xlpm.y&lt;&gt;0),_xlpm.x,IF(AND(_xlpm.x-$AA277&lt;&gt;0,_xlpm.y=0),-2,_xlpm.x)))),0))</f>
        <v>-1</v>
      </c>
      <c r="W277" s="282" cm="1">
        <f t="array" aca="1" ref="W277" ca="1">IF(OR($E277="",$E277="X"),0,IFERROR(_xlfn.LET(_xlpm.x,SUM(SUM(_xlfn._xlws.FILTER(VALUE(PptoSty[Sign]&amp;1)*(1/PptoSty[Division]),(PptoSty[Division]&lt;&gt;0)*(PptoSty[Division]&lt;&gt;"")*(PptoSty[Division]&lt;&gt;"X")*(PptoSty[RowGrp]=$E277)*(ISNUMBER(FIND(PptoSty[PiColumn],W$257))),0)),$AA277),_xlpm.y,IF(_xlfn._xlws.FILTER(TbRsmIn[Alive],TbRsmIn[Enquiry No]=$E277,"X")="C",0,INDEX(INDIRECT(Mods!$B$2),MATCH($E277,INDIRECT(Mods!$B$4),0),MATCH(W$257,INDIRECT(Mods!$AL$3),0))),IF(AND(_xlpm.x=0,_xlpm.y&lt;&gt;0),-1,IF(AND(_xlpm.x&lt;&gt;0,_xlpm.y&lt;&gt;0),_xlpm.x,IF(AND(_xlpm.x-$AA277&lt;&gt;0,_xlpm.y=0),-2,_xlpm.x)))),0))</f>
        <v>-1</v>
      </c>
      <c r="X277" s="282" cm="1">
        <f t="array" aca="1" ref="X277" ca="1">IF(OR($E277="",$E277="X"),0,IFERROR(_xlfn.LET(_xlpm.x,SUM(SUM(_xlfn._xlws.FILTER(VALUE(PptoSty[Sign]&amp;1)*(1/PptoSty[Division]),(PptoSty[Division]&lt;&gt;0)*(PptoSty[Division]&lt;&gt;"")*(PptoSty[Division]&lt;&gt;"X")*(PptoSty[RowGrp]=$E277)*(ISNUMBER(FIND(PptoSty[PiColumn],X$257))),0)),$AA277),_xlpm.y,IF(_xlfn._xlws.FILTER(TbRsmIn[Alive],TbRsmIn[Enquiry No]=$E277,"X")="C",0,INDEX(INDIRECT(Mods!$B$2),MATCH($E277,INDIRECT(Mods!$B$4),0),MATCH(X$257,INDIRECT(Mods!$AL$3),0))),IF(AND(_xlpm.x=0,_xlpm.y&lt;&gt;0),-1,IF(AND(_xlpm.x&lt;&gt;0,_xlpm.y&lt;&gt;0),_xlpm.x,IF(AND(_xlpm.x-$AA277&lt;&gt;0,_xlpm.y=0),-2,_xlpm.x)))),0))</f>
        <v>0</v>
      </c>
      <c r="Y277" s="282" cm="1">
        <f t="array" aca="1" ref="Y277" ca="1">IF(OR($E277="",$E277="X"),0,IFERROR(_xlfn.LET(_xlpm.x,SUM(SUM(_xlfn._xlws.FILTER(VALUE(PptoSty[Sign]&amp;1)*(1/PptoSty[Division]),(PptoSty[Division]&lt;&gt;0)*(PptoSty[Division]&lt;&gt;"")*(PptoSty[Division]&lt;&gt;"X")*(PptoSty[RowGrp]=$E277)*(ISNUMBER(FIND(PptoSty[PiColumn],Y$257))),0)),$AA277),_xlpm.y,IF(_xlfn._xlws.FILTER(TbRsmIn[Alive],TbRsmIn[Enquiry No]=$E277,"X")="C",0,INDEX(INDIRECT(Mods!$B$2),MATCH($E277,INDIRECT(Mods!$B$4),0),MATCH(Y$257,INDIRECT(Mods!$AL$3),0))),IF(AND(_xlpm.x=0,_xlpm.y&lt;&gt;0),-1,IF(AND(_xlpm.x&lt;&gt;0,_xlpm.y&lt;&gt;0),_xlpm.x,IF(AND(_xlpm.x-$AA277&lt;&gt;0,_xlpm.y=0),-2,_xlpm.x)))),0))</f>
        <v>0</v>
      </c>
      <c r="Z277" s="280" t="str">
        <f t="shared" ca="1" si="8"/>
        <v>Fback!B277:Y277</v>
      </c>
      <c r="AA277" s="282" cm="1">
        <f t="array" aca="1" ref="AA277" ca="1">IF(OR($E277="",$E277="X"),0,IFERROR(SUM(_xlfn._xlws.FILTER(VALUE(#REF!&amp;1)*(1/PptoSty[PptoVsRow]),(PptoSty[PptoVsRow]&lt;&gt;0)*(PptoSty[PptoVsRow]&lt;&gt;"")*(PptoSty[PptoVsRow]&lt;&gt;"X")*(PptoSty[Num]=$E277)*(PptoSty[RowGrp]=AA$260),0)),0))</f>
        <v>0</v>
      </c>
    </row>
    <row r="278" spans="2:27" ht="21" customHeight="1" outlineLevel="1">
      <c r="B278" s="247" t="str" cm="1">
        <f t="array" ref="B278:C278">IF($E278="X","X",_xlfn._xlws.FILTER(P_SelPrj[[PrjId]:[Cia]],P_SelPrj[Attribute]=VALUE(LEFT($E278,1)),"X"))</f>
        <v>31200</v>
      </c>
      <c r="C278" s="247" t="str">
        <v>Sp</v>
      </c>
      <c r="D278" s="247" t="s">
        <v>375</v>
      </c>
      <c r="E278" s="247" t="str" cm="1">
        <f t="array" ref="E278">_xlfn.LET(_xlpm.x,IFERROR(INDEX(TbRsmIn[Enquiry No],SUM(ROW()-MATCH("SOM",$A:$A,0))),"X"),IF(_xlpm.x=0,"X",_xlpm.x))</f>
        <v>0CT018</v>
      </c>
      <c r="F278" s="413" t="str" cm="1">
        <f t="array" ref="F278">_xlfn._xlws.FILTER(CstClcData[Value],(CstClcData[Attribute]="Concept")*(CstClcData[Name]=$E278),"X")</f>
        <v>Miscellaneous logistic support to customer for stamping first batch delivery (2nd batch included)</v>
      </c>
      <c r="G278" s="281"/>
      <c r="H278" s="281"/>
      <c r="I278" s="282" cm="1">
        <f t="array" aca="1" ref="I278" ca="1">IF(OR($E278="",$E278="X"),0,IFERROR(_xlfn.LET(_xlpm.x,SUM(SUM(_xlfn._xlws.FILTER(VALUE(PptoSty[Sign]&amp;1)*(1/PptoSty[Division]),(PptoSty[Division]&lt;&gt;0)*(PptoSty[Division]&lt;&gt;"")*(PptoSty[Division]&lt;&gt;"X")*(PptoSty[RowGrp]=$E278)*(ISNUMBER(FIND(PptoSty[PiColumn],I$257))),0)),$AA278),_xlpm.y,IF(_xlfn._xlws.FILTER(TbRsmIn[Alive],TbRsmIn[Enquiry No]=$E278,"X")="C",0,INDEX(INDIRECT(Mods!$B$2),MATCH($E278,INDIRECT(Mods!$B$4),0),MATCH(I$257,INDIRECT(Mods!$AL$3),0))),IF(AND(_xlpm.x=0,_xlpm.y&lt;&gt;0),-1,IF(AND(_xlpm.x&lt;&gt;0,_xlpm.y&lt;&gt;0),_xlpm.x,IF(AND(_xlpm.x-$AA278&lt;&gt;0,_xlpm.y=0),-2,_xlpm.x)))),0))</f>
        <v>0</v>
      </c>
      <c r="J278" s="282" cm="1">
        <f t="array" aca="1" ref="J278" ca="1">IF(OR($E278="",$E278="X"),0,IFERROR(_xlfn.LET(_xlpm.x,SUM(SUM(_xlfn._xlws.FILTER(VALUE(PptoSty[Sign]&amp;1)*(1/PptoSty[Division]),(PptoSty[Division]&lt;&gt;0)*(PptoSty[Division]&lt;&gt;"")*(PptoSty[Division]&lt;&gt;"X")*(PptoSty[RowGrp]=$E278)*(ISNUMBER(FIND(PptoSty[PiColumn],J$257))),0)),$AA278),_xlpm.y,IF(_xlfn._xlws.FILTER(TbRsmIn[Alive],TbRsmIn[Enquiry No]=$E278,"X")="C",0,INDEX(INDIRECT(Mods!$B$2),MATCH($E278,INDIRECT(Mods!$B$4),0),MATCH(J$257,INDIRECT(Mods!$AL$3),0))),IF(AND(_xlpm.x=0,_xlpm.y&lt;&gt;0),-1,IF(AND(_xlpm.x&lt;&gt;0,_xlpm.y&lt;&gt;0),_xlpm.x,IF(AND(_xlpm.x-$AA278&lt;&gt;0,_xlpm.y=0),-2,_xlpm.x)))),0))</f>
        <v>0</v>
      </c>
      <c r="K278" s="282" cm="1">
        <f t="array" aca="1" ref="K278" ca="1">IF(OR($E278="",$E278="X"),0,IFERROR(_xlfn.LET(_xlpm.x,SUM(SUM(_xlfn._xlws.FILTER(VALUE(PptoSty[Sign]&amp;1)*(1/PptoSty[Division]),(PptoSty[Division]&lt;&gt;0)*(PptoSty[Division]&lt;&gt;"")*(PptoSty[Division]&lt;&gt;"X")*(PptoSty[RowGrp]=$E278)*(ISNUMBER(FIND(PptoSty[PiColumn],K$257))),0)),$AA278),_xlpm.y,IF(_xlfn._xlws.FILTER(TbRsmIn[Alive],TbRsmIn[Enquiry No]=$E278,"X")="C",0,INDEX(INDIRECT(Mods!$B$2),MATCH($E278,INDIRECT(Mods!$B$4),0),MATCH(K$257,INDIRECT(Mods!$AL$3),0))),IF(AND(_xlpm.x=0,_xlpm.y&lt;&gt;0),-1,IF(AND(_xlpm.x&lt;&gt;0,_xlpm.y&lt;&gt;0),_xlpm.x,IF(AND(_xlpm.x-$AA278&lt;&gt;0,_xlpm.y=0),-2,_xlpm.x)))),0))</f>
        <v>-1</v>
      </c>
      <c r="L278" s="282" cm="1">
        <f t="array" aca="1" ref="L278" ca="1">IF(OR($E278="",$E278="X"),0,IFERROR(_xlfn.LET(_xlpm.x,SUM(SUM(_xlfn._xlws.FILTER(VALUE(PptoSty[Sign]&amp;1)*(1/PptoSty[Division]),(PptoSty[Division]&lt;&gt;0)*(PptoSty[Division]&lt;&gt;"")*(PptoSty[Division]&lt;&gt;"X")*(PptoSty[RowGrp]=$E278)*(ISNUMBER(FIND(PptoSty[PiColumn],L$257))),0)),$AA278),_xlpm.y,IF(_xlfn._xlws.FILTER(TbRsmIn[Alive],TbRsmIn[Enquiry No]=$E278,"X")="C",0,INDEX(INDIRECT(Mods!$B$2),MATCH($E278,INDIRECT(Mods!$B$4),0),MATCH(L$257,INDIRECT(Mods!$AL$3),0))),IF(AND(_xlpm.x=0,_xlpm.y&lt;&gt;0),-1,IF(AND(_xlpm.x&lt;&gt;0,_xlpm.y&lt;&gt;0),_xlpm.x,IF(AND(_xlpm.x-$AA278&lt;&gt;0,_xlpm.y=0),-2,_xlpm.x)))),0))</f>
        <v>0</v>
      </c>
      <c r="M278" s="282" cm="1">
        <f t="array" aca="1" ref="M278" ca="1">IF(OR($E278="",$E278="X"),0,IFERROR(_xlfn.LET(_xlpm.x,SUM(SUM(_xlfn._xlws.FILTER(VALUE(PptoSty[Sign]&amp;1)*(1/PptoSty[Division]),(PptoSty[Division]&lt;&gt;0)*(PptoSty[Division]&lt;&gt;"")*(PptoSty[Division]&lt;&gt;"X")*(PptoSty[RowGrp]=$E278)*(ISNUMBER(FIND(PptoSty[PiColumn],M$257))),0)),$AA278),_xlpm.y,IF(_xlfn._xlws.FILTER(TbRsmIn[Alive],TbRsmIn[Enquiry No]=$E278,"X")="C",0,INDEX(INDIRECT(Mods!$B$2),MATCH($E278,INDIRECT(Mods!$B$4),0),MATCH(M$257,INDIRECT(Mods!$AL$3),0))),IF(AND(_xlpm.x=0,_xlpm.y&lt;&gt;0),-1,IF(AND(_xlpm.x&lt;&gt;0,_xlpm.y&lt;&gt;0),_xlpm.x,IF(AND(_xlpm.x-$AA278&lt;&gt;0,_xlpm.y=0),-2,_xlpm.x)))),0))</f>
        <v>0</v>
      </c>
      <c r="N278" s="282" cm="1">
        <f t="array" aca="1" ref="N278" ca="1">IF(OR($E278="",$E278="X"),0,IFERROR(_xlfn.LET(_xlpm.x,SUM(SUM(_xlfn._xlws.FILTER(VALUE(PptoSty[Sign]&amp;1)*(1/PptoSty[Division]),(PptoSty[Division]&lt;&gt;0)*(PptoSty[Division]&lt;&gt;"")*(PptoSty[Division]&lt;&gt;"X")*(PptoSty[RowGrp]=$E278)*(ISNUMBER(FIND(PptoSty[PiColumn],N$257))),0)),$AA278),_xlpm.y,IF(_xlfn._xlws.FILTER(TbRsmIn[Alive],TbRsmIn[Enquiry No]=$E278,"X")="C",0,INDEX(INDIRECT(Mods!$B$2),MATCH($E278,INDIRECT(Mods!$B$4),0),MATCH(N$257,INDIRECT(Mods!$AL$3),0))),IF(AND(_xlpm.x=0,_xlpm.y&lt;&gt;0),-1,IF(AND(_xlpm.x&lt;&gt;0,_xlpm.y&lt;&gt;0),_xlpm.x,IF(AND(_xlpm.x-$AA278&lt;&gt;0,_xlpm.y=0),-2,_xlpm.x)))),0))</f>
        <v>0</v>
      </c>
      <c r="O278" s="282" cm="1">
        <f t="array" aca="1" ref="O278" ca="1">IF(OR($E278="",$E278="X"),0,IFERROR(_xlfn.LET(_xlpm.x,SUM(SUM(_xlfn._xlws.FILTER(VALUE(PptoSty[Sign]&amp;1)*(1/PptoSty[Division]),(PptoSty[Division]&lt;&gt;0)*(PptoSty[Division]&lt;&gt;"")*(PptoSty[Division]&lt;&gt;"X")*(PptoSty[RowGrp]=$E278)*(ISNUMBER(FIND(PptoSty[PiColumn],O$257))),0)),$AA278),_xlpm.y,IF(_xlfn._xlws.FILTER(TbRsmIn[Alive],TbRsmIn[Enquiry No]=$E278,"X")="C",0,INDEX(INDIRECT(Mods!$B$2),MATCH($E278,INDIRECT(Mods!$B$4),0),MATCH(O$257,INDIRECT(Mods!$AL$3),0))),IF(AND(_xlpm.x=0,_xlpm.y&lt;&gt;0),-1,IF(AND(_xlpm.x&lt;&gt;0,_xlpm.y&lt;&gt;0),_xlpm.x,IF(AND(_xlpm.x-$AA278&lt;&gt;0,_xlpm.y=0),-2,_xlpm.x)))),0))</f>
        <v>0</v>
      </c>
      <c r="P278" s="282" cm="1">
        <f t="array" aca="1" ref="P278" ca="1">IF(OR($E278="",$E278="X"),0,IFERROR(_xlfn.LET(_xlpm.x,SUM(SUM(_xlfn._xlws.FILTER(VALUE(PptoSty[Sign]&amp;1)*(1/PptoSty[Division]),(PptoSty[Division]&lt;&gt;0)*(PptoSty[Division]&lt;&gt;"")*(PptoSty[Division]&lt;&gt;"X")*(PptoSty[RowGrp]=$E278)*(ISNUMBER(FIND(PptoSty[PiColumn],P$257))),0)),$AA278),_xlpm.y,IF(_xlfn._xlws.FILTER(TbRsmIn[Alive],TbRsmIn[Enquiry No]=$E278,"X")="C",0,INDEX(INDIRECT(Mods!$B$2),MATCH($E278,INDIRECT(Mods!$B$4),0),MATCH(P$257,INDIRECT(Mods!$AL$3),0))),IF(AND(_xlpm.x=0,_xlpm.y&lt;&gt;0),-1,IF(AND(_xlpm.x&lt;&gt;0,_xlpm.y&lt;&gt;0),_xlpm.x,IF(AND(_xlpm.x-$AA278&lt;&gt;0,_xlpm.y=0),-2,_xlpm.x)))),0))</f>
        <v>-1</v>
      </c>
      <c r="Q278" s="282" cm="1">
        <f t="array" aca="1" ref="Q278" ca="1">IF(OR($E278="",$E278="X"),0,IFERROR(_xlfn.LET(_xlpm.x,SUM(SUM(_xlfn._xlws.FILTER(VALUE(PptoSty[Sign]&amp;1)*(1/PptoSty[Division]),(PptoSty[Division]&lt;&gt;0)*(PptoSty[Division]&lt;&gt;"")*(PptoSty[Division]&lt;&gt;"X")*(PptoSty[RowGrp]=$E278)*(ISNUMBER(FIND(PptoSty[PiColumn],Q$257))),0)),$AA278),_xlpm.y,IF(_xlfn._xlws.FILTER(TbRsmIn[Alive],TbRsmIn[Enquiry No]=$E278,"X")="C",0,INDEX(INDIRECT(Mods!$B$2),MATCH($E278,INDIRECT(Mods!$B$4),0),MATCH(Q$257,INDIRECT(Mods!$AL$3),0))),IF(AND(_xlpm.x=0,_xlpm.y&lt;&gt;0),-1,IF(AND(_xlpm.x&lt;&gt;0,_xlpm.y&lt;&gt;0),_xlpm.x,IF(AND(_xlpm.x-$AA278&lt;&gt;0,_xlpm.y=0),-2,_xlpm.x)))),0))</f>
        <v>0</v>
      </c>
      <c r="R278" s="282" cm="1">
        <f t="array" aca="1" ref="R278" ca="1">IF(OR($E278="",$E278="X"),0,IFERROR(_xlfn.LET(_xlpm.x,SUM(SUM(_xlfn._xlws.FILTER(VALUE(PptoSty[Sign]&amp;1)*(1/PptoSty[Division]),(PptoSty[Division]&lt;&gt;0)*(PptoSty[Division]&lt;&gt;"")*(PptoSty[Division]&lt;&gt;"X")*(PptoSty[RowGrp]=$E278)*(ISNUMBER(FIND(PptoSty[PiColumn],R$257))),0)),$AA278),_xlpm.y,IF(_xlfn._xlws.FILTER(TbRsmIn[Alive],TbRsmIn[Enquiry No]=$E278,"X")="C",0,INDEX(INDIRECT(Mods!$B$2),MATCH($E278,INDIRECT(Mods!$B$4),0),MATCH(R$257,INDIRECT(Mods!$AL$3),0))),IF(AND(_xlpm.x=0,_xlpm.y&lt;&gt;0),-1,IF(AND(_xlpm.x&lt;&gt;0,_xlpm.y&lt;&gt;0),_xlpm.x,IF(AND(_xlpm.x-$AA278&lt;&gt;0,_xlpm.y=0),-2,_xlpm.x)))),0))</f>
        <v>0</v>
      </c>
      <c r="S278" s="282" cm="1">
        <f t="array" aca="1" ref="S278" ca="1">IF(OR($E278="",$E278="X"),0,IFERROR(_xlfn.LET(_xlpm.x,SUM(SUM(_xlfn._xlws.FILTER(VALUE(PptoSty[Sign]&amp;1)*(1/PptoSty[Division]),(PptoSty[Division]&lt;&gt;0)*(PptoSty[Division]&lt;&gt;"")*(PptoSty[Division]&lt;&gt;"X")*(PptoSty[RowGrp]=$E278)*(ISNUMBER(FIND(PptoSty[PiColumn],S$257))),0)),$AA278),_xlpm.y,IF(_xlfn._xlws.FILTER(TbRsmIn[Alive],TbRsmIn[Enquiry No]=$E278,"X")="C",0,INDEX(INDIRECT(Mods!$B$2),MATCH($E278,INDIRECT(Mods!$B$4),0),MATCH(S$257,INDIRECT(Mods!$AL$3),0))),IF(AND(_xlpm.x=0,_xlpm.y&lt;&gt;0),-1,IF(AND(_xlpm.x&lt;&gt;0,_xlpm.y&lt;&gt;0),_xlpm.x,IF(AND(_xlpm.x-$AA278&lt;&gt;0,_xlpm.y=0),-2,_xlpm.x)))),0))</f>
        <v>0</v>
      </c>
      <c r="T278" s="282" cm="1">
        <f t="array" aca="1" ref="T278" ca="1">IF(OR($E278="",$E278="X"),0,IFERROR(_xlfn.LET(_xlpm.x,SUM(SUM(_xlfn._xlws.FILTER(VALUE(PptoSty[Sign]&amp;1)*(1/PptoSty[Division]),(PptoSty[Division]&lt;&gt;0)*(PptoSty[Division]&lt;&gt;"")*(PptoSty[Division]&lt;&gt;"X")*(PptoSty[RowGrp]=$E278)*(ISNUMBER(FIND(PptoSty[PiColumn],T$257))),0)),$AA278),_xlpm.y,IF(_xlfn._xlws.FILTER(TbRsmIn[Alive],TbRsmIn[Enquiry No]=$E278,"X")="C",0,INDEX(INDIRECT(Mods!$B$2),MATCH($E278,INDIRECT(Mods!$B$4),0),MATCH(T$257,INDIRECT(Mods!$AL$3),0))),IF(AND(_xlpm.x=0,_xlpm.y&lt;&gt;0),-1,IF(AND(_xlpm.x&lt;&gt;0,_xlpm.y&lt;&gt;0),_xlpm.x,IF(AND(_xlpm.x-$AA278&lt;&gt;0,_xlpm.y=0),-2,_xlpm.x)))),0))</f>
        <v>0</v>
      </c>
      <c r="U278" s="282" cm="1">
        <f t="array" aca="1" ref="U278" ca="1">IF(OR($E278="",$E278="X"),0,IFERROR(_xlfn.LET(_xlpm.x,SUM(SUM(_xlfn._xlws.FILTER(VALUE(PptoSty[Sign]&amp;1)*(1/PptoSty[Division]),(PptoSty[Division]&lt;&gt;0)*(PptoSty[Division]&lt;&gt;"")*(PptoSty[Division]&lt;&gt;"X")*(PptoSty[RowGrp]=$E278)*(ISNUMBER(FIND(PptoSty[PiColumn],U$257))),0)),$AA278),_xlpm.y,IF(_xlfn._xlws.FILTER(TbRsmIn[Alive],TbRsmIn[Enquiry No]=$E278,"X")="C",0,INDEX(INDIRECT(Mods!$B$2),MATCH($E278,INDIRECT(Mods!$B$4),0),MATCH(U$257,INDIRECT(Mods!$AL$3),0))),IF(AND(_xlpm.x=0,_xlpm.y&lt;&gt;0),-1,IF(AND(_xlpm.x&lt;&gt;0,_xlpm.y&lt;&gt;0),_xlpm.x,IF(AND(_xlpm.x-$AA278&lt;&gt;0,_xlpm.y=0),-2,_xlpm.x)))),0))</f>
        <v>0</v>
      </c>
      <c r="V278" s="282" cm="1">
        <f t="array" aca="1" ref="V278" ca="1">IF(OR($E278="",$E278="X"),0,IFERROR(_xlfn.LET(_xlpm.x,SUM(SUM(_xlfn._xlws.FILTER(VALUE(PptoSty[Sign]&amp;1)*(1/PptoSty[Division]),(PptoSty[Division]&lt;&gt;0)*(PptoSty[Division]&lt;&gt;"")*(PptoSty[Division]&lt;&gt;"X")*(PptoSty[RowGrp]=$E278)*(ISNUMBER(FIND(PptoSty[PiColumn],V$257))),0)),$AA278),_xlpm.y,IF(_xlfn._xlws.FILTER(TbRsmIn[Alive],TbRsmIn[Enquiry No]=$E278,"X")="C",0,INDEX(INDIRECT(Mods!$B$2),MATCH($E278,INDIRECT(Mods!$B$4),0),MATCH(V$257,INDIRECT(Mods!$AL$3),0))),IF(AND(_xlpm.x=0,_xlpm.y&lt;&gt;0),-1,IF(AND(_xlpm.x&lt;&gt;0,_xlpm.y&lt;&gt;0),_xlpm.x,IF(AND(_xlpm.x-$AA278&lt;&gt;0,_xlpm.y=0),-2,_xlpm.x)))),0))</f>
        <v>-1</v>
      </c>
      <c r="W278" s="282" cm="1">
        <f t="array" aca="1" ref="W278" ca="1">IF(OR($E278="",$E278="X"),0,IFERROR(_xlfn.LET(_xlpm.x,SUM(SUM(_xlfn._xlws.FILTER(VALUE(PptoSty[Sign]&amp;1)*(1/PptoSty[Division]),(PptoSty[Division]&lt;&gt;0)*(PptoSty[Division]&lt;&gt;"")*(PptoSty[Division]&lt;&gt;"X")*(PptoSty[RowGrp]=$E278)*(ISNUMBER(FIND(PptoSty[PiColumn],W$257))),0)),$AA278),_xlpm.y,IF(_xlfn._xlws.FILTER(TbRsmIn[Alive],TbRsmIn[Enquiry No]=$E278,"X")="C",0,INDEX(INDIRECT(Mods!$B$2),MATCH($E278,INDIRECT(Mods!$B$4),0),MATCH(W$257,INDIRECT(Mods!$AL$3),0))),IF(AND(_xlpm.x=0,_xlpm.y&lt;&gt;0),-1,IF(AND(_xlpm.x&lt;&gt;0,_xlpm.y&lt;&gt;0),_xlpm.x,IF(AND(_xlpm.x-$AA278&lt;&gt;0,_xlpm.y=0),-2,_xlpm.x)))),0))</f>
        <v>0</v>
      </c>
      <c r="X278" s="282" cm="1">
        <f t="array" aca="1" ref="X278" ca="1">IF(OR($E278="",$E278="X"),0,IFERROR(_xlfn.LET(_xlpm.x,SUM(SUM(_xlfn._xlws.FILTER(VALUE(PptoSty[Sign]&amp;1)*(1/PptoSty[Division]),(PptoSty[Division]&lt;&gt;0)*(PptoSty[Division]&lt;&gt;"")*(PptoSty[Division]&lt;&gt;"X")*(PptoSty[RowGrp]=$E278)*(ISNUMBER(FIND(PptoSty[PiColumn],X$257))),0)),$AA278),_xlpm.y,IF(_xlfn._xlws.FILTER(TbRsmIn[Alive],TbRsmIn[Enquiry No]=$E278,"X")="C",0,INDEX(INDIRECT(Mods!$B$2),MATCH($E278,INDIRECT(Mods!$B$4),0),MATCH(X$257,INDIRECT(Mods!$AL$3),0))),IF(AND(_xlpm.x=0,_xlpm.y&lt;&gt;0),-1,IF(AND(_xlpm.x&lt;&gt;0,_xlpm.y&lt;&gt;0),_xlpm.x,IF(AND(_xlpm.x-$AA278&lt;&gt;0,_xlpm.y=0),-2,_xlpm.x)))),0))</f>
        <v>0</v>
      </c>
      <c r="Y278" s="282" cm="1">
        <f t="array" aca="1" ref="Y278" ca="1">IF(OR($E278="",$E278="X"),0,IFERROR(_xlfn.LET(_xlpm.x,SUM(SUM(_xlfn._xlws.FILTER(VALUE(PptoSty[Sign]&amp;1)*(1/PptoSty[Division]),(PptoSty[Division]&lt;&gt;0)*(PptoSty[Division]&lt;&gt;"")*(PptoSty[Division]&lt;&gt;"X")*(PptoSty[RowGrp]=$E278)*(ISNUMBER(FIND(PptoSty[PiColumn],Y$257))),0)),$AA278),_xlpm.y,IF(_xlfn._xlws.FILTER(TbRsmIn[Alive],TbRsmIn[Enquiry No]=$E278,"X")="C",0,INDEX(INDIRECT(Mods!$B$2),MATCH($E278,INDIRECT(Mods!$B$4),0),MATCH(Y$257,INDIRECT(Mods!$AL$3),0))),IF(AND(_xlpm.x=0,_xlpm.y&lt;&gt;0),-1,IF(AND(_xlpm.x&lt;&gt;0,_xlpm.y&lt;&gt;0),_xlpm.x,IF(AND(_xlpm.x-$AA278&lt;&gt;0,_xlpm.y=0),-2,_xlpm.x)))),0))</f>
        <v>-1</v>
      </c>
      <c r="Z278" s="280" t="str">
        <f t="shared" ca="1" si="8"/>
        <v>Fback!B278:Y278</v>
      </c>
      <c r="AA278" s="282" cm="1">
        <f t="array" aca="1" ref="AA278" ca="1">IF(OR($E278="",$E278="X"),0,IFERROR(SUM(_xlfn._xlws.FILTER(VALUE(#REF!&amp;1)*(1/PptoSty[PptoVsRow]),(PptoSty[PptoVsRow]&lt;&gt;0)*(PptoSty[PptoVsRow]&lt;&gt;"")*(PptoSty[PptoVsRow]&lt;&gt;"X")*(PptoSty[Num]=$E278)*(PptoSty[RowGrp]=AA$260),0)),0))</f>
        <v>0</v>
      </c>
    </row>
    <row r="279" spans="2:27" ht="21" customHeight="1" outlineLevel="1">
      <c r="B279" s="247" t="str" cm="1">
        <f t="array" ref="B279:C279">IF($E279="X","X",_xlfn._xlws.FILTER(P_SelPrj[[PrjId]:[Cia]],P_SelPrj[Attribute]=VALUE(LEFT($E279,1)),"X"))</f>
        <v>31200</v>
      </c>
      <c r="C279" s="247" t="str">
        <v>Sp</v>
      </c>
      <c r="D279" s="247" t="s">
        <v>375</v>
      </c>
      <c r="E279" s="247" t="str" cm="1">
        <f t="array" ref="E279">_xlfn.LET(_xlpm.x,IFERROR(INDEX(TbRsmIn[Enquiry No],SUM(ROW()-MATCH("SOM",$A:$A,0))),"X"),IF(_xlpm.x=0,"X",_xlpm.x))</f>
        <v>0CT019</v>
      </c>
      <c r="F279" s="413" t="str" cm="1">
        <f t="array" ref="F279">_xlfn._xlws.FILTER(CstClcData[Value],(CstClcData[Attribute]="Concept")*(CstClcData[Name]=$E279),"X")</f>
        <v>Cost by delay stamping's for 4WA (2nd release because geo+1st weld will not be @SERRA site)</v>
      </c>
      <c r="G279" s="281"/>
      <c r="H279" s="281"/>
      <c r="I279" s="282" cm="1">
        <f t="array" aca="1" ref="I279" ca="1">IF(OR($E279="",$E279="X"),0,IFERROR(_xlfn.LET(_xlpm.x,SUM(SUM(_xlfn._xlws.FILTER(VALUE(PptoSty[Sign]&amp;1)*(1/PptoSty[Division]),(PptoSty[Division]&lt;&gt;0)*(PptoSty[Division]&lt;&gt;"")*(PptoSty[Division]&lt;&gt;"X")*(PptoSty[RowGrp]=$E279)*(ISNUMBER(FIND(PptoSty[PiColumn],I$257))),0)),$AA279),_xlpm.y,IF(_xlfn._xlws.FILTER(TbRsmIn[Alive],TbRsmIn[Enquiry No]=$E279,"X")="C",0,INDEX(INDIRECT(Mods!$B$2),MATCH($E279,INDIRECT(Mods!$B$4),0),MATCH(I$257,INDIRECT(Mods!$AL$3),0))),IF(AND(_xlpm.x=0,_xlpm.y&lt;&gt;0),-1,IF(AND(_xlpm.x&lt;&gt;0,_xlpm.y&lt;&gt;0),_xlpm.x,IF(AND(_xlpm.x-$AA279&lt;&gt;0,_xlpm.y=0),-2,_xlpm.x)))),0))</f>
        <v>0</v>
      </c>
      <c r="J279" s="282" cm="1">
        <f t="array" aca="1" ref="J279" ca="1">IF(OR($E279="",$E279="X"),0,IFERROR(_xlfn.LET(_xlpm.x,SUM(SUM(_xlfn._xlws.FILTER(VALUE(PptoSty[Sign]&amp;1)*(1/PptoSty[Division]),(PptoSty[Division]&lt;&gt;0)*(PptoSty[Division]&lt;&gt;"")*(PptoSty[Division]&lt;&gt;"X")*(PptoSty[RowGrp]=$E279)*(ISNUMBER(FIND(PptoSty[PiColumn],J$257))),0)),$AA279),_xlpm.y,IF(_xlfn._xlws.FILTER(TbRsmIn[Alive],TbRsmIn[Enquiry No]=$E279,"X")="C",0,INDEX(INDIRECT(Mods!$B$2),MATCH($E279,INDIRECT(Mods!$B$4),0),MATCH(J$257,INDIRECT(Mods!$AL$3),0))),IF(AND(_xlpm.x=0,_xlpm.y&lt;&gt;0),-1,IF(AND(_xlpm.x&lt;&gt;0,_xlpm.y&lt;&gt;0),_xlpm.x,IF(AND(_xlpm.x-$AA279&lt;&gt;0,_xlpm.y=0),-2,_xlpm.x)))),0))</f>
        <v>0</v>
      </c>
      <c r="K279" s="282" cm="1">
        <f t="array" aca="1" ref="K279" ca="1">IF(OR($E279="",$E279="X"),0,IFERROR(_xlfn.LET(_xlpm.x,SUM(SUM(_xlfn._xlws.FILTER(VALUE(PptoSty[Sign]&amp;1)*(1/PptoSty[Division]),(PptoSty[Division]&lt;&gt;0)*(PptoSty[Division]&lt;&gt;"")*(PptoSty[Division]&lt;&gt;"X")*(PptoSty[RowGrp]=$E279)*(ISNUMBER(FIND(PptoSty[PiColumn],K$257))),0)),$AA279),_xlpm.y,IF(_xlfn._xlws.FILTER(TbRsmIn[Alive],TbRsmIn[Enquiry No]=$E279,"X")="C",0,INDEX(INDIRECT(Mods!$B$2),MATCH($E279,INDIRECT(Mods!$B$4),0),MATCH(K$257,INDIRECT(Mods!$AL$3),0))),IF(AND(_xlpm.x=0,_xlpm.y&lt;&gt;0),-1,IF(AND(_xlpm.x&lt;&gt;0,_xlpm.y&lt;&gt;0),_xlpm.x,IF(AND(_xlpm.x-$AA279&lt;&gt;0,_xlpm.y=0),-2,_xlpm.x)))),0))</f>
        <v>0</v>
      </c>
      <c r="L279" s="282" cm="1">
        <f t="array" aca="1" ref="L279" ca="1">IF(OR($E279="",$E279="X"),0,IFERROR(_xlfn.LET(_xlpm.x,SUM(SUM(_xlfn._xlws.FILTER(VALUE(PptoSty[Sign]&amp;1)*(1/PptoSty[Division]),(PptoSty[Division]&lt;&gt;0)*(PptoSty[Division]&lt;&gt;"")*(PptoSty[Division]&lt;&gt;"X")*(PptoSty[RowGrp]=$E279)*(ISNUMBER(FIND(PptoSty[PiColumn],L$257))),0)),$AA279),_xlpm.y,IF(_xlfn._xlws.FILTER(TbRsmIn[Alive],TbRsmIn[Enquiry No]=$E279,"X")="C",0,INDEX(INDIRECT(Mods!$B$2),MATCH($E279,INDIRECT(Mods!$B$4),0),MATCH(L$257,INDIRECT(Mods!$AL$3),0))),IF(AND(_xlpm.x=0,_xlpm.y&lt;&gt;0),-1,IF(AND(_xlpm.x&lt;&gt;0,_xlpm.y&lt;&gt;0),_xlpm.x,IF(AND(_xlpm.x-$AA279&lt;&gt;0,_xlpm.y=0),-2,_xlpm.x)))),0))</f>
        <v>0</v>
      </c>
      <c r="M279" s="282" cm="1">
        <f t="array" aca="1" ref="M279" ca="1">IF(OR($E279="",$E279="X"),0,IFERROR(_xlfn.LET(_xlpm.x,SUM(SUM(_xlfn._xlws.FILTER(VALUE(PptoSty[Sign]&amp;1)*(1/PptoSty[Division]),(PptoSty[Division]&lt;&gt;0)*(PptoSty[Division]&lt;&gt;"")*(PptoSty[Division]&lt;&gt;"X")*(PptoSty[RowGrp]=$E279)*(ISNUMBER(FIND(PptoSty[PiColumn],M$257))),0)),$AA279),_xlpm.y,IF(_xlfn._xlws.FILTER(TbRsmIn[Alive],TbRsmIn[Enquiry No]=$E279,"X")="C",0,INDEX(INDIRECT(Mods!$B$2),MATCH($E279,INDIRECT(Mods!$B$4),0),MATCH(M$257,INDIRECT(Mods!$AL$3),0))),IF(AND(_xlpm.x=0,_xlpm.y&lt;&gt;0),-1,IF(AND(_xlpm.x&lt;&gt;0,_xlpm.y&lt;&gt;0),_xlpm.x,IF(AND(_xlpm.x-$AA279&lt;&gt;0,_xlpm.y=0),-2,_xlpm.x)))),0))</f>
        <v>0</v>
      </c>
      <c r="N279" s="282" cm="1">
        <f t="array" aca="1" ref="N279" ca="1">IF(OR($E279="",$E279="X"),0,IFERROR(_xlfn.LET(_xlpm.x,SUM(SUM(_xlfn._xlws.FILTER(VALUE(PptoSty[Sign]&amp;1)*(1/PptoSty[Division]),(PptoSty[Division]&lt;&gt;0)*(PptoSty[Division]&lt;&gt;"")*(PptoSty[Division]&lt;&gt;"X")*(PptoSty[RowGrp]=$E279)*(ISNUMBER(FIND(PptoSty[PiColumn],N$257))),0)),$AA279),_xlpm.y,IF(_xlfn._xlws.FILTER(TbRsmIn[Alive],TbRsmIn[Enquiry No]=$E279,"X")="C",0,INDEX(INDIRECT(Mods!$B$2),MATCH($E279,INDIRECT(Mods!$B$4),0),MATCH(N$257,INDIRECT(Mods!$AL$3),0))),IF(AND(_xlpm.x=0,_xlpm.y&lt;&gt;0),-1,IF(AND(_xlpm.x&lt;&gt;0,_xlpm.y&lt;&gt;0),_xlpm.x,IF(AND(_xlpm.x-$AA279&lt;&gt;0,_xlpm.y=0),-2,_xlpm.x)))),0))</f>
        <v>0</v>
      </c>
      <c r="O279" s="282" cm="1">
        <f t="array" aca="1" ref="O279" ca="1">IF(OR($E279="",$E279="X"),0,IFERROR(_xlfn.LET(_xlpm.x,SUM(SUM(_xlfn._xlws.FILTER(VALUE(PptoSty[Sign]&amp;1)*(1/PptoSty[Division]),(PptoSty[Division]&lt;&gt;0)*(PptoSty[Division]&lt;&gt;"")*(PptoSty[Division]&lt;&gt;"X")*(PptoSty[RowGrp]=$E279)*(ISNUMBER(FIND(PptoSty[PiColumn],O$257))),0)),$AA279),_xlpm.y,IF(_xlfn._xlws.FILTER(TbRsmIn[Alive],TbRsmIn[Enquiry No]=$E279,"X")="C",0,INDEX(INDIRECT(Mods!$B$2),MATCH($E279,INDIRECT(Mods!$B$4),0),MATCH(O$257,INDIRECT(Mods!$AL$3),0))),IF(AND(_xlpm.x=0,_xlpm.y&lt;&gt;0),-1,IF(AND(_xlpm.x&lt;&gt;0,_xlpm.y&lt;&gt;0),_xlpm.x,IF(AND(_xlpm.x-$AA279&lt;&gt;0,_xlpm.y=0),-2,_xlpm.x)))),0))</f>
        <v>0</v>
      </c>
      <c r="P279" s="282" cm="1">
        <f t="array" aca="1" ref="P279" ca="1">IF(OR($E279="",$E279="X"),0,IFERROR(_xlfn.LET(_xlpm.x,SUM(SUM(_xlfn._xlws.FILTER(VALUE(PptoSty[Sign]&amp;1)*(1/PptoSty[Division]),(PptoSty[Division]&lt;&gt;0)*(PptoSty[Division]&lt;&gt;"")*(PptoSty[Division]&lt;&gt;"X")*(PptoSty[RowGrp]=$E279)*(ISNUMBER(FIND(PptoSty[PiColumn],P$257))),0)),$AA279),_xlpm.y,IF(_xlfn._xlws.FILTER(TbRsmIn[Alive],TbRsmIn[Enquiry No]=$E279,"X")="C",0,INDEX(INDIRECT(Mods!$B$2),MATCH($E279,INDIRECT(Mods!$B$4),0),MATCH(P$257,INDIRECT(Mods!$AL$3),0))),IF(AND(_xlpm.x=0,_xlpm.y&lt;&gt;0),-1,IF(AND(_xlpm.x&lt;&gt;0,_xlpm.y&lt;&gt;0),_xlpm.x,IF(AND(_xlpm.x-$AA279&lt;&gt;0,_xlpm.y=0),-2,_xlpm.x)))),0))</f>
        <v>0</v>
      </c>
      <c r="Q279" s="282" cm="1">
        <f t="array" aca="1" ref="Q279" ca="1">IF(OR($E279="",$E279="X"),0,IFERROR(_xlfn.LET(_xlpm.x,SUM(SUM(_xlfn._xlws.FILTER(VALUE(PptoSty[Sign]&amp;1)*(1/PptoSty[Division]),(PptoSty[Division]&lt;&gt;0)*(PptoSty[Division]&lt;&gt;"")*(PptoSty[Division]&lt;&gt;"X")*(PptoSty[RowGrp]=$E279)*(ISNUMBER(FIND(PptoSty[PiColumn],Q$257))),0)),$AA279),_xlpm.y,IF(_xlfn._xlws.FILTER(TbRsmIn[Alive],TbRsmIn[Enquiry No]=$E279,"X")="C",0,INDEX(INDIRECT(Mods!$B$2),MATCH($E279,INDIRECT(Mods!$B$4),0),MATCH(Q$257,INDIRECT(Mods!$AL$3),0))),IF(AND(_xlpm.x=0,_xlpm.y&lt;&gt;0),-1,IF(AND(_xlpm.x&lt;&gt;0,_xlpm.y&lt;&gt;0),_xlpm.x,IF(AND(_xlpm.x-$AA279&lt;&gt;0,_xlpm.y=0),-2,_xlpm.x)))),0))</f>
        <v>0</v>
      </c>
      <c r="R279" s="282" cm="1">
        <f t="array" aca="1" ref="R279" ca="1">IF(OR($E279="",$E279="X"),0,IFERROR(_xlfn.LET(_xlpm.x,SUM(SUM(_xlfn._xlws.FILTER(VALUE(PptoSty[Sign]&amp;1)*(1/PptoSty[Division]),(PptoSty[Division]&lt;&gt;0)*(PptoSty[Division]&lt;&gt;"")*(PptoSty[Division]&lt;&gt;"X")*(PptoSty[RowGrp]=$E279)*(ISNUMBER(FIND(PptoSty[PiColumn],R$257))),0)),$AA279),_xlpm.y,IF(_xlfn._xlws.FILTER(TbRsmIn[Alive],TbRsmIn[Enquiry No]=$E279,"X")="C",0,INDEX(INDIRECT(Mods!$B$2),MATCH($E279,INDIRECT(Mods!$B$4),0),MATCH(R$257,INDIRECT(Mods!$AL$3),0))),IF(AND(_xlpm.x=0,_xlpm.y&lt;&gt;0),-1,IF(AND(_xlpm.x&lt;&gt;0,_xlpm.y&lt;&gt;0),_xlpm.x,IF(AND(_xlpm.x-$AA279&lt;&gt;0,_xlpm.y=0),-2,_xlpm.x)))),0))</f>
        <v>0</v>
      </c>
      <c r="S279" s="282" cm="1">
        <f t="array" aca="1" ref="S279" ca="1">IF(OR($E279="",$E279="X"),0,IFERROR(_xlfn.LET(_xlpm.x,SUM(SUM(_xlfn._xlws.FILTER(VALUE(PptoSty[Sign]&amp;1)*(1/PptoSty[Division]),(PptoSty[Division]&lt;&gt;0)*(PptoSty[Division]&lt;&gt;"")*(PptoSty[Division]&lt;&gt;"X")*(PptoSty[RowGrp]=$E279)*(ISNUMBER(FIND(PptoSty[PiColumn],S$257))),0)),$AA279),_xlpm.y,IF(_xlfn._xlws.FILTER(TbRsmIn[Alive],TbRsmIn[Enquiry No]=$E279,"X")="C",0,INDEX(INDIRECT(Mods!$B$2),MATCH($E279,INDIRECT(Mods!$B$4),0),MATCH(S$257,INDIRECT(Mods!$AL$3),0))),IF(AND(_xlpm.x=0,_xlpm.y&lt;&gt;0),-1,IF(AND(_xlpm.x&lt;&gt;0,_xlpm.y&lt;&gt;0),_xlpm.x,IF(AND(_xlpm.x-$AA279&lt;&gt;0,_xlpm.y=0),-2,_xlpm.x)))),0))</f>
        <v>0</v>
      </c>
      <c r="T279" s="282" cm="1">
        <f t="array" aca="1" ref="T279" ca="1">IF(OR($E279="",$E279="X"),0,IFERROR(_xlfn.LET(_xlpm.x,SUM(SUM(_xlfn._xlws.FILTER(VALUE(PptoSty[Sign]&amp;1)*(1/PptoSty[Division]),(PptoSty[Division]&lt;&gt;0)*(PptoSty[Division]&lt;&gt;"")*(PptoSty[Division]&lt;&gt;"X")*(PptoSty[RowGrp]=$E279)*(ISNUMBER(FIND(PptoSty[PiColumn],T$257))),0)),$AA279),_xlpm.y,IF(_xlfn._xlws.FILTER(TbRsmIn[Alive],TbRsmIn[Enquiry No]=$E279,"X")="C",0,INDEX(INDIRECT(Mods!$B$2),MATCH($E279,INDIRECT(Mods!$B$4),0),MATCH(T$257,INDIRECT(Mods!$AL$3),0))),IF(AND(_xlpm.x=0,_xlpm.y&lt;&gt;0),-1,IF(AND(_xlpm.x&lt;&gt;0,_xlpm.y&lt;&gt;0),_xlpm.x,IF(AND(_xlpm.x-$AA279&lt;&gt;0,_xlpm.y=0),-2,_xlpm.x)))),0))</f>
        <v>0</v>
      </c>
      <c r="U279" s="282" cm="1">
        <f t="array" aca="1" ref="U279" ca="1">IF(OR($E279="",$E279="X"),0,IFERROR(_xlfn.LET(_xlpm.x,SUM(SUM(_xlfn._xlws.FILTER(VALUE(PptoSty[Sign]&amp;1)*(1/PptoSty[Division]),(PptoSty[Division]&lt;&gt;0)*(PptoSty[Division]&lt;&gt;"")*(PptoSty[Division]&lt;&gt;"X")*(PptoSty[RowGrp]=$E279)*(ISNUMBER(FIND(PptoSty[PiColumn],U$257))),0)),$AA279),_xlpm.y,IF(_xlfn._xlws.FILTER(TbRsmIn[Alive],TbRsmIn[Enquiry No]=$E279,"X")="C",0,INDEX(INDIRECT(Mods!$B$2),MATCH($E279,INDIRECT(Mods!$B$4),0),MATCH(U$257,INDIRECT(Mods!$AL$3),0))),IF(AND(_xlpm.x=0,_xlpm.y&lt;&gt;0),-1,IF(AND(_xlpm.x&lt;&gt;0,_xlpm.y&lt;&gt;0),_xlpm.x,IF(AND(_xlpm.x-$AA279&lt;&gt;0,_xlpm.y=0),-2,_xlpm.x)))),0))</f>
        <v>0</v>
      </c>
      <c r="V279" s="282" cm="1">
        <f t="array" aca="1" ref="V279" ca="1">IF(OR($E279="",$E279="X"),0,IFERROR(_xlfn.LET(_xlpm.x,SUM(SUM(_xlfn._xlws.FILTER(VALUE(PptoSty[Sign]&amp;1)*(1/PptoSty[Division]),(PptoSty[Division]&lt;&gt;0)*(PptoSty[Division]&lt;&gt;"")*(PptoSty[Division]&lt;&gt;"X")*(PptoSty[RowGrp]=$E279)*(ISNUMBER(FIND(PptoSty[PiColumn],V$257))),0)),$AA279),_xlpm.y,IF(_xlfn._xlws.FILTER(TbRsmIn[Alive],TbRsmIn[Enquiry No]=$E279,"X")="C",0,INDEX(INDIRECT(Mods!$B$2),MATCH($E279,INDIRECT(Mods!$B$4),0),MATCH(V$257,INDIRECT(Mods!$AL$3),0))),IF(AND(_xlpm.x=0,_xlpm.y&lt;&gt;0),-1,IF(AND(_xlpm.x&lt;&gt;0,_xlpm.y&lt;&gt;0),_xlpm.x,IF(AND(_xlpm.x-$AA279&lt;&gt;0,_xlpm.y=0),-2,_xlpm.x)))),0))</f>
        <v>0</v>
      </c>
      <c r="W279" s="282" cm="1">
        <f t="array" aca="1" ref="W279" ca="1">IF(OR($E279="",$E279="X"),0,IFERROR(_xlfn.LET(_xlpm.x,SUM(SUM(_xlfn._xlws.FILTER(VALUE(PptoSty[Sign]&amp;1)*(1/PptoSty[Division]),(PptoSty[Division]&lt;&gt;0)*(PptoSty[Division]&lt;&gt;"")*(PptoSty[Division]&lt;&gt;"X")*(PptoSty[RowGrp]=$E279)*(ISNUMBER(FIND(PptoSty[PiColumn],W$257))),0)),$AA279),_xlpm.y,IF(_xlfn._xlws.FILTER(TbRsmIn[Alive],TbRsmIn[Enquiry No]=$E279,"X")="C",0,INDEX(INDIRECT(Mods!$B$2),MATCH($E279,INDIRECT(Mods!$B$4),0),MATCH(W$257,INDIRECT(Mods!$AL$3),0))),IF(AND(_xlpm.x=0,_xlpm.y&lt;&gt;0),-1,IF(AND(_xlpm.x&lt;&gt;0,_xlpm.y&lt;&gt;0),_xlpm.x,IF(AND(_xlpm.x-$AA279&lt;&gt;0,_xlpm.y=0),-2,_xlpm.x)))),0))</f>
        <v>0</v>
      </c>
      <c r="X279" s="282" cm="1">
        <f t="array" aca="1" ref="X279" ca="1">IF(OR($E279="",$E279="X"),0,IFERROR(_xlfn.LET(_xlpm.x,SUM(SUM(_xlfn._xlws.FILTER(VALUE(PptoSty[Sign]&amp;1)*(1/PptoSty[Division]),(PptoSty[Division]&lt;&gt;0)*(PptoSty[Division]&lt;&gt;"")*(PptoSty[Division]&lt;&gt;"X")*(PptoSty[RowGrp]=$E279)*(ISNUMBER(FIND(PptoSty[PiColumn],X$257))),0)),$AA279),_xlpm.y,IF(_xlfn._xlws.FILTER(TbRsmIn[Alive],TbRsmIn[Enquiry No]=$E279,"X")="C",0,INDEX(INDIRECT(Mods!$B$2),MATCH($E279,INDIRECT(Mods!$B$4),0),MATCH(X$257,INDIRECT(Mods!$AL$3),0))),IF(AND(_xlpm.x=0,_xlpm.y&lt;&gt;0),-1,IF(AND(_xlpm.x&lt;&gt;0,_xlpm.y&lt;&gt;0),_xlpm.x,IF(AND(_xlpm.x-$AA279&lt;&gt;0,_xlpm.y=0),-2,_xlpm.x)))),0))</f>
        <v>0</v>
      </c>
      <c r="Y279" s="282" cm="1">
        <f t="array" aca="1" ref="Y279" ca="1">IF(OR($E279="",$E279="X"),0,IFERROR(_xlfn.LET(_xlpm.x,SUM(SUM(_xlfn._xlws.FILTER(VALUE(PptoSty[Sign]&amp;1)*(1/PptoSty[Division]),(PptoSty[Division]&lt;&gt;0)*(PptoSty[Division]&lt;&gt;"")*(PptoSty[Division]&lt;&gt;"X")*(PptoSty[RowGrp]=$E279)*(ISNUMBER(FIND(PptoSty[PiColumn],Y$257))),0)),$AA279),_xlpm.y,IF(_xlfn._xlws.FILTER(TbRsmIn[Alive],TbRsmIn[Enquiry No]=$E279,"X")="C",0,INDEX(INDIRECT(Mods!$B$2),MATCH($E279,INDIRECT(Mods!$B$4),0),MATCH(Y$257,INDIRECT(Mods!$AL$3),0))),IF(AND(_xlpm.x=0,_xlpm.y&lt;&gt;0),-1,IF(AND(_xlpm.x&lt;&gt;0,_xlpm.y&lt;&gt;0),_xlpm.x,IF(AND(_xlpm.x-$AA279&lt;&gt;0,_xlpm.y=0),-2,_xlpm.x)))),0))</f>
        <v>0</v>
      </c>
      <c r="Z279" s="280" t="str">
        <f t="shared" ca="1" si="8"/>
        <v>Fback!B279:Y279</v>
      </c>
      <c r="AA279" s="282" cm="1">
        <f t="array" aca="1" ref="AA279" ca="1">IF(OR($E279="",$E279="X"),0,IFERROR(SUM(_xlfn._xlws.FILTER(VALUE(#REF!&amp;1)*(1/PptoSty[PptoVsRow]),(PptoSty[PptoVsRow]&lt;&gt;0)*(PptoSty[PptoVsRow]&lt;&gt;"")*(PptoSty[PptoVsRow]&lt;&gt;"X")*(PptoSty[Num]=$E279)*(PptoSty[RowGrp]=AA$260),0)),0))</f>
        <v>0</v>
      </c>
    </row>
    <row r="280" spans="2:27" ht="21" customHeight="1" outlineLevel="1">
      <c r="B280" s="247" t="str" cm="1">
        <f t="array" ref="B280:C280">IF($E280="X","X",_xlfn._xlws.FILTER(P_SelPrj[[PrjId]:[Cia]],P_SelPrj[Attribute]=VALUE(LEFT($E280,1)),"X"))</f>
        <v>31200</v>
      </c>
      <c r="C280" s="247" t="str">
        <v>Sp</v>
      </c>
      <c r="D280" s="247" t="s">
        <v>375</v>
      </c>
      <c r="E280" s="247" t="str" cm="1">
        <f t="array" ref="E280">_xlfn.LET(_xlpm.x,IFERROR(INDEX(TbRsmIn[Enquiry No],SUM(ROW()-MATCH("SOM",$A:$A,0))),"X"),IF(_xlpm.x=0,"X",_xlpm.x))</f>
        <v>0CT020</v>
      </c>
      <c r="F280" s="413" t="str" cm="1">
        <f t="array" ref="F280">_xlfn._xlws.FILTER(CstClcData[Value],(CstClcData[Attribute]="Concept")*(CstClcData[Name]=$E280),"X")</f>
        <v>ECR 7137 Impacts Geo units for Straps at Op610 and Emhard tucker application at Op780</v>
      </c>
      <c r="G280" s="281"/>
      <c r="H280" s="281"/>
      <c r="I280" s="282" cm="1">
        <f t="array" aca="1" ref="I280" ca="1">IF(OR($E280="",$E280="X"),0,IFERROR(_xlfn.LET(_xlpm.x,SUM(SUM(_xlfn._xlws.FILTER(VALUE(PptoSty[Sign]&amp;1)*(1/PptoSty[Division]),(PptoSty[Division]&lt;&gt;0)*(PptoSty[Division]&lt;&gt;"")*(PptoSty[Division]&lt;&gt;"X")*(PptoSty[RowGrp]=$E280)*(ISNUMBER(FIND(PptoSty[PiColumn],I$257))),0)),$AA280),_xlpm.y,IF(_xlfn._xlws.FILTER(TbRsmIn[Alive],TbRsmIn[Enquiry No]=$E280,"X")="C",0,INDEX(INDIRECT(Mods!$B$2),MATCH($E280,INDIRECT(Mods!$B$4),0),MATCH(I$257,INDIRECT(Mods!$AL$3),0))),IF(AND(_xlpm.x=0,_xlpm.y&lt;&gt;0),-1,IF(AND(_xlpm.x&lt;&gt;0,_xlpm.y&lt;&gt;0),_xlpm.x,IF(AND(_xlpm.x-$AA280&lt;&gt;0,_xlpm.y=0),-2,_xlpm.x)))),0))</f>
        <v>0</v>
      </c>
      <c r="J280" s="282" cm="1">
        <f t="array" aca="1" ref="J280" ca="1">IF(OR($E280="",$E280="X"),0,IFERROR(_xlfn.LET(_xlpm.x,SUM(SUM(_xlfn._xlws.FILTER(VALUE(PptoSty[Sign]&amp;1)*(1/PptoSty[Division]),(PptoSty[Division]&lt;&gt;0)*(PptoSty[Division]&lt;&gt;"")*(PptoSty[Division]&lt;&gt;"X")*(PptoSty[RowGrp]=$E280)*(ISNUMBER(FIND(PptoSty[PiColumn],J$257))),0)),$AA280),_xlpm.y,IF(_xlfn._xlws.FILTER(TbRsmIn[Alive],TbRsmIn[Enquiry No]=$E280,"X")="C",0,INDEX(INDIRECT(Mods!$B$2),MATCH($E280,INDIRECT(Mods!$B$4),0),MATCH(J$257,INDIRECT(Mods!$AL$3),0))),IF(AND(_xlpm.x=0,_xlpm.y&lt;&gt;0),-1,IF(AND(_xlpm.x&lt;&gt;0,_xlpm.y&lt;&gt;0),_xlpm.x,IF(AND(_xlpm.x-$AA280&lt;&gt;0,_xlpm.y=0),-2,_xlpm.x)))),0))</f>
        <v>0</v>
      </c>
      <c r="K280" s="282" cm="1">
        <f t="array" aca="1" ref="K280" ca="1">IF(OR($E280="",$E280="X"),0,IFERROR(_xlfn.LET(_xlpm.x,SUM(SUM(_xlfn._xlws.FILTER(VALUE(PptoSty[Sign]&amp;1)*(1/PptoSty[Division]),(PptoSty[Division]&lt;&gt;0)*(PptoSty[Division]&lt;&gt;"")*(PptoSty[Division]&lt;&gt;"X")*(PptoSty[RowGrp]=$E280)*(ISNUMBER(FIND(PptoSty[PiColumn],K$257))),0)),$AA280),_xlpm.y,IF(_xlfn._xlws.FILTER(TbRsmIn[Alive],TbRsmIn[Enquiry No]=$E280,"X")="C",0,INDEX(INDIRECT(Mods!$B$2),MATCH($E280,INDIRECT(Mods!$B$4),0),MATCH(K$257,INDIRECT(Mods!$AL$3),0))),IF(AND(_xlpm.x=0,_xlpm.y&lt;&gt;0),-1,IF(AND(_xlpm.x&lt;&gt;0,_xlpm.y&lt;&gt;0),_xlpm.x,IF(AND(_xlpm.x-$AA280&lt;&gt;0,_xlpm.y=0),-2,_xlpm.x)))),0))</f>
        <v>0</v>
      </c>
      <c r="L280" s="282" cm="1">
        <f t="array" aca="1" ref="L280" ca="1">IF(OR($E280="",$E280="X"),0,IFERROR(_xlfn.LET(_xlpm.x,SUM(SUM(_xlfn._xlws.FILTER(VALUE(PptoSty[Sign]&amp;1)*(1/PptoSty[Division]),(PptoSty[Division]&lt;&gt;0)*(PptoSty[Division]&lt;&gt;"")*(PptoSty[Division]&lt;&gt;"X")*(PptoSty[RowGrp]=$E280)*(ISNUMBER(FIND(PptoSty[PiColumn],L$257))),0)),$AA280),_xlpm.y,IF(_xlfn._xlws.FILTER(TbRsmIn[Alive],TbRsmIn[Enquiry No]=$E280,"X")="C",0,INDEX(INDIRECT(Mods!$B$2),MATCH($E280,INDIRECT(Mods!$B$4),0),MATCH(L$257,INDIRECT(Mods!$AL$3),0))),IF(AND(_xlpm.x=0,_xlpm.y&lt;&gt;0),-1,IF(AND(_xlpm.x&lt;&gt;0,_xlpm.y&lt;&gt;0),_xlpm.x,IF(AND(_xlpm.x-$AA280&lt;&gt;0,_xlpm.y=0),-2,_xlpm.x)))),0))</f>
        <v>0</v>
      </c>
      <c r="M280" s="282" cm="1">
        <f t="array" aca="1" ref="M280" ca="1">IF(OR($E280="",$E280="X"),0,IFERROR(_xlfn.LET(_xlpm.x,SUM(SUM(_xlfn._xlws.FILTER(VALUE(PptoSty[Sign]&amp;1)*(1/PptoSty[Division]),(PptoSty[Division]&lt;&gt;0)*(PptoSty[Division]&lt;&gt;"")*(PptoSty[Division]&lt;&gt;"X")*(PptoSty[RowGrp]=$E280)*(ISNUMBER(FIND(PptoSty[PiColumn],M$257))),0)),$AA280),_xlpm.y,IF(_xlfn._xlws.FILTER(TbRsmIn[Alive],TbRsmIn[Enquiry No]=$E280,"X")="C",0,INDEX(INDIRECT(Mods!$B$2),MATCH($E280,INDIRECT(Mods!$B$4),0),MATCH(M$257,INDIRECT(Mods!$AL$3),0))),IF(AND(_xlpm.x=0,_xlpm.y&lt;&gt;0),-1,IF(AND(_xlpm.x&lt;&gt;0,_xlpm.y&lt;&gt;0),_xlpm.x,IF(AND(_xlpm.x-$AA280&lt;&gt;0,_xlpm.y=0),-2,_xlpm.x)))),0))</f>
        <v>0</v>
      </c>
      <c r="N280" s="282" cm="1">
        <f t="array" aca="1" ref="N280" ca="1">IF(OR($E280="",$E280="X"),0,IFERROR(_xlfn.LET(_xlpm.x,SUM(SUM(_xlfn._xlws.FILTER(VALUE(PptoSty[Sign]&amp;1)*(1/PptoSty[Division]),(PptoSty[Division]&lt;&gt;0)*(PptoSty[Division]&lt;&gt;"")*(PptoSty[Division]&lt;&gt;"X")*(PptoSty[RowGrp]=$E280)*(ISNUMBER(FIND(PptoSty[PiColumn],N$257))),0)),$AA280),_xlpm.y,IF(_xlfn._xlws.FILTER(TbRsmIn[Alive],TbRsmIn[Enquiry No]=$E280,"X")="C",0,INDEX(INDIRECT(Mods!$B$2),MATCH($E280,INDIRECT(Mods!$B$4),0),MATCH(N$257,INDIRECT(Mods!$AL$3),0))),IF(AND(_xlpm.x=0,_xlpm.y&lt;&gt;0),-1,IF(AND(_xlpm.x&lt;&gt;0,_xlpm.y&lt;&gt;0),_xlpm.x,IF(AND(_xlpm.x-$AA280&lt;&gt;0,_xlpm.y=0),-2,_xlpm.x)))),0))</f>
        <v>0</v>
      </c>
      <c r="O280" s="282" cm="1">
        <f t="array" aca="1" ref="O280" ca="1">IF(OR($E280="",$E280="X"),0,IFERROR(_xlfn.LET(_xlpm.x,SUM(SUM(_xlfn._xlws.FILTER(VALUE(PptoSty[Sign]&amp;1)*(1/PptoSty[Division]),(PptoSty[Division]&lt;&gt;0)*(PptoSty[Division]&lt;&gt;"")*(PptoSty[Division]&lt;&gt;"X")*(PptoSty[RowGrp]=$E280)*(ISNUMBER(FIND(PptoSty[PiColumn],O$257))),0)),$AA280),_xlpm.y,IF(_xlfn._xlws.FILTER(TbRsmIn[Alive],TbRsmIn[Enquiry No]=$E280,"X")="C",0,INDEX(INDIRECT(Mods!$B$2),MATCH($E280,INDIRECT(Mods!$B$4),0),MATCH(O$257,INDIRECT(Mods!$AL$3),0))),IF(AND(_xlpm.x=0,_xlpm.y&lt;&gt;0),-1,IF(AND(_xlpm.x&lt;&gt;0,_xlpm.y&lt;&gt;0),_xlpm.x,IF(AND(_xlpm.x-$AA280&lt;&gt;0,_xlpm.y=0),-2,_xlpm.x)))),0))</f>
        <v>0</v>
      </c>
      <c r="P280" s="282" cm="1">
        <f t="array" aca="1" ref="P280" ca="1">IF(OR($E280="",$E280="X"),0,IFERROR(_xlfn.LET(_xlpm.x,SUM(SUM(_xlfn._xlws.FILTER(VALUE(PptoSty[Sign]&amp;1)*(1/PptoSty[Division]),(PptoSty[Division]&lt;&gt;0)*(PptoSty[Division]&lt;&gt;"")*(PptoSty[Division]&lt;&gt;"X")*(PptoSty[RowGrp]=$E280)*(ISNUMBER(FIND(PptoSty[PiColumn],P$257))),0)),$AA280),_xlpm.y,IF(_xlfn._xlws.FILTER(TbRsmIn[Alive],TbRsmIn[Enquiry No]=$E280,"X")="C",0,INDEX(INDIRECT(Mods!$B$2),MATCH($E280,INDIRECT(Mods!$B$4),0),MATCH(P$257,INDIRECT(Mods!$AL$3),0))),IF(AND(_xlpm.x=0,_xlpm.y&lt;&gt;0),-1,IF(AND(_xlpm.x&lt;&gt;0,_xlpm.y&lt;&gt;0),_xlpm.x,IF(AND(_xlpm.x-$AA280&lt;&gt;0,_xlpm.y=0),-2,_xlpm.x)))),0))</f>
        <v>0</v>
      </c>
      <c r="Q280" s="282" cm="1">
        <f t="array" aca="1" ref="Q280" ca="1">IF(OR($E280="",$E280="X"),0,IFERROR(_xlfn.LET(_xlpm.x,SUM(SUM(_xlfn._xlws.FILTER(VALUE(PptoSty[Sign]&amp;1)*(1/PptoSty[Division]),(PptoSty[Division]&lt;&gt;0)*(PptoSty[Division]&lt;&gt;"")*(PptoSty[Division]&lt;&gt;"X")*(PptoSty[RowGrp]=$E280)*(ISNUMBER(FIND(PptoSty[PiColumn],Q$257))),0)),$AA280),_xlpm.y,IF(_xlfn._xlws.FILTER(TbRsmIn[Alive],TbRsmIn[Enquiry No]=$E280,"X")="C",0,INDEX(INDIRECT(Mods!$B$2),MATCH($E280,INDIRECT(Mods!$B$4),0),MATCH(Q$257,INDIRECT(Mods!$AL$3),0))),IF(AND(_xlpm.x=0,_xlpm.y&lt;&gt;0),-1,IF(AND(_xlpm.x&lt;&gt;0,_xlpm.y&lt;&gt;0),_xlpm.x,IF(AND(_xlpm.x-$AA280&lt;&gt;0,_xlpm.y=0),-2,_xlpm.x)))),0))</f>
        <v>0</v>
      </c>
      <c r="R280" s="282" cm="1">
        <f t="array" aca="1" ref="R280" ca="1">IF(OR($E280="",$E280="X"),0,IFERROR(_xlfn.LET(_xlpm.x,SUM(SUM(_xlfn._xlws.FILTER(VALUE(PptoSty[Sign]&amp;1)*(1/PptoSty[Division]),(PptoSty[Division]&lt;&gt;0)*(PptoSty[Division]&lt;&gt;"")*(PptoSty[Division]&lt;&gt;"X")*(PptoSty[RowGrp]=$E280)*(ISNUMBER(FIND(PptoSty[PiColumn],R$257))),0)),$AA280),_xlpm.y,IF(_xlfn._xlws.FILTER(TbRsmIn[Alive],TbRsmIn[Enquiry No]=$E280,"X")="C",0,INDEX(INDIRECT(Mods!$B$2),MATCH($E280,INDIRECT(Mods!$B$4),0),MATCH(R$257,INDIRECT(Mods!$AL$3),0))),IF(AND(_xlpm.x=0,_xlpm.y&lt;&gt;0),-1,IF(AND(_xlpm.x&lt;&gt;0,_xlpm.y&lt;&gt;0),_xlpm.x,IF(AND(_xlpm.x-$AA280&lt;&gt;0,_xlpm.y=0),-2,_xlpm.x)))),0))</f>
        <v>0</v>
      </c>
      <c r="S280" s="282" cm="1">
        <f t="array" aca="1" ref="S280" ca="1">IF(OR($E280="",$E280="X"),0,IFERROR(_xlfn.LET(_xlpm.x,SUM(SUM(_xlfn._xlws.FILTER(VALUE(PptoSty[Sign]&amp;1)*(1/PptoSty[Division]),(PptoSty[Division]&lt;&gt;0)*(PptoSty[Division]&lt;&gt;"")*(PptoSty[Division]&lt;&gt;"X")*(PptoSty[RowGrp]=$E280)*(ISNUMBER(FIND(PptoSty[PiColumn],S$257))),0)),$AA280),_xlpm.y,IF(_xlfn._xlws.FILTER(TbRsmIn[Alive],TbRsmIn[Enquiry No]=$E280,"X")="C",0,INDEX(INDIRECT(Mods!$B$2),MATCH($E280,INDIRECT(Mods!$B$4),0),MATCH(S$257,INDIRECT(Mods!$AL$3),0))),IF(AND(_xlpm.x=0,_xlpm.y&lt;&gt;0),-1,IF(AND(_xlpm.x&lt;&gt;0,_xlpm.y&lt;&gt;0),_xlpm.x,IF(AND(_xlpm.x-$AA280&lt;&gt;0,_xlpm.y=0),-2,_xlpm.x)))),0))</f>
        <v>0</v>
      </c>
      <c r="T280" s="282" cm="1">
        <f t="array" aca="1" ref="T280" ca="1">IF(OR($E280="",$E280="X"),0,IFERROR(_xlfn.LET(_xlpm.x,SUM(SUM(_xlfn._xlws.FILTER(VALUE(PptoSty[Sign]&amp;1)*(1/PptoSty[Division]),(PptoSty[Division]&lt;&gt;0)*(PptoSty[Division]&lt;&gt;"")*(PptoSty[Division]&lt;&gt;"X")*(PptoSty[RowGrp]=$E280)*(ISNUMBER(FIND(PptoSty[PiColumn],T$257))),0)),$AA280),_xlpm.y,IF(_xlfn._xlws.FILTER(TbRsmIn[Alive],TbRsmIn[Enquiry No]=$E280,"X")="C",0,INDEX(INDIRECT(Mods!$B$2),MATCH($E280,INDIRECT(Mods!$B$4),0),MATCH(T$257,INDIRECT(Mods!$AL$3),0))),IF(AND(_xlpm.x=0,_xlpm.y&lt;&gt;0),-1,IF(AND(_xlpm.x&lt;&gt;0,_xlpm.y&lt;&gt;0),_xlpm.x,IF(AND(_xlpm.x-$AA280&lt;&gt;0,_xlpm.y=0),-2,_xlpm.x)))),0))</f>
        <v>0</v>
      </c>
      <c r="U280" s="282" cm="1">
        <f t="array" aca="1" ref="U280" ca="1">IF(OR($E280="",$E280="X"),0,IFERROR(_xlfn.LET(_xlpm.x,SUM(SUM(_xlfn._xlws.FILTER(VALUE(PptoSty[Sign]&amp;1)*(1/PptoSty[Division]),(PptoSty[Division]&lt;&gt;0)*(PptoSty[Division]&lt;&gt;"")*(PptoSty[Division]&lt;&gt;"X")*(PptoSty[RowGrp]=$E280)*(ISNUMBER(FIND(PptoSty[PiColumn],U$257))),0)),$AA280),_xlpm.y,IF(_xlfn._xlws.FILTER(TbRsmIn[Alive],TbRsmIn[Enquiry No]=$E280,"X")="C",0,INDEX(INDIRECT(Mods!$B$2),MATCH($E280,INDIRECT(Mods!$B$4),0),MATCH(U$257,INDIRECT(Mods!$AL$3),0))),IF(AND(_xlpm.x=0,_xlpm.y&lt;&gt;0),-1,IF(AND(_xlpm.x&lt;&gt;0,_xlpm.y&lt;&gt;0),_xlpm.x,IF(AND(_xlpm.x-$AA280&lt;&gt;0,_xlpm.y=0),-2,_xlpm.x)))),0))</f>
        <v>0</v>
      </c>
      <c r="V280" s="282" cm="1">
        <f t="array" aca="1" ref="V280" ca="1">IF(OR($E280="",$E280="X"),0,IFERROR(_xlfn.LET(_xlpm.x,SUM(SUM(_xlfn._xlws.FILTER(VALUE(PptoSty[Sign]&amp;1)*(1/PptoSty[Division]),(PptoSty[Division]&lt;&gt;0)*(PptoSty[Division]&lt;&gt;"")*(PptoSty[Division]&lt;&gt;"X")*(PptoSty[RowGrp]=$E280)*(ISNUMBER(FIND(PptoSty[PiColumn],V$257))),0)),$AA280),_xlpm.y,IF(_xlfn._xlws.FILTER(TbRsmIn[Alive],TbRsmIn[Enquiry No]=$E280,"X")="C",0,INDEX(INDIRECT(Mods!$B$2),MATCH($E280,INDIRECT(Mods!$B$4),0),MATCH(V$257,INDIRECT(Mods!$AL$3),0))),IF(AND(_xlpm.x=0,_xlpm.y&lt;&gt;0),-1,IF(AND(_xlpm.x&lt;&gt;0,_xlpm.y&lt;&gt;0),_xlpm.x,IF(AND(_xlpm.x-$AA280&lt;&gt;0,_xlpm.y=0),-2,_xlpm.x)))),0))</f>
        <v>0</v>
      </c>
      <c r="W280" s="282" cm="1">
        <f t="array" aca="1" ref="W280" ca="1">IF(OR($E280="",$E280="X"),0,IFERROR(_xlfn.LET(_xlpm.x,SUM(SUM(_xlfn._xlws.FILTER(VALUE(PptoSty[Sign]&amp;1)*(1/PptoSty[Division]),(PptoSty[Division]&lt;&gt;0)*(PptoSty[Division]&lt;&gt;"")*(PptoSty[Division]&lt;&gt;"X")*(PptoSty[RowGrp]=$E280)*(ISNUMBER(FIND(PptoSty[PiColumn],W$257))),0)),$AA280),_xlpm.y,IF(_xlfn._xlws.FILTER(TbRsmIn[Alive],TbRsmIn[Enquiry No]=$E280,"X")="C",0,INDEX(INDIRECT(Mods!$B$2),MATCH($E280,INDIRECT(Mods!$B$4),0),MATCH(W$257,INDIRECT(Mods!$AL$3),0))),IF(AND(_xlpm.x=0,_xlpm.y&lt;&gt;0),-1,IF(AND(_xlpm.x&lt;&gt;0,_xlpm.y&lt;&gt;0),_xlpm.x,IF(AND(_xlpm.x-$AA280&lt;&gt;0,_xlpm.y=0),-2,_xlpm.x)))),0))</f>
        <v>0</v>
      </c>
      <c r="X280" s="282" cm="1">
        <f t="array" aca="1" ref="X280" ca="1">IF(OR($E280="",$E280="X"),0,IFERROR(_xlfn.LET(_xlpm.x,SUM(SUM(_xlfn._xlws.FILTER(VALUE(PptoSty[Sign]&amp;1)*(1/PptoSty[Division]),(PptoSty[Division]&lt;&gt;0)*(PptoSty[Division]&lt;&gt;"")*(PptoSty[Division]&lt;&gt;"X")*(PptoSty[RowGrp]=$E280)*(ISNUMBER(FIND(PptoSty[PiColumn],X$257))),0)),$AA280),_xlpm.y,IF(_xlfn._xlws.FILTER(TbRsmIn[Alive],TbRsmIn[Enquiry No]=$E280,"X")="C",0,INDEX(INDIRECT(Mods!$B$2),MATCH($E280,INDIRECT(Mods!$B$4),0),MATCH(X$257,INDIRECT(Mods!$AL$3),0))),IF(AND(_xlpm.x=0,_xlpm.y&lt;&gt;0),-1,IF(AND(_xlpm.x&lt;&gt;0,_xlpm.y&lt;&gt;0),_xlpm.x,IF(AND(_xlpm.x-$AA280&lt;&gt;0,_xlpm.y=0),-2,_xlpm.x)))),0))</f>
        <v>0</v>
      </c>
      <c r="Y280" s="282" cm="1">
        <f t="array" aca="1" ref="Y280" ca="1">IF(OR($E280="",$E280="X"),0,IFERROR(_xlfn.LET(_xlpm.x,SUM(SUM(_xlfn._xlws.FILTER(VALUE(PptoSty[Sign]&amp;1)*(1/PptoSty[Division]),(PptoSty[Division]&lt;&gt;0)*(PptoSty[Division]&lt;&gt;"")*(PptoSty[Division]&lt;&gt;"X")*(PptoSty[RowGrp]=$E280)*(ISNUMBER(FIND(PptoSty[PiColumn],Y$257))),0)),$AA280),_xlpm.y,IF(_xlfn._xlws.FILTER(TbRsmIn[Alive],TbRsmIn[Enquiry No]=$E280,"X")="C",0,INDEX(INDIRECT(Mods!$B$2),MATCH($E280,INDIRECT(Mods!$B$4),0),MATCH(Y$257,INDIRECT(Mods!$AL$3),0))),IF(AND(_xlpm.x=0,_xlpm.y&lt;&gt;0),-1,IF(AND(_xlpm.x&lt;&gt;0,_xlpm.y&lt;&gt;0),_xlpm.x,IF(AND(_xlpm.x-$AA280&lt;&gt;0,_xlpm.y=0),-2,_xlpm.x)))),0))</f>
        <v>0</v>
      </c>
      <c r="Z280" s="280" t="str">
        <f t="shared" ca="1" si="8"/>
        <v>Fback!B280:Y280</v>
      </c>
      <c r="AA280" s="282" cm="1">
        <f t="array" aca="1" ref="AA280" ca="1">IF(OR($E280="",$E280="X"),0,IFERROR(SUM(_xlfn._xlws.FILTER(VALUE(#REF!&amp;1)*(1/PptoSty[PptoVsRow]),(PptoSty[PptoVsRow]&lt;&gt;0)*(PptoSty[PptoVsRow]&lt;&gt;"")*(PptoSty[PptoVsRow]&lt;&gt;"X")*(PptoSty[Num]=$E280)*(PptoSty[RowGrp]=AA$260),0)),0))</f>
        <v>0</v>
      </c>
    </row>
    <row r="281" spans="2:27" ht="21" customHeight="1" outlineLevel="1">
      <c r="B281" s="247" t="str" cm="1">
        <f t="array" ref="B281:C281">IF($E281="X","X",_xlfn._xlws.FILTER(P_SelPrj[[PrjId]:[Cia]],P_SelPrj[Attribute]=VALUE(LEFT($E281,1)),"X"))</f>
        <v>31200</v>
      </c>
      <c r="C281" s="247" t="str">
        <v>Sp</v>
      </c>
      <c r="D281" s="247" t="s">
        <v>375</v>
      </c>
      <c r="E281" s="247" t="str" cm="1">
        <f t="array" ref="E281">_xlfn.LET(_xlpm.x,IFERROR(INDEX(TbRsmIn[Enquiry No],SUM(ROW()-MATCH("SOM",$A:$A,0))),"X"),IF(_xlpm.x=0,"X",_xlpm.x))</f>
        <v>0CT021</v>
      </c>
      <c r="F281" s="413" t="str" cm="1">
        <f t="array" ref="F281">_xlfn._xlws.FILTER(CstClcData[Value],(CstClcData[Attribute]="Concept")*(CstClcData[Name]=$E281),"X")</f>
        <v>X</v>
      </c>
      <c r="G281" s="281"/>
      <c r="H281" s="281"/>
      <c r="I281" s="282" cm="1">
        <f t="array" aca="1" ref="I281" ca="1">IF(OR($E281="",$E281="X"),0,IFERROR(_xlfn.LET(_xlpm.x,SUM(SUM(_xlfn._xlws.FILTER(VALUE(PptoSty[Sign]&amp;1)*(1/PptoSty[Division]),(PptoSty[Division]&lt;&gt;0)*(PptoSty[Division]&lt;&gt;"")*(PptoSty[Division]&lt;&gt;"X")*(PptoSty[RowGrp]=$E281)*(ISNUMBER(FIND(PptoSty[PiColumn],I$257))),0)),$AA281),_xlpm.y,IF(_xlfn._xlws.FILTER(TbRsmIn[Alive],TbRsmIn[Enquiry No]=$E281,"X")="C",0,INDEX(INDIRECT(Mods!$B$2),MATCH($E281,INDIRECT(Mods!$B$4),0),MATCH(I$257,INDIRECT(Mods!$AL$3),0))),IF(AND(_xlpm.x=0,_xlpm.y&lt;&gt;0),-1,IF(AND(_xlpm.x&lt;&gt;0,_xlpm.y&lt;&gt;0),_xlpm.x,IF(AND(_xlpm.x-$AA281&lt;&gt;0,_xlpm.y=0),-2,_xlpm.x)))),0))</f>
        <v>0</v>
      </c>
      <c r="J281" s="282" cm="1">
        <f t="array" aca="1" ref="J281" ca="1">IF(OR($E281="",$E281="X"),0,IFERROR(_xlfn.LET(_xlpm.x,SUM(SUM(_xlfn._xlws.FILTER(VALUE(PptoSty[Sign]&amp;1)*(1/PptoSty[Division]),(PptoSty[Division]&lt;&gt;0)*(PptoSty[Division]&lt;&gt;"")*(PptoSty[Division]&lt;&gt;"X")*(PptoSty[RowGrp]=$E281)*(ISNUMBER(FIND(PptoSty[PiColumn],J$257))),0)),$AA281),_xlpm.y,IF(_xlfn._xlws.FILTER(TbRsmIn[Alive],TbRsmIn[Enquiry No]=$E281,"X")="C",0,INDEX(INDIRECT(Mods!$B$2),MATCH($E281,INDIRECT(Mods!$B$4),0),MATCH(J$257,INDIRECT(Mods!$AL$3),0))),IF(AND(_xlpm.x=0,_xlpm.y&lt;&gt;0),-1,IF(AND(_xlpm.x&lt;&gt;0,_xlpm.y&lt;&gt;0),_xlpm.x,IF(AND(_xlpm.x-$AA281&lt;&gt;0,_xlpm.y=0),-2,_xlpm.x)))),0))</f>
        <v>0</v>
      </c>
      <c r="K281" s="282" cm="1">
        <f t="array" aca="1" ref="K281" ca="1">IF(OR($E281="",$E281="X"),0,IFERROR(_xlfn.LET(_xlpm.x,SUM(SUM(_xlfn._xlws.FILTER(VALUE(PptoSty[Sign]&amp;1)*(1/PptoSty[Division]),(PptoSty[Division]&lt;&gt;0)*(PptoSty[Division]&lt;&gt;"")*(PptoSty[Division]&lt;&gt;"X")*(PptoSty[RowGrp]=$E281)*(ISNUMBER(FIND(PptoSty[PiColumn],K$257))),0)),$AA281),_xlpm.y,IF(_xlfn._xlws.FILTER(TbRsmIn[Alive],TbRsmIn[Enquiry No]=$E281,"X")="C",0,INDEX(INDIRECT(Mods!$B$2),MATCH($E281,INDIRECT(Mods!$B$4),0),MATCH(K$257,INDIRECT(Mods!$AL$3),0))),IF(AND(_xlpm.x=0,_xlpm.y&lt;&gt;0),-1,IF(AND(_xlpm.x&lt;&gt;0,_xlpm.y&lt;&gt;0),_xlpm.x,IF(AND(_xlpm.x-$AA281&lt;&gt;0,_xlpm.y=0),-2,_xlpm.x)))),0))</f>
        <v>0</v>
      </c>
      <c r="L281" s="282" cm="1">
        <f t="array" aca="1" ref="L281" ca="1">IF(OR($E281="",$E281="X"),0,IFERROR(_xlfn.LET(_xlpm.x,SUM(SUM(_xlfn._xlws.FILTER(VALUE(PptoSty[Sign]&amp;1)*(1/PptoSty[Division]),(PptoSty[Division]&lt;&gt;0)*(PptoSty[Division]&lt;&gt;"")*(PptoSty[Division]&lt;&gt;"X")*(PptoSty[RowGrp]=$E281)*(ISNUMBER(FIND(PptoSty[PiColumn],L$257))),0)),$AA281),_xlpm.y,IF(_xlfn._xlws.FILTER(TbRsmIn[Alive],TbRsmIn[Enquiry No]=$E281,"X")="C",0,INDEX(INDIRECT(Mods!$B$2),MATCH($E281,INDIRECT(Mods!$B$4),0),MATCH(L$257,INDIRECT(Mods!$AL$3),0))),IF(AND(_xlpm.x=0,_xlpm.y&lt;&gt;0),-1,IF(AND(_xlpm.x&lt;&gt;0,_xlpm.y&lt;&gt;0),_xlpm.x,IF(AND(_xlpm.x-$AA281&lt;&gt;0,_xlpm.y=0),-2,_xlpm.x)))),0))</f>
        <v>0</v>
      </c>
      <c r="M281" s="282" cm="1">
        <f t="array" aca="1" ref="M281" ca="1">IF(OR($E281="",$E281="X"),0,IFERROR(_xlfn.LET(_xlpm.x,SUM(SUM(_xlfn._xlws.FILTER(VALUE(PptoSty[Sign]&amp;1)*(1/PptoSty[Division]),(PptoSty[Division]&lt;&gt;0)*(PptoSty[Division]&lt;&gt;"")*(PptoSty[Division]&lt;&gt;"X")*(PptoSty[RowGrp]=$E281)*(ISNUMBER(FIND(PptoSty[PiColumn],M$257))),0)),$AA281),_xlpm.y,IF(_xlfn._xlws.FILTER(TbRsmIn[Alive],TbRsmIn[Enquiry No]=$E281,"X")="C",0,INDEX(INDIRECT(Mods!$B$2),MATCH($E281,INDIRECT(Mods!$B$4),0),MATCH(M$257,INDIRECT(Mods!$AL$3),0))),IF(AND(_xlpm.x=0,_xlpm.y&lt;&gt;0),-1,IF(AND(_xlpm.x&lt;&gt;0,_xlpm.y&lt;&gt;0),_xlpm.x,IF(AND(_xlpm.x-$AA281&lt;&gt;0,_xlpm.y=0),-2,_xlpm.x)))),0))</f>
        <v>0</v>
      </c>
      <c r="N281" s="282" cm="1">
        <f t="array" aca="1" ref="N281" ca="1">IF(OR($E281="",$E281="X"),0,IFERROR(_xlfn.LET(_xlpm.x,SUM(SUM(_xlfn._xlws.FILTER(VALUE(PptoSty[Sign]&amp;1)*(1/PptoSty[Division]),(PptoSty[Division]&lt;&gt;0)*(PptoSty[Division]&lt;&gt;"")*(PptoSty[Division]&lt;&gt;"X")*(PptoSty[RowGrp]=$E281)*(ISNUMBER(FIND(PptoSty[PiColumn],N$257))),0)),$AA281),_xlpm.y,IF(_xlfn._xlws.FILTER(TbRsmIn[Alive],TbRsmIn[Enquiry No]=$E281,"X")="C",0,INDEX(INDIRECT(Mods!$B$2),MATCH($E281,INDIRECT(Mods!$B$4),0),MATCH(N$257,INDIRECT(Mods!$AL$3),0))),IF(AND(_xlpm.x=0,_xlpm.y&lt;&gt;0),-1,IF(AND(_xlpm.x&lt;&gt;0,_xlpm.y&lt;&gt;0),_xlpm.x,IF(AND(_xlpm.x-$AA281&lt;&gt;0,_xlpm.y=0),-2,_xlpm.x)))),0))</f>
        <v>0</v>
      </c>
      <c r="O281" s="282" cm="1">
        <f t="array" aca="1" ref="O281" ca="1">IF(OR($E281="",$E281="X"),0,IFERROR(_xlfn.LET(_xlpm.x,SUM(SUM(_xlfn._xlws.FILTER(VALUE(PptoSty[Sign]&amp;1)*(1/PptoSty[Division]),(PptoSty[Division]&lt;&gt;0)*(PptoSty[Division]&lt;&gt;"")*(PptoSty[Division]&lt;&gt;"X")*(PptoSty[RowGrp]=$E281)*(ISNUMBER(FIND(PptoSty[PiColumn],O$257))),0)),$AA281),_xlpm.y,IF(_xlfn._xlws.FILTER(TbRsmIn[Alive],TbRsmIn[Enquiry No]=$E281,"X")="C",0,INDEX(INDIRECT(Mods!$B$2),MATCH($E281,INDIRECT(Mods!$B$4),0),MATCH(O$257,INDIRECT(Mods!$AL$3),0))),IF(AND(_xlpm.x=0,_xlpm.y&lt;&gt;0),-1,IF(AND(_xlpm.x&lt;&gt;0,_xlpm.y&lt;&gt;0),_xlpm.x,IF(AND(_xlpm.x-$AA281&lt;&gt;0,_xlpm.y=0),-2,_xlpm.x)))),0))</f>
        <v>0</v>
      </c>
      <c r="P281" s="282" cm="1">
        <f t="array" aca="1" ref="P281" ca="1">IF(OR($E281="",$E281="X"),0,IFERROR(_xlfn.LET(_xlpm.x,SUM(SUM(_xlfn._xlws.FILTER(VALUE(PptoSty[Sign]&amp;1)*(1/PptoSty[Division]),(PptoSty[Division]&lt;&gt;0)*(PptoSty[Division]&lt;&gt;"")*(PptoSty[Division]&lt;&gt;"X")*(PptoSty[RowGrp]=$E281)*(ISNUMBER(FIND(PptoSty[PiColumn],P$257))),0)),$AA281),_xlpm.y,IF(_xlfn._xlws.FILTER(TbRsmIn[Alive],TbRsmIn[Enquiry No]=$E281,"X")="C",0,INDEX(INDIRECT(Mods!$B$2),MATCH($E281,INDIRECT(Mods!$B$4),0),MATCH(P$257,INDIRECT(Mods!$AL$3),0))),IF(AND(_xlpm.x=0,_xlpm.y&lt;&gt;0),-1,IF(AND(_xlpm.x&lt;&gt;0,_xlpm.y&lt;&gt;0),_xlpm.x,IF(AND(_xlpm.x-$AA281&lt;&gt;0,_xlpm.y=0),-2,_xlpm.x)))),0))</f>
        <v>0</v>
      </c>
      <c r="Q281" s="282" cm="1">
        <f t="array" aca="1" ref="Q281" ca="1">IF(OR($E281="",$E281="X"),0,IFERROR(_xlfn.LET(_xlpm.x,SUM(SUM(_xlfn._xlws.FILTER(VALUE(PptoSty[Sign]&amp;1)*(1/PptoSty[Division]),(PptoSty[Division]&lt;&gt;0)*(PptoSty[Division]&lt;&gt;"")*(PptoSty[Division]&lt;&gt;"X")*(PptoSty[RowGrp]=$E281)*(ISNUMBER(FIND(PptoSty[PiColumn],Q$257))),0)),$AA281),_xlpm.y,IF(_xlfn._xlws.FILTER(TbRsmIn[Alive],TbRsmIn[Enquiry No]=$E281,"X")="C",0,INDEX(INDIRECT(Mods!$B$2),MATCH($E281,INDIRECT(Mods!$B$4),0),MATCH(Q$257,INDIRECT(Mods!$AL$3),0))),IF(AND(_xlpm.x=0,_xlpm.y&lt;&gt;0),-1,IF(AND(_xlpm.x&lt;&gt;0,_xlpm.y&lt;&gt;0),_xlpm.x,IF(AND(_xlpm.x-$AA281&lt;&gt;0,_xlpm.y=0),-2,_xlpm.x)))),0))</f>
        <v>0</v>
      </c>
      <c r="R281" s="282" cm="1">
        <f t="array" aca="1" ref="R281" ca="1">IF(OR($E281="",$E281="X"),0,IFERROR(_xlfn.LET(_xlpm.x,SUM(SUM(_xlfn._xlws.FILTER(VALUE(PptoSty[Sign]&amp;1)*(1/PptoSty[Division]),(PptoSty[Division]&lt;&gt;0)*(PptoSty[Division]&lt;&gt;"")*(PptoSty[Division]&lt;&gt;"X")*(PptoSty[RowGrp]=$E281)*(ISNUMBER(FIND(PptoSty[PiColumn],R$257))),0)),$AA281),_xlpm.y,IF(_xlfn._xlws.FILTER(TbRsmIn[Alive],TbRsmIn[Enquiry No]=$E281,"X")="C",0,INDEX(INDIRECT(Mods!$B$2),MATCH($E281,INDIRECT(Mods!$B$4),0),MATCH(R$257,INDIRECT(Mods!$AL$3),0))),IF(AND(_xlpm.x=0,_xlpm.y&lt;&gt;0),-1,IF(AND(_xlpm.x&lt;&gt;0,_xlpm.y&lt;&gt;0),_xlpm.x,IF(AND(_xlpm.x-$AA281&lt;&gt;0,_xlpm.y=0),-2,_xlpm.x)))),0))</f>
        <v>0</v>
      </c>
      <c r="S281" s="282" cm="1">
        <f t="array" aca="1" ref="S281" ca="1">IF(OR($E281="",$E281="X"),0,IFERROR(_xlfn.LET(_xlpm.x,SUM(SUM(_xlfn._xlws.FILTER(VALUE(PptoSty[Sign]&amp;1)*(1/PptoSty[Division]),(PptoSty[Division]&lt;&gt;0)*(PptoSty[Division]&lt;&gt;"")*(PptoSty[Division]&lt;&gt;"X")*(PptoSty[RowGrp]=$E281)*(ISNUMBER(FIND(PptoSty[PiColumn],S$257))),0)),$AA281),_xlpm.y,IF(_xlfn._xlws.FILTER(TbRsmIn[Alive],TbRsmIn[Enquiry No]=$E281,"X")="C",0,INDEX(INDIRECT(Mods!$B$2),MATCH($E281,INDIRECT(Mods!$B$4),0),MATCH(S$257,INDIRECT(Mods!$AL$3),0))),IF(AND(_xlpm.x=0,_xlpm.y&lt;&gt;0),-1,IF(AND(_xlpm.x&lt;&gt;0,_xlpm.y&lt;&gt;0),_xlpm.x,IF(AND(_xlpm.x-$AA281&lt;&gt;0,_xlpm.y=0),-2,_xlpm.x)))),0))</f>
        <v>0</v>
      </c>
      <c r="T281" s="282" cm="1">
        <f t="array" aca="1" ref="T281" ca="1">IF(OR($E281="",$E281="X"),0,IFERROR(_xlfn.LET(_xlpm.x,SUM(SUM(_xlfn._xlws.FILTER(VALUE(PptoSty[Sign]&amp;1)*(1/PptoSty[Division]),(PptoSty[Division]&lt;&gt;0)*(PptoSty[Division]&lt;&gt;"")*(PptoSty[Division]&lt;&gt;"X")*(PptoSty[RowGrp]=$E281)*(ISNUMBER(FIND(PptoSty[PiColumn],T$257))),0)),$AA281),_xlpm.y,IF(_xlfn._xlws.FILTER(TbRsmIn[Alive],TbRsmIn[Enquiry No]=$E281,"X")="C",0,INDEX(INDIRECT(Mods!$B$2),MATCH($E281,INDIRECT(Mods!$B$4),0),MATCH(T$257,INDIRECT(Mods!$AL$3),0))),IF(AND(_xlpm.x=0,_xlpm.y&lt;&gt;0),-1,IF(AND(_xlpm.x&lt;&gt;0,_xlpm.y&lt;&gt;0),_xlpm.x,IF(AND(_xlpm.x-$AA281&lt;&gt;0,_xlpm.y=0),-2,_xlpm.x)))),0))</f>
        <v>0</v>
      </c>
      <c r="U281" s="282" cm="1">
        <f t="array" aca="1" ref="U281" ca="1">IF(OR($E281="",$E281="X"),0,IFERROR(_xlfn.LET(_xlpm.x,SUM(SUM(_xlfn._xlws.FILTER(VALUE(PptoSty[Sign]&amp;1)*(1/PptoSty[Division]),(PptoSty[Division]&lt;&gt;0)*(PptoSty[Division]&lt;&gt;"")*(PptoSty[Division]&lt;&gt;"X")*(PptoSty[RowGrp]=$E281)*(ISNUMBER(FIND(PptoSty[PiColumn],U$257))),0)),$AA281),_xlpm.y,IF(_xlfn._xlws.FILTER(TbRsmIn[Alive],TbRsmIn[Enquiry No]=$E281,"X")="C",0,INDEX(INDIRECT(Mods!$B$2),MATCH($E281,INDIRECT(Mods!$B$4),0),MATCH(U$257,INDIRECT(Mods!$AL$3),0))),IF(AND(_xlpm.x=0,_xlpm.y&lt;&gt;0),-1,IF(AND(_xlpm.x&lt;&gt;0,_xlpm.y&lt;&gt;0),_xlpm.x,IF(AND(_xlpm.x-$AA281&lt;&gt;0,_xlpm.y=0),-2,_xlpm.x)))),0))</f>
        <v>0</v>
      </c>
      <c r="V281" s="282" cm="1">
        <f t="array" aca="1" ref="V281" ca="1">IF(OR($E281="",$E281="X"),0,IFERROR(_xlfn.LET(_xlpm.x,SUM(SUM(_xlfn._xlws.FILTER(VALUE(PptoSty[Sign]&amp;1)*(1/PptoSty[Division]),(PptoSty[Division]&lt;&gt;0)*(PptoSty[Division]&lt;&gt;"")*(PptoSty[Division]&lt;&gt;"X")*(PptoSty[RowGrp]=$E281)*(ISNUMBER(FIND(PptoSty[PiColumn],V$257))),0)),$AA281),_xlpm.y,IF(_xlfn._xlws.FILTER(TbRsmIn[Alive],TbRsmIn[Enquiry No]=$E281,"X")="C",0,INDEX(INDIRECT(Mods!$B$2),MATCH($E281,INDIRECT(Mods!$B$4),0),MATCH(V$257,INDIRECT(Mods!$AL$3),0))),IF(AND(_xlpm.x=0,_xlpm.y&lt;&gt;0),-1,IF(AND(_xlpm.x&lt;&gt;0,_xlpm.y&lt;&gt;0),_xlpm.x,IF(AND(_xlpm.x-$AA281&lt;&gt;0,_xlpm.y=0),-2,_xlpm.x)))),0))</f>
        <v>0</v>
      </c>
      <c r="W281" s="282" cm="1">
        <f t="array" aca="1" ref="W281" ca="1">IF(OR($E281="",$E281="X"),0,IFERROR(_xlfn.LET(_xlpm.x,SUM(SUM(_xlfn._xlws.FILTER(VALUE(PptoSty[Sign]&amp;1)*(1/PptoSty[Division]),(PptoSty[Division]&lt;&gt;0)*(PptoSty[Division]&lt;&gt;"")*(PptoSty[Division]&lt;&gt;"X")*(PptoSty[RowGrp]=$E281)*(ISNUMBER(FIND(PptoSty[PiColumn],W$257))),0)),$AA281),_xlpm.y,IF(_xlfn._xlws.FILTER(TbRsmIn[Alive],TbRsmIn[Enquiry No]=$E281,"X")="C",0,INDEX(INDIRECT(Mods!$B$2),MATCH($E281,INDIRECT(Mods!$B$4),0),MATCH(W$257,INDIRECT(Mods!$AL$3),0))),IF(AND(_xlpm.x=0,_xlpm.y&lt;&gt;0),-1,IF(AND(_xlpm.x&lt;&gt;0,_xlpm.y&lt;&gt;0),_xlpm.x,IF(AND(_xlpm.x-$AA281&lt;&gt;0,_xlpm.y=0),-2,_xlpm.x)))),0))</f>
        <v>0</v>
      </c>
      <c r="X281" s="282" cm="1">
        <f t="array" aca="1" ref="X281" ca="1">IF(OR($E281="",$E281="X"),0,IFERROR(_xlfn.LET(_xlpm.x,SUM(SUM(_xlfn._xlws.FILTER(VALUE(PptoSty[Sign]&amp;1)*(1/PptoSty[Division]),(PptoSty[Division]&lt;&gt;0)*(PptoSty[Division]&lt;&gt;"")*(PptoSty[Division]&lt;&gt;"X")*(PptoSty[RowGrp]=$E281)*(ISNUMBER(FIND(PptoSty[PiColumn],X$257))),0)),$AA281),_xlpm.y,IF(_xlfn._xlws.FILTER(TbRsmIn[Alive],TbRsmIn[Enquiry No]=$E281,"X")="C",0,INDEX(INDIRECT(Mods!$B$2),MATCH($E281,INDIRECT(Mods!$B$4),0),MATCH(X$257,INDIRECT(Mods!$AL$3),0))),IF(AND(_xlpm.x=0,_xlpm.y&lt;&gt;0),-1,IF(AND(_xlpm.x&lt;&gt;0,_xlpm.y&lt;&gt;0),_xlpm.x,IF(AND(_xlpm.x-$AA281&lt;&gt;0,_xlpm.y=0),-2,_xlpm.x)))),0))</f>
        <v>0</v>
      </c>
      <c r="Y281" s="282" cm="1">
        <f t="array" aca="1" ref="Y281" ca="1">IF(OR($E281="",$E281="X"),0,IFERROR(_xlfn.LET(_xlpm.x,SUM(SUM(_xlfn._xlws.FILTER(VALUE(PptoSty[Sign]&amp;1)*(1/PptoSty[Division]),(PptoSty[Division]&lt;&gt;0)*(PptoSty[Division]&lt;&gt;"")*(PptoSty[Division]&lt;&gt;"X")*(PptoSty[RowGrp]=$E281)*(ISNUMBER(FIND(PptoSty[PiColumn],Y$257))),0)),$AA281),_xlpm.y,IF(_xlfn._xlws.FILTER(TbRsmIn[Alive],TbRsmIn[Enquiry No]=$E281,"X")="C",0,INDEX(INDIRECT(Mods!$B$2),MATCH($E281,INDIRECT(Mods!$B$4),0),MATCH(Y$257,INDIRECT(Mods!$AL$3),0))),IF(AND(_xlpm.x=0,_xlpm.y&lt;&gt;0),-1,IF(AND(_xlpm.x&lt;&gt;0,_xlpm.y&lt;&gt;0),_xlpm.x,IF(AND(_xlpm.x-$AA281&lt;&gt;0,_xlpm.y=0),-2,_xlpm.x)))),0))</f>
        <v>0</v>
      </c>
      <c r="Z281" s="280" t="str">
        <f t="shared" ca="1" si="8"/>
        <v>Fback!B281:Y281</v>
      </c>
      <c r="AA281" s="282" cm="1">
        <f t="array" aca="1" ref="AA281" ca="1">IF(OR($E281="",$E281="X"),0,IFERROR(SUM(_xlfn._xlws.FILTER(VALUE(#REF!&amp;1)*(1/PptoSty[PptoVsRow]),(PptoSty[PptoVsRow]&lt;&gt;0)*(PptoSty[PptoVsRow]&lt;&gt;"")*(PptoSty[PptoVsRow]&lt;&gt;"X")*(PptoSty[Num]=$E281)*(PptoSty[RowGrp]=AA$260),0)),0))</f>
        <v>0</v>
      </c>
    </row>
    <row r="282" spans="2:27" ht="21" customHeight="1" outlineLevel="1">
      <c r="B282" s="247" t="str" cm="1">
        <f t="array" ref="B282:C282">IF($E282="X","X",_xlfn._xlws.FILTER(P_SelPrj[[PrjId]:[Cia]],P_SelPrj[Attribute]=VALUE(LEFT($E282,1)),"X"))</f>
        <v>31199</v>
      </c>
      <c r="C282" s="247" t="str">
        <v>Sp</v>
      </c>
      <c r="D282" s="247" t="s">
        <v>375</v>
      </c>
      <c r="E282" s="247" t="str" cm="1">
        <f t="array" ref="E282">_xlfn.LET(_xlpm.x,IFERROR(INDEX(TbRsmIn[Enquiry No],SUM(ROW()-MATCH("SOM",$A:$A,0))),"X"),IF(_xlpm.x=0,"X",_xlpm.x))</f>
        <v>2CT001</v>
      </c>
      <c r="F282" s="413" t="str" cm="1">
        <f t="array" ref="F282">_xlfn._xlws.FILTER(CstClcData[Value],(CstClcData[Attribute]="Concept")*(CstClcData[Name]=$E282),"X")</f>
        <v>ECR 7137 Strap change for Stamping Datum and Bolt to Stuck</v>
      </c>
      <c r="G282" s="281"/>
      <c r="H282" s="281"/>
      <c r="I282" s="282" cm="1">
        <f t="array" aca="1" ref="I282" ca="1">IF(OR($E282="",$E282="X"),0,IFERROR(_xlfn.LET(_xlpm.x,SUM(SUM(_xlfn._xlws.FILTER(VALUE(PptoSty[Sign]&amp;1)*(1/PptoSty[Division]),(PptoSty[Division]&lt;&gt;0)*(PptoSty[Division]&lt;&gt;"")*(PptoSty[Division]&lt;&gt;"X")*(PptoSty[RowGrp]=$E282)*(ISNUMBER(FIND(PptoSty[PiColumn],I$257))),0)),$AA282),_xlpm.y,IF(_xlfn._xlws.FILTER(TbRsmIn[Alive],TbRsmIn[Enquiry No]=$E282,"X")="C",0,INDEX(INDIRECT(Mods!$B$2),MATCH($E282,INDIRECT(Mods!$B$4),0),MATCH(I$257,INDIRECT(Mods!$AL$3),0))),IF(AND(_xlpm.x=0,_xlpm.y&lt;&gt;0),-1,IF(AND(_xlpm.x&lt;&gt;0,_xlpm.y&lt;&gt;0),_xlpm.x,IF(AND(_xlpm.x-$AA282&lt;&gt;0,_xlpm.y=0),-2,_xlpm.x)))),0))</f>
        <v>0</v>
      </c>
      <c r="J282" s="282" cm="1">
        <f t="array" aca="1" ref="J282" ca="1">IF(OR($E282="",$E282="X"),0,IFERROR(_xlfn.LET(_xlpm.x,SUM(SUM(_xlfn._xlws.FILTER(VALUE(PptoSty[Sign]&amp;1)*(1/PptoSty[Division]),(PptoSty[Division]&lt;&gt;0)*(PptoSty[Division]&lt;&gt;"")*(PptoSty[Division]&lt;&gt;"X")*(PptoSty[RowGrp]=$E282)*(ISNUMBER(FIND(PptoSty[PiColumn],J$257))),0)),$AA282),_xlpm.y,IF(_xlfn._xlws.FILTER(TbRsmIn[Alive],TbRsmIn[Enquiry No]=$E282,"X")="C",0,INDEX(INDIRECT(Mods!$B$2),MATCH($E282,INDIRECT(Mods!$B$4),0),MATCH(J$257,INDIRECT(Mods!$AL$3),0))),IF(AND(_xlpm.x=0,_xlpm.y&lt;&gt;0),-1,IF(AND(_xlpm.x&lt;&gt;0,_xlpm.y&lt;&gt;0),_xlpm.x,IF(AND(_xlpm.x-$AA282&lt;&gt;0,_xlpm.y=0),-2,_xlpm.x)))),0))</f>
        <v>0</v>
      </c>
      <c r="K282" s="282" cm="1">
        <f t="array" aca="1" ref="K282" ca="1">IF(OR($E282="",$E282="X"),0,IFERROR(_xlfn.LET(_xlpm.x,SUM(SUM(_xlfn._xlws.FILTER(VALUE(PptoSty[Sign]&amp;1)*(1/PptoSty[Division]),(PptoSty[Division]&lt;&gt;0)*(PptoSty[Division]&lt;&gt;"")*(PptoSty[Division]&lt;&gt;"X")*(PptoSty[RowGrp]=$E282)*(ISNUMBER(FIND(PptoSty[PiColumn],K$257))),0)),$AA282),_xlpm.y,IF(_xlfn._xlws.FILTER(TbRsmIn[Alive],TbRsmIn[Enquiry No]=$E282,"X")="C",0,INDEX(INDIRECT(Mods!$B$2),MATCH($E282,INDIRECT(Mods!$B$4),0),MATCH(K$257,INDIRECT(Mods!$AL$3),0))),IF(AND(_xlpm.x=0,_xlpm.y&lt;&gt;0),-1,IF(AND(_xlpm.x&lt;&gt;0,_xlpm.y&lt;&gt;0),_xlpm.x,IF(AND(_xlpm.x-$AA282&lt;&gt;0,_xlpm.y=0),-2,_xlpm.x)))),0))</f>
        <v>0</v>
      </c>
      <c r="L282" s="282" cm="1">
        <f t="array" aca="1" ref="L282" ca="1">IF(OR($E282="",$E282="X"),0,IFERROR(_xlfn.LET(_xlpm.x,SUM(SUM(_xlfn._xlws.FILTER(VALUE(PptoSty[Sign]&amp;1)*(1/PptoSty[Division]),(PptoSty[Division]&lt;&gt;0)*(PptoSty[Division]&lt;&gt;"")*(PptoSty[Division]&lt;&gt;"X")*(PptoSty[RowGrp]=$E282)*(ISNUMBER(FIND(PptoSty[PiColumn],L$257))),0)),$AA282),_xlpm.y,IF(_xlfn._xlws.FILTER(TbRsmIn[Alive],TbRsmIn[Enquiry No]=$E282,"X")="C",0,INDEX(INDIRECT(Mods!$B$2),MATCH($E282,INDIRECT(Mods!$B$4),0),MATCH(L$257,INDIRECT(Mods!$AL$3),0))),IF(AND(_xlpm.x=0,_xlpm.y&lt;&gt;0),-1,IF(AND(_xlpm.x&lt;&gt;0,_xlpm.y&lt;&gt;0),_xlpm.x,IF(AND(_xlpm.x-$AA282&lt;&gt;0,_xlpm.y=0),-2,_xlpm.x)))),0))</f>
        <v>0</v>
      </c>
      <c r="M282" s="282" cm="1">
        <f t="array" aca="1" ref="M282" ca="1">IF(OR($E282="",$E282="X"),0,IFERROR(_xlfn.LET(_xlpm.x,SUM(SUM(_xlfn._xlws.FILTER(VALUE(PptoSty[Sign]&amp;1)*(1/PptoSty[Division]),(PptoSty[Division]&lt;&gt;0)*(PptoSty[Division]&lt;&gt;"")*(PptoSty[Division]&lt;&gt;"X")*(PptoSty[RowGrp]=$E282)*(ISNUMBER(FIND(PptoSty[PiColumn],M$257))),0)),$AA282),_xlpm.y,IF(_xlfn._xlws.FILTER(TbRsmIn[Alive],TbRsmIn[Enquiry No]=$E282,"X")="C",0,INDEX(INDIRECT(Mods!$B$2),MATCH($E282,INDIRECT(Mods!$B$4),0),MATCH(M$257,INDIRECT(Mods!$AL$3),0))),IF(AND(_xlpm.x=0,_xlpm.y&lt;&gt;0),-1,IF(AND(_xlpm.x&lt;&gt;0,_xlpm.y&lt;&gt;0),_xlpm.x,IF(AND(_xlpm.x-$AA282&lt;&gt;0,_xlpm.y=0),-2,_xlpm.x)))),0))</f>
        <v>0</v>
      </c>
      <c r="N282" s="282" cm="1">
        <f t="array" aca="1" ref="N282" ca="1">IF(OR($E282="",$E282="X"),0,IFERROR(_xlfn.LET(_xlpm.x,SUM(SUM(_xlfn._xlws.FILTER(VALUE(PptoSty[Sign]&amp;1)*(1/PptoSty[Division]),(PptoSty[Division]&lt;&gt;0)*(PptoSty[Division]&lt;&gt;"")*(PptoSty[Division]&lt;&gt;"X")*(PptoSty[RowGrp]=$E282)*(ISNUMBER(FIND(PptoSty[PiColumn],N$257))),0)),$AA282),_xlpm.y,IF(_xlfn._xlws.FILTER(TbRsmIn[Alive],TbRsmIn[Enquiry No]=$E282,"X")="C",0,INDEX(INDIRECT(Mods!$B$2),MATCH($E282,INDIRECT(Mods!$B$4),0),MATCH(N$257,INDIRECT(Mods!$AL$3),0))),IF(AND(_xlpm.x=0,_xlpm.y&lt;&gt;0),-1,IF(AND(_xlpm.x&lt;&gt;0,_xlpm.y&lt;&gt;0),_xlpm.x,IF(AND(_xlpm.x-$AA282&lt;&gt;0,_xlpm.y=0),-2,_xlpm.x)))),0))</f>
        <v>0</v>
      </c>
      <c r="O282" s="282" cm="1">
        <f t="array" aca="1" ref="O282" ca="1">IF(OR($E282="",$E282="X"),0,IFERROR(_xlfn.LET(_xlpm.x,SUM(SUM(_xlfn._xlws.FILTER(VALUE(PptoSty[Sign]&amp;1)*(1/PptoSty[Division]),(PptoSty[Division]&lt;&gt;0)*(PptoSty[Division]&lt;&gt;"")*(PptoSty[Division]&lt;&gt;"X")*(PptoSty[RowGrp]=$E282)*(ISNUMBER(FIND(PptoSty[PiColumn],O$257))),0)),$AA282),_xlpm.y,IF(_xlfn._xlws.FILTER(TbRsmIn[Alive],TbRsmIn[Enquiry No]=$E282,"X")="C",0,INDEX(INDIRECT(Mods!$B$2),MATCH($E282,INDIRECT(Mods!$B$4),0),MATCH(O$257,INDIRECT(Mods!$AL$3),0))),IF(AND(_xlpm.x=0,_xlpm.y&lt;&gt;0),-1,IF(AND(_xlpm.x&lt;&gt;0,_xlpm.y&lt;&gt;0),_xlpm.x,IF(AND(_xlpm.x-$AA282&lt;&gt;0,_xlpm.y=0),-2,_xlpm.x)))),0))</f>
        <v>0</v>
      </c>
      <c r="P282" s="282" cm="1">
        <f t="array" aca="1" ref="P282" ca="1">IF(OR($E282="",$E282="X"),0,IFERROR(_xlfn.LET(_xlpm.x,SUM(SUM(_xlfn._xlws.FILTER(VALUE(PptoSty[Sign]&amp;1)*(1/PptoSty[Division]),(PptoSty[Division]&lt;&gt;0)*(PptoSty[Division]&lt;&gt;"")*(PptoSty[Division]&lt;&gt;"X")*(PptoSty[RowGrp]=$E282)*(ISNUMBER(FIND(PptoSty[PiColumn],P$257))),0)),$AA282),_xlpm.y,IF(_xlfn._xlws.FILTER(TbRsmIn[Alive],TbRsmIn[Enquiry No]=$E282,"X")="C",0,INDEX(INDIRECT(Mods!$B$2),MATCH($E282,INDIRECT(Mods!$B$4),0),MATCH(P$257,INDIRECT(Mods!$AL$3),0))),IF(AND(_xlpm.x=0,_xlpm.y&lt;&gt;0),-1,IF(AND(_xlpm.x&lt;&gt;0,_xlpm.y&lt;&gt;0),_xlpm.x,IF(AND(_xlpm.x-$AA282&lt;&gt;0,_xlpm.y=0),-2,_xlpm.x)))),0))</f>
        <v>0</v>
      </c>
      <c r="Q282" s="282" cm="1">
        <f t="array" aca="1" ref="Q282" ca="1">IF(OR($E282="",$E282="X"),0,IFERROR(_xlfn.LET(_xlpm.x,SUM(SUM(_xlfn._xlws.FILTER(VALUE(PptoSty[Sign]&amp;1)*(1/PptoSty[Division]),(PptoSty[Division]&lt;&gt;0)*(PptoSty[Division]&lt;&gt;"")*(PptoSty[Division]&lt;&gt;"X")*(PptoSty[RowGrp]=$E282)*(ISNUMBER(FIND(PptoSty[PiColumn],Q$257))),0)),$AA282),_xlpm.y,IF(_xlfn._xlws.FILTER(TbRsmIn[Alive],TbRsmIn[Enquiry No]=$E282,"X")="C",0,INDEX(INDIRECT(Mods!$B$2),MATCH($E282,INDIRECT(Mods!$B$4),0),MATCH(Q$257,INDIRECT(Mods!$AL$3),0))),IF(AND(_xlpm.x=0,_xlpm.y&lt;&gt;0),-1,IF(AND(_xlpm.x&lt;&gt;0,_xlpm.y&lt;&gt;0),_xlpm.x,IF(AND(_xlpm.x-$AA282&lt;&gt;0,_xlpm.y=0),-2,_xlpm.x)))),0))</f>
        <v>0</v>
      </c>
      <c r="R282" s="282" cm="1">
        <f t="array" aca="1" ref="R282" ca="1">IF(OR($E282="",$E282="X"),0,IFERROR(_xlfn.LET(_xlpm.x,SUM(SUM(_xlfn._xlws.FILTER(VALUE(PptoSty[Sign]&amp;1)*(1/PptoSty[Division]),(PptoSty[Division]&lt;&gt;0)*(PptoSty[Division]&lt;&gt;"")*(PptoSty[Division]&lt;&gt;"X")*(PptoSty[RowGrp]=$E282)*(ISNUMBER(FIND(PptoSty[PiColumn],R$257))),0)),$AA282),_xlpm.y,IF(_xlfn._xlws.FILTER(TbRsmIn[Alive],TbRsmIn[Enquiry No]=$E282,"X")="C",0,INDEX(INDIRECT(Mods!$B$2),MATCH($E282,INDIRECT(Mods!$B$4),0),MATCH(R$257,INDIRECT(Mods!$AL$3),0))),IF(AND(_xlpm.x=0,_xlpm.y&lt;&gt;0),-1,IF(AND(_xlpm.x&lt;&gt;0,_xlpm.y&lt;&gt;0),_xlpm.x,IF(AND(_xlpm.x-$AA282&lt;&gt;0,_xlpm.y=0),-2,_xlpm.x)))),0))</f>
        <v>0</v>
      </c>
      <c r="S282" s="282" cm="1">
        <f t="array" aca="1" ref="S282" ca="1">IF(OR($E282="",$E282="X"),0,IFERROR(_xlfn.LET(_xlpm.x,SUM(SUM(_xlfn._xlws.FILTER(VALUE(PptoSty[Sign]&amp;1)*(1/PptoSty[Division]),(PptoSty[Division]&lt;&gt;0)*(PptoSty[Division]&lt;&gt;"")*(PptoSty[Division]&lt;&gt;"X")*(PptoSty[RowGrp]=$E282)*(ISNUMBER(FIND(PptoSty[PiColumn],S$257))),0)),$AA282),_xlpm.y,IF(_xlfn._xlws.FILTER(TbRsmIn[Alive],TbRsmIn[Enquiry No]=$E282,"X")="C",0,INDEX(INDIRECT(Mods!$B$2),MATCH($E282,INDIRECT(Mods!$B$4),0),MATCH(S$257,INDIRECT(Mods!$AL$3),0))),IF(AND(_xlpm.x=0,_xlpm.y&lt;&gt;0),-1,IF(AND(_xlpm.x&lt;&gt;0,_xlpm.y&lt;&gt;0),_xlpm.x,IF(AND(_xlpm.x-$AA282&lt;&gt;0,_xlpm.y=0),-2,_xlpm.x)))),0))</f>
        <v>0</v>
      </c>
      <c r="T282" s="282" cm="1">
        <f t="array" aca="1" ref="T282" ca="1">IF(OR($E282="",$E282="X"),0,IFERROR(_xlfn.LET(_xlpm.x,SUM(SUM(_xlfn._xlws.FILTER(VALUE(PptoSty[Sign]&amp;1)*(1/PptoSty[Division]),(PptoSty[Division]&lt;&gt;0)*(PptoSty[Division]&lt;&gt;"")*(PptoSty[Division]&lt;&gt;"X")*(PptoSty[RowGrp]=$E282)*(ISNUMBER(FIND(PptoSty[PiColumn],T$257))),0)),$AA282),_xlpm.y,IF(_xlfn._xlws.FILTER(TbRsmIn[Alive],TbRsmIn[Enquiry No]=$E282,"X")="C",0,INDEX(INDIRECT(Mods!$B$2),MATCH($E282,INDIRECT(Mods!$B$4),0),MATCH(T$257,INDIRECT(Mods!$AL$3),0))),IF(AND(_xlpm.x=0,_xlpm.y&lt;&gt;0),-1,IF(AND(_xlpm.x&lt;&gt;0,_xlpm.y&lt;&gt;0),_xlpm.x,IF(AND(_xlpm.x-$AA282&lt;&gt;0,_xlpm.y=0),-2,_xlpm.x)))),0))</f>
        <v>0</v>
      </c>
      <c r="U282" s="282" cm="1">
        <f t="array" aca="1" ref="U282" ca="1">IF(OR($E282="",$E282="X"),0,IFERROR(_xlfn.LET(_xlpm.x,SUM(SUM(_xlfn._xlws.FILTER(VALUE(PptoSty[Sign]&amp;1)*(1/PptoSty[Division]),(PptoSty[Division]&lt;&gt;0)*(PptoSty[Division]&lt;&gt;"")*(PptoSty[Division]&lt;&gt;"X")*(PptoSty[RowGrp]=$E282)*(ISNUMBER(FIND(PptoSty[PiColumn],U$257))),0)),$AA282),_xlpm.y,IF(_xlfn._xlws.FILTER(TbRsmIn[Alive],TbRsmIn[Enquiry No]=$E282,"X")="C",0,INDEX(INDIRECT(Mods!$B$2),MATCH($E282,INDIRECT(Mods!$B$4),0),MATCH(U$257,INDIRECT(Mods!$AL$3),0))),IF(AND(_xlpm.x=0,_xlpm.y&lt;&gt;0),-1,IF(AND(_xlpm.x&lt;&gt;0,_xlpm.y&lt;&gt;0),_xlpm.x,IF(AND(_xlpm.x-$AA282&lt;&gt;0,_xlpm.y=0),-2,_xlpm.x)))),0))</f>
        <v>0</v>
      </c>
      <c r="V282" s="282" cm="1">
        <f t="array" aca="1" ref="V282" ca="1">IF(OR($E282="",$E282="X"),0,IFERROR(_xlfn.LET(_xlpm.x,SUM(SUM(_xlfn._xlws.FILTER(VALUE(PptoSty[Sign]&amp;1)*(1/PptoSty[Division]),(PptoSty[Division]&lt;&gt;0)*(PptoSty[Division]&lt;&gt;"")*(PptoSty[Division]&lt;&gt;"X")*(PptoSty[RowGrp]=$E282)*(ISNUMBER(FIND(PptoSty[PiColumn],V$257))),0)),$AA282),_xlpm.y,IF(_xlfn._xlws.FILTER(TbRsmIn[Alive],TbRsmIn[Enquiry No]=$E282,"X")="C",0,INDEX(INDIRECT(Mods!$B$2),MATCH($E282,INDIRECT(Mods!$B$4),0),MATCH(V$257,INDIRECT(Mods!$AL$3),0))),IF(AND(_xlpm.x=0,_xlpm.y&lt;&gt;0),-1,IF(AND(_xlpm.x&lt;&gt;0,_xlpm.y&lt;&gt;0),_xlpm.x,IF(AND(_xlpm.x-$AA282&lt;&gt;0,_xlpm.y=0),-2,_xlpm.x)))),0))</f>
        <v>-1</v>
      </c>
      <c r="W282" s="282" cm="1">
        <f t="array" aca="1" ref="W282" ca="1">IF(OR($E282="",$E282="X"),0,IFERROR(_xlfn.LET(_xlpm.x,SUM(SUM(_xlfn._xlws.FILTER(VALUE(PptoSty[Sign]&amp;1)*(1/PptoSty[Division]),(PptoSty[Division]&lt;&gt;0)*(PptoSty[Division]&lt;&gt;"")*(PptoSty[Division]&lt;&gt;"X")*(PptoSty[RowGrp]=$E282)*(ISNUMBER(FIND(PptoSty[PiColumn],W$257))),0)),$AA282),_xlpm.y,IF(_xlfn._xlws.FILTER(TbRsmIn[Alive],TbRsmIn[Enquiry No]=$E282,"X")="C",0,INDEX(INDIRECT(Mods!$B$2),MATCH($E282,INDIRECT(Mods!$B$4),0),MATCH(W$257,INDIRECT(Mods!$AL$3),0))),IF(AND(_xlpm.x=0,_xlpm.y&lt;&gt;0),-1,IF(AND(_xlpm.x&lt;&gt;0,_xlpm.y&lt;&gt;0),_xlpm.x,IF(AND(_xlpm.x-$AA282&lt;&gt;0,_xlpm.y=0),-2,_xlpm.x)))),0))</f>
        <v>0</v>
      </c>
      <c r="X282" s="282" cm="1">
        <f t="array" aca="1" ref="X282" ca="1">IF(OR($E282="",$E282="X"),0,IFERROR(_xlfn.LET(_xlpm.x,SUM(SUM(_xlfn._xlws.FILTER(VALUE(PptoSty[Sign]&amp;1)*(1/PptoSty[Division]),(PptoSty[Division]&lt;&gt;0)*(PptoSty[Division]&lt;&gt;"")*(PptoSty[Division]&lt;&gt;"X")*(PptoSty[RowGrp]=$E282)*(ISNUMBER(FIND(PptoSty[PiColumn],X$257))),0)),$AA282),_xlpm.y,IF(_xlfn._xlws.FILTER(TbRsmIn[Alive],TbRsmIn[Enquiry No]=$E282,"X")="C",0,INDEX(INDIRECT(Mods!$B$2),MATCH($E282,INDIRECT(Mods!$B$4),0),MATCH(X$257,INDIRECT(Mods!$AL$3),0))),IF(AND(_xlpm.x=0,_xlpm.y&lt;&gt;0),-1,IF(AND(_xlpm.x&lt;&gt;0,_xlpm.y&lt;&gt;0),_xlpm.x,IF(AND(_xlpm.x-$AA282&lt;&gt;0,_xlpm.y=0),-2,_xlpm.x)))),0))</f>
        <v>0</v>
      </c>
      <c r="Y282" s="282" cm="1">
        <f t="array" aca="1" ref="Y282" ca="1">IF(OR($E282="",$E282="X"),0,IFERROR(_xlfn.LET(_xlpm.x,SUM(SUM(_xlfn._xlws.FILTER(VALUE(PptoSty[Sign]&amp;1)*(1/PptoSty[Division]),(PptoSty[Division]&lt;&gt;0)*(PptoSty[Division]&lt;&gt;"")*(PptoSty[Division]&lt;&gt;"X")*(PptoSty[RowGrp]=$E282)*(ISNUMBER(FIND(PptoSty[PiColumn],Y$257))),0)),$AA282),_xlpm.y,IF(_xlfn._xlws.FILTER(TbRsmIn[Alive],TbRsmIn[Enquiry No]=$E282,"X")="C",0,INDEX(INDIRECT(Mods!$B$2),MATCH($E282,INDIRECT(Mods!$B$4),0),MATCH(Y$257,INDIRECT(Mods!$AL$3),0))),IF(AND(_xlpm.x=0,_xlpm.y&lt;&gt;0),-1,IF(AND(_xlpm.x&lt;&gt;0,_xlpm.y&lt;&gt;0),_xlpm.x,IF(AND(_xlpm.x-$AA282&lt;&gt;0,_xlpm.y=0),-2,_xlpm.x)))),0))</f>
        <v>0</v>
      </c>
      <c r="Z282" s="280" t="str">
        <f t="shared" ca="1" si="8"/>
        <v>Fback!B282:Y282</v>
      </c>
      <c r="AA282" s="282" cm="1">
        <f t="array" aca="1" ref="AA282" ca="1">IF(OR($E282="",$E282="X"),0,IFERROR(SUM(_xlfn._xlws.FILTER(VALUE(#REF!&amp;1)*(1/PptoSty[PptoVsRow]),(PptoSty[PptoVsRow]&lt;&gt;0)*(PptoSty[PptoVsRow]&lt;&gt;"")*(PptoSty[PptoVsRow]&lt;&gt;"X")*(PptoSty[Num]=$E282)*(PptoSty[RowGrp]=AA$260),0)),0))</f>
        <v>0</v>
      </c>
    </row>
    <row r="283" spans="2:27" ht="21" customHeight="1" outlineLevel="1">
      <c r="B283" s="247" t="str" cm="1">
        <f t="array" ref="B283:C283">IF($E283="X","X",_xlfn._xlws.FILTER(P_SelPrj[[PrjId]:[Cia]],P_SelPrj[Attribute]=VALUE(LEFT($E283,1)),"X"))</f>
        <v>31199</v>
      </c>
      <c r="C283" s="247" t="str">
        <v>Sp</v>
      </c>
      <c r="D283" s="247" t="s">
        <v>375</v>
      </c>
      <c r="E283" s="247" t="str" cm="1">
        <f t="array" ref="E283">_xlfn.LET(_xlpm.x,IFERROR(INDEX(TbRsmIn[Enquiry No],SUM(ROW()-MATCH("SOM",$A:$A,0))),"X"),IF(_xlpm.x=0,"X",_xlpm.x))</f>
        <v>2CT002</v>
      </c>
      <c r="F283" s="413" t="str" cm="1">
        <f t="array" ref="F283">_xlfn._xlws.FILTER(CstClcData[Value],(CstClcData[Attribute]="Concept")*(CstClcData[Name]=$E283),"X")</f>
        <v>20 units of Manual tack-welding sub-car sets 200's and 300's to be manfactured at SERRA.</v>
      </c>
      <c r="G283" s="281"/>
      <c r="H283" s="281"/>
      <c r="I283" s="282" cm="1">
        <f t="array" aca="1" ref="I283" ca="1">IF(OR($E283="",$E283="X"),0,IFERROR(_xlfn.LET(_xlpm.x,SUM(SUM(_xlfn._xlws.FILTER(VALUE(PptoSty[Sign]&amp;1)*(1/PptoSty[Division]),(PptoSty[Division]&lt;&gt;0)*(PptoSty[Division]&lt;&gt;"")*(PptoSty[Division]&lt;&gt;"X")*(PptoSty[RowGrp]=$E283)*(ISNUMBER(FIND(PptoSty[PiColumn],I$257))),0)),$AA283),_xlpm.y,IF(_xlfn._xlws.FILTER(TbRsmIn[Alive],TbRsmIn[Enquiry No]=$E283,"X")="C",0,INDEX(INDIRECT(Mods!$B$2),MATCH($E283,INDIRECT(Mods!$B$4),0),MATCH(I$257,INDIRECT(Mods!$AL$3),0))),IF(AND(_xlpm.x=0,_xlpm.y&lt;&gt;0),-1,IF(AND(_xlpm.x&lt;&gt;0,_xlpm.y&lt;&gt;0),_xlpm.x,IF(AND(_xlpm.x-$AA283&lt;&gt;0,_xlpm.y=0),-2,_xlpm.x)))),0))</f>
        <v>0</v>
      </c>
      <c r="J283" s="282" cm="1">
        <f t="array" aca="1" ref="J283" ca="1">IF(OR($E283="",$E283="X"),0,IFERROR(_xlfn.LET(_xlpm.x,SUM(SUM(_xlfn._xlws.FILTER(VALUE(PptoSty[Sign]&amp;1)*(1/PptoSty[Division]),(PptoSty[Division]&lt;&gt;0)*(PptoSty[Division]&lt;&gt;"")*(PptoSty[Division]&lt;&gt;"X")*(PptoSty[RowGrp]=$E283)*(ISNUMBER(FIND(PptoSty[PiColumn],J$257))),0)),$AA283),_xlpm.y,IF(_xlfn._xlws.FILTER(TbRsmIn[Alive],TbRsmIn[Enquiry No]=$E283,"X")="C",0,INDEX(INDIRECT(Mods!$B$2),MATCH($E283,INDIRECT(Mods!$B$4),0),MATCH(J$257,INDIRECT(Mods!$AL$3),0))),IF(AND(_xlpm.x=0,_xlpm.y&lt;&gt;0),-1,IF(AND(_xlpm.x&lt;&gt;0,_xlpm.y&lt;&gt;0),_xlpm.x,IF(AND(_xlpm.x-$AA283&lt;&gt;0,_xlpm.y=0),-2,_xlpm.x)))),0))</f>
        <v>0</v>
      </c>
      <c r="K283" s="282" cm="1">
        <f t="array" aca="1" ref="K283" ca="1">IF(OR($E283="",$E283="X"),0,IFERROR(_xlfn.LET(_xlpm.x,SUM(SUM(_xlfn._xlws.FILTER(VALUE(PptoSty[Sign]&amp;1)*(1/PptoSty[Division]),(PptoSty[Division]&lt;&gt;0)*(PptoSty[Division]&lt;&gt;"")*(PptoSty[Division]&lt;&gt;"X")*(PptoSty[RowGrp]=$E283)*(ISNUMBER(FIND(PptoSty[PiColumn],K$257))),0)),$AA283),_xlpm.y,IF(_xlfn._xlws.FILTER(TbRsmIn[Alive],TbRsmIn[Enquiry No]=$E283,"X")="C",0,INDEX(INDIRECT(Mods!$B$2),MATCH($E283,INDIRECT(Mods!$B$4),0),MATCH(K$257,INDIRECT(Mods!$AL$3),0))),IF(AND(_xlpm.x=0,_xlpm.y&lt;&gt;0),-1,IF(AND(_xlpm.x&lt;&gt;0,_xlpm.y&lt;&gt;0),_xlpm.x,IF(AND(_xlpm.x-$AA283&lt;&gt;0,_xlpm.y=0),-2,_xlpm.x)))),0))</f>
        <v>0</v>
      </c>
      <c r="L283" s="282" cm="1">
        <f t="array" aca="1" ref="L283" ca="1">IF(OR($E283="",$E283="X"),0,IFERROR(_xlfn.LET(_xlpm.x,SUM(SUM(_xlfn._xlws.FILTER(VALUE(PptoSty[Sign]&amp;1)*(1/PptoSty[Division]),(PptoSty[Division]&lt;&gt;0)*(PptoSty[Division]&lt;&gt;"")*(PptoSty[Division]&lt;&gt;"X")*(PptoSty[RowGrp]=$E283)*(ISNUMBER(FIND(PptoSty[PiColumn],L$257))),0)),$AA283),_xlpm.y,IF(_xlfn._xlws.FILTER(TbRsmIn[Alive],TbRsmIn[Enquiry No]=$E283,"X")="C",0,INDEX(INDIRECT(Mods!$B$2),MATCH($E283,INDIRECT(Mods!$B$4),0),MATCH(L$257,INDIRECT(Mods!$AL$3),0))),IF(AND(_xlpm.x=0,_xlpm.y&lt;&gt;0),-1,IF(AND(_xlpm.x&lt;&gt;0,_xlpm.y&lt;&gt;0),_xlpm.x,IF(AND(_xlpm.x-$AA283&lt;&gt;0,_xlpm.y=0),-2,_xlpm.x)))),0))</f>
        <v>0</v>
      </c>
      <c r="M283" s="282" cm="1">
        <f t="array" aca="1" ref="M283" ca="1">IF(OR($E283="",$E283="X"),0,IFERROR(_xlfn.LET(_xlpm.x,SUM(SUM(_xlfn._xlws.FILTER(VALUE(PptoSty[Sign]&amp;1)*(1/PptoSty[Division]),(PptoSty[Division]&lt;&gt;0)*(PptoSty[Division]&lt;&gt;"")*(PptoSty[Division]&lt;&gt;"X")*(PptoSty[RowGrp]=$E283)*(ISNUMBER(FIND(PptoSty[PiColumn],M$257))),0)),$AA283),_xlpm.y,IF(_xlfn._xlws.FILTER(TbRsmIn[Alive],TbRsmIn[Enquiry No]=$E283,"X")="C",0,INDEX(INDIRECT(Mods!$B$2),MATCH($E283,INDIRECT(Mods!$B$4),0),MATCH(M$257,INDIRECT(Mods!$AL$3),0))),IF(AND(_xlpm.x=0,_xlpm.y&lt;&gt;0),-1,IF(AND(_xlpm.x&lt;&gt;0,_xlpm.y&lt;&gt;0),_xlpm.x,IF(AND(_xlpm.x-$AA283&lt;&gt;0,_xlpm.y=0),-2,_xlpm.x)))),0))</f>
        <v>0</v>
      </c>
      <c r="N283" s="282" cm="1">
        <f t="array" aca="1" ref="N283" ca="1">IF(OR($E283="",$E283="X"),0,IFERROR(_xlfn.LET(_xlpm.x,SUM(SUM(_xlfn._xlws.FILTER(VALUE(PptoSty[Sign]&amp;1)*(1/PptoSty[Division]),(PptoSty[Division]&lt;&gt;0)*(PptoSty[Division]&lt;&gt;"")*(PptoSty[Division]&lt;&gt;"X")*(PptoSty[RowGrp]=$E283)*(ISNUMBER(FIND(PptoSty[PiColumn],N$257))),0)),$AA283),_xlpm.y,IF(_xlfn._xlws.FILTER(TbRsmIn[Alive],TbRsmIn[Enquiry No]=$E283,"X")="C",0,INDEX(INDIRECT(Mods!$B$2),MATCH($E283,INDIRECT(Mods!$B$4),0),MATCH(N$257,INDIRECT(Mods!$AL$3),0))),IF(AND(_xlpm.x=0,_xlpm.y&lt;&gt;0),-1,IF(AND(_xlpm.x&lt;&gt;0,_xlpm.y&lt;&gt;0),_xlpm.x,IF(AND(_xlpm.x-$AA283&lt;&gt;0,_xlpm.y=0),-2,_xlpm.x)))),0))</f>
        <v>0</v>
      </c>
      <c r="O283" s="282" cm="1">
        <f t="array" aca="1" ref="O283" ca="1">IF(OR($E283="",$E283="X"),0,IFERROR(_xlfn.LET(_xlpm.x,SUM(SUM(_xlfn._xlws.FILTER(VALUE(PptoSty[Sign]&amp;1)*(1/PptoSty[Division]),(PptoSty[Division]&lt;&gt;0)*(PptoSty[Division]&lt;&gt;"")*(PptoSty[Division]&lt;&gt;"X")*(PptoSty[RowGrp]=$E283)*(ISNUMBER(FIND(PptoSty[PiColumn],O$257))),0)),$AA283),_xlpm.y,IF(_xlfn._xlws.FILTER(TbRsmIn[Alive],TbRsmIn[Enquiry No]=$E283,"X")="C",0,INDEX(INDIRECT(Mods!$B$2),MATCH($E283,INDIRECT(Mods!$B$4),0),MATCH(O$257,INDIRECT(Mods!$AL$3),0))),IF(AND(_xlpm.x=0,_xlpm.y&lt;&gt;0),-1,IF(AND(_xlpm.x&lt;&gt;0,_xlpm.y&lt;&gt;0),_xlpm.x,IF(AND(_xlpm.x-$AA283&lt;&gt;0,_xlpm.y=0),-2,_xlpm.x)))),0))</f>
        <v>0</v>
      </c>
      <c r="P283" s="282" cm="1">
        <f t="array" aca="1" ref="P283" ca="1">IF(OR($E283="",$E283="X"),0,IFERROR(_xlfn.LET(_xlpm.x,SUM(SUM(_xlfn._xlws.FILTER(VALUE(PptoSty[Sign]&amp;1)*(1/PptoSty[Division]),(PptoSty[Division]&lt;&gt;0)*(PptoSty[Division]&lt;&gt;"")*(PptoSty[Division]&lt;&gt;"X")*(PptoSty[RowGrp]=$E283)*(ISNUMBER(FIND(PptoSty[PiColumn],P$257))),0)),$AA283),_xlpm.y,IF(_xlfn._xlws.FILTER(TbRsmIn[Alive],TbRsmIn[Enquiry No]=$E283,"X")="C",0,INDEX(INDIRECT(Mods!$B$2),MATCH($E283,INDIRECT(Mods!$B$4),0),MATCH(P$257,INDIRECT(Mods!$AL$3),0))),IF(AND(_xlpm.x=0,_xlpm.y&lt;&gt;0),-1,IF(AND(_xlpm.x&lt;&gt;0,_xlpm.y&lt;&gt;0),_xlpm.x,IF(AND(_xlpm.x-$AA283&lt;&gt;0,_xlpm.y=0),-2,_xlpm.x)))),0))</f>
        <v>0</v>
      </c>
      <c r="Q283" s="282" cm="1">
        <f t="array" aca="1" ref="Q283" ca="1">IF(OR($E283="",$E283="X"),0,IFERROR(_xlfn.LET(_xlpm.x,SUM(SUM(_xlfn._xlws.FILTER(VALUE(PptoSty[Sign]&amp;1)*(1/PptoSty[Division]),(PptoSty[Division]&lt;&gt;0)*(PptoSty[Division]&lt;&gt;"")*(PptoSty[Division]&lt;&gt;"X")*(PptoSty[RowGrp]=$E283)*(ISNUMBER(FIND(PptoSty[PiColumn],Q$257))),0)),$AA283),_xlpm.y,IF(_xlfn._xlws.FILTER(TbRsmIn[Alive],TbRsmIn[Enquiry No]=$E283,"X")="C",0,INDEX(INDIRECT(Mods!$B$2),MATCH($E283,INDIRECT(Mods!$B$4),0),MATCH(Q$257,INDIRECT(Mods!$AL$3),0))),IF(AND(_xlpm.x=0,_xlpm.y&lt;&gt;0),-1,IF(AND(_xlpm.x&lt;&gt;0,_xlpm.y&lt;&gt;0),_xlpm.x,IF(AND(_xlpm.x-$AA283&lt;&gt;0,_xlpm.y=0),-2,_xlpm.x)))),0))</f>
        <v>0</v>
      </c>
      <c r="R283" s="282" cm="1">
        <f t="array" aca="1" ref="R283" ca="1">IF(OR($E283="",$E283="X"),0,IFERROR(_xlfn.LET(_xlpm.x,SUM(SUM(_xlfn._xlws.FILTER(VALUE(PptoSty[Sign]&amp;1)*(1/PptoSty[Division]),(PptoSty[Division]&lt;&gt;0)*(PptoSty[Division]&lt;&gt;"")*(PptoSty[Division]&lt;&gt;"X")*(PptoSty[RowGrp]=$E283)*(ISNUMBER(FIND(PptoSty[PiColumn],R$257))),0)),$AA283),_xlpm.y,IF(_xlfn._xlws.FILTER(TbRsmIn[Alive],TbRsmIn[Enquiry No]=$E283,"X")="C",0,INDEX(INDIRECT(Mods!$B$2),MATCH($E283,INDIRECT(Mods!$B$4),0),MATCH(R$257,INDIRECT(Mods!$AL$3),0))),IF(AND(_xlpm.x=0,_xlpm.y&lt;&gt;0),-1,IF(AND(_xlpm.x&lt;&gt;0,_xlpm.y&lt;&gt;0),_xlpm.x,IF(AND(_xlpm.x-$AA283&lt;&gt;0,_xlpm.y=0),-2,_xlpm.x)))),0))</f>
        <v>0</v>
      </c>
      <c r="S283" s="282" cm="1">
        <f t="array" aca="1" ref="S283" ca="1">IF(OR($E283="",$E283="X"),0,IFERROR(_xlfn.LET(_xlpm.x,SUM(SUM(_xlfn._xlws.FILTER(VALUE(PptoSty[Sign]&amp;1)*(1/PptoSty[Division]),(PptoSty[Division]&lt;&gt;0)*(PptoSty[Division]&lt;&gt;"")*(PptoSty[Division]&lt;&gt;"X")*(PptoSty[RowGrp]=$E283)*(ISNUMBER(FIND(PptoSty[PiColumn],S$257))),0)),$AA283),_xlpm.y,IF(_xlfn._xlws.FILTER(TbRsmIn[Alive],TbRsmIn[Enquiry No]=$E283,"X")="C",0,INDEX(INDIRECT(Mods!$B$2),MATCH($E283,INDIRECT(Mods!$B$4),0),MATCH(S$257,INDIRECT(Mods!$AL$3),0))),IF(AND(_xlpm.x=0,_xlpm.y&lt;&gt;0),-1,IF(AND(_xlpm.x&lt;&gt;0,_xlpm.y&lt;&gt;0),_xlpm.x,IF(AND(_xlpm.x-$AA283&lt;&gt;0,_xlpm.y=0),-2,_xlpm.x)))),0))</f>
        <v>0</v>
      </c>
      <c r="T283" s="282" cm="1">
        <f t="array" aca="1" ref="T283" ca="1">IF(OR($E283="",$E283="X"),0,IFERROR(_xlfn.LET(_xlpm.x,SUM(SUM(_xlfn._xlws.FILTER(VALUE(PptoSty[Sign]&amp;1)*(1/PptoSty[Division]),(PptoSty[Division]&lt;&gt;0)*(PptoSty[Division]&lt;&gt;"")*(PptoSty[Division]&lt;&gt;"X")*(PptoSty[RowGrp]=$E283)*(ISNUMBER(FIND(PptoSty[PiColumn],T$257))),0)),$AA283),_xlpm.y,IF(_xlfn._xlws.FILTER(TbRsmIn[Alive],TbRsmIn[Enquiry No]=$E283,"X")="C",0,INDEX(INDIRECT(Mods!$B$2),MATCH($E283,INDIRECT(Mods!$B$4),0),MATCH(T$257,INDIRECT(Mods!$AL$3),0))),IF(AND(_xlpm.x=0,_xlpm.y&lt;&gt;0),-1,IF(AND(_xlpm.x&lt;&gt;0,_xlpm.y&lt;&gt;0),_xlpm.x,IF(AND(_xlpm.x-$AA283&lt;&gt;0,_xlpm.y=0),-2,_xlpm.x)))),0))</f>
        <v>0</v>
      </c>
      <c r="U283" s="282" cm="1">
        <f t="array" aca="1" ref="U283" ca="1">IF(OR($E283="",$E283="X"),0,IFERROR(_xlfn.LET(_xlpm.x,SUM(SUM(_xlfn._xlws.FILTER(VALUE(PptoSty[Sign]&amp;1)*(1/PptoSty[Division]),(PptoSty[Division]&lt;&gt;0)*(PptoSty[Division]&lt;&gt;"")*(PptoSty[Division]&lt;&gt;"X")*(PptoSty[RowGrp]=$E283)*(ISNUMBER(FIND(PptoSty[PiColumn],U$257))),0)),$AA283),_xlpm.y,IF(_xlfn._xlws.FILTER(TbRsmIn[Alive],TbRsmIn[Enquiry No]=$E283,"X")="C",0,INDEX(INDIRECT(Mods!$B$2),MATCH($E283,INDIRECT(Mods!$B$4),0),MATCH(U$257,INDIRECT(Mods!$AL$3),0))),IF(AND(_xlpm.x=0,_xlpm.y&lt;&gt;0),-1,IF(AND(_xlpm.x&lt;&gt;0,_xlpm.y&lt;&gt;0),_xlpm.x,IF(AND(_xlpm.x-$AA283&lt;&gt;0,_xlpm.y=0),-2,_xlpm.x)))),0))</f>
        <v>0</v>
      </c>
      <c r="V283" s="282" cm="1">
        <f t="array" aca="1" ref="V283" ca="1">IF(OR($E283="",$E283="X"),0,IFERROR(_xlfn.LET(_xlpm.x,SUM(SUM(_xlfn._xlws.FILTER(VALUE(PptoSty[Sign]&amp;1)*(1/PptoSty[Division]),(PptoSty[Division]&lt;&gt;0)*(PptoSty[Division]&lt;&gt;"")*(PptoSty[Division]&lt;&gt;"X")*(PptoSty[RowGrp]=$E283)*(ISNUMBER(FIND(PptoSty[PiColumn],V$257))),0)),$AA283),_xlpm.y,IF(_xlfn._xlws.FILTER(TbRsmIn[Alive],TbRsmIn[Enquiry No]=$E283,"X")="C",0,INDEX(INDIRECT(Mods!$B$2),MATCH($E283,INDIRECT(Mods!$B$4),0),MATCH(V$257,INDIRECT(Mods!$AL$3),0))),IF(AND(_xlpm.x=0,_xlpm.y&lt;&gt;0),-1,IF(AND(_xlpm.x&lt;&gt;0,_xlpm.y&lt;&gt;0),_xlpm.x,IF(AND(_xlpm.x-$AA283&lt;&gt;0,_xlpm.y=0),-2,_xlpm.x)))),0))</f>
        <v>0</v>
      </c>
      <c r="W283" s="282" cm="1">
        <f t="array" aca="1" ref="W283" ca="1">IF(OR($E283="",$E283="X"),0,IFERROR(_xlfn.LET(_xlpm.x,SUM(SUM(_xlfn._xlws.FILTER(VALUE(PptoSty[Sign]&amp;1)*(1/PptoSty[Division]),(PptoSty[Division]&lt;&gt;0)*(PptoSty[Division]&lt;&gt;"")*(PptoSty[Division]&lt;&gt;"X")*(PptoSty[RowGrp]=$E283)*(ISNUMBER(FIND(PptoSty[PiColumn],W$257))),0)),$AA283),_xlpm.y,IF(_xlfn._xlws.FILTER(TbRsmIn[Alive],TbRsmIn[Enquiry No]=$E283,"X")="C",0,INDEX(INDIRECT(Mods!$B$2),MATCH($E283,INDIRECT(Mods!$B$4),0),MATCH(W$257,INDIRECT(Mods!$AL$3),0))),IF(AND(_xlpm.x=0,_xlpm.y&lt;&gt;0),-1,IF(AND(_xlpm.x&lt;&gt;0,_xlpm.y&lt;&gt;0),_xlpm.x,IF(AND(_xlpm.x-$AA283&lt;&gt;0,_xlpm.y=0),-2,_xlpm.x)))),0))</f>
        <v>0</v>
      </c>
      <c r="X283" s="282" cm="1">
        <f t="array" aca="1" ref="X283" ca="1">IF(OR($E283="",$E283="X"),0,IFERROR(_xlfn.LET(_xlpm.x,SUM(SUM(_xlfn._xlws.FILTER(VALUE(PptoSty[Sign]&amp;1)*(1/PptoSty[Division]),(PptoSty[Division]&lt;&gt;0)*(PptoSty[Division]&lt;&gt;"")*(PptoSty[Division]&lt;&gt;"X")*(PptoSty[RowGrp]=$E283)*(ISNUMBER(FIND(PptoSty[PiColumn],X$257))),0)),$AA283),_xlpm.y,IF(_xlfn._xlws.FILTER(TbRsmIn[Alive],TbRsmIn[Enquiry No]=$E283,"X")="C",0,INDEX(INDIRECT(Mods!$B$2),MATCH($E283,INDIRECT(Mods!$B$4),0),MATCH(X$257,INDIRECT(Mods!$AL$3),0))),IF(AND(_xlpm.x=0,_xlpm.y&lt;&gt;0),-1,IF(AND(_xlpm.x&lt;&gt;0,_xlpm.y&lt;&gt;0),_xlpm.x,IF(AND(_xlpm.x-$AA283&lt;&gt;0,_xlpm.y=0),-2,_xlpm.x)))),0))</f>
        <v>0</v>
      </c>
      <c r="Y283" s="282" cm="1">
        <f t="array" aca="1" ref="Y283" ca="1">IF(OR($E283="",$E283="X"),0,IFERROR(_xlfn.LET(_xlpm.x,SUM(SUM(_xlfn._xlws.FILTER(VALUE(PptoSty[Sign]&amp;1)*(1/PptoSty[Division]),(PptoSty[Division]&lt;&gt;0)*(PptoSty[Division]&lt;&gt;"")*(PptoSty[Division]&lt;&gt;"X")*(PptoSty[RowGrp]=$E283)*(ISNUMBER(FIND(PptoSty[PiColumn],Y$257))),0)),$AA283),_xlpm.y,IF(_xlfn._xlws.FILTER(TbRsmIn[Alive],TbRsmIn[Enquiry No]=$E283,"X")="C",0,INDEX(INDIRECT(Mods!$B$2),MATCH($E283,INDIRECT(Mods!$B$4),0),MATCH(Y$257,INDIRECT(Mods!$AL$3),0))),IF(AND(_xlpm.x=0,_xlpm.y&lt;&gt;0),-1,IF(AND(_xlpm.x&lt;&gt;0,_xlpm.y&lt;&gt;0),_xlpm.x,IF(AND(_xlpm.x-$AA283&lt;&gt;0,_xlpm.y=0),-2,_xlpm.x)))),0))</f>
        <v>0</v>
      </c>
      <c r="Z283" s="280" t="str">
        <f t="shared" ca="1" si="8"/>
        <v>Fback!B283:Y283</v>
      </c>
      <c r="AA283" s="282" cm="1">
        <f t="array" aca="1" ref="AA283" ca="1">IF(OR($E283="",$E283="X"),0,IFERROR(SUM(_xlfn._xlws.FILTER(VALUE(#REF!&amp;1)*(1/PptoSty[PptoVsRow]),(PptoSty[PptoVsRow]&lt;&gt;0)*(PptoSty[PptoVsRow]&lt;&gt;"")*(PptoSty[PptoVsRow]&lt;&gt;"X")*(PptoSty[Num]=$E283)*(PptoSty[RowGrp]=AA$260),0)),0))</f>
        <v>0</v>
      </c>
    </row>
    <row r="284" spans="2:27" ht="21" customHeight="1" outlineLevel="1">
      <c r="B284" s="247" t="str" cm="1">
        <f t="array" ref="B284:C284">IF($E284="X","X",_xlfn._xlws.FILTER(P_SelPrj[[PrjId]:[Cia]],P_SelPrj[Attribute]=VALUE(LEFT($E284,1)),"X"))</f>
        <v>31199</v>
      </c>
      <c r="C284" s="247" t="str">
        <v>Sp</v>
      </c>
      <c r="D284" s="247" t="s">
        <v>375</v>
      </c>
      <c r="E284" s="247" t="str" cm="1">
        <f t="array" ref="E284">_xlfn.LET(_xlpm.x,IFERROR(INDEX(TbRsmIn[Enquiry No],SUM(ROW()-MATCH("SOM",$A:$A,0))),"X"),IF(_xlpm.x=0,"X",_xlpm.x))</f>
        <v>2CT003</v>
      </c>
      <c r="F284" s="413" t="str" cm="1">
        <f t="array" ref="F284">_xlfn._xlws.FILTER(CstClcData[Value],(CstClcData[Attribute]="Concept")*(CstClcData[Name]=$E284),"X")</f>
        <v>Op600 Gravity Ramp to be installed moving out finished parts</v>
      </c>
      <c r="G284" s="281"/>
      <c r="H284" s="281"/>
      <c r="I284" s="282" cm="1">
        <f t="array" aca="1" ref="I284" ca="1">IF(OR($E284="",$E284="X"),0,IFERROR(_xlfn.LET(_xlpm.x,SUM(SUM(_xlfn._xlws.FILTER(VALUE(PptoSty[Sign]&amp;1)*(1/PptoSty[Division]),(PptoSty[Division]&lt;&gt;0)*(PptoSty[Division]&lt;&gt;"")*(PptoSty[Division]&lt;&gt;"X")*(PptoSty[RowGrp]=$E284)*(ISNUMBER(FIND(PptoSty[PiColumn],I$257))),0)),$AA284),_xlpm.y,IF(_xlfn._xlws.FILTER(TbRsmIn[Alive],TbRsmIn[Enquiry No]=$E284,"X")="C",0,INDEX(INDIRECT(Mods!$B$2),MATCH($E284,INDIRECT(Mods!$B$4),0),MATCH(I$257,INDIRECT(Mods!$AL$3),0))),IF(AND(_xlpm.x=0,_xlpm.y&lt;&gt;0),-1,IF(AND(_xlpm.x&lt;&gt;0,_xlpm.y&lt;&gt;0),_xlpm.x,IF(AND(_xlpm.x-$AA284&lt;&gt;0,_xlpm.y=0),-2,_xlpm.x)))),0))</f>
        <v>0</v>
      </c>
      <c r="J284" s="282" cm="1">
        <f t="array" aca="1" ref="J284" ca="1">IF(OR($E284="",$E284="X"),0,IFERROR(_xlfn.LET(_xlpm.x,SUM(SUM(_xlfn._xlws.FILTER(VALUE(PptoSty[Sign]&amp;1)*(1/PptoSty[Division]),(PptoSty[Division]&lt;&gt;0)*(PptoSty[Division]&lt;&gt;"")*(PptoSty[Division]&lt;&gt;"X")*(PptoSty[RowGrp]=$E284)*(ISNUMBER(FIND(PptoSty[PiColumn],J$257))),0)),$AA284),_xlpm.y,IF(_xlfn._xlws.FILTER(TbRsmIn[Alive],TbRsmIn[Enquiry No]=$E284,"X")="C",0,INDEX(INDIRECT(Mods!$B$2),MATCH($E284,INDIRECT(Mods!$B$4),0),MATCH(J$257,INDIRECT(Mods!$AL$3),0))),IF(AND(_xlpm.x=0,_xlpm.y&lt;&gt;0),-1,IF(AND(_xlpm.x&lt;&gt;0,_xlpm.y&lt;&gt;0),_xlpm.x,IF(AND(_xlpm.x-$AA284&lt;&gt;0,_xlpm.y=0),-2,_xlpm.x)))),0))</f>
        <v>0</v>
      </c>
      <c r="K284" s="282" cm="1">
        <f t="array" aca="1" ref="K284" ca="1">IF(OR($E284="",$E284="X"),0,IFERROR(_xlfn.LET(_xlpm.x,SUM(SUM(_xlfn._xlws.FILTER(VALUE(PptoSty[Sign]&amp;1)*(1/PptoSty[Division]),(PptoSty[Division]&lt;&gt;0)*(PptoSty[Division]&lt;&gt;"")*(PptoSty[Division]&lt;&gt;"X")*(PptoSty[RowGrp]=$E284)*(ISNUMBER(FIND(PptoSty[PiColumn],K$257))),0)),$AA284),_xlpm.y,IF(_xlfn._xlws.FILTER(TbRsmIn[Alive],TbRsmIn[Enquiry No]=$E284,"X")="C",0,INDEX(INDIRECT(Mods!$B$2),MATCH($E284,INDIRECT(Mods!$B$4),0),MATCH(K$257,INDIRECT(Mods!$AL$3),0))),IF(AND(_xlpm.x=0,_xlpm.y&lt;&gt;0),-1,IF(AND(_xlpm.x&lt;&gt;0,_xlpm.y&lt;&gt;0),_xlpm.x,IF(AND(_xlpm.x-$AA284&lt;&gt;0,_xlpm.y=0),-2,_xlpm.x)))),0))</f>
        <v>-1</v>
      </c>
      <c r="L284" s="282" cm="1">
        <f t="array" aca="1" ref="L284" ca="1">IF(OR($E284="",$E284="X"),0,IFERROR(_xlfn.LET(_xlpm.x,SUM(SUM(_xlfn._xlws.FILTER(VALUE(PptoSty[Sign]&amp;1)*(1/PptoSty[Division]),(PptoSty[Division]&lt;&gt;0)*(PptoSty[Division]&lt;&gt;"")*(PptoSty[Division]&lt;&gt;"X")*(PptoSty[RowGrp]=$E284)*(ISNUMBER(FIND(PptoSty[PiColumn],L$257))),0)),$AA284),_xlpm.y,IF(_xlfn._xlws.FILTER(TbRsmIn[Alive],TbRsmIn[Enquiry No]=$E284,"X")="C",0,INDEX(INDIRECT(Mods!$B$2),MATCH($E284,INDIRECT(Mods!$B$4),0),MATCH(L$257,INDIRECT(Mods!$AL$3),0))),IF(AND(_xlpm.x=0,_xlpm.y&lt;&gt;0),-1,IF(AND(_xlpm.x&lt;&gt;0,_xlpm.y&lt;&gt;0),_xlpm.x,IF(AND(_xlpm.x-$AA284&lt;&gt;0,_xlpm.y=0),-2,_xlpm.x)))),0))</f>
        <v>-1</v>
      </c>
      <c r="M284" s="282" cm="1">
        <f t="array" aca="1" ref="M284" ca="1">IF(OR($E284="",$E284="X"),0,IFERROR(_xlfn.LET(_xlpm.x,SUM(SUM(_xlfn._xlws.FILTER(VALUE(PptoSty[Sign]&amp;1)*(1/PptoSty[Division]),(PptoSty[Division]&lt;&gt;0)*(PptoSty[Division]&lt;&gt;"")*(PptoSty[Division]&lt;&gt;"X")*(PptoSty[RowGrp]=$E284)*(ISNUMBER(FIND(PptoSty[PiColumn],M$257))),0)),$AA284),_xlpm.y,IF(_xlfn._xlws.FILTER(TbRsmIn[Alive],TbRsmIn[Enquiry No]=$E284,"X")="C",0,INDEX(INDIRECT(Mods!$B$2),MATCH($E284,INDIRECT(Mods!$B$4),0),MATCH(M$257,INDIRECT(Mods!$AL$3),0))),IF(AND(_xlpm.x=0,_xlpm.y&lt;&gt;0),-1,IF(AND(_xlpm.x&lt;&gt;0,_xlpm.y&lt;&gt;0),_xlpm.x,IF(AND(_xlpm.x-$AA284&lt;&gt;0,_xlpm.y=0),-2,_xlpm.x)))),0))</f>
        <v>0</v>
      </c>
      <c r="N284" s="282" cm="1">
        <f t="array" aca="1" ref="N284" ca="1">IF(OR($E284="",$E284="X"),0,IFERROR(_xlfn.LET(_xlpm.x,SUM(SUM(_xlfn._xlws.FILTER(VALUE(PptoSty[Sign]&amp;1)*(1/PptoSty[Division]),(PptoSty[Division]&lt;&gt;0)*(PptoSty[Division]&lt;&gt;"")*(PptoSty[Division]&lt;&gt;"X")*(PptoSty[RowGrp]=$E284)*(ISNUMBER(FIND(PptoSty[PiColumn],N$257))),0)),$AA284),_xlpm.y,IF(_xlfn._xlws.FILTER(TbRsmIn[Alive],TbRsmIn[Enquiry No]=$E284,"X")="C",0,INDEX(INDIRECT(Mods!$B$2),MATCH($E284,INDIRECT(Mods!$B$4),0),MATCH(N$257,INDIRECT(Mods!$AL$3),0))),IF(AND(_xlpm.x=0,_xlpm.y&lt;&gt;0),-1,IF(AND(_xlpm.x&lt;&gt;0,_xlpm.y&lt;&gt;0),_xlpm.x,IF(AND(_xlpm.x-$AA284&lt;&gt;0,_xlpm.y=0),-2,_xlpm.x)))),0))</f>
        <v>0</v>
      </c>
      <c r="O284" s="282" cm="1">
        <f t="array" aca="1" ref="O284" ca="1">IF(OR($E284="",$E284="X"),0,IFERROR(_xlfn.LET(_xlpm.x,SUM(SUM(_xlfn._xlws.FILTER(VALUE(PptoSty[Sign]&amp;1)*(1/PptoSty[Division]),(PptoSty[Division]&lt;&gt;0)*(PptoSty[Division]&lt;&gt;"")*(PptoSty[Division]&lt;&gt;"X")*(PptoSty[RowGrp]=$E284)*(ISNUMBER(FIND(PptoSty[PiColumn],O$257))),0)),$AA284),_xlpm.y,IF(_xlfn._xlws.FILTER(TbRsmIn[Alive],TbRsmIn[Enquiry No]=$E284,"X")="C",0,INDEX(INDIRECT(Mods!$B$2),MATCH($E284,INDIRECT(Mods!$B$4),0),MATCH(O$257,INDIRECT(Mods!$AL$3),0))),IF(AND(_xlpm.x=0,_xlpm.y&lt;&gt;0),-1,IF(AND(_xlpm.x&lt;&gt;0,_xlpm.y&lt;&gt;0),_xlpm.x,IF(AND(_xlpm.x-$AA284&lt;&gt;0,_xlpm.y=0),-2,_xlpm.x)))),0))</f>
        <v>0</v>
      </c>
      <c r="P284" s="282" cm="1">
        <f t="array" aca="1" ref="P284" ca="1">IF(OR($E284="",$E284="X"),0,IFERROR(_xlfn.LET(_xlpm.x,SUM(SUM(_xlfn._xlws.FILTER(VALUE(PptoSty[Sign]&amp;1)*(1/PptoSty[Division]),(PptoSty[Division]&lt;&gt;0)*(PptoSty[Division]&lt;&gt;"")*(PptoSty[Division]&lt;&gt;"X")*(PptoSty[RowGrp]=$E284)*(ISNUMBER(FIND(PptoSty[PiColumn],P$257))),0)),$AA284),_xlpm.y,IF(_xlfn._xlws.FILTER(TbRsmIn[Alive],TbRsmIn[Enquiry No]=$E284,"X")="C",0,INDEX(INDIRECT(Mods!$B$2),MATCH($E284,INDIRECT(Mods!$B$4),0),MATCH(P$257,INDIRECT(Mods!$AL$3),0))),IF(AND(_xlpm.x=0,_xlpm.y&lt;&gt;0),-1,IF(AND(_xlpm.x&lt;&gt;0,_xlpm.y&lt;&gt;0),_xlpm.x,IF(AND(_xlpm.x-$AA284&lt;&gt;0,_xlpm.y=0),-2,_xlpm.x)))),0))</f>
        <v>-1</v>
      </c>
      <c r="Q284" s="282" cm="1">
        <f t="array" aca="1" ref="Q284" ca="1">IF(OR($E284="",$E284="X"),0,IFERROR(_xlfn.LET(_xlpm.x,SUM(SUM(_xlfn._xlws.FILTER(VALUE(PptoSty[Sign]&amp;1)*(1/PptoSty[Division]),(PptoSty[Division]&lt;&gt;0)*(PptoSty[Division]&lt;&gt;"")*(PptoSty[Division]&lt;&gt;"X")*(PptoSty[RowGrp]=$E284)*(ISNUMBER(FIND(PptoSty[PiColumn],Q$257))),0)),$AA284),_xlpm.y,IF(_xlfn._xlws.FILTER(TbRsmIn[Alive],TbRsmIn[Enquiry No]=$E284,"X")="C",0,INDEX(INDIRECT(Mods!$B$2),MATCH($E284,INDIRECT(Mods!$B$4),0),MATCH(Q$257,INDIRECT(Mods!$AL$3),0))),IF(AND(_xlpm.x=0,_xlpm.y&lt;&gt;0),-1,IF(AND(_xlpm.x&lt;&gt;0,_xlpm.y&lt;&gt;0),_xlpm.x,IF(AND(_xlpm.x-$AA284&lt;&gt;0,_xlpm.y=0),-2,_xlpm.x)))),0))</f>
        <v>-1</v>
      </c>
      <c r="R284" s="282" cm="1">
        <f t="array" aca="1" ref="R284" ca="1">IF(OR($E284="",$E284="X"),0,IFERROR(_xlfn.LET(_xlpm.x,SUM(SUM(_xlfn._xlws.FILTER(VALUE(PptoSty[Sign]&amp;1)*(1/PptoSty[Division]),(PptoSty[Division]&lt;&gt;0)*(PptoSty[Division]&lt;&gt;"")*(PptoSty[Division]&lt;&gt;"X")*(PptoSty[RowGrp]=$E284)*(ISNUMBER(FIND(PptoSty[PiColumn],R$257))),0)),$AA284),_xlpm.y,IF(_xlfn._xlws.FILTER(TbRsmIn[Alive],TbRsmIn[Enquiry No]=$E284,"X")="C",0,INDEX(INDIRECT(Mods!$B$2),MATCH($E284,INDIRECT(Mods!$B$4),0),MATCH(R$257,INDIRECT(Mods!$AL$3),0))),IF(AND(_xlpm.x=0,_xlpm.y&lt;&gt;0),-1,IF(AND(_xlpm.x&lt;&gt;0,_xlpm.y&lt;&gt;0),_xlpm.x,IF(AND(_xlpm.x-$AA284&lt;&gt;0,_xlpm.y=0),-2,_xlpm.x)))),0))</f>
        <v>0</v>
      </c>
      <c r="S284" s="282" cm="1">
        <f t="array" aca="1" ref="S284" ca="1">IF(OR($E284="",$E284="X"),0,IFERROR(_xlfn.LET(_xlpm.x,SUM(SUM(_xlfn._xlws.FILTER(VALUE(PptoSty[Sign]&amp;1)*(1/PptoSty[Division]),(PptoSty[Division]&lt;&gt;0)*(PptoSty[Division]&lt;&gt;"")*(PptoSty[Division]&lt;&gt;"X")*(PptoSty[RowGrp]=$E284)*(ISNUMBER(FIND(PptoSty[PiColumn],S$257))),0)),$AA284),_xlpm.y,IF(_xlfn._xlws.FILTER(TbRsmIn[Alive],TbRsmIn[Enquiry No]=$E284,"X")="C",0,INDEX(INDIRECT(Mods!$B$2),MATCH($E284,INDIRECT(Mods!$B$4),0),MATCH(S$257,INDIRECT(Mods!$AL$3),0))),IF(AND(_xlpm.x=0,_xlpm.y&lt;&gt;0),-1,IF(AND(_xlpm.x&lt;&gt;0,_xlpm.y&lt;&gt;0),_xlpm.x,IF(AND(_xlpm.x-$AA284&lt;&gt;0,_xlpm.y=0),-2,_xlpm.x)))),0))</f>
        <v>0</v>
      </c>
      <c r="T284" s="282" cm="1">
        <f t="array" aca="1" ref="T284" ca="1">IF(OR($E284="",$E284="X"),0,IFERROR(_xlfn.LET(_xlpm.x,SUM(SUM(_xlfn._xlws.FILTER(VALUE(PptoSty[Sign]&amp;1)*(1/PptoSty[Division]),(PptoSty[Division]&lt;&gt;0)*(PptoSty[Division]&lt;&gt;"")*(PptoSty[Division]&lt;&gt;"X")*(PptoSty[RowGrp]=$E284)*(ISNUMBER(FIND(PptoSty[PiColumn],T$257))),0)),$AA284),_xlpm.y,IF(_xlfn._xlws.FILTER(TbRsmIn[Alive],TbRsmIn[Enquiry No]=$E284,"X")="C",0,INDEX(INDIRECT(Mods!$B$2),MATCH($E284,INDIRECT(Mods!$B$4),0),MATCH(T$257,INDIRECT(Mods!$AL$3),0))),IF(AND(_xlpm.x=0,_xlpm.y&lt;&gt;0),-1,IF(AND(_xlpm.x&lt;&gt;0,_xlpm.y&lt;&gt;0),_xlpm.x,IF(AND(_xlpm.x-$AA284&lt;&gt;0,_xlpm.y=0),-2,_xlpm.x)))),0))</f>
        <v>0</v>
      </c>
      <c r="U284" s="282" cm="1">
        <f t="array" aca="1" ref="U284" ca="1">IF(OR($E284="",$E284="X"),0,IFERROR(_xlfn.LET(_xlpm.x,SUM(SUM(_xlfn._xlws.FILTER(VALUE(PptoSty[Sign]&amp;1)*(1/PptoSty[Division]),(PptoSty[Division]&lt;&gt;0)*(PptoSty[Division]&lt;&gt;"")*(PptoSty[Division]&lt;&gt;"X")*(PptoSty[RowGrp]=$E284)*(ISNUMBER(FIND(PptoSty[PiColumn],U$257))),0)),$AA284),_xlpm.y,IF(_xlfn._xlws.FILTER(TbRsmIn[Alive],TbRsmIn[Enquiry No]=$E284,"X")="C",0,INDEX(INDIRECT(Mods!$B$2),MATCH($E284,INDIRECT(Mods!$B$4),0),MATCH(U$257,INDIRECT(Mods!$AL$3),0))),IF(AND(_xlpm.x=0,_xlpm.y&lt;&gt;0),-1,IF(AND(_xlpm.x&lt;&gt;0,_xlpm.y&lt;&gt;0),_xlpm.x,IF(AND(_xlpm.x-$AA284&lt;&gt;0,_xlpm.y=0),-2,_xlpm.x)))),0))</f>
        <v>0</v>
      </c>
      <c r="V284" s="282" cm="1">
        <f t="array" aca="1" ref="V284" ca="1">IF(OR($E284="",$E284="X"),0,IFERROR(_xlfn.LET(_xlpm.x,SUM(SUM(_xlfn._xlws.FILTER(VALUE(PptoSty[Sign]&amp;1)*(1/PptoSty[Division]),(PptoSty[Division]&lt;&gt;0)*(PptoSty[Division]&lt;&gt;"")*(PptoSty[Division]&lt;&gt;"X")*(PptoSty[RowGrp]=$E284)*(ISNUMBER(FIND(PptoSty[PiColumn],V$257))),0)),$AA284),_xlpm.y,IF(_xlfn._xlws.FILTER(TbRsmIn[Alive],TbRsmIn[Enquiry No]=$E284,"X")="C",0,INDEX(INDIRECT(Mods!$B$2),MATCH($E284,INDIRECT(Mods!$B$4),0),MATCH(V$257,INDIRECT(Mods!$AL$3),0))),IF(AND(_xlpm.x=0,_xlpm.y&lt;&gt;0),-1,IF(AND(_xlpm.x&lt;&gt;0,_xlpm.y&lt;&gt;0),_xlpm.x,IF(AND(_xlpm.x-$AA284&lt;&gt;0,_xlpm.y=0),-2,_xlpm.x)))),0))</f>
        <v>-1</v>
      </c>
      <c r="W284" s="282" cm="1">
        <f t="array" aca="1" ref="W284" ca="1">IF(OR($E284="",$E284="X"),0,IFERROR(_xlfn.LET(_xlpm.x,SUM(SUM(_xlfn._xlws.FILTER(VALUE(PptoSty[Sign]&amp;1)*(1/PptoSty[Division]),(PptoSty[Division]&lt;&gt;0)*(PptoSty[Division]&lt;&gt;"")*(PptoSty[Division]&lt;&gt;"X")*(PptoSty[RowGrp]=$E284)*(ISNUMBER(FIND(PptoSty[PiColumn],W$257))),0)),$AA284),_xlpm.y,IF(_xlfn._xlws.FILTER(TbRsmIn[Alive],TbRsmIn[Enquiry No]=$E284,"X")="C",0,INDEX(INDIRECT(Mods!$B$2),MATCH($E284,INDIRECT(Mods!$B$4),0),MATCH(W$257,INDIRECT(Mods!$AL$3),0))),IF(AND(_xlpm.x=0,_xlpm.y&lt;&gt;0),-1,IF(AND(_xlpm.x&lt;&gt;0,_xlpm.y&lt;&gt;0),_xlpm.x,IF(AND(_xlpm.x-$AA284&lt;&gt;0,_xlpm.y=0),-2,_xlpm.x)))),0))</f>
        <v>0</v>
      </c>
      <c r="X284" s="282" cm="1">
        <f t="array" aca="1" ref="X284" ca="1">IF(OR($E284="",$E284="X"),0,IFERROR(_xlfn.LET(_xlpm.x,SUM(SUM(_xlfn._xlws.FILTER(VALUE(PptoSty[Sign]&amp;1)*(1/PptoSty[Division]),(PptoSty[Division]&lt;&gt;0)*(PptoSty[Division]&lt;&gt;"")*(PptoSty[Division]&lt;&gt;"X")*(PptoSty[RowGrp]=$E284)*(ISNUMBER(FIND(PptoSty[PiColumn],X$257))),0)),$AA284),_xlpm.y,IF(_xlfn._xlws.FILTER(TbRsmIn[Alive],TbRsmIn[Enquiry No]=$E284,"X")="C",0,INDEX(INDIRECT(Mods!$B$2),MATCH($E284,INDIRECT(Mods!$B$4),0),MATCH(X$257,INDIRECT(Mods!$AL$3),0))),IF(AND(_xlpm.x=0,_xlpm.y&lt;&gt;0),-1,IF(AND(_xlpm.x&lt;&gt;0,_xlpm.y&lt;&gt;0),_xlpm.x,IF(AND(_xlpm.x-$AA284&lt;&gt;0,_xlpm.y=0),-2,_xlpm.x)))),0))</f>
        <v>0</v>
      </c>
      <c r="Y284" s="282" cm="1">
        <f t="array" aca="1" ref="Y284" ca="1">IF(OR($E284="",$E284="X"),0,IFERROR(_xlfn.LET(_xlpm.x,SUM(SUM(_xlfn._xlws.FILTER(VALUE(PptoSty[Sign]&amp;1)*(1/PptoSty[Division]),(PptoSty[Division]&lt;&gt;0)*(PptoSty[Division]&lt;&gt;"")*(PptoSty[Division]&lt;&gt;"X")*(PptoSty[RowGrp]=$E284)*(ISNUMBER(FIND(PptoSty[PiColumn],Y$257))),0)),$AA284),_xlpm.y,IF(_xlfn._xlws.FILTER(TbRsmIn[Alive],TbRsmIn[Enquiry No]=$E284,"X")="C",0,INDEX(INDIRECT(Mods!$B$2),MATCH($E284,INDIRECT(Mods!$B$4),0),MATCH(Y$257,INDIRECT(Mods!$AL$3),0))),IF(AND(_xlpm.x=0,_xlpm.y&lt;&gt;0),-1,IF(AND(_xlpm.x&lt;&gt;0,_xlpm.y&lt;&gt;0),_xlpm.x,IF(AND(_xlpm.x-$AA284&lt;&gt;0,_xlpm.y=0),-2,_xlpm.x)))),0))</f>
        <v>-1</v>
      </c>
      <c r="Z284" s="280" t="str">
        <f t="shared" ca="1" si="8"/>
        <v>Fback!B284:Y284</v>
      </c>
      <c r="AA284" s="282" cm="1">
        <f t="array" aca="1" ref="AA284" ca="1">IF(OR($E284="",$E284="X"),0,IFERROR(SUM(_xlfn._xlws.FILTER(VALUE(#REF!&amp;1)*(1/PptoSty[PptoVsRow]),(PptoSty[PptoVsRow]&lt;&gt;0)*(PptoSty[PptoVsRow]&lt;&gt;"")*(PptoSty[PptoVsRow]&lt;&gt;"X")*(PptoSty[Num]=$E284)*(PptoSty[RowGrp]=AA$260),0)),0))</f>
        <v>0</v>
      </c>
    </row>
    <row r="285" spans="2:27" ht="21" customHeight="1" outlineLevel="1">
      <c r="B285" s="247" t="str" cm="1">
        <f t="array" ref="B285:C285">IF($E285="X","X",_xlfn._xlws.FILTER(P_SelPrj[[PrjId]:[Cia]],P_SelPrj[Attribute]=VALUE(LEFT($E285,1)),"X"))</f>
        <v>31199</v>
      </c>
      <c r="C285" s="247" t="str">
        <v>Sp</v>
      </c>
      <c r="D285" s="247" t="s">
        <v>375</v>
      </c>
      <c r="E285" s="247" t="str" cm="1">
        <f t="array" ref="E285">_xlfn.LET(_xlpm.x,IFERROR(INDEX(TbRsmIn[Enquiry No],SUM(ROW()-MATCH("SOM",$A:$A,0))),"X"),IF(_xlpm.x=0,"X",_xlpm.x))</f>
        <v>2CT004</v>
      </c>
      <c r="F285" s="413" t="str" cm="1">
        <f t="array" ref="F285">_xlfn._xlws.FILTER(CstClcData[Value],(CstClcData[Attribute]="Concept")*(CstClcData[Name]=$E285),"X")</f>
        <v>Op500 External Laser sensors on cell structure</v>
      </c>
      <c r="G285" s="281"/>
      <c r="H285" s="281"/>
      <c r="I285" s="282" cm="1">
        <f t="array" aca="1" ref="I285" ca="1">IF(OR($E285="",$E285="X"),0,IFERROR(_xlfn.LET(_xlpm.x,SUM(SUM(_xlfn._xlws.FILTER(VALUE(PptoSty[Sign]&amp;1)*(1/PptoSty[Division]),(PptoSty[Division]&lt;&gt;0)*(PptoSty[Division]&lt;&gt;"")*(PptoSty[Division]&lt;&gt;"X")*(PptoSty[RowGrp]=$E285)*(ISNUMBER(FIND(PptoSty[PiColumn],I$257))),0)),$AA285),_xlpm.y,IF(_xlfn._xlws.FILTER(TbRsmIn[Alive],TbRsmIn[Enquiry No]=$E285,"X")="C",0,INDEX(INDIRECT(Mods!$B$2),MATCH($E285,INDIRECT(Mods!$B$4),0),MATCH(I$257,INDIRECT(Mods!$AL$3),0))),IF(AND(_xlpm.x=0,_xlpm.y&lt;&gt;0),-1,IF(AND(_xlpm.x&lt;&gt;0,_xlpm.y&lt;&gt;0),_xlpm.x,IF(AND(_xlpm.x-$AA285&lt;&gt;0,_xlpm.y=0),-2,_xlpm.x)))),0))</f>
        <v>0</v>
      </c>
      <c r="J285" s="282" cm="1">
        <f t="array" aca="1" ref="J285" ca="1">IF(OR($E285="",$E285="X"),0,IFERROR(_xlfn.LET(_xlpm.x,SUM(SUM(_xlfn._xlws.FILTER(VALUE(PptoSty[Sign]&amp;1)*(1/PptoSty[Division]),(PptoSty[Division]&lt;&gt;0)*(PptoSty[Division]&lt;&gt;"")*(PptoSty[Division]&lt;&gt;"X")*(PptoSty[RowGrp]=$E285)*(ISNUMBER(FIND(PptoSty[PiColumn],J$257))),0)),$AA285),_xlpm.y,IF(_xlfn._xlws.FILTER(TbRsmIn[Alive],TbRsmIn[Enquiry No]=$E285,"X")="C",0,INDEX(INDIRECT(Mods!$B$2),MATCH($E285,INDIRECT(Mods!$B$4),0),MATCH(J$257,INDIRECT(Mods!$AL$3),0))),IF(AND(_xlpm.x=0,_xlpm.y&lt;&gt;0),-1,IF(AND(_xlpm.x&lt;&gt;0,_xlpm.y&lt;&gt;0),_xlpm.x,IF(AND(_xlpm.x-$AA285&lt;&gt;0,_xlpm.y=0),-2,_xlpm.x)))),0))</f>
        <v>0</v>
      </c>
      <c r="K285" s="282" cm="1">
        <f t="array" aca="1" ref="K285" ca="1">IF(OR($E285="",$E285="X"),0,IFERROR(_xlfn.LET(_xlpm.x,SUM(SUM(_xlfn._xlws.FILTER(VALUE(PptoSty[Sign]&amp;1)*(1/PptoSty[Division]),(PptoSty[Division]&lt;&gt;0)*(PptoSty[Division]&lt;&gt;"")*(PptoSty[Division]&lt;&gt;"X")*(PptoSty[RowGrp]=$E285)*(ISNUMBER(FIND(PptoSty[PiColumn],K$257))),0)),$AA285),_xlpm.y,IF(_xlfn._xlws.FILTER(TbRsmIn[Alive],TbRsmIn[Enquiry No]=$E285,"X")="C",0,INDEX(INDIRECT(Mods!$B$2),MATCH($E285,INDIRECT(Mods!$B$4),0),MATCH(K$257,INDIRECT(Mods!$AL$3),0))),IF(AND(_xlpm.x=0,_xlpm.y&lt;&gt;0),-1,IF(AND(_xlpm.x&lt;&gt;0,_xlpm.y&lt;&gt;0),_xlpm.x,IF(AND(_xlpm.x-$AA285&lt;&gt;0,_xlpm.y=0),-2,_xlpm.x)))),0))</f>
        <v>0</v>
      </c>
      <c r="L285" s="282" cm="1">
        <f t="array" aca="1" ref="L285" ca="1">IF(OR($E285="",$E285="X"),0,IFERROR(_xlfn.LET(_xlpm.x,SUM(SUM(_xlfn._xlws.FILTER(VALUE(PptoSty[Sign]&amp;1)*(1/PptoSty[Division]),(PptoSty[Division]&lt;&gt;0)*(PptoSty[Division]&lt;&gt;"")*(PptoSty[Division]&lt;&gt;"X")*(PptoSty[RowGrp]=$E285)*(ISNUMBER(FIND(PptoSty[PiColumn],L$257))),0)),$AA285),_xlpm.y,IF(_xlfn._xlws.FILTER(TbRsmIn[Alive],TbRsmIn[Enquiry No]=$E285,"X")="C",0,INDEX(INDIRECT(Mods!$B$2),MATCH($E285,INDIRECT(Mods!$B$4),0),MATCH(L$257,INDIRECT(Mods!$AL$3),0))),IF(AND(_xlpm.x=0,_xlpm.y&lt;&gt;0),-1,IF(AND(_xlpm.x&lt;&gt;0,_xlpm.y&lt;&gt;0),_xlpm.x,IF(AND(_xlpm.x-$AA285&lt;&gt;0,_xlpm.y=0),-2,_xlpm.x)))),0))</f>
        <v>0</v>
      </c>
      <c r="M285" s="282" cm="1">
        <f t="array" aca="1" ref="M285" ca="1">IF(OR($E285="",$E285="X"),0,IFERROR(_xlfn.LET(_xlpm.x,SUM(SUM(_xlfn._xlws.FILTER(VALUE(PptoSty[Sign]&amp;1)*(1/PptoSty[Division]),(PptoSty[Division]&lt;&gt;0)*(PptoSty[Division]&lt;&gt;"")*(PptoSty[Division]&lt;&gt;"X")*(PptoSty[RowGrp]=$E285)*(ISNUMBER(FIND(PptoSty[PiColumn],M$257))),0)),$AA285),_xlpm.y,IF(_xlfn._xlws.FILTER(TbRsmIn[Alive],TbRsmIn[Enquiry No]=$E285,"X")="C",0,INDEX(INDIRECT(Mods!$B$2),MATCH($E285,INDIRECT(Mods!$B$4),0),MATCH(M$257,INDIRECT(Mods!$AL$3),0))),IF(AND(_xlpm.x=0,_xlpm.y&lt;&gt;0),-1,IF(AND(_xlpm.x&lt;&gt;0,_xlpm.y&lt;&gt;0),_xlpm.x,IF(AND(_xlpm.x-$AA285&lt;&gt;0,_xlpm.y=0),-2,_xlpm.x)))),0))</f>
        <v>0</v>
      </c>
      <c r="N285" s="282" cm="1">
        <f t="array" aca="1" ref="N285" ca="1">IF(OR($E285="",$E285="X"),0,IFERROR(_xlfn.LET(_xlpm.x,SUM(SUM(_xlfn._xlws.FILTER(VALUE(PptoSty[Sign]&amp;1)*(1/PptoSty[Division]),(PptoSty[Division]&lt;&gt;0)*(PptoSty[Division]&lt;&gt;"")*(PptoSty[Division]&lt;&gt;"X")*(PptoSty[RowGrp]=$E285)*(ISNUMBER(FIND(PptoSty[PiColumn],N$257))),0)),$AA285),_xlpm.y,IF(_xlfn._xlws.FILTER(TbRsmIn[Alive],TbRsmIn[Enquiry No]=$E285,"X")="C",0,INDEX(INDIRECT(Mods!$B$2),MATCH($E285,INDIRECT(Mods!$B$4),0),MATCH(N$257,INDIRECT(Mods!$AL$3),0))),IF(AND(_xlpm.x=0,_xlpm.y&lt;&gt;0),-1,IF(AND(_xlpm.x&lt;&gt;0,_xlpm.y&lt;&gt;0),_xlpm.x,IF(AND(_xlpm.x-$AA285&lt;&gt;0,_xlpm.y=0),-2,_xlpm.x)))),0))</f>
        <v>0</v>
      </c>
      <c r="O285" s="282" cm="1">
        <f t="array" aca="1" ref="O285" ca="1">IF(OR($E285="",$E285="X"),0,IFERROR(_xlfn.LET(_xlpm.x,SUM(SUM(_xlfn._xlws.FILTER(VALUE(PptoSty[Sign]&amp;1)*(1/PptoSty[Division]),(PptoSty[Division]&lt;&gt;0)*(PptoSty[Division]&lt;&gt;"")*(PptoSty[Division]&lt;&gt;"X")*(PptoSty[RowGrp]=$E285)*(ISNUMBER(FIND(PptoSty[PiColumn],O$257))),0)),$AA285),_xlpm.y,IF(_xlfn._xlws.FILTER(TbRsmIn[Alive],TbRsmIn[Enquiry No]=$E285,"X")="C",0,INDEX(INDIRECT(Mods!$B$2),MATCH($E285,INDIRECT(Mods!$B$4),0),MATCH(O$257,INDIRECT(Mods!$AL$3),0))),IF(AND(_xlpm.x=0,_xlpm.y&lt;&gt;0),-1,IF(AND(_xlpm.x&lt;&gt;0,_xlpm.y&lt;&gt;0),_xlpm.x,IF(AND(_xlpm.x-$AA285&lt;&gt;0,_xlpm.y=0),-2,_xlpm.x)))),0))</f>
        <v>0</v>
      </c>
      <c r="P285" s="282" cm="1">
        <f t="array" aca="1" ref="P285" ca="1">IF(OR($E285="",$E285="X"),0,IFERROR(_xlfn.LET(_xlpm.x,SUM(SUM(_xlfn._xlws.FILTER(VALUE(PptoSty[Sign]&amp;1)*(1/PptoSty[Division]),(PptoSty[Division]&lt;&gt;0)*(PptoSty[Division]&lt;&gt;"")*(PptoSty[Division]&lt;&gt;"X")*(PptoSty[RowGrp]=$E285)*(ISNUMBER(FIND(PptoSty[PiColumn],P$257))),0)),$AA285),_xlpm.y,IF(_xlfn._xlws.FILTER(TbRsmIn[Alive],TbRsmIn[Enquiry No]=$E285,"X")="C",0,INDEX(INDIRECT(Mods!$B$2),MATCH($E285,INDIRECT(Mods!$B$4),0),MATCH(P$257,INDIRECT(Mods!$AL$3),0))),IF(AND(_xlpm.x=0,_xlpm.y&lt;&gt;0),-1,IF(AND(_xlpm.x&lt;&gt;0,_xlpm.y&lt;&gt;0),_xlpm.x,IF(AND(_xlpm.x-$AA285&lt;&gt;0,_xlpm.y=0),-2,_xlpm.x)))),0))</f>
        <v>0</v>
      </c>
      <c r="Q285" s="282" cm="1">
        <f t="array" aca="1" ref="Q285" ca="1">IF(OR($E285="",$E285="X"),0,IFERROR(_xlfn.LET(_xlpm.x,SUM(SUM(_xlfn._xlws.FILTER(VALUE(PptoSty[Sign]&amp;1)*(1/PptoSty[Division]),(PptoSty[Division]&lt;&gt;0)*(PptoSty[Division]&lt;&gt;"")*(PptoSty[Division]&lt;&gt;"X")*(PptoSty[RowGrp]=$E285)*(ISNUMBER(FIND(PptoSty[PiColumn],Q$257))),0)),$AA285),_xlpm.y,IF(_xlfn._xlws.FILTER(TbRsmIn[Alive],TbRsmIn[Enquiry No]=$E285,"X")="C",0,INDEX(INDIRECT(Mods!$B$2),MATCH($E285,INDIRECT(Mods!$B$4),0),MATCH(Q$257,INDIRECT(Mods!$AL$3),0))),IF(AND(_xlpm.x=0,_xlpm.y&lt;&gt;0),-1,IF(AND(_xlpm.x&lt;&gt;0,_xlpm.y&lt;&gt;0),_xlpm.x,IF(AND(_xlpm.x-$AA285&lt;&gt;0,_xlpm.y=0),-2,_xlpm.x)))),0))</f>
        <v>0</v>
      </c>
      <c r="R285" s="282" cm="1">
        <f t="array" aca="1" ref="R285" ca="1">IF(OR($E285="",$E285="X"),0,IFERROR(_xlfn.LET(_xlpm.x,SUM(SUM(_xlfn._xlws.FILTER(VALUE(PptoSty[Sign]&amp;1)*(1/PptoSty[Division]),(PptoSty[Division]&lt;&gt;0)*(PptoSty[Division]&lt;&gt;"")*(PptoSty[Division]&lt;&gt;"X")*(PptoSty[RowGrp]=$E285)*(ISNUMBER(FIND(PptoSty[PiColumn],R$257))),0)),$AA285),_xlpm.y,IF(_xlfn._xlws.FILTER(TbRsmIn[Alive],TbRsmIn[Enquiry No]=$E285,"X")="C",0,INDEX(INDIRECT(Mods!$B$2),MATCH($E285,INDIRECT(Mods!$B$4),0),MATCH(R$257,INDIRECT(Mods!$AL$3),0))),IF(AND(_xlpm.x=0,_xlpm.y&lt;&gt;0),-1,IF(AND(_xlpm.x&lt;&gt;0,_xlpm.y&lt;&gt;0),_xlpm.x,IF(AND(_xlpm.x-$AA285&lt;&gt;0,_xlpm.y=0),-2,_xlpm.x)))),0))</f>
        <v>0</v>
      </c>
      <c r="S285" s="282" cm="1">
        <f t="array" aca="1" ref="S285" ca="1">IF(OR($E285="",$E285="X"),0,IFERROR(_xlfn.LET(_xlpm.x,SUM(SUM(_xlfn._xlws.FILTER(VALUE(PptoSty[Sign]&amp;1)*(1/PptoSty[Division]),(PptoSty[Division]&lt;&gt;0)*(PptoSty[Division]&lt;&gt;"")*(PptoSty[Division]&lt;&gt;"X")*(PptoSty[RowGrp]=$E285)*(ISNUMBER(FIND(PptoSty[PiColumn],S$257))),0)),$AA285),_xlpm.y,IF(_xlfn._xlws.FILTER(TbRsmIn[Alive],TbRsmIn[Enquiry No]=$E285,"X")="C",0,INDEX(INDIRECT(Mods!$B$2),MATCH($E285,INDIRECT(Mods!$B$4),0),MATCH(S$257,INDIRECT(Mods!$AL$3),0))),IF(AND(_xlpm.x=0,_xlpm.y&lt;&gt;0),-1,IF(AND(_xlpm.x&lt;&gt;0,_xlpm.y&lt;&gt;0),_xlpm.x,IF(AND(_xlpm.x-$AA285&lt;&gt;0,_xlpm.y=0),-2,_xlpm.x)))),0))</f>
        <v>0</v>
      </c>
      <c r="T285" s="282" cm="1">
        <f t="array" aca="1" ref="T285" ca="1">IF(OR($E285="",$E285="X"),0,IFERROR(_xlfn.LET(_xlpm.x,SUM(SUM(_xlfn._xlws.FILTER(VALUE(PptoSty[Sign]&amp;1)*(1/PptoSty[Division]),(PptoSty[Division]&lt;&gt;0)*(PptoSty[Division]&lt;&gt;"")*(PptoSty[Division]&lt;&gt;"X")*(PptoSty[RowGrp]=$E285)*(ISNUMBER(FIND(PptoSty[PiColumn],T$257))),0)),$AA285),_xlpm.y,IF(_xlfn._xlws.FILTER(TbRsmIn[Alive],TbRsmIn[Enquiry No]=$E285,"X")="C",0,INDEX(INDIRECT(Mods!$B$2),MATCH($E285,INDIRECT(Mods!$B$4),0),MATCH(T$257,INDIRECT(Mods!$AL$3),0))),IF(AND(_xlpm.x=0,_xlpm.y&lt;&gt;0),-1,IF(AND(_xlpm.x&lt;&gt;0,_xlpm.y&lt;&gt;0),_xlpm.x,IF(AND(_xlpm.x-$AA285&lt;&gt;0,_xlpm.y=0),-2,_xlpm.x)))),0))</f>
        <v>0</v>
      </c>
      <c r="U285" s="282" cm="1">
        <f t="array" aca="1" ref="U285" ca="1">IF(OR($E285="",$E285="X"),0,IFERROR(_xlfn.LET(_xlpm.x,SUM(SUM(_xlfn._xlws.FILTER(VALUE(PptoSty[Sign]&amp;1)*(1/PptoSty[Division]),(PptoSty[Division]&lt;&gt;0)*(PptoSty[Division]&lt;&gt;"")*(PptoSty[Division]&lt;&gt;"X")*(PptoSty[RowGrp]=$E285)*(ISNUMBER(FIND(PptoSty[PiColumn],U$257))),0)),$AA285),_xlpm.y,IF(_xlfn._xlws.FILTER(TbRsmIn[Alive],TbRsmIn[Enquiry No]=$E285,"X")="C",0,INDEX(INDIRECT(Mods!$B$2),MATCH($E285,INDIRECT(Mods!$B$4),0),MATCH(U$257,INDIRECT(Mods!$AL$3),0))),IF(AND(_xlpm.x=0,_xlpm.y&lt;&gt;0),-1,IF(AND(_xlpm.x&lt;&gt;0,_xlpm.y&lt;&gt;0),_xlpm.x,IF(AND(_xlpm.x-$AA285&lt;&gt;0,_xlpm.y=0),-2,_xlpm.x)))),0))</f>
        <v>0</v>
      </c>
      <c r="V285" s="282" cm="1">
        <f t="array" aca="1" ref="V285" ca="1">IF(OR($E285="",$E285="X"),0,IFERROR(_xlfn.LET(_xlpm.x,SUM(SUM(_xlfn._xlws.FILTER(VALUE(PptoSty[Sign]&amp;1)*(1/PptoSty[Division]),(PptoSty[Division]&lt;&gt;0)*(PptoSty[Division]&lt;&gt;"")*(PptoSty[Division]&lt;&gt;"X")*(PptoSty[RowGrp]=$E285)*(ISNUMBER(FIND(PptoSty[PiColumn],V$257))),0)),$AA285),_xlpm.y,IF(_xlfn._xlws.FILTER(TbRsmIn[Alive],TbRsmIn[Enquiry No]=$E285,"X")="C",0,INDEX(INDIRECT(Mods!$B$2),MATCH($E285,INDIRECT(Mods!$B$4),0),MATCH(V$257,INDIRECT(Mods!$AL$3),0))),IF(AND(_xlpm.x=0,_xlpm.y&lt;&gt;0),-1,IF(AND(_xlpm.x&lt;&gt;0,_xlpm.y&lt;&gt;0),_xlpm.x,IF(AND(_xlpm.x-$AA285&lt;&gt;0,_xlpm.y=0),-2,_xlpm.x)))),0))</f>
        <v>-1</v>
      </c>
      <c r="W285" s="282" cm="1">
        <f t="array" aca="1" ref="W285" ca="1">IF(OR($E285="",$E285="X"),0,IFERROR(_xlfn.LET(_xlpm.x,SUM(SUM(_xlfn._xlws.FILTER(VALUE(PptoSty[Sign]&amp;1)*(1/PptoSty[Division]),(PptoSty[Division]&lt;&gt;0)*(PptoSty[Division]&lt;&gt;"")*(PptoSty[Division]&lt;&gt;"X")*(PptoSty[RowGrp]=$E285)*(ISNUMBER(FIND(PptoSty[PiColumn],W$257))),0)),$AA285),_xlpm.y,IF(_xlfn._xlws.FILTER(TbRsmIn[Alive],TbRsmIn[Enquiry No]=$E285,"X")="C",0,INDEX(INDIRECT(Mods!$B$2),MATCH($E285,INDIRECT(Mods!$B$4),0),MATCH(W$257,INDIRECT(Mods!$AL$3),0))),IF(AND(_xlpm.x=0,_xlpm.y&lt;&gt;0),-1,IF(AND(_xlpm.x&lt;&gt;0,_xlpm.y&lt;&gt;0),_xlpm.x,IF(AND(_xlpm.x-$AA285&lt;&gt;0,_xlpm.y=0),-2,_xlpm.x)))),0))</f>
        <v>0</v>
      </c>
      <c r="X285" s="282" cm="1">
        <f t="array" aca="1" ref="X285" ca="1">IF(OR($E285="",$E285="X"),0,IFERROR(_xlfn.LET(_xlpm.x,SUM(SUM(_xlfn._xlws.FILTER(VALUE(PptoSty[Sign]&amp;1)*(1/PptoSty[Division]),(PptoSty[Division]&lt;&gt;0)*(PptoSty[Division]&lt;&gt;"")*(PptoSty[Division]&lt;&gt;"X")*(PptoSty[RowGrp]=$E285)*(ISNUMBER(FIND(PptoSty[PiColumn],X$257))),0)),$AA285),_xlpm.y,IF(_xlfn._xlws.FILTER(TbRsmIn[Alive],TbRsmIn[Enquiry No]=$E285,"X")="C",0,INDEX(INDIRECT(Mods!$B$2),MATCH($E285,INDIRECT(Mods!$B$4),0),MATCH(X$257,INDIRECT(Mods!$AL$3),0))),IF(AND(_xlpm.x=0,_xlpm.y&lt;&gt;0),-1,IF(AND(_xlpm.x&lt;&gt;0,_xlpm.y&lt;&gt;0),_xlpm.x,IF(AND(_xlpm.x-$AA285&lt;&gt;0,_xlpm.y=0),-2,_xlpm.x)))),0))</f>
        <v>0</v>
      </c>
      <c r="Y285" s="282" cm="1">
        <f t="array" aca="1" ref="Y285" ca="1">IF(OR($E285="",$E285="X"),0,IFERROR(_xlfn.LET(_xlpm.x,SUM(SUM(_xlfn._xlws.FILTER(VALUE(PptoSty[Sign]&amp;1)*(1/PptoSty[Division]),(PptoSty[Division]&lt;&gt;0)*(PptoSty[Division]&lt;&gt;"")*(PptoSty[Division]&lt;&gt;"X")*(PptoSty[RowGrp]=$E285)*(ISNUMBER(FIND(PptoSty[PiColumn],Y$257))),0)),$AA285),_xlpm.y,IF(_xlfn._xlws.FILTER(TbRsmIn[Alive],TbRsmIn[Enquiry No]=$E285,"X")="C",0,INDEX(INDIRECT(Mods!$B$2),MATCH($E285,INDIRECT(Mods!$B$4),0),MATCH(Y$257,INDIRECT(Mods!$AL$3),0))),IF(AND(_xlpm.x=0,_xlpm.y&lt;&gt;0),-1,IF(AND(_xlpm.x&lt;&gt;0,_xlpm.y&lt;&gt;0),_xlpm.x,IF(AND(_xlpm.x-$AA285&lt;&gt;0,_xlpm.y=0),-2,_xlpm.x)))),0))</f>
        <v>-1</v>
      </c>
      <c r="Z285" s="280" t="str">
        <f t="shared" ca="1" si="8"/>
        <v>Fback!B285:Y285</v>
      </c>
      <c r="AA285" s="282" cm="1">
        <f t="array" aca="1" ref="AA285" ca="1">IF(OR($E285="",$E285="X"),0,IFERROR(SUM(_xlfn._xlws.FILTER(VALUE(#REF!&amp;1)*(1/PptoSty[PptoVsRow]),(PptoSty[PptoVsRow]&lt;&gt;0)*(PptoSty[PptoVsRow]&lt;&gt;"")*(PptoSty[PptoVsRow]&lt;&gt;"X")*(PptoSty[Num]=$E285)*(PptoSty[RowGrp]=AA$260),0)),0))</f>
        <v>0</v>
      </c>
    </row>
    <row r="286" spans="2:27" ht="21" customHeight="1" outlineLevel="1">
      <c r="B286" s="247" t="str" cm="1">
        <f t="array" ref="B286:C286">IF($E286="X","X",_xlfn._xlws.FILTER(P_SelPrj[[PrjId]:[Cia]],P_SelPrj[Attribute]=VALUE(LEFT($E286,1)),"X"))</f>
        <v>31199</v>
      </c>
      <c r="C286" s="247" t="str">
        <v>Sp</v>
      </c>
      <c r="D286" s="247" t="s">
        <v>375</v>
      </c>
      <c r="E286" s="247" t="str" cm="1">
        <f t="array" ref="E286">_xlfn.LET(_xlpm.x,IFERROR(INDEX(TbRsmIn[Enquiry No],SUM(ROW()-MATCH("SOM",$A:$A,0))),"X"),IF(_xlpm.x=0,"X",_xlpm.x))</f>
        <v>2CT005</v>
      </c>
      <c r="F286" s="413" t="str" cm="1">
        <f t="array" ref="F286">_xlfn._xlws.FILTER(CstClcData[Value],(CstClcData[Attribute]="Concept")*(CstClcData[Name]=$E286),"X")</f>
        <v>Op300 Poka-Yoke template for crossmember nut previous to fixture load.</v>
      </c>
      <c r="G286" s="281"/>
      <c r="H286" s="281"/>
      <c r="I286" s="282" cm="1">
        <f t="array" aca="1" ref="I286" ca="1">IF(OR($E286="",$E286="X"),0,IFERROR(_xlfn.LET(_xlpm.x,SUM(SUM(_xlfn._xlws.FILTER(VALUE(PptoSty[Sign]&amp;1)*(1/PptoSty[Division]),(PptoSty[Division]&lt;&gt;0)*(PptoSty[Division]&lt;&gt;"")*(PptoSty[Division]&lt;&gt;"X")*(PptoSty[RowGrp]=$E286)*(ISNUMBER(FIND(PptoSty[PiColumn],I$257))),0)),$AA286),_xlpm.y,IF(_xlfn._xlws.FILTER(TbRsmIn[Alive],TbRsmIn[Enquiry No]=$E286,"X")="C",0,INDEX(INDIRECT(Mods!$B$2),MATCH($E286,INDIRECT(Mods!$B$4),0),MATCH(I$257,INDIRECT(Mods!$AL$3),0))),IF(AND(_xlpm.x=0,_xlpm.y&lt;&gt;0),-1,IF(AND(_xlpm.x&lt;&gt;0,_xlpm.y&lt;&gt;0),_xlpm.x,IF(AND(_xlpm.x-$AA286&lt;&gt;0,_xlpm.y=0),-2,_xlpm.x)))),0))</f>
        <v>-1</v>
      </c>
      <c r="J286" s="282" cm="1">
        <f t="array" aca="1" ref="J286" ca="1">IF(OR($E286="",$E286="X"),0,IFERROR(_xlfn.LET(_xlpm.x,SUM(SUM(_xlfn._xlws.FILTER(VALUE(PptoSty[Sign]&amp;1)*(1/PptoSty[Division]),(PptoSty[Division]&lt;&gt;0)*(PptoSty[Division]&lt;&gt;"")*(PptoSty[Division]&lt;&gt;"X")*(PptoSty[RowGrp]=$E286)*(ISNUMBER(FIND(PptoSty[PiColumn],J$257))),0)),$AA286),_xlpm.y,IF(_xlfn._xlws.FILTER(TbRsmIn[Alive],TbRsmIn[Enquiry No]=$E286,"X")="C",0,INDEX(INDIRECT(Mods!$B$2),MATCH($E286,INDIRECT(Mods!$B$4),0),MATCH(J$257,INDIRECT(Mods!$AL$3),0))),IF(AND(_xlpm.x=0,_xlpm.y&lt;&gt;0),-1,IF(AND(_xlpm.x&lt;&gt;0,_xlpm.y&lt;&gt;0),_xlpm.x,IF(AND(_xlpm.x-$AA286&lt;&gt;0,_xlpm.y=0),-2,_xlpm.x)))),0))</f>
        <v>-1</v>
      </c>
      <c r="K286" s="282" cm="1">
        <f t="array" aca="1" ref="K286" ca="1">IF(OR($E286="",$E286="X"),0,IFERROR(_xlfn.LET(_xlpm.x,SUM(SUM(_xlfn._xlws.FILTER(VALUE(PptoSty[Sign]&amp;1)*(1/PptoSty[Division]),(PptoSty[Division]&lt;&gt;0)*(PptoSty[Division]&lt;&gt;"")*(PptoSty[Division]&lt;&gt;"X")*(PptoSty[RowGrp]=$E286)*(ISNUMBER(FIND(PptoSty[PiColumn],K$257))),0)),$AA286),_xlpm.y,IF(_xlfn._xlws.FILTER(TbRsmIn[Alive],TbRsmIn[Enquiry No]=$E286,"X")="C",0,INDEX(INDIRECT(Mods!$B$2),MATCH($E286,INDIRECT(Mods!$B$4),0),MATCH(K$257,INDIRECT(Mods!$AL$3),0))),IF(AND(_xlpm.x=0,_xlpm.y&lt;&gt;0),-1,IF(AND(_xlpm.x&lt;&gt;0,_xlpm.y&lt;&gt;0),_xlpm.x,IF(AND(_xlpm.x-$AA286&lt;&gt;0,_xlpm.y=0),-2,_xlpm.x)))),0))</f>
        <v>-1</v>
      </c>
      <c r="L286" s="282" cm="1">
        <f t="array" aca="1" ref="L286" ca="1">IF(OR($E286="",$E286="X"),0,IFERROR(_xlfn.LET(_xlpm.x,SUM(SUM(_xlfn._xlws.FILTER(VALUE(PptoSty[Sign]&amp;1)*(1/PptoSty[Division]),(PptoSty[Division]&lt;&gt;0)*(PptoSty[Division]&lt;&gt;"")*(PptoSty[Division]&lt;&gt;"X")*(PptoSty[RowGrp]=$E286)*(ISNUMBER(FIND(PptoSty[PiColumn],L$257))),0)),$AA286),_xlpm.y,IF(_xlfn._xlws.FILTER(TbRsmIn[Alive],TbRsmIn[Enquiry No]=$E286,"X")="C",0,INDEX(INDIRECT(Mods!$B$2),MATCH($E286,INDIRECT(Mods!$B$4),0),MATCH(L$257,INDIRECT(Mods!$AL$3),0))),IF(AND(_xlpm.x=0,_xlpm.y&lt;&gt;0),-1,IF(AND(_xlpm.x&lt;&gt;0,_xlpm.y&lt;&gt;0),_xlpm.x,IF(AND(_xlpm.x-$AA286&lt;&gt;0,_xlpm.y=0),-2,_xlpm.x)))),0))</f>
        <v>0</v>
      </c>
      <c r="M286" s="282" cm="1">
        <f t="array" aca="1" ref="M286" ca="1">IF(OR($E286="",$E286="X"),0,IFERROR(_xlfn.LET(_xlpm.x,SUM(SUM(_xlfn._xlws.FILTER(VALUE(PptoSty[Sign]&amp;1)*(1/PptoSty[Division]),(PptoSty[Division]&lt;&gt;0)*(PptoSty[Division]&lt;&gt;"")*(PptoSty[Division]&lt;&gt;"X")*(PptoSty[RowGrp]=$E286)*(ISNUMBER(FIND(PptoSty[PiColumn],M$257))),0)),$AA286),_xlpm.y,IF(_xlfn._xlws.FILTER(TbRsmIn[Alive],TbRsmIn[Enquiry No]=$E286,"X")="C",0,INDEX(INDIRECT(Mods!$B$2),MATCH($E286,INDIRECT(Mods!$B$4),0),MATCH(M$257,INDIRECT(Mods!$AL$3),0))),IF(AND(_xlpm.x=0,_xlpm.y&lt;&gt;0),-1,IF(AND(_xlpm.x&lt;&gt;0,_xlpm.y&lt;&gt;0),_xlpm.x,IF(AND(_xlpm.x-$AA286&lt;&gt;0,_xlpm.y=0),-2,_xlpm.x)))),0))</f>
        <v>-1</v>
      </c>
      <c r="N286" s="282" cm="1">
        <f t="array" aca="1" ref="N286" ca="1">IF(OR($E286="",$E286="X"),0,IFERROR(_xlfn.LET(_xlpm.x,SUM(SUM(_xlfn._xlws.FILTER(VALUE(PptoSty[Sign]&amp;1)*(1/PptoSty[Division]),(PptoSty[Division]&lt;&gt;0)*(PptoSty[Division]&lt;&gt;"")*(PptoSty[Division]&lt;&gt;"X")*(PptoSty[RowGrp]=$E286)*(ISNUMBER(FIND(PptoSty[PiColumn],N$257))),0)),$AA286),_xlpm.y,IF(_xlfn._xlws.FILTER(TbRsmIn[Alive],TbRsmIn[Enquiry No]=$E286,"X")="C",0,INDEX(INDIRECT(Mods!$B$2),MATCH($E286,INDIRECT(Mods!$B$4),0),MATCH(N$257,INDIRECT(Mods!$AL$3),0))),IF(AND(_xlpm.x=0,_xlpm.y&lt;&gt;0),-1,IF(AND(_xlpm.x&lt;&gt;0,_xlpm.y&lt;&gt;0),_xlpm.x,IF(AND(_xlpm.x-$AA286&lt;&gt;0,_xlpm.y=0),-2,_xlpm.x)))),0))</f>
        <v>0</v>
      </c>
      <c r="O286" s="282" cm="1">
        <f t="array" aca="1" ref="O286" ca="1">IF(OR($E286="",$E286="X"),0,IFERROR(_xlfn.LET(_xlpm.x,SUM(SUM(_xlfn._xlws.FILTER(VALUE(PptoSty[Sign]&amp;1)*(1/PptoSty[Division]),(PptoSty[Division]&lt;&gt;0)*(PptoSty[Division]&lt;&gt;"")*(PptoSty[Division]&lt;&gt;"X")*(PptoSty[RowGrp]=$E286)*(ISNUMBER(FIND(PptoSty[PiColumn],O$257))),0)),$AA286),_xlpm.y,IF(_xlfn._xlws.FILTER(TbRsmIn[Alive],TbRsmIn[Enquiry No]=$E286,"X")="C",0,INDEX(INDIRECT(Mods!$B$2),MATCH($E286,INDIRECT(Mods!$B$4),0),MATCH(O$257,INDIRECT(Mods!$AL$3),0))),IF(AND(_xlpm.x=0,_xlpm.y&lt;&gt;0),-1,IF(AND(_xlpm.x&lt;&gt;0,_xlpm.y&lt;&gt;0),_xlpm.x,IF(AND(_xlpm.x-$AA286&lt;&gt;0,_xlpm.y=0),-2,_xlpm.x)))),0))</f>
        <v>0</v>
      </c>
      <c r="P286" s="282" cm="1">
        <f t="array" aca="1" ref="P286" ca="1">IF(OR($E286="",$E286="X"),0,IFERROR(_xlfn.LET(_xlpm.x,SUM(SUM(_xlfn._xlws.FILTER(VALUE(PptoSty[Sign]&amp;1)*(1/PptoSty[Division]),(PptoSty[Division]&lt;&gt;0)*(PptoSty[Division]&lt;&gt;"")*(PptoSty[Division]&lt;&gt;"X")*(PptoSty[RowGrp]=$E286)*(ISNUMBER(FIND(PptoSty[PiColumn],P$257))),0)),$AA286),_xlpm.y,IF(_xlfn._xlws.FILTER(TbRsmIn[Alive],TbRsmIn[Enquiry No]=$E286,"X")="C",0,INDEX(INDIRECT(Mods!$B$2),MATCH($E286,INDIRECT(Mods!$B$4),0),MATCH(P$257,INDIRECT(Mods!$AL$3),0))),IF(AND(_xlpm.x=0,_xlpm.y&lt;&gt;0),-1,IF(AND(_xlpm.x&lt;&gt;0,_xlpm.y&lt;&gt;0),_xlpm.x,IF(AND(_xlpm.x-$AA286&lt;&gt;0,_xlpm.y=0),-2,_xlpm.x)))),0))</f>
        <v>0</v>
      </c>
      <c r="Q286" s="282" cm="1">
        <f t="array" aca="1" ref="Q286" ca="1">IF(OR($E286="",$E286="X"),0,IFERROR(_xlfn.LET(_xlpm.x,SUM(SUM(_xlfn._xlws.FILTER(VALUE(PptoSty[Sign]&amp;1)*(1/PptoSty[Division]),(PptoSty[Division]&lt;&gt;0)*(PptoSty[Division]&lt;&gt;"")*(PptoSty[Division]&lt;&gt;"X")*(PptoSty[RowGrp]=$E286)*(ISNUMBER(FIND(PptoSty[PiColumn],Q$257))),0)),$AA286),_xlpm.y,IF(_xlfn._xlws.FILTER(TbRsmIn[Alive],TbRsmIn[Enquiry No]=$E286,"X")="C",0,INDEX(INDIRECT(Mods!$B$2),MATCH($E286,INDIRECT(Mods!$B$4),0),MATCH(Q$257,INDIRECT(Mods!$AL$3),0))),IF(AND(_xlpm.x=0,_xlpm.y&lt;&gt;0),-1,IF(AND(_xlpm.x&lt;&gt;0,_xlpm.y&lt;&gt;0),_xlpm.x,IF(AND(_xlpm.x-$AA286&lt;&gt;0,_xlpm.y=0),-2,_xlpm.x)))),0))</f>
        <v>-1</v>
      </c>
      <c r="R286" s="282" cm="1">
        <f t="array" aca="1" ref="R286" ca="1">IF(OR($E286="",$E286="X"),0,IFERROR(_xlfn.LET(_xlpm.x,SUM(SUM(_xlfn._xlws.FILTER(VALUE(PptoSty[Sign]&amp;1)*(1/PptoSty[Division]),(PptoSty[Division]&lt;&gt;0)*(PptoSty[Division]&lt;&gt;"")*(PptoSty[Division]&lt;&gt;"X")*(PptoSty[RowGrp]=$E286)*(ISNUMBER(FIND(PptoSty[PiColumn],R$257))),0)),$AA286),_xlpm.y,IF(_xlfn._xlws.FILTER(TbRsmIn[Alive],TbRsmIn[Enquiry No]=$E286,"X")="C",0,INDEX(INDIRECT(Mods!$B$2),MATCH($E286,INDIRECT(Mods!$B$4),0),MATCH(R$257,INDIRECT(Mods!$AL$3),0))),IF(AND(_xlpm.x=0,_xlpm.y&lt;&gt;0),-1,IF(AND(_xlpm.x&lt;&gt;0,_xlpm.y&lt;&gt;0),_xlpm.x,IF(AND(_xlpm.x-$AA286&lt;&gt;0,_xlpm.y=0),-2,_xlpm.x)))),0))</f>
        <v>-1</v>
      </c>
      <c r="S286" s="282" cm="1">
        <f t="array" aca="1" ref="S286" ca="1">IF(OR($E286="",$E286="X"),0,IFERROR(_xlfn.LET(_xlpm.x,SUM(SUM(_xlfn._xlws.FILTER(VALUE(PptoSty[Sign]&amp;1)*(1/PptoSty[Division]),(PptoSty[Division]&lt;&gt;0)*(PptoSty[Division]&lt;&gt;"")*(PptoSty[Division]&lt;&gt;"X")*(PptoSty[RowGrp]=$E286)*(ISNUMBER(FIND(PptoSty[PiColumn],S$257))),0)),$AA286),_xlpm.y,IF(_xlfn._xlws.FILTER(TbRsmIn[Alive],TbRsmIn[Enquiry No]=$E286,"X")="C",0,INDEX(INDIRECT(Mods!$B$2),MATCH($E286,INDIRECT(Mods!$B$4),0),MATCH(S$257,INDIRECT(Mods!$AL$3),0))),IF(AND(_xlpm.x=0,_xlpm.y&lt;&gt;0),-1,IF(AND(_xlpm.x&lt;&gt;0,_xlpm.y&lt;&gt;0),_xlpm.x,IF(AND(_xlpm.x-$AA286&lt;&gt;0,_xlpm.y=0),-2,_xlpm.x)))),0))</f>
        <v>-1</v>
      </c>
      <c r="T286" s="282" cm="1">
        <f t="array" aca="1" ref="T286" ca="1">IF(OR($E286="",$E286="X"),0,IFERROR(_xlfn.LET(_xlpm.x,SUM(SUM(_xlfn._xlws.FILTER(VALUE(PptoSty[Sign]&amp;1)*(1/PptoSty[Division]),(PptoSty[Division]&lt;&gt;0)*(PptoSty[Division]&lt;&gt;"")*(PptoSty[Division]&lt;&gt;"X")*(PptoSty[RowGrp]=$E286)*(ISNUMBER(FIND(PptoSty[PiColumn],T$257))),0)),$AA286),_xlpm.y,IF(_xlfn._xlws.FILTER(TbRsmIn[Alive],TbRsmIn[Enquiry No]=$E286,"X")="C",0,INDEX(INDIRECT(Mods!$B$2),MATCH($E286,INDIRECT(Mods!$B$4),0),MATCH(T$257,INDIRECT(Mods!$AL$3),0))),IF(AND(_xlpm.x=0,_xlpm.y&lt;&gt;0),-1,IF(AND(_xlpm.x&lt;&gt;0,_xlpm.y&lt;&gt;0),_xlpm.x,IF(AND(_xlpm.x-$AA286&lt;&gt;0,_xlpm.y=0),-2,_xlpm.x)))),0))</f>
        <v>-1</v>
      </c>
      <c r="U286" s="282" cm="1">
        <f t="array" aca="1" ref="U286" ca="1">IF(OR($E286="",$E286="X"),0,IFERROR(_xlfn.LET(_xlpm.x,SUM(SUM(_xlfn._xlws.FILTER(VALUE(PptoSty[Sign]&amp;1)*(1/PptoSty[Division]),(PptoSty[Division]&lt;&gt;0)*(PptoSty[Division]&lt;&gt;"")*(PptoSty[Division]&lt;&gt;"X")*(PptoSty[RowGrp]=$E286)*(ISNUMBER(FIND(PptoSty[PiColumn],U$257))),0)),$AA286),_xlpm.y,IF(_xlfn._xlws.FILTER(TbRsmIn[Alive],TbRsmIn[Enquiry No]=$E286,"X")="C",0,INDEX(INDIRECT(Mods!$B$2),MATCH($E286,INDIRECT(Mods!$B$4),0),MATCH(U$257,INDIRECT(Mods!$AL$3),0))),IF(AND(_xlpm.x=0,_xlpm.y&lt;&gt;0),-1,IF(AND(_xlpm.x&lt;&gt;0,_xlpm.y&lt;&gt;0),_xlpm.x,IF(AND(_xlpm.x-$AA286&lt;&gt;0,_xlpm.y=0),-2,_xlpm.x)))),0))</f>
        <v>0</v>
      </c>
      <c r="V286" s="282" cm="1">
        <f t="array" aca="1" ref="V286" ca="1">IF(OR($E286="",$E286="X"),0,IFERROR(_xlfn.LET(_xlpm.x,SUM(SUM(_xlfn._xlws.FILTER(VALUE(PptoSty[Sign]&amp;1)*(1/PptoSty[Division]),(PptoSty[Division]&lt;&gt;0)*(PptoSty[Division]&lt;&gt;"")*(PptoSty[Division]&lt;&gt;"X")*(PptoSty[RowGrp]=$E286)*(ISNUMBER(FIND(PptoSty[PiColumn],V$257))),0)),$AA286),_xlpm.y,IF(_xlfn._xlws.FILTER(TbRsmIn[Alive],TbRsmIn[Enquiry No]=$E286,"X")="C",0,INDEX(INDIRECT(Mods!$B$2),MATCH($E286,INDIRECT(Mods!$B$4),0),MATCH(V$257,INDIRECT(Mods!$AL$3),0))),IF(AND(_xlpm.x=0,_xlpm.y&lt;&gt;0),-1,IF(AND(_xlpm.x&lt;&gt;0,_xlpm.y&lt;&gt;0),_xlpm.x,IF(AND(_xlpm.x-$AA286&lt;&gt;0,_xlpm.y=0),-2,_xlpm.x)))),0))</f>
        <v>-1</v>
      </c>
      <c r="W286" s="282" cm="1">
        <f t="array" aca="1" ref="W286" ca="1">IF(OR($E286="",$E286="X"),0,IFERROR(_xlfn.LET(_xlpm.x,SUM(SUM(_xlfn._xlws.FILTER(VALUE(PptoSty[Sign]&amp;1)*(1/PptoSty[Division]),(PptoSty[Division]&lt;&gt;0)*(PptoSty[Division]&lt;&gt;"")*(PptoSty[Division]&lt;&gt;"X")*(PptoSty[RowGrp]=$E286)*(ISNUMBER(FIND(PptoSty[PiColumn],W$257))),0)),$AA286),_xlpm.y,IF(_xlfn._xlws.FILTER(TbRsmIn[Alive],TbRsmIn[Enquiry No]=$E286,"X")="C",0,INDEX(INDIRECT(Mods!$B$2),MATCH($E286,INDIRECT(Mods!$B$4),0),MATCH(W$257,INDIRECT(Mods!$AL$3),0))),IF(AND(_xlpm.x=0,_xlpm.y&lt;&gt;0),-1,IF(AND(_xlpm.x&lt;&gt;0,_xlpm.y&lt;&gt;0),_xlpm.x,IF(AND(_xlpm.x-$AA286&lt;&gt;0,_xlpm.y=0),-2,_xlpm.x)))),0))</f>
        <v>0</v>
      </c>
      <c r="X286" s="282" cm="1">
        <f t="array" aca="1" ref="X286" ca="1">IF(OR($E286="",$E286="X"),0,IFERROR(_xlfn.LET(_xlpm.x,SUM(SUM(_xlfn._xlws.FILTER(VALUE(PptoSty[Sign]&amp;1)*(1/PptoSty[Division]),(PptoSty[Division]&lt;&gt;0)*(PptoSty[Division]&lt;&gt;"")*(PptoSty[Division]&lt;&gt;"X")*(PptoSty[RowGrp]=$E286)*(ISNUMBER(FIND(PptoSty[PiColumn],X$257))),0)),$AA286),_xlpm.y,IF(_xlfn._xlws.FILTER(TbRsmIn[Alive],TbRsmIn[Enquiry No]=$E286,"X")="C",0,INDEX(INDIRECT(Mods!$B$2),MATCH($E286,INDIRECT(Mods!$B$4),0),MATCH(X$257,INDIRECT(Mods!$AL$3),0))),IF(AND(_xlpm.x=0,_xlpm.y&lt;&gt;0),-1,IF(AND(_xlpm.x&lt;&gt;0,_xlpm.y&lt;&gt;0),_xlpm.x,IF(AND(_xlpm.x-$AA286&lt;&gt;0,_xlpm.y=0),-2,_xlpm.x)))),0))</f>
        <v>0</v>
      </c>
      <c r="Y286" s="282" cm="1">
        <f t="array" aca="1" ref="Y286" ca="1">IF(OR($E286="",$E286="X"),0,IFERROR(_xlfn.LET(_xlpm.x,SUM(SUM(_xlfn._xlws.FILTER(VALUE(PptoSty[Sign]&amp;1)*(1/PptoSty[Division]),(PptoSty[Division]&lt;&gt;0)*(PptoSty[Division]&lt;&gt;"")*(PptoSty[Division]&lt;&gt;"X")*(PptoSty[RowGrp]=$E286)*(ISNUMBER(FIND(PptoSty[PiColumn],Y$257))),0)),$AA286),_xlpm.y,IF(_xlfn._xlws.FILTER(TbRsmIn[Alive],TbRsmIn[Enquiry No]=$E286,"X")="C",0,INDEX(INDIRECT(Mods!$B$2),MATCH($E286,INDIRECT(Mods!$B$4),0),MATCH(Y$257,INDIRECT(Mods!$AL$3),0))),IF(AND(_xlpm.x=0,_xlpm.y&lt;&gt;0),-1,IF(AND(_xlpm.x&lt;&gt;0,_xlpm.y&lt;&gt;0),_xlpm.x,IF(AND(_xlpm.x-$AA286&lt;&gt;0,_xlpm.y=0),-2,_xlpm.x)))),0))</f>
        <v>-1</v>
      </c>
      <c r="Z286" s="280" t="str">
        <f t="shared" ca="1" si="8"/>
        <v>Fback!B286:Y286</v>
      </c>
      <c r="AA286" s="282" cm="1">
        <f t="array" aca="1" ref="AA286" ca="1">IF(OR($E286="",$E286="X"),0,IFERROR(SUM(_xlfn._xlws.FILTER(VALUE(#REF!&amp;1)*(1/PptoSty[PptoVsRow]),(PptoSty[PptoVsRow]&lt;&gt;0)*(PptoSty[PptoVsRow]&lt;&gt;"")*(PptoSty[PptoVsRow]&lt;&gt;"X")*(PptoSty[Num]=$E286)*(PptoSty[RowGrp]=AA$260),0)),0))</f>
        <v>0</v>
      </c>
    </row>
    <row r="287" spans="2:27" ht="21" customHeight="1" outlineLevel="1">
      <c r="B287" s="247" t="str" cm="1">
        <f t="array" ref="B287:C287">IF($E287="X","X",_xlfn._xlws.FILTER(P_SelPrj[[PrjId]:[Cia]],P_SelPrj[Attribute]=VALUE(LEFT($E287,1)),"X"))</f>
        <v>31199</v>
      </c>
      <c r="C287" s="247" t="str">
        <v>Sp</v>
      </c>
      <c r="D287" s="247" t="s">
        <v>375</v>
      </c>
      <c r="E287" s="247" t="str" cm="1">
        <f t="array" ref="E287">_xlfn.LET(_xlpm.x,IFERROR(INDEX(TbRsmIn[Enquiry No],SUM(ROW()-MATCH("SOM",$A:$A,0))),"X"),IF(_xlpm.x=0,"X",_xlpm.x))</f>
        <v>2CT006</v>
      </c>
      <c r="F287" s="413" t="str" cm="1">
        <f t="array" ref="F287">_xlfn._xlws.FILTER(CstClcData[Value],(CstClcData[Attribute]="Concept")*(CstClcData[Name]=$E287),"X")</f>
        <v xml:space="preserve">Arc Welding Robot Plinth and accessories supply (x1)+ Handling robot Op600 Plinth (x1). </v>
      </c>
      <c r="G287" s="281"/>
      <c r="H287" s="281"/>
      <c r="I287" s="282" cm="1">
        <f t="array" aca="1" ref="I287" ca="1">IF(OR($E287="",$E287="X"),0,IFERROR(_xlfn.LET(_xlpm.x,SUM(SUM(_xlfn._xlws.FILTER(VALUE(PptoSty[Sign]&amp;1)*(1/PptoSty[Division]),(PptoSty[Division]&lt;&gt;0)*(PptoSty[Division]&lt;&gt;"")*(PptoSty[Division]&lt;&gt;"X")*(PptoSty[RowGrp]=$E287)*(ISNUMBER(FIND(PptoSty[PiColumn],I$257))),0)),$AA287),_xlpm.y,IF(_xlfn._xlws.FILTER(TbRsmIn[Alive],TbRsmIn[Enquiry No]=$E287,"X")="C",0,INDEX(INDIRECT(Mods!$B$2),MATCH($E287,INDIRECT(Mods!$B$4),0),MATCH(I$257,INDIRECT(Mods!$AL$3),0))),IF(AND(_xlpm.x=0,_xlpm.y&lt;&gt;0),-1,IF(AND(_xlpm.x&lt;&gt;0,_xlpm.y&lt;&gt;0),_xlpm.x,IF(AND(_xlpm.x-$AA287&lt;&gt;0,_xlpm.y=0),-2,_xlpm.x)))),0))</f>
        <v>0</v>
      </c>
      <c r="J287" s="282" cm="1">
        <f t="array" aca="1" ref="J287" ca="1">IF(OR($E287="",$E287="X"),0,IFERROR(_xlfn.LET(_xlpm.x,SUM(SUM(_xlfn._xlws.FILTER(VALUE(PptoSty[Sign]&amp;1)*(1/PptoSty[Division]),(PptoSty[Division]&lt;&gt;0)*(PptoSty[Division]&lt;&gt;"")*(PptoSty[Division]&lt;&gt;"X")*(PptoSty[RowGrp]=$E287)*(ISNUMBER(FIND(PptoSty[PiColumn],J$257))),0)),$AA287),_xlpm.y,IF(_xlfn._xlws.FILTER(TbRsmIn[Alive],TbRsmIn[Enquiry No]=$E287,"X")="C",0,INDEX(INDIRECT(Mods!$B$2),MATCH($E287,INDIRECT(Mods!$B$4),0),MATCH(J$257,INDIRECT(Mods!$AL$3),0))),IF(AND(_xlpm.x=0,_xlpm.y&lt;&gt;0),-1,IF(AND(_xlpm.x&lt;&gt;0,_xlpm.y&lt;&gt;0),_xlpm.x,IF(AND(_xlpm.x-$AA287&lt;&gt;0,_xlpm.y=0),-2,_xlpm.x)))),0))</f>
        <v>0</v>
      </c>
      <c r="K287" s="282" cm="1">
        <f t="array" aca="1" ref="K287" ca="1">IF(OR($E287="",$E287="X"),0,IFERROR(_xlfn.LET(_xlpm.x,SUM(SUM(_xlfn._xlws.FILTER(VALUE(PptoSty[Sign]&amp;1)*(1/PptoSty[Division]),(PptoSty[Division]&lt;&gt;0)*(PptoSty[Division]&lt;&gt;"")*(PptoSty[Division]&lt;&gt;"X")*(PptoSty[RowGrp]=$E287)*(ISNUMBER(FIND(PptoSty[PiColumn],K$257))),0)),$AA287),_xlpm.y,IF(_xlfn._xlws.FILTER(TbRsmIn[Alive],TbRsmIn[Enquiry No]=$E287,"X")="C",0,INDEX(INDIRECT(Mods!$B$2),MATCH($E287,INDIRECT(Mods!$B$4),0),MATCH(K$257,INDIRECT(Mods!$AL$3),0))),IF(AND(_xlpm.x=0,_xlpm.y&lt;&gt;0),-1,IF(AND(_xlpm.x&lt;&gt;0,_xlpm.y&lt;&gt;0),_xlpm.x,IF(AND(_xlpm.x-$AA287&lt;&gt;0,_xlpm.y=0),-2,_xlpm.x)))),0))</f>
        <v>0</v>
      </c>
      <c r="L287" s="282" cm="1">
        <f t="array" aca="1" ref="L287" ca="1">IF(OR($E287="",$E287="X"),0,IFERROR(_xlfn.LET(_xlpm.x,SUM(SUM(_xlfn._xlws.FILTER(VALUE(PptoSty[Sign]&amp;1)*(1/PptoSty[Division]),(PptoSty[Division]&lt;&gt;0)*(PptoSty[Division]&lt;&gt;"")*(PptoSty[Division]&lt;&gt;"X")*(PptoSty[RowGrp]=$E287)*(ISNUMBER(FIND(PptoSty[PiColumn],L$257))),0)),$AA287),_xlpm.y,IF(_xlfn._xlws.FILTER(TbRsmIn[Alive],TbRsmIn[Enquiry No]=$E287,"X")="C",0,INDEX(INDIRECT(Mods!$B$2),MATCH($E287,INDIRECT(Mods!$B$4),0),MATCH(L$257,INDIRECT(Mods!$AL$3),0))),IF(AND(_xlpm.x=0,_xlpm.y&lt;&gt;0),-1,IF(AND(_xlpm.x&lt;&gt;0,_xlpm.y&lt;&gt;0),_xlpm.x,IF(AND(_xlpm.x-$AA287&lt;&gt;0,_xlpm.y=0),-2,_xlpm.x)))),0))</f>
        <v>0</v>
      </c>
      <c r="M287" s="282" cm="1">
        <f t="array" aca="1" ref="M287" ca="1">IF(OR($E287="",$E287="X"),0,IFERROR(_xlfn.LET(_xlpm.x,SUM(SUM(_xlfn._xlws.FILTER(VALUE(PptoSty[Sign]&amp;1)*(1/PptoSty[Division]),(PptoSty[Division]&lt;&gt;0)*(PptoSty[Division]&lt;&gt;"")*(PptoSty[Division]&lt;&gt;"X")*(PptoSty[RowGrp]=$E287)*(ISNUMBER(FIND(PptoSty[PiColumn],M$257))),0)),$AA287),_xlpm.y,IF(_xlfn._xlws.FILTER(TbRsmIn[Alive],TbRsmIn[Enquiry No]=$E287,"X")="C",0,INDEX(INDIRECT(Mods!$B$2),MATCH($E287,INDIRECT(Mods!$B$4),0),MATCH(M$257,INDIRECT(Mods!$AL$3),0))),IF(AND(_xlpm.x=0,_xlpm.y&lt;&gt;0),-1,IF(AND(_xlpm.x&lt;&gt;0,_xlpm.y&lt;&gt;0),_xlpm.x,IF(AND(_xlpm.x-$AA287&lt;&gt;0,_xlpm.y=0),-2,_xlpm.x)))),0))</f>
        <v>0</v>
      </c>
      <c r="N287" s="282" cm="1">
        <f t="array" aca="1" ref="N287" ca="1">IF(OR($E287="",$E287="X"),0,IFERROR(_xlfn.LET(_xlpm.x,SUM(SUM(_xlfn._xlws.FILTER(VALUE(PptoSty[Sign]&amp;1)*(1/PptoSty[Division]),(PptoSty[Division]&lt;&gt;0)*(PptoSty[Division]&lt;&gt;"")*(PptoSty[Division]&lt;&gt;"X")*(PptoSty[RowGrp]=$E287)*(ISNUMBER(FIND(PptoSty[PiColumn],N$257))),0)),$AA287),_xlpm.y,IF(_xlfn._xlws.FILTER(TbRsmIn[Alive],TbRsmIn[Enquiry No]=$E287,"X")="C",0,INDEX(INDIRECT(Mods!$B$2),MATCH($E287,INDIRECT(Mods!$B$4),0),MATCH(N$257,INDIRECT(Mods!$AL$3),0))),IF(AND(_xlpm.x=0,_xlpm.y&lt;&gt;0),-1,IF(AND(_xlpm.x&lt;&gt;0,_xlpm.y&lt;&gt;0),_xlpm.x,IF(AND(_xlpm.x-$AA287&lt;&gt;0,_xlpm.y=0),-2,_xlpm.x)))),0))</f>
        <v>0</v>
      </c>
      <c r="O287" s="282" cm="1">
        <f t="array" aca="1" ref="O287" ca="1">IF(OR($E287="",$E287="X"),0,IFERROR(_xlfn.LET(_xlpm.x,SUM(SUM(_xlfn._xlws.FILTER(VALUE(PptoSty[Sign]&amp;1)*(1/PptoSty[Division]),(PptoSty[Division]&lt;&gt;0)*(PptoSty[Division]&lt;&gt;"")*(PptoSty[Division]&lt;&gt;"X")*(PptoSty[RowGrp]=$E287)*(ISNUMBER(FIND(PptoSty[PiColumn],O$257))),0)),$AA287),_xlpm.y,IF(_xlfn._xlws.FILTER(TbRsmIn[Alive],TbRsmIn[Enquiry No]=$E287,"X")="C",0,INDEX(INDIRECT(Mods!$B$2),MATCH($E287,INDIRECT(Mods!$B$4),0),MATCH(O$257,INDIRECT(Mods!$AL$3),0))),IF(AND(_xlpm.x=0,_xlpm.y&lt;&gt;0),-1,IF(AND(_xlpm.x&lt;&gt;0,_xlpm.y&lt;&gt;0),_xlpm.x,IF(AND(_xlpm.x-$AA287&lt;&gt;0,_xlpm.y=0),-2,_xlpm.x)))),0))</f>
        <v>0</v>
      </c>
      <c r="P287" s="282" cm="1">
        <f t="array" aca="1" ref="P287" ca="1">IF(OR($E287="",$E287="X"),0,IFERROR(_xlfn.LET(_xlpm.x,SUM(SUM(_xlfn._xlws.FILTER(VALUE(PptoSty[Sign]&amp;1)*(1/PptoSty[Division]),(PptoSty[Division]&lt;&gt;0)*(PptoSty[Division]&lt;&gt;"")*(PptoSty[Division]&lt;&gt;"X")*(PptoSty[RowGrp]=$E287)*(ISNUMBER(FIND(PptoSty[PiColumn],P$257))),0)),$AA287),_xlpm.y,IF(_xlfn._xlws.FILTER(TbRsmIn[Alive],TbRsmIn[Enquiry No]=$E287,"X")="C",0,INDEX(INDIRECT(Mods!$B$2),MATCH($E287,INDIRECT(Mods!$B$4),0),MATCH(P$257,INDIRECT(Mods!$AL$3),0))),IF(AND(_xlpm.x=0,_xlpm.y&lt;&gt;0),-1,IF(AND(_xlpm.x&lt;&gt;0,_xlpm.y&lt;&gt;0),_xlpm.x,IF(AND(_xlpm.x-$AA287&lt;&gt;0,_xlpm.y=0),-2,_xlpm.x)))),0))</f>
        <v>0</v>
      </c>
      <c r="Q287" s="282" cm="1">
        <f t="array" aca="1" ref="Q287" ca="1">IF(OR($E287="",$E287="X"),0,IFERROR(_xlfn.LET(_xlpm.x,SUM(SUM(_xlfn._xlws.FILTER(VALUE(PptoSty[Sign]&amp;1)*(1/PptoSty[Division]),(PptoSty[Division]&lt;&gt;0)*(PptoSty[Division]&lt;&gt;"")*(PptoSty[Division]&lt;&gt;"X")*(PptoSty[RowGrp]=$E287)*(ISNUMBER(FIND(PptoSty[PiColumn],Q$257))),0)),$AA287),_xlpm.y,IF(_xlfn._xlws.FILTER(TbRsmIn[Alive],TbRsmIn[Enquiry No]=$E287,"X")="C",0,INDEX(INDIRECT(Mods!$B$2),MATCH($E287,INDIRECT(Mods!$B$4),0),MATCH(Q$257,INDIRECT(Mods!$AL$3),0))),IF(AND(_xlpm.x=0,_xlpm.y&lt;&gt;0),-1,IF(AND(_xlpm.x&lt;&gt;0,_xlpm.y&lt;&gt;0),_xlpm.x,IF(AND(_xlpm.x-$AA287&lt;&gt;0,_xlpm.y=0),-2,_xlpm.x)))),0))</f>
        <v>0</v>
      </c>
      <c r="R287" s="282" cm="1">
        <f t="array" aca="1" ref="R287" ca="1">IF(OR($E287="",$E287="X"),0,IFERROR(_xlfn.LET(_xlpm.x,SUM(SUM(_xlfn._xlws.FILTER(VALUE(PptoSty[Sign]&amp;1)*(1/PptoSty[Division]),(PptoSty[Division]&lt;&gt;0)*(PptoSty[Division]&lt;&gt;"")*(PptoSty[Division]&lt;&gt;"X")*(PptoSty[RowGrp]=$E287)*(ISNUMBER(FIND(PptoSty[PiColumn],R$257))),0)),$AA287),_xlpm.y,IF(_xlfn._xlws.FILTER(TbRsmIn[Alive],TbRsmIn[Enquiry No]=$E287,"X")="C",0,INDEX(INDIRECT(Mods!$B$2),MATCH($E287,INDIRECT(Mods!$B$4),0),MATCH(R$257,INDIRECT(Mods!$AL$3),0))),IF(AND(_xlpm.x=0,_xlpm.y&lt;&gt;0),-1,IF(AND(_xlpm.x&lt;&gt;0,_xlpm.y&lt;&gt;0),_xlpm.x,IF(AND(_xlpm.x-$AA287&lt;&gt;0,_xlpm.y=0),-2,_xlpm.x)))),0))</f>
        <v>0</v>
      </c>
      <c r="S287" s="282" cm="1">
        <f t="array" aca="1" ref="S287" ca="1">IF(OR($E287="",$E287="X"),0,IFERROR(_xlfn.LET(_xlpm.x,SUM(SUM(_xlfn._xlws.FILTER(VALUE(PptoSty[Sign]&amp;1)*(1/PptoSty[Division]),(PptoSty[Division]&lt;&gt;0)*(PptoSty[Division]&lt;&gt;"")*(PptoSty[Division]&lt;&gt;"X")*(PptoSty[RowGrp]=$E287)*(ISNUMBER(FIND(PptoSty[PiColumn],S$257))),0)),$AA287),_xlpm.y,IF(_xlfn._xlws.FILTER(TbRsmIn[Alive],TbRsmIn[Enquiry No]=$E287,"X")="C",0,INDEX(INDIRECT(Mods!$B$2),MATCH($E287,INDIRECT(Mods!$B$4),0),MATCH(S$257,INDIRECT(Mods!$AL$3),0))),IF(AND(_xlpm.x=0,_xlpm.y&lt;&gt;0),-1,IF(AND(_xlpm.x&lt;&gt;0,_xlpm.y&lt;&gt;0),_xlpm.x,IF(AND(_xlpm.x-$AA287&lt;&gt;0,_xlpm.y=0),-2,_xlpm.x)))),0))</f>
        <v>0</v>
      </c>
      <c r="T287" s="282" cm="1">
        <f t="array" aca="1" ref="T287" ca="1">IF(OR($E287="",$E287="X"),0,IFERROR(_xlfn.LET(_xlpm.x,SUM(SUM(_xlfn._xlws.FILTER(VALUE(PptoSty[Sign]&amp;1)*(1/PptoSty[Division]),(PptoSty[Division]&lt;&gt;0)*(PptoSty[Division]&lt;&gt;"")*(PptoSty[Division]&lt;&gt;"X")*(PptoSty[RowGrp]=$E287)*(ISNUMBER(FIND(PptoSty[PiColumn],T$257))),0)),$AA287),_xlpm.y,IF(_xlfn._xlws.FILTER(TbRsmIn[Alive],TbRsmIn[Enquiry No]=$E287,"X")="C",0,INDEX(INDIRECT(Mods!$B$2),MATCH($E287,INDIRECT(Mods!$B$4),0),MATCH(T$257,INDIRECT(Mods!$AL$3),0))),IF(AND(_xlpm.x=0,_xlpm.y&lt;&gt;0),-1,IF(AND(_xlpm.x&lt;&gt;0,_xlpm.y&lt;&gt;0),_xlpm.x,IF(AND(_xlpm.x-$AA287&lt;&gt;0,_xlpm.y=0),-2,_xlpm.x)))),0))</f>
        <v>0</v>
      </c>
      <c r="U287" s="282" cm="1">
        <f t="array" aca="1" ref="U287" ca="1">IF(OR($E287="",$E287="X"),0,IFERROR(_xlfn.LET(_xlpm.x,SUM(SUM(_xlfn._xlws.FILTER(VALUE(PptoSty[Sign]&amp;1)*(1/PptoSty[Division]),(PptoSty[Division]&lt;&gt;0)*(PptoSty[Division]&lt;&gt;"")*(PptoSty[Division]&lt;&gt;"X")*(PptoSty[RowGrp]=$E287)*(ISNUMBER(FIND(PptoSty[PiColumn],U$257))),0)),$AA287),_xlpm.y,IF(_xlfn._xlws.FILTER(TbRsmIn[Alive],TbRsmIn[Enquiry No]=$E287,"X")="C",0,INDEX(INDIRECT(Mods!$B$2),MATCH($E287,INDIRECT(Mods!$B$4),0),MATCH(U$257,INDIRECT(Mods!$AL$3),0))),IF(AND(_xlpm.x=0,_xlpm.y&lt;&gt;0),-1,IF(AND(_xlpm.x&lt;&gt;0,_xlpm.y&lt;&gt;0),_xlpm.x,IF(AND(_xlpm.x-$AA287&lt;&gt;0,_xlpm.y=0),-2,_xlpm.x)))),0))</f>
        <v>0</v>
      </c>
      <c r="V287" s="282" cm="1">
        <f t="array" aca="1" ref="V287" ca="1">IF(OR($E287="",$E287="X"),0,IFERROR(_xlfn.LET(_xlpm.x,SUM(SUM(_xlfn._xlws.FILTER(VALUE(PptoSty[Sign]&amp;1)*(1/PptoSty[Division]),(PptoSty[Division]&lt;&gt;0)*(PptoSty[Division]&lt;&gt;"")*(PptoSty[Division]&lt;&gt;"X")*(PptoSty[RowGrp]=$E287)*(ISNUMBER(FIND(PptoSty[PiColumn],V$257))),0)),$AA287),_xlpm.y,IF(_xlfn._xlws.FILTER(TbRsmIn[Alive],TbRsmIn[Enquiry No]=$E287,"X")="C",0,INDEX(INDIRECT(Mods!$B$2),MATCH($E287,INDIRECT(Mods!$B$4),0),MATCH(V$257,INDIRECT(Mods!$AL$3),0))),IF(AND(_xlpm.x=0,_xlpm.y&lt;&gt;0),-1,IF(AND(_xlpm.x&lt;&gt;0,_xlpm.y&lt;&gt;0),_xlpm.x,IF(AND(_xlpm.x-$AA287&lt;&gt;0,_xlpm.y=0),-2,_xlpm.x)))),0))</f>
        <v>0</v>
      </c>
      <c r="W287" s="282" cm="1">
        <f t="array" aca="1" ref="W287" ca="1">IF(OR($E287="",$E287="X"),0,IFERROR(_xlfn.LET(_xlpm.x,SUM(SUM(_xlfn._xlws.FILTER(VALUE(PptoSty[Sign]&amp;1)*(1/PptoSty[Division]),(PptoSty[Division]&lt;&gt;0)*(PptoSty[Division]&lt;&gt;"")*(PptoSty[Division]&lt;&gt;"X")*(PptoSty[RowGrp]=$E287)*(ISNUMBER(FIND(PptoSty[PiColumn],W$257))),0)),$AA287),_xlpm.y,IF(_xlfn._xlws.FILTER(TbRsmIn[Alive],TbRsmIn[Enquiry No]=$E287,"X")="C",0,INDEX(INDIRECT(Mods!$B$2),MATCH($E287,INDIRECT(Mods!$B$4),0),MATCH(W$257,INDIRECT(Mods!$AL$3),0))),IF(AND(_xlpm.x=0,_xlpm.y&lt;&gt;0),-1,IF(AND(_xlpm.x&lt;&gt;0,_xlpm.y&lt;&gt;0),_xlpm.x,IF(AND(_xlpm.x-$AA287&lt;&gt;0,_xlpm.y=0),-2,_xlpm.x)))),0))</f>
        <v>0</v>
      </c>
      <c r="X287" s="282" cm="1">
        <f t="array" aca="1" ref="X287" ca="1">IF(OR($E287="",$E287="X"),0,IFERROR(_xlfn.LET(_xlpm.x,SUM(SUM(_xlfn._xlws.FILTER(VALUE(PptoSty[Sign]&amp;1)*(1/PptoSty[Division]),(PptoSty[Division]&lt;&gt;0)*(PptoSty[Division]&lt;&gt;"")*(PptoSty[Division]&lt;&gt;"X")*(PptoSty[RowGrp]=$E287)*(ISNUMBER(FIND(PptoSty[PiColumn],X$257))),0)),$AA287),_xlpm.y,IF(_xlfn._xlws.FILTER(TbRsmIn[Alive],TbRsmIn[Enquiry No]=$E287,"X")="C",0,INDEX(INDIRECT(Mods!$B$2),MATCH($E287,INDIRECT(Mods!$B$4),0),MATCH(X$257,INDIRECT(Mods!$AL$3),0))),IF(AND(_xlpm.x=0,_xlpm.y&lt;&gt;0),-1,IF(AND(_xlpm.x&lt;&gt;0,_xlpm.y&lt;&gt;0),_xlpm.x,IF(AND(_xlpm.x-$AA287&lt;&gt;0,_xlpm.y=0),-2,_xlpm.x)))),0))</f>
        <v>0</v>
      </c>
      <c r="Y287" s="282" cm="1">
        <f t="array" aca="1" ref="Y287" ca="1">IF(OR($E287="",$E287="X"),0,IFERROR(_xlfn.LET(_xlpm.x,SUM(SUM(_xlfn._xlws.FILTER(VALUE(PptoSty[Sign]&amp;1)*(1/PptoSty[Division]),(PptoSty[Division]&lt;&gt;0)*(PptoSty[Division]&lt;&gt;"")*(PptoSty[Division]&lt;&gt;"X")*(PptoSty[RowGrp]=$E287)*(ISNUMBER(FIND(PptoSty[PiColumn],Y$257))),0)),$AA287),_xlpm.y,IF(_xlfn._xlws.FILTER(TbRsmIn[Alive],TbRsmIn[Enquiry No]=$E287,"X")="C",0,INDEX(INDIRECT(Mods!$B$2),MATCH($E287,INDIRECT(Mods!$B$4),0),MATCH(Y$257,INDIRECT(Mods!$AL$3),0))),IF(AND(_xlpm.x=0,_xlpm.y&lt;&gt;0),-1,IF(AND(_xlpm.x&lt;&gt;0,_xlpm.y&lt;&gt;0),_xlpm.x,IF(AND(_xlpm.x-$AA287&lt;&gt;0,_xlpm.y=0),-2,_xlpm.x)))),0))</f>
        <v>0</v>
      </c>
      <c r="Z287" s="280" t="str">
        <f t="shared" ca="1" si="8"/>
        <v>Fback!B287:Y287</v>
      </c>
      <c r="AA287" s="282" cm="1">
        <f t="array" aca="1" ref="AA287" ca="1">IF(OR($E287="",$E287="X"),0,IFERROR(SUM(_xlfn._xlws.FILTER(VALUE(#REF!&amp;1)*(1/PptoSty[PptoVsRow]),(PptoSty[PptoVsRow]&lt;&gt;0)*(PptoSty[PptoVsRow]&lt;&gt;"")*(PptoSty[PptoVsRow]&lt;&gt;"X")*(PptoSty[Num]=$E287)*(PptoSty[RowGrp]=AA$260),0)),0))</f>
        <v>0</v>
      </c>
    </row>
    <row r="288" spans="2:27" ht="21" customHeight="1" outlineLevel="1">
      <c r="B288" s="247" t="str" cm="1">
        <f t="array" ref="B288:C288">IF($E288="X","X",_xlfn._xlws.FILTER(P_SelPrj[[PrjId]:[Cia]],P_SelPrj[Attribute]=VALUE(LEFT($E288,1)),"X"))</f>
        <v>31199</v>
      </c>
      <c r="C288" s="247" t="str">
        <v>Sp</v>
      </c>
      <c r="D288" s="247" t="s">
        <v>375</v>
      </c>
      <c r="E288" s="247" t="str" cm="1">
        <f t="array" ref="E288">_xlfn.LET(_xlpm.x,IFERROR(INDEX(TbRsmIn[Enquiry No],SUM(ROW()-MATCH("SOM",$A:$A,0))),"X"),IF(_xlpm.x=0,"X",_xlpm.x))</f>
        <v>2CT007</v>
      </c>
      <c r="F288" s="413" t="str" cm="1">
        <f t="array" ref="F288">_xlfn._xlws.FILTER(CstClcData[Value],(CstClcData[Attribute]="Concept")*(CstClcData[Name]=$E288),"X")</f>
        <v>Support cost for payment Temporal Import Taxes and Management</v>
      </c>
      <c r="G288" s="281"/>
      <c r="H288" s="281"/>
      <c r="I288" s="282" cm="1">
        <f t="array" aca="1" ref="I288" ca="1">IF(OR($E288="",$E288="X"),0,IFERROR(_xlfn.LET(_xlpm.x,SUM(SUM(_xlfn._xlws.FILTER(VALUE(PptoSty[Sign]&amp;1)*(1/PptoSty[Division]),(PptoSty[Division]&lt;&gt;0)*(PptoSty[Division]&lt;&gt;"")*(PptoSty[Division]&lt;&gt;"X")*(PptoSty[RowGrp]=$E288)*(ISNUMBER(FIND(PptoSty[PiColumn],I$257))),0)),$AA288),_xlpm.y,IF(_xlfn._xlws.FILTER(TbRsmIn[Alive],TbRsmIn[Enquiry No]=$E288,"X")="C",0,INDEX(INDIRECT(Mods!$B$2),MATCH($E288,INDIRECT(Mods!$B$4),0),MATCH(I$257,INDIRECT(Mods!$AL$3),0))),IF(AND(_xlpm.x=0,_xlpm.y&lt;&gt;0),-1,IF(AND(_xlpm.x&lt;&gt;0,_xlpm.y&lt;&gt;0),_xlpm.x,IF(AND(_xlpm.x-$AA288&lt;&gt;0,_xlpm.y=0),-2,_xlpm.x)))),0))</f>
        <v>0</v>
      </c>
      <c r="J288" s="282" cm="1">
        <f t="array" aca="1" ref="J288" ca="1">IF(OR($E288="",$E288="X"),0,IFERROR(_xlfn.LET(_xlpm.x,SUM(SUM(_xlfn._xlws.FILTER(VALUE(PptoSty[Sign]&amp;1)*(1/PptoSty[Division]),(PptoSty[Division]&lt;&gt;0)*(PptoSty[Division]&lt;&gt;"")*(PptoSty[Division]&lt;&gt;"X")*(PptoSty[RowGrp]=$E288)*(ISNUMBER(FIND(PptoSty[PiColumn],J$257))),0)),$AA288),_xlpm.y,IF(_xlfn._xlws.FILTER(TbRsmIn[Alive],TbRsmIn[Enquiry No]=$E288,"X")="C",0,INDEX(INDIRECT(Mods!$B$2),MATCH($E288,INDIRECT(Mods!$B$4),0),MATCH(J$257,INDIRECT(Mods!$AL$3),0))),IF(AND(_xlpm.x=0,_xlpm.y&lt;&gt;0),-1,IF(AND(_xlpm.x&lt;&gt;0,_xlpm.y&lt;&gt;0),_xlpm.x,IF(AND(_xlpm.x-$AA288&lt;&gt;0,_xlpm.y=0),-2,_xlpm.x)))),0))</f>
        <v>0</v>
      </c>
      <c r="K288" s="282" cm="1">
        <f t="array" aca="1" ref="K288" ca="1">IF(OR($E288="",$E288="X"),0,IFERROR(_xlfn.LET(_xlpm.x,SUM(SUM(_xlfn._xlws.FILTER(VALUE(PptoSty[Sign]&amp;1)*(1/PptoSty[Division]),(PptoSty[Division]&lt;&gt;0)*(PptoSty[Division]&lt;&gt;"")*(PptoSty[Division]&lt;&gt;"X")*(PptoSty[RowGrp]=$E288)*(ISNUMBER(FIND(PptoSty[PiColumn],K$257))),0)),$AA288),_xlpm.y,IF(_xlfn._xlws.FILTER(TbRsmIn[Alive],TbRsmIn[Enquiry No]=$E288,"X")="C",0,INDEX(INDIRECT(Mods!$B$2),MATCH($E288,INDIRECT(Mods!$B$4),0),MATCH(K$257,INDIRECT(Mods!$AL$3),0))),IF(AND(_xlpm.x=0,_xlpm.y&lt;&gt;0),-1,IF(AND(_xlpm.x&lt;&gt;0,_xlpm.y&lt;&gt;0),_xlpm.x,IF(AND(_xlpm.x-$AA288&lt;&gt;0,_xlpm.y=0),-2,_xlpm.x)))),0))</f>
        <v>0</v>
      </c>
      <c r="L288" s="282" cm="1">
        <f t="array" aca="1" ref="L288" ca="1">IF(OR($E288="",$E288="X"),0,IFERROR(_xlfn.LET(_xlpm.x,SUM(SUM(_xlfn._xlws.FILTER(VALUE(PptoSty[Sign]&amp;1)*(1/PptoSty[Division]),(PptoSty[Division]&lt;&gt;0)*(PptoSty[Division]&lt;&gt;"")*(PptoSty[Division]&lt;&gt;"X")*(PptoSty[RowGrp]=$E288)*(ISNUMBER(FIND(PptoSty[PiColumn],L$257))),0)),$AA288),_xlpm.y,IF(_xlfn._xlws.FILTER(TbRsmIn[Alive],TbRsmIn[Enquiry No]=$E288,"X")="C",0,INDEX(INDIRECT(Mods!$B$2),MATCH($E288,INDIRECT(Mods!$B$4),0),MATCH(L$257,INDIRECT(Mods!$AL$3),0))),IF(AND(_xlpm.x=0,_xlpm.y&lt;&gt;0),-1,IF(AND(_xlpm.x&lt;&gt;0,_xlpm.y&lt;&gt;0),_xlpm.x,IF(AND(_xlpm.x-$AA288&lt;&gt;0,_xlpm.y=0),-2,_xlpm.x)))),0))</f>
        <v>0</v>
      </c>
      <c r="M288" s="282" cm="1">
        <f t="array" aca="1" ref="M288" ca="1">IF(OR($E288="",$E288="X"),0,IFERROR(_xlfn.LET(_xlpm.x,SUM(SUM(_xlfn._xlws.FILTER(VALUE(PptoSty[Sign]&amp;1)*(1/PptoSty[Division]),(PptoSty[Division]&lt;&gt;0)*(PptoSty[Division]&lt;&gt;"")*(PptoSty[Division]&lt;&gt;"X")*(PptoSty[RowGrp]=$E288)*(ISNUMBER(FIND(PptoSty[PiColumn],M$257))),0)),$AA288),_xlpm.y,IF(_xlfn._xlws.FILTER(TbRsmIn[Alive],TbRsmIn[Enquiry No]=$E288,"X")="C",0,INDEX(INDIRECT(Mods!$B$2),MATCH($E288,INDIRECT(Mods!$B$4),0),MATCH(M$257,INDIRECT(Mods!$AL$3),0))),IF(AND(_xlpm.x=0,_xlpm.y&lt;&gt;0),-1,IF(AND(_xlpm.x&lt;&gt;0,_xlpm.y&lt;&gt;0),_xlpm.x,IF(AND(_xlpm.x-$AA288&lt;&gt;0,_xlpm.y=0),-2,_xlpm.x)))),0))</f>
        <v>0</v>
      </c>
      <c r="N288" s="282" cm="1">
        <f t="array" aca="1" ref="N288" ca="1">IF(OR($E288="",$E288="X"),0,IFERROR(_xlfn.LET(_xlpm.x,SUM(SUM(_xlfn._xlws.FILTER(VALUE(PptoSty[Sign]&amp;1)*(1/PptoSty[Division]),(PptoSty[Division]&lt;&gt;0)*(PptoSty[Division]&lt;&gt;"")*(PptoSty[Division]&lt;&gt;"X")*(PptoSty[RowGrp]=$E288)*(ISNUMBER(FIND(PptoSty[PiColumn],N$257))),0)),$AA288),_xlpm.y,IF(_xlfn._xlws.FILTER(TbRsmIn[Alive],TbRsmIn[Enquiry No]=$E288,"X")="C",0,INDEX(INDIRECT(Mods!$B$2),MATCH($E288,INDIRECT(Mods!$B$4),0),MATCH(N$257,INDIRECT(Mods!$AL$3),0))),IF(AND(_xlpm.x=0,_xlpm.y&lt;&gt;0),-1,IF(AND(_xlpm.x&lt;&gt;0,_xlpm.y&lt;&gt;0),_xlpm.x,IF(AND(_xlpm.x-$AA288&lt;&gt;0,_xlpm.y=0),-2,_xlpm.x)))),0))</f>
        <v>0</v>
      </c>
      <c r="O288" s="282" cm="1">
        <f t="array" aca="1" ref="O288" ca="1">IF(OR($E288="",$E288="X"),0,IFERROR(_xlfn.LET(_xlpm.x,SUM(SUM(_xlfn._xlws.FILTER(VALUE(PptoSty[Sign]&amp;1)*(1/PptoSty[Division]),(PptoSty[Division]&lt;&gt;0)*(PptoSty[Division]&lt;&gt;"")*(PptoSty[Division]&lt;&gt;"X")*(PptoSty[RowGrp]=$E288)*(ISNUMBER(FIND(PptoSty[PiColumn],O$257))),0)),$AA288),_xlpm.y,IF(_xlfn._xlws.FILTER(TbRsmIn[Alive],TbRsmIn[Enquiry No]=$E288,"X")="C",0,INDEX(INDIRECT(Mods!$B$2),MATCH($E288,INDIRECT(Mods!$B$4),0),MATCH(O$257,INDIRECT(Mods!$AL$3),0))),IF(AND(_xlpm.x=0,_xlpm.y&lt;&gt;0),-1,IF(AND(_xlpm.x&lt;&gt;0,_xlpm.y&lt;&gt;0),_xlpm.x,IF(AND(_xlpm.x-$AA288&lt;&gt;0,_xlpm.y=0),-2,_xlpm.x)))),0))</f>
        <v>0</v>
      </c>
      <c r="P288" s="282" cm="1">
        <f t="array" aca="1" ref="P288" ca="1">IF(OR($E288="",$E288="X"),0,IFERROR(_xlfn.LET(_xlpm.x,SUM(SUM(_xlfn._xlws.FILTER(VALUE(PptoSty[Sign]&amp;1)*(1/PptoSty[Division]),(PptoSty[Division]&lt;&gt;0)*(PptoSty[Division]&lt;&gt;"")*(PptoSty[Division]&lt;&gt;"X")*(PptoSty[RowGrp]=$E288)*(ISNUMBER(FIND(PptoSty[PiColumn],P$257))),0)),$AA288),_xlpm.y,IF(_xlfn._xlws.FILTER(TbRsmIn[Alive],TbRsmIn[Enquiry No]=$E288,"X")="C",0,INDEX(INDIRECT(Mods!$B$2),MATCH($E288,INDIRECT(Mods!$B$4),0),MATCH(P$257,INDIRECT(Mods!$AL$3),0))),IF(AND(_xlpm.x=0,_xlpm.y&lt;&gt;0),-1,IF(AND(_xlpm.x&lt;&gt;0,_xlpm.y&lt;&gt;0),_xlpm.x,IF(AND(_xlpm.x-$AA288&lt;&gt;0,_xlpm.y=0),-2,_xlpm.x)))),0))</f>
        <v>0</v>
      </c>
      <c r="Q288" s="282" cm="1">
        <f t="array" aca="1" ref="Q288" ca="1">IF(OR($E288="",$E288="X"),0,IFERROR(_xlfn.LET(_xlpm.x,SUM(SUM(_xlfn._xlws.FILTER(VALUE(PptoSty[Sign]&amp;1)*(1/PptoSty[Division]),(PptoSty[Division]&lt;&gt;0)*(PptoSty[Division]&lt;&gt;"")*(PptoSty[Division]&lt;&gt;"X")*(PptoSty[RowGrp]=$E288)*(ISNUMBER(FIND(PptoSty[PiColumn],Q$257))),0)),$AA288),_xlpm.y,IF(_xlfn._xlws.FILTER(TbRsmIn[Alive],TbRsmIn[Enquiry No]=$E288,"X")="C",0,INDEX(INDIRECT(Mods!$B$2),MATCH($E288,INDIRECT(Mods!$B$4),0),MATCH(Q$257,INDIRECT(Mods!$AL$3),0))),IF(AND(_xlpm.x=0,_xlpm.y&lt;&gt;0),-1,IF(AND(_xlpm.x&lt;&gt;0,_xlpm.y&lt;&gt;0),_xlpm.x,IF(AND(_xlpm.x-$AA288&lt;&gt;0,_xlpm.y=0),-2,_xlpm.x)))),0))</f>
        <v>0</v>
      </c>
      <c r="R288" s="282" cm="1">
        <f t="array" aca="1" ref="R288" ca="1">IF(OR($E288="",$E288="X"),0,IFERROR(_xlfn.LET(_xlpm.x,SUM(SUM(_xlfn._xlws.FILTER(VALUE(PptoSty[Sign]&amp;1)*(1/PptoSty[Division]),(PptoSty[Division]&lt;&gt;0)*(PptoSty[Division]&lt;&gt;"")*(PptoSty[Division]&lt;&gt;"X")*(PptoSty[RowGrp]=$E288)*(ISNUMBER(FIND(PptoSty[PiColumn],R$257))),0)),$AA288),_xlpm.y,IF(_xlfn._xlws.FILTER(TbRsmIn[Alive],TbRsmIn[Enquiry No]=$E288,"X")="C",0,INDEX(INDIRECT(Mods!$B$2),MATCH($E288,INDIRECT(Mods!$B$4),0),MATCH(R$257,INDIRECT(Mods!$AL$3),0))),IF(AND(_xlpm.x=0,_xlpm.y&lt;&gt;0),-1,IF(AND(_xlpm.x&lt;&gt;0,_xlpm.y&lt;&gt;0),_xlpm.x,IF(AND(_xlpm.x-$AA288&lt;&gt;0,_xlpm.y=0),-2,_xlpm.x)))),0))</f>
        <v>0</v>
      </c>
      <c r="S288" s="282" cm="1">
        <f t="array" aca="1" ref="S288" ca="1">IF(OR($E288="",$E288="X"),0,IFERROR(_xlfn.LET(_xlpm.x,SUM(SUM(_xlfn._xlws.FILTER(VALUE(PptoSty[Sign]&amp;1)*(1/PptoSty[Division]),(PptoSty[Division]&lt;&gt;0)*(PptoSty[Division]&lt;&gt;"")*(PptoSty[Division]&lt;&gt;"X")*(PptoSty[RowGrp]=$E288)*(ISNUMBER(FIND(PptoSty[PiColumn],S$257))),0)),$AA288),_xlpm.y,IF(_xlfn._xlws.FILTER(TbRsmIn[Alive],TbRsmIn[Enquiry No]=$E288,"X")="C",0,INDEX(INDIRECT(Mods!$B$2),MATCH($E288,INDIRECT(Mods!$B$4),0),MATCH(S$257,INDIRECT(Mods!$AL$3),0))),IF(AND(_xlpm.x=0,_xlpm.y&lt;&gt;0),-1,IF(AND(_xlpm.x&lt;&gt;0,_xlpm.y&lt;&gt;0),_xlpm.x,IF(AND(_xlpm.x-$AA288&lt;&gt;0,_xlpm.y=0),-2,_xlpm.x)))),0))</f>
        <v>0</v>
      </c>
      <c r="T288" s="282" cm="1">
        <f t="array" aca="1" ref="T288" ca="1">IF(OR($E288="",$E288="X"),0,IFERROR(_xlfn.LET(_xlpm.x,SUM(SUM(_xlfn._xlws.FILTER(VALUE(PptoSty[Sign]&amp;1)*(1/PptoSty[Division]),(PptoSty[Division]&lt;&gt;0)*(PptoSty[Division]&lt;&gt;"")*(PptoSty[Division]&lt;&gt;"X")*(PptoSty[RowGrp]=$E288)*(ISNUMBER(FIND(PptoSty[PiColumn],T$257))),0)),$AA288),_xlpm.y,IF(_xlfn._xlws.FILTER(TbRsmIn[Alive],TbRsmIn[Enquiry No]=$E288,"X")="C",0,INDEX(INDIRECT(Mods!$B$2),MATCH($E288,INDIRECT(Mods!$B$4),0),MATCH(T$257,INDIRECT(Mods!$AL$3),0))),IF(AND(_xlpm.x=0,_xlpm.y&lt;&gt;0),-1,IF(AND(_xlpm.x&lt;&gt;0,_xlpm.y&lt;&gt;0),_xlpm.x,IF(AND(_xlpm.x-$AA288&lt;&gt;0,_xlpm.y=0),-2,_xlpm.x)))),0))</f>
        <v>0</v>
      </c>
      <c r="U288" s="282" cm="1">
        <f t="array" aca="1" ref="U288" ca="1">IF(OR($E288="",$E288="X"),0,IFERROR(_xlfn.LET(_xlpm.x,SUM(SUM(_xlfn._xlws.FILTER(VALUE(PptoSty[Sign]&amp;1)*(1/PptoSty[Division]),(PptoSty[Division]&lt;&gt;0)*(PptoSty[Division]&lt;&gt;"")*(PptoSty[Division]&lt;&gt;"X")*(PptoSty[RowGrp]=$E288)*(ISNUMBER(FIND(PptoSty[PiColumn],U$257))),0)),$AA288),_xlpm.y,IF(_xlfn._xlws.FILTER(TbRsmIn[Alive],TbRsmIn[Enquiry No]=$E288,"X")="C",0,INDEX(INDIRECT(Mods!$B$2),MATCH($E288,INDIRECT(Mods!$B$4),0),MATCH(U$257,INDIRECT(Mods!$AL$3),0))),IF(AND(_xlpm.x=0,_xlpm.y&lt;&gt;0),-1,IF(AND(_xlpm.x&lt;&gt;0,_xlpm.y&lt;&gt;0),_xlpm.x,IF(AND(_xlpm.x-$AA288&lt;&gt;0,_xlpm.y=0),-2,_xlpm.x)))),0))</f>
        <v>0</v>
      </c>
      <c r="V288" s="282" cm="1">
        <f t="array" aca="1" ref="V288" ca="1">IF(OR($E288="",$E288="X"),0,IFERROR(_xlfn.LET(_xlpm.x,SUM(SUM(_xlfn._xlws.FILTER(VALUE(PptoSty[Sign]&amp;1)*(1/PptoSty[Division]),(PptoSty[Division]&lt;&gt;0)*(PptoSty[Division]&lt;&gt;"")*(PptoSty[Division]&lt;&gt;"X")*(PptoSty[RowGrp]=$E288)*(ISNUMBER(FIND(PptoSty[PiColumn],V$257))),0)),$AA288),_xlpm.y,IF(_xlfn._xlws.FILTER(TbRsmIn[Alive],TbRsmIn[Enquiry No]=$E288,"X")="C",0,INDEX(INDIRECT(Mods!$B$2),MATCH($E288,INDIRECT(Mods!$B$4),0),MATCH(V$257,INDIRECT(Mods!$AL$3),0))),IF(AND(_xlpm.x=0,_xlpm.y&lt;&gt;0),-1,IF(AND(_xlpm.x&lt;&gt;0,_xlpm.y&lt;&gt;0),_xlpm.x,IF(AND(_xlpm.x-$AA288&lt;&gt;0,_xlpm.y=0),-2,_xlpm.x)))),0))</f>
        <v>0</v>
      </c>
      <c r="W288" s="282" cm="1">
        <f t="array" aca="1" ref="W288" ca="1">IF(OR($E288="",$E288="X"),0,IFERROR(_xlfn.LET(_xlpm.x,SUM(SUM(_xlfn._xlws.FILTER(VALUE(PptoSty[Sign]&amp;1)*(1/PptoSty[Division]),(PptoSty[Division]&lt;&gt;0)*(PptoSty[Division]&lt;&gt;"")*(PptoSty[Division]&lt;&gt;"X")*(PptoSty[RowGrp]=$E288)*(ISNUMBER(FIND(PptoSty[PiColumn],W$257))),0)),$AA288),_xlpm.y,IF(_xlfn._xlws.FILTER(TbRsmIn[Alive],TbRsmIn[Enquiry No]=$E288,"X")="C",0,INDEX(INDIRECT(Mods!$B$2),MATCH($E288,INDIRECT(Mods!$B$4),0),MATCH(W$257,INDIRECT(Mods!$AL$3),0))),IF(AND(_xlpm.x=0,_xlpm.y&lt;&gt;0),-1,IF(AND(_xlpm.x&lt;&gt;0,_xlpm.y&lt;&gt;0),_xlpm.x,IF(AND(_xlpm.x-$AA288&lt;&gt;0,_xlpm.y=0),-2,_xlpm.x)))),0))</f>
        <v>0</v>
      </c>
      <c r="X288" s="282" cm="1">
        <f t="array" aca="1" ref="X288" ca="1">IF(OR($E288="",$E288="X"),0,IFERROR(_xlfn.LET(_xlpm.x,SUM(SUM(_xlfn._xlws.FILTER(VALUE(PptoSty[Sign]&amp;1)*(1/PptoSty[Division]),(PptoSty[Division]&lt;&gt;0)*(PptoSty[Division]&lt;&gt;"")*(PptoSty[Division]&lt;&gt;"X")*(PptoSty[RowGrp]=$E288)*(ISNUMBER(FIND(PptoSty[PiColumn],X$257))),0)),$AA288),_xlpm.y,IF(_xlfn._xlws.FILTER(TbRsmIn[Alive],TbRsmIn[Enquiry No]=$E288,"X")="C",0,INDEX(INDIRECT(Mods!$B$2),MATCH($E288,INDIRECT(Mods!$B$4),0),MATCH(X$257,INDIRECT(Mods!$AL$3),0))),IF(AND(_xlpm.x=0,_xlpm.y&lt;&gt;0),-1,IF(AND(_xlpm.x&lt;&gt;0,_xlpm.y&lt;&gt;0),_xlpm.x,IF(AND(_xlpm.x-$AA288&lt;&gt;0,_xlpm.y=0),-2,_xlpm.x)))),0))</f>
        <v>0</v>
      </c>
      <c r="Y288" s="282" cm="1">
        <f t="array" aca="1" ref="Y288" ca="1">IF(OR($E288="",$E288="X"),0,IFERROR(_xlfn.LET(_xlpm.x,SUM(SUM(_xlfn._xlws.FILTER(VALUE(PptoSty[Sign]&amp;1)*(1/PptoSty[Division]),(PptoSty[Division]&lt;&gt;0)*(PptoSty[Division]&lt;&gt;"")*(PptoSty[Division]&lt;&gt;"X")*(PptoSty[RowGrp]=$E288)*(ISNUMBER(FIND(PptoSty[PiColumn],Y$257))),0)),$AA288),_xlpm.y,IF(_xlfn._xlws.FILTER(TbRsmIn[Alive],TbRsmIn[Enquiry No]=$E288,"X")="C",0,INDEX(INDIRECT(Mods!$B$2),MATCH($E288,INDIRECT(Mods!$B$4),0),MATCH(Y$257,INDIRECT(Mods!$AL$3),0))),IF(AND(_xlpm.x=0,_xlpm.y&lt;&gt;0),-1,IF(AND(_xlpm.x&lt;&gt;0,_xlpm.y&lt;&gt;0),_xlpm.x,IF(AND(_xlpm.x-$AA288&lt;&gt;0,_xlpm.y=0),-2,_xlpm.x)))),0))</f>
        <v>-1</v>
      </c>
      <c r="Z288" s="280" t="str">
        <f t="shared" ca="1" si="8"/>
        <v>Fback!B288:Y288</v>
      </c>
      <c r="AA288" s="282" cm="1">
        <f t="array" aca="1" ref="AA288" ca="1">IF(OR($E288="",$E288="X"),0,IFERROR(SUM(_xlfn._xlws.FILTER(VALUE(#REF!&amp;1)*(1/PptoSty[PptoVsRow]),(PptoSty[PptoVsRow]&lt;&gt;0)*(PptoSty[PptoVsRow]&lt;&gt;"")*(PptoSty[PptoVsRow]&lt;&gt;"X")*(PptoSty[Num]=$E288)*(PptoSty[RowGrp]=AA$260),0)),0))</f>
        <v>0</v>
      </c>
    </row>
    <row r="289" spans="1:27" ht="21" customHeight="1" outlineLevel="1">
      <c r="B289" s="247" t="str" cm="1">
        <f t="array" ref="B289:C289">IF($E289="X","X",_xlfn._xlws.FILTER(P_SelPrj[[PrjId]:[Cia]],P_SelPrj[Attribute]=VALUE(LEFT($E289,1)),"X"))</f>
        <v>31199</v>
      </c>
      <c r="C289" s="247" t="str">
        <v>Sp</v>
      </c>
      <c r="D289" s="247" t="s">
        <v>375</v>
      </c>
      <c r="E289" s="247" t="str" cm="1">
        <f t="array" ref="E289">_xlfn.LET(_xlpm.x,IFERROR(INDEX(TbRsmIn[Enquiry No],SUM(ROW()-MATCH("SOM",$A:$A,0))),"X"),IF(_xlpm.x=0,"X",_xlpm.x))</f>
        <v>2CT008</v>
      </c>
      <c r="F289" s="413" t="str" cm="1">
        <f t="array" ref="F289">_xlfn._xlws.FILTER(CstClcData[Value],(CstClcData[Attribute]="Concept")*(CstClcData[Name]=$E289),"X")</f>
        <v>EMA RR EOL auto unload AGV rack (Revisited). Email 04/12/23.  V14 file included.</v>
      </c>
      <c r="G289" s="281"/>
      <c r="H289" s="281"/>
      <c r="I289" s="282" cm="1">
        <f t="array" aca="1" ref="I289" ca="1">IF(OR($E289="",$E289="X"),0,IFERROR(_xlfn.LET(_xlpm.x,SUM(SUM(_xlfn._xlws.FILTER(VALUE(PptoSty[Sign]&amp;1)*(1/PptoSty[Division]),(PptoSty[Division]&lt;&gt;0)*(PptoSty[Division]&lt;&gt;"")*(PptoSty[Division]&lt;&gt;"X")*(PptoSty[RowGrp]=$E289)*(ISNUMBER(FIND(PptoSty[PiColumn],I$257))),0)),$AA289),_xlpm.y,IF(_xlfn._xlws.FILTER(TbRsmIn[Alive],TbRsmIn[Enquiry No]=$E289,"X")="C",0,INDEX(INDIRECT(Mods!$B$2),MATCH($E289,INDIRECT(Mods!$B$4),0),MATCH(I$257,INDIRECT(Mods!$AL$3),0))),IF(AND(_xlpm.x=0,_xlpm.y&lt;&gt;0),-1,IF(AND(_xlpm.x&lt;&gt;0,_xlpm.y&lt;&gt;0),_xlpm.x,IF(AND(_xlpm.x-$AA289&lt;&gt;0,_xlpm.y=0),-2,_xlpm.x)))),0))</f>
        <v>0</v>
      </c>
      <c r="J289" s="282" cm="1">
        <f t="array" aca="1" ref="J289" ca="1">IF(OR($E289="",$E289="X"),0,IFERROR(_xlfn.LET(_xlpm.x,SUM(SUM(_xlfn._xlws.FILTER(VALUE(PptoSty[Sign]&amp;1)*(1/PptoSty[Division]),(PptoSty[Division]&lt;&gt;0)*(PptoSty[Division]&lt;&gt;"")*(PptoSty[Division]&lt;&gt;"X")*(PptoSty[RowGrp]=$E289)*(ISNUMBER(FIND(PptoSty[PiColumn],J$257))),0)),$AA289),_xlpm.y,IF(_xlfn._xlws.FILTER(TbRsmIn[Alive],TbRsmIn[Enquiry No]=$E289,"X")="C",0,INDEX(INDIRECT(Mods!$B$2),MATCH($E289,INDIRECT(Mods!$B$4),0),MATCH(J$257,INDIRECT(Mods!$AL$3),0))),IF(AND(_xlpm.x=0,_xlpm.y&lt;&gt;0),-1,IF(AND(_xlpm.x&lt;&gt;0,_xlpm.y&lt;&gt;0),_xlpm.x,IF(AND(_xlpm.x-$AA289&lt;&gt;0,_xlpm.y=0),-2,_xlpm.x)))),0))</f>
        <v>0</v>
      </c>
      <c r="K289" s="282" cm="1">
        <f t="array" aca="1" ref="K289" ca="1">IF(OR($E289="",$E289="X"),0,IFERROR(_xlfn.LET(_xlpm.x,SUM(SUM(_xlfn._xlws.FILTER(VALUE(PptoSty[Sign]&amp;1)*(1/PptoSty[Division]),(PptoSty[Division]&lt;&gt;0)*(PptoSty[Division]&lt;&gt;"")*(PptoSty[Division]&lt;&gt;"X")*(PptoSty[RowGrp]=$E289)*(ISNUMBER(FIND(PptoSty[PiColumn],K$257))),0)),$AA289),_xlpm.y,IF(_xlfn._xlws.FILTER(TbRsmIn[Alive],TbRsmIn[Enquiry No]=$E289,"X")="C",0,INDEX(INDIRECT(Mods!$B$2),MATCH($E289,INDIRECT(Mods!$B$4),0),MATCH(K$257,INDIRECT(Mods!$AL$3),0))),IF(AND(_xlpm.x=0,_xlpm.y&lt;&gt;0),-1,IF(AND(_xlpm.x&lt;&gt;0,_xlpm.y&lt;&gt;0),_xlpm.x,IF(AND(_xlpm.x-$AA289&lt;&gt;0,_xlpm.y=0),-2,_xlpm.x)))),0))</f>
        <v>0</v>
      </c>
      <c r="L289" s="282" cm="1">
        <f t="array" aca="1" ref="L289" ca="1">IF(OR($E289="",$E289="X"),0,IFERROR(_xlfn.LET(_xlpm.x,SUM(SUM(_xlfn._xlws.FILTER(VALUE(PptoSty[Sign]&amp;1)*(1/PptoSty[Division]),(PptoSty[Division]&lt;&gt;0)*(PptoSty[Division]&lt;&gt;"")*(PptoSty[Division]&lt;&gt;"X")*(PptoSty[RowGrp]=$E289)*(ISNUMBER(FIND(PptoSty[PiColumn],L$257))),0)),$AA289),_xlpm.y,IF(_xlfn._xlws.FILTER(TbRsmIn[Alive],TbRsmIn[Enquiry No]=$E289,"X")="C",0,INDEX(INDIRECT(Mods!$B$2),MATCH($E289,INDIRECT(Mods!$B$4),0),MATCH(L$257,INDIRECT(Mods!$AL$3),0))),IF(AND(_xlpm.x=0,_xlpm.y&lt;&gt;0),-1,IF(AND(_xlpm.x&lt;&gt;0,_xlpm.y&lt;&gt;0),_xlpm.x,IF(AND(_xlpm.x-$AA289&lt;&gt;0,_xlpm.y=0),-2,_xlpm.x)))),0))</f>
        <v>0</v>
      </c>
      <c r="M289" s="282" cm="1">
        <f t="array" aca="1" ref="M289" ca="1">IF(OR($E289="",$E289="X"),0,IFERROR(_xlfn.LET(_xlpm.x,SUM(SUM(_xlfn._xlws.FILTER(VALUE(PptoSty[Sign]&amp;1)*(1/PptoSty[Division]),(PptoSty[Division]&lt;&gt;0)*(PptoSty[Division]&lt;&gt;"")*(PptoSty[Division]&lt;&gt;"X")*(PptoSty[RowGrp]=$E289)*(ISNUMBER(FIND(PptoSty[PiColumn],M$257))),0)),$AA289),_xlpm.y,IF(_xlfn._xlws.FILTER(TbRsmIn[Alive],TbRsmIn[Enquiry No]=$E289,"X")="C",0,INDEX(INDIRECT(Mods!$B$2),MATCH($E289,INDIRECT(Mods!$B$4),0),MATCH(M$257,INDIRECT(Mods!$AL$3),0))),IF(AND(_xlpm.x=0,_xlpm.y&lt;&gt;0),-1,IF(AND(_xlpm.x&lt;&gt;0,_xlpm.y&lt;&gt;0),_xlpm.x,IF(AND(_xlpm.x-$AA289&lt;&gt;0,_xlpm.y=0),-2,_xlpm.x)))),0))</f>
        <v>0</v>
      </c>
      <c r="N289" s="282" cm="1">
        <f t="array" aca="1" ref="N289" ca="1">IF(OR($E289="",$E289="X"),0,IFERROR(_xlfn.LET(_xlpm.x,SUM(SUM(_xlfn._xlws.FILTER(VALUE(PptoSty[Sign]&amp;1)*(1/PptoSty[Division]),(PptoSty[Division]&lt;&gt;0)*(PptoSty[Division]&lt;&gt;"")*(PptoSty[Division]&lt;&gt;"X")*(PptoSty[RowGrp]=$E289)*(ISNUMBER(FIND(PptoSty[PiColumn],N$257))),0)),$AA289),_xlpm.y,IF(_xlfn._xlws.FILTER(TbRsmIn[Alive],TbRsmIn[Enquiry No]=$E289,"X")="C",0,INDEX(INDIRECT(Mods!$B$2),MATCH($E289,INDIRECT(Mods!$B$4),0),MATCH(N$257,INDIRECT(Mods!$AL$3),0))),IF(AND(_xlpm.x=0,_xlpm.y&lt;&gt;0),-1,IF(AND(_xlpm.x&lt;&gt;0,_xlpm.y&lt;&gt;0),_xlpm.x,IF(AND(_xlpm.x-$AA289&lt;&gt;0,_xlpm.y=0),-2,_xlpm.x)))),0))</f>
        <v>0</v>
      </c>
      <c r="O289" s="282" cm="1">
        <f t="array" aca="1" ref="O289" ca="1">IF(OR($E289="",$E289="X"),0,IFERROR(_xlfn.LET(_xlpm.x,SUM(SUM(_xlfn._xlws.FILTER(VALUE(PptoSty[Sign]&amp;1)*(1/PptoSty[Division]),(PptoSty[Division]&lt;&gt;0)*(PptoSty[Division]&lt;&gt;"")*(PptoSty[Division]&lt;&gt;"X")*(PptoSty[RowGrp]=$E289)*(ISNUMBER(FIND(PptoSty[PiColumn],O$257))),0)),$AA289),_xlpm.y,IF(_xlfn._xlws.FILTER(TbRsmIn[Alive],TbRsmIn[Enquiry No]=$E289,"X")="C",0,INDEX(INDIRECT(Mods!$B$2),MATCH($E289,INDIRECT(Mods!$B$4),0),MATCH(O$257,INDIRECT(Mods!$AL$3),0))),IF(AND(_xlpm.x=0,_xlpm.y&lt;&gt;0),-1,IF(AND(_xlpm.x&lt;&gt;0,_xlpm.y&lt;&gt;0),_xlpm.x,IF(AND(_xlpm.x-$AA289&lt;&gt;0,_xlpm.y=0),-2,_xlpm.x)))),0))</f>
        <v>0</v>
      </c>
      <c r="P289" s="282" cm="1">
        <f t="array" aca="1" ref="P289" ca="1">IF(OR($E289="",$E289="X"),0,IFERROR(_xlfn.LET(_xlpm.x,SUM(SUM(_xlfn._xlws.FILTER(VALUE(PptoSty[Sign]&amp;1)*(1/PptoSty[Division]),(PptoSty[Division]&lt;&gt;0)*(PptoSty[Division]&lt;&gt;"")*(PptoSty[Division]&lt;&gt;"X")*(PptoSty[RowGrp]=$E289)*(ISNUMBER(FIND(PptoSty[PiColumn],P$257))),0)),$AA289),_xlpm.y,IF(_xlfn._xlws.FILTER(TbRsmIn[Alive],TbRsmIn[Enquiry No]=$E289,"X")="C",0,INDEX(INDIRECT(Mods!$B$2),MATCH($E289,INDIRECT(Mods!$B$4),0),MATCH(P$257,INDIRECT(Mods!$AL$3),0))),IF(AND(_xlpm.x=0,_xlpm.y&lt;&gt;0),-1,IF(AND(_xlpm.x&lt;&gt;0,_xlpm.y&lt;&gt;0),_xlpm.x,IF(AND(_xlpm.x-$AA289&lt;&gt;0,_xlpm.y=0),-2,_xlpm.x)))),0))</f>
        <v>0</v>
      </c>
      <c r="Q289" s="282" cm="1">
        <f t="array" aca="1" ref="Q289" ca="1">IF(OR($E289="",$E289="X"),0,IFERROR(_xlfn.LET(_xlpm.x,SUM(SUM(_xlfn._xlws.FILTER(VALUE(PptoSty[Sign]&amp;1)*(1/PptoSty[Division]),(PptoSty[Division]&lt;&gt;0)*(PptoSty[Division]&lt;&gt;"")*(PptoSty[Division]&lt;&gt;"X")*(PptoSty[RowGrp]=$E289)*(ISNUMBER(FIND(PptoSty[PiColumn],Q$257))),0)),$AA289),_xlpm.y,IF(_xlfn._xlws.FILTER(TbRsmIn[Alive],TbRsmIn[Enquiry No]=$E289,"X")="C",0,INDEX(INDIRECT(Mods!$B$2),MATCH($E289,INDIRECT(Mods!$B$4),0),MATCH(Q$257,INDIRECT(Mods!$AL$3),0))),IF(AND(_xlpm.x=0,_xlpm.y&lt;&gt;0),-1,IF(AND(_xlpm.x&lt;&gt;0,_xlpm.y&lt;&gt;0),_xlpm.x,IF(AND(_xlpm.x-$AA289&lt;&gt;0,_xlpm.y=0),-2,_xlpm.x)))),0))</f>
        <v>0</v>
      </c>
      <c r="R289" s="282" cm="1">
        <f t="array" aca="1" ref="R289" ca="1">IF(OR($E289="",$E289="X"),0,IFERROR(_xlfn.LET(_xlpm.x,SUM(SUM(_xlfn._xlws.FILTER(VALUE(PptoSty[Sign]&amp;1)*(1/PptoSty[Division]),(PptoSty[Division]&lt;&gt;0)*(PptoSty[Division]&lt;&gt;"")*(PptoSty[Division]&lt;&gt;"X")*(PptoSty[RowGrp]=$E289)*(ISNUMBER(FIND(PptoSty[PiColumn],R$257))),0)),$AA289),_xlpm.y,IF(_xlfn._xlws.FILTER(TbRsmIn[Alive],TbRsmIn[Enquiry No]=$E289,"X")="C",0,INDEX(INDIRECT(Mods!$B$2),MATCH($E289,INDIRECT(Mods!$B$4),0),MATCH(R$257,INDIRECT(Mods!$AL$3),0))),IF(AND(_xlpm.x=0,_xlpm.y&lt;&gt;0),-1,IF(AND(_xlpm.x&lt;&gt;0,_xlpm.y&lt;&gt;0),_xlpm.x,IF(AND(_xlpm.x-$AA289&lt;&gt;0,_xlpm.y=0),-2,_xlpm.x)))),0))</f>
        <v>0</v>
      </c>
      <c r="S289" s="282" cm="1">
        <f t="array" aca="1" ref="S289" ca="1">IF(OR($E289="",$E289="X"),0,IFERROR(_xlfn.LET(_xlpm.x,SUM(SUM(_xlfn._xlws.FILTER(VALUE(PptoSty[Sign]&amp;1)*(1/PptoSty[Division]),(PptoSty[Division]&lt;&gt;0)*(PptoSty[Division]&lt;&gt;"")*(PptoSty[Division]&lt;&gt;"X")*(PptoSty[RowGrp]=$E289)*(ISNUMBER(FIND(PptoSty[PiColumn],S$257))),0)),$AA289),_xlpm.y,IF(_xlfn._xlws.FILTER(TbRsmIn[Alive],TbRsmIn[Enquiry No]=$E289,"X")="C",0,INDEX(INDIRECT(Mods!$B$2),MATCH($E289,INDIRECT(Mods!$B$4),0),MATCH(S$257,INDIRECT(Mods!$AL$3),0))),IF(AND(_xlpm.x=0,_xlpm.y&lt;&gt;0),-1,IF(AND(_xlpm.x&lt;&gt;0,_xlpm.y&lt;&gt;0),_xlpm.x,IF(AND(_xlpm.x-$AA289&lt;&gt;0,_xlpm.y=0),-2,_xlpm.x)))),0))</f>
        <v>0</v>
      </c>
      <c r="T289" s="282" cm="1">
        <f t="array" aca="1" ref="T289" ca="1">IF(OR($E289="",$E289="X"),0,IFERROR(_xlfn.LET(_xlpm.x,SUM(SUM(_xlfn._xlws.FILTER(VALUE(PptoSty[Sign]&amp;1)*(1/PptoSty[Division]),(PptoSty[Division]&lt;&gt;0)*(PptoSty[Division]&lt;&gt;"")*(PptoSty[Division]&lt;&gt;"X")*(PptoSty[RowGrp]=$E289)*(ISNUMBER(FIND(PptoSty[PiColumn],T$257))),0)),$AA289),_xlpm.y,IF(_xlfn._xlws.FILTER(TbRsmIn[Alive],TbRsmIn[Enquiry No]=$E289,"X")="C",0,INDEX(INDIRECT(Mods!$B$2),MATCH($E289,INDIRECT(Mods!$B$4),0),MATCH(T$257,INDIRECT(Mods!$AL$3),0))),IF(AND(_xlpm.x=0,_xlpm.y&lt;&gt;0),-1,IF(AND(_xlpm.x&lt;&gt;0,_xlpm.y&lt;&gt;0),_xlpm.x,IF(AND(_xlpm.x-$AA289&lt;&gt;0,_xlpm.y=0),-2,_xlpm.x)))),0))</f>
        <v>0</v>
      </c>
      <c r="U289" s="282" cm="1">
        <f t="array" aca="1" ref="U289" ca="1">IF(OR($E289="",$E289="X"),0,IFERROR(_xlfn.LET(_xlpm.x,SUM(SUM(_xlfn._xlws.FILTER(VALUE(PptoSty[Sign]&amp;1)*(1/PptoSty[Division]),(PptoSty[Division]&lt;&gt;0)*(PptoSty[Division]&lt;&gt;"")*(PptoSty[Division]&lt;&gt;"X")*(PptoSty[RowGrp]=$E289)*(ISNUMBER(FIND(PptoSty[PiColumn],U$257))),0)),$AA289),_xlpm.y,IF(_xlfn._xlws.FILTER(TbRsmIn[Alive],TbRsmIn[Enquiry No]=$E289,"X")="C",0,INDEX(INDIRECT(Mods!$B$2),MATCH($E289,INDIRECT(Mods!$B$4),0),MATCH(U$257,INDIRECT(Mods!$AL$3),0))),IF(AND(_xlpm.x=0,_xlpm.y&lt;&gt;0),-1,IF(AND(_xlpm.x&lt;&gt;0,_xlpm.y&lt;&gt;0),_xlpm.x,IF(AND(_xlpm.x-$AA289&lt;&gt;0,_xlpm.y=0),-2,_xlpm.x)))),0))</f>
        <v>0</v>
      </c>
      <c r="V289" s="282" cm="1">
        <f t="array" aca="1" ref="V289" ca="1">IF(OR($E289="",$E289="X"),0,IFERROR(_xlfn.LET(_xlpm.x,SUM(SUM(_xlfn._xlws.FILTER(VALUE(PptoSty[Sign]&amp;1)*(1/PptoSty[Division]),(PptoSty[Division]&lt;&gt;0)*(PptoSty[Division]&lt;&gt;"")*(PptoSty[Division]&lt;&gt;"X")*(PptoSty[RowGrp]=$E289)*(ISNUMBER(FIND(PptoSty[PiColumn],V$257))),0)),$AA289),_xlpm.y,IF(_xlfn._xlws.FILTER(TbRsmIn[Alive],TbRsmIn[Enquiry No]=$E289,"X")="C",0,INDEX(INDIRECT(Mods!$B$2),MATCH($E289,INDIRECT(Mods!$B$4),0),MATCH(V$257,INDIRECT(Mods!$AL$3),0))),IF(AND(_xlpm.x=0,_xlpm.y&lt;&gt;0),-1,IF(AND(_xlpm.x&lt;&gt;0,_xlpm.y&lt;&gt;0),_xlpm.x,IF(AND(_xlpm.x-$AA289&lt;&gt;0,_xlpm.y=0),-2,_xlpm.x)))),0))</f>
        <v>0</v>
      </c>
      <c r="W289" s="282" cm="1">
        <f t="array" aca="1" ref="W289" ca="1">IF(OR($E289="",$E289="X"),0,IFERROR(_xlfn.LET(_xlpm.x,SUM(SUM(_xlfn._xlws.FILTER(VALUE(PptoSty[Sign]&amp;1)*(1/PptoSty[Division]),(PptoSty[Division]&lt;&gt;0)*(PptoSty[Division]&lt;&gt;"")*(PptoSty[Division]&lt;&gt;"X")*(PptoSty[RowGrp]=$E289)*(ISNUMBER(FIND(PptoSty[PiColumn],W$257))),0)),$AA289),_xlpm.y,IF(_xlfn._xlws.FILTER(TbRsmIn[Alive],TbRsmIn[Enquiry No]=$E289,"X")="C",0,INDEX(INDIRECT(Mods!$B$2),MATCH($E289,INDIRECT(Mods!$B$4),0),MATCH(W$257,INDIRECT(Mods!$AL$3),0))),IF(AND(_xlpm.x=0,_xlpm.y&lt;&gt;0),-1,IF(AND(_xlpm.x&lt;&gt;0,_xlpm.y&lt;&gt;0),_xlpm.x,IF(AND(_xlpm.x-$AA289&lt;&gt;0,_xlpm.y=0),-2,_xlpm.x)))),0))</f>
        <v>0</v>
      </c>
      <c r="X289" s="282" cm="1">
        <f t="array" aca="1" ref="X289" ca="1">IF(OR($E289="",$E289="X"),0,IFERROR(_xlfn.LET(_xlpm.x,SUM(SUM(_xlfn._xlws.FILTER(VALUE(PptoSty[Sign]&amp;1)*(1/PptoSty[Division]),(PptoSty[Division]&lt;&gt;0)*(PptoSty[Division]&lt;&gt;"")*(PptoSty[Division]&lt;&gt;"X")*(PptoSty[RowGrp]=$E289)*(ISNUMBER(FIND(PptoSty[PiColumn],X$257))),0)),$AA289),_xlpm.y,IF(_xlfn._xlws.FILTER(TbRsmIn[Alive],TbRsmIn[Enquiry No]=$E289,"X")="C",0,INDEX(INDIRECT(Mods!$B$2),MATCH($E289,INDIRECT(Mods!$B$4),0),MATCH(X$257,INDIRECT(Mods!$AL$3),0))),IF(AND(_xlpm.x=0,_xlpm.y&lt;&gt;0),-1,IF(AND(_xlpm.x&lt;&gt;0,_xlpm.y&lt;&gt;0),_xlpm.x,IF(AND(_xlpm.x-$AA289&lt;&gt;0,_xlpm.y=0),-2,_xlpm.x)))),0))</f>
        <v>0</v>
      </c>
      <c r="Y289" s="282" cm="1">
        <f t="array" aca="1" ref="Y289" ca="1">IF(OR($E289="",$E289="X"),0,IFERROR(_xlfn.LET(_xlpm.x,SUM(SUM(_xlfn._xlws.FILTER(VALUE(PptoSty[Sign]&amp;1)*(1/PptoSty[Division]),(PptoSty[Division]&lt;&gt;0)*(PptoSty[Division]&lt;&gt;"")*(PptoSty[Division]&lt;&gt;"X")*(PptoSty[RowGrp]=$E289)*(ISNUMBER(FIND(PptoSty[PiColumn],Y$257))),0)),$AA289),_xlpm.y,IF(_xlfn._xlws.FILTER(TbRsmIn[Alive],TbRsmIn[Enquiry No]=$E289,"X")="C",0,INDEX(INDIRECT(Mods!$B$2),MATCH($E289,INDIRECT(Mods!$B$4),0),MATCH(Y$257,INDIRECT(Mods!$AL$3),0))),IF(AND(_xlpm.x=0,_xlpm.y&lt;&gt;0),-1,IF(AND(_xlpm.x&lt;&gt;0,_xlpm.y&lt;&gt;0),_xlpm.x,IF(AND(_xlpm.x-$AA289&lt;&gt;0,_xlpm.y=0),-2,_xlpm.x)))),0))</f>
        <v>0</v>
      </c>
      <c r="Z289" s="280" t="str">
        <f t="shared" ca="1" si="8"/>
        <v>Fback!B289:Y289</v>
      </c>
      <c r="AA289" s="282" cm="1">
        <f t="array" aca="1" ref="AA289" ca="1">IF(OR($E289="",$E289="X"),0,IFERROR(SUM(_xlfn._xlws.FILTER(VALUE(#REF!&amp;1)*(1/PptoSty[PptoVsRow]),(PptoSty[PptoVsRow]&lt;&gt;0)*(PptoSty[PptoVsRow]&lt;&gt;"")*(PptoSty[PptoVsRow]&lt;&gt;"X")*(PptoSty[Num]=$E289)*(PptoSty[RowGrp]=AA$260),0)),0))</f>
        <v>0</v>
      </c>
    </row>
    <row r="290" spans="1:27" ht="21" customHeight="1" outlineLevel="1">
      <c r="B290" s="247" t="str" cm="1">
        <f t="array" ref="B290:C290">IF($E290="X","X",_xlfn._xlws.FILTER(P_SelPrj[[PrjId]:[Cia]],P_SelPrj[Attribute]=VALUE(LEFT($E290,1)),"X"))</f>
        <v>31199</v>
      </c>
      <c r="C290" s="247" t="str">
        <v>Sp</v>
      </c>
      <c r="D290" s="247" t="s">
        <v>375</v>
      </c>
      <c r="E290" s="247" t="str" cm="1">
        <f t="array" ref="E290">_xlfn.LET(_xlpm.x,IFERROR(INDEX(TbRsmIn[Enquiry No],SUM(ROW()-MATCH("SOM",$A:$A,0))),"X"),IF(_xlpm.x=0,"X",_xlpm.x))</f>
        <v>2CT009</v>
      </c>
      <c r="F290" s="413" t="str" cm="1">
        <f t="array" ref="F290">_xlfn._xlws.FILTER(CstClcData[Value],(CstClcData[Attribute]="Concept")*(CstClcData[Name]=$E290),"X")</f>
        <v>2 units Handling Robot Plinths supply for robots 180+280. Half cost due to delay on design change.</v>
      </c>
      <c r="G290" s="281"/>
      <c r="H290" s="281"/>
      <c r="I290" s="282" cm="1">
        <f t="array" aca="1" ref="I290" ca="1">IF(OR($E290="",$E290="X"),0,IFERROR(_xlfn.LET(_xlpm.x,SUM(SUM(_xlfn._xlws.FILTER(VALUE(PptoSty[Sign]&amp;1)*(1/PptoSty[Division]),(PptoSty[Division]&lt;&gt;0)*(PptoSty[Division]&lt;&gt;"")*(PptoSty[Division]&lt;&gt;"X")*(PptoSty[RowGrp]=$E290)*(ISNUMBER(FIND(PptoSty[PiColumn],I$257))),0)),$AA290),_xlpm.y,IF(_xlfn._xlws.FILTER(TbRsmIn[Alive],TbRsmIn[Enquiry No]=$E290,"X")="C",0,INDEX(INDIRECT(Mods!$B$2),MATCH($E290,INDIRECT(Mods!$B$4),0),MATCH(I$257,INDIRECT(Mods!$AL$3),0))),IF(AND(_xlpm.x=0,_xlpm.y&lt;&gt;0),-1,IF(AND(_xlpm.x&lt;&gt;0,_xlpm.y&lt;&gt;0),_xlpm.x,IF(AND(_xlpm.x-$AA290&lt;&gt;0,_xlpm.y=0),-2,_xlpm.x)))),0))</f>
        <v>0</v>
      </c>
      <c r="J290" s="282" cm="1">
        <f t="array" aca="1" ref="J290" ca="1">IF(OR($E290="",$E290="X"),0,IFERROR(_xlfn.LET(_xlpm.x,SUM(SUM(_xlfn._xlws.FILTER(VALUE(PptoSty[Sign]&amp;1)*(1/PptoSty[Division]),(PptoSty[Division]&lt;&gt;0)*(PptoSty[Division]&lt;&gt;"")*(PptoSty[Division]&lt;&gt;"X")*(PptoSty[RowGrp]=$E290)*(ISNUMBER(FIND(PptoSty[PiColumn],J$257))),0)),$AA290),_xlpm.y,IF(_xlfn._xlws.FILTER(TbRsmIn[Alive],TbRsmIn[Enquiry No]=$E290,"X")="C",0,INDEX(INDIRECT(Mods!$B$2),MATCH($E290,INDIRECT(Mods!$B$4),0),MATCH(J$257,INDIRECT(Mods!$AL$3),0))),IF(AND(_xlpm.x=0,_xlpm.y&lt;&gt;0),-1,IF(AND(_xlpm.x&lt;&gt;0,_xlpm.y&lt;&gt;0),_xlpm.x,IF(AND(_xlpm.x-$AA290&lt;&gt;0,_xlpm.y=0),-2,_xlpm.x)))),0))</f>
        <v>0</v>
      </c>
      <c r="K290" s="282" cm="1">
        <f t="array" aca="1" ref="K290" ca="1">IF(OR($E290="",$E290="X"),0,IFERROR(_xlfn.LET(_xlpm.x,SUM(SUM(_xlfn._xlws.FILTER(VALUE(PptoSty[Sign]&amp;1)*(1/PptoSty[Division]),(PptoSty[Division]&lt;&gt;0)*(PptoSty[Division]&lt;&gt;"")*(PptoSty[Division]&lt;&gt;"X")*(PptoSty[RowGrp]=$E290)*(ISNUMBER(FIND(PptoSty[PiColumn],K$257))),0)),$AA290),_xlpm.y,IF(_xlfn._xlws.FILTER(TbRsmIn[Alive],TbRsmIn[Enquiry No]=$E290,"X")="C",0,INDEX(INDIRECT(Mods!$B$2),MATCH($E290,INDIRECT(Mods!$B$4),0),MATCH(K$257,INDIRECT(Mods!$AL$3),0))),IF(AND(_xlpm.x=0,_xlpm.y&lt;&gt;0),-1,IF(AND(_xlpm.x&lt;&gt;0,_xlpm.y&lt;&gt;0),_xlpm.x,IF(AND(_xlpm.x-$AA290&lt;&gt;0,_xlpm.y=0),-2,_xlpm.x)))),0))</f>
        <v>0</v>
      </c>
      <c r="L290" s="282" cm="1">
        <f t="array" aca="1" ref="L290" ca="1">IF(OR($E290="",$E290="X"),0,IFERROR(_xlfn.LET(_xlpm.x,SUM(SUM(_xlfn._xlws.FILTER(VALUE(PptoSty[Sign]&amp;1)*(1/PptoSty[Division]),(PptoSty[Division]&lt;&gt;0)*(PptoSty[Division]&lt;&gt;"")*(PptoSty[Division]&lt;&gt;"X")*(PptoSty[RowGrp]=$E290)*(ISNUMBER(FIND(PptoSty[PiColumn],L$257))),0)),$AA290),_xlpm.y,IF(_xlfn._xlws.FILTER(TbRsmIn[Alive],TbRsmIn[Enquiry No]=$E290,"X")="C",0,INDEX(INDIRECT(Mods!$B$2),MATCH($E290,INDIRECT(Mods!$B$4),0),MATCH(L$257,INDIRECT(Mods!$AL$3),0))),IF(AND(_xlpm.x=0,_xlpm.y&lt;&gt;0),-1,IF(AND(_xlpm.x&lt;&gt;0,_xlpm.y&lt;&gt;0),_xlpm.x,IF(AND(_xlpm.x-$AA290&lt;&gt;0,_xlpm.y=0),-2,_xlpm.x)))),0))</f>
        <v>0</v>
      </c>
      <c r="M290" s="282" cm="1">
        <f t="array" aca="1" ref="M290" ca="1">IF(OR($E290="",$E290="X"),0,IFERROR(_xlfn.LET(_xlpm.x,SUM(SUM(_xlfn._xlws.FILTER(VALUE(PptoSty[Sign]&amp;1)*(1/PptoSty[Division]),(PptoSty[Division]&lt;&gt;0)*(PptoSty[Division]&lt;&gt;"")*(PptoSty[Division]&lt;&gt;"X")*(PptoSty[RowGrp]=$E290)*(ISNUMBER(FIND(PptoSty[PiColumn],M$257))),0)),$AA290),_xlpm.y,IF(_xlfn._xlws.FILTER(TbRsmIn[Alive],TbRsmIn[Enquiry No]=$E290,"X")="C",0,INDEX(INDIRECT(Mods!$B$2),MATCH($E290,INDIRECT(Mods!$B$4),0),MATCH(M$257,INDIRECT(Mods!$AL$3),0))),IF(AND(_xlpm.x=0,_xlpm.y&lt;&gt;0),-1,IF(AND(_xlpm.x&lt;&gt;0,_xlpm.y&lt;&gt;0),_xlpm.x,IF(AND(_xlpm.x-$AA290&lt;&gt;0,_xlpm.y=0),-2,_xlpm.x)))),0))</f>
        <v>0</v>
      </c>
      <c r="N290" s="282" cm="1">
        <f t="array" aca="1" ref="N290" ca="1">IF(OR($E290="",$E290="X"),0,IFERROR(_xlfn.LET(_xlpm.x,SUM(SUM(_xlfn._xlws.FILTER(VALUE(PptoSty[Sign]&amp;1)*(1/PptoSty[Division]),(PptoSty[Division]&lt;&gt;0)*(PptoSty[Division]&lt;&gt;"")*(PptoSty[Division]&lt;&gt;"X")*(PptoSty[RowGrp]=$E290)*(ISNUMBER(FIND(PptoSty[PiColumn],N$257))),0)),$AA290),_xlpm.y,IF(_xlfn._xlws.FILTER(TbRsmIn[Alive],TbRsmIn[Enquiry No]=$E290,"X")="C",0,INDEX(INDIRECT(Mods!$B$2),MATCH($E290,INDIRECT(Mods!$B$4),0),MATCH(N$257,INDIRECT(Mods!$AL$3),0))),IF(AND(_xlpm.x=0,_xlpm.y&lt;&gt;0),-1,IF(AND(_xlpm.x&lt;&gt;0,_xlpm.y&lt;&gt;0),_xlpm.x,IF(AND(_xlpm.x-$AA290&lt;&gt;0,_xlpm.y=0),-2,_xlpm.x)))),0))</f>
        <v>0</v>
      </c>
      <c r="O290" s="282" cm="1">
        <f t="array" aca="1" ref="O290" ca="1">IF(OR($E290="",$E290="X"),0,IFERROR(_xlfn.LET(_xlpm.x,SUM(SUM(_xlfn._xlws.FILTER(VALUE(PptoSty[Sign]&amp;1)*(1/PptoSty[Division]),(PptoSty[Division]&lt;&gt;0)*(PptoSty[Division]&lt;&gt;"")*(PptoSty[Division]&lt;&gt;"X")*(PptoSty[RowGrp]=$E290)*(ISNUMBER(FIND(PptoSty[PiColumn],O$257))),0)),$AA290),_xlpm.y,IF(_xlfn._xlws.FILTER(TbRsmIn[Alive],TbRsmIn[Enquiry No]=$E290,"X")="C",0,INDEX(INDIRECT(Mods!$B$2),MATCH($E290,INDIRECT(Mods!$B$4),0),MATCH(O$257,INDIRECT(Mods!$AL$3),0))),IF(AND(_xlpm.x=0,_xlpm.y&lt;&gt;0),-1,IF(AND(_xlpm.x&lt;&gt;0,_xlpm.y&lt;&gt;0),_xlpm.x,IF(AND(_xlpm.x-$AA290&lt;&gt;0,_xlpm.y=0),-2,_xlpm.x)))),0))</f>
        <v>0</v>
      </c>
      <c r="P290" s="282" cm="1">
        <f t="array" aca="1" ref="P290" ca="1">IF(OR($E290="",$E290="X"),0,IFERROR(_xlfn.LET(_xlpm.x,SUM(SUM(_xlfn._xlws.FILTER(VALUE(PptoSty[Sign]&amp;1)*(1/PptoSty[Division]),(PptoSty[Division]&lt;&gt;0)*(PptoSty[Division]&lt;&gt;"")*(PptoSty[Division]&lt;&gt;"X")*(PptoSty[RowGrp]=$E290)*(ISNUMBER(FIND(PptoSty[PiColumn],P$257))),0)),$AA290),_xlpm.y,IF(_xlfn._xlws.FILTER(TbRsmIn[Alive],TbRsmIn[Enquiry No]=$E290,"X")="C",0,INDEX(INDIRECT(Mods!$B$2),MATCH($E290,INDIRECT(Mods!$B$4),0),MATCH(P$257,INDIRECT(Mods!$AL$3),0))),IF(AND(_xlpm.x=0,_xlpm.y&lt;&gt;0),-1,IF(AND(_xlpm.x&lt;&gt;0,_xlpm.y&lt;&gt;0),_xlpm.x,IF(AND(_xlpm.x-$AA290&lt;&gt;0,_xlpm.y=0),-2,_xlpm.x)))),0))</f>
        <v>0</v>
      </c>
      <c r="Q290" s="282" cm="1">
        <f t="array" aca="1" ref="Q290" ca="1">IF(OR($E290="",$E290="X"),0,IFERROR(_xlfn.LET(_xlpm.x,SUM(SUM(_xlfn._xlws.FILTER(VALUE(PptoSty[Sign]&amp;1)*(1/PptoSty[Division]),(PptoSty[Division]&lt;&gt;0)*(PptoSty[Division]&lt;&gt;"")*(PptoSty[Division]&lt;&gt;"X")*(PptoSty[RowGrp]=$E290)*(ISNUMBER(FIND(PptoSty[PiColumn],Q$257))),0)),$AA290),_xlpm.y,IF(_xlfn._xlws.FILTER(TbRsmIn[Alive],TbRsmIn[Enquiry No]=$E290,"X")="C",0,INDEX(INDIRECT(Mods!$B$2),MATCH($E290,INDIRECT(Mods!$B$4),0),MATCH(Q$257,INDIRECT(Mods!$AL$3),0))),IF(AND(_xlpm.x=0,_xlpm.y&lt;&gt;0),-1,IF(AND(_xlpm.x&lt;&gt;0,_xlpm.y&lt;&gt;0),_xlpm.x,IF(AND(_xlpm.x-$AA290&lt;&gt;0,_xlpm.y=0),-2,_xlpm.x)))),0))</f>
        <v>0</v>
      </c>
      <c r="R290" s="282" cm="1">
        <f t="array" aca="1" ref="R290" ca="1">IF(OR($E290="",$E290="X"),0,IFERROR(_xlfn.LET(_xlpm.x,SUM(SUM(_xlfn._xlws.FILTER(VALUE(PptoSty[Sign]&amp;1)*(1/PptoSty[Division]),(PptoSty[Division]&lt;&gt;0)*(PptoSty[Division]&lt;&gt;"")*(PptoSty[Division]&lt;&gt;"X")*(PptoSty[RowGrp]=$E290)*(ISNUMBER(FIND(PptoSty[PiColumn],R$257))),0)),$AA290),_xlpm.y,IF(_xlfn._xlws.FILTER(TbRsmIn[Alive],TbRsmIn[Enquiry No]=$E290,"X")="C",0,INDEX(INDIRECT(Mods!$B$2),MATCH($E290,INDIRECT(Mods!$B$4),0),MATCH(R$257,INDIRECT(Mods!$AL$3),0))),IF(AND(_xlpm.x=0,_xlpm.y&lt;&gt;0),-1,IF(AND(_xlpm.x&lt;&gt;0,_xlpm.y&lt;&gt;0),_xlpm.x,IF(AND(_xlpm.x-$AA290&lt;&gt;0,_xlpm.y=0),-2,_xlpm.x)))),0))</f>
        <v>0</v>
      </c>
      <c r="S290" s="282" cm="1">
        <f t="array" aca="1" ref="S290" ca="1">IF(OR($E290="",$E290="X"),0,IFERROR(_xlfn.LET(_xlpm.x,SUM(SUM(_xlfn._xlws.FILTER(VALUE(PptoSty[Sign]&amp;1)*(1/PptoSty[Division]),(PptoSty[Division]&lt;&gt;0)*(PptoSty[Division]&lt;&gt;"")*(PptoSty[Division]&lt;&gt;"X")*(PptoSty[RowGrp]=$E290)*(ISNUMBER(FIND(PptoSty[PiColumn],S$257))),0)),$AA290),_xlpm.y,IF(_xlfn._xlws.FILTER(TbRsmIn[Alive],TbRsmIn[Enquiry No]=$E290,"X")="C",0,INDEX(INDIRECT(Mods!$B$2),MATCH($E290,INDIRECT(Mods!$B$4),0),MATCH(S$257,INDIRECT(Mods!$AL$3),0))),IF(AND(_xlpm.x=0,_xlpm.y&lt;&gt;0),-1,IF(AND(_xlpm.x&lt;&gt;0,_xlpm.y&lt;&gt;0),_xlpm.x,IF(AND(_xlpm.x-$AA290&lt;&gt;0,_xlpm.y=0),-2,_xlpm.x)))),0))</f>
        <v>0</v>
      </c>
      <c r="T290" s="282" cm="1">
        <f t="array" aca="1" ref="T290" ca="1">IF(OR($E290="",$E290="X"),0,IFERROR(_xlfn.LET(_xlpm.x,SUM(SUM(_xlfn._xlws.FILTER(VALUE(PptoSty[Sign]&amp;1)*(1/PptoSty[Division]),(PptoSty[Division]&lt;&gt;0)*(PptoSty[Division]&lt;&gt;"")*(PptoSty[Division]&lt;&gt;"X")*(PptoSty[RowGrp]=$E290)*(ISNUMBER(FIND(PptoSty[PiColumn],T$257))),0)),$AA290),_xlpm.y,IF(_xlfn._xlws.FILTER(TbRsmIn[Alive],TbRsmIn[Enquiry No]=$E290,"X")="C",0,INDEX(INDIRECT(Mods!$B$2),MATCH($E290,INDIRECT(Mods!$B$4),0),MATCH(T$257,INDIRECT(Mods!$AL$3),0))),IF(AND(_xlpm.x=0,_xlpm.y&lt;&gt;0),-1,IF(AND(_xlpm.x&lt;&gt;0,_xlpm.y&lt;&gt;0),_xlpm.x,IF(AND(_xlpm.x-$AA290&lt;&gt;0,_xlpm.y=0),-2,_xlpm.x)))),0))</f>
        <v>0</v>
      </c>
      <c r="U290" s="282" cm="1">
        <f t="array" aca="1" ref="U290" ca="1">IF(OR($E290="",$E290="X"),0,IFERROR(_xlfn.LET(_xlpm.x,SUM(SUM(_xlfn._xlws.FILTER(VALUE(PptoSty[Sign]&amp;1)*(1/PptoSty[Division]),(PptoSty[Division]&lt;&gt;0)*(PptoSty[Division]&lt;&gt;"")*(PptoSty[Division]&lt;&gt;"X")*(PptoSty[RowGrp]=$E290)*(ISNUMBER(FIND(PptoSty[PiColumn],U$257))),0)),$AA290),_xlpm.y,IF(_xlfn._xlws.FILTER(TbRsmIn[Alive],TbRsmIn[Enquiry No]=$E290,"X")="C",0,INDEX(INDIRECT(Mods!$B$2),MATCH($E290,INDIRECT(Mods!$B$4),0),MATCH(U$257,INDIRECT(Mods!$AL$3),0))),IF(AND(_xlpm.x=0,_xlpm.y&lt;&gt;0),-1,IF(AND(_xlpm.x&lt;&gt;0,_xlpm.y&lt;&gt;0),_xlpm.x,IF(AND(_xlpm.x-$AA290&lt;&gt;0,_xlpm.y=0),-2,_xlpm.x)))),0))</f>
        <v>0</v>
      </c>
      <c r="V290" s="282" cm="1">
        <f t="array" aca="1" ref="V290" ca="1">IF(OR($E290="",$E290="X"),0,IFERROR(_xlfn.LET(_xlpm.x,SUM(SUM(_xlfn._xlws.FILTER(VALUE(PptoSty[Sign]&amp;1)*(1/PptoSty[Division]),(PptoSty[Division]&lt;&gt;0)*(PptoSty[Division]&lt;&gt;"")*(PptoSty[Division]&lt;&gt;"X")*(PptoSty[RowGrp]=$E290)*(ISNUMBER(FIND(PptoSty[PiColumn],V$257))),0)),$AA290),_xlpm.y,IF(_xlfn._xlws.FILTER(TbRsmIn[Alive],TbRsmIn[Enquiry No]=$E290,"X")="C",0,INDEX(INDIRECT(Mods!$B$2),MATCH($E290,INDIRECT(Mods!$B$4),0),MATCH(V$257,INDIRECT(Mods!$AL$3),0))),IF(AND(_xlpm.x=0,_xlpm.y&lt;&gt;0),-1,IF(AND(_xlpm.x&lt;&gt;0,_xlpm.y&lt;&gt;0),_xlpm.x,IF(AND(_xlpm.x-$AA290&lt;&gt;0,_xlpm.y=0),-2,_xlpm.x)))),0))</f>
        <v>-1</v>
      </c>
      <c r="W290" s="282" cm="1">
        <f t="array" aca="1" ref="W290" ca="1">IF(OR($E290="",$E290="X"),0,IFERROR(_xlfn.LET(_xlpm.x,SUM(SUM(_xlfn._xlws.FILTER(VALUE(PptoSty[Sign]&amp;1)*(1/PptoSty[Division]),(PptoSty[Division]&lt;&gt;0)*(PptoSty[Division]&lt;&gt;"")*(PptoSty[Division]&lt;&gt;"X")*(PptoSty[RowGrp]=$E290)*(ISNUMBER(FIND(PptoSty[PiColumn],W$257))),0)),$AA290),_xlpm.y,IF(_xlfn._xlws.FILTER(TbRsmIn[Alive],TbRsmIn[Enquiry No]=$E290,"X")="C",0,INDEX(INDIRECT(Mods!$B$2),MATCH($E290,INDIRECT(Mods!$B$4),0),MATCH(W$257,INDIRECT(Mods!$AL$3),0))),IF(AND(_xlpm.x=0,_xlpm.y&lt;&gt;0),-1,IF(AND(_xlpm.x&lt;&gt;0,_xlpm.y&lt;&gt;0),_xlpm.x,IF(AND(_xlpm.x-$AA290&lt;&gt;0,_xlpm.y=0),-2,_xlpm.x)))),0))</f>
        <v>0</v>
      </c>
      <c r="X290" s="282" cm="1">
        <f t="array" aca="1" ref="X290" ca="1">IF(OR($E290="",$E290="X"),0,IFERROR(_xlfn.LET(_xlpm.x,SUM(SUM(_xlfn._xlws.FILTER(VALUE(PptoSty[Sign]&amp;1)*(1/PptoSty[Division]),(PptoSty[Division]&lt;&gt;0)*(PptoSty[Division]&lt;&gt;"")*(PptoSty[Division]&lt;&gt;"X")*(PptoSty[RowGrp]=$E290)*(ISNUMBER(FIND(PptoSty[PiColumn],X$257))),0)),$AA290),_xlpm.y,IF(_xlfn._xlws.FILTER(TbRsmIn[Alive],TbRsmIn[Enquiry No]=$E290,"X")="C",0,INDEX(INDIRECT(Mods!$B$2),MATCH($E290,INDIRECT(Mods!$B$4),0),MATCH(X$257,INDIRECT(Mods!$AL$3),0))),IF(AND(_xlpm.x=0,_xlpm.y&lt;&gt;0),-1,IF(AND(_xlpm.x&lt;&gt;0,_xlpm.y&lt;&gt;0),_xlpm.x,IF(AND(_xlpm.x-$AA290&lt;&gt;0,_xlpm.y=0),-2,_xlpm.x)))),0))</f>
        <v>0</v>
      </c>
      <c r="Y290" s="282" cm="1">
        <f t="array" aca="1" ref="Y290" ca="1">IF(OR($E290="",$E290="X"),0,IFERROR(_xlfn.LET(_xlpm.x,SUM(SUM(_xlfn._xlws.FILTER(VALUE(PptoSty[Sign]&amp;1)*(1/PptoSty[Division]),(PptoSty[Division]&lt;&gt;0)*(PptoSty[Division]&lt;&gt;"")*(PptoSty[Division]&lt;&gt;"X")*(PptoSty[RowGrp]=$E290)*(ISNUMBER(FIND(PptoSty[PiColumn],Y$257))),0)),$AA290),_xlpm.y,IF(_xlfn._xlws.FILTER(TbRsmIn[Alive],TbRsmIn[Enquiry No]=$E290,"X")="C",0,INDEX(INDIRECT(Mods!$B$2),MATCH($E290,INDIRECT(Mods!$B$4),0),MATCH(Y$257,INDIRECT(Mods!$AL$3),0))),IF(AND(_xlpm.x=0,_xlpm.y&lt;&gt;0),-1,IF(AND(_xlpm.x&lt;&gt;0,_xlpm.y&lt;&gt;0),_xlpm.x,IF(AND(_xlpm.x-$AA290&lt;&gt;0,_xlpm.y=0),-2,_xlpm.x)))),0))</f>
        <v>-1</v>
      </c>
      <c r="Z290" s="280" t="str">
        <f t="shared" ca="1" si="8"/>
        <v>Fback!B290:Y290</v>
      </c>
      <c r="AA290" s="282" cm="1">
        <f t="array" aca="1" ref="AA290" ca="1">IF(OR($E290="",$E290="X"),0,IFERROR(SUM(_xlfn._xlws.FILTER(VALUE(#REF!&amp;1)*(1/PptoSty[PptoVsRow]),(PptoSty[PptoVsRow]&lt;&gt;0)*(PptoSty[PptoVsRow]&lt;&gt;"")*(PptoSty[PptoVsRow]&lt;&gt;"X")*(PptoSty[Num]=$E290)*(PptoSty[RowGrp]=AA$260),0)),0))</f>
        <v>0</v>
      </c>
    </row>
    <row r="291" spans="1:27" ht="21" customHeight="1" outlineLevel="1">
      <c r="B291" s="247" t="str" cm="1">
        <f t="array" ref="B291:C291">IF($E291="X","X",_xlfn._xlws.FILTER(P_SelPrj[[PrjId]:[Cia]],P_SelPrj[Attribute]=VALUE(LEFT($E291,1)),"X"))</f>
        <v>31199</v>
      </c>
      <c r="C291" s="247" t="str">
        <v>Sp</v>
      </c>
      <c r="D291" s="247" t="s">
        <v>375</v>
      </c>
      <c r="E291" s="247" t="str" cm="1">
        <f t="array" ref="E291">_xlfn.LET(_xlpm.x,IFERROR(INDEX(TbRsmIn[Enquiry No],SUM(ROW()-MATCH("SOM",$A:$A,0))),"X"),IF(_xlpm.x=0,"X",_xlpm.x))</f>
        <v>2CT010</v>
      </c>
      <c r="F291" s="413" t="str" cm="1">
        <f t="array" ref="F291">_xlfn._xlws.FILTER(CstClcData[Value],(CstClcData[Attribute]="Concept")*(CstClcData[Name]=$E291),"X")</f>
        <v>10 pallets to be delivered for recovered floor conveyor for PHASE 1 EOL</v>
      </c>
      <c r="G291" s="281"/>
      <c r="H291" s="281"/>
      <c r="I291" s="282" cm="1">
        <f t="array" aca="1" ref="I291" ca="1">IF(OR($E291="",$E291="X"),0,IFERROR(_xlfn.LET(_xlpm.x,SUM(SUM(_xlfn._xlws.FILTER(VALUE(PptoSty[Sign]&amp;1)*(1/PptoSty[Division]),(PptoSty[Division]&lt;&gt;0)*(PptoSty[Division]&lt;&gt;"")*(PptoSty[Division]&lt;&gt;"X")*(PptoSty[RowGrp]=$E291)*(ISNUMBER(FIND(PptoSty[PiColumn],I$257))),0)),$AA291),_xlpm.y,IF(_xlfn._xlws.FILTER(TbRsmIn[Alive],TbRsmIn[Enquiry No]=$E291,"X")="C",0,INDEX(INDIRECT(Mods!$B$2),MATCH($E291,INDIRECT(Mods!$B$4),0),MATCH(I$257,INDIRECT(Mods!$AL$3),0))),IF(AND(_xlpm.x=0,_xlpm.y&lt;&gt;0),-1,IF(AND(_xlpm.x&lt;&gt;0,_xlpm.y&lt;&gt;0),_xlpm.x,IF(AND(_xlpm.x-$AA291&lt;&gt;0,_xlpm.y=0),-2,_xlpm.x)))),0))</f>
        <v>0</v>
      </c>
      <c r="J291" s="282" cm="1">
        <f t="array" aca="1" ref="J291" ca="1">IF(OR($E291="",$E291="X"),0,IFERROR(_xlfn.LET(_xlpm.x,SUM(SUM(_xlfn._xlws.FILTER(VALUE(PptoSty[Sign]&amp;1)*(1/PptoSty[Division]),(PptoSty[Division]&lt;&gt;0)*(PptoSty[Division]&lt;&gt;"")*(PptoSty[Division]&lt;&gt;"X")*(PptoSty[RowGrp]=$E291)*(ISNUMBER(FIND(PptoSty[PiColumn],J$257))),0)),$AA291),_xlpm.y,IF(_xlfn._xlws.FILTER(TbRsmIn[Alive],TbRsmIn[Enquiry No]=$E291,"X")="C",0,INDEX(INDIRECT(Mods!$B$2),MATCH($E291,INDIRECT(Mods!$B$4),0),MATCH(J$257,INDIRECT(Mods!$AL$3),0))),IF(AND(_xlpm.x=0,_xlpm.y&lt;&gt;0),-1,IF(AND(_xlpm.x&lt;&gt;0,_xlpm.y&lt;&gt;0),_xlpm.x,IF(AND(_xlpm.x-$AA291&lt;&gt;0,_xlpm.y=0),-2,_xlpm.x)))),0))</f>
        <v>-1</v>
      </c>
      <c r="K291" s="282" cm="1">
        <f t="array" aca="1" ref="K291" ca="1">IF(OR($E291="",$E291="X"),0,IFERROR(_xlfn.LET(_xlpm.x,SUM(SUM(_xlfn._xlws.FILTER(VALUE(PptoSty[Sign]&amp;1)*(1/PptoSty[Division]),(PptoSty[Division]&lt;&gt;0)*(PptoSty[Division]&lt;&gt;"")*(PptoSty[Division]&lt;&gt;"X")*(PptoSty[RowGrp]=$E291)*(ISNUMBER(FIND(PptoSty[PiColumn],K$257))),0)),$AA291),_xlpm.y,IF(_xlfn._xlws.FILTER(TbRsmIn[Alive],TbRsmIn[Enquiry No]=$E291,"X")="C",0,INDEX(INDIRECT(Mods!$B$2),MATCH($E291,INDIRECT(Mods!$B$4),0),MATCH(K$257,INDIRECT(Mods!$AL$3),0))),IF(AND(_xlpm.x=0,_xlpm.y&lt;&gt;0),-1,IF(AND(_xlpm.x&lt;&gt;0,_xlpm.y&lt;&gt;0),_xlpm.x,IF(AND(_xlpm.x-$AA291&lt;&gt;0,_xlpm.y=0),-2,_xlpm.x)))),0))</f>
        <v>-1</v>
      </c>
      <c r="L291" s="282" cm="1">
        <f t="array" aca="1" ref="L291" ca="1">IF(OR($E291="",$E291="X"),0,IFERROR(_xlfn.LET(_xlpm.x,SUM(SUM(_xlfn._xlws.FILTER(VALUE(PptoSty[Sign]&amp;1)*(1/PptoSty[Division]),(PptoSty[Division]&lt;&gt;0)*(PptoSty[Division]&lt;&gt;"")*(PptoSty[Division]&lt;&gt;"X")*(PptoSty[RowGrp]=$E291)*(ISNUMBER(FIND(PptoSty[PiColumn],L$257))),0)),$AA291),_xlpm.y,IF(_xlfn._xlws.FILTER(TbRsmIn[Alive],TbRsmIn[Enquiry No]=$E291,"X")="C",0,INDEX(INDIRECT(Mods!$B$2),MATCH($E291,INDIRECT(Mods!$B$4),0),MATCH(L$257,INDIRECT(Mods!$AL$3),0))),IF(AND(_xlpm.x=0,_xlpm.y&lt;&gt;0),-1,IF(AND(_xlpm.x&lt;&gt;0,_xlpm.y&lt;&gt;0),_xlpm.x,IF(AND(_xlpm.x-$AA291&lt;&gt;0,_xlpm.y=0),-2,_xlpm.x)))),0))</f>
        <v>-1</v>
      </c>
      <c r="M291" s="282" cm="1">
        <f t="array" aca="1" ref="M291" ca="1">IF(OR($E291="",$E291="X"),0,IFERROR(_xlfn.LET(_xlpm.x,SUM(SUM(_xlfn._xlws.FILTER(VALUE(PptoSty[Sign]&amp;1)*(1/PptoSty[Division]),(PptoSty[Division]&lt;&gt;0)*(PptoSty[Division]&lt;&gt;"")*(PptoSty[Division]&lt;&gt;"X")*(PptoSty[RowGrp]=$E291)*(ISNUMBER(FIND(PptoSty[PiColumn],M$257))),0)),$AA291),_xlpm.y,IF(_xlfn._xlws.FILTER(TbRsmIn[Alive],TbRsmIn[Enquiry No]=$E291,"X")="C",0,INDEX(INDIRECT(Mods!$B$2),MATCH($E291,INDIRECT(Mods!$B$4),0),MATCH(M$257,INDIRECT(Mods!$AL$3),0))),IF(AND(_xlpm.x=0,_xlpm.y&lt;&gt;0),-1,IF(AND(_xlpm.x&lt;&gt;0,_xlpm.y&lt;&gt;0),_xlpm.x,IF(AND(_xlpm.x-$AA291&lt;&gt;0,_xlpm.y=0),-2,_xlpm.x)))),0))</f>
        <v>-1</v>
      </c>
      <c r="N291" s="282" cm="1">
        <f t="array" aca="1" ref="N291" ca="1">IF(OR($E291="",$E291="X"),0,IFERROR(_xlfn.LET(_xlpm.x,SUM(SUM(_xlfn._xlws.FILTER(VALUE(PptoSty[Sign]&amp;1)*(1/PptoSty[Division]),(PptoSty[Division]&lt;&gt;0)*(PptoSty[Division]&lt;&gt;"")*(PptoSty[Division]&lt;&gt;"X")*(PptoSty[RowGrp]=$E291)*(ISNUMBER(FIND(PptoSty[PiColumn],N$257))),0)),$AA291),_xlpm.y,IF(_xlfn._xlws.FILTER(TbRsmIn[Alive],TbRsmIn[Enquiry No]=$E291,"X")="C",0,INDEX(INDIRECT(Mods!$B$2),MATCH($E291,INDIRECT(Mods!$B$4),0),MATCH(N$257,INDIRECT(Mods!$AL$3),0))),IF(AND(_xlpm.x=0,_xlpm.y&lt;&gt;0),-1,IF(AND(_xlpm.x&lt;&gt;0,_xlpm.y&lt;&gt;0),_xlpm.x,IF(AND(_xlpm.x-$AA291&lt;&gt;0,_xlpm.y=0),-2,_xlpm.x)))),0))</f>
        <v>0</v>
      </c>
      <c r="O291" s="282" cm="1">
        <f t="array" aca="1" ref="O291" ca="1">IF(OR($E291="",$E291="X"),0,IFERROR(_xlfn.LET(_xlpm.x,SUM(SUM(_xlfn._xlws.FILTER(VALUE(PptoSty[Sign]&amp;1)*(1/PptoSty[Division]),(PptoSty[Division]&lt;&gt;0)*(PptoSty[Division]&lt;&gt;"")*(PptoSty[Division]&lt;&gt;"X")*(PptoSty[RowGrp]=$E291)*(ISNUMBER(FIND(PptoSty[PiColumn],O$257))),0)),$AA291),_xlpm.y,IF(_xlfn._xlws.FILTER(TbRsmIn[Alive],TbRsmIn[Enquiry No]=$E291,"X")="C",0,INDEX(INDIRECT(Mods!$B$2),MATCH($E291,INDIRECT(Mods!$B$4),0),MATCH(O$257,INDIRECT(Mods!$AL$3),0))),IF(AND(_xlpm.x=0,_xlpm.y&lt;&gt;0),-1,IF(AND(_xlpm.x&lt;&gt;0,_xlpm.y&lt;&gt;0),_xlpm.x,IF(AND(_xlpm.x-$AA291&lt;&gt;0,_xlpm.y=0),-2,_xlpm.x)))),0))</f>
        <v>0</v>
      </c>
      <c r="P291" s="282" cm="1">
        <f t="array" aca="1" ref="P291" ca="1">IF(OR($E291="",$E291="X"),0,IFERROR(_xlfn.LET(_xlpm.x,SUM(SUM(_xlfn._xlws.FILTER(VALUE(PptoSty[Sign]&amp;1)*(1/PptoSty[Division]),(PptoSty[Division]&lt;&gt;0)*(PptoSty[Division]&lt;&gt;"")*(PptoSty[Division]&lt;&gt;"X")*(PptoSty[RowGrp]=$E291)*(ISNUMBER(FIND(PptoSty[PiColumn],P$257))),0)),$AA291),_xlpm.y,IF(_xlfn._xlws.FILTER(TbRsmIn[Alive],TbRsmIn[Enquiry No]=$E291,"X")="C",0,INDEX(INDIRECT(Mods!$B$2),MATCH($E291,INDIRECT(Mods!$B$4),0),MATCH(P$257,INDIRECT(Mods!$AL$3),0))),IF(AND(_xlpm.x=0,_xlpm.y&lt;&gt;0),-1,IF(AND(_xlpm.x&lt;&gt;0,_xlpm.y&lt;&gt;0),_xlpm.x,IF(AND(_xlpm.x-$AA291&lt;&gt;0,_xlpm.y=0),-2,_xlpm.x)))),0))</f>
        <v>-1</v>
      </c>
      <c r="Q291" s="282" cm="1">
        <f t="array" aca="1" ref="Q291" ca="1">IF(OR($E291="",$E291="X"),0,IFERROR(_xlfn.LET(_xlpm.x,SUM(SUM(_xlfn._xlws.FILTER(VALUE(PptoSty[Sign]&amp;1)*(1/PptoSty[Division]),(PptoSty[Division]&lt;&gt;0)*(PptoSty[Division]&lt;&gt;"")*(PptoSty[Division]&lt;&gt;"X")*(PptoSty[RowGrp]=$E291)*(ISNUMBER(FIND(PptoSty[PiColumn],Q$257))),0)),$AA291),_xlpm.y,IF(_xlfn._xlws.FILTER(TbRsmIn[Alive],TbRsmIn[Enquiry No]=$E291,"X")="C",0,INDEX(INDIRECT(Mods!$B$2),MATCH($E291,INDIRECT(Mods!$B$4),0),MATCH(Q$257,INDIRECT(Mods!$AL$3),0))),IF(AND(_xlpm.x=0,_xlpm.y&lt;&gt;0),-1,IF(AND(_xlpm.x&lt;&gt;0,_xlpm.y&lt;&gt;0),_xlpm.x,IF(AND(_xlpm.x-$AA291&lt;&gt;0,_xlpm.y=0),-2,_xlpm.x)))),0))</f>
        <v>-1</v>
      </c>
      <c r="R291" s="282" cm="1">
        <f t="array" aca="1" ref="R291" ca="1">IF(OR($E291="",$E291="X"),0,IFERROR(_xlfn.LET(_xlpm.x,SUM(SUM(_xlfn._xlws.FILTER(VALUE(PptoSty[Sign]&amp;1)*(1/PptoSty[Division]),(PptoSty[Division]&lt;&gt;0)*(PptoSty[Division]&lt;&gt;"")*(PptoSty[Division]&lt;&gt;"X")*(PptoSty[RowGrp]=$E291)*(ISNUMBER(FIND(PptoSty[PiColumn],R$257))),0)),$AA291),_xlpm.y,IF(_xlfn._xlws.FILTER(TbRsmIn[Alive],TbRsmIn[Enquiry No]=$E291,"X")="C",0,INDEX(INDIRECT(Mods!$B$2),MATCH($E291,INDIRECT(Mods!$B$4),0),MATCH(R$257,INDIRECT(Mods!$AL$3),0))),IF(AND(_xlpm.x=0,_xlpm.y&lt;&gt;0),-1,IF(AND(_xlpm.x&lt;&gt;0,_xlpm.y&lt;&gt;0),_xlpm.x,IF(AND(_xlpm.x-$AA291&lt;&gt;0,_xlpm.y=0),-2,_xlpm.x)))),0))</f>
        <v>-1</v>
      </c>
      <c r="S291" s="282" cm="1">
        <f t="array" aca="1" ref="S291" ca="1">IF(OR($E291="",$E291="X"),0,IFERROR(_xlfn.LET(_xlpm.x,SUM(SUM(_xlfn._xlws.FILTER(VALUE(PptoSty[Sign]&amp;1)*(1/PptoSty[Division]),(PptoSty[Division]&lt;&gt;0)*(PptoSty[Division]&lt;&gt;"")*(PptoSty[Division]&lt;&gt;"X")*(PptoSty[RowGrp]=$E291)*(ISNUMBER(FIND(PptoSty[PiColumn],S$257))),0)),$AA291),_xlpm.y,IF(_xlfn._xlws.FILTER(TbRsmIn[Alive],TbRsmIn[Enquiry No]=$E291,"X")="C",0,INDEX(INDIRECT(Mods!$B$2),MATCH($E291,INDIRECT(Mods!$B$4),0),MATCH(S$257,INDIRECT(Mods!$AL$3),0))),IF(AND(_xlpm.x=0,_xlpm.y&lt;&gt;0),-1,IF(AND(_xlpm.x&lt;&gt;0,_xlpm.y&lt;&gt;0),_xlpm.x,IF(AND(_xlpm.x-$AA291&lt;&gt;0,_xlpm.y=0),-2,_xlpm.x)))),0))</f>
        <v>0</v>
      </c>
      <c r="T291" s="282" cm="1">
        <f t="array" aca="1" ref="T291" ca="1">IF(OR($E291="",$E291="X"),0,IFERROR(_xlfn.LET(_xlpm.x,SUM(SUM(_xlfn._xlws.FILTER(VALUE(PptoSty[Sign]&amp;1)*(1/PptoSty[Division]),(PptoSty[Division]&lt;&gt;0)*(PptoSty[Division]&lt;&gt;"")*(PptoSty[Division]&lt;&gt;"X")*(PptoSty[RowGrp]=$E291)*(ISNUMBER(FIND(PptoSty[PiColumn],T$257))),0)),$AA291),_xlpm.y,IF(_xlfn._xlws.FILTER(TbRsmIn[Alive],TbRsmIn[Enquiry No]=$E291,"X")="C",0,INDEX(INDIRECT(Mods!$B$2),MATCH($E291,INDIRECT(Mods!$B$4),0),MATCH(T$257,INDIRECT(Mods!$AL$3),0))),IF(AND(_xlpm.x=0,_xlpm.y&lt;&gt;0),-1,IF(AND(_xlpm.x&lt;&gt;0,_xlpm.y&lt;&gt;0),_xlpm.x,IF(AND(_xlpm.x-$AA291&lt;&gt;0,_xlpm.y=0),-2,_xlpm.x)))),0))</f>
        <v>0</v>
      </c>
      <c r="U291" s="282" cm="1">
        <f t="array" aca="1" ref="U291" ca="1">IF(OR($E291="",$E291="X"),0,IFERROR(_xlfn.LET(_xlpm.x,SUM(SUM(_xlfn._xlws.FILTER(VALUE(PptoSty[Sign]&amp;1)*(1/PptoSty[Division]),(PptoSty[Division]&lt;&gt;0)*(PptoSty[Division]&lt;&gt;"")*(PptoSty[Division]&lt;&gt;"X")*(PptoSty[RowGrp]=$E291)*(ISNUMBER(FIND(PptoSty[PiColumn],U$257))),0)),$AA291),_xlpm.y,IF(_xlfn._xlws.FILTER(TbRsmIn[Alive],TbRsmIn[Enquiry No]=$E291,"X")="C",0,INDEX(INDIRECT(Mods!$B$2),MATCH($E291,INDIRECT(Mods!$B$4),0),MATCH(U$257,INDIRECT(Mods!$AL$3),0))),IF(AND(_xlpm.x=0,_xlpm.y&lt;&gt;0),-1,IF(AND(_xlpm.x&lt;&gt;0,_xlpm.y&lt;&gt;0),_xlpm.x,IF(AND(_xlpm.x-$AA291&lt;&gt;0,_xlpm.y=0),-2,_xlpm.x)))),0))</f>
        <v>0</v>
      </c>
      <c r="V291" s="282" cm="1">
        <f t="array" aca="1" ref="V291" ca="1">IF(OR($E291="",$E291="X"),0,IFERROR(_xlfn.LET(_xlpm.x,SUM(SUM(_xlfn._xlws.FILTER(VALUE(PptoSty[Sign]&amp;1)*(1/PptoSty[Division]),(PptoSty[Division]&lt;&gt;0)*(PptoSty[Division]&lt;&gt;"")*(PptoSty[Division]&lt;&gt;"X")*(PptoSty[RowGrp]=$E291)*(ISNUMBER(FIND(PptoSty[PiColumn],V$257))),0)),$AA291),_xlpm.y,IF(_xlfn._xlws.FILTER(TbRsmIn[Alive],TbRsmIn[Enquiry No]=$E291,"X")="C",0,INDEX(INDIRECT(Mods!$B$2),MATCH($E291,INDIRECT(Mods!$B$4),0),MATCH(V$257,INDIRECT(Mods!$AL$3),0))),IF(AND(_xlpm.x=0,_xlpm.y&lt;&gt;0),-1,IF(AND(_xlpm.x&lt;&gt;0,_xlpm.y&lt;&gt;0),_xlpm.x,IF(AND(_xlpm.x-$AA291&lt;&gt;0,_xlpm.y=0),-2,_xlpm.x)))),0))</f>
        <v>-1</v>
      </c>
      <c r="W291" s="282" cm="1">
        <f t="array" aca="1" ref="W291" ca="1">IF(OR($E291="",$E291="X"),0,IFERROR(_xlfn.LET(_xlpm.x,SUM(SUM(_xlfn._xlws.FILTER(VALUE(PptoSty[Sign]&amp;1)*(1/PptoSty[Division]),(PptoSty[Division]&lt;&gt;0)*(PptoSty[Division]&lt;&gt;"")*(PptoSty[Division]&lt;&gt;"X")*(PptoSty[RowGrp]=$E291)*(ISNUMBER(FIND(PptoSty[PiColumn],W$257))),0)),$AA291),_xlpm.y,IF(_xlfn._xlws.FILTER(TbRsmIn[Alive],TbRsmIn[Enquiry No]=$E291,"X")="C",0,INDEX(INDIRECT(Mods!$B$2),MATCH($E291,INDIRECT(Mods!$B$4),0),MATCH(W$257,INDIRECT(Mods!$AL$3),0))),IF(AND(_xlpm.x=0,_xlpm.y&lt;&gt;0),-1,IF(AND(_xlpm.x&lt;&gt;0,_xlpm.y&lt;&gt;0),_xlpm.x,IF(AND(_xlpm.x-$AA291&lt;&gt;0,_xlpm.y=0),-2,_xlpm.x)))),0))</f>
        <v>0</v>
      </c>
      <c r="X291" s="282" cm="1">
        <f t="array" aca="1" ref="X291" ca="1">IF(OR($E291="",$E291="X"),0,IFERROR(_xlfn.LET(_xlpm.x,SUM(SUM(_xlfn._xlws.FILTER(VALUE(PptoSty[Sign]&amp;1)*(1/PptoSty[Division]),(PptoSty[Division]&lt;&gt;0)*(PptoSty[Division]&lt;&gt;"")*(PptoSty[Division]&lt;&gt;"X")*(PptoSty[RowGrp]=$E291)*(ISNUMBER(FIND(PptoSty[PiColumn],X$257))),0)),$AA291),_xlpm.y,IF(_xlfn._xlws.FILTER(TbRsmIn[Alive],TbRsmIn[Enquiry No]=$E291,"X")="C",0,INDEX(INDIRECT(Mods!$B$2),MATCH($E291,INDIRECT(Mods!$B$4),0),MATCH(X$257,INDIRECT(Mods!$AL$3),0))),IF(AND(_xlpm.x=0,_xlpm.y&lt;&gt;0),-1,IF(AND(_xlpm.x&lt;&gt;0,_xlpm.y&lt;&gt;0),_xlpm.x,IF(AND(_xlpm.x-$AA291&lt;&gt;0,_xlpm.y=0),-2,_xlpm.x)))),0))</f>
        <v>0</v>
      </c>
      <c r="Y291" s="282" cm="1">
        <f t="array" aca="1" ref="Y291" ca="1">IF(OR($E291="",$E291="X"),0,IFERROR(_xlfn.LET(_xlpm.x,SUM(SUM(_xlfn._xlws.FILTER(VALUE(PptoSty[Sign]&amp;1)*(1/PptoSty[Division]),(PptoSty[Division]&lt;&gt;0)*(PptoSty[Division]&lt;&gt;"")*(PptoSty[Division]&lt;&gt;"X")*(PptoSty[RowGrp]=$E291)*(ISNUMBER(FIND(PptoSty[PiColumn],Y$257))),0)),$AA291),_xlpm.y,IF(_xlfn._xlws.FILTER(TbRsmIn[Alive],TbRsmIn[Enquiry No]=$E291,"X")="C",0,INDEX(INDIRECT(Mods!$B$2),MATCH($E291,INDIRECT(Mods!$B$4),0),MATCH(Y$257,INDIRECT(Mods!$AL$3),0))),IF(AND(_xlpm.x=0,_xlpm.y&lt;&gt;0),-1,IF(AND(_xlpm.x&lt;&gt;0,_xlpm.y&lt;&gt;0),_xlpm.x,IF(AND(_xlpm.x-$AA291&lt;&gt;0,_xlpm.y=0),-2,_xlpm.x)))),0))</f>
        <v>-1</v>
      </c>
      <c r="Z291" s="280" t="str">
        <f t="shared" ca="1" si="8"/>
        <v>Fback!B291:Y291</v>
      </c>
      <c r="AA291" s="282" cm="1">
        <f t="array" aca="1" ref="AA291" ca="1">IF(OR($E291="",$E291="X"),0,IFERROR(SUM(_xlfn._xlws.FILTER(VALUE(#REF!&amp;1)*(1/PptoSty[PptoVsRow]),(PptoSty[PptoVsRow]&lt;&gt;0)*(PptoSty[PptoVsRow]&lt;&gt;"")*(PptoSty[PptoVsRow]&lt;&gt;"X")*(PptoSty[Num]=$E291)*(PptoSty[RowGrp]=AA$260),0)),0))</f>
        <v>0</v>
      </c>
    </row>
    <row r="292" spans="1:27" ht="21" customHeight="1" outlineLevel="1">
      <c r="B292" s="247" t="str" cm="1">
        <f t="array" ref="B292:C292">IF($E292="X","X",_xlfn._xlws.FILTER(P_SelPrj[[PrjId]:[Cia]],P_SelPrj[Attribute]=VALUE(LEFT($E292,1)),"X"))</f>
        <v>31199</v>
      </c>
      <c r="C292" s="247" t="str">
        <v>Sp</v>
      </c>
      <c r="D292" s="247" t="s">
        <v>375</v>
      </c>
      <c r="E292" s="247" t="str" cm="1">
        <f t="array" ref="E292">_xlfn.LET(_xlpm.x,IFERROR(INDEX(TbRsmIn[Enquiry No],SUM(ROW()-MATCH("SOM",$A:$A,0))),"X"),IF(_xlpm.x=0,"X",_xlpm.x))</f>
        <v>2CT011</v>
      </c>
      <c r="F292" s="413" t="str" cm="1">
        <f t="array" ref="F292">_xlfn._xlws.FILTER(CstClcData[Value],(CstClcData[Attribute]="Concept")*(CstClcData[Name]=$E292),"X")</f>
        <v>To include Marker station on PHASE 1 EOL supply.  Option 1 (New)</v>
      </c>
      <c r="G292" s="281"/>
      <c r="H292" s="281"/>
      <c r="I292" s="282" cm="1">
        <f t="array" aca="1" ref="I292" ca="1">IF(OR($E292="",$E292="X"),0,IFERROR(_xlfn.LET(_xlpm.x,SUM(SUM(_xlfn._xlws.FILTER(VALUE(PptoSty[Sign]&amp;1)*(1/PptoSty[Division]),(PptoSty[Division]&lt;&gt;0)*(PptoSty[Division]&lt;&gt;"")*(PptoSty[Division]&lt;&gt;"X")*(PptoSty[RowGrp]=$E292)*(ISNUMBER(FIND(PptoSty[PiColumn],I$257))),0)),$AA292),_xlpm.y,IF(_xlfn._xlws.FILTER(TbRsmIn[Alive],TbRsmIn[Enquiry No]=$E292,"X")="C",0,INDEX(INDIRECT(Mods!$B$2),MATCH($E292,INDIRECT(Mods!$B$4),0),MATCH(I$257,INDIRECT(Mods!$AL$3),0))),IF(AND(_xlpm.x=0,_xlpm.y&lt;&gt;0),-1,IF(AND(_xlpm.x&lt;&gt;0,_xlpm.y&lt;&gt;0),_xlpm.x,IF(AND(_xlpm.x-$AA292&lt;&gt;0,_xlpm.y=0),-2,_xlpm.x)))),0))</f>
        <v>0</v>
      </c>
      <c r="J292" s="282" cm="1">
        <f t="array" aca="1" ref="J292" ca="1">IF(OR($E292="",$E292="X"),0,IFERROR(_xlfn.LET(_xlpm.x,SUM(SUM(_xlfn._xlws.FILTER(VALUE(PptoSty[Sign]&amp;1)*(1/PptoSty[Division]),(PptoSty[Division]&lt;&gt;0)*(PptoSty[Division]&lt;&gt;"")*(PptoSty[Division]&lt;&gt;"X")*(PptoSty[RowGrp]=$E292)*(ISNUMBER(FIND(PptoSty[PiColumn],J$257))),0)),$AA292),_xlpm.y,IF(_xlfn._xlws.FILTER(TbRsmIn[Alive],TbRsmIn[Enquiry No]=$E292,"X")="C",0,INDEX(INDIRECT(Mods!$B$2),MATCH($E292,INDIRECT(Mods!$B$4),0),MATCH(J$257,INDIRECT(Mods!$AL$3),0))),IF(AND(_xlpm.x=0,_xlpm.y&lt;&gt;0),-1,IF(AND(_xlpm.x&lt;&gt;0,_xlpm.y&lt;&gt;0),_xlpm.x,IF(AND(_xlpm.x-$AA292&lt;&gt;0,_xlpm.y=0),-2,_xlpm.x)))),0))</f>
        <v>0</v>
      </c>
      <c r="K292" s="282" cm="1">
        <f t="array" aca="1" ref="K292" ca="1">IF(OR($E292="",$E292="X"),0,IFERROR(_xlfn.LET(_xlpm.x,SUM(SUM(_xlfn._xlws.FILTER(VALUE(PptoSty[Sign]&amp;1)*(1/PptoSty[Division]),(PptoSty[Division]&lt;&gt;0)*(PptoSty[Division]&lt;&gt;"")*(PptoSty[Division]&lt;&gt;"X")*(PptoSty[RowGrp]=$E292)*(ISNUMBER(FIND(PptoSty[PiColumn],K$257))),0)),$AA292),_xlpm.y,IF(_xlfn._xlws.FILTER(TbRsmIn[Alive],TbRsmIn[Enquiry No]=$E292,"X")="C",0,INDEX(INDIRECT(Mods!$B$2),MATCH($E292,INDIRECT(Mods!$B$4),0),MATCH(K$257,INDIRECT(Mods!$AL$3),0))),IF(AND(_xlpm.x=0,_xlpm.y&lt;&gt;0),-1,IF(AND(_xlpm.x&lt;&gt;0,_xlpm.y&lt;&gt;0),_xlpm.x,IF(AND(_xlpm.x-$AA292&lt;&gt;0,_xlpm.y=0),-2,_xlpm.x)))),0))</f>
        <v>0</v>
      </c>
      <c r="L292" s="282" cm="1">
        <f t="array" aca="1" ref="L292" ca="1">IF(OR($E292="",$E292="X"),0,IFERROR(_xlfn.LET(_xlpm.x,SUM(SUM(_xlfn._xlws.FILTER(VALUE(PptoSty[Sign]&amp;1)*(1/PptoSty[Division]),(PptoSty[Division]&lt;&gt;0)*(PptoSty[Division]&lt;&gt;"")*(PptoSty[Division]&lt;&gt;"X")*(PptoSty[RowGrp]=$E292)*(ISNUMBER(FIND(PptoSty[PiColumn],L$257))),0)),$AA292),_xlpm.y,IF(_xlfn._xlws.FILTER(TbRsmIn[Alive],TbRsmIn[Enquiry No]=$E292,"X")="C",0,INDEX(INDIRECT(Mods!$B$2),MATCH($E292,INDIRECT(Mods!$B$4),0),MATCH(L$257,INDIRECT(Mods!$AL$3),0))),IF(AND(_xlpm.x=0,_xlpm.y&lt;&gt;0),-1,IF(AND(_xlpm.x&lt;&gt;0,_xlpm.y&lt;&gt;0),_xlpm.x,IF(AND(_xlpm.x-$AA292&lt;&gt;0,_xlpm.y=0),-2,_xlpm.x)))),0))</f>
        <v>0</v>
      </c>
      <c r="M292" s="282" cm="1">
        <f t="array" aca="1" ref="M292" ca="1">IF(OR($E292="",$E292="X"),0,IFERROR(_xlfn.LET(_xlpm.x,SUM(SUM(_xlfn._xlws.FILTER(VALUE(PptoSty[Sign]&amp;1)*(1/PptoSty[Division]),(PptoSty[Division]&lt;&gt;0)*(PptoSty[Division]&lt;&gt;"")*(PptoSty[Division]&lt;&gt;"X")*(PptoSty[RowGrp]=$E292)*(ISNUMBER(FIND(PptoSty[PiColumn],M$257))),0)),$AA292),_xlpm.y,IF(_xlfn._xlws.FILTER(TbRsmIn[Alive],TbRsmIn[Enquiry No]=$E292,"X")="C",0,INDEX(INDIRECT(Mods!$B$2),MATCH($E292,INDIRECT(Mods!$B$4),0),MATCH(M$257,INDIRECT(Mods!$AL$3),0))),IF(AND(_xlpm.x=0,_xlpm.y&lt;&gt;0),-1,IF(AND(_xlpm.x&lt;&gt;0,_xlpm.y&lt;&gt;0),_xlpm.x,IF(AND(_xlpm.x-$AA292&lt;&gt;0,_xlpm.y=0),-2,_xlpm.x)))),0))</f>
        <v>0</v>
      </c>
      <c r="N292" s="282" cm="1">
        <f t="array" aca="1" ref="N292" ca="1">IF(OR($E292="",$E292="X"),0,IFERROR(_xlfn.LET(_xlpm.x,SUM(SUM(_xlfn._xlws.FILTER(VALUE(PptoSty[Sign]&amp;1)*(1/PptoSty[Division]),(PptoSty[Division]&lt;&gt;0)*(PptoSty[Division]&lt;&gt;"")*(PptoSty[Division]&lt;&gt;"X")*(PptoSty[RowGrp]=$E292)*(ISNUMBER(FIND(PptoSty[PiColumn],N$257))),0)),$AA292),_xlpm.y,IF(_xlfn._xlws.FILTER(TbRsmIn[Alive],TbRsmIn[Enquiry No]=$E292,"X")="C",0,INDEX(INDIRECT(Mods!$B$2),MATCH($E292,INDIRECT(Mods!$B$4),0),MATCH(N$257,INDIRECT(Mods!$AL$3),0))),IF(AND(_xlpm.x=0,_xlpm.y&lt;&gt;0),-1,IF(AND(_xlpm.x&lt;&gt;0,_xlpm.y&lt;&gt;0),_xlpm.x,IF(AND(_xlpm.x-$AA292&lt;&gt;0,_xlpm.y=0),-2,_xlpm.x)))),0))</f>
        <v>0</v>
      </c>
      <c r="O292" s="282" cm="1">
        <f t="array" aca="1" ref="O292" ca="1">IF(OR($E292="",$E292="X"),0,IFERROR(_xlfn.LET(_xlpm.x,SUM(SUM(_xlfn._xlws.FILTER(VALUE(PptoSty[Sign]&amp;1)*(1/PptoSty[Division]),(PptoSty[Division]&lt;&gt;0)*(PptoSty[Division]&lt;&gt;"")*(PptoSty[Division]&lt;&gt;"X")*(PptoSty[RowGrp]=$E292)*(ISNUMBER(FIND(PptoSty[PiColumn],O$257))),0)),$AA292),_xlpm.y,IF(_xlfn._xlws.FILTER(TbRsmIn[Alive],TbRsmIn[Enquiry No]=$E292,"X")="C",0,INDEX(INDIRECT(Mods!$B$2),MATCH($E292,INDIRECT(Mods!$B$4),0),MATCH(O$257,INDIRECT(Mods!$AL$3),0))),IF(AND(_xlpm.x=0,_xlpm.y&lt;&gt;0),-1,IF(AND(_xlpm.x&lt;&gt;0,_xlpm.y&lt;&gt;0),_xlpm.x,IF(AND(_xlpm.x-$AA292&lt;&gt;0,_xlpm.y=0),-2,_xlpm.x)))),0))</f>
        <v>0</v>
      </c>
      <c r="P292" s="282" cm="1">
        <f t="array" aca="1" ref="P292" ca="1">IF(OR($E292="",$E292="X"),0,IFERROR(_xlfn.LET(_xlpm.x,SUM(SUM(_xlfn._xlws.FILTER(VALUE(PptoSty[Sign]&amp;1)*(1/PptoSty[Division]),(PptoSty[Division]&lt;&gt;0)*(PptoSty[Division]&lt;&gt;"")*(PptoSty[Division]&lt;&gt;"X")*(PptoSty[RowGrp]=$E292)*(ISNUMBER(FIND(PptoSty[PiColumn],P$257))),0)),$AA292),_xlpm.y,IF(_xlfn._xlws.FILTER(TbRsmIn[Alive],TbRsmIn[Enquiry No]=$E292,"X")="C",0,INDEX(INDIRECT(Mods!$B$2),MATCH($E292,INDIRECT(Mods!$B$4),0),MATCH(P$257,INDIRECT(Mods!$AL$3),0))),IF(AND(_xlpm.x=0,_xlpm.y&lt;&gt;0),-1,IF(AND(_xlpm.x&lt;&gt;0,_xlpm.y&lt;&gt;0),_xlpm.x,IF(AND(_xlpm.x-$AA292&lt;&gt;0,_xlpm.y=0),-2,_xlpm.x)))),0))</f>
        <v>0</v>
      </c>
      <c r="Q292" s="282" cm="1">
        <f t="array" aca="1" ref="Q292" ca="1">IF(OR($E292="",$E292="X"),0,IFERROR(_xlfn.LET(_xlpm.x,SUM(SUM(_xlfn._xlws.FILTER(VALUE(PptoSty[Sign]&amp;1)*(1/PptoSty[Division]),(PptoSty[Division]&lt;&gt;0)*(PptoSty[Division]&lt;&gt;"")*(PptoSty[Division]&lt;&gt;"X")*(PptoSty[RowGrp]=$E292)*(ISNUMBER(FIND(PptoSty[PiColumn],Q$257))),0)),$AA292),_xlpm.y,IF(_xlfn._xlws.FILTER(TbRsmIn[Alive],TbRsmIn[Enquiry No]=$E292,"X")="C",0,INDEX(INDIRECT(Mods!$B$2),MATCH($E292,INDIRECT(Mods!$B$4),0),MATCH(Q$257,INDIRECT(Mods!$AL$3),0))),IF(AND(_xlpm.x=0,_xlpm.y&lt;&gt;0),-1,IF(AND(_xlpm.x&lt;&gt;0,_xlpm.y&lt;&gt;0),_xlpm.x,IF(AND(_xlpm.x-$AA292&lt;&gt;0,_xlpm.y=0),-2,_xlpm.x)))),0))</f>
        <v>0</v>
      </c>
      <c r="R292" s="282" cm="1">
        <f t="array" aca="1" ref="R292" ca="1">IF(OR($E292="",$E292="X"),0,IFERROR(_xlfn.LET(_xlpm.x,SUM(SUM(_xlfn._xlws.FILTER(VALUE(PptoSty[Sign]&amp;1)*(1/PptoSty[Division]),(PptoSty[Division]&lt;&gt;0)*(PptoSty[Division]&lt;&gt;"")*(PptoSty[Division]&lt;&gt;"X")*(PptoSty[RowGrp]=$E292)*(ISNUMBER(FIND(PptoSty[PiColumn],R$257))),0)),$AA292),_xlpm.y,IF(_xlfn._xlws.FILTER(TbRsmIn[Alive],TbRsmIn[Enquiry No]=$E292,"X")="C",0,INDEX(INDIRECT(Mods!$B$2),MATCH($E292,INDIRECT(Mods!$B$4),0),MATCH(R$257,INDIRECT(Mods!$AL$3),0))),IF(AND(_xlpm.x=0,_xlpm.y&lt;&gt;0),-1,IF(AND(_xlpm.x&lt;&gt;0,_xlpm.y&lt;&gt;0),_xlpm.x,IF(AND(_xlpm.x-$AA292&lt;&gt;0,_xlpm.y=0),-2,_xlpm.x)))),0))</f>
        <v>0</v>
      </c>
      <c r="S292" s="282" cm="1">
        <f t="array" aca="1" ref="S292" ca="1">IF(OR($E292="",$E292="X"),0,IFERROR(_xlfn.LET(_xlpm.x,SUM(SUM(_xlfn._xlws.FILTER(VALUE(PptoSty[Sign]&amp;1)*(1/PptoSty[Division]),(PptoSty[Division]&lt;&gt;0)*(PptoSty[Division]&lt;&gt;"")*(PptoSty[Division]&lt;&gt;"X")*(PptoSty[RowGrp]=$E292)*(ISNUMBER(FIND(PptoSty[PiColumn],S$257))),0)),$AA292),_xlpm.y,IF(_xlfn._xlws.FILTER(TbRsmIn[Alive],TbRsmIn[Enquiry No]=$E292,"X")="C",0,INDEX(INDIRECT(Mods!$B$2),MATCH($E292,INDIRECT(Mods!$B$4),0),MATCH(S$257,INDIRECT(Mods!$AL$3),0))),IF(AND(_xlpm.x=0,_xlpm.y&lt;&gt;0),-1,IF(AND(_xlpm.x&lt;&gt;0,_xlpm.y&lt;&gt;0),_xlpm.x,IF(AND(_xlpm.x-$AA292&lt;&gt;0,_xlpm.y=0),-2,_xlpm.x)))),0))</f>
        <v>0</v>
      </c>
      <c r="T292" s="282" cm="1">
        <f t="array" aca="1" ref="T292" ca="1">IF(OR($E292="",$E292="X"),0,IFERROR(_xlfn.LET(_xlpm.x,SUM(SUM(_xlfn._xlws.FILTER(VALUE(PptoSty[Sign]&amp;1)*(1/PptoSty[Division]),(PptoSty[Division]&lt;&gt;0)*(PptoSty[Division]&lt;&gt;"")*(PptoSty[Division]&lt;&gt;"X")*(PptoSty[RowGrp]=$E292)*(ISNUMBER(FIND(PptoSty[PiColumn],T$257))),0)),$AA292),_xlpm.y,IF(_xlfn._xlws.FILTER(TbRsmIn[Alive],TbRsmIn[Enquiry No]=$E292,"X")="C",0,INDEX(INDIRECT(Mods!$B$2),MATCH($E292,INDIRECT(Mods!$B$4),0),MATCH(T$257,INDIRECT(Mods!$AL$3),0))),IF(AND(_xlpm.x=0,_xlpm.y&lt;&gt;0),-1,IF(AND(_xlpm.x&lt;&gt;0,_xlpm.y&lt;&gt;0),_xlpm.x,IF(AND(_xlpm.x-$AA292&lt;&gt;0,_xlpm.y=0),-2,_xlpm.x)))),0))</f>
        <v>0</v>
      </c>
      <c r="U292" s="282" cm="1">
        <f t="array" aca="1" ref="U292" ca="1">IF(OR($E292="",$E292="X"),0,IFERROR(_xlfn.LET(_xlpm.x,SUM(SUM(_xlfn._xlws.FILTER(VALUE(PptoSty[Sign]&amp;1)*(1/PptoSty[Division]),(PptoSty[Division]&lt;&gt;0)*(PptoSty[Division]&lt;&gt;"")*(PptoSty[Division]&lt;&gt;"X")*(PptoSty[RowGrp]=$E292)*(ISNUMBER(FIND(PptoSty[PiColumn],U$257))),0)),$AA292),_xlpm.y,IF(_xlfn._xlws.FILTER(TbRsmIn[Alive],TbRsmIn[Enquiry No]=$E292,"X")="C",0,INDEX(INDIRECT(Mods!$B$2),MATCH($E292,INDIRECT(Mods!$B$4),0),MATCH(U$257,INDIRECT(Mods!$AL$3),0))),IF(AND(_xlpm.x=0,_xlpm.y&lt;&gt;0),-1,IF(AND(_xlpm.x&lt;&gt;0,_xlpm.y&lt;&gt;0),_xlpm.x,IF(AND(_xlpm.x-$AA292&lt;&gt;0,_xlpm.y=0),-2,_xlpm.x)))),0))</f>
        <v>0</v>
      </c>
      <c r="V292" s="282" cm="1">
        <f t="array" aca="1" ref="V292" ca="1">IF(OR($E292="",$E292="X"),0,IFERROR(_xlfn.LET(_xlpm.x,SUM(SUM(_xlfn._xlws.FILTER(VALUE(PptoSty[Sign]&amp;1)*(1/PptoSty[Division]),(PptoSty[Division]&lt;&gt;0)*(PptoSty[Division]&lt;&gt;"")*(PptoSty[Division]&lt;&gt;"X")*(PptoSty[RowGrp]=$E292)*(ISNUMBER(FIND(PptoSty[PiColumn],V$257))),0)),$AA292),_xlpm.y,IF(_xlfn._xlws.FILTER(TbRsmIn[Alive],TbRsmIn[Enquiry No]=$E292,"X")="C",0,INDEX(INDIRECT(Mods!$B$2),MATCH($E292,INDIRECT(Mods!$B$4),0),MATCH(V$257,INDIRECT(Mods!$AL$3),0))),IF(AND(_xlpm.x=0,_xlpm.y&lt;&gt;0),-1,IF(AND(_xlpm.x&lt;&gt;0,_xlpm.y&lt;&gt;0),_xlpm.x,IF(AND(_xlpm.x-$AA292&lt;&gt;0,_xlpm.y=0),-2,_xlpm.x)))),0))</f>
        <v>0</v>
      </c>
      <c r="W292" s="282" cm="1">
        <f t="array" aca="1" ref="W292" ca="1">IF(OR($E292="",$E292="X"),0,IFERROR(_xlfn.LET(_xlpm.x,SUM(SUM(_xlfn._xlws.FILTER(VALUE(PptoSty[Sign]&amp;1)*(1/PptoSty[Division]),(PptoSty[Division]&lt;&gt;0)*(PptoSty[Division]&lt;&gt;"")*(PptoSty[Division]&lt;&gt;"X")*(PptoSty[RowGrp]=$E292)*(ISNUMBER(FIND(PptoSty[PiColumn],W$257))),0)),$AA292),_xlpm.y,IF(_xlfn._xlws.FILTER(TbRsmIn[Alive],TbRsmIn[Enquiry No]=$E292,"X")="C",0,INDEX(INDIRECT(Mods!$B$2),MATCH($E292,INDIRECT(Mods!$B$4),0),MATCH(W$257,INDIRECT(Mods!$AL$3),0))),IF(AND(_xlpm.x=0,_xlpm.y&lt;&gt;0),-1,IF(AND(_xlpm.x&lt;&gt;0,_xlpm.y&lt;&gt;0),_xlpm.x,IF(AND(_xlpm.x-$AA292&lt;&gt;0,_xlpm.y=0),-2,_xlpm.x)))),0))</f>
        <v>0</v>
      </c>
      <c r="X292" s="282" cm="1">
        <f t="array" aca="1" ref="X292" ca="1">IF(OR($E292="",$E292="X"),0,IFERROR(_xlfn.LET(_xlpm.x,SUM(SUM(_xlfn._xlws.FILTER(VALUE(PptoSty[Sign]&amp;1)*(1/PptoSty[Division]),(PptoSty[Division]&lt;&gt;0)*(PptoSty[Division]&lt;&gt;"")*(PptoSty[Division]&lt;&gt;"X")*(PptoSty[RowGrp]=$E292)*(ISNUMBER(FIND(PptoSty[PiColumn],X$257))),0)),$AA292),_xlpm.y,IF(_xlfn._xlws.FILTER(TbRsmIn[Alive],TbRsmIn[Enquiry No]=$E292,"X")="C",0,INDEX(INDIRECT(Mods!$B$2),MATCH($E292,INDIRECT(Mods!$B$4),0),MATCH(X$257,INDIRECT(Mods!$AL$3),0))),IF(AND(_xlpm.x=0,_xlpm.y&lt;&gt;0),-1,IF(AND(_xlpm.x&lt;&gt;0,_xlpm.y&lt;&gt;0),_xlpm.x,IF(AND(_xlpm.x-$AA292&lt;&gt;0,_xlpm.y=0),-2,_xlpm.x)))),0))</f>
        <v>0</v>
      </c>
      <c r="Y292" s="282" cm="1">
        <f t="array" aca="1" ref="Y292" ca="1">IF(OR($E292="",$E292="X"),0,IFERROR(_xlfn.LET(_xlpm.x,SUM(SUM(_xlfn._xlws.FILTER(VALUE(PptoSty[Sign]&amp;1)*(1/PptoSty[Division]),(PptoSty[Division]&lt;&gt;0)*(PptoSty[Division]&lt;&gt;"")*(PptoSty[Division]&lt;&gt;"X")*(PptoSty[RowGrp]=$E292)*(ISNUMBER(FIND(PptoSty[PiColumn],Y$257))),0)),$AA292),_xlpm.y,IF(_xlfn._xlws.FILTER(TbRsmIn[Alive],TbRsmIn[Enquiry No]=$E292,"X")="C",0,INDEX(INDIRECT(Mods!$B$2),MATCH($E292,INDIRECT(Mods!$B$4),0),MATCH(Y$257,INDIRECT(Mods!$AL$3),0))),IF(AND(_xlpm.x=0,_xlpm.y&lt;&gt;0),-1,IF(AND(_xlpm.x&lt;&gt;0,_xlpm.y&lt;&gt;0),_xlpm.x,IF(AND(_xlpm.x-$AA292&lt;&gt;0,_xlpm.y=0),-2,_xlpm.x)))),0))</f>
        <v>0</v>
      </c>
      <c r="Z292" s="280" t="str">
        <f t="shared" ca="1" si="8"/>
        <v>Fback!B292:Y292</v>
      </c>
      <c r="AA292" s="282" cm="1">
        <f t="array" aca="1" ref="AA292" ca="1">IF(OR($E292="",$E292="X"),0,IFERROR(SUM(_xlfn._xlws.FILTER(VALUE(#REF!&amp;1)*(1/PptoSty[PptoVsRow]),(PptoSty[PptoVsRow]&lt;&gt;0)*(PptoSty[PptoVsRow]&lt;&gt;"")*(PptoSty[PptoVsRow]&lt;&gt;"X")*(PptoSty[Num]=$E292)*(PptoSty[RowGrp]=AA$260),0)),0))</f>
        <v>0</v>
      </c>
    </row>
    <row r="293" spans="1:27" ht="21" customHeight="1" outlineLevel="1">
      <c r="B293" s="247" t="str" cm="1">
        <f t="array" ref="B293:C293">IF($E293="X","X",_xlfn._xlws.FILTER(P_SelPrj[[PrjId]:[Cia]],P_SelPrj[Attribute]=VALUE(LEFT($E293,1)),"X"))</f>
        <v>31199</v>
      </c>
      <c r="C293" s="247" t="str">
        <v>Sp</v>
      </c>
      <c r="D293" s="247" t="s">
        <v>375</v>
      </c>
      <c r="E293" s="247" t="str" cm="1">
        <f t="array" ref="E293">_xlfn.LET(_xlpm.x,IFERROR(INDEX(TbRsmIn[Enquiry No],SUM(ROW()-MATCH("SOM",$A:$A,0))),"X"),IF(_xlpm.x=0,"X",_xlpm.x))</f>
        <v>2CT012</v>
      </c>
      <c r="F293" s="413" t="str" cm="1">
        <f t="array" ref="F293">_xlfn._xlws.FILTER(CstClcData[Value],(CstClcData[Attribute]="Concept")*(CstClcData[Name]=$E293),"X")</f>
        <v>To include Marker station on PHASE 1 EOL supply.  Option 2 (Recovered)</v>
      </c>
      <c r="G293" s="281"/>
      <c r="H293" s="281"/>
      <c r="I293" s="282" cm="1">
        <f t="array" aca="1" ref="I293" ca="1">IF(OR($E293="",$E293="X"),0,IFERROR(_xlfn.LET(_xlpm.x,SUM(SUM(_xlfn._xlws.FILTER(VALUE(PptoSty[Sign]&amp;1)*(1/PptoSty[Division]),(PptoSty[Division]&lt;&gt;0)*(PptoSty[Division]&lt;&gt;"")*(PptoSty[Division]&lt;&gt;"X")*(PptoSty[RowGrp]=$E293)*(ISNUMBER(FIND(PptoSty[PiColumn],I$257))),0)),$AA293),_xlpm.y,IF(_xlfn._xlws.FILTER(TbRsmIn[Alive],TbRsmIn[Enquiry No]=$E293,"X")="C",0,INDEX(INDIRECT(Mods!$B$2),MATCH($E293,INDIRECT(Mods!$B$4),0),MATCH(I$257,INDIRECT(Mods!$AL$3),0))),IF(AND(_xlpm.x=0,_xlpm.y&lt;&gt;0),-1,IF(AND(_xlpm.x&lt;&gt;0,_xlpm.y&lt;&gt;0),_xlpm.x,IF(AND(_xlpm.x-$AA293&lt;&gt;0,_xlpm.y=0),-2,_xlpm.x)))),0))</f>
        <v>-1</v>
      </c>
      <c r="J293" s="282" cm="1">
        <f t="array" aca="1" ref="J293" ca="1">IF(OR($E293="",$E293="X"),0,IFERROR(_xlfn.LET(_xlpm.x,SUM(SUM(_xlfn._xlws.FILTER(VALUE(PptoSty[Sign]&amp;1)*(1/PptoSty[Division]),(PptoSty[Division]&lt;&gt;0)*(PptoSty[Division]&lt;&gt;"")*(PptoSty[Division]&lt;&gt;"X")*(PptoSty[RowGrp]=$E293)*(ISNUMBER(FIND(PptoSty[PiColumn],J$257))),0)),$AA293),_xlpm.y,IF(_xlfn._xlws.FILTER(TbRsmIn[Alive],TbRsmIn[Enquiry No]=$E293,"X")="C",0,INDEX(INDIRECT(Mods!$B$2),MATCH($E293,INDIRECT(Mods!$B$4),0),MATCH(J$257,INDIRECT(Mods!$AL$3),0))),IF(AND(_xlpm.x=0,_xlpm.y&lt;&gt;0),-1,IF(AND(_xlpm.x&lt;&gt;0,_xlpm.y&lt;&gt;0),_xlpm.x,IF(AND(_xlpm.x-$AA293&lt;&gt;0,_xlpm.y=0),-2,_xlpm.x)))),0))</f>
        <v>-1</v>
      </c>
      <c r="K293" s="282" cm="1">
        <f t="array" aca="1" ref="K293" ca="1">IF(OR($E293="",$E293="X"),0,IFERROR(_xlfn.LET(_xlpm.x,SUM(SUM(_xlfn._xlws.FILTER(VALUE(PptoSty[Sign]&amp;1)*(1/PptoSty[Division]),(PptoSty[Division]&lt;&gt;0)*(PptoSty[Division]&lt;&gt;"")*(PptoSty[Division]&lt;&gt;"X")*(PptoSty[RowGrp]=$E293)*(ISNUMBER(FIND(PptoSty[PiColumn],K$257))),0)),$AA293),_xlpm.y,IF(_xlfn._xlws.FILTER(TbRsmIn[Alive],TbRsmIn[Enquiry No]=$E293,"X")="C",0,INDEX(INDIRECT(Mods!$B$2),MATCH($E293,INDIRECT(Mods!$B$4),0),MATCH(K$257,INDIRECT(Mods!$AL$3),0))),IF(AND(_xlpm.x=0,_xlpm.y&lt;&gt;0),-1,IF(AND(_xlpm.x&lt;&gt;0,_xlpm.y&lt;&gt;0),_xlpm.x,IF(AND(_xlpm.x-$AA293&lt;&gt;0,_xlpm.y=0),-2,_xlpm.x)))),0))</f>
        <v>-1</v>
      </c>
      <c r="L293" s="282" cm="1">
        <f t="array" aca="1" ref="L293" ca="1">IF(OR($E293="",$E293="X"),0,IFERROR(_xlfn.LET(_xlpm.x,SUM(SUM(_xlfn._xlws.FILTER(VALUE(PptoSty[Sign]&amp;1)*(1/PptoSty[Division]),(PptoSty[Division]&lt;&gt;0)*(PptoSty[Division]&lt;&gt;"")*(PptoSty[Division]&lt;&gt;"X")*(PptoSty[RowGrp]=$E293)*(ISNUMBER(FIND(PptoSty[PiColumn],L$257))),0)),$AA293),_xlpm.y,IF(_xlfn._xlws.FILTER(TbRsmIn[Alive],TbRsmIn[Enquiry No]=$E293,"X")="C",0,INDEX(INDIRECT(Mods!$B$2),MATCH($E293,INDIRECT(Mods!$B$4),0),MATCH(L$257,INDIRECT(Mods!$AL$3),0))),IF(AND(_xlpm.x=0,_xlpm.y&lt;&gt;0),-1,IF(AND(_xlpm.x&lt;&gt;0,_xlpm.y&lt;&gt;0),_xlpm.x,IF(AND(_xlpm.x-$AA293&lt;&gt;0,_xlpm.y=0),-2,_xlpm.x)))),0))</f>
        <v>-1</v>
      </c>
      <c r="M293" s="282" cm="1">
        <f t="array" aca="1" ref="M293" ca="1">IF(OR($E293="",$E293="X"),0,IFERROR(_xlfn.LET(_xlpm.x,SUM(SUM(_xlfn._xlws.FILTER(VALUE(PptoSty[Sign]&amp;1)*(1/PptoSty[Division]),(PptoSty[Division]&lt;&gt;0)*(PptoSty[Division]&lt;&gt;"")*(PptoSty[Division]&lt;&gt;"X")*(PptoSty[RowGrp]=$E293)*(ISNUMBER(FIND(PptoSty[PiColumn],M$257))),0)),$AA293),_xlpm.y,IF(_xlfn._xlws.FILTER(TbRsmIn[Alive],TbRsmIn[Enquiry No]=$E293,"X")="C",0,INDEX(INDIRECT(Mods!$B$2),MATCH($E293,INDIRECT(Mods!$B$4),0),MATCH(M$257,INDIRECT(Mods!$AL$3),0))),IF(AND(_xlpm.x=0,_xlpm.y&lt;&gt;0),-1,IF(AND(_xlpm.x&lt;&gt;0,_xlpm.y&lt;&gt;0),_xlpm.x,IF(AND(_xlpm.x-$AA293&lt;&gt;0,_xlpm.y=0),-2,_xlpm.x)))),0))</f>
        <v>-1</v>
      </c>
      <c r="N293" s="282" cm="1">
        <f t="array" aca="1" ref="N293" ca="1">IF(OR($E293="",$E293="X"),0,IFERROR(_xlfn.LET(_xlpm.x,SUM(SUM(_xlfn._xlws.FILTER(VALUE(PptoSty[Sign]&amp;1)*(1/PptoSty[Division]),(PptoSty[Division]&lt;&gt;0)*(PptoSty[Division]&lt;&gt;"")*(PptoSty[Division]&lt;&gt;"X")*(PptoSty[RowGrp]=$E293)*(ISNUMBER(FIND(PptoSty[PiColumn],N$257))),0)),$AA293),_xlpm.y,IF(_xlfn._xlws.FILTER(TbRsmIn[Alive],TbRsmIn[Enquiry No]=$E293,"X")="C",0,INDEX(INDIRECT(Mods!$B$2),MATCH($E293,INDIRECT(Mods!$B$4),0),MATCH(N$257,INDIRECT(Mods!$AL$3),0))),IF(AND(_xlpm.x=0,_xlpm.y&lt;&gt;0),-1,IF(AND(_xlpm.x&lt;&gt;0,_xlpm.y&lt;&gt;0),_xlpm.x,IF(AND(_xlpm.x-$AA293&lt;&gt;0,_xlpm.y=0),-2,_xlpm.x)))),0))</f>
        <v>0</v>
      </c>
      <c r="O293" s="282" cm="1">
        <f t="array" aca="1" ref="O293" ca="1">IF(OR($E293="",$E293="X"),0,IFERROR(_xlfn.LET(_xlpm.x,SUM(SUM(_xlfn._xlws.FILTER(VALUE(PptoSty[Sign]&amp;1)*(1/PptoSty[Division]),(PptoSty[Division]&lt;&gt;0)*(PptoSty[Division]&lt;&gt;"")*(PptoSty[Division]&lt;&gt;"X")*(PptoSty[RowGrp]=$E293)*(ISNUMBER(FIND(PptoSty[PiColumn],O$257))),0)),$AA293),_xlpm.y,IF(_xlfn._xlws.FILTER(TbRsmIn[Alive],TbRsmIn[Enquiry No]=$E293,"X")="C",0,INDEX(INDIRECT(Mods!$B$2),MATCH($E293,INDIRECT(Mods!$B$4),0),MATCH(O$257,INDIRECT(Mods!$AL$3),0))),IF(AND(_xlpm.x=0,_xlpm.y&lt;&gt;0),-1,IF(AND(_xlpm.x&lt;&gt;0,_xlpm.y&lt;&gt;0),_xlpm.x,IF(AND(_xlpm.x-$AA293&lt;&gt;0,_xlpm.y=0),-2,_xlpm.x)))),0))</f>
        <v>0</v>
      </c>
      <c r="P293" s="282" cm="1">
        <f t="array" aca="1" ref="P293" ca="1">IF(OR($E293="",$E293="X"),0,IFERROR(_xlfn.LET(_xlpm.x,SUM(SUM(_xlfn._xlws.FILTER(VALUE(PptoSty[Sign]&amp;1)*(1/PptoSty[Division]),(PptoSty[Division]&lt;&gt;0)*(PptoSty[Division]&lt;&gt;"")*(PptoSty[Division]&lt;&gt;"X")*(PptoSty[RowGrp]=$E293)*(ISNUMBER(FIND(PptoSty[PiColumn],P$257))),0)),$AA293),_xlpm.y,IF(_xlfn._xlws.FILTER(TbRsmIn[Alive],TbRsmIn[Enquiry No]=$E293,"X")="C",0,INDEX(INDIRECT(Mods!$B$2),MATCH($E293,INDIRECT(Mods!$B$4),0),MATCH(P$257,INDIRECT(Mods!$AL$3),0))),IF(AND(_xlpm.x=0,_xlpm.y&lt;&gt;0),-1,IF(AND(_xlpm.x&lt;&gt;0,_xlpm.y&lt;&gt;0),_xlpm.x,IF(AND(_xlpm.x-$AA293&lt;&gt;0,_xlpm.y=0),-2,_xlpm.x)))),0))</f>
        <v>-1</v>
      </c>
      <c r="Q293" s="282" cm="1">
        <f t="array" aca="1" ref="Q293" ca="1">IF(OR($E293="",$E293="X"),0,IFERROR(_xlfn.LET(_xlpm.x,SUM(SUM(_xlfn._xlws.FILTER(VALUE(PptoSty[Sign]&amp;1)*(1/PptoSty[Division]),(PptoSty[Division]&lt;&gt;0)*(PptoSty[Division]&lt;&gt;"")*(PptoSty[Division]&lt;&gt;"X")*(PptoSty[RowGrp]=$E293)*(ISNUMBER(FIND(PptoSty[PiColumn],Q$257))),0)),$AA293),_xlpm.y,IF(_xlfn._xlws.FILTER(TbRsmIn[Alive],TbRsmIn[Enquiry No]=$E293,"X")="C",0,INDEX(INDIRECT(Mods!$B$2),MATCH($E293,INDIRECT(Mods!$B$4),0),MATCH(Q$257,INDIRECT(Mods!$AL$3),0))),IF(AND(_xlpm.x=0,_xlpm.y&lt;&gt;0),-1,IF(AND(_xlpm.x&lt;&gt;0,_xlpm.y&lt;&gt;0),_xlpm.x,IF(AND(_xlpm.x-$AA293&lt;&gt;0,_xlpm.y=0),-2,_xlpm.x)))),0))</f>
        <v>-1</v>
      </c>
      <c r="R293" s="282" cm="1">
        <f t="array" aca="1" ref="R293" ca="1">IF(OR($E293="",$E293="X"),0,IFERROR(_xlfn.LET(_xlpm.x,SUM(SUM(_xlfn._xlws.FILTER(VALUE(PptoSty[Sign]&amp;1)*(1/PptoSty[Division]),(PptoSty[Division]&lt;&gt;0)*(PptoSty[Division]&lt;&gt;"")*(PptoSty[Division]&lt;&gt;"X")*(PptoSty[RowGrp]=$E293)*(ISNUMBER(FIND(PptoSty[PiColumn],R$257))),0)),$AA293),_xlpm.y,IF(_xlfn._xlws.FILTER(TbRsmIn[Alive],TbRsmIn[Enquiry No]=$E293,"X")="C",0,INDEX(INDIRECT(Mods!$B$2),MATCH($E293,INDIRECT(Mods!$B$4),0),MATCH(R$257,INDIRECT(Mods!$AL$3),0))),IF(AND(_xlpm.x=0,_xlpm.y&lt;&gt;0),-1,IF(AND(_xlpm.x&lt;&gt;0,_xlpm.y&lt;&gt;0),_xlpm.x,IF(AND(_xlpm.x-$AA293&lt;&gt;0,_xlpm.y=0),-2,_xlpm.x)))),0))</f>
        <v>-1</v>
      </c>
      <c r="S293" s="282" cm="1">
        <f t="array" aca="1" ref="S293" ca="1">IF(OR($E293="",$E293="X"),0,IFERROR(_xlfn.LET(_xlpm.x,SUM(SUM(_xlfn._xlws.FILTER(VALUE(PptoSty[Sign]&amp;1)*(1/PptoSty[Division]),(PptoSty[Division]&lt;&gt;0)*(PptoSty[Division]&lt;&gt;"")*(PptoSty[Division]&lt;&gt;"X")*(PptoSty[RowGrp]=$E293)*(ISNUMBER(FIND(PptoSty[PiColumn],S$257))),0)),$AA293),_xlpm.y,IF(_xlfn._xlws.FILTER(TbRsmIn[Alive],TbRsmIn[Enquiry No]=$E293,"X")="C",0,INDEX(INDIRECT(Mods!$B$2),MATCH($E293,INDIRECT(Mods!$B$4),0),MATCH(S$257,INDIRECT(Mods!$AL$3),0))),IF(AND(_xlpm.x=0,_xlpm.y&lt;&gt;0),-1,IF(AND(_xlpm.x&lt;&gt;0,_xlpm.y&lt;&gt;0),_xlpm.x,IF(AND(_xlpm.x-$AA293&lt;&gt;0,_xlpm.y=0),-2,_xlpm.x)))),0))</f>
        <v>-1</v>
      </c>
      <c r="T293" s="282" cm="1">
        <f t="array" aca="1" ref="T293" ca="1">IF(OR($E293="",$E293="X"),0,IFERROR(_xlfn.LET(_xlpm.x,SUM(SUM(_xlfn._xlws.FILTER(VALUE(PptoSty[Sign]&amp;1)*(1/PptoSty[Division]),(PptoSty[Division]&lt;&gt;0)*(PptoSty[Division]&lt;&gt;"")*(PptoSty[Division]&lt;&gt;"X")*(PptoSty[RowGrp]=$E293)*(ISNUMBER(FIND(PptoSty[PiColumn],T$257))),0)),$AA293),_xlpm.y,IF(_xlfn._xlws.FILTER(TbRsmIn[Alive],TbRsmIn[Enquiry No]=$E293,"X")="C",0,INDEX(INDIRECT(Mods!$B$2),MATCH($E293,INDIRECT(Mods!$B$4),0),MATCH(T$257,INDIRECT(Mods!$AL$3),0))),IF(AND(_xlpm.x=0,_xlpm.y&lt;&gt;0),-1,IF(AND(_xlpm.x&lt;&gt;0,_xlpm.y&lt;&gt;0),_xlpm.x,IF(AND(_xlpm.x-$AA293&lt;&gt;0,_xlpm.y=0),-2,_xlpm.x)))),0))</f>
        <v>-1</v>
      </c>
      <c r="U293" s="282" cm="1">
        <f t="array" aca="1" ref="U293" ca="1">IF(OR($E293="",$E293="X"),0,IFERROR(_xlfn.LET(_xlpm.x,SUM(SUM(_xlfn._xlws.FILTER(VALUE(PptoSty[Sign]&amp;1)*(1/PptoSty[Division]),(PptoSty[Division]&lt;&gt;0)*(PptoSty[Division]&lt;&gt;"")*(PptoSty[Division]&lt;&gt;"X")*(PptoSty[RowGrp]=$E293)*(ISNUMBER(FIND(PptoSty[PiColumn],U$257))),0)),$AA293),_xlpm.y,IF(_xlfn._xlws.FILTER(TbRsmIn[Alive],TbRsmIn[Enquiry No]=$E293,"X")="C",0,INDEX(INDIRECT(Mods!$B$2),MATCH($E293,INDIRECT(Mods!$B$4),0),MATCH(U$257,INDIRECT(Mods!$AL$3),0))),IF(AND(_xlpm.x=0,_xlpm.y&lt;&gt;0),-1,IF(AND(_xlpm.x&lt;&gt;0,_xlpm.y&lt;&gt;0),_xlpm.x,IF(AND(_xlpm.x-$AA293&lt;&gt;0,_xlpm.y=0),-2,_xlpm.x)))),0))</f>
        <v>0</v>
      </c>
      <c r="V293" s="282" cm="1">
        <f t="array" aca="1" ref="V293" ca="1">IF(OR($E293="",$E293="X"),0,IFERROR(_xlfn.LET(_xlpm.x,SUM(SUM(_xlfn._xlws.FILTER(VALUE(PptoSty[Sign]&amp;1)*(1/PptoSty[Division]),(PptoSty[Division]&lt;&gt;0)*(PptoSty[Division]&lt;&gt;"")*(PptoSty[Division]&lt;&gt;"X")*(PptoSty[RowGrp]=$E293)*(ISNUMBER(FIND(PptoSty[PiColumn],V$257))),0)),$AA293),_xlpm.y,IF(_xlfn._xlws.FILTER(TbRsmIn[Alive],TbRsmIn[Enquiry No]=$E293,"X")="C",0,INDEX(INDIRECT(Mods!$B$2),MATCH($E293,INDIRECT(Mods!$B$4),0),MATCH(V$257,INDIRECT(Mods!$AL$3),0))),IF(AND(_xlpm.x=0,_xlpm.y&lt;&gt;0),-1,IF(AND(_xlpm.x&lt;&gt;0,_xlpm.y&lt;&gt;0),_xlpm.x,IF(AND(_xlpm.x-$AA293&lt;&gt;0,_xlpm.y=0),-2,_xlpm.x)))),0))</f>
        <v>-1</v>
      </c>
      <c r="W293" s="282" cm="1">
        <f t="array" aca="1" ref="W293" ca="1">IF(OR($E293="",$E293="X"),0,IFERROR(_xlfn.LET(_xlpm.x,SUM(SUM(_xlfn._xlws.FILTER(VALUE(PptoSty[Sign]&amp;1)*(1/PptoSty[Division]),(PptoSty[Division]&lt;&gt;0)*(PptoSty[Division]&lt;&gt;"")*(PptoSty[Division]&lt;&gt;"X")*(PptoSty[RowGrp]=$E293)*(ISNUMBER(FIND(PptoSty[PiColumn],W$257))),0)),$AA293),_xlpm.y,IF(_xlfn._xlws.FILTER(TbRsmIn[Alive],TbRsmIn[Enquiry No]=$E293,"X")="C",0,INDEX(INDIRECT(Mods!$B$2),MATCH($E293,INDIRECT(Mods!$B$4),0),MATCH(W$257,INDIRECT(Mods!$AL$3),0))),IF(AND(_xlpm.x=0,_xlpm.y&lt;&gt;0),-1,IF(AND(_xlpm.x&lt;&gt;0,_xlpm.y&lt;&gt;0),_xlpm.x,IF(AND(_xlpm.x-$AA293&lt;&gt;0,_xlpm.y=0),-2,_xlpm.x)))),0))</f>
        <v>0</v>
      </c>
      <c r="X293" s="282" cm="1">
        <f t="array" aca="1" ref="X293" ca="1">IF(OR($E293="",$E293="X"),0,IFERROR(_xlfn.LET(_xlpm.x,SUM(SUM(_xlfn._xlws.FILTER(VALUE(PptoSty[Sign]&amp;1)*(1/PptoSty[Division]),(PptoSty[Division]&lt;&gt;0)*(PptoSty[Division]&lt;&gt;"")*(PptoSty[Division]&lt;&gt;"X")*(PptoSty[RowGrp]=$E293)*(ISNUMBER(FIND(PptoSty[PiColumn],X$257))),0)),$AA293),_xlpm.y,IF(_xlfn._xlws.FILTER(TbRsmIn[Alive],TbRsmIn[Enquiry No]=$E293,"X")="C",0,INDEX(INDIRECT(Mods!$B$2),MATCH($E293,INDIRECT(Mods!$B$4),0),MATCH(X$257,INDIRECT(Mods!$AL$3),0))),IF(AND(_xlpm.x=0,_xlpm.y&lt;&gt;0),-1,IF(AND(_xlpm.x&lt;&gt;0,_xlpm.y&lt;&gt;0),_xlpm.x,IF(AND(_xlpm.x-$AA293&lt;&gt;0,_xlpm.y=0),-2,_xlpm.x)))),0))</f>
        <v>0</v>
      </c>
      <c r="Y293" s="282" cm="1">
        <f t="array" aca="1" ref="Y293" ca="1">IF(OR($E293="",$E293="X"),0,IFERROR(_xlfn.LET(_xlpm.x,SUM(SUM(_xlfn._xlws.FILTER(VALUE(PptoSty[Sign]&amp;1)*(1/PptoSty[Division]),(PptoSty[Division]&lt;&gt;0)*(PptoSty[Division]&lt;&gt;"")*(PptoSty[Division]&lt;&gt;"X")*(PptoSty[RowGrp]=$E293)*(ISNUMBER(FIND(PptoSty[PiColumn],Y$257))),0)),$AA293),_xlpm.y,IF(_xlfn._xlws.FILTER(TbRsmIn[Alive],TbRsmIn[Enquiry No]=$E293,"X")="C",0,INDEX(INDIRECT(Mods!$B$2),MATCH($E293,INDIRECT(Mods!$B$4),0),MATCH(Y$257,INDIRECT(Mods!$AL$3),0))),IF(AND(_xlpm.x=0,_xlpm.y&lt;&gt;0),-1,IF(AND(_xlpm.x&lt;&gt;0,_xlpm.y&lt;&gt;0),_xlpm.x,IF(AND(_xlpm.x-$AA293&lt;&gt;0,_xlpm.y=0),-2,_xlpm.x)))),0))</f>
        <v>-1</v>
      </c>
      <c r="Z293" s="280" t="str">
        <f t="shared" ca="1" si="8"/>
        <v>Fback!B293:Y293</v>
      </c>
      <c r="AA293" s="282" cm="1">
        <f t="array" aca="1" ref="AA293" ca="1">IF(OR($E293="",$E293="X"),0,IFERROR(SUM(_xlfn._xlws.FILTER(VALUE(#REF!&amp;1)*(1/PptoSty[PptoVsRow]),(PptoSty[PptoVsRow]&lt;&gt;0)*(PptoSty[PptoVsRow]&lt;&gt;"")*(PptoSty[PptoVsRow]&lt;&gt;"X")*(PptoSty[Num]=$E293)*(PptoSty[RowGrp]=AA$260),0)),0))</f>
        <v>0</v>
      </c>
    </row>
    <row r="294" spans="1:27" ht="21" customHeight="1" outlineLevel="1">
      <c r="B294" s="247" t="str" cm="1">
        <f t="array" ref="B294:C294">IF($E294="X","X",_xlfn._xlws.FILTER(P_SelPrj[[PrjId]:[Cia]],P_SelPrj[Attribute]=VALUE(LEFT($E294,1)),"X"))</f>
        <v>31199</v>
      </c>
      <c r="C294" s="247" t="str">
        <v>Sp</v>
      </c>
      <c r="D294" s="247" t="s">
        <v>375</v>
      </c>
      <c r="E294" s="247" t="str" cm="1">
        <f t="array" ref="E294">_xlfn.LET(_xlpm.x,IFERROR(INDEX(TbRsmIn[Enquiry No],SUM(ROW()-MATCH("SOM",$A:$A,0))),"X"),IF(_xlpm.x=0,"X",_xlpm.x))</f>
        <v>2CT013</v>
      </c>
      <c r="F294" s="413" t="str" cm="1">
        <f t="array" ref="F294">_xlfn._xlws.FILTER(CstClcData[Value],(CstClcData[Attribute]="Concept")*(CstClcData[Name]=$E294),"X")</f>
        <v>Cost engineering, manufacturing, pre-mounting and shipment related to ECR5883</v>
      </c>
      <c r="G294" s="281"/>
      <c r="H294" s="281"/>
      <c r="I294" s="282" cm="1">
        <f t="array" aca="1" ref="I294" ca="1">IF(OR($E294="",$E294="X"),0,IFERROR(_xlfn.LET(_xlpm.x,SUM(SUM(_xlfn._xlws.FILTER(VALUE(PptoSty[Sign]&amp;1)*(1/PptoSty[Division]),(PptoSty[Division]&lt;&gt;0)*(PptoSty[Division]&lt;&gt;"")*(PptoSty[Division]&lt;&gt;"X")*(PptoSty[RowGrp]=$E294)*(ISNUMBER(FIND(PptoSty[PiColumn],I$257))),0)),$AA294),_xlpm.y,IF(_xlfn._xlws.FILTER(TbRsmIn[Alive],TbRsmIn[Enquiry No]=$E294,"X")="C",0,INDEX(INDIRECT(Mods!$B$2),MATCH($E294,INDIRECT(Mods!$B$4),0),MATCH(I$257,INDIRECT(Mods!$AL$3),0))),IF(AND(_xlpm.x=0,_xlpm.y&lt;&gt;0),-1,IF(AND(_xlpm.x&lt;&gt;0,_xlpm.y&lt;&gt;0),_xlpm.x,IF(AND(_xlpm.x-$AA294&lt;&gt;0,_xlpm.y=0),-2,_xlpm.x)))),0))</f>
        <v>0</v>
      </c>
      <c r="J294" s="282" cm="1">
        <f t="array" aca="1" ref="J294" ca="1">IF(OR($E294="",$E294="X"),0,IFERROR(_xlfn.LET(_xlpm.x,SUM(SUM(_xlfn._xlws.FILTER(VALUE(PptoSty[Sign]&amp;1)*(1/PptoSty[Division]),(PptoSty[Division]&lt;&gt;0)*(PptoSty[Division]&lt;&gt;"")*(PptoSty[Division]&lt;&gt;"X")*(PptoSty[RowGrp]=$E294)*(ISNUMBER(FIND(PptoSty[PiColumn],J$257))),0)),$AA294),_xlpm.y,IF(_xlfn._xlws.FILTER(TbRsmIn[Alive],TbRsmIn[Enquiry No]=$E294,"X")="C",0,INDEX(INDIRECT(Mods!$B$2),MATCH($E294,INDIRECT(Mods!$B$4),0),MATCH(J$257,INDIRECT(Mods!$AL$3),0))),IF(AND(_xlpm.x=0,_xlpm.y&lt;&gt;0),-1,IF(AND(_xlpm.x&lt;&gt;0,_xlpm.y&lt;&gt;0),_xlpm.x,IF(AND(_xlpm.x-$AA294&lt;&gt;0,_xlpm.y=0),-2,_xlpm.x)))),0))</f>
        <v>-1</v>
      </c>
      <c r="K294" s="282" cm="1">
        <f t="array" aca="1" ref="K294" ca="1">IF(OR($E294="",$E294="X"),0,IFERROR(_xlfn.LET(_xlpm.x,SUM(SUM(_xlfn._xlws.FILTER(VALUE(PptoSty[Sign]&amp;1)*(1/PptoSty[Division]),(PptoSty[Division]&lt;&gt;0)*(PptoSty[Division]&lt;&gt;"")*(PptoSty[Division]&lt;&gt;"X")*(PptoSty[RowGrp]=$E294)*(ISNUMBER(FIND(PptoSty[PiColumn],K$257))),0)),$AA294),_xlpm.y,IF(_xlfn._xlws.FILTER(TbRsmIn[Alive],TbRsmIn[Enquiry No]=$E294,"X")="C",0,INDEX(INDIRECT(Mods!$B$2),MATCH($E294,INDIRECT(Mods!$B$4),0),MATCH(K$257,INDIRECT(Mods!$AL$3),0))),IF(AND(_xlpm.x=0,_xlpm.y&lt;&gt;0),-1,IF(AND(_xlpm.x&lt;&gt;0,_xlpm.y&lt;&gt;0),_xlpm.x,IF(AND(_xlpm.x-$AA294&lt;&gt;0,_xlpm.y=0),-2,_xlpm.x)))),0))</f>
        <v>-1</v>
      </c>
      <c r="L294" s="282" cm="1">
        <f t="array" aca="1" ref="L294" ca="1">IF(OR($E294="",$E294="X"),0,IFERROR(_xlfn.LET(_xlpm.x,SUM(SUM(_xlfn._xlws.FILTER(VALUE(PptoSty[Sign]&amp;1)*(1/PptoSty[Division]),(PptoSty[Division]&lt;&gt;0)*(PptoSty[Division]&lt;&gt;"")*(PptoSty[Division]&lt;&gt;"X")*(PptoSty[RowGrp]=$E294)*(ISNUMBER(FIND(PptoSty[PiColumn],L$257))),0)),$AA294),_xlpm.y,IF(_xlfn._xlws.FILTER(TbRsmIn[Alive],TbRsmIn[Enquiry No]=$E294,"X")="C",0,INDEX(INDIRECT(Mods!$B$2),MATCH($E294,INDIRECT(Mods!$B$4),0),MATCH(L$257,INDIRECT(Mods!$AL$3),0))),IF(AND(_xlpm.x=0,_xlpm.y&lt;&gt;0),-1,IF(AND(_xlpm.x&lt;&gt;0,_xlpm.y&lt;&gt;0),_xlpm.x,IF(AND(_xlpm.x-$AA294&lt;&gt;0,_xlpm.y=0),-2,_xlpm.x)))),0))</f>
        <v>-1</v>
      </c>
      <c r="M294" s="282" cm="1">
        <f t="array" aca="1" ref="M294" ca="1">IF(OR($E294="",$E294="X"),0,IFERROR(_xlfn.LET(_xlpm.x,SUM(SUM(_xlfn._xlws.FILTER(VALUE(PptoSty[Sign]&amp;1)*(1/PptoSty[Division]),(PptoSty[Division]&lt;&gt;0)*(PptoSty[Division]&lt;&gt;"")*(PptoSty[Division]&lt;&gt;"X")*(PptoSty[RowGrp]=$E294)*(ISNUMBER(FIND(PptoSty[PiColumn],M$257))),0)),$AA294),_xlpm.y,IF(_xlfn._xlws.FILTER(TbRsmIn[Alive],TbRsmIn[Enquiry No]=$E294,"X")="C",0,INDEX(INDIRECT(Mods!$B$2),MATCH($E294,INDIRECT(Mods!$B$4),0),MATCH(M$257,INDIRECT(Mods!$AL$3),0))),IF(AND(_xlpm.x=0,_xlpm.y&lt;&gt;0),-1,IF(AND(_xlpm.x&lt;&gt;0,_xlpm.y&lt;&gt;0),_xlpm.x,IF(AND(_xlpm.x-$AA294&lt;&gt;0,_xlpm.y=0),-2,_xlpm.x)))),0))</f>
        <v>-1</v>
      </c>
      <c r="N294" s="282" cm="1">
        <f t="array" aca="1" ref="N294" ca="1">IF(OR($E294="",$E294="X"),0,IFERROR(_xlfn.LET(_xlpm.x,SUM(SUM(_xlfn._xlws.FILTER(VALUE(PptoSty[Sign]&amp;1)*(1/PptoSty[Division]),(PptoSty[Division]&lt;&gt;0)*(PptoSty[Division]&lt;&gt;"")*(PptoSty[Division]&lt;&gt;"X")*(PptoSty[RowGrp]=$E294)*(ISNUMBER(FIND(PptoSty[PiColumn],N$257))),0)),$AA294),_xlpm.y,IF(_xlfn._xlws.FILTER(TbRsmIn[Alive],TbRsmIn[Enquiry No]=$E294,"X")="C",0,INDEX(INDIRECT(Mods!$B$2),MATCH($E294,INDIRECT(Mods!$B$4),0),MATCH(N$257,INDIRECT(Mods!$AL$3),0))),IF(AND(_xlpm.x=0,_xlpm.y&lt;&gt;0),-1,IF(AND(_xlpm.x&lt;&gt;0,_xlpm.y&lt;&gt;0),_xlpm.x,IF(AND(_xlpm.x-$AA294&lt;&gt;0,_xlpm.y=0),-2,_xlpm.x)))),0))</f>
        <v>0</v>
      </c>
      <c r="O294" s="282" cm="1">
        <f t="array" aca="1" ref="O294" ca="1">IF(OR($E294="",$E294="X"),0,IFERROR(_xlfn.LET(_xlpm.x,SUM(SUM(_xlfn._xlws.FILTER(VALUE(PptoSty[Sign]&amp;1)*(1/PptoSty[Division]),(PptoSty[Division]&lt;&gt;0)*(PptoSty[Division]&lt;&gt;"")*(PptoSty[Division]&lt;&gt;"X")*(PptoSty[RowGrp]=$E294)*(ISNUMBER(FIND(PptoSty[PiColumn],O$257))),0)),$AA294),_xlpm.y,IF(_xlfn._xlws.FILTER(TbRsmIn[Alive],TbRsmIn[Enquiry No]=$E294,"X")="C",0,INDEX(INDIRECT(Mods!$B$2),MATCH($E294,INDIRECT(Mods!$B$4),0),MATCH(O$257,INDIRECT(Mods!$AL$3),0))),IF(AND(_xlpm.x=0,_xlpm.y&lt;&gt;0),-1,IF(AND(_xlpm.x&lt;&gt;0,_xlpm.y&lt;&gt;0),_xlpm.x,IF(AND(_xlpm.x-$AA294&lt;&gt;0,_xlpm.y=0),-2,_xlpm.x)))),0))</f>
        <v>0</v>
      </c>
      <c r="P294" s="282" cm="1">
        <f t="array" aca="1" ref="P294" ca="1">IF(OR($E294="",$E294="X"),0,IFERROR(_xlfn.LET(_xlpm.x,SUM(SUM(_xlfn._xlws.FILTER(VALUE(PptoSty[Sign]&amp;1)*(1/PptoSty[Division]),(PptoSty[Division]&lt;&gt;0)*(PptoSty[Division]&lt;&gt;"")*(PptoSty[Division]&lt;&gt;"X")*(PptoSty[RowGrp]=$E294)*(ISNUMBER(FIND(PptoSty[PiColumn],P$257))),0)),$AA294),_xlpm.y,IF(_xlfn._xlws.FILTER(TbRsmIn[Alive],TbRsmIn[Enquiry No]=$E294,"X")="C",0,INDEX(INDIRECT(Mods!$B$2),MATCH($E294,INDIRECT(Mods!$B$4),0),MATCH(P$257,INDIRECT(Mods!$AL$3),0))),IF(AND(_xlpm.x=0,_xlpm.y&lt;&gt;0),-1,IF(AND(_xlpm.x&lt;&gt;0,_xlpm.y&lt;&gt;0),_xlpm.x,IF(AND(_xlpm.x-$AA294&lt;&gt;0,_xlpm.y=0),-2,_xlpm.x)))),0))</f>
        <v>-1</v>
      </c>
      <c r="Q294" s="282" cm="1">
        <f t="array" aca="1" ref="Q294" ca="1">IF(OR($E294="",$E294="X"),0,IFERROR(_xlfn.LET(_xlpm.x,SUM(SUM(_xlfn._xlws.FILTER(VALUE(PptoSty[Sign]&amp;1)*(1/PptoSty[Division]),(PptoSty[Division]&lt;&gt;0)*(PptoSty[Division]&lt;&gt;"")*(PptoSty[Division]&lt;&gt;"X")*(PptoSty[RowGrp]=$E294)*(ISNUMBER(FIND(PptoSty[PiColumn],Q$257))),0)),$AA294),_xlpm.y,IF(_xlfn._xlws.FILTER(TbRsmIn[Alive],TbRsmIn[Enquiry No]=$E294,"X")="C",0,INDEX(INDIRECT(Mods!$B$2),MATCH($E294,INDIRECT(Mods!$B$4),0),MATCH(Q$257,INDIRECT(Mods!$AL$3),0))),IF(AND(_xlpm.x=0,_xlpm.y&lt;&gt;0),-1,IF(AND(_xlpm.x&lt;&gt;0,_xlpm.y&lt;&gt;0),_xlpm.x,IF(AND(_xlpm.x-$AA294&lt;&gt;0,_xlpm.y=0),-2,_xlpm.x)))),0))</f>
        <v>-1</v>
      </c>
      <c r="R294" s="282" cm="1">
        <f t="array" aca="1" ref="R294" ca="1">IF(OR($E294="",$E294="X"),0,IFERROR(_xlfn.LET(_xlpm.x,SUM(SUM(_xlfn._xlws.FILTER(VALUE(PptoSty[Sign]&amp;1)*(1/PptoSty[Division]),(PptoSty[Division]&lt;&gt;0)*(PptoSty[Division]&lt;&gt;"")*(PptoSty[Division]&lt;&gt;"X")*(PptoSty[RowGrp]=$E294)*(ISNUMBER(FIND(PptoSty[PiColumn],R$257))),0)),$AA294),_xlpm.y,IF(_xlfn._xlws.FILTER(TbRsmIn[Alive],TbRsmIn[Enquiry No]=$E294,"X")="C",0,INDEX(INDIRECT(Mods!$B$2),MATCH($E294,INDIRECT(Mods!$B$4),0),MATCH(R$257,INDIRECT(Mods!$AL$3),0))),IF(AND(_xlpm.x=0,_xlpm.y&lt;&gt;0),-1,IF(AND(_xlpm.x&lt;&gt;0,_xlpm.y&lt;&gt;0),_xlpm.x,IF(AND(_xlpm.x-$AA294&lt;&gt;0,_xlpm.y=0),-2,_xlpm.x)))),0))</f>
        <v>-1</v>
      </c>
      <c r="S294" s="282" cm="1">
        <f t="array" aca="1" ref="S294" ca="1">IF(OR($E294="",$E294="X"),0,IFERROR(_xlfn.LET(_xlpm.x,SUM(SUM(_xlfn._xlws.FILTER(VALUE(PptoSty[Sign]&amp;1)*(1/PptoSty[Division]),(PptoSty[Division]&lt;&gt;0)*(PptoSty[Division]&lt;&gt;"")*(PptoSty[Division]&lt;&gt;"X")*(PptoSty[RowGrp]=$E294)*(ISNUMBER(FIND(PptoSty[PiColumn],S$257))),0)),$AA294),_xlpm.y,IF(_xlfn._xlws.FILTER(TbRsmIn[Alive],TbRsmIn[Enquiry No]=$E294,"X")="C",0,INDEX(INDIRECT(Mods!$B$2),MATCH($E294,INDIRECT(Mods!$B$4),0),MATCH(S$257,INDIRECT(Mods!$AL$3),0))),IF(AND(_xlpm.x=0,_xlpm.y&lt;&gt;0),-1,IF(AND(_xlpm.x&lt;&gt;0,_xlpm.y&lt;&gt;0),_xlpm.x,IF(AND(_xlpm.x-$AA294&lt;&gt;0,_xlpm.y=0),-2,_xlpm.x)))),0))</f>
        <v>0</v>
      </c>
      <c r="T294" s="282" cm="1">
        <f t="array" aca="1" ref="T294" ca="1">IF(OR($E294="",$E294="X"),0,IFERROR(_xlfn.LET(_xlpm.x,SUM(SUM(_xlfn._xlws.FILTER(VALUE(PptoSty[Sign]&amp;1)*(1/PptoSty[Division]),(PptoSty[Division]&lt;&gt;0)*(PptoSty[Division]&lt;&gt;"")*(PptoSty[Division]&lt;&gt;"X")*(PptoSty[RowGrp]=$E294)*(ISNUMBER(FIND(PptoSty[PiColumn],T$257))),0)),$AA294),_xlpm.y,IF(_xlfn._xlws.FILTER(TbRsmIn[Alive],TbRsmIn[Enquiry No]=$E294,"X")="C",0,INDEX(INDIRECT(Mods!$B$2),MATCH($E294,INDIRECT(Mods!$B$4),0),MATCH(T$257,INDIRECT(Mods!$AL$3),0))),IF(AND(_xlpm.x=0,_xlpm.y&lt;&gt;0),-1,IF(AND(_xlpm.x&lt;&gt;0,_xlpm.y&lt;&gt;0),_xlpm.x,IF(AND(_xlpm.x-$AA294&lt;&gt;0,_xlpm.y=0),-2,_xlpm.x)))),0))</f>
        <v>0</v>
      </c>
      <c r="U294" s="282" cm="1">
        <f t="array" aca="1" ref="U294" ca="1">IF(OR($E294="",$E294="X"),0,IFERROR(_xlfn.LET(_xlpm.x,SUM(SUM(_xlfn._xlws.FILTER(VALUE(PptoSty[Sign]&amp;1)*(1/PptoSty[Division]),(PptoSty[Division]&lt;&gt;0)*(PptoSty[Division]&lt;&gt;"")*(PptoSty[Division]&lt;&gt;"X")*(PptoSty[RowGrp]=$E294)*(ISNUMBER(FIND(PptoSty[PiColumn],U$257))),0)),$AA294),_xlpm.y,IF(_xlfn._xlws.FILTER(TbRsmIn[Alive],TbRsmIn[Enquiry No]=$E294,"X")="C",0,INDEX(INDIRECT(Mods!$B$2),MATCH($E294,INDIRECT(Mods!$B$4),0),MATCH(U$257,INDIRECT(Mods!$AL$3),0))),IF(AND(_xlpm.x=0,_xlpm.y&lt;&gt;0),-1,IF(AND(_xlpm.x&lt;&gt;0,_xlpm.y&lt;&gt;0),_xlpm.x,IF(AND(_xlpm.x-$AA294&lt;&gt;0,_xlpm.y=0),-2,_xlpm.x)))),0))</f>
        <v>0</v>
      </c>
      <c r="V294" s="282" cm="1">
        <f t="array" aca="1" ref="V294" ca="1">IF(OR($E294="",$E294="X"),0,IFERROR(_xlfn.LET(_xlpm.x,SUM(SUM(_xlfn._xlws.FILTER(VALUE(PptoSty[Sign]&amp;1)*(1/PptoSty[Division]),(PptoSty[Division]&lt;&gt;0)*(PptoSty[Division]&lt;&gt;"")*(PptoSty[Division]&lt;&gt;"X")*(PptoSty[RowGrp]=$E294)*(ISNUMBER(FIND(PptoSty[PiColumn],V$257))),0)),$AA294),_xlpm.y,IF(_xlfn._xlws.FILTER(TbRsmIn[Alive],TbRsmIn[Enquiry No]=$E294,"X")="C",0,INDEX(INDIRECT(Mods!$B$2),MATCH($E294,INDIRECT(Mods!$B$4),0),MATCH(V$257,INDIRECT(Mods!$AL$3),0))),IF(AND(_xlpm.x=0,_xlpm.y&lt;&gt;0),-1,IF(AND(_xlpm.x&lt;&gt;0,_xlpm.y&lt;&gt;0),_xlpm.x,IF(AND(_xlpm.x-$AA294&lt;&gt;0,_xlpm.y=0),-2,_xlpm.x)))),0))</f>
        <v>-1</v>
      </c>
      <c r="W294" s="282" cm="1">
        <f t="array" aca="1" ref="W294" ca="1">IF(OR($E294="",$E294="X"),0,IFERROR(_xlfn.LET(_xlpm.x,SUM(SUM(_xlfn._xlws.FILTER(VALUE(PptoSty[Sign]&amp;1)*(1/PptoSty[Division]),(PptoSty[Division]&lt;&gt;0)*(PptoSty[Division]&lt;&gt;"")*(PptoSty[Division]&lt;&gt;"X")*(PptoSty[RowGrp]=$E294)*(ISNUMBER(FIND(PptoSty[PiColumn],W$257))),0)),$AA294),_xlpm.y,IF(_xlfn._xlws.FILTER(TbRsmIn[Alive],TbRsmIn[Enquiry No]=$E294,"X")="C",0,INDEX(INDIRECT(Mods!$B$2),MATCH($E294,INDIRECT(Mods!$B$4),0),MATCH(W$257,INDIRECT(Mods!$AL$3),0))),IF(AND(_xlpm.x=0,_xlpm.y&lt;&gt;0),-1,IF(AND(_xlpm.x&lt;&gt;0,_xlpm.y&lt;&gt;0),_xlpm.x,IF(AND(_xlpm.x-$AA294&lt;&gt;0,_xlpm.y=0),-2,_xlpm.x)))),0))</f>
        <v>0</v>
      </c>
      <c r="X294" s="282" cm="1">
        <f t="array" aca="1" ref="X294" ca="1">IF(OR($E294="",$E294="X"),0,IFERROR(_xlfn.LET(_xlpm.x,SUM(SUM(_xlfn._xlws.FILTER(VALUE(PptoSty[Sign]&amp;1)*(1/PptoSty[Division]),(PptoSty[Division]&lt;&gt;0)*(PptoSty[Division]&lt;&gt;"")*(PptoSty[Division]&lt;&gt;"X")*(PptoSty[RowGrp]=$E294)*(ISNUMBER(FIND(PptoSty[PiColumn],X$257))),0)),$AA294),_xlpm.y,IF(_xlfn._xlws.FILTER(TbRsmIn[Alive],TbRsmIn[Enquiry No]=$E294,"X")="C",0,INDEX(INDIRECT(Mods!$B$2),MATCH($E294,INDIRECT(Mods!$B$4),0),MATCH(X$257,INDIRECT(Mods!$AL$3),0))),IF(AND(_xlpm.x=0,_xlpm.y&lt;&gt;0),-1,IF(AND(_xlpm.x&lt;&gt;0,_xlpm.y&lt;&gt;0),_xlpm.x,IF(AND(_xlpm.x-$AA294&lt;&gt;0,_xlpm.y=0),-2,_xlpm.x)))),0))</f>
        <v>0</v>
      </c>
      <c r="Y294" s="282" cm="1">
        <f t="array" aca="1" ref="Y294" ca="1">IF(OR($E294="",$E294="X"),0,IFERROR(_xlfn.LET(_xlpm.x,SUM(SUM(_xlfn._xlws.FILTER(VALUE(PptoSty[Sign]&amp;1)*(1/PptoSty[Division]),(PptoSty[Division]&lt;&gt;0)*(PptoSty[Division]&lt;&gt;"")*(PptoSty[Division]&lt;&gt;"X")*(PptoSty[RowGrp]=$E294)*(ISNUMBER(FIND(PptoSty[PiColumn],Y$257))),0)),$AA294),_xlpm.y,IF(_xlfn._xlws.FILTER(TbRsmIn[Alive],TbRsmIn[Enquiry No]=$E294,"X")="C",0,INDEX(INDIRECT(Mods!$B$2),MATCH($E294,INDIRECT(Mods!$B$4),0),MATCH(Y$257,INDIRECT(Mods!$AL$3),0))),IF(AND(_xlpm.x=0,_xlpm.y&lt;&gt;0),-1,IF(AND(_xlpm.x&lt;&gt;0,_xlpm.y&lt;&gt;0),_xlpm.x,IF(AND(_xlpm.x-$AA294&lt;&gt;0,_xlpm.y=0),-2,_xlpm.x)))),0))</f>
        <v>-1</v>
      </c>
      <c r="Z294" s="280" t="str">
        <f t="shared" ca="1" si="8"/>
        <v>Fback!B294:Y294</v>
      </c>
      <c r="AA294" s="282" cm="1">
        <f t="array" aca="1" ref="AA294" ca="1">IF(OR($E294="",$E294="X"),0,IFERROR(SUM(_xlfn._xlws.FILTER(VALUE(#REF!&amp;1)*(1/PptoSty[PptoVsRow]),(PptoSty[PptoVsRow]&lt;&gt;0)*(PptoSty[PptoVsRow]&lt;&gt;"")*(PptoSty[PptoVsRow]&lt;&gt;"X")*(PptoSty[Num]=$E294)*(PptoSty[RowGrp]=AA$260),0)),0))</f>
        <v>0</v>
      </c>
    </row>
    <row r="295" spans="1:27" ht="14">
      <c r="A295" s="127" t="s">
        <v>1722</v>
      </c>
    </row>
  </sheetData>
  <autoFilter ref="B4:Y295" xr:uid="{00000000-0001-0000-0300-000000000000}"/>
  <phoneticPr fontId="0" type="noConversion"/>
  <conditionalFormatting sqref="I55:Y255">
    <cfRule type="expression" dxfId="25" priority="5" stopIfTrue="1">
      <formula>OR(I55=0,I55="X",I55="")</formula>
    </cfRule>
  </conditionalFormatting>
  <conditionalFormatting sqref="I5:Y50">
    <cfRule type="expression" dxfId="24" priority="6">
      <formula>(I5=0)</formula>
    </cfRule>
  </conditionalFormatting>
  <conditionalFormatting sqref="AA261:AA294">
    <cfRule type="expression" dxfId="23" priority="1" stopIfTrue="1">
      <formula>OR(AA261=0,AA261="X",AA261="")</formula>
    </cfRule>
  </conditionalFormatting>
  <conditionalFormatting sqref="I261:Y294 I55:Y255">
    <cfRule type="expression" dxfId="22" priority="3" stopIfTrue="1">
      <formula>OR(I55=0,I55="X",I55="")</formula>
    </cfRule>
  </conditionalFormatting>
  <printOptions horizontalCentered="1" verticalCentered="1"/>
  <pageMargins left="0.19685039370078741" right="0.19685039370078741" top="0.39370078740157483" bottom="0.39370078740157483" header="0" footer="0.19685039370078741"/>
  <pageSetup paperSize="9" scale="10" orientation="landscape" r:id="rId1"/>
  <headerFooter alignWithMargins="0">
    <oddFooter>&amp;L&amp;F-&gt;&amp;A&amp;C&amp;1#&amp;"Calibri"&amp;8&amp;K000000Aernnova Group confidential information. Limited use on a need-to-know basis. All rights reserved.</oddFooter>
  </headerFooter>
  <extLst>
    <ext xmlns:x14="http://schemas.microsoft.com/office/spreadsheetml/2009/9/main" uri="{78C0D931-6437-407d-A8EE-F0AAD7539E65}">
      <x14:conditionalFormattings>
        <x14:conditionalFormatting xmlns:xm="http://schemas.microsoft.com/office/excel/2006/main">
          <x14:cfRule type="iconSet" priority="7" id="{F5471064-E915-45E9-9957-0C0B9C92F2F5}">
            <x14:iconSet custom="1">
              <x14:cfvo type="percent">
                <xm:f>0</xm:f>
              </x14:cfvo>
              <x14:cfvo type="num">
                <xm:f>1</xm:f>
              </x14:cfvo>
              <x14:cfvo type="num" gte="0">
                <xm:f>1</xm:f>
              </x14:cfvo>
              <x14:cfIcon iconSet="3TrafficLights1" iconId="1"/>
              <x14:cfIcon iconSet="3TrafficLights1" iconId="2"/>
              <x14:cfIcon iconSet="3TrafficLights1" iconId="0"/>
            </x14:iconSet>
          </x14:cfRule>
          <xm:sqref>I55:Y255</xm:sqref>
        </x14:conditionalFormatting>
        <x14:conditionalFormatting xmlns:xm="http://schemas.microsoft.com/office/excel/2006/main">
          <x14:cfRule type="iconSet" priority="4" id="{520E2550-1411-42D3-AD4E-FF46BEC6BE5A}">
            <x14:iconSet iconSet="4TrafficLights" custom="1">
              <x14:cfvo type="percent">
                <xm:f>0</xm:f>
              </x14:cfvo>
              <x14:cfvo type="num">
                <xm:f>-1</xm:f>
              </x14:cfvo>
              <x14:cfvo type="num">
                <xm:f>1</xm:f>
              </x14:cfvo>
              <x14:cfvo type="num" gte="0">
                <xm:f>1</xm:f>
              </x14:cfvo>
              <x14:cfIcon iconSet="4TrafficLights" iconId="0"/>
              <x14:cfIcon iconSet="3TrafficLights1" iconId="1"/>
              <x14:cfIcon iconSet="3TrafficLights1" iconId="2"/>
              <x14:cfIcon iconSet="4RedToBlack" iconId="3"/>
            </x14:iconSet>
          </x14:cfRule>
          <xm:sqref>I261:Y294 I55:Y255</xm:sqref>
        </x14:conditionalFormatting>
        <x14:conditionalFormatting xmlns:xm="http://schemas.microsoft.com/office/excel/2006/main">
          <x14:cfRule type="iconSet" priority="2" id="{C4CB9EB9-7B59-43CE-A652-0BD6E1E084C6}">
            <x14:iconSet custom="1">
              <x14:cfvo type="percent">
                <xm:f>0</xm:f>
              </x14:cfvo>
              <x14:cfvo type="num">
                <xm:f>1</xm:f>
              </x14:cfvo>
              <x14:cfvo type="num" gte="0">
                <xm:f>1</xm:f>
              </x14:cfvo>
              <x14:cfIcon iconSet="3TrafficLights1" iconId="1"/>
              <x14:cfIcon iconSet="3TrafficLights1" iconId="2"/>
              <x14:cfIcon iconSet="3TrafficLights1" iconId="0"/>
            </x14:iconSet>
          </x14:cfRule>
          <xm:sqref>AA261:AA294</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4">
    <outlinePr summaryBelow="0" summaryRight="0"/>
    <pageSetUpPr fitToPage="1"/>
  </sheetPr>
  <dimension ref="A1:AX315"/>
  <sheetViews>
    <sheetView zoomScale="175" zoomScaleNormal="175" workbookViewId="0">
      <selection activeCell="E10" sqref="E10"/>
    </sheetView>
  </sheetViews>
  <sheetFormatPr baseColWidth="10" defaultColWidth="12.6640625" defaultRowHeight="10" outlineLevelRow="2" outlineLevelCol="1"/>
  <cols>
    <col min="1" max="1" width="1.83203125" style="155" bestFit="1" customWidth="1"/>
    <col min="2" max="2" width="5.5" style="154" customWidth="1"/>
    <col min="3" max="3" width="6.33203125" style="148" customWidth="1"/>
    <col min="4" max="4" width="5.5" style="148" customWidth="1"/>
    <col min="5" max="5" width="30.5" style="350" customWidth="1" outlineLevel="1"/>
    <col min="6" max="6" width="8.5" style="148" customWidth="1"/>
    <col min="7" max="8" width="7.6640625" style="162" customWidth="1" outlineLevel="1"/>
    <col min="9" max="12" width="7.6640625" style="161" customWidth="1" outlineLevel="1"/>
    <col min="13" max="14" width="7.6640625" style="162" customWidth="1" outlineLevel="1"/>
    <col min="15" max="20" width="7.6640625" style="161" customWidth="1" outlineLevel="1"/>
    <col min="21" max="22" width="7.6640625" style="162" customWidth="1" outlineLevel="1"/>
    <col min="23" max="28" width="7.6640625" style="161" customWidth="1" outlineLevel="1"/>
    <col min="29" max="32" width="7.6640625" style="162" customWidth="1" outlineLevel="1"/>
    <col min="33" max="40" width="7.6640625" style="161" customWidth="1" outlineLevel="1"/>
    <col min="41" max="42" width="7.6640625" style="163" customWidth="1" outlineLevel="1"/>
    <col min="43" max="43" width="7.5" style="164" bestFit="1" customWidth="1"/>
    <col min="44" max="44" width="7.5" style="154" bestFit="1" customWidth="1"/>
    <col min="45" max="45" width="7.1640625" style="154" bestFit="1" customWidth="1"/>
    <col min="46" max="46" width="12.6640625" style="154"/>
    <col min="47" max="47" width="1.83203125" style="154" bestFit="1" customWidth="1"/>
    <col min="48" max="48" width="4.1640625" style="154" bestFit="1" customWidth="1"/>
    <col min="49" max="49" width="1.83203125" style="154" bestFit="1" customWidth="1"/>
    <col min="50" max="16384" width="12.6640625" style="154"/>
  </cols>
  <sheetData>
    <row r="1" spans="1:49" s="141" customFormat="1" ht="15">
      <c r="A1" s="141" t="s">
        <v>1314</v>
      </c>
      <c r="B1" s="142" t="s">
        <v>2094</v>
      </c>
      <c r="C1" s="141" t="s">
        <v>1387</v>
      </c>
      <c r="D1" s="143" t="s">
        <v>2079</v>
      </c>
      <c r="E1" s="346" t="s">
        <v>2097</v>
      </c>
      <c r="F1" s="143" t="s">
        <v>1728</v>
      </c>
      <c r="G1" s="143"/>
      <c r="H1" s="143"/>
      <c r="I1" s="142"/>
      <c r="J1" s="142"/>
      <c r="K1" s="142"/>
      <c r="L1" s="142"/>
      <c r="M1" s="142"/>
      <c r="N1" s="142"/>
      <c r="O1" s="144"/>
      <c r="P1" s="143"/>
      <c r="Q1" s="143"/>
      <c r="R1" s="143"/>
      <c r="S1" s="143"/>
      <c r="T1" s="143"/>
      <c r="U1" s="143"/>
      <c r="V1" s="143"/>
      <c r="W1" s="143"/>
      <c r="X1" s="143"/>
      <c r="Y1" s="143"/>
      <c r="Z1" s="143"/>
      <c r="AA1" s="143"/>
      <c r="AB1" s="143"/>
      <c r="AC1" s="143"/>
      <c r="AD1" s="143"/>
      <c r="AE1" s="143"/>
      <c r="AF1" s="145"/>
      <c r="AG1" s="490"/>
      <c r="AH1" s="490"/>
      <c r="AI1" s="142"/>
      <c r="AJ1" s="142"/>
      <c r="AK1" s="142"/>
      <c r="AL1" s="142"/>
      <c r="AM1" s="145"/>
      <c r="AN1" s="491"/>
      <c r="AO1" s="491"/>
      <c r="AP1" s="146"/>
      <c r="AQ1" s="146" t="s">
        <v>1729</v>
      </c>
      <c r="AS1" s="141" t="s">
        <v>1315</v>
      </c>
      <c r="AU1" s="141" t="s">
        <v>1572</v>
      </c>
      <c r="AV1" s="141" t="s">
        <v>2106</v>
      </c>
      <c r="AW1" s="141" t="s">
        <v>2108</v>
      </c>
    </row>
    <row r="2" spans="1:49" s="141" customFormat="1" ht="26">
      <c r="A2" s="141" t="s">
        <v>2108</v>
      </c>
      <c r="B2" s="142">
        <f>IF(_xlfn.LET(_xlpm.x,SUM(COLUMN()),AND(MATCH("SOC",$1:$1,0)&lt;_xlpm.x,MATCH("EOL",$1:$1,0)&gt;_xlpm.x)),1,0)</f>
        <v>1</v>
      </c>
      <c r="C2" s="142">
        <f t="shared" ref="C2:AT2" si="0">IF(_xlfn.LET(_xlpm.x,SUM(COLUMN()),AND(MATCH("SOC",$1:$1,0)&lt;_xlpm.x,MATCH("EOL",$1:$1,0)&gt;_xlpm.x)),1,0)</f>
        <v>1</v>
      </c>
      <c r="D2" s="142">
        <f t="shared" si="0"/>
        <v>1</v>
      </c>
      <c r="E2" s="142">
        <f t="shared" si="0"/>
        <v>1</v>
      </c>
      <c r="F2" s="142">
        <f t="shared" si="0"/>
        <v>1</v>
      </c>
      <c r="G2" s="142">
        <f t="shared" si="0"/>
        <v>1</v>
      </c>
      <c r="H2" s="142">
        <f t="shared" si="0"/>
        <v>1</v>
      </c>
      <c r="I2" s="142">
        <f t="shared" si="0"/>
        <v>1</v>
      </c>
      <c r="J2" s="142">
        <f t="shared" si="0"/>
        <v>1</v>
      </c>
      <c r="K2" s="142">
        <f t="shared" si="0"/>
        <v>1</v>
      </c>
      <c r="L2" s="142">
        <f t="shared" si="0"/>
        <v>1</v>
      </c>
      <c r="M2" s="142">
        <f t="shared" si="0"/>
        <v>1</v>
      </c>
      <c r="N2" s="142">
        <f t="shared" si="0"/>
        <v>1</v>
      </c>
      <c r="O2" s="142">
        <f t="shared" si="0"/>
        <v>1</v>
      </c>
      <c r="P2" s="142">
        <f t="shared" si="0"/>
        <v>1</v>
      </c>
      <c r="Q2" s="142">
        <f t="shared" si="0"/>
        <v>1</v>
      </c>
      <c r="R2" s="142">
        <f t="shared" si="0"/>
        <v>1</v>
      </c>
      <c r="S2" s="142">
        <f t="shared" si="0"/>
        <v>1</v>
      </c>
      <c r="T2" s="142">
        <f t="shared" si="0"/>
        <v>1</v>
      </c>
      <c r="U2" s="142">
        <f t="shared" si="0"/>
        <v>1</v>
      </c>
      <c r="V2" s="142">
        <f t="shared" si="0"/>
        <v>1</v>
      </c>
      <c r="W2" s="142">
        <f t="shared" si="0"/>
        <v>1</v>
      </c>
      <c r="X2" s="142">
        <f t="shared" si="0"/>
        <v>1</v>
      </c>
      <c r="Y2" s="142">
        <f t="shared" si="0"/>
        <v>1</v>
      </c>
      <c r="Z2" s="142">
        <f t="shared" si="0"/>
        <v>1</v>
      </c>
      <c r="AA2" s="142">
        <f t="shared" si="0"/>
        <v>1</v>
      </c>
      <c r="AB2" s="142">
        <f t="shared" si="0"/>
        <v>1</v>
      </c>
      <c r="AC2" s="142">
        <f t="shared" si="0"/>
        <v>1</v>
      </c>
      <c r="AD2" s="142">
        <f t="shared" si="0"/>
        <v>1</v>
      </c>
      <c r="AE2" s="142">
        <f t="shared" si="0"/>
        <v>1</v>
      </c>
      <c r="AF2" s="142">
        <f t="shared" si="0"/>
        <v>1</v>
      </c>
      <c r="AG2" s="142">
        <f t="shared" si="0"/>
        <v>1</v>
      </c>
      <c r="AH2" s="142">
        <f t="shared" si="0"/>
        <v>1</v>
      </c>
      <c r="AI2" s="142">
        <f t="shared" si="0"/>
        <v>1</v>
      </c>
      <c r="AJ2" s="142">
        <f t="shared" si="0"/>
        <v>1</v>
      </c>
      <c r="AK2" s="142">
        <f t="shared" si="0"/>
        <v>1</v>
      </c>
      <c r="AL2" s="142">
        <f t="shared" si="0"/>
        <v>1</v>
      </c>
      <c r="AM2" s="142">
        <f t="shared" si="0"/>
        <v>1</v>
      </c>
      <c r="AN2" s="142">
        <f t="shared" si="0"/>
        <v>1</v>
      </c>
      <c r="AO2" s="142">
        <f t="shared" si="0"/>
        <v>1</v>
      </c>
      <c r="AP2" s="142">
        <f t="shared" si="0"/>
        <v>1</v>
      </c>
      <c r="AQ2" s="142">
        <f t="shared" si="0"/>
        <v>1</v>
      </c>
      <c r="AR2" s="142">
        <f t="shared" si="0"/>
        <v>1</v>
      </c>
      <c r="AS2" s="142">
        <f t="shared" si="0"/>
        <v>1</v>
      </c>
      <c r="AT2" s="142">
        <f t="shared" si="0"/>
        <v>1</v>
      </c>
      <c r="AV2" s="382" t="s">
        <v>2109</v>
      </c>
    </row>
    <row r="3" spans="1:49" s="141" customFormat="1" ht="12">
      <c r="A3" s="141" t="s">
        <v>2107</v>
      </c>
      <c r="B3" s="142" cm="1">
        <f t="array" aca="1" ref="B3" ca="1">IF(OR(INDIRECT("r"&amp;MATCH("TIT",$A:$A,0)&amp;"c",FALSE)="SERRA",INDIRECT("r"&amp;MATCH("TIT",$A:$A,0)&amp;"c",FALSE)="TOTALS"),1,0)</f>
        <v>0</v>
      </c>
      <c r="C3" s="142" cm="1">
        <f t="array" aca="1" ref="C3" ca="1">IF(OR(INDIRECT("r"&amp;MATCH("TIT",$A:$A,0)&amp;"c",FALSE)="SERRA",INDIRECT("r"&amp;MATCH("TIT",$A:$A,0)&amp;"c",FALSE)="TOTALS"),1,0)</f>
        <v>0</v>
      </c>
      <c r="D3" s="142" cm="1">
        <f t="array" aca="1" ref="D3" ca="1">IF(OR(INDIRECT("r"&amp;MATCH("SOR",$A:$A,0)&amp;"c",FALSE)="SERRA",INDIRECT("r"&amp;MATCH("TIT",$A:$A,0)&amp;"c",FALSE)="TOTALS"),1,0)</f>
        <v>0</v>
      </c>
      <c r="E3" s="142" cm="1">
        <f t="array" aca="1" ref="E3" ca="1">IF(OR(INDIRECT("r"&amp;MATCH("SOR",$A:$A,0)&amp;"c",FALSE)="SERRA",INDIRECT("r"&amp;MATCH("TIT",$A:$A,0)&amp;"c",FALSE)="TOTALS"),1,0)</f>
        <v>0</v>
      </c>
      <c r="F3" s="142" cm="1">
        <f t="array" aca="1" ref="F3" ca="1">IF(OR(INDIRECT("r"&amp;MATCH("SOR",$A:$A,0)&amp;"c",FALSE)="SERRA",INDIRECT("r"&amp;MATCH("TIT",$A:$A,0)&amp;"c",FALSE)="TOTALS"),1,0)</f>
        <v>0</v>
      </c>
      <c r="G3" s="142" cm="1">
        <f t="array" aca="1" ref="G3" ca="1">IF(OR(INDIRECT("r"&amp;MATCH("SOR",$A:$A,0)&amp;"c",FALSE)="SERRA",INDIRECT("r"&amp;MATCH("TIT",$A:$A,0)&amp;"c",FALSE)="TOTALS"),1,0)</f>
        <v>1</v>
      </c>
      <c r="H3" s="142" cm="1">
        <f t="array" aca="1" ref="H3" ca="1">IF(OR(INDIRECT("r"&amp;MATCH("SOR",$A:$A,0)&amp;"c",FALSE)="SERRA",INDIRECT("r"&amp;MATCH("TIT",$A:$A,0)&amp;"c",FALSE)="TOTALS"),1,0)</f>
        <v>0</v>
      </c>
      <c r="I3" s="142" cm="1">
        <f t="array" aca="1" ref="I3" ca="1">IF(OR(INDIRECT("r"&amp;MATCH("SOR",$A:$A,0)&amp;"c",FALSE)="SERRA",INDIRECT("r"&amp;MATCH("TIT",$A:$A,0)&amp;"c",FALSE)="TOTALS"),1,0)</f>
        <v>1</v>
      </c>
      <c r="J3" s="142" cm="1">
        <f t="array" aca="1" ref="J3" ca="1">IF(OR(INDIRECT("r"&amp;MATCH("SOR",$A:$A,0)&amp;"c",FALSE)="SERRA",INDIRECT("r"&amp;MATCH("TIT",$A:$A,0)&amp;"c",FALSE)="TOTALS"),1,0)</f>
        <v>0</v>
      </c>
      <c r="K3" s="142" cm="1">
        <f t="array" aca="1" ref="K3" ca="1">IF(OR(INDIRECT("r"&amp;MATCH("SOR",$A:$A,0)&amp;"c",FALSE)="SERRA",INDIRECT("r"&amp;MATCH("TIT",$A:$A,0)&amp;"c",FALSE)="TOTALS"),1,0)</f>
        <v>1</v>
      </c>
      <c r="L3" s="142" cm="1">
        <f t="array" aca="1" ref="L3" ca="1">IF(OR(INDIRECT("r"&amp;MATCH("SOR",$A:$A,0)&amp;"c",FALSE)="SERRA",INDIRECT("r"&amp;MATCH("TIT",$A:$A,0)&amp;"c",FALSE)="TOTALS"),1,0)</f>
        <v>0</v>
      </c>
      <c r="M3" s="142" cm="1">
        <f t="array" aca="1" ref="M3" ca="1">IF(OR(INDIRECT("r"&amp;MATCH("SOR",$A:$A,0)&amp;"c",FALSE)="SERRA",INDIRECT("r"&amp;MATCH("TIT",$A:$A,0)&amp;"c",FALSE)="TOTALS"),1,0)</f>
        <v>1</v>
      </c>
      <c r="N3" s="142" cm="1">
        <f t="array" aca="1" ref="N3" ca="1">IF(OR(INDIRECT("r"&amp;MATCH("SOR",$A:$A,0)&amp;"c",FALSE)="SERRA",INDIRECT("r"&amp;MATCH("TIT",$A:$A,0)&amp;"c",FALSE)="TOTALS"),1,0)</f>
        <v>0</v>
      </c>
      <c r="O3" s="142" cm="1">
        <f t="array" aca="1" ref="O3" ca="1">IF(OR(INDIRECT("r"&amp;MATCH("SOR",$A:$A,0)&amp;"c",FALSE)="SERRA",INDIRECT("r"&amp;MATCH("TIT",$A:$A,0)&amp;"c",FALSE)="TOTALS"),1,0)</f>
        <v>1</v>
      </c>
      <c r="P3" s="142" cm="1">
        <f t="array" aca="1" ref="P3" ca="1">IF(OR(INDIRECT("r"&amp;MATCH("SOR",$A:$A,0)&amp;"c",FALSE)="SERRA",INDIRECT("r"&amp;MATCH("TIT",$A:$A,0)&amp;"c",FALSE)="TOTALS"),1,0)</f>
        <v>0</v>
      </c>
      <c r="Q3" s="142" cm="1">
        <f t="array" aca="1" ref="Q3" ca="1">IF(OR(INDIRECT("r"&amp;MATCH("SOR",$A:$A,0)&amp;"c",FALSE)="SERRA",INDIRECT("r"&amp;MATCH("TIT",$A:$A,0)&amp;"c",FALSE)="TOTALS"),1,0)</f>
        <v>1</v>
      </c>
      <c r="R3" s="142" cm="1">
        <f t="array" aca="1" ref="R3" ca="1">IF(OR(INDIRECT("r"&amp;MATCH("SOR",$A:$A,0)&amp;"c",FALSE)="SERRA",INDIRECT("r"&amp;MATCH("TIT",$A:$A,0)&amp;"c",FALSE)="TOTALS"),1,0)</f>
        <v>0</v>
      </c>
      <c r="S3" s="142" cm="1">
        <f t="array" aca="1" ref="S3" ca="1">IF(OR(INDIRECT("r"&amp;MATCH("SOR",$A:$A,0)&amp;"c",FALSE)="SERRA",INDIRECT("r"&amp;MATCH("TIT",$A:$A,0)&amp;"c",FALSE)="TOTALS"),1,0)</f>
        <v>1</v>
      </c>
      <c r="T3" s="142" cm="1">
        <f t="array" aca="1" ref="T3" ca="1">IF(OR(INDIRECT("r"&amp;MATCH("SOR",$A:$A,0)&amp;"c",FALSE)="SERRA",INDIRECT("r"&amp;MATCH("TIT",$A:$A,0)&amp;"c",FALSE)="TOTALS"),1,0)</f>
        <v>0</v>
      </c>
      <c r="U3" s="142" cm="1">
        <f t="array" aca="1" ref="U3" ca="1">IF(OR(INDIRECT("r"&amp;MATCH("SOR",$A:$A,0)&amp;"c",FALSE)="SERRA",INDIRECT("r"&amp;MATCH("TIT",$A:$A,0)&amp;"c",FALSE)="TOTALS"),1,0)</f>
        <v>1</v>
      </c>
      <c r="V3" s="142" cm="1">
        <f t="array" aca="1" ref="V3" ca="1">IF(OR(INDIRECT("r"&amp;MATCH("SOR",$A:$A,0)&amp;"c",FALSE)="SERRA",INDIRECT("r"&amp;MATCH("TIT",$A:$A,0)&amp;"c",FALSE)="TOTALS"),1,0)</f>
        <v>0</v>
      </c>
      <c r="W3" s="142" cm="1">
        <f t="array" aca="1" ref="W3" ca="1">IF(OR(INDIRECT("r"&amp;MATCH("SOR",$A:$A,0)&amp;"c",FALSE)="SERRA",INDIRECT("r"&amp;MATCH("TIT",$A:$A,0)&amp;"c",FALSE)="TOTALS"),1,0)</f>
        <v>1</v>
      </c>
      <c r="X3" s="142" cm="1">
        <f t="array" aca="1" ref="X3" ca="1">IF(OR(INDIRECT("r"&amp;MATCH("SOR",$A:$A,0)&amp;"c",FALSE)="SERRA",INDIRECT("r"&amp;MATCH("TIT",$A:$A,0)&amp;"c",FALSE)="TOTALS"),1,0)</f>
        <v>0</v>
      </c>
      <c r="Y3" s="142" cm="1">
        <f t="array" aca="1" ref="Y3" ca="1">IF(OR(INDIRECT("r"&amp;MATCH("SOR",$A:$A,0)&amp;"c",FALSE)="SERRA",INDIRECT("r"&amp;MATCH("TIT",$A:$A,0)&amp;"c",FALSE)="TOTALS"),1,0)</f>
        <v>1</v>
      </c>
      <c r="Z3" s="142" cm="1">
        <f t="array" aca="1" ref="Z3" ca="1">IF(OR(INDIRECT("r"&amp;MATCH("SOR",$A:$A,0)&amp;"c",FALSE)="SERRA",INDIRECT("r"&amp;MATCH("TIT",$A:$A,0)&amp;"c",FALSE)="TOTALS"),1,0)</f>
        <v>0</v>
      </c>
      <c r="AA3" s="142" cm="1">
        <f t="array" aca="1" ref="AA3" ca="1">IF(OR(INDIRECT("r"&amp;MATCH("SOR",$A:$A,0)&amp;"c",FALSE)="SERRA",INDIRECT("r"&amp;MATCH("TIT",$A:$A,0)&amp;"c",FALSE)="TOTALS"),1,0)</f>
        <v>1</v>
      </c>
      <c r="AB3" s="142" cm="1">
        <f t="array" aca="1" ref="AB3" ca="1">IF(OR(INDIRECT("r"&amp;MATCH("SOR",$A:$A,0)&amp;"c",FALSE)="SERRA",INDIRECT("r"&amp;MATCH("TIT",$A:$A,0)&amp;"c",FALSE)="TOTALS"),1,0)</f>
        <v>0</v>
      </c>
      <c r="AC3" s="142" cm="1">
        <f t="array" aca="1" ref="AC3" ca="1">IF(OR(INDIRECT("r"&amp;MATCH("SOR",$A:$A,0)&amp;"c",FALSE)="SERRA",INDIRECT("r"&amp;MATCH("TIT",$A:$A,0)&amp;"c",FALSE)="TOTALS"),1,0)</f>
        <v>1</v>
      </c>
      <c r="AD3" s="142" cm="1">
        <f t="array" aca="1" ref="AD3" ca="1">IF(OR(INDIRECT("r"&amp;MATCH("SOR",$A:$A,0)&amp;"c",FALSE)="SERRA",INDIRECT("r"&amp;MATCH("TIT",$A:$A,0)&amp;"c",FALSE)="TOTALS"),1,0)</f>
        <v>0</v>
      </c>
      <c r="AE3" s="142" cm="1">
        <f t="array" aca="1" ref="AE3" ca="1">IF(OR(INDIRECT("r"&amp;MATCH("SOR",$A:$A,0)&amp;"c",FALSE)="SERRA",INDIRECT("r"&amp;MATCH("TIT",$A:$A,0)&amp;"c",FALSE)="TOTALS"),1,0)</f>
        <v>1</v>
      </c>
      <c r="AF3" s="142" cm="1">
        <f t="array" aca="1" ref="AF3" ca="1">IF(OR(INDIRECT("r"&amp;MATCH("SOR",$A:$A,0)&amp;"c",FALSE)="SERRA",INDIRECT("r"&amp;MATCH("TIT",$A:$A,0)&amp;"c",FALSE)="TOTALS"),1,0)</f>
        <v>0</v>
      </c>
      <c r="AG3" s="142" cm="1">
        <f t="array" aca="1" ref="AG3" ca="1">IF(OR(INDIRECT("r"&amp;MATCH("SOR",$A:$A,0)&amp;"c",FALSE)="SERRA",INDIRECT("r"&amp;MATCH("TIT",$A:$A,0)&amp;"c",FALSE)="TOTALS"),1,0)</f>
        <v>1</v>
      </c>
      <c r="AH3" s="142" cm="1">
        <f t="array" aca="1" ref="AH3" ca="1">IF(OR(INDIRECT("r"&amp;MATCH("SOR",$A:$A,0)&amp;"c",FALSE)="SERRA",INDIRECT("r"&amp;MATCH("TIT",$A:$A,0)&amp;"c",FALSE)="TOTALS"),1,0)</f>
        <v>0</v>
      </c>
      <c r="AI3" s="142" cm="1">
        <f t="array" aca="1" ref="AI3" ca="1">IF(OR(INDIRECT("r"&amp;MATCH("SOR",$A:$A,0)&amp;"c",FALSE)="SERRA",INDIRECT("r"&amp;MATCH("TIT",$A:$A,0)&amp;"c",FALSE)="TOTALS"),1,0)</f>
        <v>1</v>
      </c>
      <c r="AJ3" s="142" cm="1">
        <f t="array" aca="1" ref="AJ3" ca="1">IF(OR(INDIRECT("r"&amp;MATCH("SOR",$A:$A,0)&amp;"c",FALSE)="SERRA",INDIRECT("r"&amp;MATCH("TIT",$A:$A,0)&amp;"c",FALSE)="TOTALS"),1,0)</f>
        <v>0</v>
      </c>
      <c r="AK3" s="142" cm="1">
        <f t="array" aca="1" ref="AK3" ca="1">IF(OR(INDIRECT("r"&amp;MATCH("SOR",$A:$A,0)&amp;"c",FALSE)="SERRA",INDIRECT("r"&amp;MATCH("TIT",$A:$A,0)&amp;"c",FALSE)="TOTALS"),1,0)</f>
        <v>1</v>
      </c>
      <c r="AL3" s="142" cm="1">
        <f t="array" aca="1" ref="AL3" ca="1">IF(OR(INDIRECT("r"&amp;MATCH("SOR",$A:$A,0)&amp;"c",FALSE)="SERRA",INDIRECT("r"&amp;MATCH("TIT",$A:$A,0)&amp;"c",FALSE)="TOTALS"),1,0)</f>
        <v>0</v>
      </c>
      <c r="AM3" s="142" cm="1">
        <f t="array" aca="1" ref="AM3" ca="1">IF(OR(INDIRECT("r"&amp;MATCH("SOR",$A:$A,0)&amp;"c",FALSE)="SERRA",INDIRECT("r"&amp;MATCH("TIT",$A:$A,0)&amp;"c",FALSE)="TOTALS"),1,0)</f>
        <v>1</v>
      </c>
      <c r="AN3" s="142" cm="1">
        <f t="array" aca="1" ref="AN3" ca="1">IF(OR(INDIRECT("r"&amp;MATCH("SOR",$A:$A,0)&amp;"c",FALSE)="SERRA",INDIRECT("r"&amp;MATCH("TIT",$A:$A,0)&amp;"c",FALSE)="TOTALS"),1,0)</f>
        <v>0</v>
      </c>
      <c r="AO3" s="142" cm="1">
        <f t="array" aca="1" ref="AO3" ca="1">IF(OR(INDIRECT("r"&amp;MATCH("SOR",$A:$A,0)&amp;"c",FALSE)="SERRA",INDIRECT("r"&amp;MATCH("TIT",$A:$A,0)&amp;"c",FALSE)="TOTALS"),1,0)</f>
        <v>1</v>
      </c>
      <c r="AP3" s="142" cm="1">
        <f t="array" aca="1" ref="AP3" ca="1">IF(OR(INDIRECT("r"&amp;MATCH("SOR",$A:$A,0)&amp;"c",FALSE)="SERRA",INDIRECT("r"&amp;MATCH("TIT",$A:$A,0)&amp;"c",FALSE)="TOTALS"),1,0)</f>
        <v>0</v>
      </c>
      <c r="AQ3" s="142" cm="1">
        <f t="array" aca="1" ref="AQ3" ca="1">IF(OR(INDIRECT("r"&amp;MATCH("SOR",$A:$A,0)&amp;"c",FALSE)="SERRA",INDIRECT("r"&amp;MATCH("TIT",$A:$A,0)&amp;"c",FALSE)="TOTALS"),1,0)</f>
        <v>1</v>
      </c>
      <c r="AR3" s="142" cm="1">
        <f t="array" aca="1" ref="AR3" ca="1">IF(OR(INDIRECT("r"&amp;MATCH("SOR",$A:$A,0)&amp;"c",FALSE)="SERRA",INDIRECT("r"&amp;MATCH("TIT",$A:$A,0)&amp;"c",FALSE)="TOTALS"),1,0)</f>
        <v>0</v>
      </c>
      <c r="AS3" s="142" cm="1">
        <f t="array" aca="1" ref="AS3" ca="1">IF(OR(INDIRECT("r"&amp;MATCH("SOR",$A:$A,0)&amp;"c",FALSE)="SERRA",INDIRECT("r"&amp;MATCH("TIT",$A:$A,0)&amp;"c",FALSE)="TOTALS"),1,0)</f>
        <v>0</v>
      </c>
      <c r="AT3" s="142" cm="1">
        <f t="array" aca="1" ref="AT3" ca="1">IF(OR(INDIRECT("r"&amp;MATCH("SOR",$A:$A,0)&amp;"c",FALSE)="SERRA",INDIRECT("r"&amp;MATCH("TIT",$A:$A,0)&amp;"c",FALSE)="TOTALS"),1,0)</f>
        <v>1</v>
      </c>
    </row>
    <row r="4" spans="1:49" s="141" customFormat="1" ht="14">
      <c r="A4" s="141" t="s">
        <v>1855</v>
      </c>
      <c r="B4" s="354" t="s">
        <v>1982</v>
      </c>
      <c r="C4" s="345">
        <v>31200</v>
      </c>
      <c r="D4" s="354" t="s">
        <v>1983</v>
      </c>
      <c r="E4" s="347" t="s">
        <v>1839</v>
      </c>
      <c r="F4" s="344"/>
      <c r="G4" s="344"/>
      <c r="H4" s="344"/>
      <c r="I4" s="344"/>
      <c r="J4" s="344"/>
      <c r="K4" s="344"/>
      <c r="L4" s="344"/>
      <c r="M4" s="344"/>
      <c r="N4" s="344"/>
      <c r="O4" s="344"/>
      <c r="P4" s="344"/>
      <c r="Q4" s="344"/>
      <c r="R4" s="344"/>
      <c r="S4" s="344"/>
      <c r="T4" s="344"/>
      <c r="U4" s="344"/>
      <c r="V4" s="344"/>
      <c r="W4" s="344"/>
      <c r="X4" s="344"/>
      <c r="Y4" s="344"/>
      <c r="Z4" s="344"/>
      <c r="AA4" s="344"/>
      <c r="AB4" s="344"/>
      <c r="AC4" s="344"/>
      <c r="AD4" s="344"/>
      <c r="AE4" s="344"/>
      <c r="AF4" s="344"/>
      <c r="AG4" s="344"/>
      <c r="AH4" s="344"/>
      <c r="AI4" s="344"/>
      <c r="AJ4" s="344"/>
      <c r="AK4" s="344"/>
      <c r="AL4" s="344"/>
      <c r="AM4" s="344"/>
      <c r="AN4" s="344"/>
      <c r="AO4" s="344"/>
      <c r="AP4" s="344"/>
      <c r="AQ4" s="344"/>
      <c r="AR4" s="344"/>
      <c r="AS4" s="344"/>
      <c r="AT4" s="344"/>
      <c r="AV4" s="142" cm="1">
        <f t="array" aca="1" ref="AV4" ca="1">IF(AND(_xlfn.LET(_xlpm.x,SUM(ROW()),OR(AND(MATCH("SOT",$A:$A,0)&lt;_xlpm.x,MATCH("EOT",$A:$A,0)&gt;_xlpm.x),AND(MATCH("SOS",$A:$A,0)&lt;_xlpm.x,MATCH("EOS",$A:$A,0)&gt;_xlpm.x),AND(MATCH("SOR",$A:$A,0)&lt;_xlpm.x,MATCH("EOR",$A:$A,0)&gt;_xlpm.x))),INDIRECT("rc"&amp;MATCH("SCD",$1:$1,0),FALSE)="PPTO"),1,0)</f>
        <v>0</v>
      </c>
      <c r="AW4" s="142" cm="1">
        <f t="array" aca="1" ref="AW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5" spans="1:49" outlineLevel="1">
      <c r="B5" s="485" t="s">
        <v>1749</v>
      </c>
      <c r="C5" s="485"/>
      <c r="D5" s="485"/>
      <c r="E5" s="485"/>
      <c r="F5" s="485"/>
      <c r="G5" s="485"/>
      <c r="H5" s="485"/>
      <c r="I5" s="485"/>
      <c r="J5" s="485"/>
      <c r="K5" s="485"/>
      <c r="L5" s="485"/>
      <c r="M5" s="485"/>
      <c r="N5" s="485"/>
      <c r="O5" s="485"/>
      <c r="P5" s="485"/>
      <c r="Q5" s="485"/>
      <c r="R5" s="485"/>
      <c r="S5" s="485"/>
      <c r="T5" s="485"/>
      <c r="U5" s="485"/>
      <c r="V5" s="485"/>
      <c r="W5" s="485"/>
      <c r="X5" s="485"/>
      <c r="Y5" s="485"/>
      <c r="Z5" s="485"/>
      <c r="AA5" s="485"/>
      <c r="AB5" s="485"/>
      <c r="AC5" s="485"/>
      <c r="AD5" s="485"/>
      <c r="AE5" s="485"/>
      <c r="AF5" s="485"/>
      <c r="AG5" s="485"/>
      <c r="AH5" s="485"/>
      <c r="AI5" s="485"/>
      <c r="AJ5" s="485"/>
      <c r="AK5" s="485"/>
      <c r="AL5" s="485"/>
      <c r="AM5" s="485"/>
      <c r="AN5" s="485"/>
      <c r="AO5" s="485"/>
      <c r="AP5" s="485"/>
      <c r="AQ5" s="485"/>
      <c r="AR5" s="485"/>
      <c r="AS5" s="485"/>
      <c r="AV5" s="142" cm="1">
        <f t="array" aca="1" ref="AV5" ca="1">IF(AND(_xlfn.LET(_xlpm.x,SUM(ROW()),OR(AND(MATCH("SOT",$A:$A,0)&lt;_xlpm.x,MATCH("EOT",$A:$A,0)&gt;_xlpm.x),AND(MATCH("SOS",$A:$A,0)&lt;_xlpm.x,MATCH("EOS",$A:$A,0)&gt;_xlpm.x),AND(MATCH("SOR",$A:$A,0)&lt;_xlpm.x,MATCH("EOR",$A:$A,0)&gt;_xlpm.x))),INDIRECT("rc"&amp;MATCH("SCD",$1:$1,0),FALSE)="PPTO"),1,0)</f>
        <v>0</v>
      </c>
      <c r="AW5" s="142" cm="1">
        <f t="array" aca="1" ref="AW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6" spans="1:49" ht="13" outlineLevel="1">
      <c r="A6" s="155" t="s">
        <v>1652</v>
      </c>
      <c r="B6" s="198" t="str">
        <f t="shared" ref="B6:AT6" ca="1" si="1">ADDRESS(MATCH("SO"&amp;RIGHT($A6,1),$A:$A,0)+1,SUM(COLUMN()),4,1,$B$9)&amp;":"&amp;ADDRESS(MATCH("EO"&amp;RIGHT($A6,1),$A:$A,0)-1,SUM(COLUMN()),4)</f>
        <v>PPR!B10:B82</v>
      </c>
      <c r="C6" s="198" t="str">
        <f t="shared" ca="1" si="1"/>
        <v>PPR!C10:C82</v>
      </c>
      <c r="D6" s="198" t="str">
        <f t="shared" ca="1" si="1"/>
        <v>PPR!D10:D82</v>
      </c>
      <c r="E6" s="348" t="str">
        <f t="shared" ca="1" si="1"/>
        <v>PPR!E10:E82</v>
      </c>
      <c r="F6" s="198" t="str">
        <f t="shared" ca="1" si="1"/>
        <v>PPR!F10:F82</v>
      </c>
      <c r="G6" s="198" t="str">
        <f t="shared" ca="1" si="1"/>
        <v>PPR!G10:G82</v>
      </c>
      <c r="H6" s="198" t="str">
        <f t="shared" ca="1" si="1"/>
        <v>PPR!H10:H82</v>
      </c>
      <c r="I6" s="198" t="str">
        <f t="shared" ca="1" si="1"/>
        <v>PPR!I10:I82</v>
      </c>
      <c r="J6" s="198" t="str">
        <f t="shared" ca="1" si="1"/>
        <v>PPR!J10:J82</v>
      </c>
      <c r="K6" s="198" t="str">
        <f t="shared" ca="1" si="1"/>
        <v>PPR!K10:K82</v>
      </c>
      <c r="L6" s="198" t="str">
        <f t="shared" ca="1" si="1"/>
        <v>PPR!L10:L82</v>
      </c>
      <c r="M6" s="198" t="str">
        <f t="shared" ca="1" si="1"/>
        <v>PPR!M10:M82</v>
      </c>
      <c r="N6" s="198" t="str">
        <f t="shared" ca="1" si="1"/>
        <v>PPR!N10:N82</v>
      </c>
      <c r="O6" s="198" t="str">
        <f t="shared" ca="1" si="1"/>
        <v>PPR!O10:O82</v>
      </c>
      <c r="P6" s="198" t="str">
        <f t="shared" ca="1" si="1"/>
        <v>PPR!P10:P82</v>
      </c>
      <c r="Q6" s="198" t="str">
        <f t="shared" ca="1" si="1"/>
        <v>PPR!Q10:Q82</v>
      </c>
      <c r="R6" s="198" t="str">
        <f t="shared" ca="1" si="1"/>
        <v>PPR!R10:R82</v>
      </c>
      <c r="S6" s="198" t="str">
        <f t="shared" ca="1" si="1"/>
        <v>PPR!S10:S82</v>
      </c>
      <c r="T6" s="198" t="str">
        <f t="shared" ca="1" si="1"/>
        <v>PPR!T10:T82</v>
      </c>
      <c r="U6" s="198" t="str">
        <f t="shared" ca="1" si="1"/>
        <v>PPR!U10:U82</v>
      </c>
      <c r="V6" s="198" t="str">
        <f t="shared" ca="1" si="1"/>
        <v>PPR!V10:V82</v>
      </c>
      <c r="W6" s="198" t="str">
        <f t="shared" ca="1" si="1"/>
        <v>PPR!W10:W82</v>
      </c>
      <c r="X6" s="198" t="str">
        <f t="shared" ca="1" si="1"/>
        <v>PPR!X10:X82</v>
      </c>
      <c r="Y6" s="198" t="str">
        <f t="shared" ca="1" si="1"/>
        <v>PPR!Y10:Y82</v>
      </c>
      <c r="Z6" s="198" t="str">
        <f t="shared" ca="1" si="1"/>
        <v>PPR!Z10:Z82</v>
      </c>
      <c r="AA6" s="198" t="str">
        <f t="shared" ca="1" si="1"/>
        <v>PPR!AA10:AA82</v>
      </c>
      <c r="AB6" s="198" t="str">
        <f t="shared" ca="1" si="1"/>
        <v>PPR!AB10:AB82</v>
      </c>
      <c r="AC6" s="198" t="str">
        <f t="shared" ca="1" si="1"/>
        <v>PPR!AC10:AC82</v>
      </c>
      <c r="AD6" s="198" t="str">
        <f t="shared" ca="1" si="1"/>
        <v>PPR!AD10:AD82</v>
      </c>
      <c r="AE6" s="198" t="str">
        <f t="shared" ca="1" si="1"/>
        <v>PPR!AE10:AE82</v>
      </c>
      <c r="AF6" s="198" t="str">
        <f t="shared" ca="1" si="1"/>
        <v>PPR!AF10:AF82</v>
      </c>
      <c r="AG6" s="198" t="str">
        <f t="shared" ca="1" si="1"/>
        <v>PPR!AG10:AG82</v>
      </c>
      <c r="AH6" s="198" t="str">
        <f t="shared" ca="1" si="1"/>
        <v>PPR!AH10:AH82</v>
      </c>
      <c r="AI6" s="198" t="str">
        <f t="shared" ca="1" si="1"/>
        <v>PPR!AI10:AI82</v>
      </c>
      <c r="AJ6" s="198" t="str">
        <f t="shared" ca="1" si="1"/>
        <v>PPR!AJ10:AJ82</v>
      </c>
      <c r="AK6" s="198" t="str">
        <f t="shared" ca="1" si="1"/>
        <v>PPR!AK10:AK82</v>
      </c>
      <c r="AL6" s="198" t="str">
        <f t="shared" ca="1" si="1"/>
        <v>PPR!AL10:AL82</v>
      </c>
      <c r="AM6" s="198" t="str">
        <f t="shared" ca="1" si="1"/>
        <v>PPR!AM10:AM82</v>
      </c>
      <c r="AN6" s="198" t="str">
        <f t="shared" ca="1" si="1"/>
        <v>PPR!AN10:AN82</v>
      </c>
      <c r="AO6" s="198" t="str">
        <f t="shared" ca="1" si="1"/>
        <v>PPR!AO10:AO82</v>
      </c>
      <c r="AP6" s="198" t="str">
        <f t="shared" ca="1" si="1"/>
        <v>PPR!AP10:AP82</v>
      </c>
      <c r="AQ6" s="198" t="str">
        <f t="shared" ca="1" si="1"/>
        <v>PPR!AQ10:AQ82</v>
      </c>
      <c r="AR6" s="198" t="str">
        <f t="shared" ca="1" si="1"/>
        <v>PPR!AR10:AR82</v>
      </c>
      <c r="AS6" s="198" t="str">
        <f t="shared" ca="1" si="1"/>
        <v>PPR!AS10:AS82</v>
      </c>
      <c r="AT6" s="198" t="str">
        <f t="shared" ca="1" si="1"/>
        <v>PPR!AT10:AT82</v>
      </c>
      <c r="AV6" s="142" cm="1">
        <f t="array" aca="1" ref="AV6" ca="1">IF(AND(_xlfn.LET(_xlpm.x,SUM(ROW()),OR(AND(MATCH("SOT",$A:$A,0)&lt;_xlpm.x,MATCH("EOT",$A:$A,0)&gt;_xlpm.x),AND(MATCH("SOS",$A:$A,0)&lt;_xlpm.x,MATCH("EOS",$A:$A,0)&gt;_xlpm.x),AND(MATCH("SOR",$A:$A,0)&lt;_xlpm.x,MATCH("EOR",$A:$A,0)&gt;_xlpm.x))),INDIRECT("rc"&amp;MATCH("SCD",$1:$1,0),FALSE)="PPTO"),1,0)</f>
        <v>0</v>
      </c>
      <c r="AW6" s="142" cm="1">
        <f t="array" aca="1" ref="AW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7" spans="1:49" s="153" customFormat="1" outlineLevel="1">
      <c r="A7" s="152"/>
      <c r="B7" s="289" t="s">
        <v>1299</v>
      </c>
      <c r="C7" s="290" t="s">
        <v>11</v>
      </c>
      <c r="D7" s="290" t="s">
        <v>12</v>
      </c>
      <c r="E7" s="349" t="s">
        <v>64</v>
      </c>
      <c r="F7" s="290" t="s">
        <v>1392</v>
      </c>
      <c r="G7" s="486" t="s">
        <v>24</v>
      </c>
      <c r="H7" s="486"/>
      <c r="I7" s="489" t="s">
        <v>14</v>
      </c>
      <c r="J7" s="489"/>
      <c r="K7" s="489" t="s">
        <v>506</v>
      </c>
      <c r="L7" s="489"/>
      <c r="M7" s="486" t="s">
        <v>3</v>
      </c>
      <c r="N7" s="486"/>
      <c r="O7" s="489" t="s">
        <v>5</v>
      </c>
      <c r="P7" s="489"/>
      <c r="Q7" s="489" t="s">
        <v>16</v>
      </c>
      <c r="R7" s="489"/>
      <c r="S7" s="486" t="s">
        <v>4</v>
      </c>
      <c r="T7" s="486"/>
      <c r="U7" s="489" t="s">
        <v>294</v>
      </c>
      <c r="V7" s="489"/>
      <c r="W7" s="489" t="s">
        <v>2</v>
      </c>
      <c r="X7" s="489"/>
      <c r="Y7" s="489" t="s">
        <v>1</v>
      </c>
      <c r="Z7" s="489"/>
      <c r="AA7" s="489" t="s">
        <v>388</v>
      </c>
      <c r="AB7" s="489"/>
      <c r="AC7" s="489" t="s">
        <v>8</v>
      </c>
      <c r="AD7" s="489"/>
      <c r="AE7" s="489" t="s">
        <v>25</v>
      </c>
      <c r="AF7" s="489"/>
      <c r="AG7" s="486" t="s">
        <v>17</v>
      </c>
      <c r="AH7" s="486"/>
      <c r="AI7" s="486" t="s">
        <v>1665</v>
      </c>
      <c r="AJ7" s="486"/>
      <c r="AK7" s="486" t="s">
        <v>1666</v>
      </c>
      <c r="AL7" s="486"/>
      <c r="AM7" s="486" t="s">
        <v>75</v>
      </c>
      <c r="AN7" s="486"/>
      <c r="AO7" s="487" t="s">
        <v>21</v>
      </c>
      <c r="AP7" s="487"/>
      <c r="AQ7" s="488" t="s">
        <v>7</v>
      </c>
      <c r="AR7" s="488"/>
      <c r="AS7" s="286" t="str">
        <f>IF($B7="","X",ADDRESS(SUM(ROW()),MATCH("SCD",$1:$1,0)+1,4)&amp;":"&amp;ADDRESS(SUM(ROW()),MATCH("ECD",$1:$1,0)-1,4))</f>
        <v>G7:AP7</v>
      </c>
      <c r="AT7" s="486" t="s">
        <v>1750</v>
      </c>
      <c r="AV7" s="142" cm="1">
        <f t="array" aca="1" ref="AV7" ca="1">IF(AND(_xlfn.LET(_xlpm.x,SUM(ROW()),OR(AND(MATCH("SOT",$A:$A,0)&lt;_xlpm.x,MATCH("EOT",$A:$A,0)&gt;_xlpm.x),AND(MATCH("SOS",$A:$A,0)&lt;_xlpm.x,MATCH("EOS",$A:$A,0)&gt;_xlpm.x),AND(MATCH("SOR",$A:$A,0)&lt;_xlpm.x,MATCH("EOR",$A:$A,0)&gt;_xlpm.x))),INDIRECT("rc"&amp;MATCH("SCD",$1:$1,0),FALSE)="PPTO"),1,0)</f>
        <v>0</v>
      </c>
      <c r="AW7" s="142" cm="1">
        <f t="array" aca="1" ref="AW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8" spans="1:49" s="153" customFormat="1" ht="11" outlineLevel="1">
      <c r="A8" s="152"/>
      <c r="B8" s="289"/>
      <c r="C8" s="290"/>
      <c r="D8" s="290"/>
      <c r="E8" s="349"/>
      <c r="F8" s="290"/>
      <c r="G8" s="291" t="s">
        <v>28</v>
      </c>
      <c r="H8" s="291" t="s">
        <v>1384</v>
      </c>
      <c r="I8" s="291" t="s">
        <v>28</v>
      </c>
      <c r="J8" s="291" t="s">
        <v>1384</v>
      </c>
      <c r="K8" s="291" t="s">
        <v>28</v>
      </c>
      <c r="L8" s="291" t="s">
        <v>1384</v>
      </c>
      <c r="M8" s="291" t="s">
        <v>28</v>
      </c>
      <c r="N8" s="291" t="s">
        <v>1384</v>
      </c>
      <c r="O8" s="291" t="s">
        <v>28</v>
      </c>
      <c r="P8" s="291" t="s">
        <v>1384</v>
      </c>
      <c r="Q8" s="291" t="s">
        <v>28</v>
      </c>
      <c r="R8" s="291" t="s">
        <v>1384</v>
      </c>
      <c r="S8" s="291" t="s">
        <v>28</v>
      </c>
      <c r="T8" s="291" t="s">
        <v>1384</v>
      </c>
      <c r="U8" s="291" t="s">
        <v>28</v>
      </c>
      <c r="V8" s="291" t="s">
        <v>1384</v>
      </c>
      <c r="W8" s="291" t="s">
        <v>28</v>
      </c>
      <c r="X8" s="291" t="s">
        <v>1384</v>
      </c>
      <c r="Y8" s="291" t="s">
        <v>28</v>
      </c>
      <c r="Z8" s="291" t="s">
        <v>1384</v>
      </c>
      <c r="AA8" s="291" t="s">
        <v>28</v>
      </c>
      <c r="AB8" s="291" t="s">
        <v>1384</v>
      </c>
      <c r="AC8" s="291" t="s">
        <v>28</v>
      </c>
      <c r="AD8" s="291" t="s">
        <v>1384</v>
      </c>
      <c r="AE8" s="291" t="s">
        <v>28</v>
      </c>
      <c r="AF8" s="291" t="s">
        <v>1384</v>
      </c>
      <c r="AG8" s="291" t="s">
        <v>28</v>
      </c>
      <c r="AH8" s="291" t="s">
        <v>1384</v>
      </c>
      <c r="AI8" s="291" t="s">
        <v>28</v>
      </c>
      <c r="AJ8" s="291" t="s">
        <v>1384</v>
      </c>
      <c r="AK8" s="291" t="s">
        <v>28</v>
      </c>
      <c r="AL8" s="291" t="s">
        <v>1384</v>
      </c>
      <c r="AM8" s="291" t="s">
        <v>28</v>
      </c>
      <c r="AN8" s="291" t="s">
        <v>1384</v>
      </c>
      <c r="AO8" s="291" t="s">
        <v>28</v>
      </c>
      <c r="AP8" s="291" t="s">
        <v>1384</v>
      </c>
      <c r="AQ8" s="291" t="s">
        <v>28</v>
      </c>
      <c r="AR8" s="291" t="s">
        <v>1384</v>
      </c>
      <c r="AS8" s="286"/>
      <c r="AT8" s="486"/>
      <c r="AV8" s="142" cm="1">
        <f t="array" aca="1" ref="AV8" ca="1">IF(AND(_xlfn.LET(_xlpm.x,SUM(ROW()),OR(AND(MATCH("SOT",$A:$A,0)&lt;_xlpm.x,MATCH("EOT",$A:$A,0)&gt;_xlpm.x),AND(MATCH("SOS",$A:$A,0)&lt;_xlpm.x,MATCH("EOS",$A:$A,0)&gt;_xlpm.x),AND(MATCH("SOR",$A:$A,0)&lt;_xlpm.x,MATCH("EOR",$A:$A,0)&gt;_xlpm.x))),INDIRECT("rc"&amp;MATCH("SCD",$1:$1,0),FALSE)="PPTO"),1,0)</f>
        <v>0</v>
      </c>
      <c r="AW8" s="142" cm="1">
        <f t="array" aca="1" ref="AW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9" spans="1:49" ht="12" outlineLevel="2">
      <c r="A9" s="155" t="s">
        <v>371</v>
      </c>
      <c r="B9" s="287" t="str" cm="1">
        <f t="array" aca="1" ref="B9" ca="1">_xlfn.TEXTAFTER(CELL("filename",INDIRECT("A1")),"]")</f>
        <v>PPR</v>
      </c>
      <c r="D9" s="288">
        <f ca="1">COUNTIF(_xlfn.ANCHORARRAY(B10),"&lt;&gt;X")</f>
        <v>48</v>
      </c>
      <c r="G9" s="157"/>
      <c r="H9" s="160"/>
      <c r="I9" s="157"/>
      <c r="J9" s="160"/>
      <c r="K9" s="157"/>
      <c r="L9" s="160"/>
      <c r="M9" s="157"/>
      <c r="N9" s="160"/>
      <c r="O9" s="157"/>
      <c r="P9" s="160"/>
      <c r="Q9" s="157"/>
      <c r="R9" s="160"/>
      <c r="S9" s="157"/>
      <c r="T9" s="160"/>
      <c r="U9" s="157"/>
      <c r="V9" s="160"/>
      <c r="W9" s="157"/>
      <c r="X9" s="160"/>
      <c r="Y9" s="157"/>
      <c r="Z9" s="160"/>
      <c r="AA9" s="157"/>
      <c r="AB9" s="160"/>
      <c r="AC9" s="157"/>
      <c r="AD9" s="160"/>
      <c r="AE9" s="157"/>
      <c r="AF9" s="160"/>
      <c r="AG9" s="157"/>
      <c r="AH9" s="160"/>
      <c r="AI9" s="157"/>
      <c r="AJ9" s="160"/>
      <c r="AK9" s="157"/>
      <c r="AL9" s="160"/>
      <c r="AM9" s="157"/>
      <c r="AN9" s="160"/>
      <c r="AO9" s="157"/>
      <c r="AP9" s="160"/>
      <c r="AQ9" s="157"/>
      <c r="AR9" s="160"/>
      <c r="AS9" s="148"/>
      <c r="AV9" s="142" cm="1">
        <f t="array" aca="1" ref="AV9" ca="1">IF(AND(_xlfn.LET(_xlpm.x,SUM(ROW()),OR(AND(MATCH("SOT",$A:$A,0)&lt;_xlpm.x,MATCH("EOT",$A:$A,0)&gt;_xlpm.x),AND(MATCH("SOS",$A:$A,0)&lt;_xlpm.x,MATCH("EOS",$A:$A,0)&gt;_xlpm.x),AND(MATCH("SOR",$A:$A,0)&lt;_xlpm.x,MATCH("EOR",$A:$A,0)&gt;_xlpm.x))),INDIRECT("rc"&amp;MATCH("SCD",$1:$1,0),FALSE)="PPTO"),1,0)</f>
        <v>0</v>
      </c>
      <c r="AW9" s="142" cm="1">
        <f t="array" aca="1" ref="AW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10" spans="1:49" s="153" customFormat="1" outlineLevel="2">
      <c r="A10" s="152"/>
      <c r="B10" s="401" t="str" cm="1">
        <f t="array" aca="1" ref="B10:B57" ca="1">_xlfn.LET(_xlpm.x,_xlfn.CHOOSECOLS(_xlfn.LET(_xlpm.x,_xlfn.CHOOSECOLS(INDIRECT($C$113),1,3,5),_xlfn._xlws.SORT(_xlfn.UNIQUE(_xlpm.x))),1),_xlfn._xlws.FILTER(_xlpm.x,_xlpm.x&lt;&gt;"X","X"))</f>
        <v>31200</v>
      </c>
      <c r="C10" s="148"/>
      <c r="D10" s="401" t="str" cm="1">
        <f t="array" aca="1" ref="D10:D57" ca="1">_xlfn.TAKE(_xlfn.CHOOSECOLS(_xlfn.LET(_xlpm.x,_xlfn.CHOOSECOLS(INDIRECT($C$113),1,3,5),_xlfn._xlws.SORT(_xlfn.UNIQUE(_xlpm.x))),2),$D$9)</f>
        <v>GDHR</v>
      </c>
      <c r="E10" s="350" t="str" cm="1">
        <f t="array" aca="1" ref="E10" ca="1">UPPER(_xlfn.UNIQUE(_xlfn._xlws.FILTER(TbStd[OFbStd],TbStd[RowGrp]=$D10,"X")))</f>
        <v>MANAGEMENT &amp; DEFINITION HOURS</v>
      </c>
      <c r="F10" s="402" t="str" cm="1">
        <f t="array" aca="1" ref="F10:F57" ca="1">_xlfn.TAKE(_xlfn.CHOOSECOLS(_xlfn.LET(_xlpm.x,_xlfn.CHOOSECOLS(INDIRECT($C$113),1,3,5),_xlfn._xlws.SORT(_xlfn.UNIQUE(_xlpm.x))),3),$D$9)</f>
        <v>PPTO</v>
      </c>
      <c r="G10" s="403" cm="1">
        <f t="array" aca="1" ref="G10" ca="1">IFERROR(SUM(_xlfn._xlws.FILTER(INDIRECT(G$112),(INDIRECT($B$112)=$B10)*(INDIRECT($D$112)=$D10)*(INDIRECT($F$112)=$F10),0)),0)</f>
        <v>68668.844164500013</v>
      </c>
      <c r="H10" s="403" cm="1">
        <f t="array" aca="1" ref="H10" ca="1">IFERROR(SUM(_xlfn._xlws.FILTER(INDIRECT(H$112),(INDIRECT($B$112)=$B10)*(INDIRECT($D$112)=$D10)*(INDIRECT($F$112)=$F10),0)),0)</f>
        <v>0</v>
      </c>
      <c r="I10" s="403" cm="1">
        <f t="array" aca="1" ref="I10" ca="1">IFERROR(SUM(_xlfn._xlws.FILTER(INDIRECT(I$112),(INDIRECT($B$112)=$B10)*(INDIRECT($D$112)=$D10)*(INDIRECT($F$112)=$F10),0)),0)</f>
        <v>112842.694944</v>
      </c>
      <c r="J10" s="403" cm="1">
        <f t="array" aca="1" ref="J10" ca="1">IFERROR(SUM(_xlfn._xlws.FILTER(INDIRECT(J$112),(INDIRECT($B$112)=$B10)*(INDIRECT($D$112)=$D10)*(INDIRECT($F$112)=$F10),0)),0)</f>
        <v>0</v>
      </c>
      <c r="K10" s="403" cm="1">
        <f t="array" aca="1" ref="K10" ca="1">IFERROR(SUM(_xlfn._xlws.FILTER(INDIRECT(K$112),(INDIRECT($B$112)=$B10)*(INDIRECT($D$112)=$D10)*(INDIRECT($F$112)=$F10),0)),0)</f>
        <v>0</v>
      </c>
      <c r="L10" s="403" cm="1">
        <f t="array" aca="1" ref="L10" ca="1">IFERROR(SUM(_xlfn._xlws.FILTER(INDIRECT(L$112),(INDIRECT($B$112)=$B10)*(INDIRECT($D$112)=$D10)*(INDIRECT($F$112)=$F10),0)),0)</f>
        <v>0</v>
      </c>
      <c r="M10" s="403" cm="1">
        <f t="array" aca="1" ref="M10" ca="1">IFERROR(SUM(_xlfn._xlws.FILTER(INDIRECT(M$112),(INDIRECT($B$112)=$B10)*(INDIRECT($D$112)=$D10)*(INDIRECT($F$112)=$F10),0)),0)</f>
        <v>0</v>
      </c>
      <c r="N10" s="403" cm="1">
        <f t="array" aca="1" ref="N10" ca="1">IFERROR(SUM(_xlfn._xlws.FILTER(INDIRECT(N$112),(INDIRECT($B$112)=$B10)*(INDIRECT($D$112)=$D10)*(INDIRECT($F$112)=$F10),0)),0)</f>
        <v>0</v>
      </c>
      <c r="O10" s="403" cm="1">
        <f t="array" aca="1" ref="O10" ca="1">IFERROR(SUM(_xlfn._xlws.FILTER(INDIRECT(O$112),(INDIRECT($B$112)=$B10)*(INDIRECT($D$112)=$D10)*(INDIRECT($F$112)=$F10),0)),0)</f>
        <v>29233.208708807811</v>
      </c>
      <c r="P10" s="403" cm="1">
        <f t="array" aca="1" ref="P10" ca="1">IFERROR(SUM(_xlfn._xlws.FILTER(INDIRECT(P$112),(INDIRECT($B$112)=$B10)*(INDIRECT($D$112)=$D10)*(INDIRECT($F$112)=$F10),0)),0)</f>
        <v>31882.659492614061</v>
      </c>
      <c r="Q10" s="403" cm="1">
        <f t="array" aca="1" ref="Q10" ca="1">IFERROR(SUM(_xlfn._xlws.FILTER(INDIRECT(Q$112),(INDIRECT($B$112)=$B10)*(INDIRECT($D$112)=$D10)*(INDIRECT($F$112)=$F10),0)),0)</f>
        <v>0</v>
      </c>
      <c r="R10" s="403" cm="1">
        <f t="array" aca="1" ref="R10" ca="1">IFERROR(SUM(_xlfn._xlws.FILTER(INDIRECT(R$112),(INDIRECT($B$112)=$B10)*(INDIRECT($D$112)=$D10)*(INDIRECT($F$112)=$F10),0)),0)</f>
        <v>0</v>
      </c>
      <c r="S10" s="403" cm="1">
        <f t="array" aca="1" ref="S10" ca="1">IFERROR(SUM(_xlfn._xlws.FILTER(INDIRECT(S$112),(INDIRECT($B$112)=$B10)*(INDIRECT($D$112)=$D10)*(INDIRECT($F$112)=$F10),0)),0)</f>
        <v>0</v>
      </c>
      <c r="T10" s="403" cm="1">
        <f t="array" aca="1" ref="T10" ca="1">IFERROR(SUM(_xlfn._xlws.FILTER(INDIRECT(T$112),(INDIRECT($B$112)=$B10)*(INDIRECT($D$112)=$D10)*(INDIRECT($F$112)=$F10),0)),0)</f>
        <v>0</v>
      </c>
      <c r="U10" s="403" cm="1">
        <f t="array" aca="1" ref="U10" ca="1">IFERROR(SUM(_xlfn._xlws.FILTER(INDIRECT(U$112),(INDIRECT($B$112)=$B10)*(INDIRECT($D$112)=$D10)*(INDIRECT($F$112)=$F10),0)),0)</f>
        <v>123.42135738628699</v>
      </c>
      <c r="V10" s="403" cm="1">
        <f t="array" aca="1" ref="V10" ca="1">IFERROR(SUM(_xlfn._xlws.FILTER(INDIRECT(V$112),(INDIRECT($B$112)=$B10)*(INDIRECT($D$112)=$D10)*(INDIRECT($F$112)=$F10),0)),0)</f>
        <v>1247.3689620928537</v>
      </c>
      <c r="W10" s="403" cm="1">
        <f t="array" aca="1" ref="W10" ca="1">IFERROR(SUM(_xlfn._xlws.FILTER(INDIRECT(W$112),(INDIRECT($B$112)=$B10)*(INDIRECT($D$112)=$D10)*(INDIRECT($F$112)=$F10),0)),0)</f>
        <v>1207.5204506033313</v>
      </c>
      <c r="X10" s="403" cm="1">
        <f t="array" aca="1" ref="X10" ca="1">IFERROR(SUM(_xlfn._xlws.FILTER(INDIRECT(X$112),(INDIRECT($B$112)=$B10)*(INDIRECT($D$112)=$D10)*(INDIRECT($F$112)=$F10),0)),0)</f>
        <v>12203.913188709794</v>
      </c>
      <c r="Y10" s="403" cm="1">
        <f t="array" aca="1" ref="Y10" ca="1">IFERROR(SUM(_xlfn._xlws.FILTER(INDIRECT(Y$112),(INDIRECT($B$112)=$B10)*(INDIRECT($D$112)=$D10)*(INDIRECT($F$112)=$F10),0)),0)</f>
        <v>22167.644708656866</v>
      </c>
      <c r="Z10" s="403" cm="1">
        <f t="array" aca="1" ref="Z10" ca="1">IFERROR(SUM(_xlfn._xlws.FILTER(INDIRECT(Z$112),(INDIRECT($B$112)=$B10)*(INDIRECT($D$112)=$D10)*(INDIRECT($F$112)=$F10),0)),0)</f>
        <v>4413.156343873331</v>
      </c>
      <c r="AA10" s="403" cm="1">
        <f t="array" aca="1" ref="AA10" ca="1">IFERROR(SUM(_xlfn._xlws.FILTER(INDIRECT(AA$112),(INDIRECT($B$112)=$B10)*(INDIRECT($D$112)=$D10)*(INDIRECT($F$112)=$F10),0)),0)</f>
        <v>0</v>
      </c>
      <c r="AB10" s="403" cm="1">
        <f t="array" aca="1" ref="AB10" ca="1">IFERROR(SUM(_xlfn._xlws.FILTER(INDIRECT(AB$112),(INDIRECT($B$112)=$B10)*(INDIRECT($D$112)=$D10)*(INDIRECT($F$112)=$F10),0)),0)</f>
        <v>0</v>
      </c>
      <c r="AC10" s="403" cm="1">
        <f t="array" aca="1" ref="AC10" ca="1">IFERROR(SUM(_xlfn._xlws.FILTER(INDIRECT(AC$112),(INDIRECT($B$112)=$B10)*(INDIRECT($D$112)=$D10)*(INDIRECT($F$112)=$F10),0)),0)</f>
        <v>0</v>
      </c>
      <c r="AD10" s="403" cm="1">
        <f t="array" aca="1" ref="AD10" ca="1">IFERROR(SUM(_xlfn._xlws.FILTER(INDIRECT(AD$112),(INDIRECT($B$112)=$B10)*(INDIRECT($D$112)=$D10)*(INDIRECT($F$112)=$F10),0)),0)</f>
        <v>0</v>
      </c>
      <c r="AE10" s="403" cm="1">
        <f t="array" aca="1" ref="AE10" ca="1">IFERROR(SUM(_xlfn._xlws.FILTER(INDIRECT(AE$112),(INDIRECT($B$112)=$B10)*(INDIRECT($D$112)=$D10)*(INDIRECT($F$112)=$F10),0)),0)</f>
        <v>0</v>
      </c>
      <c r="AF10" s="403" cm="1">
        <f t="array" aca="1" ref="AF10" ca="1">IFERROR(SUM(_xlfn._xlws.FILTER(INDIRECT(AF$112),(INDIRECT($B$112)=$B10)*(INDIRECT($D$112)=$D10)*(INDIRECT($F$112)=$F10),0)),0)</f>
        <v>0</v>
      </c>
      <c r="AG10" s="403" cm="1">
        <f t="array" aca="1" ref="AG10" ca="1">IFERROR(SUM(_xlfn._xlws.FILTER(INDIRECT(AG$112),(INDIRECT($B$112)=$B10)*(INDIRECT($D$112)=$D10)*(INDIRECT($F$112)=$F10),0)),0)</f>
        <v>0</v>
      </c>
      <c r="AH10" s="403" cm="1">
        <f t="array" aca="1" ref="AH10" ca="1">IFERROR(SUM(_xlfn._xlws.FILTER(INDIRECT(AH$112),(INDIRECT($B$112)=$B10)*(INDIRECT($D$112)=$D10)*(INDIRECT($F$112)=$F10),0)),0)</f>
        <v>0</v>
      </c>
      <c r="AI10" s="403" cm="1">
        <f t="array" aca="1" ref="AI10" ca="1">IFERROR(SUM(_xlfn._xlws.FILTER(INDIRECT(AI$112),(INDIRECT($B$112)=$B10)*(INDIRECT($D$112)=$D10)*(INDIRECT($F$112)=$F10),0)),0)</f>
        <v>0</v>
      </c>
      <c r="AJ10" s="403" cm="1">
        <f t="array" aca="1" ref="AJ10" ca="1">IFERROR(SUM(_xlfn._xlws.FILTER(INDIRECT(AJ$112),(INDIRECT($B$112)=$B10)*(INDIRECT($D$112)=$D10)*(INDIRECT($F$112)=$F10),0)),0)</f>
        <v>0</v>
      </c>
      <c r="AK10" s="403" cm="1">
        <f t="array" aca="1" ref="AK10" ca="1">IFERROR(SUM(_xlfn._xlws.FILTER(INDIRECT(AK$112),(INDIRECT($B$112)=$B10)*(INDIRECT($D$112)=$D10)*(INDIRECT($F$112)=$F10),0)),0)</f>
        <v>0</v>
      </c>
      <c r="AL10" s="403" cm="1">
        <f t="array" aca="1" ref="AL10" ca="1">IFERROR(SUM(_xlfn._xlws.FILTER(INDIRECT(AL$112),(INDIRECT($B$112)=$B10)*(INDIRECT($D$112)=$D10)*(INDIRECT($F$112)=$F10),0)),0)</f>
        <v>0</v>
      </c>
      <c r="AM10" s="403" cm="1">
        <f t="array" aca="1" ref="AM10" ca="1">IFERROR(SUM(_xlfn._xlws.FILTER(INDIRECT(AM$112),(INDIRECT($B$112)=$B10)*(INDIRECT($D$112)=$D10)*(INDIRECT($F$112)=$F10),0)),0)</f>
        <v>0</v>
      </c>
      <c r="AN10" s="403" cm="1">
        <f t="array" aca="1" ref="AN10" ca="1">IFERROR(SUM(_xlfn._xlws.FILTER(INDIRECT(AN$112),(INDIRECT($B$112)=$B10)*(INDIRECT($D$112)=$D10)*(INDIRECT($F$112)=$F10),0)),0)</f>
        <v>0</v>
      </c>
      <c r="AO10" s="403" cm="1">
        <f t="array" aca="1" ref="AO10" ca="1">IFERROR(SUM(_xlfn._xlws.FILTER(INDIRECT(AO$112),(INDIRECT($B$112)=$B10)*(INDIRECT($D$112)=$D10)*(INDIRECT($F$112)=$F10),0)),0)</f>
        <v>0</v>
      </c>
      <c r="AP10" s="403" cm="1">
        <f t="array" aca="1" ref="AP10" ca="1">IFERROR(SUM(_xlfn._xlws.FILTER(INDIRECT(AP$112),(INDIRECT($B$112)=$B10)*(INDIRECT($D$112)=$D10)*(INDIRECT($F$112)=$F10),0)),0)</f>
        <v>0</v>
      </c>
      <c r="AQ10" s="403" cm="1">
        <f t="array" aca="1" ref="AQ10" ca="1">IFERROR(SUM(_xlfn._xlws.FILTER(INDIRECT(AQ$112),(INDIRECT($B$112)=$B10)*(INDIRECT($D$112)=$D10)*(INDIRECT($F$112)=$F10),0)),0)</f>
        <v>234243.33433395432</v>
      </c>
      <c r="AR10" s="403" cm="1">
        <f t="array" aca="1" ref="AR10" ca="1">IFERROR(SUM(_xlfn._xlws.FILTER(INDIRECT(AR$112),(INDIRECT($B$112)=$B10)*(INDIRECT($D$112)=$D10)*(INDIRECT($F$112)=$F10),0)),0)</f>
        <v>49747.097987290035</v>
      </c>
      <c r="AS10" s="286" t="str">
        <f t="shared" ref="AS10:AS16" ca="1" si="2">IF($B10="","X",ADDRESS(SUM(ROW()),MATCH("SCD",$1:$1,0)+1,4)&amp;":"&amp;ADDRESS(SUM(ROW()),MATCH("ECD",$1:$1,0)-1,4))</f>
        <v>G10:AP10</v>
      </c>
      <c r="AT10" s="403">
        <f ca="1">SUM(INDIRECT("rc"&amp;MATCH("ECD",$1:$1,0)&amp;":rc"&amp;(MATCH("EOC",$1:$1,0)-1),FALSE))</f>
        <v>283990.43232124439</v>
      </c>
      <c r="AV10" s="142" cm="1">
        <f t="array" aca="1" ref="AV10" ca="1">IF(AND(_xlfn.LET(_xlpm.x,SUM(ROW()),OR(AND(MATCH("SOT",$A:$A,0)&lt;_xlpm.x,MATCH("EOT",$A:$A,0)&gt;_xlpm.x),AND(MATCH("SOS",$A:$A,0)&lt;_xlpm.x,MATCH("EOS",$A:$A,0)&gt;_xlpm.x),AND(MATCH("SOR",$A:$A,0)&lt;_xlpm.x,MATCH("EOR",$A:$A,0)&gt;_xlpm.x))),INDIRECT("rc"&amp;MATCH("SCD",$1:$1,0),FALSE)="PPTO"),1,0)</f>
        <v>1</v>
      </c>
      <c r="AW10" s="142" cm="1">
        <f t="array" aca="1" ref="AW1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1" spans="1:49" s="153" customFormat="1" outlineLevel="2">
      <c r="A11" s="152"/>
      <c r="B11" s="401" t="str">
        <f ca="1"/>
        <v>31200</v>
      </c>
      <c r="C11" s="148"/>
      <c r="D11" s="404" t="str">
        <f ca="1"/>
        <v>GDHR</v>
      </c>
      <c r="E11" s="350" t="str" cm="1">
        <f t="array" aca="1" ref="E11" ca="1">UPPER(_xlfn.UNIQUE(_xlfn._xlws.FILTER(TbStd[OFbStd],TbStd[RowGrp]=$D11,"X")))</f>
        <v>MANAGEMENT &amp; DEFINITION HOURS</v>
      </c>
      <c r="F11" s="402" t="str">
        <f ca="1"/>
        <v>PREV</v>
      </c>
      <c r="G11" s="403" cm="1">
        <f t="array" aca="1" ref="G11" ca="1">IFERROR(SUM(_xlfn._xlws.FILTER(INDIRECT(G$112),(INDIRECT($B$112)=$B11)*(INDIRECT($D$112)=$D11)*(INDIRECT($F$112)=$F11),0)),0)</f>
        <v>-9000</v>
      </c>
      <c r="H11" s="403" cm="1">
        <f t="array" aca="1" ref="H11" ca="1">IFERROR(SUM(_xlfn._xlws.FILTER(INDIRECT(H$112),(INDIRECT($B$112)=$B11)*(INDIRECT($D$112)=$D11)*(INDIRECT($F$112)=$F11),0)),0)</f>
        <v>0</v>
      </c>
      <c r="I11" s="403" cm="1">
        <f t="array" aca="1" ref="I11" ca="1">IFERROR(SUM(_xlfn._xlws.FILTER(INDIRECT(I$112),(INDIRECT($B$112)=$B11)*(INDIRECT($D$112)=$D11)*(INDIRECT($F$112)=$F11),0)),0)</f>
        <v>-10000</v>
      </c>
      <c r="J11" s="403" cm="1">
        <f t="array" aca="1" ref="J11" ca="1">IFERROR(SUM(_xlfn._xlws.FILTER(INDIRECT(J$112),(INDIRECT($B$112)=$B11)*(INDIRECT($D$112)=$D11)*(INDIRECT($F$112)=$F11),0)),0)</f>
        <v>0</v>
      </c>
      <c r="K11" s="403" cm="1">
        <f t="array" aca="1" ref="K11" ca="1">IFERROR(SUM(_xlfn._xlws.FILTER(INDIRECT(K$112),(INDIRECT($B$112)=$B11)*(INDIRECT($D$112)=$D11)*(INDIRECT($F$112)=$F11),0)),0)</f>
        <v>0</v>
      </c>
      <c r="L11" s="403" cm="1">
        <f t="array" aca="1" ref="L11" ca="1">IFERROR(SUM(_xlfn._xlws.FILTER(INDIRECT(L$112),(INDIRECT($B$112)=$B11)*(INDIRECT($D$112)=$D11)*(INDIRECT($F$112)=$F11),0)),0)</f>
        <v>0</v>
      </c>
      <c r="M11" s="403" cm="1">
        <f t="array" aca="1" ref="M11" ca="1">IFERROR(SUM(_xlfn._xlws.FILTER(INDIRECT(M$112),(INDIRECT($B$112)=$B11)*(INDIRECT($D$112)=$D11)*(INDIRECT($F$112)=$F11),0)),0)</f>
        <v>0</v>
      </c>
      <c r="N11" s="403" cm="1">
        <f t="array" aca="1" ref="N11" ca="1">IFERROR(SUM(_xlfn._xlws.FILTER(INDIRECT(N$112),(INDIRECT($B$112)=$B11)*(INDIRECT($D$112)=$D11)*(INDIRECT($F$112)=$F11),0)),0)</f>
        <v>0</v>
      </c>
      <c r="O11" s="403" cm="1">
        <f t="array" aca="1" ref="O11" ca="1">IFERROR(SUM(_xlfn._xlws.FILTER(INDIRECT(O$112),(INDIRECT($B$112)=$B11)*(INDIRECT($D$112)=$D11)*(INDIRECT($F$112)=$F11),0)),0)</f>
        <v>-15000</v>
      </c>
      <c r="P11" s="403" cm="1">
        <f t="array" aca="1" ref="P11" ca="1">IFERROR(SUM(_xlfn._xlws.FILTER(INDIRECT(P$112),(INDIRECT($B$112)=$B11)*(INDIRECT($D$112)=$D11)*(INDIRECT($F$112)=$F11),0)),0)</f>
        <v>0</v>
      </c>
      <c r="Q11" s="403" cm="1">
        <f t="array" aca="1" ref="Q11" ca="1">IFERROR(SUM(_xlfn._xlws.FILTER(INDIRECT(Q$112),(INDIRECT($B$112)=$B11)*(INDIRECT($D$112)=$D11)*(INDIRECT($F$112)=$F11),0)),0)</f>
        <v>0</v>
      </c>
      <c r="R11" s="403" cm="1">
        <f t="array" aca="1" ref="R11" ca="1">IFERROR(SUM(_xlfn._xlws.FILTER(INDIRECT(R$112),(INDIRECT($B$112)=$B11)*(INDIRECT($D$112)=$D11)*(INDIRECT($F$112)=$F11),0)),0)</f>
        <v>0</v>
      </c>
      <c r="S11" s="403" cm="1">
        <f t="array" aca="1" ref="S11" ca="1">IFERROR(SUM(_xlfn._xlws.FILTER(INDIRECT(S$112),(INDIRECT($B$112)=$B11)*(INDIRECT($D$112)=$D11)*(INDIRECT($F$112)=$F11),0)),0)</f>
        <v>0</v>
      </c>
      <c r="T11" s="403" cm="1">
        <f t="array" aca="1" ref="T11" ca="1">IFERROR(SUM(_xlfn._xlws.FILTER(INDIRECT(T$112),(INDIRECT($B$112)=$B11)*(INDIRECT($D$112)=$D11)*(INDIRECT($F$112)=$F11),0)),0)</f>
        <v>166.3</v>
      </c>
      <c r="U11" s="403" cm="1">
        <f t="array" aca="1" ref="U11" ca="1">IFERROR(SUM(_xlfn._xlws.FILTER(INDIRECT(U$112),(INDIRECT($B$112)=$B11)*(INDIRECT($D$112)=$D11)*(INDIRECT($F$112)=$F11),0)),0)</f>
        <v>0</v>
      </c>
      <c r="V11" s="403" cm="1">
        <f t="array" aca="1" ref="V11" ca="1">IFERROR(SUM(_xlfn._xlws.FILTER(INDIRECT(V$112),(INDIRECT($B$112)=$B11)*(INDIRECT($D$112)=$D11)*(INDIRECT($F$112)=$F11),0)),0)</f>
        <v>0</v>
      </c>
      <c r="W11" s="403" cm="1">
        <f t="array" aca="1" ref="W11" ca="1">IFERROR(SUM(_xlfn._xlws.FILTER(INDIRECT(W$112),(INDIRECT($B$112)=$B11)*(INDIRECT($D$112)=$D11)*(INDIRECT($F$112)=$F11),0)),0)</f>
        <v>-4796.9336393131252</v>
      </c>
      <c r="X11" s="403" cm="1">
        <f t="array" aca="1" ref="X11" ca="1">IFERROR(SUM(_xlfn._xlws.FILTER(INDIRECT(X$112),(INDIRECT($B$112)=$B11)*(INDIRECT($D$112)=$D11)*(INDIRECT($F$112)=$F11),0)),0)</f>
        <v>0</v>
      </c>
      <c r="Y11" s="403" cm="1">
        <f t="array" aca="1" ref="Y11" ca="1">IFERROR(SUM(_xlfn._xlws.FILTER(INDIRECT(Y$112),(INDIRECT($B$112)=$B11)*(INDIRECT($D$112)=$D11)*(INDIRECT($F$112)=$F11),0)),0)</f>
        <v>-2653.4400000000005</v>
      </c>
      <c r="Z11" s="403" cm="1">
        <f t="array" aca="1" ref="Z11" ca="1">IFERROR(SUM(_xlfn._xlws.FILTER(INDIRECT(Z$112),(INDIRECT($B$112)=$B11)*(INDIRECT($D$112)=$D11)*(INDIRECT($F$112)=$F11),0)),0)</f>
        <v>0</v>
      </c>
      <c r="AA11" s="403" cm="1">
        <f t="array" aca="1" ref="AA11" ca="1">IFERROR(SUM(_xlfn._xlws.FILTER(INDIRECT(AA$112),(INDIRECT($B$112)=$B11)*(INDIRECT($D$112)=$D11)*(INDIRECT($F$112)=$F11),0)),0)</f>
        <v>0</v>
      </c>
      <c r="AB11" s="403" cm="1">
        <f t="array" aca="1" ref="AB11" ca="1">IFERROR(SUM(_xlfn._xlws.FILTER(INDIRECT(AB$112),(INDIRECT($B$112)=$B11)*(INDIRECT($D$112)=$D11)*(INDIRECT($F$112)=$F11),0)),0)</f>
        <v>0</v>
      </c>
      <c r="AC11" s="403" cm="1">
        <f t="array" aca="1" ref="AC11" ca="1">IFERROR(SUM(_xlfn._xlws.FILTER(INDIRECT(AC$112),(INDIRECT($B$112)=$B11)*(INDIRECT($D$112)=$D11)*(INDIRECT($F$112)=$F11),0)),0)</f>
        <v>0</v>
      </c>
      <c r="AD11" s="403" cm="1">
        <f t="array" aca="1" ref="AD11" ca="1">IFERROR(SUM(_xlfn._xlws.FILTER(INDIRECT(AD$112),(INDIRECT($B$112)=$B11)*(INDIRECT($D$112)=$D11)*(INDIRECT($F$112)=$F11),0)),0)</f>
        <v>0</v>
      </c>
      <c r="AE11" s="403" cm="1">
        <f t="array" aca="1" ref="AE11" ca="1">IFERROR(SUM(_xlfn._xlws.FILTER(INDIRECT(AE$112),(INDIRECT($B$112)=$B11)*(INDIRECT($D$112)=$D11)*(INDIRECT($F$112)=$F11),0)),0)</f>
        <v>4935.74</v>
      </c>
      <c r="AF11" s="403" cm="1">
        <f t="array" aca="1" ref="AF11" ca="1">IFERROR(SUM(_xlfn._xlws.FILTER(INDIRECT(AF$112),(INDIRECT($B$112)=$B11)*(INDIRECT($D$112)=$D11)*(INDIRECT($F$112)=$F11),0)),0)</f>
        <v>11564.6</v>
      </c>
      <c r="AG11" s="403" cm="1">
        <f t="array" aca="1" ref="AG11" ca="1">IFERROR(SUM(_xlfn._xlws.FILTER(INDIRECT(AG$112),(INDIRECT($B$112)=$B11)*(INDIRECT($D$112)=$D11)*(INDIRECT($F$112)=$F11),0)),0)</f>
        <v>0</v>
      </c>
      <c r="AH11" s="403" cm="1">
        <f t="array" aca="1" ref="AH11" ca="1">IFERROR(SUM(_xlfn._xlws.FILTER(INDIRECT(AH$112),(INDIRECT($B$112)=$B11)*(INDIRECT($D$112)=$D11)*(INDIRECT($F$112)=$F11),0)),0)</f>
        <v>0</v>
      </c>
      <c r="AI11" s="403" cm="1">
        <f t="array" aca="1" ref="AI11" ca="1">IFERROR(SUM(_xlfn._xlws.FILTER(INDIRECT(AI$112),(INDIRECT($B$112)=$B11)*(INDIRECT($D$112)=$D11)*(INDIRECT($F$112)=$F11),0)),0)</f>
        <v>0</v>
      </c>
      <c r="AJ11" s="403" cm="1">
        <f t="array" aca="1" ref="AJ11" ca="1">IFERROR(SUM(_xlfn._xlws.FILTER(INDIRECT(AJ$112),(INDIRECT($B$112)=$B11)*(INDIRECT($D$112)=$D11)*(INDIRECT($F$112)=$F11),0)),0)</f>
        <v>0</v>
      </c>
      <c r="AK11" s="403" cm="1">
        <f t="array" aca="1" ref="AK11" ca="1">IFERROR(SUM(_xlfn._xlws.FILTER(INDIRECT(AK$112),(INDIRECT($B$112)=$B11)*(INDIRECT($D$112)=$D11)*(INDIRECT($F$112)=$F11),0)),0)</f>
        <v>0</v>
      </c>
      <c r="AL11" s="403" cm="1">
        <f t="array" aca="1" ref="AL11" ca="1">IFERROR(SUM(_xlfn._xlws.FILTER(INDIRECT(AL$112),(INDIRECT($B$112)=$B11)*(INDIRECT($D$112)=$D11)*(INDIRECT($F$112)=$F11),0)),0)</f>
        <v>0</v>
      </c>
      <c r="AM11" s="403" cm="1">
        <f t="array" aca="1" ref="AM11" ca="1">IFERROR(SUM(_xlfn._xlws.FILTER(INDIRECT(AM$112),(INDIRECT($B$112)=$B11)*(INDIRECT($D$112)=$D11)*(INDIRECT($F$112)=$F11),0)),0)</f>
        <v>0</v>
      </c>
      <c r="AN11" s="403" cm="1">
        <f t="array" aca="1" ref="AN11" ca="1">IFERROR(SUM(_xlfn._xlws.FILTER(INDIRECT(AN$112),(INDIRECT($B$112)=$B11)*(INDIRECT($D$112)=$D11)*(INDIRECT($F$112)=$F11),0)),0)</f>
        <v>0</v>
      </c>
      <c r="AO11" s="403" cm="1">
        <f t="array" aca="1" ref="AO11" ca="1">IFERROR(SUM(_xlfn._xlws.FILTER(INDIRECT(AO$112),(INDIRECT($B$112)=$B11)*(INDIRECT($D$112)=$D11)*(INDIRECT($F$112)=$F11),0)),0)</f>
        <v>0</v>
      </c>
      <c r="AP11" s="403" cm="1">
        <f t="array" aca="1" ref="AP11" ca="1">IFERROR(SUM(_xlfn._xlws.FILTER(INDIRECT(AP$112),(INDIRECT($B$112)=$B11)*(INDIRECT($D$112)=$D11)*(INDIRECT($F$112)=$F11),0)),0)</f>
        <v>0</v>
      </c>
      <c r="AQ11" s="403" cm="1">
        <f t="array" aca="1" ref="AQ11" ca="1">IFERROR(SUM(_xlfn._xlws.FILTER(INDIRECT(AQ$112),(INDIRECT($B$112)=$B11)*(INDIRECT($D$112)=$D11)*(INDIRECT($F$112)=$F11),0)),0)</f>
        <v>-36514.633639313128</v>
      </c>
      <c r="AR11" s="403" cm="1">
        <f t="array" aca="1" ref="AR11" ca="1">IFERROR(SUM(_xlfn._xlws.FILTER(INDIRECT(AR$112),(INDIRECT($B$112)=$B11)*(INDIRECT($D$112)=$D11)*(INDIRECT($F$112)=$F11),0)),0)</f>
        <v>11730.9</v>
      </c>
      <c r="AS11" s="286" t="str">
        <f t="shared" ca="1" si="2"/>
        <v>G11:AP11</v>
      </c>
      <c r="AT11" s="403">
        <f t="shared" ref="AT11:AT74" ca="1" si="3">SUM(INDIRECT("rc"&amp;MATCH("ECD",$1:$1,0)&amp;":rc"&amp;(MATCH("EOC",$1:$1,0)-1),FALSE))</f>
        <v>-24783.733639313126</v>
      </c>
      <c r="AV11" s="142" cm="1">
        <f t="array" aca="1" ref="AV11" ca="1">IF(AND(_xlfn.LET(_xlpm.x,SUM(ROW()),OR(AND(MATCH("SOT",$A:$A,0)&lt;_xlpm.x,MATCH("EOT",$A:$A,0)&gt;_xlpm.x),AND(MATCH("SOS",$A:$A,0)&lt;_xlpm.x,MATCH("EOS",$A:$A,0)&gt;_xlpm.x),AND(MATCH("SOR",$A:$A,0)&lt;_xlpm.x,MATCH("EOR",$A:$A,0)&gt;_xlpm.x))),INDIRECT("rc"&amp;MATCH("SCD",$1:$1,0),FALSE)="PPTO"),1,0)</f>
        <v>0</v>
      </c>
      <c r="AW11" s="142" cm="1">
        <f t="array" aca="1" ref="AW1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2" spans="1:49" s="153" customFormat="1" outlineLevel="2">
      <c r="A12" s="152"/>
      <c r="B12" s="401" t="str">
        <f ca="1"/>
        <v>31200</v>
      </c>
      <c r="C12" s="148"/>
      <c r="D12" s="404" t="str">
        <f ca="1"/>
        <v>GDHR</v>
      </c>
      <c r="E12" s="350" t="str" cm="1">
        <f t="array" aca="1" ref="E12" ca="1">UPPER(_xlfn.UNIQUE(_xlfn._xlws.FILTER(TbStd[OFbStd],TbStd[RowGrp]=$D12,"X")))</f>
        <v>MANAGEMENT &amp; DEFINITION HOURS</v>
      </c>
      <c r="F12" s="402" t="str">
        <f ca="1"/>
        <v>REAL</v>
      </c>
      <c r="G12" s="403" cm="1">
        <f t="array" aca="1" ref="G12" ca="1">IFERROR(SUM(_xlfn._xlws.FILTER(INDIRECT(G$112),(INDIRECT($B$112)=$B12)*(INDIRECT($D$112)=$D12)*(INDIRECT($F$112)=$F12),0)),0)</f>
        <v>74664.240000000005</v>
      </c>
      <c r="H12" s="403" cm="1">
        <f t="array" aca="1" ref="H12" ca="1">IFERROR(SUM(_xlfn._xlws.FILTER(INDIRECT(H$112),(INDIRECT($B$112)=$B12)*(INDIRECT($D$112)=$D12)*(INDIRECT($F$112)=$F12),0)),0)</f>
        <v>0</v>
      </c>
      <c r="I12" s="403" cm="1">
        <f t="array" aca="1" ref="I12" ca="1">IFERROR(SUM(_xlfn._xlws.FILTER(INDIRECT(I$112),(INDIRECT($B$112)=$B12)*(INDIRECT($D$112)=$D12)*(INDIRECT($F$112)=$F12),0)),0)</f>
        <v>104416.4</v>
      </c>
      <c r="J12" s="403" cm="1">
        <f t="array" aca="1" ref="J12" ca="1">IFERROR(SUM(_xlfn._xlws.FILTER(INDIRECT(J$112),(INDIRECT($B$112)=$B12)*(INDIRECT($D$112)=$D12)*(INDIRECT($F$112)=$F12),0)),0)</f>
        <v>0</v>
      </c>
      <c r="K12" s="403" cm="1">
        <f t="array" aca="1" ref="K12" ca="1">IFERROR(SUM(_xlfn._xlws.FILTER(INDIRECT(K$112),(INDIRECT($B$112)=$B12)*(INDIRECT($D$112)=$D12)*(INDIRECT($F$112)=$F12),0)),0)</f>
        <v>0</v>
      </c>
      <c r="L12" s="403" cm="1">
        <f t="array" aca="1" ref="L12" ca="1">IFERROR(SUM(_xlfn._xlws.FILTER(INDIRECT(L$112),(INDIRECT($B$112)=$B12)*(INDIRECT($D$112)=$D12)*(INDIRECT($F$112)=$F12),0)),0)</f>
        <v>0</v>
      </c>
      <c r="M12" s="403" cm="1">
        <f t="array" aca="1" ref="M12" ca="1">IFERROR(SUM(_xlfn._xlws.FILTER(INDIRECT(M$112),(INDIRECT($B$112)=$B12)*(INDIRECT($D$112)=$D12)*(INDIRECT($F$112)=$F12),0)),0)</f>
        <v>0</v>
      </c>
      <c r="N12" s="403" cm="1">
        <f t="array" aca="1" ref="N12" ca="1">IFERROR(SUM(_xlfn._xlws.FILTER(INDIRECT(N$112),(INDIRECT($B$112)=$B12)*(INDIRECT($D$112)=$D12)*(INDIRECT($F$112)=$F12),0)),0)</f>
        <v>0</v>
      </c>
      <c r="O12" s="403" cm="1">
        <f t="array" aca="1" ref="O12" ca="1">IFERROR(SUM(_xlfn._xlws.FILTER(INDIRECT(O$112),(INDIRECT($B$112)=$B12)*(INDIRECT($D$112)=$D12)*(INDIRECT($F$112)=$F12),0)),0)</f>
        <v>23665.5</v>
      </c>
      <c r="P12" s="403" cm="1">
        <f t="array" aca="1" ref="P12" ca="1">IFERROR(SUM(_xlfn._xlws.FILTER(INDIRECT(P$112),(INDIRECT($B$112)=$B12)*(INDIRECT($D$112)=$D12)*(INDIRECT($F$112)=$F12),0)),0)</f>
        <v>0</v>
      </c>
      <c r="Q12" s="403" cm="1">
        <f t="array" aca="1" ref="Q12" ca="1">IFERROR(SUM(_xlfn._xlws.FILTER(INDIRECT(Q$112),(INDIRECT($B$112)=$B12)*(INDIRECT($D$112)=$D12)*(INDIRECT($F$112)=$F12),0)),0)</f>
        <v>0</v>
      </c>
      <c r="R12" s="403" cm="1">
        <f t="array" aca="1" ref="R12" ca="1">IFERROR(SUM(_xlfn._xlws.FILTER(INDIRECT(R$112),(INDIRECT($B$112)=$B12)*(INDIRECT($D$112)=$D12)*(INDIRECT($F$112)=$F12),0)),0)</f>
        <v>0</v>
      </c>
      <c r="S12" s="403" cm="1">
        <f t="array" aca="1" ref="S12" ca="1">IFERROR(SUM(_xlfn._xlws.FILTER(INDIRECT(S$112),(INDIRECT($B$112)=$B12)*(INDIRECT($D$112)=$D12)*(INDIRECT($F$112)=$F12),0)),0)</f>
        <v>166.2</v>
      </c>
      <c r="T12" s="403" cm="1">
        <f t="array" aca="1" ref="T12" ca="1">IFERROR(SUM(_xlfn._xlws.FILTER(INDIRECT(T$112),(INDIRECT($B$112)=$B12)*(INDIRECT($D$112)=$D12)*(INDIRECT($F$112)=$F12),0)),0)</f>
        <v>0</v>
      </c>
      <c r="U12" s="403" cm="1">
        <f t="array" aca="1" ref="U12" ca="1">IFERROR(SUM(_xlfn._xlws.FILTER(INDIRECT(U$112),(INDIRECT($B$112)=$B12)*(INDIRECT($D$112)=$D12)*(INDIRECT($F$112)=$F12),0)),0)</f>
        <v>0</v>
      </c>
      <c r="V12" s="403" cm="1">
        <f t="array" aca="1" ref="V12" ca="1">IFERROR(SUM(_xlfn._xlws.FILTER(INDIRECT(V$112),(INDIRECT($B$112)=$B12)*(INDIRECT($D$112)=$D12)*(INDIRECT($F$112)=$F12),0)),0)</f>
        <v>0</v>
      </c>
      <c r="W12" s="403" cm="1">
        <f t="array" aca="1" ref="W12" ca="1">IFERROR(SUM(_xlfn._xlws.FILTER(INDIRECT(W$112),(INDIRECT($B$112)=$B12)*(INDIRECT($D$112)=$D12)*(INDIRECT($F$112)=$F12),0)),0)</f>
        <v>8614.5</v>
      </c>
      <c r="X12" s="403" cm="1">
        <f t="array" aca="1" ref="X12" ca="1">IFERROR(SUM(_xlfn._xlws.FILTER(INDIRECT(X$112),(INDIRECT($B$112)=$B12)*(INDIRECT($D$112)=$D12)*(INDIRECT($F$112)=$F12),0)),0)</f>
        <v>0</v>
      </c>
      <c r="Y12" s="403" cm="1">
        <f t="array" aca="1" ref="Y12" ca="1">IFERROR(SUM(_xlfn._xlws.FILTER(INDIRECT(Y$112),(INDIRECT($B$112)=$B12)*(INDIRECT($D$112)=$D12)*(INDIRECT($F$112)=$F12),0)),0)</f>
        <v>0</v>
      </c>
      <c r="Z12" s="403" cm="1">
        <f t="array" aca="1" ref="Z12" ca="1">IFERROR(SUM(_xlfn._xlws.FILTER(INDIRECT(Z$112),(INDIRECT($B$112)=$B12)*(INDIRECT($D$112)=$D12)*(INDIRECT($F$112)=$F12),0)),0)</f>
        <v>0</v>
      </c>
      <c r="AA12" s="403" cm="1">
        <f t="array" aca="1" ref="AA12" ca="1">IFERROR(SUM(_xlfn._xlws.FILTER(INDIRECT(AA$112),(INDIRECT($B$112)=$B12)*(INDIRECT($D$112)=$D12)*(INDIRECT($F$112)=$F12),0)),0)</f>
        <v>0</v>
      </c>
      <c r="AB12" s="403" cm="1">
        <f t="array" aca="1" ref="AB12" ca="1">IFERROR(SUM(_xlfn._xlws.FILTER(INDIRECT(AB$112),(INDIRECT($B$112)=$B12)*(INDIRECT($D$112)=$D12)*(INDIRECT($F$112)=$F12),0)),0)</f>
        <v>0</v>
      </c>
      <c r="AC12" s="403" cm="1">
        <f t="array" aca="1" ref="AC12" ca="1">IFERROR(SUM(_xlfn._xlws.FILTER(INDIRECT(AC$112),(INDIRECT($B$112)=$B12)*(INDIRECT($D$112)=$D12)*(INDIRECT($F$112)=$F12),0)),0)</f>
        <v>0</v>
      </c>
      <c r="AD12" s="403" cm="1">
        <f t="array" aca="1" ref="AD12" ca="1">IFERROR(SUM(_xlfn._xlws.FILTER(INDIRECT(AD$112),(INDIRECT($B$112)=$B12)*(INDIRECT($D$112)=$D12)*(INDIRECT($F$112)=$F12),0)),0)</f>
        <v>0</v>
      </c>
      <c r="AE12" s="403" cm="1">
        <f t="array" aca="1" ref="AE12" ca="1">IFERROR(SUM(_xlfn._xlws.FILTER(INDIRECT(AE$112),(INDIRECT($B$112)=$B12)*(INDIRECT($D$112)=$D12)*(INDIRECT($F$112)=$F12),0)),0)</f>
        <v>18321.84</v>
      </c>
      <c r="AF12" s="403" cm="1">
        <f t="array" aca="1" ref="AF12" ca="1">IFERROR(SUM(_xlfn._xlws.FILTER(INDIRECT(AF$112),(INDIRECT($B$112)=$B12)*(INDIRECT($D$112)=$D12)*(INDIRECT($F$112)=$F12),0)),0)</f>
        <v>0</v>
      </c>
      <c r="AG12" s="403" cm="1">
        <f t="array" aca="1" ref="AG12" ca="1">IFERROR(SUM(_xlfn._xlws.FILTER(INDIRECT(AG$112),(INDIRECT($B$112)=$B12)*(INDIRECT($D$112)=$D12)*(INDIRECT($F$112)=$F12),0)),0)</f>
        <v>0</v>
      </c>
      <c r="AH12" s="403" cm="1">
        <f t="array" aca="1" ref="AH12" ca="1">IFERROR(SUM(_xlfn._xlws.FILTER(INDIRECT(AH$112),(INDIRECT($B$112)=$B12)*(INDIRECT($D$112)=$D12)*(INDIRECT($F$112)=$F12),0)),0)</f>
        <v>0</v>
      </c>
      <c r="AI12" s="403" cm="1">
        <f t="array" aca="1" ref="AI12" ca="1">IFERROR(SUM(_xlfn._xlws.FILTER(INDIRECT(AI$112),(INDIRECT($B$112)=$B12)*(INDIRECT($D$112)=$D12)*(INDIRECT($F$112)=$F12),0)),0)</f>
        <v>0</v>
      </c>
      <c r="AJ12" s="403" cm="1">
        <f t="array" aca="1" ref="AJ12" ca="1">IFERROR(SUM(_xlfn._xlws.FILTER(INDIRECT(AJ$112),(INDIRECT($B$112)=$B12)*(INDIRECT($D$112)=$D12)*(INDIRECT($F$112)=$F12),0)),0)</f>
        <v>0</v>
      </c>
      <c r="AK12" s="403" cm="1">
        <f t="array" aca="1" ref="AK12" ca="1">IFERROR(SUM(_xlfn._xlws.FILTER(INDIRECT(AK$112),(INDIRECT($B$112)=$B12)*(INDIRECT($D$112)=$D12)*(INDIRECT($F$112)=$F12),0)),0)</f>
        <v>0</v>
      </c>
      <c r="AL12" s="403" cm="1">
        <f t="array" aca="1" ref="AL12" ca="1">IFERROR(SUM(_xlfn._xlws.FILTER(INDIRECT(AL$112),(INDIRECT($B$112)=$B12)*(INDIRECT($D$112)=$D12)*(INDIRECT($F$112)=$F12),0)),0)</f>
        <v>0</v>
      </c>
      <c r="AM12" s="403" cm="1">
        <f t="array" aca="1" ref="AM12" ca="1">IFERROR(SUM(_xlfn._xlws.FILTER(INDIRECT(AM$112),(INDIRECT($B$112)=$B12)*(INDIRECT($D$112)=$D12)*(INDIRECT($F$112)=$F12),0)),0)</f>
        <v>0</v>
      </c>
      <c r="AN12" s="403" cm="1">
        <f t="array" aca="1" ref="AN12" ca="1">IFERROR(SUM(_xlfn._xlws.FILTER(INDIRECT(AN$112),(INDIRECT($B$112)=$B12)*(INDIRECT($D$112)=$D12)*(INDIRECT($F$112)=$F12),0)),0)</f>
        <v>0</v>
      </c>
      <c r="AO12" s="403" cm="1">
        <f t="array" aca="1" ref="AO12" ca="1">IFERROR(SUM(_xlfn._xlws.FILTER(INDIRECT(AO$112),(INDIRECT($B$112)=$B12)*(INDIRECT($D$112)=$D12)*(INDIRECT($F$112)=$F12),0)),0)</f>
        <v>0</v>
      </c>
      <c r="AP12" s="403" cm="1">
        <f t="array" aca="1" ref="AP12" ca="1">IFERROR(SUM(_xlfn._xlws.FILTER(INDIRECT(AP$112),(INDIRECT($B$112)=$B12)*(INDIRECT($D$112)=$D12)*(INDIRECT($F$112)=$F12),0)),0)</f>
        <v>0</v>
      </c>
      <c r="AQ12" s="403" cm="1">
        <f t="array" aca="1" ref="AQ12" ca="1">IFERROR(SUM(_xlfn._xlws.FILTER(INDIRECT(AQ$112),(INDIRECT($B$112)=$B12)*(INDIRECT($D$112)=$D12)*(INDIRECT($F$112)=$F12),0)),0)</f>
        <v>229848.68000000002</v>
      </c>
      <c r="AR12" s="403" cm="1">
        <f t="array" aca="1" ref="AR12" ca="1">IFERROR(SUM(_xlfn._xlws.FILTER(INDIRECT(AR$112),(INDIRECT($B$112)=$B12)*(INDIRECT($D$112)=$D12)*(INDIRECT($F$112)=$F12),0)),0)</f>
        <v>0</v>
      </c>
      <c r="AS12" s="286" t="str">
        <f t="shared" ca="1" si="2"/>
        <v>G12:AP12</v>
      </c>
      <c r="AT12" s="403">
        <f t="shared" ca="1" si="3"/>
        <v>229848.68000000002</v>
      </c>
      <c r="AV12" s="142" cm="1">
        <f t="array" aca="1" ref="AV12" ca="1">IF(AND(_xlfn.LET(_xlpm.x,SUM(ROW()),OR(AND(MATCH("SOT",$A:$A,0)&lt;_xlpm.x,MATCH("EOT",$A:$A,0)&gt;_xlpm.x),AND(MATCH("SOS",$A:$A,0)&lt;_xlpm.x,MATCH("EOS",$A:$A,0)&gt;_xlpm.x),AND(MATCH("SOR",$A:$A,0)&lt;_xlpm.x,MATCH("EOR",$A:$A,0)&gt;_xlpm.x))),INDIRECT("rc"&amp;MATCH("SCD",$1:$1,0),FALSE)="PPTO"),1,0)</f>
        <v>0</v>
      </c>
      <c r="AW12" s="142" cm="1">
        <f t="array" aca="1" ref="AW1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3" spans="1:49" s="153" customFormat="1" outlineLevel="2">
      <c r="A13" s="152"/>
      <c r="B13" s="401" t="str">
        <f ca="1"/>
        <v>31200</v>
      </c>
      <c r="C13" s="148"/>
      <c r="D13" s="404" t="str">
        <f ca="1"/>
        <v>DISC</v>
      </c>
      <c r="E13" s="350" t="str" cm="1">
        <f t="array" aca="1" ref="E13" ca="1">UPPER(_xlfn.UNIQUE(_xlfn._xlws.FILTER(TbStd[OFbStd],TbStd[RowGrp]=$D13,"X")))</f>
        <v>DESIGN &amp; SIMULATION CELLS</v>
      </c>
      <c r="F13" s="402" t="str">
        <f ca="1"/>
        <v>PPTO</v>
      </c>
      <c r="G13" s="403" cm="1">
        <f t="array" aca="1" ref="G13" ca="1">IFERROR(SUM(_xlfn._xlws.FILTER(INDIRECT(G$112),(INDIRECT($B$112)=$B13)*(INDIRECT($D$112)=$D13)*(INDIRECT($F$112)=$F13),0)),0)</f>
        <v>0</v>
      </c>
      <c r="H13" s="403" cm="1">
        <f t="array" aca="1" ref="H13" ca="1">IFERROR(SUM(_xlfn._xlws.FILTER(INDIRECT(H$112),(INDIRECT($B$112)=$B13)*(INDIRECT($D$112)=$D13)*(INDIRECT($F$112)=$F13),0)),0)</f>
        <v>0</v>
      </c>
      <c r="I13" s="403" cm="1">
        <f t="array" aca="1" ref="I13" ca="1">IFERROR(SUM(_xlfn._xlws.FILTER(INDIRECT(I$112),(INDIRECT($B$112)=$B13)*(INDIRECT($D$112)=$D13)*(INDIRECT($F$112)=$F13),0)),0)</f>
        <v>0</v>
      </c>
      <c r="J13" s="403" cm="1">
        <f t="array" aca="1" ref="J13" ca="1">IFERROR(SUM(_xlfn._xlws.FILTER(INDIRECT(J$112),(INDIRECT($B$112)=$B13)*(INDIRECT($D$112)=$D13)*(INDIRECT($F$112)=$F13),0)),0)</f>
        <v>0</v>
      </c>
      <c r="K13" s="403" cm="1">
        <f t="array" aca="1" ref="K13" ca="1">IFERROR(SUM(_xlfn._xlws.FILTER(INDIRECT(K$112),(INDIRECT($B$112)=$B13)*(INDIRECT($D$112)=$D13)*(INDIRECT($F$112)=$F13),0)),0)</f>
        <v>68332.961799506258</v>
      </c>
      <c r="L13" s="403" cm="1">
        <f t="array" aca="1" ref="L13" ca="1">IFERROR(SUM(_xlfn._xlws.FILTER(INDIRECT(L$112),(INDIRECT($B$112)=$B13)*(INDIRECT($D$112)=$D13)*(INDIRECT($F$112)=$F13),0)),0)</f>
        <v>11587.4637802875</v>
      </c>
      <c r="M13" s="403" cm="1">
        <f t="array" aca="1" ref="M13" ca="1">IFERROR(SUM(_xlfn._xlws.FILTER(INDIRECT(M$112),(INDIRECT($B$112)=$B13)*(INDIRECT($D$112)=$D13)*(INDIRECT($F$112)=$F13),0)),0)</f>
        <v>59885.185998207919</v>
      </c>
      <c r="N13" s="403" cm="1">
        <f t="array" aca="1" ref="N13" ca="1">IFERROR(SUM(_xlfn._xlws.FILTER(INDIRECT(N$112),(INDIRECT($B$112)=$B13)*(INDIRECT($D$112)=$D13)*(INDIRECT($F$112)=$F13),0)),0)</f>
        <v>64767.944087670418</v>
      </c>
      <c r="O13" s="403" cm="1">
        <f t="array" aca="1" ref="O13" ca="1">IFERROR(SUM(_xlfn._xlws.FILTER(INDIRECT(O$112),(INDIRECT($B$112)=$B13)*(INDIRECT($D$112)=$D13)*(INDIRECT($F$112)=$F13),0)),0)</f>
        <v>13755.1134501</v>
      </c>
      <c r="P13" s="403" cm="1">
        <f t="array" aca="1" ref="P13" ca="1">IFERROR(SUM(_xlfn._xlws.FILTER(INDIRECT(P$112),(INDIRECT($B$112)=$B13)*(INDIRECT($D$112)=$D13)*(INDIRECT($F$112)=$F13),0)),0)</f>
        <v>15001.760592900002</v>
      </c>
      <c r="Q13" s="403" cm="1">
        <f t="array" aca="1" ref="Q13" ca="1">IFERROR(SUM(_xlfn._xlws.FILTER(INDIRECT(Q$112),(INDIRECT($B$112)=$B13)*(INDIRECT($D$112)=$D13)*(INDIRECT($F$112)=$F13),0)),0)</f>
        <v>26455.825996187497</v>
      </c>
      <c r="R13" s="403" cm="1">
        <f t="array" aca="1" ref="R13" ca="1">IFERROR(SUM(_xlfn._xlws.FILTER(INDIRECT(R$112),(INDIRECT($B$112)=$B13)*(INDIRECT($D$112)=$D13)*(INDIRECT($F$112)=$F13),0)),0)</f>
        <v>0</v>
      </c>
      <c r="S13" s="403" cm="1">
        <f t="array" aca="1" ref="S13" ca="1">IFERROR(SUM(_xlfn._xlws.FILTER(INDIRECT(S$112),(INDIRECT($B$112)=$B13)*(INDIRECT($D$112)=$D13)*(INDIRECT($F$112)=$F13),0)),0)</f>
        <v>0</v>
      </c>
      <c r="T13" s="403" cm="1">
        <f t="array" aca="1" ref="T13" ca="1">IFERROR(SUM(_xlfn._xlws.FILTER(INDIRECT(T$112),(INDIRECT($B$112)=$B13)*(INDIRECT($D$112)=$D13)*(INDIRECT($F$112)=$F13),0)),0)</f>
        <v>0</v>
      </c>
      <c r="U13" s="403" cm="1">
        <f t="array" aca="1" ref="U13" ca="1">IFERROR(SUM(_xlfn._xlws.FILTER(INDIRECT(U$112),(INDIRECT($B$112)=$B13)*(INDIRECT($D$112)=$D13)*(INDIRECT($F$112)=$F13),0)),0)</f>
        <v>0</v>
      </c>
      <c r="V13" s="403" cm="1">
        <f t="array" aca="1" ref="V13" ca="1">IFERROR(SUM(_xlfn._xlws.FILTER(INDIRECT(V$112),(INDIRECT($B$112)=$B13)*(INDIRECT($D$112)=$D13)*(INDIRECT($F$112)=$F13),0)),0)</f>
        <v>0</v>
      </c>
      <c r="W13" s="403" cm="1">
        <f t="array" aca="1" ref="W13" ca="1">IFERROR(SUM(_xlfn._xlws.FILTER(INDIRECT(W$112),(INDIRECT($B$112)=$B13)*(INDIRECT($D$112)=$D13)*(INDIRECT($F$112)=$F13),0)),0)</f>
        <v>0</v>
      </c>
      <c r="X13" s="403" cm="1">
        <f t="array" aca="1" ref="X13" ca="1">IFERROR(SUM(_xlfn._xlws.FILTER(INDIRECT(X$112),(INDIRECT($B$112)=$B13)*(INDIRECT($D$112)=$D13)*(INDIRECT($F$112)=$F13),0)),0)</f>
        <v>0</v>
      </c>
      <c r="Y13" s="403" cm="1">
        <f t="array" aca="1" ref="Y13" ca="1">IFERROR(SUM(_xlfn._xlws.FILTER(INDIRECT(Y$112),(INDIRECT($B$112)=$B13)*(INDIRECT($D$112)=$D13)*(INDIRECT($F$112)=$F13),0)),0)</f>
        <v>0</v>
      </c>
      <c r="Z13" s="403" cm="1">
        <f t="array" aca="1" ref="Z13" ca="1">IFERROR(SUM(_xlfn._xlws.FILTER(INDIRECT(Z$112),(INDIRECT($B$112)=$B13)*(INDIRECT($D$112)=$D13)*(INDIRECT($F$112)=$F13),0)),0)</f>
        <v>0</v>
      </c>
      <c r="AA13" s="403" cm="1">
        <f t="array" aca="1" ref="AA13" ca="1">IFERROR(SUM(_xlfn._xlws.FILTER(INDIRECT(AA$112),(INDIRECT($B$112)=$B13)*(INDIRECT($D$112)=$D13)*(INDIRECT($F$112)=$F13),0)),0)</f>
        <v>0</v>
      </c>
      <c r="AB13" s="403" cm="1">
        <f t="array" aca="1" ref="AB13" ca="1">IFERROR(SUM(_xlfn._xlws.FILTER(INDIRECT(AB$112),(INDIRECT($B$112)=$B13)*(INDIRECT($D$112)=$D13)*(INDIRECT($F$112)=$F13),0)),0)</f>
        <v>0</v>
      </c>
      <c r="AC13" s="403" cm="1">
        <f t="array" aca="1" ref="AC13" ca="1">IFERROR(SUM(_xlfn._xlws.FILTER(INDIRECT(AC$112),(INDIRECT($B$112)=$B13)*(INDIRECT($D$112)=$D13)*(INDIRECT($F$112)=$F13),0)),0)</f>
        <v>0</v>
      </c>
      <c r="AD13" s="403" cm="1">
        <f t="array" aca="1" ref="AD13" ca="1">IFERROR(SUM(_xlfn._xlws.FILTER(INDIRECT(AD$112),(INDIRECT($B$112)=$B13)*(INDIRECT($D$112)=$D13)*(INDIRECT($F$112)=$F13),0)),0)</f>
        <v>0</v>
      </c>
      <c r="AE13" s="403" cm="1">
        <f t="array" aca="1" ref="AE13" ca="1">IFERROR(SUM(_xlfn._xlws.FILTER(INDIRECT(AE$112),(INDIRECT($B$112)=$B13)*(INDIRECT($D$112)=$D13)*(INDIRECT($F$112)=$F13),0)),0)</f>
        <v>0</v>
      </c>
      <c r="AF13" s="403" cm="1">
        <f t="array" aca="1" ref="AF13" ca="1">IFERROR(SUM(_xlfn._xlws.FILTER(INDIRECT(AF$112),(INDIRECT($B$112)=$B13)*(INDIRECT($D$112)=$D13)*(INDIRECT($F$112)=$F13),0)),0)</f>
        <v>0</v>
      </c>
      <c r="AG13" s="403" cm="1">
        <f t="array" aca="1" ref="AG13" ca="1">IFERROR(SUM(_xlfn._xlws.FILTER(INDIRECT(AG$112),(INDIRECT($B$112)=$B13)*(INDIRECT($D$112)=$D13)*(INDIRECT($F$112)=$F13),0)),0)</f>
        <v>0</v>
      </c>
      <c r="AH13" s="403" cm="1">
        <f t="array" aca="1" ref="AH13" ca="1">IFERROR(SUM(_xlfn._xlws.FILTER(INDIRECT(AH$112),(INDIRECT($B$112)=$B13)*(INDIRECT($D$112)=$D13)*(INDIRECT($F$112)=$F13),0)),0)</f>
        <v>0</v>
      </c>
      <c r="AI13" s="403" cm="1">
        <f t="array" aca="1" ref="AI13" ca="1">IFERROR(SUM(_xlfn._xlws.FILTER(INDIRECT(AI$112),(INDIRECT($B$112)=$B13)*(INDIRECT($D$112)=$D13)*(INDIRECT($F$112)=$F13),0)),0)</f>
        <v>0</v>
      </c>
      <c r="AJ13" s="403" cm="1">
        <f t="array" aca="1" ref="AJ13" ca="1">IFERROR(SUM(_xlfn._xlws.FILTER(INDIRECT(AJ$112),(INDIRECT($B$112)=$B13)*(INDIRECT($D$112)=$D13)*(INDIRECT($F$112)=$F13),0)),0)</f>
        <v>0</v>
      </c>
      <c r="AK13" s="403" cm="1">
        <f t="array" aca="1" ref="AK13" ca="1">IFERROR(SUM(_xlfn._xlws.FILTER(INDIRECT(AK$112),(INDIRECT($B$112)=$B13)*(INDIRECT($D$112)=$D13)*(INDIRECT($F$112)=$F13),0)),0)</f>
        <v>0</v>
      </c>
      <c r="AL13" s="403" cm="1">
        <f t="array" aca="1" ref="AL13" ca="1">IFERROR(SUM(_xlfn._xlws.FILTER(INDIRECT(AL$112),(INDIRECT($B$112)=$B13)*(INDIRECT($D$112)=$D13)*(INDIRECT($F$112)=$F13),0)),0)</f>
        <v>0</v>
      </c>
      <c r="AM13" s="403" cm="1">
        <f t="array" aca="1" ref="AM13" ca="1">IFERROR(SUM(_xlfn._xlws.FILTER(INDIRECT(AM$112),(INDIRECT($B$112)=$B13)*(INDIRECT($D$112)=$D13)*(INDIRECT($F$112)=$F13),0)),0)</f>
        <v>0</v>
      </c>
      <c r="AN13" s="403" cm="1">
        <f t="array" aca="1" ref="AN13" ca="1">IFERROR(SUM(_xlfn._xlws.FILTER(INDIRECT(AN$112),(INDIRECT($B$112)=$B13)*(INDIRECT($D$112)=$D13)*(INDIRECT($F$112)=$F13),0)),0)</f>
        <v>0</v>
      </c>
      <c r="AO13" s="403" cm="1">
        <f t="array" aca="1" ref="AO13" ca="1">IFERROR(SUM(_xlfn._xlws.FILTER(INDIRECT(AO$112),(INDIRECT($B$112)=$B13)*(INDIRECT($D$112)=$D13)*(INDIRECT($F$112)=$F13),0)),0)</f>
        <v>0</v>
      </c>
      <c r="AP13" s="403" cm="1">
        <f t="array" aca="1" ref="AP13" ca="1">IFERROR(SUM(_xlfn._xlws.FILTER(INDIRECT(AP$112),(INDIRECT($B$112)=$B13)*(INDIRECT($D$112)=$D13)*(INDIRECT($F$112)=$F13),0)),0)</f>
        <v>0</v>
      </c>
      <c r="AQ13" s="403" cm="1">
        <f t="array" aca="1" ref="AQ13" ca="1">IFERROR(SUM(_xlfn._xlws.FILTER(INDIRECT(AQ$112),(INDIRECT($B$112)=$B13)*(INDIRECT($D$112)=$D13)*(INDIRECT($F$112)=$F13),0)),0)</f>
        <v>168429.08724400168</v>
      </c>
      <c r="AR13" s="403" cm="1">
        <f t="array" aca="1" ref="AR13" ca="1">IFERROR(SUM(_xlfn._xlws.FILTER(INDIRECT(AR$112),(INDIRECT($B$112)=$B13)*(INDIRECT($D$112)=$D13)*(INDIRECT($F$112)=$F13),0)),0)</f>
        <v>91357.168460857909</v>
      </c>
      <c r="AS13" s="286" t="str">
        <f t="shared" ca="1" si="2"/>
        <v>G13:AP13</v>
      </c>
      <c r="AT13" s="403">
        <f t="shared" ca="1" si="3"/>
        <v>259786.25570485959</v>
      </c>
      <c r="AV13" s="142" cm="1">
        <f t="array" aca="1" ref="AV13" ca="1">IF(AND(_xlfn.LET(_xlpm.x,SUM(ROW()),OR(AND(MATCH("SOT",$A:$A,0)&lt;_xlpm.x,MATCH("EOT",$A:$A,0)&gt;_xlpm.x),AND(MATCH("SOS",$A:$A,0)&lt;_xlpm.x,MATCH("EOS",$A:$A,0)&gt;_xlpm.x),AND(MATCH("SOR",$A:$A,0)&lt;_xlpm.x,MATCH("EOR",$A:$A,0)&gt;_xlpm.x))),INDIRECT("rc"&amp;MATCH("SCD",$1:$1,0),FALSE)="PPTO"),1,0)</f>
        <v>1</v>
      </c>
      <c r="AW13" s="142" cm="1">
        <f t="array" aca="1" ref="AW1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4" spans="1:49" s="153" customFormat="1" outlineLevel="2">
      <c r="A14" s="152"/>
      <c r="B14" s="401" t="str">
        <f ca="1"/>
        <v>31200</v>
      </c>
      <c r="C14" s="148"/>
      <c r="D14" s="404" t="str">
        <f ca="1"/>
        <v>DISC</v>
      </c>
      <c r="E14" s="350" t="str" cm="1">
        <f t="array" aca="1" ref="E14" ca="1">UPPER(_xlfn.UNIQUE(_xlfn._xlws.FILTER(TbStd[OFbStd],TbStd[RowGrp]=$D14,"X")))</f>
        <v>DESIGN &amp; SIMULATION CELLS</v>
      </c>
      <c r="F14" s="402" t="str">
        <f ca="1"/>
        <v>PREV</v>
      </c>
      <c r="G14" s="403" cm="1">
        <f t="array" aca="1" ref="G14" ca="1">IFERROR(SUM(_xlfn._xlws.FILTER(INDIRECT(G$112),(INDIRECT($B$112)=$B14)*(INDIRECT($D$112)=$D14)*(INDIRECT($F$112)=$F14),0)),0)</f>
        <v>0</v>
      </c>
      <c r="H14" s="403" cm="1">
        <f t="array" aca="1" ref="H14" ca="1">IFERROR(SUM(_xlfn._xlws.FILTER(INDIRECT(H$112),(INDIRECT($B$112)=$B14)*(INDIRECT($D$112)=$D14)*(INDIRECT($F$112)=$F14),0)),0)</f>
        <v>0</v>
      </c>
      <c r="I14" s="403" cm="1">
        <f t="array" aca="1" ref="I14" ca="1">IFERROR(SUM(_xlfn._xlws.FILTER(INDIRECT(I$112),(INDIRECT($B$112)=$B14)*(INDIRECT($D$112)=$D14)*(INDIRECT($F$112)=$F14),0)),0)</f>
        <v>0</v>
      </c>
      <c r="J14" s="403" cm="1">
        <f t="array" aca="1" ref="J14" ca="1">IFERROR(SUM(_xlfn._xlws.FILTER(INDIRECT(J$112),(INDIRECT($B$112)=$B14)*(INDIRECT($D$112)=$D14)*(INDIRECT($F$112)=$F14),0)),0)</f>
        <v>0</v>
      </c>
      <c r="K14" s="403" cm="1">
        <f t="array" aca="1" ref="K14" ca="1">IFERROR(SUM(_xlfn._xlws.FILTER(INDIRECT(K$112),(INDIRECT($B$112)=$B14)*(INDIRECT($D$112)=$D14)*(INDIRECT($F$112)=$F14),0)),0)</f>
        <v>-55000</v>
      </c>
      <c r="L14" s="403" cm="1">
        <f t="array" aca="1" ref="L14" ca="1">IFERROR(SUM(_xlfn._xlws.FILTER(INDIRECT(L$112),(INDIRECT($B$112)=$B14)*(INDIRECT($D$112)=$D14)*(INDIRECT($F$112)=$F14),0)),0)</f>
        <v>0</v>
      </c>
      <c r="M14" s="403" cm="1">
        <f t="array" aca="1" ref="M14" ca="1">IFERROR(SUM(_xlfn._xlws.FILTER(INDIRECT(M$112),(INDIRECT($B$112)=$B14)*(INDIRECT($D$112)=$D14)*(INDIRECT($F$112)=$F14),0)),0)</f>
        <v>-49885</v>
      </c>
      <c r="N14" s="403" cm="1">
        <f t="array" aca="1" ref="N14" ca="1">IFERROR(SUM(_xlfn._xlws.FILTER(INDIRECT(N$112),(INDIRECT($B$112)=$B14)*(INDIRECT($D$112)=$D14)*(INDIRECT($F$112)=$F14),0)),0)</f>
        <v>0</v>
      </c>
      <c r="O14" s="403" cm="1">
        <f t="array" aca="1" ref="O14" ca="1">IFERROR(SUM(_xlfn._xlws.FILTER(INDIRECT(O$112),(INDIRECT($B$112)=$B14)*(INDIRECT($D$112)=$D14)*(INDIRECT($F$112)=$F14),0)),0)</f>
        <v>18613.88</v>
      </c>
      <c r="P14" s="403" cm="1">
        <f t="array" aca="1" ref="P14" ca="1">IFERROR(SUM(_xlfn._xlws.FILTER(INDIRECT(P$112),(INDIRECT($B$112)=$B14)*(INDIRECT($D$112)=$D14)*(INDIRECT($F$112)=$F14),0)),0)</f>
        <v>0</v>
      </c>
      <c r="Q14" s="403" cm="1">
        <f t="array" aca="1" ref="Q14" ca="1">IFERROR(SUM(_xlfn._xlws.FILTER(INDIRECT(Q$112),(INDIRECT($B$112)=$B14)*(INDIRECT($D$112)=$D14)*(INDIRECT($F$112)=$F14),0)),0)</f>
        <v>-5000</v>
      </c>
      <c r="R14" s="403" cm="1">
        <f t="array" aca="1" ref="R14" ca="1">IFERROR(SUM(_xlfn._xlws.FILTER(INDIRECT(R$112),(INDIRECT($B$112)=$B14)*(INDIRECT($D$112)=$D14)*(INDIRECT($F$112)=$F14),0)),0)</f>
        <v>0</v>
      </c>
      <c r="S14" s="403" cm="1">
        <f t="array" aca="1" ref="S14" ca="1">IFERROR(SUM(_xlfn._xlws.FILTER(INDIRECT(S$112),(INDIRECT($B$112)=$B14)*(INDIRECT($D$112)=$D14)*(INDIRECT($F$112)=$F14),0)),0)</f>
        <v>0</v>
      </c>
      <c r="T14" s="403" cm="1">
        <f t="array" aca="1" ref="T14" ca="1">IFERROR(SUM(_xlfn._xlws.FILTER(INDIRECT(T$112),(INDIRECT($B$112)=$B14)*(INDIRECT($D$112)=$D14)*(INDIRECT($F$112)=$F14),0)),0)</f>
        <v>0</v>
      </c>
      <c r="U14" s="403" cm="1">
        <f t="array" aca="1" ref="U14" ca="1">IFERROR(SUM(_xlfn._xlws.FILTER(INDIRECT(U$112),(INDIRECT($B$112)=$B14)*(INDIRECT($D$112)=$D14)*(INDIRECT($F$112)=$F14),0)),0)</f>
        <v>0</v>
      </c>
      <c r="V14" s="403" cm="1">
        <f t="array" aca="1" ref="V14" ca="1">IFERROR(SUM(_xlfn._xlws.FILTER(INDIRECT(V$112),(INDIRECT($B$112)=$B14)*(INDIRECT($D$112)=$D14)*(INDIRECT($F$112)=$F14),0)),0)</f>
        <v>0</v>
      </c>
      <c r="W14" s="403" cm="1">
        <f t="array" aca="1" ref="W14" ca="1">IFERROR(SUM(_xlfn._xlws.FILTER(INDIRECT(W$112),(INDIRECT($B$112)=$B14)*(INDIRECT($D$112)=$D14)*(INDIRECT($F$112)=$F14),0)),0)</f>
        <v>0</v>
      </c>
      <c r="X14" s="403" cm="1">
        <f t="array" aca="1" ref="X14" ca="1">IFERROR(SUM(_xlfn._xlws.FILTER(INDIRECT(X$112),(INDIRECT($B$112)=$B14)*(INDIRECT($D$112)=$D14)*(INDIRECT($F$112)=$F14),0)),0)</f>
        <v>0</v>
      </c>
      <c r="Y14" s="403" cm="1">
        <f t="array" aca="1" ref="Y14" ca="1">IFERROR(SUM(_xlfn._xlws.FILTER(INDIRECT(Y$112),(INDIRECT($B$112)=$B14)*(INDIRECT($D$112)=$D14)*(INDIRECT($F$112)=$F14),0)),0)</f>
        <v>0</v>
      </c>
      <c r="Z14" s="403" cm="1">
        <f t="array" aca="1" ref="Z14" ca="1">IFERROR(SUM(_xlfn._xlws.FILTER(INDIRECT(Z$112),(INDIRECT($B$112)=$B14)*(INDIRECT($D$112)=$D14)*(INDIRECT($F$112)=$F14),0)),0)</f>
        <v>0</v>
      </c>
      <c r="AA14" s="403" cm="1">
        <f t="array" aca="1" ref="AA14" ca="1">IFERROR(SUM(_xlfn._xlws.FILTER(INDIRECT(AA$112),(INDIRECT($B$112)=$B14)*(INDIRECT($D$112)=$D14)*(INDIRECT($F$112)=$F14),0)),0)</f>
        <v>0</v>
      </c>
      <c r="AB14" s="403" cm="1">
        <f t="array" aca="1" ref="AB14" ca="1">IFERROR(SUM(_xlfn._xlws.FILTER(INDIRECT(AB$112),(INDIRECT($B$112)=$B14)*(INDIRECT($D$112)=$D14)*(INDIRECT($F$112)=$F14),0)),0)</f>
        <v>0</v>
      </c>
      <c r="AC14" s="403" cm="1">
        <f t="array" aca="1" ref="AC14" ca="1">IFERROR(SUM(_xlfn._xlws.FILTER(INDIRECT(AC$112),(INDIRECT($B$112)=$B14)*(INDIRECT($D$112)=$D14)*(INDIRECT($F$112)=$F14),0)),0)</f>
        <v>0</v>
      </c>
      <c r="AD14" s="403" cm="1">
        <f t="array" aca="1" ref="AD14" ca="1">IFERROR(SUM(_xlfn._xlws.FILTER(INDIRECT(AD$112),(INDIRECT($B$112)=$B14)*(INDIRECT($D$112)=$D14)*(INDIRECT($F$112)=$F14),0)),0)</f>
        <v>0</v>
      </c>
      <c r="AE14" s="403" cm="1">
        <f t="array" aca="1" ref="AE14" ca="1">IFERROR(SUM(_xlfn._xlws.FILTER(INDIRECT(AE$112),(INDIRECT($B$112)=$B14)*(INDIRECT($D$112)=$D14)*(INDIRECT($F$112)=$F14),0)),0)</f>
        <v>0</v>
      </c>
      <c r="AF14" s="403" cm="1">
        <f t="array" aca="1" ref="AF14" ca="1">IFERROR(SUM(_xlfn._xlws.FILTER(INDIRECT(AF$112),(INDIRECT($B$112)=$B14)*(INDIRECT($D$112)=$D14)*(INDIRECT($F$112)=$F14),0)),0)</f>
        <v>0</v>
      </c>
      <c r="AG14" s="403" cm="1">
        <f t="array" aca="1" ref="AG14" ca="1">IFERROR(SUM(_xlfn._xlws.FILTER(INDIRECT(AG$112),(INDIRECT($B$112)=$B14)*(INDIRECT($D$112)=$D14)*(INDIRECT($F$112)=$F14),0)),0)</f>
        <v>0</v>
      </c>
      <c r="AH14" s="403" cm="1">
        <f t="array" aca="1" ref="AH14" ca="1">IFERROR(SUM(_xlfn._xlws.FILTER(INDIRECT(AH$112),(INDIRECT($B$112)=$B14)*(INDIRECT($D$112)=$D14)*(INDIRECT($F$112)=$F14),0)),0)</f>
        <v>0</v>
      </c>
      <c r="AI14" s="403" cm="1">
        <f t="array" aca="1" ref="AI14" ca="1">IFERROR(SUM(_xlfn._xlws.FILTER(INDIRECT(AI$112),(INDIRECT($B$112)=$B14)*(INDIRECT($D$112)=$D14)*(INDIRECT($F$112)=$F14),0)),0)</f>
        <v>0</v>
      </c>
      <c r="AJ14" s="403" cm="1">
        <f t="array" aca="1" ref="AJ14" ca="1">IFERROR(SUM(_xlfn._xlws.FILTER(INDIRECT(AJ$112),(INDIRECT($B$112)=$B14)*(INDIRECT($D$112)=$D14)*(INDIRECT($F$112)=$F14),0)),0)</f>
        <v>20.8</v>
      </c>
      <c r="AK14" s="403" cm="1">
        <f t="array" aca="1" ref="AK14" ca="1">IFERROR(SUM(_xlfn._xlws.FILTER(INDIRECT(AK$112),(INDIRECT($B$112)=$B14)*(INDIRECT($D$112)=$D14)*(INDIRECT($F$112)=$F14),0)),0)</f>
        <v>0</v>
      </c>
      <c r="AL14" s="403" cm="1">
        <f t="array" aca="1" ref="AL14" ca="1">IFERROR(SUM(_xlfn._xlws.FILTER(INDIRECT(AL$112),(INDIRECT($B$112)=$B14)*(INDIRECT($D$112)=$D14)*(INDIRECT($F$112)=$F14),0)),0)</f>
        <v>26.23</v>
      </c>
      <c r="AM14" s="403" cm="1">
        <f t="array" aca="1" ref="AM14" ca="1">IFERROR(SUM(_xlfn._xlws.FILTER(INDIRECT(AM$112),(INDIRECT($B$112)=$B14)*(INDIRECT($D$112)=$D14)*(INDIRECT($F$112)=$F14),0)),0)</f>
        <v>0</v>
      </c>
      <c r="AN14" s="403" cm="1">
        <f t="array" aca="1" ref="AN14" ca="1">IFERROR(SUM(_xlfn._xlws.FILTER(INDIRECT(AN$112),(INDIRECT($B$112)=$B14)*(INDIRECT($D$112)=$D14)*(INDIRECT($F$112)=$F14),0)),0)</f>
        <v>0</v>
      </c>
      <c r="AO14" s="403" cm="1">
        <f t="array" aca="1" ref="AO14" ca="1">IFERROR(SUM(_xlfn._xlws.FILTER(INDIRECT(AO$112),(INDIRECT($B$112)=$B14)*(INDIRECT($D$112)=$D14)*(INDIRECT($F$112)=$F14),0)),0)</f>
        <v>0</v>
      </c>
      <c r="AP14" s="403" cm="1">
        <f t="array" aca="1" ref="AP14" ca="1">IFERROR(SUM(_xlfn._xlws.FILTER(INDIRECT(AP$112),(INDIRECT($B$112)=$B14)*(INDIRECT($D$112)=$D14)*(INDIRECT($F$112)=$F14),0)),0)</f>
        <v>0</v>
      </c>
      <c r="AQ14" s="403" cm="1">
        <f t="array" aca="1" ref="AQ14" ca="1">IFERROR(SUM(_xlfn._xlws.FILTER(INDIRECT(AQ$112),(INDIRECT($B$112)=$B14)*(INDIRECT($D$112)=$D14)*(INDIRECT($F$112)=$F14),0)),0)</f>
        <v>-91271.12</v>
      </c>
      <c r="AR14" s="403" cm="1">
        <f t="array" aca="1" ref="AR14" ca="1">IFERROR(SUM(_xlfn._xlws.FILTER(INDIRECT(AR$112),(INDIRECT($B$112)=$B14)*(INDIRECT($D$112)=$D14)*(INDIRECT($F$112)=$F14),0)),0)</f>
        <v>47.03</v>
      </c>
      <c r="AS14" s="286" t="str">
        <f t="shared" ca="1" si="2"/>
        <v>G14:AP14</v>
      </c>
      <c r="AT14" s="403">
        <f t="shared" ca="1" si="3"/>
        <v>-91224.09</v>
      </c>
      <c r="AV14" s="142" cm="1">
        <f t="array" aca="1" ref="AV14" ca="1">IF(AND(_xlfn.LET(_xlpm.x,SUM(ROW()),OR(AND(MATCH("SOT",$A:$A,0)&lt;_xlpm.x,MATCH("EOT",$A:$A,0)&gt;_xlpm.x),AND(MATCH("SOS",$A:$A,0)&lt;_xlpm.x,MATCH("EOS",$A:$A,0)&gt;_xlpm.x),AND(MATCH("SOR",$A:$A,0)&lt;_xlpm.x,MATCH("EOR",$A:$A,0)&gt;_xlpm.x))),INDIRECT("rc"&amp;MATCH("SCD",$1:$1,0),FALSE)="PPTO"),1,0)</f>
        <v>0</v>
      </c>
      <c r="AW14" s="142" cm="1">
        <f t="array" aca="1" ref="AW1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5" spans="1:49" s="153" customFormat="1" outlineLevel="2">
      <c r="A15" s="152"/>
      <c r="B15" s="401" t="str">
        <f ca="1"/>
        <v>31200</v>
      </c>
      <c r="C15" s="148"/>
      <c r="D15" s="404" t="str">
        <f ca="1"/>
        <v>DISC</v>
      </c>
      <c r="E15" s="350" t="str" cm="1">
        <f t="array" aca="1" ref="E15" ca="1">UPPER(_xlfn.UNIQUE(_xlfn._xlws.FILTER(TbStd[OFbStd],TbStd[RowGrp]=$D15,"X")))</f>
        <v>DESIGN &amp; SIMULATION CELLS</v>
      </c>
      <c r="F15" s="402" t="str">
        <f ca="1"/>
        <v>REAL</v>
      </c>
      <c r="G15" s="403" cm="1">
        <f t="array" aca="1" ref="G15" ca="1">IFERROR(SUM(_xlfn._xlws.FILTER(INDIRECT(G$112),(INDIRECT($B$112)=$B15)*(INDIRECT($D$112)=$D15)*(INDIRECT($F$112)=$F15),0)),0)</f>
        <v>0</v>
      </c>
      <c r="H15" s="403" cm="1">
        <f t="array" aca="1" ref="H15" ca="1">IFERROR(SUM(_xlfn._xlws.FILTER(INDIRECT(H$112),(INDIRECT($B$112)=$B15)*(INDIRECT($D$112)=$D15)*(INDIRECT($F$112)=$F15),0)),0)</f>
        <v>0</v>
      </c>
      <c r="I15" s="403" cm="1">
        <f t="array" aca="1" ref="I15" ca="1">IFERROR(SUM(_xlfn._xlws.FILTER(INDIRECT(I$112),(INDIRECT($B$112)=$B15)*(INDIRECT($D$112)=$D15)*(INDIRECT($F$112)=$F15),0)),0)</f>
        <v>0</v>
      </c>
      <c r="J15" s="403" cm="1">
        <f t="array" aca="1" ref="J15" ca="1">IFERROR(SUM(_xlfn._xlws.FILTER(INDIRECT(J$112),(INDIRECT($B$112)=$B15)*(INDIRECT($D$112)=$D15)*(INDIRECT($F$112)=$F15),0)),0)</f>
        <v>0</v>
      </c>
      <c r="K15" s="403" cm="1">
        <f t="array" aca="1" ref="K15" ca="1">IFERROR(SUM(_xlfn._xlws.FILTER(INDIRECT(K$112),(INDIRECT($B$112)=$B15)*(INDIRECT($D$112)=$D15)*(INDIRECT($F$112)=$F15),0)),0)</f>
        <v>18005.599999999999</v>
      </c>
      <c r="L15" s="403" cm="1">
        <f t="array" aca="1" ref="L15" ca="1">IFERROR(SUM(_xlfn._xlws.FILTER(INDIRECT(L$112),(INDIRECT($B$112)=$B15)*(INDIRECT($D$112)=$D15)*(INDIRECT($F$112)=$F15),0)),0)</f>
        <v>3694.55</v>
      </c>
      <c r="M15" s="403" cm="1">
        <f t="array" aca="1" ref="M15" ca="1">IFERROR(SUM(_xlfn._xlws.FILTER(INDIRECT(M$112),(INDIRECT($B$112)=$B15)*(INDIRECT($D$112)=$D15)*(INDIRECT($F$112)=$F15),0)),0)</f>
        <v>46262.93</v>
      </c>
      <c r="N15" s="403" cm="1">
        <f t="array" aca="1" ref="N15" ca="1">IFERROR(SUM(_xlfn._xlws.FILTER(INDIRECT(N$112),(INDIRECT($B$112)=$B15)*(INDIRECT($D$112)=$D15)*(INDIRECT($F$112)=$F15),0)),0)</f>
        <v>0</v>
      </c>
      <c r="O15" s="403" cm="1">
        <f t="array" aca="1" ref="O15" ca="1">IFERROR(SUM(_xlfn._xlws.FILTER(INDIRECT(O$112),(INDIRECT($B$112)=$B15)*(INDIRECT($D$112)=$D15)*(INDIRECT($F$112)=$F15),0)),0)</f>
        <v>32951.08</v>
      </c>
      <c r="P15" s="403" cm="1">
        <f t="array" aca="1" ref="P15" ca="1">IFERROR(SUM(_xlfn._xlws.FILTER(INDIRECT(P$112),(INDIRECT($B$112)=$B15)*(INDIRECT($D$112)=$D15)*(INDIRECT($F$112)=$F15),0)),0)</f>
        <v>15000</v>
      </c>
      <c r="Q15" s="403" cm="1">
        <f t="array" aca="1" ref="Q15" ca="1">IFERROR(SUM(_xlfn._xlws.FILTER(INDIRECT(Q$112),(INDIRECT($B$112)=$B15)*(INDIRECT($D$112)=$D15)*(INDIRECT($F$112)=$F15),0)),0)</f>
        <v>11020.56</v>
      </c>
      <c r="R15" s="403" cm="1">
        <f t="array" aca="1" ref="R15" ca="1">IFERROR(SUM(_xlfn._xlws.FILTER(INDIRECT(R$112),(INDIRECT($B$112)=$B15)*(INDIRECT($D$112)=$D15)*(INDIRECT($F$112)=$F15),0)),0)</f>
        <v>0</v>
      </c>
      <c r="S15" s="403" cm="1">
        <f t="array" aca="1" ref="S15" ca="1">IFERROR(SUM(_xlfn._xlws.FILTER(INDIRECT(S$112),(INDIRECT($B$112)=$B15)*(INDIRECT($D$112)=$D15)*(INDIRECT($F$112)=$F15),0)),0)</f>
        <v>0</v>
      </c>
      <c r="T15" s="403" cm="1">
        <f t="array" aca="1" ref="T15" ca="1">IFERROR(SUM(_xlfn._xlws.FILTER(INDIRECT(T$112),(INDIRECT($B$112)=$B15)*(INDIRECT($D$112)=$D15)*(INDIRECT($F$112)=$F15),0)),0)</f>
        <v>0</v>
      </c>
      <c r="U15" s="403" cm="1">
        <f t="array" aca="1" ref="U15" ca="1">IFERROR(SUM(_xlfn._xlws.FILTER(INDIRECT(U$112),(INDIRECT($B$112)=$B15)*(INDIRECT($D$112)=$D15)*(INDIRECT($F$112)=$F15),0)),0)</f>
        <v>0</v>
      </c>
      <c r="V15" s="403" cm="1">
        <f t="array" aca="1" ref="V15" ca="1">IFERROR(SUM(_xlfn._xlws.FILTER(INDIRECT(V$112),(INDIRECT($B$112)=$B15)*(INDIRECT($D$112)=$D15)*(INDIRECT($F$112)=$F15),0)),0)</f>
        <v>0</v>
      </c>
      <c r="W15" s="403" cm="1">
        <f t="array" aca="1" ref="W15" ca="1">IFERROR(SUM(_xlfn._xlws.FILTER(INDIRECT(W$112),(INDIRECT($B$112)=$B15)*(INDIRECT($D$112)=$D15)*(INDIRECT($F$112)=$F15),0)),0)</f>
        <v>0</v>
      </c>
      <c r="X15" s="403" cm="1">
        <f t="array" aca="1" ref="X15" ca="1">IFERROR(SUM(_xlfn._xlws.FILTER(INDIRECT(X$112),(INDIRECT($B$112)=$B15)*(INDIRECT($D$112)=$D15)*(INDIRECT($F$112)=$F15),0)),0)</f>
        <v>0</v>
      </c>
      <c r="Y15" s="403" cm="1">
        <f t="array" aca="1" ref="Y15" ca="1">IFERROR(SUM(_xlfn._xlws.FILTER(INDIRECT(Y$112),(INDIRECT($B$112)=$B15)*(INDIRECT($D$112)=$D15)*(INDIRECT($F$112)=$F15),0)),0)</f>
        <v>0</v>
      </c>
      <c r="Z15" s="403" cm="1">
        <f t="array" aca="1" ref="Z15" ca="1">IFERROR(SUM(_xlfn._xlws.FILTER(INDIRECT(Z$112),(INDIRECT($B$112)=$B15)*(INDIRECT($D$112)=$D15)*(INDIRECT($F$112)=$F15),0)),0)</f>
        <v>0</v>
      </c>
      <c r="AA15" s="403" cm="1">
        <f t="array" aca="1" ref="AA15" ca="1">IFERROR(SUM(_xlfn._xlws.FILTER(INDIRECT(AA$112),(INDIRECT($B$112)=$B15)*(INDIRECT($D$112)=$D15)*(INDIRECT($F$112)=$F15),0)),0)</f>
        <v>0</v>
      </c>
      <c r="AB15" s="403" cm="1">
        <f t="array" aca="1" ref="AB15" ca="1">IFERROR(SUM(_xlfn._xlws.FILTER(INDIRECT(AB$112),(INDIRECT($B$112)=$B15)*(INDIRECT($D$112)=$D15)*(INDIRECT($F$112)=$F15),0)),0)</f>
        <v>0</v>
      </c>
      <c r="AC15" s="403" cm="1">
        <f t="array" aca="1" ref="AC15" ca="1">IFERROR(SUM(_xlfn._xlws.FILTER(INDIRECT(AC$112),(INDIRECT($B$112)=$B15)*(INDIRECT($D$112)=$D15)*(INDIRECT($F$112)=$F15),0)),0)</f>
        <v>0</v>
      </c>
      <c r="AD15" s="403" cm="1">
        <f t="array" aca="1" ref="AD15" ca="1">IFERROR(SUM(_xlfn._xlws.FILTER(INDIRECT(AD$112),(INDIRECT($B$112)=$B15)*(INDIRECT($D$112)=$D15)*(INDIRECT($F$112)=$F15),0)),0)</f>
        <v>0</v>
      </c>
      <c r="AE15" s="403" cm="1">
        <f t="array" aca="1" ref="AE15" ca="1">IFERROR(SUM(_xlfn._xlws.FILTER(INDIRECT(AE$112),(INDIRECT($B$112)=$B15)*(INDIRECT($D$112)=$D15)*(INDIRECT($F$112)=$F15),0)),0)</f>
        <v>0</v>
      </c>
      <c r="AF15" s="403" cm="1">
        <f t="array" aca="1" ref="AF15" ca="1">IFERROR(SUM(_xlfn._xlws.FILTER(INDIRECT(AF$112),(INDIRECT($B$112)=$B15)*(INDIRECT($D$112)=$D15)*(INDIRECT($F$112)=$F15),0)),0)</f>
        <v>0</v>
      </c>
      <c r="AG15" s="403" cm="1">
        <f t="array" aca="1" ref="AG15" ca="1">IFERROR(SUM(_xlfn._xlws.FILTER(INDIRECT(AG$112),(INDIRECT($B$112)=$B15)*(INDIRECT($D$112)=$D15)*(INDIRECT($F$112)=$F15),0)),0)</f>
        <v>0</v>
      </c>
      <c r="AH15" s="403" cm="1">
        <f t="array" aca="1" ref="AH15" ca="1">IFERROR(SUM(_xlfn._xlws.FILTER(INDIRECT(AH$112),(INDIRECT($B$112)=$B15)*(INDIRECT($D$112)=$D15)*(INDIRECT($F$112)=$F15),0)),0)</f>
        <v>0</v>
      </c>
      <c r="AI15" s="403" cm="1">
        <f t="array" aca="1" ref="AI15" ca="1">IFERROR(SUM(_xlfn._xlws.FILTER(INDIRECT(AI$112),(INDIRECT($B$112)=$B15)*(INDIRECT($D$112)=$D15)*(INDIRECT($F$112)=$F15),0)),0)</f>
        <v>0</v>
      </c>
      <c r="AJ15" s="403" cm="1">
        <f t="array" aca="1" ref="AJ15" ca="1">IFERROR(SUM(_xlfn._xlws.FILTER(INDIRECT(AJ$112),(INDIRECT($B$112)=$B15)*(INDIRECT($D$112)=$D15)*(INDIRECT($F$112)=$F15),0)),0)</f>
        <v>20.8</v>
      </c>
      <c r="AK15" s="403" cm="1">
        <f t="array" aca="1" ref="AK15" ca="1">IFERROR(SUM(_xlfn._xlws.FILTER(INDIRECT(AK$112),(INDIRECT($B$112)=$B15)*(INDIRECT($D$112)=$D15)*(INDIRECT($F$112)=$F15),0)),0)</f>
        <v>0</v>
      </c>
      <c r="AL15" s="403" cm="1">
        <f t="array" aca="1" ref="AL15" ca="1">IFERROR(SUM(_xlfn._xlws.FILTER(INDIRECT(AL$112),(INDIRECT($B$112)=$B15)*(INDIRECT($D$112)=$D15)*(INDIRECT($F$112)=$F15),0)),0)</f>
        <v>26.23</v>
      </c>
      <c r="AM15" s="403" cm="1">
        <f t="array" aca="1" ref="AM15" ca="1">IFERROR(SUM(_xlfn._xlws.FILTER(INDIRECT(AM$112),(INDIRECT($B$112)=$B15)*(INDIRECT($D$112)=$D15)*(INDIRECT($F$112)=$F15),0)),0)</f>
        <v>0</v>
      </c>
      <c r="AN15" s="403" cm="1">
        <f t="array" aca="1" ref="AN15" ca="1">IFERROR(SUM(_xlfn._xlws.FILTER(INDIRECT(AN$112),(INDIRECT($B$112)=$B15)*(INDIRECT($D$112)=$D15)*(INDIRECT($F$112)=$F15),0)),0)</f>
        <v>0</v>
      </c>
      <c r="AO15" s="403" cm="1">
        <f t="array" aca="1" ref="AO15" ca="1">IFERROR(SUM(_xlfn._xlws.FILTER(INDIRECT(AO$112),(INDIRECT($B$112)=$B15)*(INDIRECT($D$112)=$D15)*(INDIRECT($F$112)=$F15),0)),0)</f>
        <v>0</v>
      </c>
      <c r="AP15" s="403" cm="1">
        <f t="array" aca="1" ref="AP15" ca="1">IFERROR(SUM(_xlfn._xlws.FILTER(INDIRECT(AP$112),(INDIRECT($B$112)=$B15)*(INDIRECT($D$112)=$D15)*(INDIRECT($F$112)=$F15),0)),0)</f>
        <v>0</v>
      </c>
      <c r="AQ15" s="403" cm="1">
        <f t="array" aca="1" ref="AQ15" ca="1">IFERROR(SUM(_xlfn._xlws.FILTER(INDIRECT(AQ$112),(INDIRECT($B$112)=$B15)*(INDIRECT($D$112)=$D15)*(INDIRECT($F$112)=$F15),0)),0)</f>
        <v>108240.17000000001</v>
      </c>
      <c r="AR15" s="403" cm="1">
        <f t="array" aca="1" ref="AR15" ca="1">IFERROR(SUM(_xlfn._xlws.FILTER(INDIRECT(AR$112),(INDIRECT($B$112)=$B15)*(INDIRECT($D$112)=$D15)*(INDIRECT($F$112)=$F15),0)),0)</f>
        <v>18741.579999999998</v>
      </c>
      <c r="AS15" s="286" t="str">
        <f t="shared" ca="1" si="2"/>
        <v>G15:AP15</v>
      </c>
      <c r="AT15" s="403">
        <f t="shared" ca="1" si="3"/>
        <v>126981.75000000001</v>
      </c>
      <c r="AV15" s="142" cm="1">
        <f t="array" aca="1" ref="AV15" ca="1">IF(AND(_xlfn.LET(_xlpm.x,SUM(ROW()),OR(AND(MATCH("SOT",$A:$A,0)&lt;_xlpm.x,MATCH("EOT",$A:$A,0)&gt;_xlpm.x),AND(MATCH("SOS",$A:$A,0)&lt;_xlpm.x,MATCH("EOS",$A:$A,0)&gt;_xlpm.x),AND(MATCH("SOR",$A:$A,0)&lt;_xlpm.x,MATCH("EOR",$A:$A,0)&gt;_xlpm.x))),INDIRECT("rc"&amp;MATCH("SCD",$1:$1,0),FALSE)="PPTO"),1,0)</f>
        <v>0</v>
      </c>
      <c r="AW15" s="142" cm="1">
        <f t="array" aca="1" ref="AW1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6" spans="1:49" s="153" customFormat="1" outlineLevel="2">
      <c r="A16" s="152"/>
      <c r="B16" s="401" t="str">
        <f ca="1"/>
        <v>31200</v>
      </c>
      <c r="C16" s="148"/>
      <c r="D16" s="404" t="str">
        <f ca="1"/>
        <v>DIST</v>
      </c>
      <c r="E16" s="350" t="str" cm="1">
        <f t="array" aca="1" ref="E16" ca="1">UPPER(_xlfn.UNIQUE(_xlfn._xlws.FILTER(TbStd[OFbStd],TbStd[RowGrp]=$D16,"X")))</f>
        <v>DESIGN &amp; SIMULATION TOOLS</v>
      </c>
      <c r="F16" s="402" t="str">
        <f ca="1"/>
        <v>PPTO</v>
      </c>
      <c r="G16" s="403" cm="1">
        <f t="array" aca="1" ref="G16" ca="1">IFERROR(SUM(_xlfn._xlws.FILTER(INDIRECT(G$112),(INDIRECT($B$112)=$B16)*(INDIRECT($D$112)=$D16)*(INDIRECT($F$112)=$F16),0)),0)</f>
        <v>0</v>
      </c>
      <c r="H16" s="403" cm="1">
        <f t="array" aca="1" ref="H16" ca="1">IFERROR(SUM(_xlfn._xlws.FILTER(INDIRECT(H$112),(INDIRECT($B$112)=$B16)*(INDIRECT($D$112)=$D16)*(INDIRECT($F$112)=$F16),0)),0)</f>
        <v>0</v>
      </c>
      <c r="I16" s="403" cm="1">
        <f t="array" aca="1" ref="I16" ca="1">IFERROR(SUM(_xlfn._xlws.FILTER(INDIRECT(I$112),(INDIRECT($B$112)=$B16)*(INDIRECT($D$112)=$D16)*(INDIRECT($F$112)=$F16),0)),0)</f>
        <v>0</v>
      </c>
      <c r="J16" s="403" cm="1">
        <f t="array" aca="1" ref="J16" ca="1">IFERROR(SUM(_xlfn._xlws.FILTER(INDIRECT(J$112),(INDIRECT($B$112)=$B16)*(INDIRECT($D$112)=$D16)*(INDIRECT($F$112)=$F16),0)),0)</f>
        <v>0</v>
      </c>
      <c r="K16" s="403" cm="1">
        <f t="array" aca="1" ref="K16" ca="1">IFERROR(SUM(_xlfn._xlws.FILTER(INDIRECT(K$112),(INDIRECT($B$112)=$B16)*(INDIRECT($D$112)=$D16)*(INDIRECT($F$112)=$F16),0)),0)</f>
        <v>387976.86833482503</v>
      </c>
      <c r="L16" s="403" cm="1">
        <f t="array" aca="1" ref="L16" ca="1">IFERROR(SUM(_xlfn._xlws.FILTER(INDIRECT(L$112),(INDIRECT($B$112)=$B16)*(INDIRECT($D$112)=$D16)*(INDIRECT($F$112)=$F16),0)),0)</f>
        <v>65790.619797949999</v>
      </c>
      <c r="M16" s="403" cm="1">
        <f t="array" aca="1" ref="M16" ca="1">IFERROR(SUM(_xlfn._xlws.FILTER(INDIRECT(M$112),(INDIRECT($B$112)=$B16)*(INDIRECT($D$112)=$D16)*(INDIRECT($F$112)=$F16),0)),0)</f>
        <v>0</v>
      </c>
      <c r="N16" s="403" cm="1">
        <f t="array" aca="1" ref="N16" ca="1">IFERROR(SUM(_xlfn._xlws.FILTER(INDIRECT(N$112),(INDIRECT($B$112)=$B16)*(INDIRECT($D$112)=$D16)*(INDIRECT($F$112)=$F16),0)),0)</f>
        <v>0</v>
      </c>
      <c r="O16" s="403" cm="1">
        <f t="array" aca="1" ref="O16" ca="1">IFERROR(SUM(_xlfn._xlws.FILTER(INDIRECT(O$112),(INDIRECT($B$112)=$B16)*(INDIRECT($D$112)=$D16)*(INDIRECT($F$112)=$F16),0)),0)</f>
        <v>33714.229397309988</v>
      </c>
      <c r="P16" s="403" cm="1">
        <f t="array" aca="1" ref="P16" ca="1">IFERROR(SUM(_xlfn._xlws.FILTER(INDIRECT(P$112),(INDIRECT($B$112)=$B16)*(INDIRECT($D$112)=$D16)*(INDIRECT($F$112)=$F16),0)),0)</f>
        <v>36769.80199598999</v>
      </c>
      <c r="Q16" s="403" cm="1">
        <f t="array" aca="1" ref="Q16" ca="1">IFERROR(SUM(_xlfn._xlws.FILTER(INDIRECT(Q$112),(INDIRECT($B$112)=$B16)*(INDIRECT($D$112)=$D16)*(INDIRECT($F$112)=$F16),0)),0)</f>
        <v>0</v>
      </c>
      <c r="R16" s="403" cm="1">
        <f t="array" aca="1" ref="R16" ca="1">IFERROR(SUM(_xlfn._xlws.FILTER(INDIRECT(R$112),(INDIRECT($B$112)=$B16)*(INDIRECT($D$112)=$D16)*(INDIRECT($F$112)=$F16),0)),0)</f>
        <v>0</v>
      </c>
      <c r="S16" s="403" cm="1">
        <f t="array" aca="1" ref="S16" ca="1">IFERROR(SUM(_xlfn._xlws.FILTER(INDIRECT(S$112),(INDIRECT($B$112)=$B16)*(INDIRECT($D$112)=$D16)*(INDIRECT($F$112)=$F16),0)),0)</f>
        <v>9021.5914032877772</v>
      </c>
      <c r="T16" s="403" cm="1">
        <f t="array" aca="1" ref="T16" ca="1">IFERROR(SUM(_xlfn._xlws.FILTER(INDIRECT(T$112),(INDIRECT($B$112)=$B16)*(INDIRECT($D$112)=$D16)*(INDIRECT($F$112)=$F16),0)),0)</f>
        <v>42185.798574126115</v>
      </c>
      <c r="U16" s="403" cm="1">
        <f t="array" aca="1" ref="U16" ca="1">IFERROR(SUM(_xlfn._xlws.FILTER(INDIRECT(U$112),(INDIRECT($B$112)=$B16)*(INDIRECT($D$112)=$D16)*(INDIRECT($F$112)=$F16),0)),0)</f>
        <v>0</v>
      </c>
      <c r="V16" s="403" cm="1">
        <f t="array" aca="1" ref="V16" ca="1">IFERROR(SUM(_xlfn._xlws.FILTER(INDIRECT(V$112),(INDIRECT($B$112)=$B16)*(INDIRECT($D$112)=$D16)*(INDIRECT($F$112)=$F16),0)),0)</f>
        <v>0</v>
      </c>
      <c r="W16" s="403" cm="1">
        <f t="array" aca="1" ref="W16" ca="1">IFERROR(SUM(_xlfn._xlws.FILTER(INDIRECT(W$112),(INDIRECT($B$112)=$B16)*(INDIRECT($D$112)=$D16)*(INDIRECT($F$112)=$F16),0)),0)</f>
        <v>0</v>
      </c>
      <c r="X16" s="403" cm="1">
        <f t="array" aca="1" ref="X16" ca="1">IFERROR(SUM(_xlfn._xlws.FILTER(INDIRECT(X$112),(INDIRECT($B$112)=$B16)*(INDIRECT($D$112)=$D16)*(INDIRECT($F$112)=$F16),0)),0)</f>
        <v>0</v>
      </c>
      <c r="Y16" s="403" cm="1">
        <f t="array" aca="1" ref="Y16" ca="1">IFERROR(SUM(_xlfn._xlws.FILTER(INDIRECT(Y$112),(INDIRECT($B$112)=$B16)*(INDIRECT($D$112)=$D16)*(INDIRECT($F$112)=$F16),0)),0)</f>
        <v>0</v>
      </c>
      <c r="Z16" s="403" cm="1">
        <f t="array" aca="1" ref="Z16" ca="1">IFERROR(SUM(_xlfn._xlws.FILTER(INDIRECT(Z$112),(INDIRECT($B$112)=$B16)*(INDIRECT($D$112)=$D16)*(INDIRECT($F$112)=$F16),0)),0)</f>
        <v>0</v>
      </c>
      <c r="AA16" s="403" cm="1">
        <f t="array" aca="1" ref="AA16" ca="1">IFERROR(SUM(_xlfn._xlws.FILTER(INDIRECT(AA$112),(INDIRECT($B$112)=$B16)*(INDIRECT($D$112)=$D16)*(INDIRECT($F$112)=$F16),0)),0)</f>
        <v>0</v>
      </c>
      <c r="AB16" s="403" cm="1">
        <f t="array" aca="1" ref="AB16" ca="1">IFERROR(SUM(_xlfn._xlws.FILTER(INDIRECT(AB$112),(INDIRECT($B$112)=$B16)*(INDIRECT($D$112)=$D16)*(INDIRECT($F$112)=$F16),0)),0)</f>
        <v>0</v>
      </c>
      <c r="AC16" s="403" cm="1">
        <f t="array" aca="1" ref="AC16" ca="1">IFERROR(SUM(_xlfn._xlws.FILTER(INDIRECT(AC$112),(INDIRECT($B$112)=$B16)*(INDIRECT($D$112)=$D16)*(INDIRECT($F$112)=$F16),0)),0)</f>
        <v>982.56999999999971</v>
      </c>
      <c r="AD16" s="403" cm="1">
        <f t="array" aca="1" ref="AD16" ca="1">IFERROR(SUM(_xlfn._xlws.FILTER(INDIRECT(AD$112),(INDIRECT($B$112)=$B16)*(INDIRECT($D$112)=$D16)*(INDIRECT($F$112)=$F16),0)),0)</f>
        <v>0</v>
      </c>
      <c r="AE16" s="403" cm="1">
        <f t="array" aca="1" ref="AE16" ca="1">IFERROR(SUM(_xlfn._xlws.FILTER(INDIRECT(AE$112),(INDIRECT($B$112)=$B16)*(INDIRECT($D$112)=$D16)*(INDIRECT($F$112)=$F16),0)),0)</f>
        <v>0</v>
      </c>
      <c r="AF16" s="403" cm="1">
        <f t="array" aca="1" ref="AF16" ca="1">IFERROR(SUM(_xlfn._xlws.FILTER(INDIRECT(AF$112),(INDIRECT($B$112)=$B16)*(INDIRECT($D$112)=$D16)*(INDIRECT($F$112)=$F16),0)),0)</f>
        <v>0</v>
      </c>
      <c r="AG16" s="403" cm="1">
        <f t="array" aca="1" ref="AG16" ca="1">IFERROR(SUM(_xlfn._xlws.FILTER(INDIRECT(AG$112),(INDIRECT($B$112)=$B16)*(INDIRECT($D$112)=$D16)*(INDIRECT($F$112)=$F16),0)),0)</f>
        <v>0</v>
      </c>
      <c r="AH16" s="403" cm="1">
        <f t="array" aca="1" ref="AH16" ca="1">IFERROR(SUM(_xlfn._xlws.FILTER(INDIRECT(AH$112),(INDIRECT($B$112)=$B16)*(INDIRECT($D$112)=$D16)*(INDIRECT($F$112)=$F16),0)),0)</f>
        <v>0</v>
      </c>
      <c r="AI16" s="403" cm="1">
        <f t="array" aca="1" ref="AI16" ca="1">IFERROR(SUM(_xlfn._xlws.FILTER(INDIRECT(AI$112),(INDIRECT($B$112)=$B16)*(INDIRECT($D$112)=$D16)*(INDIRECT($F$112)=$F16),0)),0)</f>
        <v>0</v>
      </c>
      <c r="AJ16" s="403" cm="1">
        <f t="array" aca="1" ref="AJ16" ca="1">IFERROR(SUM(_xlfn._xlws.FILTER(INDIRECT(AJ$112),(INDIRECT($B$112)=$B16)*(INDIRECT($D$112)=$D16)*(INDIRECT($F$112)=$F16),0)),0)</f>
        <v>0</v>
      </c>
      <c r="AK16" s="403" cm="1">
        <f t="array" aca="1" ref="AK16" ca="1">IFERROR(SUM(_xlfn._xlws.FILTER(INDIRECT(AK$112),(INDIRECT($B$112)=$B16)*(INDIRECT($D$112)=$D16)*(INDIRECT($F$112)=$F16),0)),0)</f>
        <v>0</v>
      </c>
      <c r="AL16" s="403" cm="1">
        <f t="array" aca="1" ref="AL16" ca="1">IFERROR(SUM(_xlfn._xlws.FILTER(INDIRECT(AL$112),(INDIRECT($B$112)=$B16)*(INDIRECT($D$112)=$D16)*(INDIRECT($F$112)=$F16),0)),0)</f>
        <v>0</v>
      </c>
      <c r="AM16" s="403" cm="1">
        <f t="array" aca="1" ref="AM16" ca="1">IFERROR(SUM(_xlfn._xlws.FILTER(INDIRECT(AM$112),(INDIRECT($B$112)=$B16)*(INDIRECT($D$112)=$D16)*(INDIRECT($F$112)=$F16),0)),0)</f>
        <v>0</v>
      </c>
      <c r="AN16" s="403" cm="1">
        <f t="array" aca="1" ref="AN16" ca="1">IFERROR(SUM(_xlfn._xlws.FILTER(INDIRECT(AN$112),(INDIRECT($B$112)=$B16)*(INDIRECT($D$112)=$D16)*(INDIRECT($F$112)=$F16),0)),0)</f>
        <v>0</v>
      </c>
      <c r="AO16" s="403" cm="1">
        <f t="array" aca="1" ref="AO16" ca="1">IFERROR(SUM(_xlfn._xlws.FILTER(INDIRECT(AO$112),(INDIRECT($B$112)=$B16)*(INDIRECT($D$112)=$D16)*(INDIRECT($F$112)=$F16),0)),0)</f>
        <v>0</v>
      </c>
      <c r="AP16" s="403" cm="1">
        <f t="array" aca="1" ref="AP16" ca="1">IFERROR(SUM(_xlfn._xlws.FILTER(INDIRECT(AP$112),(INDIRECT($B$112)=$B16)*(INDIRECT($D$112)=$D16)*(INDIRECT($F$112)=$F16),0)),0)</f>
        <v>0</v>
      </c>
      <c r="AQ16" s="403" cm="1">
        <f t="array" aca="1" ref="AQ16" ca="1">IFERROR(SUM(_xlfn._xlws.FILTER(INDIRECT(AQ$112),(INDIRECT($B$112)=$B16)*(INDIRECT($D$112)=$D16)*(INDIRECT($F$112)=$F16),0)),0)</f>
        <v>431695.25913542282</v>
      </c>
      <c r="AR16" s="403" cm="1">
        <f t="array" aca="1" ref="AR16" ca="1">IFERROR(SUM(_xlfn._xlws.FILTER(INDIRECT(AR$112),(INDIRECT($B$112)=$B16)*(INDIRECT($D$112)=$D16)*(INDIRECT($F$112)=$F16),0)),0)</f>
        <v>144746.2203680661</v>
      </c>
      <c r="AS16" s="286" t="str">
        <f t="shared" ca="1" si="2"/>
        <v>G16:AP16</v>
      </c>
      <c r="AT16" s="403">
        <f t="shared" ca="1" si="3"/>
        <v>576441.47950348887</v>
      </c>
      <c r="AV16" s="142" cm="1">
        <f t="array" aca="1" ref="AV16" ca="1">IF(AND(_xlfn.LET(_xlpm.x,SUM(ROW()),OR(AND(MATCH("SOT",$A:$A,0)&lt;_xlpm.x,MATCH("EOT",$A:$A,0)&gt;_xlpm.x),AND(MATCH("SOS",$A:$A,0)&lt;_xlpm.x,MATCH("EOS",$A:$A,0)&gt;_xlpm.x),AND(MATCH("SOR",$A:$A,0)&lt;_xlpm.x,MATCH("EOR",$A:$A,0)&gt;_xlpm.x))),INDIRECT("rc"&amp;MATCH("SCD",$1:$1,0),FALSE)="PPTO"),1,0)</f>
        <v>1</v>
      </c>
      <c r="AW16" s="142" cm="1">
        <f t="array" aca="1" ref="AW1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7" spans="1:49" s="153" customFormat="1" outlineLevel="2">
      <c r="A17" s="152"/>
      <c r="B17" s="401" t="str">
        <f ca="1"/>
        <v>31200</v>
      </c>
      <c r="C17" s="148"/>
      <c r="D17" s="404" t="str">
        <f ca="1"/>
        <v>DIST</v>
      </c>
      <c r="E17" s="350" t="str" cm="1">
        <f t="array" aca="1" ref="E17" ca="1">UPPER(_xlfn.UNIQUE(_xlfn._xlws.FILTER(TbStd[OFbStd],TbStd[RowGrp]=$D17,"X")))</f>
        <v>DESIGN &amp; SIMULATION TOOLS</v>
      </c>
      <c r="F17" s="402" t="str">
        <f ca="1"/>
        <v>PREV</v>
      </c>
      <c r="G17" s="403" cm="1">
        <f t="array" aca="1" ref="G17" ca="1">IFERROR(SUM(_xlfn._xlws.FILTER(INDIRECT(G$112),(INDIRECT($B$112)=$B17)*(INDIRECT($D$112)=$D17)*(INDIRECT($F$112)=$F17),0)),0)</f>
        <v>0</v>
      </c>
      <c r="H17" s="403" cm="1">
        <f t="array" aca="1" ref="H17" ca="1">IFERROR(SUM(_xlfn._xlws.FILTER(INDIRECT(H$112),(INDIRECT($B$112)=$B17)*(INDIRECT($D$112)=$D17)*(INDIRECT($F$112)=$F17),0)),0)</f>
        <v>0</v>
      </c>
      <c r="I17" s="403" cm="1">
        <f t="array" aca="1" ref="I17" ca="1">IFERROR(SUM(_xlfn._xlws.FILTER(INDIRECT(I$112),(INDIRECT($B$112)=$B17)*(INDIRECT($D$112)=$D17)*(INDIRECT($F$112)=$F17),0)),0)</f>
        <v>0</v>
      </c>
      <c r="J17" s="403" cm="1">
        <f t="array" aca="1" ref="J17" ca="1">IFERROR(SUM(_xlfn._xlws.FILTER(INDIRECT(J$112),(INDIRECT($B$112)=$B17)*(INDIRECT($D$112)=$D17)*(INDIRECT($F$112)=$F17),0)),0)</f>
        <v>0</v>
      </c>
      <c r="K17" s="403" cm="1">
        <f t="array" aca="1" ref="K17" ca="1">IFERROR(SUM(_xlfn._xlws.FILTER(INDIRECT(K$112),(INDIRECT($B$112)=$B17)*(INDIRECT($D$112)=$D17)*(INDIRECT($F$112)=$F17),0)),0)</f>
        <v>-180000</v>
      </c>
      <c r="L17" s="403" cm="1">
        <f t="array" aca="1" ref="L17" ca="1">IFERROR(SUM(_xlfn._xlws.FILTER(INDIRECT(L$112),(INDIRECT($B$112)=$B17)*(INDIRECT($D$112)=$D17)*(INDIRECT($F$112)=$F17),0)),0)</f>
        <v>0</v>
      </c>
      <c r="M17" s="403" cm="1">
        <f t="array" aca="1" ref="M17" ca="1">IFERROR(SUM(_xlfn._xlws.FILTER(INDIRECT(M$112),(INDIRECT($B$112)=$B17)*(INDIRECT($D$112)=$D17)*(INDIRECT($F$112)=$F17),0)),0)</f>
        <v>0</v>
      </c>
      <c r="N17" s="403" cm="1">
        <f t="array" aca="1" ref="N17" ca="1">IFERROR(SUM(_xlfn._xlws.FILTER(INDIRECT(N$112),(INDIRECT($B$112)=$B17)*(INDIRECT($D$112)=$D17)*(INDIRECT($F$112)=$F17),0)),0)</f>
        <v>0</v>
      </c>
      <c r="O17" s="403" cm="1">
        <f t="array" aca="1" ref="O17" ca="1">IFERROR(SUM(_xlfn._xlws.FILTER(INDIRECT(O$112),(INDIRECT($B$112)=$B17)*(INDIRECT($D$112)=$D17)*(INDIRECT($F$112)=$F17),0)),0)</f>
        <v>-48613.880000000005</v>
      </c>
      <c r="P17" s="403" cm="1">
        <f t="array" aca="1" ref="P17" ca="1">IFERROR(SUM(_xlfn._xlws.FILTER(INDIRECT(P$112),(INDIRECT($B$112)=$B17)*(INDIRECT($D$112)=$D17)*(INDIRECT($F$112)=$F17),0)),0)</f>
        <v>0</v>
      </c>
      <c r="Q17" s="403" cm="1">
        <f t="array" aca="1" ref="Q17" ca="1">IFERROR(SUM(_xlfn._xlws.FILTER(INDIRECT(Q$112),(INDIRECT($B$112)=$B17)*(INDIRECT($D$112)=$D17)*(INDIRECT($F$112)=$F17),0)),0)</f>
        <v>0</v>
      </c>
      <c r="R17" s="403" cm="1">
        <f t="array" aca="1" ref="R17" ca="1">IFERROR(SUM(_xlfn._xlws.FILTER(INDIRECT(R$112),(INDIRECT($B$112)=$B17)*(INDIRECT($D$112)=$D17)*(INDIRECT($F$112)=$F17),0)),0)</f>
        <v>0</v>
      </c>
      <c r="S17" s="403" cm="1">
        <f t="array" aca="1" ref="S17" ca="1">IFERROR(SUM(_xlfn._xlws.FILTER(INDIRECT(S$112),(INDIRECT($B$112)=$B17)*(INDIRECT($D$112)=$D17)*(INDIRECT($F$112)=$F17),0)),0)</f>
        <v>5000</v>
      </c>
      <c r="T17" s="403" cm="1">
        <f t="array" aca="1" ref="T17" ca="1">IFERROR(SUM(_xlfn._xlws.FILTER(INDIRECT(T$112),(INDIRECT($B$112)=$B17)*(INDIRECT($D$112)=$D17)*(INDIRECT($F$112)=$F17),0)),0)</f>
        <v>0</v>
      </c>
      <c r="U17" s="403" cm="1">
        <f t="array" aca="1" ref="U17" ca="1">IFERROR(SUM(_xlfn._xlws.FILTER(INDIRECT(U$112),(INDIRECT($B$112)=$B17)*(INDIRECT($D$112)=$D17)*(INDIRECT($F$112)=$F17),0)),0)</f>
        <v>0</v>
      </c>
      <c r="V17" s="403" cm="1">
        <f t="array" aca="1" ref="V17" ca="1">IFERROR(SUM(_xlfn._xlws.FILTER(INDIRECT(V$112),(INDIRECT($B$112)=$B17)*(INDIRECT($D$112)=$D17)*(INDIRECT($F$112)=$F17),0)),0)</f>
        <v>25</v>
      </c>
      <c r="W17" s="403" cm="1">
        <f t="array" aca="1" ref="W17" ca="1">IFERROR(SUM(_xlfn._xlws.FILTER(INDIRECT(W$112),(INDIRECT($B$112)=$B17)*(INDIRECT($D$112)=$D17)*(INDIRECT($F$112)=$F17),0)),0)</f>
        <v>0</v>
      </c>
      <c r="X17" s="403" cm="1">
        <f t="array" aca="1" ref="X17" ca="1">IFERROR(SUM(_xlfn._xlws.FILTER(INDIRECT(X$112),(INDIRECT($B$112)=$B17)*(INDIRECT($D$112)=$D17)*(INDIRECT($F$112)=$F17),0)),0)</f>
        <v>0</v>
      </c>
      <c r="Y17" s="403" cm="1">
        <f t="array" aca="1" ref="Y17" ca="1">IFERROR(SUM(_xlfn._xlws.FILTER(INDIRECT(Y$112),(INDIRECT($B$112)=$B17)*(INDIRECT($D$112)=$D17)*(INDIRECT($F$112)=$F17),0)),0)</f>
        <v>0</v>
      </c>
      <c r="Z17" s="403" cm="1">
        <f t="array" aca="1" ref="Z17" ca="1">IFERROR(SUM(_xlfn._xlws.FILTER(INDIRECT(Z$112),(INDIRECT($B$112)=$B17)*(INDIRECT($D$112)=$D17)*(INDIRECT($F$112)=$F17),0)),0)</f>
        <v>0</v>
      </c>
      <c r="AA17" s="403" cm="1">
        <f t="array" aca="1" ref="AA17" ca="1">IFERROR(SUM(_xlfn._xlws.FILTER(INDIRECT(AA$112),(INDIRECT($B$112)=$B17)*(INDIRECT($D$112)=$D17)*(INDIRECT($F$112)=$F17),0)),0)</f>
        <v>0</v>
      </c>
      <c r="AB17" s="403" cm="1">
        <f t="array" aca="1" ref="AB17" ca="1">IFERROR(SUM(_xlfn._xlws.FILTER(INDIRECT(AB$112),(INDIRECT($B$112)=$B17)*(INDIRECT($D$112)=$D17)*(INDIRECT($F$112)=$F17),0)),0)</f>
        <v>0</v>
      </c>
      <c r="AC17" s="403" cm="1">
        <f t="array" aca="1" ref="AC17" ca="1">IFERROR(SUM(_xlfn._xlws.FILTER(INDIRECT(AC$112),(INDIRECT($B$112)=$B17)*(INDIRECT($D$112)=$D17)*(INDIRECT($F$112)=$F17),0)),0)</f>
        <v>0</v>
      </c>
      <c r="AD17" s="403" cm="1">
        <f t="array" aca="1" ref="AD17" ca="1">IFERROR(SUM(_xlfn._xlws.FILTER(INDIRECT(AD$112),(INDIRECT($B$112)=$B17)*(INDIRECT($D$112)=$D17)*(INDIRECT($F$112)=$F17),0)),0)</f>
        <v>0</v>
      </c>
      <c r="AE17" s="403" cm="1">
        <f t="array" aca="1" ref="AE17" ca="1">IFERROR(SUM(_xlfn._xlws.FILTER(INDIRECT(AE$112),(INDIRECT($B$112)=$B17)*(INDIRECT($D$112)=$D17)*(INDIRECT($F$112)=$F17),0)),0)</f>
        <v>0</v>
      </c>
      <c r="AF17" s="403" cm="1">
        <f t="array" aca="1" ref="AF17" ca="1">IFERROR(SUM(_xlfn._xlws.FILTER(INDIRECT(AF$112),(INDIRECT($B$112)=$B17)*(INDIRECT($D$112)=$D17)*(INDIRECT($F$112)=$F17),0)),0)</f>
        <v>0</v>
      </c>
      <c r="AG17" s="403" cm="1">
        <f t="array" aca="1" ref="AG17" ca="1">IFERROR(SUM(_xlfn._xlws.FILTER(INDIRECT(AG$112),(INDIRECT($B$112)=$B17)*(INDIRECT($D$112)=$D17)*(INDIRECT($F$112)=$F17),0)),0)</f>
        <v>0</v>
      </c>
      <c r="AH17" s="403" cm="1">
        <f t="array" aca="1" ref="AH17" ca="1">IFERROR(SUM(_xlfn._xlws.FILTER(INDIRECT(AH$112),(INDIRECT($B$112)=$B17)*(INDIRECT($D$112)=$D17)*(INDIRECT($F$112)=$F17),0)),0)</f>
        <v>0</v>
      </c>
      <c r="AI17" s="403" cm="1">
        <f t="array" aca="1" ref="AI17" ca="1">IFERROR(SUM(_xlfn._xlws.FILTER(INDIRECT(AI$112),(INDIRECT($B$112)=$B17)*(INDIRECT($D$112)=$D17)*(INDIRECT($F$112)=$F17),0)),0)</f>
        <v>0</v>
      </c>
      <c r="AJ17" s="403" cm="1">
        <f t="array" aca="1" ref="AJ17" ca="1">IFERROR(SUM(_xlfn._xlws.FILTER(INDIRECT(AJ$112),(INDIRECT($B$112)=$B17)*(INDIRECT($D$112)=$D17)*(INDIRECT($F$112)=$F17),0)),0)</f>
        <v>0</v>
      </c>
      <c r="AK17" s="403" cm="1">
        <f t="array" aca="1" ref="AK17" ca="1">IFERROR(SUM(_xlfn._xlws.FILTER(INDIRECT(AK$112),(INDIRECT($B$112)=$B17)*(INDIRECT($D$112)=$D17)*(INDIRECT($F$112)=$F17),0)),0)</f>
        <v>0</v>
      </c>
      <c r="AL17" s="403" cm="1">
        <f t="array" aca="1" ref="AL17" ca="1">IFERROR(SUM(_xlfn._xlws.FILTER(INDIRECT(AL$112),(INDIRECT($B$112)=$B17)*(INDIRECT($D$112)=$D17)*(INDIRECT($F$112)=$F17),0)),0)</f>
        <v>86.78</v>
      </c>
      <c r="AM17" s="403" cm="1">
        <f t="array" aca="1" ref="AM17" ca="1">IFERROR(SUM(_xlfn._xlws.FILTER(INDIRECT(AM$112),(INDIRECT($B$112)=$B17)*(INDIRECT($D$112)=$D17)*(INDIRECT($F$112)=$F17),0)),0)</f>
        <v>0</v>
      </c>
      <c r="AN17" s="403" cm="1">
        <f t="array" aca="1" ref="AN17" ca="1">IFERROR(SUM(_xlfn._xlws.FILTER(INDIRECT(AN$112),(INDIRECT($B$112)=$B17)*(INDIRECT($D$112)=$D17)*(INDIRECT($F$112)=$F17),0)),0)</f>
        <v>0</v>
      </c>
      <c r="AO17" s="403" cm="1">
        <f t="array" aca="1" ref="AO17" ca="1">IFERROR(SUM(_xlfn._xlws.FILTER(INDIRECT(AO$112),(INDIRECT($B$112)=$B17)*(INDIRECT($D$112)=$D17)*(INDIRECT($F$112)=$F17),0)),0)</f>
        <v>0</v>
      </c>
      <c r="AP17" s="403" cm="1">
        <f t="array" aca="1" ref="AP17" ca="1">IFERROR(SUM(_xlfn._xlws.FILTER(INDIRECT(AP$112),(INDIRECT($B$112)=$B17)*(INDIRECT($D$112)=$D17)*(INDIRECT($F$112)=$F17),0)),0)</f>
        <v>0</v>
      </c>
      <c r="AQ17" s="403" cm="1">
        <f t="array" aca="1" ref="AQ17" ca="1">IFERROR(SUM(_xlfn._xlws.FILTER(INDIRECT(AQ$112),(INDIRECT($B$112)=$B17)*(INDIRECT($D$112)=$D17)*(INDIRECT($F$112)=$F17),0)),0)</f>
        <v>-223613.88</v>
      </c>
      <c r="AR17" s="403" cm="1">
        <f t="array" aca="1" ref="AR17" ca="1">IFERROR(SUM(_xlfn._xlws.FILTER(INDIRECT(AR$112),(INDIRECT($B$112)=$B17)*(INDIRECT($D$112)=$D17)*(INDIRECT($F$112)=$F17),0)),0)</f>
        <v>111.78</v>
      </c>
      <c r="AS17" s="286" t="str">
        <f t="shared" ref="AS17:AS82" ca="1" si="4">IF($B17="","X",ADDRESS(SUM(ROW()),MATCH("SCD",$1:$1,0)+1,4)&amp;":"&amp;ADDRESS(SUM(ROW()),MATCH("ECD",$1:$1,0)-1,4))</f>
        <v>G17:AP17</v>
      </c>
      <c r="AT17" s="403">
        <f t="shared" ca="1" si="3"/>
        <v>-223502.1</v>
      </c>
      <c r="AV17" s="142" cm="1">
        <f t="array" aca="1" ref="AV17" ca="1">IF(AND(_xlfn.LET(_xlpm.x,SUM(ROW()),OR(AND(MATCH("SOT",$A:$A,0)&lt;_xlpm.x,MATCH("EOT",$A:$A,0)&gt;_xlpm.x),AND(MATCH("SOS",$A:$A,0)&lt;_xlpm.x,MATCH("EOS",$A:$A,0)&gt;_xlpm.x),AND(MATCH("SOR",$A:$A,0)&lt;_xlpm.x,MATCH("EOR",$A:$A,0)&gt;_xlpm.x))),INDIRECT("rc"&amp;MATCH("SCD",$1:$1,0),FALSE)="PPTO"),1,0)</f>
        <v>0</v>
      </c>
      <c r="AW17" s="142" cm="1">
        <f t="array" aca="1" ref="AW1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8" spans="1:49" s="153" customFormat="1" outlineLevel="2">
      <c r="A18" s="152"/>
      <c r="B18" s="401" t="str">
        <f ca="1"/>
        <v>31200</v>
      </c>
      <c r="C18" s="148"/>
      <c r="D18" s="404" t="str">
        <f ca="1"/>
        <v>DIST</v>
      </c>
      <c r="E18" s="350" t="str" cm="1">
        <f t="array" aca="1" ref="E18" ca="1">UPPER(_xlfn.UNIQUE(_xlfn._xlws.FILTER(TbStd[OFbStd],TbStd[RowGrp]=$D18,"X")))</f>
        <v>DESIGN &amp; SIMULATION TOOLS</v>
      </c>
      <c r="F18" s="402" t="str">
        <f ca="1"/>
        <v>REAL</v>
      </c>
      <c r="G18" s="403" cm="1">
        <f t="array" aca="1" ref="G18" ca="1">IFERROR(SUM(_xlfn._xlws.FILTER(INDIRECT(G$112),(INDIRECT($B$112)=$B18)*(INDIRECT($D$112)=$D18)*(INDIRECT($F$112)=$F18),0)),0)</f>
        <v>0</v>
      </c>
      <c r="H18" s="403" cm="1">
        <f t="array" aca="1" ref="H18" ca="1">IFERROR(SUM(_xlfn._xlws.FILTER(INDIRECT(H$112),(INDIRECT($B$112)=$B18)*(INDIRECT($D$112)=$D18)*(INDIRECT($F$112)=$F18),0)),0)</f>
        <v>0</v>
      </c>
      <c r="I18" s="403" cm="1">
        <f t="array" aca="1" ref="I18" ca="1">IFERROR(SUM(_xlfn._xlws.FILTER(INDIRECT(I$112),(INDIRECT($B$112)=$B18)*(INDIRECT($D$112)=$D18)*(INDIRECT($F$112)=$F18),0)),0)</f>
        <v>0</v>
      </c>
      <c r="J18" s="403" cm="1">
        <f t="array" aca="1" ref="J18" ca="1">IFERROR(SUM(_xlfn._xlws.FILTER(INDIRECT(J$112),(INDIRECT($B$112)=$B18)*(INDIRECT($D$112)=$D18)*(INDIRECT($F$112)=$F18),0)),0)</f>
        <v>0</v>
      </c>
      <c r="K18" s="403" cm="1">
        <f t="array" aca="1" ref="K18" ca="1">IFERROR(SUM(_xlfn._xlws.FILTER(INDIRECT(K$112),(INDIRECT($B$112)=$B18)*(INDIRECT($D$112)=$D18)*(INDIRECT($F$112)=$F18),0)),0)</f>
        <v>209051.59</v>
      </c>
      <c r="L18" s="403" cm="1">
        <f t="array" aca="1" ref="L18" ca="1">IFERROR(SUM(_xlfn._xlws.FILTER(INDIRECT(L$112),(INDIRECT($B$112)=$B18)*(INDIRECT($D$112)=$D18)*(INDIRECT($F$112)=$F18),0)),0)</f>
        <v>29023.5</v>
      </c>
      <c r="M18" s="403" cm="1">
        <f t="array" aca="1" ref="M18" ca="1">IFERROR(SUM(_xlfn._xlws.FILTER(INDIRECT(M$112),(INDIRECT($B$112)=$B18)*(INDIRECT($D$112)=$D18)*(INDIRECT($F$112)=$F18),0)),0)</f>
        <v>0</v>
      </c>
      <c r="N18" s="403" cm="1">
        <f t="array" aca="1" ref="N18" ca="1">IFERROR(SUM(_xlfn._xlws.FILTER(INDIRECT(N$112),(INDIRECT($B$112)=$B18)*(INDIRECT($D$112)=$D18)*(INDIRECT($F$112)=$F18),0)),0)</f>
        <v>0</v>
      </c>
      <c r="O18" s="403" cm="1">
        <f t="array" aca="1" ref="O18" ca="1">IFERROR(SUM(_xlfn._xlws.FILTER(INDIRECT(O$112),(INDIRECT($B$112)=$B18)*(INDIRECT($D$112)=$D18)*(INDIRECT($F$112)=$F18),0)),0)</f>
        <v>12758.48</v>
      </c>
      <c r="P18" s="403" cm="1">
        <f t="array" aca="1" ref="P18" ca="1">IFERROR(SUM(_xlfn._xlws.FILTER(INDIRECT(P$112),(INDIRECT($B$112)=$B18)*(INDIRECT($D$112)=$D18)*(INDIRECT($F$112)=$F18),0)),0)</f>
        <v>0</v>
      </c>
      <c r="Q18" s="403" cm="1">
        <f t="array" aca="1" ref="Q18" ca="1">IFERROR(SUM(_xlfn._xlws.FILTER(INDIRECT(Q$112),(INDIRECT($B$112)=$B18)*(INDIRECT($D$112)=$D18)*(INDIRECT($F$112)=$F18),0)),0)</f>
        <v>0</v>
      </c>
      <c r="R18" s="403" cm="1">
        <f t="array" aca="1" ref="R18" ca="1">IFERROR(SUM(_xlfn._xlws.FILTER(INDIRECT(R$112),(INDIRECT($B$112)=$B18)*(INDIRECT($D$112)=$D18)*(INDIRECT($F$112)=$F18),0)),0)</f>
        <v>0</v>
      </c>
      <c r="S18" s="403" cm="1">
        <f t="array" aca="1" ref="S18" ca="1">IFERROR(SUM(_xlfn._xlws.FILTER(INDIRECT(S$112),(INDIRECT($B$112)=$B18)*(INDIRECT($D$112)=$D18)*(INDIRECT($F$112)=$F18),0)),0)</f>
        <v>47993.68</v>
      </c>
      <c r="T18" s="403" cm="1">
        <f t="array" aca="1" ref="T18" ca="1">IFERROR(SUM(_xlfn._xlws.FILTER(INDIRECT(T$112),(INDIRECT($B$112)=$B18)*(INDIRECT($D$112)=$D18)*(INDIRECT($F$112)=$F18),0)),0)</f>
        <v>0</v>
      </c>
      <c r="U18" s="403" cm="1">
        <f t="array" aca="1" ref="U18" ca="1">IFERROR(SUM(_xlfn._xlws.FILTER(INDIRECT(U$112),(INDIRECT($B$112)=$B18)*(INDIRECT($D$112)=$D18)*(INDIRECT($F$112)=$F18),0)),0)</f>
        <v>0</v>
      </c>
      <c r="V18" s="403" cm="1">
        <f t="array" aca="1" ref="V18" ca="1">IFERROR(SUM(_xlfn._xlws.FILTER(INDIRECT(V$112),(INDIRECT($B$112)=$B18)*(INDIRECT($D$112)=$D18)*(INDIRECT($F$112)=$F18),0)),0)</f>
        <v>25</v>
      </c>
      <c r="W18" s="403" cm="1">
        <f t="array" aca="1" ref="W18" ca="1">IFERROR(SUM(_xlfn._xlws.FILTER(INDIRECT(W$112),(INDIRECT($B$112)=$B18)*(INDIRECT($D$112)=$D18)*(INDIRECT($F$112)=$F18),0)),0)</f>
        <v>0</v>
      </c>
      <c r="X18" s="403" cm="1">
        <f t="array" aca="1" ref="X18" ca="1">IFERROR(SUM(_xlfn._xlws.FILTER(INDIRECT(X$112),(INDIRECT($B$112)=$B18)*(INDIRECT($D$112)=$D18)*(INDIRECT($F$112)=$F18),0)),0)</f>
        <v>0</v>
      </c>
      <c r="Y18" s="403" cm="1">
        <f t="array" aca="1" ref="Y18" ca="1">IFERROR(SUM(_xlfn._xlws.FILTER(INDIRECT(Y$112),(INDIRECT($B$112)=$B18)*(INDIRECT($D$112)=$D18)*(INDIRECT($F$112)=$F18),0)),0)</f>
        <v>0</v>
      </c>
      <c r="Z18" s="403" cm="1">
        <f t="array" aca="1" ref="Z18" ca="1">IFERROR(SUM(_xlfn._xlws.FILTER(INDIRECT(Z$112),(INDIRECT($B$112)=$B18)*(INDIRECT($D$112)=$D18)*(INDIRECT($F$112)=$F18),0)),0)</f>
        <v>0</v>
      </c>
      <c r="AA18" s="403" cm="1">
        <f t="array" aca="1" ref="AA18" ca="1">IFERROR(SUM(_xlfn._xlws.FILTER(INDIRECT(AA$112),(INDIRECT($B$112)=$B18)*(INDIRECT($D$112)=$D18)*(INDIRECT($F$112)=$F18),0)),0)</f>
        <v>0</v>
      </c>
      <c r="AB18" s="403" cm="1">
        <f t="array" aca="1" ref="AB18" ca="1">IFERROR(SUM(_xlfn._xlws.FILTER(INDIRECT(AB$112),(INDIRECT($B$112)=$B18)*(INDIRECT($D$112)=$D18)*(INDIRECT($F$112)=$F18),0)),0)</f>
        <v>0</v>
      </c>
      <c r="AC18" s="403" cm="1">
        <f t="array" aca="1" ref="AC18" ca="1">IFERROR(SUM(_xlfn._xlws.FILTER(INDIRECT(AC$112),(INDIRECT($B$112)=$B18)*(INDIRECT($D$112)=$D18)*(INDIRECT($F$112)=$F18),0)),0)</f>
        <v>0</v>
      </c>
      <c r="AD18" s="403" cm="1">
        <f t="array" aca="1" ref="AD18" ca="1">IFERROR(SUM(_xlfn._xlws.FILTER(INDIRECT(AD$112),(INDIRECT($B$112)=$B18)*(INDIRECT($D$112)=$D18)*(INDIRECT($F$112)=$F18),0)),0)</f>
        <v>0</v>
      </c>
      <c r="AE18" s="403" cm="1">
        <f t="array" aca="1" ref="AE18" ca="1">IFERROR(SUM(_xlfn._xlws.FILTER(INDIRECT(AE$112),(INDIRECT($B$112)=$B18)*(INDIRECT($D$112)=$D18)*(INDIRECT($F$112)=$F18),0)),0)</f>
        <v>0</v>
      </c>
      <c r="AF18" s="403" cm="1">
        <f t="array" aca="1" ref="AF18" ca="1">IFERROR(SUM(_xlfn._xlws.FILTER(INDIRECT(AF$112),(INDIRECT($B$112)=$B18)*(INDIRECT($D$112)=$D18)*(INDIRECT($F$112)=$F18),0)),0)</f>
        <v>0</v>
      </c>
      <c r="AG18" s="403" cm="1">
        <f t="array" aca="1" ref="AG18" ca="1">IFERROR(SUM(_xlfn._xlws.FILTER(INDIRECT(AG$112),(INDIRECT($B$112)=$B18)*(INDIRECT($D$112)=$D18)*(INDIRECT($F$112)=$F18),0)),0)</f>
        <v>0</v>
      </c>
      <c r="AH18" s="403" cm="1">
        <f t="array" aca="1" ref="AH18" ca="1">IFERROR(SUM(_xlfn._xlws.FILTER(INDIRECT(AH$112),(INDIRECT($B$112)=$B18)*(INDIRECT($D$112)=$D18)*(INDIRECT($F$112)=$F18),0)),0)</f>
        <v>0</v>
      </c>
      <c r="AI18" s="403" cm="1">
        <f t="array" aca="1" ref="AI18" ca="1">IFERROR(SUM(_xlfn._xlws.FILTER(INDIRECT(AI$112),(INDIRECT($B$112)=$B18)*(INDIRECT($D$112)=$D18)*(INDIRECT($F$112)=$F18),0)),0)</f>
        <v>0</v>
      </c>
      <c r="AJ18" s="403" cm="1">
        <f t="array" aca="1" ref="AJ18" ca="1">IFERROR(SUM(_xlfn._xlws.FILTER(INDIRECT(AJ$112),(INDIRECT($B$112)=$B18)*(INDIRECT($D$112)=$D18)*(INDIRECT($F$112)=$F18),0)),0)</f>
        <v>0</v>
      </c>
      <c r="AK18" s="403" cm="1">
        <f t="array" aca="1" ref="AK18" ca="1">IFERROR(SUM(_xlfn._xlws.FILTER(INDIRECT(AK$112),(INDIRECT($B$112)=$B18)*(INDIRECT($D$112)=$D18)*(INDIRECT($F$112)=$F18),0)),0)</f>
        <v>0</v>
      </c>
      <c r="AL18" s="403" cm="1">
        <f t="array" aca="1" ref="AL18" ca="1">IFERROR(SUM(_xlfn._xlws.FILTER(INDIRECT(AL$112),(INDIRECT($B$112)=$B18)*(INDIRECT($D$112)=$D18)*(INDIRECT($F$112)=$F18),0)),0)</f>
        <v>86.78</v>
      </c>
      <c r="AM18" s="403" cm="1">
        <f t="array" aca="1" ref="AM18" ca="1">IFERROR(SUM(_xlfn._xlws.FILTER(INDIRECT(AM$112),(INDIRECT($B$112)=$B18)*(INDIRECT($D$112)=$D18)*(INDIRECT($F$112)=$F18),0)),0)</f>
        <v>0</v>
      </c>
      <c r="AN18" s="403" cm="1">
        <f t="array" aca="1" ref="AN18" ca="1">IFERROR(SUM(_xlfn._xlws.FILTER(INDIRECT(AN$112),(INDIRECT($B$112)=$B18)*(INDIRECT($D$112)=$D18)*(INDIRECT($F$112)=$F18),0)),0)</f>
        <v>0</v>
      </c>
      <c r="AO18" s="403" cm="1">
        <f t="array" aca="1" ref="AO18" ca="1">IFERROR(SUM(_xlfn._xlws.FILTER(INDIRECT(AO$112),(INDIRECT($B$112)=$B18)*(INDIRECT($D$112)=$D18)*(INDIRECT($F$112)=$F18),0)),0)</f>
        <v>0</v>
      </c>
      <c r="AP18" s="403" cm="1">
        <f t="array" aca="1" ref="AP18" ca="1">IFERROR(SUM(_xlfn._xlws.FILTER(INDIRECT(AP$112),(INDIRECT($B$112)=$B18)*(INDIRECT($D$112)=$D18)*(INDIRECT($F$112)=$F18),0)),0)</f>
        <v>0</v>
      </c>
      <c r="AQ18" s="403" cm="1">
        <f t="array" aca="1" ref="AQ18" ca="1">IFERROR(SUM(_xlfn._xlws.FILTER(INDIRECT(AQ$112),(INDIRECT($B$112)=$B18)*(INDIRECT($D$112)=$D18)*(INDIRECT($F$112)=$F18),0)),0)</f>
        <v>269803.75</v>
      </c>
      <c r="AR18" s="403" cm="1">
        <f t="array" aca="1" ref="AR18" ca="1">IFERROR(SUM(_xlfn._xlws.FILTER(INDIRECT(AR$112),(INDIRECT($B$112)=$B18)*(INDIRECT($D$112)=$D18)*(INDIRECT($F$112)=$F18),0)),0)</f>
        <v>29135.279999999999</v>
      </c>
      <c r="AS18" s="286" t="str">
        <f t="shared" ca="1" si="4"/>
        <v>G18:AP18</v>
      </c>
      <c r="AT18" s="403">
        <f t="shared" ca="1" si="3"/>
        <v>298939.03000000003</v>
      </c>
      <c r="AV18" s="142" cm="1">
        <f t="array" aca="1" ref="AV18" ca="1">IF(AND(_xlfn.LET(_xlpm.x,SUM(ROW()),OR(AND(MATCH("SOT",$A:$A,0)&lt;_xlpm.x,MATCH("EOT",$A:$A,0)&gt;_xlpm.x),AND(MATCH("SOS",$A:$A,0)&lt;_xlpm.x,MATCH("EOS",$A:$A,0)&gt;_xlpm.x),AND(MATCH("SOR",$A:$A,0)&lt;_xlpm.x,MATCH("EOR",$A:$A,0)&gt;_xlpm.x))),INDIRECT("rc"&amp;MATCH("SCD",$1:$1,0),FALSE)="PPTO"),1,0)</f>
        <v>0</v>
      </c>
      <c r="AW18" s="142" cm="1">
        <f t="array" aca="1" ref="AW1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9" spans="1:49" s="153" customFormat="1" outlineLevel="2">
      <c r="A19" s="152"/>
      <c r="B19" s="401" t="str">
        <f ca="1"/>
        <v>31200</v>
      </c>
      <c r="C19" s="148"/>
      <c r="D19" s="404" t="str">
        <f ca="1"/>
        <v>PMCS</v>
      </c>
      <c r="E19" s="350" t="str" cm="1">
        <f t="array" aca="1" ref="E19" ca="1">UPPER(_xlfn.UNIQUE(_xlfn._xlws.FILTER(TbStd[OFbStd],TbStd[RowGrp]=$D19,"X")))</f>
        <v>START-UP CELLS @SERRA</v>
      </c>
      <c r="F19" s="402" t="str">
        <f ca="1"/>
        <v>PPTO</v>
      </c>
      <c r="G19" s="403" cm="1">
        <f t="array" aca="1" ref="G19" ca="1">IFERROR(SUM(_xlfn._xlws.FILTER(INDIRECT(G$112),(INDIRECT($B$112)=$B19)*(INDIRECT($D$112)=$D19)*(INDIRECT($F$112)=$F19),0)),0)</f>
        <v>58914.315648449992</v>
      </c>
      <c r="H19" s="403" cm="1">
        <f t="array" aca="1" ref="H19" ca="1">IFERROR(SUM(_xlfn._xlws.FILTER(INDIRECT(H$112),(INDIRECT($B$112)=$B19)*(INDIRECT($D$112)=$D19)*(INDIRECT($F$112)=$F19),0)),0)</f>
        <v>0</v>
      </c>
      <c r="I19" s="403" cm="1">
        <f t="array" aca="1" ref="I19" ca="1">IFERROR(SUM(_xlfn._xlws.FILTER(INDIRECT(I$112),(INDIRECT($B$112)=$B19)*(INDIRECT($D$112)=$D19)*(INDIRECT($F$112)=$F19),0)),0)</f>
        <v>0</v>
      </c>
      <c r="J19" s="403" cm="1">
        <f t="array" aca="1" ref="J19" ca="1">IFERROR(SUM(_xlfn._xlws.FILTER(INDIRECT(J$112),(INDIRECT($B$112)=$B19)*(INDIRECT($D$112)=$D19)*(INDIRECT($F$112)=$F19),0)),0)</f>
        <v>0</v>
      </c>
      <c r="K19" s="403" cm="1">
        <f t="array" aca="1" ref="K19" ca="1">IFERROR(SUM(_xlfn._xlws.FILTER(INDIRECT(K$112),(INDIRECT($B$112)=$B19)*(INDIRECT($D$112)=$D19)*(INDIRECT($F$112)=$F19),0)),0)</f>
        <v>0</v>
      </c>
      <c r="L19" s="403" cm="1">
        <f t="array" aca="1" ref="L19" ca="1">IFERROR(SUM(_xlfn._xlws.FILTER(INDIRECT(L$112),(INDIRECT($B$112)=$B19)*(INDIRECT($D$112)=$D19)*(INDIRECT($F$112)=$F19),0)),0)</f>
        <v>0</v>
      </c>
      <c r="M19" s="403" cm="1">
        <f t="array" aca="1" ref="M19" ca="1">IFERROR(SUM(_xlfn._xlws.FILTER(INDIRECT(M$112),(INDIRECT($B$112)=$B19)*(INDIRECT($D$112)=$D19)*(INDIRECT($F$112)=$F19),0)),0)</f>
        <v>0</v>
      </c>
      <c r="N19" s="403" cm="1">
        <f t="array" aca="1" ref="N19" ca="1">IFERROR(SUM(_xlfn._xlws.FILTER(INDIRECT(N$112),(INDIRECT($B$112)=$B19)*(INDIRECT($D$112)=$D19)*(INDIRECT($F$112)=$F19),0)),0)</f>
        <v>0</v>
      </c>
      <c r="O19" s="403" cm="1">
        <f t="array" aca="1" ref="O19" ca="1">IFERROR(SUM(_xlfn._xlws.FILTER(INDIRECT(O$112),(INDIRECT($B$112)=$B19)*(INDIRECT($D$112)=$D19)*(INDIRECT($F$112)=$F19),0)),0)</f>
        <v>71007.22282499999</v>
      </c>
      <c r="P19" s="403" cm="1">
        <f t="array" aca="1" ref="P19" ca="1">IFERROR(SUM(_xlfn._xlws.FILTER(INDIRECT(P$112),(INDIRECT($B$112)=$B19)*(INDIRECT($D$112)=$D19)*(INDIRECT($F$112)=$F19),0)),0)</f>
        <v>77442.716925000001</v>
      </c>
      <c r="Q19" s="403" cm="1">
        <f t="array" aca="1" ref="Q19" ca="1">IFERROR(SUM(_xlfn._xlws.FILTER(INDIRECT(Q$112),(INDIRECT($B$112)=$B19)*(INDIRECT($D$112)=$D19)*(INDIRECT($F$112)=$F19),0)),0)</f>
        <v>0</v>
      </c>
      <c r="R19" s="403" cm="1">
        <f t="array" aca="1" ref="R19" ca="1">IFERROR(SUM(_xlfn._xlws.FILTER(INDIRECT(R$112),(INDIRECT($B$112)=$B19)*(INDIRECT($D$112)=$D19)*(INDIRECT($F$112)=$F19),0)),0)</f>
        <v>0</v>
      </c>
      <c r="S19" s="403" cm="1">
        <f t="array" aca="1" ref="S19" ca="1">IFERROR(SUM(_xlfn._xlws.FILTER(INDIRECT(S$112),(INDIRECT($B$112)=$B19)*(INDIRECT($D$112)=$D19)*(INDIRECT($F$112)=$F19),0)),0)</f>
        <v>31956.476933906248</v>
      </c>
      <c r="T19" s="403" cm="1">
        <f t="array" aca="1" ref="T19" ca="1">IFERROR(SUM(_xlfn._xlws.FILTER(INDIRECT(T$112),(INDIRECT($B$112)=$B19)*(INDIRECT($D$112)=$D19)*(INDIRECT($F$112)=$F19),0)),0)</f>
        <v>70904.956526249996</v>
      </c>
      <c r="U19" s="403" cm="1">
        <f t="array" aca="1" ref="U19" ca="1">IFERROR(SUM(_xlfn._xlws.FILTER(INDIRECT(U$112),(INDIRECT($B$112)=$B19)*(INDIRECT($D$112)=$D19)*(INDIRECT($F$112)=$F19),0)),0)</f>
        <v>0</v>
      </c>
      <c r="V19" s="403" cm="1">
        <f t="array" aca="1" ref="V19" ca="1">IFERROR(SUM(_xlfn._xlws.FILTER(INDIRECT(V$112),(INDIRECT($B$112)=$B19)*(INDIRECT($D$112)=$D19)*(INDIRECT($F$112)=$F19),0)),0)</f>
        <v>0</v>
      </c>
      <c r="W19" s="403" cm="1">
        <f t="array" aca="1" ref="W19" ca="1">IFERROR(SUM(_xlfn._xlws.FILTER(INDIRECT(W$112),(INDIRECT($B$112)=$B19)*(INDIRECT($D$112)=$D19)*(INDIRECT($F$112)=$F19),0)),0)</f>
        <v>41480.067952440004</v>
      </c>
      <c r="X19" s="403" cm="1">
        <f t="array" aca="1" ref="X19" ca="1">IFERROR(SUM(_xlfn._xlws.FILTER(INDIRECT(X$112),(INDIRECT($B$112)=$B19)*(INDIRECT($D$112)=$D19)*(INDIRECT($F$112)=$F19),0)),0)</f>
        <v>96809.416447185009</v>
      </c>
      <c r="Y19" s="403" cm="1">
        <f t="array" aca="1" ref="Y19" ca="1">IFERROR(SUM(_xlfn._xlws.FILTER(INDIRECT(Y$112),(INDIRECT($B$112)=$B19)*(INDIRECT($D$112)=$D19)*(INDIRECT($F$112)=$F19),0)),0)</f>
        <v>9186.5900347199986</v>
      </c>
      <c r="Z19" s="403" cm="1">
        <f t="array" aca="1" ref="Z19" ca="1">IFERROR(SUM(_xlfn._xlws.FILTER(INDIRECT(Z$112),(INDIRECT($B$112)=$B19)*(INDIRECT($D$112)=$D19)*(INDIRECT($F$112)=$F19),0)),0)</f>
        <v>1828.8753100799997</v>
      </c>
      <c r="AA19" s="403" cm="1">
        <f t="array" aca="1" ref="AA19" ca="1">IFERROR(SUM(_xlfn._xlws.FILTER(INDIRECT(AA$112),(INDIRECT($B$112)=$B19)*(INDIRECT($D$112)=$D19)*(INDIRECT($F$112)=$F19),0)),0)</f>
        <v>0</v>
      </c>
      <c r="AB19" s="403" cm="1">
        <f t="array" aca="1" ref="AB19" ca="1">IFERROR(SUM(_xlfn._xlws.FILTER(INDIRECT(AB$112),(INDIRECT($B$112)=$B19)*(INDIRECT($D$112)=$D19)*(INDIRECT($F$112)=$F19),0)),0)</f>
        <v>0</v>
      </c>
      <c r="AC19" s="403" cm="1">
        <f t="array" aca="1" ref="AC19" ca="1">IFERROR(SUM(_xlfn._xlws.FILTER(INDIRECT(AC$112),(INDIRECT($B$112)=$B19)*(INDIRECT($D$112)=$D19)*(INDIRECT($F$112)=$F19),0)),0)</f>
        <v>0</v>
      </c>
      <c r="AD19" s="403" cm="1">
        <f t="array" aca="1" ref="AD19" ca="1">IFERROR(SUM(_xlfn._xlws.FILTER(INDIRECT(AD$112),(INDIRECT($B$112)=$B19)*(INDIRECT($D$112)=$D19)*(INDIRECT($F$112)=$F19),0)),0)</f>
        <v>0</v>
      </c>
      <c r="AE19" s="403" cm="1">
        <f t="array" aca="1" ref="AE19" ca="1">IFERROR(SUM(_xlfn._xlws.FILTER(INDIRECT(AE$112),(INDIRECT($B$112)=$B19)*(INDIRECT($D$112)=$D19)*(INDIRECT($F$112)=$F19),0)),0)</f>
        <v>0</v>
      </c>
      <c r="AF19" s="403" cm="1">
        <f t="array" aca="1" ref="AF19" ca="1">IFERROR(SUM(_xlfn._xlws.FILTER(INDIRECT(AF$112),(INDIRECT($B$112)=$B19)*(INDIRECT($D$112)=$D19)*(INDIRECT($F$112)=$F19),0)),0)</f>
        <v>0</v>
      </c>
      <c r="AG19" s="403" cm="1">
        <f t="array" aca="1" ref="AG19" ca="1">IFERROR(SUM(_xlfn._xlws.FILTER(INDIRECT(AG$112),(INDIRECT($B$112)=$B19)*(INDIRECT($D$112)=$D19)*(INDIRECT($F$112)=$F19),0)),0)</f>
        <v>0</v>
      </c>
      <c r="AH19" s="403" cm="1">
        <f t="array" aca="1" ref="AH19" ca="1">IFERROR(SUM(_xlfn._xlws.FILTER(INDIRECT(AH$112),(INDIRECT($B$112)=$B19)*(INDIRECT($D$112)=$D19)*(INDIRECT($F$112)=$F19),0)),0)</f>
        <v>0</v>
      </c>
      <c r="AI19" s="403" cm="1">
        <f t="array" aca="1" ref="AI19" ca="1">IFERROR(SUM(_xlfn._xlws.FILTER(INDIRECT(AI$112),(INDIRECT($B$112)=$B19)*(INDIRECT($D$112)=$D19)*(INDIRECT($F$112)=$F19),0)),0)</f>
        <v>0</v>
      </c>
      <c r="AJ19" s="403" cm="1">
        <f t="array" aca="1" ref="AJ19" ca="1">IFERROR(SUM(_xlfn._xlws.FILTER(INDIRECT(AJ$112),(INDIRECT($B$112)=$B19)*(INDIRECT($D$112)=$D19)*(INDIRECT($F$112)=$F19),0)),0)</f>
        <v>0</v>
      </c>
      <c r="AK19" s="403" cm="1">
        <f t="array" aca="1" ref="AK19" ca="1">IFERROR(SUM(_xlfn._xlws.FILTER(INDIRECT(AK$112),(INDIRECT($B$112)=$B19)*(INDIRECT($D$112)=$D19)*(INDIRECT($F$112)=$F19),0)),0)</f>
        <v>0</v>
      </c>
      <c r="AL19" s="403" cm="1">
        <f t="array" aca="1" ref="AL19" ca="1">IFERROR(SUM(_xlfn._xlws.FILTER(INDIRECT(AL$112),(INDIRECT($B$112)=$B19)*(INDIRECT($D$112)=$D19)*(INDIRECT($F$112)=$F19),0)),0)</f>
        <v>0</v>
      </c>
      <c r="AM19" s="403" cm="1">
        <f t="array" aca="1" ref="AM19" ca="1">IFERROR(SUM(_xlfn._xlws.FILTER(INDIRECT(AM$112),(INDIRECT($B$112)=$B19)*(INDIRECT($D$112)=$D19)*(INDIRECT($F$112)=$F19),0)),0)</f>
        <v>0</v>
      </c>
      <c r="AN19" s="403" cm="1">
        <f t="array" aca="1" ref="AN19" ca="1">IFERROR(SUM(_xlfn._xlws.FILTER(INDIRECT(AN$112),(INDIRECT($B$112)=$B19)*(INDIRECT($D$112)=$D19)*(INDIRECT($F$112)=$F19),0)),0)</f>
        <v>0</v>
      </c>
      <c r="AO19" s="403" cm="1">
        <f t="array" aca="1" ref="AO19" ca="1">IFERROR(SUM(_xlfn._xlws.FILTER(INDIRECT(AO$112),(INDIRECT($B$112)=$B19)*(INDIRECT($D$112)=$D19)*(INDIRECT($F$112)=$F19),0)),0)</f>
        <v>0</v>
      </c>
      <c r="AP19" s="403" cm="1">
        <f t="array" aca="1" ref="AP19" ca="1">IFERROR(SUM(_xlfn._xlws.FILTER(INDIRECT(AP$112),(INDIRECT($B$112)=$B19)*(INDIRECT($D$112)=$D19)*(INDIRECT($F$112)=$F19),0)),0)</f>
        <v>0</v>
      </c>
      <c r="AQ19" s="403" cm="1">
        <f t="array" aca="1" ref="AQ19" ca="1">IFERROR(SUM(_xlfn._xlws.FILTER(INDIRECT(AQ$112),(INDIRECT($B$112)=$B19)*(INDIRECT($D$112)=$D19)*(INDIRECT($F$112)=$F19),0)),0)</f>
        <v>212544.67339451623</v>
      </c>
      <c r="AR19" s="403" cm="1">
        <f t="array" aca="1" ref="AR19" ca="1">IFERROR(SUM(_xlfn._xlws.FILTER(INDIRECT(AR$112),(INDIRECT($B$112)=$B19)*(INDIRECT($D$112)=$D19)*(INDIRECT($F$112)=$F19),0)),0)</f>
        <v>246985.96520851503</v>
      </c>
      <c r="AS19" s="286" t="str">
        <f t="shared" ca="1" si="4"/>
        <v>G19:AP19</v>
      </c>
      <c r="AT19" s="403">
        <f t="shared" ca="1" si="3"/>
        <v>459530.63860303129</v>
      </c>
      <c r="AV19" s="142" cm="1">
        <f t="array" aca="1" ref="AV19" ca="1">IF(AND(_xlfn.LET(_xlpm.x,SUM(ROW()),OR(AND(MATCH("SOT",$A:$A,0)&lt;_xlpm.x,MATCH("EOT",$A:$A,0)&gt;_xlpm.x),AND(MATCH("SOS",$A:$A,0)&lt;_xlpm.x,MATCH("EOS",$A:$A,0)&gt;_xlpm.x),AND(MATCH("SOR",$A:$A,0)&lt;_xlpm.x,MATCH("EOR",$A:$A,0)&gt;_xlpm.x))),INDIRECT("rc"&amp;MATCH("SCD",$1:$1,0),FALSE)="PPTO"),1,0)</f>
        <v>1</v>
      </c>
      <c r="AW19" s="142" cm="1">
        <f t="array" aca="1" ref="AW1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20" spans="1:49" s="153" customFormat="1" outlineLevel="2">
      <c r="A20" s="152"/>
      <c r="B20" s="401" t="str">
        <f ca="1"/>
        <v>31200</v>
      </c>
      <c r="C20" s="148"/>
      <c r="D20" s="404" t="str">
        <f ca="1"/>
        <v>PMCS</v>
      </c>
      <c r="E20" s="350" t="str" cm="1">
        <f t="array" aca="1" ref="E20" ca="1">UPPER(_xlfn.UNIQUE(_xlfn._xlws.FILTER(TbStd[OFbStd],TbStd[RowGrp]=$D20,"X")))</f>
        <v>START-UP CELLS @SERRA</v>
      </c>
      <c r="F20" s="402" t="str">
        <f ca="1"/>
        <v>PREV</v>
      </c>
      <c r="G20" s="403" cm="1">
        <f t="array" aca="1" ref="G20" ca="1">IFERROR(SUM(_xlfn._xlws.FILTER(INDIRECT(G$112),(INDIRECT($B$112)=$B20)*(INDIRECT($D$112)=$D20)*(INDIRECT($F$112)=$F20),0)),0)</f>
        <v>-20000</v>
      </c>
      <c r="H20" s="403" cm="1">
        <f t="array" aca="1" ref="H20" ca="1">IFERROR(SUM(_xlfn._xlws.FILTER(INDIRECT(H$112),(INDIRECT($B$112)=$B20)*(INDIRECT($D$112)=$D20)*(INDIRECT($F$112)=$F20),0)),0)</f>
        <v>0</v>
      </c>
      <c r="I20" s="403" cm="1">
        <f t="array" aca="1" ref="I20" ca="1">IFERROR(SUM(_xlfn._xlws.FILTER(INDIRECT(I$112),(INDIRECT($B$112)=$B20)*(INDIRECT($D$112)=$D20)*(INDIRECT($F$112)=$F20),0)),0)</f>
        <v>5000</v>
      </c>
      <c r="J20" s="403" cm="1">
        <f t="array" aca="1" ref="J20" ca="1">IFERROR(SUM(_xlfn._xlws.FILTER(INDIRECT(J$112),(INDIRECT($B$112)=$B20)*(INDIRECT($D$112)=$D20)*(INDIRECT($F$112)=$F20),0)),0)</f>
        <v>0</v>
      </c>
      <c r="K20" s="403" cm="1">
        <f t="array" aca="1" ref="K20" ca="1">IFERROR(SUM(_xlfn._xlws.FILTER(INDIRECT(K$112),(INDIRECT($B$112)=$B20)*(INDIRECT($D$112)=$D20)*(INDIRECT($F$112)=$F20),0)),0)</f>
        <v>0</v>
      </c>
      <c r="L20" s="403" cm="1">
        <f t="array" aca="1" ref="L20" ca="1">IFERROR(SUM(_xlfn._xlws.FILTER(INDIRECT(L$112),(INDIRECT($B$112)=$B20)*(INDIRECT($D$112)=$D20)*(INDIRECT($F$112)=$F20),0)),0)</f>
        <v>0</v>
      </c>
      <c r="M20" s="403" cm="1">
        <f t="array" aca="1" ref="M20" ca="1">IFERROR(SUM(_xlfn._xlws.FILTER(INDIRECT(M$112),(INDIRECT($B$112)=$B20)*(INDIRECT($D$112)=$D20)*(INDIRECT($F$112)=$F20),0)),0)</f>
        <v>0</v>
      </c>
      <c r="N20" s="403" cm="1">
        <f t="array" aca="1" ref="N20" ca="1">IFERROR(SUM(_xlfn._xlws.FILTER(INDIRECT(N$112),(INDIRECT($B$112)=$B20)*(INDIRECT($D$112)=$D20)*(INDIRECT($F$112)=$F20),0)),0)</f>
        <v>0</v>
      </c>
      <c r="O20" s="403" cm="1">
        <f t="array" aca="1" ref="O20" ca="1">IFERROR(SUM(_xlfn._xlws.FILTER(INDIRECT(O$112),(INDIRECT($B$112)=$B20)*(INDIRECT($D$112)=$D20)*(INDIRECT($F$112)=$F20),0)),0)</f>
        <v>-20000</v>
      </c>
      <c r="P20" s="403" cm="1">
        <f t="array" aca="1" ref="P20" ca="1">IFERROR(SUM(_xlfn._xlws.FILTER(INDIRECT(P$112),(INDIRECT($B$112)=$B20)*(INDIRECT($D$112)=$D20)*(INDIRECT($F$112)=$F20),0)),0)</f>
        <v>0</v>
      </c>
      <c r="Q20" s="403" cm="1">
        <f t="array" aca="1" ref="Q20" ca="1">IFERROR(SUM(_xlfn._xlws.FILTER(INDIRECT(Q$112),(INDIRECT($B$112)=$B20)*(INDIRECT($D$112)=$D20)*(INDIRECT($F$112)=$F20),0)),0)</f>
        <v>0</v>
      </c>
      <c r="R20" s="403" cm="1">
        <f t="array" aca="1" ref="R20" ca="1">IFERROR(SUM(_xlfn._xlws.FILTER(INDIRECT(R$112),(INDIRECT($B$112)=$B20)*(INDIRECT($D$112)=$D20)*(INDIRECT($F$112)=$F20),0)),0)</f>
        <v>0</v>
      </c>
      <c r="S20" s="403" cm="1">
        <f t="array" aca="1" ref="S20" ca="1">IFERROR(SUM(_xlfn._xlws.FILTER(INDIRECT(S$112),(INDIRECT($B$112)=$B20)*(INDIRECT($D$112)=$D20)*(INDIRECT($F$112)=$F20),0)),0)</f>
        <v>35000</v>
      </c>
      <c r="T20" s="403" cm="1">
        <f t="array" aca="1" ref="T20" ca="1">IFERROR(SUM(_xlfn._xlws.FILTER(INDIRECT(T$112),(INDIRECT($B$112)=$B20)*(INDIRECT($D$112)=$D20)*(INDIRECT($F$112)=$F20),0)),0)</f>
        <v>0</v>
      </c>
      <c r="U20" s="403" cm="1">
        <f t="array" aca="1" ref="U20" ca="1">IFERROR(SUM(_xlfn._xlws.FILTER(INDIRECT(U$112),(INDIRECT($B$112)=$B20)*(INDIRECT($D$112)=$D20)*(INDIRECT($F$112)=$F20),0)),0)</f>
        <v>0</v>
      </c>
      <c r="V20" s="403" cm="1">
        <f t="array" aca="1" ref="V20" ca="1">IFERROR(SUM(_xlfn._xlws.FILTER(INDIRECT(V$112),(INDIRECT($B$112)=$B20)*(INDIRECT($D$112)=$D20)*(INDIRECT($F$112)=$F20),0)),0)</f>
        <v>1141.25</v>
      </c>
      <c r="W20" s="403" cm="1">
        <f t="array" aca="1" ref="W20" ca="1">IFERROR(SUM(_xlfn._xlws.FILTER(INDIRECT(W$112),(INDIRECT($B$112)=$B20)*(INDIRECT($D$112)=$D20)*(INDIRECT($F$112)=$F20),0)),0)</f>
        <v>0</v>
      </c>
      <c r="X20" s="403" cm="1">
        <f t="array" aca="1" ref="X20" ca="1">IFERROR(SUM(_xlfn._xlws.FILTER(INDIRECT(X$112),(INDIRECT($B$112)=$B20)*(INDIRECT($D$112)=$D20)*(INDIRECT($F$112)=$F20),0)),0)</f>
        <v>-30000</v>
      </c>
      <c r="Y20" s="403" cm="1">
        <f t="array" aca="1" ref="Y20" ca="1">IFERROR(SUM(_xlfn._xlws.FILTER(INDIRECT(Y$112),(INDIRECT($B$112)=$B20)*(INDIRECT($D$112)=$D20)*(INDIRECT($F$112)=$F20),0)),0)</f>
        <v>0</v>
      </c>
      <c r="Z20" s="403" cm="1">
        <f t="array" aca="1" ref="Z20" ca="1">IFERROR(SUM(_xlfn._xlws.FILTER(INDIRECT(Z$112),(INDIRECT($B$112)=$B20)*(INDIRECT($D$112)=$D20)*(INDIRECT($F$112)=$F20),0)),0)</f>
        <v>0</v>
      </c>
      <c r="AA20" s="403" cm="1">
        <f t="array" aca="1" ref="AA20" ca="1">IFERROR(SUM(_xlfn._xlws.FILTER(INDIRECT(AA$112),(INDIRECT($B$112)=$B20)*(INDIRECT($D$112)=$D20)*(INDIRECT($F$112)=$F20),0)),0)</f>
        <v>0</v>
      </c>
      <c r="AB20" s="403" cm="1">
        <f t="array" aca="1" ref="AB20" ca="1">IFERROR(SUM(_xlfn._xlws.FILTER(INDIRECT(AB$112),(INDIRECT($B$112)=$B20)*(INDIRECT($D$112)=$D20)*(INDIRECT($F$112)=$F20),0)),0)</f>
        <v>0</v>
      </c>
      <c r="AC20" s="403" cm="1">
        <f t="array" aca="1" ref="AC20" ca="1">IFERROR(SUM(_xlfn._xlws.FILTER(INDIRECT(AC$112),(INDIRECT($B$112)=$B20)*(INDIRECT($D$112)=$D20)*(INDIRECT($F$112)=$F20),0)),0)</f>
        <v>0</v>
      </c>
      <c r="AD20" s="403" cm="1">
        <f t="array" aca="1" ref="AD20" ca="1">IFERROR(SUM(_xlfn._xlws.FILTER(INDIRECT(AD$112),(INDIRECT($B$112)=$B20)*(INDIRECT($D$112)=$D20)*(INDIRECT($F$112)=$F20),0)),0)</f>
        <v>0</v>
      </c>
      <c r="AE20" s="403" cm="1">
        <f t="array" aca="1" ref="AE20" ca="1">IFERROR(SUM(_xlfn._xlws.FILTER(INDIRECT(AE$112),(INDIRECT($B$112)=$B20)*(INDIRECT($D$112)=$D20)*(INDIRECT($F$112)=$F20),0)),0)</f>
        <v>0</v>
      </c>
      <c r="AF20" s="403" cm="1">
        <f t="array" aca="1" ref="AF20" ca="1">IFERROR(SUM(_xlfn._xlws.FILTER(INDIRECT(AF$112),(INDIRECT($B$112)=$B20)*(INDIRECT($D$112)=$D20)*(INDIRECT($F$112)=$F20),0)),0)</f>
        <v>0</v>
      </c>
      <c r="AG20" s="403" cm="1">
        <f t="array" aca="1" ref="AG20" ca="1">IFERROR(SUM(_xlfn._xlws.FILTER(INDIRECT(AG$112),(INDIRECT($B$112)=$B20)*(INDIRECT($D$112)=$D20)*(INDIRECT($F$112)=$F20),0)),0)</f>
        <v>0</v>
      </c>
      <c r="AH20" s="403" cm="1">
        <f t="array" aca="1" ref="AH20" ca="1">IFERROR(SUM(_xlfn._xlws.FILTER(INDIRECT(AH$112),(INDIRECT($B$112)=$B20)*(INDIRECT($D$112)=$D20)*(INDIRECT($F$112)=$F20),0)),0)</f>
        <v>0</v>
      </c>
      <c r="AI20" s="403" cm="1">
        <f t="array" aca="1" ref="AI20" ca="1">IFERROR(SUM(_xlfn._xlws.FILTER(INDIRECT(AI$112),(INDIRECT($B$112)=$B20)*(INDIRECT($D$112)=$D20)*(INDIRECT($F$112)=$F20),0)),0)</f>
        <v>0</v>
      </c>
      <c r="AJ20" s="403" cm="1">
        <f t="array" aca="1" ref="AJ20" ca="1">IFERROR(SUM(_xlfn._xlws.FILTER(INDIRECT(AJ$112),(INDIRECT($B$112)=$B20)*(INDIRECT($D$112)=$D20)*(INDIRECT($F$112)=$F20),0)),0)</f>
        <v>0</v>
      </c>
      <c r="AK20" s="403" cm="1">
        <f t="array" aca="1" ref="AK20" ca="1">IFERROR(SUM(_xlfn._xlws.FILTER(INDIRECT(AK$112),(INDIRECT($B$112)=$B20)*(INDIRECT($D$112)=$D20)*(INDIRECT($F$112)=$F20),0)),0)</f>
        <v>0</v>
      </c>
      <c r="AL20" s="403" cm="1">
        <f t="array" aca="1" ref="AL20" ca="1">IFERROR(SUM(_xlfn._xlws.FILTER(INDIRECT(AL$112),(INDIRECT($B$112)=$B20)*(INDIRECT($D$112)=$D20)*(INDIRECT($F$112)=$F20),0)),0)</f>
        <v>0</v>
      </c>
      <c r="AM20" s="403" cm="1">
        <f t="array" aca="1" ref="AM20" ca="1">IFERROR(SUM(_xlfn._xlws.FILTER(INDIRECT(AM$112),(INDIRECT($B$112)=$B20)*(INDIRECT($D$112)=$D20)*(INDIRECT($F$112)=$F20),0)),0)</f>
        <v>0</v>
      </c>
      <c r="AN20" s="403" cm="1">
        <f t="array" aca="1" ref="AN20" ca="1">IFERROR(SUM(_xlfn._xlws.FILTER(INDIRECT(AN$112),(INDIRECT($B$112)=$B20)*(INDIRECT($D$112)=$D20)*(INDIRECT($F$112)=$F20),0)),0)</f>
        <v>0</v>
      </c>
      <c r="AO20" s="403" cm="1">
        <f t="array" aca="1" ref="AO20" ca="1">IFERROR(SUM(_xlfn._xlws.FILTER(INDIRECT(AO$112),(INDIRECT($B$112)=$B20)*(INDIRECT($D$112)=$D20)*(INDIRECT($F$112)=$F20),0)),0)</f>
        <v>0</v>
      </c>
      <c r="AP20" s="403" cm="1">
        <f t="array" aca="1" ref="AP20" ca="1">IFERROR(SUM(_xlfn._xlws.FILTER(INDIRECT(AP$112),(INDIRECT($B$112)=$B20)*(INDIRECT($D$112)=$D20)*(INDIRECT($F$112)=$F20),0)),0)</f>
        <v>0</v>
      </c>
      <c r="AQ20" s="403" cm="1">
        <f t="array" aca="1" ref="AQ20" ca="1">IFERROR(SUM(_xlfn._xlws.FILTER(INDIRECT(AQ$112),(INDIRECT($B$112)=$B20)*(INDIRECT($D$112)=$D20)*(INDIRECT($F$112)=$F20),0)),0)</f>
        <v>0</v>
      </c>
      <c r="AR20" s="403" cm="1">
        <f t="array" aca="1" ref="AR20" ca="1">IFERROR(SUM(_xlfn._xlws.FILTER(INDIRECT(AR$112),(INDIRECT($B$112)=$B20)*(INDIRECT($D$112)=$D20)*(INDIRECT($F$112)=$F20),0)),0)</f>
        <v>-28858.75</v>
      </c>
      <c r="AS20" s="286" t="str">
        <f t="shared" ca="1" si="4"/>
        <v>G20:AP20</v>
      </c>
      <c r="AT20" s="403">
        <f t="shared" ca="1" si="3"/>
        <v>-28858.75</v>
      </c>
      <c r="AV20" s="142" cm="1">
        <f t="array" aca="1" ref="AV20" ca="1">IF(AND(_xlfn.LET(_xlpm.x,SUM(ROW()),OR(AND(MATCH("SOT",$A:$A,0)&lt;_xlpm.x,MATCH("EOT",$A:$A,0)&gt;_xlpm.x),AND(MATCH("SOS",$A:$A,0)&lt;_xlpm.x,MATCH("EOS",$A:$A,0)&gt;_xlpm.x),AND(MATCH("SOR",$A:$A,0)&lt;_xlpm.x,MATCH("EOR",$A:$A,0)&gt;_xlpm.x))),INDIRECT("rc"&amp;MATCH("SCD",$1:$1,0),FALSE)="PPTO"),1,0)</f>
        <v>0</v>
      </c>
      <c r="AW20" s="142" cm="1">
        <f t="array" aca="1" ref="AW2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21" spans="1:49" s="153" customFormat="1" outlineLevel="2">
      <c r="A21" s="152"/>
      <c r="B21" s="401" t="str">
        <f ca="1"/>
        <v>31200</v>
      </c>
      <c r="C21" s="148"/>
      <c r="D21" s="404" t="str">
        <f ca="1"/>
        <v>PMCS</v>
      </c>
      <c r="E21" s="350" t="str" cm="1">
        <f t="array" aca="1" ref="E21" ca="1">UPPER(_xlfn.UNIQUE(_xlfn._xlws.FILTER(TbStd[OFbStd],TbStd[RowGrp]=$D21,"X")))</f>
        <v>START-UP CELLS @SERRA</v>
      </c>
      <c r="F21" s="402" t="str">
        <f ca="1"/>
        <v>REAL</v>
      </c>
      <c r="G21" s="403" cm="1">
        <f t="array" aca="1" ref="G21" ca="1">IFERROR(SUM(_xlfn._xlws.FILTER(INDIRECT(G$112),(INDIRECT($B$112)=$B21)*(INDIRECT($D$112)=$D21)*(INDIRECT($F$112)=$F21),0)),0)</f>
        <v>2868.32</v>
      </c>
      <c r="H21" s="403" cm="1">
        <f t="array" aca="1" ref="H21" ca="1">IFERROR(SUM(_xlfn._xlws.FILTER(INDIRECT(H$112),(INDIRECT($B$112)=$B21)*(INDIRECT($D$112)=$D21)*(INDIRECT($F$112)=$F21),0)),0)</f>
        <v>0</v>
      </c>
      <c r="I21" s="403" cm="1">
        <f t="array" aca="1" ref="I21" ca="1">IFERROR(SUM(_xlfn._xlws.FILTER(INDIRECT(I$112),(INDIRECT($B$112)=$B21)*(INDIRECT($D$112)=$D21)*(INDIRECT($F$112)=$F21),0)),0)</f>
        <v>0</v>
      </c>
      <c r="J21" s="403" cm="1">
        <f t="array" aca="1" ref="J21" ca="1">IFERROR(SUM(_xlfn._xlws.FILTER(INDIRECT(J$112),(INDIRECT($B$112)=$B21)*(INDIRECT($D$112)=$D21)*(INDIRECT($F$112)=$F21),0)),0)</f>
        <v>0</v>
      </c>
      <c r="K21" s="403" cm="1">
        <f t="array" aca="1" ref="K21" ca="1">IFERROR(SUM(_xlfn._xlws.FILTER(INDIRECT(K$112),(INDIRECT($B$112)=$B21)*(INDIRECT($D$112)=$D21)*(INDIRECT($F$112)=$F21),0)),0)</f>
        <v>0</v>
      </c>
      <c r="L21" s="403" cm="1">
        <f t="array" aca="1" ref="L21" ca="1">IFERROR(SUM(_xlfn._xlws.FILTER(INDIRECT(L$112),(INDIRECT($B$112)=$B21)*(INDIRECT($D$112)=$D21)*(INDIRECT($F$112)=$F21),0)),0)</f>
        <v>0</v>
      </c>
      <c r="M21" s="403" cm="1">
        <f t="array" aca="1" ref="M21" ca="1">IFERROR(SUM(_xlfn._xlws.FILTER(INDIRECT(M$112),(INDIRECT($B$112)=$B21)*(INDIRECT($D$112)=$D21)*(INDIRECT($F$112)=$F21),0)),0)</f>
        <v>0</v>
      </c>
      <c r="N21" s="403" cm="1">
        <f t="array" aca="1" ref="N21" ca="1">IFERROR(SUM(_xlfn._xlws.FILTER(INDIRECT(N$112),(INDIRECT($B$112)=$B21)*(INDIRECT($D$112)=$D21)*(INDIRECT($F$112)=$F21),0)),0)</f>
        <v>0</v>
      </c>
      <c r="O21" s="403" cm="1">
        <f t="array" aca="1" ref="O21" ca="1">IFERROR(SUM(_xlfn._xlws.FILTER(INDIRECT(O$112),(INDIRECT($B$112)=$B21)*(INDIRECT($D$112)=$D21)*(INDIRECT($F$112)=$F21),0)),0)</f>
        <v>22061.360000000001</v>
      </c>
      <c r="P21" s="403" cm="1">
        <f t="array" aca="1" ref="P21" ca="1">IFERROR(SUM(_xlfn._xlws.FILTER(INDIRECT(P$112),(INDIRECT($B$112)=$B21)*(INDIRECT($D$112)=$D21)*(INDIRECT($F$112)=$F21),0)),0)</f>
        <v>18000</v>
      </c>
      <c r="Q21" s="403" cm="1">
        <f t="array" aca="1" ref="Q21" ca="1">IFERROR(SUM(_xlfn._xlws.FILTER(INDIRECT(Q$112),(INDIRECT($B$112)=$B21)*(INDIRECT($D$112)=$D21)*(INDIRECT($F$112)=$F21),0)),0)</f>
        <v>0</v>
      </c>
      <c r="R21" s="403" cm="1">
        <f t="array" aca="1" ref="R21" ca="1">IFERROR(SUM(_xlfn._xlws.FILTER(INDIRECT(R$112),(INDIRECT($B$112)=$B21)*(INDIRECT($D$112)=$D21)*(INDIRECT($F$112)=$F21),0)),0)</f>
        <v>0</v>
      </c>
      <c r="S21" s="403" cm="1">
        <f t="array" aca="1" ref="S21" ca="1">IFERROR(SUM(_xlfn._xlws.FILTER(INDIRECT(S$112),(INDIRECT($B$112)=$B21)*(INDIRECT($D$112)=$D21)*(INDIRECT($F$112)=$F21),0)),0)</f>
        <v>49475.35</v>
      </c>
      <c r="T21" s="403" cm="1">
        <f t="array" aca="1" ref="T21" ca="1">IFERROR(SUM(_xlfn._xlws.FILTER(INDIRECT(T$112),(INDIRECT($B$112)=$B21)*(INDIRECT($D$112)=$D21)*(INDIRECT($F$112)=$F21),0)),0)</f>
        <v>0</v>
      </c>
      <c r="U21" s="403" cm="1">
        <f t="array" aca="1" ref="U21" ca="1">IFERROR(SUM(_xlfn._xlws.FILTER(INDIRECT(U$112),(INDIRECT($B$112)=$B21)*(INDIRECT($D$112)=$D21)*(INDIRECT($F$112)=$F21),0)),0)</f>
        <v>0</v>
      </c>
      <c r="V21" s="403" cm="1">
        <f t="array" aca="1" ref="V21" ca="1">IFERROR(SUM(_xlfn._xlws.FILTER(INDIRECT(V$112),(INDIRECT($B$112)=$B21)*(INDIRECT($D$112)=$D21)*(INDIRECT($F$112)=$F21),0)),0)</f>
        <v>2671.25</v>
      </c>
      <c r="W21" s="403" cm="1">
        <f t="array" aca="1" ref="W21" ca="1">IFERROR(SUM(_xlfn._xlws.FILTER(INDIRECT(W$112),(INDIRECT($B$112)=$B21)*(INDIRECT($D$112)=$D21)*(INDIRECT($F$112)=$F21),0)),0)</f>
        <v>21679.85</v>
      </c>
      <c r="X21" s="403" cm="1">
        <f t="array" aca="1" ref="X21" ca="1">IFERROR(SUM(_xlfn._xlws.FILTER(INDIRECT(X$112),(INDIRECT($B$112)=$B21)*(INDIRECT($D$112)=$D21)*(INDIRECT($F$112)=$F21),0)),0)</f>
        <v>0</v>
      </c>
      <c r="Y21" s="403" cm="1">
        <f t="array" aca="1" ref="Y21" ca="1">IFERROR(SUM(_xlfn._xlws.FILTER(INDIRECT(Y$112),(INDIRECT($B$112)=$B21)*(INDIRECT($D$112)=$D21)*(INDIRECT($F$112)=$F21),0)),0)</f>
        <v>0</v>
      </c>
      <c r="Z21" s="403" cm="1">
        <f t="array" aca="1" ref="Z21" ca="1">IFERROR(SUM(_xlfn._xlws.FILTER(INDIRECT(Z$112),(INDIRECT($B$112)=$B21)*(INDIRECT($D$112)=$D21)*(INDIRECT($F$112)=$F21),0)),0)</f>
        <v>0</v>
      </c>
      <c r="AA21" s="403" cm="1">
        <f t="array" aca="1" ref="AA21" ca="1">IFERROR(SUM(_xlfn._xlws.FILTER(INDIRECT(AA$112),(INDIRECT($B$112)=$B21)*(INDIRECT($D$112)=$D21)*(INDIRECT($F$112)=$F21),0)),0)</f>
        <v>0</v>
      </c>
      <c r="AB21" s="403" cm="1">
        <f t="array" aca="1" ref="AB21" ca="1">IFERROR(SUM(_xlfn._xlws.FILTER(INDIRECT(AB$112),(INDIRECT($B$112)=$B21)*(INDIRECT($D$112)=$D21)*(INDIRECT($F$112)=$F21),0)),0)</f>
        <v>0</v>
      </c>
      <c r="AC21" s="403" cm="1">
        <f t="array" aca="1" ref="AC21" ca="1">IFERROR(SUM(_xlfn._xlws.FILTER(INDIRECT(AC$112),(INDIRECT($B$112)=$B21)*(INDIRECT($D$112)=$D21)*(INDIRECT($F$112)=$F21),0)),0)</f>
        <v>0</v>
      </c>
      <c r="AD21" s="403" cm="1">
        <f t="array" aca="1" ref="AD21" ca="1">IFERROR(SUM(_xlfn._xlws.FILTER(INDIRECT(AD$112),(INDIRECT($B$112)=$B21)*(INDIRECT($D$112)=$D21)*(INDIRECT($F$112)=$F21),0)),0)</f>
        <v>0</v>
      </c>
      <c r="AE21" s="403" cm="1">
        <f t="array" aca="1" ref="AE21" ca="1">IFERROR(SUM(_xlfn._xlws.FILTER(INDIRECT(AE$112),(INDIRECT($B$112)=$B21)*(INDIRECT($D$112)=$D21)*(INDIRECT($F$112)=$F21),0)),0)</f>
        <v>0</v>
      </c>
      <c r="AF21" s="403" cm="1">
        <f t="array" aca="1" ref="AF21" ca="1">IFERROR(SUM(_xlfn._xlws.FILTER(INDIRECT(AF$112),(INDIRECT($B$112)=$B21)*(INDIRECT($D$112)=$D21)*(INDIRECT($F$112)=$F21),0)),0)</f>
        <v>0</v>
      </c>
      <c r="AG21" s="403" cm="1">
        <f t="array" aca="1" ref="AG21" ca="1">IFERROR(SUM(_xlfn._xlws.FILTER(INDIRECT(AG$112),(INDIRECT($B$112)=$B21)*(INDIRECT($D$112)=$D21)*(INDIRECT($F$112)=$F21),0)),0)</f>
        <v>0</v>
      </c>
      <c r="AH21" s="403" cm="1">
        <f t="array" aca="1" ref="AH21" ca="1">IFERROR(SUM(_xlfn._xlws.FILTER(INDIRECT(AH$112),(INDIRECT($B$112)=$B21)*(INDIRECT($D$112)=$D21)*(INDIRECT($F$112)=$F21),0)),0)</f>
        <v>0</v>
      </c>
      <c r="AI21" s="403" cm="1">
        <f t="array" aca="1" ref="AI21" ca="1">IFERROR(SUM(_xlfn._xlws.FILTER(INDIRECT(AI$112),(INDIRECT($B$112)=$B21)*(INDIRECT($D$112)=$D21)*(INDIRECT($F$112)=$F21),0)),0)</f>
        <v>0</v>
      </c>
      <c r="AJ21" s="403" cm="1">
        <f t="array" aca="1" ref="AJ21" ca="1">IFERROR(SUM(_xlfn._xlws.FILTER(INDIRECT(AJ$112),(INDIRECT($B$112)=$B21)*(INDIRECT($D$112)=$D21)*(INDIRECT($F$112)=$F21),0)),0)</f>
        <v>0</v>
      </c>
      <c r="AK21" s="403" cm="1">
        <f t="array" aca="1" ref="AK21" ca="1">IFERROR(SUM(_xlfn._xlws.FILTER(INDIRECT(AK$112),(INDIRECT($B$112)=$B21)*(INDIRECT($D$112)=$D21)*(INDIRECT($F$112)=$F21),0)),0)</f>
        <v>0</v>
      </c>
      <c r="AL21" s="403" cm="1">
        <f t="array" aca="1" ref="AL21" ca="1">IFERROR(SUM(_xlfn._xlws.FILTER(INDIRECT(AL$112),(INDIRECT($B$112)=$B21)*(INDIRECT($D$112)=$D21)*(INDIRECT($F$112)=$F21),0)),0)</f>
        <v>0</v>
      </c>
      <c r="AM21" s="403" cm="1">
        <f t="array" aca="1" ref="AM21" ca="1">IFERROR(SUM(_xlfn._xlws.FILTER(INDIRECT(AM$112),(INDIRECT($B$112)=$B21)*(INDIRECT($D$112)=$D21)*(INDIRECT($F$112)=$F21),0)),0)</f>
        <v>0</v>
      </c>
      <c r="AN21" s="403" cm="1">
        <f t="array" aca="1" ref="AN21" ca="1">IFERROR(SUM(_xlfn._xlws.FILTER(INDIRECT(AN$112),(INDIRECT($B$112)=$B21)*(INDIRECT($D$112)=$D21)*(INDIRECT($F$112)=$F21),0)),0)</f>
        <v>0</v>
      </c>
      <c r="AO21" s="403" cm="1">
        <f t="array" aca="1" ref="AO21" ca="1">IFERROR(SUM(_xlfn._xlws.FILTER(INDIRECT(AO$112),(INDIRECT($B$112)=$B21)*(INDIRECT($D$112)=$D21)*(INDIRECT($F$112)=$F21),0)),0)</f>
        <v>0</v>
      </c>
      <c r="AP21" s="403" cm="1">
        <f t="array" aca="1" ref="AP21" ca="1">IFERROR(SUM(_xlfn._xlws.FILTER(INDIRECT(AP$112),(INDIRECT($B$112)=$B21)*(INDIRECT($D$112)=$D21)*(INDIRECT($F$112)=$F21),0)),0)</f>
        <v>0</v>
      </c>
      <c r="AQ21" s="403" cm="1">
        <f t="array" aca="1" ref="AQ21" ca="1">IFERROR(SUM(_xlfn._xlws.FILTER(INDIRECT(AQ$112),(INDIRECT($B$112)=$B21)*(INDIRECT($D$112)=$D21)*(INDIRECT($F$112)=$F21),0)),0)</f>
        <v>96084.88</v>
      </c>
      <c r="AR21" s="403" cm="1">
        <f t="array" aca="1" ref="AR21" ca="1">IFERROR(SUM(_xlfn._xlws.FILTER(INDIRECT(AR$112),(INDIRECT($B$112)=$B21)*(INDIRECT($D$112)=$D21)*(INDIRECT($F$112)=$F21),0)),0)</f>
        <v>20671.25</v>
      </c>
      <c r="AS21" s="286" t="str">
        <f t="shared" ca="1" si="4"/>
        <v>G21:AP21</v>
      </c>
      <c r="AT21" s="403">
        <f t="shared" ca="1" si="3"/>
        <v>116756.13</v>
      </c>
      <c r="AV21" s="142" cm="1">
        <f t="array" aca="1" ref="AV21" ca="1">IF(AND(_xlfn.LET(_xlpm.x,SUM(ROW()),OR(AND(MATCH("SOT",$A:$A,0)&lt;_xlpm.x,MATCH("EOT",$A:$A,0)&gt;_xlpm.x),AND(MATCH("SOS",$A:$A,0)&lt;_xlpm.x,MATCH("EOS",$A:$A,0)&gt;_xlpm.x),AND(MATCH("SOR",$A:$A,0)&lt;_xlpm.x,MATCH("EOR",$A:$A,0)&gt;_xlpm.x))),INDIRECT("rc"&amp;MATCH("SCD",$1:$1,0),FALSE)="PPTO"),1,0)</f>
        <v>0</v>
      </c>
      <c r="AW21" s="142" cm="1">
        <f t="array" aca="1" ref="AW2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22" spans="1:49" s="153" customFormat="1" outlineLevel="2">
      <c r="A22" s="152"/>
      <c r="B22" s="401" t="str">
        <f ca="1"/>
        <v>31200</v>
      </c>
      <c r="C22" s="148"/>
      <c r="D22" s="404" t="str">
        <f ca="1"/>
        <v>IMCS</v>
      </c>
      <c r="E22" s="350" t="str" cm="1">
        <f t="array" aca="1" ref="E22" ca="1">UPPER(_xlfn.UNIQUE(_xlfn._xlws.FILTER(TbStd[OFbStd],TbStd[RowGrp]=$D22,"X")))</f>
        <v>INSTALLATION CELLS @SERRA</v>
      </c>
      <c r="F22" s="402" t="str">
        <f ca="1"/>
        <v>PPTO</v>
      </c>
      <c r="G22" s="403" cm="1">
        <f t="array" aca="1" ref="G22" ca="1">IFERROR(SUM(_xlfn._xlws.FILTER(INDIRECT(G$112),(INDIRECT($B$112)=$B22)*(INDIRECT($D$112)=$D22)*(INDIRECT($F$112)=$F22),0)),0)</f>
        <v>0</v>
      </c>
      <c r="H22" s="403" cm="1">
        <f t="array" aca="1" ref="H22" ca="1">IFERROR(SUM(_xlfn._xlws.FILTER(INDIRECT(H$112),(INDIRECT($B$112)=$B22)*(INDIRECT($D$112)=$D22)*(INDIRECT($F$112)=$F22),0)),0)</f>
        <v>0</v>
      </c>
      <c r="I22" s="403" cm="1">
        <f t="array" aca="1" ref="I22" ca="1">IFERROR(SUM(_xlfn._xlws.FILTER(INDIRECT(I$112),(INDIRECT($B$112)=$B22)*(INDIRECT($D$112)=$D22)*(INDIRECT($F$112)=$F22),0)),0)</f>
        <v>0</v>
      </c>
      <c r="J22" s="403" cm="1">
        <f t="array" aca="1" ref="J22" ca="1">IFERROR(SUM(_xlfn._xlws.FILTER(INDIRECT(J$112),(INDIRECT($B$112)=$B22)*(INDIRECT($D$112)=$D22)*(INDIRECT($F$112)=$F22),0)),0)</f>
        <v>0</v>
      </c>
      <c r="K22" s="403" cm="1">
        <f t="array" aca="1" ref="K22" ca="1">IFERROR(SUM(_xlfn._xlws.FILTER(INDIRECT(K$112),(INDIRECT($B$112)=$B22)*(INDIRECT($D$112)=$D22)*(INDIRECT($F$112)=$F22),0)),0)</f>
        <v>0</v>
      </c>
      <c r="L22" s="403" cm="1">
        <f t="array" aca="1" ref="L22" ca="1">IFERROR(SUM(_xlfn._xlws.FILTER(INDIRECT(L$112),(INDIRECT($B$112)=$B22)*(INDIRECT($D$112)=$D22)*(INDIRECT($F$112)=$F22),0)),0)</f>
        <v>0</v>
      </c>
      <c r="M22" s="403" cm="1">
        <f t="array" aca="1" ref="M22" ca="1">IFERROR(SUM(_xlfn._xlws.FILTER(INDIRECT(M$112),(INDIRECT($B$112)=$B22)*(INDIRECT($D$112)=$D22)*(INDIRECT($F$112)=$F22),0)),0)</f>
        <v>0</v>
      </c>
      <c r="N22" s="403" cm="1">
        <f t="array" aca="1" ref="N22" ca="1">IFERROR(SUM(_xlfn._xlws.FILTER(INDIRECT(N$112),(INDIRECT($B$112)=$B22)*(INDIRECT($D$112)=$D22)*(INDIRECT($F$112)=$F22),0)),0)</f>
        <v>0</v>
      </c>
      <c r="O22" s="403" cm="1">
        <f t="array" aca="1" ref="O22" ca="1">IFERROR(SUM(_xlfn._xlws.FILTER(INDIRECT(O$112),(INDIRECT($B$112)=$B22)*(INDIRECT($D$112)=$D22)*(INDIRECT($F$112)=$F22),0)),0)</f>
        <v>0</v>
      </c>
      <c r="P22" s="403" cm="1">
        <f t="array" aca="1" ref="P22" ca="1">IFERROR(SUM(_xlfn._xlws.FILTER(INDIRECT(P$112),(INDIRECT($B$112)=$B22)*(INDIRECT($D$112)=$D22)*(INDIRECT($F$112)=$F22),0)),0)</f>
        <v>0</v>
      </c>
      <c r="Q22" s="403" cm="1">
        <f t="array" aca="1" ref="Q22" ca="1">IFERROR(SUM(_xlfn._xlws.FILTER(INDIRECT(Q$112),(INDIRECT($B$112)=$B22)*(INDIRECT($D$112)=$D22)*(INDIRECT($F$112)=$F22),0)),0)</f>
        <v>0</v>
      </c>
      <c r="R22" s="403" cm="1">
        <f t="array" aca="1" ref="R22" ca="1">IFERROR(SUM(_xlfn._xlws.FILTER(INDIRECT(R$112),(INDIRECT($B$112)=$B22)*(INDIRECT($D$112)=$D22)*(INDIRECT($F$112)=$F22),0)),0)</f>
        <v>0</v>
      </c>
      <c r="S22" s="403" cm="1">
        <f t="array" aca="1" ref="S22" ca="1">IFERROR(SUM(_xlfn._xlws.FILTER(INDIRECT(S$112),(INDIRECT($B$112)=$B22)*(INDIRECT($D$112)=$D22)*(INDIRECT($F$112)=$F22),0)),0)</f>
        <v>0</v>
      </c>
      <c r="T22" s="403" cm="1">
        <f t="array" aca="1" ref="T22" ca="1">IFERROR(SUM(_xlfn._xlws.FILTER(INDIRECT(T$112),(INDIRECT($B$112)=$B22)*(INDIRECT($D$112)=$D22)*(INDIRECT($F$112)=$F22),0)),0)</f>
        <v>0</v>
      </c>
      <c r="U22" s="403" cm="1">
        <f t="array" aca="1" ref="U22" ca="1">IFERROR(SUM(_xlfn._xlws.FILTER(INDIRECT(U$112),(INDIRECT($B$112)=$B22)*(INDIRECT($D$112)=$D22)*(INDIRECT($F$112)=$F22),0)),0)</f>
        <v>0</v>
      </c>
      <c r="V22" s="403" cm="1">
        <f t="array" aca="1" ref="V22" ca="1">IFERROR(SUM(_xlfn._xlws.FILTER(INDIRECT(V$112),(INDIRECT($B$112)=$B22)*(INDIRECT($D$112)=$D22)*(INDIRECT($F$112)=$F22),0)),0)</f>
        <v>0</v>
      </c>
      <c r="W22" s="403" cm="1">
        <f t="array" aca="1" ref="W22" ca="1">IFERROR(SUM(_xlfn._xlws.FILTER(INDIRECT(W$112),(INDIRECT($B$112)=$B22)*(INDIRECT($D$112)=$D22)*(INDIRECT($F$112)=$F22),0)),0)</f>
        <v>70846.238495294994</v>
      </c>
      <c r="X22" s="403" cm="1">
        <f t="array" aca="1" ref="X22" ca="1">IFERROR(SUM(_xlfn._xlws.FILTER(INDIRECT(X$112),(INDIRECT($B$112)=$B22)*(INDIRECT($D$112)=$D22)*(INDIRECT($F$112)=$F22),0)),0)</f>
        <v>158248.26377477997</v>
      </c>
      <c r="Y22" s="403" cm="1">
        <f t="array" aca="1" ref="Y22" ca="1">IFERROR(SUM(_xlfn._xlws.FILTER(INDIRECT(Y$112),(INDIRECT($B$112)=$B22)*(INDIRECT($D$112)=$D22)*(INDIRECT($F$112)=$F22),0)),0)</f>
        <v>0</v>
      </c>
      <c r="Z22" s="403" cm="1">
        <f t="array" aca="1" ref="Z22" ca="1">IFERROR(SUM(_xlfn._xlws.FILTER(INDIRECT(Z$112),(INDIRECT($B$112)=$B22)*(INDIRECT($D$112)=$D22)*(INDIRECT($F$112)=$F22),0)),0)</f>
        <v>0</v>
      </c>
      <c r="AA22" s="403" cm="1">
        <f t="array" aca="1" ref="AA22" ca="1">IFERROR(SUM(_xlfn._xlws.FILTER(INDIRECT(AA$112),(INDIRECT($B$112)=$B22)*(INDIRECT($D$112)=$D22)*(INDIRECT($F$112)=$F22),0)),0)</f>
        <v>0</v>
      </c>
      <c r="AB22" s="403" cm="1">
        <f t="array" aca="1" ref="AB22" ca="1">IFERROR(SUM(_xlfn._xlws.FILTER(INDIRECT(AB$112),(INDIRECT($B$112)=$B22)*(INDIRECT($D$112)=$D22)*(INDIRECT($F$112)=$F22),0)),0)</f>
        <v>0</v>
      </c>
      <c r="AC22" s="403" cm="1">
        <f t="array" aca="1" ref="AC22" ca="1">IFERROR(SUM(_xlfn._xlws.FILTER(INDIRECT(AC$112),(INDIRECT($B$112)=$B22)*(INDIRECT($D$112)=$D22)*(INDIRECT($F$112)=$F22),0)),0)</f>
        <v>1.177877790000025</v>
      </c>
      <c r="AD22" s="403" cm="1">
        <f t="array" aca="1" ref="AD22" ca="1">IFERROR(SUM(_xlfn._xlws.FILTER(INDIRECT(AD$112),(INDIRECT($B$112)=$B22)*(INDIRECT($D$112)=$D22)*(INDIRECT($F$112)=$F22),0)),0)</f>
        <v>-691.33934901000009</v>
      </c>
      <c r="AE22" s="403" cm="1">
        <f t="array" aca="1" ref="AE22" ca="1">IFERROR(SUM(_xlfn._xlws.FILTER(INDIRECT(AE$112),(INDIRECT($B$112)=$B22)*(INDIRECT($D$112)=$D22)*(INDIRECT($F$112)=$F22),0)),0)</f>
        <v>24571.317914831001</v>
      </c>
      <c r="AF22" s="403" cm="1">
        <f t="array" aca="1" ref="AF22" ca="1">IFERROR(SUM(_xlfn._xlws.FILTER(INDIRECT(AF$112),(INDIRECT($B$112)=$B22)*(INDIRECT($D$112)=$D22)*(INDIRECT($F$112)=$F22),0)),0)</f>
        <v>158566.98956831102</v>
      </c>
      <c r="AG22" s="403" cm="1">
        <f t="array" aca="1" ref="AG22" ca="1">IFERROR(SUM(_xlfn._xlws.FILTER(INDIRECT(AG$112),(INDIRECT($B$112)=$B22)*(INDIRECT($D$112)=$D22)*(INDIRECT($F$112)=$F22),0)),0)</f>
        <v>0</v>
      </c>
      <c r="AH22" s="403" cm="1">
        <f t="array" aca="1" ref="AH22" ca="1">IFERROR(SUM(_xlfn._xlws.FILTER(INDIRECT(AH$112),(INDIRECT($B$112)=$B22)*(INDIRECT($D$112)=$D22)*(INDIRECT($F$112)=$F22),0)),0)</f>
        <v>0</v>
      </c>
      <c r="AI22" s="403" cm="1">
        <f t="array" aca="1" ref="AI22" ca="1">IFERROR(SUM(_xlfn._xlws.FILTER(INDIRECT(AI$112),(INDIRECT($B$112)=$B22)*(INDIRECT($D$112)=$D22)*(INDIRECT($F$112)=$F22),0)),0)</f>
        <v>0</v>
      </c>
      <c r="AJ22" s="403" cm="1">
        <f t="array" aca="1" ref="AJ22" ca="1">IFERROR(SUM(_xlfn._xlws.FILTER(INDIRECT(AJ$112),(INDIRECT($B$112)=$B22)*(INDIRECT($D$112)=$D22)*(INDIRECT($F$112)=$F22),0)),0)</f>
        <v>0</v>
      </c>
      <c r="AK22" s="403" cm="1">
        <f t="array" aca="1" ref="AK22" ca="1">IFERROR(SUM(_xlfn._xlws.FILTER(INDIRECT(AK$112),(INDIRECT($B$112)=$B22)*(INDIRECT($D$112)=$D22)*(INDIRECT($F$112)=$F22),0)),0)</f>
        <v>0</v>
      </c>
      <c r="AL22" s="403" cm="1">
        <f t="array" aca="1" ref="AL22" ca="1">IFERROR(SUM(_xlfn._xlws.FILTER(INDIRECT(AL$112),(INDIRECT($B$112)=$B22)*(INDIRECT($D$112)=$D22)*(INDIRECT($F$112)=$F22),0)),0)</f>
        <v>244708.51</v>
      </c>
      <c r="AM22" s="403" cm="1">
        <f t="array" aca="1" ref="AM22" ca="1">IFERROR(SUM(_xlfn._xlws.FILTER(INDIRECT(AM$112),(INDIRECT($B$112)=$B22)*(INDIRECT($D$112)=$D22)*(INDIRECT($F$112)=$F22),0)),0)</f>
        <v>0</v>
      </c>
      <c r="AN22" s="403" cm="1">
        <f t="array" aca="1" ref="AN22" ca="1">IFERROR(SUM(_xlfn._xlws.FILTER(INDIRECT(AN$112),(INDIRECT($B$112)=$B22)*(INDIRECT($D$112)=$D22)*(INDIRECT($F$112)=$F22),0)),0)</f>
        <v>54211.939999999995</v>
      </c>
      <c r="AO22" s="403" cm="1">
        <f t="array" aca="1" ref="AO22" ca="1">IFERROR(SUM(_xlfn._xlws.FILTER(INDIRECT(AO$112),(INDIRECT($B$112)=$B22)*(INDIRECT($D$112)=$D22)*(INDIRECT($F$112)=$F22),0)),0)</f>
        <v>0</v>
      </c>
      <c r="AP22" s="403" cm="1">
        <f t="array" aca="1" ref="AP22" ca="1">IFERROR(SUM(_xlfn._xlws.FILTER(INDIRECT(AP$112),(INDIRECT($B$112)=$B22)*(INDIRECT($D$112)=$D22)*(INDIRECT($F$112)=$F22),0)),0)</f>
        <v>0</v>
      </c>
      <c r="AQ22" s="403" cm="1">
        <f t="array" aca="1" ref="AQ22" ca="1">IFERROR(SUM(_xlfn._xlws.FILTER(INDIRECT(AQ$112),(INDIRECT($B$112)=$B22)*(INDIRECT($D$112)=$D22)*(INDIRECT($F$112)=$F22),0)),0)</f>
        <v>95418.734287915984</v>
      </c>
      <c r="AR22" s="403" cm="1">
        <f t="array" aca="1" ref="AR22" ca="1">IFERROR(SUM(_xlfn._xlws.FILTER(INDIRECT(AR$112),(INDIRECT($B$112)=$B22)*(INDIRECT($D$112)=$D22)*(INDIRECT($F$112)=$F22),0)),0)</f>
        <v>615044.36399408104</v>
      </c>
      <c r="AS22" s="286" t="str">
        <f t="shared" ca="1" si="4"/>
        <v>G22:AP22</v>
      </c>
      <c r="AT22" s="403">
        <f t="shared" ca="1" si="3"/>
        <v>710463.09828199702</v>
      </c>
      <c r="AV22" s="142" cm="1">
        <f t="array" aca="1" ref="AV22" ca="1">IF(AND(_xlfn.LET(_xlpm.x,SUM(ROW()),OR(AND(MATCH("SOT",$A:$A,0)&lt;_xlpm.x,MATCH("EOT",$A:$A,0)&gt;_xlpm.x),AND(MATCH("SOS",$A:$A,0)&lt;_xlpm.x,MATCH("EOS",$A:$A,0)&gt;_xlpm.x),AND(MATCH("SOR",$A:$A,0)&lt;_xlpm.x,MATCH("EOR",$A:$A,0)&gt;_xlpm.x))),INDIRECT("rc"&amp;MATCH("SCD",$1:$1,0),FALSE)="PPTO"),1,0)</f>
        <v>1</v>
      </c>
      <c r="AW22" s="142" cm="1">
        <f t="array" aca="1" ref="AW2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23" spans="1:49" s="153" customFormat="1" outlineLevel="2">
      <c r="A23" s="152"/>
      <c r="B23" s="401" t="str">
        <f ca="1"/>
        <v>31200</v>
      </c>
      <c r="C23" s="148"/>
      <c r="D23" s="404" t="str">
        <f ca="1"/>
        <v>IMCS</v>
      </c>
      <c r="E23" s="350" t="str" cm="1">
        <f t="array" aca="1" ref="E23" ca="1">UPPER(_xlfn.UNIQUE(_xlfn._xlws.FILTER(TbStd[OFbStd],TbStd[RowGrp]=$D23,"X")))</f>
        <v>INSTALLATION CELLS @SERRA</v>
      </c>
      <c r="F23" s="402" t="str">
        <f ca="1"/>
        <v>PREV</v>
      </c>
      <c r="G23" s="403" cm="1">
        <f t="array" aca="1" ref="G23" ca="1">IFERROR(SUM(_xlfn._xlws.FILTER(INDIRECT(G$112),(INDIRECT($B$112)=$B23)*(INDIRECT($D$112)=$D23)*(INDIRECT($F$112)=$F23),0)),0)</f>
        <v>0</v>
      </c>
      <c r="H23" s="403" cm="1">
        <f t="array" aca="1" ref="H23" ca="1">IFERROR(SUM(_xlfn._xlws.FILTER(INDIRECT(H$112),(INDIRECT($B$112)=$B23)*(INDIRECT($D$112)=$D23)*(INDIRECT($F$112)=$F23),0)),0)</f>
        <v>0</v>
      </c>
      <c r="I23" s="403" cm="1">
        <f t="array" aca="1" ref="I23" ca="1">IFERROR(SUM(_xlfn._xlws.FILTER(INDIRECT(I$112),(INDIRECT($B$112)=$B23)*(INDIRECT($D$112)=$D23)*(INDIRECT($F$112)=$F23),0)),0)</f>
        <v>0</v>
      </c>
      <c r="J23" s="403" cm="1">
        <f t="array" aca="1" ref="J23" ca="1">IFERROR(SUM(_xlfn._xlws.FILTER(INDIRECT(J$112),(INDIRECT($B$112)=$B23)*(INDIRECT($D$112)=$D23)*(INDIRECT($F$112)=$F23),0)),0)</f>
        <v>0</v>
      </c>
      <c r="K23" s="403" cm="1">
        <f t="array" aca="1" ref="K23" ca="1">IFERROR(SUM(_xlfn._xlws.FILTER(INDIRECT(K$112),(INDIRECT($B$112)=$B23)*(INDIRECT($D$112)=$D23)*(INDIRECT($F$112)=$F23),0)),0)</f>
        <v>0</v>
      </c>
      <c r="L23" s="403" cm="1">
        <f t="array" aca="1" ref="L23" ca="1">IFERROR(SUM(_xlfn._xlws.FILTER(INDIRECT(L$112),(INDIRECT($B$112)=$B23)*(INDIRECT($D$112)=$D23)*(INDIRECT($F$112)=$F23),0)),0)</f>
        <v>0</v>
      </c>
      <c r="M23" s="403" cm="1">
        <f t="array" aca="1" ref="M23" ca="1">IFERROR(SUM(_xlfn._xlws.FILTER(INDIRECT(M$112),(INDIRECT($B$112)=$B23)*(INDIRECT($D$112)=$D23)*(INDIRECT($F$112)=$F23),0)),0)</f>
        <v>0</v>
      </c>
      <c r="N23" s="403" cm="1">
        <f t="array" aca="1" ref="N23" ca="1">IFERROR(SUM(_xlfn._xlws.FILTER(INDIRECT(N$112),(INDIRECT($B$112)=$B23)*(INDIRECT($D$112)=$D23)*(INDIRECT($F$112)=$F23),0)),0)</f>
        <v>0</v>
      </c>
      <c r="O23" s="403" cm="1">
        <f t="array" aca="1" ref="O23" ca="1">IFERROR(SUM(_xlfn._xlws.FILTER(INDIRECT(O$112),(INDIRECT($B$112)=$B23)*(INDIRECT($D$112)=$D23)*(INDIRECT($F$112)=$F23),0)),0)</f>
        <v>0</v>
      </c>
      <c r="P23" s="403" cm="1">
        <f t="array" aca="1" ref="P23" ca="1">IFERROR(SUM(_xlfn._xlws.FILTER(INDIRECT(P$112),(INDIRECT($B$112)=$B23)*(INDIRECT($D$112)=$D23)*(INDIRECT($F$112)=$F23),0)),0)</f>
        <v>0</v>
      </c>
      <c r="Q23" s="403" cm="1">
        <f t="array" aca="1" ref="Q23" ca="1">IFERROR(SUM(_xlfn._xlws.FILTER(INDIRECT(Q$112),(INDIRECT($B$112)=$B23)*(INDIRECT($D$112)=$D23)*(INDIRECT($F$112)=$F23),0)),0)</f>
        <v>0</v>
      </c>
      <c r="R23" s="403" cm="1">
        <f t="array" aca="1" ref="R23" ca="1">IFERROR(SUM(_xlfn._xlws.FILTER(INDIRECT(R$112),(INDIRECT($B$112)=$B23)*(INDIRECT($D$112)=$D23)*(INDIRECT($F$112)=$F23),0)),0)</f>
        <v>0</v>
      </c>
      <c r="S23" s="403" cm="1">
        <f t="array" aca="1" ref="S23" ca="1">IFERROR(SUM(_xlfn._xlws.FILTER(INDIRECT(S$112),(INDIRECT($B$112)=$B23)*(INDIRECT($D$112)=$D23)*(INDIRECT($F$112)=$F23),0)),0)</f>
        <v>0</v>
      </c>
      <c r="T23" s="403" cm="1">
        <f t="array" aca="1" ref="T23" ca="1">IFERROR(SUM(_xlfn._xlws.FILTER(INDIRECT(T$112),(INDIRECT($B$112)=$B23)*(INDIRECT($D$112)=$D23)*(INDIRECT($F$112)=$F23),0)),0)</f>
        <v>0</v>
      </c>
      <c r="U23" s="403" cm="1">
        <f t="array" aca="1" ref="U23" ca="1">IFERROR(SUM(_xlfn._xlws.FILTER(INDIRECT(U$112),(INDIRECT($B$112)=$B23)*(INDIRECT($D$112)=$D23)*(INDIRECT($F$112)=$F23),0)),0)</f>
        <v>0</v>
      </c>
      <c r="V23" s="403" cm="1">
        <f t="array" aca="1" ref="V23" ca="1">IFERROR(SUM(_xlfn._xlws.FILTER(INDIRECT(V$112),(INDIRECT($B$112)=$B23)*(INDIRECT($D$112)=$D23)*(INDIRECT($F$112)=$F23),0)),0)</f>
        <v>208.9</v>
      </c>
      <c r="W23" s="403" cm="1">
        <f t="array" aca="1" ref="W23" ca="1">IFERROR(SUM(_xlfn._xlws.FILTER(INDIRECT(W$112),(INDIRECT($B$112)=$B23)*(INDIRECT($D$112)=$D23)*(INDIRECT($F$112)=$F23),0)),0)</f>
        <v>4796.9336393131252</v>
      </c>
      <c r="X23" s="403" cm="1">
        <f t="array" aca="1" ref="X23" ca="1">IFERROR(SUM(_xlfn._xlws.FILTER(INDIRECT(X$112),(INDIRECT($B$112)=$B23)*(INDIRECT($D$112)=$D23)*(INDIRECT($F$112)=$F23),0)),0)</f>
        <v>10000</v>
      </c>
      <c r="Y23" s="403" cm="1">
        <f t="array" aca="1" ref="Y23" ca="1">IFERROR(SUM(_xlfn._xlws.FILTER(INDIRECT(Y$112),(INDIRECT($B$112)=$B23)*(INDIRECT($D$112)=$D23)*(INDIRECT($F$112)=$F23),0)),0)</f>
        <v>0</v>
      </c>
      <c r="Z23" s="403" cm="1">
        <f t="array" aca="1" ref="Z23" ca="1">IFERROR(SUM(_xlfn._xlws.FILTER(INDIRECT(Z$112),(INDIRECT($B$112)=$B23)*(INDIRECT($D$112)=$D23)*(INDIRECT($F$112)=$F23),0)),0)</f>
        <v>0</v>
      </c>
      <c r="AA23" s="403" cm="1">
        <f t="array" aca="1" ref="AA23" ca="1">IFERROR(SUM(_xlfn._xlws.FILTER(INDIRECT(AA$112),(INDIRECT($B$112)=$B23)*(INDIRECT($D$112)=$D23)*(INDIRECT($F$112)=$F23),0)),0)</f>
        <v>0</v>
      </c>
      <c r="AB23" s="403" cm="1">
        <f t="array" aca="1" ref="AB23" ca="1">IFERROR(SUM(_xlfn._xlws.FILTER(INDIRECT(AB$112),(INDIRECT($B$112)=$B23)*(INDIRECT($D$112)=$D23)*(INDIRECT($F$112)=$F23),0)),0)</f>
        <v>0</v>
      </c>
      <c r="AC23" s="403" cm="1">
        <f t="array" aca="1" ref="AC23" ca="1">IFERROR(SUM(_xlfn._xlws.FILTER(INDIRECT(AC$112),(INDIRECT($B$112)=$B23)*(INDIRECT($D$112)=$D23)*(INDIRECT($F$112)=$F23),0)),0)</f>
        <v>690.16147121999973</v>
      </c>
      <c r="AD23" s="403" cm="1">
        <f t="array" aca="1" ref="AD23" ca="1">IFERROR(SUM(_xlfn._xlws.FILTER(INDIRECT(AD$112),(INDIRECT($B$112)=$B23)*(INDIRECT($D$112)=$D23)*(INDIRECT($F$112)=$F23),0)),0)</f>
        <v>0</v>
      </c>
      <c r="AE23" s="403" cm="1">
        <f t="array" aca="1" ref="AE23" ca="1">IFERROR(SUM(_xlfn._xlws.FILTER(INDIRECT(AE$112),(INDIRECT($B$112)=$B23)*(INDIRECT($D$112)=$D23)*(INDIRECT($F$112)=$F23),0)),0)</f>
        <v>10000</v>
      </c>
      <c r="AF23" s="403" cm="1">
        <f t="array" aca="1" ref="AF23" ca="1">IFERROR(SUM(_xlfn._xlws.FILTER(INDIRECT(AF$112),(INDIRECT($B$112)=$B23)*(INDIRECT($D$112)=$D23)*(INDIRECT($F$112)=$F23),0)),0)</f>
        <v>0</v>
      </c>
      <c r="AG23" s="403" cm="1">
        <f t="array" aca="1" ref="AG23" ca="1">IFERROR(SUM(_xlfn._xlws.FILTER(INDIRECT(AG$112),(INDIRECT($B$112)=$B23)*(INDIRECT($D$112)=$D23)*(INDIRECT($F$112)=$F23),0)),0)</f>
        <v>0</v>
      </c>
      <c r="AH23" s="403" cm="1">
        <f t="array" aca="1" ref="AH23" ca="1">IFERROR(SUM(_xlfn._xlws.FILTER(INDIRECT(AH$112),(INDIRECT($B$112)=$B23)*(INDIRECT($D$112)=$D23)*(INDIRECT($F$112)=$F23),0)),0)</f>
        <v>0</v>
      </c>
      <c r="AI23" s="403" cm="1">
        <f t="array" aca="1" ref="AI23" ca="1">IFERROR(SUM(_xlfn._xlws.FILTER(INDIRECT(AI$112),(INDIRECT($B$112)=$B23)*(INDIRECT($D$112)=$D23)*(INDIRECT($F$112)=$F23),0)),0)</f>
        <v>0</v>
      </c>
      <c r="AJ23" s="403" cm="1">
        <f t="array" aca="1" ref="AJ23" ca="1">IFERROR(SUM(_xlfn._xlws.FILTER(INDIRECT(AJ$112),(INDIRECT($B$112)=$B23)*(INDIRECT($D$112)=$D23)*(INDIRECT($F$112)=$F23),0)),0)</f>
        <v>122311.72</v>
      </c>
      <c r="AK23" s="403" cm="1">
        <f t="array" aca="1" ref="AK23" ca="1">IFERROR(SUM(_xlfn._xlws.FILTER(INDIRECT(AK$112),(INDIRECT($B$112)=$B23)*(INDIRECT($D$112)=$D23)*(INDIRECT($F$112)=$F23),0)),0)</f>
        <v>0</v>
      </c>
      <c r="AL23" s="403" cm="1">
        <f t="array" aca="1" ref="AL23" ca="1">IFERROR(SUM(_xlfn._xlws.FILTER(INDIRECT(AL$112),(INDIRECT($B$112)=$B23)*(INDIRECT($D$112)=$D23)*(INDIRECT($F$112)=$F23),0)),0)</f>
        <v>-135150</v>
      </c>
      <c r="AM23" s="403" cm="1">
        <f t="array" aca="1" ref="AM23" ca="1">IFERROR(SUM(_xlfn._xlws.FILTER(INDIRECT(AM$112),(INDIRECT($B$112)=$B23)*(INDIRECT($D$112)=$D23)*(INDIRECT($F$112)=$F23),0)),0)</f>
        <v>0</v>
      </c>
      <c r="AN23" s="403" cm="1">
        <f t="array" aca="1" ref="AN23" ca="1">IFERROR(SUM(_xlfn._xlws.FILTER(INDIRECT(AN$112),(INDIRECT($B$112)=$B23)*(INDIRECT($D$112)=$D23)*(INDIRECT($F$112)=$F23),0)),0)</f>
        <v>-201.29</v>
      </c>
      <c r="AO23" s="403" cm="1">
        <f t="array" aca="1" ref="AO23" ca="1">IFERROR(SUM(_xlfn._xlws.FILTER(INDIRECT(AO$112),(INDIRECT($B$112)=$B23)*(INDIRECT($D$112)=$D23)*(INDIRECT($F$112)=$F23),0)),0)</f>
        <v>0</v>
      </c>
      <c r="AP23" s="403" cm="1">
        <f t="array" aca="1" ref="AP23" ca="1">IFERROR(SUM(_xlfn._xlws.FILTER(INDIRECT(AP$112),(INDIRECT($B$112)=$B23)*(INDIRECT($D$112)=$D23)*(INDIRECT($F$112)=$F23),0)),0)</f>
        <v>0</v>
      </c>
      <c r="AQ23" s="403" cm="1">
        <f t="array" aca="1" ref="AQ23" ca="1">IFERROR(SUM(_xlfn._xlws.FILTER(INDIRECT(AQ$112),(INDIRECT($B$112)=$B23)*(INDIRECT($D$112)=$D23)*(INDIRECT($F$112)=$F23),0)),0)</f>
        <v>15487.095110533126</v>
      </c>
      <c r="AR23" s="403" cm="1">
        <f t="array" aca="1" ref="AR23" ca="1">IFERROR(SUM(_xlfn._xlws.FILTER(INDIRECT(AR$112),(INDIRECT($B$112)=$B23)*(INDIRECT($D$112)=$D23)*(INDIRECT($F$112)=$F23),0)),0)</f>
        <v>-2830.6700000000046</v>
      </c>
      <c r="AS23" s="286" t="str">
        <f t="shared" ca="1" si="4"/>
        <v>G23:AP23</v>
      </c>
      <c r="AT23" s="403">
        <f t="shared" ca="1" si="3"/>
        <v>12656.42511053312</v>
      </c>
      <c r="AV23" s="142" cm="1">
        <f t="array" aca="1" ref="AV23" ca="1">IF(AND(_xlfn.LET(_xlpm.x,SUM(ROW()),OR(AND(MATCH("SOT",$A:$A,0)&lt;_xlpm.x,MATCH("EOT",$A:$A,0)&gt;_xlpm.x),AND(MATCH("SOS",$A:$A,0)&lt;_xlpm.x,MATCH("EOS",$A:$A,0)&gt;_xlpm.x),AND(MATCH("SOR",$A:$A,0)&lt;_xlpm.x,MATCH("EOR",$A:$A,0)&gt;_xlpm.x))),INDIRECT("rc"&amp;MATCH("SCD",$1:$1,0),FALSE)="PPTO"),1,0)</f>
        <v>0</v>
      </c>
      <c r="AW23" s="142" cm="1">
        <f t="array" aca="1" ref="AW2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24" spans="1:49" s="153" customFormat="1" outlineLevel="2">
      <c r="A24" s="152"/>
      <c r="B24" s="401" t="str">
        <f ca="1"/>
        <v>31200</v>
      </c>
      <c r="C24" s="148"/>
      <c r="D24" s="404" t="str">
        <f ca="1"/>
        <v>IMCS</v>
      </c>
      <c r="E24" s="350" t="str" cm="1">
        <f t="array" aca="1" ref="E24" ca="1">UPPER(_xlfn.UNIQUE(_xlfn._xlws.FILTER(TbStd[OFbStd],TbStd[RowGrp]=$D24,"X")))</f>
        <v>INSTALLATION CELLS @SERRA</v>
      </c>
      <c r="F24" s="402" t="str">
        <f ca="1"/>
        <v>REAL</v>
      </c>
      <c r="G24" s="403" cm="1">
        <f t="array" aca="1" ref="G24" ca="1">IFERROR(SUM(_xlfn._xlws.FILTER(INDIRECT(G$112),(INDIRECT($B$112)=$B24)*(INDIRECT($D$112)=$D24)*(INDIRECT($F$112)=$F24),0)),0)</f>
        <v>0</v>
      </c>
      <c r="H24" s="403" cm="1">
        <f t="array" aca="1" ref="H24" ca="1">IFERROR(SUM(_xlfn._xlws.FILTER(INDIRECT(H$112),(INDIRECT($B$112)=$B24)*(INDIRECT($D$112)=$D24)*(INDIRECT($F$112)=$F24),0)),0)</f>
        <v>0</v>
      </c>
      <c r="I24" s="403" cm="1">
        <f t="array" aca="1" ref="I24" ca="1">IFERROR(SUM(_xlfn._xlws.FILTER(INDIRECT(I$112),(INDIRECT($B$112)=$B24)*(INDIRECT($D$112)=$D24)*(INDIRECT($F$112)=$F24),0)),0)</f>
        <v>0</v>
      </c>
      <c r="J24" s="403" cm="1">
        <f t="array" aca="1" ref="J24" ca="1">IFERROR(SUM(_xlfn._xlws.FILTER(INDIRECT(J$112),(INDIRECT($B$112)=$B24)*(INDIRECT($D$112)=$D24)*(INDIRECT($F$112)=$F24),0)),0)</f>
        <v>0</v>
      </c>
      <c r="K24" s="403" cm="1">
        <f t="array" aca="1" ref="K24" ca="1">IFERROR(SUM(_xlfn._xlws.FILTER(INDIRECT(K$112),(INDIRECT($B$112)=$B24)*(INDIRECT($D$112)=$D24)*(INDIRECT($F$112)=$F24),0)),0)</f>
        <v>0</v>
      </c>
      <c r="L24" s="403" cm="1">
        <f t="array" aca="1" ref="L24" ca="1">IFERROR(SUM(_xlfn._xlws.FILTER(INDIRECT(L$112),(INDIRECT($B$112)=$B24)*(INDIRECT($D$112)=$D24)*(INDIRECT($F$112)=$F24),0)),0)</f>
        <v>0</v>
      </c>
      <c r="M24" s="403" cm="1">
        <f t="array" aca="1" ref="M24" ca="1">IFERROR(SUM(_xlfn._xlws.FILTER(INDIRECT(M$112),(INDIRECT($B$112)=$B24)*(INDIRECT($D$112)=$D24)*(INDIRECT($F$112)=$F24),0)),0)</f>
        <v>0</v>
      </c>
      <c r="N24" s="403" cm="1">
        <f t="array" aca="1" ref="N24" ca="1">IFERROR(SUM(_xlfn._xlws.FILTER(INDIRECT(N$112),(INDIRECT($B$112)=$B24)*(INDIRECT($D$112)=$D24)*(INDIRECT($F$112)=$F24),0)),0)</f>
        <v>0</v>
      </c>
      <c r="O24" s="403" cm="1">
        <f t="array" aca="1" ref="O24" ca="1">IFERROR(SUM(_xlfn._xlws.FILTER(INDIRECT(O$112),(INDIRECT($B$112)=$B24)*(INDIRECT($D$112)=$D24)*(INDIRECT($F$112)=$F24),0)),0)</f>
        <v>0</v>
      </c>
      <c r="P24" s="403" cm="1">
        <f t="array" aca="1" ref="P24" ca="1">IFERROR(SUM(_xlfn._xlws.FILTER(INDIRECT(P$112),(INDIRECT($B$112)=$B24)*(INDIRECT($D$112)=$D24)*(INDIRECT($F$112)=$F24),0)),0)</f>
        <v>0</v>
      </c>
      <c r="Q24" s="403" cm="1">
        <f t="array" aca="1" ref="Q24" ca="1">IFERROR(SUM(_xlfn._xlws.FILTER(INDIRECT(Q$112),(INDIRECT($B$112)=$B24)*(INDIRECT($D$112)=$D24)*(INDIRECT($F$112)=$F24),0)),0)</f>
        <v>0</v>
      </c>
      <c r="R24" s="403" cm="1">
        <f t="array" aca="1" ref="R24" ca="1">IFERROR(SUM(_xlfn._xlws.FILTER(INDIRECT(R$112),(INDIRECT($B$112)=$B24)*(INDIRECT($D$112)=$D24)*(INDIRECT($F$112)=$F24),0)),0)</f>
        <v>0</v>
      </c>
      <c r="S24" s="403" cm="1">
        <f t="array" aca="1" ref="S24" ca="1">IFERROR(SUM(_xlfn._xlws.FILTER(INDIRECT(S$112),(INDIRECT($B$112)=$B24)*(INDIRECT($D$112)=$D24)*(INDIRECT($F$112)=$F24),0)),0)</f>
        <v>0</v>
      </c>
      <c r="T24" s="403" cm="1">
        <f t="array" aca="1" ref="T24" ca="1">IFERROR(SUM(_xlfn._xlws.FILTER(INDIRECT(T$112),(INDIRECT($B$112)=$B24)*(INDIRECT($D$112)=$D24)*(INDIRECT($F$112)=$F24),0)),0)</f>
        <v>0</v>
      </c>
      <c r="U24" s="403" cm="1">
        <f t="array" aca="1" ref="U24" ca="1">IFERROR(SUM(_xlfn._xlws.FILTER(INDIRECT(U$112),(INDIRECT($B$112)=$B24)*(INDIRECT($D$112)=$D24)*(INDIRECT($F$112)=$F24),0)),0)</f>
        <v>0</v>
      </c>
      <c r="V24" s="403" cm="1">
        <f t="array" aca="1" ref="V24" ca="1">IFERROR(SUM(_xlfn._xlws.FILTER(INDIRECT(V$112),(INDIRECT($B$112)=$B24)*(INDIRECT($D$112)=$D24)*(INDIRECT($F$112)=$F24),0)),0)</f>
        <v>302.83000000000004</v>
      </c>
      <c r="W24" s="403" cm="1">
        <f t="array" aca="1" ref="W24" ca="1">IFERROR(SUM(_xlfn._xlws.FILTER(INDIRECT(W$112),(INDIRECT($B$112)=$B24)*(INDIRECT($D$112)=$D24)*(INDIRECT($F$112)=$F24),0)),0)</f>
        <v>35888.959999999999</v>
      </c>
      <c r="X24" s="403" cm="1">
        <f t="array" aca="1" ref="X24" ca="1">IFERROR(SUM(_xlfn._xlws.FILTER(INDIRECT(X$112),(INDIRECT($B$112)=$B24)*(INDIRECT($D$112)=$D24)*(INDIRECT($F$112)=$F24),0)),0)</f>
        <v>65686</v>
      </c>
      <c r="Y24" s="403" cm="1">
        <f t="array" aca="1" ref="Y24" ca="1">IFERROR(SUM(_xlfn._xlws.FILTER(INDIRECT(Y$112),(INDIRECT($B$112)=$B24)*(INDIRECT($D$112)=$D24)*(INDIRECT($F$112)=$F24),0)),0)</f>
        <v>0</v>
      </c>
      <c r="Z24" s="403" cm="1">
        <f t="array" aca="1" ref="Z24" ca="1">IFERROR(SUM(_xlfn._xlws.FILTER(INDIRECT(Z$112),(INDIRECT($B$112)=$B24)*(INDIRECT($D$112)=$D24)*(INDIRECT($F$112)=$F24),0)),0)</f>
        <v>0</v>
      </c>
      <c r="AA24" s="403" cm="1">
        <f t="array" aca="1" ref="AA24" ca="1">IFERROR(SUM(_xlfn._xlws.FILTER(INDIRECT(AA$112),(INDIRECT($B$112)=$B24)*(INDIRECT($D$112)=$D24)*(INDIRECT($F$112)=$F24),0)),0)</f>
        <v>0</v>
      </c>
      <c r="AB24" s="403" cm="1">
        <f t="array" aca="1" ref="AB24" ca="1">IFERROR(SUM(_xlfn._xlws.FILTER(INDIRECT(AB$112),(INDIRECT($B$112)=$B24)*(INDIRECT($D$112)=$D24)*(INDIRECT($F$112)=$F24),0)),0)</f>
        <v>0</v>
      </c>
      <c r="AC24" s="403" cm="1">
        <f t="array" aca="1" ref="AC24" ca="1">IFERROR(SUM(_xlfn._xlws.FILTER(INDIRECT(AC$112),(INDIRECT($B$112)=$B24)*(INDIRECT($D$112)=$D24)*(INDIRECT($F$112)=$F24),0)),0)</f>
        <v>0</v>
      </c>
      <c r="AD24" s="403" cm="1">
        <f t="array" aca="1" ref="AD24" ca="1">IFERROR(SUM(_xlfn._xlws.FILTER(INDIRECT(AD$112),(INDIRECT($B$112)=$B24)*(INDIRECT($D$112)=$D24)*(INDIRECT($F$112)=$F24),0)),0)</f>
        <v>0</v>
      </c>
      <c r="AE24" s="403" cm="1">
        <f t="array" aca="1" ref="AE24" ca="1">IFERROR(SUM(_xlfn._xlws.FILTER(INDIRECT(AE$112),(INDIRECT($B$112)=$B24)*(INDIRECT($D$112)=$D24)*(INDIRECT($F$112)=$F24),0)),0)</f>
        <v>17814.169999999998</v>
      </c>
      <c r="AF24" s="403" cm="1">
        <f t="array" aca="1" ref="AF24" ca="1">IFERROR(SUM(_xlfn._xlws.FILTER(INDIRECT(AF$112),(INDIRECT($B$112)=$B24)*(INDIRECT($D$112)=$D24)*(INDIRECT($F$112)=$F24),0)),0)</f>
        <v>107160.56</v>
      </c>
      <c r="AG24" s="403" cm="1">
        <f t="array" aca="1" ref="AG24" ca="1">IFERROR(SUM(_xlfn._xlws.FILTER(INDIRECT(AG$112),(INDIRECT($B$112)=$B24)*(INDIRECT($D$112)=$D24)*(INDIRECT($F$112)=$F24),0)),0)</f>
        <v>0</v>
      </c>
      <c r="AH24" s="403" cm="1">
        <f t="array" aca="1" ref="AH24" ca="1">IFERROR(SUM(_xlfn._xlws.FILTER(INDIRECT(AH$112),(INDIRECT($B$112)=$B24)*(INDIRECT($D$112)=$D24)*(INDIRECT($F$112)=$F24),0)),0)</f>
        <v>0</v>
      </c>
      <c r="AI24" s="403" cm="1">
        <f t="array" aca="1" ref="AI24" ca="1">IFERROR(SUM(_xlfn._xlws.FILTER(INDIRECT(AI$112),(INDIRECT($B$112)=$B24)*(INDIRECT($D$112)=$D24)*(INDIRECT($F$112)=$F24),0)),0)</f>
        <v>0</v>
      </c>
      <c r="AJ24" s="403" cm="1">
        <f t="array" aca="1" ref="AJ24" ca="1">IFERROR(SUM(_xlfn._xlws.FILTER(INDIRECT(AJ$112),(INDIRECT($B$112)=$B24)*(INDIRECT($D$112)=$D24)*(INDIRECT($F$112)=$F24),0)),0)</f>
        <v>122915.94</v>
      </c>
      <c r="AK24" s="403" cm="1">
        <f t="array" aca="1" ref="AK24" ca="1">IFERROR(SUM(_xlfn._xlws.FILTER(INDIRECT(AK$112),(INDIRECT($B$112)=$B24)*(INDIRECT($D$112)=$D24)*(INDIRECT($F$112)=$F24),0)),0)</f>
        <v>0</v>
      </c>
      <c r="AL24" s="403" cm="1">
        <f t="array" aca="1" ref="AL24" ca="1">IFERROR(SUM(_xlfn._xlws.FILTER(INDIRECT(AL$112),(INDIRECT($B$112)=$B24)*(INDIRECT($D$112)=$D24)*(INDIRECT($F$112)=$F24),0)),0)</f>
        <v>105681.19</v>
      </c>
      <c r="AM24" s="403" cm="1">
        <f t="array" aca="1" ref="AM24" ca="1">IFERROR(SUM(_xlfn._xlws.FILTER(INDIRECT(AM$112),(INDIRECT($B$112)=$B24)*(INDIRECT($D$112)=$D24)*(INDIRECT($F$112)=$F24),0)),0)</f>
        <v>0</v>
      </c>
      <c r="AN24" s="403" cm="1">
        <f t="array" aca="1" ref="AN24" ca="1">IFERROR(SUM(_xlfn._xlws.FILTER(INDIRECT(AN$112),(INDIRECT($B$112)=$B24)*(INDIRECT($D$112)=$D24)*(INDIRECT($F$112)=$F24),0)),0)</f>
        <v>3744.35</v>
      </c>
      <c r="AO24" s="403" cm="1">
        <f t="array" aca="1" ref="AO24" ca="1">IFERROR(SUM(_xlfn._xlws.FILTER(INDIRECT(AO$112),(INDIRECT($B$112)=$B24)*(INDIRECT($D$112)=$D24)*(INDIRECT($F$112)=$F24),0)),0)</f>
        <v>0</v>
      </c>
      <c r="AP24" s="403" cm="1">
        <f t="array" aca="1" ref="AP24" ca="1">IFERROR(SUM(_xlfn._xlws.FILTER(INDIRECT(AP$112),(INDIRECT($B$112)=$B24)*(INDIRECT($D$112)=$D24)*(INDIRECT($F$112)=$F24),0)),0)</f>
        <v>0</v>
      </c>
      <c r="AQ24" s="403" cm="1">
        <f t="array" aca="1" ref="AQ24" ca="1">IFERROR(SUM(_xlfn._xlws.FILTER(INDIRECT(AQ$112),(INDIRECT($B$112)=$B24)*(INDIRECT($D$112)=$D24)*(INDIRECT($F$112)=$F24),0)),0)</f>
        <v>53703.130000000005</v>
      </c>
      <c r="AR24" s="403" cm="1">
        <f t="array" aca="1" ref="AR24" ca="1">IFERROR(SUM(_xlfn._xlws.FILTER(INDIRECT(AR$112),(INDIRECT($B$112)=$B24)*(INDIRECT($D$112)=$D24)*(INDIRECT($F$112)=$F24),0)),0)</f>
        <v>405490.87</v>
      </c>
      <c r="AS24" s="286" t="str">
        <f t="shared" ca="1" si="4"/>
        <v>G24:AP24</v>
      </c>
      <c r="AT24" s="403">
        <f t="shared" ca="1" si="3"/>
        <v>459194</v>
      </c>
      <c r="AV24" s="142" cm="1">
        <f t="array" aca="1" ref="AV24" ca="1">IF(AND(_xlfn.LET(_xlpm.x,SUM(ROW()),OR(AND(MATCH("SOT",$A:$A,0)&lt;_xlpm.x,MATCH("EOT",$A:$A,0)&gt;_xlpm.x),AND(MATCH("SOS",$A:$A,0)&lt;_xlpm.x,MATCH("EOS",$A:$A,0)&gt;_xlpm.x),AND(MATCH("SOR",$A:$A,0)&lt;_xlpm.x,MATCH("EOR",$A:$A,0)&gt;_xlpm.x))),INDIRECT("rc"&amp;MATCH("SCD",$1:$1,0),FALSE)="PPTO"),1,0)</f>
        <v>0</v>
      </c>
      <c r="AW24" s="142" cm="1">
        <f t="array" aca="1" ref="AW2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25" spans="1:49" s="153" customFormat="1" outlineLevel="2">
      <c r="A25" s="152"/>
      <c r="B25" s="401" t="str">
        <f ca="1"/>
        <v>31200</v>
      </c>
      <c r="C25" s="148"/>
      <c r="D25" s="404" t="str">
        <f ca="1"/>
        <v>PMXP</v>
      </c>
      <c r="E25" s="350" t="str" cm="1">
        <f t="array" aca="1" ref="E25" ca="1">UPPER(_xlfn.UNIQUE(_xlfn._xlws.FILTER(TbStd[OFbStd],TbStd[RowGrp]=$D25,"X")))</f>
        <v>START-UP CELLS @PLANT</v>
      </c>
      <c r="F25" s="402" t="str">
        <f ca="1"/>
        <v>PPTO</v>
      </c>
      <c r="G25" s="403" cm="1">
        <f t="array" aca="1" ref="G25" ca="1">IFERROR(SUM(_xlfn._xlws.FILTER(INDIRECT(G$112),(INDIRECT($B$112)=$B25)*(INDIRECT($D$112)=$D25)*(INDIRECT($F$112)=$F25),0)),0)</f>
        <v>20577.269987999996</v>
      </c>
      <c r="H25" s="403" cm="1">
        <f t="array" aca="1" ref="H25" ca="1">IFERROR(SUM(_xlfn._xlws.FILTER(INDIRECT(H$112),(INDIRECT($B$112)=$B25)*(INDIRECT($D$112)=$D25)*(INDIRECT($F$112)=$F25),0)),0)</f>
        <v>0</v>
      </c>
      <c r="I25" s="403" cm="1">
        <f t="array" aca="1" ref="I25" ca="1">IFERROR(SUM(_xlfn._xlws.FILTER(INDIRECT(I$112),(INDIRECT($B$112)=$B25)*(INDIRECT($D$112)=$D25)*(INDIRECT($F$112)=$F25),0)),0)</f>
        <v>0</v>
      </c>
      <c r="J25" s="403" cm="1">
        <f t="array" aca="1" ref="J25" ca="1">IFERROR(SUM(_xlfn._xlws.FILTER(INDIRECT(J$112),(INDIRECT($B$112)=$B25)*(INDIRECT($D$112)=$D25)*(INDIRECT($F$112)=$F25),0)),0)</f>
        <v>0</v>
      </c>
      <c r="K25" s="403" cm="1">
        <f t="array" aca="1" ref="K25" ca="1">IFERROR(SUM(_xlfn._xlws.FILTER(INDIRECT(K$112),(INDIRECT($B$112)=$B25)*(INDIRECT($D$112)=$D25)*(INDIRECT($F$112)=$F25),0)),0)</f>
        <v>0</v>
      </c>
      <c r="L25" s="403" cm="1">
        <f t="array" aca="1" ref="L25" ca="1">IFERROR(SUM(_xlfn._xlws.FILTER(INDIRECT(L$112),(INDIRECT($B$112)=$B25)*(INDIRECT($D$112)=$D25)*(INDIRECT($F$112)=$F25),0)),0)</f>
        <v>0</v>
      </c>
      <c r="M25" s="403" cm="1">
        <f t="array" aca="1" ref="M25" ca="1">IFERROR(SUM(_xlfn._xlws.FILTER(INDIRECT(M$112),(INDIRECT($B$112)=$B25)*(INDIRECT($D$112)=$D25)*(INDIRECT($F$112)=$F25),0)),0)</f>
        <v>0</v>
      </c>
      <c r="N25" s="403" cm="1">
        <f t="array" aca="1" ref="N25" ca="1">IFERROR(SUM(_xlfn._xlws.FILTER(INDIRECT(N$112),(INDIRECT($B$112)=$B25)*(INDIRECT($D$112)=$D25)*(INDIRECT($F$112)=$F25),0)),0)</f>
        <v>0</v>
      </c>
      <c r="O25" s="403" cm="1">
        <f t="array" aca="1" ref="O25" ca="1">IFERROR(SUM(_xlfn._xlws.FILTER(INDIRECT(O$112),(INDIRECT($B$112)=$B25)*(INDIRECT($D$112)=$D25)*(INDIRECT($F$112)=$F25),0)),0)</f>
        <v>39223.037369999998</v>
      </c>
      <c r="P25" s="403" cm="1">
        <f t="array" aca="1" ref="P25" ca="1">IFERROR(SUM(_xlfn._xlws.FILTER(INDIRECT(P$112),(INDIRECT($B$112)=$B25)*(INDIRECT($D$112)=$D25)*(INDIRECT($F$112)=$F25),0)),0)</f>
        <v>42777.881729999994</v>
      </c>
      <c r="Q25" s="403" cm="1">
        <f t="array" aca="1" ref="Q25" ca="1">IFERROR(SUM(_xlfn._xlws.FILTER(INDIRECT(Q$112),(INDIRECT($B$112)=$B25)*(INDIRECT($D$112)=$D25)*(INDIRECT($F$112)=$F25),0)),0)</f>
        <v>0</v>
      </c>
      <c r="R25" s="403" cm="1">
        <f t="array" aca="1" ref="R25" ca="1">IFERROR(SUM(_xlfn._xlws.FILTER(INDIRECT(R$112),(INDIRECT($B$112)=$B25)*(INDIRECT($D$112)=$D25)*(INDIRECT($F$112)=$F25),0)),0)</f>
        <v>0</v>
      </c>
      <c r="S25" s="403" cm="1">
        <f t="array" aca="1" ref="S25" ca="1">IFERROR(SUM(_xlfn._xlws.FILTER(INDIRECT(S$112),(INDIRECT($B$112)=$B25)*(INDIRECT($D$112)=$D25)*(INDIRECT($F$112)=$F25),0)),0)</f>
        <v>67327.769740800009</v>
      </c>
      <c r="T25" s="403" cm="1">
        <f t="array" aca="1" ref="T25" ca="1">IFERROR(SUM(_xlfn._xlws.FILTER(INDIRECT(T$112),(INDIRECT($B$112)=$B25)*(INDIRECT($D$112)=$D25)*(INDIRECT($F$112)=$F25),0)),0)</f>
        <v>118061.58715919999</v>
      </c>
      <c r="U25" s="403" cm="1">
        <f t="array" aca="1" ref="U25" ca="1">IFERROR(SUM(_xlfn._xlws.FILTER(INDIRECT(U$112),(INDIRECT($B$112)=$B25)*(INDIRECT($D$112)=$D25)*(INDIRECT($F$112)=$F25),0)),0)</f>
        <v>0</v>
      </c>
      <c r="V25" s="403" cm="1">
        <f t="array" aca="1" ref="V25" ca="1">IFERROR(SUM(_xlfn._xlws.FILTER(INDIRECT(V$112),(INDIRECT($B$112)=$B25)*(INDIRECT($D$112)=$D25)*(INDIRECT($F$112)=$F25),0)),0)</f>
        <v>0</v>
      </c>
      <c r="W25" s="403" cm="1">
        <f t="array" aca="1" ref="W25" ca="1">IFERROR(SUM(_xlfn._xlws.FILTER(INDIRECT(W$112),(INDIRECT($B$112)=$B25)*(INDIRECT($D$112)=$D25)*(INDIRECT($F$112)=$F25),0)),0)</f>
        <v>16628.393294999998</v>
      </c>
      <c r="X25" s="403" cm="1">
        <f t="array" aca="1" ref="X25" ca="1">IFERROR(SUM(_xlfn._xlws.FILTER(INDIRECT(X$112),(INDIRECT($B$112)=$B25)*(INDIRECT($D$112)=$D25)*(INDIRECT($F$112)=$F25),0)),0)</f>
        <v>36895.040280000001</v>
      </c>
      <c r="Y25" s="403" cm="1">
        <f t="array" aca="1" ref="Y25" ca="1">IFERROR(SUM(_xlfn._xlws.FILTER(INDIRECT(Y$112),(INDIRECT($B$112)=$B25)*(INDIRECT($D$112)=$D25)*(INDIRECT($F$112)=$F25),0)),0)</f>
        <v>0</v>
      </c>
      <c r="Z25" s="403" cm="1">
        <f t="array" aca="1" ref="Z25" ca="1">IFERROR(SUM(_xlfn._xlws.FILTER(INDIRECT(Z$112),(INDIRECT($B$112)=$B25)*(INDIRECT($D$112)=$D25)*(INDIRECT($F$112)=$F25),0)),0)</f>
        <v>0</v>
      </c>
      <c r="AA25" s="403" cm="1">
        <f t="array" aca="1" ref="AA25" ca="1">IFERROR(SUM(_xlfn._xlws.FILTER(INDIRECT(AA$112),(INDIRECT($B$112)=$B25)*(INDIRECT($D$112)=$D25)*(INDIRECT($F$112)=$F25),0)),0)</f>
        <v>0</v>
      </c>
      <c r="AB25" s="403" cm="1">
        <f t="array" aca="1" ref="AB25" ca="1">IFERROR(SUM(_xlfn._xlws.FILTER(INDIRECT(AB$112),(INDIRECT($B$112)=$B25)*(INDIRECT($D$112)=$D25)*(INDIRECT($F$112)=$F25),0)),0)</f>
        <v>0</v>
      </c>
      <c r="AC25" s="403" cm="1">
        <f t="array" aca="1" ref="AC25" ca="1">IFERROR(SUM(_xlfn._xlws.FILTER(INDIRECT(AC$112),(INDIRECT($B$112)=$B25)*(INDIRECT($D$112)=$D25)*(INDIRECT($F$112)=$F25),0)),0)</f>
        <v>0</v>
      </c>
      <c r="AD25" s="403" cm="1">
        <f t="array" aca="1" ref="AD25" ca="1">IFERROR(SUM(_xlfn._xlws.FILTER(INDIRECT(AD$112),(INDIRECT($B$112)=$B25)*(INDIRECT($D$112)=$D25)*(INDIRECT($F$112)=$F25),0)),0)</f>
        <v>0</v>
      </c>
      <c r="AE25" s="403" cm="1">
        <f t="array" aca="1" ref="AE25" ca="1">IFERROR(SUM(_xlfn._xlws.FILTER(INDIRECT(AE$112),(INDIRECT($B$112)=$B25)*(INDIRECT($D$112)=$D25)*(INDIRECT($F$112)=$F25),0)),0)</f>
        <v>0</v>
      </c>
      <c r="AF25" s="403" cm="1">
        <f t="array" aca="1" ref="AF25" ca="1">IFERROR(SUM(_xlfn._xlws.FILTER(INDIRECT(AF$112),(INDIRECT($B$112)=$B25)*(INDIRECT($D$112)=$D25)*(INDIRECT($F$112)=$F25),0)),0)</f>
        <v>0</v>
      </c>
      <c r="AG25" s="403" cm="1">
        <f t="array" aca="1" ref="AG25" ca="1">IFERROR(SUM(_xlfn._xlws.FILTER(INDIRECT(AG$112),(INDIRECT($B$112)=$B25)*(INDIRECT($D$112)=$D25)*(INDIRECT($F$112)=$F25),0)),0)</f>
        <v>0</v>
      </c>
      <c r="AH25" s="403" cm="1">
        <f t="array" aca="1" ref="AH25" ca="1">IFERROR(SUM(_xlfn._xlws.FILTER(INDIRECT(AH$112),(INDIRECT($B$112)=$B25)*(INDIRECT($D$112)=$D25)*(INDIRECT($F$112)=$F25),0)),0)</f>
        <v>0</v>
      </c>
      <c r="AI25" s="403" cm="1">
        <f t="array" aca="1" ref="AI25" ca="1">IFERROR(SUM(_xlfn._xlws.FILTER(INDIRECT(AI$112),(INDIRECT($B$112)=$B25)*(INDIRECT($D$112)=$D25)*(INDIRECT($F$112)=$F25),0)),0)</f>
        <v>0</v>
      </c>
      <c r="AJ25" s="403" cm="1">
        <f t="array" aca="1" ref="AJ25" ca="1">IFERROR(SUM(_xlfn._xlws.FILTER(INDIRECT(AJ$112),(INDIRECT($B$112)=$B25)*(INDIRECT($D$112)=$D25)*(INDIRECT($F$112)=$F25),0)),0)</f>
        <v>0</v>
      </c>
      <c r="AK25" s="403" cm="1">
        <f t="array" aca="1" ref="AK25" ca="1">IFERROR(SUM(_xlfn._xlws.FILTER(INDIRECT(AK$112),(INDIRECT($B$112)=$B25)*(INDIRECT($D$112)=$D25)*(INDIRECT($F$112)=$F25),0)),0)</f>
        <v>0</v>
      </c>
      <c r="AL25" s="403" cm="1">
        <f t="array" aca="1" ref="AL25" ca="1">IFERROR(SUM(_xlfn._xlws.FILTER(INDIRECT(AL$112),(INDIRECT($B$112)=$B25)*(INDIRECT($D$112)=$D25)*(INDIRECT($F$112)=$F25),0)),0)</f>
        <v>0</v>
      </c>
      <c r="AM25" s="403" cm="1">
        <f t="array" aca="1" ref="AM25" ca="1">IFERROR(SUM(_xlfn._xlws.FILTER(INDIRECT(AM$112),(INDIRECT($B$112)=$B25)*(INDIRECT($D$112)=$D25)*(INDIRECT($F$112)=$F25),0)),0)</f>
        <v>0</v>
      </c>
      <c r="AN25" s="403" cm="1">
        <f t="array" aca="1" ref="AN25" ca="1">IFERROR(SUM(_xlfn._xlws.FILTER(INDIRECT(AN$112),(INDIRECT($B$112)=$B25)*(INDIRECT($D$112)=$D25)*(INDIRECT($F$112)=$F25),0)),0)</f>
        <v>0</v>
      </c>
      <c r="AO25" s="403" cm="1">
        <f t="array" aca="1" ref="AO25" ca="1">IFERROR(SUM(_xlfn._xlws.FILTER(INDIRECT(AO$112),(INDIRECT($B$112)=$B25)*(INDIRECT($D$112)=$D25)*(INDIRECT($F$112)=$F25),0)),0)</f>
        <v>0</v>
      </c>
      <c r="AP25" s="403" cm="1">
        <f t="array" aca="1" ref="AP25" ca="1">IFERROR(SUM(_xlfn._xlws.FILTER(INDIRECT(AP$112),(INDIRECT($B$112)=$B25)*(INDIRECT($D$112)=$D25)*(INDIRECT($F$112)=$F25),0)),0)</f>
        <v>0</v>
      </c>
      <c r="AQ25" s="403" cm="1">
        <f t="array" aca="1" ref="AQ25" ca="1">IFERROR(SUM(_xlfn._xlws.FILTER(INDIRECT(AQ$112),(INDIRECT($B$112)=$B25)*(INDIRECT($D$112)=$D25)*(INDIRECT($F$112)=$F25),0)),0)</f>
        <v>143756.4703938</v>
      </c>
      <c r="AR25" s="403" cm="1">
        <f t="array" aca="1" ref="AR25" ca="1">IFERROR(SUM(_xlfn._xlws.FILTER(INDIRECT(AR$112),(INDIRECT($B$112)=$B25)*(INDIRECT($D$112)=$D25)*(INDIRECT($F$112)=$F25),0)),0)</f>
        <v>197734.50916919997</v>
      </c>
      <c r="AS25" s="286" t="str">
        <f t="shared" ca="1" si="4"/>
        <v>G25:AP25</v>
      </c>
      <c r="AT25" s="403">
        <f t="shared" ca="1" si="3"/>
        <v>341490.97956299997</v>
      </c>
      <c r="AV25" s="142" cm="1">
        <f t="array" aca="1" ref="AV25" ca="1">IF(AND(_xlfn.LET(_xlpm.x,SUM(ROW()),OR(AND(MATCH("SOT",$A:$A,0)&lt;_xlpm.x,MATCH("EOT",$A:$A,0)&gt;_xlpm.x),AND(MATCH("SOS",$A:$A,0)&lt;_xlpm.x,MATCH("EOS",$A:$A,0)&gt;_xlpm.x),AND(MATCH("SOR",$A:$A,0)&lt;_xlpm.x,MATCH("EOR",$A:$A,0)&gt;_xlpm.x))),INDIRECT("rc"&amp;MATCH("SCD",$1:$1,0),FALSE)="PPTO"),1,0)</f>
        <v>1</v>
      </c>
      <c r="AW25" s="142" cm="1">
        <f t="array" aca="1" ref="AW2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26" spans="1:49" s="153" customFormat="1" outlineLevel="2">
      <c r="A26" s="152"/>
      <c r="B26" s="401" t="str">
        <f ca="1"/>
        <v>31200</v>
      </c>
      <c r="C26" s="148"/>
      <c r="D26" s="404" t="str">
        <f ca="1"/>
        <v>PMXP</v>
      </c>
      <c r="E26" s="350" t="str" cm="1">
        <f t="array" aca="1" ref="E26" ca="1">UPPER(_xlfn.UNIQUE(_xlfn._xlws.FILTER(TbStd[OFbStd],TbStd[RowGrp]=$D26,"X")))</f>
        <v>START-UP CELLS @PLANT</v>
      </c>
      <c r="F26" s="402" t="str">
        <f ca="1"/>
        <v>PREV</v>
      </c>
      <c r="G26" s="403" cm="1">
        <f t="array" aca="1" ref="G26" ca="1">IFERROR(SUM(_xlfn._xlws.FILTER(INDIRECT(G$112),(INDIRECT($B$112)=$B26)*(INDIRECT($D$112)=$D26)*(INDIRECT($F$112)=$F26),0)),0)</f>
        <v>15000</v>
      </c>
      <c r="H26" s="403" cm="1">
        <f t="array" aca="1" ref="H26" ca="1">IFERROR(SUM(_xlfn._xlws.FILTER(INDIRECT(H$112),(INDIRECT($B$112)=$B26)*(INDIRECT($D$112)=$D26)*(INDIRECT($F$112)=$F26),0)),0)</f>
        <v>0</v>
      </c>
      <c r="I26" s="403" cm="1">
        <f t="array" aca="1" ref="I26" ca="1">IFERROR(SUM(_xlfn._xlws.FILTER(INDIRECT(I$112),(INDIRECT($B$112)=$B26)*(INDIRECT($D$112)=$D26)*(INDIRECT($F$112)=$F26),0)),0)</f>
        <v>0</v>
      </c>
      <c r="J26" s="403" cm="1">
        <f t="array" aca="1" ref="J26" ca="1">IFERROR(SUM(_xlfn._xlws.FILTER(INDIRECT(J$112),(INDIRECT($B$112)=$B26)*(INDIRECT($D$112)=$D26)*(INDIRECT($F$112)=$F26),0)),0)</f>
        <v>0</v>
      </c>
      <c r="K26" s="403" cm="1">
        <f t="array" aca="1" ref="K26" ca="1">IFERROR(SUM(_xlfn._xlws.FILTER(INDIRECT(K$112),(INDIRECT($B$112)=$B26)*(INDIRECT($D$112)=$D26)*(INDIRECT($F$112)=$F26),0)),0)</f>
        <v>0</v>
      </c>
      <c r="L26" s="403" cm="1">
        <f t="array" aca="1" ref="L26" ca="1">IFERROR(SUM(_xlfn._xlws.FILTER(INDIRECT(L$112),(INDIRECT($B$112)=$B26)*(INDIRECT($D$112)=$D26)*(INDIRECT($F$112)=$F26),0)),0)</f>
        <v>0</v>
      </c>
      <c r="M26" s="403" cm="1">
        <f t="array" aca="1" ref="M26" ca="1">IFERROR(SUM(_xlfn._xlws.FILTER(INDIRECT(M$112),(INDIRECT($B$112)=$B26)*(INDIRECT($D$112)=$D26)*(INDIRECT($F$112)=$F26),0)),0)</f>
        <v>0</v>
      </c>
      <c r="N26" s="403" cm="1">
        <f t="array" aca="1" ref="N26" ca="1">IFERROR(SUM(_xlfn._xlws.FILTER(INDIRECT(N$112),(INDIRECT($B$112)=$B26)*(INDIRECT($D$112)=$D26)*(INDIRECT($F$112)=$F26),0)),0)</f>
        <v>0</v>
      </c>
      <c r="O26" s="403" cm="1">
        <f t="array" aca="1" ref="O26" ca="1">IFERROR(SUM(_xlfn._xlws.FILTER(INDIRECT(O$112),(INDIRECT($B$112)=$B26)*(INDIRECT($D$112)=$D26)*(INDIRECT($F$112)=$F26),0)),0)</f>
        <v>45000</v>
      </c>
      <c r="P26" s="403" cm="1">
        <f t="array" aca="1" ref="P26" ca="1">IFERROR(SUM(_xlfn._xlws.FILTER(INDIRECT(P$112),(INDIRECT($B$112)=$B26)*(INDIRECT($D$112)=$D26)*(INDIRECT($F$112)=$F26),0)),0)</f>
        <v>0</v>
      </c>
      <c r="Q26" s="403" cm="1">
        <f t="array" aca="1" ref="Q26" ca="1">IFERROR(SUM(_xlfn._xlws.FILTER(INDIRECT(Q$112),(INDIRECT($B$112)=$B26)*(INDIRECT($D$112)=$D26)*(INDIRECT($F$112)=$F26),0)),0)</f>
        <v>0</v>
      </c>
      <c r="R26" s="403" cm="1">
        <f t="array" aca="1" ref="R26" ca="1">IFERROR(SUM(_xlfn._xlws.FILTER(INDIRECT(R$112),(INDIRECT($B$112)=$B26)*(INDIRECT($D$112)=$D26)*(INDIRECT($F$112)=$F26),0)),0)</f>
        <v>0</v>
      </c>
      <c r="S26" s="403" cm="1">
        <f t="array" aca="1" ref="S26" ca="1">IFERROR(SUM(_xlfn._xlws.FILTER(INDIRECT(S$112),(INDIRECT($B$112)=$B26)*(INDIRECT($D$112)=$D26)*(INDIRECT($F$112)=$F26),0)),0)</f>
        <v>0</v>
      </c>
      <c r="T26" s="403" cm="1">
        <f t="array" aca="1" ref="T26" ca="1">IFERROR(SUM(_xlfn._xlws.FILTER(INDIRECT(T$112),(INDIRECT($B$112)=$B26)*(INDIRECT($D$112)=$D26)*(INDIRECT($F$112)=$F26),0)),0)</f>
        <v>0</v>
      </c>
      <c r="U26" s="403" cm="1">
        <f t="array" aca="1" ref="U26" ca="1">IFERROR(SUM(_xlfn._xlws.FILTER(INDIRECT(U$112),(INDIRECT($B$112)=$B26)*(INDIRECT($D$112)=$D26)*(INDIRECT($F$112)=$F26),0)),0)</f>
        <v>0</v>
      </c>
      <c r="V26" s="403" cm="1">
        <f t="array" aca="1" ref="V26" ca="1">IFERROR(SUM(_xlfn._xlws.FILTER(INDIRECT(V$112),(INDIRECT($B$112)=$B26)*(INDIRECT($D$112)=$D26)*(INDIRECT($F$112)=$F26),0)),0)</f>
        <v>0</v>
      </c>
      <c r="W26" s="403" cm="1">
        <f t="array" aca="1" ref="W26" ca="1">IFERROR(SUM(_xlfn._xlws.FILTER(INDIRECT(W$112),(INDIRECT($B$112)=$B26)*(INDIRECT($D$112)=$D26)*(INDIRECT($F$112)=$F26),0)),0)</f>
        <v>0</v>
      </c>
      <c r="X26" s="403" cm="1">
        <f t="array" aca="1" ref="X26" ca="1">IFERROR(SUM(_xlfn._xlws.FILTER(INDIRECT(X$112),(INDIRECT($B$112)=$B26)*(INDIRECT($D$112)=$D26)*(INDIRECT($F$112)=$F26),0)),0)</f>
        <v>0</v>
      </c>
      <c r="Y26" s="403" cm="1">
        <f t="array" aca="1" ref="Y26" ca="1">IFERROR(SUM(_xlfn._xlws.FILTER(INDIRECT(Y$112),(INDIRECT($B$112)=$B26)*(INDIRECT($D$112)=$D26)*(INDIRECT($F$112)=$F26),0)),0)</f>
        <v>0</v>
      </c>
      <c r="Z26" s="403" cm="1">
        <f t="array" aca="1" ref="Z26" ca="1">IFERROR(SUM(_xlfn._xlws.FILTER(INDIRECT(Z$112),(INDIRECT($B$112)=$B26)*(INDIRECT($D$112)=$D26)*(INDIRECT($F$112)=$F26),0)),0)</f>
        <v>0</v>
      </c>
      <c r="AA26" s="403" cm="1">
        <f t="array" aca="1" ref="AA26" ca="1">IFERROR(SUM(_xlfn._xlws.FILTER(INDIRECT(AA$112),(INDIRECT($B$112)=$B26)*(INDIRECT($D$112)=$D26)*(INDIRECT($F$112)=$F26),0)),0)</f>
        <v>0</v>
      </c>
      <c r="AB26" s="403" cm="1">
        <f t="array" aca="1" ref="AB26" ca="1">IFERROR(SUM(_xlfn._xlws.FILTER(INDIRECT(AB$112),(INDIRECT($B$112)=$B26)*(INDIRECT($D$112)=$D26)*(INDIRECT($F$112)=$F26),0)),0)</f>
        <v>0</v>
      </c>
      <c r="AC26" s="403" cm="1">
        <f t="array" aca="1" ref="AC26" ca="1">IFERROR(SUM(_xlfn._xlws.FILTER(INDIRECT(AC$112),(INDIRECT($B$112)=$B26)*(INDIRECT($D$112)=$D26)*(INDIRECT($F$112)=$F26),0)),0)</f>
        <v>0</v>
      </c>
      <c r="AD26" s="403" cm="1">
        <f t="array" aca="1" ref="AD26" ca="1">IFERROR(SUM(_xlfn._xlws.FILTER(INDIRECT(AD$112),(INDIRECT($B$112)=$B26)*(INDIRECT($D$112)=$D26)*(INDIRECT($F$112)=$F26),0)),0)</f>
        <v>0</v>
      </c>
      <c r="AE26" s="403" cm="1">
        <f t="array" aca="1" ref="AE26" ca="1">IFERROR(SUM(_xlfn._xlws.FILTER(INDIRECT(AE$112),(INDIRECT($B$112)=$B26)*(INDIRECT($D$112)=$D26)*(INDIRECT($F$112)=$F26),0)),0)</f>
        <v>437.16</v>
      </c>
      <c r="AF26" s="403" cm="1">
        <f t="array" aca="1" ref="AF26" ca="1">IFERROR(SUM(_xlfn._xlws.FILTER(INDIRECT(AF$112),(INDIRECT($B$112)=$B26)*(INDIRECT($D$112)=$D26)*(INDIRECT($F$112)=$F26),0)),0)</f>
        <v>10394.799999999999</v>
      </c>
      <c r="AG26" s="403" cm="1">
        <f t="array" aca="1" ref="AG26" ca="1">IFERROR(SUM(_xlfn._xlws.FILTER(INDIRECT(AG$112),(INDIRECT($B$112)=$B26)*(INDIRECT($D$112)=$D26)*(INDIRECT($F$112)=$F26),0)),0)</f>
        <v>0</v>
      </c>
      <c r="AH26" s="403" cm="1">
        <f t="array" aca="1" ref="AH26" ca="1">IFERROR(SUM(_xlfn._xlws.FILTER(INDIRECT(AH$112),(INDIRECT($B$112)=$B26)*(INDIRECT($D$112)=$D26)*(INDIRECT($F$112)=$F26),0)),0)</f>
        <v>0</v>
      </c>
      <c r="AI26" s="403" cm="1">
        <f t="array" aca="1" ref="AI26" ca="1">IFERROR(SUM(_xlfn._xlws.FILTER(INDIRECT(AI$112),(INDIRECT($B$112)=$B26)*(INDIRECT($D$112)=$D26)*(INDIRECT($F$112)=$F26),0)),0)</f>
        <v>0</v>
      </c>
      <c r="AJ26" s="403" cm="1">
        <f t="array" aca="1" ref="AJ26" ca="1">IFERROR(SUM(_xlfn._xlws.FILTER(INDIRECT(AJ$112),(INDIRECT($B$112)=$B26)*(INDIRECT($D$112)=$D26)*(INDIRECT($F$112)=$F26),0)),0)</f>
        <v>0</v>
      </c>
      <c r="AK26" s="403" cm="1">
        <f t="array" aca="1" ref="AK26" ca="1">IFERROR(SUM(_xlfn._xlws.FILTER(INDIRECT(AK$112),(INDIRECT($B$112)=$B26)*(INDIRECT($D$112)=$D26)*(INDIRECT($F$112)=$F26),0)),0)</f>
        <v>0</v>
      </c>
      <c r="AL26" s="403" cm="1">
        <f t="array" aca="1" ref="AL26" ca="1">IFERROR(SUM(_xlfn._xlws.FILTER(INDIRECT(AL$112),(INDIRECT($B$112)=$B26)*(INDIRECT($D$112)=$D26)*(INDIRECT($F$112)=$F26),0)),0)</f>
        <v>0</v>
      </c>
      <c r="AM26" s="403" cm="1">
        <f t="array" aca="1" ref="AM26" ca="1">IFERROR(SUM(_xlfn._xlws.FILTER(INDIRECT(AM$112),(INDIRECT($B$112)=$B26)*(INDIRECT($D$112)=$D26)*(INDIRECT($F$112)=$F26),0)),0)</f>
        <v>0</v>
      </c>
      <c r="AN26" s="403" cm="1">
        <f t="array" aca="1" ref="AN26" ca="1">IFERROR(SUM(_xlfn._xlws.FILTER(INDIRECT(AN$112),(INDIRECT($B$112)=$B26)*(INDIRECT($D$112)=$D26)*(INDIRECT($F$112)=$F26),0)),0)</f>
        <v>0</v>
      </c>
      <c r="AO26" s="403" cm="1">
        <f t="array" aca="1" ref="AO26" ca="1">IFERROR(SUM(_xlfn._xlws.FILTER(INDIRECT(AO$112),(INDIRECT($B$112)=$B26)*(INDIRECT($D$112)=$D26)*(INDIRECT($F$112)=$F26),0)),0)</f>
        <v>0</v>
      </c>
      <c r="AP26" s="403" cm="1">
        <f t="array" aca="1" ref="AP26" ca="1">IFERROR(SUM(_xlfn._xlws.FILTER(INDIRECT(AP$112),(INDIRECT($B$112)=$B26)*(INDIRECT($D$112)=$D26)*(INDIRECT($F$112)=$F26),0)),0)</f>
        <v>0</v>
      </c>
      <c r="AQ26" s="403" cm="1">
        <f t="array" aca="1" ref="AQ26" ca="1">IFERROR(SUM(_xlfn._xlws.FILTER(INDIRECT(AQ$112),(INDIRECT($B$112)=$B26)*(INDIRECT($D$112)=$D26)*(INDIRECT($F$112)=$F26),0)),0)</f>
        <v>60437.16</v>
      </c>
      <c r="AR26" s="403" cm="1">
        <f t="array" aca="1" ref="AR26" ca="1">IFERROR(SUM(_xlfn._xlws.FILTER(INDIRECT(AR$112),(INDIRECT($B$112)=$B26)*(INDIRECT($D$112)=$D26)*(INDIRECT($F$112)=$F26),0)),0)</f>
        <v>10394.799999999999</v>
      </c>
      <c r="AS26" s="286" t="str">
        <f t="shared" ca="1" si="4"/>
        <v>G26:AP26</v>
      </c>
      <c r="AT26" s="403">
        <f t="shared" ca="1" si="3"/>
        <v>70831.960000000006</v>
      </c>
      <c r="AV26" s="142" cm="1">
        <f t="array" aca="1" ref="AV26" ca="1">IF(AND(_xlfn.LET(_xlpm.x,SUM(ROW()),OR(AND(MATCH("SOT",$A:$A,0)&lt;_xlpm.x,MATCH("EOT",$A:$A,0)&gt;_xlpm.x),AND(MATCH("SOS",$A:$A,0)&lt;_xlpm.x,MATCH("EOS",$A:$A,0)&gt;_xlpm.x),AND(MATCH("SOR",$A:$A,0)&lt;_xlpm.x,MATCH("EOR",$A:$A,0)&gt;_xlpm.x))),INDIRECT("rc"&amp;MATCH("SCD",$1:$1,0),FALSE)="PPTO"),1,0)</f>
        <v>0</v>
      </c>
      <c r="AW26" s="142" cm="1">
        <f t="array" aca="1" ref="AW2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27" spans="1:49" s="153" customFormat="1" outlineLevel="2">
      <c r="A27" s="152"/>
      <c r="B27" s="401" t="str">
        <f ca="1"/>
        <v>31200</v>
      </c>
      <c r="C27" s="148"/>
      <c r="D27" s="404" t="str">
        <f ca="1"/>
        <v>PMXP</v>
      </c>
      <c r="E27" s="350" t="str" cm="1">
        <f t="array" aca="1" ref="E27" ca="1">UPPER(_xlfn.UNIQUE(_xlfn._xlws.FILTER(TbStd[OFbStd],TbStd[RowGrp]=$D27,"X")))</f>
        <v>START-UP CELLS @PLANT</v>
      </c>
      <c r="F27" s="402" t="str">
        <f ca="1"/>
        <v>REAL</v>
      </c>
      <c r="G27" s="403" cm="1">
        <f t="array" aca="1" ref="G27" ca="1">IFERROR(SUM(_xlfn._xlws.FILTER(INDIRECT(G$112),(INDIRECT($B$112)=$B27)*(INDIRECT($D$112)=$D27)*(INDIRECT($F$112)=$F27),0)),0)</f>
        <v>0</v>
      </c>
      <c r="H27" s="403" cm="1">
        <f t="array" aca="1" ref="H27" ca="1">IFERROR(SUM(_xlfn._xlws.FILTER(INDIRECT(H$112),(INDIRECT($B$112)=$B27)*(INDIRECT($D$112)=$D27)*(INDIRECT($F$112)=$F27),0)),0)</f>
        <v>0</v>
      </c>
      <c r="I27" s="403" cm="1">
        <f t="array" aca="1" ref="I27" ca="1">IFERROR(SUM(_xlfn._xlws.FILTER(INDIRECT(I$112),(INDIRECT($B$112)=$B27)*(INDIRECT($D$112)=$D27)*(INDIRECT($F$112)=$F27),0)),0)</f>
        <v>0</v>
      </c>
      <c r="J27" s="403" cm="1">
        <f t="array" aca="1" ref="J27" ca="1">IFERROR(SUM(_xlfn._xlws.FILTER(INDIRECT(J$112),(INDIRECT($B$112)=$B27)*(INDIRECT($D$112)=$D27)*(INDIRECT($F$112)=$F27),0)),0)</f>
        <v>0</v>
      </c>
      <c r="K27" s="403" cm="1">
        <f t="array" aca="1" ref="K27" ca="1">IFERROR(SUM(_xlfn._xlws.FILTER(INDIRECT(K$112),(INDIRECT($B$112)=$B27)*(INDIRECT($D$112)=$D27)*(INDIRECT($F$112)=$F27),0)),0)</f>
        <v>0</v>
      </c>
      <c r="L27" s="403" cm="1">
        <f t="array" aca="1" ref="L27" ca="1">IFERROR(SUM(_xlfn._xlws.FILTER(INDIRECT(L$112),(INDIRECT($B$112)=$B27)*(INDIRECT($D$112)=$D27)*(INDIRECT($F$112)=$F27),0)),0)</f>
        <v>0</v>
      </c>
      <c r="M27" s="403" cm="1">
        <f t="array" aca="1" ref="M27" ca="1">IFERROR(SUM(_xlfn._xlws.FILTER(INDIRECT(M$112),(INDIRECT($B$112)=$B27)*(INDIRECT($D$112)=$D27)*(INDIRECT($F$112)=$F27),0)),0)</f>
        <v>0</v>
      </c>
      <c r="N27" s="403" cm="1">
        <f t="array" aca="1" ref="N27" ca="1">IFERROR(SUM(_xlfn._xlws.FILTER(INDIRECT(N$112),(INDIRECT($B$112)=$B27)*(INDIRECT($D$112)=$D27)*(INDIRECT($F$112)=$F27),0)),0)</f>
        <v>0</v>
      </c>
      <c r="O27" s="403" cm="1">
        <f t="array" aca="1" ref="O27" ca="1">IFERROR(SUM(_xlfn._xlws.FILTER(INDIRECT(O$112),(INDIRECT($B$112)=$B27)*(INDIRECT($D$112)=$D27)*(INDIRECT($F$112)=$F27),0)),0)</f>
        <v>219.72</v>
      </c>
      <c r="P27" s="403" cm="1">
        <f t="array" aca="1" ref="P27" ca="1">IFERROR(SUM(_xlfn._xlws.FILTER(INDIRECT(P$112),(INDIRECT($B$112)=$B27)*(INDIRECT($D$112)=$D27)*(INDIRECT($F$112)=$F27),0)),0)</f>
        <v>0</v>
      </c>
      <c r="Q27" s="403" cm="1">
        <f t="array" aca="1" ref="Q27" ca="1">IFERROR(SUM(_xlfn._xlws.FILTER(INDIRECT(Q$112),(INDIRECT($B$112)=$B27)*(INDIRECT($D$112)=$D27)*(INDIRECT($F$112)=$F27),0)),0)</f>
        <v>0</v>
      </c>
      <c r="R27" s="403" cm="1">
        <f t="array" aca="1" ref="R27" ca="1">IFERROR(SUM(_xlfn._xlws.FILTER(INDIRECT(R$112),(INDIRECT($B$112)=$B27)*(INDIRECT($D$112)=$D27)*(INDIRECT($F$112)=$F27),0)),0)</f>
        <v>0</v>
      </c>
      <c r="S27" s="403" cm="1">
        <f t="array" aca="1" ref="S27" ca="1">IFERROR(SUM(_xlfn._xlws.FILTER(INDIRECT(S$112),(INDIRECT($B$112)=$B27)*(INDIRECT($D$112)=$D27)*(INDIRECT($F$112)=$F27),0)),0)</f>
        <v>575.74</v>
      </c>
      <c r="T27" s="403" cm="1">
        <f t="array" aca="1" ref="T27" ca="1">IFERROR(SUM(_xlfn._xlws.FILTER(INDIRECT(T$112),(INDIRECT($B$112)=$B27)*(INDIRECT($D$112)=$D27)*(INDIRECT($F$112)=$F27),0)),0)</f>
        <v>0</v>
      </c>
      <c r="U27" s="403" cm="1">
        <f t="array" aca="1" ref="U27" ca="1">IFERROR(SUM(_xlfn._xlws.FILTER(INDIRECT(U$112),(INDIRECT($B$112)=$B27)*(INDIRECT($D$112)=$D27)*(INDIRECT($F$112)=$F27),0)),0)</f>
        <v>0</v>
      </c>
      <c r="V27" s="403" cm="1">
        <f t="array" aca="1" ref="V27" ca="1">IFERROR(SUM(_xlfn._xlws.FILTER(INDIRECT(V$112),(INDIRECT($B$112)=$B27)*(INDIRECT($D$112)=$D27)*(INDIRECT($F$112)=$F27),0)),0)</f>
        <v>0</v>
      </c>
      <c r="W27" s="403" cm="1">
        <f t="array" aca="1" ref="W27" ca="1">IFERROR(SUM(_xlfn._xlws.FILTER(INDIRECT(W$112),(INDIRECT($B$112)=$B27)*(INDIRECT($D$112)=$D27)*(INDIRECT($F$112)=$F27),0)),0)</f>
        <v>0</v>
      </c>
      <c r="X27" s="403" cm="1">
        <f t="array" aca="1" ref="X27" ca="1">IFERROR(SUM(_xlfn._xlws.FILTER(INDIRECT(X$112),(INDIRECT($B$112)=$B27)*(INDIRECT($D$112)=$D27)*(INDIRECT($F$112)=$F27),0)),0)</f>
        <v>0</v>
      </c>
      <c r="Y27" s="403" cm="1">
        <f t="array" aca="1" ref="Y27" ca="1">IFERROR(SUM(_xlfn._xlws.FILTER(INDIRECT(Y$112),(INDIRECT($B$112)=$B27)*(INDIRECT($D$112)=$D27)*(INDIRECT($F$112)=$F27),0)),0)</f>
        <v>0</v>
      </c>
      <c r="Z27" s="403" cm="1">
        <f t="array" aca="1" ref="Z27" ca="1">IFERROR(SUM(_xlfn._xlws.FILTER(INDIRECT(Z$112),(INDIRECT($B$112)=$B27)*(INDIRECT($D$112)=$D27)*(INDIRECT($F$112)=$F27),0)),0)</f>
        <v>0</v>
      </c>
      <c r="AA27" s="403" cm="1">
        <f t="array" aca="1" ref="AA27" ca="1">IFERROR(SUM(_xlfn._xlws.FILTER(INDIRECT(AA$112),(INDIRECT($B$112)=$B27)*(INDIRECT($D$112)=$D27)*(INDIRECT($F$112)=$F27),0)),0)</f>
        <v>0</v>
      </c>
      <c r="AB27" s="403" cm="1">
        <f t="array" aca="1" ref="AB27" ca="1">IFERROR(SUM(_xlfn._xlws.FILTER(INDIRECT(AB$112),(INDIRECT($B$112)=$B27)*(INDIRECT($D$112)=$D27)*(INDIRECT($F$112)=$F27),0)),0)</f>
        <v>0</v>
      </c>
      <c r="AC27" s="403" cm="1">
        <f t="array" aca="1" ref="AC27" ca="1">IFERROR(SUM(_xlfn._xlws.FILTER(INDIRECT(AC$112),(INDIRECT($B$112)=$B27)*(INDIRECT($D$112)=$D27)*(INDIRECT($F$112)=$F27),0)),0)</f>
        <v>0</v>
      </c>
      <c r="AD27" s="403" cm="1">
        <f t="array" aca="1" ref="AD27" ca="1">IFERROR(SUM(_xlfn._xlws.FILTER(INDIRECT(AD$112),(INDIRECT($B$112)=$B27)*(INDIRECT($D$112)=$D27)*(INDIRECT($F$112)=$F27),0)),0)</f>
        <v>0</v>
      </c>
      <c r="AE27" s="403" cm="1">
        <f t="array" aca="1" ref="AE27" ca="1">IFERROR(SUM(_xlfn._xlws.FILTER(INDIRECT(AE$112),(INDIRECT($B$112)=$B27)*(INDIRECT($D$112)=$D27)*(INDIRECT($F$112)=$F27),0)),0)</f>
        <v>437.16</v>
      </c>
      <c r="AF27" s="403" cm="1">
        <f t="array" aca="1" ref="AF27" ca="1">IFERROR(SUM(_xlfn._xlws.FILTER(INDIRECT(AF$112),(INDIRECT($B$112)=$B27)*(INDIRECT($D$112)=$D27)*(INDIRECT($F$112)=$F27),0)),0)</f>
        <v>10394.799999999999</v>
      </c>
      <c r="AG27" s="403" cm="1">
        <f t="array" aca="1" ref="AG27" ca="1">IFERROR(SUM(_xlfn._xlws.FILTER(INDIRECT(AG$112),(INDIRECT($B$112)=$B27)*(INDIRECT($D$112)=$D27)*(INDIRECT($F$112)=$F27),0)),0)</f>
        <v>0</v>
      </c>
      <c r="AH27" s="403" cm="1">
        <f t="array" aca="1" ref="AH27" ca="1">IFERROR(SUM(_xlfn._xlws.FILTER(INDIRECT(AH$112),(INDIRECT($B$112)=$B27)*(INDIRECT($D$112)=$D27)*(INDIRECT($F$112)=$F27),0)),0)</f>
        <v>0</v>
      </c>
      <c r="AI27" s="403" cm="1">
        <f t="array" aca="1" ref="AI27" ca="1">IFERROR(SUM(_xlfn._xlws.FILTER(INDIRECT(AI$112),(INDIRECT($B$112)=$B27)*(INDIRECT($D$112)=$D27)*(INDIRECT($F$112)=$F27),0)),0)</f>
        <v>0</v>
      </c>
      <c r="AJ27" s="403" cm="1">
        <f t="array" aca="1" ref="AJ27" ca="1">IFERROR(SUM(_xlfn._xlws.FILTER(INDIRECT(AJ$112),(INDIRECT($B$112)=$B27)*(INDIRECT($D$112)=$D27)*(INDIRECT($F$112)=$F27),0)),0)</f>
        <v>0</v>
      </c>
      <c r="AK27" s="403" cm="1">
        <f t="array" aca="1" ref="AK27" ca="1">IFERROR(SUM(_xlfn._xlws.FILTER(INDIRECT(AK$112),(INDIRECT($B$112)=$B27)*(INDIRECT($D$112)=$D27)*(INDIRECT($F$112)=$F27),0)),0)</f>
        <v>0</v>
      </c>
      <c r="AL27" s="403" cm="1">
        <f t="array" aca="1" ref="AL27" ca="1">IFERROR(SUM(_xlfn._xlws.FILTER(INDIRECT(AL$112),(INDIRECT($B$112)=$B27)*(INDIRECT($D$112)=$D27)*(INDIRECT($F$112)=$F27),0)),0)</f>
        <v>0</v>
      </c>
      <c r="AM27" s="403" cm="1">
        <f t="array" aca="1" ref="AM27" ca="1">IFERROR(SUM(_xlfn._xlws.FILTER(INDIRECT(AM$112),(INDIRECT($B$112)=$B27)*(INDIRECT($D$112)=$D27)*(INDIRECT($F$112)=$F27),0)),0)</f>
        <v>0</v>
      </c>
      <c r="AN27" s="403" cm="1">
        <f t="array" aca="1" ref="AN27" ca="1">IFERROR(SUM(_xlfn._xlws.FILTER(INDIRECT(AN$112),(INDIRECT($B$112)=$B27)*(INDIRECT($D$112)=$D27)*(INDIRECT($F$112)=$F27),0)),0)</f>
        <v>0</v>
      </c>
      <c r="AO27" s="403" cm="1">
        <f t="array" aca="1" ref="AO27" ca="1">IFERROR(SUM(_xlfn._xlws.FILTER(INDIRECT(AO$112),(INDIRECT($B$112)=$B27)*(INDIRECT($D$112)=$D27)*(INDIRECT($F$112)=$F27),0)),0)</f>
        <v>0</v>
      </c>
      <c r="AP27" s="403" cm="1">
        <f t="array" aca="1" ref="AP27" ca="1">IFERROR(SUM(_xlfn._xlws.FILTER(INDIRECT(AP$112),(INDIRECT($B$112)=$B27)*(INDIRECT($D$112)=$D27)*(INDIRECT($F$112)=$F27),0)),0)</f>
        <v>0</v>
      </c>
      <c r="AQ27" s="403" cm="1">
        <f t="array" aca="1" ref="AQ27" ca="1">IFERROR(SUM(_xlfn._xlws.FILTER(INDIRECT(AQ$112),(INDIRECT($B$112)=$B27)*(INDIRECT($D$112)=$D27)*(INDIRECT($F$112)=$F27),0)),0)</f>
        <v>1232.6200000000001</v>
      </c>
      <c r="AR27" s="403" cm="1">
        <f t="array" aca="1" ref="AR27" ca="1">IFERROR(SUM(_xlfn._xlws.FILTER(INDIRECT(AR$112),(INDIRECT($B$112)=$B27)*(INDIRECT($D$112)=$D27)*(INDIRECT($F$112)=$F27),0)),0)</f>
        <v>10394.799999999999</v>
      </c>
      <c r="AS27" s="286" t="str">
        <f t="shared" ca="1" si="4"/>
        <v>G27:AP27</v>
      </c>
      <c r="AT27" s="403">
        <f t="shared" ca="1" si="3"/>
        <v>11627.42</v>
      </c>
      <c r="AV27" s="142" cm="1">
        <f t="array" aca="1" ref="AV27" ca="1">IF(AND(_xlfn.LET(_xlpm.x,SUM(ROW()),OR(AND(MATCH("SOT",$A:$A,0)&lt;_xlpm.x,MATCH("EOT",$A:$A,0)&gt;_xlpm.x),AND(MATCH("SOS",$A:$A,0)&lt;_xlpm.x,MATCH("EOS",$A:$A,0)&gt;_xlpm.x),AND(MATCH("SOR",$A:$A,0)&lt;_xlpm.x,MATCH("EOR",$A:$A,0)&gt;_xlpm.x))),INDIRECT("rc"&amp;MATCH("SCD",$1:$1,0),FALSE)="PPTO"),1,0)</f>
        <v>0</v>
      </c>
      <c r="AW27" s="142" cm="1">
        <f t="array" aca="1" ref="AW2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28" spans="1:49" s="153" customFormat="1" outlineLevel="2">
      <c r="A28" s="152"/>
      <c r="B28" s="401" t="str">
        <f ca="1"/>
        <v>31200</v>
      </c>
      <c r="C28" s="148"/>
      <c r="D28" s="404" t="str">
        <f ca="1"/>
        <v>PMTS</v>
      </c>
      <c r="E28" s="350" t="str" cm="1">
        <f t="array" aca="1" ref="E28" ca="1">UPPER(_xlfn.UNIQUE(_xlfn._xlws.FILTER(TbStd[OFbStd],TbStd[RowGrp]=$D28,"X")))</f>
        <v>START-UP TOOLS @SERRA</v>
      </c>
      <c r="F28" s="402" t="str">
        <f ca="1"/>
        <v>PPTO</v>
      </c>
      <c r="G28" s="403" cm="1">
        <f t="array" aca="1" ref="G28" ca="1">IFERROR(SUM(_xlfn._xlws.FILTER(INDIRECT(G$112),(INDIRECT($B$112)=$B28)*(INDIRECT($D$112)=$D28)*(INDIRECT($F$112)=$F28),0)),0)</f>
        <v>0</v>
      </c>
      <c r="H28" s="403" cm="1">
        <f t="array" aca="1" ref="H28" ca="1">IFERROR(SUM(_xlfn._xlws.FILTER(INDIRECT(H$112),(INDIRECT($B$112)=$B28)*(INDIRECT($D$112)=$D28)*(INDIRECT($F$112)=$F28),0)),0)</f>
        <v>0</v>
      </c>
      <c r="I28" s="403" cm="1">
        <f t="array" aca="1" ref="I28" ca="1">IFERROR(SUM(_xlfn._xlws.FILTER(INDIRECT(I$112),(INDIRECT($B$112)=$B28)*(INDIRECT($D$112)=$D28)*(INDIRECT($F$112)=$F28),0)),0)</f>
        <v>0</v>
      </c>
      <c r="J28" s="403" cm="1">
        <f t="array" aca="1" ref="J28" ca="1">IFERROR(SUM(_xlfn._xlws.FILTER(INDIRECT(J$112),(INDIRECT($B$112)=$B28)*(INDIRECT($D$112)=$D28)*(INDIRECT($F$112)=$F28),0)),0)</f>
        <v>0</v>
      </c>
      <c r="K28" s="403" cm="1">
        <f t="array" aca="1" ref="K28" ca="1">IFERROR(SUM(_xlfn._xlws.FILTER(INDIRECT(K$112),(INDIRECT($B$112)=$B28)*(INDIRECT($D$112)=$D28)*(INDIRECT($F$112)=$F28),0)),0)</f>
        <v>0</v>
      </c>
      <c r="L28" s="403" cm="1">
        <f t="array" aca="1" ref="L28" ca="1">IFERROR(SUM(_xlfn._xlws.FILTER(INDIRECT(L$112),(INDIRECT($B$112)=$B28)*(INDIRECT($D$112)=$D28)*(INDIRECT($F$112)=$F28),0)),0)</f>
        <v>0</v>
      </c>
      <c r="M28" s="403" cm="1">
        <f t="array" aca="1" ref="M28" ca="1">IFERROR(SUM(_xlfn._xlws.FILTER(INDIRECT(M$112),(INDIRECT($B$112)=$B28)*(INDIRECT($D$112)=$D28)*(INDIRECT($F$112)=$F28),0)),0)</f>
        <v>0</v>
      </c>
      <c r="N28" s="403" cm="1">
        <f t="array" aca="1" ref="N28" ca="1">IFERROR(SUM(_xlfn._xlws.FILTER(INDIRECT(N$112),(INDIRECT($B$112)=$B28)*(INDIRECT($D$112)=$D28)*(INDIRECT($F$112)=$F28),0)),0)</f>
        <v>0</v>
      </c>
      <c r="O28" s="403" cm="1">
        <f t="array" aca="1" ref="O28" ca="1">IFERROR(SUM(_xlfn._xlws.FILTER(INDIRECT(O$112),(INDIRECT($B$112)=$B28)*(INDIRECT($D$112)=$D28)*(INDIRECT($F$112)=$F28),0)),0)</f>
        <v>0</v>
      </c>
      <c r="P28" s="403" cm="1">
        <f t="array" aca="1" ref="P28" ca="1">IFERROR(SUM(_xlfn._xlws.FILTER(INDIRECT(P$112),(INDIRECT($B$112)=$B28)*(INDIRECT($D$112)=$D28)*(INDIRECT($F$112)=$F28),0)),0)</f>
        <v>0</v>
      </c>
      <c r="Q28" s="403" cm="1">
        <f t="array" aca="1" ref="Q28" ca="1">IFERROR(SUM(_xlfn._xlws.FILTER(INDIRECT(Q$112),(INDIRECT($B$112)=$B28)*(INDIRECT($D$112)=$D28)*(INDIRECT($F$112)=$F28),0)),0)</f>
        <v>0</v>
      </c>
      <c r="R28" s="403" cm="1">
        <f t="array" aca="1" ref="R28" ca="1">IFERROR(SUM(_xlfn._xlws.FILTER(INDIRECT(R$112),(INDIRECT($B$112)=$B28)*(INDIRECT($D$112)=$D28)*(INDIRECT($F$112)=$F28),0)),0)</f>
        <v>0</v>
      </c>
      <c r="S28" s="403" cm="1">
        <f t="array" aca="1" ref="S28" ca="1">IFERROR(SUM(_xlfn._xlws.FILTER(INDIRECT(S$112),(INDIRECT($B$112)=$B28)*(INDIRECT($D$112)=$D28)*(INDIRECT($F$112)=$F28),0)),0)</f>
        <v>0</v>
      </c>
      <c r="T28" s="403" cm="1">
        <f t="array" aca="1" ref="T28" ca="1">IFERROR(SUM(_xlfn._xlws.FILTER(INDIRECT(T$112),(INDIRECT($B$112)=$B28)*(INDIRECT($D$112)=$D28)*(INDIRECT($F$112)=$F28),0)),0)</f>
        <v>0</v>
      </c>
      <c r="U28" s="403" cm="1">
        <f t="array" aca="1" ref="U28" ca="1">IFERROR(SUM(_xlfn._xlws.FILTER(INDIRECT(U$112),(INDIRECT($B$112)=$B28)*(INDIRECT($D$112)=$D28)*(INDIRECT($F$112)=$F28),0)),0)</f>
        <v>185.79286879999998</v>
      </c>
      <c r="V28" s="403" cm="1">
        <f t="array" aca="1" ref="V28" ca="1">IFERROR(SUM(_xlfn._xlws.FILTER(INDIRECT(V$112),(INDIRECT($B$112)=$B28)*(INDIRECT($D$112)=$D28)*(INDIRECT($F$112)=$F28),0)),0)</f>
        <v>1877.7322079999999</v>
      </c>
      <c r="W28" s="403" cm="1">
        <f t="array" aca="1" ref="W28" ca="1">IFERROR(SUM(_xlfn._xlws.FILTER(INDIRECT(W$112),(INDIRECT($B$112)=$B28)*(INDIRECT($D$112)=$D28)*(INDIRECT($F$112)=$F28),0)),0)</f>
        <v>13651.18304648</v>
      </c>
      <c r="X28" s="403" cm="1">
        <f t="array" aca="1" ref="X28" ca="1">IFERROR(SUM(_xlfn._xlws.FILTER(INDIRECT(X$112),(INDIRECT($B$112)=$B28)*(INDIRECT($D$112)=$D28)*(INDIRECT($F$112)=$F28),0)),0)</f>
        <v>23937.824515394997</v>
      </c>
      <c r="Y28" s="403" cm="1">
        <f t="array" aca="1" ref="Y28" ca="1">IFERROR(SUM(_xlfn._xlws.FILTER(INDIRECT(Y$112),(INDIRECT($B$112)=$B28)*(INDIRECT($D$112)=$D28)*(INDIRECT($F$112)=$F28),0)),0)</f>
        <v>0</v>
      </c>
      <c r="Z28" s="403" cm="1">
        <f t="array" aca="1" ref="Z28" ca="1">IFERROR(SUM(_xlfn._xlws.FILTER(INDIRECT(Z$112),(INDIRECT($B$112)=$B28)*(INDIRECT($D$112)=$D28)*(INDIRECT($F$112)=$F28),0)),0)</f>
        <v>0</v>
      </c>
      <c r="AA28" s="403" cm="1">
        <f t="array" aca="1" ref="AA28" ca="1">IFERROR(SUM(_xlfn._xlws.FILTER(INDIRECT(AA$112),(INDIRECT($B$112)=$B28)*(INDIRECT($D$112)=$D28)*(INDIRECT($F$112)=$F28),0)),0)</f>
        <v>0</v>
      </c>
      <c r="AB28" s="403" cm="1">
        <f t="array" aca="1" ref="AB28" ca="1">IFERROR(SUM(_xlfn._xlws.FILTER(INDIRECT(AB$112),(INDIRECT($B$112)=$B28)*(INDIRECT($D$112)=$D28)*(INDIRECT($F$112)=$F28),0)),0)</f>
        <v>0</v>
      </c>
      <c r="AC28" s="403" cm="1">
        <f t="array" aca="1" ref="AC28" ca="1">IFERROR(SUM(_xlfn._xlws.FILTER(INDIRECT(AC$112),(INDIRECT($B$112)=$B28)*(INDIRECT($D$112)=$D28)*(INDIRECT($F$112)=$F28),0)),0)</f>
        <v>0</v>
      </c>
      <c r="AD28" s="403" cm="1">
        <f t="array" aca="1" ref="AD28" ca="1">IFERROR(SUM(_xlfn._xlws.FILTER(INDIRECT(AD$112),(INDIRECT($B$112)=$B28)*(INDIRECT($D$112)=$D28)*(INDIRECT($F$112)=$F28),0)),0)</f>
        <v>0</v>
      </c>
      <c r="AE28" s="403" cm="1">
        <f t="array" aca="1" ref="AE28" ca="1">IFERROR(SUM(_xlfn._xlws.FILTER(INDIRECT(AE$112),(INDIRECT($B$112)=$B28)*(INDIRECT($D$112)=$D28)*(INDIRECT($F$112)=$F28),0)),0)</f>
        <v>0</v>
      </c>
      <c r="AF28" s="403" cm="1">
        <f t="array" aca="1" ref="AF28" ca="1">IFERROR(SUM(_xlfn._xlws.FILTER(INDIRECT(AF$112),(INDIRECT($B$112)=$B28)*(INDIRECT($D$112)=$D28)*(INDIRECT($F$112)=$F28),0)),0)</f>
        <v>0</v>
      </c>
      <c r="AG28" s="403" cm="1">
        <f t="array" aca="1" ref="AG28" ca="1">IFERROR(SUM(_xlfn._xlws.FILTER(INDIRECT(AG$112),(INDIRECT($B$112)=$B28)*(INDIRECT($D$112)=$D28)*(INDIRECT($F$112)=$F28),0)),0)</f>
        <v>0</v>
      </c>
      <c r="AH28" s="403" cm="1">
        <f t="array" aca="1" ref="AH28" ca="1">IFERROR(SUM(_xlfn._xlws.FILTER(INDIRECT(AH$112),(INDIRECT($B$112)=$B28)*(INDIRECT($D$112)=$D28)*(INDIRECT($F$112)=$F28),0)),0)</f>
        <v>0</v>
      </c>
      <c r="AI28" s="403" cm="1">
        <f t="array" aca="1" ref="AI28" ca="1">IFERROR(SUM(_xlfn._xlws.FILTER(INDIRECT(AI$112),(INDIRECT($B$112)=$B28)*(INDIRECT($D$112)=$D28)*(INDIRECT($F$112)=$F28),0)),0)</f>
        <v>0</v>
      </c>
      <c r="AJ28" s="403" cm="1">
        <f t="array" aca="1" ref="AJ28" ca="1">IFERROR(SUM(_xlfn._xlws.FILTER(INDIRECT(AJ$112),(INDIRECT($B$112)=$B28)*(INDIRECT($D$112)=$D28)*(INDIRECT($F$112)=$F28),0)),0)</f>
        <v>0</v>
      </c>
      <c r="AK28" s="403" cm="1">
        <f t="array" aca="1" ref="AK28" ca="1">IFERROR(SUM(_xlfn._xlws.FILTER(INDIRECT(AK$112),(INDIRECT($B$112)=$B28)*(INDIRECT($D$112)=$D28)*(INDIRECT($F$112)=$F28),0)),0)</f>
        <v>0</v>
      </c>
      <c r="AL28" s="403" cm="1">
        <f t="array" aca="1" ref="AL28" ca="1">IFERROR(SUM(_xlfn._xlws.FILTER(INDIRECT(AL$112),(INDIRECT($B$112)=$B28)*(INDIRECT($D$112)=$D28)*(INDIRECT($F$112)=$F28),0)),0)</f>
        <v>0</v>
      </c>
      <c r="AM28" s="403" cm="1">
        <f t="array" aca="1" ref="AM28" ca="1">IFERROR(SUM(_xlfn._xlws.FILTER(INDIRECT(AM$112),(INDIRECT($B$112)=$B28)*(INDIRECT($D$112)=$D28)*(INDIRECT($F$112)=$F28),0)),0)</f>
        <v>0</v>
      </c>
      <c r="AN28" s="403" cm="1">
        <f t="array" aca="1" ref="AN28" ca="1">IFERROR(SUM(_xlfn._xlws.FILTER(INDIRECT(AN$112),(INDIRECT($B$112)=$B28)*(INDIRECT($D$112)=$D28)*(INDIRECT($F$112)=$F28),0)),0)</f>
        <v>0</v>
      </c>
      <c r="AO28" s="403" cm="1">
        <f t="array" aca="1" ref="AO28" ca="1">IFERROR(SUM(_xlfn._xlws.FILTER(INDIRECT(AO$112),(INDIRECT($B$112)=$B28)*(INDIRECT($D$112)=$D28)*(INDIRECT($F$112)=$F28),0)),0)</f>
        <v>0</v>
      </c>
      <c r="AP28" s="403" cm="1">
        <f t="array" aca="1" ref="AP28" ca="1">IFERROR(SUM(_xlfn._xlws.FILTER(INDIRECT(AP$112),(INDIRECT($B$112)=$B28)*(INDIRECT($D$112)=$D28)*(INDIRECT($F$112)=$F28),0)),0)</f>
        <v>0</v>
      </c>
      <c r="AQ28" s="403" cm="1">
        <f t="array" aca="1" ref="AQ28" ca="1">IFERROR(SUM(_xlfn._xlws.FILTER(INDIRECT(AQ$112),(INDIRECT($B$112)=$B28)*(INDIRECT($D$112)=$D28)*(INDIRECT($F$112)=$F28),0)),0)</f>
        <v>13836.97591528</v>
      </c>
      <c r="AR28" s="403" cm="1">
        <f t="array" aca="1" ref="AR28" ca="1">IFERROR(SUM(_xlfn._xlws.FILTER(INDIRECT(AR$112),(INDIRECT($B$112)=$B28)*(INDIRECT($D$112)=$D28)*(INDIRECT($F$112)=$F28),0)),0)</f>
        <v>25815.556723394999</v>
      </c>
      <c r="AS28" s="286" t="str">
        <f t="shared" ca="1" si="4"/>
        <v>G28:AP28</v>
      </c>
      <c r="AT28" s="403">
        <f t="shared" ca="1" si="3"/>
        <v>39652.532638674995</v>
      </c>
      <c r="AV28" s="142" cm="1">
        <f t="array" aca="1" ref="AV28" ca="1">IF(AND(_xlfn.LET(_xlpm.x,SUM(ROW()),OR(AND(MATCH("SOT",$A:$A,0)&lt;_xlpm.x,MATCH("EOT",$A:$A,0)&gt;_xlpm.x),AND(MATCH("SOS",$A:$A,0)&lt;_xlpm.x,MATCH("EOS",$A:$A,0)&gt;_xlpm.x),AND(MATCH("SOR",$A:$A,0)&lt;_xlpm.x,MATCH("EOR",$A:$A,0)&gt;_xlpm.x))),INDIRECT("rc"&amp;MATCH("SCD",$1:$1,0),FALSE)="PPTO"),1,0)</f>
        <v>1</v>
      </c>
      <c r="AW28" s="142" cm="1">
        <f t="array" aca="1" ref="AW2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29" spans="1:49" s="153" customFormat="1" outlineLevel="2">
      <c r="A29" s="152"/>
      <c r="B29" s="401" t="str">
        <f ca="1"/>
        <v>31200</v>
      </c>
      <c r="C29" s="148"/>
      <c r="D29" s="404" t="str">
        <f ca="1"/>
        <v>PMTS</v>
      </c>
      <c r="E29" s="350" t="str" cm="1">
        <f t="array" aca="1" ref="E29" ca="1">UPPER(_xlfn.UNIQUE(_xlfn._xlws.FILTER(TbStd[OFbStd],TbStd[RowGrp]=$D29,"X")))</f>
        <v>START-UP TOOLS @SERRA</v>
      </c>
      <c r="F29" s="402" t="str">
        <f ca="1"/>
        <v>PREV</v>
      </c>
      <c r="G29" s="403" cm="1">
        <f t="array" aca="1" ref="G29" ca="1">IFERROR(SUM(_xlfn._xlws.FILTER(INDIRECT(G$112),(INDIRECT($B$112)=$B29)*(INDIRECT($D$112)=$D29)*(INDIRECT($F$112)=$F29),0)),0)</f>
        <v>0</v>
      </c>
      <c r="H29" s="403" cm="1">
        <f t="array" aca="1" ref="H29" ca="1">IFERROR(SUM(_xlfn._xlws.FILTER(INDIRECT(H$112),(INDIRECT($B$112)=$B29)*(INDIRECT($D$112)=$D29)*(INDIRECT($F$112)=$F29),0)),0)</f>
        <v>0</v>
      </c>
      <c r="I29" s="403" cm="1">
        <f t="array" aca="1" ref="I29" ca="1">IFERROR(SUM(_xlfn._xlws.FILTER(INDIRECT(I$112),(INDIRECT($B$112)=$B29)*(INDIRECT($D$112)=$D29)*(INDIRECT($F$112)=$F29),0)),0)</f>
        <v>0</v>
      </c>
      <c r="J29" s="403" cm="1">
        <f t="array" aca="1" ref="J29" ca="1">IFERROR(SUM(_xlfn._xlws.FILTER(INDIRECT(J$112),(INDIRECT($B$112)=$B29)*(INDIRECT($D$112)=$D29)*(INDIRECT($F$112)=$F29),0)),0)</f>
        <v>0</v>
      </c>
      <c r="K29" s="403" cm="1">
        <f t="array" aca="1" ref="K29" ca="1">IFERROR(SUM(_xlfn._xlws.FILTER(INDIRECT(K$112),(INDIRECT($B$112)=$B29)*(INDIRECT($D$112)=$D29)*(INDIRECT($F$112)=$F29),0)),0)</f>
        <v>0</v>
      </c>
      <c r="L29" s="403" cm="1">
        <f t="array" aca="1" ref="L29" ca="1">IFERROR(SUM(_xlfn._xlws.FILTER(INDIRECT(L$112),(INDIRECT($B$112)=$B29)*(INDIRECT($D$112)=$D29)*(INDIRECT($F$112)=$F29),0)),0)</f>
        <v>0</v>
      </c>
      <c r="M29" s="403" cm="1">
        <f t="array" aca="1" ref="M29" ca="1">IFERROR(SUM(_xlfn._xlws.FILTER(INDIRECT(M$112),(INDIRECT($B$112)=$B29)*(INDIRECT($D$112)=$D29)*(INDIRECT($F$112)=$F29),0)),0)</f>
        <v>0</v>
      </c>
      <c r="N29" s="403" cm="1">
        <f t="array" aca="1" ref="N29" ca="1">IFERROR(SUM(_xlfn._xlws.FILTER(INDIRECT(N$112),(INDIRECT($B$112)=$B29)*(INDIRECT($D$112)=$D29)*(INDIRECT($F$112)=$F29),0)),0)</f>
        <v>0</v>
      </c>
      <c r="O29" s="403" cm="1">
        <f t="array" aca="1" ref="O29" ca="1">IFERROR(SUM(_xlfn._xlws.FILTER(INDIRECT(O$112),(INDIRECT($B$112)=$B29)*(INDIRECT($D$112)=$D29)*(INDIRECT($F$112)=$F29),0)),0)</f>
        <v>0</v>
      </c>
      <c r="P29" s="403" cm="1">
        <f t="array" aca="1" ref="P29" ca="1">IFERROR(SUM(_xlfn._xlws.FILTER(INDIRECT(P$112),(INDIRECT($B$112)=$B29)*(INDIRECT($D$112)=$D29)*(INDIRECT($F$112)=$F29),0)),0)</f>
        <v>0</v>
      </c>
      <c r="Q29" s="403" cm="1">
        <f t="array" aca="1" ref="Q29" ca="1">IFERROR(SUM(_xlfn._xlws.FILTER(INDIRECT(Q$112),(INDIRECT($B$112)=$B29)*(INDIRECT($D$112)=$D29)*(INDIRECT($F$112)=$F29),0)),0)</f>
        <v>0</v>
      </c>
      <c r="R29" s="403" cm="1">
        <f t="array" aca="1" ref="R29" ca="1">IFERROR(SUM(_xlfn._xlws.FILTER(INDIRECT(R$112),(INDIRECT($B$112)=$B29)*(INDIRECT($D$112)=$D29)*(INDIRECT($F$112)=$F29),0)),0)</f>
        <v>0</v>
      </c>
      <c r="S29" s="403" cm="1">
        <f t="array" aca="1" ref="S29" ca="1">IFERROR(SUM(_xlfn._xlws.FILTER(INDIRECT(S$112),(INDIRECT($B$112)=$B29)*(INDIRECT($D$112)=$D29)*(INDIRECT($F$112)=$F29),0)),0)</f>
        <v>0</v>
      </c>
      <c r="T29" s="403" cm="1">
        <f t="array" aca="1" ref="T29" ca="1">IFERROR(SUM(_xlfn._xlws.FILTER(INDIRECT(T$112),(INDIRECT($B$112)=$B29)*(INDIRECT($D$112)=$D29)*(INDIRECT($F$112)=$F29),0)),0)</f>
        <v>0</v>
      </c>
      <c r="U29" s="403" cm="1">
        <f t="array" aca="1" ref="U29" ca="1">IFERROR(SUM(_xlfn._xlws.FILTER(INDIRECT(U$112),(INDIRECT($B$112)=$B29)*(INDIRECT($D$112)=$D29)*(INDIRECT($F$112)=$F29),0)),0)</f>
        <v>0</v>
      </c>
      <c r="V29" s="403" cm="1">
        <f t="array" aca="1" ref="V29" ca="1">IFERROR(SUM(_xlfn._xlws.FILTER(INDIRECT(V$112),(INDIRECT($B$112)=$B29)*(INDIRECT($D$112)=$D29)*(INDIRECT($F$112)=$F29),0)),0)</f>
        <v>0</v>
      </c>
      <c r="W29" s="403" cm="1">
        <f t="array" aca="1" ref="W29" ca="1">IFERROR(SUM(_xlfn._xlws.FILTER(INDIRECT(W$112),(INDIRECT($B$112)=$B29)*(INDIRECT($D$112)=$D29)*(INDIRECT($F$112)=$F29),0)),0)</f>
        <v>0</v>
      </c>
      <c r="X29" s="403" cm="1">
        <f t="array" aca="1" ref="X29" ca="1">IFERROR(SUM(_xlfn._xlws.FILTER(INDIRECT(X$112),(INDIRECT($B$112)=$B29)*(INDIRECT($D$112)=$D29)*(INDIRECT($F$112)=$F29),0)),0)</f>
        <v>0</v>
      </c>
      <c r="Y29" s="403" cm="1">
        <f t="array" aca="1" ref="Y29" ca="1">IFERROR(SUM(_xlfn._xlws.FILTER(INDIRECT(Y$112),(INDIRECT($B$112)=$B29)*(INDIRECT($D$112)=$D29)*(INDIRECT($F$112)=$F29),0)),0)</f>
        <v>0</v>
      </c>
      <c r="Z29" s="403" cm="1">
        <f t="array" aca="1" ref="Z29" ca="1">IFERROR(SUM(_xlfn._xlws.FILTER(INDIRECT(Z$112),(INDIRECT($B$112)=$B29)*(INDIRECT($D$112)=$D29)*(INDIRECT($F$112)=$F29),0)),0)</f>
        <v>0</v>
      </c>
      <c r="AA29" s="403" cm="1">
        <f t="array" aca="1" ref="AA29" ca="1">IFERROR(SUM(_xlfn._xlws.FILTER(INDIRECT(AA$112),(INDIRECT($B$112)=$B29)*(INDIRECT($D$112)=$D29)*(INDIRECT($F$112)=$F29),0)),0)</f>
        <v>0</v>
      </c>
      <c r="AB29" s="403" cm="1">
        <f t="array" aca="1" ref="AB29" ca="1">IFERROR(SUM(_xlfn._xlws.FILTER(INDIRECT(AB$112),(INDIRECT($B$112)=$B29)*(INDIRECT($D$112)=$D29)*(INDIRECT($F$112)=$F29),0)),0)</f>
        <v>0</v>
      </c>
      <c r="AC29" s="403" cm="1">
        <f t="array" aca="1" ref="AC29" ca="1">IFERROR(SUM(_xlfn._xlws.FILTER(INDIRECT(AC$112),(INDIRECT($B$112)=$B29)*(INDIRECT($D$112)=$D29)*(INDIRECT($F$112)=$F29),0)),0)</f>
        <v>0</v>
      </c>
      <c r="AD29" s="403" cm="1">
        <f t="array" aca="1" ref="AD29" ca="1">IFERROR(SUM(_xlfn._xlws.FILTER(INDIRECT(AD$112),(INDIRECT($B$112)=$B29)*(INDIRECT($D$112)=$D29)*(INDIRECT($F$112)=$F29),0)),0)</f>
        <v>0</v>
      </c>
      <c r="AE29" s="403" cm="1">
        <f t="array" aca="1" ref="AE29" ca="1">IFERROR(SUM(_xlfn._xlws.FILTER(INDIRECT(AE$112),(INDIRECT($B$112)=$B29)*(INDIRECT($D$112)=$D29)*(INDIRECT($F$112)=$F29),0)),0)</f>
        <v>0</v>
      </c>
      <c r="AF29" s="403" cm="1">
        <f t="array" aca="1" ref="AF29" ca="1">IFERROR(SUM(_xlfn._xlws.FILTER(INDIRECT(AF$112),(INDIRECT($B$112)=$B29)*(INDIRECT($D$112)=$D29)*(INDIRECT($F$112)=$F29),0)),0)</f>
        <v>0</v>
      </c>
      <c r="AG29" s="403" cm="1">
        <f t="array" aca="1" ref="AG29" ca="1">IFERROR(SUM(_xlfn._xlws.FILTER(INDIRECT(AG$112),(INDIRECT($B$112)=$B29)*(INDIRECT($D$112)=$D29)*(INDIRECT($F$112)=$F29),0)),0)</f>
        <v>0</v>
      </c>
      <c r="AH29" s="403" cm="1">
        <f t="array" aca="1" ref="AH29" ca="1">IFERROR(SUM(_xlfn._xlws.FILTER(INDIRECT(AH$112),(INDIRECT($B$112)=$B29)*(INDIRECT($D$112)=$D29)*(INDIRECT($F$112)=$F29),0)),0)</f>
        <v>0</v>
      </c>
      <c r="AI29" s="403" cm="1">
        <f t="array" aca="1" ref="AI29" ca="1">IFERROR(SUM(_xlfn._xlws.FILTER(INDIRECT(AI$112),(INDIRECT($B$112)=$B29)*(INDIRECT($D$112)=$D29)*(INDIRECT($F$112)=$F29),0)),0)</f>
        <v>0</v>
      </c>
      <c r="AJ29" s="403" cm="1">
        <f t="array" aca="1" ref="AJ29" ca="1">IFERROR(SUM(_xlfn._xlws.FILTER(INDIRECT(AJ$112),(INDIRECT($B$112)=$B29)*(INDIRECT($D$112)=$D29)*(INDIRECT($F$112)=$F29),0)),0)</f>
        <v>3207.94</v>
      </c>
      <c r="AK29" s="403" cm="1">
        <f t="array" aca="1" ref="AK29" ca="1">IFERROR(SUM(_xlfn._xlws.FILTER(INDIRECT(AK$112),(INDIRECT($B$112)=$B29)*(INDIRECT($D$112)=$D29)*(INDIRECT($F$112)=$F29),0)),0)</f>
        <v>0</v>
      </c>
      <c r="AL29" s="403" cm="1">
        <f t="array" aca="1" ref="AL29" ca="1">IFERROR(SUM(_xlfn._xlws.FILTER(INDIRECT(AL$112),(INDIRECT($B$112)=$B29)*(INDIRECT($D$112)=$D29)*(INDIRECT($F$112)=$F29),0)),0)</f>
        <v>0</v>
      </c>
      <c r="AM29" s="403" cm="1">
        <f t="array" aca="1" ref="AM29" ca="1">IFERROR(SUM(_xlfn._xlws.FILTER(INDIRECT(AM$112),(INDIRECT($B$112)=$B29)*(INDIRECT($D$112)=$D29)*(INDIRECT($F$112)=$F29),0)),0)</f>
        <v>0</v>
      </c>
      <c r="AN29" s="403" cm="1">
        <f t="array" aca="1" ref="AN29" ca="1">IFERROR(SUM(_xlfn._xlws.FILTER(INDIRECT(AN$112),(INDIRECT($B$112)=$B29)*(INDIRECT($D$112)=$D29)*(INDIRECT($F$112)=$F29),0)),0)</f>
        <v>141.6</v>
      </c>
      <c r="AO29" s="403" cm="1">
        <f t="array" aca="1" ref="AO29" ca="1">IFERROR(SUM(_xlfn._xlws.FILTER(INDIRECT(AO$112),(INDIRECT($B$112)=$B29)*(INDIRECT($D$112)=$D29)*(INDIRECT($F$112)=$F29),0)),0)</f>
        <v>0</v>
      </c>
      <c r="AP29" s="403" cm="1">
        <f t="array" aca="1" ref="AP29" ca="1">IFERROR(SUM(_xlfn._xlws.FILTER(INDIRECT(AP$112),(INDIRECT($B$112)=$B29)*(INDIRECT($D$112)=$D29)*(INDIRECT($F$112)=$F29),0)),0)</f>
        <v>0</v>
      </c>
      <c r="AQ29" s="403" cm="1">
        <f t="array" aca="1" ref="AQ29" ca="1">IFERROR(SUM(_xlfn._xlws.FILTER(INDIRECT(AQ$112),(INDIRECT($B$112)=$B29)*(INDIRECT($D$112)=$D29)*(INDIRECT($F$112)=$F29),0)),0)</f>
        <v>0</v>
      </c>
      <c r="AR29" s="403" cm="1">
        <f t="array" aca="1" ref="AR29" ca="1">IFERROR(SUM(_xlfn._xlws.FILTER(INDIRECT(AR$112),(INDIRECT($B$112)=$B29)*(INDIRECT($D$112)=$D29)*(INDIRECT($F$112)=$F29),0)),0)</f>
        <v>3349.54</v>
      </c>
      <c r="AS29" s="286" t="str">
        <f t="shared" ca="1" si="4"/>
        <v>G29:AP29</v>
      </c>
      <c r="AT29" s="403">
        <f t="shared" ca="1" si="3"/>
        <v>3349.54</v>
      </c>
      <c r="AV29" s="142" cm="1">
        <f t="array" aca="1" ref="AV29" ca="1">IF(AND(_xlfn.LET(_xlpm.x,SUM(ROW()),OR(AND(MATCH("SOT",$A:$A,0)&lt;_xlpm.x,MATCH("EOT",$A:$A,0)&gt;_xlpm.x),AND(MATCH("SOS",$A:$A,0)&lt;_xlpm.x,MATCH("EOS",$A:$A,0)&gt;_xlpm.x),AND(MATCH("SOR",$A:$A,0)&lt;_xlpm.x,MATCH("EOR",$A:$A,0)&gt;_xlpm.x))),INDIRECT("rc"&amp;MATCH("SCD",$1:$1,0),FALSE)="PPTO"),1,0)</f>
        <v>0</v>
      </c>
      <c r="AW29" s="142" cm="1">
        <f t="array" aca="1" ref="AW2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30" spans="1:49" s="153" customFormat="1" outlineLevel="2">
      <c r="A30" s="152"/>
      <c r="B30" s="401" t="str">
        <f ca="1"/>
        <v>31200</v>
      </c>
      <c r="C30" s="148"/>
      <c r="D30" s="404" t="str">
        <f ca="1"/>
        <v>PMTS</v>
      </c>
      <c r="E30" s="350" t="str" cm="1">
        <f t="array" aca="1" ref="E30" ca="1">UPPER(_xlfn.UNIQUE(_xlfn._xlws.FILTER(TbStd[OFbStd],TbStd[RowGrp]=$D30,"X")))</f>
        <v>START-UP TOOLS @SERRA</v>
      </c>
      <c r="F30" s="402" t="str">
        <f ca="1"/>
        <v>REAL</v>
      </c>
      <c r="G30" s="403" cm="1">
        <f t="array" aca="1" ref="G30" ca="1">IFERROR(SUM(_xlfn._xlws.FILTER(INDIRECT(G$112),(INDIRECT($B$112)=$B30)*(INDIRECT($D$112)=$D30)*(INDIRECT($F$112)=$F30),0)),0)</f>
        <v>0</v>
      </c>
      <c r="H30" s="403" cm="1">
        <f t="array" aca="1" ref="H30" ca="1">IFERROR(SUM(_xlfn._xlws.FILTER(INDIRECT(H$112),(INDIRECT($B$112)=$B30)*(INDIRECT($D$112)=$D30)*(INDIRECT($F$112)=$F30),0)),0)</f>
        <v>0</v>
      </c>
      <c r="I30" s="403" cm="1">
        <f t="array" aca="1" ref="I30" ca="1">IFERROR(SUM(_xlfn._xlws.FILTER(INDIRECT(I$112),(INDIRECT($B$112)=$B30)*(INDIRECT($D$112)=$D30)*(INDIRECT($F$112)=$F30),0)),0)</f>
        <v>0</v>
      </c>
      <c r="J30" s="403" cm="1">
        <f t="array" aca="1" ref="J30" ca="1">IFERROR(SUM(_xlfn._xlws.FILTER(INDIRECT(J$112),(INDIRECT($B$112)=$B30)*(INDIRECT($D$112)=$D30)*(INDIRECT($F$112)=$F30),0)),0)</f>
        <v>0</v>
      </c>
      <c r="K30" s="403" cm="1">
        <f t="array" aca="1" ref="K30" ca="1">IFERROR(SUM(_xlfn._xlws.FILTER(INDIRECT(K$112),(INDIRECT($B$112)=$B30)*(INDIRECT($D$112)=$D30)*(INDIRECT($F$112)=$F30),0)),0)</f>
        <v>0</v>
      </c>
      <c r="L30" s="403" cm="1">
        <f t="array" aca="1" ref="L30" ca="1">IFERROR(SUM(_xlfn._xlws.FILTER(INDIRECT(L$112),(INDIRECT($B$112)=$B30)*(INDIRECT($D$112)=$D30)*(INDIRECT($F$112)=$F30),0)),0)</f>
        <v>0</v>
      </c>
      <c r="M30" s="403" cm="1">
        <f t="array" aca="1" ref="M30" ca="1">IFERROR(SUM(_xlfn._xlws.FILTER(INDIRECT(M$112),(INDIRECT($B$112)=$B30)*(INDIRECT($D$112)=$D30)*(INDIRECT($F$112)=$F30),0)),0)</f>
        <v>0</v>
      </c>
      <c r="N30" s="403" cm="1">
        <f t="array" aca="1" ref="N30" ca="1">IFERROR(SUM(_xlfn._xlws.FILTER(INDIRECT(N$112),(INDIRECT($B$112)=$B30)*(INDIRECT($D$112)=$D30)*(INDIRECT($F$112)=$F30),0)),0)</f>
        <v>0</v>
      </c>
      <c r="O30" s="403" cm="1">
        <f t="array" aca="1" ref="O30" ca="1">IFERROR(SUM(_xlfn._xlws.FILTER(INDIRECT(O$112),(INDIRECT($B$112)=$B30)*(INDIRECT($D$112)=$D30)*(INDIRECT($F$112)=$F30),0)),0)</f>
        <v>0</v>
      </c>
      <c r="P30" s="403" cm="1">
        <f t="array" aca="1" ref="P30" ca="1">IFERROR(SUM(_xlfn._xlws.FILTER(INDIRECT(P$112),(INDIRECT($B$112)=$B30)*(INDIRECT($D$112)=$D30)*(INDIRECT($F$112)=$F30),0)),0)</f>
        <v>0</v>
      </c>
      <c r="Q30" s="403" cm="1">
        <f t="array" aca="1" ref="Q30" ca="1">IFERROR(SUM(_xlfn._xlws.FILTER(INDIRECT(Q$112),(INDIRECT($B$112)=$B30)*(INDIRECT($D$112)=$D30)*(INDIRECT($F$112)=$F30),0)),0)</f>
        <v>0</v>
      </c>
      <c r="R30" s="403" cm="1">
        <f t="array" aca="1" ref="R30" ca="1">IFERROR(SUM(_xlfn._xlws.FILTER(INDIRECT(R$112),(INDIRECT($B$112)=$B30)*(INDIRECT($D$112)=$D30)*(INDIRECT($F$112)=$F30),0)),0)</f>
        <v>0</v>
      </c>
      <c r="S30" s="403" cm="1">
        <f t="array" aca="1" ref="S30" ca="1">IFERROR(SUM(_xlfn._xlws.FILTER(INDIRECT(S$112),(INDIRECT($B$112)=$B30)*(INDIRECT($D$112)=$D30)*(INDIRECT($F$112)=$F30),0)),0)</f>
        <v>0</v>
      </c>
      <c r="T30" s="403" cm="1">
        <f t="array" aca="1" ref="T30" ca="1">IFERROR(SUM(_xlfn._xlws.FILTER(INDIRECT(T$112),(INDIRECT($B$112)=$B30)*(INDIRECT($D$112)=$D30)*(INDIRECT($F$112)=$F30),0)),0)</f>
        <v>0</v>
      </c>
      <c r="U30" s="403" cm="1">
        <f t="array" aca="1" ref="U30" ca="1">IFERROR(SUM(_xlfn._xlws.FILTER(INDIRECT(U$112),(INDIRECT($B$112)=$B30)*(INDIRECT($D$112)=$D30)*(INDIRECT($F$112)=$F30),0)),0)</f>
        <v>0</v>
      </c>
      <c r="V30" s="403" cm="1">
        <f t="array" aca="1" ref="V30" ca="1">IFERROR(SUM(_xlfn._xlws.FILTER(INDIRECT(V$112),(INDIRECT($B$112)=$B30)*(INDIRECT($D$112)=$D30)*(INDIRECT($F$112)=$F30),0)),0)</f>
        <v>19.75</v>
      </c>
      <c r="W30" s="403" cm="1">
        <f t="array" aca="1" ref="W30" ca="1">IFERROR(SUM(_xlfn._xlws.FILTER(INDIRECT(W$112),(INDIRECT($B$112)=$B30)*(INDIRECT($D$112)=$D30)*(INDIRECT($F$112)=$F30),0)),0)</f>
        <v>38079.120000000003</v>
      </c>
      <c r="X30" s="403" cm="1">
        <f t="array" aca="1" ref="X30" ca="1">IFERROR(SUM(_xlfn._xlws.FILTER(INDIRECT(X$112),(INDIRECT($B$112)=$B30)*(INDIRECT($D$112)=$D30)*(INDIRECT($F$112)=$F30),0)),0)</f>
        <v>0</v>
      </c>
      <c r="Y30" s="403" cm="1">
        <f t="array" aca="1" ref="Y30" ca="1">IFERROR(SUM(_xlfn._xlws.FILTER(INDIRECT(Y$112),(INDIRECT($B$112)=$B30)*(INDIRECT($D$112)=$D30)*(INDIRECT($F$112)=$F30),0)),0)</f>
        <v>238.48</v>
      </c>
      <c r="Z30" s="403" cm="1">
        <f t="array" aca="1" ref="Z30" ca="1">IFERROR(SUM(_xlfn._xlws.FILTER(INDIRECT(Z$112),(INDIRECT($B$112)=$B30)*(INDIRECT($D$112)=$D30)*(INDIRECT($F$112)=$F30),0)),0)</f>
        <v>0</v>
      </c>
      <c r="AA30" s="403" cm="1">
        <f t="array" aca="1" ref="AA30" ca="1">IFERROR(SUM(_xlfn._xlws.FILTER(INDIRECT(AA$112),(INDIRECT($B$112)=$B30)*(INDIRECT($D$112)=$D30)*(INDIRECT($F$112)=$F30),0)),0)</f>
        <v>0</v>
      </c>
      <c r="AB30" s="403" cm="1">
        <f t="array" aca="1" ref="AB30" ca="1">IFERROR(SUM(_xlfn._xlws.FILTER(INDIRECT(AB$112),(INDIRECT($B$112)=$B30)*(INDIRECT($D$112)=$D30)*(INDIRECT($F$112)=$F30),0)),0)</f>
        <v>0</v>
      </c>
      <c r="AC30" s="403" cm="1">
        <f t="array" aca="1" ref="AC30" ca="1">IFERROR(SUM(_xlfn._xlws.FILTER(INDIRECT(AC$112),(INDIRECT($B$112)=$B30)*(INDIRECT($D$112)=$D30)*(INDIRECT($F$112)=$F30),0)),0)</f>
        <v>0</v>
      </c>
      <c r="AD30" s="403" cm="1">
        <f t="array" aca="1" ref="AD30" ca="1">IFERROR(SUM(_xlfn._xlws.FILTER(INDIRECT(AD$112),(INDIRECT($B$112)=$B30)*(INDIRECT($D$112)=$D30)*(INDIRECT($F$112)=$F30),0)),0)</f>
        <v>0</v>
      </c>
      <c r="AE30" s="403" cm="1">
        <f t="array" aca="1" ref="AE30" ca="1">IFERROR(SUM(_xlfn._xlws.FILTER(INDIRECT(AE$112),(INDIRECT($B$112)=$B30)*(INDIRECT($D$112)=$D30)*(INDIRECT($F$112)=$F30),0)),0)</f>
        <v>0</v>
      </c>
      <c r="AF30" s="403" cm="1">
        <f t="array" aca="1" ref="AF30" ca="1">IFERROR(SUM(_xlfn._xlws.FILTER(INDIRECT(AF$112),(INDIRECT($B$112)=$B30)*(INDIRECT($D$112)=$D30)*(INDIRECT($F$112)=$F30),0)),0)</f>
        <v>0</v>
      </c>
      <c r="AG30" s="403" cm="1">
        <f t="array" aca="1" ref="AG30" ca="1">IFERROR(SUM(_xlfn._xlws.FILTER(INDIRECT(AG$112),(INDIRECT($B$112)=$B30)*(INDIRECT($D$112)=$D30)*(INDIRECT($F$112)=$F30),0)),0)</f>
        <v>0</v>
      </c>
      <c r="AH30" s="403" cm="1">
        <f t="array" aca="1" ref="AH30" ca="1">IFERROR(SUM(_xlfn._xlws.FILTER(INDIRECT(AH$112),(INDIRECT($B$112)=$B30)*(INDIRECT($D$112)=$D30)*(INDIRECT($F$112)=$F30),0)),0)</f>
        <v>0</v>
      </c>
      <c r="AI30" s="403" cm="1">
        <f t="array" aca="1" ref="AI30" ca="1">IFERROR(SUM(_xlfn._xlws.FILTER(INDIRECT(AI$112),(INDIRECT($B$112)=$B30)*(INDIRECT($D$112)=$D30)*(INDIRECT($F$112)=$F30),0)),0)</f>
        <v>0</v>
      </c>
      <c r="AJ30" s="403" cm="1">
        <f t="array" aca="1" ref="AJ30" ca="1">IFERROR(SUM(_xlfn._xlws.FILTER(INDIRECT(AJ$112),(INDIRECT($B$112)=$B30)*(INDIRECT($D$112)=$D30)*(INDIRECT($F$112)=$F30),0)),0)</f>
        <v>3285.71</v>
      </c>
      <c r="AK30" s="403" cm="1">
        <f t="array" aca="1" ref="AK30" ca="1">IFERROR(SUM(_xlfn._xlws.FILTER(INDIRECT(AK$112),(INDIRECT($B$112)=$B30)*(INDIRECT($D$112)=$D30)*(INDIRECT($F$112)=$F30),0)),0)</f>
        <v>0</v>
      </c>
      <c r="AL30" s="403" cm="1">
        <f t="array" aca="1" ref="AL30" ca="1">IFERROR(SUM(_xlfn._xlws.FILTER(INDIRECT(AL$112),(INDIRECT($B$112)=$B30)*(INDIRECT($D$112)=$D30)*(INDIRECT($F$112)=$F30),0)),0)</f>
        <v>12</v>
      </c>
      <c r="AM30" s="403" cm="1">
        <f t="array" aca="1" ref="AM30" ca="1">IFERROR(SUM(_xlfn._xlws.FILTER(INDIRECT(AM$112),(INDIRECT($B$112)=$B30)*(INDIRECT($D$112)=$D30)*(INDIRECT($F$112)=$F30),0)),0)</f>
        <v>0</v>
      </c>
      <c r="AN30" s="403" cm="1">
        <f t="array" aca="1" ref="AN30" ca="1">IFERROR(SUM(_xlfn._xlws.FILTER(INDIRECT(AN$112),(INDIRECT($B$112)=$B30)*(INDIRECT($D$112)=$D30)*(INDIRECT($F$112)=$F30),0)),0)</f>
        <v>146.47</v>
      </c>
      <c r="AO30" s="403" cm="1">
        <f t="array" aca="1" ref="AO30" ca="1">IFERROR(SUM(_xlfn._xlws.FILTER(INDIRECT(AO$112),(INDIRECT($B$112)=$B30)*(INDIRECT($D$112)=$D30)*(INDIRECT($F$112)=$F30),0)),0)</f>
        <v>0</v>
      </c>
      <c r="AP30" s="403" cm="1">
        <f t="array" aca="1" ref="AP30" ca="1">IFERROR(SUM(_xlfn._xlws.FILTER(INDIRECT(AP$112),(INDIRECT($B$112)=$B30)*(INDIRECT($D$112)=$D30)*(INDIRECT($F$112)=$F30),0)),0)</f>
        <v>0</v>
      </c>
      <c r="AQ30" s="403" cm="1">
        <f t="array" aca="1" ref="AQ30" ca="1">IFERROR(SUM(_xlfn._xlws.FILTER(INDIRECT(AQ$112),(INDIRECT($B$112)=$B30)*(INDIRECT($D$112)=$D30)*(INDIRECT($F$112)=$F30),0)),0)</f>
        <v>38317.600000000006</v>
      </c>
      <c r="AR30" s="403" cm="1">
        <f t="array" aca="1" ref="AR30" ca="1">IFERROR(SUM(_xlfn._xlws.FILTER(INDIRECT(AR$112),(INDIRECT($B$112)=$B30)*(INDIRECT($D$112)=$D30)*(INDIRECT($F$112)=$F30),0)),0)</f>
        <v>3463.93</v>
      </c>
      <c r="AS30" s="286" t="str">
        <f t="shared" ca="1" si="4"/>
        <v>G30:AP30</v>
      </c>
      <c r="AT30" s="403">
        <f t="shared" ca="1" si="3"/>
        <v>41781.530000000006</v>
      </c>
      <c r="AV30" s="142" cm="1">
        <f t="array" aca="1" ref="AV30" ca="1">IF(AND(_xlfn.LET(_xlpm.x,SUM(ROW()),OR(AND(MATCH("SOT",$A:$A,0)&lt;_xlpm.x,MATCH("EOT",$A:$A,0)&gt;_xlpm.x),AND(MATCH("SOS",$A:$A,0)&lt;_xlpm.x,MATCH("EOS",$A:$A,0)&gt;_xlpm.x),AND(MATCH("SOR",$A:$A,0)&lt;_xlpm.x,MATCH("EOR",$A:$A,0)&gt;_xlpm.x))),INDIRECT("rc"&amp;MATCH("SCD",$1:$1,0),FALSE)="PPTO"),1,0)</f>
        <v>0</v>
      </c>
      <c r="AW30" s="142" cm="1">
        <f t="array" aca="1" ref="AW3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31" spans="1:49" s="153" customFormat="1" outlineLevel="2">
      <c r="A31" s="152"/>
      <c r="B31" s="401" t="str">
        <f ca="1"/>
        <v>31200</v>
      </c>
      <c r="C31" s="148"/>
      <c r="D31" s="404" t="str">
        <f ca="1"/>
        <v>FABC</v>
      </c>
      <c r="E31" s="350" t="str" cm="1">
        <f t="array" aca="1" ref="E31" ca="1">UPPER(_xlfn.UNIQUE(_xlfn._xlws.FILTER(TbStd[OFbStd],TbStd[RowGrp]=$D31,"X")))</f>
        <v>MANUFACTURING CELLS</v>
      </c>
      <c r="F31" s="402" t="str">
        <f ca="1"/>
        <v>PPTO</v>
      </c>
      <c r="G31" s="403" cm="1">
        <f t="array" aca="1" ref="G31" ca="1">IFERROR(SUM(_xlfn._xlws.FILTER(INDIRECT(G$112),(INDIRECT($B$112)=$B31)*(INDIRECT($D$112)=$D31)*(INDIRECT($F$112)=$F31),0)),0)</f>
        <v>0</v>
      </c>
      <c r="H31" s="403" cm="1">
        <f t="array" aca="1" ref="H31" ca="1">IFERROR(SUM(_xlfn._xlws.FILTER(INDIRECT(H$112),(INDIRECT($B$112)=$B31)*(INDIRECT($D$112)=$D31)*(INDIRECT($F$112)=$F31),0)),0)</f>
        <v>0</v>
      </c>
      <c r="I31" s="403" cm="1">
        <f t="array" aca="1" ref="I31" ca="1">IFERROR(SUM(_xlfn._xlws.FILTER(INDIRECT(I$112),(INDIRECT($B$112)=$B31)*(INDIRECT($D$112)=$D31)*(INDIRECT($F$112)=$F31),0)),0)</f>
        <v>0</v>
      </c>
      <c r="J31" s="403" cm="1">
        <f t="array" aca="1" ref="J31" ca="1">IFERROR(SUM(_xlfn._xlws.FILTER(INDIRECT(J$112),(INDIRECT($B$112)=$B31)*(INDIRECT($D$112)=$D31)*(INDIRECT($F$112)=$F31),0)),0)</f>
        <v>0</v>
      </c>
      <c r="K31" s="403" cm="1">
        <f t="array" aca="1" ref="K31" ca="1">IFERROR(SUM(_xlfn._xlws.FILTER(INDIRECT(K$112),(INDIRECT($B$112)=$B31)*(INDIRECT($D$112)=$D31)*(INDIRECT($F$112)=$F31),0)),0)</f>
        <v>0</v>
      </c>
      <c r="L31" s="403" cm="1">
        <f t="array" aca="1" ref="L31" ca="1">IFERROR(SUM(_xlfn._xlws.FILTER(INDIRECT(L$112),(INDIRECT($B$112)=$B31)*(INDIRECT($D$112)=$D31)*(INDIRECT($F$112)=$F31),0)),0)</f>
        <v>0</v>
      </c>
      <c r="M31" s="403" cm="1">
        <f t="array" aca="1" ref="M31" ca="1">IFERROR(SUM(_xlfn._xlws.FILTER(INDIRECT(M$112),(INDIRECT($B$112)=$B31)*(INDIRECT($D$112)=$D31)*(INDIRECT($F$112)=$F31),0)),0)</f>
        <v>0</v>
      </c>
      <c r="N31" s="403" cm="1">
        <f t="array" aca="1" ref="N31" ca="1">IFERROR(SUM(_xlfn._xlws.FILTER(INDIRECT(N$112),(INDIRECT($B$112)=$B31)*(INDIRECT($D$112)=$D31)*(INDIRECT($F$112)=$F31),0)),0)</f>
        <v>0</v>
      </c>
      <c r="O31" s="403" cm="1">
        <f t="array" aca="1" ref="O31" ca="1">IFERROR(SUM(_xlfn._xlws.FILTER(INDIRECT(O$112),(INDIRECT($B$112)=$B31)*(INDIRECT($D$112)=$D31)*(INDIRECT($F$112)=$F31),0)),0)</f>
        <v>0</v>
      </c>
      <c r="P31" s="403" cm="1">
        <f t="array" aca="1" ref="P31" ca="1">IFERROR(SUM(_xlfn._xlws.FILTER(INDIRECT(P$112),(INDIRECT($B$112)=$B31)*(INDIRECT($D$112)=$D31)*(INDIRECT($F$112)=$F31),0)),0)</f>
        <v>0</v>
      </c>
      <c r="Q31" s="403" cm="1">
        <f t="array" aca="1" ref="Q31" ca="1">IFERROR(SUM(_xlfn._xlws.FILTER(INDIRECT(Q$112),(INDIRECT($B$112)=$B31)*(INDIRECT($D$112)=$D31)*(INDIRECT($F$112)=$F31),0)),0)</f>
        <v>0</v>
      </c>
      <c r="R31" s="403" cm="1">
        <f t="array" aca="1" ref="R31" ca="1">IFERROR(SUM(_xlfn._xlws.FILTER(INDIRECT(R$112),(INDIRECT($B$112)=$B31)*(INDIRECT($D$112)=$D31)*(INDIRECT($F$112)=$F31),0)),0)</f>
        <v>0</v>
      </c>
      <c r="S31" s="403" cm="1">
        <f t="array" aca="1" ref="S31" ca="1">IFERROR(SUM(_xlfn._xlws.FILTER(INDIRECT(S$112),(INDIRECT($B$112)=$B31)*(INDIRECT($D$112)=$D31)*(INDIRECT($F$112)=$F31),0)),0)</f>
        <v>0</v>
      </c>
      <c r="T31" s="403" cm="1">
        <f t="array" aca="1" ref="T31" ca="1">IFERROR(SUM(_xlfn._xlws.FILTER(INDIRECT(T$112),(INDIRECT($B$112)=$B31)*(INDIRECT($D$112)=$D31)*(INDIRECT($F$112)=$F31),0)),0)</f>
        <v>0</v>
      </c>
      <c r="U31" s="403" cm="1">
        <f t="array" aca="1" ref="U31" ca="1">IFERROR(SUM(_xlfn._xlws.FILTER(INDIRECT(U$112),(INDIRECT($B$112)=$B31)*(INDIRECT($D$112)=$D31)*(INDIRECT($F$112)=$F31),0)),0)</f>
        <v>19009.700878386426</v>
      </c>
      <c r="V31" s="403" cm="1">
        <f t="array" aca="1" ref="V31" ca="1">IFERROR(SUM(_xlfn._xlws.FILTER(INDIRECT(V$112),(INDIRECT($B$112)=$B31)*(INDIRECT($D$112)=$D31)*(INDIRECT($F$112)=$F31),0)),0)</f>
        <v>366767.63781129551</v>
      </c>
      <c r="W31" s="403" cm="1">
        <f t="array" aca="1" ref="W31" ca="1">IFERROR(SUM(_xlfn._xlws.FILTER(INDIRECT(W$112),(INDIRECT($B$112)=$B31)*(INDIRECT($D$112)=$D31)*(INDIRECT($F$112)=$F31),0)),0)</f>
        <v>0</v>
      </c>
      <c r="X31" s="403" cm="1">
        <f t="array" aca="1" ref="X31" ca="1">IFERROR(SUM(_xlfn._xlws.FILTER(INDIRECT(X$112),(INDIRECT($B$112)=$B31)*(INDIRECT($D$112)=$D31)*(INDIRECT($F$112)=$F31),0)),0)</f>
        <v>0</v>
      </c>
      <c r="Y31" s="403" cm="1">
        <f t="array" aca="1" ref="Y31" ca="1">IFERROR(SUM(_xlfn._xlws.FILTER(INDIRECT(Y$112),(INDIRECT($B$112)=$B31)*(INDIRECT($D$112)=$D31)*(INDIRECT($F$112)=$F31),0)),0)</f>
        <v>0</v>
      </c>
      <c r="Z31" s="403" cm="1">
        <f t="array" aca="1" ref="Z31" ca="1">IFERROR(SUM(_xlfn._xlws.FILTER(INDIRECT(Z$112),(INDIRECT($B$112)=$B31)*(INDIRECT($D$112)=$D31)*(INDIRECT($F$112)=$F31),0)),0)</f>
        <v>0</v>
      </c>
      <c r="AA31" s="403" cm="1">
        <f t="array" aca="1" ref="AA31" ca="1">IFERROR(SUM(_xlfn._xlws.FILTER(INDIRECT(AA$112),(INDIRECT($B$112)=$B31)*(INDIRECT($D$112)=$D31)*(INDIRECT($F$112)=$F31),0)),0)</f>
        <v>0</v>
      </c>
      <c r="AB31" s="403" cm="1">
        <f t="array" aca="1" ref="AB31" ca="1">IFERROR(SUM(_xlfn._xlws.FILTER(INDIRECT(AB$112),(INDIRECT($B$112)=$B31)*(INDIRECT($D$112)=$D31)*(INDIRECT($F$112)=$F31),0)),0)</f>
        <v>0</v>
      </c>
      <c r="AC31" s="403" cm="1">
        <f t="array" aca="1" ref="AC31" ca="1">IFERROR(SUM(_xlfn._xlws.FILTER(INDIRECT(AC$112),(INDIRECT($B$112)=$B31)*(INDIRECT($D$112)=$D31)*(INDIRECT($F$112)=$F31),0)),0)</f>
        <v>6034.5820189139995</v>
      </c>
      <c r="AD31" s="403" cm="1">
        <f t="array" aca="1" ref="AD31" ca="1">IFERROR(SUM(_xlfn._xlws.FILTER(INDIRECT(AD$112),(INDIRECT($B$112)=$B31)*(INDIRECT($D$112)=$D31)*(INDIRECT($F$112)=$F31),0)),0)</f>
        <v>38632.765862033993</v>
      </c>
      <c r="AE31" s="403" cm="1">
        <f t="array" aca="1" ref="AE31" ca="1">IFERROR(SUM(_xlfn._xlws.FILTER(INDIRECT(AE$112),(INDIRECT($B$112)=$B31)*(INDIRECT($D$112)=$D31)*(INDIRECT($F$112)=$F31),0)),0)</f>
        <v>0</v>
      </c>
      <c r="AF31" s="403" cm="1">
        <f t="array" aca="1" ref="AF31" ca="1">IFERROR(SUM(_xlfn._xlws.FILTER(INDIRECT(AF$112),(INDIRECT($B$112)=$B31)*(INDIRECT($D$112)=$D31)*(INDIRECT($F$112)=$F31),0)),0)</f>
        <v>0</v>
      </c>
      <c r="AG31" s="403" cm="1">
        <f t="array" aca="1" ref="AG31" ca="1">IFERROR(SUM(_xlfn._xlws.FILTER(INDIRECT(AG$112),(INDIRECT($B$112)=$B31)*(INDIRECT($D$112)=$D31)*(INDIRECT($F$112)=$F31),0)),0)</f>
        <v>0</v>
      </c>
      <c r="AH31" s="403" cm="1">
        <f t="array" aca="1" ref="AH31" ca="1">IFERROR(SUM(_xlfn._xlws.FILTER(INDIRECT(AH$112),(INDIRECT($B$112)=$B31)*(INDIRECT($D$112)=$D31)*(INDIRECT($F$112)=$F31),0)),0)</f>
        <v>0</v>
      </c>
      <c r="AI31" s="403" cm="1">
        <f t="array" aca="1" ref="AI31" ca="1">IFERROR(SUM(_xlfn._xlws.FILTER(INDIRECT(AI$112),(INDIRECT($B$112)=$B31)*(INDIRECT($D$112)=$D31)*(INDIRECT($F$112)=$F31),0)),0)</f>
        <v>0</v>
      </c>
      <c r="AJ31" s="403" cm="1">
        <f t="array" aca="1" ref="AJ31" ca="1">IFERROR(SUM(_xlfn._xlws.FILTER(INDIRECT(AJ$112),(INDIRECT($B$112)=$B31)*(INDIRECT($D$112)=$D31)*(INDIRECT($F$112)=$F31),0)),0)</f>
        <v>316535.35949999985</v>
      </c>
      <c r="AK31" s="403" cm="1">
        <f t="array" aca="1" ref="AK31" ca="1">IFERROR(SUM(_xlfn._xlws.FILTER(INDIRECT(AK$112),(INDIRECT($B$112)=$B31)*(INDIRECT($D$112)=$D31)*(INDIRECT($F$112)=$F31),0)),0)</f>
        <v>0</v>
      </c>
      <c r="AL31" s="403" cm="1">
        <f t="array" aca="1" ref="AL31" ca="1">IFERROR(SUM(_xlfn._xlws.FILTER(INDIRECT(AL$112),(INDIRECT($B$112)=$B31)*(INDIRECT($D$112)=$D31)*(INDIRECT($F$112)=$F31),0)),0)</f>
        <v>242006.39</v>
      </c>
      <c r="AM31" s="403" cm="1">
        <f t="array" aca="1" ref="AM31" ca="1">IFERROR(SUM(_xlfn._xlws.FILTER(INDIRECT(AM$112),(INDIRECT($B$112)=$B31)*(INDIRECT($D$112)=$D31)*(INDIRECT($F$112)=$F31),0)),0)</f>
        <v>0</v>
      </c>
      <c r="AN31" s="403" cm="1">
        <f t="array" aca="1" ref="AN31" ca="1">IFERROR(SUM(_xlfn._xlws.FILTER(INDIRECT(AN$112),(INDIRECT($B$112)=$B31)*(INDIRECT($D$112)=$D31)*(INDIRECT($F$112)=$F31),0)),0)</f>
        <v>0</v>
      </c>
      <c r="AO31" s="403" cm="1">
        <f t="array" aca="1" ref="AO31" ca="1">IFERROR(SUM(_xlfn._xlws.FILTER(INDIRECT(AO$112),(INDIRECT($B$112)=$B31)*(INDIRECT($D$112)=$D31)*(INDIRECT($F$112)=$F31),0)),0)</f>
        <v>0</v>
      </c>
      <c r="AP31" s="403" cm="1">
        <f t="array" aca="1" ref="AP31" ca="1">IFERROR(SUM(_xlfn._xlws.FILTER(INDIRECT(AP$112),(INDIRECT($B$112)=$B31)*(INDIRECT($D$112)=$D31)*(INDIRECT($F$112)=$F31),0)),0)</f>
        <v>0</v>
      </c>
      <c r="AQ31" s="403" cm="1">
        <f t="array" aca="1" ref="AQ31" ca="1">IFERROR(SUM(_xlfn._xlws.FILTER(INDIRECT(AQ$112),(INDIRECT($B$112)=$B31)*(INDIRECT($D$112)=$D31)*(INDIRECT($F$112)=$F31),0)),0)</f>
        <v>25044.282897300425</v>
      </c>
      <c r="AR31" s="403" cm="1">
        <f t="array" aca="1" ref="AR31" ca="1">IFERROR(SUM(_xlfn._xlws.FILTER(INDIRECT(AR$112),(INDIRECT($B$112)=$B31)*(INDIRECT($D$112)=$D31)*(INDIRECT($F$112)=$F31),0)),0)</f>
        <v>963942.15317332931</v>
      </c>
      <c r="AS31" s="286" t="str">
        <f t="shared" ca="1" si="4"/>
        <v>G31:AP31</v>
      </c>
      <c r="AT31" s="403">
        <f t="shared" ca="1" si="3"/>
        <v>988986.43607062974</v>
      </c>
      <c r="AV31" s="142" cm="1">
        <f t="array" aca="1" ref="AV31" ca="1">IF(AND(_xlfn.LET(_xlpm.x,SUM(ROW()),OR(AND(MATCH("SOT",$A:$A,0)&lt;_xlpm.x,MATCH("EOT",$A:$A,0)&gt;_xlpm.x),AND(MATCH("SOS",$A:$A,0)&lt;_xlpm.x,MATCH("EOS",$A:$A,0)&gt;_xlpm.x),AND(MATCH("SOR",$A:$A,0)&lt;_xlpm.x,MATCH("EOR",$A:$A,0)&gt;_xlpm.x))),INDIRECT("rc"&amp;MATCH("SCD",$1:$1,0),FALSE)="PPTO"),1,0)</f>
        <v>1</v>
      </c>
      <c r="AW31" s="142" cm="1">
        <f t="array" aca="1" ref="AW3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32" spans="1:49" s="153" customFormat="1" outlineLevel="2">
      <c r="A32" s="152"/>
      <c r="B32" s="401" t="str">
        <f ca="1"/>
        <v>31200</v>
      </c>
      <c r="C32" s="148"/>
      <c r="D32" s="404" t="str">
        <f ca="1"/>
        <v>FABC</v>
      </c>
      <c r="E32" s="350" t="str" cm="1">
        <f t="array" aca="1" ref="E32" ca="1">UPPER(_xlfn.UNIQUE(_xlfn._xlws.FILTER(TbStd[OFbStd],TbStd[RowGrp]=$D32,"X")))</f>
        <v>MANUFACTURING CELLS</v>
      </c>
      <c r="F32" s="402" t="str">
        <f ca="1"/>
        <v>PREV</v>
      </c>
      <c r="G32" s="403" cm="1">
        <f t="array" aca="1" ref="G32" ca="1">IFERROR(SUM(_xlfn._xlws.FILTER(INDIRECT(G$112),(INDIRECT($B$112)=$B32)*(INDIRECT($D$112)=$D32)*(INDIRECT($F$112)=$F32),0)),0)</f>
        <v>0</v>
      </c>
      <c r="H32" s="403" cm="1">
        <f t="array" aca="1" ref="H32" ca="1">IFERROR(SUM(_xlfn._xlws.FILTER(INDIRECT(H$112),(INDIRECT($B$112)=$B32)*(INDIRECT($D$112)=$D32)*(INDIRECT($F$112)=$F32),0)),0)</f>
        <v>0</v>
      </c>
      <c r="I32" s="403" cm="1">
        <f t="array" aca="1" ref="I32" ca="1">IFERROR(SUM(_xlfn._xlws.FILTER(INDIRECT(I$112),(INDIRECT($B$112)=$B32)*(INDIRECT($D$112)=$D32)*(INDIRECT($F$112)=$F32),0)),0)</f>
        <v>0</v>
      </c>
      <c r="J32" s="403" cm="1">
        <f t="array" aca="1" ref="J32" ca="1">IFERROR(SUM(_xlfn._xlws.FILTER(INDIRECT(J$112),(INDIRECT($B$112)=$B32)*(INDIRECT($D$112)=$D32)*(INDIRECT($F$112)=$F32),0)),0)</f>
        <v>0</v>
      </c>
      <c r="K32" s="403" cm="1">
        <f t="array" aca="1" ref="K32" ca="1">IFERROR(SUM(_xlfn._xlws.FILTER(INDIRECT(K$112),(INDIRECT($B$112)=$B32)*(INDIRECT($D$112)=$D32)*(INDIRECT($F$112)=$F32),0)),0)</f>
        <v>0</v>
      </c>
      <c r="L32" s="403" cm="1">
        <f t="array" aca="1" ref="L32" ca="1">IFERROR(SUM(_xlfn._xlws.FILTER(INDIRECT(L$112),(INDIRECT($B$112)=$B32)*(INDIRECT($D$112)=$D32)*(INDIRECT($F$112)=$F32),0)),0)</f>
        <v>0</v>
      </c>
      <c r="M32" s="403" cm="1">
        <f t="array" aca="1" ref="M32" ca="1">IFERROR(SUM(_xlfn._xlws.FILTER(INDIRECT(M$112),(INDIRECT($B$112)=$B32)*(INDIRECT($D$112)=$D32)*(INDIRECT($F$112)=$F32),0)),0)</f>
        <v>0</v>
      </c>
      <c r="N32" s="403" cm="1">
        <f t="array" aca="1" ref="N32" ca="1">IFERROR(SUM(_xlfn._xlws.FILTER(INDIRECT(N$112),(INDIRECT($B$112)=$B32)*(INDIRECT($D$112)=$D32)*(INDIRECT($F$112)=$F32),0)),0)</f>
        <v>0</v>
      </c>
      <c r="O32" s="403" cm="1">
        <f t="array" aca="1" ref="O32" ca="1">IFERROR(SUM(_xlfn._xlws.FILTER(INDIRECT(O$112),(INDIRECT($B$112)=$B32)*(INDIRECT($D$112)=$D32)*(INDIRECT($F$112)=$F32),0)),0)</f>
        <v>0</v>
      </c>
      <c r="P32" s="403" cm="1">
        <f t="array" aca="1" ref="P32" ca="1">IFERROR(SUM(_xlfn._xlws.FILTER(INDIRECT(P$112),(INDIRECT($B$112)=$B32)*(INDIRECT($D$112)=$D32)*(INDIRECT($F$112)=$F32),0)),0)</f>
        <v>0</v>
      </c>
      <c r="Q32" s="403" cm="1">
        <f t="array" aca="1" ref="Q32" ca="1">IFERROR(SUM(_xlfn._xlws.FILTER(INDIRECT(Q$112),(INDIRECT($B$112)=$B32)*(INDIRECT($D$112)=$D32)*(INDIRECT($F$112)=$F32),0)),0)</f>
        <v>0</v>
      </c>
      <c r="R32" s="403" cm="1">
        <f t="array" aca="1" ref="R32" ca="1">IFERROR(SUM(_xlfn._xlws.FILTER(INDIRECT(R$112),(INDIRECT($B$112)=$B32)*(INDIRECT($D$112)=$D32)*(INDIRECT($F$112)=$F32),0)),0)</f>
        <v>0</v>
      </c>
      <c r="S32" s="403" cm="1">
        <f t="array" aca="1" ref="S32" ca="1">IFERROR(SUM(_xlfn._xlws.FILTER(INDIRECT(S$112),(INDIRECT($B$112)=$B32)*(INDIRECT($D$112)=$D32)*(INDIRECT($F$112)=$F32),0)),0)</f>
        <v>0</v>
      </c>
      <c r="T32" s="403" cm="1">
        <f t="array" aca="1" ref="T32" ca="1">IFERROR(SUM(_xlfn._xlws.FILTER(INDIRECT(T$112),(INDIRECT($B$112)=$B32)*(INDIRECT($D$112)=$D32)*(INDIRECT($F$112)=$F32),0)),0)</f>
        <v>0</v>
      </c>
      <c r="U32" s="403" cm="1">
        <f t="array" aca="1" ref="U32" ca="1">IFERROR(SUM(_xlfn._xlws.FILTER(INDIRECT(U$112),(INDIRECT($B$112)=$B32)*(INDIRECT($D$112)=$D32)*(INDIRECT($F$112)=$F32),0)),0)</f>
        <v>0</v>
      </c>
      <c r="V32" s="403" cm="1">
        <f t="array" aca="1" ref="V32" ca="1">IFERROR(SUM(_xlfn._xlws.FILTER(INDIRECT(V$112),(INDIRECT($B$112)=$B32)*(INDIRECT($D$112)=$D32)*(INDIRECT($F$112)=$F32),0)),0)</f>
        <v>50021.88</v>
      </c>
      <c r="W32" s="403" cm="1">
        <f t="array" aca="1" ref="W32" ca="1">IFERROR(SUM(_xlfn._xlws.FILTER(INDIRECT(W$112),(INDIRECT($B$112)=$B32)*(INDIRECT($D$112)=$D32)*(INDIRECT($F$112)=$F32),0)),0)</f>
        <v>0</v>
      </c>
      <c r="X32" s="403" cm="1">
        <f t="array" aca="1" ref="X32" ca="1">IFERROR(SUM(_xlfn._xlws.FILTER(INDIRECT(X$112),(INDIRECT($B$112)=$B32)*(INDIRECT($D$112)=$D32)*(INDIRECT($F$112)=$F32),0)),0)</f>
        <v>0</v>
      </c>
      <c r="Y32" s="403" cm="1">
        <f t="array" aca="1" ref="Y32" ca="1">IFERROR(SUM(_xlfn._xlws.FILTER(INDIRECT(Y$112),(INDIRECT($B$112)=$B32)*(INDIRECT($D$112)=$D32)*(INDIRECT($F$112)=$F32),0)),0)</f>
        <v>0</v>
      </c>
      <c r="Z32" s="403" cm="1">
        <f t="array" aca="1" ref="Z32" ca="1">IFERROR(SUM(_xlfn._xlws.FILTER(INDIRECT(Z$112),(INDIRECT($B$112)=$B32)*(INDIRECT($D$112)=$D32)*(INDIRECT($F$112)=$F32),0)),0)</f>
        <v>0</v>
      </c>
      <c r="AA32" s="403" cm="1">
        <f t="array" aca="1" ref="AA32" ca="1">IFERROR(SUM(_xlfn._xlws.FILTER(INDIRECT(AA$112),(INDIRECT($B$112)=$B32)*(INDIRECT($D$112)=$D32)*(INDIRECT($F$112)=$F32),0)),0)</f>
        <v>0</v>
      </c>
      <c r="AB32" s="403" cm="1">
        <f t="array" aca="1" ref="AB32" ca="1">IFERROR(SUM(_xlfn._xlws.FILTER(INDIRECT(AB$112),(INDIRECT($B$112)=$B32)*(INDIRECT($D$112)=$D32)*(INDIRECT($F$112)=$F32),0)),0)</f>
        <v>0</v>
      </c>
      <c r="AC32" s="403" cm="1">
        <f t="array" aca="1" ref="AC32" ca="1">IFERROR(SUM(_xlfn._xlws.FILTER(INDIRECT(AC$112),(INDIRECT($B$112)=$B32)*(INDIRECT($D$112)=$D32)*(INDIRECT($F$112)=$F32),0)),0)</f>
        <v>0</v>
      </c>
      <c r="AD32" s="403" cm="1">
        <f t="array" aca="1" ref="AD32" ca="1">IFERROR(SUM(_xlfn._xlws.FILTER(INDIRECT(AD$112),(INDIRECT($B$112)=$B32)*(INDIRECT($D$112)=$D32)*(INDIRECT($F$112)=$F32),0)),0)</f>
        <v>-7500</v>
      </c>
      <c r="AE32" s="403" cm="1">
        <f t="array" aca="1" ref="AE32" ca="1">IFERROR(SUM(_xlfn._xlws.FILTER(INDIRECT(AE$112),(INDIRECT($B$112)=$B32)*(INDIRECT($D$112)=$D32)*(INDIRECT($F$112)=$F32),0)),0)</f>
        <v>2649.84</v>
      </c>
      <c r="AF32" s="403" cm="1">
        <f t="array" aca="1" ref="AF32" ca="1">IFERROR(SUM(_xlfn._xlws.FILTER(INDIRECT(AF$112),(INDIRECT($B$112)=$B32)*(INDIRECT($D$112)=$D32)*(INDIRECT($F$112)=$F32),0)),0)</f>
        <v>0</v>
      </c>
      <c r="AG32" s="403" cm="1">
        <f t="array" aca="1" ref="AG32" ca="1">IFERROR(SUM(_xlfn._xlws.FILTER(INDIRECT(AG$112),(INDIRECT($B$112)=$B32)*(INDIRECT($D$112)=$D32)*(INDIRECT($F$112)=$F32),0)),0)</f>
        <v>0</v>
      </c>
      <c r="AH32" s="403" cm="1">
        <f t="array" aca="1" ref="AH32" ca="1">IFERROR(SUM(_xlfn._xlws.FILTER(INDIRECT(AH$112),(INDIRECT($B$112)=$B32)*(INDIRECT($D$112)=$D32)*(INDIRECT($F$112)=$F32),0)),0)</f>
        <v>0</v>
      </c>
      <c r="AI32" s="403" cm="1">
        <f t="array" aca="1" ref="AI32" ca="1">IFERROR(SUM(_xlfn._xlws.FILTER(INDIRECT(AI$112),(INDIRECT($B$112)=$B32)*(INDIRECT($D$112)=$D32)*(INDIRECT($F$112)=$F32),0)),0)</f>
        <v>0</v>
      </c>
      <c r="AJ32" s="403" cm="1">
        <f t="array" aca="1" ref="AJ32" ca="1">IFERROR(SUM(_xlfn._xlws.FILTER(INDIRECT(AJ$112),(INDIRECT($B$112)=$B32)*(INDIRECT($D$112)=$D32)*(INDIRECT($F$112)=$F32),0)),0)</f>
        <v>-210915.37999999998</v>
      </c>
      <c r="AK32" s="403" cm="1">
        <f t="array" aca="1" ref="AK32" ca="1">IFERROR(SUM(_xlfn._xlws.FILTER(INDIRECT(AK$112),(INDIRECT($B$112)=$B32)*(INDIRECT($D$112)=$D32)*(INDIRECT($F$112)=$F32),0)),0)</f>
        <v>0</v>
      </c>
      <c r="AL32" s="403" cm="1">
        <f t="array" aca="1" ref="AL32" ca="1">IFERROR(SUM(_xlfn._xlws.FILTER(INDIRECT(AL$112),(INDIRECT($B$112)=$B32)*(INDIRECT($D$112)=$D32)*(INDIRECT($F$112)=$F32),0)),0)</f>
        <v>28950.6</v>
      </c>
      <c r="AM32" s="403" cm="1">
        <f t="array" aca="1" ref="AM32" ca="1">IFERROR(SUM(_xlfn._xlws.FILTER(INDIRECT(AM$112),(INDIRECT($B$112)=$B32)*(INDIRECT($D$112)=$D32)*(INDIRECT($F$112)=$F32),0)),0)</f>
        <v>0</v>
      </c>
      <c r="AN32" s="403" cm="1">
        <f t="array" aca="1" ref="AN32" ca="1">IFERROR(SUM(_xlfn._xlws.FILTER(INDIRECT(AN$112),(INDIRECT($B$112)=$B32)*(INDIRECT($D$112)=$D32)*(INDIRECT($F$112)=$F32),0)),0)</f>
        <v>212.39</v>
      </c>
      <c r="AO32" s="403" cm="1">
        <f t="array" aca="1" ref="AO32" ca="1">IFERROR(SUM(_xlfn._xlws.FILTER(INDIRECT(AO$112),(INDIRECT($B$112)=$B32)*(INDIRECT($D$112)=$D32)*(INDIRECT($F$112)=$F32),0)),0)</f>
        <v>0</v>
      </c>
      <c r="AP32" s="403" cm="1">
        <f t="array" aca="1" ref="AP32" ca="1">IFERROR(SUM(_xlfn._xlws.FILTER(INDIRECT(AP$112),(INDIRECT($B$112)=$B32)*(INDIRECT($D$112)=$D32)*(INDIRECT($F$112)=$F32),0)),0)</f>
        <v>0</v>
      </c>
      <c r="AQ32" s="403" cm="1">
        <f t="array" aca="1" ref="AQ32" ca="1">IFERROR(SUM(_xlfn._xlws.FILTER(INDIRECT(AQ$112),(INDIRECT($B$112)=$B32)*(INDIRECT($D$112)=$D32)*(INDIRECT($F$112)=$F32),0)),0)</f>
        <v>2649.84</v>
      </c>
      <c r="AR32" s="403" cm="1">
        <f t="array" aca="1" ref="AR32" ca="1">IFERROR(SUM(_xlfn._xlws.FILTER(INDIRECT(AR$112),(INDIRECT($B$112)=$B32)*(INDIRECT($D$112)=$D32)*(INDIRECT($F$112)=$F32),0)),0)</f>
        <v>-139230.50999999995</v>
      </c>
      <c r="AS32" s="286" t="str">
        <f t="shared" ca="1" si="4"/>
        <v>G32:AP32</v>
      </c>
      <c r="AT32" s="403">
        <f t="shared" ca="1" si="3"/>
        <v>-136580.66999999995</v>
      </c>
      <c r="AV32" s="142" cm="1">
        <f t="array" aca="1" ref="AV32" ca="1">IF(AND(_xlfn.LET(_xlpm.x,SUM(ROW()),OR(AND(MATCH("SOT",$A:$A,0)&lt;_xlpm.x,MATCH("EOT",$A:$A,0)&gt;_xlpm.x),AND(MATCH("SOS",$A:$A,0)&lt;_xlpm.x,MATCH("EOS",$A:$A,0)&gt;_xlpm.x),AND(MATCH("SOR",$A:$A,0)&lt;_xlpm.x,MATCH("EOR",$A:$A,0)&gt;_xlpm.x))),INDIRECT("rc"&amp;MATCH("SCD",$1:$1,0),FALSE)="PPTO"),1,0)</f>
        <v>0</v>
      </c>
      <c r="AW32" s="142" cm="1">
        <f t="array" aca="1" ref="AW3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33" spans="1:49" s="153" customFormat="1" outlineLevel="2">
      <c r="A33" s="152"/>
      <c r="B33" s="401" t="str">
        <f ca="1"/>
        <v>31200</v>
      </c>
      <c r="C33" s="148"/>
      <c r="D33" s="404" t="str">
        <f ca="1"/>
        <v>FABC</v>
      </c>
      <c r="E33" s="350" t="str" cm="1">
        <f t="array" aca="1" ref="E33" ca="1">UPPER(_xlfn.UNIQUE(_xlfn._xlws.FILTER(TbStd[OFbStd],TbStd[RowGrp]=$D33,"X")))</f>
        <v>MANUFACTURING CELLS</v>
      </c>
      <c r="F33" s="402" t="str">
        <f ca="1"/>
        <v>REAL</v>
      </c>
      <c r="G33" s="403" cm="1">
        <f t="array" aca="1" ref="G33" ca="1">IFERROR(SUM(_xlfn._xlws.FILTER(INDIRECT(G$112),(INDIRECT($B$112)=$B33)*(INDIRECT($D$112)=$D33)*(INDIRECT($F$112)=$F33),0)),0)</f>
        <v>0</v>
      </c>
      <c r="H33" s="403" cm="1">
        <f t="array" aca="1" ref="H33" ca="1">IFERROR(SUM(_xlfn._xlws.FILTER(INDIRECT(H$112),(INDIRECT($B$112)=$B33)*(INDIRECT($D$112)=$D33)*(INDIRECT($F$112)=$F33),0)),0)</f>
        <v>0</v>
      </c>
      <c r="I33" s="403" cm="1">
        <f t="array" aca="1" ref="I33" ca="1">IFERROR(SUM(_xlfn._xlws.FILTER(INDIRECT(I$112),(INDIRECT($B$112)=$B33)*(INDIRECT($D$112)=$D33)*(INDIRECT($F$112)=$F33),0)),0)</f>
        <v>0</v>
      </c>
      <c r="J33" s="403" cm="1">
        <f t="array" aca="1" ref="J33" ca="1">IFERROR(SUM(_xlfn._xlws.FILTER(INDIRECT(J$112),(INDIRECT($B$112)=$B33)*(INDIRECT($D$112)=$D33)*(INDIRECT($F$112)=$F33),0)),0)</f>
        <v>0</v>
      </c>
      <c r="K33" s="403" cm="1">
        <f t="array" aca="1" ref="K33" ca="1">IFERROR(SUM(_xlfn._xlws.FILTER(INDIRECT(K$112),(INDIRECT($B$112)=$B33)*(INDIRECT($D$112)=$D33)*(INDIRECT($F$112)=$F33),0)),0)</f>
        <v>0</v>
      </c>
      <c r="L33" s="403" cm="1">
        <f t="array" aca="1" ref="L33" ca="1">IFERROR(SUM(_xlfn._xlws.FILTER(INDIRECT(L$112),(INDIRECT($B$112)=$B33)*(INDIRECT($D$112)=$D33)*(INDIRECT($F$112)=$F33),0)),0)</f>
        <v>0</v>
      </c>
      <c r="M33" s="403" cm="1">
        <f t="array" aca="1" ref="M33" ca="1">IFERROR(SUM(_xlfn._xlws.FILTER(INDIRECT(M$112),(INDIRECT($B$112)=$B33)*(INDIRECT($D$112)=$D33)*(INDIRECT($F$112)=$F33),0)),0)</f>
        <v>0</v>
      </c>
      <c r="N33" s="403" cm="1">
        <f t="array" aca="1" ref="N33" ca="1">IFERROR(SUM(_xlfn._xlws.FILTER(INDIRECT(N$112),(INDIRECT($B$112)=$B33)*(INDIRECT($D$112)=$D33)*(INDIRECT($F$112)=$F33),0)),0)</f>
        <v>0</v>
      </c>
      <c r="O33" s="403" cm="1">
        <f t="array" aca="1" ref="O33" ca="1">IFERROR(SUM(_xlfn._xlws.FILTER(INDIRECT(O$112),(INDIRECT($B$112)=$B33)*(INDIRECT($D$112)=$D33)*(INDIRECT($F$112)=$F33),0)),0)</f>
        <v>0</v>
      </c>
      <c r="P33" s="403" cm="1">
        <f t="array" aca="1" ref="P33" ca="1">IFERROR(SUM(_xlfn._xlws.FILTER(INDIRECT(P$112),(INDIRECT($B$112)=$B33)*(INDIRECT($D$112)=$D33)*(INDIRECT($F$112)=$F33),0)),0)</f>
        <v>0</v>
      </c>
      <c r="Q33" s="403" cm="1">
        <f t="array" aca="1" ref="Q33" ca="1">IFERROR(SUM(_xlfn._xlws.FILTER(INDIRECT(Q$112),(INDIRECT($B$112)=$B33)*(INDIRECT($D$112)=$D33)*(INDIRECT($F$112)=$F33),0)),0)</f>
        <v>0</v>
      </c>
      <c r="R33" s="403" cm="1">
        <f t="array" aca="1" ref="R33" ca="1">IFERROR(SUM(_xlfn._xlws.FILTER(INDIRECT(R$112),(INDIRECT($B$112)=$B33)*(INDIRECT($D$112)=$D33)*(INDIRECT($F$112)=$F33),0)),0)</f>
        <v>0</v>
      </c>
      <c r="S33" s="403" cm="1">
        <f t="array" aca="1" ref="S33" ca="1">IFERROR(SUM(_xlfn._xlws.FILTER(INDIRECT(S$112),(INDIRECT($B$112)=$B33)*(INDIRECT($D$112)=$D33)*(INDIRECT($F$112)=$F33),0)),0)</f>
        <v>0</v>
      </c>
      <c r="T33" s="403" cm="1">
        <f t="array" aca="1" ref="T33" ca="1">IFERROR(SUM(_xlfn._xlws.FILTER(INDIRECT(T$112),(INDIRECT($B$112)=$B33)*(INDIRECT($D$112)=$D33)*(INDIRECT($F$112)=$F33),0)),0)</f>
        <v>0</v>
      </c>
      <c r="U33" s="403" cm="1">
        <f t="array" aca="1" ref="U33" ca="1">IFERROR(SUM(_xlfn._xlws.FILTER(INDIRECT(U$112),(INDIRECT($B$112)=$B33)*(INDIRECT($D$112)=$D33)*(INDIRECT($F$112)=$F33),0)),0)</f>
        <v>0</v>
      </c>
      <c r="V33" s="403" cm="1">
        <f t="array" aca="1" ref="V33" ca="1">IFERROR(SUM(_xlfn._xlws.FILTER(INDIRECT(V$112),(INDIRECT($B$112)=$B33)*(INDIRECT($D$112)=$D33)*(INDIRECT($F$112)=$F33),0)),0)</f>
        <v>442463.23</v>
      </c>
      <c r="W33" s="403" cm="1">
        <f t="array" aca="1" ref="W33" ca="1">IFERROR(SUM(_xlfn._xlws.FILTER(INDIRECT(W$112),(INDIRECT($B$112)=$B33)*(INDIRECT($D$112)=$D33)*(INDIRECT($F$112)=$F33),0)),0)</f>
        <v>0</v>
      </c>
      <c r="X33" s="403" cm="1">
        <f t="array" aca="1" ref="X33" ca="1">IFERROR(SUM(_xlfn._xlws.FILTER(INDIRECT(X$112),(INDIRECT($B$112)=$B33)*(INDIRECT($D$112)=$D33)*(INDIRECT($F$112)=$F33),0)),0)</f>
        <v>0</v>
      </c>
      <c r="Y33" s="403" cm="1">
        <f t="array" aca="1" ref="Y33" ca="1">IFERROR(SUM(_xlfn._xlws.FILTER(INDIRECT(Y$112),(INDIRECT($B$112)=$B33)*(INDIRECT($D$112)=$D33)*(INDIRECT($F$112)=$F33),0)),0)</f>
        <v>0</v>
      </c>
      <c r="Z33" s="403" cm="1">
        <f t="array" aca="1" ref="Z33" ca="1">IFERROR(SUM(_xlfn._xlws.FILTER(INDIRECT(Z$112),(INDIRECT($B$112)=$B33)*(INDIRECT($D$112)=$D33)*(INDIRECT($F$112)=$F33),0)),0)</f>
        <v>0</v>
      </c>
      <c r="AA33" s="403" cm="1">
        <f t="array" aca="1" ref="AA33" ca="1">IFERROR(SUM(_xlfn._xlws.FILTER(INDIRECT(AA$112),(INDIRECT($B$112)=$B33)*(INDIRECT($D$112)=$D33)*(INDIRECT($F$112)=$F33),0)),0)</f>
        <v>0</v>
      </c>
      <c r="AB33" s="403" cm="1">
        <f t="array" aca="1" ref="AB33" ca="1">IFERROR(SUM(_xlfn._xlws.FILTER(INDIRECT(AB$112),(INDIRECT($B$112)=$B33)*(INDIRECT($D$112)=$D33)*(INDIRECT($F$112)=$F33),0)),0)</f>
        <v>0</v>
      </c>
      <c r="AC33" s="403" cm="1">
        <f t="array" aca="1" ref="AC33" ca="1">IFERROR(SUM(_xlfn._xlws.FILTER(INDIRECT(AC$112),(INDIRECT($B$112)=$B33)*(INDIRECT($D$112)=$D33)*(INDIRECT($F$112)=$F33),0)),0)</f>
        <v>8210.24</v>
      </c>
      <c r="AD33" s="403" cm="1">
        <f t="array" aca="1" ref="AD33" ca="1">IFERROR(SUM(_xlfn._xlws.FILTER(INDIRECT(AD$112),(INDIRECT($B$112)=$B33)*(INDIRECT($D$112)=$D33)*(INDIRECT($F$112)=$F33),0)),0)</f>
        <v>20693.560000000001</v>
      </c>
      <c r="AE33" s="403" cm="1">
        <f t="array" aca="1" ref="AE33" ca="1">IFERROR(SUM(_xlfn._xlws.FILTER(INDIRECT(AE$112),(INDIRECT($B$112)=$B33)*(INDIRECT($D$112)=$D33)*(INDIRECT($F$112)=$F33),0)),0)</f>
        <v>0</v>
      </c>
      <c r="AF33" s="403" cm="1">
        <f t="array" aca="1" ref="AF33" ca="1">IFERROR(SUM(_xlfn._xlws.FILTER(INDIRECT(AF$112),(INDIRECT($B$112)=$B33)*(INDIRECT($D$112)=$D33)*(INDIRECT($F$112)=$F33),0)),0)</f>
        <v>2649.84</v>
      </c>
      <c r="AG33" s="403" cm="1">
        <f t="array" aca="1" ref="AG33" ca="1">IFERROR(SUM(_xlfn._xlws.FILTER(INDIRECT(AG$112),(INDIRECT($B$112)=$B33)*(INDIRECT($D$112)=$D33)*(INDIRECT($F$112)=$F33),0)),0)</f>
        <v>0</v>
      </c>
      <c r="AH33" s="403" cm="1">
        <f t="array" aca="1" ref="AH33" ca="1">IFERROR(SUM(_xlfn._xlws.FILTER(INDIRECT(AH$112),(INDIRECT($B$112)=$B33)*(INDIRECT($D$112)=$D33)*(INDIRECT($F$112)=$F33),0)),0)</f>
        <v>0</v>
      </c>
      <c r="AI33" s="403" cm="1">
        <f t="array" aca="1" ref="AI33" ca="1">IFERROR(SUM(_xlfn._xlws.FILTER(INDIRECT(AI$112),(INDIRECT($B$112)=$B33)*(INDIRECT($D$112)=$D33)*(INDIRECT($F$112)=$F33),0)),0)</f>
        <v>0</v>
      </c>
      <c r="AJ33" s="403" cm="1">
        <f t="array" aca="1" ref="AJ33" ca="1">IFERROR(SUM(_xlfn._xlws.FILTER(INDIRECT(AJ$112),(INDIRECT($B$112)=$B33)*(INDIRECT($D$112)=$D33)*(INDIRECT($F$112)=$F33),0)),0)</f>
        <v>60610.31</v>
      </c>
      <c r="AK33" s="403" cm="1">
        <f t="array" aca="1" ref="AK33" ca="1">IFERROR(SUM(_xlfn._xlws.FILTER(INDIRECT(AK$112),(INDIRECT($B$112)=$B33)*(INDIRECT($D$112)=$D33)*(INDIRECT($F$112)=$F33),0)),0)</f>
        <v>0</v>
      </c>
      <c r="AL33" s="403" cm="1">
        <f t="array" aca="1" ref="AL33" ca="1">IFERROR(SUM(_xlfn._xlws.FILTER(INDIRECT(AL$112),(INDIRECT($B$112)=$B33)*(INDIRECT($D$112)=$D33)*(INDIRECT($F$112)=$F33),0)),0)</f>
        <v>134099.84</v>
      </c>
      <c r="AM33" s="403" cm="1">
        <f t="array" aca="1" ref="AM33" ca="1">IFERROR(SUM(_xlfn._xlws.FILTER(INDIRECT(AM$112),(INDIRECT($B$112)=$B33)*(INDIRECT($D$112)=$D33)*(INDIRECT($F$112)=$F33),0)),0)</f>
        <v>0</v>
      </c>
      <c r="AN33" s="403" cm="1">
        <f t="array" aca="1" ref="AN33" ca="1">IFERROR(SUM(_xlfn._xlws.FILTER(INDIRECT(AN$112),(INDIRECT($B$112)=$B33)*(INDIRECT($D$112)=$D33)*(INDIRECT($F$112)=$F33),0)),0)</f>
        <v>507.12</v>
      </c>
      <c r="AO33" s="403" cm="1">
        <f t="array" aca="1" ref="AO33" ca="1">IFERROR(SUM(_xlfn._xlws.FILTER(INDIRECT(AO$112),(INDIRECT($B$112)=$B33)*(INDIRECT($D$112)=$D33)*(INDIRECT($F$112)=$F33),0)),0)</f>
        <v>0</v>
      </c>
      <c r="AP33" s="403" cm="1">
        <f t="array" aca="1" ref="AP33" ca="1">IFERROR(SUM(_xlfn._xlws.FILTER(INDIRECT(AP$112),(INDIRECT($B$112)=$B33)*(INDIRECT($D$112)=$D33)*(INDIRECT($F$112)=$F33),0)),0)</f>
        <v>0</v>
      </c>
      <c r="AQ33" s="403" cm="1">
        <f t="array" aca="1" ref="AQ33" ca="1">IFERROR(SUM(_xlfn._xlws.FILTER(INDIRECT(AQ$112),(INDIRECT($B$112)=$B33)*(INDIRECT($D$112)=$D33)*(INDIRECT($F$112)=$F33),0)),0)</f>
        <v>8210.24</v>
      </c>
      <c r="AR33" s="403" cm="1">
        <f t="array" aca="1" ref="AR33" ca="1">IFERROR(SUM(_xlfn._xlws.FILTER(INDIRECT(AR$112),(INDIRECT($B$112)=$B33)*(INDIRECT($D$112)=$D33)*(INDIRECT($F$112)=$F33),0)),0)</f>
        <v>661023.9</v>
      </c>
      <c r="AS33" s="286" t="str">
        <f t="shared" ca="1" si="4"/>
        <v>G33:AP33</v>
      </c>
      <c r="AT33" s="403">
        <f t="shared" ca="1" si="3"/>
        <v>669234.14</v>
      </c>
      <c r="AV33" s="142" cm="1">
        <f t="array" aca="1" ref="AV33" ca="1">IF(AND(_xlfn.LET(_xlpm.x,SUM(ROW()),OR(AND(MATCH("SOT",$A:$A,0)&lt;_xlpm.x,MATCH("EOT",$A:$A,0)&gt;_xlpm.x),AND(MATCH("SOS",$A:$A,0)&lt;_xlpm.x,MATCH("EOS",$A:$A,0)&gt;_xlpm.x),AND(MATCH("SOR",$A:$A,0)&lt;_xlpm.x,MATCH("EOR",$A:$A,0)&gt;_xlpm.x))),INDIRECT("rc"&amp;MATCH("SCD",$1:$1,0),FALSE)="PPTO"),1,0)</f>
        <v>0</v>
      </c>
      <c r="AW33" s="142" cm="1">
        <f t="array" aca="1" ref="AW3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34" spans="1:49" s="153" customFormat="1" outlineLevel="2">
      <c r="A34" s="152"/>
      <c r="B34" s="401" t="str">
        <f ca="1"/>
        <v>31200</v>
      </c>
      <c r="C34" s="148"/>
      <c r="D34" s="404" t="str">
        <f ca="1"/>
        <v>CTCT</v>
      </c>
      <c r="E34" s="350" t="str" cm="1">
        <f t="array" aca="1" ref="E34" ca="1">UPPER(_xlfn.UNIQUE(_xlfn._xlws.FILTER(TbStd[OFbStd],TbStd[RowGrp]=$D34,"X")))</f>
        <v>ERRORS COST</v>
      </c>
      <c r="F34" s="402" t="str">
        <f ca="1"/>
        <v>PPTO</v>
      </c>
      <c r="G34" s="403" cm="1">
        <f t="array" aca="1" ref="G34" ca="1">IFERROR(SUM(_xlfn._xlws.FILTER(INDIRECT(G$112),(INDIRECT($B$112)=$B34)*(INDIRECT($D$112)=$D34)*(INDIRECT($F$112)=$F34),0)),0)</f>
        <v>0</v>
      </c>
      <c r="H34" s="403" cm="1">
        <f t="array" aca="1" ref="H34" ca="1">IFERROR(SUM(_xlfn._xlws.FILTER(INDIRECT(H$112),(INDIRECT($B$112)=$B34)*(INDIRECT($D$112)=$D34)*(INDIRECT($F$112)=$F34),0)),0)</f>
        <v>0</v>
      </c>
      <c r="I34" s="403" cm="1">
        <f t="array" aca="1" ref="I34" ca="1">IFERROR(SUM(_xlfn._xlws.FILTER(INDIRECT(I$112),(INDIRECT($B$112)=$B34)*(INDIRECT($D$112)=$D34)*(INDIRECT($F$112)=$F34),0)),0)</f>
        <v>0</v>
      </c>
      <c r="J34" s="403" cm="1">
        <f t="array" aca="1" ref="J34" ca="1">IFERROR(SUM(_xlfn._xlws.FILTER(INDIRECT(J$112),(INDIRECT($B$112)=$B34)*(INDIRECT($D$112)=$D34)*(INDIRECT($F$112)=$F34),0)),0)</f>
        <v>0</v>
      </c>
      <c r="K34" s="403" cm="1">
        <f t="array" aca="1" ref="K34" ca="1">IFERROR(SUM(_xlfn._xlws.FILTER(INDIRECT(K$112),(INDIRECT($B$112)=$B34)*(INDIRECT($D$112)=$D34)*(INDIRECT($F$112)=$F34),0)),0)</f>
        <v>0</v>
      </c>
      <c r="L34" s="403" cm="1">
        <f t="array" aca="1" ref="L34" ca="1">IFERROR(SUM(_xlfn._xlws.FILTER(INDIRECT(L$112),(INDIRECT($B$112)=$B34)*(INDIRECT($D$112)=$D34)*(INDIRECT($F$112)=$F34),0)),0)</f>
        <v>0</v>
      </c>
      <c r="M34" s="403" cm="1">
        <f t="array" aca="1" ref="M34" ca="1">IFERROR(SUM(_xlfn._xlws.FILTER(INDIRECT(M$112),(INDIRECT($B$112)=$B34)*(INDIRECT($D$112)=$D34)*(INDIRECT($F$112)=$F34),0)),0)</f>
        <v>0</v>
      </c>
      <c r="N34" s="403" cm="1">
        <f t="array" aca="1" ref="N34" ca="1">IFERROR(SUM(_xlfn._xlws.FILTER(INDIRECT(N$112),(INDIRECT($B$112)=$B34)*(INDIRECT($D$112)=$D34)*(INDIRECT($F$112)=$F34),0)),0)</f>
        <v>0</v>
      </c>
      <c r="O34" s="403" cm="1">
        <f t="array" aca="1" ref="O34" ca="1">IFERROR(SUM(_xlfn._xlws.FILTER(INDIRECT(O$112),(INDIRECT($B$112)=$B34)*(INDIRECT($D$112)=$D34)*(INDIRECT($F$112)=$F34),0)),0)</f>
        <v>0</v>
      </c>
      <c r="P34" s="403" cm="1">
        <f t="array" aca="1" ref="P34" ca="1">IFERROR(SUM(_xlfn._xlws.FILTER(INDIRECT(P$112),(INDIRECT($B$112)=$B34)*(INDIRECT($D$112)=$D34)*(INDIRECT($F$112)=$F34),0)),0)</f>
        <v>0</v>
      </c>
      <c r="Q34" s="403" cm="1">
        <f t="array" aca="1" ref="Q34" ca="1">IFERROR(SUM(_xlfn._xlws.FILTER(INDIRECT(Q$112),(INDIRECT($B$112)=$B34)*(INDIRECT($D$112)=$D34)*(INDIRECT($F$112)=$F34),0)),0)</f>
        <v>0</v>
      </c>
      <c r="R34" s="403" cm="1">
        <f t="array" aca="1" ref="R34" ca="1">IFERROR(SUM(_xlfn._xlws.FILTER(INDIRECT(R$112),(INDIRECT($B$112)=$B34)*(INDIRECT($D$112)=$D34)*(INDIRECT($F$112)=$F34),0)),0)</f>
        <v>0</v>
      </c>
      <c r="S34" s="403" cm="1">
        <f t="array" aca="1" ref="S34" ca="1">IFERROR(SUM(_xlfn._xlws.FILTER(INDIRECT(S$112),(INDIRECT($B$112)=$B34)*(INDIRECT($D$112)=$D34)*(INDIRECT($F$112)=$F34),0)),0)</f>
        <v>0</v>
      </c>
      <c r="T34" s="403" cm="1">
        <f t="array" aca="1" ref="T34" ca="1">IFERROR(SUM(_xlfn._xlws.FILTER(INDIRECT(T$112),(INDIRECT($B$112)=$B34)*(INDIRECT($D$112)=$D34)*(INDIRECT($F$112)=$F34),0)),0)</f>
        <v>0</v>
      </c>
      <c r="U34" s="403" cm="1">
        <f t="array" aca="1" ref="U34" ca="1">IFERROR(SUM(_xlfn._xlws.FILTER(INDIRECT(U$112),(INDIRECT($B$112)=$B34)*(INDIRECT($D$112)=$D34)*(INDIRECT($F$112)=$F34),0)),0)</f>
        <v>0</v>
      </c>
      <c r="V34" s="403" cm="1">
        <f t="array" aca="1" ref="V34" ca="1">IFERROR(SUM(_xlfn._xlws.FILTER(INDIRECT(V$112),(INDIRECT($B$112)=$B34)*(INDIRECT($D$112)=$D34)*(INDIRECT($F$112)=$F34),0)),0)</f>
        <v>0</v>
      </c>
      <c r="W34" s="403" cm="1">
        <f t="array" aca="1" ref="W34" ca="1">IFERROR(SUM(_xlfn._xlws.FILTER(INDIRECT(W$112),(INDIRECT($B$112)=$B34)*(INDIRECT($D$112)=$D34)*(INDIRECT($F$112)=$F34),0)),0)</f>
        <v>0</v>
      </c>
      <c r="X34" s="403" cm="1">
        <f t="array" aca="1" ref="X34" ca="1">IFERROR(SUM(_xlfn._xlws.FILTER(INDIRECT(X$112),(INDIRECT($B$112)=$B34)*(INDIRECT($D$112)=$D34)*(INDIRECT($F$112)=$F34),0)),0)</f>
        <v>0</v>
      </c>
      <c r="Y34" s="403" cm="1">
        <f t="array" aca="1" ref="Y34" ca="1">IFERROR(SUM(_xlfn._xlws.FILTER(INDIRECT(Y$112),(INDIRECT($B$112)=$B34)*(INDIRECT($D$112)=$D34)*(INDIRECT($F$112)=$F34),0)),0)</f>
        <v>0</v>
      </c>
      <c r="Z34" s="403" cm="1">
        <f t="array" aca="1" ref="Z34" ca="1">IFERROR(SUM(_xlfn._xlws.FILTER(INDIRECT(Z$112),(INDIRECT($B$112)=$B34)*(INDIRECT($D$112)=$D34)*(INDIRECT($F$112)=$F34),0)),0)</f>
        <v>0</v>
      </c>
      <c r="AA34" s="403" cm="1">
        <f t="array" aca="1" ref="AA34" ca="1">IFERROR(SUM(_xlfn._xlws.FILTER(INDIRECT(AA$112),(INDIRECT($B$112)=$B34)*(INDIRECT($D$112)=$D34)*(INDIRECT($F$112)=$F34),0)),0)</f>
        <v>0</v>
      </c>
      <c r="AB34" s="403" cm="1">
        <f t="array" aca="1" ref="AB34" ca="1">IFERROR(SUM(_xlfn._xlws.FILTER(INDIRECT(AB$112),(INDIRECT($B$112)=$B34)*(INDIRECT($D$112)=$D34)*(INDIRECT($F$112)=$F34),0)),0)</f>
        <v>0</v>
      </c>
      <c r="AC34" s="403" cm="1">
        <f t="array" aca="1" ref="AC34" ca="1">IFERROR(SUM(_xlfn._xlws.FILTER(INDIRECT(AC$112),(INDIRECT($B$112)=$B34)*(INDIRECT($D$112)=$D34)*(INDIRECT($F$112)=$F34),0)),0)</f>
        <v>0</v>
      </c>
      <c r="AD34" s="403" cm="1">
        <f t="array" aca="1" ref="AD34" ca="1">IFERROR(SUM(_xlfn._xlws.FILTER(INDIRECT(AD$112),(INDIRECT($B$112)=$B34)*(INDIRECT($D$112)=$D34)*(INDIRECT($F$112)=$F34),0)),0)</f>
        <v>0</v>
      </c>
      <c r="AE34" s="403" cm="1">
        <f t="array" aca="1" ref="AE34" ca="1">IFERROR(SUM(_xlfn._xlws.FILTER(INDIRECT(AE$112),(INDIRECT($B$112)=$B34)*(INDIRECT($D$112)=$D34)*(INDIRECT($F$112)=$F34),0)),0)</f>
        <v>0</v>
      </c>
      <c r="AF34" s="403" cm="1">
        <f t="array" aca="1" ref="AF34" ca="1">IFERROR(SUM(_xlfn._xlws.FILTER(INDIRECT(AF$112),(INDIRECT($B$112)=$B34)*(INDIRECT($D$112)=$D34)*(INDIRECT($F$112)=$F34),0)),0)</f>
        <v>0</v>
      </c>
      <c r="AG34" s="403" cm="1">
        <f t="array" aca="1" ref="AG34" ca="1">IFERROR(SUM(_xlfn._xlws.FILTER(INDIRECT(AG$112),(INDIRECT($B$112)=$B34)*(INDIRECT($D$112)=$D34)*(INDIRECT($F$112)=$F34),0)),0)</f>
        <v>0</v>
      </c>
      <c r="AH34" s="403" cm="1">
        <f t="array" aca="1" ref="AH34" ca="1">IFERROR(SUM(_xlfn._xlws.FILTER(INDIRECT(AH$112),(INDIRECT($B$112)=$B34)*(INDIRECT($D$112)=$D34)*(INDIRECT($F$112)=$F34),0)),0)</f>
        <v>0</v>
      </c>
      <c r="AI34" s="403" cm="1">
        <f t="array" aca="1" ref="AI34" ca="1">IFERROR(SUM(_xlfn._xlws.FILTER(INDIRECT(AI$112),(INDIRECT($B$112)=$B34)*(INDIRECT($D$112)=$D34)*(INDIRECT($F$112)=$F34),0)),0)</f>
        <v>0</v>
      </c>
      <c r="AJ34" s="403" cm="1">
        <f t="array" aca="1" ref="AJ34" ca="1">IFERROR(SUM(_xlfn._xlws.FILTER(INDIRECT(AJ$112),(INDIRECT($B$112)=$B34)*(INDIRECT($D$112)=$D34)*(INDIRECT($F$112)=$F34),0)),0)</f>
        <v>0</v>
      </c>
      <c r="AK34" s="403" cm="1">
        <f t="array" aca="1" ref="AK34" ca="1">IFERROR(SUM(_xlfn._xlws.FILTER(INDIRECT(AK$112),(INDIRECT($B$112)=$B34)*(INDIRECT($D$112)=$D34)*(INDIRECT($F$112)=$F34),0)),0)</f>
        <v>0</v>
      </c>
      <c r="AL34" s="403" cm="1">
        <f t="array" aca="1" ref="AL34" ca="1">IFERROR(SUM(_xlfn._xlws.FILTER(INDIRECT(AL$112),(INDIRECT($B$112)=$B34)*(INDIRECT($D$112)=$D34)*(INDIRECT($F$112)=$F34),0)),0)</f>
        <v>0</v>
      </c>
      <c r="AM34" s="403" cm="1">
        <f t="array" aca="1" ref="AM34" ca="1">IFERROR(SUM(_xlfn._xlws.FILTER(INDIRECT(AM$112),(INDIRECT($B$112)=$B34)*(INDIRECT($D$112)=$D34)*(INDIRECT($F$112)=$F34),0)),0)</f>
        <v>0</v>
      </c>
      <c r="AN34" s="403" cm="1">
        <f t="array" aca="1" ref="AN34" ca="1">IFERROR(SUM(_xlfn._xlws.FILTER(INDIRECT(AN$112),(INDIRECT($B$112)=$B34)*(INDIRECT($D$112)=$D34)*(INDIRECT($F$112)=$F34),0)),0)</f>
        <v>0</v>
      </c>
      <c r="AO34" s="403" cm="1">
        <f t="array" aca="1" ref="AO34" ca="1">IFERROR(SUM(_xlfn._xlws.FILTER(INDIRECT(AO$112),(INDIRECT($B$112)=$B34)*(INDIRECT($D$112)=$D34)*(INDIRECT($F$112)=$F34),0)),0)</f>
        <v>0</v>
      </c>
      <c r="AP34" s="403" cm="1">
        <f t="array" aca="1" ref="AP34" ca="1">IFERROR(SUM(_xlfn._xlws.FILTER(INDIRECT(AP$112),(INDIRECT($B$112)=$B34)*(INDIRECT($D$112)=$D34)*(INDIRECT($F$112)=$F34),0)),0)</f>
        <v>0</v>
      </c>
      <c r="AQ34" s="403" cm="1">
        <f t="array" aca="1" ref="AQ34" ca="1">IFERROR(SUM(_xlfn._xlws.FILTER(INDIRECT(AQ$112),(INDIRECT($B$112)=$B34)*(INDIRECT($D$112)=$D34)*(INDIRECT($F$112)=$F34),0)),0)</f>
        <v>0</v>
      </c>
      <c r="AR34" s="403" cm="1">
        <f t="array" aca="1" ref="AR34" ca="1">IFERROR(SUM(_xlfn._xlws.FILTER(INDIRECT(AR$112),(INDIRECT($B$112)=$B34)*(INDIRECT($D$112)=$D34)*(INDIRECT($F$112)=$F34),0)),0)</f>
        <v>0</v>
      </c>
      <c r="AS34" s="286" t="str">
        <f t="shared" ca="1" si="4"/>
        <v>G34:AP34</v>
      </c>
      <c r="AT34" s="403">
        <f t="shared" ca="1" si="3"/>
        <v>0</v>
      </c>
      <c r="AV34" s="142" cm="1">
        <f t="array" aca="1" ref="AV34" ca="1">IF(AND(_xlfn.LET(_xlpm.x,SUM(ROW()),OR(AND(MATCH("SOT",$A:$A,0)&lt;_xlpm.x,MATCH("EOT",$A:$A,0)&gt;_xlpm.x),AND(MATCH("SOS",$A:$A,0)&lt;_xlpm.x,MATCH("EOS",$A:$A,0)&gt;_xlpm.x),AND(MATCH("SOR",$A:$A,0)&lt;_xlpm.x,MATCH("EOR",$A:$A,0)&gt;_xlpm.x))),INDIRECT("rc"&amp;MATCH("SCD",$1:$1,0),FALSE)="PPTO"),1,0)</f>
        <v>1</v>
      </c>
      <c r="AW34" s="142" cm="1">
        <f t="array" aca="1" ref="AW3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35" spans="1:49" s="153" customFormat="1" outlineLevel="2">
      <c r="A35" s="152"/>
      <c r="B35" s="401" t="str">
        <f ca="1"/>
        <v>31200</v>
      </c>
      <c r="C35" s="148"/>
      <c r="D35" s="404" t="str">
        <f ca="1"/>
        <v>CTCT</v>
      </c>
      <c r="E35" s="350" t="str" cm="1">
        <f t="array" aca="1" ref="E35" ca="1">UPPER(_xlfn.UNIQUE(_xlfn._xlws.FILTER(TbStd[OFbStd],TbStd[RowGrp]=$D35,"X")))</f>
        <v>ERRORS COST</v>
      </c>
      <c r="F35" s="402" t="str">
        <f ca="1"/>
        <v>PREV</v>
      </c>
      <c r="G35" s="403" cm="1">
        <f t="array" aca="1" ref="G35" ca="1">IFERROR(SUM(_xlfn._xlws.FILTER(INDIRECT(G$112),(INDIRECT($B$112)=$B35)*(INDIRECT($D$112)=$D35)*(INDIRECT($F$112)=$F35),0)),0)</f>
        <v>0</v>
      </c>
      <c r="H35" s="403" cm="1">
        <f t="array" aca="1" ref="H35" ca="1">IFERROR(SUM(_xlfn._xlws.FILTER(INDIRECT(H$112),(INDIRECT($B$112)=$B35)*(INDIRECT($D$112)=$D35)*(INDIRECT($F$112)=$F35),0)),0)</f>
        <v>0</v>
      </c>
      <c r="I35" s="403" cm="1">
        <f t="array" aca="1" ref="I35" ca="1">IFERROR(SUM(_xlfn._xlws.FILTER(INDIRECT(I$112),(INDIRECT($B$112)=$B35)*(INDIRECT($D$112)=$D35)*(INDIRECT($F$112)=$F35),0)),0)</f>
        <v>0</v>
      </c>
      <c r="J35" s="403" cm="1">
        <f t="array" aca="1" ref="J35" ca="1">IFERROR(SUM(_xlfn._xlws.FILTER(INDIRECT(J$112),(INDIRECT($B$112)=$B35)*(INDIRECT($D$112)=$D35)*(INDIRECT($F$112)=$F35),0)),0)</f>
        <v>0</v>
      </c>
      <c r="K35" s="403" cm="1">
        <f t="array" aca="1" ref="K35" ca="1">IFERROR(SUM(_xlfn._xlws.FILTER(INDIRECT(K$112),(INDIRECT($B$112)=$B35)*(INDIRECT($D$112)=$D35)*(INDIRECT($F$112)=$F35),0)),0)</f>
        <v>0</v>
      </c>
      <c r="L35" s="403" cm="1">
        <f t="array" aca="1" ref="L35" ca="1">IFERROR(SUM(_xlfn._xlws.FILTER(INDIRECT(L$112),(INDIRECT($B$112)=$B35)*(INDIRECT($D$112)=$D35)*(INDIRECT($F$112)=$F35),0)),0)</f>
        <v>0</v>
      </c>
      <c r="M35" s="403" cm="1">
        <f t="array" aca="1" ref="M35" ca="1">IFERROR(SUM(_xlfn._xlws.FILTER(INDIRECT(M$112),(INDIRECT($B$112)=$B35)*(INDIRECT($D$112)=$D35)*(INDIRECT($F$112)=$F35),0)),0)</f>
        <v>0</v>
      </c>
      <c r="N35" s="403" cm="1">
        <f t="array" aca="1" ref="N35" ca="1">IFERROR(SUM(_xlfn._xlws.FILTER(INDIRECT(N$112),(INDIRECT($B$112)=$B35)*(INDIRECT($D$112)=$D35)*(INDIRECT($F$112)=$F35),0)),0)</f>
        <v>0</v>
      </c>
      <c r="O35" s="403" cm="1">
        <f t="array" aca="1" ref="O35" ca="1">IFERROR(SUM(_xlfn._xlws.FILTER(INDIRECT(O$112),(INDIRECT($B$112)=$B35)*(INDIRECT($D$112)=$D35)*(INDIRECT($F$112)=$F35),0)),0)</f>
        <v>0</v>
      </c>
      <c r="P35" s="403" cm="1">
        <f t="array" aca="1" ref="P35" ca="1">IFERROR(SUM(_xlfn._xlws.FILTER(INDIRECT(P$112),(INDIRECT($B$112)=$B35)*(INDIRECT($D$112)=$D35)*(INDIRECT($F$112)=$F35),0)),0)</f>
        <v>0</v>
      </c>
      <c r="Q35" s="403" cm="1">
        <f t="array" aca="1" ref="Q35" ca="1">IFERROR(SUM(_xlfn._xlws.FILTER(INDIRECT(Q$112),(INDIRECT($B$112)=$B35)*(INDIRECT($D$112)=$D35)*(INDIRECT($F$112)=$F35),0)),0)</f>
        <v>0</v>
      </c>
      <c r="R35" s="403" cm="1">
        <f t="array" aca="1" ref="R35" ca="1">IFERROR(SUM(_xlfn._xlws.FILTER(INDIRECT(R$112),(INDIRECT($B$112)=$B35)*(INDIRECT($D$112)=$D35)*(INDIRECT($F$112)=$F35),0)),0)</f>
        <v>0</v>
      </c>
      <c r="S35" s="403" cm="1">
        <f t="array" aca="1" ref="S35" ca="1">IFERROR(SUM(_xlfn._xlws.FILTER(INDIRECT(S$112),(INDIRECT($B$112)=$B35)*(INDIRECT($D$112)=$D35)*(INDIRECT($F$112)=$F35),0)),0)</f>
        <v>0</v>
      </c>
      <c r="T35" s="403" cm="1">
        <f t="array" aca="1" ref="T35" ca="1">IFERROR(SUM(_xlfn._xlws.FILTER(INDIRECT(T$112),(INDIRECT($B$112)=$B35)*(INDIRECT($D$112)=$D35)*(INDIRECT($F$112)=$F35),0)),0)</f>
        <v>0</v>
      </c>
      <c r="U35" s="403" cm="1">
        <f t="array" aca="1" ref="U35" ca="1">IFERROR(SUM(_xlfn._xlws.FILTER(INDIRECT(U$112),(INDIRECT($B$112)=$B35)*(INDIRECT($D$112)=$D35)*(INDIRECT($F$112)=$F35),0)),0)</f>
        <v>0</v>
      </c>
      <c r="V35" s="403" cm="1">
        <f t="array" aca="1" ref="V35" ca="1">IFERROR(SUM(_xlfn._xlws.FILTER(INDIRECT(V$112),(INDIRECT($B$112)=$B35)*(INDIRECT($D$112)=$D35)*(INDIRECT($F$112)=$F35),0)),0)</f>
        <v>3872</v>
      </c>
      <c r="W35" s="403" cm="1">
        <f t="array" aca="1" ref="W35" ca="1">IFERROR(SUM(_xlfn._xlws.FILTER(INDIRECT(W$112),(INDIRECT($B$112)=$B35)*(INDIRECT($D$112)=$D35)*(INDIRECT($F$112)=$F35),0)),0)</f>
        <v>686</v>
      </c>
      <c r="X35" s="403" cm="1">
        <f t="array" aca="1" ref="X35" ca="1">IFERROR(SUM(_xlfn._xlws.FILTER(INDIRECT(X$112),(INDIRECT($B$112)=$B35)*(INDIRECT($D$112)=$D35)*(INDIRECT($F$112)=$F35),0)),0)</f>
        <v>2126.6</v>
      </c>
      <c r="Y35" s="403" cm="1">
        <f t="array" aca="1" ref="Y35" ca="1">IFERROR(SUM(_xlfn._xlws.FILTER(INDIRECT(Y$112),(INDIRECT($B$112)=$B35)*(INDIRECT($D$112)=$D35)*(INDIRECT($F$112)=$F35),0)),0)</f>
        <v>0</v>
      </c>
      <c r="Z35" s="403" cm="1">
        <f t="array" aca="1" ref="Z35" ca="1">IFERROR(SUM(_xlfn._xlws.FILTER(INDIRECT(Z$112),(INDIRECT($B$112)=$B35)*(INDIRECT($D$112)=$D35)*(INDIRECT($F$112)=$F35),0)),0)</f>
        <v>78.55</v>
      </c>
      <c r="AA35" s="403" cm="1">
        <f t="array" aca="1" ref="AA35" ca="1">IFERROR(SUM(_xlfn._xlws.FILTER(INDIRECT(AA$112),(INDIRECT($B$112)=$B35)*(INDIRECT($D$112)=$D35)*(INDIRECT($F$112)=$F35),0)),0)</f>
        <v>0</v>
      </c>
      <c r="AB35" s="403" cm="1">
        <f t="array" aca="1" ref="AB35" ca="1">IFERROR(SUM(_xlfn._xlws.FILTER(INDIRECT(AB$112),(INDIRECT($B$112)=$B35)*(INDIRECT($D$112)=$D35)*(INDIRECT($F$112)=$F35),0)),0)</f>
        <v>0</v>
      </c>
      <c r="AC35" s="403" cm="1">
        <f t="array" aca="1" ref="AC35" ca="1">IFERROR(SUM(_xlfn._xlws.FILTER(INDIRECT(AC$112),(INDIRECT($B$112)=$B35)*(INDIRECT($D$112)=$D35)*(INDIRECT($F$112)=$F35),0)),0)</f>
        <v>0</v>
      </c>
      <c r="AD35" s="403" cm="1">
        <f t="array" aca="1" ref="AD35" ca="1">IFERROR(SUM(_xlfn._xlws.FILTER(INDIRECT(AD$112),(INDIRECT($B$112)=$B35)*(INDIRECT($D$112)=$D35)*(INDIRECT($F$112)=$F35),0)),0)</f>
        <v>0</v>
      </c>
      <c r="AE35" s="403" cm="1">
        <f t="array" aca="1" ref="AE35" ca="1">IFERROR(SUM(_xlfn._xlws.FILTER(INDIRECT(AE$112),(INDIRECT($B$112)=$B35)*(INDIRECT($D$112)=$D35)*(INDIRECT($F$112)=$F35),0)),0)</f>
        <v>1602.92</v>
      </c>
      <c r="AF35" s="403" cm="1">
        <f t="array" aca="1" ref="AF35" ca="1">IFERROR(SUM(_xlfn._xlws.FILTER(INDIRECT(AF$112),(INDIRECT($B$112)=$B35)*(INDIRECT($D$112)=$D35)*(INDIRECT($F$112)=$F35),0)),0)</f>
        <v>0</v>
      </c>
      <c r="AG35" s="403" cm="1">
        <f t="array" aca="1" ref="AG35" ca="1">IFERROR(SUM(_xlfn._xlws.FILTER(INDIRECT(AG$112),(INDIRECT($B$112)=$B35)*(INDIRECT($D$112)=$D35)*(INDIRECT($F$112)=$F35),0)),0)</f>
        <v>0</v>
      </c>
      <c r="AH35" s="403" cm="1">
        <f t="array" aca="1" ref="AH35" ca="1">IFERROR(SUM(_xlfn._xlws.FILTER(INDIRECT(AH$112),(INDIRECT($B$112)=$B35)*(INDIRECT($D$112)=$D35)*(INDIRECT($F$112)=$F35),0)),0)</f>
        <v>0</v>
      </c>
      <c r="AI35" s="403" cm="1">
        <f t="array" aca="1" ref="AI35" ca="1">IFERROR(SUM(_xlfn._xlws.FILTER(INDIRECT(AI$112),(INDIRECT($B$112)=$B35)*(INDIRECT($D$112)=$D35)*(INDIRECT($F$112)=$F35),0)),0)</f>
        <v>0</v>
      </c>
      <c r="AJ35" s="403" cm="1">
        <f t="array" aca="1" ref="AJ35" ca="1">IFERROR(SUM(_xlfn._xlws.FILTER(INDIRECT(AJ$112),(INDIRECT($B$112)=$B35)*(INDIRECT($D$112)=$D35)*(INDIRECT($F$112)=$F35),0)),0)</f>
        <v>0</v>
      </c>
      <c r="AK35" s="403" cm="1">
        <f t="array" aca="1" ref="AK35" ca="1">IFERROR(SUM(_xlfn._xlws.FILTER(INDIRECT(AK$112),(INDIRECT($B$112)=$B35)*(INDIRECT($D$112)=$D35)*(INDIRECT($F$112)=$F35),0)),0)</f>
        <v>0</v>
      </c>
      <c r="AL35" s="403" cm="1">
        <f t="array" aca="1" ref="AL35" ca="1">IFERROR(SUM(_xlfn._xlws.FILTER(INDIRECT(AL$112),(INDIRECT($B$112)=$B35)*(INDIRECT($D$112)=$D35)*(INDIRECT($F$112)=$F35),0)),0)</f>
        <v>0</v>
      </c>
      <c r="AM35" s="403" cm="1">
        <f t="array" aca="1" ref="AM35" ca="1">IFERROR(SUM(_xlfn._xlws.FILTER(INDIRECT(AM$112),(INDIRECT($B$112)=$B35)*(INDIRECT($D$112)=$D35)*(INDIRECT($F$112)=$F35),0)),0)</f>
        <v>0</v>
      </c>
      <c r="AN35" s="403" cm="1">
        <f t="array" aca="1" ref="AN35" ca="1">IFERROR(SUM(_xlfn._xlws.FILTER(INDIRECT(AN$112),(INDIRECT($B$112)=$B35)*(INDIRECT($D$112)=$D35)*(INDIRECT($F$112)=$F35),0)),0)</f>
        <v>0</v>
      </c>
      <c r="AO35" s="403" cm="1">
        <f t="array" aca="1" ref="AO35" ca="1">IFERROR(SUM(_xlfn._xlws.FILTER(INDIRECT(AO$112),(INDIRECT($B$112)=$B35)*(INDIRECT($D$112)=$D35)*(INDIRECT($F$112)=$F35),0)),0)</f>
        <v>0</v>
      </c>
      <c r="AP35" s="403" cm="1">
        <f t="array" aca="1" ref="AP35" ca="1">IFERROR(SUM(_xlfn._xlws.FILTER(INDIRECT(AP$112),(INDIRECT($B$112)=$B35)*(INDIRECT($D$112)=$D35)*(INDIRECT($F$112)=$F35),0)),0)</f>
        <v>0</v>
      </c>
      <c r="AQ35" s="403" cm="1">
        <f t="array" aca="1" ref="AQ35" ca="1">IFERROR(SUM(_xlfn._xlws.FILTER(INDIRECT(AQ$112),(INDIRECT($B$112)=$B35)*(INDIRECT($D$112)=$D35)*(INDIRECT($F$112)=$F35),0)),0)</f>
        <v>2288.92</v>
      </c>
      <c r="AR35" s="403" cm="1">
        <f t="array" aca="1" ref="AR35" ca="1">IFERROR(SUM(_xlfn._xlws.FILTER(INDIRECT(AR$112),(INDIRECT($B$112)=$B35)*(INDIRECT($D$112)=$D35)*(INDIRECT($F$112)=$F35),0)),0)</f>
        <v>6077.1500000000005</v>
      </c>
      <c r="AS35" s="286" t="str">
        <f t="shared" ca="1" si="4"/>
        <v>G35:AP35</v>
      </c>
      <c r="AT35" s="403">
        <f t="shared" ca="1" si="3"/>
        <v>8366.07</v>
      </c>
      <c r="AV35" s="142" cm="1">
        <f t="array" aca="1" ref="AV35" ca="1">IF(AND(_xlfn.LET(_xlpm.x,SUM(ROW()),OR(AND(MATCH("SOT",$A:$A,0)&lt;_xlpm.x,MATCH("EOT",$A:$A,0)&gt;_xlpm.x),AND(MATCH("SOS",$A:$A,0)&lt;_xlpm.x,MATCH("EOS",$A:$A,0)&gt;_xlpm.x),AND(MATCH("SOR",$A:$A,0)&lt;_xlpm.x,MATCH("EOR",$A:$A,0)&gt;_xlpm.x))),INDIRECT("rc"&amp;MATCH("SCD",$1:$1,0),FALSE)="PPTO"),1,0)</f>
        <v>0</v>
      </c>
      <c r="AW35" s="142" cm="1">
        <f t="array" aca="1" ref="AW3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36" spans="1:49" s="153" customFormat="1" outlineLevel="2">
      <c r="A36" s="152"/>
      <c r="B36" s="401" t="str">
        <f ca="1"/>
        <v>31200</v>
      </c>
      <c r="C36" s="148"/>
      <c r="D36" s="404" t="str">
        <f ca="1"/>
        <v>CTCT</v>
      </c>
      <c r="E36" s="350" t="str" cm="1">
        <f t="array" aca="1" ref="E36" ca="1">UPPER(_xlfn.UNIQUE(_xlfn._xlws.FILTER(TbStd[OFbStd],TbStd[RowGrp]=$D36,"X")))</f>
        <v>ERRORS COST</v>
      </c>
      <c r="F36" s="402" t="str">
        <f ca="1"/>
        <v>REAL</v>
      </c>
      <c r="G36" s="403" cm="1">
        <f t="array" aca="1" ref="G36" ca="1">IFERROR(SUM(_xlfn._xlws.FILTER(INDIRECT(G$112),(INDIRECT($B$112)=$B36)*(INDIRECT($D$112)=$D36)*(INDIRECT($F$112)=$F36),0)),0)</f>
        <v>0</v>
      </c>
      <c r="H36" s="403" cm="1">
        <f t="array" aca="1" ref="H36" ca="1">IFERROR(SUM(_xlfn._xlws.FILTER(INDIRECT(H$112),(INDIRECT($B$112)=$B36)*(INDIRECT($D$112)=$D36)*(INDIRECT($F$112)=$F36),0)),0)</f>
        <v>0</v>
      </c>
      <c r="I36" s="403" cm="1">
        <f t="array" aca="1" ref="I36" ca="1">IFERROR(SUM(_xlfn._xlws.FILTER(INDIRECT(I$112),(INDIRECT($B$112)=$B36)*(INDIRECT($D$112)=$D36)*(INDIRECT($F$112)=$F36),0)),0)</f>
        <v>0</v>
      </c>
      <c r="J36" s="403" cm="1">
        <f t="array" aca="1" ref="J36" ca="1">IFERROR(SUM(_xlfn._xlws.FILTER(INDIRECT(J$112),(INDIRECT($B$112)=$B36)*(INDIRECT($D$112)=$D36)*(INDIRECT($F$112)=$F36),0)),0)</f>
        <v>0</v>
      </c>
      <c r="K36" s="403" cm="1">
        <f t="array" aca="1" ref="K36" ca="1">IFERROR(SUM(_xlfn._xlws.FILTER(INDIRECT(K$112),(INDIRECT($B$112)=$B36)*(INDIRECT($D$112)=$D36)*(INDIRECT($F$112)=$F36),0)),0)</f>
        <v>98.49</v>
      </c>
      <c r="L36" s="403" cm="1">
        <f t="array" aca="1" ref="L36" ca="1">IFERROR(SUM(_xlfn._xlws.FILTER(INDIRECT(L$112),(INDIRECT($B$112)=$B36)*(INDIRECT($D$112)=$D36)*(INDIRECT($F$112)=$F36),0)),0)</f>
        <v>0</v>
      </c>
      <c r="M36" s="403" cm="1">
        <f t="array" aca="1" ref="M36" ca="1">IFERROR(SUM(_xlfn._xlws.FILTER(INDIRECT(M$112),(INDIRECT($B$112)=$B36)*(INDIRECT($D$112)=$D36)*(INDIRECT($F$112)=$F36),0)),0)</f>
        <v>0</v>
      </c>
      <c r="N36" s="403" cm="1">
        <f t="array" aca="1" ref="N36" ca="1">IFERROR(SUM(_xlfn._xlws.FILTER(INDIRECT(N$112),(INDIRECT($B$112)=$B36)*(INDIRECT($D$112)=$D36)*(INDIRECT($F$112)=$F36),0)),0)</f>
        <v>0</v>
      </c>
      <c r="O36" s="403" cm="1">
        <f t="array" aca="1" ref="O36" ca="1">IFERROR(SUM(_xlfn._xlws.FILTER(INDIRECT(O$112),(INDIRECT($B$112)=$B36)*(INDIRECT($D$112)=$D36)*(INDIRECT($F$112)=$F36),0)),0)</f>
        <v>0</v>
      </c>
      <c r="P36" s="403" cm="1">
        <f t="array" aca="1" ref="P36" ca="1">IFERROR(SUM(_xlfn._xlws.FILTER(INDIRECT(P$112),(INDIRECT($B$112)=$B36)*(INDIRECT($D$112)=$D36)*(INDIRECT($F$112)=$F36),0)),0)</f>
        <v>0</v>
      </c>
      <c r="Q36" s="403" cm="1">
        <f t="array" aca="1" ref="Q36" ca="1">IFERROR(SUM(_xlfn._xlws.FILTER(INDIRECT(Q$112),(INDIRECT($B$112)=$B36)*(INDIRECT($D$112)=$D36)*(INDIRECT($F$112)=$F36),0)),0)</f>
        <v>0</v>
      </c>
      <c r="R36" s="403" cm="1">
        <f t="array" aca="1" ref="R36" ca="1">IFERROR(SUM(_xlfn._xlws.FILTER(INDIRECT(R$112),(INDIRECT($B$112)=$B36)*(INDIRECT($D$112)=$D36)*(INDIRECT($F$112)=$F36),0)),0)</f>
        <v>0</v>
      </c>
      <c r="S36" s="403" cm="1">
        <f t="array" aca="1" ref="S36" ca="1">IFERROR(SUM(_xlfn._xlws.FILTER(INDIRECT(S$112),(INDIRECT($B$112)=$B36)*(INDIRECT($D$112)=$D36)*(INDIRECT($F$112)=$F36),0)),0)</f>
        <v>0</v>
      </c>
      <c r="T36" s="403" cm="1">
        <f t="array" aca="1" ref="T36" ca="1">IFERROR(SUM(_xlfn._xlws.FILTER(INDIRECT(T$112),(INDIRECT($B$112)=$B36)*(INDIRECT($D$112)=$D36)*(INDIRECT($F$112)=$F36),0)),0)</f>
        <v>0</v>
      </c>
      <c r="U36" s="403" cm="1">
        <f t="array" aca="1" ref="U36" ca="1">IFERROR(SUM(_xlfn._xlws.FILTER(INDIRECT(U$112),(INDIRECT($B$112)=$B36)*(INDIRECT($D$112)=$D36)*(INDIRECT($F$112)=$F36),0)),0)</f>
        <v>0</v>
      </c>
      <c r="V36" s="403" cm="1">
        <f t="array" aca="1" ref="V36" ca="1">IFERROR(SUM(_xlfn._xlws.FILTER(INDIRECT(V$112),(INDIRECT($B$112)=$B36)*(INDIRECT($D$112)=$D36)*(INDIRECT($F$112)=$F36),0)),0)</f>
        <v>4986</v>
      </c>
      <c r="W36" s="403" cm="1">
        <f t="array" aca="1" ref="W36" ca="1">IFERROR(SUM(_xlfn._xlws.FILTER(INDIRECT(W$112),(INDIRECT($B$112)=$B36)*(INDIRECT($D$112)=$D36)*(INDIRECT($F$112)=$F36),0)),0)</f>
        <v>3677.75</v>
      </c>
      <c r="X36" s="403" cm="1">
        <f t="array" aca="1" ref="X36" ca="1">IFERROR(SUM(_xlfn._xlws.FILTER(INDIRECT(X$112),(INDIRECT($B$112)=$B36)*(INDIRECT($D$112)=$D36)*(INDIRECT($F$112)=$F36),0)),0)</f>
        <v>400</v>
      </c>
      <c r="Y36" s="403" cm="1">
        <f t="array" aca="1" ref="Y36" ca="1">IFERROR(SUM(_xlfn._xlws.FILTER(INDIRECT(Y$112),(INDIRECT($B$112)=$B36)*(INDIRECT($D$112)=$D36)*(INDIRECT($F$112)=$F36),0)),0)</f>
        <v>147.64999999999998</v>
      </c>
      <c r="Z36" s="403" cm="1">
        <f t="array" aca="1" ref="Z36" ca="1">IFERROR(SUM(_xlfn._xlws.FILTER(INDIRECT(Z$112),(INDIRECT($B$112)=$B36)*(INDIRECT($D$112)=$D36)*(INDIRECT($F$112)=$F36),0)),0)</f>
        <v>0</v>
      </c>
      <c r="AA36" s="403" cm="1">
        <f t="array" aca="1" ref="AA36" ca="1">IFERROR(SUM(_xlfn._xlws.FILTER(INDIRECT(AA$112),(INDIRECT($B$112)=$B36)*(INDIRECT($D$112)=$D36)*(INDIRECT($F$112)=$F36),0)),0)</f>
        <v>0</v>
      </c>
      <c r="AB36" s="403" cm="1">
        <f t="array" aca="1" ref="AB36" ca="1">IFERROR(SUM(_xlfn._xlws.FILTER(INDIRECT(AB$112),(INDIRECT($B$112)=$B36)*(INDIRECT($D$112)=$D36)*(INDIRECT($F$112)=$F36),0)),0)</f>
        <v>0</v>
      </c>
      <c r="AC36" s="403" cm="1">
        <f t="array" aca="1" ref="AC36" ca="1">IFERROR(SUM(_xlfn._xlws.FILTER(INDIRECT(AC$112),(INDIRECT($B$112)=$B36)*(INDIRECT($D$112)=$D36)*(INDIRECT($F$112)=$F36),0)),0)</f>
        <v>0</v>
      </c>
      <c r="AD36" s="403" cm="1">
        <f t="array" aca="1" ref="AD36" ca="1">IFERROR(SUM(_xlfn._xlws.FILTER(INDIRECT(AD$112),(INDIRECT($B$112)=$B36)*(INDIRECT($D$112)=$D36)*(INDIRECT($F$112)=$F36),0)),0)</f>
        <v>0</v>
      </c>
      <c r="AE36" s="403" cm="1">
        <f t="array" aca="1" ref="AE36" ca="1">IFERROR(SUM(_xlfn._xlws.FILTER(INDIRECT(AE$112),(INDIRECT($B$112)=$B36)*(INDIRECT($D$112)=$D36)*(INDIRECT($F$112)=$F36),0)),0)</f>
        <v>3242.63</v>
      </c>
      <c r="AF36" s="403" cm="1">
        <f t="array" aca="1" ref="AF36" ca="1">IFERROR(SUM(_xlfn._xlws.FILTER(INDIRECT(AF$112),(INDIRECT($B$112)=$B36)*(INDIRECT($D$112)=$D36)*(INDIRECT($F$112)=$F36),0)),0)</f>
        <v>0</v>
      </c>
      <c r="AG36" s="403" cm="1">
        <f t="array" aca="1" ref="AG36" ca="1">IFERROR(SUM(_xlfn._xlws.FILTER(INDIRECT(AG$112),(INDIRECT($B$112)=$B36)*(INDIRECT($D$112)=$D36)*(INDIRECT($F$112)=$F36),0)),0)</f>
        <v>0</v>
      </c>
      <c r="AH36" s="403" cm="1">
        <f t="array" aca="1" ref="AH36" ca="1">IFERROR(SUM(_xlfn._xlws.FILTER(INDIRECT(AH$112),(INDIRECT($B$112)=$B36)*(INDIRECT($D$112)=$D36)*(INDIRECT($F$112)=$F36),0)),0)</f>
        <v>0</v>
      </c>
      <c r="AI36" s="403" cm="1">
        <f t="array" aca="1" ref="AI36" ca="1">IFERROR(SUM(_xlfn._xlws.FILTER(INDIRECT(AI$112),(INDIRECT($B$112)=$B36)*(INDIRECT($D$112)=$D36)*(INDIRECT($F$112)=$F36),0)),0)</f>
        <v>0</v>
      </c>
      <c r="AJ36" s="403" cm="1">
        <f t="array" aca="1" ref="AJ36" ca="1">IFERROR(SUM(_xlfn._xlws.FILTER(INDIRECT(AJ$112),(INDIRECT($B$112)=$B36)*(INDIRECT($D$112)=$D36)*(INDIRECT($F$112)=$F36),0)),0)</f>
        <v>157.80000000000001</v>
      </c>
      <c r="AK36" s="403" cm="1">
        <f t="array" aca="1" ref="AK36" ca="1">IFERROR(SUM(_xlfn._xlws.FILTER(INDIRECT(AK$112),(INDIRECT($B$112)=$B36)*(INDIRECT($D$112)=$D36)*(INDIRECT($F$112)=$F36),0)),0)</f>
        <v>0</v>
      </c>
      <c r="AL36" s="403" cm="1">
        <f t="array" aca="1" ref="AL36" ca="1">IFERROR(SUM(_xlfn._xlws.FILTER(INDIRECT(AL$112),(INDIRECT($B$112)=$B36)*(INDIRECT($D$112)=$D36)*(INDIRECT($F$112)=$F36),0)),0)</f>
        <v>0</v>
      </c>
      <c r="AM36" s="403" cm="1">
        <f t="array" aca="1" ref="AM36" ca="1">IFERROR(SUM(_xlfn._xlws.FILTER(INDIRECT(AM$112),(INDIRECT($B$112)=$B36)*(INDIRECT($D$112)=$D36)*(INDIRECT($F$112)=$F36),0)),0)</f>
        <v>0</v>
      </c>
      <c r="AN36" s="403" cm="1">
        <f t="array" aca="1" ref="AN36" ca="1">IFERROR(SUM(_xlfn._xlws.FILTER(INDIRECT(AN$112),(INDIRECT($B$112)=$B36)*(INDIRECT($D$112)=$D36)*(INDIRECT($F$112)=$F36),0)),0)</f>
        <v>0</v>
      </c>
      <c r="AO36" s="403" cm="1">
        <f t="array" aca="1" ref="AO36" ca="1">IFERROR(SUM(_xlfn._xlws.FILTER(INDIRECT(AO$112),(INDIRECT($B$112)=$B36)*(INDIRECT($D$112)=$D36)*(INDIRECT($F$112)=$F36),0)),0)</f>
        <v>0</v>
      </c>
      <c r="AP36" s="403" cm="1">
        <f t="array" aca="1" ref="AP36" ca="1">IFERROR(SUM(_xlfn._xlws.FILTER(INDIRECT(AP$112),(INDIRECT($B$112)=$B36)*(INDIRECT($D$112)=$D36)*(INDIRECT($F$112)=$F36),0)),0)</f>
        <v>0</v>
      </c>
      <c r="AQ36" s="403" cm="1">
        <f t="array" aca="1" ref="AQ36" ca="1">IFERROR(SUM(_xlfn._xlws.FILTER(INDIRECT(AQ$112),(INDIRECT($B$112)=$B36)*(INDIRECT($D$112)=$D36)*(INDIRECT($F$112)=$F36),0)),0)</f>
        <v>7166.52</v>
      </c>
      <c r="AR36" s="403" cm="1">
        <f t="array" aca="1" ref="AR36" ca="1">IFERROR(SUM(_xlfn._xlws.FILTER(INDIRECT(AR$112),(INDIRECT($B$112)=$B36)*(INDIRECT($D$112)=$D36)*(INDIRECT($F$112)=$F36),0)),0)</f>
        <v>5543.8</v>
      </c>
      <c r="AS36" s="286" t="str">
        <f t="shared" ca="1" si="4"/>
        <v>G36:AP36</v>
      </c>
      <c r="AT36" s="403">
        <f t="shared" ca="1" si="3"/>
        <v>12710.32</v>
      </c>
      <c r="AV36" s="142" cm="1">
        <f t="array" aca="1" ref="AV36" ca="1">IF(AND(_xlfn.LET(_xlpm.x,SUM(ROW()),OR(AND(MATCH("SOT",$A:$A,0)&lt;_xlpm.x,MATCH("EOT",$A:$A,0)&gt;_xlpm.x),AND(MATCH("SOS",$A:$A,0)&lt;_xlpm.x,MATCH("EOS",$A:$A,0)&gt;_xlpm.x),AND(MATCH("SOR",$A:$A,0)&lt;_xlpm.x,MATCH("EOR",$A:$A,0)&gt;_xlpm.x))),INDIRECT("rc"&amp;MATCH("SCD",$1:$1,0),FALSE)="PPTO"),1,0)</f>
        <v>0</v>
      </c>
      <c r="AW36" s="142" cm="1">
        <f t="array" aca="1" ref="AW3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37" spans="1:49" s="153" customFormat="1" outlineLevel="2">
      <c r="A37" s="152"/>
      <c r="B37" s="401" t="str">
        <f ca="1"/>
        <v>31200</v>
      </c>
      <c r="C37" s="148"/>
      <c r="D37" s="404" t="str">
        <f ca="1"/>
        <v>FABT</v>
      </c>
      <c r="E37" s="350" t="str" cm="1">
        <f t="array" aca="1" ref="E37" ca="1">UPPER(_xlfn.UNIQUE(_xlfn._xlws.FILTER(TbStd[OFbStd],TbStd[RowGrp]=$D37,"X")))</f>
        <v>MANUFACTURING TOOLS</v>
      </c>
      <c r="F37" s="402" t="str">
        <f ca="1"/>
        <v>PPTO</v>
      </c>
      <c r="G37" s="403" cm="1">
        <f t="array" aca="1" ref="G37" ca="1">IFERROR(SUM(_xlfn._xlws.FILTER(INDIRECT(G$112),(INDIRECT($B$112)=$B37)*(INDIRECT($D$112)=$D37)*(INDIRECT($F$112)=$F37),0)),0)</f>
        <v>0</v>
      </c>
      <c r="H37" s="403" cm="1">
        <f t="array" aca="1" ref="H37" ca="1">IFERROR(SUM(_xlfn._xlws.FILTER(INDIRECT(H$112),(INDIRECT($B$112)=$B37)*(INDIRECT($D$112)=$D37)*(INDIRECT($F$112)=$F37),0)),0)</f>
        <v>0</v>
      </c>
      <c r="I37" s="403" cm="1">
        <f t="array" aca="1" ref="I37" ca="1">IFERROR(SUM(_xlfn._xlws.FILTER(INDIRECT(I$112),(INDIRECT($B$112)=$B37)*(INDIRECT($D$112)=$D37)*(INDIRECT($F$112)=$F37),0)),0)</f>
        <v>0</v>
      </c>
      <c r="J37" s="403" cm="1">
        <f t="array" aca="1" ref="J37" ca="1">IFERROR(SUM(_xlfn._xlws.FILTER(INDIRECT(J$112),(INDIRECT($B$112)=$B37)*(INDIRECT($D$112)=$D37)*(INDIRECT($F$112)=$F37),0)),0)</f>
        <v>0</v>
      </c>
      <c r="K37" s="403" cm="1">
        <f t="array" aca="1" ref="K37" ca="1">IFERROR(SUM(_xlfn._xlws.FILTER(INDIRECT(K$112),(INDIRECT($B$112)=$B37)*(INDIRECT($D$112)=$D37)*(INDIRECT($F$112)=$F37),0)),0)</f>
        <v>0</v>
      </c>
      <c r="L37" s="403" cm="1">
        <f t="array" aca="1" ref="L37" ca="1">IFERROR(SUM(_xlfn._xlws.FILTER(INDIRECT(L$112),(INDIRECT($B$112)=$B37)*(INDIRECT($D$112)=$D37)*(INDIRECT($F$112)=$F37),0)),0)</f>
        <v>0</v>
      </c>
      <c r="M37" s="403" cm="1">
        <f t="array" aca="1" ref="M37" ca="1">IFERROR(SUM(_xlfn._xlws.FILTER(INDIRECT(M$112),(INDIRECT($B$112)=$B37)*(INDIRECT($D$112)=$D37)*(INDIRECT($F$112)=$F37),0)),0)</f>
        <v>0</v>
      </c>
      <c r="N37" s="403" cm="1">
        <f t="array" aca="1" ref="N37" ca="1">IFERROR(SUM(_xlfn._xlws.FILTER(INDIRECT(N$112),(INDIRECT($B$112)=$B37)*(INDIRECT($D$112)=$D37)*(INDIRECT($F$112)=$F37),0)),0)</f>
        <v>0</v>
      </c>
      <c r="O37" s="403" cm="1">
        <f t="array" aca="1" ref="O37" ca="1">IFERROR(SUM(_xlfn._xlws.FILTER(INDIRECT(O$112),(INDIRECT($B$112)=$B37)*(INDIRECT($D$112)=$D37)*(INDIRECT($F$112)=$F37),0)),0)</f>
        <v>0</v>
      </c>
      <c r="P37" s="403" cm="1">
        <f t="array" aca="1" ref="P37" ca="1">IFERROR(SUM(_xlfn._xlws.FILTER(INDIRECT(P$112),(INDIRECT($B$112)=$B37)*(INDIRECT($D$112)=$D37)*(INDIRECT($F$112)=$F37),0)),0)</f>
        <v>0</v>
      </c>
      <c r="Q37" s="403" cm="1">
        <f t="array" aca="1" ref="Q37" ca="1">IFERROR(SUM(_xlfn._xlws.FILTER(INDIRECT(Q$112),(INDIRECT($B$112)=$B37)*(INDIRECT($D$112)=$D37)*(INDIRECT($F$112)=$F37),0)),0)</f>
        <v>0</v>
      </c>
      <c r="R37" s="403" cm="1">
        <f t="array" aca="1" ref="R37" ca="1">IFERROR(SUM(_xlfn._xlws.FILTER(INDIRECT(R$112),(INDIRECT($B$112)=$B37)*(INDIRECT($D$112)=$D37)*(INDIRECT($F$112)=$F37),0)),0)</f>
        <v>0</v>
      </c>
      <c r="S37" s="403" cm="1">
        <f t="array" aca="1" ref="S37" ca="1">IFERROR(SUM(_xlfn._xlws.FILTER(INDIRECT(S$112),(INDIRECT($B$112)=$B37)*(INDIRECT($D$112)=$D37)*(INDIRECT($F$112)=$F37),0)),0)</f>
        <v>0</v>
      </c>
      <c r="T37" s="403" cm="1">
        <f t="array" aca="1" ref="T37" ca="1">IFERROR(SUM(_xlfn._xlws.FILTER(INDIRECT(T$112),(INDIRECT($B$112)=$B37)*(INDIRECT($D$112)=$D37)*(INDIRECT($F$112)=$F37),0)),0)</f>
        <v>0</v>
      </c>
      <c r="U37" s="403" cm="1">
        <f t="array" aca="1" ref="U37" ca="1">IFERROR(SUM(_xlfn._xlws.FILTER(INDIRECT(U$112),(INDIRECT($B$112)=$B37)*(INDIRECT($D$112)=$D37)*(INDIRECT($F$112)=$F37),0)),0)</f>
        <v>133378.03425583258</v>
      </c>
      <c r="V37" s="403" cm="1">
        <f t="array" aca="1" ref="V37" ca="1">IFERROR(SUM(_xlfn._xlws.FILTER(INDIRECT(V$112),(INDIRECT($B$112)=$B37)*(INDIRECT($D$112)=$D37)*(INDIRECT($F$112)=$F37),0)),0)</f>
        <v>725155.8942974743</v>
      </c>
      <c r="W37" s="403" cm="1">
        <f t="array" aca="1" ref="W37" ca="1">IFERROR(SUM(_xlfn._xlws.FILTER(INDIRECT(W$112),(INDIRECT($B$112)=$B37)*(INDIRECT($D$112)=$D37)*(INDIRECT($F$112)=$F37),0)),0)</f>
        <v>0</v>
      </c>
      <c r="X37" s="403" cm="1">
        <f t="array" aca="1" ref="X37" ca="1">IFERROR(SUM(_xlfn._xlws.FILTER(INDIRECT(X$112),(INDIRECT($B$112)=$B37)*(INDIRECT($D$112)=$D37)*(INDIRECT($F$112)=$F37),0)),0)</f>
        <v>0</v>
      </c>
      <c r="Y37" s="403" cm="1">
        <f t="array" aca="1" ref="Y37" ca="1">IFERROR(SUM(_xlfn._xlws.FILTER(INDIRECT(Y$112),(INDIRECT($B$112)=$B37)*(INDIRECT($D$112)=$D37)*(INDIRECT($F$112)=$F37),0)),0)</f>
        <v>0</v>
      </c>
      <c r="Z37" s="403" cm="1">
        <f t="array" aca="1" ref="Z37" ca="1">IFERROR(SUM(_xlfn._xlws.FILTER(INDIRECT(Z$112),(INDIRECT($B$112)=$B37)*(INDIRECT($D$112)=$D37)*(INDIRECT($F$112)=$F37),0)),0)</f>
        <v>0</v>
      </c>
      <c r="AA37" s="403" cm="1">
        <f t="array" aca="1" ref="AA37" ca="1">IFERROR(SUM(_xlfn._xlws.FILTER(INDIRECT(AA$112),(INDIRECT($B$112)=$B37)*(INDIRECT($D$112)=$D37)*(INDIRECT($F$112)=$F37),0)),0)</f>
        <v>0</v>
      </c>
      <c r="AB37" s="403" cm="1">
        <f t="array" aca="1" ref="AB37" ca="1">IFERROR(SUM(_xlfn._xlws.FILTER(INDIRECT(AB$112),(INDIRECT($B$112)=$B37)*(INDIRECT($D$112)=$D37)*(INDIRECT($F$112)=$F37),0)),0)</f>
        <v>0</v>
      </c>
      <c r="AC37" s="403" cm="1">
        <f t="array" aca="1" ref="AC37" ca="1">IFERROR(SUM(_xlfn._xlws.FILTER(INDIRECT(AC$112),(INDIRECT($B$112)=$B37)*(INDIRECT($D$112)=$D37)*(INDIRECT($F$112)=$F37),0)),0)</f>
        <v>0</v>
      </c>
      <c r="AD37" s="403" cm="1">
        <f t="array" aca="1" ref="AD37" ca="1">IFERROR(SUM(_xlfn._xlws.FILTER(INDIRECT(AD$112),(INDIRECT($B$112)=$B37)*(INDIRECT($D$112)=$D37)*(INDIRECT($F$112)=$F37),0)),0)</f>
        <v>0</v>
      </c>
      <c r="AE37" s="403" cm="1">
        <f t="array" aca="1" ref="AE37" ca="1">IFERROR(SUM(_xlfn._xlws.FILTER(INDIRECT(AE$112),(INDIRECT($B$112)=$B37)*(INDIRECT($D$112)=$D37)*(INDIRECT($F$112)=$F37),0)),0)</f>
        <v>0</v>
      </c>
      <c r="AF37" s="403" cm="1">
        <f t="array" aca="1" ref="AF37" ca="1">IFERROR(SUM(_xlfn._xlws.FILTER(INDIRECT(AF$112),(INDIRECT($B$112)=$B37)*(INDIRECT($D$112)=$D37)*(INDIRECT($F$112)=$F37),0)),0)</f>
        <v>0</v>
      </c>
      <c r="AG37" s="403" cm="1">
        <f t="array" aca="1" ref="AG37" ca="1">IFERROR(SUM(_xlfn._xlws.FILTER(INDIRECT(AG$112),(INDIRECT($B$112)=$B37)*(INDIRECT($D$112)=$D37)*(INDIRECT($F$112)=$F37),0)),0)</f>
        <v>0</v>
      </c>
      <c r="AH37" s="403" cm="1">
        <f t="array" aca="1" ref="AH37" ca="1">IFERROR(SUM(_xlfn._xlws.FILTER(INDIRECT(AH$112),(INDIRECT($B$112)=$B37)*(INDIRECT($D$112)=$D37)*(INDIRECT($F$112)=$F37),0)),0)</f>
        <v>0</v>
      </c>
      <c r="AI37" s="403" cm="1">
        <f t="array" aca="1" ref="AI37" ca="1">IFERROR(SUM(_xlfn._xlws.FILTER(INDIRECT(AI$112),(INDIRECT($B$112)=$B37)*(INDIRECT($D$112)=$D37)*(INDIRECT($F$112)=$F37),0)),0)</f>
        <v>0</v>
      </c>
      <c r="AJ37" s="403" cm="1">
        <f t="array" aca="1" ref="AJ37" ca="1">IFERROR(SUM(_xlfn._xlws.FILTER(INDIRECT(AJ$112),(INDIRECT($B$112)=$B37)*(INDIRECT($D$112)=$D37)*(INDIRECT($F$112)=$F37),0)),0)</f>
        <v>215028.45490000001</v>
      </c>
      <c r="AK37" s="403" cm="1">
        <f t="array" aca="1" ref="AK37" ca="1">IFERROR(SUM(_xlfn._xlws.FILTER(INDIRECT(AK$112),(INDIRECT($B$112)=$B37)*(INDIRECT($D$112)=$D37)*(INDIRECT($F$112)=$F37),0)),0)</f>
        <v>0</v>
      </c>
      <c r="AL37" s="403" cm="1">
        <f t="array" aca="1" ref="AL37" ca="1">IFERROR(SUM(_xlfn._xlws.FILTER(INDIRECT(AL$112),(INDIRECT($B$112)=$B37)*(INDIRECT($D$112)=$D37)*(INDIRECT($F$112)=$F37),0)),0)</f>
        <v>0</v>
      </c>
      <c r="AM37" s="403" cm="1">
        <f t="array" aca="1" ref="AM37" ca="1">IFERROR(SUM(_xlfn._xlws.FILTER(INDIRECT(AM$112),(INDIRECT($B$112)=$B37)*(INDIRECT($D$112)=$D37)*(INDIRECT($F$112)=$F37),0)),0)</f>
        <v>0</v>
      </c>
      <c r="AN37" s="403" cm="1">
        <f t="array" aca="1" ref="AN37" ca="1">IFERROR(SUM(_xlfn._xlws.FILTER(INDIRECT(AN$112),(INDIRECT($B$112)=$B37)*(INDIRECT($D$112)=$D37)*(INDIRECT($F$112)=$F37),0)),0)</f>
        <v>0</v>
      </c>
      <c r="AO37" s="403" cm="1">
        <f t="array" aca="1" ref="AO37" ca="1">IFERROR(SUM(_xlfn._xlws.FILTER(INDIRECT(AO$112),(INDIRECT($B$112)=$B37)*(INDIRECT($D$112)=$D37)*(INDIRECT($F$112)=$F37),0)),0)</f>
        <v>0</v>
      </c>
      <c r="AP37" s="403" cm="1">
        <f t="array" aca="1" ref="AP37" ca="1">IFERROR(SUM(_xlfn._xlws.FILTER(INDIRECT(AP$112),(INDIRECT($B$112)=$B37)*(INDIRECT($D$112)=$D37)*(INDIRECT($F$112)=$F37),0)),0)</f>
        <v>0</v>
      </c>
      <c r="AQ37" s="403" cm="1">
        <f t="array" aca="1" ref="AQ37" ca="1">IFERROR(SUM(_xlfn._xlws.FILTER(INDIRECT(AQ$112),(INDIRECT($B$112)=$B37)*(INDIRECT($D$112)=$D37)*(INDIRECT($F$112)=$F37),0)),0)</f>
        <v>133378.03425583258</v>
      </c>
      <c r="AR37" s="403" cm="1">
        <f t="array" aca="1" ref="AR37" ca="1">IFERROR(SUM(_xlfn._xlws.FILTER(INDIRECT(AR$112),(INDIRECT($B$112)=$B37)*(INDIRECT($D$112)=$D37)*(INDIRECT($F$112)=$F37),0)),0)</f>
        <v>940184.34919747431</v>
      </c>
      <c r="AS37" s="286" t="str">
        <f t="shared" ca="1" si="4"/>
        <v>G37:AP37</v>
      </c>
      <c r="AT37" s="403">
        <f t="shared" ca="1" si="3"/>
        <v>1073562.383453307</v>
      </c>
      <c r="AV37" s="142" cm="1">
        <f t="array" aca="1" ref="AV37" ca="1">IF(AND(_xlfn.LET(_xlpm.x,SUM(ROW()),OR(AND(MATCH("SOT",$A:$A,0)&lt;_xlpm.x,MATCH("EOT",$A:$A,0)&gt;_xlpm.x),AND(MATCH("SOS",$A:$A,0)&lt;_xlpm.x,MATCH("EOS",$A:$A,0)&gt;_xlpm.x),AND(MATCH("SOR",$A:$A,0)&lt;_xlpm.x,MATCH("EOR",$A:$A,0)&gt;_xlpm.x))),INDIRECT("rc"&amp;MATCH("SCD",$1:$1,0),FALSE)="PPTO"),1,0)</f>
        <v>1</v>
      </c>
      <c r="AW37" s="142" cm="1">
        <f t="array" aca="1" ref="AW3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38" spans="1:49" s="153" customFormat="1" outlineLevel="2">
      <c r="A38" s="152"/>
      <c r="B38" s="401" t="str">
        <f ca="1"/>
        <v>31200</v>
      </c>
      <c r="C38" s="148"/>
      <c r="D38" s="404" t="str">
        <f ca="1"/>
        <v>FABT</v>
      </c>
      <c r="E38" s="350" t="str" cm="1">
        <f t="array" aca="1" ref="E38" ca="1">UPPER(_xlfn.UNIQUE(_xlfn._xlws.FILTER(TbStd[OFbStd],TbStd[RowGrp]=$D38,"X")))</f>
        <v>MANUFACTURING TOOLS</v>
      </c>
      <c r="F38" s="402" t="str">
        <f ca="1"/>
        <v>PREV</v>
      </c>
      <c r="G38" s="403" cm="1">
        <f t="array" aca="1" ref="G38" ca="1">IFERROR(SUM(_xlfn._xlws.FILTER(INDIRECT(G$112),(INDIRECT($B$112)=$B38)*(INDIRECT($D$112)=$D38)*(INDIRECT($F$112)=$F38),0)),0)</f>
        <v>0</v>
      </c>
      <c r="H38" s="403" cm="1">
        <f t="array" aca="1" ref="H38" ca="1">IFERROR(SUM(_xlfn._xlws.FILTER(INDIRECT(H$112),(INDIRECT($B$112)=$B38)*(INDIRECT($D$112)=$D38)*(INDIRECT($F$112)=$F38),0)),0)</f>
        <v>0</v>
      </c>
      <c r="I38" s="403" cm="1">
        <f t="array" aca="1" ref="I38" ca="1">IFERROR(SUM(_xlfn._xlws.FILTER(INDIRECT(I$112),(INDIRECT($B$112)=$B38)*(INDIRECT($D$112)=$D38)*(INDIRECT($F$112)=$F38),0)),0)</f>
        <v>0</v>
      </c>
      <c r="J38" s="403" cm="1">
        <f t="array" aca="1" ref="J38" ca="1">IFERROR(SUM(_xlfn._xlws.FILTER(INDIRECT(J$112),(INDIRECT($B$112)=$B38)*(INDIRECT($D$112)=$D38)*(INDIRECT($F$112)=$F38),0)),0)</f>
        <v>0</v>
      </c>
      <c r="K38" s="403" cm="1">
        <f t="array" aca="1" ref="K38" ca="1">IFERROR(SUM(_xlfn._xlws.FILTER(INDIRECT(K$112),(INDIRECT($B$112)=$B38)*(INDIRECT($D$112)=$D38)*(INDIRECT($F$112)=$F38),0)),0)</f>
        <v>0</v>
      </c>
      <c r="L38" s="403" cm="1">
        <f t="array" aca="1" ref="L38" ca="1">IFERROR(SUM(_xlfn._xlws.FILTER(INDIRECT(L$112),(INDIRECT($B$112)=$B38)*(INDIRECT($D$112)=$D38)*(INDIRECT($F$112)=$F38),0)),0)</f>
        <v>0</v>
      </c>
      <c r="M38" s="403" cm="1">
        <f t="array" aca="1" ref="M38" ca="1">IFERROR(SUM(_xlfn._xlws.FILTER(INDIRECT(M$112),(INDIRECT($B$112)=$B38)*(INDIRECT($D$112)=$D38)*(INDIRECT($F$112)=$F38),0)),0)</f>
        <v>0</v>
      </c>
      <c r="N38" s="403" cm="1">
        <f t="array" aca="1" ref="N38" ca="1">IFERROR(SUM(_xlfn._xlws.FILTER(INDIRECT(N$112),(INDIRECT($B$112)=$B38)*(INDIRECT($D$112)=$D38)*(INDIRECT($F$112)=$F38),0)),0)</f>
        <v>0</v>
      </c>
      <c r="O38" s="403" cm="1">
        <f t="array" aca="1" ref="O38" ca="1">IFERROR(SUM(_xlfn._xlws.FILTER(INDIRECT(O$112),(INDIRECT($B$112)=$B38)*(INDIRECT($D$112)=$D38)*(INDIRECT($F$112)=$F38),0)),0)</f>
        <v>0</v>
      </c>
      <c r="P38" s="403" cm="1">
        <f t="array" aca="1" ref="P38" ca="1">IFERROR(SUM(_xlfn._xlws.FILTER(INDIRECT(P$112),(INDIRECT($B$112)=$B38)*(INDIRECT($D$112)=$D38)*(INDIRECT($F$112)=$F38),0)),0)</f>
        <v>0</v>
      </c>
      <c r="Q38" s="403" cm="1">
        <f t="array" aca="1" ref="Q38" ca="1">IFERROR(SUM(_xlfn._xlws.FILTER(INDIRECT(Q$112),(INDIRECT($B$112)=$B38)*(INDIRECT($D$112)=$D38)*(INDIRECT($F$112)=$F38),0)),0)</f>
        <v>0</v>
      </c>
      <c r="R38" s="403" cm="1">
        <f t="array" aca="1" ref="R38" ca="1">IFERROR(SUM(_xlfn._xlws.FILTER(INDIRECT(R$112),(INDIRECT($B$112)=$B38)*(INDIRECT($D$112)=$D38)*(INDIRECT($F$112)=$F38),0)),0)</f>
        <v>0</v>
      </c>
      <c r="S38" s="403" cm="1">
        <f t="array" aca="1" ref="S38" ca="1">IFERROR(SUM(_xlfn._xlws.FILTER(INDIRECT(S$112),(INDIRECT($B$112)=$B38)*(INDIRECT($D$112)=$D38)*(INDIRECT($F$112)=$F38),0)),0)</f>
        <v>0</v>
      </c>
      <c r="T38" s="403" cm="1">
        <f t="array" aca="1" ref="T38" ca="1">IFERROR(SUM(_xlfn._xlws.FILTER(INDIRECT(T$112),(INDIRECT($B$112)=$B38)*(INDIRECT($D$112)=$D38)*(INDIRECT($F$112)=$F38),0)),0)</f>
        <v>0</v>
      </c>
      <c r="U38" s="403" cm="1">
        <f t="array" aca="1" ref="U38" ca="1">IFERROR(SUM(_xlfn._xlws.FILTER(INDIRECT(U$112),(INDIRECT($B$112)=$B38)*(INDIRECT($D$112)=$D38)*(INDIRECT($F$112)=$F38),0)),0)</f>
        <v>-10756.07</v>
      </c>
      <c r="V38" s="403" cm="1">
        <f t="array" aca="1" ref="V38" ca="1">IFERROR(SUM(_xlfn._xlws.FILTER(INDIRECT(V$112),(INDIRECT($B$112)=$B38)*(INDIRECT($D$112)=$D38)*(INDIRECT($F$112)=$F38),0)),0)</f>
        <v>-168076.17855330685</v>
      </c>
      <c r="W38" s="403" cm="1">
        <f t="array" aca="1" ref="W38" ca="1">IFERROR(SUM(_xlfn._xlws.FILTER(INDIRECT(W$112),(INDIRECT($B$112)=$B38)*(INDIRECT($D$112)=$D38)*(INDIRECT($F$112)=$F38),0)),0)</f>
        <v>4676.79</v>
      </c>
      <c r="X38" s="403" cm="1">
        <f t="array" aca="1" ref="X38" ca="1">IFERROR(SUM(_xlfn._xlws.FILTER(INDIRECT(X$112),(INDIRECT($B$112)=$B38)*(INDIRECT($D$112)=$D38)*(INDIRECT($F$112)=$F38),0)),0)</f>
        <v>0</v>
      </c>
      <c r="Y38" s="403" cm="1">
        <f t="array" aca="1" ref="Y38" ca="1">IFERROR(SUM(_xlfn._xlws.FILTER(INDIRECT(Y$112),(INDIRECT($B$112)=$B38)*(INDIRECT($D$112)=$D38)*(INDIRECT($F$112)=$F38),0)),0)</f>
        <v>13037.16</v>
      </c>
      <c r="Z38" s="403" cm="1">
        <f t="array" aca="1" ref="Z38" ca="1">IFERROR(SUM(_xlfn._xlws.FILTER(INDIRECT(Z$112),(INDIRECT($B$112)=$B38)*(INDIRECT($D$112)=$D38)*(INDIRECT($F$112)=$F38),0)),0)</f>
        <v>0</v>
      </c>
      <c r="AA38" s="403" cm="1">
        <f t="array" aca="1" ref="AA38" ca="1">IFERROR(SUM(_xlfn._xlws.FILTER(INDIRECT(AA$112),(INDIRECT($B$112)=$B38)*(INDIRECT($D$112)=$D38)*(INDIRECT($F$112)=$F38),0)),0)</f>
        <v>0</v>
      </c>
      <c r="AB38" s="403" cm="1">
        <f t="array" aca="1" ref="AB38" ca="1">IFERROR(SUM(_xlfn._xlws.FILTER(INDIRECT(AB$112),(INDIRECT($B$112)=$B38)*(INDIRECT($D$112)=$D38)*(INDIRECT($F$112)=$F38),0)),0)</f>
        <v>0</v>
      </c>
      <c r="AC38" s="403" cm="1">
        <f t="array" aca="1" ref="AC38" ca="1">IFERROR(SUM(_xlfn._xlws.FILTER(INDIRECT(AC$112),(INDIRECT($B$112)=$B38)*(INDIRECT($D$112)=$D38)*(INDIRECT($F$112)=$F38),0)),0)</f>
        <v>0</v>
      </c>
      <c r="AD38" s="403" cm="1">
        <f t="array" aca="1" ref="AD38" ca="1">IFERROR(SUM(_xlfn._xlws.FILTER(INDIRECT(AD$112),(INDIRECT($B$112)=$B38)*(INDIRECT($D$112)=$D38)*(INDIRECT($F$112)=$F38),0)),0)</f>
        <v>0</v>
      </c>
      <c r="AE38" s="403" cm="1">
        <f t="array" aca="1" ref="AE38" ca="1">IFERROR(SUM(_xlfn._xlws.FILTER(INDIRECT(AE$112),(INDIRECT($B$112)=$B38)*(INDIRECT($D$112)=$D38)*(INDIRECT($F$112)=$F38),0)),0)</f>
        <v>0</v>
      </c>
      <c r="AF38" s="403" cm="1">
        <f t="array" aca="1" ref="AF38" ca="1">IFERROR(SUM(_xlfn._xlws.FILTER(INDIRECT(AF$112),(INDIRECT($B$112)=$B38)*(INDIRECT($D$112)=$D38)*(INDIRECT($F$112)=$F38),0)),0)</f>
        <v>0</v>
      </c>
      <c r="AG38" s="403" cm="1">
        <f t="array" aca="1" ref="AG38" ca="1">IFERROR(SUM(_xlfn._xlws.FILTER(INDIRECT(AG$112),(INDIRECT($B$112)=$B38)*(INDIRECT($D$112)=$D38)*(INDIRECT($F$112)=$F38),0)),0)</f>
        <v>0</v>
      </c>
      <c r="AH38" s="403" cm="1">
        <f t="array" aca="1" ref="AH38" ca="1">IFERROR(SUM(_xlfn._xlws.FILTER(INDIRECT(AH$112),(INDIRECT($B$112)=$B38)*(INDIRECT($D$112)=$D38)*(INDIRECT($F$112)=$F38),0)),0)</f>
        <v>0</v>
      </c>
      <c r="AI38" s="403" cm="1">
        <f t="array" aca="1" ref="AI38" ca="1">IFERROR(SUM(_xlfn._xlws.FILTER(INDIRECT(AI$112),(INDIRECT($B$112)=$B38)*(INDIRECT($D$112)=$D38)*(INDIRECT($F$112)=$F38),0)),0)</f>
        <v>0</v>
      </c>
      <c r="AJ38" s="403" cm="1">
        <f t="array" aca="1" ref="AJ38" ca="1">IFERROR(SUM(_xlfn._xlws.FILTER(INDIRECT(AJ$112),(INDIRECT($B$112)=$B38)*(INDIRECT($D$112)=$D38)*(INDIRECT($F$112)=$F38),0)),0)</f>
        <v>-70000</v>
      </c>
      <c r="AK38" s="403" cm="1">
        <f t="array" aca="1" ref="AK38" ca="1">IFERROR(SUM(_xlfn._xlws.FILTER(INDIRECT(AK$112),(INDIRECT($B$112)=$B38)*(INDIRECT($D$112)=$D38)*(INDIRECT($F$112)=$F38),0)),0)</f>
        <v>0</v>
      </c>
      <c r="AL38" s="403" cm="1">
        <f t="array" aca="1" ref="AL38" ca="1">IFERROR(SUM(_xlfn._xlws.FILTER(INDIRECT(AL$112),(INDIRECT($B$112)=$B38)*(INDIRECT($D$112)=$D38)*(INDIRECT($F$112)=$F38),0)),0)</f>
        <v>48.56</v>
      </c>
      <c r="AM38" s="403" cm="1">
        <f t="array" aca="1" ref="AM38" ca="1">IFERROR(SUM(_xlfn._xlws.FILTER(INDIRECT(AM$112),(INDIRECT($B$112)=$B38)*(INDIRECT($D$112)=$D38)*(INDIRECT($F$112)=$F38),0)),0)</f>
        <v>0</v>
      </c>
      <c r="AN38" s="403" cm="1">
        <f t="array" aca="1" ref="AN38" ca="1">IFERROR(SUM(_xlfn._xlws.FILTER(INDIRECT(AN$112),(INDIRECT($B$112)=$B38)*(INDIRECT($D$112)=$D38)*(INDIRECT($F$112)=$F38),0)),0)</f>
        <v>809.14</v>
      </c>
      <c r="AO38" s="403" cm="1">
        <f t="array" aca="1" ref="AO38" ca="1">IFERROR(SUM(_xlfn._xlws.FILTER(INDIRECT(AO$112),(INDIRECT($B$112)=$B38)*(INDIRECT($D$112)=$D38)*(INDIRECT($F$112)=$F38),0)),0)</f>
        <v>0</v>
      </c>
      <c r="AP38" s="403" cm="1">
        <f t="array" aca="1" ref="AP38" ca="1">IFERROR(SUM(_xlfn._xlws.FILTER(INDIRECT(AP$112),(INDIRECT($B$112)=$B38)*(INDIRECT($D$112)=$D38)*(INDIRECT($F$112)=$F38),0)),0)</f>
        <v>0</v>
      </c>
      <c r="AQ38" s="403" cm="1">
        <f t="array" aca="1" ref="AQ38" ca="1">IFERROR(SUM(_xlfn._xlws.FILTER(INDIRECT(AQ$112),(INDIRECT($B$112)=$B38)*(INDIRECT($D$112)=$D38)*(INDIRECT($F$112)=$F38),0)),0)</f>
        <v>6957.88</v>
      </c>
      <c r="AR38" s="403" cm="1">
        <f t="array" aca="1" ref="AR38" ca="1">IFERROR(SUM(_xlfn._xlws.FILTER(INDIRECT(AR$112),(INDIRECT($B$112)=$B38)*(INDIRECT($D$112)=$D38)*(INDIRECT($F$112)=$F38),0)),0)</f>
        <v>-237218.47855330684</v>
      </c>
      <c r="AS38" s="286" t="str">
        <f t="shared" ca="1" si="4"/>
        <v>G38:AP38</v>
      </c>
      <c r="AT38" s="403">
        <f t="shared" ca="1" si="3"/>
        <v>-230260.59855330683</v>
      </c>
      <c r="AV38" s="142" cm="1">
        <f t="array" aca="1" ref="AV38" ca="1">IF(AND(_xlfn.LET(_xlpm.x,SUM(ROW()),OR(AND(MATCH("SOT",$A:$A,0)&lt;_xlpm.x,MATCH("EOT",$A:$A,0)&gt;_xlpm.x),AND(MATCH("SOS",$A:$A,0)&lt;_xlpm.x,MATCH("EOS",$A:$A,0)&gt;_xlpm.x),AND(MATCH("SOR",$A:$A,0)&lt;_xlpm.x,MATCH("EOR",$A:$A,0)&gt;_xlpm.x))),INDIRECT("rc"&amp;MATCH("SCD",$1:$1,0),FALSE)="PPTO"),1,0)</f>
        <v>0</v>
      </c>
      <c r="AW38" s="142" cm="1">
        <f t="array" aca="1" ref="AW3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39" spans="1:49" s="153" customFormat="1" outlineLevel="2">
      <c r="A39" s="152"/>
      <c r="B39" s="401" t="str">
        <f ca="1"/>
        <v>31200</v>
      </c>
      <c r="C39" s="148"/>
      <c r="D39" s="404" t="str">
        <f ca="1"/>
        <v>FABT</v>
      </c>
      <c r="E39" s="350" t="str" cm="1">
        <f t="array" aca="1" ref="E39" ca="1">UPPER(_xlfn.UNIQUE(_xlfn._xlws.FILTER(TbStd[OFbStd],TbStd[RowGrp]=$D39,"X")))</f>
        <v>MANUFACTURING TOOLS</v>
      </c>
      <c r="F39" s="402" t="str">
        <f ca="1"/>
        <v>REAL</v>
      </c>
      <c r="G39" s="403" cm="1">
        <f t="array" aca="1" ref="G39" ca="1">IFERROR(SUM(_xlfn._xlws.FILTER(INDIRECT(G$112),(INDIRECT($B$112)=$B39)*(INDIRECT($D$112)=$D39)*(INDIRECT($F$112)=$F39),0)),0)</f>
        <v>0</v>
      </c>
      <c r="H39" s="403" cm="1">
        <f t="array" aca="1" ref="H39" ca="1">IFERROR(SUM(_xlfn._xlws.FILTER(INDIRECT(H$112),(INDIRECT($B$112)=$B39)*(INDIRECT($D$112)=$D39)*(INDIRECT($F$112)=$F39),0)),0)</f>
        <v>0</v>
      </c>
      <c r="I39" s="403" cm="1">
        <f t="array" aca="1" ref="I39" ca="1">IFERROR(SUM(_xlfn._xlws.FILTER(INDIRECT(I$112),(INDIRECT($B$112)=$B39)*(INDIRECT($D$112)=$D39)*(INDIRECT($F$112)=$F39),0)),0)</f>
        <v>0</v>
      </c>
      <c r="J39" s="403" cm="1">
        <f t="array" aca="1" ref="J39" ca="1">IFERROR(SUM(_xlfn._xlws.FILTER(INDIRECT(J$112),(INDIRECT($B$112)=$B39)*(INDIRECT($D$112)=$D39)*(INDIRECT($F$112)=$F39),0)),0)</f>
        <v>0</v>
      </c>
      <c r="K39" s="403" cm="1">
        <f t="array" aca="1" ref="K39" ca="1">IFERROR(SUM(_xlfn._xlws.FILTER(INDIRECT(K$112),(INDIRECT($B$112)=$B39)*(INDIRECT($D$112)=$D39)*(INDIRECT($F$112)=$F39),0)),0)</f>
        <v>0</v>
      </c>
      <c r="L39" s="403" cm="1">
        <f t="array" aca="1" ref="L39" ca="1">IFERROR(SUM(_xlfn._xlws.FILTER(INDIRECT(L$112),(INDIRECT($B$112)=$B39)*(INDIRECT($D$112)=$D39)*(INDIRECT($F$112)=$F39),0)),0)</f>
        <v>0</v>
      </c>
      <c r="M39" s="403" cm="1">
        <f t="array" aca="1" ref="M39" ca="1">IFERROR(SUM(_xlfn._xlws.FILTER(INDIRECT(M$112),(INDIRECT($B$112)=$B39)*(INDIRECT($D$112)=$D39)*(INDIRECT($F$112)=$F39),0)),0)</f>
        <v>0</v>
      </c>
      <c r="N39" s="403" cm="1">
        <f t="array" aca="1" ref="N39" ca="1">IFERROR(SUM(_xlfn._xlws.FILTER(INDIRECT(N$112),(INDIRECT($B$112)=$B39)*(INDIRECT($D$112)=$D39)*(INDIRECT($F$112)=$F39),0)),0)</f>
        <v>0</v>
      </c>
      <c r="O39" s="403" cm="1">
        <f t="array" aca="1" ref="O39" ca="1">IFERROR(SUM(_xlfn._xlws.FILTER(INDIRECT(O$112),(INDIRECT($B$112)=$B39)*(INDIRECT($D$112)=$D39)*(INDIRECT($F$112)=$F39),0)),0)</f>
        <v>0</v>
      </c>
      <c r="P39" s="403" cm="1">
        <f t="array" aca="1" ref="P39" ca="1">IFERROR(SUM(_xlfn._xlws.FILTER(INDIRECT(P$112),(INDIRECT($B$112)=$B39)*(INDIRECT($D$112)=$D39)*(INDIRECT($F$112)=$F39),0)),0)</f>
        <v>0</v>
      </c>
      <c r="Q39" s="403" cm="1">
        <f t="array" aca="1" ref="Q39" ca="1">IFERROR(SUM(_xlfn._xlws.FILTER(INDIRECT(Q$112),(INDIRECT($B$112)=$B39)*(INDIRECT($D$112)=$D39)*(INDIRECT($F$112)=$F39),0)),0)</f>
        <v>0</v>
      </c>
      <c r="R39" s="403" cm="1">
        <f t="array" aca="1" ref="R39" ca="1">IFERROR(SUM(_xlfn._xlws.FILTER(INDIRECT(R$112),(INDIRECT($B$112)=$B39)*(INDIRECT($D$112)=$D39)*(INDIRECT($F$112)=$F39),0)),0)</f>
        <v>0</v>
      </c>
      <c r="S39" s="403" cm="1">
        <f t="array" aca="1" ref="S39" ca="1">IFERROR(SUM(_xlfn._xlws.FILTER(INDIRECT(S$112),(INDIRECT($B$112)=$B39)*(INDIRECT($D$112)=$D39)*(INDIRECT($F$112)=$F39),0)),0)</f>
        <v>0</v>
      </c>
      <c r="T39" s="403" cm="1">
        <f t="array" aca="1" ref="T39" ca="1">IFERROR(SUM(_xlfn._xlws.FILTER(INDIRECT(T$112),(INDIRECT($B$112)=$B39)*(INDIRECT($D$112)=$D39)*(INDIRECT($F$112)=$F39),0)),0)</f>
        <v>0</v>
      </c>
      <c r="U39" s="403" cm="1">
        <f t="array" aca="1" ref="U39" ca="1">IFERROR(SUM(_xlfn._xlws.FILTER(INDIRECT(U$112),(INDIRECT($B$112)=$B39)*(INDIRECT($D$112)=$D39)*(INDIRECT($F$112)=$F39),0)),0)</f>
        <v>0</v>
      </c>
      <c r="V39" s="403" cm="1">
        <f t="array" aca="1" ref="V39" ca="1">IFERROR(SUM(_xlfn._xlws.FILTER(INDIRECT(V$112),(INDIRECT($B$112)=$B39)*(INDIRECT($D$112)=$D39)*(INDIRECT($F$112)=$F39),0)),0)</f>
        <v>530457.75</v>
      </c>
      <c r="W39" s="403" cm="1">
        <f t="array" aca="1" ref="W39" ca="1">IFERROR(SUM(_xlfn._xlws.FILTER(INDIRECT(W$112),(INDIRECT($B$112)=$B39)*(INDIRECT($D$112)=$D39)*(INDIRECT($F$112)=$F39),0)),0)</f>
        <v>7207.43</v>
      </c>
      <c r="X39" s="403" cm="1">
        <f t="array" aca="1" ref="X39" ca="1">IFERROR(SUM(_xlfn._xlws.FILTER(INDIRECT(X$112),(INDIRECT($B$112)=$B39)*(INDIRECT($D$112)=$D39)*(INDIRECT($F$112)=$F39),0)),0)</f>
        <v>0</v>
      </c>
      <c r="Y39" s="403" cm="1">
        <f t="array" aca="1" ref="Y39" ca="1">IFERROR(SUM(_xlfn._xlws.FILTER(INDIRECT(Y$112),(INDIRECT($B$112)=$B39)*(INDIRECT($D$112)=$D39)*(INDIRECT($F$112)=$F39),0)),0)</f>
        <v>16514.439999999999</v>
      </c>
      <c r="Z39" s="403" cm="1">
        <f t="array" aca="1" ref="Z39" ca="1">IFERROR(SUM(_xlfn._xlws.FILTER(INDIRECT(Z$112),(INDIRECT($B$112)=$B39)*(INDIRECT($D$112)=$D39)*(INDIRECT($F$112)=$F39),0)),0)</f>
        <v>0</v>
      </c>
      <c r="AA39" s="403" cm="1">
        <f t="array" aca="1" ref="AA39" ca="1">IFERROR(SUM(_xlfn._xlws.FILTER(INDIRECT(AA$112),(INDIRECT($B$112)=$B39)*(INDIRECT($D$112)=$D39)*(INDIRECT($F$112)=$F39),0)),0)</f>
        <v>0</v>
      </c>
      <c r="AB39" s="403" cm="1">
        <f t="array" aca="1" ref="AB39" ca="1">IFERROR(SUM(_xlfn._xlws.FILTER(INDIRECT(AB$112),(INDIRECT($B$112)=$B39)*(INDIRECT($D$112)=$D39)*(INDIRECT($F$112)=$F39),0)),0)</f>
        <v>0</v>
      </c>
      <c r="AC39" s="403" cm="1">
        <f t="array" aca="1" ref="AC39" ca="1">IFERROR(SUM(_xlfn._xlws.FILTER(INDIRECT(AC$112),(INDIRECT($B$112)=$B39)*(INDIRECT($D$112)=$D39)*(INDIRECT($F$112)=$F39),0)),0)</f>
        <v>0</v>
      </c>
      <c r="AD39" s="403" cm="1">
        <f t="array" aca="1" ref="AD39" ca="1">IFERROR(SUM(_xlfn._xlws.FILTER(INDIRECT(AD$112),(INDIRECT($B$112)=$B39)*(INDIRECT($D$112)=$D39)*(INDIRECT($F$112)=$F39),0)),0)</f>
        <v>0</v>
      </c>
      <c r="AE39" s="403" cm="1">
        <f t="array" aca="1" ref="AE39" ca="1">IFERROR(SUM(_xlfn._xlws.FILTER(INDIRECT(AE$112),(INDIRECT($B$112)=$B39)*(INDIRECT($D$112)=$D39)*(INDIRECT($F$112)=$F39),0)),0)</f>
        <v>0</v>
      </c>
      <c r="AF39" s="403" cm="1">
        <f t="array" aca="1" ref="AF39" ca="1">IFERROR(SUM(_xlfn._xlws.FILTER(INDIRECT(AF$112),(INDIRECT($B$112)=$B39)*(INDIRECT($D$112)=$D39)*(INDIRECT($F$112)=$F39),0)),0)</f>
        <v>0</v>
      </c>
      <c r="AG39" s="403" cm="1">
        <f t="array" aca="1" ref="AG39" ca="1">IFERROR(SUM(_xlfn._xlws.FILTER(INDIRECT(AG$112),(INDIRECT($B$112)=$B39)*(INDIRECT($D$112)=$D39)*(INDIRECT($F$112)=$F39),0)),0)</f>
        <v>0</v>
      </c>
      <c r="AH39" s="403" cm="1">
        <f t="array" aca="1" ref="AH39" ca="1">IFERROR(SUM(_xlfn._xlws.FILTER(INDIRECT(AH$112),(INDIRECT($B$112)=$B39)*(INDIRECT($D$112)=$D39)*(INDIRECT($F$112)=$F39),0)),0)</f>
        <v>0</v>
      </c>
      <c r="AI39" s="403" cm="1">
        <f t="array" aca="1" ref="AI39" ca="1">IFERROR(SUM(_xlfn._xlws.FILTER(INDIRECT(AI$112),(INDIRECT($B$112)=$B39)*(INDIRECT($D$112)=$D39)*(INDIRECT($F$112)=$F39),0)),0)</f>
        <v>0</v>
      </c>
      <c r="AJ39" s="403" cm="1">
        <f t="array" aca="1" ref="AJ39" ca="1">IFERROR(SUM(_xlfn._xlws.FILTER(INDIRECT(AJ$112),(INDIRECT($B$112)=$B39)*(INDIRECT($D$112)=$D39)*(INDIRECT($F$112)=$F39),0)),0)</f>
        <v>126308.17</v>
      </c>
      <c r="AK39" s="403" cm="1">
        <f t="array" aca="1" ref="AK39" ca="1">IFERROR(SUM(_xlfn._xlws.FILTER(INDIRECT(AK$112),(INDIRECT($B$112)=$B39)*(INDIRECT($D$112)=$D39)*(INDIRECT($F$112)=$F39),0)),0)</f>
        <v>0</v>
      </c>
      <c r="AL39" s="403" cm="1">
        <f t="array" aca="1" ref="AL39" ca="1">IFERROR(SUM(_xlfn._xlws.FILTER(INDIRECT(AL$112),(INDIRECT($B$112)=$B39)*(INDIRECT($D$112)=$D39)*(INDIRECT($F$112)=$F39),0)),0)</f>
        <v>48.56</v>
      </c>
      <c r="AM39" s="403" cm="1">
        <f t="array" aca="1" ref="AM39" ca="1">IFERROR(SUM(_xlfn._xlws.FILTER(INDIRECT(AM$112),(INDIRECT($B$112)=$B39)*(INDIRECT($D$112)=$D39)*(INDIRECT($F$112)=$F39),0)),0)</f>
        <v>0</v>
      </c>
      <c r="AN39" s="403" cm="1">
        <f t="array" aca="1" ref="AN39" ca="1">IFERROR(SUM(_xlfn._xlws.FILTER(INDIRECT(AN$112),(INDIRECT($B$112)=$B39)*(INDIRECT($D$112)=$D39)*(INDIRECT($F$112)=$F39),0)),0)</f>
        <v>809.14</v>
      </c>
      <c r="AO39" s="403" cm="1">
        <f t="array" aca="1" ref="AO39" ca="1">IFERROR(SUM(_xlfn._xlws.FILTER(INDIRECT(AO$112),(INDIRECT($B$112)=$B39)*(INDIRECT($D$112)=$D39)*(INDIRECT($F$112)=$F39),0)),0)</f>
        <v>0</v>
      </c>
      <c r="AP39" s="403" cm="1">
        <f t="array" aca="1" ref="AP39" ca="1">IFERROR(SUM(_xlfn._xlws.FILTER(INDIRECT(AP$112),(INDIRECT($B$112)=$B39)*(INDIRECT($D$112)=$D39)*(INDIRECT($F$112)=$F39),0)),0)</f>
        <v>0</v>
      </c>
      <c r="AQ39" s="403" cm="1">
        <f t="array" aca="1" ref="AQ39" ca="1">IFERROR(SUM(_xlfn._xlws.FILTER(INDIRECT(AQ$112),(INDIRECT($B$112)=$B39)*(INDIRECT($D$112)=$D39)*(INDIRECT($F$112)=$F39),0)),0)</f>
        <v>23721.87</v>
      </c>
      <c r="AR39" s="403" cm="1">
        <f t="array" aca="1" ref="AR39" ca="1">IFERROR(SUM(_xlfn._xlws.FILTER(INDIRECT(AR$112),(INDIRECT($B$112)=$B39)*(INDIRECT($D$112)=$D39)*(INDIRECT($F$112)=$F39),0)),0)</f>
        <v>657623.62000000011</v>
      </c>
      <c r="AS39" s="286" t="str">
        <f t="shared" ca="1" si="4"/>
        <v>G39:AP39</v>
      </c>
      <c r="AT39" s="403">
        <f t="shared" ca="1" si="3"/>
        <v>681345.49000000011</v>
      </c>
      <c r="AV39" s="142" cm="1">
        <f t="array" aca="1" ref="AV39" ca="1">IF(AND(_xlfn.LET(_xlpm.x,SUM(ROW()),OR(AND(MATCH("SOT",$A:$A,0)&lt;_xlpm.x,MATCH("EOT",$A:$A,0)&gt;_xlpm.x),AND(MATCH("SOS",$A:$A,0)&lt;_xlpm.x,MATCH("EOS",$A:$A,0)&gt;_xlpm.x),AND(MATCH("SOR",$A:$A,0)&lt;_xlpm.x,MATCH("EOR",$A:$A,0)&gt;_xlpm.x))),INDIRECT("rc"&amp;MATCH("SCD",$1:$1,0),FALSE)="PPTO"),1,0)</f>
        <v>0</v>
      </c>
      <c r="AW39" s="142" cm="1">
        <f t="array" aca="1" ref="AW3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40" spans="1:49" s="153" customFormat="1" outlineLevel="2">
      <c r="A40" s="152"/>
      <c r="B40" s="401" t="str">
        <f ca="1"/>
        <v>31200</v>
      </c>
      <c r="C40" s="148"/>
      <c r="D40" s="404" t="str">
        <f ca="1"/>
        <v>IMTS</v>
      </c>
      <c r="E40" s="350" t="str" cm="1">
        <f t="array" aca="1" ref="E40" ca="1">UPPER(_xlfn.UNIQUE(_xlfn._xlws.FILTER(TbStd[OFbStd],TbStd[RowGrp]=$D40,"X")))</f>
        <v>INSTALLATION TOOLS @SERRA</v>
      </c>
      <c r="F40" s="402" t="str">
        <f ca="1"/>
        <v>PPTO</v>
      </c>
      <c r="G40" s="403" cm="1">
        <f t="array" aca="1" ref="G40" ca="1">IFERROR(SUM(_xlfn._xlws.FILTER(INDIRECT(G$112),(INDIRECT($B$112)=$B40)*(INDIRECT($D$112)=$D40)*(INDIRECT($F$112)=$F40),0)),0)</f>
        <v>0</v>
      </c>
      <c r="H40" s="403" cm="1">
        <f t="array" aca="1" ref="H40" ca="1">IFERROR(SUM(_xlfn._xlws.FILTER(INDIRECT(H$112),(INDIRECT($B$112)=$B40)*(INDIRECT($D$112)=$D40)*(INDIRECT($F$112)=$F40),0)),0)</f>
        <v>0</v>
      </c>
      <c r="I40" s="403" cm="1">
        <f t="array" aca="1" ref="I40" ca="1">IFERROR(SUM(_xlfn._xlws.FILTER(INDIRECT(I$112),(INDIRECT($B$112)=$B40)*(INDIRECT($D$112)=$D40)*(INDIRECT($F$112)=$F40),0)),0)</f>
        <v>0</v>
      </c>
      <c r="J40" s="403" cm="1">
        <f t="array" aca="1" ref="J40" ca="1">IFERROR(SUM(_xlfn._xlws.FILTER(INDIRECT(J$112),(INDIRECT($B$112)=$B40)*(INDIRECT($D$112)=$D40)*(INDIRECT($F$112)=$F40),0)),0)</f>
        <v>0</v>
      </c>
      <c r="K40" s="403" cm="1">
        <f t="array" aca="1" ref="K40" ca="1">IFERROR(SUM(_xlfn._xlws.FILTER(INDIRECT(K$112),(INDIRECT($B$112)=$B40)*(INDIRECT($D$112)=$D40)*(INDIRECT($F$112)=$F40),0)),0)</f>
        <v>0</v>
      </c>
      <c r="L40" s="403" cm="1">
        <f t="array" aca="1" ref="L40" ca="1">IFERROR(SUM(_xlfn._xlws.FILTER(INDIRECT(L$112),(INDIRECT($B$112)=$B40)*(INDIRECT($D$112)=$D40)*(INDIRECT($F$112)=$F40),0)),0)</f>
        <v>0</v>
      </c>
      <c r="M40" s="403" cm="1">
        <f t="array" aca="1" ref="M40" ca="1">IFERROR(SUM(_xlfn._xlws.FILTER(INDIRECT(M$112),(INDIRECT($B$112)=$B40)*(INDIRECT($D$112)=$D40)*(INDIRECT($F$112)=$F40),0)),0)</f>
        <v>0</v>
      </c>
      <c r="N40" s="403" cm="1">
        <f t="array" aca="1" ref="N40" ca="1">IFERROR(SUM(_xlfn._xlws.FILTER(INDIRECT(N$112),(INDIRECT($B$112)=$B40)*(INDIRECT($D$112)=$D40)*(INDIRECT($F$112)=$F40),0)),0)</f>
        <v>0</v>
      </c>
      <c r="O40" s="403" cm="1">
        <f t="array" aca="1" ref="O40" ca="1">IFERROR(SUM(_xlfn._xlws.FILTER(INDIRECT(O$112),(INDIRECT($B$112)=$B40)*(INDIRECT($D$112)=$D40)*(INDIRECT($F$112)=$F40),0)),0)</f>
        <v>0</v>
      </c>
      <c r="P40" s="403" cm="1">
        <f t="array" aca="1" ref="P40" ca="1">IFERROR(SUM(_xlfn._xlws.FILTER(INDIRECT(P$112),(INDIRECT($B$112)=$B40)*(INDIRECT($D$112)=$D40)*(INDIRECT($F$112)=$F40),0)),0)</f>
        <v>0</v>
      </c>
      <c r="Q40" s="403" cm="1">
        <f t="array" aca="1" ref="Q40" ca="1">IFERROR(SUM(_xlfn._xlws.FILTER(INDIRECT(Q$112),(INDIRECT($B$112)=$B40)*(INDIRECT($D$112)=$D40)*(INDIRECT($F$112)=$F40),0)),0)</f>
        <v>0</v>
      </c>
      <c r="R40" s="403" cm="1">
        <f t="array" aca="1" ref="R40" ca="1">IFERROR(SUM(_xlfn._xlws.FILTER(INDIRECT(R$112),(INDIRECT($B$112)=$B40)*(INDIRECT($D$112)=$D40)*(INDIRECT($F$112)=$F40),0)),0)</f>
        <v>0</v>
      </c>
      <c r="S40" s="403" cm="1">
        <f t="array" aca="1" ref="S40" ca="1">IFERROR(SUM(_xlfn._xlws.FILTER(INDIRECT(S$112),(INDIRECT($B$112)=$B40)*(INDIRECT($D$112)=$D40)*(INDIRECT($F$112)=$F40),0)),0)</f>
        <v>0</v>
      </c>
      <c r="T40" s="403" cm="1">
        <f t="array" aca="1" ref="T40" ca="1">IFERROR(SUM(_xlfn._xlws.FILTER(INDIRECT(T$112),(INDIRECT($B$112)=$B40)*(INDIRECT($D$112)=$D40)*(INDIRECT($F$112)=$F40),0)),0)</f>
        <v>0</v>
      </c>
      <c r="U40" s="403" cm="1">
        <f t="array" aca="1" ref="U40" ca="1">IFERROR(SUM(_xlfn._xlws.FILTER(INDIRECT(U$112),(INDIRECT($B$112)=$B40)*(INDIRECT($D$112)=$D40)*(INDIRECT($F$112)=$F40),0)),0)</f>
        <v>0</v>
      </c>
      <c r="V40" s="403" cm="1">
        <f t="array" aca="1" ref="V40" ca="1">IFERROR(SUM(_xlfn._xlws.FILTER(INDIRECT(V$112),(INDIRECT($B$112)=$B40)*(INDIRECT($D$112)=$D40)*(INDIRECT($F$112)=$F40),0)),0)</f>
        <v>0</v>
      </c>
      <c r="W40" s="403" cm="1">
        <f t="array" aca="1" ref="W40" ca="1">IFERROR(SUM(_xlfn._xlws.FILTER(INDIRECT(W$112),(INDIRECT($B$112)=$B40)*(INDIRECT($D$112)=$D40)*(INDIRECT($F$112)=$F40),0)),0)</f>
        <v>0</v>
      </c>
      <c r="X40" s="403" cm="1">
        <f t="array" aca="1" ref="X40" ca="1">IFERROR(SUM(_xlfn._xlws.FILTER(INDIRECT(X$112),(INDIRECT($B$112)=$B40)*(INDIRECT($D$112)=$D40)*(INDIRECT($F$112)=$F40),0)),0)</f>
        <v>0</v>
      </c>
      <c r="Y40" s="403" cm="1">
        <f t="array" aca="1" ref="Y40" ca="1">IFERROR(SUM(_xlfn._xlws.FILTER(INDIRECT(Y$112),(INDIRECT($B$112)=$B40)*(INDIRECT($D$112)=$D40)*(INDIRECT($F$112)=$F40),0)),0)</f>
        <v>0</v>
      </c>
      <c r="Z40" s="403" cm="1">
        <f t="array" aca="1" ref="Z40" ca="1">IFERROR(SUM(_xlfn._xlws.FILTER(INDIRECT(Z$112),(INDIRECT($B$112)=$B40)*(INDIRECT($D$112)=$D40)*(INDIRECT($F$112)=$F40),0)),0)</f>
        <v>0</v>
      </c>
      <c r="AA40" s="403" cm="1">
        <f t="array" aca="1" ref="AA40" ca="1">IFERROR(SUM(_xlfn._xlws.FILTER(INDIRECT(AA$112),(INDIRECT($B$112)=$B40)*(INDIRECT($D$112)=$D40)*(INDIRECT($F$112)=$F40),0)),0)</f>
        <v>0</v>
      </c>
      <c r="AB40" s="403" cm="1">
        <f t="array" aca="1" ref="AB40" ca="1">IFERROR(SUM(_xlfn._xlws.FILTER(INDIRECT(AB$112),(INDIRECT($B$112)=$B40)*(INDIRECT($D$112)=$D40)*(INDIRECT($F$112)=$F40),0)),0)</f>
        <v>0</v>
      </c>
      <c r="AC40" s="403" cm="1">
        <f t="array" aca="1" ref="AC40" ca="1">IFERROR(SUM(_xlfn._xlws.FILTER(INDIRECT(AC$112),(INDIRECT($B$112)=$B40)*(INDIRECT($D$112)=$D40)*(INDIRECT($F$112)=$F40),0)),0)</f>
        <v>0</v>
      </c>
      <c r="AD40" s="403" cm="1">
        <f t="array" aca="1" ref="AD40" ca="1">IFERROR(SUM(_xlfn._xlws.FILTER(INDIRECT(AD$112),(INDIRECT($B$112)=$B40)*(INDIRECT($D$112)=$D40)*(INDIRECT($F$112)=$F40),0)),0)</f>
        <v>0</v>
      </c>
      <c r="AE40" s="403" cm="1">
        <f t="array" aca="1" ref="AE40" ca="1">IFERROR(SUM(_xlfn._xlws.FILTER(INDIRECT(AE$112),(INDIRECT($B$112)=$B40)*(INDIRECT($D$112)=$D40)*(INDIRECT($F$112)=$F40),0)),0)</f>
        <v>11694.795213573001</v>
      </c>
      <c r="AF40" s="403" cm="1">
        <f t="array" aca="1" ref="AF40" ca="1">IFERROR(SUM(_xlfn._xlws.FILTER(INDIRECT(AF$112),(INDIRECT($B$112)=$B40)*(INDIRECT($D$112)=$D40)*(INDIRECT($F$112)=$F40),0)),0)</f>
        <v>74868.861484413006</v>
      </c>
      <c r="AG40" s="403" cm="1">
        <f t="array" aca="1" ref="AG40" ca="1">IFERROR(SUM(_xlfn._xlws.FILTER(INDIRECT(AG$112),(INDIRECT($B$112)=$B40)*(INDIRECT($D$112)=$D40)*(INDIRECT($F$112)=$F40),0)),0)</f>
        <v>0</v>
      </c>
      <c r="AH40" s="403" cm="1">
        <f t="array" aca="1" ref="AH40" ca="1">IFERROR(SUM(_xlfn._xlws.FILTER(INDIRECT(AH$112),(INDIRECT($B$112)=$B40)*(INDIRECT($D$112)=$D40)*(INDIRECT($F$112)=$F40),0)),0)</f>
        <v>0</v>
      </c>
      <c r="AI40" s="403" cm="1">
        <f t="array" aca="1" ref="AI40" ca="1">IFERROR(SUM(_xlfn._xlws.FILTER(INDIRECT(AI$112),(INDIRECT($B$112)=$B40)*(INDIRECT($D$112)=$D40)*(INDIRECT($F$112)=$F40),0)),0)</f>
        <v>0</v>
      </c>
      <c r="AJ40" s="403" cm="1">
        <f t="array" aca="1" ref="AJ40" ca="1">IFERROR(SUM(_xlfn._xlws.FILTER(INDIRECT(AJ$112),(INDIRECT($B$112)=$B40)*(INDIRECT($D$112)=$D40)*(INDIRECT($F$112)=$F40),0)),0)</f>
        <v>0</v>
      </c>
      <c r="AK40" s="403" cm="1">
        <f t="array" aca="1" ref="AK40" ca="1">IFERROR(SUM(_xlfn._xlws.FILTER(INDIRECT(AK$112),(INDIRECT($B$112)=$B40)*(INDIRECT($D$112)=$D40)*(INDIRECT($F$112)=$F40),0)),0)</f>
        <v>0</v>
      </c>
      <c r="AL40" s="403" cm="1">
        <f t="array" aca="1" ref="AL40" ca="1">IFERROR(SUM(_xlfn._xlws.FILTER(INDIRECT(AL$112),(INDIRECT($B$112)=$B40)*(INDIRECT($D$112)=$D40)*(INDIRECT($F$112)=$F40),0)),0)</f>
        <v>110165.53000000001</v>
      </c>
      <c r="AM40" s="403" cm="1">
        <f t="array" aca="1" ref="AM40" ca="1">IFERROR(SUM(_xlfn._xlws.FILTER(INDIRECT(AM$112),(INDIRECT($B$112)=$B40)*(INDIRECT($D$112)=$D40)*(INDIRECT($F$112)=$F40),0)),0)</f>
        <v>0</v>
      </c>
      <c r="AN40" s="403" cm="1">
        <f t="array" aca="1" ref="AN40" ca="1">IFERROR(SUM(_xlfn._xlws.FILTER(INDIRECT(AN$112),(INDIRECT($B$112)=$B40)*(INDIRECT($D$112)=$D40)*(INDIRECT($F$112)=$F40),0)),0)</f>
        <v>109931.56999999999</v>
      </c>
      <c r="AO40" s="403" cm="1">
        <f t="array" aca="1" ref="AO40" ca="1">IFERROR(SUM(_xlfn._xlws.FILTER(INDIRECT(AO$112),(INDIRECT($B$112)=$B40)*(INDIRECT($D$112)=$D40)*(INDIRECT($F$112)=$F40),0)),0)</f>
        <v>0</v>
      </c>
      <c r="AP40" s="403" cm="1">
        <f t="array" aca="1" ref="AP40" ca="1">IFERROR(SUM(_xlfn._xlws.FILTER(INDIRECT(AP$112),(INDIRECT($B$112)=$B40)*(INDIRECT($D$112)=$D40)*(INDIRECT($F$112)=$F40),0)),0)</f>
        <v>0</v>
      </c>
      <c r="AQ40" s="403" cm="1">
        <f t="array" aca="1" ref="AQ40" ca="1">IFERROR(SUM(_xlfn._xlws.FILTER(INDIRECT(AQ$112),(INDIRECT($B$112)=$B40)*(INDIRECT($D$112)=$D40)*(INDIRECT($F$112)=$F40),0)),0)</f>
        <v>11694.795213573001</v>
      </c>
      <c r="AR40" s="403" cm="1">
        <f t="array" aca="1" ref="AR40" ca="1">IFERROR(SUM(_xlfn._xlws.FILTER(INDIRECT(AR$112),(INDIRECT($B$112)=$B40)*(INDIRECT($D$112)=$D40)*(INDIRECT($F$112)=$F40),0)),0)</f>
        <v>294965.96148441301</v>
      </c>
      <c r="AS40" s="286" t="str">
        <f t="shared" ca="1" si="4"/>
        <v>G40:AP40</v>
      </c>
      <c r="AT40" s="403">
        <f t="shared" ca="1" si="3"/>
        <v>306660.75669798604</v>
      </c>
      <c r="AV40" s="142" cm="1">
        <f t="array" aca="1" ref="AV40" ca="1">IF(AND(_xlfn.LET(_xlpm.x,SUM(ROW()),OR(AND(MATCH("SOT",$A:$A,0)&lt;_xlpm.x,MATCH("EOT",$A:$A,0)&gt;_xlpm.x),AND(MATCH("SOS",$A:$A,0)&lt;_xlpm.x,MATCH("EOS",$A:$A,0)&gt;_xlpm.x),AND(MATCH("SOR",$A:$A,0)&lt;_xlpm.x,MATCH("EOR",$A:$A,0)&gt;_xlpm.x))),INDIRECT("rc"&amp;MATCH("SCD",$1:$1,0),FALSE)="PPTO"),1,0)</f>
        <v>1</v>
      </c>
      <c r="AW40" s="142" cm="1">
        <f t="array" aca="1" ref="AW4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41" spans="1:49" s="153" customFormat="1" outlineLevel="2">
      <c r="A41" s="152"/>
      <c r="B41" s="401" t="str">
        <f ca="1"/>
        <v>31200</v>
      </c>
      <c r="C41" s="148"/>
      <c r="D41" s="404" t="str">
        <f ca="1"/>
        <v>IMTS</v>
      </c>
      <c r="E41" s="350" t="str" cm="1">
        <f t="array" aca="1" ref="E41" ca="1">UPPER(_xlfn.UNIQUE(_xlfn._xlws.FILTER(TbStd[OFbStd],TbStd[RowGrp]=$D41,"X")))</f>
        <v>INSTALLATION TOOLS @SERRA</v>
      </c>
      <c r="F41" s="402" t="str">
        <f ca="1"/>
        <v>PREV</v>
      </c>
      <c r="G41" s="403" cm="1">
        <f t="array" aca="1" ref="G41" ca="1">IFERROR(SUM(_xlfn._xlws.FILTER(INDIRECT(G$112),(INDIRECT($B$112)=$B41)*(INDIRECT($D$112)=$D41)*(INDIRECT($F$112)=$F41),0)),0)</f>
        <v>0</v>
      </c>
      <c r="H41" s="403" cm="1">
        <f t="array" aca="1" ref="H41" ca="1">IFERROR(SUM(_xlfn._xlws.FILTER(INDIRECT(H$112),(INDIRECT($B$112)=$B41)*(INDIRECT($D$112)=$D41)*(INDIRECT($F$112)=$F41),0)),0)</f>
        <v>0</v>
      </c>
      <c r="I41" s="403" cm="1">
        <f t="array" aca="1" ref="I41" ca="1">IFERROR(SUM(_xlfn._xlws.FILTER(INDIRECT(I$112),(INDIRECT($B$112)=$B41)*(INDIRECT($D$112)=$D41)*(INDIRECT($F$112)=$F41),0)),0)</f>
        <v>0</v>
      </c>
      <c r="J41" s="403" cm="1">
        <f t="array" aca="1" ref="J41" ca="1">IFERROR(SUM(_xlfn._xlws.FILTER(INDIRECT(J$112),(INDIRECT($B$112)=$B41)*(INDIRECT($D$112)=$D41)*(INDIRECT($F$112)=$F41),0)),0)</f>
        <v>0</v>
      </c>
      <c r="K41" s="403" cm="1">
        <f t="array" aca="1" ref="K41" ca="1">IFERROR(SUM(_xlfn._xlws.FILTER(INDIRECT(K$112),(INDIRECT($B$112)=$B41)*(INDIRECT($D$112)=$D41)*(INDIRECT($F$112)=$F41),0)),0)</f>
        <v>0</v>
      </c>
      <c r="L41" s="403" cm="1">
        <f t="array" aca="1" ref="L41" ca="1">IFERROR(SUM(_xlfn._xlws.FILTER(INDIRECT(L$112),(INDIRECT($B$112)=$B41)*(INDIRECT($D$112)=$D41)*(INDIRECT($F$112)=$F41),0)),0)</f>
        <v>0</v>
      </c>
      <c r="M41" s="403" cm="1">
        <f t="array" aca="1" ref="M41" ca="1">IFERROR(SUM(_xlfn._xlws.FILTER(INDIRECT(M$112),(INDIRECT($B$112)=$B41)*(INDIRECT($D$112)=$D41)*(INDIRECT($F$112)=$F41),0)),0)</f>
        <v>0</v>
      </c>
      <c r="N41" s="403" cm="1">
        <f t="array" aca="1" ref="N41" ca="1">IFERROR(SUM(_xlfn._xlws.FILTER(INDIRECT(N$112),(INDIRECT($B$112)=$B41)*(INDIRECT($D$112)=$D41)*(INDIRECT($F$112)=$F41),0)),0)</f>
        <v>0</v>
      </c>
      <c r="O41" s="403" cm="1">
        <f t="array" aca="1" ref="O41" ca="1">IFERROR(SUM(_xlfn._xlws.FILTER(INDIRECT(O$112),(INDIRECT($B$112)=$B41)*(INDIRECT($D$112)=$D41)*(INDIRECT($F$112)=$F41),0)),0)</f>
        <v>0</v>
      </c>
      <c r="P41" s="403" cm="1">
        <f t="array" aca="1" ref="P41" ca="1">IFERROR(SUM(_xlfn._xlws.FILTER(INDIRECT(P$112),(INDIRECT($B$112)=$B41)*(INDIRECT($D$112)=$D41)*(INDIRECT($F$112)=$F41),0)),0)</f>
        <v>0</v>
      </c>
      <c r="Q41" s="403" cm="1">
        <f t="array" aca="1" ref="Q41" ca="1">IFERROR(SUM(_xlfn._xlws.FILTER(INDIRECT(Q$112),(INDIRECT($B$112)=$B41)*(INDIRECT($D$112)=$D41)*(INDIRECT($F$112)=$F41),0)),0)</f>
        <v>0</v>
      </c>
      <c r="R41" s="403" cm="1">
        <f t="array" aca="1" ref="R41" ca="1">IFERROR(SUM(_xlfn._xlws.FILTER(INDIRECT(R$112),(INDIRECT($B$112)=$B41)*(INDIRECT($D$112)=$D41)*(INDIRECT($F$112)=$F41),0)),0)</f>
        <v>0</v>
      </c>
      <c r="S41" s="403" cm="1">
        <f t="array" aca="1" ref="S41" ca="1">IFERROR(SUM(_xlfn._xlws.FILTER(INDIRECT(S$112),(INDIRECT($B$112)=$B41)*(INDIRECT($D$112)=$D41)*(INDIRECT($F$112)=$F41),0)),0)</f>
        <v>0</v>
      </c>
      <c r="T41" s="403" cm="1">
        <f t="array" aca="1" ref="T41" ca="1">IFERROR(SUM(_xlfn._xlws.FILTER(INDIRECT(T$112),(INDIRECT($B$112)=$B41)*(INDIRECT($D$112)=$D41)*(INDIRECT($F$112)=$F41),0)),0)</f>
        <v>0</v>
      </c>
      <c r="U41" s="403" cm="1">
        <f t="array" aca="1" ref="U41" ca="1">IFERROR(SUM(_xlfn._xlws.FILTER(INDIRECT(U$112),(INDIRECT($B$112)=$B41)*(INDIRECT($D$112)=$D41)*(INDIRECT($F$112)=$F41),0)),0)</f>
        <v>0</v>
      </c>
      <c r="V41" s="403" cm="1">
        <f t="array" aca="1" ref="V41" ca="1">IFERROR(SUM(_xlfn._xlws.FILTER(INDIRECT(V$112),(INDIRECT($B$112)=$B41)*(INDIRECT($D$112)=$D41)*(INDIRECT($F$112)=$F41),0)),0)</f>
        <v>5874.8</v>
      </c>
      <c r="W41" s="403" cm="1">
        <f t="array" aca="1" ref="W41" ca="1">IFERROR(SUM(_xlfn._xlws.FILTER(INDIRECT(W$112),(INDIRECT($B$112)=$B41)*(INDIRECT($D$112)=$D41)*(INDIRECT($F$112)=$F41),0)),0)</f>
        <v>0</v>
      </c>
      <c r="X41" s="403" cm="1">
        <f t="array" aca="1" ref="X41" ca="1">IFERROR(SUM(_xlfn._xlws.FILTER(INDIRECT(X$112),(INDIRECT($B$112)=$B41)*(INDIRECT($D$112)=$D41)*(INDIRECT($F$112)=$F41),0)),0)</f>
        <v>0</v>
      </c>
      <c r="Y41" s="403" cm="1">
        <f t="array" aca="1" ref="Y41" ca="1">IFERROR(SUM(_xlfn._xlws.FILTER(INDIRECT(Y$112),(INDIRECT($B$112)=$B41)*(INDIRECT($D$112)=$D41)*(INDIRECT($F$112)=$F41),0)),0)</f>
        <v>0</v>
      </c>
      <c r="Z41" s="403" cm="1">
        <f t="array" aca="1" ref="Z41" ca="1">IFERROR(SUM(_xlfn._xlws.FILTER(INDIRECT(Z$112),(INDIRECT($B$112)=$B41)*(INDIRECT($D$112)=$D41)*(INDIRECT($F$112)=$F41),0)),0)</f>
        <v>0</v>
      </c>
      <c r="AA41" s="403" cm="1">
        <f t="array" aca="1" ref="AA41" ca="1">IFERROR(SUM(_xlfn._xlws.FILTER(INDIRECT(AA$112),(INDIRECT($B$112)=$B41)*(INDIRECT($D$112)=$D41)*(INDIRECT($F$112)=$F41),0)),0)</f>
        <v>0</v>
      </c>
      <c r="AB41" s="403" cm="1">
        <f t="array" aca="1" ref="AB41" ca="1">IFERROR(SUM(_xlfn._xlws.FILTER(INDIRECT(AB$112),(INDIRECT($B$112)=$B41)*(INDIRECT($D$112)=$D41)*(INDIRECT($F$112)=$F41),0)),0)</f>
        <v>0</v>
      </c>
      <c r="AC41" s="403" cm="1">
        <f t="array" aca="1" ref="AC41" ca="1">IFERROR(SUM(_xlfn._xlws.FILTER(INDIRECT(AC$112),(INDIRECT($B$112)=$B41)*(INDIRECT($D$112)=$D41)*(INDIRECT($F$112)=$F41),0)),0)</f>
        <v>0</v>
      </c>
      <c r="AD41" s="403" cm="1">
        <f t="array" aca="1" ref="AD41" ca="1">IFERROR(SUM(_xlfn._xlws.FILTER(INDIRECT(AD$112),(INDIRECT($B$112)=$B41)*(INDIRECT($D$112)=$D41)*(INDIRECT($F$112)=$F41),0)),0)</f>
        <v>0</v>
      </c>
      <c r="AE41" s="403" cm="1">
        <f t="array" aca="1" ref="AE41" ca="1">IFERROR(SUM(_xlfn._xlws.FILTER(INDIRECT(AE$112),(INDIRECT($B$112)=$B41)*(INDIRECT($D$112)=$D41)*(INDIRECT($F$112)=$F41),0)),0)</f>
        <v>0</v>
      </c>
      <c r="AF41" s="403" cm="1">
        <f t="array" aca="1" ref="AF41" ca="1">IFERROR(SUM(_xlfn._xlws.FILTER(INDIRECT(AF$112),(INDIRECT($B$112)=$B41)*(INDIRECT($D$112)=$D41)*(INDIRECT($F$112)=$F41),0)),0)</f>
        <v>-20000</v>
      </c>
      <c r="AG41" s="403" cm="1">
        <f t="array" aca="1" ref="AG41" ca="1">IFERROR(SUM(_xlfn._xlws.FILTER(INDIRECT(AG$112),(INDIRECT($B$112)=$B41)*(INDIRECT($D$112)=$D41)*(INDIRECT($F$112)=$F41),0)),0)</f>
        <v>0</v>
      </c>
      <c r="AH41" s="403" cm="1">
        <f t="array" aca="1" ref="AH41" ca="1">IFERROR(SUM(_xlfn._xlws.FILTER(INDIRECT(AH$112),(INDIRECT($B$112)=$B41)*(INDIRECT($D$112)=$D41)*(INDIRECT($F$112)=$F41),0)),0)</f>
        <v>0</v>
      </c>
      <c r="AI41" s="403" cm="1">
        <f t="array" aca="1" ref="AI41" ca="1">IFERROR(SUM(_xlfn._xlws.FILTER(INDIRECT(AI$112),(INDIRECT($B$112)=$B41)*(INDIRECT($D$112)=$D41)*(INDIRECT($F$112)=$F41),0)),0)</f>
        <v>0</v>
      </c>
      <c r="AJ41" s="403" cm="1">
        <f t="array" aca="1" ref="AJ41" ca="1">IFERROR(SUM(_xlfn._xlws.FILTER(INDIRECT(AJ$112),(INDIRECT($B$112)=$B41)*(INDIRECT($D$112)=$D41)*(INDIRECT($F$112)=$F41),0)),0)</f>
        <v>9656.65</v>
      </c>
      <c r="AK41" s="403" cm="1">
        <f t="array" aca="1" ref="AK41" ca="1">IFERROR(SUM(_xlfn._xlws.FILTER(INDIRECT(AK$112),(INDIRECT($B$112)=$B41)*(INDIRECT($D$112)=$D41)*(INDIRECT($F$112)=$F41),0)),0)</f>
        <v>0</v>
      </c>
      <c r="AL41" s="403" cm="1">
        <f t="array" aca="1" ref="AL41" ca="1">IFERROR(SUM(_xlfn._xlws.FILTER(INDIRECT(AL$112),(INDIRECT($B$112)=$B41)*(INDIRECT($D$112)=$D41)*(INDIRECT($F$112)=$F41),0)),0)</f>
        <v>99.349999999991269</v>
      </c>
      <c r="AM41" s="403" cm="1">
        <f t="array" aca="1" ref="AM41" ca="1">IFERROR(SUM(_xlfn._xlws.FILTER(INDIRECT(AM$112),(INDIRECT($B$112)=$B41)*(INDIRECT($D$112)=$D41)*(INDIRECT($F$112)=$F41),0)),0)</f>
        <v>0</v>
      </c>
      <c r="AN41" s="403" cm="1">
        <f t="array" aca="1" ref="AN41" ca="1">IFERROR(SUM(_xlfn._xlws.FILTER(INDIRECT(AN$112),(INDIRECT($B$112)=$B41)*(INDIRECT($D$112)=$D41)*(INDIRECT($F$112)=$F41),0)),0)</f>
        <v>0</v>
      </c>
      <c r="AO41" s="403" cm="1">
        <f t="array" aca="1" ref="AO41" ca="1">IFERROR(SUM(_xlfn._xlws.FILTER(INDIRECT(AO$112),(INDIRECT($B$112)=$B41)*(INDIRECT($D$112)=$D41)*(INDIRECT($F$112)=$F41),0)),0)</f>
        <v>0</v>
      </c>
      <c r="AP41" s="403" cm="1">
        <f t="array" aca="1" ref="AP41" ca="1">IFERROR(SUM(_xlfn._xlws.FILTER(INDIRECT(AP$112),(INDIRECT($B$112)=$B41)*(INDIRECT($D$112)=$D41)*(INDIRECT($F$112)=$F41),0)),0)</f>
        <v>0</v>
      </c>
      <c r="AQ41" s="403" cm="1">
        <f t="array" aca="1" ref="AQ41" ca="1">IFERROR(SUM(_xlfn._xlws.FILTER(INDIRECT(AQ$112),(INDIRECT($B$112)=$B41)*(INDIRECT($D$112)=$D41)*(INDIRECT($F$112)=$F41),0)),0)</f>
        <v>0</v>
      </c>
      <c r="AR41" s="403" cm="1">
        <f t="array" aca="1" ref="AR41" ca="1">IFERROR(SUM(_xlfn._xlws.FILTER(INDIRECT(AR$112),(INDIRECT($B$112)=$B41)*(INDIRECT($D$112)=$D41)*(INDIRECT($F$112)=$F41),0)),0)</f>
        <v>-4369.2000000000098</v>
      </c>
      <c r="AS41" s="286" t="str">
        <f t="shared" ca="1" si="4"/>
        <v>G41:AP41</v>
      </c>
      <c r="AT41" s="403">
        <f t="shared" ca="1" si="3"/>
        <v>-4369.2000000000098</v>
      </c>
      <c r="AV41" s="142" cm="1">
        <f t="array" aca="1" ref="AV41" ca="1">IF(AND(_xlfn.LET(_xlpm.x,SUM(ROW()),OR(AND(MATCH("SOT",$A:$A,0)&lt;_xlpm.x,MATCH("EOT",$A:$A,0)&gt;_xlpm.x),AND(MATCH("SOS",$A:$A,0)&lt;_xlpm.x,MATCH("EOS",$A:$A,0)&gt;_xlpm.x),AND(MATCH("SOR",$A:$A,0)&lt;_xlpm.x,MATCH("EOR",$A:$A,0)&gt;_xlpm.x))),INDIRECT("rc"&amp;MATCH("SCD",$1:$1,0),FALSE)="PPTO"),1,0)</f>
        <v>0</v>
      </c>
      <c r="AW41" s="142" cm="1">
        <f t="array" aca="1" ref="AW4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42" spans="1:49" s="153" customFormat="1" outlineLevel="2">
      <c r="A42" s="152"/>
      <c r="B42" s="401" t="str">
        <f ca="1"/>
        <v>31200</v>
      </c>
      <c r="C42" s="148"/>
      <c r="D42" s="404" t="str">
        <f ca="1"/>
        <v>IMTS</v>
      </c>
      <c r="E42" s="350" t="str" cm="1">
        <f t="array" aca="1" ref="E42" ca="1">UPPER(_xlfn.UNIQUE(_xlfn._xlws.FILTER(TbStd[OFbStd],TbStd[RowGrp]=$D42,"X")))</f>
        <v>INSTALLATION TOOLS @SERRA</v>
      </c>
      <c r="F42" s="402" t="str">
        <f ca="1"/>
        <v>REAL</v>
      </c>
      <c r="G42" s="403" cm="1">
        <f t="array" aca="1" ref="G42" ca="1">IFERROR(SUM(_xlfn._xlws.FILTER(INDIRECT(G$112),(INDIRECT($B$112)=$B42)*(INDIRECT($D$112)=$D42)*(INDIRECT($F$112)=$F42),0)),0)</f>
        <v>0</v>
      </c>
      <c r="H42" s="403" cm="1">
        <f t="array" aca="1" ref="H42" ca="1">IFERROR(SUM(_xlfn._xlws.FILTER(INDIRECT(H$112),(INDIRECT($B$112)=$B42)*(INDIRECT($D$112)=$D42)*(INDIRECT($F$112)=$F42),0)),0)</f>
        <v>0</v>
      </c>
      <c r="I42" s="403" cm="1">
        <f t="array" aca="1" ref="I42" ca="1">IFERROR(SUM(_xlfn._xlws.FILTER(INDIRECT(I$112),(INDIRECT($B$112)=$B42)*(INDIRECT($D$112)=$D42)*(INDIRECT($F$112)=$F42),0)),0)</f>
        <v>0</v>
      </c>
      <c r="J42" s="403" cm="1">
        <f t="array" aca="1" ref="J42" ca="1">IFERROR(SUM(_xlfn._xlws.FILTER(INDIRECT(J$112),(INDIRECT($B$112)=$B42)*(INDIRECT($D$112)=$D42)*(INDIRECT($F$112)=$F42),0)),0)</f>
        <v>0</v>
      </c>
      <c r="K42" s="403" cm="1">
        <f t="array" aca="1" ref="K42" ca="1">IFERROR(SUM(_xlfn._xlws.FILTER(INDIRECT(K$112),(INDIRECT($B$112)=$B42)*(INDIRECT($D$112)=$D42)*(INDIRECT($F$112)=$F42),0)),0)</f>
        <v>0</v>
      </c>
      <c r="L42" s="403" cm="1">
        <f t="array" aca="1" ref="L42" ca="1">IFERROR(SUM(_xlfn._xlws.FILTER(INDIRECT(L$112),(INDIRECT($B$112)=$B42)*(INDIRECT($D$112)=$D42)*(INDIRECT($F$112)=$F42),0)),0)</f>
        <v>0</v>
      </c>
      <c r="M42" s="403" cm="1">
        <f t="array" aca="1" ref="M42" ca="1">IFERROR(SUM(_xlfn._xlws.FILTER(INDIRECT(M$112),(INDIRECT($B$112)=$B42)*(INDIRECT($D$112)=$D42)*(INDIRECT($F$112)=$F42),0)),0)</f>
        <v>0</v>
      </c>
      <c r="N42" s="403" cm="1">
        <f t="array" aca="1" ref="N42" ca="1">IFERROR(SUM(_xlfn._xlws.FILTER(INDIRECT(N$112),(INDIRECT($B$112)=$B42)*(INDIRECT($D$112)=$D42)*(INDIRECT($F$112)=$F42),0)),0)</f>
        <v>0</v>
      </c>
      <c r="O42" s="403" cm="1">
        <f t="array" aca="1" ref="O42" ca="1">IFERROR(SUM(_xlfn._xlws.FILTER(INDIRECT(O$112),(INDIRECT($B$112)=$B42)*(INDIRECT($D$112)=$D42)*(INDIRECT($F$112)=$F42),0)),0)</f>
        <v>0</v>
      </c>
      <c r="P42" s="403" cm="1">
        <f t="array" aca="1" ref="P42" ca="1">IFERROR(SUM(_xlfn._xlws.FILTER(INDIRECT(P$112),(INDIRECT($B$112)=$B42)*(INDIRECT($D$112)=$D42)*(INDIRECT($F$112)=$F42),0)),0)</f>
        <v>0</v>
      </c>
      <c r="Q42" s="403" cm="1">
        <f t="array" aca="1" ref="Q42" ca="1">IFERROR(SUM(_xlfn._xlws.FILTER(INDIRECT(Q$112),(INDIRECT($B$112)=$B42)*(INDIRECT($D$112)=$D42)*(INDIRECT($F$112)=$F42),0)),0)</f>
        <v>0</v>
      </c>
      <c r="R42" s="403" cm="1">
        <f t="array" aca="1" ref="R42" ca="1">IFERROR(SUM(_xlfn._xlws.FILTER(INDIRECT(R$112),(INDIRECT($B$112)=$B42)*(INDIRECT($D$112)=$D42)*(INDIRECT($F$112)=$F42),0)),0)</f>
        <v>0</v>
      </c>
      <c r="S42" s="403" cm="1">
        <f t="array" aca="1" ref="S42" ca="1">IFERROR(SUM(_xlfn._xlws.FILTER(INDIRECT(S$112),(INDIRECT($B$112)=$B42)*(INDIRECT($D$112)=$D42)*(INDIRECT($F$112)=$F42),0)),0)</f>
        <v>0</v>
      </c>
      <c r="T42" s="403" cm="1">
        <f t="array" aca="1" ref="T42" ca="1">IFERROR(SUM(_xlfn._xlws.FILTER(INDIRECT(T$112),(INDIRECT($B$112)=$B42)*(INDIRECT($D$112)=$D42)*(INDIRECT($F$112)=$F42),0)),0)</f>
        <v>0</v>
      </c>
      <c r="U42" s="403" cm="1">
        <f t="array" aca="1" ref="U42" ca="1">IFERROR(SUM(_xlfn._xlws.FILTER(INDIRECT(U$112),(INDIRECT($B$112)=$B42)*(INDIRECT($D$112)=$D42)*(INDIRECT($F$112)=$F42),0)),0)</f>
        <v>0</v>
      </c>
      <c r="V42" s="403" cm="1">
        <f t="array" aca="1" ref="V42" ca="1">IFERROR(SUM(_xlfn._xlws.FILTER(INDIRECT(V$112),(INDIRECT($B$112)=$B42)*(INDIRECT($D$112)=$D42)*(INDIRECT($F$112)=$F42),0)),0)</f>
        <v>6498.8</v>
      </c>
      <c r="W42" s="403" cm="1">
        <f t="array" aca="1" ref="W42" ca="1">IFERROR(SUM(_xlfn._xlws.FILTER(INDIRECT(W$112),(INDIRECT($B$112)=$B42)*(INDIRECT($D$112)=$D42)*(INDIRECT($F$112)=$F42),0)),0)</f>
        <v>0</v>
      </c>
      <c r="X42" s="403" cm="1">
        <f t="array" aca="1" ref="X42" ca="1">IFERROR(SUM(_xlfn._xlws.FILTER(INDIRECT(X$112),(INDIRECT($B$112)=$B42)*(INDIRECT($D$112)=$D42)*(INDIRECT($F$112)=$F42),0)),0)</f>
        <v>0</v>
      </c>
      <c r="Y42" s="403" cm="1">
        <f t="array" aca="1" ref="Y42" ca="1">IFERROR(SUM(_xlfn._xlws.FILTER(INDIRECT(Y$112),(INDIRECT($B$112)=$B42)*(INDIRECT($D$112)=$D42)*(INDIRECT($F$112)=$F42),0)),0)</f>
        <v>0</v>
      </c>
      <c r="Z42" s="403" cm="1">
        <f t="array" aca="1" ref="Z42" ca="1">IFERROR(SUM(_xlfn._xlws.FILTER(INDIRECT(Z$112),(INDIRECT($B$112)=$B42)*(INDIRECT($D$112)=$D42)*(INDIRECT($F$112)=$F42),0)),0)</f>
        <v>0</v>
      </c>
      <c r="AA42" s="403" cm="1">
        <f t="array" aca="1" ref="AA42" ca="1">IFERROR(SUM(_xlfn._xlws.FILTER(INDIRECT(AA$112),(INDIRECT($B$112)=$B42)*(INDIRECT($D$112)=$D42)*(INDIRECT($F$112)=$F42),0)),0)</f>
        <v>0</v>
      </c>
      <c r="AB42" s="403" cm="1">
        <f t="array" aca="1" ref="AB42" ca="1">IFERROR(SUM(_xlfn._xlws.FILTER(INDIRECT(AB$112),(INDIRECT($B$112)=$B42)*(INDIRECT($D$112)=$D42)*(INDIRECT($F$112)=$F42),0)),0)</f>
        <v>0</v>
      </c>
      <c r="AC42" s="403" cm="1">
        <f t="array" aca="1" ref="AC42" ca="1">IFERROR(SUM(_xlfn._xlws.FILTER(INDIRECT(AC$112),(INDIRECT($B$112)=$B42)*(INDIRECT($D$112)=$D42)*(INDIRECT($F$112)=$F42),0)),0)</f>
        <v>0</v>
      </c>
      <c r="AD42" s="403" cm="1">
        <f t="array" aca="1" ref="AD42" ca="1">IFERROR(SUM(_xlfn._xlws.FILTER(INDIRECT(AD$112),(INDIRECT($B$112)=$B42)*(INDIRECT($D$112)=$D42)*(INDIRECT($F$112)=$F42),0)),0)</f>
        <v>0</v>
      </c>
      <c r="AE42" s="403" cm="1">
        <f t="array" aca="1" ref="AE42" ca="1">IFERROR(SUM(_xlfn._xlws.FILTER(INDIRECT(AE$112),(INDIRECT($B$112)=$B42)*(INDIRECT($D$112)=$D42)*(INDIRECT($F$112)=$F42),0)),0)</f>
        <v>7604.76</v>
      </c>
      <c r="AF42" s="403" cm="1">
        <f t="array" aca="1" ref="AF42" ca="1">IFERROR(SUM(_xlfn._xlws.FILTER(INDIRECT(AF$112),(INDIRECT($B$112)=$B42)*(INDIRECT($D$112)=$D42)*(INDIRECT($F$112)=$F42),0)),0)</f>
        <v>52355</v>
      </c>
      <c r="AG42" s="403" cm="1">
        <f t="array" aca="1" ref="AG42" ca="1">IFERROR(SUM(_xlfn._xlws.FILTER(INDIRECT(AG$112),(INDIRECT($B$112)=$B42)*(INDIRECT($D$112)=$D42)*(INDIRECT($F$112)=$F42),0)),0)</f>
        <v>0</v>
      </c>
      <c r="AH42" s="403" cm="1">
        <f t="array" aca="1" ref="AH42" ca="1">IFERROR(SUM(_xlfn._xlws.FILTER(INDIRECT(AH$112),(INDIRECT($B$112)=$B42)*(INDIRECT($D$112)=$D42)*(INDIRECT($F$112)=$F42),0)),0)</f>
        <v>0</v>
      </c>
      <c r="AI42" s="403" cm="1">
        <f t="array" aca="1" ref="AI42" ca="1">IFERROR(SUM(_xlfn._xlws.FILTER(INDIRECT(AI$112),(INDIRECT($B$112)=$B42)*(INDIRECT($D$112)=$D42)*(INDIRECT($F$112)=$F42),0)),0)</f>
        <v>0</v>
      </c>
      <c r="AJ42" s="403" cm="1">
        <f t="array" aca="1" ref="AJ42" ca="1">IFERROR(SUM(_xlfn._xlws.FILTER(INDIRECT(AJ$112),(INDIRECT($B$112)=$B42)*(INDIRECT($D$112)=$D42)*(INDIRECT($F$112)=$F42),0)),0)</f>
        <v>10452.9</v>
      </c>
      <c r="AK42" s="403" cm="1">
        <f t="array" aca="1" ref="AK42" ca="1">IFERROR(SUM(_xlfn._xlws.FILTER(INDIRECT(AK$112),(INDIRECT($B$112)=$B42)*(INDIRECT($D$112)=$D42)*(INDIRECT($F$112)=$F42),0)),0)</f>
        <v>0</v>
      </c>
      <c r="AL42" s="403" cm="1">
        <f t="array" aca="1" ref="AL42" ca="1">IFERROR(SUM(_xlfn._xlws.FILTER(INDIRECT(AL$112),(INDIRECT($B$112)=$B42)*(INDIRECT($D$112)=$D42)*(INDIRECT($F$112)=$F42),0)),0)</f>
        <v>110462.9</v>
      </c>
      <c r="AM42" s="403" cm="1">
        <f t="array" aca="1" ref="AM42" ca="1">IFERROR(SUM(_xlfn._xlws.FILTER(INDIRECT(AM$112),(INDIRECT($B$112)=$B42)*(INDIRECT($D$112)=$D42)*(INDIRECT($F$112)=$F42),0)),0)</f>
        <v>0</v>
      </c>
      <c r="AN42" s="403" cm="1">
        <f t="array" aca="1" ref="AN42" ca="1">IFERROR(SUM(_xlfn._xlws.FILTER(INDIRECT(AN$112),(INDIRECT($B$112)=$B42)*(INDIRECT($D$112)=$D42)*(INDIRECT($F$112)=$F42),0)),0)</f>
        <v>99610.74</v>
      </c>
      <c r="AO42" s="403" cm="1">
        <f t="array" aca="1" ref="AO42" ca="1">IFERROR(SUM(_xlfn._xlws.FILTER(INDIRECT(AO$112),(INDIRECT($B$112)=$B42)*(INDIRECT($D$112)=$D42)*(INDIRECT($F$112)=$F42),0)),0)</f>
        <v>0</v>
      </c>
      <c r="AP42" s="403" cm="1">
        <f t="array" aca="1" ref="AP42" ca="1">IFERROR(SUM(_xlfn._xlws.FILTER(INDIRECT(AP$112),(INDIRECT($B$112)=$B42)*(INDIRECT($D$112)=$D42)*(INDIRECT($F$112)=$F42),0)),0)</f>
        <v>0</v>
      </c>
      <c r="AQ42" s="403" cm="1">
        <f t="array" aca="1" ref="AQ42" ca="1">IFERROR(SUM(_xlfn._xlws.FILTER(INDIRECT(AQ$112),(INDIRECT($B$112)=$B42)*(INDIRECT($D$112)=$D42)*(INDIRECT($F$112)=$F42),0)),0)</f>
        <v>7604.76</v>
      </c>
      <c r="AR42" s="403" cm="1">
        <f t="array" aca="1" ref="AR42" ca="1">IFERROR(SUM(_xlfn._xlws.FILTER(INDIRECT(AR$112),(INDIRECT($B$112)=$B42)*(INDIRECT($D$112)=$D42)*(INDIRECT($F$112)=$F42),0)),0)</f>
        <v>279380.33999999997</v>
      </c>
      <c r="AS42" s="286" t="str">
        <f t="shared" ca="1" si="4"/>
        <v>G42:AP42</v>
      </c>
      <c r="AT42" s="403">
        <f t="shared" ca="1" si="3"/>
        <v>286985.09999999998</v>
      </c>
      <c r="AV42" s="142" cm="1">
        <f t="array" aca="1" ref="AV42" ca="1">IF(AND(_xlfn.LET(_xlpm.x,SUM(ROW()),OR(AND(MATCH("SOT",$A:$A,0)&lt;_xlpm.x,MATCH("EOT",$A:$A,0)&gt;_xlpm.x),AND(MATCH("SOS",$A:$A,0)&lt;_xlpm.x,MATCH("EOS",$A:$A,0)&gt;_xlpm.x),AND(MATCH("SOR",$A:$A,0)&lt;_xlpm.x,MATCH("EOR",$A:$A,0)&gt;_xlpm.x))),INDIRECT("rc"&amp;MATCH("SCD",$1:$1,0),FALSE)="PPTO"),1,0)</f>
        <v>0</v>
      </c>
      <c r="AW42" s="142" cm="1">
        <f t="array" aca="1" ref="AW4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43" spans="1:49" s="153" customFormat="1" outlineLevel="2">
      <c r="A43" s="152"/>
      <c r="B43" s="401" t="str">
        <f ca="1"/>
        <v>31200</v>
      </c>
      <c r="C43" s="148"/>
      <c r="D43" s="404" t="str">
        <f ca="1"/>
        <v>GSMT</v>
      </c>
      <c r="E43" s="350" t="str" cm="1">
        <f t="array" aca="1" ref="E43" ca="1">UPPER(_xlfn.UNIQUE(_xlfn._xlws.FILTER(TbStd[OFbStd],TbStd[RowGrp]=$D43,"X")))</f>
        <v>MANAGEMENT &amp; DEFINITION MATERIALS</v>
      </c>
      <c r="F43" s="402" t="str">
        <f ca="1"/>
        <v>PPTO</v>
      </c>
      <c r="G43" s="403" cm="1">
        <f t="array" aca="1" ref="G43" ca="1">IFERROR(SUM(_xlfn._xlws.FILTER(INDIRECT(G$112),(INDIRECT($B$112)=$B43)*(INDIRECT($D$112)=$D43)*(INDIRECT($F$112)=$F43),0)),0)</f>
        <v>0</v>
      </c>
      <c r="H43" s="403" cm="1">
        <f t="array" aca="1" ref="H43" ca="1">IFERROR(SUM(_xlfn._xlws.FILTER(INDIRECT(H$112),(INDIRECT($B$112)=$B43)*(INDIRECT($D$112)=$D43)*(INDIRECT($F$112)=$F43),0)),0)</f>
        <v>0</v>
      </c>
      <c r="I43" s="403" cm="1">
        <f t="array" aca="1" ref="I43" ca="1">IFERROR(SUM(_xlfn._xlws.FILTER(INDIRECT(I$112),(INDIRECT($B$112)=$B43)*(INDIRECT($D$112)=$D43)*(INDIRECT($F$112)=$F43),0)),0)</f>
        <v>0</v>
      </c>
      <c r="J43" s="403" cm="1">
        <f t="array" aca="1" ref="J43" ca="1">IFERROR(SUM(_xlfn._xlws.FILTER(INDIRECT(J$112),(INDIRECT($B$112)=$B43)*(INDIRECT($D$112)=$D43)*(INDIRECT($F$112)=$F43),0)),0)</f>
        <v>0</v>
      </c>
      <c r="K43" s="403" cm="1">
        <f t="array" aca="1" ref="K43" ca="1">IFERROR(SUM(_xlfn._xlws.FILTER(INDIRECT(K$112),(INDIRECT($B$112)=$B43)*(INDIRECT($D$112)=$D43)*(INDIRECT($F$112)=$F43),0)),0)</f>
        <v>0</v>
      </c>
      <c r="L43" s="403" cm="1">
        <f t="array" aca="1" ref="L43" ca="1">IFERROR(SUM(_xlfn._xlws.FILTER(INDIRECT(L$112),(INDIRECT($B$112)=$B43)*(INDIRECT($D$112)=$D43)*(INDIRECT($F$112)=$F43),0)),0)</f>
        <v>0</v>
      </c>
      <c r="M43" s="403" cm="1">
        <f t="array" aca="1" ref="M43" ca="1">IFERROR(SUM(_xlfn._xlws.FILTER(INDIRECT(M$112),(INDIRECT($B$112)=$B43)*(INDIRECT($D$112)=$D43)*(INDIRECT($F$112)=$F43),0)),0)</f>
        <v>0</v>
      </c>
      <c r="N43" s="403" cm="1">
        <f t="array" aca="1" ref="N43" ca="1">IFERROR(SUM(_xlfn._xlws.FILTER(INDIRECT(N$112),(INDIRECT($B$112)=$B43)*(INDIRECT($D$112)=$D43)*(INDIRECT($F$112)=$F43),0)),0)</f>
        <v>0</v>
      </c>
      <c r="O43" s="403" cm="1">
        <f t="array" aca="1" ref="O43" ca="1">IFERROR(SUM(_xlfn._xlws.FILTER(INDIRECT(O$112),(INDIRECT($B$112)=$B43)*(INDIRECT($D$112)=$D43)*(INDIRECT($F$112)=$F43),0)),0)</f>
        <v>0</v>
      </c>
      <c r="P43" s="403" cm="1">
        <f t="array" aca="1" ref="P43" ca="1">IFERROR(SUM(_xlfn._xlws.FILTER(INDIRECT(P$112),(INDIRECT($B$112)=$B43)*(INDIRECT($D$112)=$D43)*(INDIRECT($F$112)=$F43),0)),0)</f>
        <v>0</v>
      </c>
      <c r="Q43" s="403" cm="1">
        <f t="array" aca="1" ref="Q43" ca="1">IFERROR(SUM(_xlfn._xlws.FILTER(INDIRECT(Q$112),(INDIRECT($B$112)=$B43)*(INDIRECT($D$112)=$D43)*(INDIRECT($F$112)=$F43),0)),0)</f>
        <v>0</v>
      </c>
      <c r="R43" s="403" cm="1">
        <f t="array" aca="1" ref="R43" ca="1">IFERROR(SUM(_xlfn._xlws.FILTER(INDIRECT(R$112),(INDIRECT($B$112)=$B43)*(INDIRECT($D$112)=$D43)*(INDIRECT($F$112)=$F43),0)),0)</f>
        <v>0</v>
      </c>
      <c r="S43" s="403" cm="1">
        <f t="array" aca="1" ref="S43" ca="1">IFERROR(SUM(_xlfn._xlws.FILTER(INDIRECT(S$112),(INDIRECT($B$112)=$B43)*(INDIRECT($D$112)=$D43)*(INDIRECT($F$112)=$F43),0)),0)</f>
        <v>0</v>
      </c>
      <c r="T43" s="403" cm="1">
        <f t="array" aca="1" ref="T43" ca="1">IFERROR(SUM(_xlfn._xlws.FILTER(INDIRECT(T$112),(INDIRECT($B$112)=$B43)*(INDIRECT($D$112)=$D43)*(INDIRECT($F$112)=$F43),0)),0)</f>
        <v>0</v>
      </c>
      <c r="U43" s="403" cm="1">
        <f t="array" aca="1" ref="U43" ca="1">IFERROR(SUM(_xlfn._xlws.FILTER(INDIRECT(U$112),(INDIRECT($B$112)=$B43)*(INDIRECT($D$112)=$D43)*(INDIRECT($F$112)=$F43),0)),0)</f>
        <v>0</v>
      </c>
      <c r="V43" s="403" cm="1">
        <f t="array" aca="1" ref="V43" ca="1">IFERROR(SUM(_xlfn._xlws.FILTER(INDIRECT(V$112),(INDIRECT($B$112)=$B43)*(INDIRECT($D$112)=$D43)*(INDIRECT($F$112)=$F43),0)),0)</f>
        <v>0</v>
      </c>
      <c r="W43" s="403" cm="1">
        <f t="array" aca="1" ref="W43" ca="1">IFERROR(SUM(_xlfn._xlws.FILTER(INDIRECT(W$112),(INDIRECT($B$112)=$B43)*(INDIRECT($D$112)=$D43)*(INDIRECT($F$112)=$F43),0)),0)</f>
        <v>0</v>
      </c>
      <c r="X43" s="403" cm="1">
        <f t="array" aca="1" ref="X43" ca="1">IFERROR(SUM(_xlfn._xlws.FILTER(INDIRECT(X$112),(INDIRECT($B$112)=$B43)*(INDIRECT($D$112)=$D43)*(INDIRECT($F$112)=$F43),0)),0)</f>
        <v>0</v>
      </c>
      <c r="Y43" s="403" cm="1">
        <f t="array" aca="1" ref="Y43" ca="1">IFERROR(SUM(_xlfn._xlws.FILTER(INDIRECT(Y$112),(INDIRECT($B$112)=$B43)*(INDIRECT($D$112)=$D43)*(INDIRECT($F$112)=$F43),0)),0)</f>
        <v>0</v>
      </c>
      <c r="Z43" s="403" cm="1">
        <f t="array" aca="1" ref="Z43" ca="1">IFERROR(SUM(_xlfn._xlws.FILTER(INDIRECT(Z$112),(INDIRECT($B$112)=$B43)*(INDIRECT($D$112)=$D43)*(INDIRECT($F$112)=$F43),0)),0)</f>
        <v>0</v>
      </c>
      <c r="AA43" s="403" cm="1">
        <f t="array" aca="1" ref="AA43" ca="1">IFERROR(SUM(_xlfn._xlws.FILTER(INDIRECT(AA$112),(INDIRECT($B$112)=$B43)*(INDIRECT($D$112)=$D43)*(INDIRECT($F$112)=$F43),0)),0)</f>
        <v>0</v>
      </c>
      <c r="AB43" s="403" cm="1">
        <f t="array" aca="1" ref="AB43" ca="1">IFERROR(SUM(_xlfn._xlws.FILTER(INDIRECT(AB$112),(INDIRECT($B$112)=$B43)*(INDIRECT($D$112)=$D43)*(INDIRECT($F$112)=$F43),0)),0)</f>
        <v>0</v>
      </c>
      <c r="AC43" s="403" cm="1">
        <f t="array" aca="1" ref="AC43" ca="1">IFERROR(SUM(_xlfn._xlws.FILTER(INDIRECT(AC$112),(INDIRECT($B$112)=$B43)*(INDIRECT($D$112)=$D43)*(INDIRECT($F$112)=$F43),0)),0)</f>
        <v>0</v>
      </c>
      <c r="AD43" s="403" cm="1">
        <f t="array" aca="1" ref="AD43" ca="1">IFERROR(SUM(_xlfn._xlws.FILTER(INDIRECT(AD$112),(INDIRECT($B$112)=$B43)*(INDIRECT($D$112)=$D43)*(INDIRECT($F$112)=$F43),0)),0)</f>
        <v>0</v>
      </c>
      <c r="AE43" s="403" cm="1">
        <f t="array" aca="1" ref="AE43" ca="1">IFERROR(SUM(_xlfn._xlws.FILTER(INDIRECT(AE$112),(INDIRECT($B$112)=$B43)*(INDIRECT($D$112)=$D43)*(INDIRECT($F$112)=$F43),0)),0)</f>
        <v>0</v>
      </c>
      <c r="AF43" s="403" cm="1">
        <f t="array" aca="1" ref="AF43" ca="1">IFERROR(SUM(_xlfn._xlws.FILTER(INDIRECT(AF$112),(INDIRECT($B$112)=$B43)*(INDIRECT($D$112)=$D43)*(INDIRECT($F$112)=$F43),0)),0)</f>
        <v>0</v>
      </c>
      <c r="AG43" s="403" cm="1">
        <f t="array" aca="1" ref="AG43" ca="1">IFERROR(SUM(_xlfn._xlws.FILTER(INDIRECT(AG$112),(INDIRECT($B$112)=$B43)*(INDIRECT($D$112)=$D43)*(INDIRECT($F$112)=$F43),0)),0)</f>
        <v>0</v>
      </c>
      <c r="AH43" s="403" cm="1">
        <f t="array" aca="1" ref="AH43" ca="1">IFERROR(SUM(_xlfn._xlws.FILTER(INDIRECT(AH$112),(INDIRECT($B$112)=$B43)*(INDIRECT($D$112)=$D43)*(INDIRECT($F$112)=$F43),0)),0)</f>
        <v>0</v>
      </c>
      <c r="AI43" s="403" cm="1">
        <f t="array" aca="1" ref="AI43" ca="1">IFERROR(SUM(_xlfn._xlws.FILTER(INDIRECT(AI$112),(INDIRECT($B$112)=$B43)*(INDIRECT($D$112)=$D43)*(INDIRECT($F$112)=$F43),0)),0)</f>
        <v>0</v>
      </c>
      <c r="AJ43" s="403" cm="1">
        <f t="array" aca="1" ref="AJ43" ca="1">IFERROR(SUM(_xlfn._xlws.FILTER(INDIRECT(AJ$112),(INDIRECT($B$112)=$B43)*(INDIRECT($D$112)=$D43)*(INDIRECT($F$112)=$F43),0)),0)</f>
        <v>1083871.1455999999</v>
      </c>
      <c r="AK43" s="403" cm="1">
        <f t="array" aca="1" ref="AK43" ca="1">IFERROR(SUM(_xlfn._xlws.FILTER(INDIRECT(AK$112),(INDIRECT($B$112)=$B43)*(INDIRECT($D$112)=$D43)*(INDIRECT($F$112)=$F43),0)),0)</f>
        <v>0</v>
      </c>
      <c r="AL43" s="403" cm="1">
        <f t="array" aca="1" ref="AL43" ca="1">IFERROR(SUM(_xlfn._xlws.FILTER(INDIRECT(AL$112),(INDIRECT($B$112)=$B43)*(INDIRECT($D$112)=$D43)*(INDIRECT($F$112)=$F43),0)),0)</f>
        <v>0</v>
      </c>
      <c r="AM43" s="403" cm="1">
        <f t="array" aca="1" ref="AM43" ca="1">IFERROR(SUM(_xlfn._xlws.FILTER(INDIRECT(AM$112),(INDIRECT($B$112)=$B43)*(INDIRECT($D$112)=$D43)*(INDIRECT($F$112)=$F43),0)),0)</f>
        <v>0</v>
      </c>
      <c r="AN43" s="403" cm="1">
        <f t="array" aca="1" ref="AN43" ca="1">IFERROR(SUM(_xlfn._xlws.FILTER(INDIRECT(AN$112),(INDIRECT($B$112)=$B43)*(INDIRECT($D$112)=$D43)*(INDIRECT($F$112)=$F43),0)),0)</f>
        <v>0</v>
      </c>
      <c r="AO43" s="403" cm="1">
        <f t="array" aca="1" ref="AO43" ca="1">IFERROR(SUM(_xlfn._xlws.FILTER(INDIRECT(AO$112),(INDIRECT($B$112)=$B43)*(INDIRECT($D$112)=$D43)*(INDIRECT($F$112)=$F43),0)),0)</f>
        <v>0</v>
      </c>
      <c r="AP43" s="403" cm="1">
        <f t="array" aca="1" ref="AP43" ca="1">IFERROR(SUM(_xlfn._xlws.FILTER(INDIRECT(AP$112),(INDIRECT($B$112)=$B43)*(INDIRECT($D$112)=$D43)*(INDIRECT($F$112)=$F43),0)),0)</f>
        <v>0</v>
      </c>
      <c r="AQ43" s="403" cm="1">
        <f t="array" aca="1" ref="AQ43" ca="1">IFERROR(SUM(_xlfn._xlws.FILTER(INDIRECT(AQ$112),(INDIRECT($B$112)=$B43)*(INDIRECT($D$112)=$D43)*(INDIRECT($F$112)=$F43),0)),0)</f>
        <v>0</v>
      </c>
      <c r="AR43" s="403" cm="1">
        <f t="array" aca="1" ref="AR43" ca="1">IFERROR(SUM(_xlfn._xlws.FILTER(INDIRECT(AR$112),(INDIRECT($B$112)=$B43)*(INDIRECT($D$112)=$D43)*(INDIRECT($F$112)=$F43),0)),0)</f>
        <v>1083871.1455999999</v>
      </c>
      <c r="AS43" s="286" t="str">
        <f t="shared" ca="1" si="4"/>
        <v>G43:AP43</v>
      </c>
      <c r="AT43" s="403">
        <f t="shared" ca="1" si="3"/>
        <v>1083871.1455999999</v>
      </c>
      <c r="AV43" s="142" cm="1">
        <f t="array" aca="1" ref="AV43" ca="1">IF(AND(_xlfn.LET(_xlpm.x,SUM(ROW()),OR(AND(MATCH("SOT",$A:$A,0)&lt;_xlpm.x,MATCH("EOT",$A:$A,0)&gt;_xlpm.x),AND(MATCH("SOS",$A:$A,0)&lt;_xlpm.x,MATCH("EOS",$A:$A,0)&gt;_xlpm.x),AND(MATCH("SOR",$A:$A,0)&lt;_xlpm.x,MATCH("EOR",$A:$A,0)&gt;_xlpm.x))),INDIRECT("rc"&amp;MATCH("SCD",$1:$1,0),FALSE)="PPTO"),1,0)</f>
        <v>1</v>
      </c>
      <c r="AW43" s="142" cm="1">
        <f t="array" aca="1" ref="AW4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44" spans="1:49" s="153" customFormat="1" outlineLevel="2">
      <c r="A44" s="152"/>
      <c r="B44" s="401" t="str">
        <f ca="1"/>
        <v>31200</v>
      </c>
      <c r="C44" s="148"/>
      <c r="D44" s="404" t="str">
        <f ca="1"/>
        <v>GSMT</v>
      </c>
      <c r="E44" s="350" t="str" cm="1">
        <f t="array" aca="1" ref="E44" ca="1">UPPER(_xlfn.UNIQUE(_xlfn._xlws.FILTER(TbStd[OFbStd],TbStd[RowGrp]=$D44,"X")))</f>
        <v>MANAGEMENT &amp; DEFINITION MATERIALS</v>
      </c>
      <c r="F44" s="402" t="str">
        <f ca="1"/>
        <v>PREV</v>
      </c>
      <c r="G44" s="403" cm="1">
        <f t="array" aca="1" ref="G44" ca="1">IFERROR(SUM(_xlfn._xlws.FILTER(INDIRECT(G$112),(INDIRECT($B$112)=$B44)*(INDIRECT($D$112)=$D44)*(INDIRECT($F$112)=$F44),0)),0)</f>
        <v>0</v>
      </c>
      <c r="H44" s="403" cm="1">
        <f t="array" aca="1" ref="H44" ca="1">IFERROR(SUM(_xlfn._xlws.FILTER(INDIRECT(H$112),(INDIRECT($B$112)=$B44)*(INDIRECT($D$112)=$D44)*(INDIRECT($F$112)=$F44),0)),0)</f>
        <v>0</v>
      </c>
      <c r="I44" s="403" cm="1">
        <f t="array" aca="1" ref="I44" ca="1">IFERROR(SUM(_xlfn._xlws.FILTER(INDIRECT(I$112),(INDIRECT($B$112)=$B44)*(INDIRECT($D$112)=$D44)*(INDIRECT($F$112)=$F44),0)),0)</f>
        <v>0</v>
      </c>
      <c r="J44" s="403" cm="1">
        <f t="array" aca="1" ref="J44" ca="1">IFERROR(SUM(_xlfn._xlws.FILTER(INDIRECT(J$112),(INDIRECT($B$112)=$B44)*(INDIRECT($D$112)=$D44)*(INDIRECT($F$112)=$F44),0)),0)</f>
        <v>0</v>
      </c>
      <c r="K44" s="403" cm="1">
        <f t="array" aca="1" ref="K44" ca="1">IFERROR(SUM(_xlfn._xlws.FILTER(INDIRECT(K$112),(INDIRECT($B$112)=$B44)*(INDIRECT($D$112)=$D44)*(INDIRECT($F$112)=$F44),0)),0)</f>
        <v>0</v>
      </c>
      <c r="L44" s="403" cm="1">
        <f t="array" aca="1" ref="L44" ca="1">IFERROR(SUM(_xlfn._xlws.FILTER(INDIRECT(L$112),(INDIRECT($B$112)=$B44)*(INDIRECT($D$112)=$D44)*(INDIRECT($F$112)=$F44),0)),0)</f>
        <v>0</v>
      </c>
      <c r="M44" s="403" cm="1">
        <f t="array" aca="1" ref="M44" ca="1">IFERROR(SUM(_xlfn._xlws.FILTER(INDIRECT(M$112),(INDIRECT($B$112)=$B44)*(INDIRECT($D$112)=$D44)*(INDIRECT($F$112)=$F44),0)),0)</f>
        <v>0</v>
      </c>
      <c r="N44" s="403" cm="1">
        <f t="array" aca="1" ref="N44" ca="1">IFERROR(SUM(_xlfn._xlws.FILTER(INDIRECT(N$112),(INDIRECT($B$112)=$B44)*(INDIRECT($D$112)=$D44)*(INDIRECT($F$112)=$F44),0)),0)</f>
        <v>0</v>
      </c>
      <c r="O44" s="403" cm="1">
        <f t="array" aca="1" ref="O44" ca="1">IFERROR(SUM(_xlfn._xlws.FILTER(INDIRECT(O$112),(INDIRECT($B$112)=$B44)*(INDIRECT($D$112)=$D44)*(INDIRECT($F$112)=$F44),0)),0)</f>
        <v>0</v>
      </c>
      <c r="P44" s="403" cm="1">
        <f t="array" aca="1" ref="P44" ca="1">IFERROR(SUM(_xlfn._xlws.FILTER(INDIRECT(P$112),(INDIRECT($B$112)=$B44)*(INDIRECT($D$112)=$D44)*(INDIRECT($F$112)=$F44),0)),0)</f>
        <v>0</v>
      </c>
      <c r="Q44" s="403" cm="1">
        <f t="array" aca="1" ref="Q44" ca="1">IFERROR(SUM(_xlfn._xlws.FILTER(INDIRECT(Q$112),(INDIRECT($B$112)=$B44)*(INDIRECT($D$112)=$D44)*(INDIRECT($F$112)=$F44),0)),0)</f>
        <v>0</v>
      </c>
      <c r="R44" s="403" cm="1">
        <f t="array" aca="1" ref="R44" ca="1">IFERROR(SUM(_xlfn._xlws.FILTER(INDIRECT(R$112),(INDIRECT($B$112)=$B44)*(INDIRECT($D$112)=$D44)*(INDIRECT($F$112)=$F44),0)),0)</f>
        <v>0</v>
      </c>
      <c r="S44" s="403" cm="1">
        <f t="array" aca="1" ref="S44" ca="1">IFERROR(SUM(_xlfn._xlws.FILTER(INDIRECT(S$112),(INDIRECT($B$112)=$B44)*(INDIRECT($D$112)=$D44)*(INDIRECT($F$112)=$F44),0)),0)</f>
        <v>0</v>
      </c>
      <c r="T44" s="403" cm="1">
        <f t="array" aca="1" ref="T44" ca="1">IFERROR(SUM(_xlfn._xlws.FILTER(INDIRECT(T$112),(INDIRECT($B$112)=$B44)*(INDIRECT($D$112)=$D44)*(INDIRECT($F$112)=$F44),0)),0)</f>
        <v>0</v>
      </c>
      <c r="U44" s="403" cm="1">
        <f t="array" aca="1" ref="U44" ca="1">IFERROR(SUM(_xlfn._xlws.FILTER(INDIRECT(U$112),(INDIRECT($B$112)=$B44)*(INDIRECT($D$112)=$D44)*(INDIRECT($F$112)=$F44),0)),0)</f>
        <v>0</v>
      </c>
      <c r="V44" s="403" cm="1">
        <f t="array" aca="1" ref="V44" ca="1">IFERROR(SUM(_xlfn._xlws.FILTER(INDIRECT(V$112),(INDIRECT($B$112)=$B44)*(INDIRECT($D$112)=$D44)*(INDIRECT($F$112)=$F44),0)),0)</f>
        <v>0</v>
      </c>
      <c r="W44" s="403" cm="1">
        <f t="array" aca="1" ref="W44" ca="1">IFERROR(SUM(_xlfn._xlws.FILTER(INDIRECT(W$112),(INDIRECT($B$112)=$B44)*(INDIRECT($D$112)=$D44)*(INDIRECT($F$112)=$F44),0)),0)</f>
        <v>0</v>
      </c>
      <c r="X44" s="403" cm="1">
        <f t="array" aca="1" ref="X44" ca="1">IFERROR(SUM(_xlfn._xlws.FILTER(INDIRECT(X$112),(INDIRECT($B$112)=$B44)*(INDIRECT($D$112)=$D44)*(INDIRECT($F$112)=$F44),0)),0)</f>
        <v>0</v>
      </c>
      <c r="Y44" s="403" cm="1">
        <f t="array" aca="1" ref="Y44" ca="1">IFERROR(SUM(_xlfn._xlws.FILTER(INDIRECT(Y$112),(INDIRECT($B$112)=$B44)*(INDIRECT($D$112)=$D44)*(INDIRECT($F$112)=$F44),0)),0)</f>
        <v>0</v>
      </c>
      <c r="Z44" s="403" cm="1">
        <f t="array" aca="1" ref="Z44" ca="1">IFERROR(SUM(_xlfn._xlws.FILTER(INDIRECT(Z$112),(INDIRECT($B$112)=$B44)*(INDIRECT($D$112)=$D44)*(INDIRECT($F$112)=$F44),0)),0)</f>
        <v>0</v>
      </c>
      <c r="AA44" s="403" cm="1">
        <f t="array" aca="1" ref="AA44" ca="1">IFERROR(SUM(_xlfn._xlws.FILTER(INDIRECT(AA$112),(INDIRECT($B$112)=$B44)*(INDIRECT($D$112)=$D44)*(INDIRECT($F$112)=$F44),0)),0)</f>
        <v>0</v>
      </c>
      <c r="AB44" s="403" cm="1">
        <f t="array" aca="1" ref="AB44" ca="1">IFERROR(SUM(_xlfn._xlws.FILTER(INDIRECT(AB$112),(INDIRECT($B$112)=$B44)*(INDIRECT($D$112)=$D44)*(INDIRECT($F$112)=$F44),0)),0)</f>
        <v>0</v>
      </c>
      <c r="AC44" s="403" cm="1">
        <f t="array" aca="1" ref="AC44" ca="1">IFERROR(SUM(_xlfn._xlws.FILTER(INDIRECT(AC$112),(INDIRECT($B$112)=$B44)*(INDIRECT($D$112)=$D44)*(INDIRECT($F$112)=$F44),0)),0)</f>
        <v>0</v>
      </c>
      <c r="AD44" s="403" cm="1">
        <f t="array" aca="1" ref="AD44" ca="1">IFERROR(SUM(_xlfn._xlws.FILTER(INDIRECT(AD$112),(INDIRECT($B$112)=$B44)*(INDIRECT($D$112)=$D44)*(INDIRECT($F$112)=$F44),0)),0)</f>
        <v>0</v>
      </c>
      <c r="AE44" s="403" cm="1">
        <f t="array" aca="1" ref="AE44" ca="1">IFERROR(SUM(_xlfn._xlws.FILTER(INDIRECT(AE$112),(INDIRECT($B$112)=$B44)*(INDIRECT($D$112)=$D44)*(INDIRECT($F$112)=$F44),0)),0)</f>
        <v>0</v>
      </c>
      <c r="AF44" s="403" cm="1">
        <f t="array" aca="1" ref="AF44" ca="1">IFERROR(SUM(_xlfn._xlws.FILTER(INDIRECT(AF$112),(INDIRECT($B$112)=$B44)*(INDIRECT($D$112)=$D44)*(INDIRECT($F$112)=$F44),0)),0)</f>
        <v>0</v>
      </c>
      <c r="AG44" s="403" cm="1">
        <f t="array" aca="1" ref="AG44" ca="1">IFERROR(SUM(_xlfn._xlws.FILTER(INDIRECT(AG$112),(INDIRECT($B$112)=$B44)*(INDIRECT($D$112)=$D44)*(INDIRECT($F$112)=$F44),0)),0)</f>
        <v>0</v>
      </c>
      <c r="AH44" s="403" cm="1">
        <f t="array" aca="1" ref="AH44" ca="1">IFERROR(SUM(_xlfn._xlws.FILTER(INDIRECT(AH$112),(INDIRECT($B$112)=$B44)*(INDIRECT($D$112)=$D44)*(INDIRECT($F$112)=$F44),0)),0)</f>
        <v>0</v>
      </c>
      <c r="AI44" s="403" cm="1">
        <f t="array" aca="1" ref="AI44" ca="1">IFERROR(SUM(_xlfn._xlws.FILTER(INDIRECT(AI$112),(INDIRECT($B$112)=$B44)*(INDIRECT($D$112)=$D44)*(INDIRECT($F$112)=$F44),0)),0)</f>
        <v>0</v>
      </c>
      <c r="AJ44" s="403" cm="1">
        <f t="array" aca="1" ref="AJ44" ca="1">IFERROR(SUM(_xlfn._xlws.FILTER(INDIRECT(AJ$112),(INDIRECT($B$112)=$B44)*(INDIRECT($D$112)=$D44)*(INDIRECT($F$112)=$F44),0)),0)</f>
        <v>-67056.760000000009</v>
      </c>
      <c r="AK44" s="403" cm="1">
        <f t="array" aca="1" ref="AK44" ca="1">IFERROR(SUM(_xlfn._xlws.FILTER(INDIRECT(AK$112),(INDIRECT($B$112)=$B44)*(INDIRECT($D$112)=$D44)*(INDIRECT($F$112)=$F44),0)),0)</f>
        <v>0</v>
      </c>
      <c r="AL44" s="403" cm="1">
        <f t="array" aca="1" ref="AL44" ca="1">IFERROR(SUM(_xlfn._xlws.FILTER(INDIRECT(AL$112),(INDIRECT($B$112)=$B44)*(INDIRECT($D$112)=$D44)*(INDIRECT($F$112)=$F44),0)),0)</f>
        <v>0</v>
      </c>
      <c r="AM44" s="403" cm="1">
        <f t="array" aca="1" ref="AM44" ca="1">IFERROR(SUM(_xlfn._xlws.FILTER(INDIRECT(AM$112),(INDIRECT($B$112)=$B44)*(INDIRECT($D$112)=$D44)*(INDIRECT($F$112)=$F44),0)),0)</f>
        <v>0</v>
      </c>
      <c r="AN44" s="403" cm="1">
        <f t="array" aca="1" ref="AN44" ca="1">IFERROR(SUM(_xlfn._xlws.FILTER(INDIRECT(AN$112),(INDIRECT($B$112)=$B44)*(INDIRECT($D$112)=$D44)*(INDIRECT($F$112)=$F44),0)),0)</f>
        <v>0</v>
      </c>
      <c r="AO44" s="403" cm="1">
        <f t="array" aca="1" ref="AO44" ca="1">IFERROR(SUM(_xlfn._xlws.FILTER(INDIRECT(AO$112),(INDIRECT($B$112)=$B44)*(INDIRECT($D$112)=$D44)*(INDIRECT($F$112)=$F44),0)),0)</f>
        <v>0</v>
      </c>
      <c r="AP44" s="403" cm="1">
        <f t="array" aca="1" ref="AP44" ca="1">IFERROR(SUM(_xlfn._xlws.FILTER(INDIRECT(AP$112),(INDIRECT($B$112)=$B44)*(INDIRECT($D$112)=$D44)*(INDIRECT($F$112)=$F44),0)),0)</f>
        <v>0</v>
      </c>
      <c r="AQ44" s="403" cm="1">
        <f t="array" aca="1" ref="AQ44" ca="1">IFERROR(SUM(_xlfn._xlws.FILTER(INDIRECT(AQ$112),(INDIRECT($B$112)=$B44)*(INDIRECT($D$112)=$D44)*(INDIRECT($F$112)=$F44),0)),0)</f>
        <v>0</v>
      </c>
      <c r="AR44" s="403" cm="1">
        <f t="array" aca="1" ref="AR44" ca="1">IFERROR(SUM(_xlfn._xlws.FILTER(INDIRECT(AR$112),(INDIRECT($B$112)=$B44)*(INDIRECT($D$112)=$D44)*(INDIRECT($F$112)=$F44),0)),0)</f>
        <v>-67056.760000000009</v>
      </c>
      <c r="AS44" s="286" t="str">
        <f t="shared" ca="1" si="4"/>
        <v>G44:AP44</v>
      </c>
      <c r="AT44" s="403">
        <f t="shared" ca="1" si="3"/>
        <v>-67056.760000000009</v>
      </c>
      <c r="AV44" s="142" cm="1">
        <f t="array" aca="1" ref="AV44" ca="1">IF(AND(_xlfn.LET(_xlpm.x,SUM(ROW()),OR(AND(MATCH("SOT",$A:$A,0)&lt;_xlpm.x,MATCH("EOT",$A:$A,0)&gt;_xlpm.x),AND(MATCH("SOS",$A:$A,0)&lt;_xlpm.x,MATCH("EOS",$A:$A,0)&gt;_xlpm.x),AND(MATCH("SOR",$A:$A,0)&lt;_xlpm.x,MATCH("EOR",$A:$A,0)&gt;_xlpm.x))),INDIRECT("rc"&amp;MATCH("SCD",$1:$1,0),FALSE)="PPTO"),1,0)</f>
        <v>0</v>
      </c>
      <c r="AW44" s="142" cm="1">
        <f t="array" aca="1" ref="AW4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45" spans="1:49" s="153" customFormat="1" outlineLevel="2">
      <c r="A45" s="152"/>
      <c r="B45" s="401" t="str">
        <f ca="1"/>
        <v>31200</v>
      </c>
      <c r="C45" s="148"/>
      <c r="D45" s="404" t="str">
        <f ca="1"/>
        <v>GSMT</v>
      </c>
      <c r="E45" s="350" t="str" cm="1">
        <f t="array" aca="1" ref="E45" ca="1">UPPER(_xlfn.UNIQUE(_xlfn._xlws.FILTER(TbStd[OFbStd],TbStd[RowGrp]=$D45,"X")))</f>
        <v>MANAGEMENT &amp; DEFINITION MATERIALS</v>
      </c>
      <c r="F45" s="402" t="str">
        <f ca="1"/>
        <v>REAL</v>
      </c>
      <c r="G45" s="403" cm="1">
        <f t="array" aca="1" ref="G45" ca="1">IFERROR(SUM(_xlfn._xlws.FILTER(INDIRECT(G$112),(INDIRECT($B$112)=$B45)*(INDIRECT($D$112)=$D45)*(INDIRECT($F$112)=$F45),0)),0)</f>
        <v>0</v>
      </c>
      <c r="H45" s="403" cm="1">
        <f t="array" aca="1" ref="H45" ca="1">IFERROR(SUM(_xlfn._xlws.FILTER(INDIRECT(H$112),(INDIRECT($B$112)=$B45)*(INDIRECT($D$112)=$D45)*(INDIRECT($F$112)=$F45),0)),0)</f>
        <v>0</v>
      </c>
      <c r="I45" s="403" cm="1">
        <f t="array" aca="1" ref="I45" ca="1">IFERROR(SUM(_xlfn._xlws.FILTER(INDIRECT(I$112),(INDIRECT($B$112)=$B45)*(INDIRECT($D$112)=$D45)*(INDIRECT($F$112)=$F45),0)),0)</f>
        <v>0</v>
      </c>
      <c r="J45" s="403" cm="1">
        <f t="array" aca="1" ref="J45" ca="1">IFERROR(SUM(_xlfn._xlws.FILTER(INDIRECT(J$112),(INDIRECT($B$112)=$B45)*(INDIRECT($D$112)=$D45)*(INDIRECT($F$112)=$F45),0)),0)</f>
        <v>0</v>
      </c>
      <c r="K45" s="403" cm="1">
        <f t="array" aca="1" ref="K45" ca="1">IFERROR(SUM(_xlfn._xlws.FILTER(INDIRECT(K$112),(INDIRECT($B$112)=$B45)*(INDIRECT($D$112)=$D45)*(INDIRECT($F$112)=$F45),0)),0)</f>
        <v>0</v>
      </c>
      <c r="L45" s="403" cm="1">
        <f t="array" aca="1" ref="L45" ca="1">IFERROR(SUM(_xlfn._xlws.FILTER(INDIRECT(L$112),(INDIRECT($B$112)=$B45)*(INDIRECT($D$112)=$D45)*(INDIRECT($F$112)=$F45),0)),0)</f>
        <v>0</v>
      </c>
      <c r="M45" s="403" cm="1">
        <f t="array" aca="1" ref="M45" ca="1">IFERROR(SUM(_xlfn._xlws.FILTER(INDIRECT(M$112),(INDIRECT($B$112)=$B45)*(INDIRECT($D$112)=$D45)*(INDIRECT($F$112)=$F45),0)),0)</f>
        <v>0</v>
      </c>
      <c r="N45" s="403" cm="1">
        <f t="array" aca="1" ref="N45" ca="1">IFERROR(SUM(_xlfn._xlws.FILTER(INDIRECT(N$112),(INDIRECT($B$112)=$B45)*(INDIRECT($D$112)=$D45)*(INDIRECT($F$112)=$F45),0)),0)</f>
        <v>0</v>
      </c>
      <c r="O45" s="403" cm="1">
        <f t="array" aca="1" ref="O45" ca="1">IFERROR(SUM(_xlfn._xlws.FILTER(INDIRECT(O$112),(INDIRECT($B$112)=$B45)*(INDIRECT($D$112)=$D45)*(INDIRECT($F$112)=$F45),0)),0)</f>
        <v>0</v>
      </c>
      <c r="P45" s="403" cm="1">
        <f t="array" aca="1" ref="P45" ca="1">IFERROR(SUM(_xlfn._xlws.FILTER(INDIRECT(P$112),(INDIRECT($B$112)=$B45)*(INDIRECT($D$112)=$D45)*(INDIRECT($F$112)=$F45),0)),0)</f>
        <v>0</v>
      </c>
      <c r="Q45" s="403" cm="1">
        <f t="array" aca="1" ref="Q45" ca="1">IFERROR(SUM(_xlfn._xlws.FILTER(INDIRECT(Q$112),(INDIRECT($B$112)=$B45)*(INDIRECT($D$112)=$D45)*(INDIRECT($F$112)=$F45),0)),0)</f>
        <v>0</v>
      </c>
      <c r="R45" s="403" cm="1">
        <f t="array" aca="1" ref="R45" ca="1">IFERROR(SUM(_xlfn._xlws.FILTER(INDIRECT(R$112),(INDIRECT($B$112)=$B45)*(INDIRECT($D$112)=$D45)*(INDIRECT($F$112)=$F45),0)),0)</f>
        <v>0</v>
      </c>
      <c r="S45" s="403" cm="1">
        <f t="array" aca="1" ref="S45" ca="1">IFERROR(SUM(_xlfn._xlws.FILTER(INDIRECT(S$112),(INDIRECT($B$112)=$B45)*(INDIRECT($D$112)=$D45)*(INDIRECT($F$112)=$F45),0)),0)</f>
        <v>0</v>
      </c>
      <c r="T45" s="403" cm="1">
        <f t="array" aca="1" ref="T45" ca="1">IFERROR(SUM(_xlfn._xlws.FILTER(INDIRECT(T$112),(INDIRECT($B$112)=$B45)*(INDIRECT($D$112)=$D45)*(INDIRECT($F$112)=$F45),0)),0)</f>
        <v>0</v>
      </c>
      <c r="U45" s="403" cm="1">
        <f t="array" aca="1" ref="U45" ca="1">IFERROR(SUM(_xlfn._xlws.FILTER(INDIRECT(U$112),(INDIRECT($B$112)=$B45)*(INDIRECT($D$112)=$D45)*(INDIRECT($F$112)=$F45),0)),0)</f>
        <v>0</v>
      </c>
      <c r="V45" s="403" cm="1">
        <f t="array" aca="1" ref="V45" ca="1">IFERROR(SUM(_xlfn._xlws.FILTER(INDIRECT(V$112),(INDIRECT($B$112)=$B45)*(INDIRECT($D$112)=$D45)*(INDIRECT($F$112)=$F45),0)),0)</f>
        <v>0</v>
      </c>
      <c r="W45" s="403" cm="1">
        <f t="array" aca="1" ref="W45" ca="1">IFERROR(SUM(_xlfn._xlws.FILTER(INDIRECT(W$112),(INDIRECT($B$112)=$B45)*(INDIRECT($D$112)=$D45)*(INDIRECT($F$112)=$F45),0)),0)</f>
        <v>0</v>
      </c>
      <c r="X45" s="403" cm="1">
        <f t="array" aca="1" ref="X45" ca="1">IFERROR(SUM(_xlfn._xlws.FILTER(INDIRECT(X$112),(INDIRECT($B$112)=$B45)*(INDIRECT($D$112)=$D45)*(INDIRECT($F$112)=$F45),0)),0)</f>
        <v>0</v>
      </c>
      <c r="Y45" s="403" cm="1">
        <f t="array" aca="1" ref="Y45" ca="1">IFERROR(SUM(_xlfn._xlws.FILTER(INDIRECT(Y$112),(INDIRECT($B$112)=$B45)*(INDIRECT($D$112)=$D45)*(INDIRECT($F$112)=$F45),0)),0)</f>
        <v>0</v>
      </c>
      <c r="Z45" s="403" cm="1">
        <f t="array" aca="1" ref="Z45" ca="1">IFERROR(SUM(_xlfn._xlws.FILTER(INDIRECT(Z$112),(INDIRECT($B$112)=$B45)*(INDIRECT($D$112)=$D45)*(INDIRECT($F$112)=$F45),0)),0)</f>
        <v>0</v>
      </c>
      <c r="AA45" s="403" cm="1">
        <f t="array" aca="1" ref="AA45" ca="1">IFERROR(SUM(_xlfn._xlws.FILTER(INDIRECT(AA$112),(INDIRECT($B$112)=$B45)*(INDIRECT($D$112)=$D45)*(INDIRECT($F$112)=$F45),0)),0)</f>
        <v>0</v>
      </c>
      <c r="AB45" s="403" cm="1">
        <f t="array" aca="1" ref="AB45" ca="1">IFERROR(SUM(_xlfn._xlws.FILTER(INDIRECT(AB$112),(INDIRECT($B$112)=$B45)*(INDIRECT($D$112)=$D45)*(INDIRECT($F$112)=$F45),0)),0)</f>
        <v>0</v>
      </c>
      <c r="AC45" s="403" cm="1">
        <f t="array" aca="1" ref="AC45" ca="1">IFERROR(SUM(_xlfn._xlws.FILTER(INDIRECT(AC$112),(INDIRECT($B$112)=$B45)*(INDIRECT($D$112)=$D45)*(INDIRECT($F$112)=$F45),0)),0)</f>
        <v>0</v>
      </c>
      <c r="AD45" s="403" cm="1">
        <f t="array" aca="1" ref="AD45" ca="1">IFERROR(SUM(_xlfn._xlws.FILTER(INDIRECT(AD$112),(INDIRECT($B$112)=$B45)*(INDIRECT($D$112)=$D45)*(INDIRECT($F$112)=$F45),0)),0)</f>
        <v>0</v>
      </c>
      <c r="AE45" s="403" cm="1">
        <f t="array" aca="1" ref="AE45" ca="1">IFERROR(SUM(_xlfn._xlws.FILTER(INDIRECT(AE$112),(INDIRECT($B$112)=$B45)*(INDIRECT($D$112)=$D45)*(INDIRECT($F$112)=$F45),0)),0)</f>
        <v>0</v>
      </c>
      <c r="AF45" s="403" cm="1">
        <f t="array" aca="1" ref="AF45" ca="1">IFERROR(SUM(_xlfn._xlws.FILTER(INDIRECT(AF$112),(INDIRECT($B$112)=$B45)*(INDIRECT($D$112)=$D45)*(INDIRECT($F$112)=$F45),0)),0)</f>
        <v>0</v>
      </c>
      <c r="AG45" s="403" cm="1">
        <f t="array" aca="1" ref="AG45" ca="1">IFERROR(SUM(_xlfn._xlws.FILTER(INDIRECT(AG$112),(INDIRECT($B$112)=$B45)*(INDIRECT($D$112)=$D45)*(INDIRECT($F$112)=$F45),0)),0)</f>
        <v>0</v>
      </c>
      <c r="AH45" s="403" cm="1">
        <f t="array" aca="1" ref="AH45" ca="1">IFERROR(SUM(_xlfn._xlws.FILTER(INDIRECT(AH$112),(INDIRECT($B$112)=$B45)*(INDIRECT($D$112)=$D45)*(INDIRECT($F$112)=$F45),0)),0)</f>
        <v>0</v>
      </c>
      <c r="AI45" s="403" cm="1">
        <f t="array" aca="1" ref="AI45" ca="1">IFERROR(SUM(_xlfn._xlws.FILTER(INDIRECT(AI$112),(INDIRECT($B$112)=$B45)*(INDIRECT($D$112)=$D45)*(INDIRECT($F$112)=$F45),0)),0)</f>
        <v>0</v>
      </c>
      <c r="AJ45" s="403" cm="1">
        <f t="array" aca="1" ref="AJ45" ca="1">IFERROR(SUM(_xlfn._xlws.FILTER(INDIRECT(AJ$112),(INDIRECT($B$112)=$B45)*(INDIRECT($D$112)=$D45)*(INDIRECT($F$112)=$F45),0)),0)</f>
        <v>919717.72</v>
      </c>
      <c r="AK45" s="403" cm="1">
        <f t="array" aca="1" ref="AK45" ca="1">IFERROR(SUM(_xlfn._xlws.FILTER(INDIRECT(AK$112),(INDIRECT($B$112)=$B45)*(INDIRECT($D$112)=$D45)*(INDIRECT($F$112)=$F45),0)),0)</f>
        <v>0</v>
      </c>
      <c r="AL45" s="403" cm="1">
        <f t="array" aca="1" ref="AL45" ca="1">IFERROR(SUM(_xlfn._xlws.FILTER(INDIRECT(AL$112),(INDIRECT($B$112)=$B45)*(INDIRECT($D$112)=$D45)*(INDIRECT($F$112)=$F45),0)),0)</f>
        <v>0</v>
      </c>
      <c r="AM45" s="403" cm="1">
        <f t="array" aca="1" ref="AM45" ca="1">IFERROR(SUM(_xlfn._xlws.FILTER(INDIRECT(AM$112),(INDIRECT($B$112)=$B45)*(INDIRECT($D$112)=$D45)*(INDIRECT($F$112)=$F45),0)),0)</f>
        <v>0</v>
      </c>
      <c r="AN45" s="403" cm="1">
        <f t="array" aca="1" ref="AN45" ca="1">IFERROR(SUM(_xlfn._xlws.FILTER(INDIRECT(AN$112),(INDIRECT($B$112)=$B45)*(INDIRECT($D$112)=$D45)*(INDIRECT($F$112)=$F45),0)),0)</f>
        <v>0</v>
      </c>
      <c r="AO45" s="403" cm="1">
        <f t="array" aca="1" ref="AO45" ca="1">IFERROR(SUM(_xlfn._xlws.FILTER(INDIRECT(AO$112),(INDIRECT($B$112)=$B45)*(INDIRECT($D$112)=$D45)*(INDIRECT($F$112)=$F45),0)),0)</f>
        <v>0</v>
      </c>
      <c r="AP45" s="403" cm="1">
        <f t="array" aca="1" ref="AP45" ca="1">IFERROR(SUM(_xlfn._xlws.FILTER(INDIRECT(AP$112),(INDIRECT($B$112)=$B45)*(INDIRECT($D$112)=$D45)*(INDIRECT($F$112)=$F45),0)),0)</f>
        <v>0</v>
      </c>
      <c r="AQ45" s="403" cm="1">
        <f t="array" aca="1" ref="AQ45" ca="1">IFERROR(SUM(_xlfn._xlws.FILTER(INDIRECT(AQ$112),(INDIRECT($B$112)=$B45)*(INDIRECT($D$112)=$D45)*(INDIRECT($F$112)=$F45),0)),0)</f>
        <v>0</v>
      </c>
      <c r="AR45" s="403" cm="1">
        <f t="array" aca="1" ref="AR45" ca="1">IFERROR(SUM(_xlfn._xlws.FILTER(INDIRECT(AR$112),(INDIRECT($B$112)=$B45)*(INDIRECT($D$112)=$D45)*(INDIRECT($F$112)=$F45),0)),0)</f>
        <v>919717.72</v>
      </c>
      <c r="AS45" s="286" t="str">
        <f t="shared" ca="1" si="4"/>
        <v>G45:AP45</v>
      </c>
      <c r="AT45" s="403">
        <f t="shared" ca="1" si="3"/>
        <v>919717.72</v>
      </c>
      <c r="AV45" s="142" cm="1">
        <f t="array" aca="1" ref="AV45" ca="1">IF(AND(_xlfn.LET(_xlpm.x,SUM(ROW()),OR(AND(MATCH("SOT",$A:$A,0)&lt;_xlpm.x,MATCH("EOT",$A:$A,0)&gt;_xlpm.x),AND(MATCH("SOS",$A:$A,0)&lt;_xlpm.x,MATCH("EOS",$A:$A,0)&gt;_xlpm.x),AND(MATCH("SOR",$A:$A,0)&lt;_xlpm.x,MATCH("EOR",$A:$A,0)&gt;_xlpm.x))),INDIRECT("rc"&amp;MATCH("SCD",$1:$1,0),FALSE)="PPTO"),1,0)</f>
        <v>0</v>
      </c>
      <c r="AW45" s="142" cm="1">
        <f t="array" aca="1" ref="AW4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46" spans="1:49" s="153" customFormat="1" outlineLevel="2">
      <c r="A46" s="152"/>
      <c r="B46" s="401" t="str">
        <f ca="1"/>
        <v>31200</v>
      </c>
      <c r="C46" s="148"/>
      <c r="D46" s="404" t="str">
        <f ca="1"/>
        <v>GSGT</v>
      </c>
      <c r="E46" s="350" t="str" cm="1">
        <f t="array" aca="1" ref="E46" ca="1">UPPER(_xlfn.UNIQUE(_xlfn._xlws.FILTER(TbStd[OFbStd],TbStd[RowGrp]=$D46,"X")))</f>
        <v>MANAGEMENT &amp; DEFINITION EXPENSES</v>
      </c>
      <c r="F46" s="402" t="str">
        <f ca="1"/>
        <v>PPTO</v>
      </c>
      <c r="G46" s="403" cm="1">
        <f t="array" aca="1" ref="G46" ca="1">IFERROR(SUM(_xlfn._xlws.FILTER(INDIRECT(G$112),(INDIRECT($B$112)=$B46)*(INDIRECT($D$112)=$D46)*(INDIRECT($F$112)=$F46),0)),0)</f>
        <v>0</v>
      </c>
      <c r="H46" s="403" cm="1">
        <f t="array" aca="1" ref="H46" ca="1">IFERROR(SUM(_xlfn._xlws.FILTER(INDIRECT(H$112),(INDIRECT($B$112)=$B46)*(INDIRECT($D$112)=$D46)*(INDIRECT($F$112)=$F46),0)),0)</f>
        <v>0</v>
      </c>
      <c r="I46" s="403" cm="1">
        <f t="array" aca="1" ref="I46" ca="1">IFERROR(SUM(_xlfn._xlws.FILTER(INDIRECT(I$112),(INDIRECT($B$112)=$B46)*(INDIRECT($D$112)=$D46)*(INDIRECT($F$112)=$F46),0)),0)</f>
        <v>0</v>
      </c>
      <c r="J46" s="403" cm="1">
        <f t="array" aca="1" ref="J46" ca="1">IFERROR(SUM(_xlfn._xlws.FILTER(INDIRECT(J$112),(INDIRECT($B$112)=$B46)*(INDIRECT($D$112)=$D46)*(INDIRECT($F$112)=$F46),0)),0)</f>
        <v>0</v>
      </c>
      <c r="K46" s="403" cm="1">
        <f t="array" aca="1" ref="K46" ca="1">IFERROR(SUM(_xlfn._xlws.FILTER(INDIRECT(K$112),(INDIRECT($B$112)=$B46)*(INDIRECT($D$112)=$D46)*(INDIRECT($F$112)=$F46),0)),0)</f>
        <v>0</v>
      </c>
      <c r="L46" s="403" cm="1">
        <f t="array" aca="1" ref="L46" ca="1">IFERROR(SUM(_xlfn._xlws.FILTER(INDIRECT(L$112),(INDIRECT($B$112)=$B46)*(INDIRECT($D$112)=$D46)*(INDIRECT($F$112)=$F46),0)),0)</f>
        <v>0</v>
      </c>
      <c r="M46" s="403" cm="1">
        <f t="array" aca="1" ref="M46" ca="1">IFERROR(SUM(_xlfn._xlws.FILTER(INDIRECT(M$112),(INDIRECT($B$112)=$B46)*(INDIRECT($D$112)=$D46)*(INDIRECT($F$112)=$F46),0)),0)</f>
        <v>0</v>
      </c>
      <c r="N46" s="403" cm="1">
        <f t="array" aca="1" ref="N46" ca="1">IFERROR(SUM(_xlfn._xlws.FILTER(INDIRECT(N$112),(INDIRECT($B$112)=$B46)*(INDIRECT($D$112)=$D46)*(INDIRECT($F$112)=$F46),0)),0)</f>
        <v>0</v>
      </c>
      <c r="O46" s="403" cm="1">
        <f t="array" aca="1" ref="O46" ca="1">IFERROR(SUM(_xlfn._xlws.FILTER(INDIRECT(O$112),(INDIRECT($B$112)=$B46)*(INDIRECT($D$112)=$D46)*(INDIRECT($F$112)=$F46),0)),0)</f>
        <v>0</v>
      </c>
      <c r="P46" s="403" cm="1">
        <f t="array" aca="1" ref="P46" ca="1">IFERROR(SUM(_xlfn._xlws.FILTER(INDIRECT(P$112),(INDIRECT($B$112)=$B46)*(INDIRECT($D$112)=$D46)*(INDIRECT($F$112)=$F46),0)),0)</f>
        <v>0</v>
      </c>
      <c r="Q46" s="403" cm="1">
        <f t="array" aca="1" ref="Q46" ca="1">IFERROR(SUM(_xlfn._xlws.FILTER(INDIRECT(Q$112),(INDIRECT($B$112)=$B46)*(INDIRECT($D$112)=$D46)*(INDIRECT($F$112)=$F46),0)),0)</f>
        <v>0</v>
      </c>
      <c r="R46" s="403" cm="1">
        <f t="array" aca="1" ref="R46" ca="1">IFERROR(SUM(_xlfn._xlws.FILTER(INDIRECT(R$112),(INDIRECT($B$112)=$B46)*(INDIRECT($D$112)=$D46)*(INDIRECT($F$112)=$F46),0)),0)</f>
        <v>0</v>
      </c>
      <c r="S46" s="403" cm="1">
        <f t="array" aca="1" ref="S46" ca="1">IFERROR(SUM(_xlfn._xlws.FILTER(INDIRECT(S$112),(INDIRECT($B$112)=$B46)*(INDIRECT($D$112)=$D46)*(INDIRECT($F$112)=$F46),0)),0)</f>
        <v>0</v>
      </c>
      <c r="T46" s="403" cm="1">
        <f t="array" aca="1" ref="T46" ca="1">IFERROR(SUM(_xlfn._xlws.FILTER(INDIRECT(T$112),(INDIRECT($B$112)=$B46)*(INDIRECT($D$112)=$D46)*(INDIRECT($F$112)=$F46),0)),0)</f>
        <v>0</v>
      </c>
      <c r="U46" s="403" cm="1">
        <f t="array" aca="1" ref="U46" ca="1">IFERROR(SUM(_xlfn._xlws.FILTER(INDIRECT(U$112),(INDIRECT($B$112)=$B46)*(INDIRECT($D$112)=$D46)*(INDIRECT($F$112)=$F46),0)),0)</f>
        <v>0</v>
      </c>
      <c r="V46" s="403" cm="1">
        <f t="array" aca="1" ref="V46" ca="1">IFERROR(SUM(_xlfn._xlws.FILTER(INDIRECT(V$112),(INDIRECT($B$112)=$B46)*(INDIRECT($D$112)=$D46)*(INDIRECT($F$112)=$F46),0)),0)</f>
        <v>0</v>
      </c>
      <c r="W46" s="403" cm="1">
        <f t="array" aca="1" ref="W46" ca="1">IFERROR(SUM(_xlfn._xlws.FILTER(INDIRECT(W$112),(INDIRECT($B$112)=$B46)*(INDIRECT($D$112)=$D46)*(INDIRECT($F$112)=$F46),0)),0)</f>
        <v>0</v>
      </c>
      <c r="X46" s="403" cm="1">
        <f t="array" aca="1" ref="X46" ca="1">IFERROR(SUM(_xlfn._xlws.FILTER(INDIRECT(X$112),(INDIRECT($B$112)=$B46)*(INDIRECT($D$112)=$D46)*(INDIRECT($F$112)=$F46),0)),0)</f>
        <v>0</v>
      </c>
      <c r="Y46" s="403" cm="1">
        <f t="array" aca="1" ref="Y46" ca="1">IFERROR(SUM(_xlfn._xlws.FILTER(INDIRECT(Y$112),(INDIRECT($B$112)=$B46)*(INDIRECT($D$112)=$D46)*(INDIRECT($F$112)=$F46),0)),0)</f>
        <v>0</v>
      </c>
      <c r="Z46" s="403" cm="1">
        <f t="array" aca="1" ref="Z46" ca="1">IFERROR(SUM(_xlfn._xlws.FILTER(INDIRECT(Z$112),(INDIRECT($B$112)=$B46)*(INDIRECT($D$112)=$D46)*(INDIRECT($F$112)=$F46),0)),0)</f>
        <v>0</v>
      </c>
      <c r="AA46" s="403" cm="1">
        <f t="array" aca="1" ref="AA46" ca="1">IFERROR(SUM(_xlfn._xlws.FILTER(INDIRECT(AA$112),(INDIRECT($B$112)=$B46)*(INDIRECT($D$112)=$D46)*(INDIRECT($F$112)=$F46),0)),0)</f>
        <v>0</v>
      </c>
      <c r="AB46" s="403" cm="1">
        <f t="array" aca="1" ref="AB46" ca="1">IFERROR(SUM(_xlfn._xlws.FILTER(INDIRECT(AB$112),(INDIRECT($B$112)=$B46)*(INDIRECT($D$112)=$D46)*(INDIRECT($F$112)=$F46),0)),0)</f>
        <v>0</v>
      </c>
      <c r="AC46" s="403" cm="1">
        <f t="array" aca="1" ref="AC46" ca="1">IFERROR(SUM(_xlfn._xlws.FILTER(INDIRECT(AC$112),(INDIRECT($B$112)=$B46)*(INDIRECT($D$112)=$D46)*(INDIRECT($F$112)=$F46),0)),0)</f>
        <v>0</v>
      </c>
      <c r="AD46" s="403" cm="1">
        <f t="array" aca="1" ref="AD46" ca="1">IFERROR(SUM(_xlfn._xlws.FILTER(INDIRECT(AD$112),(INDIRECT($B$112)=$B46)*(INDIRECT($D$112)=$D46)*(INDIRECT($F$112)=$F46),0)),0)</f>
        <v>0</v>
      </c>
      <c r="AE46" s="403" cm="1">
        <f t="array" aca="1" ref="AE46" ca="1">IFERROR(SUM(_xlfn._xlws.FILTER(INDIRECT(AE$112),(INDIRECT($B$112)=$B46)*(INDIRECT($D$112)=$D46)*(INDIRECT($F$112)=$F46),0)),0)</f>
        <v>0</v>
      </c>
      <c r="AF46" s="403" cm="1">
        <f t="array" aca="1" ref="AF46" ca="1">IFERROR(SUM(_xlfn._xlws.FILTER(INDIRECT(AF$112),(INDIRECT($B$112)=$B46)*(INDIRECT($D$112)=$D46)*(INDIRECT($F$112)=$F46),0)),0)</f>
        <v>0</v>
      </c>
      <c r="AG46" s="403" cm="1">
        <f t="array" aca="1" ref="AG46" ca="1">IFERROR(SUM(_xlfn._xlws.FILTER(INDIRECT(AG$112),(INDIRECT($B$112)=$B46)*(INDIRECT($D$112)=$D46)*(INDIRECT($F$112)=$F46),0)),0)</f>
        <v>0</v>
      </c>
      <c r="AH46" s="403" cm="1">
        <f t="array" aca="1" ref="AH46" ca="1">IFERROR(SUM(_xlfn._xlws.FILTER(INDIRECT(AH$112),(INDIRECT($B$112)=$B46)*(INDIRECT($D$112)=$D46)*(INDIRECT($F$112)=$F46),0)),0)</f>
        <v>0</v>
      </c>
      <c r="AI46" s="403" cm="1">
        <f t="array" aca="1" ref="AI46" ca="1">IFERROR(SUM(_xlfn._xlws.FILTER(INDIRECT(AI$112),(INDIRECT($B$112)=$B46)*(INDIRECT($D$112)=$D46)*(INDIRECT($F$112)=$F46),0)),0)</f>
        <v>0</v>
      </c>
      <c r="AJ46" s="403" cm="1">
        <f t="array" aca="1" ref="AJ46" ca="1">IFERROR(SUM(_xlfn._xlws.FILTER(INDIRECT(AJ$112),(INDIRECT($B$112)=$B46)*(INDIRECT($D$112)=$D46)*(INDIRECT($F$112)=$F46),0)),0)</f>
        <v>0</v>
      </c>
      <c r="AK46" s="403" cm="1">
        <f t="array" aca="1" ref="AK46" ca="1">IFERROR(SUM(_xlfn._xlws.FILTER(INDIRECT(AK$112),(INDIRECT($B$112)=$B46)*(INDIRECT($D$112)=$D46)*(INDIRECT($F$112)=$F46),0)),0)</f>
        <v>0</v>
      </c>
      <c r="AL46" s="403" cm="1">
        <f t="array" aca="1" ref="AL46" ca="1">IFERROR(SUM(_xlfn._xlws.FILTER(INDIRECT(AL$112),(INDIRECT($B$112)=$B46)*(INDIRECT($D$112)=$D46)*(INDIRECT($F$112)=$F46),0)),0)</f>
        <v>0</v>
      </c>
      <c r="AM46" s="403" cm="1">
        <f t="array" aca="1" ref="AM46" ca="1">IFERROR(SUM(_xlfn._xlws.FILTER(INDIRECT(AM$112),(INDIRECT($B$112)=$B46)*(INDIRECT($D$112)=$D46)*(INDIRECT($F$112)=$F46),0)),0)</f>
        <v>0</v>
      </c>
      <c r="AN46" s="403" cm="1">
        <f t="array" aca="1" ref="AN46" ca="1">IFERROR(SUM(_xlfn._xlws.FILTER(INDIRECT(AN$112),(INDIRECT($B$112)=$B46)*(INDIRECT($D$112)=$D46)*(INDIRECT($F$112)=$F46),0)),0)</f>
        <v>0</v>
      </c>
      <c r="AO46" s="403" cm="1">
        <f t="array" aca="1" ref="AO46" ca="1">IFERROR(SUM(_xlfn._xlws.FILTER(INDIRECT(AO$112),(INDIRECT($B$112)=$B46)*(INDIRECT($D$112)=$D46)*(INDIRECT($F$112)=$F46),0)),0)</f>
        <v>0</v>
      </c>
      <c r="AP46" s="403" cm="1">
        <f t="array" aca="1" ref="AP46" ca="1">IFERROR(SUM(_xlfn._xlws.FILTER(INDIRECT(AP$112),(INDIRECT($B$112)=$B46)*(INDIRECT($D$112)=$D46)*(INDIRECT($F$112)=$F46),0)),0)</f>
        <v>0</v>
      </c>
      <c r="AQ46" s="403" cm="1">
        <f t="array" aca="1" ref="AQ46" ca="1">IFERROR(SUM(_xlfn._xlws.FILTER(INDIRECT(AQ$112),(INDIRECT($B$112)=$B46)*(INDIRECT($D$112)=$D46)*(INDIRECT($F$112)=$F46),0)),0)</f>
        <v>0</v>
      </c>
      <c r="AR46" s="403" cm="1">
        <f t="array" aca="1" ref="AR46" ca="1">IFERROR(SUM(_xlfn._xlws.FILTER(INDIRECT(AR$112),(INDIRECT($B$112)=$B46)*(INDIRECT($D$112)=$D46)*(INDIRECT($F$112)=$F46),0)),0)</f>
        <v>0</v>
      </c>
      <c r="AS46" s="286" t="str">
        <f t="shared" ca="1" si="4"/>
        <v>G46:AP46</v>
      </c>
      <c r="AT46" s="403">
        <f t="shared" ca="1" si="3"/>
        <v>0</v>
      </c>
      <c r="AV46" s="142" cm="1">
        <f t="array" aca="1" ref="AV46" ca="1">IF(AND(_xlfn.LET(_xlpm.x,SUM(ROW()),OR(AND(MATCH("SOT",$A:$A,0)&lt;_xlpm.x,MATCH("EOT",$A:$A,0)&gt;_xlpm.x),AND(MATCH("SOS",$A:$A,0)&lt;_xlpm.x,MATCH("EOS",$A:$A,0)&gt;_xlpm.x),AND(MATCH("SOR",$A:$A,0)&lt;_xlpm.x,MATCH("EOR",$A:$A,0)&gt;_xlpm.x))),INDIRECT("rc"&amp;MATCH("SCD",$1:$1,0),FALSE)="PPTO"),1,0)</f>
        <v>1</v>
      </c>
      <c r="AW46" s="142" cm="1">
        <f t="array" aca="1" ref="AW4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47" spans="1:49" s="153" customFormat="1" outlineLevel="2">
      <c r="A47" s="152"/>
      <c r="B47" s="401" t="str">
        <f ca="1"/>
        <v>31200</v>
      </c>
      <c r="C47" s="148"/>
      <c r="D47" s="404" t="str">
        <f ca="1"/>
        <v>GSGT</v>
      </c>
      <c r="E47" s="350" t="str" cm="1">
        <f t="array" aca="1" ref="E47" ca="1">UPPER(_xlfn.UNIQUE(_xlfn._xlws.FILTER(TbStd[OFbStd],TbStd[RowGrp]=$D47,"X")))</f>
        <v>MANAGEMENT &amp; DEFINITION EXPENSES</v>
      </c>
      <c r="F47" s="402" t="str">
        <f ca="1"/>
        <v>PREV</v>
      </c>
      <c r="G47" s="403" cm="1">
        <f t="array" aca="1" ref="G47" ca="1">IFERROR(SUM(_xlfn._xlws.FILTER(INDIRECT(G$112),(INDIRECT($B$112)=$B47)*(INDIRECT($D$112)=$D47)*(INDIRECT($F$112)=$F47),0)),0)</f>
        <v>0</v>
      </c>
      <c r="H47" s="403" cm="1">
        <f t="array" aca="1" ref="H47" ca="1">IFERROR(SUM(_xlfn._xlws.FILTER(INDIRECT(H$112),(INDIRECT($B$112)=$B47)*(INDIRECT($D$112)=$D47)*(INDIRECT($F$112)=$F47),0)),0)</f>
        <v>0</v>
      </c>
      <c r="I47" s="403" cm="1">
        <f t="array" aca="1" ref="I47" ca="1">IFERROR(SUM(_xlfn._xlws.FILTER(INDIRECT(I$112),(INDIRECT($B$112)=$B47)*(INDIRECT($D$112)=$D47)*(INDIRECT($F$112)=$F47),0)),0)</f>
        <v>0</v>
      </c>
      <c r="J47" s="403" cm="1">
        <f t="array" aca="1" ref="J47" ca="1">IFERROR(SUM(_xlfn._xlws.FILTER(INDIRECT(J$112),(INDIRECT($B$112)=$B47)*(INDIRECT($D$112)=$D47)*(INDIRECT($F$112)=$F47),0)),0)</f>
        <v>0</v>
      </c>
      <c r="K47" s="403" cm="1">
        <f t="array" aca="1" ref="K47" ca="1">IFERROR(SUM(_xlfn._xlws.FILTER(INDIRECT(K$112),(INDIRECT($B$112)=$B47)*(INDIRECT($D$112)=$D47)*(INDIRECT($F$112)=$F47),0)),0)</f>
        <v>0</v>
      </c>
      <c r="L47" s="403" cm="1">
        <f t="array" aca="1" ref="L47" ca="1">IFERROR(SUM(_xlfn._xlws.FILTER(INDIRECT(L$112),(INDIRECT($B$112)=$B47)*(INDIRECT($D$112)=$D47)*(INDIRECT($F$112)=$F47),0)),0)</f>
        <v>0</v>
      </c>
      <c r="M47" s="403" cm="1">
        <f t="array" aca="1" ref="M47" ca="1">IFERROR(SUM(_xlfn._xlws.FILTER(INDIRECT(M$112),(INDIRECT($B$112)=$B47)*(INDIRECT($D$112)=$D47)*(INDIRECT($F$112)=$F47),0)),0)</f>
        <v>0</v>
      </c>
      <c r="N47" s="403" cm="1">
        <f t="array" aca="1" ref="N47" ca="1">IFERROR(SUM(_xlfn._xlws.FILTER(INDIRECT(N$112),(INDIRECT($B$112)=$B47)*(INDIRECT($D$112)=$D47)*(INDIRECT($F$112)=$F47),0)),0)</f>
        <v>0</v>
      </c>
      <c r="O47" s="403" cm="1">
        <f t="array" aca="1" ref="O47" ca="1">IFERROR(SUM(_xlfn._xlws.FILTER(INDIRECT(O$112),(INDIRECT($B$112)=$B47)*(INDIRECT($D$112)=$D47)*(INDIRECT($F$112)=$F47),0)),0)</f>
        <v>0</v>
      </c>
      <c r="P47" s="403" cm="1">
        <f t="array" aca="1" ref="P47" ca="1">IFERROR(SUM(_xlfn._xlws.FILTER(INDIRECT(P$112),(INDIRECT($B$112)=$B47)*(INDIRECT($D$112)=$D47)*(INDIRECT($F$112)=$F47),0)),0)</f>
        <v>0</v>
      </c>
      <c r="Q47" s="403" cm="1">
        <f t="array" aca="1" ref="Q47" ca="1">IFERROR(SUM(_xlfn._xlws.FILTER(INDIRECT(Q$112),(INDIRECT($B$112)=$B47)*(INDIRECT($D$112)=$D47)*(INDIRECT($F$112)=$F47),0)),0)</f>
        <v>0</v>
      </c>
      <c r="R47" s="403" cm="1">
        <f t="array" aca="1" ref="R47" ca="1">IFERROR(SUM(_xlfn._xlws.FILTER(INDIRECT(R$112),(INDIRECT($B$112)=$B47)*(INDIRECT($D$112)=$D47)*(INDIRECT($F$112)=$F47),0)),0)</f>
        <v>0</v>
      </c>
      <c r="S47" s="403" cm="1">
        <f t="array" aca="1" ref="S47" ca="1">IFERROR(SUM(_xlfn._xlws.FILTER(INDIRECT(S$112),(INDIRECT($B$112)=$B47)*(INDIRECT($D$112)=$D47)*(INDIRECT($F$112)=$F47),0)),0)</f>
        <v>0</v>
      </c>
      <c r="T47" s="403" cm="1">
        <f t="array" aca="1" ref="T47" ca="1">IFERROR(SUM(_xlfn._xlws.FILTER(INDIRECT(T$112),(INDIRECT($B$112)=$B47)*(INDIRECT($D$112)=$D47)*(INDIRECT($F$112)=$F47),0)),0)</f>
        <v>0</v>
      </c>
      <c r="U47" s="403" cm="1">
        <f t="array" aca="1" ref="U47" ca="1">IFERROR(SUM(_xlfn._xlws.FILTER(INDIRECT(U$112),(INDIRECT($B$112)=$B47)*(INDIRECT($D$112)=$D47)*(INDIRECT($F$112)=$F47),0)),0)</f>
        <v>0</v>
      </c>
      <c r="V47" s="403" cm="1">
        <f t="array" aca="1" ref="V47" ca="1">IFERROR(SUM(_xlfn._xlws.FILTER(INDIRECT(V$112),(INDIRECT($B$112)=$B47)*(INDIRECT($D$112)=$D47)*(INDIRECT($F$112)=$F47),0)),0)</f>
        <v>0</v>
      </c>
      <c r="W47" s="403" cm="1">
        <f t="array" aca="1" ref="W47" ca="1">IFERROR(SUM(_xlfn._xlws.FILTER(INDIRECT(W$112),(INDIRECT($B$112)=$B47)*(INDIRECT($D$112)=$D47)*(INDIRECT($F$112)=$F47),0)),0)</f>
        <v>0</v>
      </c>
      <c r="X47" s="403" cm="1">
        <f t="array" aca="1" ref="X47" ca="1">IFERROR(SUM(_xlfn._xlws.FILTER(INDIRECT(X$112),(INDIRECT($B$112)=$B47)*(INDIRECT($D$112)=$D47)*(INDIRECT($F$112)=$F47),0)),0)</f>
        <v>0</v>
      </c>
      <c r="Y47" s="403" cm="1">
        <f t="array" aca="1" ref="Y47" ca="1">IFERROR(SUM(_xlfn._xlws.FILTER(INDIRECT(Y$112),(INDIRECT($B$112)=$B47)*(INDIRECT($D$112)=$D47)*(INDIRECT($F$112)=$F47),0)),0)</f>
        <v>0</v>
      </c>
      <c r="Z47" s="403" cm="1">
        <f t="array" aca="1" ref="Z47" ca="1">IFERROR(SUM(_xlfn._xlws.FILTER(INDIRECT(Z$112),(INDIRECT($B$112)=$B47)*(INDIRECT($D$112)=$D47)*(INDIRECT($F$112)=$F47),0)),0)</f>
        <v>0</v>
      </c>
      <c r="AA47" s="403" cm="1">
        <f t="array" aca="1" ref="AA47" ca="1">IFERROR(SUM(_xlfn._xlws.FILTER(INDIRECT(AA$112),(INDIRECT($B$112)=$B47)*(INDIRECT($D$112)=$D47)*(INDIRECT($F$112)=$F47),0)),0)</f>
        <v>0</v>
      </c>
      <c r="AB47" s="403" cm="1">
        <f t="array" aca="1" ref="AB47" ca="1">IFERROR(SUM(_xlfn._xlws.FILTER(INDIRECT(AB$112),(INDIRECT($B$112)=$B47)*(INDIRECT($D$112)=$D47)*(INDIRECT($F$112)=$F47),0)),0)</f>
        <v>0</v>
      </c>
      <c r="AC47" s="403" cm="1">
        <f t="array" aca="1" ref="AC47" ca="1">IFERROR(SUM(_xlfn._xlws.FILTER(INDIRECT(AC$112),(INDIRECT($B$112)=$B47)*(INDIRECT($D$112)=$D47)*(INDIRECT($F$112)=$F47),0)),0)</f>
        <v>0</v>
      </c>
      <c r="AD47" s="403" cm="1">
        <f t="array" aca="1" ref="AD47" ca="1">IFERROR(SUM(_xlfn._xlws.FILTER(INDIRECT(AD$112),(INDIRECT($B$112)=$B47)*(INDIRECT($D$112)=$D47)*(INDIRECT($F$112)=$F47),0)),0)</f>
        <v>0</v>
      </c>
      <c r="AE47" s="403" cm="1">
        <f t="array" aca="1" ref="AE47" ca="1">IFERROR(SUM(_xlfn._xlws.FILTER(INDIRECT(AE$112),(INDIRECT($B$112)=$B47)*(INDIRECT($D$112)=$D47)*(INDIRECT($F$112)=$F47),0)),0)</f>
        <v>0</v>
      </c>
      <c r="AF47" s="403" cm="1">
        <f t="array" aca="1" ref="AF47" ca="1">IFERROR(SUM(_xlfn._xlws.FILTER(INDIRECT(AF$112),(INDIRECT($B$112)=$B47)*(INDIRECT($D$112)=$D47)*(INDIRECT($F$112)=$F47),0)),0)</f>
        <v>0</v>
      </c>
      <c r="AG47" s="403" cm="1">
        <f t="array" aca="1" ref="AG47" ca="1">IFERROR(SUM(_xlfn._xlws.FILTER(INDIRECT(AG$112),(INDIRECT($B$112)=$B47)*(INDIRECT($D$112)=$D47)*(INDIRECT($F$112)=$F47),0)),0)</f>
        <v>0</v>
      </c>
      <c r="AH47" s="403" cm="1">
        <f t="array" aca="1" ref="AH47" ca="1">IFERROR(SUM(_xlfn._xlws.FILTER(INDIRECT(AH$112),(INDIRECT($B$112)=$B47)*(INDIRECT($D$112)=$D47)*(INDIRECT($F$112)=$F47),0)),0)</f>
        <v>0</v>
      </c>
      <c r="AI47" s="403" cm="1">
        <f t="array" aca="1" ref="AI47" ca="1">IFERROR(SUM(_xlfn._xlws.FILTER(INDIRECT(AI$112),(INDIRECT($B$112)=$B47)*(INDIRECT($D$112)=$D47)*(INDIRECT($F$112)=$F47),0)),0)</f>
        <v>0</v>
      </c>
      <c r="AJ47" s="403" cm="1">
        <f t="array" aca="1" ref="AJ47" ca="1">IFERROR(SUM(_xlfn._xlws.FILTER(INDIRECT(AJ$112),(INDIRECT($B$112)=$B47)*(INDIRECT($D$112)=$D47)*(INDIRECT($F$112)=$F47),0)),0)</f>
        <v>0</v>
      </c>
      <c r="AK47" s="403" cm="1">
        <f t="array" aca="1" ref="AK47" ca="1">IFERROR(SUM(_xlfn._xlws.FILTER(INDIRECT(AK$112),(INDIRECT($B$112)=$B47)*(INDIRECT($D$112)=$D47)*(INDIRECT($F$112)=$F47),0)),0)</f>
        <v>0</v>
      </c>
      <c r="AL47" s="403" cm="1">
        <f t="array" aca="1" ref="AL47" ca="1">IFERROR(SUM(_xlfn._xlws.FILTER(INDIRECT(AL$112),(INDIRECT($B$112)=$B47)*(INDIRECT($D$112)=$D47)*(INDIRECT($F$112)=$F47),0)),0)</f>
        <v>0</v>
      </c>
      <c r="AM47" s="403" cm="1">
        <f t="array" aca="1" ref="AM47" ca="1">IFERROR(SUM(_xlfn._xlws.FILTER(INDIRECT(AM$112),(INDIRECT($B$112)=$B47)*(INDIRECT($D$112)=$D47)*(INDIRECT($F$112)=$F47),0)),0)</f>
        <v>0</v>
      </c>
      <c r="AN47" s="403" cm="1">
        <f t="array" aca="1" ref="AN47" ca="1">IFERROR(SUM(_xlfn._xlws.FILTER(INDIRECT(AN$112),(INDIRECT($B$112)=$B47)*(INDIRECT($D$112)=$D47)*(INDIRECT($F$112)=$F47),0)),0)</f>
        <v>0</v>
      </c>
      <c r="AO47" s="403" cm="1">
        <f t="array" aca="1" ref="AO47" ca="1">IFERROR(SUM(_xlfn._xlws.FILTER(INDIRECT(AO$112),(INDIRECT($B$112)=$B47)*(INDIRECT($D$112)=$D47)*(INDIRECT($F$112)=$F47),0)),0)</f>
        <v>41592.78</v>
      </c>
      <c r="AP47" s="403" cm="1">
        <f t="array" aca="1" ref="AP47" ca="1">IFERROR(SUM(_xlfn._xlws.FILTER(INDIRECT(AP$112),(INDIRECT($B$112)=$B47)*(INDIRECT($D$112)=$D47)*(INDIRECT($F$112)=$F47),0)),0)</f>
        <v>0</v>
      </c>
      <c r="AQ47" s="403" cm="1">
        <f t="array" aca="1" ref="AQ47" ca="1">IFERROR(SUM(_xlfn._xlws.FILTER(INDIRECT(AQ$112),(INDIRECT($B$112)=$B47)*(INDIRECT($D$112)=$D47)*(INDIRECT($F$112)=$F47),0)),0)</f>
        <v>41592.78</v>
      </c>
      <c r="AR47" s="403" cm="1">
        <f t="array" aca="1" ref="AR47" ca="1">IFERROR(SUM(_xlfn._xlws.FILTER(INDIRECT(AR$112),(INDIRECT($B$112)=$B47)*(INDIRECT($D$112)=$D47)*(INDIRECT($F$112)=$F47),0)),0)</f>
        <v>0</v>
      </c>
      <c r="AS47" s="286" t="str">
        <f t="shared" ca="1" si="4"/>
        <v>G47:AP47</v>
      </c>
      <c r="AT47" s="403">
        <f t="shared" ca="1" si="3"/>
        <v>41592.78</v>
      </c>
      <c r="AV47" s="142" cm="1">
        <f t="array" aca="1" ref="AV47" ca="1">IF(AND(_xlfn.LET(_xlpm.x,SUM(ROW()),OR(AND(MATCH("SOT",$A:$A,0)&lt;_xlpm.x,MATCH("EOT",$A:$A,0)&gt;_xlpm.x),AND(MATCH("SOS",$A:$A,0)&lt;_xlpm.x,MATCH("EOS",$A:$A,0)&gt;_xlpm.x),AND(MATCH("SOR",$A:$A,0)&lt;_xlpm.x,MATCH("EOR",$A:$A,0)&gt;_xlpm.x))),INDIRECT("rc"&amp;MATCH("SCD",$1:$1,0),FALSE)="PPTO"),1,0)</f>
        <v>0</v>
      </c>
      <c r="AW47" s="142" cm="1">
        <f t="array" aca="1" ref="AW4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48" spans="1:49" s="153" customFormat="1" outlineLevel="2">
      <c r="A48" s="152"/>
      <c r="B48" s="401" t="str">
        <f ca="1"/>
        <v>31200</v>
      </c>
      <c r="C48" s="148"/>
      <c r="D48" s="404" t="str">
        <f ca="1"/>
        <v>GSGT</v>
      </c>
      <c r="E48" s="350" t="str" cm="1">
        <f t="array" aca="1" ref="E48" ca="1">UPPER(_xlfn.UNIQUE(_xlfn._xlws.FILTER(TbStd[OFbStd],TbStd[RowGrp]=$D48,"X")))</f>
        <v>MANAGEMENT &amp; DEFINITION EXPENSES</v>
      </c>
      <c r="F48" s="402" t="str">
        <f ca="1"/>
        <v>REAL</v>
      </c>
      <c r="G48" s="403" cm="1">
        <f t="array" aca="1" ref="G48" ca="1">IFERROR(SUM(_xlfn._xlws.FILTER(INDIRECT(G$112),(INDIRECT($B$112)=$B48)*(INDIRECT($D$112)=$D48)*(INDIRECT($F$112)=$F48),0)),0)</f>
        <v>0</v>
      </c>
      <c r="H48" s="403" cm="1">
        <f t="array" aca="1" ref="H48" ca="1">IFERROR(SUM(_xlfn._xlws.FILTER(INDIRECT(H$112),(INDIRECT($B$112)=$B48)*(INDIRECT($D$112)=$D48)*(INDIRECT($F$112)=$F48),0)),0)</f>
        <v>0</v>
      </c>
      <c r="I48" s="403" cm="1">
        <f t="array" aca="1" ref="I48" ca="1">IFERROR(SUM(_xlfn._xlws.FILTER(INDIRECT(I$112),(INDIRECT($B$112)=$B48)*(INDIRECT($D$112)=$D48)*(INDIRECT($F$112)=$F48),0)),0)</f>
        <v>0</v>
      </c>
      <c r="J48" s="403" cm="1">
        <f t="array" aca="1" ref="J48" ca="1">IFERROR(SUM(_xlfn._xlws.FILTER(INDIRECT(J$112),(INDIRECT($B$112)=$B48)*(INDIRECT($D$112)=$D48)*(INDIRECT($F$112)=$F48),0)),0)</f>
        <v>0</v>
      </c>
      <c r="K48" s="403" cm="1">
        <f t="array" aca="1" ref="K48" ca="1">IFERROR(SUM(_xlfn._xlws.FILTER(INDIRECT(K$112),(INDIRECT($B$112)=$B48)*(INDIRECT($D$112)=$D48)*(INDIRECT($F$112)=$F48),0)),0)</f>
        <v>0</v>
      </c>
      <c r="L48" s="403" cm="1">
        <f t="array" aca="1" ref="L48" ca="1">IFERROR(SUM(_xlfn._xlws.FILTER(INDIRECT(L$112),(INDIRECT($B$112)=$B48)*(INDIRECT($D$112)=$D48)*(INDIRECT($F$112)=$F48),0)),0)</f>
        <v>0</v>
      </c>
      <c r="M48" s="403" cm="1">
        <f t="array" aca="1" ref="M48" ca="1">IFERROR(SUM(_xlfn._xlws.FILTER(INDIRECT(M$112),(INDIRECT($B$112)=$B48)*(INDIRECT($D$112)=$D48)*(INDIRECT($F$112)=$F48),0)),0)</f>
        <v>0</v>
      </c>
      <c r="N48" s="403" cm="1">
        <f t="array" aca="1" ref="N48" ca="1">IFERROR(SUM(_xlfn._xlws.FILTER(INDIRECT(N$112),(INDIRECT($B$112)=$B48)*(INDIRECT($D$112)=$D48)*(INDIRECT($F$112)=$F48),0)),0)</f>
        <v>0</v>
      </c>
      <c r="O48" s="403" cm="1">
        <f t="array" aca="1" ref="O48" ca="1">IFERROR(SUM(_xlfn._xlws.FILTER(INDIRECT(O$112),(INDIRECT($B$112)=$B48)*(INDIRECT($D$112)=$D48)*(INDIRECT($F$112)=$F48),0)),0)</f>
        <v>0</v>
      </c>
      <c r="P48" s="403" cm="1">
        <f t="array" aca="1" ref="P48" ca="1">IFERROR(SUM(_xlfn._xlws.FILTER(INDIRECT(P$112),(INDIRECT($B$112)=$B48)*(INDIRECT($D$112)=$D48)*(INDIRECT($F$112)=$F48),0)),0)</f>
        <v>0</v>
      </c>
      <c r="Q48" s="403" cm="1">
        <f t="array" aca="1" ref="Q48" ca="1">IFERROR(SUM(_xlfn._xlws.FILTER(INDIRECT(Q$112),(INDIRECT($B$112)=$B48)*(INDIRECT($D$112)=$D48)*(INDIRECT($F$112)=$F48),0)),0)</f>
        <v>0</v>
      </c>
      <c r="R48" s="403" cm="1">
        <f t="array" aca="1" ref="R48" ca="1">IFERROR(SUM(_xlfn._xlws.FILTER(INDIRECT(R$112),(INDIRECT($B$112)=$B48)*(INDIRECT($D$112)=$D48)*(INDIRECT($F$112)=$F48),0)),0)</f>
        <v>0</v>
      </c>
      <c r="S48" s="403" cm="1">
        <f t="array" aca="1" ref="S48" ca="1">IFERROR(SUM(_xlfn._xlws.FILTER(INDIRECT(S$112),(INDIRECT($B$112)=$B48)*(INDIRECT($D$112)=$D48)*(INDIRECT($F$112)=$F48),0)),0)</f>
        <v>0</v>
      </c>
      <c r="T48" s="403" cm="1">
        <f t="array" aca="1" ref="T48" ca="1">IFERROR(SUM(_xlfn._xlws.FILTER(INDIRECT(T$112),(INDIRECT($B$112)=$B48)*(INDIRECT($D$112)=$D48)*(INDIRECT($F$112)=$F48),0)),0)</f>
        <v>0</v>
      </c>
      <c r="U48" s="403" cm="1">
        <f t="array" aca="1" ref="U48" ca="1">IFERROR(SUM(_xlfn._xlws.FILTER(INDIRECT(U$112),(INDIRECT($B$112)=$B48)*(INDIRECT($D$112)=$D48)*(INDIRECT($F$112)=$F48),0)),0)</f>
        <v>0</v>
      </c>
      <c r="V48" s="403" cm="1">
        <f t="array" aca="1" ref="V48" ca="1">IFERROR(SUM(_xlfn._xlws.FILTER(INDIRECT(V$112),(INDIRECT($B$112)=$B48)*(INDIRECT($D$112)=$D48)*(INDIRECT($F$112)=$F48),0)),0)</f>
        <v>0</v>
      </c>
      <c r="W48" s="403" cm="1">
        <f t="array" aca="1" ref="W48" ca="1">IFERROR(SUM(_xlfn._xlws.FILTER(INDIRECT(W$112),(INDIRECT($B$112)=$B48)*(INDIRECT($D$112)=$D48)*(INDIRECT($F$112)=$F48),0)),0)</f>
        <v>0</v>
      </c>
      <c r="X48" s="403" cm="1">
        <f t="array" aca="1" ref="X48" ca="1">IFERROR(SUM(_xlfn._xlws.FILTER(INDIRECT(X$112),(INDIRECT($B$112)=$B48)*(INDIRECT($D$112)=$D48)*(INDIRECT($F$112)=$F48),0)),0)</f>
        <v>0</v>
      </c>
      <c r="Y48" s="403" cm="1">
        <f t="array" aca="1" ref="Y48" ca="1">IFERROR(SUM(_xlfn._xlws.FILTER(INDIRECT(Y$112),(INDIRECT($B$112)=$B48)*(INDIRECT($D$112)=$D48)*(INDIRECT($F$112)=$F48),0)),0)</f>
        <v>0</v>
      </c>
      <c r="Z48" s="403" cm="1">
        <f t="array" aca="1" ref="Z48" ca="1">IFERROR(SUM(_xlfn._xlws.FILTER(INDIRECT(Z$112),(INDIRECT($B$112)=$B48)*(INDIRECT($D$112)=$D48)*(INDIRECT($F$112)=$F48),0)),0)</f>
        <v>0</v>
      </c>
      <c r="AA48" s="403" cm="1">
        <f t="array" aca="1" ref="AA48" ca="1">IFERROR(SUM(_xlfn._xlws.FILTER(INDIRECT(AA$112),(INDIRECT($B$112)=$B48)*(INDIRECT($D$112)=$D48)*(INDIRECT($F$112)=$F48),0)),0)</f>
        <v>0</v>
      </c>
      <c r="AB48" s="403" cm="1">
        <f t="array" aca="1" ref="AB48" ca="1">IFERROR(SUM(_xlfn._xlws.FILTER(INDIRECT(AB$112),(INDIRECT($B$112)=$B48)*(INDIRECT($D$112)=$D48)*(INDIRECT($F$112)=$F48),0)),0)</f>
        <v>0</v>
      </c>
      <c r="AC48" s="403" cm="1">
        <f t="array" aca="1" ref="AC48" ca="1">IFERROR(SUM(_xlfn._xlws.FILTER(INDIRECT(AC$112),(INDIRECT($B$112)=$B48)*(INDIRECT($D$112)=$D48)*(INDIRECT($F$112)=$F48),0)),0)</f>
        <v>0</v>
      </c>
      <c r="AD48" s="403" cm="1">
        <f t="array" aca="1" ref="AD48" ca="1">IFERROR(SUM(_xlfn._xlws.FILTER(INDIRECT(AD$112),(INDIRECT($B$112)=$B48)*(INDIRECT($D$112)=$D48)*(INDIRECT($F$112)=$F48),0)),0)</f>
        <v>0</v>
      </c>
      <c r="AE48" s="403" cm="1">
        <f t="array" aca="1" ref="AE48" ca="1">IFERROR(SUM(_xlfn._xlws.FILTER(INDIRECT(AE$112),(INDIRECT($B$112)=$B48)*(INDIRECT($D$112)=$D48)*(INDIRECT($F$112)=$F48),0)),0)</f>
        <v>0</v>
      </c>
      <c r="AF48" s="403" cm="1">
        <f t="array" aca="1" ref="AF48" ca="1">IFERROR(SUM(_xlfn._xlws.FILTER(INDIRECT(AF$112),(INDIRECT($B$112)=$B48)*(INDIRECT($D$112)=$D48)*(INDIRECT($F$112)=$F48),0)),0)</f>
        <v>0</v>
      </c>
      <c r="AG48" s="403" cm="1">
        <f t="array" aca="1" ref="AG48" ca="1">IFERROR(SUM(_xlfn._xlws.FILTER(INDIRECT(AG$112),(INDIRECT($B$112)=$B48)*(INDIRECT($D$112)=$D48)*(INDIRECT($F$112)=$F48),0)),0)</f>
        <v>0</v>
      </c>
      <c r="AH48" s="403" cm="1">
        <f t="array" aca="1" ref="AH48" ca="1">IFERROR(SUM(_xlfn._xlws.FILTER(INDIRECT(AH$112),(INDIRECT($B$112)=$B48)*(INDIRECT($D$112)=$D48)*(INDIRECT($F$112)=$F48),0)),0)</f>
        <v>0</v>
      </c>
      <c r="AI48" s="403" cm="1">
        <f t="array" aca="1" ref="AI48" ca="1">IFERROR(SUM(_xlfn._xlws.FILTER(INDIRECT(AI$112),(INDIRECT($B$112)=$B48)*(INDIRECT($D$112)=$D48)*(INDIRECT($F$112)=$F48),0)),0)</f>
        <v>0</v>
      </c>
      <c r="AJ48" s="403" cm="1">
        <f t="array" aca="1" ref="AJ48" ca="1">IFERROR(SUM(_xlfn._xlws.FILTER(INDIRECT(AJ$112),(INDIRECT($B$112)=$B48)*(INDIRECT($D$112)=$D48)*(INDIRECT($F$112)=$F48),0)),0)</f>
        <v>0</v>
      </c>
      <c r="AK48" s="403" cm="1">
        <f t="array" aca="1" ref="AK48" ca="1">IFERROR(SUM(_xlfn._xlws.FILTER(INDIRECT(AK$112),(INDIRECT($B$112)=$B48)*(INDIRECT($D$112)=$D48)*(INDIRECT($F$112)=$F48),0)),0)</f>
        <v>0</v>
      </c>
      <c r="AL48" s="403" cm="1">
        <f t="array" aca="1" ref="AL48" ca="1">IFERROR(SUM(_xlfn._xlws.FILTER(INDIRECT(AL$112),(INDIRECT($B$112)=$B48)*(INDIRECT($D$112)=$D48)*(INDIRECT($F$112)=$F48),0)),0)</f>
        <v>0</v>
      </c>
      <c r="AM48" s="403" cm="1">
        <f t="array" aca="1" ref="AM48" ca="1">IFERROR(SUM(_xlfn._xlws.FILTER(INDIRECT(AM$112),(INDIRECT($B$112)=$B48)*(INDIRECT($D$112)=$D48)*(INDIRECT($F$112)=$F48),0)),0)</f>
        <v>0</v>
      </c>
      <c r="AN48" s="403" cm="1">
        <f t="array" aca="1" ref="AN48" ca="1">IFERROR(SUM(_xlfn._xlws.FILTER(INDIRECT(AN$112),(INDIRECT($B$112)=$B48)*(INDIRECT($D$112)=$D48)*(INDIRECT($F$112)=$F48),0)),0)</f>
        <v>0</v>
      </c>
      <c r="AO48" s="403" cm="1">
        <f t="array" aca="1" ref="AO48" ca="1">IFERROR(SUM(_xlfn._xlws.FILTER(INDIRECT(AO$112),(INDIRECT($B$112)=$B48)*(INDIRECT($D$112)=$D48)*(INDIRECT($F$112)=$F48),0)),0)</f>
        <v>43456.78</v>
      </c>
      <c r="AP48" s="403" cm="1">
        <f t="array" aca="1" ref="AP48" ca="1">IFERROR(SUM(_xlfn._xlws.FILTER(INDIRECT(AP$112),(INDIRECT($B$112)=$B48)*(INDIRECT($D$112)=$D48)*(INDIRECT($F$112)=$F48),0)),0)</f>
        <v>0</v>
      </c>
      <c r="AQ48" s="403" cm="1">
        <f t="array" aca="1" ref="AQ48" ca="1">IFERROR(SUM(_xlfn._xlws.FILTER(INDIRECT(AQ$112),(INDIRECT($B$112)=$B48)*(INDIRECT($D$112)=$D48)*(INDIRECT($F$112)=$F48),0)),0)</f>
        <v>43456.78</v>
      </c>
      <c r="AR48" s="403" cm="1">
        <f t="array" aca="1" ref="AR48" ca="1">IFERROR(SUM(_xlfn._xlws.FILTER(INDIRECT(AR$112),(INDIRECT($B$112)=$B48)*(INDIRECT($D$112)=$D48)*(INDIRECT($F$112)=$F48),0)),0)</f>
        <v>0</v>
      </c>
      <c r="AS48" s="286" t="str">
        <f t="shared" ca="1" si="4"/>
        <v>G48:AP48</v>
      </c>
      <c r="AT48" s="403">
        <f t="shared" ca="1" si="3"/>
        <v>43456.78</v>
      </c>
      <c r="AV48" s="142" cm="1">
        <f t="array" aca="1" ref="AV48" ca="1">IF(AND(_xlfn.LET(_xlpm.x,SUM(ROW()),OR(AND(MATCH("SOT",$A:$A,0)&lt;_xlpm.x,MATCH("EOT",$A:$A,0)&gt;_xlpm.x),AND(MATCH("SOS",$A:$A,0)&lt;_xlpm.x,MATCH("EOS",$A:$A,0)&gt;_xlpm.x),AND(MATCH("SOR",$A:$A,0)&lt;_xlpm.x,MATCH("EOR",$A:$A,0)&gt;_xlpm.x))),INDIRECT("rc"&amp;MATCH("SCD",$1:$1,0),FALSE)="PPTO"),1,0)</f>
        <v>0</v>
      </c>
      <c r="AW48" s="142" cm="1">
        <f t="array" aca="1" ref="AW4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49" spans="1:49" s="153" customFormat="1" outlineLevel="2">
      <c r="A49" s="152"/>
      <c r="B49" s="401" t="str">
        <f ca="1"/>
        <v>31200</v>
      </c>
      <c r="C49" s="148"/>
      <c r="D49" s="404" t="str">
        <f ca="1"/>
        <v>TRMT</v>
      </c>
      <c r="E49" s="350" t="str" cm="1">
        <f t="array" aca="1" ref="E49" ca="1">UPPER(_xlfn.UNIQUE(_xlfn._xlws.FILTER(TbStd[OFbStd],TbStd[RowGrp]=$D49,"X")))</f>
        <v>EXPENSES MATERIAL</v>
      </c>
      <c r="F49" s="402" t="str">
        <f ca="1"/>
        <v>PPTO</v>
      </c>
      <c r="G49" s="403" cm="1">
        <f t="array" aca="1" ref="G49" ca="1">IFERROR(SUM(_xlfn._xlws.FILTER(INDIRECT(G$112),(INDIRECT($B$112)=$B49)*(INDIRECT($D$112)=$D49)*(INDIRECT($F$112)=$F49),0)),0)</f>
        <v>0</v>
      </c>
      <c r="H49" s="403" cm="1">
        <f t="array" aca="1" ref="H49" ca="1">IFERROR(SUM(_xlfn._xlws.FILTER(INDIRECT(H$112),(INDIRECT($B$112)=$B49)*(INDIRECT($D$112)=$D49)*(INDIRECT($F$112)=$F49),0)),0)</f>
        <v>0</v>
      </c>
      <c r="I49" s="403" cm="1">
        <f t="array" aca="1" ref="I49" ca="1">IFERROR(SUM(_xlfn._xlws.FILTER(INDIRECT(I$112),(INDIRECT($B$112)=$B49)*(INDIRECT($D$112)=$D49)*(INDIRECT($F$112)=$F49),0)),0)</f>
        <v>0</v>
      </c>
      <c r="J49" s="403" cm="1">
        <f t="array" aca="1" ref="J49" ca="1">IFERROR(SUM(_xlfn._xlws.FILTER(INDIRECT(J$112),(INDIRECT($B$112)=$B49)*(INDIRECT($D$112)=$D49)*(INDIRECT($F$112)=$F49),0)),0)</f>
        <v>0</v>
      </c>
      <c r="K49" s="403" cm="1">
        <f t="array" aca="1" ref="K49" ca="1">IFERROR(SUM(_xlfn._xlws.FILTER(INDIRECT(K$112),(INDIRECT($B$112)=$B49)*(INDIRECT($D$112)=$D49)*(INDIRECT($F$112)=$F49),0)),0)</f>
        <v>0</v>
      </c>
      <c r="L49" s="403" cm="1">
        <f t="array" aca="1" ref="L49" ca="1">IFERROR(SUM(_xlfn._xlws.FILTER(INDIRECT(L$112),(INDIRECT($B$112)=$B49)*(INDIRECT($D$112)=$D49)*(INDIRECT($F$112)=$F49),0)),0)</f>
        <v>0</v>
      </c>
      <c r="M49" s="403" cm="1">
        <f t="array" aca="1" ref="M49" ca="1">IFERROR(SUM(_xlfn._xlws.FILTER(INDIRECT(M$112),(INDIRECT($B$112)=$B49)*(INDIRECT($D$112)=$D49)*(INDIRECT($F$112)=$F49),0)),0)</f>
        <v>0</v>
      </c>
      <c r="N49" s="403" cm="1">
        <f t="array" aca="1" ref="N49" ca="1">IFERROR(SUM(_xlfn._xlws.FILTER(INDIRECT(N$112),(INDIRECT($B$112)=$B49)*(INDIRECT($D$112)=$D49)*(INDIRECT($F$112)=$F49),0)),0)</f>
        <v>0</v>
      </c>
      <c r="O49" s="403" cm="1">
        <f t="array" aca="1" ref="O49" ca="1">IFERROR(SUM(_xlfn._xlws.FILTER(INDIRECT(O$112),(INDIRECT($B$112)=$B49)*(INDIRECT($D$112)=$D49)*(INDIRECT($F$112)=$F49),0)),0)</f>
        <v>0</v>
      </c>
      <c r="P49" s="403" cm="1">
        <f t="array" aca="1" ref="P49" ca="1">IFERROR(SUM(_xlfn._xlws.FILTER(INDIRECT(P$112),(INDIRECT($B$112)=$B49)*(INDIRECT($D$112)=$D49)*(INDIRECT($F$112)=$F49),0)),0)</f>
        <v>0</v>
      </c>
      <c r="Q49" s="403" cm="1">
        <f t="array" aca="1" ref="Q49" ca="1">IFERROR(SUM(_xlfn._xlws.FILTER(INDIRECT(Q$112),(INDIRECT($B$112)=$B49)*(INDIRECT($D$112)=$D49)*(INDIRECT($F$112)=$F49),0)),0)</f>
        <v>0</v>
      </c>
      <c r="R49" s="403" cm="1">
        <f t="array" aca="1" ref="R49" ca="1">IFERROR(SUM(_xlfn._xlws.FILTER(INDIRECT(R$112),(INDIRECT($B$112)=$B49)*(INDIRECT($D$112)=$D49)*(INDIRECT($F$112)=$F49),0)),0)</f>
        <v>0</v>
      </c>
      <c r="S49" s="403" cm="1">
        <f t="array" aca="1" ref="S49" ca="1">IFERROR(SUM(_xlfn._xlws.FILTER(INDIRECT(S$112),(INDIRECT($B$112)=$B49)*(INDIRECT($D$112)=$D49)*(INDIRECT($F$112)=$F49),0)),0)</f>
        <v>0</v>
      </c>
      <c r="T49" s="403" cm="1">
        <f t="array" aca="1" ref="T49" ca="1">IFERROR(SUM(_xlfn._xlws.FILTER(INDIRECT(T$112),(INDIRECT($B$112)=$B49)*(INDIRECT($D$112)=$D49)*(INDIRECT($F$112)=$F49),0)),0)</f>
        <v>0</v>
      </c>
      <c r="U49" s="403" cm="1">
        <f t="array" aca="1" ref="U49" ca="1">IFERROR(SUM(_xlfn._xlws.FILTER(INDIRECT(U$112),(INDIRECT($B$112)=$B49)*(INDIRECT($D$112)=$D49)*(INDIRECT($F$112)=$F49),0)),0)</f>
        <v>0</v>
      </c>
      <c r="V49" s="403" cm="1">
        <f t="array" aca="1" ref="V49" ca="1">IFERROR(SUM(_xlfn._xlws.FILTER(INDIRECT(V$112),(INDIRECT($B$112)=$B49)*(INDIRECT($D$112)=$D49)*(INDIRECT($F$112)=$F49),0)),0)</f>
        <v>0</v>
      </c>
      <c r="W49" s="403" cm="1">
        <f t="array" aca="1" ref="W49" ca="1">IFERROR(SUM(_xlfn._xlws.FILTER(INDIRECT(W$112),(INDIRECT($B$112)=$B49)*(INDIRECT($D$112)=$D49)*(INDIRECT($F$112)=$F49),0)),0)</f>
        <v>0</v>
      </c>
      <c r="X49" s="403" cm="1">
        <f t="array" aca="1" ref="X49" ca="1">IFERROR(SUM(_xlfn._xlws.FILTER(INDIRECT(X$112),(INDIRECT($B$112)=$B49)*(INDIRECT($D$112)=$D49)*(INDIRECT($F$112)=$F49),0)),0)</f>
        <v>0</v>
      </c>
      <c r="Y49" s="403" cm="1">
        <f t="array" aca="1" ref="Y49" ca="1">IFERROR(SUM(_xlfn._xlws.FILTER(INDIRECT(Y$112),(INDIRECT($B$112)=$B49)*(INDIRECT($D$112)=$D49)*(INDIRECT($F$112)=$F49),0)),0)</f>
        <v>0</v>
      </c>
      <c r="Z49" s="403" cm="1">
        <f t="array" aca="1" ref="Z49" ca="1">IFERROR(SUM(_xlfn._xlws.FILTER(INDIRECT(Z$112),(INDIRECT($B$112)=$B49)*(INDIRECT($D$112)=$D49)*(INDIRECT($F$112)=$F49),0)),0)</f>
        <v>0</v>
      </c>
      <c r="AA49" s="403" cm="1">
        <f t="array" aca="1" ref="AA49" ca="1">IFERROR(SUM(_xlfn._xlws.FILTER(INDIRECT(AA$112),(INDIRECT($B$112)=$B49)*(INDIRECT($D$112)=$D49)*(INDIRECT($F$112)=$F49),0)),0)</f>
        <v>0</v>
      </c>
      <c r="AB49" s="403" cm="1">
        <f t="array" aca="1" ref="AB49" ca="1">IFERROR(SUM(_xlfn._xlws.FILTER(INDIRECT(AB$112),(INDIRECT($B$112)=$B49)*(INDIRECT($D$112)=$D49)*(INDIRECT($F$112)=$F49),0)),0)</f>
        <v>0</v>
      </c>
      <c r="AC49" s="403" cm="1">
        <f t="array" aca="1" ref="AC49" ca="1">IFERROR(SUM(_xlfn._xlws.FILTER(INDIRECT(AC$112),(INDIRECT($B$112)=$B49)*(INDIRECT($D$112)=$D49)*(INDIRECT($F$112)=$F49),0)),0)</f>
        <v>0</v>
      </c>
      <c r="AD49" s="403" cm="1">
        <f t="array" aca="1" ref="AD49" ca="1">IFERROR(SUM(_xlfn._xlws.FILTER(INDIRECT(AD$112),(INDIRECT($B$112)=$B49)*(INDIRECT($D$112)=$D49)*(INDIRECT($F$112)=$F49),0)),0)</f>
        <v>0</v>
      </c>
      <c r="AE49" s="403" cm="1">
        <f t="array" aca="1" ref="AE49" ca="1">IFERROR(SUM(_xlfn._xlws.FILTER(INDIRECT(AE$112),(INDIRECT($B$112)=$B49)*(INDIRECT($D$112)=$D49)*(INDIRECT($F$112)=$F49),0)),0)</f>
        <v>0</v>
      </c>
      <c r="AF49" s="403" cm="1">
        <f t="array" aca="1" ref="AF49" ca="1">IFERROR(SUM(_xlfn._xlws.FILTER(INDIRECT(AF$112),(INDIRECT($B$112)=$B49)*(INDIRECT($D$112)=$D49)*(INDIRECT($F$112)=$F49),0)),0)</f>
        <v>0</v>
      </c>
      <c r="AG49" s="403" cm="1">
        <f t="array" aca="1" ref="AG49" ca="1">IFERROR(SUM(_xlfn._xlws.FILTER(INDIRECT(AG$112),(INDIRECT($B$112)=$B49)*(INDIRECT($D$112)=$D49)*(INDIRECT($F$112)=$F49),0)),0)</f>
        <v>0</v>
      </c>
      <c r="AH49" s="403" cm="1">
        <f t="array" aca="1" ref="AH49" ca="1">IFERROR(SUM(_xlfn._xlws.FILTER(INDIRECT(AH$112),(INDIRECT($B$112)=$B49)*(INDIRECT($D$112)=$D49)*(INDIRECT($F$112)=$F49),0)),0)</f>
        <v>0</v>
      </c>
      <c r="AI49" s="403" cm="1">
        <f t="array" aca="1" ref="AI49" ca="1">IFERROR(SUM(_xlfn._xlws.FILTER(INDIRECT(AI$112),(INDIRECT($B$112)=$B49)*(INDIRECT($D$112)=$D49)*(INDIRECT($F$112)=$F49),0)),0)</f>
        <v>0</v>
      </c>
      <c r="AJ49" s="403" cm="1">
        <f t="array" aca="1" ref="AJ49" ca="1">IFERROR(SUM(_xlfn._xlws.FILTER(INDIRECT(AJ$112),(INDIRECT($B$112)=$B49)*(INDIRECT($D$112)=$D49)*(INDIRECT($F$112)=$F49),0)),0)</f>
        <v>0</v>
      </c>
      <c r="AK49" s="403" cm="1">
        <f t="array" aca="1" ref="AK49" ca="1">IFERROR(SUM(_xlfn._xlws.FILTER(INDIRECT(AK$112),(INDIRECT($B$112)=$B49)*(INDIRECT($D$112)=$D49)*(INDIRECT($F$112)=$F49),0)),0)</f>
        <v>0</v>
      </c>
      <c r="AL49" s="403" cm="1">
        <f t="array" aca="1" ref="AL49" ca="1">IFERROR(SUM(_xlfn._xlws.FILTER(INDIRECT(AL$112),(INDIRECT($B$112)=$B49)*(INDIRECT($D$112)=$D49)*(INDIRECT($F$112)=$F49),0)),0)</f>
        <v>0</v>
      </c>
      <c r="AM49" s="403" cm="1">
        <f t="array" aca="1" ref="AM49" ca="1">IFERROR(SUM(_xlfn._xlws.FILTER(INDIRECT(AM$112),(INDIRECT($B$112)=$B49)*(INDIRECT($D$112)=$D49)*(INDIRECT($F$112)=$F49),0)),0)</f>
        <v>0</v>
      </c>
      <c r="AN49" s="403" cm="1">
        <f t="array" aca="1" ref="AN49" ca="1">IFERROR(SUM(_xlfn._xlws.FILTER(INDIRECT(AN$112),(INDIRECT($B$112)=$B49)*(INDIRECT($D$112)=$D49)*(INDIRECT($F$112)=$F49),0)),0)</f>
        <v>0</v>
      </c>
      <c r="AO49" s="403" cm="1">
        <f t="array" aca="1" ref="AO49" ca="1">IFERROR(SUM(_xlfn._xlws.FILTER(INDIRECT(AO$112),(INDIRECT($B$112)=$B49)*(INDIRECT($D$112)=$D49)*(INDIRECT($F$112)=$F49),0)),0)</f>
        <v>0</v>
      </c>
      <c r="AP49" s="403" cm="1">
        <f t="array" aca="1" ref="AP49" ca="1">IFERROR(SUM(_xlfn._xlws.FILTER(INDIRECT(AP$112),(INDIRECT($B$112)=$B49)*(INDIRECT($D$112)=$D49)*(INDIRECT($F$112)=$F49),0)),0)</f>
        <v>117376.5405</v>
      </c>
      <c r="AQ49" s="403" cm="1">
        <f t="array" aca="1" ref="AQ49" ca="1">IFERROR(SUM(_xlfn._xlws.FILTER(INDIRECT(AQ$112),(INDIRECT($B$112)=$B49)*(INDIRECT($D$112)=$D49)*(INDIRECT($F$112)=$F49),0)),0)</f>
        <v>0</v>
      </c>
      <c r="AR49" s="403" cm="1">
        <f t="array" aca="1" ref="AR49" ca="1">IFERROR(SUM(_xlfn._xlws.FILTER(INDIRECT(AR$112),(INDIRECT($B$112)=$B49)*(INDIRECT($D$112)=$D49)*(INDIRECT($F$112)=$F49),0)),0)</f>
        <v>117376.5405</v>
      </c>
      <c r="AS49" s="286" t="str">
        <f t="shared" ca="1" si="4"/>
        <v>G49:AP49</v>
      </c>
      <c r="AT49" s="403">
        <f t="shared" ca="1" si="3"/>
        <v>117376.5405</v>
      </c>
      <c r="AV49" s="142" cm="1">
        <f t="array" aca="1" ref="AV49" ca="1">IF(AND(_xlfn.LET(_xlpm.x,SUM(ROW()),OR(AND(MATCH("SOT",$A:$A,0)&lt;_xlpm.x,MATCH("EOT",$A:$A,0)&gt;_xlpm.x),AND(MATCH("SOS",$A:$A,0)&lt;_xlpm.x,MATCH("EOS",$A:$A,0)&gt;_xlpm.x),AND(MATCH("SOR",$A:$A,0)&lt;_xlpm.x,MATCH("EOR",$A:$A,0)&gt;_xlpm.x))),INDIRECT("rc"&amp;MATCH("SCD",$1:$1,0),FALSE)="PPTO"),1,0)</f>
        <v>1</v>
      </c>
      <c r="AW49" s="142" cm="1">
        <f t="array" aca="1" ref="AW4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50" spans="1:49" s="153" customFormat="1" outlineLevel="2">
      <c r="A50" s="152"/>
      <c r="B50" s="401" t="str">
        <f ca="1"/>
        <v>31200</v>
      </c>
      <c r="C50" s="148"/>
      <c r="D50" s="404" t="str">
        <f ca="1"/>
        <v>TRMT</v>
      </c>
      <c r="E50" s="350" t="str" cm="1">
        <f t="array" aca="1" ref="E50" ca="1">UPPER(_xlfn.UNIQUE(_xlfn._xlws.FILTER(TbStd[OFbStd],TbStd[RowGrp]=$D50,"X")))</f>
        <v>EXPENSES MATERIAL</v>
      </c>
      <c r="F50" s="402" t="str">
        <f ca="1"/>
        <v>PREV</v>
      </c>
      <c r="G50" s="403" cm="1">
        <f t="array" aca="1" ref="G50" ca="1">IFERROR(SUM(_xlfn._xlws.FILTER(INDIRECT(G$112),(INDIRECT($B$112)=$B50)*(INDIRECT($D$112)=$D50)*(INDIRECT($F$112)=$F50),0)),0)</f>
        <v>0</v>
      </c>
      <c r="H50" s="403" cm="1">
        <f t="array" aca="1" ref="H50" ca="1">IFERROR(SUM(_xlfn._xlws.FILTER(INDIRECT(H$112),(INDIRECT($B$112)=$B50)*(INDIRECT($D$112)=$D50)*(INDIRECT($F$112)=$F50),0)),0)</f>
        <v>0</v>
      </c>
      <c r="I50" s="403" cm="1">
        <f t="array" aca="1" ref="I50" ca="1">IFERROR(SUM(_xlfn._xlws.FILTER(INDIRECT(I$112),(INDIRECT($B$112)=$B50)*(INDIRECT($D$112)=$D50)*(INDIRECT($F$112)=$F50),0)),0)</f>
        <v>0</v>
      </c>
      <c r="J50" s="403" cm="1">
        <f t="array" aca="1" ref="J50" ca="1">IFERROR(SUM(_xlfn._xlws.FILTER(INDIRECT(J$112),(INDIRECT($B$112)=$B50)*(INDIRECT($D$112)=$D50)*(INDIRECT($F$112)=$F50),0)),0)</f>
        <v>0</v>
      </c>
      <c r="K50" s="403" cm="1">
        <f t="array" aca="1" ref="K50" ca="1">IFERROR(SUM(_xlfn._xlws.FILTER(INDIRECT(K$112),(INDIRECT($B$112)=$B50)*(INDIRECT($D$112)=$D50)*(INDIRECT($F$112)=$F50),0)),0)</f>
        <v>0</v>
      </c>
      <c r="L50" s="403" cm="1">
        <f t="array" aca="1" ref="L50" ca="1">IFERROR(SUM(_xlfn._xlws.FILTER(INDIRECT(L$112),(INDIRECT($B$112)=$B50)*(INDIRECT($D$112)=$D50)*(INDIRECT($F$112)=$F50),0)),0)</f>
        <v>0</v>
      </c>
      <c r="M50" s="403" cm="1">
        <f t="array" aca="1" ref="M50" ca="1">IFERROR(SUM(_xlfn._xlws.FILTER(INDIRECT(M$112),(INDIRECT($B$112)=$B50)*(INDIRECT($D$112)=$D50)*(INDIRECT($F$112)=$F50),0)),0)</f>
        <v>0</v>
      </c>
      <c r="N50" s="403" cm="1">
        <f t="array" aca="1" ref="N50" ca="1">IFERROR(SUM(_xlfn._xlws.FILTER(INDIRECT(N$112),(INDIRECT($B$112)=$B50)*(INDIRECT($D$112)=$D50)*(INDIRECT($F$112)=$F50),0)),0)</f>
        <v>0</v>
      </c>
      <c r="O50" s="403" cm="1">
        <f t="array" aca="1" ref="O50" ca="1">IFERROR(SUM(_xlfn._xlws.FILTER(INDIRECT(O$112),(INDIRECT($B$112)=$B50)*(INDIRECT($D$112)=$D50)*(INDIRECT($F$112)=$F50),0)),0)</f>
        <v>0</v>
      </c>
      <c r="P50" s="403" cm="1">
        <f t="array" aca="1" ref="P50" ca="1">IFERROR(SUM(_xlfn._xlws.FILTER(INDIRECT(P$112),(INDIRECT($B$112)=$B50)*(INDIRECT($D$112)=$D50)*(INDIRECT($F$112)=$F50),0)),0)</f>
        <v>0</v>
      </c>
      <c r="Q50" s="403" cm="1">
        <f t="array" aca="1" ref="Q50" ca="1">IFERROR(SUM(_xlfn._xlws.FILTER(INDIRECT(Q$112),(INDIRECT($B$112)=$B50)*(INDIRECT($D$112)=$D50)*(INDIRECT($F$112)=$F50),0)),0)</f>
        <v>0</v>
      </c>
      <c r="R50" s="403" cm="1">
        <f t="array" aca="1" ref="R50" ca="1">IFERROR(SUM(_xlfn._xlws.FILTER(INDIRECT(R$112),(INDIRECT($B$112)=$B50)*(INDIRECT($D$112)=$D50)*(INDIRECT($F$112)=$F50),0)),0)</f>
        <v>0</v>
      </c>
      <c r="S50" s="403" cm="1">
        <f t="array" aca="1" ref="S50" ca="1">IFERROR(SUM(_xlfn._xlws.FILTER(INDIRECT(S$112),(INDIRECT($B$112)=$B50)*(INDIRECT($D$112)=$D50)*(INDIRECT($F$112)=$F50),0)),0)</f>
        <v>0</v>
      </c>
      <c r="T50" s="403" cm="1">
        <f t="array" aca="1" ref="T50" ca="1">IFERROR(SUM(_xlfn._xlws.FILTER(INDIRECT(T$112),(INDIRECT($B$112)=$B50)*(INDIRECT($D$112)=$D50)*(INDIRECT($F$112)=$F50),0)),0)</f>
        <v>0</v>
      </c>
      <c r="U50" s="403" cm="1">
        <f t="array" aca="1" ref="U50" ca="1">IFERROR(SUM(_xlfn._xlws.FILTER(INDIRECT(U$112),(INDIRECT($B$112)=$B50)*(INDIRECT($D$112)=$D50)*(INDIRECT($F$112)=$F50),0)),0)</f>
        <v>0</v>
      </c>
      <c r="V50" s="403" cm="1">
        <f t="array" aca="1" ref="V50" ca="1">IFERROR(SUM(_xlfn._xlws.FILTER(INDIRECT(V$112),(INDIRECT($B$112)=$B50)*(INDIRECT($D$112)=$D50)*(INDIRECT($F$112)=$F50),0)),0)</f>
        <v>0</v>
      </c>
      <c r="W50" s="403" cm="1">
        <f t="array" aca="1" ref="W50" ca="1">IFERROR(SUM(_xlfn._xlws.FILTER(INDIRECT(W$112),(INDIRECT($B$112)=$B50)*(INDIRECT($D$112)=$D50)*(INDIRECT($F$112)=$F50),0)),0)</f>
        <v>0</v>
      </c>
      <c r="X50" s="403" cm="1">
        <f t="array" aca="1" ref="X50" ca="1">IFERROR(SUM(_xlfn._xlws.FILTER(INDIRECT(X$112),(INDIRECT($B$112)=$B50)*(INDIRECT($D$112)=$D50)*(INDIRECT($F$112)=$F50),0)),0)</f>
        <v>0</v>
      </c>
      <c r="Y50" s="403" cm="1">
        <f t="array" aca="1" ref="Y50" ca="1">IFERROR(SUM(_xlfn._xlws.FILTER(INDIRECT(Y$112),(INDIRECT($B$112)=$B50)*(INDIRECT($D$112)=$D50)*(INDIRECT($F$112)=$F50),0)),0)</f>
        <v>0</v>
      </c>
      <c r="Z50" s="403" cm="1">
        <f t="array" aca="1" ref="Z50" ca="1">IFERROR(SUM(_xlfn._xlws.FILTER(INDIRECT(Z$112),(INDIRECT($B$112)=$B50)*(INDIRECT($D$112)=$D50)*(INDIRECT($F$112)=$F50),0)),0)</f>
        <v>0</v>
      </c>
      <c r="AA50" s="403" cm="1">
        <f t="array" aca="1" ref="AA50" ca="1">IFERROR(SUM(_xlfn._xlws.FILTER(INDIRECT(AA$112),(INDIRECT($B$112)=$B50)*(INDIRECT($D$112)=$D50)*(INDIRECT($F$112)=$F50),0)),0)</f>
        <v>0</v>
      </c>
      <c r="AB50" s="403" cm="1">
        <f t="array" aca="1" ref="AB50" ca="1">IFERROR(SUM(_xlfn._xlws.FILTER(INDIRECT(AB$112),(INDIRECT($B$112)=$B50)*(INDIRECT($D$112)=$D50)*(INDIRECT($F$112)=$F50),0)),0)</f>
        <v>0</v>
      </c>
      <c r="AC50" s="403" cm="1">
        <f t="array" aca="1" ref="AC50" ca="1">IFERROR(SUM(_xlfn._xlws.FILTER(INDIRECT(AC$112),(INDIRECT($B$112)=$B50)*(INDIRECT($D$112)=$D50)*(INDIRECT($F$112)=$F50),0)),0)</f>
        <v>0</v>
      </c>
      <c r="AD50" s="403" cm="1">
        <f t="array" aca="1" ref="AD50" ca="1">IFERROR(SUM(_xlfn._xlws.FILTER(INDIRECT(AD$112),(INDIRECT($B$112)=$B50)*(INDIRECT($D$112)=$D50)*(INDIRECT($F$112)=$F50),0)),0)</f>
        <v>0</v>
      </c>
      <c r="AE50" s="403" cm="1">
        <f t="array" aca="1" ref="AE50" ca="1">IFERROR(SUM(_xlfn._xlws.FILTER(INDIRECT(AE$112),(INDIRECT($B$112)=$B50)*(INDIRECT($D$112)=$D50)*(INDIRECT($F$112)=$F50),0)),0)</f>
        <v>0</v>
      </c>
      <c r="AF50" s="403" cm="1">
        <f t="array" aca="1" ref="AF50" ca="1">IFERROR(SUM(_xlfn._xlws.FILTER(INDIRECT(AF$112),(INDIRECT($B$112)=$B50)*(INDIRECT($D$112)=$D50)*(INDIRECT($F$112)=$F50),0)),0)</f>
        <v>0</v>
      </c>
      <c r="AG50" s="403" cm="1">
        <f t="array" aca="1" ref="AG50" ca="1">IFERROR(SUM(_xlfn._xlws.FILTER(INDIRECT(AG$112),(INDIRECT($B$112)=$B50)*(INDIRECT($D$112)=$D50)*(INDIRECT($F$112)=$F50),0)),0)</f>
        <v>0</v>
      </c>
      <c r="AH50" s="403" cm="1">
        <f t="array" aca="1" ref="AH50" ca="1">IFERROR(SUM(_xlfn._xlws.FILTER(INDIRECT(AH$112),(INDIRECT($B$112)=$B50)*(INDIRECT($D$112)=$D50)*(INDIRECT($F$112)=$F50),0)),0)</f>
        <v>0</v>
      </c>
      <c r="AI50" s="403" cm="1">
        <f t="array" aca="1" ref="AI50" ca="1">IFERROR(SUM(_xlfn._xlws.FILTER(INDIRECT(AI$112),(INDIRECT($B$112)=$B50)*(INDIRECT($D$112)=$D50)*(INDIRECT($F$112)=$F50),0)),0)</f>
        <v>0</v>
      </c>
      <c r="AJ50" s="403" cm="1">
        <f t="array" aca="1" ref="AJ50" ca="1">IFERROR(SUM(_xlfn._xlws.FILTER(INDIRECT(AJ$112),(INDIRECT($B$112)=$B50)*(INDIRECT($D$112)=$D50)*(INDIRECT($F$112)=$F50),0)),0)</f>
        <v>0</v>
      </c>
      <c r="AK50" s="403" cm="1">
        <f t="array" aca="1" ref="AK50" ca="1">IFERROR(SUM(_xlfn._xlws.FILTER(INDIRECT(AK$112),(INDIRECT($B$112)=$B50)*(INDIRECT($D$112)=$D50)*(INDIRECT($F$112)=$F50),0)),0)</f>
        <v>0</v>
      </c>
      <c r="AL50" s="403" cm="1">
        <f t="array" aca="1" ref="AL50" ca="1">IFERROR(SUM(_xlfn._xlws.FILTER(INDIRECT(AL$112),(INDIRECT($B$112)=$B50)*(INDIRECT($D$112)=$D50)*(INDIRECT($F$112)=$F50),0)),0)</f>
        <v>0</v>
      </c>
      <c r="AM50" s="403" cm="1">
        <f t="array" aca="1" ref="AM50" ca="1">IFERROR(SUM(_xlfn._xlws.FILTER(INDIRECT(AM$112),(INDIRECT($B$112)=$B50)*(INDIRECT($D$112)=$D50)*(INDIRECT($F$112)=$F50),0)),0)</f>
        <v>0</v>
      </c>
      <c r="AN50" s="403" cm="1">
        <f t="array" aca="1" ref="AN50" ca="1">IFERROR(SUM(_xlfn._xlws.FILTER(INDIRECT(AN$112),(INDIRECT($B$112)=$B50)*(INDIRECT($D$112)=$D50)*(INDIRECT($F$112)=$F50),0)),0)</f>
        <v>0</v>
      </c>
      <c r="AO50" s="403" cm="1">
        <f t="array" aca="1" ref="AO50" ca="1">IFERROR(SUM(_xlfn._xlws.FILTER(INDIRECT(AO$112),(INDIRECT($B$112)=$B50)*(INDIRECT($D$112)=$D50)*(INDIRECT($F$112)=$F50),0)),0)</f>
        <v>0</v>
      </c>
      <c r="AP50" s="403" cm="1">
        <f t="array" aca="1" ref="AP50" ca="1">IFERROR(SUM(_xlfn._xlws.FILTER(INDIRECT(AP$112),(INDIRECT($B$112)=$B50)*(INDIRECT($D$112)=$D50)*(INDIRECT($F$112)=$F50),0)),0)</f>
        <v>70000</v>
      </c>
      <c r="AQ50" s="403" cm="1">
        <f t="array" aca="1" ref="AQ50" ca="1">IFERROR(SUM(_xlfn._xlws.FILTER(INDIRECT(AQ$112),(INDIRECT($B$112)=$B50)*(INDIRECT($D$112)=$D50)*(INDIRECT($F$112)=$F50),0)),0)</f>
        <v>0</v>
      </c>
      <c r="AR50" s="403" cm="1">
        <f t="array" aca="1" ref="AR50" ca="1">IFERROR(SUM(_xlfn._xlws.FILTER(INDIRECT(AR$112),(INDIRECT($B$112)=$B50)*(INDIRECT($D$112)=$D50)*(INDIRECT($F$112)=$F50),0)),0)</f>
        <v>70000</v>
      </c>
      <c r="AS50" s="286" t="str">
        <f t="shared" ca="1" si="4"/>
        <v>G50:AP50</v>
      </c>
      <c r="AT50" s="403">
        <f t="shared" ca="1" si="3"/>
        <v>70000</v>
      </c>
      <c r="AV50" s="142" cm="1">
        <f t="array" aca="1" ref="AV50" ca="1">IF(AND(_xlfn.LET(_xlpm.x,SUM(ROW()),OR(AND(MATCH("SOT",$A:$A,0)&lt;_xlpm.x,MATCH("EOT",$A:$A,0)&gt;_xlpm.x),AND(MATCH("SOS",$A:$A,0)&lt;_xlpm.x,MATCH("EOS",$A:$A,0)&gt;_xlpm.x),AND(MATCH("SOR",$A:$A,0)&lt;_xlpm.x,MATCH("EOR",$A:$A,0)&gt;_xlpm.x))),INDIRECT("rc"&amp;MATCH("SCD",$1:$1,0),FALSE)="PPTO"),1,0)</f>
        <v>0</v>
      </c>
      <c r="AW50" s="142" cm="1">
        <f t="array" aca="1" ref="AW5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51" spans="1:49" s="153" customFormat="1" outlineLevel="2">
      <c r="A51" s="152"/>
      <c r="B51" s="401" t="str">
        <f ca="1"/>
        <v>31200</v>
      </c>
      <c r="C51" s="148"/>
      <c r="D51" s="404" t="str">
        <f ca="1"/>
        <v>TRMT</v>
      </c>
      <c r="E51" s="350" t="str" cm="1">
        <f t="array" aca="1" ref="E51" ca="1">UPPER(_xlfn.UNIQUE(_xlfn._xlws.FILTER(TbStd[OFbStd],TbStd[RowGrp]=$D51,"X")))</f>
        <v>EXPENSES MATERIAL</v>
      </c>
      <c r="F51" s="402" t="str">
        <f ca="1"/>
        <v>REAL</v>
      </c>
      <c r="G51" s="403" cm="1">
        <f t="array" aca="1" ref="G51" ca="1">IFERROR(SUM(_xlfn._xlws.FILTER(INDIRECT(G$112),(INDIRECT($B$112)=$B51)*(INDIRECT($D$112)=$D51)*(INDIRECT($F$112)=$F51),0)),0)</f>
        <v>0</v>
      </c>
      <c r="H51" s="403" cm="1">
        <f t="array" aca="1" ref="H51" ca="1">IFERROR(SUM(_xlfn._xlws.FILTER(INDIRECT(H$112),(INDIRECT($B$112)=$B51)*(INDIRECT($D$112)=$D51)*(INDIRECT($F$112)=$F51),0)),0)</f>
        <v>0</v>
      </c>
      <c r="I51" s="403" cm="1">
        <f t="array" aca="1" ref="I51" ca="1">IFERROR(SUM(_xlfn._xlws.FILTER(INDIRECT(I$112),(INDIRECT($B$112)=$B51)*(INDIRECT($D$112)=$D51)*(INDIRECT($F$112)=$F51),0)),0)</f>
        <v>0</v>
      </c>
      <c r="J51" s="403" cm="1">
        <f t="array" aca="1" ref="J51" ca="1">IFERROR(SUM(_xlfn._xlws.FILTER(INDIRECT(J$112),(INDIRECT($B$112)=$B51)*(INDIRECT($D$112)=$D51)*(INDIRECT($F$112)=$F51),0)),0)</f>
        <v>0</v>
      </c>
      <c r="K51" s="403" cm="1">
        <f t="array" aca="1" ref="K51" ca="1">IFERROR(SUM(_xlfn._xlws.FILTER(INDIRECT(K$112),(INDIRECT($B$112)=$B51)*(INDIRECT($D$112)=$D51)*(INDIRECT($F$112)=$F51),0)),0)</f>
        <v>0</v>
      </c>
      <c r="L51" s="403" cm="1">
        <f t="array" aca="1" ref="L51" ca="1">IFERROR(SUM(_xlfn._xlws.FILTER(INDIRECT(L$112),(INDIRECT($B$112)=$B51)*(INDIRECT($D$112)=$D51)*(INDIRECT($F$112)=$F51),0)),0)</f>
        <v>0</v>
      </c>
      <c r="M51" s="403" cm="1">
        <f t="array" aca="1" ref="M51" ca="1">IFERROR(SUM(_xlfn._xlws.FILTER(INDIRECT(M$112),(INDIRECT($B$112)=$B51)*(INDIRECT($D$112)=$D51)*(INDIRECT($F$112)=$F51),0)),0)</f>
        <v>0</v>
      </c>
      <c r="N51" s="403" cm="1">
        <f t="array" aca="1" ref="N51" ca="1">IFERROR(SUM(_xlfn._xlws.FILTER(INDIRECT(N$112),(INDIRECT($B$112)=$B51)*(INDIRECT($D$112)=$D51)*(INDIRECT($F$112)=$F51),0)),0)</f>
        <v>0</v>
      </c>
      <c r="O51" s="403" cm="1">
        <f t="array" aca="1" ref="O51" ca="1">IFERROR(SUM(_xlfn._xlws.FILTER(INDIRECT(O$112),(INDIRECT($B$112)=$B51)*(INDIRECT($D$112)=$D51)*(INDIRECT($F$112)=$F51),0)),0)</f>
        <v>0</v>
      </c>
      <c r="P51" s="403" cm="1">
        <f t="array" aca="1" ref="P51" ca="1">IFERROR(SUM(_xlfn._xlws.FILTER(INDIRECT(P$112),(INDIRECT($B$112)=$B51)*(INDIRECT($D$112)=$D51)*(INDIRECT($F$112)=$F51),0)),0)</f>
        <v>0</v>
      </c>
      <c r="Q51" s="403" cm="1">
        <f t="array" aca="1" ref="Q51" ca="1">IFERROR(SUM(_xlfn._xlws.FILTER(INDIRECT(Q$112),(INDIRECT($B$112)=$B51)*(INDIRECT($D$112)=$D51)*(INDIRECT($F$112)=$F51),0)),0)</f>
        <v>0</v>
      </c>
      <c r="R51" s="403" cm="1">
        <f t="array" aca="1" ref="R51" ca="1">IFERROR(SUM(_xlfn._xlws.FILTER(INDIRECT(R$112),(INDIRECT($B$112)=$B51)*(INDIRECT($D$112)=$D51)*(INDIRECT($F$112)=$F51),0)),0)</f>
        <v>0</v>
      </c>
      <c r="S51" s="403" cm="1">
        <f t="array" aca="1" ref="S51" ca="1">IFERROR(SUM(_xlfn._xlws.FILTER(INDIRECT(S$112),(INDIRECT($B$112)=$B51)*(INDIRECT($D$112)=$D51)*(INDIRECT($F$112)=$F51),0)),0)</f>
        <v>0</v>
      </c>
      <c r="T51" s="403" cm="1">
        <f t="array" aca="1" ref="T51" ca="1">IFERROR(SUM(_xlfn._xlws.FILTER(INDIRECT(T$112),(INDIRECT($B$112)=$B51)*(INDIRECT($D$112)=$D51)*(INDIRECT($F$112)=$F51),0)),0)</f>
        <v>0</v>
      </c>
      <c r="U51" s="403" cm="1">
        <f t="array" aca="1" ref="U51" ca="1">IFERROR(SUM(_xlfn._xlws.FILTER(INDIRECT(U$112),(INDIRECT($B$112)=$B51)*(INDIRECT($D$112)=$D51)*(INDIRECT($F$112)=$F51),0)),0)</f>
        <v>0</v>
      </c>
      <c r="V51" s="403" cm="1">
        <f t="array" aca="1" ref="V51" ca="1">IFERROR(SUM(_xlfn._xlws.FILTER(INDIRECT(V$112),(INDIRECT($B$112)=$B51)*(INDIRECT($D$112)=$D51)*(INDIRECT($F$112)=$F51),0)),0)</f>
        <v>0</v>
      </c>
      <c r="W51" s="403" cm="1">
        <f t="array" aca="1" ref="W51" ca="1">IFERROR(SUM(_xlfn._xlws.FILTER(INDIRECT(W$112),(INDIRECT($B$112)=$B51)*(INDIRECT($D$112)=$D51)*(INDIRECT($F$112)=$F51),0)),0)</f>
        <v>0</v>
      </c>
      <c r="X51" s="403" cm="1">
        <f t="array" aca="1" ref="X51" ca="1">IFERROR(SUM(_xlfn._xlws.FILTER(INDIRECT(X$112),(INDIRECT($B$112)=$B51)*(INDIRECT($D$112)=$D51)*(INDIRECT($F$112)=$F51),0)),0)</f>
        <v>0</v>
      </c>
      <c r="Y51" s="403" cm="1">
        <f t="array" aca="1" ref="Y51" ca="1">IFERROR(SUM(_xlfn._xlws.FILTER(INDIRECT(Y$112),(INDIRECT($B$112)=$B51)*(INDIRECT($D$112)=$D51)*(INDIRECT($F$112)=$F51),0)),0)</f>
        <v>0</v>
      </c>
      <c r="Z51" s="403" cm="1">
        <f t="array" aca="1" ref="Z51" ca="1">IFERROR(SUM(_xlfn._xlws.FILTER(INDIRECT(Z$112),(INDIRECT($B$112)=$B51)*(INDIRECT($D$112)=$D51)*(INDIRECT($F$112)=$F51),0)),0)</f>
        <v>0</v>
      </c>
      <c r="AA51" s="403" cm="1">
        <f t="array" aca="1" ref="AA51" ca="1">IFERROR(SUM(_xlfn._xlws.FILTER(INDIRECT(AA$112),(INDIRECT($B$112)=$B51)*(INDIRECT($D$112)=$D51)*(INDIRECT($F$112)=$F51),0)),0)</f>
        <v>0</v>
      </c>
      <c r="AB51" s="403" cm="1">
        <f t="array" aca="1" ref="AB51" ca="1">IFERROR(SUM(_xlfn._xlws.FILTER(INDIRECT(AB$112),(INDIRECT($B$112)=$B51)*(INDIRECT($D$112)=$D51)*(INDIRECT($F$112)=$F51),0)),0)</f>
        <v>0</v>
      </c>
      <c r="AC51" s="403" cm="1">
        <f t="array" aca="1" ref="AC51" ca="1">IFERROR(SUM(_xlfn._xlws.FILTER(INDIRECT(AC$112),(INDIRECT($B$112)=$B51)*(INDIRECT($D$112)=$D51)*(INDIRECT($F$112)=$F51),0)),0)</f>
        <v>0</v>
      </c>
      <c r="AD51" s="403" cm="1">
        <f t="array" aca="1" ref="AD51" ca="1">IFERROR(SUM(_xlfn._xlws.FILTER(INDIRECT(AD$112),(INDIRECT($B$112)=$B51)*(INDIRECT($D$112)=$D51)*(INDIRECT($F$112)=$F51),0)),0)</f>
        <v>0</v>
      </c>
      <c r="AE51" s="403" cm="1">
        <f t="array" aca="1" ref="AE51" ca="1">IFERROR(SUM(_xlfn._xlws.FILTER(INDIRECT(AE$112),(INDIRECT($B$112)=$B51)*(INDIRECT($D$112)=$D51)*(INDIRECT($F$112)=$F51),0)),0)</f>
        <v>0</v>
      </c>
      <c r="AF51" s="403" cm="1">
        <f t="array" aca="1" ref="AF51" ca="1">IFERROR(SUM(_xlfn._xlws.FILTER(INDIRECT(AF$112),(INDIRECT($B$112)=$B51)*(INDIRECT($D$112)=$D51)*(INDIRECT($F$112)=$F51),0)),0)</f>
        <v>0</v>
      </c>
      <c r="AG51" s="403" cm="1">
        <f t="array" aca="1" ref="AG51" ca="1">IFERROR(SUM(_xlfn._xlws.FILTER(INDIRECT(AG$112),(INDIRECT($B$112)=$B51)*(INDIRECT($D$112)=$D51)*(INDIRECT($F$112)=$F51),0)),0)</f>
        <v>0</v>
      </c>
      <c r="AH51" s="403" cm="1">
        <f t="array" aca="1" ref="AH51" ca="1">IFERROR(SUM(_xlfn._xlws.FILTER(INDIRECT(AH$112),(INDIRECT($B$112)=$B51)*(INDIRECT($D$112)=$D51)*(INDIRECT($F$112)=$F51),0)),0)</f>
        <v>0</v>
      </c>
      <c r="AI51" s="403" cm="1">
        <f t="array" aca="1" ref="AI51" ca="1">IFERROR(SUM(_xlfn._xlws.FILTER(INDIRECT(AI$112),(INDIRECT($B$112)=$B51)*(INDIRECT($D$112)=$D51)*(INDIRECT($F$112)=$F51),0)),0)</f>
        <v>0</v>
      </c>
      <c r="AJ51" s="403" cm="1">
        <f t="array" aca="1" ref="AJ51" ca="1">IFERROR(SUM(_xlfn._xlws.FILTER(INDIRECT(AJ$112),(INDIRECT($B$112)=$B51)*(INDIRECT($D$112)=$D51)*(INDIRECT($F$112)=$F51),0)),0)</f>
        <v>0</v>
      </c>
      <c r="AK51" s="403" cm="1">
        <f t="array" aca="1" ref="AK51" ca="1">IFERROR(SUM(_xlfn._xlws.FILTER(INDIRECT(AK$112),(INDIRECT($B$112)=$B51)*(INDIRECT($D$112)=$D51)*(INDIRECT($F$112)=$F51),0)),0)</f>
        <v>0</v>
      </c>
      <c r="AL51" s="403" cm="1">
        <f t="array" aca="1" ref="AL51" ca="1">IFERROR(SUM(_xlfn._xlws.FILTER(INDIRECT(AL$112),(INDIRECT($B$112)=$B51)*(INDIRECT($D$112)=$D51)*(INDIRECT($F$112)=$F51),0)),0)</f>
        <v>0</v>
      </c>
      <c r="AM51" s="403" cm="1">
        <f t="array" aca="1" ref="AM51" ca="1">IFERROR(SUM(_xlfn._xlws.FILTER(INDIRECT(AM$112),(INDIRECT($B$112)=$B51)*(INDIRECT($D$112)=$D51)*(INDIRECT($F$112)=$F51),0)),0)</f>
        <v>0</v>
      </c>
      <c r="AN51" s="403" cm="1">
        <f t="array" aca="1" ref="AN51" ca="1">IFERROR(SUM(_xlfn._xlws.FILTER(INDIRECT(AN$112),(INDIRECT($B$112)=$B51)*(INDIRECT($D$112)=$D51)*(INDIRECT($F$112)=$F51),0)),0)</f>
        <v>0</v>
      </c>
      <c r="AO51" s="403" cm="1">
        <f t="array" aca="1" ref="AO51" ca="1">IFERROR(SUM(_xlfn._xlws.FILTER(INDIRECT(AO$112),(INDIRECT($B$112)=$B51)*(INDIRECT($D$112)=$D51)*(INDIRECT($F$112)=$F51),0)),0)</f>
        <v>0</v>
      </c>
      <c r="AP51" s="403" cm="1">
        <f t="array" aca="1" ref="AP51" ca="1">IFERROR(SUM(_xlfn._xlws.FILTER(INDIRECT(AP$112),(INDIRECT($B$112)=$B51)*(INDIRECT($D$112)=$D51)*(INDIRECT($F$112)=$F51),0)),0)</f>
        <v>14594.760000000002</v>
      </c>
      <c r="AQ51" s="403" cm="1">
        <f t="array" aca="1" ref="AQ51" ca="1">IFERROR(SUM(_xlfn._xlws.FILTER(INDIRECT(AQ$112),(INDIRECT($B$112)=$B51)*(INDIRECT($D$112)=$D51)*(INDIRECT($F$112)=$F51),0)),0)</f>
        <v>0</v>
      </c>
      <c r="AR51" s="403" cm="1">
        <f t="array" aca="1" ref="AR51" ca="1">IFERROR(SUM(_xlfn._xlws.FILTER(INDIRECT(AR$112),(INDIRECT($B$112)=$B51)*(INDIRECT($D$112)=$D51)*(INDIRECT($F$112)=$F51),0)),0)</f>
        <v>14594.760000000002</v>
      </c>
      <c r="AS51" s="286" t="str">
        <f t="shared" ca="1" si="4"/>
        <v>G51:AP51</v>
      </c>
      <c r="AT51" s="403">
        <f t="shared" ca="1" si="3"/>
        <v>14594.760000000002</v>
      </c>
      <c r="AV51" s="142" cm="1">
        <f t="array" aca="1" ref="AV51" ca="1">IF(AND(_xlfn.LET(_xlpm.x,SUM(ROW()),OR(AND(MATCH("SOT",$A:$A,0)&lt;_xlpm.x,MATCH("EOT",$A:$A,0)&gt;_xlpm.x),AND(MATCH("SOS",$A:$A,0)&lt;_xlpm.x,MATCH("EOS",$A:$A,0)&gt;_xlpm.x),AND(MATCH("SOR",$A:$A,0)&lt;_xlpm.x,MATCH("EOR",$A:$A,0)&gt;_xlpm.x))),INDIRECT("rc"&amp;MATCH("SCD",$1:$1,0),FALSE)="PPTO"),1,0)</f>
        <v>0</v>
      </c>
      <c r="AW51" s="142" cm="1">
        <f t="array" aca="1" ref="AW5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52" spans="1:49" s="153" customFormat="1" outlineLevel="2">
      <c r="A52" s="152"/>
      <c r="B52" s="401" t="str">
        <f ca="1"/>
        <v>31200</v>
      </c>
      <c r="C52" s="148"/>
      <c r="D52" s="404" t="str">
        <f ca="1"/>
        <v>TRHR</v>
      </c>
      <c r="E52" s="350" t="str" cm="1">
        <f t="array" aca="1" ref="E52" ca="1">UPPER(_xlfn.UNIQUE(_xlfn._xlws.FILTER(TbStd[OFbStd],TbStd[RowGrp]=$D52,"X")))</f>
        <v>EXPENSES HOURS</v>
      </c>
      <c r="F52" s="402" t="str">
        <f ca="1"/>
        <v>PPTO</v>
      </c>
      <c r="G52" s="403" cm="1">
        <f t="array" aca="1" ref="G52" ca="1">IFERROR(SUM(_xlfn._xlws.FILTER(INDIRECT(G$112),(INDIRECT($B$112)=$B52)*(INDIRECT($D$112)=$D52)*(INDIRECT($F$112)=$F52),0)),0)</f>
        <v>0</v>
      </c>
      <c r="H52" s="403" cm="1">
        <f t="array" aca="1" ref="H52" ca="1">IFERROR(SUM(_xlfn._xlws.FILTER(INDIRECT(H$112),(INDIRECT($B$112)=$B52)*(INDIRECT($D$112)=$D52)*(INDIRECT($F$112)=$F52),0)),0)</f>
        <v>0</v>
      </c>
      <c r="I52" s="403" cm="1">
        <f t="array" aca="1" ref="I52" ca="1">IFERROR(SUM(_xlfn._xlws.FILTER(INDIRECT(I$112),(INDIRECT($B$112)=$B52)*(INDIRECT($D$112)=$D52)*(INDIRECT($F$112)=$F52),0)),0)</f>
        <v>0</v>
      </c>
      <c r="J52" s="403" cm="1">
        <f t="array" aca="1" ref="J52" ca="1">IFERROR(SUM(_xlfn._xlws.FILTER(INDIRECT(J$112),(INDIRECT($B$112)=$B52)*(INDIRECT($D$112)=$D52)*(INDIRECT($F$112)=$F52),0)),0)</f>
        <v>0</v>
      </c>
      <c r="K52" s="403" cm="1">
        <f t="array" aca="1" ref="K52" ca="1">IFERROR(SUM(_xlfn._xlws.FILTER(INDIRECT(K$112),(INDIRECT($B$112)=$B52)*(INDIRECT($D$112)=$D52)*(INDIRECT($F$112)=$F52),0)),0)</f>
        <v>0</v>
      </c>
      <c r="L52" s="403" cm="1">
        <f t="array" aca="1" ref="L52" ca="1">IFERROR(SUM(_xlfn._xlws.FILTER(INDIRECT(L$112),(INDIRECT($B$112)=$B52)*(INDIRECT($D$112)=$D52)*(INDIRECT($F$112)=$F52),0)),0)</f>
        <v>0</v>
      </c>
      <c r="M52" s="403" cm="1">
        <f t="array" aca="1" ref="M52" ca="1">IFERROR(SUM(_xlfn._xlws.FILTER(INDIRECT(M$112),(INDIRECT($B$112)=$B52)*(INDIRECT($D$112)=$D52)*(INDIRECT($F$112)=$F52),0)),0)</f>
        <v>0</v>
      </c>
      <c r="N52" s="403" cm="1">
        <f t="array" aca="1" ref="N52" ca="1">IFERROR(SUM(_xlfn._xlws.FILTER(INDIRECT(N$112),(INDIRECT($B$112)=$B52)*(INDIRECT($D$112)=$D52)*(INDIRECT($F$112)=$F52),0)),0)</f>
        <v>0</v>
      </c>
      <c r="O52" s="403" cm="1">
        <f t="array" aca="1" ref="O52" ca="1">IFERROR(SUM(_xlfn._xlws.FILTER(INDIRECT(O$112),(INDIRECT($B$112)=$B52)*(INDIRECT($D$112)=$D52)*(INDIRECT($F$112)=$F52),0)),0)</f>
        <v>0</v>
      </c>
      <c r="P52" s="403" cm="1">
        <f t="array" aca="1" ref="P52" ca="1">IFERROR(SUM(_xlfn._xlws.FILTER(INDIRECT(P$112),(INDIRECT($B$112)=$B52)*(INDIRECT($D$112)=$D52)*(INDIRECT($F$112)=$F52),0)),0)</f>
        <v>0</v>
      </c>
      <c r="Q52" s="403" cm="1">
        <f t="array" aca="1" ref="Q52" ca="1">IFERROR(SUM(_xlfn._xlws.FILTER(INDIRECT(Q$112),(INDIRECT($B$112)=$B52)*(INDIRECT($D$112)=$D52)*(INDIRECT($F$112)=$F52),0)),0)</f>
        <v>0</v>
      </c>
      <c r="R52" s="403" cm="1">
        <f t="array" aca="1" ref="R52" ca="1">IFERROR(SUM(_xlfn._xlws.FILTER(INDIRECT(R$112),(INDIRECT($B$112)=$B52)*(INDIRECT($D$112)=$D52)*(INDIRECT($F$112)=$F52),0)),0)</f>
        <v>0</v>
      </c>
      <c r="S52" s="403" cm="1">
        <f t="array" aca="1" ref="S52" ca="1">IFERROR(SUM(_xlfn._xlws.FILTER(INDIRECT(S$112),(INDIRECT($B$112)=$B52)*(INDIRECT($D$112)=$D52)*(INDIRECT($F$112)=$F52),0)),0)</f>
        <v>0</v>
      </c>
      <c r="T52" s="403" cm="1">
        <f t="array" aca="1" ref="T52" ca="1">IFERROR(SUM(_xlfn._xlws.FILTER(INDIRECT(T$112),(INDIRECT($B$112)=$B52)*(INDIRECT($D$112)=$D52)*(INDIRECT($F$112)=$F52),0)),0)</f>
        <v>0</v>
      </c>
      <c r="U52" s="403" cm="1">
        <f t="array" aca="1" ref="U52" ca="1">IFERROR(SUM(_xlfn._xlws.FILTER(INDIRECT(U$112),(INDIRECT($B$112)=$B52)*(INDIRECT($D$112)=$D52)*(INDIRECT($F$112)=$F52),0)),0)</f>
        <v>0</v>
      </c>
      <c r="V52" s="403" cm="1">
        <f t="array" aca="1" ref="V52" ca="1">IFERROR(SUM(_xlfn._xlws.FILTER(INDIRECT(V$112),(INDIRECT($B$112)=$B52)*(INDIRECT($D$112)=$D52)*(INDIRECT($F$112)=$F52),0)),0)</f>
        <v>0</v>
      </c>
      <c r="W52" s="403" cm="1">
        <f t="array" aca="1" ref="W52" ca="1">IFERROR(SUM(_xlfn._xlws.FILTER(INDIRECT(W$112),(INDIRECT($B$112)=$B52)*(INDIRECT($D$112)=$D52)*(INDIRECT($F$112)=$F52),0)),0)</f>
        <v>0</v>
      </c>
      <c r="X52" s="403" cm="1">
        <f t="array" aca="1" ref="X52" ca="1">IFERROR(SUM(_xlfn._xlws.FILTER(INDIRECT(X$112),(INDIRECT($B$112)=$B52)*(INDIRECT($D$112)=$D52)*(INDIRECT($F$112)=$F52),0)),0)</f>
        <v>0</v>
      </c>
      <c r="Y52" s="403" cm="1">
        <f t="array" aca="1" ref="Y52" ca="1">IFERROR(SUM(_xlfn._xlws.FILTER(INDIRECT(Y$112),(INDIRECT($B$112)=$B52)*(INDIRECT($D$112)=$D52)*(INDIRECT($F$112)=$F52),0)),0)</f>
        <v>0</v>
      </c>
      <c r="Z52" s="403" cm="1">
        <f t="array" aca="1" ref="Z52" ca="1">IFERROR(SUM(_xlfn._xlws.FILTER(INDIRECT(Z$112),(INDIRECT($B$112)=$B52)*(INDIRECT($D$112)=$D52)*(INDIRECT($F$112)=$F52),0)),0)</f>
        <v>0</v>
      </c>
      <c r="AA52" s="403" cm="1">
        <f t="array" aca="1" ref="AA52" ca="1">IFERROR(SUM(_xlfn._xlws.FILTER(INDIRECT(AA$112),(INDIRECT($B$112)=$B52)*(INDIRECT($D$112)=$D52)*(INDIRECT($F$112)=$F52),0)),0)</f>
        <v>0</v>
      </c>
      <c r="AB52" s="403" cm="1">
        <f t="array" aca="1" ref="AB52" ca="1">IFERROR(SUM(_xlfn._xlws.FILTER(INDIRECT(AB$112),(INDIRECT($B$112)=$B52)*(INDIRECT($D$112)=$D52)*(INDIRECT($F$112)=$F52),0)),0)</f>
        <v>0</v>
      </c>
      <c r="AC52" s="403" cm="1">
        <f t="array" aca="1" ref="AC52" ca="1">IFERROR(SUM(_xlfn._xlws.FILTER(INDIRECT(AC$112),(INDIRECT($B$112)=$B52)*(INDIRECT($D$112)=$D52)*(INDIRECT($F$112)=$F52),0)),0)</f>
        <v>0</v>
      </c>
      <c r="AD52" s="403" cm="1">
        <f t="array" aca="1" ref="AD52" ca="1">IFERROR(SUM(_xlfn._xlws.FILTER(INDIRECT(AD$112),(INDIRECT($B$112)=$B52)*(INDIRECT($D$112)=$D52)*(INDIRECT($F$112)=$F52),0)),0)</f>
        <v>0</v>
      </c>
      <c r="AE52" s="403" cm="1">
        <f t="array" aca="1" ref="AE52" ca="1">IFERROR(SUM(_xlfn._xlws.FILTER(INDIRECT(AE$112),(INDIRECT($B$112)=$B52)*(INDIRECT($D$112)=$D52)*(INDIRECT($F$112)=$F52),0)),0)</f>
        <v>0</v>
      </c>
      <c r="AF52" s="403" cm="1">
        <f t="array" aca="1" ref="AF52" ca="1">IFERROR(SUM(_xlfn._xlws.FILTER(INDIRECT(AF$112),(INDIRECT($B$112)=$B52)*(INDIRECT($D$112)=$D52)*(INDIRECT($F$112)=$F52),0)),0)</f>
        <v>0</v>
      </c>
      <c r="AG52" s="403" cm="1">
        <f t="array" aca="1" ref="AG52" ca="1">IFERROR(SUM(_xlfn._xlws.FILTER(INDIRECT(AG$112),(INDIRECT($B$112)=$B52)*(INDIRECT($D$112)=$D52)*(INDIRECT($F$112)=$F52),0)),0)</f>
        <v>0</v>
      </c>
      <c r="AH52" s="403" cm="1">
        <f t="array" aca="1" ref="AH52" ca="1">IFERROR(SUM(_xlfn._xlws.FILTER(INDIRECT(AH$112),(INDIRECT($B$112)=$B52)*(INDIRECT($D$112)=$D52)*(INDIRECT($F$112)=$F52),0)),0)</f>
        <v>0</v>
      </c>
      <c r="AI52" s="403" cm="1">
        <f t="array" aca="1" ref="AI52" ca="1">IFERROR(SUM(_xlfn._xlws.FILTER(INDIRECT(AI$112),(INDIRECT($B$112)=$B52)*(INDIRECT($D$112)=$D52)*(INDIRECT($F$112)=$F52),0)),0)</f>
        <v>0</v>
      </c>
      <c r="AJ52" s="403" cm="1">
        <f t="array" aca="1" ref="AJ52" ca="1">IFERROR(SUM(_xlfn._xlws.FILTER(INDIRECT(AJ$112),(INDIRECT($B$112)=$B52)*(INDIRECT($D$112)=$D52)*(INDIRECT($F$112)=$F52),0)),0)</f>
        <v>0</v>
      </c>
      <c r="AK52" s="403" cm="1">
        <f t="array" aca="1" ref="AK52" ca="1">IFERROR(SUM(_xlfn._xlws.FILTER(INDIRECT(AK$112),(INDIRECT($B$112)=$B52)*(INDIRECT($D$112)=$D52)*(INDIRECT($F$112)=$F52),0)),0)</f>
        <v>0</v>
      </c>
      <c r="AL52" s="403" cm="1">
        <f t="array" aca="1" ref="AL52" ca="1">IFERROR(SUM(_xlfn._xlws.FILTER(INDIRECT(AL$112),(INDIRECT($B$112)=$B52)*(INDIRECT($D$112)=$D52)*(INDIRECT($F$112)=$F52),0)),0)</f>
        <v>0</v>
      </c>
      <c r="AM52" s="403" cm="1">
        <f t="array" aca="1" ref="AM52" ca="1">IFERROR(SUM(_xlfn._xlws.FILTER(INDIRECT(AM$112),(INDIRECT($B$112)=$B52)*(INDIRECT($D$112)=$D52)*(INDIRECT($F$112)=$F52),0)),0)</f>
        <v>0</v>
      </c>
      <c r="AN52" s="403" cm="1">
        <f t="array" aca="1" ref="AN52" ca="1">IFERROR(SUM(_xlfn._xlws.FILTER(INDIRECT(AN$112),(INDIRECT($B$112)=$B52)*(INDIRECT($D$112)=$D52)*(INDIRECT($F$112)=$F52),0)),0)</f>
        <v>0</v>
      </c>
      <c r="AO52" s="403" cm="1">
        <f t="array" aca="1" ref="AO52" ca="1">IFERROR(SUM(_xlfn._xlws.FILTER(INDIRECT(AO$112),(INDIRECT($B$112)=$B52)*(INDIRECT($D$112)=$D52)*(INDIRECT($F$112)=$F52),0)),0)</f>
        <v>0</v>
      </c>
      <c r="AP52" s="403" cm="1">
        <f t="array" aca="1" ref="AP52" ca="1">IFERROR(SUM(_xlfn._xlws.FILTER(INDIRECT(AP$112),(INDIRECT($B$112)=$B52)*(INDIRECT($D$112)=$D52)*(INDIRECT($F$112)=$F52),0)),0)</f>
        <v>233207.6263</v>
      </c>
      <c r="AQ52" s="403" cm="1">
        <f t="array" aca="1" ref="AQ52" ca="1">IFERROR(SUM(_xlfn._xlws.FILTER(INDIRECT(AQ$112),(INDIRECT($B$112)=$B52)*(INDIRECT($D$112)=$D52)*(INDIRECT($F$112)=$F52),0)),0)</f>
        <v>0</v>
      </c>
      <c r="AR52" s="403" cm="1">
        <f t="array" aca="1" ref="AR52" ca="1">IFERROR(SUM(_xlfn._xlws.FILTER(INDIRECT(AR$112),(INDIRECT($B$112)=$B52)*(INDIRECT($D$112)=$D52)*(INDIRECT($F$112)=$F52),0)),0)</f>
        <v>233207.6263</v>
      </c>
      <c r="AS52" s="286" t="str">
        <f t="shared" ca="1" si="4"/>
        <v>G52:AP52</v>
      </c>
      <c r="AT52" s="403">
        <f t="shared" ca="1" si="3"/>
        <v>233207.6263</v>
      </c>
      <c r="AV52" s="142" cm="1">
        <f t="array" aca="1" ref="AV52" ca="1">IF(AND(_xlfn.LET(_xlpm.x,SUM(ROW()),OR(AND(MATCH("SOT",$A:$A,0)&lt;_xlpm.x,MATCH("EOT",$A:$A,0)&gt;_xlpm.x),AND(MATCH("SOS",$A:$A,0)&lt;_xlpm.x,MATCH("EOS",$A:$A,0)&gt;_xlpm.x),AND(MATCH("SOR",$A:$A,0)&lt;_xlpm.x,MATCH("EOR",$A:$A,0)&gt;_xlpm.x))),INDIRECT("rc"&amp;MATCH("SCD",$1:$1,0),FALSE)="PPTO"),1,0)</f>
        <v>1</v>
      </c>
      <c r="AW52" s="142" cm="1">
        <f t="array" aca="1" ref="AW5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53" spans="1:49" s="153" customFormat="1" outlineLevel="2">
      <c r="A53" s="152"/>
      <c r="B53" s="401" t="str">
        <f ca="1"/>
        <v>31200</v>
      </c>
      <c r="C53" s="148"/>
      <c r="D53" s="404" t="str">
        <f ca="1"/>
        <v>TRHR</v>
      </c>
      <c r="E53" s="350" t="str" cm="1">
        <f t="array" aca="1" ref="E53" ca="1">UPPER(_xlfn.UNIQUE(_xlfn._xlws.FILTER(TbStd[OFbStd],TbStd[RowGrp]=$D53,"X")))</f>
        <v>EXPENSES HOURS</v>
      </c>
      <c r="F53" s="402" t="str">
        <f ca="1"/>
        <v>PREV</v>
      </c>
      <c r="G53" s="403" cm="1">
        <f t="array" aca="1" ref="G53" ca="1">IFERROR(SUM(_xlfn._xlws.FILTER(INDIRECT(G$112),(INDIRECT($B$112)=$B53)*(INDIRECT($D$112)=$D53)*(INDIRECT($F$112)=$F53),0)),0)</f>
        <v>0</v>
      </c>
      <c r="H53" s="403" cm="1">
        <f t="array" aca="1" ref="H53" ca="1">IFERROR(SUM(_xlfn._xlws.FILTER(INDIRECT(H$112),(INDIRECT($B$112)=$B53)*(INDIRECT($D$112)=$D53)*(INDIRECT($F$112)=$F53),0)),0)</f>
        <v>0</v>
      </c>
      <c r="I53" s="403" cm="1">
        <f t="array" aca="1" ref="I53" ca="1">IFERROR(SUM(_xlfn._xlws.FILTER(INDIRECT(I$112),(INDIRECT($B$112)=$B53)*(INDIRECT($D$112)=$D53)*(INDIRECT($F$112)=$F53),0)),0)</f>
        <v>0</v>
      </c>
      <c r="J53" s="403" cm="1">
        <f t="array" aca="1" ref="J53" ca="1">IFERROR(SUM(_xlfn._xlws.FILTER(INDIRECT(J$112),(INDIRECT($B$112)=$B53)*(INDIRECT($D$112)=$D53)*(INDIRECT($F$112)=$F53),0)),0)</f>
        <v>0</v>
      </c>
      <c r="K53" s="403" cm="1">
        <f t="array" aca="1" ref="K53" ca="1">IFERROR(SUM(_xlfn._xlws.FILTER(INDIRECT(K$112),(INDIRECT($B$112)=$B53)*(INDIRECT($D$112)=$D53)*(INDIRECT($F$112)=$F53),0)),0)</f>
        <v>0</v>
      </c>
      <c r="L53" s="403" cm="1">
        <f t="array" aca="1" ref="L53" ca="1">IFERROR(SUM(_xlfn._xlws.FILTER(INDIRECT(L$112),(INDIRECT($B$112)=$B53)*(INDIRECT($D$112)=$D53)*(INDIRECT($F$112)=$F53),0)),0)</f>
        <v>0</v>
      </c>
      <c r="M53" s="403" cm="1">
        <f t="array" aca="1" ref="M53" ca="1">IFERROR(SUM(_xlfn._xlws.FILTER(INDIRECT(M$112),(INDIRECT($B$112)=$B53)*(INDIRECT($D$112)=$D53)*(INDIRECT($F$112)=$F53),0)),0)</f>
        <v>0</v>
      </c>
      <c r="N53" s="403" cm="1">
        <f t="array" aca="1" ref="N53" ca="1">IFERROR(SUM(_xlfn._xlws.FILTER(INDIRECT(N$112),(INDIRECT($B$112)=$B53)*(INDIRECT($D$112)=$D53)*(INDIRECT($F$112)=$F53),0)),0)</f>
        <v>0</v>
      </c>
      <c r="O53" s="403" cm="1">
        <f t="array" aca="1" ref="O53" ca="1">IFERROR(SUM(_xlfn._xlws.FILTER(INDIRECT(O$112),(INDIRECT($B$112)=$B53)*(INDIRECT($D$112)=$D53)*(INDIRECT($F$112)=$F53),0)),0)</f>
        <v>0</v>
      </c>
      <c r="P53" s="403" cm="1">
        <f t="array" aca="1" ref="P53" ca="1">IFERROR(SUM(_xlfn._xlws.FILTER(INDIRECT(P$112),(INDIRECT($B$112)=$B53)*(INDIRECT($D$112)=$D53)*(INDIRECT($F$112)=$F53),0)),0)</f>
        <v>0</v>
      </c>
      <c r="Q53" s="403" cm="1">
        <f t="array" aca="1" ref="Q53" ca="1">IFERROR(SUM(_xlfn._xlws.FILTER(INDIRECT(Q$112),(INDIRECT($B$112)=$B53)*(INDIRECT($D$112)=$D53)*(INDIRECT($F$112)=$F53),0)),0)</f>
        <v>0</v>
      </c>
      <c r="R53" s="403" cm="1">
        <f t="array" aca="1" ref="R53" ca="1">IFERROR(SUM(_xlfn._xlws.FILTER(INDIRECT(R$112),(INDIRECT($B$112)=$B53)*(INDIRECT($D$112)=$D53)*(INDIRECT($F$112)=$F53),0)),0)</f>
        <v>0</v>
      </c>
      <c r="S53" s="403" cm="1">
        <f t="array" aca="1" ref="S53" ca="1">IFERROR(SUM(_xlfn._xlws.FILTER(INDIRECT(S$112),(INDIRECT($B$112)=$B53)*(INDIRECT($D$112)=$D53)*(INDIRECT($F$112)=$F53),0)),0)</f>
        <v>0</v>
      </c>
      <c r="T53" s="403" cm="1">
        <f t="array" aca="1" ref="T53" ca="1">IFERROR(SUM(_xlfn._xlws.FILTER(INDIRECT(T$112),(INDIRECT($B$112)=$B53)*(INDIRECT($D$112)=$D53)*(INDIRECT($F$112)=$F53),0)),0)</f>
        <v>0</v>
      </c>
      <c r="U53" s="403" cm="1">
        <f t="array" aca="1" ref="U53" ca="1">IFERROR(SUM(_xlfn._xlws.FILTER(INDIRECT(U$112),(INDIRECT($B$112)=$B53)*(INDIRECT($D$112)=$D53)*(INDIRECT($F$112)=$F53),0)),0)</f>
        <v>0</v>
      </c>
      <c r="V53" s="403" cm="1">
        <f t="array" aca="1" ref="V53" ca="1">IFERROR(SUM(_xlfn._xlws.FILTER(INDIRECT(V$112),(INDIRECT($B$112)=$B53)*(INDIRECT($D$112)=$D53)*(INDIRECT($F$112)=$F53),0)),0)</f>
        <v>0</v>
      </c>
      <c r="W53" s="403" cm="1">
        <f t="array" aca="1" ref="W53" ca="1">IFERROR(SUM(_xlfn._xlws.FILTER(INDIRECT(W$112),(INDIRECT($B$112)=$B53)*(INDIRECT($D$112)=$D53)*(INDIRECT($F$112)=$F53),0)),0)</f>
        <v>0</v>
      </c>
      <c r="X53" s="403" cm="1">
        <f t="array" aca="1" ref="X53" ca="1">IFERROR(SUM(_xlfn._xlws.FILTER(INDIRECT(X$112),(INDIRECT($B$112)=$B53)*(INDIRECT($D$112)=$D53)*(INDIRECT($F$112)=$F53),0)),0)</f>
        <v>0</v>
      </c>
      <c r="Y53" s="403" cm="1">
        <f t="array" aca="1" ref="Y53" ca="1">IFERROR(SUM(_xlfn._xlws.FILTER(INDIRECT(Y$112),(INDIRECT($B$112)=$B53)*(INDIRECT($D$112)=$D53)*(INDIRECT($F$112)=$F53),0)),0)</f>
        <v>0</v>
      </c>
      <c r="Z53" s="403" cm="1">
        <f t="array" aca="1" ref="Z53" ca="1">IFERROR(SUM(_xlfn._xlws.FILTER(INDIRECT(Z$112),(INDIRECT($B$112)=$B53)*(INDIRECT($D$112)=$D53)*(INDIRECT($F$112)=$F53),0)),0)</f>
        <v>0</v>
      </c>
      <c r="AA53" s="403" cm="1">
        <f t="array" aca="1" ref="AA53" ca="1">IFERROR(SUM(_xlfn._xlws.FILTER(INDIRECT(AA$112),(INDIRECT($B$112)=$B53)*(INDIRECT($D$112)=$D53)*(INDIRECT($F$112)=$F53),0)),0)</f>
        <v>0</v>
      </c>
      <c r="AB53" s="403" cm="1">
        <f t="array" aca="1" ref="AB53" ca="1">IFERROR(SUM(_xlfn._xlws.FILTER(INDIRECT(AB$112),(INDIRECT($B$112)=$B53)*(INDIRECT($D$112)=$D53)*(INDIRECT($F$112)=$F53),0)),0)</f>
        <v>0</v>
      </c>
      <c r="AC53" s="403" cm="1">
        <f t="array" aca="1" ref="AC53" ca="1">IFERROR(SUM(_xlfn._xlws.FILTER(INDIRECT(AC$112),(INDIRECT($B$112)=$B53)*(INDIRECT($D$112)=$D53)*(INDIRECT($F$112)=$F53),0)),0)</f>
        <v>0</v>
      </c>
      <c r="AD53" s="403" cm="1">
        <f t="array" aca="1" ref="AD53" ca="1">IFERROR(SUM(_xlfn._xlws.FILTER(INDIRECT(AD$112),(INDIRECT($B$112)=$B53)*(INDIRECT($D$112)=$D53)*(INDIRECT($F$112)=$F53),0)),0)</f>
        <v>0</v>
      </c>
      <c r="AE53" s="403" cm="1">
        <f t="array" aca="1" ref="AE53" ca="1">IFERROR(SUM(_xlfn._xlws.FILTER(INDIRECT(AE$112),(INDIRECT($B$112)=$B53)*(INDIRECT($D$112)=$D53)*(INDIRECT($F$112)=$F53),0)),0)</f>
        <v>0</v>
      </c>
      <c r="AF53" s="403" cm="1">
        <f t="array" aca="1" ref="AF53" ca="1">IFERROR(SUM(_xlfn._xlws.FILTER(INDIRECT(AF$112),(INDIRECT($B$112)=$B53)*(INDIRECT($D$112)=$D53)*(INDIRECT($F$112)=$F53),0)),0)</f>
        <v>0</v>
      </c>
      <c r="AG53" s="403" cm="1">
        <f t="array" aca="1" ref="AG53" ca="1">IFERROR(SUM(_xlfn._xlws.FILTER(INDIRECT(AG$112),(INDIRECT($B$112)=$B53)*(INDIRECT($D$112)=$D53)*(INDIRECT($F$112)=$F53),0)),0)</f>
        <v>0</v>
      </c>
      <c r="AH53" s="403" cm="1">
        <f t="array" aca="1" ref="AH53" ca="1">IFERROR(SUM(_xlfn._xlws.FILTER(INDIRECT(AH$112),(INDIRECT($B$112)=$B53)*(INDIRECT($D$112)=$D53)*(INDIRECT($F$112)=$F53),0)),0)</f>
        <v>0</v>
      </c>
      <c r="AI53" s="403" cm="1">
        <f t="array" aca="1" ref="AI53" ca="1">IFERROR(SUM(_xlfn._xlws.FILTER(INDIRECT(AI$112),(INDIRECT($B$112)=$B53)*(INDIRECT($D$112)=$D53)*(INDIRECT($F$112)=$F53),0)),0)</f>
        <v>0</v>
      </c>
      <c r="AJ53" s="403" cm="1">
        <f t="array" aca="1" ref="AJ53" ca="1">IFERROR(SUM(_xlfn._xlws.FILTER(INDIRECT(AJ$112),(INDIRECT($B$112)=$B53)*(INDIRECT($D$112)=$D53)*(INDIRECT($F$112)=$F53),0)),0)</f>
        <v>0</v>
      </c>
      <c r="AK53" s="403" cm="1">
        <f t="array" aca="1" ref="AK53" ca="1">IFERROR(SUM(_xlfn._xlws.FILTER(INDIRECT(AK$112),(INDIRECT($B$112)=$B53)*(INDIRECT($D$112)=$D53)*(INDIRECT($F$112)=$F53),0)),0)</f>
        <v>0</v>
      </c>
      <c r="AL53" s="403" cm="1">
        <f t="array" aca="1" ref="AL53" ca="1">IFERROR(SUM(_xlfn._xlws.FILTER(INDIRECT(AL$112),(INDIRECT($B$112)=$B53)*(INDIRECT($D$112)=$D53)*(INDIRECT($F$112)=$F53),0)),0)</f>
        <v>0</v>
      </c>
      <c r="AM53" s="403" cm="1">
        <f t="array" aca="1" ref="AM53" ca="1">IFERROR(SUM(_xlfn._xlws.FILTER(INDIRECT(AM$112),(INDIRECT($B$112)=$B53)*(INDIRECT($D$112)=$D53)*(INDIRECT($F$112)=$F53),0)),0)</f>
        <v>0</v>
      </c>
      <c r="AN53" s="403" cm="1">
        <f t="array" aca="1" ref="AN53" ca="1">IFERROR(SUM(_xlfn._xlws.FILTER(INDIRECT(AN$112),(INDIRECT($B$112)=$B53)*(INDIRECT($D$112)=$D53)*(INDIRECT($F$112)=$F53),0)),0)</f>
        <v>0</v>
      </c>
      <c r="AO53" s="403" cm="1">
        <f t="array" aca="1" ref="AO53" ca="1">IFERROR(SUM(_xlfn._xlws.FILTER(INDIRECT(AO$112),(INDIRECT($B$112)=$B53)*(INDIRECT($D$112)=$D53)*(INDIRECT($F$112)=$F53),0)),0)</f>
        <v>0</v>
      </c>
      <c r="AP53" s="403" cm="1">
        <f t="array" aca="1" ref="AP53" ca="1">IFERROR(SUM(_xlfn._xlws.FILTER(INDIRECT(AP$112),(INDIRECT($B$112)=$B53)*(INDIRECT($D$112)=$D53)*(INDIRECT($F$112)=$F53),0)),0)</f>
        <v>50000</v>
      </c>
      <c r="AQ53" s="403" cm="1">
        <f t="array" aca="1" ref="AQ53" ca="1">IFERROR(SUM(_xlfn._xlws.FILTER(INDIRECT(AQ$112),(INDIRECT($B$112)=$B53)*(INDIRECT($D$112)=$D53)*(INDIRECT($F$112)=$F53),0)),0)</f>
        <v>0</v>
      </c>
      <c r="AR53" s="403" cm="1">
        <f t="array" aca="1" ref="AR53" ca="1">IFERROR(SUM(_xlfn._xlws.FILTER(INDIRECT(AR$112),(INDIRECT($B$112)=$B53)*(INDIRECT($D$112)=$D53)*(INDIRECT($F$112)=$F53),0)),0)</f>
        <v>50000</v>
      </c>
      <c r="AS53" s="286" t="str">
        <f t="shared" ca="1" si="4"/>
        <v>G53:AP53</v>
      </c>
      <c r="AT53" s="403">
        <f t="shared" ca="1" si="3"/>
        <v>50000</v>
      </c>
      <c r="AV53" s="142" cm="1">
        <f t="array" aca="1" ref="AV53" ca="1">IF(AND(_xlfn.LET(_xlpm.x,SUM(ROW()),OR(AND(MATCH("SOT",$A:$A,0)&lt;_xlpm.x,MATCH("EOT",$A:$A,0)&gt;_xlpm.x),AND(MATCH("SOS",$A:$A,0)&lt;_xlpm.x,MATCH("EOS",$A:$A,0)&gt;_xlpm.x),AND(MATCH("SOR",$A:$A,0)&lt;_xlpm.x,MATCH("EOR",$A:$A,0)&gt;_xlpm.x))),INDIRECT("rc"&amp;MATCH("SCD",$1:$1,0),FALSE)="PPTO"),1,0)</f>
        <v>0</v>
      </c>
      <c r="AW53" s="142" cm="1">
        <f t="array" aca="1" ref="AW5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54" spans="1:49" s="153" customFormat="1" outlineLevel="2">
      <c r="A54" s="152"/>
      <c r="B54" s="401" t="str">
        <f ca="1"/>
        <v>31200</v>
      </c>
      <c r="C54" s="148"/>
      <c r="D54" s="404" t="str">
        <f ca="1"/>
        <v>TRHR</v>
      </c>
      <c r="E54" s="350" t="str" cm="1">
        <f t="array" aca="1" ref="E54" ca="1">UPPER(_xlfn.UNIQUE(_xlfn._xlws.FILTER(TbStd[OFbStd],TbStd[RowGrp]=$D54,"X")))</f>
        <v>EXPENSES HOURS</v>
      </c>
      <c r="F54" s="402" t="str">
        <f ca="1"/>
        <v>REAL</v>
      </c>
      <c r="G54" s="403" cm="1">
        <f t="array" aca="1" ref="G54" ca="1">IFERROR(SUM(_xlfn._xlws.FILTER(INDIRECT(G$112),(INDIRECT($B$112)=$B54)*(INDIRECT($D$112)=$D54)*(INDIRECT($F$112)=$F54),0)),0)</f>
        <v>0</v>
      </c>
      <c r="H54" s="403" cm="1">
        <f t="array" aca="1" ref="H54" ca="1">IFERROR(SUM(_xlfn._xlws.FILTER(INDIRECT(H$112),(INDIRECT($B$112)=$B54)*(INDIRECT($D$112)=$D54)*(INDIRECT($F$112)=$F54),0)),0)</f>
        <v>0</v>
      </c>
      <c r="I54" s="403" cm="1">
        <f t="array" aca="1" ref="I54" ca="1">IFERROR(SUM(_xlfn._xlws.FILTER(INDIRECT(I$112),(INDIRECT($B$112)=$B54)*(INDIRECT($D$112)=$D54)*(INDIRECT($F$112)=$F54),0)),0)</f>
        <v>0</v>
      </c>
      <c r="J54" s="403" cm="1">
        <f t="array" aca="1" ref="J54" ca="1">IFERROR(SUM(_xlfn._xlws.FILTER(INDIRECT(J$112),(INDIRECT($B$112)=$B54)*(INDIRECT($D$112)=$D54)*(INDIRECT($F$112)=$F54),0)),0)</f>
        <v>0</v>
      </c>
      <c r="K54" s="403" cm="1">
        <f t="array" aca="1" ref="K54" ca="1">IFERROR(SUM(_xlfn._xlws.FILTER(INDIRECT(K$112),(INDIRECT($B$112)=$B54)*(INDIRECT($D$112)=$D54)*(INDIRECT($F$112)=$F54),0)),0)</f>
        <v>0</v>
      </c>
      <c r="L54" s="403" cm="1">
        <f t="array" aca="1" ref="L54" ca="1">IFERROR(SUM(_xlfn._xlws.FILTER(INDIRECT(L$112),(INDIRECT($B$112)=$B54)*(INDIRECT($D$112)=$D54)*(INDIRECT($F$112)=$F54),0)),0)</f>
        <v>0</v>
      </c>
      <c r="M54" s="403" cm="1">
        <f t="array" aca="1" ref="M54" ca="1">IFERROR(SUM(_xlfn._xlws.FILTER(INDIRECT(M$112),(INDIRECT($B$112)=$B54)*(INDIRECT($D$112)=$D54)*(INDIRECT($F$112)=$F54),0)),0)</f>
        <v>0</v>
      </c>
      <c r="N54" s="403" cm="1">
        <f t="array" aca="1" ref="N54" ca="1">IFERROR(SUM(_xlfn._xlws.FILTER(INDIRECT(N$112),(INDIRECT($B$112)=$B54)*(INDIRECT($D$112)=$D54)*(INDIRECT($F$112)=$F54),0)),0)</f>
        <v>0</v>
      </c>
      <c r="O54" s="403" cm="1">
        <f t="array" aca="1" ref="O54" ca="1">IFERROR(SUM(_xlfn._xlws.FILTER(INDIRECT(O$112),(INDIRECT($B$112)=$B54)*(INDIRECT($D$112)=$D54)*(INDIRECT($F$112)=$F54),0)),0)</f>
        <v>0</v>
      </c>
      <c r="P54" s="403" cm="1">
        <f t="array" aca="1" ref="P54" ca="1">IFERROR(SUM(_xlfn._xlws.FILTER(INDIRECT(P$112),(INDIRECT($B$112)=$B54)*(INDIRECT($D$112)=$D54)*(INDIRECT($F$112)=$F54),0)),0)</f>
        <v>0</v>
      </c>
      <c r="Q54" s="403" cm="1">
        <f t="array" aca="1" ref="Q54" ca="1">IFERROR(SUM(_xlfn._xlws.FILTER(INDIRECT(Q$112),(INDIRECT($B$112)=$B54)*(INDIRECT($D$112)=$D54)*(INDIRECT($F$112)=$F54),0)),0)</f>
        <v>0</v>
      </c>
      <c r="R54" s="403" cm="1">
        <f t="array" aca="1" ref="R54" ca="1">IFERROR(SUM(_xlfn._xlws.FILTER(INDIRECT(R$112),(INDIRECT($B$112)=$B54)*(INDIRECT($D$112)=$D54)*(INDIRECT($F$112)=$F54),0)),0)</f>
        <v>0</v>
      </c>
      <c r="S54" s="403" cm="1">
        <f t="array" aca="1" ref="S54" ca="1">IFERROR(SUM(_xlfn._xlws.FILTER(INDIRECT(S$112),(INDIRECT($B$112)=$B54)*(INDIRECT($D$112)=$D54)*(INDIRECT($F$112)=$F54),0)),0)</f>
        <v>0</v>
      </c>
      <c r="T54" s="403" cm="1">
        <f t="array" aca="1" ref="T54" ca="1">IFERROR(SUM(_xlfn._xlws.FILTER(INDIRECT(T$112),(INDIRECT($B$112)=$B54)*(INDIRECT($D$112)=$D54)*(INDIRECT($F$112)=$F54),0)),0)</f>
        <v>0</v>
      </c>
      <c r="U54" s="403" cm="1">
        <f t="array" aca="1" ref="U54" ca="1">IFERROR(SUM(_xlfn._xlws.FILTER(INDIRECT(U$112),(INDIRECT($B$112)=$B54)*(INDIRECT($D$112)=$D54)*(INDIRECT($F$112)=$F54),0)),0)</f>
        <v>0</v>
      </c>
      <c r="V54" s="403" cm="1">
        <f t="array" aca="1" ref="V54" ca="1">IFERROR(SUM(_xlfn._xlws.FILTER(INDIRECT(V$112),(INDIRECT($B$112)=$B54)*(INDIRECT($D$112)=$D54)*(INDIRECT($F$112)=$F54),0)),0)</f>
        <v>0</v>
      </c>
      <c r="W54" s="403" cm="1">
        <f t="array" aca="1" ref="W54" ca="1">IFERROR(SUM(_xlfn._xlws.FILTER(INDIRECT(W$112),(INDIRECT($B$112)=$B54)*(INDIRECT($D$112)=$D54)*(INDIRECT($F$112)=$F54),0)),0)</f>
        <v>0</v>
      </c>
      <c r="X54" s="403" cm="1">
        <f t="array" aca="1" ref="X54" ca="1">IFERROR(SUM(_xlfn._xlws.FILTER(INDIRECT(X$112),(INDIRECT($B$112)=$B54)*(INDIRECT($D$112)=$D54)*(INDIRECT($F$112)=$F54),0)),0)</f>
        <v>0</v>
      </c>
      <c r="Y54" s="403" cm="1">
        <f t="array" aca="1" ref="Y54" ca="1">IFERROR(SUM(_xlfn._xlws.FILTER(INDIRECT(Y$112),(INDIRECT($B$112)=$B54)*(INDIRECT($D$112)=$D54)*(INDIRECT($F$112)=$F54),0)),0)</f>
        <v>0</v>
      </c>
      <c r="Z54" s="403" cm="1">
        <f t="array" aca="1" ref="Z54" ca="1">IFERROR(SUM(_xlfn._xlws.FILTER(INDIRECT(Z$112),(INDIRECT($B$112)=$B54)*(INDIRECT($D$112)=$D54)*(INDIRECT($F$112)=$F54),0)),0)</f>
        <v>0</v>
      </c>
      <c r="AA54" s="403" cm="1">
        <f t="array" aca="1" ref="AA54" ca="1">IFERROR(SUM(_xlfn._xlws.FILTER(INDIRECT(AA$112),(INDIRECT($B$112)=$B54)*(INDIRECT($D$112)=$D54)*(INDIRECT($F$112)=$F54),0)),0)</f>
        <v>0</v>
      </c>
      <c r="AB54" s="403" cm="1">
        <f t="array" aca="1" ref="AB54" ca="1">IFERROR(SUM(_xlfn._xlws.FILTER(INDIRECT(AB$112),(INDIRECT($B$112)=$B54)*(INDIRECT($D$112)=$D54)*(INDIRECT($F$112)=$F54),0)),0)</f>
        <v>0</v>
      </c>
      <c r="AC54" s="403" cm="1">
        <f t="array" aca="1" ref="AC54" ca="1">IFERROR(SUM(_xlfn._xlws.FILTER(INDIRECT(AC$112),(INDIRECT($B$112)=$B54)*(INDIRECT($D$112)=$D54)*(INDIRECT($F$112)=$F54),0)),0)</f>
        <v>0</v>
      </c>
      <c r="AD54" s="403" cm="1">
        <f t="array" aca="1" ref="AD54" ca="1">IFERROR(SUM(_xlfn._xlws.FILTER(INDIRECT(AD$112),(INDIRECT($B$112)=$B54)*(INDIRECT($D$112)=$D54)*(INDIRECT($F$112)=$F54),0)),0)</f>
        <v>0</v>
      </c>
      <c r="AE54" s="403" cm="1">
        <f t="array" aca="1" ref="AE54" ca="1">IFERROR(SUM(_xlfn._xlws.FILTER(INDIRECT(AE$112),(INDIRECT($B$112)=$B54)*(INDIRECT($D$112)=$D54)*(INDIRECT($F$112)=$F54),0)),0)</f>
        <v>0</v>
      </c>
      <c r="AF54" s="403" cm="1">
        <f t="array" aca="1" ref="AF54" ca="1">IFERROR(SUM(_xlfn._xlws.FILTER(INDIRECT(AF$112),(INDIRECT($B$112)=$B54)*(INDIRECT($D$112)=$D54)*(INDIRECT($F$112)=$F54),0)),0)</f>
        <v>0</v>
      </c>
      <c r="AG54" s="403" cm="1">
        <f t="array" aca="1" ref="AG54" ca="1">IFERROR(SUM(_xlfn._xlws.FILTER(INDIRECT(AG$112),(INDIRECT($B$112)=$B54)*(INDIRECT($D$112)=$D54)*(INDIRECT($F$112)=$F54),0)),0)</f>
        <v>0</v>
      </c>
      <c r="AH54" s="403" cm="1">
        <f t="array" aca="1" ref="AH54" ca="1">IFERROR(SUM(_xlfn._xlws.FILTER(INDIRECT(AH$112),(INDIRECT($B$112)=$B54)*(INDIRECT($D$112)=$D54)*(INDIRECT($F$112)=$F54),0)),0)</f>
        <v>0</v>
      </c>
      <c r="AI54" s="403" cm="1">
        <f t="array" aca="1" ref="AI54" ca="1">IFERROR(SUM(_xlfn._xlws.FILTER(INDIRECT(AI$112),(INDIRECT($B$112)=$B54)*(INDIRECT($D$112)=$D54)*(INDIRECT($F$112)=$F54),0)),0)</f>
        <v>0</v>
      </c>
      <c r="AJ54" s="403" cm="1">
        <f t="array" aca="1" ref="AJ54" ca="1">IFERROR(SUM(_xlfn._xlws.FILTER(INDIRECT(AJ$112),(INDIRECT($B$112)=$B54)*(INDIRECT($D$112)=$D54)*(INDIRECT($F$112)=$F54),0)),0)</f>
        <v>0</v>
      </c>
      <c r="AK54" s="403" cm="1">
        <f t="array" aca="1" ref="AK54" ca="1">IFERROR(SUM(_xlfn._xlws.FILTER(INDIRECT(AK$112),(INDIRECT($B$112)=$B54)*(INDIRECT($D$112)=$D54)*(INDIRECT($F$112)=$F54),0)),0)</f>
        <v>0</v>
      </c>
      <c r="AL54" s="403" cm="1">
        <f t="array" aca="1" ref="AL54" ca="1">IFERROR(SUM(_xlfn._xlws.FILTER(INDIRECT(AL$112),(INDIRECT($B$112)=$B54)*(INDIRECT($D$112)=$D54)*(INDIRECT($F$112)=$F54),0)),0)</f>
        <v>0</v>
      </c>
      <c r="AM54" s="403" cm="1">
        <f t="array" aca="1" ref="AM54" ca="1">IFERROR(SUM(_xlfn._xlws.FILTER(INDIRECT(AM$112),(INDIRECT($B$112)=$B54)*(INDIRECT($D$112)=$D54)*(INDIRECT($F$112)=$F54),0)),0)</f>
        <v>0</v>
      </c>
      <c r="AN54" s="403" cm="1">
        <f t="array" aca="1" ref="AN54" ca="1">IFERROR(SUM(_xlfn._xlws.FILTER(INDIRECT(AN$112),(INDIRECT($B$112)=$B54)*(INDIRECT($D$112)=$D54)*(INDIRECT($F$112)=$F54),0)),0)</f>
        <v>0</v>
      </c>
      <c r="AO54" s="403" cm="1">
        <f t="array" aca="1" ref="AO54" ca="1">IFERROR(SUM(_xlfn._xlws.FILTER(INDIRECT(AO$112),(INDIRECT($B$112)=$B54)*(INDIRECT($D$112)=$D54)*(INDIRECT($F$112)=$F54),0)),0)</f>
        <v>2479.2300000000032</v>
      </c>
      <c r="AP54" s="403" cm="1">
        <f t="array" aca="1" ref="AP54" ca="1">IFERROR(SUM(_xlfn._xlws.FILTER(INDIRECT(AP$112),(INDIRECT($B$112)=$B54)*(INDIRECT($D$112)=$D54)*(INDIRECT($F$112)=$F54),0)),0)</f>
        <v>67200.800000000003</v>
      </c>
      <c r="AQ54" s="403" cm="1">
        <f t="array" aca="1" ref="AQ54" ca="1">IFERROR(SUM(_xlfn._xlws.FILTER(INDIRECT(AQ$112),(INDIRECT($B$112)=$B54)*(INDIRECT($D$112)=$D54)*(INDIRECT($F$112)=$F54),0)),0)</f>
        <v>2479.2300000000032</v>
      </c>
      <c r="AR54" s="403" cm="1">
        <f t="array" aca="1" ref="AR54" ca="1">IFERROR(SUM(_xlfn._xlws.FILTER(INDIRECT(AR$112),(INDIRECT($B$112)=$B54)*(INDIRECT($D$112)=$D54)*(INDIRECT($F$112)=$F54),0)),0)</f>
        <v>67200.800000000003</v>
      </c>
      <c r="AS54" s="286" t="str">
        <f t="shared" ca="1" si="4"/>
        <v>G54:AP54</v>
      </c>
      <c r="AT54" s="403">
        <f t="shared" ca="1" si="3"/>
        <v>69680.03</v>
      </c>
      <c r="AV54" s="142" cm="1">
        <f t="array" aca="1" ref="AV54" ca="1">IF(AND(_xlfn.LET(_xlpm.x,SUM(ROW()),OR(AND(MATCH("SOT",$A:$A,0)&lt;_xlpm.x,MATCH("EOT",$A:$A,0)&gt;_xlpm.x),AND(MATCH("SOS",$A:$A,0)&lt;_xlpm.x,MATCH("EOS",$A:$A,0)&gt;_xlpm.x),AND(MATCH("SOR",$A:$A,0)&lt;_xlpm.x,MATCH("EOR",$A:$A,0)&gt;_xlpm.x))),INDIRECT("rc"&amp;MATCH("SCD",$1:$1,0),FALSE)="PPTO"),1,0)</f>
        <v>0</v>
      </c>
      <c r="AW54" s="142" cm="1">
        <f t="array" aca="1" ref="AW5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55" spans="1:49" s="153" customFormat="1" outlineLevel="2">
      <c r="A55" s="152"/>
      <c r="B55" s="401" t="str">
        <f ca="1"/>
        <v>31200</v>
      </c>
      <c r="C55" s="148"/>
      <c r="D55" s="404" t="str">
        <f ca="1"/>
        <v>CTBA</v>
      </c>
      <c r="E55" s="350" t="str" cm="1">
        <f t="array" aca="1" ref="E55" ca="1">UPPER(_xlfn.UNIQUE(_xlfn._xlws.FILTER(TbStd[OFbStd],TbStd[RowGrp]=$D55,"X")))</f>
        <v>BAAN COST</v>
      </c>
      <c r="F55" s="402" t="str">
        <f ca="1"/>
        <v>PPTO</v>
      </c>
      <c r="G55" s="403" cm="1">
        <f t="array" aca="1" ref="G55" ca="1">IFERROR(SUM(_xlfn._xlws.FILTER(INDIRECT(G$112),(INDIRECT($B$112)=$B55)*(INDIRECT($D$112)=$D55)*(INDIRECT($F$112)=$F55),0)),0)</f>
        <v>0</v>
      </c>
      <c r="H55" s="403" cm="1">
        <f t="array" aca="1" ref="H55" ca="1">IFERROR(SUM(_xlfn._xlws.FILTER(INDIRECT(H$112),(INDIRECT($B$112)=$B55)*(INDIRECT($D$112)=$D55)*(INDIRECT($F$112)=$F55),0)),0)</f>
        <v>0</v>
      </c>
      <c r="I55" s="403" cm="1">
        <f t="array" aca="1" ref="I55" ca="1">IFERROR(SUM(_xlfn._xlws.FILTER(INDIRECT(I$112),(INDIRECT($B$112)=$B55)*(INDIRECT($D$112)=$D55)*(INDIRECT($F$112)=$F55),0)),0)</f>
        <v>0</v>
      </c>
      <c r="J55" s="403" cm="1">
        <f t="array" aca="1" ref="J55" ca="1">IFERROR(SUM(_xlfn._xlws.FILTER(INDIRECT(J$112),(INDIRECT($B$112)=$B55)*(INDIRECT($D$112)=$D55)*(INDIRECT($F$112)=$F55),0)),0)</f>
        <v>0</v>
      </c>
      <c r="K55" s="403" cm="1">
        <f t="array" aca="1" ref="K55" ca="1">IFERROR(SUM(_xlfn._xlws.FILTER(INDIRECT(K$112),(INDIRECT($B$112)=$B55)*(INDIRECT($D$112)=$D55)*(INDIRECT($F$112)=$F55),0)),0)</f>
        <v>0</v>
      </c>
      <c r="L55" s="403" cm="1">
        <f t="array" aca="1" ref="L55" ca="1">IFERROR(SUM(_xlfn._xlws.FILTER(INDIRECT(L$112),(INDIRECT($B$112)=$B55)*(INDIRECT($D$112)=$D55)*(INDIRECT($F$112)=$F55),0)),0)</f>
        <v>0</v>
      </c>
      <c r="M55" s="403" cm="1">
        <f t="array" aca="1" ref="M55" ca="1">IFERROR(SUM(_xlfn._xlws.FILTER(INDIRECT(M$112),(INDIRECT($B$112)=$B55)*(INDIRECT($D$112)=$D55)*(INDIRECT($F$112)=$F55),0)),0)</f>
        <v>0</v>
      </c>
      <c r="N55" s="403" cm="1">
        <f t="array" aca="1" ref="N55" ca="1">IFERROR(SUM(_xlfn._xlws.FILTER(INDIRECT(N$112),(INDIRECT($B$112)=$B55)*(INDIRECT($D$112)=$D55)*(INDIRECT($F$112)=$F55),0)),0)</f>
        <v>0</v>
      </c>
      <c r="O55" s="403" cm="1">
        <f t="array" aca="1" ref="O55" ca="1">IFERROR(SUM(_xlfn._xlws.FILTER(INDIRECT(O$112),(INDIRECT($B$112)=$B55)*(INDIRECT($D$112)=$D55)*(INDIRECT($F$112)=$F55),0)),0)</f>
        <v>0</v>
      </c>
      <c r="P55" s="403" cm="1">
        <f t="array" aca="1" ref="P55" ca="1">IFERROR(SUM(_xlfn._xlws.FILTER(INDIRECT(P$112),(INDIRECT($B$112)=$B55)*(INDIRECT($D$112)=$D55)*(INDIRECT($F$112)=$F55),0)),0)</f>
        <v>0</v>
      </c>
      <c r="Q55" s="403" cm="1">
        <f t="array" aca="1" ref="Q55" ca="1">IFERROR(SUM(_xlfn._xlws.FILTER(INDIRECT(Q$112),(INDIRECT($B$112)=$B55)*(INDIRECT($D$112)=$D55)*(INDIRECT($F$112)=$F55),0)),0)</f>
        <v>0</v>
      </c>
      <c r="R55" s="403" cm="1">
        <f t="array" aca="1" ref="R55" ca="1">IFERROR(SUM(_xlfn._xlws.FILTER(INDIRECT(R$112),(INDIRECT($B$112)=$B55)*(INDIRECT($D$112)=$D55)*(INDIRECT($F$112)=$F55),0)),0)</f>
        <v>0</v>
      </c>
      <c r="S55" s="403" cm="1">
        <f t="array" aca="1" ref="S55" ca="1">IFERROR(SUM(_xlfn._xlws.FILTER(INDIRECT(S$112),(INDIRECT($B$112)=$B55)*(INDIRECT($D$112)=$D55)*(INDIRECT($F$112)=$F55),0)),0)</f>
        <v>0</v>
      </c>
      <c r="T55" s="403" cm="1">
        <f t="array" aca="1" ref="T55" ca="1">IFERROR(SUM(_xlfn._xlws.FILTER(INDIRECT(T$112),(INDIRECT($B$112)=$B55)*(INDIRECT($D$112)=$D55)*(INDIRECT($F$112)=$F55),0)),0)</f>
        <v>0</v>
      </c>
      <c r="U55" s="403" cm="1">
        <f t="array" aca="1" ref="U55" ca="1">IFERROR(SUM(_xlfn._xlws.FILTER(INDIRECT(U$112),(INDIRECT($B$112)=$B55)*(INDIRECT($D$112)=$D55)*(INDIRECT($F$112)=$F55),0)),0)</f>
        <v>0</v>
      </c>
      <c r="V55" s="403" cm="1">
        <f t="array" aca="1" ref="V55" ca="1">IFERROR(SUM(_xlfn._xlws.FILTER(INDIRECT(V$112),(INDIRECT($B$112)=$B55)*(INDIRECT($D$112)=$D55)*(INDIRECT($F$112)=$F55),0)),0)</f>
        <v>0</v>
      </c>
      <c r="W55" s="403" cm="1">
        <f t="array" aca="1" ref="W55" ca="1">IFERROR(SUM(_xlfn._xlws.FILTER(INDIRECT(W$112),(INDIRECT($B$112)=$B55)*(INDIRECT($D$112)=$D55)*(INDIRECT($F$112)=$F55),0)),0)</f>
        <v>0</v>
      </c>
      <c r="X55" s="403" cm="1">
        <f t="array" aca="1" ref="X55" ca="1">IFERROR(SUM(_xlfn._xlws.FILTER(INDIRECT(X$112),(INDIRECT($B$112)=$B55)*(INDIRECT($D$112)=$D55)*(INDIRECT($F$112)=$F55),0)),0)</f>
        <v>0</v>
      </c>
      <c r="Y55" s="403" cm="1">
        <f t="array" aca="1" ref="Y55" ca="1">IFERROR(SUM(_xlfn._xlws.FILTER(INDIRECT(Y$112),(INDIRECT($B$112)=$B55)*(INDIRECT($D$112)=$D55)*(INDIRECT($F$112)=$F55),0)),0)</f>
        <v>0</v>
      </c>
      <c r="Z55" s="403" cm="1">
        <f t="array" aca="1" ref="Z55" ca="1">IFERROR(SUM(_xlfn._xlws.FILTER(INDIRECT(Z$112),(INDIRECT($B$112)=$B55)*(INDIRECT($D$112)=$D55)*(INDIRECT($F$112)=$F55),0)),0)</f>
        <v>0</v>
      </c>
      <c r="AA55" s="403" cm="1">
        <f t="array" aca="1" ref="AA55" ca="1">IFERROR(SUM(_xlfn._xlws.FILTER(INDIRECT(AA$112),(INDIRECT($B$112)=$B55)*(INDIRECT($D$112)=$D55)*(INDIRECT($F$112)=$F55),0)),0)</f>
        <v>0</v>
      </c>
      <c r="AB55" s="403" cm="1">
        <f t="array" aca="1" ref="AB55" ca="1">IFERROR(SUM(_xlfn._xlws.FILTER(INDIRECT(AB$112),(INDIRECT($B$112)=$B55)*(INDIRECT($D$112)=$D55)*(INDIRECT($F$112)=$F55),0)),0)</f>
        <v>0</v>
      </c>
      <c r="AC55" s="403" cm="1">
        <f t="array" aca="1" ref="AC55" ca="1">IFERROR(SUM(_xlfn._xlws.FILTER(INDIRECT(AC$112),(INDIRECT($B$112)=$B55)*(INDIRECT($D$112)=$D55)*(INDIRECT($F$112)=$F55),0)),0)</f>
        <v>0</v>
      </c>
      <c r="AD55" s="403" cm="1">
        <f t="array" aca="1" ref="AD55" ca="1">IFERROR(SUM(_xlfn._xlws.FILTER(INDIRECT(AD$112),(INDIRECT($B$112)=$B55)*(INDIRECT($D$112)=$D55)*(INDIRECT($F$112)=$F55),0)),0)</f>
        <v>0</v>
      </c>
      <c r="AE55" s="403" cm="1">
        <f t="array" aca="1" ref="AE55" ca="1">IFERROR(SUM(_xlfn._xlws.FILTER(INDIRECT(AE$112),(INDIRECT($B$112)=$B55)*(INDIRECT($D$112)=$D55)*(INDIRECT($F$112)=$F55),0)),0)</f>
        <v>0</v>
      </c>
      <c r="AF55" s="403" cm="1">
        <f t="array" aca="1" ref="AF55" ca="1">IFERROR(SUM(_xlfn._xlws.FILTER(INDIRECT(AF$112),(INDIRECT($B$112)=$B55)*(INDIRECT($D$112)=$D55)*(INDIRECT($F$112)=$F55),0)),0)</f>
        <v>0</v>
      </c>
      <c r="AG55" s="403" cm="1">
        <f t="array" aca="1" ref="AG55" ca="1">IFERROR(SUM(_xlfn._xlws.FILTER(INDIRECT(AG$112),(INDIRECT($B$112)=$B55)*(INDIRECT($D$112)=$D55)*(INDIRECT($F$112)=$F55),0)),0)</f>
        <v>0</v>
      </c>
      <c r="AH55" s="403" cm="1">
        <f t="array" aca="1" ref="AH55" ca="1">IFERROR(SUM(_xlfn._xlws.FILTER(INDIRECT(AH$112),(INDIRECT($B$112)=$B55)*(INDIRECT($D$112)=$D55)*(INDIRECT($F$112)=$F55),0)),0)</f>
        <v>0</v>
      </c>
      <c r="AI55" s="403" cm="1">
        <f t="array" aca="1" ref="AI55" ca="1">IFERROR(SUM(_xlfn._xlws.FILTER(INDIRECT(AI$112),(INDIRECT($B$112)=$B55)*(INDIRECT($D$112)=$D55)*(INDIRECT($F$112)=$F55),0)),0)</f>
        <v>0</v>
      </c>
      <c r="AJ55" s="403" cm="1">
        <f t="array" aca="1" ref="AJ55" ca="1">IFERROR(SUM(_xlfn._xlws.FILTER(INDIRECT(AJ$112),(INDIRECT($B$112)=$B55)*(INDIRECT($D$112)=$D55)*(INDIRECT($F$112)=$F55),0)),0)</f>
        <v>0</v>
      </c>
      <c r="AK55" s="403" cm="1">
        <f t="array" aca="1" ref="AK55" ca="1">IFERROR(SUM(_xlfn._xlws.FILTER(INDIRECT(AK$112),(INDIRECT($B$112)=$B55)*(INDIRECT($D$112)=$D55)*(INDIRECT($F$112)=$F55),0)),0)</f>
        <v>0</v>
      </c>
      <c r="AL55" s="403" cm="1">
        <f t="array" aca="1" ref="AL55" ca="1">IFERROR(SUM(_xlfn._xlws.FILTER(INDIRECT(AL$112),(INDIRECT($B$112)=$B55)*(INDIRECT($D$112)=$D55)*(INDIRECT($F$112)=$F55),0)),0)</f>
        <v>0</v>
      </c>
      <c r="AM55" s="403" cm="1">
        <f t="array" aca="1" ref="AM55" ca="1">IFERROR(SUM(_xlfn._xlws.FILTER(INDIRECT(AM$112),(INDIRECT($B$112)=$B55)*(INDIRECT($D$112)=$D55)*(INDIRECT($F$112)=$F55),0)),0)</f>
        <v>0</v>
      </c>
      <c r="AN55" s="403" cm="1">
        <f t="array" aca="1" ref="AN55" ca="1">IFERROR(SUM(_xlfn._xlws.FILTER(INDIRECT(AN$112),(INDIRECT($B$112)=$B55)*(INDIRECT($D$112)=$D55)*(INDIRECT($F$112)=$F55),0)),0)</f>
        <v>0</v>
      </c>
      <c r="AO55" s="403" cm="1">
        <f t="array" aca="1" ref="AO55" ca="1">IFERROR(SUM(_xlfn._xlws.FILTER(INDIRECT(AO$112),(INDIRECT($B$112)=$B55)*(INDIRECT($D$112)=$D55)*(INDIRECT($F$112)=$F55),0)),0)</f>
        <v>0</v>
      </c>
      <c r="AP55" s="403" cm="1">
        <f t="array" aca="1" ref="AP55" ca="1">IFERROR(SUM(_xlfn._xlws.FILTER(INDIRECT(AP$112),(INDIRECT($B$112)=$B55)*(INDIRECT($D$112)=$D55)*(INDIRECT($F$112)=$F55),0)),0)</f>
        <v>0</v>
      </c>
      <c r="AQ55" s="403" cm="1">
        <f t="array" aca="1" ref="AQ55" ca="1">IFERROR(SUM(_xlfn._xlws.FILTER(INDIRECT(AQ$112),(INDIRECT($B$112)=$B55)*(INDIRECT($D$112)=$D55)*(INDIRECT($F$112)=$F55),0)),0)</f>
        <v>0</v>
      </c>
      <c r="AR55" s="403" cm="1">
        <f t="array" aca="1" ref="AR55" ca="1">IFERROR(SUM(_xlfn._xlws.FILTER(INDIRECT(AR$112),(INDIRECT($B$112)=$B55)*(INDIRECT($D$112)=$D55)*(INDIRECT($F$112)=$F55),0)),0)</f>
        <v>0</v>
      </c>
      <c r="AS55" s="286" t="str">
        <f t="shared" ca="1" si="4"/>
        <v>G55:AP55</v>
      </c>
      <c r="AT55" s="403">
        <f t="shared" ca="1" si="3"/>
        <v>0</v>
      </c>
      <c r="AV55" s="142" cm="1">
        <f t="array" aca="1" ref="AV55" ca="1">IF(AND(_xlfn.LET(_xlpm.x,SUM(ROW()),OR(AND(MATCH("SOT",$A:$A,0)&lt;_xlpm.x,MATCH("EOT",$A:$A,0)&gt;_xlpm.x),AND(MATCH("SOS",$A:$A,0)&lt;_xlpm.x,MATCH("EOS",$A:$A,0)&gt;_xlpm.x),AND(MATCH("SOR",$A:$A,0)&lt;_xlpm.x,MATCH("EOR",$A:$A,0)&gt;_xlpm.x))),INDIRECT("rc"&amp;MATCH("SCD",$1:$1,0),FALSE)="PPTO"),1,0)</f>
        <v>1</v>
      </c>
      <c r="AW55" s="142" cm="1">
        <f t="array" aca="1" ref="AW5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56" spans="1:49" s="153" customFormat="1" outlineLevel="2">
      <c r="A56" s="152"/>
      <c r="B56" s="401" t="str">
        <f ca="1"/>
        <v>31200</v>
      </c>
      <c r="C56" s="148"/>
      <c r="D56" s="404" t="str">
        <f ca="1"/>
        <v>CTBA</v>
      </c>
      <c r="E56" s="350" t="str" cm="1">
        <f t="array" aca="1" ref="E56" ca="1">UPPER(_xlfn.UNIQUE(_xlfn._xlws.FILTER(TbStd[OFbStd],TbStd[RowGrp]=$D56,"X")))</f>
        <v>BAAN COST</v>
      </c>
      <c r="F56" s="402" t="str">
        <f ca="1"/>
        <v>PREV</v>
      </c>
      <c r="G56" s="403" cm="1">
        <f t="array" aca="1" ref="G56" ca="1">IFERROR(SUM(_xlfn._xlws.FILTER(INDIRECT(G$112),(INDIRECT($B$112)=$B56)*(INDIRECT($D$112)=$D56)*(INDIRECT($F$112)=$F56),0)),0)</f>
        <v>0</v>
      </c>
      <c r="H56" s="403" cm="1">
        <f t="array" aca="1" ref="H56" ca="1">IFERROR(SUM(_xlfn._xlws.FILTER(INDIRECT(H$112),(INDIRECT($B$112)=$B56)*(INDIRECT($D$112)=$D56)*(INDIRECT($F$112)=$F56),0)),0)</f>
        <v>0</v>
      </c>
      <c r="I56" s="403" cm="1">
        <f t="array" aca="1" ref="I56" ca="1">IFERROR(SUM(_xlfn._xlws.FILTER(INDIRECT(I$112),(INDIRECT($B$112)=$B56)*(INDIRECT($D$112)=$D56)*(INDIRECT($F$112)=$F56),0)),0)</f>
        <v>0</v>
      </c>
      <c r="J56" s="403" cm="1">
        <f t="array" aca="1" ref="J56" ca="1">IFERROR(SUM(_xlfn._xlws.FILTER(INDIRECT(J$112),(INDIRECT($B$112)=$B56)*(INDIRECT($D$112)=$D56)*(INDIRECT($F$112)=$F56),0)),0)</f>
        <v>0</v>
      </c>
      <c r="K56" s="403" cm="1">
        <f t="array" aca="1" ref="K56" ca="1">IFERROR(SUM(_xlfn._xlws.FILTER(INDIRECT(K$112),(INDIRECT($B$112)=$B56)*(INDIRECT($D$112)=$D56)*(INDIRECT($F$112)=$F56),0)),0)</f>
        <v>0</v>
      </c>
      <c r="L56" s="403" cm="1">
        <f t="array" aca="1" ref="L56" ca="1">IFERROR(SUM(_xlfn._xlws.FILTER(INDIRECT(L$112),(INDIRECT($B$112)=$B56)*(INDIRECT($D$112)=$D56)*(INDIRECT($F$112)=$F56),0)),0)</f>
        <v>0</v>
      </c>
      <c r="M56" s="403" cm="1">
        <f t="array" aca="1" ref="M56" ca="1">IFERROR(SUM(_xlfn._xlws.FILTER(INDIRECT(M$112),(INDIRECT($B$112)=$B56)*(INDIRECT($D$112)=$D56)*(INDIRECT($F$112)=$F56),0)),0)</f>
        <v>0</v>
      </c>
      <c r="N56" s="403" cm="1">
        <f t="array" aca="1" ref="N56" ca="1">IFERROR(SUM(_xlfn._xlws.FILTER(INDIRECT(N$112),(INDIRECT($B$112)=$B56)*(INDIRECT($D$112)=$D56)*(INDIRECT($F$112)=$F56),0)),0)</f>
        <v>0</v>
      </c>
      <c r="O56" s="403" cm="1">
        <f t="array" aca="1" ref="O56" ca="1">IFERROR(SUM(_xlfn._xlws.FILTER(INDIRECT(O$112),(INDIRECT($B$112)=$B56)*(INDIRECT($D$112)=$D56)*(INDIRECT($F$112)=$F56),0)),0)</f>
        <v>0</v>
      </c>
      <c r="P56" s="403" cm="1">
        <f t="array" aca="1" ref="P56" ca="1">IFERROR(SUM(_xlfn._xlws.FILTER(INDIRECT(P$112),(INDIRECT($B$112)=$B56)*(INDIRECT($D$112)=$D56)*(INDIRECT($F$112)=$F56),0)),0)</f>
        <v>0</v>
      </c>
      <c r="Q56" s="403" cm="1">
        <f t="array" aca="1" ref="Q56" ca="1">IFERROR(SUM(_xlfn._xlws.FILTER(INDIRECT(Q$112),(INDIRECT($B$112)=$B56)*(INDIRECT($D$112)=$D56)*(INDIRECT($F$112)=$F56),0)),0)</f>
        <v>0</v>
      </c>
      <c r="R56" s="403" cm="1">
        <f t="array" aca="1" ref="R56" ca="1">IFERROR(SUM(_xlfn._xlws.FILTER(INDIRECT(R$112),(INDIRECT($B$112)=$B56)*(INDIRECT($D$112)=$D56)*(INDIRECT($F$112)=$F56),0)),0)</f>
        <v>0</v>
      </c>
      <c r="S56" s="403" cm="1">
        <f t="array" aca="1" ref="S56" ca="1">IFERROR(SUM(_xlfn._xlws.FILTER(INDIRECT(S$112),(INDIRECT($B$112)=$B56)*(INDIRECT($D$112)=$D56)*(INDIRECT($F$112)=$F56),0)),0)</f>
        <v>0</v>
      </c>
      <c r="T56" s="403" cm="1">
        <f t="array" aca="1" ref="T56" ca="1">IFERROR(SUM(_xlfn._xlws.FILTER(INDIRECT(T$112),(INDIRECT($B$112)=$B56)*(INDIRECT($D$112)=$D56)*(INDIRECT($F$112)=$F56),0)),0)</f>
        <v>0</v>
      </c>
      <c r="U56" s="403" cm="1">
        <f t="array" aca="1" ref="U56" ca="1">IFERROR(SUM(_xlfn._xlws.FILTER(INDIRECT(U$112),(INDIRECT($B$112)=$B56)*(INDIRECT($D$112)=$D56)*(INDIRECT($F$112)=$F56),0)),0)</f>
        <v>0</v>
      </c>
      <c r="V56" s="403" cm="1">
        <f t="array" aca="1" ref="V56" ca="1">IFERROR(SUM(_xlfn._xlws.FILTER(INDIRECT(V$112),(INDIRECT($B$112)=$B56)*(INDIRECT($D$112)=$D56)*(INDIRECT($F$112)=$F56),0)),0)</f>
        <v>0</v>
      </c>
      <c r="W56" s="403" cm="1">
        <f t="array" aca="1" ref="W56" ca="1">IFERROR(SUM(_xlfn._xlws.FILTER(INDIRECT(W$112),(INDIRECT($B$112)=$B56)*(INDIRECT($D$112)=$D56)*(INDIRECT($F$112)=$F56),0)),0)</f>
        <v>0</v>
      </c>
      <c r="X56" s="403" cm="1">
        <f t="array" aca="1" ref="X56" ca="1">IFERROR(SUM(_xlfn._xlws.FILTER(INDIRECT(X$112),(INDIRECT($B$112)=$B56)*(INDIRECT($D$112)=$D56)*(INDIRECT($F$112)=$F56),0)),0)</f>
        <v>0</v>
      </c>
      <c r="Y56" s="403" cm="1">
        <f t="array" aca="1" ref="Y56" ca="1">IFERROR(SUM(_xlfn._xlws.FILTER(INDIRECT(Y$112),(INDIRECT($B$112)=$B56)*(INDIRECT($D$112)=$D56)*(INDIRECT($F$112)=$F56),0)),0)</f>
        <v>0</v>
      </c>
      <c r="Z56" s="403" cm="1">
        <f t="array" aca="1" ref="Z56" ca="1">IFERROR(SUM(_xlfn._xlws.FILTER(INDIRECT(Z$112),(INDIRECT($B$112)=$B56)*(INDIRECT($D$112)=$D56)*(INDIRECT($F$112)=$F56),0)),0)</f>
        <v>0</v>
      </c>
      <c r="AA56" s="403" cm="1">
        <f t="array" aca="1" ref="AA56" ca="1">IFERROR(SUM(_xlfn._xlws.FILTER(INDIRECT(AA$112),(INDIRECT($B$112)=$B56)*(INDIRECT($D$112)=$D56)*(INDIRECT($F$112)=$F56),0)),0)</f>
        <v>0</v>
      </c>
      <c r="AB56" s="403" cm="1">
        <f t="array" aca="1" ref="AB56" ca="1">IFERROR(SUM(_xlfn._xlws.FILTER(INDIRECT(AB$112),(INDIRECT($B$112)=$B56)*(INDIRECT($D$112)=$D56)*(INDIRECT($F$112)=$F56),0)),0)</f>
        <v>0</v>
      </c>
      <c r="AC56" s="403" cm="1">
        <f t="array" aca="1" ref="AC56" ca="1">IFERROR(SUM(_xlfn._xlws.FILTER(INDIRECT(AC$112),(INDIRECT($B$112)=$B56)*(INDIRECT($D$112)=$D56)*(INDIRECT($F$112)=$F56),0)),0)</f>
        <v>0</v>
      </c>
      <c r="AD56" s="403" cm="1">
        <f t="array" aca="1" ref="AD56" ca="1">IFERROR(SUM(_xlfn._xlws.FILTER(INDIRECT(AD$112),(INDIRECT($B$112)=$B56)*(INDIRECT($D$112)=$D56)*(INDIRECT($F$112)=$F56),0)),0)</f>
        <v>0</v>
      </c>
      <c r="AE56" s="403" cm="1">
        <f t="array" aca="1" ref="AE56" ca="1">IFERROR(SUM(_xlfn._xlws.FILTER(INDIRECT(AE$112),(INDIRECT($B$112)=$B56)*(INDIRECT($D$112)=$D56)*(INDIRECT($F$112)=$F56),0)),0)</f>
        <v>0</v>
      </c>
      <c r="AF56" s="403" cm="1">
        <f t="array" aca="1" ref="AF56" ca="1">IFERROR(SUM(_xlfn._xlws.FILTER(INDIRECT(AF$112),(INDIRECT($B$112)=$B56)*(INDIRECT($D$112)=$D56)*(INDIRECT($F$112)=$F56),0)),0)</f>
        <v>0</v>
      </c>
      <c r="AG56" s="403" cm="1">
        <f t="array" aca="1" ref="AG56" ca="1">IFERROR(SUM(_xlfn._xlws.FILTER(INDIRECT(AG$112),(INDIRECT($B$112)=$B56)*(INDIRECT($D$112)=$D56)*(INDIRECT($F$112)=$F56),0)),0)</f>
        <v>0</v>
      </c>
      <c r="AH56" s="403" cm="1">
        <f t="array" aca="1" ref="AH56" ca="1">IFERROR(SUM(_xlfn._xlws.FILTER(INDIRECT(AH$112),(INDIRECT($B$112)=$B56)*(INDIRECT($D$112)=$D56)*(INDIRECT($F$112)=$F56),0)),0)</f>
        <v>0</v>
      </c>
      <c r="AI56" s="403" cm="1">
        <f t="array" aca="1" ref="AI56" ca="1">IFERROR(SUM(_xlfn._xlws.FILTER(INDIRECT(AI$112),(INDIRECT($B$112)=$B56)*(INDIRECT($D$112)=$D56)*(INDIRECT($F$112)=$F56),0)),0)</f>
        <v>0</v>
      </c>
      <c r="AJ56" s="403" cm="1">
        <f t="array" aca="1" ref="AJ56" ca="1">IFERROR(SUM(_xlfn._xlws.FILTER(INDIRECT(AJ$112),(INDIRECT($B$112)=$B56)*(INDIRECT($D$112)=$D56)*(INDIRECT($F$112)=$F56),0)),0)</f>
        <v>10403.970000000001</v>
      </c>
      <c r="AK56" s="403" cm="1">
        <f t="array" aca="1" ref="AK56" ca="1">IFERROR(SUM(_xlfn._xlws.FILTER(INDIRECT(AK$112),(INDIRECT($B$112)=$B56)*(INDIRECT($D$112)=$D56)*(INDIRECT($F$112)=$F56),0)),0)</f>
        <v>0</v>
      </c>
      <c r="AL56" s="403" cm="1">
        <f t="array" aca="1" ref="AL56" ca="1">IFERROR(SUM(_xlfn._xlws.FILTER(INDIRECT(AL$112),(INDIRECT($B$112)=$B56)*(INDIRECT($D$112)=$D56)*(INDIRECT($F$112)=$F56),0)),0)</f>
        <v>1015.74</v>
      </c>
      <c r="AM56" s="403" cm="1">
        <f t="array" aca="1" ref="AM56" ca="1">IFERROR(SUM(_xlfn._xlws.FILTER(INDIRECT(AM$112),(INDIRECT($B$112)=$B56)*(INDIRECT($D$112)=$D56)*(INDIRECT($F$112)=$F56),0)),0)</f>
        <v>0</v>
      </c>
      <c r="AN56" s="403" cm="1">
        <f t="array" aca="1" ref="AN56" ca="1">IFERROR(SUM(_xlfn._xlws.FILTER(INDIRECT(AN$112),(INDIRECT($B$112)=$B56)*(INDIRECT($D$112)=$D56)*(INDIRECT($F$112)=$F56),0)),0)</f>
        <v>425.56</v>
      </c>
      <c r="AO56" s="403" cm="1">
        <f t="array" aca="1" ref="AO56" ca="1">IFERROR(SUM(_xlfn._xlws.FILTER(INDIRECT(AO$112),(INDIRECT($B$112)=$B56)*(INDIRECT($D$112)=$D56)*(INDIRECT($F$112)=$F56),0)),0)</f>
        <v>0</v>
      </c>
      <c r="AP56" s="403" cm="1">
        <f t="array" aca="1" ref="AP56" ca="1">IFERROR(SUM(_xlfn._xlws.FILTER(INDIRECT(AP$112),(INDIRECT($B$112)=$B56)*(INDIRECT($D$112)=$D56)*(INDIRECT($F$112)=$F56),0)),0)</f>
        <v>0</v>
      </c>
      <c r="AQ56" s="403" cm="1">
        <f t="array" aca="1" ref="AQ56" ca="1">IFERROR(SUM(_xlfn._xlws.FILTER(INDIRECT(AQ$112),(INDIRECT($B$112)=$B56)*(INDIRECT($D$112)=$D56)*(INDIRECT($F$112)=$F56),0)),0)</f>
        <v>0</v>
      </c>
      <c r="AR56" s="403" cm="1">
        <f t="array" aca="1" ref="AR56" ca="1">IFERROR(SUM(_xlfn._xlws.FILTER(INDIRECT(AR$112),(INDIRECT($B$112)=$B56)*(INDIRECT($D$112)=$D56)*(INDIRECT($F$112)=$F56),0)),0)</f>
        <v>11845.27</v>
      </c>
      <c r="AS56" s="286" t="str">
        <f t="shared" ca="1" si="4"/>
        <v>G56:AP56</v>
      </c>
      <c r="AT56" s="403">
        <f t="shared" ca="1" si="3"/>
        <v>11845.27</v>
      </c>
      <c r="AV56" s="142" cm="1">
        <f t="array" aca="1" ref="AV56" ca="1">IF(AND(_xlfn.LET(_xlpm.x,SUM(ROW()),OR(AND(MATCH("SOT",$A:$A,0)&lt;_xlpm.x,MATCH("EOT",$A:$A,0)&gt;_xlpm.x),AND(MATCH("SOS",$A:$A,0)&lt;_xlpm.x,MATCH("EOS",$A:$A,0)&gt;_xlpm.x),AND(MATCH("SOR",$A:$A,0)&lt;_xlpm.x,MATCH("EOR",$A:$A,0)&gt;_xlpm.x))),INDIRECT("rc"&amp;MATCH("SCD",$1:$1,0),FALSE)="PPTO"),1,0)</f>
        <v>0</v>
      </c>
      <c r="AW56" s="142" cm="1">
        <f t="array" aca="1" ref="AW5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57" spans="1:49" s="153" customFormat="1" outlineLevel="2">
      <c r="A57" s="152"/>
      <c r="B57" s="401" t="str">
        <f ca="1"/>
        <v>31200</v>
      </c>
      <c r="C57" s="148"/>
      <c r="D57" s="404" t="str">
        <f ca="1"/>
        <v>CTBA</v>
      </c>
      <c r="E57" s="350" t="str" cm="1">
        <f t="array" aca="1" ref="E57" ca="1">UPPER(_xlfn.UNIQUE(_xlfn._xlws.FILTER(TbStd[OFbStd],TbStd[RowGrp]=$D57,"X")))</f>
        <v>BAAN COST</v>
      </c>
      <c r="F57" s="402" t="str">
        <f ca="1"/>
        <v>REAL</v>
      </c>
      <c r="G57" s="403" cm="1">
        <f t="array" aca="1" ref="G57" ca="1">IFERROR(SUM(_xlfn._xlws.FILTER(INDIRECT(G$112),(INDIRECT($B$112)=$B57)*(INDIRECT($D$112)=$D57)*(INDIRECT($F$112)=$F57),0)),0)</f>
        <v>0</v>
      </c>
      <c r="H57" s="403" cm="1">
        <f t="array" aca="1" ref="H57" ca="1">IFERROR(SUM(_xlfn._xlws.FILTER(INDIRECT(H$112),(INDIRECT($B$112)=$B57)*(INDIRECT($D$112)=$D57)*(INDIRECT($F$112)=$F57),0)),0)</f>
        <v>0</v>
      </c>
      <c r="I57" s="403" cm="1">
        <f t="array" aca="1" ref="I57" ca="1">IFERROR(SUM(_xlfn._xlws.FILTER(INDIRECT(I$112),(INDIRECT($B$112)=$B57)*(INDIRECT($D$112)=$D57)*(INDIRECT($F$112)=$F57),0)),0)</f>
        <v>0</v>
      </c>
      <c r="J57" s="403" cm="1">
        <f t="array" aca="1" ref="J57" ca="1">IFERROR(SUM(_xlfn._xlws.FILTER(INDIRECT(J$112),(INDIRECT($B$112)=$B57)*(INDIRECT($D$112)=$D57)*(INDIRECT($F$112)=$F57),0)),0)</f>
        <v>0</v>
      </c>
      <c r="K57" s="403" cm="1">
        <f t="array" aca="1" ref="K57" ca="1">IFERROR(SUM(_xlfn._xlws.FILTER(INDIRECT(K$112),(INDIRECT($B$112)=$B57)*(INDIRECT($D$112)=$D57)*(INDIRECT($F$112)=$F57),0)),0)</f>
        <v>0</v>
      </c>
      <c r="L57" s="403" cm="1">
        <f t="array" aca="1" ref="L57" ca="1">IFERROR(SUM(_xlfn._xlws.FILTER(INDIRECT(L$112),(INDIRECT($B$112)=$B57)*(INDIRECT($D$112)=$D57)*(INDIRECT($F$112)=$F57),0)),0)</f>
        <v>0</v>
      </c>
      <c r="M57" s="403" cm="1">
        <f t="array" aca="1" ref="M57" ca="1">IFERROR(SUM(_xlfn._xlws.FILTER(INDIRECT(M$112),(INDIRECT($B$112)=$B57)*(INDIRECT($D$112)=$D57)*(INDIRECT($F$112)=$F57),0)),0)</f>
        <v>0</v>
      </c>
      <c r="N57" s="403" cm="1">
        <f t="array" aca="1" ref="N57" ca="1">IFERROR(SUM(_xlfn._xlws.FILTER(INDIRECT(N$112),(INDIRECT($B$112)=$B57)*(INDIRECT($D$112)=$D57)*(INDIRECT($F$112)=$F57),0)),0)</f>
        <v>0</v>
      </c>
      <c r="O57" s="403" cm="1">
        <f t="array" aca="1" ref="O57" ca="1">IFERROR(SUM(_xlfn._xlws.FILTER(INDIRECT(O$112),(INDIRECT($B$112)=$B57)*(INDIRECT($D$112)=$D57)*(INDIRECT($F$112)=$F57),0)),0)</f>
        <v>0</v>
      </c>
      <c r="P57" s="403" cm="1">
        <f t="array" aca="1" ref="P57" ca="1">IFERROR(SUM(_xlfn._xlws.FILTER(INDIRECT(P$112),(INDIRECT($B$112)=$B57)*(INDIRECT($D$112)=$D57)*(INDIRECT($F$112)=$F57),0)),0)</f>
        <v>0</v>
      </c>
      <c r="Q57" s="403" cm="1">
        <f t="array" aca="1" ref="Q57" ca="1">IFERROR(SUM(_xlfn._xlws.FILTER(INDIRECT(Q$112),(INDIRECT($B$112)=$B57)*(INDIRECT($D$112)=$D57)*(INDIRECT($F$112)=$F57),0)),0)</f>
        <v>0</v>
      </c>
      <c r="R57" s="403" cm="1">
        <f t="array" aca="1" ref="R57" ca="1">IFERROR(SUM(_xlfn._xlws.FILTER(INDIRECT(R$112),(INDIRECT($B$112)=$B57)*(INDIRECT($D$112)=$D57)*(INDIRECT($F$112)=$F57),0)),0)</f>
        <v>0</v>
      </c>
      <c r="S57" s="403" cm="1">
        <f t="array" aca="1" ref="S57" ca="1">IFERROR(SUM(_xlfn._xlws.FILTER(INDIRECT(S$112),(INDIRECT($B$112)=$B57)*(INDIRECT($D$112)=$D57)*(INDIRECT($F$112)=$F57),0)),0)</f>
        <v>0</v>
      </c>
      <c r="T57" s="403" cm="1">
        <f t="array" aca="1" ref="T57" ca="1">IFERROR(SUM(_xlfn._xlws.FILTER(INDIRECT(T$112),(INDIRECT($B$112)=$B57)*(INDIRECT($D$112)=$D57)*(INDIRECT($F$112)=$F57),0)),0)</f>
        <v>0</v>
      </c>
      <c r="U57" s="403" cm="1">
        <f t="array" aca="1" ref="U57" ca="1">IFERROR(SUM(_xlfn._xlws.FILTER(INDIRECT(U$112),(INDIRECT($B$112)=$B57)*(INDIRECT($D$112)=$D57)*(INDIRECT($F$112)=$F57),0)),0)</f>
        <v>0</v>
      </c>
      <c r="V57" s="403" cm="1">
        <f t="array" aca="1" ref="V57" ca="1">IFERROR(SUM(_xlfn._xlws.FILTER(INDIRECT(V$112),(INDIRECT($B$112)=$B57)*(INDIRECT($D$112)=$D57)*(INDIRECT($F$112)=$F57),0)),0)</f>
        <v>0</v>
      </c>
      <c r="W57" s="403" cm="1">
        <f t="array" aca="1" ref="W57" ca="1">IFERROR(SUM(_xlfn._xlws.FILTER(INDIRECT(W$112),(INDIRECT($B$112)=$B57)*(INDIRECT($D$112)=$D57)*(INDIRECT($F$112)=$F57),0)),0)</f>
        <v>0</v>
      </c>
      <c r="X57" s="403" cm="1">
        <f t="array" aca="1" ref="X57" ca="1">IFERROR(SUM(_xlfn._xlws.FILTER(INDIRECT(X$112),(INDIRECT($B$112)=$B57)*(INDIRECT($D$112)=$D57)*(INDIRECT($F$112)=$F57),0)),0)</f>
        <v>0</v>
      </c>
      <c r="Y57" s="403" cm="1">
        <f t="array" aca="1" ref="Y57" ca="1">IFERROR(SUM(_xlfn._xlws.FILTER(INDIRECT(Y$112),(INDIRECT($B$112)=$B57)*(INDIRECT($D$112)=$D57)*(INDIRECT($F$112)=$F57),0)),0)</f>
        <v>0</v>
      </c>
      <c r="Z57" s="403" cm="1">
        <f t="array" aca="1" ref="Z57" ca="1">IFERROR(SUM(_xlfn._xlws.FILTER(INDIRECT(Z$112),(INDIRECT($B$112)=$B57)*(INDIRECT($D$112)=$D57)*(INDIRECT($F$112)=$F57),0)),0)</f>
        <v>0</v>
      </c>
      <c r="AA57" s="403" cm="1">
        <f t="array" aca="1" ref="AA57" ca="1">IFERROR(SUM(_xlfn._xlws.FILTER(INDIRECT(AA$112),(INDIRECT($B$112)=$B57)*(INDIRECT($D$112)=$D57)*(INDIRECT($F$112)=$F57),0)),0)</f>
        <v>0</v>
      </c>
      <c r="AB57" s="403" cm="1">
        <f t="array" aca="1" ref="AB57" ca="1">IFERROR(SUM(_xlfn._xlws.FILTER(INDIRECT(AB$112),(INDIRECT($B$112)=$B57)*(INDIRECT($D$112)=$D57)*(INDIRECT($F$112)=$F57),0)),0)</f>
        <v>0</v>
      </c>
      <c r="AC57" s="403" cm="1">
        <f t="array" aca="1" ref="AC57" ca="1">IFERROR(SUM(_xlfn._xlws.FILTER(INDIRECT(AC$112),(INDIRECT($B$112)=$B57)*(INDIRECT($D$112)=$D57)*(INDIRECT($F$112)=$F57),0)),0)</f>
        <v>0</v>
      </c>
      <c r="AD57" s="403" cm="1">
        <f t="array" aca="1" ref="AD57" ca="1">IFERROR(SUM(_xlfn._xlws.FILTER(INDIRECT(AD$112),(INDIRECT($B$112)=$B57)*(INDIRECT($D$112)=$D57)*(INDIRECT($F$112)=$F57),0)),0)</f>
        <v>0</v>
      </c>
      <c r="AE57" s="403" cm="1">
        <f t="array" aca="1" ref="AE57" ca="1">IFERROR(SUM(_xlfn._xlws.FILTER(INDIRECT(AE$112),(INDIRECT($B$112)=$B57)*(INDIRECT($D$112)=$D57)*(INDIRECT($F$112)=$F57),0)),0)</f>
        <v>0</v>
      </c>
      <c r="AF57" s="403" cm="1">
        <f t="array" aca="1" ref="AF57" ca="1">IFERROR(SUM(_xlfn._xlws.FILTER(INDIRECT(AF$112),(INDIRECT($B$112)=$B57)*(INDIRECT($D$112)=$D57)*(INDIRECT($F$112)=$F57),0)),0)</f>
        <v>0</v>
      </c>
      <c r="AG57" s="403" cm="1">
        <f t="array" aca="1" ref="AG57" ca="1">IFERROR(SUM(_xlfn._xlws.FILTER(INDIRECT(AG$112),(INDIRECT($B$112)=$B57)*(INDIRECT($D$112)=$D57)*(INDIRECT($F$112)=$F57),0)),0)</f>
        <v>0</v>
      </c>
      <c r="AH57" s="403" cm="1">
        <f t="array" aca="1" ref="AH57" ca="1">IFERROR(SUM(_xlfn._xlws.FILTER(INDIRECT(AH$112),(INDIRECT($B$112)=$B57)*(INDIRECT($D$112)=$D57)*(INDIRECT($F$112)=$F57),0)),0)</f>
        <v>0</v>
      </c>
      <c r="AI57" s="403" cm="1">
        <f t="array" aca="1" ref="AI57" ca="1">IFERROR(SUM(_xlfn._xlws.FILTER(INDIRECT(AI$112),(INDIRECT($B$112)=$B57)*(INDIRECT($D$112)=$D57)*(INDIRECT($F$112)=$F57),0)),0)</f>
        <v>0</v>
      </c>
      <c r="AJ57" s="403" cm="1">
        <f t="array" aca="1" ref="AJ57" ca="1">IFERROR(SUM(_xlfn._xlws.FILTER(INDIRECT(AJ$112),(INDIRECT($B$112)=$B57)*(INDIRECT($D$112)=$D57)*(INDIRECT($F$112)=$F57),0)),0)</f>
        <v>10403.970000000001</v>
      </c>
      <c r="AK57" s="403" cm="1">
        <f t="array" aca="1" ref="AK57" ca="1">IFERROR(SUM(_xlfn._xlws.FILTER(INDIRECT(AK$112),(INDIRECT($B$112)=$B57)*(INDIRECT($D$112)=$D57)*(INDIRECT($F$112)=$F57),0)),0)</f>
        <v>0</v>
      </c>
      <c r="AL57" s="403" cm="1">
        <f t="array" aca="1" ref="AL57" ca="1">IFERROR(SUM(_xlfn._xlws.FILTER(INDIRECT(AL$112),(INDIRECT($B$112)=$B57)*(INDIRECT($D$112)=$D57)*(INDIRECT($F$112)=$F57),0)),0)</f>
        <v>1015.74</v>
      </c>
      <c r="AM57" s="403" cm="1">
        <f t="array" aca="1" ref="AM57" ca="1">IFERROR(SUM(_xlfn._xlws.FILTER(INDIRECT(AM$112),(INDIRECT($B$112)=$B57)*(INDIRECT($D$112)=$D57)*(INDIRECT($F$112)=$F57),0)),0)</f>
        <v>0</v>
      </c>
      <c r="AN57" s="403" cm="1">
        <f t="array" aca="1" ref="AN57" ca="1">IFERROR(SUM(_xlfn._xlws.FILTER(INDIRECT(AN$112),(INDIRECT($B$112)=$B57)*(INDIRECT($D$112)=$D57)*(INDIRECT($F$112)=$F57),0)),0)</f>
        <v>425.56</v>
      </c>
      <c r="AO57" s="403" cm="1">
        <f t="array" aca="1" ref="AO57" ca="1">IFERROR(SUM(_xlfn._xlws.FILTER(INDIRECT(AO$112),(INDIRECT($B$112)=$B57)*(INDIRECT($D$112)=$D57)*(INDIRECT($F$112)=$F57),0)),0)</f>
        <v>0</v>
      </c>
      <c r="AP57" s="403" cm="1">
        <f t="array" aca="1" ref="AP57" ca="1">IFERROR(SUM(_xlfn._xlws.FILTER(INDIRECT(AP$112),(INDIRECT($B$112)=$B57)*(INDIRECT($D$112)=$D57)*(INDIRECT($F$112)=$F57),0)),0)</f>
        <v>0</v>
      </c>
      <c r="AQ57" s="403" cm="1">
        <f t="array" aca="1" ref="AQ57" ca="1">IFERROR(SUM(_xlfn._xlws.FILTER(INDIRECT(AQ$112),(INDIRECT($B$112)=$B57)*(INDIRECT($D$112)=$D57)*(INDIRECT($F$112)=$F57),0)),0)</f>
        <v>0</v>
      </c>
      <c r="AR57" s="403" cm="1">
        <f t="array" aca="1" ref="AR57" ca="1">IFERROR(SUM(_xlfn._xlws.FILTER(INDIRECT(AR$112),(INDIRECT($B$112)=$B57)*(INDIRECT($D$112)=$D57)*(INDIRECT($F$112)=$F57),0)),0)</f>
        <v>11845.27</v>
      </c>
      <c r="AS57" s="286" t="str">
        <f t="shared" ca="1" si="4"/>
        <v>G57:AP57</v>
      </c>
      <c r="AT57" s="403">
        <f t="shared" ca="1" si="3"/>
        <v>11845.27</v>
      </c>
      <c r="AV57" s="142" cm="1">
        <f t="array" aca="1" ref="AV57" ca="1">IF(AND(_xlfn.LET(_xlpm.x,SUM(ROW()),OR(AND(MATCH("SOT",$A:$A,0)&lt;_xlpm.x,MATCH("EOT",$A:$A,0)&gt;_xlpm.x),AND(MATCH("SOS",$A:$A,0)&lt;_xlpm.x,MATCH("EOS",$A:$A,0)&gt;_xlpm.x),AND(MATCH("SOR",$A:$A,0)&lt;_xlpm.x,MATCH("EOR",$A:$A,0)&gt;_xlpm.x))),INDIRECT("rc"&amp;MATCH("SCD",$1:$1,0),FALSE)="PPTO"),1,0)</f>
        <v>0</v>
      </c>
      <c r="AW57" s="142" cm="1">
        <f t="array" aca="1" ref="AW5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58" spans="1:49" s="153" customFormat="1" outlineLevel="2">
      <c r="A58" s="152"/>
      <c r="B58" s="401"/>
      <c r="C58" s="148"/>
      <c r="D58" s="404"/>
      <c r="E58" s="350" t="str" cm="1">
        <f t="array" ref="E58">UPPER(_xlfn.UNIQUE(_xlfn._xlws.FILTER(TbStd[OFbStd],TbStd[RowGrp]=$D58,"X")))</f>
        <v>X</v>
      </c>
      <c r="F58" s="402"/>
      <c r="G58" s="403" cm="1">
        <f t="array" aca="1" ref="G58" ca="1">IFERROR(SUM(_xlfn._xlws.FILTER(INDIRECT(G$112),(INDIRECT($B$112)=$B58)*(INDIRECT($D$112)=$D58)*(INDIRECT($F$112)=$F58),0)),0)</f>
        <v>0</v>
      </c>
      <c r="H58" s="403" cm="1">
        <f t="array" aca="1" ref="H58" ca="1">IFERROR(SUM(_xlfn._xlws.FILTER(INDIRECT(H$112),(INDIRECT($B$112)=$B58)*(INDIRECT($D$112)=$D58)*(INDIRECT($F$112)=$F58),0)),0)</f>
        <v>0</v>
      </c>
      <c r="I58" s="403" cm="1">
        <f t="array" aca="1" ref="I58" ca="1">IFERROR(SUM(_xlfn._xlws.FILTER(INDIRECT(I$112),(INDIRECT($B$112)=$B58)*(INDIRECT($D$112)=$D58)*(INDIRECT($F$112)=$F58),0)),0)</f>
        <v>0</v>
      </c>
      <c r="J58" s="403" cm="1">
        <f t="array" aca="1" ref="J58" ca="1">IFERROR(SUM(_xlfn._xlws.FILTER(INDIRECT(J$112),(INDIRECT($B$112)=$B58)*(INDIRECT($D$112)=$D58)*(INDIRECT($F$112)=$F58),0)),0)</f>
        <v>0</v>
      </c>
      <c r="K58" s="403" cm="1">
        <f t="array" aca="1" ref="K58" ca="1">IFERROR(SUM(_xlfn._xlws.FILTER(INDIRECT(K$112),(INDIRECT($B$112)=$B58)*(INDIRECT($D$112)=$D58)*(INDIRECT($F$112)=$F58),0)),0)</f>
        <v>0</v>
      </c>
      <c r="L58" s="403" cm="1">
        <f t="array" aca="1" ref="L58" ca="1">IFERROR(SUM(_xlfn._xlws.FILTER(INDIRECT(L$112),(INDIRECT($B$112)=$B58)*(INDIRECT($D$112)=$D58)*(INDIRECT($F$112)=$F58),0)),0)</f>
        <v>0</v>
      </c>
      <c r="M58" s="403" cm="1">
        <f t="array" aca="1" ref="M58" ca="1">IFERROR(SUM(_xlfn._xlws.FILTER(INDIRECT(M$112),(INDIRECT($B$112)=$B58)*(INDIRECT($D$112)=$D58)*(INDIRECT($F$112)=$F58),0)),0)</f>
        <v>0</v>
      </c>
      <c r="N58" s="403" cm="1">
        <f t="array" aca="1" ref="N58" ca="1">IFERROR(SUM(_xlfn._xlws.FILTER(INDIRECT(N$112),(INDIRECT($B$112)=$B58)*(INDIRECT($D$112)=$D58)*(INDIRECT($F$112)=$F58),0)),0)</f>
        <v>0</v>
      </c>
      <c r="O58" s="403" cm="1">
        <f t="array" aca="1" ref="O58" ca="1">IFERROR(SUM(_xlfn._xlws.FILTER(INDIRECT(O$112),(INDIRECT($B$112)=$B58)*(INDIRECT($D$112)=$D58)*(INDIRECT($F$112)=$F58),0)),0)</f>
        <v>0</v>
      </c>
      <c r="P58" s="403" cm="1">
        <f t="array" aca="1" ref="P58" ca="1">IFERROR(SUM(_xlfn._xlws.FILTER(INDIRECT(P$112),(INDIRECT($B$112)=$B58)*(INDIRECT($D$112)=$D58)*(INDIRECT($F$112)=$F58),0)),0)</f>
        <v>0</v>
      </c>
      <c r="Q58" s="403" cm="1">
        <f t="array" aca="1" ref="Q58" ca="1">IFERROR(SUM(_xlfn._xlws.FILTER(INDIRECT(Q$112),(INDIRECT($B$112)=$B58)*(INDIRECT($D$112)=$D58)*(INDIRECT($F$112)=$F58),0)),0)</f>
        <v>0</v>
      </c>
      <c r="R58" s="403" cm="1">
        <f t="array" aca="1" ref="R58" ca="1">IFERROR(SUM(_xlfn._xlws.FILTER(INDIRECT(R$112),(INDIRECT($B$112)=$B58)*(INDIRECT($D$112)=$D58)*(INDIRECT($F$112)=$F58),0)),0)</f>
        <v>0</v>
      </c>
      <c r="S58" s="403" cm="1">
        <f t="array" aca="1" ref="S58" ca="1">IFERROR(SUM(_xlfn._xlws.FILTER(INDIRECT(S$112),(INDIRECT($B$112)=$B58)*(INDIRECT($D$112)=$D58)*(INDIRECT($F$112)=$F58),0)),0)</f>
        <v>0</v>
      </c>
      <c r="T58" s="403" cm="1">
        <f t="array" aca="1" ref="T58" ca="1">IFERROR(SUM(_xlfn._xlws.FILTER(INDIRECT(T$112),(INDIRECT($B$112)=$B58)*(INDIRECT($D$112)=$D58)*(INDIRECT($F$112)=$F58),0)),0)</f>
        <v>0</v>
      </c>
      <c r="U58" s="403" cm="1">
        <f t="array" aca="1" ref="U58" ca="1">IFERROR(SUM(_xlfn._xlws.FILTER(INDIRECT(U$112),(INDIRECT($B$112)=$B58)*(INDIRECT($D$112)=$D58)*(INDIRECT($F$112)=$F58),0)),0)</f>
        <v>0</v>
      </c>
      <c r="V58" s="403" cm="1">
        <f t="array" aca="1" ref="V58" ca="1">IFERROR(SUM(_xlfn._xlws.FILTER(INDIRECT(V$112),(INDIRECT($B$112)=$B58)*(INDIRECT($D$112)=$D58)*(INDIRECT($F$112)=$F58),0)),0)</f>
        <v>0</v>
      </c>
      <c r="W58" s="403" cm="1">
        <f t="array" aca="1" ref="W58" ca="1">IFERROR(SUM(_xlfn._xlws.FILTER(INDIRECT(W$112),(INDIRECT($B$112)=$B58)*(INDIRECT($D$112)=$D58)*(INDIRECT($F$112)=$F58),0)),0)</f>
        <v>0</v>
      </c>
      <c r="X58" s="403" cm="1">
        <f t="array" aca="1" ref="X58" ca="1">IFERROR(SUM(_xlfn._xlws.FILTER(INDIRECT(X$112),(INDIRECT($B$112)=$B58)*(INDIRECT($D$112)=$D58)*(INDIRECT($F$112)=$F58),0)),0)</f>
        <v>0</v>
      </c>
      <c r="Y58" s="403" cm="1">
        <f t="array" aca="1" ref="Y58" ca="1">IFERROR(SUM(_xlfn._xlws.FILTER(INDIRECT(Y$112),(INDIRECT($B$112)=$B58)*(INDIRECT($D$112)=$D58)*(INDIRECT($F$112)=$F58),0)),0)</f>
        <v>0</v>
      </c>
      <c r="Z58" s="403" cm="1">
        <f t="array" aca="1" ref="Z58" ca="1">IFERROR(SUM(_xlfn._xlws.FILTER(INDIRECT(Z$112),(INDIRECT($B$112)=$B58)*(INDIRECT($D$112)=$D58)*(INDIRECT($F$112)=$F58),0)),0)</f>
        <v>0</v>
      </c>
      <c r="AA58" s="403" cm="1">
        <f t="array" aca="1" ref="AA58" ca="1">IFERROR(SUM(_xlfn._xlws.FILTER(INDIRECT(AA$112),(INDIRECT($B$112)=$B58)*(INDIRECT($D$112)=$D58)*(INDIRECT($F$112)=$F58),0)),0)</f>
        <v>0</v>
      </c>
      <c r="AB58" s="403" cm="1">
        <f t="array" aca="1" ref="AB58" ca="1">IFERROR(SUM(_xlfn._xlws.FILTER(INDIRECT(AB$112),(INDIRECT($B$112)=$B58)*(INDIRECT($D$112)=$D58)*(INDIRECT($F$112)=$F58),0)),0)</f>
        <v>0</v>
      </c>
      <c r="AC58" s="403" cm="1">
        <f t="array" aca="1" ref="AC58" ca="1">IFERROR(SUM(_xlfn._xlws.FILTER(INDIRECT(AC$112),(INDIRECT($B$112)=$B58)*(INDIRECT($D$112)=$D58)*(INDIRECT($F$112)=$F58),0)),0)</f>
        <v>0</v>
      </c>
      <c r="AD58" s="403" cm="1">
        <f t="array" aca="1" ref="AD58" ca="1">IFERROR(SUM(_xlfn._xlws.FILTER(INDIRECT(AD$112),(INDIRECT($B$112)=$B58)*(INDIRECT($D$112)=$D58)*(INDIRECT($F$112)=$F58),0)),0)</f>
        <v>0</v>
      </c>
      <c r="AE58" s="403" cm="1">
        <f t="array" aca="1" ref="AE58" ca="1">IFERROR(SUM(_xlfn._xlws.FILTER(INDIRECT(AE$112),(INDIRECT($B$112)=$B58)*(INDIRECT($D$112)=$D58)*(INDIRECT($F$112)=$F58),0)),0)</f>
        <v>0</v>
      </c>
      <c r="AF58" s="403" cm="1">
        <f t="array" aca="1" ref="AF58" ca="1">IFERROR(SUM(_xlfn._xlws.FILTER(INDIRECT(AF$112),(INDIRECT($B$112)=$B58)*(INDIRECT($D$112)=$D58)*(INDIRECT($F$112)=$F58),0)),0)</f>
        <v>0</v>
      </c>
      <c r="AG58" s="403" cm="1">
        <f t="array" aca="1" ref="AG58" ca="1">IFERROR(SUM(_xlfn._xlws.FILTER(INDIRECT(AG$112),(INDIRECT($B$112)=$B58)*(INDIRECT($D$112)=$D58)*(INDIRECT($F$112)=$F58),0)),0)</f>
        <v>0</v>
      </c>
      <c r="AH58" s="403" cm="1">
        <f t="array" aca="1" ref="AH58" ca="1">IFERROR(SUM(_xlfn._xlws.FILTER(INDIRECT(AH$112),(INDIRECT($B$112)=$B58)*(INDIRECT($D$112)=$D58)*(INDIRECT($F$112)=$F58),0)),0)</f>
        <v>0</v>
      </c>
      <c r="AI58" s="403" cm="1">
        <f t="array" aca="1" ref="AI58" ca="1">IFERROR(SUM(_xlfn._xlws.FILTER(INDIRECT(AI$112),(INDIRECT($B$112)=$B58)*(INDIRECT($D$112)=$D58)*(INDIRECT($F$112)=$F58),0)),0)</f>
        <v>0</v>
      </c>
      <c r="AJ58" s="403" cm="1">
        <f t="array" aca="1" ref="AJ58" ca="1">IFERROR(SUM(_xlfn._xlws.FILTER(INDIRECT(AJ$112),(INDIRECT($B$112)=$B58)*(INDIRECT($D$112)=$D58)*(INDIRECT($F$112)=$F58),0)),0)</f>
        <v>0</v>
      </c>
      <c r="AK58" s="403" cm="1">
        <f t="array" aca="1" ref="AK58" ca="1">IFERROR(SUM(_xlfn._xlws.FILTER(INDIRECT(AK$112),(INDIRECT($B$112)=$B58)*(INDIRECT($D$112)=$D58)*(INDIRECT($F$112)=$F58),0)),0)</f>
        <v>0</v>
      </c>
      <c r="AL58" s="403" cm="1">
        <f t="array" aca="1" ref="AL58" ca="1">IFERROR(SUM(_xlfn._xlws.FILTER(INDIRECT(AL$112),(INDIRECT($B$112)=$B58)*(INDIRECT($D$112)=$D58)*(INDIRECT($F$112)=$F58),0)),0)</f>
        <v>0</v>
      </c>
      <c r="AM58" s="403" cm="1">
        <f t="array" aca="1" ref="AM58" ca="1">IFERROR(SUM(_xlfn._xlws.FILTER(INDIRECT(AM$112),(INDIRECT($B$112)=$B58)*(INDIRECT($D$112)=$D58)*(INDIRECT($F$112)=$F58),0)),0)</f>
        <v>0</v>
      </c>
      <c r="AN58" s="403" cm="1">
        <f t="array" aca="1" ref="AN58" ca="1">IFERROR(SUM(_xlfn._xlws.FILTER(INDIRECT(AN$112),(INDIRECT($B$112)=$B58)*(INDIRECT($D$112)=$D58)*(INDIRECT($F$112)=$F58),0)),0)</f>
        <v>0</v>
      </c>
      <c r="AO58" s="403" cm="1">
        <f t="array" aca="1" ref="AO58" ca="1">IFERROR(SUM(_xlfn._xlws.FILTER(INDIRECT(AO$112),(INDIRECT($B$112)=$B58)*(INDIRECT($D$112)=$D58)*(INDIRECT($F$112)=$F58),0)),0)</f>
        <v>0</v>
      </c>
      <c r="AP58" s="403" cm="1">
        <f t="array" aca="1" ref="AP58" ca="1">IFERROR(SUM(_xlfn._xlws.FILTER(INDIRECT(AP$112),(INDIRECT($B$112)=$B58)*(INDIRECT($D$112)=$D58)*(INDIRECT($F$112)=$F58),0)),0)</f>
        <v>0</v>
      </c>
      <c r="AQ58" s="403" cm="1">
        <f t="array" aca="1" ref="AQ58" ca="1">IFERROR(SUM(_xlfn._xlws.FILTER(INDIRECT(AQ$112),(INDIRECT($B$112)=$B58)*(INDIRECT($D$112)=$D58)*(INDIRECT($F$112)=$F58),0)),0)</f>
        <v>0</v>
      </c>
      <c r="AR58" s="403" cm="1">
        <f t="array" aca="1" ref="AR58" ca="1">IFERROR(SUM(_xlfn._xlws.FILTER(INDIRECT(AR$112),(INDIRECT($B$112)=$B58)*(INDIRECT($D$112)=$D58)*(INDIRECT($F$112)=$F58),0)),0)</f>
        <v>0</v>
      </c>
      <c r="AS58" s="286" t="str">
        <f t="shared" si="4"/>
        <v>X</v>
      </c>
      <c r="AT58" s="403">
        <f t="shared" ca="1" si="3"/>
        <v>0</v>
      </c>
      <c r="AV58" s="142" cm="1">
        <f t="array" aca="1" ref="AV58" ca="1">IF(AND(_xlfn.LET(_xlpm.x,SUM(ROW()),OR(AND(MATCH("SOT",$A:$A,0)&lt;_xlpm.x,MATCH("EOT",$A:$A,0)&gt;_xlpm.x),AND(MATCH("SOS",$A:$A,0)&lt;_xlpm.x,MATCH("EOS",$A:$A,0)&gt;_xlpm.x),AND(MATCH("SOR",$A:$A,0)&lt;_xlpm.x,MATCH("EOR",$A:$A,0)&gt;_xlpm.x))),INDIRECT("rc"&amp;MATCH("SCD",$1:$1,0),FALSE)="PPTO"),1,0)</f>
        <v>0</v>
      </c>
      <c r="AW58" s="142" cm="1">
        <f t="array" aca="1" ref="AW5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59" spans="1:49" s="153" customFormat="1" outlineLevel="2">
      <c r="A59" s="152"/>
      <c r="B59" s="401"/>
      <c r="C59" s="148"/>
      <c r="D59" s="404"/>
      <c r="E59" s="350" t="str" cm="1">
        <f t="array" ref="E59">UPPER(_xlfn.UNIQUE(_xlfn._xlws.FILTER(TbStd[OFbStd],TbStd[RowGrp]=$D59,"X")))</f>
        <v>X</v>
      </c>
      <c r="F59" s="402"/>
      <c r="G59" s="403" cm="1">
        <f t="array" aca="1" ref="G59" ca="1">IFERROR(SUM(_xlfn._xlws.FILTER(INDIRECT(G$112),(INDIRECT($B$112)=$B59)*(INDIRECT($D$112)=$D59)*(INDIRECT($F$112)=$F59),0)),0)</f>
        <v>0</v>
      </c>
      <c r="H59" s="403" cm="1">
        <f t="array" aca="1" ref="H59" ca="1">IFERROR(SUM(_xlfn._xlws.FILTER(INDIRECT(H$112),(INDIRECT($B$112)=$B59)*(INDIRECT($D$112)=$D59)*(INDIRECT($F$112)=$F59),0)),0)</f>
        <v>0</v>
      </c>
      <c r="I59" s="403" cm="1">
        <f t="array" aca="1" ref="I59" ca="1">IFERROR(SUM(_xlfn._xlws.FILTER(INDIRECT(I$112),(INDIRECT($B$112)=$B59)*(INDIRECT($D$112)=$D59)*(INDIRECT($F$112)=$F59),0)),0)</f>
        <v>0</v>
      </c>
      <c r="J59" s="403" cm="1">
        <f t="array" aca="1" ref="J59" ca="1">IFERROR(SUM(_xlfn._xlws.FILTER(INDIRECT(J$112),(INDIRECT($B$112)=$B59)*(INDIRECT($D$112)=$D59)*(INDIRECT($F$112)=$F59),0)),0)</f>
        <v>0</v>
      </c>
      <c r="K59" s="403" cm="1">
        <f t="array" aca="1" ref="K59" ca="1">IFERROR(SUM(_xlfn._xlws.FILTER(INDIRECT(K$112),(INDIRECT($B$112)=$B59)*(INDIRECT($D$112)=$D59)*(INDIRECT($F$112)=$F59),0)),0)</f>
        <v>0</v>
      </c>
      <c r="L59" s="403" cm="1">
        <f t="array" aca="1" ref="L59" ca="1">IFERROR(SUM(_xlfn._xlws.FILTER(INDIRECT(L$112),(INDIRECT($B$112)=$B59)*(INDIRECT($D$112)=$D59)*(INDIRECT($F$112)=$F59),0)),0)</f>
        <v>0</v>
      </c>
      <c r="M59" s="403" cm="1">
        <f t="array" aca="1" ref="M59" ca="1">IFERROR(SUM(_xlfn._xlws.FILTER(INDIRECT(M$112),(INDIRECT($B$112)=$B59)*(INDIRECT($D$112)=$D59)*(INDIRECT($F$112)=$F59),0)),0)</f>
        <v>0</v>
      </c>
      <c r="N59" s="403" cm="1">
        <f t="array" aca="1" ref="N59" ca="1">IFERROR(SUM(_xlfn._xlws.FILTER(INDIRECT(N$112),(INDIRECT($B$112)=$B59)*(INDIRECT($D$112)=$D59)*(INDIRECT($F$112)=$F59),0)),0)</f>
        <v>0</v>
      </c>
      <c r="O59" s="403" cm="1">
        <f t="array" aca="1" ref="O59" ca="1">IFERROR(SUM(_xlfn._xlws.FILTER(INDIRECT(O$112),(INDIRECT($B$112)=$B59)*(INDIRECT($D$112)=$D59)*(INDIRECT($F$112)=$F59),0)),0)</f>
        <v>0</v>
      </c>
      <c r="P59" s="403" cm="1">
        <f t="array" aca="1" ref="P59" ca="1">IFERROR(SUM(_xlfn._xlws.FILTER(INDIRECT(P$112),(INDIRECT($B$112)=$B59)*(INDIRECT($D$112)=$D59)*(INDIRECT($F$112)=$F59),0)),0)</f>
        <v>0</v>
      </c>
      <c r="Q59" s="403" cm="1">
        <f t="array" aca="1" ref="Q59" ca="1">IFERROR(SUM(_xlfn._xlws.FILTER(INDIRECT(Q$112),(INDIRECT($B$112)=$B59)*(INDIRECT($D$112)=$D59)*(INDIRECT($F$112)=$F59),0)),0)</f>
        <v>0</v>
      </c>
      <c r="R59" s="403" cm="1">
        <f t="array" aca="1" ref="R59" ca="1">IFERROR(SUM(_xlfn._xlws.FILTER(INDIRECT(R$112),(INDIRECT($B$112)=$B59)*(INDIRECT($D$112)=$D59)*(INDIRECT($F$112)=$F59),0)),0)</f>
        <v>0</v>
      </c>
      <c r="S59" s="403" cm="1">
        <f t="array" aca="1" ref="S59" ca="1">IFERROR(SUM(_xlfn._xlws.FILTER(INDIRECT(S$112),(INDIRECT($B$112)=$B59)*(INDIRECT($D$112)=$D59)*(INDIRECT($F$112)=$F59),0)),0)</f>
        <v>0</v>
      </c>
      <c r="T59" s="403" cm="1">
        <f t="array" aca="1" ref="T59" ca="1">IFERROR(SUM(_xlfn._xlws.FILTER(INDIRECT(T$112),(INDIRECT($B$112)=$B59)*(INDIRECT($D$112)=$D59)*(INDIRECT($F$112)=$F59),0)),0)</f>
        <v>0</v>
      </c>
      <c r="U59" s="403" cm="1">
        <f t="array" aca="1" ref="U59" ca="1">IFERROR(SUM(_xlfn._xlws.FILTER(INDIRECT(U$112),(INDIRECT($B$112)=$B59)*(INDIRECT($D$112)=$D59)*(INDIRECT($F$112)=$F59),0)),0)</f>
        <v>0</v>
      </c>
      <c r="V59" s="403" cm="1">
        <f t="array" aca="1" ref="V59" ca="1">IFERROR(SUM(_xlfn._xlws.FILTER(INDIRECT(V$112),(INDIRECT($B$112)=$B59)*(INDIRECT($D$112)=$D59)*(INDIRECT($F$112)=$F59),0)),0)</f>
        <v>0</v>
      </c>
      <c r="W59" s="403" cm="1">
        <f t="array" aca="1" ref="W59" ca="1">IFERROR(SUM(_xlfn._xlws.FILTER(INDIRECT(W$112),(INDIRECT($B$112)=$B59)*(INDIRECT($D$112)=$D59)*(INDIRECT($F$112)=$F59),0)),0)</f>
        <v>0</v>
      </c>
      <c r="X59" s="403" cm="1">
        <f t="array" aca="1" ref="X59" ca="1">IFERROR(SUM(_xlfn._xlws.FILTER(INDIRECT(X$112),(INDIRECT($B$112)=$B59)*(INDIRECT($D$112)=$D59)*(INDIRECT($F$112)=$F59),0)),0)</f>
        <v>0</v>
      </c>
      <c r="Y59" s="403" cm="1">
        <f t="array" aca="1" ref="Y59" ca="1">IFERROR(SUM(_xlfn._xlws.FILTER(INDIRECT(Y$112),(INDIRECT($B$112)=$B59)*(INDIRECT($D$112)=$D59)*(INDIRECT($F$112)=$F59),0)),0)</f>
        <v>0</v>
      </c>
      <c r="Z59" s="403" cm="1">
        <f t="array" aca="1" ref="Z59" ca="1">IFERROR(SUM(_xlfn._xlws.FILTER(INDIRECT(Z$112),(INDIRECT($B$112)=$B59)*(INDIRECT($D$112)=$D59)*(INDIRECT($F$112)=$F59),0)),0)</f>
        <v>0</v>
      </c>
      <c r="AA59" s="403" cm="1">
        <f t="array" aca="1" ref="AA59" ca="1">IFERROR(SUM(_xlfn._xlws.FILTER(INDIRECT(AA$112),(INDIRECT($B$112)=$B59)*(INDIRECT($D$112)=$D59)*(INDIRECT($F$112)=$F59),0)),0)</f>
        <v>0</v>
      </c>
      <c r="AB59" s="403" cm="1">
        <f t="array" aca="1" ref="AB59" ca="1">IFERROR(SUM(_xlfn._xlws.FILTER(INDIRECT(AB$112),(INDIRECT($B$112)=$B59)*(INDIRECT($D$112)=$D59)*(INDIRECT($F$112)=$F59),0)),0)</f>
        <v>0</v>
      </c>
      <c r="AC59" s="403" cm="1">
        <f t="array" aca="1" ref="AC59" ca="1">IFERROR(SUM(_xlfn._xlws.FILTER(INDIRECT(AC$112),(INDIRECT($B$112)=$B59)*(INDIRECT($D$112)=$D59)*(INDIRECT($F$112)=$F59),0)),0)</f>
        <v>0</v>
      </c>
      <c r="AD59" s="403" cm="1">
        <f t="array" aca="1" ref="AD59" ca="1">IFERROR(SUM(_xlfn._xlws.FILTER(INDIRECT(AD$112),(INDIRECT($B$112)=$B59)*(INDIRECT($D$112)=$D59)*(INDIRECT($F$112)=$F59),0)),0)</f>
        <v>0</v>
      </c>
      <c r="AE59" s="403" cm="1">
        <f t="array" aca="1" ref="AE59" ca="1">IFERROR(SUM(_xlfn._xlws.FILTER(INDIRECT(AE$112),(INDIRECT($B$112)=$B59)*(INDIRECT($D$112)=$D59)*(INDIRECT($F$112)=$F59),0)),0)</f>
        <v>0</v>
      </c>
      <c r="AF59" s="403" cm="1">
        <f t="array" aca="1" ref="AF59" ca="1">IFERROR(SUM(_xlfn._xlws.FILTER(INDIRECT(AF$112),(INDIRECT($B$112)=$B59)*(INDIRECT($D$112)=$D59)*(INDIRECT($F$112)=$F59),0)),0)</f>
        <v>0</v>
      </c>
      <c r="AG59" s="403" cm="1">
        <f t="array" aca="1" ref="AG59" ca="1">IFERROR(SUM(_xlfn._xlws.FILTER(INDIRECT(AG$112),(INDIRECT($B$112)=$B59)*(INDIRECT($D$112)=$D59)*(INDIRECT($F$112)=$F59),0)),0)</f>
        <v>0</v>
      </c>
      <c r="AH59" s="403" cm="1">
        <f t="array" aca="1" ref="AH59" ca="1">IFERROR(SUM(_xlfn._xlws.FILTER(INDIRECT(AH$112),(INDIRECT($B$112)=$B59)*(INDIRECT($D$112)=$D59)*(INDIRECT($F$112)=$F59),0)),0)</f>
        <v>0</v>
      </c>
      <c r="AI59" s="403" cm="1">
        <f t="array" aca="1" ref="AI59" ca="1">IFERROR(SUM(_xlfn._xlws.FILTER(INDIRECT(AI$112),(INDIRECT($B$112)=$B59)*(INDIRECT($D$112)=$D59)*(INDIRECT($F$112)=$F59),0)),0)</f>
        <v>0</v>
      </c>
      <c r="AJ59" s="403" cm="1">
        <f t="array" aca="1" ref="AJ59" ca="1">IFERROR(SUM(_xlfn._xlws.FILTER(INDIRECT(AJ$112),(INDIRECT($B$112)=$B59)*(INDIRECT($D$112)=$D59)*(INDIRECT($F$112)=$F59),0)),0)</f>
        <v>0</v>
      </c>
      <c r="AK59" s="403" cm="1">
        <f t="array" aca="1" ref="AK59" ca="1">IFERROR(SUM(_xlfn._xlws.FILTER(INDIRECT(AK$112),(INDIRECT($B$112)=$B59)*(INDIRECT($D$112)=$D59)*(INDIRECT($F$112)=$F59),0)),0)</f>
        <v>0</v>
      </c>
      <c r="AL59" s="403" cm="1">
        <f t="array" aca="1" ref="AL59" ca="1">IFERROR(SUM(_xlfn._xlws.FILTER(INDIRECT(AL$112),(INDIRECT($B$112)=$B59)*(INDIRECT($D$112)=$D59)*(INDIRECT($F$112)=$F59),0)),0)</f>
        <v>0</v>
      </c>
      <c r="AM59" s="403" cm="1">
        <f t="array" aca="1" ref="AM59" ca="1">IFERROR(SUM(_xlfn._xlws.FILTER(INDIRECT(AM$112),(INDIRECT($B$112)=$B59)*(INDIRECT($D$112)=$D59)*(INDIRECT($F$112)=$F59),0)),0)</f>
        <v>0</v>
      </c>
      <c r="AN59" s="403" cm="1">
        <f t="array" aca="1" ref="AN59" ca="1">IFERROR(SUM(_xlfn._xlws.FILTER(INDIRECT(AN$112),(INDIRECT($B$112)=$B59)*(INDIRECT($D$112)=$D59)*(INDIRECT($F$112)=$F59),0)),0)</f>
        <v>0</v>
      </c>
      <c r="AO59" s="403" cm="1">
        <f t="array" aca="1" ref="AO59" ca="1">IFERROR(SUM(_xlfn._xlws.FILTER(INDIRECT(AO$112),(INDIRECT($B$112)=$B59)*(INDIRECT($D$112)=$D59)*(INDIRECT($F$112)=$F59),0)),0)</f>
        <v>0</v>
      </c>
      <c r="AP59" s="403" cm="1">
        <f t="array" aca="1" ref="AP59" ca="1">IFERROR(SUM(_xlfn._xlws.FILTER(INDIRECT(AP$112),(INDIRECT($B$112)=$B59)*(INDIRECT($D$112)=$D59)*(INDIRECT($F$112)=$F59),0)),0)</f>
        <v>0</v>
      </c>
      <c r="AQ59" s="403" cm="1">
        <f t="array" aca="1" ref="AQ59" ca="1">IFERROR(SUM(_xlfn._xlws.FILTER(INDIRECT(AQ$112),(INDIRECT($B$112)=$B59)*(INDIRECT($D$112)=$D59)*(INDIRECT($F$112)=$F59),0)),0)</f>
        <v>0</v>
      </c>
      <c r="AR59" s="403" cm="1">
        <f t="array" aca="1" ref="AR59" ca="1">IFERROR(SUM(_xlfn._xlws.FILTER(INDIRECT(AR$112),(INDIRECT($B$112)=$B59)*(INDIRECT($D$112)=$D59)*(INDIRECT($F$112)=$F59),0)),0)</f>
        <v>0</v>
      </c>
      <c r="AS59" s="286" t="str">
        <f t="shared" si="4"/>
        <v>X</v>
      </c>
      <c r="AT59" s="403">
        <f t="shared" ca="1" si="3"/>
        <v>0</v>
      </c>
      <c r="AV59" s="142" cm="1">
        <f t="array" aca="1" ref="AV59" ca="1">IF(AND(_xlfn.LET(_xlpm.x,SUM(ROW()),OR(AND(MATCH("SOT",$A:$A,0)&lt;_xlpm.x,MATCH("EOT",$A:$A,0)&gt;_xlpm.x),AND(MATCH("SOS",$A:$A,0)&lt;_xlpm.x,MATCH("EOS",$A:$A,0)&gt;_xlpm.x),AND(MATCH("SOR",$A:$A,0)&lt;_xlpm.x,MATCH("EOR",$A:$A,0)&gt;_xlpm.x))),INDIRECT("rc"&amp;MATCH("SCD",$1:$1,0),FALSE)="PPTO"),1,0)</f>
        <v>0</v>
      </c>
      <c r="AW59" s="142" cm="1">
        <f t="array" aca="1" ref="AW5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60" spans="1:49" s="153" customFormat="1" outlineLevel="2">
      <c r="A60" s="152"/>
      <c r="B60" s="401"/>
      <c r="C60" s="148"/>
      <c r="D60" s="404"/>
      <c r="E60" s="350" t="str" cm="1">
        <f t="array" ref="E60">UPPER(_xlfn.UNIQUE(_xlfn._xlws.FILTER(TbStd[OFbStd],TbStd[RowGrp]=$D60,"X")))</f>
        <v>X</v>
      </c>
      <c r="F60" s="402"/>
      <c r="G60" s="403" cm="1">
        <f t="array" aca="1" ref="G60" ca="1">IFERROR(SUM(_xlfn._xlws.FILTER(INDIRECT(G$112),(INDIRECT($B$112)=$B60)*(INDIRECT($D$112)=$D60)*(INDIRECT($F$112)=$F60),0)),0)</f>
        <v>0</v>
      </c>
      <c r="H60" s="403" cm="1">
        <f t="array" aca="1" ref="H60" ca="1">IFERROR(SUM(_xlfn._xlws.FILTER(INDIRECT(H$112),(INDIRECT($B$112)=$B60)*(INDIRECT($D$112)=$D60)*(INDIRECT($F$112)=$F60),0)),0)</f>
        <v>0</v>
      </c>
      <c r="I60" s="403" cm="1">
        <f t="array" aca="1" ref="I60" ca="1">IFERROR(SUM(_xlfn._xlws.FILTER(INDIRECT(I$112),(INDIRECT($B$112)=$B60)*(INDIRECT($D$112)=$D60)*(INDIRECT($F$112)=$F60),0)),0)</f>
        <v>0</v>
      </c>
      <c r="J60" s="403" cm="1">
        <f t="array" aca="1" ref="J60" ca="1">IFERROR(SUM(_xlfn._xlws.FILTER(INDIRECT(J$112),(INDIRECT($B$112)=$B60)*(INDIRECT($D$112)=$D60)*(INDIRECT($F$112)=$F60),0)),0)</f>
        <v>0</v>
      </c>
      <c r="K60" s="403" cm="1">
        <f t="array" aca="1" ref="K60" ca="1">IFERROR(SUM(_xlfn._xlws.FILTER(INDIRECT(K$112),(INDIRECT($B$112)=$B60)*(INDIRECT($D$112)=$D60)*(INDIRECT($F$112)=$F60),0)),0)</f>
        <v>0</v>
      </c>
      <c r="L60" s="403" cm="1">
        <f t="array" aca="1" ref="L60" ca="1">IFERROR(SUM(_xlfn._xlws.FILTER(INDIRECT(L$112),(INDIRECT($B$112)=$B60)*(INDIRECT($D$112)=$D60)*(INDIRECT($F$112)=$F60),0)),0)</f>
        <v>0</v>
      </c>
      <c r="M60" s="403" cm="1">
        <f t="array" aca="1" ref="M60" ca="1">IFERROR(SUM(_xlfn._xlws.FILTER(INDIRECT(M$112),(INDIRECT($B$112)=$B60)*(INDIRECT($D$112)=$D60)*(INDIRECT($F$112)=$F60),0)),0)</f>
        <v>0</v>
      </c>
      <c r="N60" s="403" cm="1">
        <f t="array" aca="1" ref="N60" ca="1">IFERROR(SUM(_xlfn._xlws.FILTER(INDIRECT(N$112),(INDIRECT($B$112)=$B60)*(INDIRECT($D$112)=$D60)*(INDIRECT($F$112)=$F60),0)),0)</f>
        <v>0</v>
      </c>
      <c r="O60" s="403" cm="1">
        <f t="array" aca="1" ref="O60" ca="1">IFERROR(SUM(_xlfn._xlws.FILTER(INDIRECT(O$112),(INDIRECT($B$112)=$B60)*(INDIRECT($D$112)=$D60)*(INDIRECT($F$112)=$F60),0)),0)</f>
        <v>0</v>
      </c>
      <c r="P60" s="403" cm="1">
        <f t="array" aca="1" ref="P60" ca="1">IFERROR(SUM(_xlfn._xlws.FILTER(INDIRECT(P$112),(INDIRECT($B$112)=$B60)*(INDIRECT($D$112)=$D60)*(INDIRECT($F$112)=$F60),0)),0)</f>
        <v>0</v>
      </c>
      <c r="Q60" s="403" cm="1">
        <f t="array" aca="1" ref="Q60" ca="1">IFERROR(SUM(_xlfn._xlws.FILTER(INDIRECT(Q$112),(INDIRECT($B$112)=$B60)*(INDIRECT($D$112)=$D60)*(INDIRECT($F$112)=$F60),0)),0)</f>
        <v>0</v>
      </c>
      <c r="R60" s="403" cm="1">
        <f t="array" aca="1" ref="R60" ca="1">IFERROR(SUM(_xlfn._xlws.FILTER(INDIRECT(R$112),(INDIRECT($B$112)=$B60)*(INDIRECT($D$112)=$D60)*(INDIRECT($F$112)=$F60),0)),0)</f>
        <v>0</v>
      </c>
      <c r="S60" s="403" cm="1">
        <f t="array" aca="1" ref="S60" ca="1">IFERROR(SUM(_xlfn._xlws.FILTER(INDIRECT(S$112),(INDIRECT($B$112)=$B60)*(INDIRECT($D$112)=$D60)*(INDIRECT($F$112)=$F60),0)),0)</f>
        <v>0</v>
      </c>
      <c r="T60" s="403" cm="1">
        <f t="array" aca="1" ref="T60" ca="1">IFERROR(SUM(_xlfn._xlws.FILTER(INDIRECT(T$112),(INDIRECT($B$112)=$B60)*(INDIRECT($D$112)=$D60)*(INDIRECT($F$112)=$F60),0)),0)</f>
        <v>0</v>
      </c>
      <c r="U60" s="403" cm="1">
        <f t="array" aca="1" ref="U60" ca="1">IFERROR(SUM(_xlfn._xlws.FILTER(INDIRECT(U$112),(INDIRECT($B$112)=$B60)*(INDIRECT($D$112)=$D60)*(INDIRECT($F$112)=$F60),0)),0)</f>
        <v>0</v>
      </c>
      <c r="V60" s="403" cm="1">
        <f t="array" aca="1" ref="V60" ca="1">IFERROR(SUM(_xlfn._xlws.FILTER(INDIRECT(V$112),(INDIRECT($B$112)=$B60)*(INDIRECT($D$112)=$D60)*(INDIRECT($F$112)=$F60),0)),0)</f>
        <v>0</v>
      </c>
      <c r="W60" s="403" cm="1">
        <f t="array" aca="1" ref="W60" ca="1">IFERROR(SUM(_xlfn._xlws.FILTER(INDIRECT(W$112),(INDIRECT($B$112)=$B60)*(INDIRECT($D$112)=$D60)*(INDIRECT($F$112)=$F60),0)),0)</f>
        <v>0</v>
      </c>
      <c r="X60" s="403" cm="1">
        <f t="array" aca="1" ref="X60" ca="1">IFERROR(SUM(_xlfn._xlws.FILTER(INDIRECT(X$112),(INDIRECT($B$112)=$B60)*(INDIRECT($D$112)=$D60)*(INDIRECT($F$112)=$F60),0)),0)</f>
        <v>0</v>
      </c>
      <c r="Y60" s="403" cm="1">
        <f t="array" aca="1" ref="Y60" ca="1">IFERROR(SUM(_xlfn._xlws.FILTER(INDIRECT(Y$112),(INDIRECT($B$112)=$B60)*(INDIRECT($D$112)=$D60)*(INDIRECT($F$112)=$F60),0)),0)</f>
        <v>0</v>
      </c>
      <c r="Z60" s="403" cm="1">
        <f t="array" aca="1" ref="Z60" ca="1">IFERROR(SUM(_xlfn._xlws.FILTER(INDIRECT(Z$112),(INDIRECT($B$112)=$B60)*(INDIRECT($D$112)=$D60)*(INDIRECT($F$112)=$F60),0)),0)</f>
        <v>0</v>
      </c>
      <c r="AA60" s="403" cm="1">
        <f t="array" aca="1" ref="AA60" ca="1">IFERROR(SUM(_xlfn._xlws.FILTER(INDIRECT(AA$112),(INDIRECT($B$112)=$B60)*(INDIRECT($D$112)=$D60)*(INDIRECT($F$112)=$F60),0)),0)</f>
        <v>0</v>
      </c>
      <c r="AB60" s="403" cm="1">
        <f t="array" aca="1" ref="AB60" ca="1">IFERROR(SUM(_xlfn._xlws.FILTER(INDIRECT(AB$112),(INDIRECT($B$112)=$B60)*(INDIRECT($D$112)=$D60)*(INDIRECT($F$112)=$F60),0)),0)</f>
        <v>0</v>
      </c>
      <c r="AC60" s="403" cm="1">
        <f t="array" aca="1" ref="AC60" ca="1">IFERROR(SUM(_xlfn._xlws.FILTER(INDIRECT(AC$112),(INDIRECT($B$112)=$B60)*(INDIRECT($D$112)=$D60)*(INDIRECT($F$112)=$F60),0)),0)</f>
        <v>0</v>
      </c>
      <c r="AD60" s="403" cm="1">
        <f t="array" aca="1" ref="AD60" ca="1">IFERROR(SUM(_xlfn._xlws.FILTER(INDIRECT(AD$112),(INDIRECT($B$112)=$B60)*(INDIRECT($D$112)=$D60)*(INDIRECT($F$112)=$F60),0)),0)</f>
        <v>0</v>
      </c>
      <c r="AE60" s="403" cm="1">
        <f t="array" aca="1" ref="AE60" ca="1">IFERROR(SUM(_xlfn._xlws.FILTER(INDIRECT(AE$112),(INDIRECT($B$112)=$B60)*(INDIRECT($D$112)=$D60)*(INDIRECT($F$112)=$F60),0)),0)</f>
        <v>0</v>
      </c>
      <c r="AF60" s="403" cm="1">
        <f t="array" aca="1" ref="AF60" ca="1">IFERROR(SUM(_xlfn._xlws.FILTER(INDIRECT(AF$112),(INDIRECT($B$112)=$B60)*(INDIRECT($D$112)=$D60)*(INDIRECT($F$112)=$F60),0)),0)</f>
        <v>0</v>
      </c>
      <c r="AG60" s="403" cm="1">
        <f t="array" aca="1" ref="AG60" ca="1">IFERROR(SUM(_xlfn._xlws.FILTER(INDIRECT(AG$112),(INDIRECT($B$112)=$B60)*(INDIRECT($D$112)=$D60)*(INDIRECT($F$112)=$F60),0)),0)</f>
        <v>0</v>
      </c>
      <c r="AH60" s="403" cm="1">
        <f t="array" aca="1" ref="AH60" ca="1">IFERROR(SUM(_xlfn._xlws.FILTER(INDIRECT(AH$112),(INDIRECT($B$112)=$B60)*(INDIRECT($D$112)=$D60)*(INDIRECT($F$112)=$F60),0)),0)</f>
        <v>0</v>
      </c>
      <c r="AI60" s="403" cm="1">
        <f t="array" aca="1" ref="AI60" ca="1">IFERROR(SUM(_xlfn._xlws.FILTER(INDIRECT(AI$112),(INDIRECT($B$112)=$B60)*(INDIRECT($D$112)=$D60)*(INDIRECT($F$112)=$F60),0)),0)</f>
        <v>0</v>
      </c>
      <c r="AJ60" s="403" cm="1">
        <f t="array" aca="1" ref="AJ60" ca="1">IFERROR(SUM(_xlfn._xlws.FILTER(INDIRECT(AJ$112),(INDIRECT($B$112)=$B60)*(INDIRECT($D$112)=$D60)*(INDIRECT($F$112)=$F60),0)),0)</f>
        <v>0</v>
      </c>
      <c r="AK60" s="403" cm="1">
        <f t="array" aca="1" ref="AK60" ca="1">IFERROR(SUM(_xlfn._xlws.FILTER(INDIRECT(AK$112),(INDIRECT($B$112)=$B60)*(INDIRECT($D$112)=$D60)*(INDIRECT($F$112)=$F60),0)),0)</f>
        <v>0</v>
      </c>
      <c r="AL60" s="403" cm="1">
        <f t="array" aca="1" ref="AL60" ca="1">IFERROR(SUM(_xlfn._xlws.FILTER(INDIRECT(AL$112),(INDIRECT($B$112)=$B60)*(INDIRECT($D$112)=$D60)*(INDIRECT($F$112)=$F60),0)),0)</f>
        <v>0</v>
      </c>
      <c r="AM60" s="403" cm="1">
        <f t="array" aca="1" ref="AM60" ca="1">IFERROR(SUM(_xlfn._xlws.FILTER(INDIRECT(AM$112),(INDIRECT($B$112)=$B60)*(INDIRECT($D$112)=$D60)*(INDIRECT($F$112)=$F60),0)),0)</f>
        <v>0</v>
      </c>
      <c r="AN60" s="403" cm="1">
        <f t="array" aca="1" ref="AN60" ca="1">IFERROR(SUM(_xlfn._xlws.FILTER(INDIRECT(AN$112),(INDIRECT($B$112)=$B60)*(INDIRECT($D$112)=$D60)*(INDIRECT($F$112)=$F60),0)),0)</f>
        <v>0</v>
      </c>
      <c r="AO60" s="403" cm="1">
        <f t="array" aca="1" ref="AO60" ca="1">IFERROR(SUM(_xlfn._xlws.FILTER(INDIRECT(AO$112),(INDIRECT($B$112)=$B60)*(INDIRECT($D$112)=$D60)*(INDIRECT($F$112)=$F60),0)),0)</f>
        <v>0</v>
      </c>
      <c r="AP60" s="403" cm="1">
        <f t="array" aca="1" ref="AP60" ca="1">IFERROR(SUM(_xlfn._xlws.FILTER(INDIRECT(AP$112),(INDIRECT($B$112)=$B60)*(INDIRECT($D$112)=$D60)*(INDIRECT($F$112)=$F60),0)),0)</f>
        <v>0</v>
      </c>
      <c r="AQ60" s="403" cm="1">
        <f t="array" aca="1" ref="AQ60" ca="1">IFERROR(SUM(_xlfn._xlws.FILTER(INDIRECT(AQ$112),(INDIRECT($B$112)=$B60)*(INDIRECT($D$112)=$D60)*(INDIRECT($F$112)=$F60),0)),0)</f>
        <v>0</v>
      </c>
      <c r="AR60" s="403" cm="1">
        <f t="array" aca="1" ref="AR60" ca="1">IFERROR(SUM(_xlfn._xlws.FILTER(INDIRECT(AR$112),(INDIRECT($B$112)=$B60)*(INDIRECT($D$112)=$D60)*(INDIRECT($F$112)=$F60),0)),0)</f>
        <v>0</v>
      </c>
      <c r="AS60" s="286" t="str">
        <f t="shared" si="4"/>
        <v>X</v>
      </c>
      <c r="AT60" s="403">
        <f t="shared" ca="1" si="3"/>
        <v>0</v>
      </c>
      <c r="AV60" s="142" cm="1">
        <f t="array" aca="1" ref="AV60" ca="1">IF(AND(_xlfn.LET(_xlpm.x,SUM(ROW()),OR(AND(MATCH("SOT",$A:$A,0)&lt;_xlpm.x,MATCH("EOT",$A:$A,0)&gt;_xlpm.x),AND(MATCH("SOS",$A:$A,0)&lt;_xlpm.x,MATCH("EOS",$A:$A,0)&gt;_xlpm.x),AND(MATCH("SOR",$A:$A,0)&lt;_xlpm.x,MATCH("EOR",$A:$A,0)&gt;_xlpm.x))),INDIRECT("rc"&amp;MATCH("SCD",$1:$1,0),FALSE)="PPTO"),1,0)</f>
        <v>0</v>
      </c>
      <c r="AW60" s="142" cm="1">
        <f t="array" aca="1" ref="AW6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61" spans="1:49" s="153" customFormat="1" outlineLevel="2">
      <c r="A61" s="152"/>
      <c r="B61" s="401"/>
      <c r="C61" s="148"/>
      <c r="D61" s="404"/>
      <c r="E61" s="350"/>
      <c r="F61" s="402"/>
      <c r="G61" s="403" cm="1">
        <f t="array" aca="1" ref="G61" ca="1">IFERROR(SUM(_xlfn._xlws.FILTER(INDIRECT(G$112),(INDIRECT($B$112)=$B61)*(INDIRECT($D$112)=$D61)*(INDIRECT($F$112)=$F61),0)),0)</f>
        <v>0</v>
      </c>
      <c r="H61" s="403" cm="1">
        <f t="array" aca="1" ref="H61" ca="1">IFERROR(SUM(_xlfn._xlws.FILTER(INDIRECT(H$112),(INDIRECT($B$112)=$B61)*(INDIRECT($D$112)=$D61)*(INDIRECT($F$112)=$F61),0)),0)</f>
        <v>0</v>
      </c>
      <c r="I61" s="403" cm="1">
        <f t="array" aca="1" ref="I61" ca="1">IFERROR(SUM(_xlfn._xlws.FILTER(INDIRECT(I$112),(INDIRECT($B$112)=$B61)*(INDIRECT($D$112)=$D61)*(INDIRECT($F$112)=$F61),0)),0)</f>
        <v>0</v>
      </c>
      <c r="J61" s="403" cm="1">
        <f t="array" aca="1" ref="J61" ca="1">IFERROR(SUM(_xlfn._xlws.FILTER(INDIRECT(J$112),(INDIRECT($B$112)=$B61)*(INDIRECT($D$112)=$D61)*(INDIRECT($F$112)=$F61),0)),0)</f>
        <v>0</v>
      </c>
      <c r="K61" s="403" cm="1">
        <f t="array" aca="1" ref="K61" ca="1">IFERROR(SUM(_xlfn._xlws.FILTER(INDIRECT(K$112),(INDIRECT($B$112)=$B61)*(INDIRECT($D$112)=$D61)*(INDIRECT($F$112)=$F61),0)),0)</f>
        <v>0</v>
      </c>
      <c r="L61" s="403" cm="1">
        <f t="array" aca="1" ref="L61" ca="1">IFERROR(SUM(_xlfn._xlws.FILTER(INDIRECT(L$112),(INDIRECT($B$112)=$B61)*(INDIRECT($D$112)=$D61)*(INDIRECT($F$112)=$F61),0)),0)</f>
        <v>0</v>
      </c>
      <c r="M61" s="403" cm="1">
        <f t="array" aca="1" ref="M61" ca="1">IFERROR(SUM(_xlfn._xlws.FILTER(INDIRECT(M$112),(INDIRECT($B$112)=$B61)*(INDIRECT($D$112)=$D61)*(INDIRECT($F$112)=$F61),0)),0)</f>
        <v>0</v>
      </c>
      <c r="N61" s="403" cm="1">
        <f t="array" aca="1" ref="N61" ca="1">IFERROR(SUM(_xlfn._xlws.FILTER(INDIRECT(N$112),(INDIRECT($B$112)=$B61)*(INDIRECT($D$112)=$D61)*(INDIRECT($F$112)=$F61),0)),0)</f>
        <v>0</v>
      </c>
      <c r="O61" s="403" cm="1">
        <f t="array" aca="1" ref="O61" ca="1">IFERROR(SUM(_xlfn._xlws.FILTER(INDIRECT(O$112),(INDIRECT($B$112)=$B61)*(INDIRECT($D$112)=$D61)*(INDIRECT($F$112)=$F61),0)),0)</f>
        <v>0</v>
      </c>
      <c r="P61" s="403" cm="1">
        <f t="array" aca="1" ref="P61" ca="1">IFERROR(SUM(_xlfn._xlws.FILTER(INDIRECT(P$112),(INDIRECT($B$112)=$B61)*(INDIRECT($D$112)=$D61)*(INDIRECT($F$112)=$F61),0)),0)</f>
        <v>0</v>
      </c>
      <c r="Q61" s="403" cm="1">
        <f t="array" aca="1" ref="Q61" ca="1">IFERROR(SUM(_xlfn._xlws.FILTER(INDIRECT(Q$112),(INDIRECT($B$112)=$B61)*(INDIRECT($D$112)=$D61)*(INDIRECT($F$112)=$F61),0)),0)</f>
        <v>0</v>
      </c>
      <c r="R61" s="403" cm="1">
        <f t="array" aca="1" ref="R61" ca="1">IFERROR(SUM(_xlfn._xlws.FILTER(INDIRECT(R$112),(INDIRECT($B$112)=$B61)*(INDIRECT($D$112)=$D61)*(INDIRECT($F$112)=$F61),0)),0)</f>
        <v>0</v>
      </c>
      <c r="S61" s="403" cm="1">
        <f t="array" aca="1" ref="S61" ca="1">IFERROR(SUM(_xlfn._xlws.FILTER(INDIRECT(S$112),(INDIRECT($B$112)=$B61)*(INDIRECT($D$112)=$D61)*(INDIRECT($F$112)=$F61),0)),0)</f>
        <v>0</v>
      </c>
      <c r="T61" s="403" cm="1">
        <f t="array" aca="1" ref="T61" ca="1">IFERROR(SUM(_xlfn._xlws.FILTER(INDIRECT(T$112),(INDIRECT($B$112)=$B61)*(INDIRECT($D$112)=$D61)*(INDIRECT($F$112)=$F61),0)),0)</f>
        <v>0</v>
      </c>
      <c r="U61" s="403" cm="1">
        <f t="array" aca="1" ref="U61" ca="1">IFERROR(SUM(_xlfn._xlws.FILTER(INDIRECT(U$112),(INDIRECT($B$112)=$B61)*(INDIRECT($D$112)=$D61)*(INDIRECT($F$112)=$F61),0)),0)</f>
        <v>0</v>
      </c>
      <c r="V61" s="403" cm="1">
        <f t="array" aca="1" ref="V61" ca="1">IFERROR(SUM(_xlfn._xlws.FILTER(INDIRECT(V$112),(INDIRECT($B$112)=$B61)*(INDIRECT($D$112)=$D61)*(INDIRECT($F$112)=$F61),0)),0)</f>
        <v>0</v>
      </c>
      <c r="W61" s="403" cm="1">
        <f t="array" aca="1" ref="W61" ca="1">IFERROR(SUM(_xlfn._xlws.FILTER(INDIRECT(W$112),(INDIRECT($B$112)=$B61)*(INDIRECT($D$112)=$D61)*(INDIRECT($F$112)=$F61),0)),0)</f>
        <v>0</v>
      </c>
      <c r="X61" s="403" cm="1">
        <f t="array" aca="1" ref="X61" ca="1">IFERROR(SUM(_xlfn._xlws.FILTER(INDIRECT(X$112),(INDIRECT($B$112)=$B61)*(INDIRECT($D$112)=$D61)*(INDIRECT($F$112)=$F61),0)),0)</f>
        <v>0</v>
      </c>
      <c r="Y61" s="403" cm="1">
        <f t="array" aca="1" ref="Y61" ca="1">IFERROR(SUM(_xlfn._xlws.FILTER(INDIRECT(Y$112),(INDIRECT($B$112)=$B61)*(INDIRECT($D$112)=$D61)*(INDIRECT($F$112)=$F61),0)),0)</f>
        <v>0</v>
      </c>
      <c r="Z61" s="403" cm="1">
        <f t="array" aca="1" ref="Z61" ca="1">IFERROR(SUM(_xlfn._xlws.FILTER(INDIRECT(Z$112),(INDIRECT($B$112)=$B61)*(INDIRECT($D$112)=$D61)*(INDIRECT($F$112)=$F61),0)),0)</f>
        <v>0</v>
      </c>
      <c r="AA61" s="403" cm="1">
        <f t="array" aca="1" ref="AA61" ca="1">IFERROR(SUM(_xlfn._xlws.FILTER(INDIRECT(AA$112),(INDIRECT($B$112)=$B61)*(INDIRECT($D$112)=$D61)*(INDIRECT($F$112)=$F61),0)),0)</f>
        <v>0</v>
      </c>
      <c r="AB61" s="403" cm="1">
        <f t="array" aca="1" ref="AB61" ca="1">IFERROR(SUM(_xlfn._xlws.FILTER(INDIRECT(AB$112),(INDIRECT($B$112)=$B61)*(INDIRECT($D$112)=$D61)*(INDIRECT($F$112)=$F61),0)),0)</f>
        <v>0</v>
      </c>
      <c r="AC61" s="403" cm="1">
        <f t="array" aca="1" ref="AC61" ca="1">IFERROR(SUM(_xlfn._xlws.FILTER(INDIRECT(AC$112),(INDIRECT($B$112)=$B61)*(INDIRECT($D$112)=$D61)*(INDIRECT($F$112)=$F61),0)),0)</f>
        <v>0</v>
      </c>
      <c r="AD61" s="403" cm="1">
        <f t="array" aca="1" ref="AD61" ca="1">IFERROR(SUM(_xlfn._xlws.FILTER(INDIRECT(AD$112),(INDIRECT($B$112)=$B61)*(INDIRECT($D$112)=$D61)*(INDIRECT($F$112)=$F61),0)),0)</f>
        <v>0</v>
      </c>
      <c r="AE61" s="403" cm="1">
        <f t="array" aca="1" ref="AE61" ca="1">IFERROR(SUM(_xlfn._xlws.FILTER(INDIRECT(AE$112),(INDIRECT($B$112)=$B61)*(INDIRECT($D$112)=$D61)*(INDIRECT($F$112)=$F61),0)),0)</f>
        <v>0</v>
      </c>
      <c r="AF61" s="403" cm="1">
        <f t="array" aca="1" ref="AF61" ca="1">IFERROR(SUM(_xlfn._xlws.FILTER(INDIRECT(AF$112),(INDIRECT($B$112)=$B61)*(INDIRECT($D$112)=$D61)*(INDIRECT($F$112)=$F61),0)),0)</f>
        <v>0</v>
      </c>
      <c r="AG61" s="403" cm="1">
        <f t="array" aca="1" ref="AG61" ca="1">IFERROR(SUM(_xlfn._xlws.FILTER(INDIRECT(AG$112),(INDIRECT($B$112)=$B61)*(INDIRECT($D$112)=$D61)*(INDIRECT($F$112)=$F61),0)),0)</f>
        <v>0</v>
      </c>
      <c r="AH61" s="403" cm="1">
        <f t="array" aca="1" ref="AH61" ca="1">IFERROR(SUM(_xlfn._xlws.FILTER(INDIRECT(AH$112),(INDIRECT($B$112)=$B61)*(INDIRECT($D$112)=$D61)*(INDIRECT($F$112)=$F61),0)),0)</f>
        <v>0</v>
      </c>
      <c r="AI61" s="403" cm="1">
        <f t="array" aca="1" ref="AI61" ca="1">IFERROR(SUM(_xlfn._xlws.FILTER(INDIRECT(AI$112),(INDIRECT($B$112)=$B61)*(INDIRECT($D$112)=$D61)*(INDIRECT($F$112)=$F61),0)),0)</f>
        <v>0</v>
      </c>
      <c r="AJ61" s="403" cm="1">
        <f t="array" aca="1" ref="AJ61" ca="1">IFERROR(SUM(_xlfn._xlws.FILTER(INDIRECT(AJ$112),(INDIRECT($B$112)=$B61)*(INDIRECT($D$112)=$D61)*(INDIRECT($F$112)=$F61),0)),0)</f>
        <v>0</v>
      </c>
      <c r="AK61" s="403" cm="1">
        <f t="array" aca="1" ref="AK61" ca="1">IFERROR(SUM(_xlfn._xlws.FILTER(INDIRECT(AK$112),(INDIRECT($B$112)=$B61)*(INDIRECT($D$112)=$D61)*(INDIRECT($F$112)=$F61),0)),0)</f>
        <v>0</v>
      </c>
      <c r="AL61" s="403" cm="1">
        <f t="array" aca="1" ref="AL61" ca="1">IFERROR(SUM(_xlfn._xlws.FILTER(INDIRECT(AL$112),(INDIRECT($B$112)=$B61)*(INDIRECT($D$112)=$D61)*(INDIRECT($F$112)=$F61),0)),0)</f>
        <v>0</v>
      </c>
      <c r="AM61" s="403" cm="1">
        <f t="array" aca="1" ref="AM61" ca="1">IFERROR(SUM(_xlfn._xlws.FILTER(INDIRECT(AM$112),(INDIRECT($B$112)=$B61)*(INDIRECT($D$112)=$D61)*(INDIRECT($F$112)=$F61),0)),0)</f>
        <v>0</v>
      </c>
      <c r="AN61" s="403" cm="1">
        <f t="array" aca="1" ref="AN61" ca="1">IFERROR(SUM(_xlfn._xlws.FILTER(INDIRECT(AN$112),(INDIRECT($B$112)=$B61)*(INDIRECT($D$112)=$D61)*(INDIRECT($F$112)=$F61),0)),0)</f>
        <v>0</v>
      </c>
      <c r="AO61" s="403" cm="1">
        <f t="array" aca="1" ref="AO61" ca="1">IFERROR(SUM(_xlfn._xlws.FILTER(INDIRECT(AO$112),(INDIRECT($B$112)=$B61)*(INDIRECT($D$112)=$D61)*(INDIRECT($F$112)=$F61),0)),0)</f>
        <v>0</v>
      </c>
      <c r="AP61" s="403" cm="1">
        <f t="array" aca="1" ref="AP61" ca="1">IFERROR(SUM(_xlfn._xlws.FILTER(INDIRECT(AP$112),(INDIRECT($B$112)=$B61)*(INDIRECT($D$112)=$D61)*(INDIRECT($F$112)=$F61),0)),0)</f>
        <v>0</v>
      </c>
      <c r="AQ61" s="403" cm="1">
        <f t="array" aca="1" ref="AQ61" ca="1">IFERROR(SUM(_xlfn._xlws.FILTER(INDIRECT(AQ$112),(INDIRECT($B$112)=$B61)*(INDIRECT($D$112)=$D61)*(INDIRECT($F$112)=$F61),0)),0)</f>
        <v>0</v>
      </c>
      <c r="AR61" s="403" cm="1">
        <f t="array" aca="1" ref="AR61" ca="1">IFERROR(SUM(_xlfn._xlws.FILTER(INDIRECT(AR$112),(INDIRECT($B$112)=$B61)*(INDIRECT($D$112)=$D61)*(INDIRECT($F$112)=$F61),0)),0)</f>
        <v>0</v>
      </c>
      <c r="AS61" s="286" t="str">
        <f t="shared" si="4"/>
        <v>X</v>
      </c>
      <c r="AT61" s="403">
        <f t="shared" ca="1" si="3"/>
        <v>0</v>
      </c>
      <c r="AV61" s="142" cm="1">
        <f t="array" aca="1" ref="AV61" ca="1">IF(AND(_xlfn.LET(_xlpm.x,SUM(ROW()),OR(AND(MATCH("SOT",$A:$A,0)&lt;_xlpm.x,MATCH("EOT",$A:$A,0)&gt;_xlpm.x),AND(MATCH("SOS",$A:$A,0)&lt;_xlpm.x,MATCH("EOS",$A:$A,0)&gt;_xlpm.x),AND(MATCH("SOR",$A:$A,0)&lt;_xlpm.x,MATCH("EOR",$A:$A,0)&gt;_xlpm.x))),INDIRECT("rc"&amp;MATCH("SCD",$1:$1,0),FALSE)="PPTO"),1,0)</f>
        <v>0</v>
      </c>
      <c r="AW61" s="142" cm="1">
        <f t="array" aca="1" ref="AW6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62" spans="1:49" s="153" customFormat="1" outlineLevel="2">
      <c r="A62" s="152"/>
      <c r="B62" s="401"/>
      <c r="C62" s="148"/>
      <c r="D62" s="404"/>
      <c r="E62" s="350"/>
      <c r="F62" s="402"/>
      <c r="G62" s="403" cm="1">
        <f t="array" aca="1" ref="G62" ca="1">IFERROR(SUM(_xlfn._xlws.FILTER(INDIRECT(G$112),(INDIRECT($B$112)=$B62)*(INDIRECT($D$112)=$D62)*(INDIRECT($F$112)=$F62),0)),0)</f>
        <v>0</v>
      </c>
      <c r="H62" s="403" cm="1">
        <f t="array" aca="1" ref="H62" ca="1">IFERROR(SUM(_xlfn._xlws.FILTER(INDIRECT(H$112),(INDIRECT($B$112)=$B62)*(INDIRECT($D$112)=$D62)*(INDIRECT($F$112)=$F62),0)),0)</f>
        <v>0</v>
      </c>
      <c r="I62" s="403" cm="1">
        <f t="array" aca="1" ref="I62" ca="1">IFERROR(SUM(_xlfn._xlws.FILTER(INDIRECT(I$112),(INDIRECT($B$112)=$B62)*(INDIRECT($D$112)=$D62)*(INDIRECT($F$112)=$F62),0)),0)</f>
        <v>0</v>
      </c>
      <c r="J62" s="403" cm="1">
        <f t="array" aca="1" ref="J62" ca="1">IFERROR(SUM(_xlfn._xlws.FILTER(INDIRECT(J$112),(INDIRECT($B$112)=$B62)*(INDIRECT($D$112)=$D62)*(INDIRECT($F$112)=$F62),0)),0)</f>
        <v>0</v>
      </c>
      <c r="K62" s="403" cm="1">
        <f t="array" aca="1" ref="K62" ca="1">IFERROR(SUM(_xlfn._xlws.FILTER(INDIRECT(K$112),(INDIRECT($B$112)=$B62)*(INDIRECT($D$112)=$D62)*(INDIRECT($F$112)=$F62),0)),0)</f>
        <v>0</v>
      </c>
      <c r="L62" s="403" cm="1">
        <f t="array" aca="1" ref="L62" ca="1">IFERROR(SUM(_xlfn._xlws.FILTER(INDIRECT(L$112),(INDIRECT($B$112)=$B62)*(INDIRECT($D$112)=$D62)*(INDIRECT($F$112)=$F62),0)),0)</f>
        <v>0</v>
      </c>
      <c r="M62" s="403" cm="1">
        <f t="array" aca="1" ref="M62" ca="1">IFERROR(SUM(_xlfn._xlws.FILTER(INDIRECT(M$112),(INDIRECT($B$112)=$B62)*(INDIRECT($D$112)=$D62)*(INDIRECT($F$112)=$F62),0)),0)</f>
        <v>0</v>
      </c>
      <c r="N62" s="403" cm="1">
        <f t="array" aca="1" ref="N62" ca="1">IFERROR(SUM(_xlfn._xlws.FILTER(INDIRECT(N$112),(INDIRECT($B$112)=$B62)*(INDIRECT($D$112)=$D62)*(INDIRECT($F$112)=$F62),0)),0)</f>
        <v>0</v>
      </c>
      <c r="O62" s="403" cm="1">
        <f t="array" aca="1" ref="O62" ca="1">IFERROR(SUM(_xlfn._xlws.FILTER(INDIRECT(O$112),(INDIRECT($B$112)=$B62)*(INDIRECT($D$112)=$D62)*(INDIRECT($F$112)=$F62),0)),0)</f>
        <v>0</v>
      </c>
      <c r="P62" s="403" cm="1">
        <f t="array" aca="1" ref="P62" ca="1">IFERROR(SUM(_xlfn._xlws.FILTER(INDIRECT(P$112),(INDIRECT($B$112)=$B62)*(INDIRECT($D$112)=$D62)*(INDIRECT($F$112)=$F62),0)),0)</f>
        <v>0</v>
      </c>
      <c r="Q62" s="403" cm="1">
        <f t="array" aca="1" ref="Q62" ca="1">IFERROR(SUM(_xlfn._xlws.FILTER(INDIRECT(Q$112),(INDIRECT($B$112)=$B62)*(INDIRECT($D$112)=$D62)*(INDIRECT($F$112)=$F62),0)),0)</f>
        <v>0</v>
      </c>
      <c r="R62" s="403" cm="1">
        <f t="array" aca="1" ref="R62" ca="1">IFERROR(SUM(_xlfn._xlws.FILTER(INDIRECT(R$112),(INDIRECT($B$112)=$B62)*(INDIRECT($D$112)=$D62)*(INDIRECT($F$112)=$F62),0)),0)</f>
        <v>0</v>
      </c>
      <c r="S62" s="403" cm="1">
        <f t="array" aca="1" ref="S62" ca="1">IFERROR(SUM(_xlfn._xlws.FILTER(INDIRECT(S$112),(INDIRECT($B$112)=$B62)*(INDIRECT($D$112)=$D62)*(INDIRECT($F$112)=$F62),0)),0)</f>
        <v>0</v>
      </c>
      <c r="T62" s="403" cm="1">
        <f t="array" aca="1" ref="T62" ca="1">IFERROR(SUM(_xlfn._xlws.FILTER(INDIRECT(T$112),(INDIRECT($B$112)=$B62)*(INDIRECT($D$112)=$D62)*(INDIRECT($F$112)=$F62),0)),0)</f>
        <v>0</v>
      </c>
      <c r="U62" s="403" cm="1">
        <f t="array" aca="1" ref="U62" ca="1">IFERROR(SUM(_xlfn._xlws.FILTER(INDIRECT(U$112),(INDIRECT($B$112)=$B62)*(INDIRECT($D$112)=$D62)*(INDIRECT($F$112)=$F62),0)),0)</f>
        <v>0</v>
      </c>
      <c r="V62" s="403" cm="1">
        <f t="array" aca="1" ref="V62" ca="1">IFERROR(SUM(_xlfn._xlws.FILTER(INDIRECT(V$112),(INDIRECT($B$112)=$B62)*(INDIRECT($D$112)=$D62)*(INDIRECT($F$112)=$F62),0)),0)</f>
        <v>0</v>
      </c>
      <c r="W62" s="403" cm="1">
        <f t="array" aca="1" ref="W62" ca="1">IFERROR(SUM(_xlfn._xlws.FILTER(INDIRECT(W$112),(INDIRECT($B$112)=$B62)*(INDIRECT($D$112)=$D62)*(INDIRECT($F$112)=$F62),0)),0)</f>
        <v>0</v>
      </c>
      <c r="X62" s="403" cm="1">
        <f t="array" aca="1" ref="X62" ca="1">IFERROR(SUM(_xlfn._xlws.FILTER(INDIRECT(X$112),(INDIRECT($B$112)=$B62)*(INDIRECT($D$112)=$D62)*(INDIRECT($F$112)=$F62),0)),0)</f>
        <v>0</v>
      </c>
      <c r="Y62" s="403" cm="1">
        <f t="array" aca="1" ref="Y62" ca="1">IFERROR(SUM(_xlfn._xlws.FILTER(INDIRECT(Y$112),(INDIRECT($B$112)=$B62)*(INDIRECT($D$112)=$D62)*(INDIRECT($F$112)=$F62),0)),0)</f>
        <v>0</v>
      </c>
      <c r="Z62" s="403" cm="1">
        <f t="array" aca="1" ref="Z62" ca="1">IFERROR(SUM(_xlfn._xlws.FILTER(INDIRECT(Z$112),(INDIRECT($B$112)=$B62)*(INDIRECT($D$112)=$D62)*(INDIRECT($F$112)=$F62),0)),0)</f>
        <v>0</v>
      </c>
      <c r="AA62" s="403" cm="1">
        <f t="array" aca="1" ref="AA62" ca="1">IFERROR(SUM(_xlfn._xlws.FILTER(INDIRECT(AA$112),(INDIRECT($B$112)=$B62)*(INDIRECT($D$112)=$D62)*(INDIRECT($F$112)=$F62),0)),0)</f>
        <v>0</v>
      </c>
      <c r="AB62" s="403" cm="1">
        <f t="array" aca="1" ref="AB62" ca="1">IFERROR(SUM(_xlfn._xlws.FILTER(INDIRECT(AB$112),(INDIRECT($B$112)=$B62)*(INDIRECT($D$112)=$D62)*(INDIRECT($F$112)=$F62),0)),0)</f>
        <v>0</v>
      </c>
      <c r="AC62" s="403" cm="1">
        <f t="array" aca="1" ref="AC62" ca="1">IFERROR(SUM(_xlfn._xlws.FILTER(INDIRECT(AC$112),(INDIRECT($B$112)=$B62)*(INDIRECT($D$112)=$D62)*(INDIRECT($F$112)=$F62),0)),0)</f>
        <v>0</v>
      </c>
      <c r="AD62" s="403" cm="1">
        <f t="array" aca="1" ref="AD62" ca="1">IFERROR(SUM(_xlfn._xlws.FILTER(INDIRECT(AD$112),(INDIRECT($B$112)=$B62)*(INDIRECT($D$112)=$D62)*(INDIRECT($F$112)=$F62),0)),0)</f>
        <v>0</v>
      </c>
      <c r="AE62" s="403" cm="1">
        <f t="array" aca="1" ref="AE62" ca="1">IFERROR(SUM(_xlfn._xlws.FILTER(INDIRECT(AE$112),(INDIRECT($B$112)=$B62)*(INDIRECT($D$112)=$D62)*(INDIRECT($F$112)=$F62),0)),0)</f>
        <v>0</v>
      </c>
      <c r="AF62" s="403" cm="1">
        <f t="array" aca="1" ref="AF62" ca="1">IFERROR(SUM(_xlfn._xlws.FILTER(INDIRECT(AF$112),(INDIRECT($B$112)=$B62)*(INDIRECT($D$112)=$D62)*(INDIRECT($F$112)=$F62),0)),0)</f>
        <v>0</v>
      </c>
      <c r="AG62" s="403" cm="1">
        <f t="array" aca="1" ref="AG62" ca="1">IFERROR(SUM(_xlfn._xlws.FILTER(INDIRECT(AG$112),(INDIRECT($B$112)=$B62)*(INDIRECT($D$112)=$D62)*(INDIRECT($F$112)=$F62),0)),0)</f>
        <v>0</v>
      </c>
      <c r="AH62" s="403" cm="1">
        <f t="array" aca="1" ref="AH62" ca="1">IFERROR(SUM(_xlfn._xlws.FILTER(INDIRECT(AH$112),(INDIRECT($B$112)=$B62)*(INDIRECT($D$112)=$D62)*(INDIRECT($F$112)=$F62),0)),0)</f>
        <v>0</v>
      </c>
      <c r="AI62" s="403" cm="1">
        <f t="array" aca="1" ref="AI62" ca="1">IFERROR(SUM(_xlfn._xlws.FILTER(INDIRECT(AI$112),(INDIRECT($B$112)=$B62)*(INDIRECT($D$112)=$D62)*(INDIRECT($F$112)=$F62),0)),0)</f>
        <v>0</v>
      </c>
      <c r="AJ62" s="403" cm="1">
        <f t="array" aca="1" ref="AJ62" ca="1">IFERROR(SUM(_xlfn._xlws.FILTER(INDIRECT(AJ$112),(INDIRECT($B$112)=$B62)*(INDIRECT($D$112)=$D62)*(INDIRECT($F$112)=$F62),0)),0)</f>
        <v>0</v>
      </c>
      <c r="AK62" s="403" cm="1">
        <f t="array" aca="1" ref="AK62" ca="1">IFERROR(SUM(_xlfn._xlws.FILTER(INDIRECT(AK$112),(INDIRECT($B$112)=$B62)*(INDIRECT($D$112)=$D62)*(INDIRECT($F$112)=$F62),0)),0)</f>
        <v>0</v>
      </c>
      <c r="AL62" s="403" cm="1">
        <f t="array" aca="1" ref="AL62" ca="1">IFERROR(SUM(_xlfn._xlws.FILTER(INDIRECT(AL$112),(INDIRECT($B$112)=$B62)*(INDIRECT($D$112)=$D62)*(INDIRECT($F$112)=$F62),0)),0)</f>
        <v>0</v>
      </c>
      <c r="AM62" s="403" cm="1">
        <f t="array" aca="1" ref="AM62" ca="1">IFERROR(SUM(_xlfn._xlws.FILTER(INDIRECT(AM$112),(INDIRECT($B$112)=$B62)*(INDIRECT($D$112)=$D62)*(INDIRECT($F$112)=$F62),0)),0)</f>
        <v>0</v>
      </c>
      <c r="AN62" s="403" cm="1">
        <f t="array" aca="1" ref="AN62" ca="1">IFERROR(SUM(_xlfn._xlws.FILTER(INDIRECT(AN$112),(INDIRECT($B$112)=$B62)*(INDIRECT($D$112)=$D62)*(INDIRECT($F$112)=$F62),0)),0)</f>
        <v>0</v>
      </c>
      <c r="AO62" s="403" cm="1">
        <f t="array" aca="1" ref="AO62" ca="1">IFERROR(SUM(_xlfn._xlws.FILTER(INDIRECT(AO$112),(INDIRECT($B$112)=$B62)*(INDIRECT($D$112)=$D62)*(INDIRECT($F$112)=$F62),0)),0)</f>
        <v>0</v>
      </c>
      <c r="AP62" s="403" cm="1">
        <f t="array" aca="1" ref="AP62" ca="1">IFERROR(SUM(_xlfn._xlws.FILTER(INDIRECT(AP$112),(INDIRECT($B$112)=$B62)*(INDIRECT($D$112)=$D62)*(INDIRECT($F$112)=$F62),0)),0)</f>
        <v>0</v>
      </c>
      <c r="AQ62" s="403" cm="1">
        <f t="array" aca="1" ref="AQ62" ca="1">IFERROR(SUM(_xlfn._xlws.FILTER(INDIRECT(AQ$112),(INDIRECT($B$112)=$B62)*(INDIRECT($D$112)=$D62)*(INDIRECT($F$112)=$F62),0)),0)</f>
        <v>0</v>
      </c>
      <c r="AR62" s="403" cm="1">
        <f t="array" aca="1" ref="AR62" ca="1">IFERROR(SUM(_xlfn._xlws.FILTER(INDIRECT(AR$112),(INDIRECT($B$112)=$B62)*(INDIRECT($D$112)=$D62)*(INDIRECT($F$112)=$F62),0)),0)</f>
        <v>0</v>
      </c>
      <c r="AS62" s="286" t="str">
        <f t="shared" si="4"/>
        <v>X</v>
      </c>
      <c r="AT62" s="403">
        <f t="shared" ca="1" si="3"/>
        <v>0</v>
      </c>
      <c r="AV62" s="142" cm="1">
        <f t="array" aca="1" ref="AV62" ca="1">IF(AND(_xlfn.LET(_xlpm.x,SUM(ROW()),OR(AND(MATCH("SOT",$A:$A,0)&lt;_xlpm.x,MATCH("EOT",$A:$A,0)&gt;_xlpm.x),AND(MATCH("SOS",$A:$A,0)&lt;_xlpm.x,MATCH("EOS",$A:$A,0)&gt;_xlpm.x),AND(MATCH("SOR",$A:$A,0)&lt;_xlpm.x,MATCH("EOR",$A:$A,0)&gt;_xlpm.x))),INDIRECT("rc"&amp;MATCH("SCD",$1:$1,0),FALSE)="PPTO"),1,0)</f>
        <v>0</v>
      </c>
      <c r="AW62" s="142" cm="1">
        <f t="array" aca="1" ref="AW6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63" spans="1:49" s="153" customFormat="1" outlineLevel="2">
      <c r="A63" s="152"/>
      <c r="B63" s="401"/>
      <c r="C63" s="148"/>
      <c r="D63" s="404"/>
      <c r="E63" s="350"/>
      <c r="F63" s="402"/>
      <c r="G63" s="403" cm="1">
        <f t="array" aca="1" ref="G63" ca="1">IFERROR(SUM(_xlfn._xlws.FILTER(INDIRECT(G$112),(INDIRECT($B$112)=$B63)*(INDIRECT($D$112)=$D63)*(INDIRECT($F$112)=$F63),0)),0)</f>
        <v>0</v>
      </c>
      <c r="H63" s="403" cm="1">
        <f t="array" aca="1" ref="H63" ca="1">IFERROR(SUM(_xlfn._xlws.FILTER(INDIRECT(H$112),(INDIRECT($B$112)=$B63)*(INDIRECT($D$112)=$D63)*(INDIRECT($F$112)=$F63),0)),0)</f>
        <v>0</v>
      </c>
      <c r="I63" s="403" cm="1">
        <f t="array" aca="1" ref="I63" ca="1">IFERROR(SUM(_xlfn._xlws.FILTER(INDIRECT(I$112),(INDIRECT($B$112)=$B63)*(INDIRECT($D$112)=$D63)*(INDIRECT($F$112)=$F63),0)),0)</f>
        <v>0</v>
      </c>
      <c r="J63" s="403" cm="1">
        <f t="array" aca="1" ref="J63" ca="1">IFERROR(SUM(_xlfn._xlws.FILTER(INDIRECT(J$112),(INDIRECT($B$112)=$B63)*(INDIRECT($D$112)=$D63)*(INDIRECT($F$112)=$F63),0)),0)</f>
        <v>0</v>
      </c>
      <c r="K63" s="403" cm="1">
        <f t="array" aca="1" ref="K63" ca="1">IFERROR(SUM(_xlfn._xlws.FILTER(INDIRECT(K$112),(INDIRECT($B$112)=$B63)*(INDIRECT($D$112)=$D63)*(INDIRECT($F$112)=$F63),0)),0)</f>
        <v>0</v>
      </c>
      <c r="L63" s="403" cm="1">
        <f t="array" aca="1" ref="L63" ca="1">IFERROR(SUM(_xlfn._xlws.FILTER(INDIRECT(L$112),(INDIRECT($B$112)=$B63)*(INDIRECT($D$112)=$D63)*(INDIRECT($F$112)=$F63),0)),0)</f>
        <v>0</v>
      </c>
      <c r="M63" s="403" cm="1">
        <f t="array" aca="1" ref="M63" ca="1">IFERROR(SUM(_xlfn._xlws.FILTER(INDIRECT(M$112),(INDIRECT($B$112)=$B63)*(INDIRECT($D$112)=$D63)*(INDIRECT($F$112)=$F63),0)),0)</f>
        <v>0</v>
      </c>
      <c r="N63" s="403" cm="1">
        <f t="array" aca="1" ref="N63" ca="1">IFERROR(SUM(_xlfn._xlws.FILTER(INDIRECT(N$112),(INDIRECT($B$112)=$B63)*(INDIRECT($D$112)=$D63)*(INDIRECT($F$112)=$F63),0)),0)</f>
        <v>0</v>
      </c>
      <c r="O63" s="403" cm="1">
        <f t="array" aca="1" ref="O63" ca="1">IFERROR(SUM(_xlfn._xlws.FILTER(INDIRECT(O$112),(INDIRECT($B$112)=$B63)*(INDIRECT($D$112)=$D63)*(INDIRECT($F$112)=$F63),0)),0)</f>
        <v>0</v>
      </c>
      <c r="P63" s="403" cm="1">
        <f t="array" aca="1" ref="P63" ca="1">IFERROR(SUM(_xlfn._xlws.FILTER(INDIRECT(P$112),(INDIRECT($B$112)=$B63)*(INDIRECT($D$112)=$D63)*(INDIRECT($F$112)=$F63),0)),0)</f>
        <v>0</v>
      </c>
      <c r="Q63" s="403" cm="1">
        <f t="array" aca="1" ref="Q63" ca="1">IFERROR(SUM(_xlfn._xlws.FILTER(INDIRECT(Q$112),(INDIRECT($B$112)=$B63)*(INDIRECT($D$112)=$D63)*(INDIRECT($F$112)=$F63),0)),0)</f>
        <v>0</v>
      </c>
      <c r="R63" s="403" cm="1">
        <f t="array" aca="1" ref="R63" ca="1">IFERROR(SUM(_xlfn._xlws.FILTER(INDIRECT(R$112),(INDIRECT($B$112)=$B63)*(INDIRECT($D$112)=$D63)*(INDIRECT($F$112)=$F63),0)),0)</f>
        <v>0</v>
      </c>
      <c r="S63" s="403" cm="1">
        <f t="array" aca="1" ref="S63" ca="1">IFERROR(SUM(_xlfn._xlws.FILTER(INDIRECT(S$112),(INDIRECT($B$112)=$B63)*(INDIRECT($D$112)=$D63)*(INDIRECT($F$112)=$F63),0)),0)</f>
        <v>0</v>
      </c>
      <c r="T63" s="403" cm="1">
        <f t="array" aca="1" ref="T63" ca="1">IFERROR(SUM(_xlfn._xlws.FILTER(INDIRECT(T$112),(INDIRECT($B$112)=$B63)*(INDIRECT($D$112)=$D63)*(INDIRECT($F$112)=$F63),0)),0)</f>
        <v>0</v>
      </c>
      <c r="U63" s="403" cm="1">
        <f t="array" aca="1" ref="U63" ca="1">IFERROR(SUM(_xlfn._xlws.FILTER(INDIRECT(U$112),(INDIRECT($B$112)=$B63)*(INDIRECT($D$112)=$D63)*(INDIRECT($F$112)=$F63),0)),0)</f>
        <v>0</v>
      </c>
      <c r="V63" s="403" cm="1">
        <f t="array" aca="1" ref="V63" ca="1">IFERROR(SUM(_xlfn._xlws.FILTER(INDIRECT(V$112),(INDIRECT($B$112)=$B63)*(INDIRECT($D$112)=$D63)*(INDIRECT($F$112)=$F63),0)),0)</f>
        <v>0</v>
      </c>
      <c r="W63" s="403" cm="1">
        <f t="array" aca="1" ref="W63" ca="1">IFERROR(SUM(_xlfn._xlws.FILTER(INDIRECT(W$112),(INDIRECT($B$112)=$B63)*(INDIRECT($D$112)=$D63)*(INDIRECT($F$112)=$F63),0)),0)</f>
        <v>0</v>
      </c>
      <c r="X63" s="403" cm="1">
        <f t="array" aca="1" ref="X63" ca="1">IFERROR(SUM(_xlfn._xlws.FILTER(INDIRECT(X$112),(INDIRECT($B$112)=$B63)*(INDIRECT($D$112)=$D63)*(INDIRECT($F$112)=$F63),0)),0)</f>
        <v>0</v>
      </c>
      <c r="Y63" s="403" cm="1">
        <f t="array" aca="1" ref="Y63" ca="1">IFERROR(SUM(_xlfn._xlws.FILTER(INDIRECT(Y$112),(INDIRECT($B$112)=$B63)*(INDIRECT($D$112)=$D63)*(INDIRECT($F$112)=$F63),0)),0)</f>
        <v>0</v>
      </c>
      <c r="Z63" s="403" cm="1">
        <f t="array" aca="1" ref="Z63" ca="1">IFERROR(SUM(_xlfn._xlws.FILTER(INDIRECT(Z$112),(INDIRECT($B$112)=$B63)*(INDIRECT($D$112)=$D63)*(INDIRECT($F$112)=$F63),0)),0)</f>
        <v>0</v>
      </c>
      <c r="AA63" s="403" cm="1">
        <f t="array" aca="1" ref="AA63" ca="1">IFERROR(SUM(_xlfn._xlws.FILTER(INDIRECT(AA$112),(INDIRECT($B$112)=$B63)*(INDIRECT($D$112)=$D63)*(INDIRECT($F$112)=$F63),0)),0)</f>
        <v>0</v>
      </c>
      <c r="AB63" s="403" cm="1">
        <f t="array" aca="1" ref="AB63" ca="1">IFERROR(SUM(_xlfn._xlws.FILTER(INDIRECT(AB$112),(INDIRECT($B$112)=$B63)*(INDIRECT($D$112)=$D63)*(INDIRECT($F$112)=$F63),0)),0)</f>
        <v>0</v>
      </c>
      <c r="AC63" s="403" cm="1">
        <f t="array" aca="1" ref="AC63" ca="1">IFERROR(SUM(_xlfn._xlws.FILTER(INDIRECT(AC$112),(INDIRECT($B$112)=$B63)*(INDIRECT($D$112)=$D63)*(INDIRECT($F$112)=$F63),0)),0)</f>
        <v>0</v>
      </c>
      <c r="AD63" s="403" cm="1">
        <f t="array" aca="1" ref="AD63" ca="1">IFERROR(SUM(_xlfn._xlws.FILTER(INDIRECT(AD$112),(INDIRECT($B$112)=$B63)*(INDIRECT($D$112)=$D63)*(INDIRECT($F$112)=$F63),0)),0)</f>
        <v>0</v>
      </c>
      <c r="AE63" s="403" cm="1">
        <f t="array" aca="1" ref="AE63" ca="1">IFERROR(SUM(_xlfn._xlws.FILTER(INDIRECT(AE$112),(INDIRECT($B$112)=$B63)*(INDIRECT($D$112)=$D63)*(INDIRECT($F$112)=$F63),0)),0)</f>
        <v>0</v>
      </c>
      <c r="AF63" s="403" cm="1">
        <f t="array" aca="1" ref="AF63" ca="1">IFERROR(SUM(_xlfn._xlws.FILTER(INDIRECT(AF$112),(INDIRECT($B$112)=$B63)*(INDIRECT($D$112)=$D63)*(INDIRECT($F$112)=$F63),0)),0)</f>
        <v>0</v>
      </c>
      <c r="AG63" s="403" cm="1">
        <f t="array" aca="1" ref="AG63" ca="1">IFERROR(SUM(_xlfn._xlws.FILTER(INDIRECT(AG$112),(INDIRECT($B$112)=$B63)*(INDIRECT($D$112)=$D63)*(INDIRECT($F$112)=$F63),0)),0)</f>
        <v>0</v>
      </c>
      <c r="AH63" s="403" cm="1">
        <f t="array" aca="1" ref="AH63" ca="1">IFERROR(SUM(_xlfn._xlws.FILTER(INDIRECT(AH$112),(INDIRECT($B$112)=$B63)*(INDIRECT($D$112)=$D63)*(INDIRECT($F$112)=$F63),0)),0)</f>
        <v>0</v>
      </c>
      <c r="AI63" s="403" cm="1">
        <f t="array" aca="1" ref="AI63" ca="1">IFERROR(SUM(_xlfn._xlws.FILTER(INDIRECT(AI$112),(INDIRECT($B$112)=$B63)*(INDIRECT($D$112)=$D63)*(INDIRECT($F$112)=$F63),0)),0)</f>
        <v>0</v>
      </c>
      <c r="AJ63" s="403" cm="1">
        <f t="array" aca="1" ref="AJ63" ca="1">IFERROR(SUM(_xlfn._xlws.FILTER(INDIRECT(AJ$112),(INDIRECT($B$112)=$B63)*(INDIRECT($D$112)=$D63)*(INDIRECT($F$112)=$F63),0)),0)</f>
        <v>0</v>
      </c>
      <c r="AK63" s="403" cm="1">
        <f t="array" aca="1" ref="AK63" ca="1">IFERROR(SUM(_xlfn._xlws.FILTER(INDIRECT(AK$112),(INDIRECT($B$112)=$B63)*(INDIRECT($D$112)=$D63)*(INDIRECT($F$112)=$F63),0)),0)</f>
        <v>0</v>
      </c>
      <c r="AL63" s="403" cm="1">
        <f t="array" aca="1" ref="AL63" ca="1">IFERROR(SUM(_xlfn._xlws.FILTER(INDIRECT(AL$112),(INDIRECT($B$112)=$B63)*(INDIRECT($D$112)=$D63)*(INDIRECT($F$112)=$F63),0)),0)</f>
        <v>0</v>
      </c>
      <c r="AM63" s="403" cm="1">
        <f t="array" aca="1" ref="AM63" ca="1">IFERROR(SUM(_xlfn._xlws.FILTER(INDIRECT(AM$112),(INDIRECT($B$112)=$B63)*(INDIRECT($D$112)=$D63)*(INDIRECT($F$112)=$F63),0)),0)</f>
        <v>0</v>
      </c>
      <c r="AN63" s="403" cm="1">
        <f t="array" aca="1" ref="AN63" ca="1">IFERROR(SUM(_xlfn._xlws.FILTER(INDIRECT(AN$112),(INDIRECT($B$112)=$B63)*(INDIRECT($D$112)=$D63)*(INDIRECT($F$112)=$F63),0)),0)</f>
        <v>0</v>
      </c>
      <c r="AO63" s="403" cm="1">
        <f t="array" aca="1" ref="AO63" ca="1">IFERROR(SUM(_xlfn._xlws.FILTER(INDIRECT(AO$112),(INDIRECT($B$112)=$B63)*(INDIRECT($D$112)=$D63)*(INDIRECT($F$112)=$F63),0)),0)</f>
        <v>0</v>
      </c>
      <c r="AP63" s="403" cm="1">
        <f t="array" aca="1" ref="AP63" ca="1">IFERROR(SUM(_xlfn._xlws.FILTER(INDIRECT(AP$112),(INDIRECT($B$112)=$B63)*(INDIRECT($D$112)=$D63)*(INDIRECT($F$112)=$F63),0)),0)</f>
        <v>0</v>
      </c>
      <c r="AQ63" s="403" cm="1">
        <f t="array" aca="1" ref="AQ63" ca="1">IFERROR(SUM(_xlfn._xlws.FILTER(INDIRECT(AQ$112),(INDIRECT($B$112)=$B63)*(INDIRECT($D$112)=$D63)*(INDIRECT($F$112)=$F63),0)),0)</f>
        <v>0</v>
      </c>
      <c r="AR63" s="403" cm="1">
        <f t="array" aca="1" ref="AR63" ca="1">IFERROR(SUM(_xlfn._xlws.FILTER(INDIRECT(AR$112),(INDIRECT($B$112)=$B63)*(INDIRECT($D$112)=$D63)*(INDIRECT($F$112)=$F63),0)),0)</f>
        <v>0</v>
      </c>
      <c r="AS63" s="286" t="str">
        <f t="shared" si="4"/>
        <v>X</v>
      </c>
      <c r="AT63" s="403">
        <f t="shared" ca="1" si="3"/>
        <v>0</v>
      </c>
      <c r="AV63" s="142" cm="1">
        <f t="array" aca="1" ref="AV63" ca="1">IF(AND(_xlfn.LET(_xlpm.x,SUM(ROW()),OR(AND(MATCH("SOT",$A:$A,0)&lt;_xlpm.x,MATCH("EOT",$A:$A,0)&gt;_xlpm.x),AND(MATCH("SOS",$A:$A,0)&lt;_xlpm.x,MATCH("EOS",$A:$A,0)&gt;_xlpm.x),AND(MATCH("SOR",$A:$A,0)&lt;_xlpm.x,MATCH("EOR",$A:$A,0)&gt;_xlpm.x))),INDIRECT("rc"&amp;MATCH("SCD",$1:$1,0),FALSE)="PPTO"),1,0)</f>
        <v>0</v>
      </c>
      <c r="AW63" s="142" cm="1">
        <f t="array" aca="1" ref="AW6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64" spans="1:49" s="153" customFormat="1" outlineLevel="2">
      <c r="A64" s="152"/>
      <c r="B64" s="401"/>
      <c r="C64" s="148"/>
      <c r="D64" s="404"/>
      <c r="E64" s="350"/>
      <c r="F64" s="402"/>
      <c r="G64" s="403" cm="1">
        <f t="array" aca="1" ref="G64" ca="1">IFERROR(SUM(_xlfn._xlws.FILTER(INDIRECT(G$112),(INDIRECT($B$112)=$B64)*(INDIRECT($D$112)=$D64)*(INDIRECT($F$112)=$F64),0)),0)</f>
        <v>0</v>
      </c>
      <c r="H64" s="403" cm="1">
        <f t="array" aca="1" ref="H64" ca="1">IFERROR(SUM(_xlfn._xlws.FILTER(INDIRECT(H$112),(INDIRECT($B$112)=$B64)*(INDIRECT($D$112)=$D64)*(INDIRECT($F$112)=$F64),0)),0)</f>
        <v>0</v>
      </c>
      <c r="I64" s="403" cm="1">
        <f t="array" aca="1" ref="I64" ca="1">IFERROR(SUM(_xlfn._xlws.FILTER(INDIRECT(I$112),(INDIRECT($B$112)=$B64)*(INDIRECT($D$112)=$D64)*(INDIRECT($F$112)=$F64),0)),0)</f>
        <v>0</v>
      </c>
      <c r="J64" s="403" cm="1">
        <f t="array" aca="1" ref="J64" ca="1">IFERROR(SUM(_xlfn._xlws.FILTER(INDIRECT(J$112),(INDIRECT($B$112)=$B64)*(INDIRECT($D$112)=$D64)*(INDIRECT($F$112)=$F64),0)),0)</f>
        <v>0</v>
      </c>
      <c r="K64" s="403" cm="1">
        <f t="array" aca="1" ref="K64" ca="1">IFERROR(SUM(_xlfn._xlws.FILTER(INDIRECT(K$112),(INDIRECT($B$112)=$B64)*(INDIRECT($D$112)=$D64)*(INDIRECT($F$112)=$F64),0)),0)</f>
        <v>0</v>
      </c>
      <c r="L64" s="403" cm="1">
        <f t="array" aca="1" ref="L64" ca="1">IFERROR(SUM(_xlfn._xlws.FILTER(INDIRECT(L$112),(INDIRECT($B$112)=$B64)*(INDIRECT($D$112)=$D64)*(INDIRECT($F$112)=$F64),0)),0)</f>
        <v>0</v>
      </c>
      <c r="M64" s="403" cm="1">
        <f t="array" aca="1" ref="M64" ca="1">IFERROR(SUM(_xlfn._xlws.FILTER(INDIRECT(M$112),(INDIRECT($B$112)=$B64)*(INDIRECT($D$112)=$D64)*(INDIRECT($F$112)=$F64),0)),0)</f>
        <v>0</v>
      </c>
      <c r="N64" s="403" cm="1">
        <f t="array" aca="1" ref="N64" ca="1">IFERROR(SUM(_xlfn._xlws.FILTER(INDIRECT(N$112),(INDIRECT($B$112)=$B64)*(INDIRECT($D$112)=$D64)*(INDIRECT($F$112)=$F64),0)),0)</f>
        <v>0</v>
      </c>
      <c r="O64" s="403" cm="1">
        <f t="array" aca="1" ref="O64" ca="1">IFERROR(SUM(_xlfn._xlws.FILTER(INDIRECT(O$112),(INDIRECT($B$112)=$B64)*(INDIRECT($D$112)=$D64)*(INDIRECT($F$112)=$F64),0)),0)</f>
        <v>0</v>
      </c>
      <c r="P64" s="403" cm="1">
        <f t="array" aca="1" ref="P64" ca="1">IFERROR(SUM(_xlfn._xlws.FILTER(INDIRECT(P$112),(INDIRECT($B$112)=$B64)*(INDIRECT($D$112)=$D64)*(INDIRECT($F$112)=$F64),0)),0)</f>
        <v>0</v>
      </c>
      <c r="Q64" s="403" cm="1">
        <f t="array" aca="1" ref="Q64" ca="1">IFERROR(SUM(_xlfn._xlws.FILTER(INDIRECT(Q$112),(INDIRECT($B$112)=$B64)*(INDIRECT($D$112)=$D64)*(INDIRECT($F$112)=$F64),0)),0)</f>
        <v>0</v>
      </c>
      <c r="R64" s="403" cm="1">
        <f t="array" aca="1" ref="R64" ca="1">IFERROR(SUM(_xlfn._xlws.FILTER(INDIRECT(R$112),(INDIRECT($B$112)=$B64)*(INDIRECT($D$112)=$D64)*(INDIRECT($F$112)=$F64),0)),0)</f>
        <v>0</v>
      </c>
      <c r="S64" s="403" cm="1">
        <f t="array" aca="1" ref="S64" ca="1">IFERROR(SUM(_xlfn._xlws.FILTER(INDIRECT(S$112),(INDIRECT($B$112)=$B64)*(INDIRECT($D$112)=$D64)*(INDIRECT($F$112)=$F64),0)),0)</f>
        <v>0</v>
      </c>
      <c r="T64" s="403" cm="1">
        <f t="array" aca="1" ref="T64" ca="1">IFERROR(SUM(_xlfn._xlws.FILTER(INDIRECT(T$112),(INDIRECT($B$112)=$B64)*(INDIRECT($D$112)=$D64)*(INDIRECT($F$112)=$F64),0)),0)</f>
        <v>0</v>
      </c>
      <c r="U64" s="403" cm="1">
        <f t="array" aca="1" ref="U64" ca="1">IFERROR(SUM(_xlfn._xlws.FILTER(INDIRECT(U$112),(INDIRECT($B$112)=$B64)*(INDIRECT($D$112)=$D64)*(INDIRECT($F$112)=$F64),0)),0)</f>
        <v>0</v>
      </c>
      <c r="V64" s="403" cm="1">
        <f t="array" aca="1" ref="V64" ca="1">IFERROR(SUM(_xlfn._xlws.FILTER(INDIRECT(V$112),(INDIRECT($B$112)=$B64)*(INDIRECT($D$112)=$D64)*(INDIRECT($F$112)=$F64),0)),0)</f>
        <v>0</v>
      </c>
      <c r="W64" s="403" cm="1">
        <f t="array" aca="1" ref="W64" ca="1">IFERROR(SUM(_xlfn._xlws.FILTER(INDIRECT(W$112),(INDIRECT($B$112)=$B64)*(INDIRECT($D$112)=$D64)*(INDIRECT($F$112)=$F64),0)),0)</f>
        <v>0</v>
      </c>
      <c r="X64" s="403" cm="1">
        <f t="array" aca="1" ref="X64" ca="1">IFERROR(SUM(_xlfn._xlws.FILTER(INDIRECT(X$112),(INDIRECT($B$112)=$B64)*(INDIRECT($D$112)=$D64)*(INDIRECT($F$112)=$F64),0)),0)</f>
        <v>0</v>
      </c>
      <c r="Y64" s="403" cm="1">
        <f t="array" aca="1" ref="Y64" ca="1">IFERROR(SUM(_xlfn._xlws.FILTER(INDIRECT(Y$112),(INDIRECT($B$112)=$B64)*(INDIRECT($D$112)=$D64)*(INDIRECT($F$112)=$F64),0)),0)</f>
        <v>0</v>
      </c>
      <c r="Z64" s="403" cm="1">
        <f t="array" aca="1" ref="Z64" ca="1">IFERROR(SUM(_xlfn._xlws.FILTER(INDIRECT(Z$112),(INDIRECT($B$112)=$B64)*(INDIRECT($D$112)=$D64)*(INDIRECT($F$112)=$F64),0)),0)</f>
        <v>0</v>
      </c>
      <c r="AA64" s="403" cm="1">
        <f t="array" aca="1" ref="AA64" ca="1">IFERROR(SUM(_xlfn._xlws.FILTER(INDIRECT(AA$112),(INDIRECT($B$112)=$B64)*(INDIRECT($D$112)=$D64)*(INDIRECT($F$112)=$F64),0)),0)</f>
        <v>0</v>
      </c>
      <c r="AB64" s="403" cm="1">
        <f t="array" aca="1" ref="AB64" ca="1">IFERROR(SUM(_xlfn._xlws.FILTER(INDIRECT(AB$112),(INDIRECT($B$112)=$B64)*(INDIRECT($D$112)=$D64)*(INDIRECT($F$112)=$F64),0)),0)</f>
        <v>0</v>
      </c>
      <c r="AC64" s="403" cm="1">
        <f t="array" aca="1" ref="AC64" ca="1">IFERROR(SUM(_xlfn._xlws.FILTER(INDIRECT(AC$112),(INDIRECT($B$112)=$B64)*(INDIRECT($D$112)=$D64)*(INDIRECT($F$112)=$F64),0)),0)</f>
        <v>0</v>
      </c>
      <c r="AD64" s="403" cm="1">
        <f t="array" aca="1" ref="AD64" ca="1">IFERROR(SUM(_xlfn._xlws.FILTER(INDIRECT(AD$112),(INDIRECT($B$112)=$B64)*(INDIRECT($D$112)=$D64)*(INDIRECT($F$112)=$F64),0)),0)</f>
        <v>0</v>
      </c>
      <c r="AE64" s="403" cm="1">
        <f t="array" aca="1" ref="AE64" ca="1">IFERROR(SUM(_xlfn._xlws.FILTER(INDIRECT(AE$112),(INDIRECT($B$112)=$B64)*(INDIRECT($D$112)=$D64)*(INDIRECT($F$112)=$F64),0)),0)</f>
        <v>0</v>
      </c>
      <c r="AF64" s="403" cm="1">
        <f t="array" aca="1" ref="AF64" ca="1">IFERROR(SUM(_xlfn._xlws.FILTER(INDIRECT(AF$112),(INDIRECT($B$112)=$B64)*(INDIRECT($D$112)=$D64)*(INDIRECT($F$112)=$F64),0)),0)</f>
        <v>0</v>
      </c>
      <c r="AG64" s="403" cm="1">
        <f t="array" aca="1" ref="AG64" ca="1">IFERROR(SUM(_xlfn._xlws.FILTER(INDIRECT(AG$112),(INDIRECT($B$112)=$B64)*(INDIRECT($D$112)=$D64)*(INDIRECT($F$112)=$F64),0)),0)</f>
        <v>0</v>
      </c>
      <c r="AH64" s="403" cm="1">
        <f t="array" aca="1" ref="AH64" ca="1">IFERROR(SUM(_xlfn._xlws.FILTER(INDIRECT(AH$112),(INDIRECT($B$112)=$B64)*(INDIRECT($D$112)=$D64)*(INDIRECT($F$112)=$F64),0)),0)</f>
        <v>0</v>
      </c>
      <c r="AI64" s="403" cm="1">
        <f t="array" aca="1" ref="AI64" ca="1">IFERROR(SUM(_xlfn._xlws.FILTER(INDIRECT(AI$112),(INDIRECT($B$112)=$B64)*(INDIRECT($D$112)=$D64)*(INDIRECT($F$112)=$F64),0)),0)</f>
        <v>0</v>
      </c>
      <c r="AJ64" s="403" cm="1">
        <f t="array" aca="1" ref="AJ64" ca="1">IFERROR(SUM(_xlfn._xlws.FILTER(INDIRECT(AJ$112),(INDIRECT($B$112)=$B64)*(INDIRECT($D$112)=$D64)*(INDIRECT($F$112)=$F64),0)),0)</f>
        <v>0</v>
      </c>
      <c r="AK64" s="403" cm="1">
        <f t="array" aca="1" ref="AK64" ca="1">IFERROR(SUM(_xlfn._xlws.FILTER(INDIRECT(AK$112),(INDIRECT($B$112)=$B64)*(INDIRECT($D$112)=$D64)*(INDIRECT($F$112)=$F64),0)),0)</f>
        <v>0</v>
      </c>
      <c r="AL64" s="403" cm="1">
        <f t="array" aca="1" ref="AL64" ca="1">IFERROR(SUM(_xlfn._xlws.FILTER(INDIRECT(AL$112),(INDIRECT($B$112)=$B64)*(INDIRECT($D$112)=$D64)*(INDIRECT($F$112)=$F64),0)),0)</f>
        <v>0</v>
      </c>
      <c r="AM64" s="403" cm="1">
        <f t="array" aca="1" ref="AM64" ca="1">IFERROR(SUM(_xlfn._xlws.FILTER(INDIRECT(AM$112),(INDIRECT($B$112)=$B64)*(INDIRECT($D$112)=$D64)*(INDIRECT($F$112)=$F64),0)),0)</f>
        <v>0</v>
      </c>
      <c r="AN64" s="403" cm="1">
        <f t="array" aca="1" ref="AN64" ca="1">IFERROR(SUM(_xlfn._xlws.FILTER(INDIRECT(AN$112),(INDIRECT($B$112)=$B64)*(INDIRECT($D$112)=$D64)*(INDIRECT($F$112)=$F64),0)),0)</f>
        <v>0</v>
      </c>
      <c r="AO64" s="403" cm="1">
        <f t="array" aca="1" ref="AO64" ca="1">IFERROR(SUM(_xlfn._xlws.FILTER(INDIRECT(AO$112),(INDIRECT($B$112)=$B64)*(INDIRECT($D$112)=$D64)*(INDIRECT($F$112)=$F64),0)),0)</f>
        <v>0</v>
      </c>
      <c r="AP64" s="403" cm="1">
        <f t="array" aca="1" ref="AP64" ca="1">IFERROR(SUM(_xlfn._xlws.FILTER(INDIRECT(AP$112),(INDIRECT($B$112)=$B64)*(INDIRECT($D$112)=$D64)*(INDIRECT($F$112)=$F64),0)),0)</f>
        <v>0</v>
      </c>
      <c r="AQ64" s="403" cm="1">
        <f t="array" aca="1" ref="AQ64" ca="1">IFERROR(SUM(_xlfn._xlws.FILTER(INDIRECT(AQ$112),(INDIRECT($B$112)=$B64)*(INDIRECT($D$112)=$D64)*(INDIRECT($F$112)=$F64),0)),0)</f>
        <v>0</v>
      </c>
      <c r="AR64" s="403" cm="1">
        <f t="array" aca="1" ref="AR64" ca="1">IFERROR(SUM(_xlfn._xlws.FILTER(INDIRECT(AR$112),(INDIRECT($B$112)=$B64)*(INDIRECT($D$112)=$D64)*(INDIRECT($F$112)=$F64),0)),0)</f>
        <v>0</v>
      </c>
      <c r="AS64" s="286" t="str">
        <f t="shared" si="4"/>
        <v>X</v>
      </c>
      <c r="AT64" s="403">
        <f t="shared" ca="1" si="3"/>
        <v>0</v>
      </c>
      <c r="AV64" s="142" cm="1">
        <f t="array" aca="1" ref="AV64" ca="1">IF(AND(_xlfn.LET(_xlpm.x,SUM(ROW()),OR(AND(MATCH("SOT",$A:$A,0)&lt;_xlpm.x,MATCH("EOT",$A:$A,0)&gt;_xlpm.x),AND(MATCH("SOS",$A:$A,0)&lt;_xlpm.x,MATCH("EOS",$A:$A,0)&gt;_xlpm.x),AND(MATCH("SOR",$A:$A,0)&lt;_xlpm.x,MATCH("EOR",$A:$A,0)&gt;_xlpm.x))),INDIRECT("rc"&amp;MATCH("SCD",$1:$1,0),FALSE)="PPTO"),1,0)</f>
        <v>0</v>
      </c>
      <c r="AW64" s="142" cm="1">
        <f t="array" aca="1" ref="AW6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65" spans="1:49" s="153" customFormat="1" outlineLevel="2">
      <c r="A65" s="152"/>
      <c r="B65" s="401"/>
      <c r="C65" s="148"/>
      <c r="D65" s="404"/>
      <c r="E65" s="350"/>
      <c r="F65" s="402"/>
      <c r="G65" s="403" cm="1">
        <f t="array" aca="1" ref="G65" ca="1">IFERROR(SUM(_xlfn._xlws.FILTER(INDIRECT(G$112),(INDIRECT($B$112)=$B65)*(INDIRECT($D$112)=$D65)*(INDIRECT($F$112)=$F65),0)),0)</f>
        <v>0</v>
      </c>
      <c r="H65" s="403" cm="1">
        <f t="array" aca="1" ref="H65" ca="1">IFERROR(SUM(_xlfn._xlws.FILTER(INDIRECT(H$112),(INDIRECT($B$112)=$B65)*(INDIRECT($D$112)=$D65)*(INDIRECT($F$112)=$F65),0)),0)</f>
        <v>0</v>
      </c>
      <c r="I65" s="403" cm="1">
        <f t="array" aca="1" ref="I65" ca="1">IFERROR(SUM(_xlfn._xlws.FILTER(INDIRECT(I$112),(INDIRECT($B$112)=$B65)*(INDIRECT($D$112)=$D65)*(INDIRECT($F$112)=$F65),0)),0)</f>
        <v>0</v>
      </c>
      <c r="J65" s="403" cm="1">
        <f t="array" aca="1" ref="J65" ca="1">IFERROR(SUM(_xlfn._xlws.FILTER(INDIRECT(J$112),(INDIRECT($B$112)=$B65)*(INDIRECT($D$112)=$D65)*(INDIRECT($F$112)=$F65),0)),0)</f>
        <v>0</v>
      </c>
      <c r="K65" s="403" cm="1">
        <f t="array" aca="1" ref="K65" ca="1">IFERROR(SUM(_xlfn._xlws.FILTER(INDIRECT(K$112),(INDIRECT($B$112)=$B65)*(INDIRECT($D$112)=$D65)*(INDIRECT($F$112)=$F65),0)),0)</f>
        <v>0</v>
      </c>
      <c r="L65" s="403" cm="1">
        <f t="array" aca="1" ref="L65" ca="1">IFERROR(SUM(_xlfn._xlws.FILTER(INDIRECT(L$112),(INDIRECT($B$112)=$B65)*(INDIRECT($D$112)=$D65)*(INDIRECT($F$112)=$F65),0)),0)</f>
        <v>0</v>
      </c>
      <c r="M65" s="403" cm="1">
        <f t="array" aca="1" ref="M65" ca="1">IFERROR(SUM(_xlfn._xlws.FILTER(INDIRECT(M$112),(INDIRECT($B$112)=$B65)*(INDIRECT($D$112)=$D65)*(INDIRECT($F$112)=$F65),0)),0)</f>
        <v>0</v>
      </c>
      <c r="N65" s="403" cm="1">
        <f t="array" aca="1" ref="N65" ca="1">IFERROR(SUM(_xlfn._xlws.FILTER(INDIRECT(N$112),(INDIRECT($B$112)=$B65)*(INDIRECT($D$112)=$D65)*(INDIRECT($F$112)=$F65),0)),0)</f>
        <v>0</v>
      </c>
      <c r="O65" s="403" cm="1">
        <f t="array" aca="1" ref="O65" ca="1">IFERROR(SUM(_xlfn._xlws.FILTER(INDIRECT(O$112),(INDIRECT($B$112)=$B65)*(INDIRECT($D$112)=$D65)*(INDIRECT($F$112)=$F65),0)),0)</f>
        <v>0</v>
      </c>
      <c r="P65" s="403" cm="1">
        <f t="array" aca="1" ref="P65" ca="1">IFERROR(SUM(_xlfn._xlws.FILTER(INDIRECT(P$112),(INDIRECT($B$112)=$B65)*(INDIRECT($D$112)=$D65)*(INDIRECT($F$112)=$F65),0)),0)</f>
        <v>0</v>
      </c>
      <c r="Q65" s="403" cm="1">
        <f t="array" aca="1" ref="Q65" ca="1">IFERROR(SUM(_xlfn._xlws.FILTER(INDIRECT(Q$112),(INDIRECT($B$112)=$B65)*(INDIRECT($D$112)=$D65)*(INDIRECT($F$112)=$F65),0)),0)</f>
        <v>0</v>
      </c>
      <c r="R65" s="403" cm="1">
        <f t="array" aca="1" ref="R65" ca="1">IFERROR(SUM(_xlfn._xlws.FILTER(INDIRECT(R$112),(INDIRECT($B$112)=$B65)*(INDIRECT($D$112)=$D65)*(INDIRECT($F$112)=$F65),0)),0)</f>
        <v>0</v>
      </c>
      <c r="S65" s="403" cm="1">
        <f t="array" aca="1" ref="S65" ca="1">IFERROR(SUM(_xlfn._xlws.FILTER(INDIRECT(S$112),(INDIRECT($B$112)=$B65)*(INDIRECT($D$112)=$D65)*(INDIRECT($F$112)=$F65),0)),0)</f>
        <v>0</v>
      </c>
      <c r="T65" s="403" cm="1">
        <f t="array" aca="1" ref="T65" ca="1">IFERROR(SUM(_xlfn._xlws.FILTER(INDIRECT(T$112),(INDIRECT($B$112)=$B65)*(INDIRECT($D$112)=$D65)*(INDIRECT($F$112)=$F65),0)),0)</f>
        <v>0</v>
      </c>
      <c r="U65" s="403" cm="1">
        <f t="array" aca="1" ref="U65" ca="1">IFERROR(SUM(_xlfn._xlws.FILTER(INDIRECT(U$112),(INDIRECT($B$112)=$B65)*(INDIRECT($D$112)=$D65)*(INDIRECT($F$112)=$F65),0)),0)</f>
        <v>0</v>
      </c>
      <c r="V65" s="403" cm="1">
        <f t="array" aca="1" ref="V65" ca="1">IFERROR(SUM(_xlfn._xlws.FILTER(INDIRECT(V$112),(INDIRECT($B$112)=$B65)*(INDIRECT($D$112)=$D65)*(INDIRECT($F$112)=$F65),0)),0)</f>
        <v>0</v>
      </c>
      <c r="W65" s="403" cm="1">
        <f t="array" aca="1" ref="W65" ca="1">IFERROR(SUM(_xlfn._xlws.FILTER(INDIRECT(W$112),(INDIRECT($B$112)=$B65)*(INDIRECT($D$112)=$D65)*(INDIRECT($F$112)=$F65),0)),0)</f>
        <v>0</v>
      </c>
      <c r="X65" s="403" cm="1">
        <f t="array" aca="1" ref="X65" ca="1">IFERROR(SUM(_xlfn._xlws.FILTER(INDIRECT(X$112),(INDIRECT($B$112)=$B65)*(INDIRECT($D$112)=$D65)*(INDIRECT($F$112)=$F65),0)),0)</f>
        <v>0</v>
      </c>
      <c r="Y65" s="403" cm="1">
        <f t="array" aca="1" ref="Y65" ca="1">IFERROR(SUM(_xlfn._xlws.FILTER(INDIRECT(Y$112),(INDIRECT($B$112)=$B65)*(INDIRECT($D$112)=$D65)*(INDIRECT($F$112)=$F65),0)),0)</f>
        <v>0</v>
      </c>
      <c r="Z65" s="403" cm="1">
        <f t="array" aca="1" ref="Z65" ca="1">IFERROR(SUM(_xlfn._xlws.FILTER(INDIRECT(Z$112),(INDIRECT($B$112)=$B65)*(INDIRECT($D$112)=$D65)*(INDIRECT($F$112)=$F65),0)),0)</f>
        <v>0</v>
      </c>
      <c r="AA65" s="403" cm="1">
        <f t="array" aca="1" ref="AA65" ca="1">IFERROR(SUM(_xlfn._xlws.FILTER(INDIRECT(AA$112),(INDIRECT($B$112)=$B65)*(INDIRECT($D$112)=$D65)*(INDIRECT($F$112)=$F65),0)),0)</f>
        <v>0</v>
      </c>
      <c r="AB65" s="403" cm="1">
        <f t="array" aca="1" ref="AB65" ca="1">IFERROR(SUM(_xlfn._xlws.FILTER(INDIRECT(AB$112),(INDIRECT($B$112)=$B65)*(INDIRECT($D$112)=$D65)*(INDIRECT($F$112)=$F65),0)),0)</f>
        <v>0</v>
      </c>
      <c r="AC65" s="403" cm="1">
        <f t="array" aca="1" ref="AC65" ca="1">IFERROR(SUM(_xlfn._xlws.FILTER(INDIRECT(AC$112),(INDIRECT($B$112)=$B65)*(INDIRECT($D$112)=$D65)*(INDIRECT($F$112)=$F65),0)),0)</f>
        <v>0</v>
      </c>
      <c r="AD65" s="403" cm="1">
        <f t="array" aca="1" ref="AD65" ca="1">IFERROR(SUM(_xlfn._xlws.FILTER(INDIRECT(AD$112),(INDIRECT($B$112)=$B65)*(INDIRECT($D$112)=$D65)*(INDIRECT($F$112)=$F65),0)),0)</f>
        <v>0</v>
      </c>
      <c r="AE65" s="403" cm="1">
        <f t="array" aca="1" ref="AE65" ca="1">IFERROR(SUM(_xlfn._xlws.FILTER(INDIRECT(AE$112),(INDIRECT($B$112)=$B65)*(INDIRECT($D$112)=$D65)*(INDIRECT($F$112)=$F65),0)),0)</f>
        <v>0</v>
      </c>
      <c r="AF65" s="403" cm="1">
        <f t="array" aca="1" ref="AF65" ca="1">IFERROR(SUM(_xlfn._xlws.FILTER(INDIRECT(AF$112),(INDIRECT($B$112)=$B65)*(INDIRECT($D$112)=$D65)*(INDIRECT($F$112)=$F65),0)),0)</f>
        <v>0</v>
      </c>
      <c r="AG65" s="403" cm="1">
        <f t="array" aca="1" ref="AG65" ca="1">IFERROR(SUM(_xlfn._xlws.FILTER(INDIRECT(AG$112),(INDIRECT($B$112)=$B65)*(INDIRECT($D$112)=$D65)*(INDIRECT($F$112)=$F65),0)),0)</f>
        <v>0</v>
      </c>
      <c r="AH65" s="403" cm="1">
        <f t="array" aca="1" ref="AH65" ca="1">IFERROR(SUM(_xlfn._xlws.FILTER(INDIRECT(AH$112),(INDIRECT($B$112)=$B65)*(INDIRECT($D$112)=$D65)*(INDIRECT($F$112)=$F65),0)),0)</f>
        <v>0</v>
      </c>
      <c r="AI65" s="403" cm="1">
        <f t="array" aca="1" ref="AI65" ca="1">IFERROR(SUM(_xlfn._xlws.FILTER(INDIRECT(AI$112),(INDIRECT($B$112)=$B65)*(INDIRECT($D$112)=$D65)*(INDIRECT($F$112)=$F65),0)),0)</f>
        <v>0</v>
      </c>
      <c r="AJ65" s="403" cm="1">
        <f t="array" aca="1" ref="AJ65" ca="1">IFERROR(SUM(_xlfn._xlws.FILTER(INDIRECT(AJ$112),(INDIRECT($B$112)=$B65)*(INDIRECT($D$112)=$D65)*(INDIRECT($F$112)=$F65),0)),0)</f>
        <v>0</v>
      </c>
      <c r="AK65" s="403" cm="1">
        <f t="array" aca="1" ref="AK65" ca="1">IFERROR(SUM(_xlfn._xlws.FILTER(INDIRECT(AK$112),(INDIRECT($B$112)=$B65)*(INDIRECT($D$112)=$D65)*(INDIRECT($F$112)=$F65),0)),0)</f>
        <v>0</v>
      </c>
      <c r="AL65" s="403" cm="1">
        <f t="array" aca="1" ref="AL65" ca="1">IFERROR(SUM(_xlfn._xlws.FILTER(INDIRECT(AL$112),(INDIRECT($B$112)=$B65)*(INDIRECT($D$112)=$D65)*(INDIRECT($F$112)=$F65),0)),0)</f>
        <v>0</v>
      </c>
      <c r="AM65" s="403" cm="1">
        <f t="array" aca="1" ref="AM65" ca="1">IFERROR(SUM(_xlfn._xlws.FILTER(INDIRECT(AM$112),(INDIRECT($B$112)=$B65)*(INDIRECT($D$112)=$D65)*(INDIRECT($F$112)=$F65),0)),0)</f>
        <v>0</v>
      </c>
      <c r="AN65" s="403" cm="1">
        <f t="array" aca="1" ref="AN65" ca="1">IFERROR(SUM(_xlfn._xlws.FILTER(INDIRECT(AN$112),(INDIRECT($B$112)=$B65)*(INDIRECT($D$112)=$D65)*(INDIRECT($F$112)=$F65),0)),0)</f>
        <v>0</v>
      </c>
      <c r="AO65" s="403" cm="1">
        <f t="array" aca="1" ref="AO65" ca="1">IFERROR(SUM(_xlfn._xlws.FILTER(INDIRECT(AO$112),(INDIRECT($B$112)=$B65)*(INDIRECT($D$112)=$D65)*(INDIRECT($F$112)=$F65),0)),0)</f>
        <v>0</v>
      </c>
      <c r="AP65" s="403" cm="1">
        <f t="array" aca="1" ref="AP65" ca="1">IFERROR(SUM(_xlfn._xlws.FILTER(INDIRECT(AP$112),(INDIRECT($B$112)=$B65)*(INDIRECT($D$112)=$D65)*(INDIRECT($F$112)=$F65),0)),0)</f>
        <v>0</v>
      </c>
      <c r="AQ65" s="403" cm="1">
        <f t="array" aca="1" ref="AQ65" ca="1">IFERROR(SUM(_xlfn._xlws.FILTER(INDIRECT(AQ$112),(INDIRECT($B$112)=$B65)*(INDIRECT($D$112)=$D65)*(INDIRECT($F$112)=$F65),0)),0)</f>
        <v>0</v>
      </c>
      <c r="AR65" s="403" cm="1">
        <f t="array" aca="1" ref="AR65" ca="1">IFERROR(SUM(_xlfn._xlws.FILTER(INDIRECT(AR$112),(INDIRECT($B$112)=$B65)*(INDIRECT($D$112)=$D65)*(INDIRECT($F$112)=$F65),0)),0)</f>
        <v>0</v>
      </c>
      <c r="AS65" s="286" t="str">
        <f t="shared" si="4"/>
        <v>X</v>
      </c>
      <c r="AT65" s="403">
        <f t="shared" ca="1" si="3"/>
        <v>0</v>
      </c>
      <c r="AV65" s="142" cm="1">
        <f t="array" aca="1" ref="AV65" ca="1">IF(AND(_xlfn.LET(_xlpm.x,SUM(ROW()),OR(AND(MATCH("SOT",$A:$A,0)&lt;_xlpm.x,MATCH("EOT",$A:$A,0)&gt;_xlpm.x),AND(MATCH("SOS",$A:$A,0)&lt;_xlpm.x,MATCH("EOS",$A:$A,0)&gt;_xlpm.x),AND(MATCH("SOR",$A:$A,0)&lt;_xlpm.x,MATCH("EOR",$A:$A,0)&gt;_xlpm.x))),INDIRECT("rc"&amp;MATCH("SCD",$1:$1,0),FALSE)="PPTO"),1,0)</f>
        <v>0</v>
      </c>
      <c r="AW65" s="142" cm="1">
        <f t="array" aca="1" ref="AW6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66" spans="1:49" s="153" customFormat="1" outlineLevel="2">
      <c r="A66" s="152"/>
      <c r="B66" s="401"/>
      <c r="C66" s="148"/>
      <c r="D66" s="404"/>
      <c r="E66" s="350"/>
      <c r="F66" s="402"/>
      <c r="G66" s="403" cm="1">
        <f t="array" aca="1" ref="G66" ca="1">IFERROR(SUM(_xlfn._xlws.FILTER(INDIRECT(G$112),(INDIRECT($B$112)=$B66)*(INDIRECT($D$112)=$D66)*(INDIRECT($F$112)=$F66),0)),0)</f>
        <v>0</v>
      </c>
      <c r="H66" s="403" cm="1">
        <f t="array" aca="1" ref="H66" ca="1">IFERROR(SUM(_xlfn._xlws.FILTER(INDIRECT(H$112),(INDIRECT($B$112)=$B66)*(INDIRECT($D$112)=$D66)*(INDIRECT($F$112)=$F66),0)),0)</f>
        <v>0</v>
      </c>
      <c r="I66" s="403" cm="1">
        <f t="array" aca="1" ref="I66" ca="1">IFERROR(SUM(_xlfn._xlws.FILTER(INDIRECT(I$112),(INDIRECT($B$112)=$B66)*(INDIRECT($D$112)=$D66)*(INDIRECT($F$112)=$F66),0)),0)</f>
        <v>0</v>
      </c>
      <c r="J66" s="403" cm="1">
        <f t="array" aca="1" ref="J66" ca="1">IFERROR(SUM(_xlfn._xlws.FILTER(INDIRECT(J$112),(INDIRECT($B$112)=$B66)*(INDIRECT($D$112)=$D66)*(INDIRECT($F$112)=$F66),0)),0)</f>
        <v>0</v>
      </c>
      <c r="K66" s="403" cm="1">
        <f t="array" aca="1" ref="K66" ca="1">IFERROR(SUM(_xlfn._xlws.FILTER(INDIRECT(K$112),(INDIRECT($B$112)=$B66)*(INDIRECT($D$112)=$D66)*(INDIRECT($F$112)=$F66),0)),0)</f>
        <v>0</v>
      </c>
      <c r="L66" s="403" cm="1">
        <f t="array" aca="1" ref="L66" ca="1">IFERROR(SUM(_xlfn._xlws.FILTER(INDIRECT(L$112),(INDIRECT($B$112)=$B66)*(INDIRECT($D$112)=$D66)*(INDIRECT($F$112)=$F66),0)),0)</f>
        <v>0</v>
      </c>
      <c r="M66" s="403" cm="1">
        <f t="array" aca="1" ref="M66" ca="1">IFERROR(SUM(_xlfn._xlws.FILTER(INDIRECT(M$112),(INDIRECT($B$112)=$B66)*(INDIRECT($D$112)=$D66)*(INDIRECT($F$112)=$F66),0)),0)</f>
        <v>0</v>
      </c>
      <c r="N66" s="403" cm="1">
        <f t="array" aca="1" ref="N66" ca="1">IFERROR(SUM(_xlfn._xlws.FILTER(INDIRECT(N$112),(INDIRECT($B$112)=$B66)*(INDIRECT($D$112)=$D66)*(INDIRECT($F$112)=$F66),0)),0)</f>
        <v>0</v>
      </c>
      <c r="O66" s="403" cm="1">
        <f t="array" aca="1" ref="O66" ca="1">IFERROR(SUM(_xlfn._xlws.FILTER(INDIRECT(O$112),(INDIRECT($B$112)=$B66)*(INDIRECT($D$112)=$D66)*(INDIRECT($F$112)=$F66),0)),0)</f>
        <v>0</v>
      </c>
      <c r="P66" s="403" cm="1">
        <f t="array" aca="1" ref="P66" ca="1">IFERROR(SUM(_xlfn._xlws.FILTER(INDIRECT(P$112),(INDIRECT($B$112)=$B66)*(INDIRECT($D$112)=$D66)*(INDIRECT($F$112)=$F66),0)),0)</f>
        <v>0</v>
      </c>
      <c r="Q66" s="403" cm="1">
        <f t="array" aca="1" ref="Q66" ca="1">IFERROR(SUM(_xlfn._xlws.FILTER(INDIRECT(Q$112),(INDIRECT($B$112)=$B66)*(INDIRECT($D$112)=$D66)*(INDIRECT($F$112)=$F66),0)),0)</f>
        <v>0</v>
      </c>
      <c r="R66" s="403" cm="1">
        <f t="array" aca="1" ref="R66" ca="1">IFERROR(SUM(_xlfn._xlws.FILTER(INDIRECT(R$112),(INDIRECT($B$112)=$B66)*(INDIRECT($D$112)=$D66)*(INDIRECT($F$112)=$F66),0)),0)</f>
        <v>0</v>
      </c>
      <c r="S66" s="403" cm="1">
        <f t="array" aca="1" ref="S66" ca="1">IFERROR(SUM(_xlfn._xlws.FILTER(INDIRECT(S$112),(INDIRECT($B$112)=$B66)*(INDIRECT($D$112)=$D66)*(INDIRECT($F$112)=$F66),0)),0)</f>
        <v>0</v>
      </c>
      <c r="T66" s="403" cm="1">
        <f t="array" aca="1" ref="T66" ca="1">IFERROR(SUM(_xlfn._xlws.FILTER(INDIRECT(T$112),(INDIRECT($B$112)=$B66)*(INDIRECT($D$112)=$D66)*(INDIRECT($F$112)=$F66),0)),0)</f>
        <v>0</v>
      </c>
      <c r="U66" s="403" cm="1">
        <f t="array" aca="1" ref="U66" ca="1">IFERROR(SUM(_xlfn._xlws.FILTER(INDIRECT(U$112),(INDIRECT($B$112)=$B66)*(INDIRECT($D$112)=$D66)*(INDIRECT($F$112)=$F66),0)),0)</f>
        <v>0</v>
      </c>
      <c r="V66" s="403" cm="1">
        <f t="array" aca="1" ref="V66" ca="1">IFERROR(SUM(_xlfn._xlws.FILTER(INDIRECT(V$112),(INDIRECT($B$112)=$B66)*(INDIRECT($D$112)=$D66)*(INDIRECT($F$112)=$F66),0)),0)</f>
        <v>0</v>
      </c>
      <c r="W66" s="403" cm="1">
        <f t="array" aca="1" ref="W66" ca="1">IFERROR(SUM(_xlfn._xlws.FILTER(INDIRECT(W$112),(INDIRECT($B$112)=$B66)*(INDIRECT($D$112)=$D66)*(INDIRECT($F$112)=$F66),0)),0)</f>
        <v>0</v>
      </c>
      <c r="X66" s="403" cm="1">
        <f t="array" aca="1" ref="X66" ca="1">IFERROR(SUM(_xlfn._xlws.FILTER(INDIRECT(X$112),(INDIRECT($B$112)=$B66)*(INDIRECT($D$112)=$D66)*(INDIRECT($F$112)=$F66),0)),0)</f>
        <v>0</v>
      </c>
      <c r="Y66" s="403" cm="1">
        <f t="array" aca="1" ref="Y66" ca="1">IFERROR(SUM(_xlfn._xlws.FILTER(INDIRECT(Y$112),(INDIRECT($B$112)=$B66)*(INDIRECT($D$112)=$D66)*(INDIRECT($F$112)=$F66),0)),0)</f>
        <v>0</v>
      </c>
      <c r="Z66" s="403" cm="1">
        <f t="array" aca="1" ref="Z66" ca="1">IFERROR(SUM(_xlfn._xlws.FILTER(INDIRECT(Z$112),(INDIRECT($B$112)=$B66)*(INDIRECT($D$112)=$D66)*(INDIRECT($F$112)=$F66),0)),0)</f>
        <v>0</v>
      </c>
      <c r="AA66" s="403" cm="1">
        <f t="array" aca="1" ref="AA66" ca="1">IFERROR(SUM(_xlfn._xlws.FILTER(INDIRECT(AA$112),(INDIRECT($B$112)=$B66)*(INDIRECT($D$112)=$D66)*(INDIRECT($F$112)=$F66),0)),0)</f>
        <v>0</v>
      </c>
      <c r="AB66" s="403" cm="1">
        <f t="array" aca="1" ref="AB66" ca="1">IFERROR(SUM(_xlfn._xlws.FILTER(INDIRECT(AB$112),(INDIRECT($B$112)=$B66)*(INDIRECT($D$112)=$D66)*(INDIRECT($F$112)=$F66),0)),0)</f>
        <v>0</v>
      </c>
      <c r="AC66" s="403" cm="1">
        <f t="array" aca="1" ref="AC66" ca="1">IFERROR(SUM(_xlfn._xlws.FILTER(INDIRECT(AC$112),(INDIRECT($B$112)=$B66)*(INDIRECT($D$112)=$D66)*(INDIRECT($F$112)=$F66),0)),0)</f>
        <v>0</v>
      </c>
      <c r="AD66" s="403" cm="1">
        <f t="array" aca="1" ref="AD66" ca="1">IFERROR(SUM(_xlfn._xlws.FILTER(INDIRECT(AD$112),(INDIRECT($B$112)=$B66)*(INDIRECT($D$112)=$D66)*(INDIRECT($F$112)=$F66),0)),0)</f>
        <v>0</v>
      </c>
      <c r="AE66" s="403" cm="1">
        <f t="array" aca="1" ref="AE66" ca="1">IFERROR(SUM(_xlfn._xlws.FILTER(INDIRECT(AE$112),(INDIRECT($B$112)=$B66)*(INDIRECT($D$112)=$D66)*(INDIRECT($F$112)=$F66),0)),0)</f>
        <v>0</v>
      </c>
      <c r="AF66" s="403" cm="1">
        <f t="array" aca="1" ref="AF66" ca="1">IFERROR(SUM(_xlfn._xlws.FILTER(INDIRECT(AF$112),(INDIRECT($B$112)=$B66)*(INDIRECT($D$112)=$D66)*(INDIRECT($F$112)=$F66),0)),0)</f>
        <v>0</v>
      </c>
      <c r="AG66" s="403" cm="1">
        <f t="array" aca="1" ref="AG66" ca="1">IFERROR(SUM(_xlfn._xlws.FILTER(INDIRECT(AG$112),(INDIRECT($B$112)=$B66)*(INDIRECT($D$112)=$D66)*(INDIRECT($F$112)=$F66),0)),0)</f>
        <v>0</v>
      </c>
      <c r="AH66" s="403" cm="1">
        <f t="array" aca="1" ref="AH66" ca="1">IFERROR(SUM(_xlfn._xlws.FILTER(INDIRECT(AH$112),(INDIRECT($B$112)=$B66)*(INDIRECT($D$112)=$D66)*(INDIRECT($F$112)=$F66),0)),0)</f>
        <v>0</v>
      </c>
      <c r="AI66" s="403" cm="1">
        <f t="array" aca="1" ref="AI66" ca="1">IFERROR(SUM(_xlfn._xlws.FILTER(INDIRECT(AI$112),(INDIRECT($B$112)=$B66)*(INDIRECT($D$112)=$D66)*(INDIRECT($F$112)=$F66),0)),0)</f>
        <v>0</v>
      </c>
      <c r="AJ66" s="403" cm="1">
        <f t="array" aca="1" ref="AJ66" ca="1">IFERROR(SUM(_xlfn._xlws.FILTER(INDIRECT(AJ$112),(INDIRECT($B$112)=$B66)*(INDIRECT($D$112)=$D66)*(INDIRECT($F$112)=$F66),0)),0)</f>
        <v>0</v>
      </c>
      <c r="AK66" s="403" cm="1">
        <f t="array" aca="1" ref="AK66" ca="1">IFERROR(SUM(_xlfn._xlws.FILTER(INDIRECT(AK$112),(INDIRECT($B$112)=$B66)*(INDIRECT($D$112)=$D66)*(INDIRECT($F$112)=$F66),0)),0)</f>
        <v>0</v>
      </c>
      <c r="AL66" s="403" cm="1">
        <f t="array" aca="1" ref="AL66" ca="1">IFERROR(SUM(_xlfn._xlws.FILTER(INDIRECT(AL$112),(INDIRECT($B$112)=$B66)*(INDIRECT($D$112)=$D66)*(INDIRECT($F$112)=$F66),0)),0)</f>
        <v>0</v>
      </c>
      <c r="AM66" s="403" cm="1">
        <f t="array" aca="1" ref="AM66" ca="1">IFERROR(SUM(_xlfn._xlws.FILTER(INDIRECT(AM$112),(INDIRECT($B$112)=$B66)*(INDIRECT($D$112)=$D66)*(INDIRECT($F$112)=$F66),0)),0)</f>
        <v>0</v>
      </c>
      <c r="AN66" s="403" cm="1">
        <f t="array" aca="1" ref="AN66" ca="1">IFERROR(SUM(_xlfn._xlws.FILTER(INDIRECT(AN$112),(INDIRECT($B$112)=$B66)*(INDIRECT($D$112)=$D66)*(INDIRECT($F$112)=$F66),0)),0)</f>
        <v>0</v>
      </c>
      <c r="AO66" s="403" cm="1">
        <f t="array" aca="1" ref="AO66" ca="1">IFERROR(SUM(_xlfn._xlws.FILTER(INDIRECT(AO$112),(INDIRECT($B$112)=$B66)*(INDIRECT($D$112)=$D66)*(INDIRECT($F$112)=$F66),0)),0)</f>
        <v>0</v>
      </c>
      <c r="AP66" s="403" cm="1">
        <f t="array" aca="1" ref="AP66" ca="1">IFERROR(SUM(_xlfn._xlws.FILTER(INDIRECT(AP$112),(INDIRECT($B$112)=$B66)*(INDIRECT($D$112)=$D66)*(INDIRECT($F$112)=$F66),0)),0)</f>
        <v>0</v>
      </c>
      <c r="AQ66" s="403" cm="1">
        <f t="array" aca="1" ref="AQ66" ca="1">IFERROR(SUM(_xlfn._xlws.FILTER(INDIRECT(AQ$112),(INDIRECT($B$112)=$B66)*(INDIRECT($D$112)=$D66)*(INDIRECT($F$112)=$F66),0)),0)</f>
        <v>0</v>
      </c>
      <c r="AR66" s="403" cm="1">
        <f t="array" aca="1" ref="AR66" ca="1">IFERROR(SUM(_xlfn._xlws.FILTER(INDIRECT(AR$112),(INDIRECT($B$112)=$B66)*(INDIRECT($D$112)=$D66)*(INDIRECT($F$112)=$F66),0)),0)</f>
        <v>0</v>
      </c>
      <c r="AS66" s="286" t="str">
        <f t="shared" si="4"/>
        <v>X</v>
      </c>
      <c r="AT66" s="403">
        <f t="shared" ca="1" si="3"/>
        <v>0</v>
      </c>
      <c r="AV66" s="142" cm="1">
        <f t="array" aca="1" ref="AV66" ca="1">IF(AND(_xlfn.LET(_xlpm.x,SUM(ROW()),OR(AND(MATCH("SOT",$A:$A,0)&lt;_xlpm.x,MATCH("EOT",$A:$A,0)&gt;_xlpm.x),AND(MATCH("SOS",$A:$A,0)&lt;_xlpm.x,MATCH("EOS",$A:$A,0)&gt;_xlpm.x),AND(MATCH("SOR",$A:$A,0)&lt;_xlpm.x,MATCH("EOR",$A:$A,0)&gt;_xlpm.x))),INDIRECT("rc"&amp;MATCH("SCD",$1:$1,0),FALSE)="PPTO"),1,0)</f>
        <v>0</v>
      </c>
      <c r="AW66" s="142" cm="1">
        <f t="array" aca="1" ref="AW6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67" spans="1:49" s="153" customFormat="1" outlineLevel="2">
      <c r="A67" s="152"/>
      <c r="B67" s="401"/>
      <c r="C67" s="148"/>
      <c r="D67" s="404"/>
      <c r="E67" s="350"/>
      <c r="F67" s="402"/>
      <c r="G67" s="403" cm="1">
        <f t="array" aca="1" ref="G67" ca="1">IFERROR(SUM(_xlfn._xlws.FILTER(INDIRECT(G$112),(INDIRECT($B$112)=$B67)*(INDIRECT($D$112)=$D67)*(INDIRECT($F$112)=$F67),0)),0)</f>
        <v>0</v>
      </c>
      <c r="H67" s="403" cm="1">
        <f t="array" aca="1" ref="H67" ca="1">IFERROR(SUM(_xlfn._xlws.FILTER(INDIRECT(H$112),(INDIRECT($B$112)=$B67)*(INDIRECT($D$112)=$D67)*(INDIRECT($F$112)=$F67),0)),0)</f>
        <v>0</v>
      </c>
      <c r="I67" s="403" cm="1">
        <f t="array" aca="1" ref="I67" ca="1">IFERROR(SUM(_xlfn._xlws.FILTER(INDIRECT(I$112),(INDIRECT($B$112)=$B67)*(INDIRECT($D$112)=$D67)*(INDIRECT($F$112)=$F67),0)),0)</f>
        <v>0</v>
      </c>
      <c r="J67" s="403" cm="1">
        <f t="array" aca="1" ref="J67" ca="1">IFERROR(SUM(_xlfn._xlws.FILTER(INDIRECT(J$112),(INDIRECT($B$112)=$B67)*(INDIRECT($D$112)=$D67)*(INDIRECT($F$112)=$F67),0)),0)</f>
        <v>0</v>
      </c>
      <c r="K67" s="403" cm="1">
        <f t="array" aca="1" ref="K67" ca="1">IFERROR(SUM(_xlfn._xlws.FILTER(INDIRECT(K$112),(INDIRECT($B$112)=$B67)*(INDIRECT($D$112)=$D67)*(INDIRECT($F$112)=$F67),0)),0)</f>
        <v>0</v>
      </c>
      <c r="L67" s="403" cm="1">
        <f t="array" aca="1" ref="L67" ca="1">IFERROR(SUM(_xlfn._xlws.FILTER(INDIRECT(L$112),(INDIRECT($B$112)=$B67)*(INDIRECT($D$112)=$D67)*(INDIRECT($F$112)=$F67),0)),0)</f>
        <v>0</v>
      </c>
      <c r="M67" s="403" cm="1">
        <f t="array" aca="1" ref="M67" ca="1">IFERROR(SUM(_xlfn._xlws.FILTER(INDIRECT(M$112),(INDIRECT($B$112)=$B67)*(INDIRECT($D$112)=$D67)*(INDIRECT($F$112)=$F67),0)),0)</f>
        <v>0</v>
      </c>
      <c r="N67" s="403" cm="1">
        <f t="array" aca="1" ref="N67" ca="1">IFERROR(SUM(_xlfn._xlws.FILTER(INDIRECT(N$112),(INDIRECT($B$112)=$B67)*(INDIRECT($D$112)=$D67)*(INDIRECT($F$112)=$F67),0)),0)</f>
        <v>0</v>
      </c>
      <c r="O67" s="403" cm="1">
        <f t="array" aca="1" ref="O67" ca="1">IFERROR(SUM(_xlfn._xlws.FILTER(INDIRECT(O$112),(INDIRECT($B$112)=$B67)*(INDIRECT($D$112)=$D67)*(INDIRECT($F$112)=$F67),0)),0)</f>
        <v>0</v>
      </c>
      <c r="P67" s="403" cm="1">
        <f t="array" aca="1" ref="P67" ca="1">IFERROR(SUM(_xlfn._xlws.FILTER(INDIRECT(P$112),(INDIRECT($B$112)=$B67)*(INDIRECT($D$112)=$D67)*(INDIRECT($F$112)=$F67),0)),0)</f>
        <v>0</v>
      </c>
      <c r="Q67" s="403" cm="1">
        <f t="array" aca="1" ref="Q67" ca="1">IFERROR(SUM(_xlfn._xlws.FILTER(INDIRECT(Q$112),(INDIRECT($B$112)=$B67)*(INDIRECT($D$112)=$D67)*(INDIRECT($F$112)=$F67),0)),0)</f>
        <v>0</v>
      </c>
      <c r="R67" s="403" cm="1">
        <f t="array" aca="1" ref="R67" ca="1">IFERROR(SUM(_xlfn._xlws.FILTER(INDIRECT(R$112),(INDIRECT($B$112)=$B67)*(INDIRECT($D$112)=$D67)*(INDIRECT($F$112)=$F67),0)),0)</f>
        <v>0</v>
      </c>
      <c r="S67" s="403" cm="1">
        <f t="array" aca="1" ref="S67" ca="1">IFERROR(SUM(_xlfn._xlws.FILTER(INDIRECT(S$112),(INDIRECT($B$112)=$B67)*(INDIRECT($D$112)=$D67)*(INDIRECT($F$112)=$F67),0)),0)</f>
        <v>0</v>
      </c>
      <c r="T67" s="403" cm="1">
        <f t="array" aca="1" ref="T67" ca="1">IFERROR(SUM(_xlfn._xlws.FILTER(INDIRECT(T$112),(INDIRECT($B$112)=$B67)*(INDIRECT($D$112)=$D67)*(INDIRECT($F$112)=$F67),0)),0)</f>
        <v>0</v>
      </c>
      <c r="U67" s="403" cm="1">
        <f t="array" aca="1" ref="U67" ca="1">IFERROR(SUM(_xlfn._xlws.FILTER(INDIRECT(U$112),(INDIRECT($B$112)=$B67)*(INDIRECT($D$112)=$D67)*(INDIRECT($F$112)=$F67),0)),0)</f>
        <v>0</v>
      </c>
      <c r="V67" s="403" cm="1">
        <f t="array" aca="1" ref="V67" ca="1">IFERROR(SUM(_xlfn._xlws.FILTER(INDIRECT(V$112),(INDIRECT($B$112)=$B67)*(INDIRECT($D$112)=$D67)*(INDIRECT($F$112)=$F67),0)),0)</f>
        <v>0</v>
      </c>
      <c r="W67" s="403" cm="1">
        <f t="array" aca="1" ref="W67" ca="1">IFERROR(SUM(_xlfn._xlws.FILTER(INDIRECT(W$112),(INDIRECT($B$112)=$B67)*(INDIRECT($D$112)=$D67)*(INDIRECT($F$112)=$F67),0)),0)</f>
        <v>0</v>
      </c>
      <c r="X67" s="403" cm="1">
        <f t="array" aca="1" ref="X67" ca="1">IFERROR(SUM(_xlfn._xlws.FILTER(INDIRECT(X$112),(INDIRECT($B$112)=$B67)*(INDIRECT($D$112)=$D67)*(INDIRECT($F$112)=$F67),0)),0)</f>
        <v>0</v>
      </c>
      <c r="Y67" s="403" cm="1">
        <f t="array" aca="1" ref="Y67" ca="1">IFERROR(SUM(_xlfn._xlws.FILTER(INDIRECT(Y$112),(INDIRECT($B$112)=$B67)*(INDIRECT($D$112)=$D67)*(INDIRECT($F$112)=$F67),0)),0)</f>
        <v>0</v>
      </c>
      <c r="Z67" s="403" cm="1">
        <f t="array" aca="1" ref="Z67" ca="1">IFERROR(SUM(_xlfn._xlws.FILTER(INDIRECT(Z$112),(INDIRECT($B$112)=$B67)*(INDIRECT($D$112)=$D67)*(INDIRECT($F$112)=$F67),0)),0)</f>
        <v>0</v>
      </c>
      <c r="AA67" s="403" cm="1">
        <f t="array" aca="1" ref="AA67" ca="1">IFERROR(SUM(_xlfn._xlws.FILTER(INDIRECT(AA$112),(INDIRECT($B$112)=$B67)*(INDIRECT($D$112)=$D67)*(INDIRECT($F$112)=$F67),0)),0)</f>
        <v>0</v>
      </c>
      <c r="AB67" s="403" cm="1">
        <f t="array" aca="1" ref="AB67" ca="1">IFERROR(SUM(_xlfn._xlws.FILTER(INDIRECT(AB$112),(INDIRECT($B$112)=$B67)*(INDIRECT($D$112)=$D67)*(INDIRECT($F$112)=$F67),0)),0)</f>
        <v>0</v>
      </c>
      <c r="AC67" s="403" cm="1">
        <f t="array" aca="1" ref="AC67" ca="1">IFERROR(SUM(_xlfn._xlws.FILTER(INDIRECT(AC$112),(INDIRECT($B$112)=$B67)*(INDIRECT($D$112)=$D67)*(INDIRECT($F$112)=$F67),0)),0)</f>
        <v>0</v>
      </c>
      <c r="AD67" s="403" cm="1">
        <f t="array" aca="1" ref="AD67" ca="1">IFERROR(SUM(_xlfn._xlws.FILTER(INDIRECT(AD$112),(INDIRECT($B$112)=$B67)*(INDIRECT($D$112)=$D67)*(INDIRECT($F$112)=$F67),0)),0)</f>
        <v>0</v>
      </c>
      <c r="AE67" s="403" cm="1">
        <f t="array" aca="1" ref="AE67" ca="1">IFERROR(SUM(_xlfn._xlws.FILTER(INDIRECT(AE$112),(INDIRECT($B$112)=$B67)*(INDIRECT($D$112)=$D67)*(INDIRECT($F$112)=$F67),0)),0)</f>
        <v>0</v>
      </c>
      <c r="AF67" s="403" cm="1">
        <f t="array" aca="1" ref="AF67" ca="1">IFERROR(SUM(_xlfn._xlws.FILTER(INDIRECT(AF$112),(INDIRECT($B$112)=$B67)*(INDIRECT($D$112)=$D67)*(INDIRECT($F$112)=$F67),0)),0)</f>
        <v>0</v>
      </c>
      <c r="AG67" s="403" cm="1">
        <f t="array" aca="1" ref="AG67" ca="1">IFERROR(SUM(_xlfn._xlws.FILTER(INDIRECT(AG$112),(INDIRECT($B$112)=$B67)*(INDIRECT($D$112)=$D67)*(INDIRECT($F$112)=$F67),0)),0)</f>
        <v>0</v>
      </c>
      <c r="AH67" s="403" cm="1">
        <f t="array" aca="1" ref="AH67" ca="1">IFERROR(SUM(_xlfn._xlws.FILTER(INDIRECT(AH$112),(INDIRECT($B$112)=$B67)*(INDIRECT($D$112)=$D67)*(INDIRECT($F$112)=$F67),0)),0)</f>
        <v>0</v>
      </c>
      <c r="AI67" s="403" cm="1">
        <f t="array" aca="1" ref="AI67" ca="1">IFERROR(SUM(_xlfn._xlws.FILTER(INDIRECT(AI$112),(INDIRECT($B$112)=$B67)*(INDIRECT($D$112)=$D67)*(INDIRECT($F$112)=$F67),0)),0)</f>
        <v>0</v>
      </c>
      <c r="AJ67" s="403" cm="1">
        <f t="array" aca="1" ref="AJ67" ca="1">IFERROR(SUM(_xlfn._xlws.FILTER(INDIRECT(AJ$112),(INDIRECT($B$112)=$B67)*(INDIRECT($D$112)=$D67)*(INDIRECT($F$112)=$F67),0)),0)</f>
        <v>0</v>
      </c>
      <c r="AK67" s="403" cm="1">
        <f t="array" aca="1" ref="AK67" ca="1">IFERROR(SUM(_xlfn._xlws.FILTER(INDIRECT(AK$112),(INDIRECT($B$112)=$B67)*(INDIRECT($D$112)=$D67)*(INDIRECT($F$112)=$F67),0)),0)</f>
        <v>0</v>
      </c>
      <c r="AL67" s="403" cm="1">
        <f t="array" aca="1" ref="AL67" ca="1">IFERROR(SUM(_xlfn._xlws.FILTER(INDIRECT(AL$112),(INDIRECT($B$112)=$B67)*(INDIRECT($D$112)=$D67)*(INDIRECT($F$112)=$F67),0)),0)</f>
        <v>0</v>
      </c>
      <c r="AM67" s="403" cm="1">
        <f t="array" aca="1" ref="AM67" ca="1">IFERROR(SUM(_xlfn._xlws.FILTER(INDIRECT(AM$112),(INDIRECT($B$112)=$B67)*(INDIRECT($D$112)=$D67)*(INDIRECT($F$112)=$F67),0)),0)</f>
        <v>0</v>
      </c>
      <c r="AN67" s="403" cm="1">
        <f t="array" aca="1" ref="AN67" ca="1">IFERROR(SUM(_xlfn._xlws.FILTER(INDIRECT(AN$112),(INDIRECT($B$112)=$B67)*(INDIRECT($D$112)=$D67)*(INDIRECT($F$112)=$F67),0)),0)</f>
        <v>0</v>
      </c>
      <c r="AO67" s="403" cm="1">
        <f t="array" aca="1" ref="AO67" ca="1">IFERROR(SUM(_xlfn._xlws.FILTER(INDIRECT(AO$112),(INDIRECT($B$112)=$B67)*(INDIRECT($D$112)=$D67)*(INDIRECT($F$112)=$F67),0)),0)</f>
        <v>0</v>
      </c>
      <c r="AP67" s="403" cm="1">
        <f t="array" aca="1" ref="AP67" ca="1">IFERROR(SUM(_xlfn._xlws.FILTER(INDIRECT(AP$112),(INDIRECT($B$112)=$B67)*(INDIRECT($D$112)=$D67)*(INDIRECT($F$112)=$F67),0)),0)</f>
        <v>0</v>
      </c>
      <c r="AQ67" s="403" cm="1">
        <f t="array" aca="1" ref="AQ67" ca="1">IFERROR(SUM(_xlfn._xlws.FILTER(INDIRECT(AQ$112),(INDIRECT($B$112)=$B67)*(INDIRECT($D$112)=$D67)*(INDIRECT($F$112)=$F67),0)),0)</f>
        <v>0</v>
      </c>
      <c r="AR67" s="403" cm="1">
        <f t="array" aca="1" ref="AR67" ca="1">IFERROR(SUM(_xlfn._xlws.FILTER(INDIRECT(AR$112),(INDIRECT($B$112)=$B67)*(INDIRECT($D$112)=$D67)*(INDIRECT($F$112)=$F67),0)),0)</f>
        <v>0</v>
      </c>
      <c r="AS67" s="286" t="str">
        <f t="shared" si="4"/>
        <v>X</v>
      </c>
      <c r="AT67" s="403">
        <f t="shared" ca="1" si="3"/>
        <v>0</v>
      </c>
      <c r="AV67" s="142" cm="1">
        <f t="array" aca="1" ref="AV67" ca="1">IF(AND(_xlfn.LET(_xlpm.x,SUM(ROW()),OR(AND(MATCH("SOT",$A:$A,0)&lt;_xlpm.x,MATCH("EOT",$A:$A,0)&gt;_xlpm.x),AND(MATCH("SOS",$A:$A,0)&lt;_xlpm.x,MATCH("EOS",$A:$A,0)&gt;_xlpm.x),AND(MATCH("SOR",$A:$A,0)&lt;_xlpm.x,MATCH("EOR",$A:$A,0)&gt;_xlpm.x))),INDIRECT("rc"&amp;MATCH("SCD",$1:$1,0),FALSE)="PPTO"),1,0)</f>
        <v>0</v>
      </c>
      <c r="AW67" s="142" cm="1">
        <f t="array" aca="1" ref="AW6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68" spans="1:49" s="153" customFormat="1" outlineLevel="2">
      <c r="A68" s="152"/>
      <c r="B68" s="401"/>
      <c r="C68" s="148"/>
      <c r="D68" s="404"/>
      <c r="E68" s="350"/>
      <c r="F68" s="402"/>
      <c r="G68" s="403" cm="1">
        <f t="array" aca="1" ref="G68" ca="1">IFERROR(SUM(_xlfn._xlws.FILTER(INDIRECT(G$112),(INDIRECT($B$112)=$B68)*(INDIRECT($D$112)=$D68)*(INDIRECT($F$112)=$F68),0)),0)</f>
        <v>0</v>
      </c>
      <c r="H68" s="403" cm="1">
        <f t="array" aca="1" ref="H68" ca="1">IFERROR(SUM(_xlfn._xlws.FILTER(INDIRECT(H$112),(INDIRECT($B$112)=$B68)*(INDIRECT($D$112)=$D68)*(INDIRECT($F$112)=$F68),0)),0)</f>
        <v>0</v>
      </c>
      <c r="I68" s="403" cm="1">
        <f t="array" aca="1" ref="I68" ca="1">IFERROR(SUM(_xlfn._xlws.FILTER(INDIRECT(I$112),(INDIRECT($B$112)=$B68)*(INDIRECT($D$112)=$D68)*(INDIRECT($F$112)=$F68),0)),0)</f>
        <v>0</v>
      </c>
      <c r="J68" s="403" cm="1">
        <f t="array" aca="1" ref="J68" ca="1">IFERROR(SUM(_xlfn._xlws.FILTER(INDIRECT(J$112),(INDIRECT($B$112)=$B68)*(INDIRECT($D$112)=$D68)*(INDIRECT($F$112)=$F68),0)),0)</f>
        <v>0</v>
      </c>
      <c r="K68" s="403" cm="1">
        <f t="array" aca="1" ref="K68" ca="1">IFERROR(SUM(_xlfn._xlws.FILTER(INDIRECT(K$112),(INDIRECT($B$112)=$B68)*(INDIRECT($D$112)=$D68)*(INDIRECT($F$112)=$F68),0)),0)</f>
        <v>0</v>
      </c>
      <c r="L68" s="403" cm="1">
        <f t="array" aca="1" ref="L68" ca="1">IFERROR(SUM(_xlfn._xlws.FILTER(INDIRECT(L$112),(INDIRECT($B$112)=$B68)*(INDIRECT($D$112)=$D68)*(INDIRECT($F$112)=$F68),0)),0)</f>
        <v>0</v>
      </c>
      <c r="M68" s="403" cm="1">
        <f t="array" aca="1" ref="M68" ca="1">IFERROR(SUM(_xlfn._xlws.FILTER(INDIRECT(M$112),(INDIRECT($B$112)=$B68)*(INDIRECT($D$112)=$D68)*(INDIRECT($F$112)=$F68),0)),0)</f>
        <v>0</v>
      </c>
      <c r="N68" s="403" cm="1">
        <f t="array" aca="1" ref="N68" ca="1">IFERROR(SUM(_xlfn._xlws.FILTER(INDIRECT(N$112),(INDIRECT($B$112)=$B68)*(INDIRECT($D$112)=$D68)*(INDIRECT($F$112)=$F68),0)),0)</f>
        <v>0</v>
      </c>
      <c r="O68" s="403" cm="1">
        <f t="array" aca="1" ref="O68" ca="1">IFERROR(SUM(_xlfn._xlws.FILTER(INDIRECT(O$112),(INDIRECT($B$112)=$B68)*(INDIRECT($D$112)=$D68)*(INDIRECT($F$112)=$F68),0)),0)</f>
        <v>0</v>
      </c>
      <c r="P68" s="403" cm="1">
        <f t="array" aca="1" ref="P68" ca="1">IFERROR(SUM(_xlfn._xlws.FILTER(INDIRECT(P$112),(INDIRECT($B$112)=$B68)*(INDIRECT($D$112)=$D68)*(INDIRECT($F$112)=$F68),0)),0)</f>
        <v>0</v>
      </c>
      <c r="Q68" s="403" cm="1">
        <f t="array" aca="1" ref="Q68" ca="1">IFERROR(SUM(_xlfn._xlws.FILTER(INDIRECT(Q$112),(INDIRECT($B$112)=$B68)*(INDIRECT($D$112)=$D68)*(INDIRECT($F$112)=$F68),0)),0)</f>
        <v>0</v>
      </c>
      <c r="R68" s="403" cm="1">
        <f t="array" aca="1" ref="R68" ca="1">IFERROR(SUM(_xlfn._xlws.FILTER(INDIRECT(R$112),(INDIRECT($B$112)=$B68)*(INDIRECT($D$112)=$D68)*(INDIRECT($F$112)=$F68),0)),0)</f>
        <v>0</v>
      </c>
      <c r="S68" s="403" cm="1">
        <f t="array" aca="1" ref="S68" ca="1">IFERROR(SUM(_xlfn._xlws.FILTER(INDIRECT(S$112),(INDIRECT($B$112)=$B68)*(INDIRECT($D$112)=$D68)*(INDIRECT($F$112)=$F68),0)),0)</f>
        <v>0</v>
      </c>
      <c r="T68" s="403" cm="1">
        <f t="array" aca="1" ref="T68" ca="1">IFERROR(SUM(_xlfn._xlws.FILTER(INDIRECT(T$112),(INDIRECT($B$112)=$B68)*(INDIRECT($D$112)=$D68)*(INDIRECT($F$112)=$F68),0)),0)</f>
        <v>0</v>
      </c>
      <c r="U68" s="403" cm="1">
        <f t="array" aca="1" ref="U68" ca="1">IFERROR(SUM(_xlfn._xlws.FILTER(INDIRECT(U$112),(INDIRECT($B$112)=$B68)*(INDIRECT($D$112)=$D68)*(INDIRECT($F$112)=$F68),0)),0)</f>
        <v>0</v>
      </c>
      <c r="V68" s="403" cm="1">
        <f t="array" aca="1" ref="V68" ca="1">IFERROR(SUM(_xlfn._xlws.FILTER(INDIRECT(V$112),(INDIRECT($B$112)=$B68)*(INDIRECT($D$112)=$D68)*(INDIRECT($F$112)=$F68),0)),0)</f>
        <v>0</v>
      </c>
      <c r="W68" s="403" cm="1">
        <f t="array" aca="1" ref="W68" ca="1">IFERROR(SUM(_xlfn._xlws.FILTER(INDIRECT(W$112),(INDIRECT($B$112)=$B68)*(INDIRECT($D$112)=$D68)*(INDIRECT($F$112)=$F68),0)),0)</f>
        <v>0</v>
      </c>
      <c r="X68" s="403" cm="1">
        <f t="array" aca="1" ref="X68" ca="1">IFERROR(SUM(_xlfn._xlws.FILTER(INDIRECT(X$112),(INDIRECT($B$112)=$B68)*(INDIRECT($D$112)=$D68)*(INDIRECT($F$112)=$F68),0)),0)</f>
        <v>0</v>
      </c>
      <c r="Y68" s="403" cm="1">
        <f t="array" aca="1" ref="Y68" ca="1">IFERROR(SUM(_xlfn._xlws.FILTER(INDIRECT(Y$112),(INDIRECT($B$112)=$B68)*(INDIRECT($D$112)=$D68)*(INDIRECT($F$112)=$F68),0)),0)</f>
        <v>0</v>
      </c>
      <c r="Z68" s="403" cm="1">
        <f t="array" aca="1" ref="Z68" ca="1">IFERROR(SUM(_xlfn._xlws.FILTER(INDIRECT(Z$112),(INDIRECT($B$112)=$B68)*(INDIRECT($D$112)=$D68)*(INDIRECT($F$112)=$F68),0)),0)</f>
        <v>0</v>
      </c>
      <c r="AA68" s="403" cm="1">
        <f t="array" aca="1" ref="AA68" ca="1">IFERROR(SUM(_xlfn._xlws.FILTER(INDIRECT(AA$112),(INDIRECT($B$112)=$B68)*(INDIRECT($D$112)=$D68)*(INDIRECT($F$112)=$F68),0)),0)</f>
        <v>0</v>
      </c>
      <c r="AB68" s="403" cm="1">
        <f t="array" aca="1" ref="AB68" ca="1">IFERROR(SUM(_xlfn._xlws.FILTER(INDIRECT(AB$112),(INDIRECT($B$112)=$B68)*(INDIRECT($D$112)=$D68)*(INDIRECT($F$112)=$F68),0)),0)</f>
        <v>0</v>
      </c>
      <c r="AC68" s="403" cm="1">
        <f t="array" aca="1" ref="AC68" ca="1">IFERROR(SUM(_xlfn._xlws.FILTER(INDIRECT(AC$112),(INDIRECT($B$112)=$B68)*(INDIRECT($D$112)=$D68)*(INDIRECT($F$112)=$F68),0)),0)</f>
        <v>0</v>
      </c>
      <c r="AD68" s="403" cm="1">
        <f t="array" aca="1" ref="AD68" ca="1">IFERROR(SUM(_xlfn._xlws.FILTER(INDIRECT(AD$112),(INDIRECT($B$112)=$B68)*(INDIRECT($D$112)=$D68)*(INDIRECT($F$112)=$F68),0)),0)</f>
        <v>0</v>
      </c>
      <c r="AE68" s="403" cm="1">
        <f t="array" aca="1" ref="AE68" ca="1">IFERROR(SUM(_xlfn._xlws.FILTER(INDIRECT(AE$112),(INDIRECT($B$112)=$B68)*(INDIRECT($D$112)=$D68)*(INDIRECT($F$112)=$F68),0)),0)</f>
        <v>0</v>
      </c>
      <c r="AF68" s="403" cm="1">
        <f t="array" aca="1" ref="AF68" ca="1">IFERROR(SUM(_xlfn._xlws.FILTER(INDIRECT(AF$112),(INDIRECT($B$112)=$B68)*(INDIRECT($D$112)=$D68)*(INDIRECT($F$112)=$F68),0)),0)</f>
        <v>0</v>
      </c>
      <c r="AG68" s="403" cm="1">
        <f t="array" aca="1" ref="AG68" ca="1">IFERROR(SUM(_xlfn._xlws.FILTER(INDIRECT(AG$112),(INDIRECT($B$112)=$B68)*(INDIRECT($D$112)=$D68)*(INDIRECT($F$112)=$F68),0)),0)</f>
        <v>0</v>
      </c>
      <c r="AH68" s="403" cm="1">
        <f t="array" aca="1" ref="AH68" ca="1">IFERROR(SUM(_xlfn._xlws.FILTER(INDIRECT(AH$112),(INDIRECT($B$112)=$B68)*(INDIRECT($D$112)=$D68)*(INDIRECT($F$112)=$F68),0)),0)</f>
        <v>0</v>
      </c>
      <c r="AI68" s="403" cm="1">
        <f t="array" aca="1" ref="AI68" ca="1">IFERROR(SUM(_xlfn._xlws.FILTER(INDIRECT(AI$112),(INDIRECT($B$112)=$B68)*(INDIRECT($D$112)=$D68)*(INDIRECT($F$112)=$F68),0)),0)</f>
        <v>0</v>
      </c>
      <c r="AJ68" s="403" cm="1">
        <f t="array" aca="1" ref="AJ68" ca="1">IFERROR(SUM(_xlfn._xlws.FILTER(INDIRECT(AJ$112),(INDIRECT($B$112)=$B68)*(INDIRECT($D$112)=$D68)*(INDIRECT($F$112)=$F68),0)),0)</f>
        <v>0</v>
      </c>
      <c r="AK68" s="403" cm="1">
        <f t="array" aca="1" ref="AK68" ca="1">IFERROR(SUM(_xlfn._xlws.FILTER(INDIRECT(AK$112),(INDIRECT($B$112)=$B68)*(INDIRECT($D$112)=$D68)*(INDIRECT($F$112)=$F68),0)),0)</f>
        <v>0</v>
      </c>
      <c r="AL68" s="403" cm="1">
        <f t="array" aca="1" ref="AL68" ca="1">IFERROR(SUM(_xlfn._xlws.FILTER(INDIRECT(AL$112),(INDIRECT($B$112)=$B68)*(INDIRECT($D$112)=$D68)*(INDIRECT($F$112)=$F68),0)),0)</f>
        <v>0</v>
      </c>
      <c r="AM68" s="403" cm="1">
        <f t="array" aca="1" ref="AM68" ca="1">IFERROR(SUM(_xlfn._xlws.FILTER(INDIRECT(AM$112),(INDIRECT($B$112)=$B68)*(INDIRECT($D$112)=$D68)*(INDIRECT($F$112)=$F68),0)),0)</f>
        <v>0</v>
      </c>
      <c r="AN68" s="403" cm="1">
        <f t="array" aca="1" ref="AN68" ca="1">IFERROR(SUM(_xlfn._xlws.FILTER(INDIRECT(AN$112),(INDIRECT($B$112)=$B68)*(INDIRECT($D$112)=$D68)*(INDIRECT($F$112)=$F68),0)),0)</f>
        <v>0</v>
      </c>
      <c r="AO68" s="403" cm="1">
        <f t="array" aca="1" ref="AO68" ca="1">IFERROR(SUM(_xlfn._xlws.FILTER(INDIRECT(AO$112),(INDIRECT($B$112)=$B68)*(INDIRECT($D$112)=$D68)*(INDIRECT($F$112)=$F68),0)),0)</f>
        <v>0</v>
      </c>
      <c r="AP68" s="403" cm="1">
        <f t="array" aca="1" ref="AP68" ca="1">IFERROR(SUM(_xlfn._xlws.FILTER(INDIRECT(AP$112),(INDIRECT($B$112)=$B68)*(INDIRECT($D$112)=$D68)*(INDIRECT($F$112)=$F68),0)),0)</f>
        <v>0</v>
      </c>
      <c r="AQ68" s="403" cm="1">
        <f t="array" aca="1" ref="AQ68" ca="1">IFERROR(SUM(_xlfn._xlws.FILTER(INDIRECT(AQ$112),(INDIRECT($B$112)=$B68)*(INDIRECT($D$112)=$D68)*(INDIRECT($F$112)=$F68),0)),0)</f>
        <v>0</v>
      </c>
      <c r="AR68" s="403" cm="1">
        <f t="array" aca="1" ref="AR68" ca="1">IFERROR(SUM(_xlfn._xlws.FILTER(INDIRECT(AR$112),(INDIRECT($B$112)=$B68)*(INDIRECT($D$112)=$D68)*(INDIRECT($F$112)=$F68),0)),0)</f>
        <v>0</v>
      </c>
      <c r="AS68" s="286" t="str">
        <f t="shared" si="4"/>
        <v>X</v>
      </c>
      <c r="AT68" s="403">
        <f t="shared" ca="1" si="3"/>
        <v>0</v>
      </c>
      <c r="AV68" s="142" cm="1">
        <f t="array" aca="1" ref="AV68" ca="1">IF(AND(_xlfn.LET(_xlpm.x,SUM(ROW()),OR(AND(MATCH("SOT",$A:$A,0)&lt;_xlpm.x,MATCH("EOT",$A:$A,0)&gt;_xlpm.x),AND(MATCH("SOS",$A:$A,0)&lt;_xlpm.x,MATCH("EOS",$A:$A,0)&gt;_xlpm.x),AND(MATCH("SOR",$A:$A,0)&lt;_xlpm.x,MATCH("EOR",$A:$A,0)&gt;_xlpm.x))),INDIRECT("rc"&amp;MATCH("SCD",$1:$1,0),FALSE)="PPTO"),1,0)</f>
        <v>0</v>
      </c>
      <c r="AW68" s="142" cm="1">
        <f t="array" aca="1" ref="AW6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69" spans="1:49" s="153" customFormat="1" outlineLevel="2">
      <c r="A69" s="152"/>
      <c r="B69" s="401"/>
      <c r="C69" s="148"/>
      <c r="D69" s="404"/>
      <c r="E69" s="350"/>
      <c r="F69" s="402"/>
      <c r="G69" s="403" cm="1">
        <f t="array" aca="1" ref="G69" ca="1">IFERROR(SUM(_xlfn._xlws.FILTER(INDIRECT(G$112),(INDIRECT($B$112)=$B69)*(INDIRECT($D$112)=$D69)*(INDIRECT($F$112)=$F69),0)),0)</f>
        <v>0</v>
      </c>
      <c r="H69" s="403" cm="1">
        <f t="array" aca="1" ref="H69" ca="1">IFERROR(SUM(_xlfn._xlws.FILTER(INDIRECT(H$112),(INDIRECT($B$112)=$B69)*(INDIRECT($D$112)=$D69)*(INDIRECT($F$112)=$F69),0)),0)</f>
        <v>0</v>
      </c>
      <c r="I69" s="403" cm="1">
        <f t="array" aca="1" ref="I69" ca="1">IFERROR(SUM(_xlfn._xlws.FILTER(INDIRECT(I$112),(INDIRECT($B$112)=$B69)*(INDIRECT($D$112)=$D69)*(INDIRECT($F$112)=$F69),0)),0)</f>
        <v>0</v>
      </c>
      <c r="J69" s="403" cm="1">
        <f t="array" aca="1" ref="J69" ca="1">IFERROR(SUM(_xlfn._xlws.FILTER(INDIRECT(J$112),(INDIRECT($B$112)=$B69)*(INDIRECT($D$112)=$D69)*(INDIRECT($F$112)=$F69),0)),0)</f>
        <v>0</v>
      </c>
      <c r="K69" s="403" cm="1">
        <f t="array" aca="1" ref="K69" ca="1">IFERROR(SUM(_xlfn._xlws.FILTER(INDIRECT(K$112),(INDIRECT($B$112)=$B69)*(INDIRECT($D$112)=$D69)*(INDIRECT($F$112)=$F69),0)),0)</f>
        <v>0</v>
      </c>
      <c r="L69" s="403" cm="1">
        <f t="array" aca="1" ref="L69" ca="1">IFERROR(SUM(_xlfn._xlws.FILTER(INDIRECT(L$112),(INDIRECT($B$112)=$B69)*(INDIRECT($D$112)=$D69)*(INDIRECT($F$112)=$F69),0)),0)</f>
        <v>0</v>
      </c>
      <c r="M69" s="403" cm="1">
        <f t="array" aca="1" ref="M69" ca="1">IFERROR(SUM(_xlfn._xlws.FILTER(INDIRECT(M$112),(INDIRECT($B$112)=$B69)*(INDIRECT($D$112)=$D69)*(INDIRECT($F$112)=$F69),0)),0)</f>
        <v>0</v>
      </c>
      <c r="N69" s="403" cm="1">
        <f t="array" aca="1" ref="N69" ca="1">IFERROR(SUM(_xlfn._xlws.FILTER(INDIRECT(N$112),(INDIRECT($B$112)=$B69)*(INDIRECT($D$112)=$D69)*(INDIRECT($F$112)=$F69),0)),0)</f>
        <v>0</v>
      </c>
      <c r="O69" s="403" cm="1">
        <f t="array" aca="1" ref="O69" ca="1">IFERROR(SUM(_xlfn._xlws.FILTER(INDIRECT(O$112),(INDIRECT($B$112)=$B69)*(INDIRECT($D$112)=$D69)*(INDIRECT($F$112)=$F69),0)),0)</f>
        <v>0</v>
      </c>
      <c r="P69" s="403" cm="1">
        <f t="array" aca="1" ref="P69" ca="1">IFERROR(SUM(_xlfn._xlws.FILTER(INDIRECT(P$112),(INDIRECT($B$112)=$B69)*(INDIRECT($D$112)=$D69)*(INDIRECT($F$112)=$F69),0)),0)</f>
        <v>0</v>
      </c>
      <c r="Q69" s="403" cm="1">
        <f t="array" aca="1" ref="Q69" ca="1">IFERROR(SUM(_xlfn._xlws.FILTER(INDIRECT(Q$112),(INDIRECT($B$112)=$B69)*(INDIRECT($D$112)=$D69)*(INDIRECT($F$112)=$F69),0)),0)</f>
        <v>0</v>
      </c>
      <c r="R69" s="403" cm="1">
        <f t="array" aca="1" ref="R69" ca="1">IFERROR(SUM(_xlfn._xlws.FILTER(INDIRECT(R$112),(INDIRECT($B$112)=$B69)*(INDIRECT($D$112)=$D69)*(INDIRECT($F$112)=$F69),0)),0)</f>
        <v>0</v>
      </c>
      <c r="S69" s="403" cm="1">
        <f t="array" aca="1" ref="S69" ca="1">IFERROR(SUM(_xlfn._xlws.FILTER(INDIRECT(S$112),(INDIRECT($B$112)=$B69)*(INDIRECT($D$112)=$D69)*(INDIRECT($F$112)=$F69),0)),0)</f>
        <v>0</v>
      </c>
      <c r="T69" s="403" cm="1">
        <f t="array" aca="1" ref="T69" ca="1">IFERROR(SUM(_xlfn._xlws.FILTER(INDIRECT(T$112),(INDIRECT($B$112)=$B69)*(INDIRECT($D$112)=$D69)*(INDIRECT($F$112)=$F69),0)),0)</f>
        <v>0</v>
      </c>
      <c r="U69" s="403" cm="1">
        <f t="array" aca="1" ref="U69" ca="1">IFERROR(SUM(_xlfn._xlws.FILTER(INDIRECT(U$112),(INDIRECT($B$112)=$B69)*(INDIRECT($D$112)=$D69)*(INDIRECT($F$112)=$F69),0)),0)</f>
        <v>0</v>
      </c>
      <c r="V69" s="403" cm="1">
        <f t="array" aca="1" ref="V69" ca="1">IFERROR(SUM(_xlfn._xlws.FILTER(INDIRECT(V$112),(INDIRECT($B$112)=$B69)*(INDIRECT($D$112)=$D69)*(INDIRECT($F$112)=$F69),0)),0)</f>
        <v>0</v>
      </c>
      <c r="W69" s="403" cm="1">
        <f t="array" aca="1" ref="W69" ca="1">IFERROR(SUM(_xlfn._xlws.FILTER(INDIRECT(W$112),(INDIRECT($B$112)=$B69)*(INDIRECT($D$112)=$D69)*(INDIRECT($F$112)=$F69),0)),0)</f>
        <v>0</v>
      </c>
      <c r="X69" s="403" cm="1">
        <f t="array" aca="1" ref="X69" ca="1">IFERROR(SUM(_xlfn._xlws.FILTER(INDIRECT(X$112),(INDIRECT($B$112)=$B69)*(INDIRECT($D$112)=$D69)*(INDIRECT($F$112)=$F69),0)),0)</f>
        <v>0</v>
      </c>
      <c r="Y69" s="403" cm="1">
        <f t="array" aca="1" ref="Y69" ca="1">IFERROR(SUM(_xlfn._xlws.FILTER(INDIRECT(Y$112),(INDIRECT($B$112)=$B69)*(INDIRECT($D$112)=$D69)*(INDIRECT($F$112)=$F69),0)),0)</f>
        <v>0</v>
      </c>
      <c r="Z69" s="403" cm="1">
        <f t="array" aca="1" ref="Z69" ca="1">IFERROR(SUM(_xlfn._xlws.FILTER(INDIRECT(Z$112),(INDIRECT($B$112)=$B69)*(INDIRECT($D$112)=$D69)*(INDIRECT($F$112)=$F69),0)),0)</f>
        <v>0</v>
      </c>
      <c r="AA69" s="403" cm="1">
        <f t="array" aca="1" ref="AA69" ca="1">IFERROR(SUM(_xlfn._xlws.FILTER(INDIRECT(AA$112),(INDIRECT($B$112)=$B69)*(INDIRECT($D$112)=$D69)*(INDIRECT($F$112)=$F69),0)),0)</f>
        <v>0</v>
      </c>
      <c r="AB69" s="403" cm="1">
        <f t="array" aca="1" ref="AB69" ca="1">IFERROR(SUM(_xlfn._xlws.FILTER(INDIRECT(AB$112),(INDIRECT($B$112)=$B69)*(INDIRECT($D$112)=$D69)*(INDIRECT($F$112)=$F69),0)),0)</f>
        <v>0</v>
      </c>
      <c r="AC69" s="403" cm="1">
        <f t="array" aca="1" ref="AC69" ca="1">IFERROR(SUM(_xlfn._xlws.FILTER(INDIRECT(AC$112),(INDIRECT($B$112)=$B69)*(INDIRECT($D$112)=$D69)*(INDIRECT($F$112)=$F69),0)),0)</f>
        <v>0</v>
      </c>
      <c r="AD69" s="403" cm="1">
        <f t="array" aca="1" ref="AD69" ca="1">IFERROR(SUM(_xlfn._xlws.FILTER(INDIRECT(AD$112),(INDIRECT($B$112)=$B69)*(INDIRECT($D$112)=$D69)*(INDIRECT($F$112)=$F69),0)),0)</f>
        <v>0</v>
      </c>
      <c r="AE69" s="403" cm="1">
        <f t="array" aca="1" ref="AE69" ca="1">IFERROR(SUM(_xlfn._xlws.FILTER(INDIRECT(AE$112),(INDIRECT($B$112)=$B69)*(INDIRECT($D$112)=$D69)*(INDIRECT($F$112)=$F69),0)),0)</f>
        <v>0</v>
      </c>
      <c r="AF69" s="403" cm="1">
        <f t="array" aca="1" ref="AF69" ca="1">IFERROR(SUM(_xlfn._xlws.FILTER(INDIRECT(AF$112),(INDIRECT($B$112)=$B69)*(INDIRECT($D$112)=$D69)*(INDIRECT($F$112)=$F69),0)),0)</f>
        <v>0</v>
      </c>
      <c r="AG69" s="403" cm="1">
        <f t="array" aca="1" ref="AG69" ca="1">IFERROR(SUM(_xlfn._xlws.FILTER(INDIRECT(AG$112),(INDIRECT($B$112)=$B69)*(INDIRECT($D$112)=$D69)*(INDIRECT($F$112)=$F69),0)),0)</f>
        <v>0</v>
      </c>
      <c r="AH69" s="403" cm="1">
        <f t="array" aca="1" ref="AH69" ca="1">IFERROR(SUM(_xlfn._xlws.FILTER(INDIRECT(AH$112),(INDIRECT($B$112)=$B69)*(INDIRECT($D$112)=$D69)*(INDIRECT($F$112)=$F69),0)),0)</f>
        <v>0</v>
      </c>
      <c r="AI69" s="403" cm="1">
        <f t="array" aca="1" ref="AI69" ca="1">IFERROR(SUM(_xlfn._xlws.FILTER(INDIRECT(AI$112),(INDIRECT($B$112)=$B69)*(INDIRECT($D$112)=$D69)*(INDIRECT($F$112)=$F69),0)),0)</f>
        <v>0</v>
      </c>
      <c r="AJ69" s="403" cm="1">
        <f t="array" aca="1" ref="AJ69" ca="1">IFERROR(SUM(_xlfn._xlws.FILTER(INDIRECT(AJ$112),(INDIRECT($B$112)=$B69)*(INDIRECT($D$112)=$D69)*(INDIRECT($F$112)=$F69),0)),0)</f>
        <v>0</v>
      </c>
      <c r="AK69" s="403" cm="1">
        <f t="array" aca="1" ref="AK69" ca="1">IFERROR(SUM(_xlfn._xlws.FILTER(INDIRECT(AK$112),(INDIRECT($B$112)=$B69)*(INDIRECT($D$112)=$D69)*(INDIRECT($F$112)=$F69),0)),0)</f>
        <v>0</v>
      </c>
      <c r="AL69" s="403" cm="1">
        <f t="array" aca="1" ref="AL69" ca="1">IFERROR(SUM(_xlfn._xlws.FILTER(INDIRECT(AL$112),(INDIRECT($B$112)=$B69)*(INDIRECT($D$112)=$D69)*(INDIRECT($F$112)=$F69),0)),0)</f>
        <v>0</v>
      </c>
      <c r="AM69" s="403" cm="1">
        <f t="array" aca="1" ref="AM69" ca="1">IFERROR(SUM(_xlfn._xlws.FILTER(INDIRECT(AM$112),(INDIRECT($B$112)=$B69)*(INDIRECT($D$112)=$D69)*(INDIRECT($F$112)=$F69),0)),0)</f>
        <v>0</v>
      </c>
      <c r="AN69" s="403" cm="1">
        <f t="array" aca="1" ref="AN69" ca="1">IFERROR(SUM(_xlfn._xlws.FILTER(INDIRECT(AN$112),(INDIRECT($B$112)=$B69)*(INDIRECT($D$112)=$D69)*(INDIRECT($F$112)=$F69),0)),0)</f>
        <v>0</v>
      </c>
      <c r="AO69" s="403" cm="1">
        <f t="array" aca="1" ref="AO69" ca="1">IFERROR(SUM(_xlfn._xlws.FILTER(INDIRECT(AO$112),(INDIRECT($B$112)=$B69)*(INDIRECT($D$112)=$D69)*(INDIRECT($F$112)=$F69),0)),0)</f>
        <v>0</v>
      </c>
      <c r="AP69" s="403" cm="1">
        <f t="array" aca="1" ref="AP69" ca="1">IFERROR(SUM(_xlfn._xlws.FILTER(INDIRECT(AP$112),(INDIRECT($B$112)=$B69)*(INDIRECT($D$112)=$D69)*(INDIRECT($F$112)=$F69),0)),0)</f>
        <v>0</v>
      </c>
      <c r="AQ69" s="403" cm="1">
        <f t="array" aca="1" ref="AQ69" ca="1">IFERROR(SUM(_xlfn._xlws.FILTER(INDIRECT(AQ$112),(INDIRECT($B$112)=$B69)*(INDIRECT($D$112)=$D69)*(INDIRECT($F$112)=$F69),0)),0)</f>
        <v>0</v>
      </c>
      <c r="AR69" s="403" cm="1">
        <f t="array" aca="1" ref="AR69" ca="1">IFERROR(SUM(_xlfn._xlws.FILTER(INDIRECT(AR$112),(INDIRECT($B$112)=$B69)*(INDIRECT($D$112)=$D69)*(INDIRECT($F$112)=$F69),0)),0)</f>
        <v>0</v>
      </c>
      <c r="AS69" s="286" t="str">
        <f t="shared" si="4"/>
        <v>X</v>
      </c>
      <c r="AT69" s="403">
        <f t="shared" ca="1" si="3"/>
        <v>0</v>
      </c>
      <c r="AV69" s="142" cm="1">
        <f t="array" aca="1" ref="AV69" ca="1">IF(AND(_xlfn.LET(_xlpm.x,SUM(ROW()),OR(AND(MATCH("SOT",$A:$A,0)&lt;_xlpm.x,MATCH("EOT",$A:$A,0)&gt;_xlpm.x),AND(MATCH("SOS",$A:$A,0)&lt;_xlpm.x,MATCH("EOS",$A:$A,0)&gt;_xlpm.x),AND(MATCH("SOR",$A:$A,0)&lt;_xlpm.x,MATCH("EOR",$A:$A,0)&gt;_xlpm.x))),INDIRECT("rc"&amp;MATCH("SCD",$1:$1,0),FALSE)="PPTO"),1,0)</f>
        <v>0</v>
      </c>
      <c r="AW69" s="142" cm="1">
        <f t="array" aca="1" ref="AW6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70" spans="1:49" s="153" customFormat="1" outlineLevel="2">
      <c r="A70" s="152"/>
      <c r="B70" s="401"/>
      <c r="C70" s="148"/>
      <c r="D70" s="404"/>
      <c r="E70" s="350"/>
      <c r="F70" s="402"/>
      <c r="G70" s="403" cm="1">
        <f t="array" aca="1" ref="G70" ca="1">IFERROR(SUM(_xlfn._xlws.FILTER(INDIRECT(G$112),(INDIRECT($B$112)=$B70)*(INDIRECT($D$112)=$D70)*(INDIRECT($F$112)=$F70),0)),0)</f>
        <v>0</v>
      </c>
      <c r="H70" s="403" cm="1">
        <f t="array" aca="1" ref="H70" ca="1">IFERROR(SUM(_xlfn._xlws.FILTER(INDIRECT(H$112),(INDIRECT($B$112)=$B70)*(INDIRECT($D$112)=$D70)*(INDIRECT($F$112)=$F70),0)),0)</f>
        <v>0</v>
      </c>
      <c r="I70" s="403" cm="1">
        <f t="array" aca="1" ref="I70" ca="1">IFERROR(SUM(_xlfn._xlws.FILTER(INDIRECT(I$112),(INDIRECT($B$112)=$B70)*(INDIRECT($D$112)=$D70)*(INDIRECT($F$112)=$F70),0)),0)</f>
        <v>0</v>
      </c>
      <c r="J70" s="403" cm="1">
        <f t="array" aca="1" ref="J70" ca="1">IFERROR(SUM(_xlfn._xlws.FILTER(INDIRECT(J$112),(INDIRECT($B$112)=$B70)*(INDIRECT($D$112)=$D70)*(INDIRECT($F$112)=$F70),0)),0)</f>
        <v>0</v>
      </c>
      <c r="K70" s="403" cm="1">
        <f t="array" aca="1" ref="K70" ca="1">IFERROR(SUM(_xlfn._xlws.FILTER(INDIRECT(K$112),(INDIRECT($B$112)=$B70)*(INDIRECT($D$112)=$D70)*(INDIRECT($F$112)=$F70),0)),0)</f>
        <v>0</v>
      </c>
      <c r="L70" s="403" cm="1">
        <f t="array" aca="1" ref="L70" ca="1">IFERROR(SUM(_xlfn._xlws.FILTER(INDIRECT(L$112),(INDIRECT($B$112)=$B70)*(INDIRECT($D$112)=$D70)*(INDIRECT($F$112)=$F70),0)),0)</f>
        <v>0</v>
      </c>
      <c r="M70" s="403" cm="1">
        <f t="array" aca="1" ref="M70" ca="1">IFERROR(SUM(_xlfn._xlws.FILTER(INDIRECT(M$112),(INDIRECT($B$112)=$B70)*(INDIRECT($D$112)=$D70)*(INDIRECT($F$112)=$F70),0)),0)</f>
        <v>0</v>
      </c>
      <c r="N70" s="403" cm="1">
        <f t="array" aca="1" ref="N70" ca="1">IFERROR(SUM(_xlfn._xlws.FILTER(INDIRECT(N$112),(INDIRECT($B$112)=$B70)*(INDIRECT($D$112)=$D70)*(INDIRECT($F$112)=$F70),0)),0)</f>
        <v>0</v>
      </c>
      <c r="O70" s="403" cm="1">
        <f t="array" aca="1" ref="O70" ca="1">IFERROR(SUM(_xlfn._xlws.FILTER(INDIRECT(O$112),(INDIRECT($B$112)=$B70)*(INDIRECT($D$112)=$D70)*(INDIRECT($F$112)=$F70),0)),0)</f>
        <v>0</v>
      </c>
      <c r="P70" s="403" cm="1">
        <f t="array" aca="1" ref="P70" ca="1">IFERROR(SUM(_xlfn._xlws.FILTER(INDIRECT(P$112),(INDIRECT($B$112)=$B70)*(INDIRECT($D$112)=$D70)*(INDIRECT($F$112)=$F70),0)),0)</f>
        <v>0</v>
      </c>
      <c r="Q70" s="403" cm="1">
        <f t="array" aca="1" ref="Q70" ca="1">IFERROR(SUM(_xlfn._xlws.FILTER(INDIRECT(Q$112),(INDIRECT($B$112)=$B70)*(INDIRECT($D$112)=$D70)*(INDIRECT($F$112)=$F70),0)),0)</f>
        <v>0</v>
      </c>
      <c r="R70" s="403" cm="1">
        <f t="array" aca="1" ref="R70" ca="1">IFERROR(SUM(_xlfn._xlws.FILTER(INDIRECT(R$112),(INDIRECT($B$112)=$B70)*(INDIRECT($D$112)=$D70)*(INDIRECT($F$112)=$F70),0)),0)</f>
        <v>0</v>
      </c>
      <c r="S70" s="403" cm="1">
        <f t="array" aca="1" ref="S70" ca="1">IFERROR(SUM(_xlfn._xlws.FILTER(INDIRECT(S$112),(INDIRECT($B$112)=$B70)*(INDIRECT($D$112)=$D70)*(INDIRECT($F$112)=$F70),0)),0)</f>
        <v>0</v>
      </c>
      <c r="T70" s="403" cm="1">
        <f t="array" aca="1" ref="T70" ca="1">IFERROR(SUM(_xlfn._xlws.FILTER(INDIRECT(T$112),(INDIRECT($B$112)=$B70)*(INDIRECT($D$112)=$D70)*(INDIRECT($F$112)=$F70),0)),0)</f>
        <v>0</v>
      </c>
      <c r="U70" s="403" cm="1">
        <f t="array" aca="1" ref="U70" ca="1">IFERROR(SUM(_xlfn._xlws.FILTER(INDIRECT(U$112),(INDIRECT($B$112)=$B70)*(INDIRECT($D$112)=$D70)*(INDIRECT($F$112)=$F70),0)),0)</f>
        <v>0</v>
      </c>
      <c r="V70" s="403" cm="1">
        <f t="array" aca="1" ref="V70" ca="1">IFERROR(SUM(_xlfn._xlws.FILTER(INDIRECT(V$112),(INDIRECT($B$112)=$B70)*(INDIRECT($D$112)=$D70)*(INDIRECT($F$112)=$F70),0)),0)</f>
        <v>0</v>
      </c>
      <c r="W70" s="403" cm="1">
        <f t="array" aca="1" ref="W70" ca="1">IFERROR(SUM(_xlfn._xlws.FILTER(INDIRECT(W$112),(INDIRECT($B$112)=$B70)*(INDIRECT($D$112)=$D70)*(INDIRECT($F$112)=$F70),0)),0)</f>
        <v>0</v>
      </c>
      <c r="X70" s="403" cm="1">
        <f t="array" aca="1" ref="X70" ca="1">IFERROR(SUM(_xlfn._xlws.FILTER(INDIRECT(X$112),(INDIRECT($B$112)=$B70)*(INDIRECT($D$112)=$D70)*(INDIRECT($F$112)=$F70),0)),0)</f>
        <v>0</v>
      </c>
      <c r="Y70" s="403" cm="1">
        <f t="array" aca="1" ref="Y70" ca="1">IFERROR(SUM(_xlfn._xlws.FILTER(INDIRECT(Y$112),(INDIRECT($B$112)=$B70)*(INDIRECT($D$112)=$D70)*(INDIRECT($F$112)=$F70),0)),0)</f>
        <v>0</v>
      </c>
      <c r="Z70" s="403" cm="1">
        <f t="array" aca="1" ref="Z70" ca="1">IFERROR(SUM(_xlfn._xlws.FILTER(INDIRECT(Z$112),(INDIRECT($B$112)=$B70)*(INDIRECT($D$112)=$D70)*(INDIRECT($F$112)=$F70),0)),0)</f>
        <v>0</v>
      </c>
      <c r="AA70" s="403" cm="1">
        <f t="array" aca="1" ref="AA70" ca="1">IFERROR(SUM(_xlfn._xlws.FILTER(INDIRECT(AA$112),(INDIRECT($B$112)=$B70)*(INDIRECT($D$112)=$D70)*(INDIRECT($F$112)=$F70),0)),0)</f>
        <v>0</v>
      </c>
      <c r="AB70" s="403" cm="1">
        <f t="array" aca="1" ref="AB70" ca="1">IFERROR(SUM(_xlfn._xlws.FILTER(INDIRECT(AB$112),(INDIRECT($B$112)=$B70)*(INDIRECT($D$112)=$D70)*(INDIRECT($F$112)=$F70),0)),0)</f>
        <v>0</v>
      </c>
      <c r="AC70" s="403" cm="1">
        <f t="array" aca="1" ref="AC70" ca="1">IFERROR(SUM(_xlfn._xlws.FILTER(INDIRECT(AC$112),(INDIRECT($B$112)=$B70)*(INDIRECT($D$112)=$D70)*(INDIRECT($F$112)=$F70),0)),0)</f>
        <v>0</v>
      </c>
      <c r="AD70" s="403" cm="1">
        <f t="array" aca="1" ref="AD70" ca="1">IFERROR(SUM(_xlfn._xlws.FILTER(INDIRECT(AD$112),(INDIRECT($B$112)=$B70)*(INDIRECT($D$112)=$D70)*(INDIRECT($F$112)=$F70),0)),0)</f>
        <v>0</v>
      </c>
      <c r="AE70" s="403" cm="1">
        <f t="array" aca="1" ref="AE70" ca="1">IFERROR(SUM(_xlfn._xlws.FILTER(INDIRECT(AE$112),(INDIRECT($B$112)=$B70)*(INDIRECT($D$112)=$D70)*(INDIRECT($F$112)=$F70),0)),0)</f>
        <v>0</v>
      </c>
      <c r="AF70" s="403" cm="1">
        <f t="array" aca="1" ref="AF70" ca="1">IFERROR(SUM(_xlfn._xlws.FILTER(INDIRECT(AF$112),(INDIRECT($B$112)=$B70)*(INDIRECT($D$112)=$D70)*(INDIRECT($F$112)=$F70),0)),0)</f>
        <v>0</v>
      </c>
      <c r="AG70" s="403" cm="1">
        <f t="array" aca="1" ref="AG70" ca="1">IFERROR(SUM(_xlfn._xlws.FILTER(INDIRECT(AG$112),(INDIRECT($B$112)=$B70)*(INDIRECT($D$112)=$D70)*(INDIRECT($F$112)=$F70),0)),0)</f>
        <v>0</v>
      </c>
      <c r="AH70" s="403" cm="1">
        <f t="array" aca="1" ref="AH70" ca="1">IFERROR(SUM(_xlfn._xlws.FILTER(INDIRECT(AH$112),(INDIRECT($B$112)=$B70)*(INDIRECT($D$112)=$D70)*(INDIRECT($F$112)=$F70),0)),0)</f>
        <v>0</v>
      </c>
      <c r="AI70" s="403" cm="1">
        <f t="array" aca="1" ref="AI70" ca="1">IFERROR(SUM(_xlfn._xlws.FILTER(INDIRECT(AI$112),(INDIRECT($B$112)=$B70)*(INDIRECT($D$112)=$D70)*(INDIRECT($F$112)=$F70),0)),0)</f>
        <v>0</v>
      </c>
      <c r="AJ70" s="403" cm="1">
        <f t="array" aca="1" ref="AJ70" ca="1">IFERROR(SUM(_xlfn._xlws.FILTER(INDIRECT(AJ$112),(INDIRECT($B$112)=$B70)*(INDIRECT($D$112)=$D70)*(INDIRECT($F$112)=$F70),0)),0)</f>
        <v>0</v>
      </c>
      <c r="AK70" s="403" cm="1">
        <f t="array" aca="1" ref="AK70" ca="1">IFERROR(SUM(_xlfn._xlws.FILTER(INDIRECT(AK$112),(INDIRECT($B$112)=$B70)*(INDIRECT($D$112)=$D70)*(INDIRECT($F$112)=$F70),0)),0)</f>
        <v>0</v>
      </c>
      <c r="AL70" s="403" cm="1">
        <f t="array" aca="1" ref="AL70" ca="1">IFERROR(SUM(_xlfn._xlws.FILTER(INDIRECT(AL$112),(INDIRECT($B$112)=$B70)*(INDIRECT($D$112)=$D70)*(INDIRECT($F$112)=$F70),0)),0)</f>
        <v>0</v>
      </c>
      <c r="AM70" s="403" cm="1">
        <f t="array" aca="1" ref="AM70" ca="1">IFERROR(SUM(_xlfn._xlws.FILTER(INDIRECT(AM$112),(INDIRECT($B$112)=$B70)*(INDIRECT($D$112)=$D70)*(INDIRECT($F$112)=$F70),0)),0)</f>
        <v>0</v>
      </c>
      <c r="AN70" s="403" cm="1">
        <f t="array" aca="1" ref="AN70" ca="1">IFERROR(SUM(_xlfn._xlws.FILTER(INDIRECT(AN$112),(INDIRECT($B$112)=$B70)*(INDIRECT($D$112)=$D70)*(INDIRECT($F$112)=$F70),0)),0)</f>
        <v>0</v>
      </c>
      <c r="AO70" s="403" cm="1">
        <f t="array" aca="1" ref="AO70" ca="1">IFERROR(SUM(_xlfn._xlws.FILTER(INDIRECT(AO$112),(INDIRECT($B$112)=$B70)*(INDIRECT($D$112)=$D70)*(INDIRECT($F$112)=$F70),0)),0)</f>
        <v>0</v>
      </c>
      <c r="AP70" s="403" cm="1">
        <f t="array" aca="1" ref="AP70" ca="1">IFERROR(SUM(_xlfn._xlws.FILTER(INDIRECT(AP$112),(INDIRECT($B$112)=$B70)*(INDIRECT($D$112)=$D70)*(INDIRECT($F$112)=$F70),0)),0)</f>
        <v>0</v>
      </c>
      <c r="AQ70" s="403" cm="1">
        <f t="array" aca="1" ref="AQ70" ca="1">IFERROR(SUM(_xlfn._xlws.FILTER(INDIRECT(AQ$112),(INDIRECT($B$112)=$B70)*(INDIRECT($D$112)=$D70)*(INDIRECT($F$112)=$F70),0)),0)</f>
        <v>0</v>
      </c>
      <c r="AR70" s="403" cm="1">
        <f t="array" aca="1" ref="AR70" ca="1">IFERROR(SUM(_xlfn._xlws.FILTER(INDIRECT(AR$112),(INDIRECT($B$112)=$B70)*(INDIRECT($D$112)=$D70)*(INDIRECT($F$112)=$F70),0)),0)</f>
        <v>0</v>
      </c>
      <c r="AS70" s="286" t="str">
        <f t="shared" si="4"/>
        <v>X</v>
      </c>
      <c r="AT70" s="403">
        <f t="shared" ca="1" si="3"/>
        <v>0</v>
      </c>
      <c r="AV70" s="142" cm="1">
        <f t="array" aca="1" ref="AV70" ca="1">IF(AND(_xlfn.LET(_xlpm.x,SUM(ROW()),OR(AND(MATCH("SOT",$A:$A,0)&lt;_xlpm.x,MATCH("EOT",$A:$A,0)&gt;_xlpm.x),AND(MATCH("SOS",$A:$A,0)&lt;_xlpm.x,MATCH("EOS",$A:$A,0)&gt;_xlpm.x),AND(MATCH("SOR",$A:$A,0)&lt;_xlpm.x,MATCH("EOR",$A:$A,0)&gt;_xlpm.x))),INDIRECT("rc"&amp;MATCH("SCD",$1:$1,0),FALSE)="PPTO"),1,0)</f>
        <v>0</v>
      </c>
      <c r="AW70" s="142" cm="1">
        <f t="array" aca="1" ref="AW7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71" spans="1:49" s="153" customFormat="1" outlineLevel="2">
      <c r="A71" s="152"/>
      <c r="B71" s="401"/>
      <c r="C71" s="148"/>
      <c r="D71" s="404"/>
      <c r="E71" s="350"/>
      <c r="F71" s="402"/>
      <c r="G71" s="403" cm="1">
        <f t="array" aca="1" ref="G71" ca="1">IFERROR(SUM(_xlfn._xlws.FILTER(INDIRECT(G$112),(INDIRECT($B$112)=$B71)*(INDIRECT($D$112)=$D71)*(INDIRECT($F$112)=$F71),0)),0)</f>
        <v>0</v>
      </c>
      <c r="H71" s="403" cm="1">
        <f t="array" aca="1" ref="H71" ca="1">IFERROR(SUM(_xlfn._xlws.FILTER(INDIRECT(H$112),(INDIRECT($B$112)=$B71)*(INDIRECT($D$112)=$D71)*(INDIRECT($F$112)=$F71),0)),0)</f>
        <v>0</v>
      </c>
      <c r="I71" s="403" cm="1">
        <f t="array" aca="1" ref="I71" ca="1">IFERROR(SUM(_xlfn._xlws.FILTER(INDIRECT(I$112),(INDIRECT($B$112)=$B71)*(INDIRECT($D$112)=$D71)*(INDIRECT($F$112)=$F71),0)),0)</f>
        <v>0</v>
      </c>
      <c r="J71" s="403" cm="1">
        <f t="array" aca="1" ref="J71" ca="1">IFERROR(SUM(_xlfn._xlws.FILTER(INDIRECT(J$112),(INDIRECT($B$112)=$B71)*(INDIRECT($D$112)=$D71)*(INDIRECT($F$112)=$F71),0)),0)</f>
        <v>0</v>
      </c>
      <c r="K71" s="403" cm="1">
        <f t="array" aca="1" ref="K71" ca="1">IFERROR(SUM(_xlfn._xlws.FILTER(INDIRECT(K$112),(INDIRECT($B$112)=$B71)*(INDIRECT($D$112)=$D71)*(INDIRECT($F$112)=$F71),0)),0)</f>
        <v>0</v>
      </c>
      <c r="L71" s="403" cm="1">
        <f t="array" aca="1" ref="L71" ca="1">IFERROR(SUM(_xlfn._xlws.FILTER(INDIRECT(L$112),(INDIRECT($B$112)=$B71)*(INDIRECT($D$112)=$D71)*(INDIRECT($F$112)=$F71),0)),0)</f>
        <v>0</v>
      </c>
      <c r="M71" s="403" cm="1">
        <f t="array" aca="1" ref="M71" ca="1">IFERROR(SUM(_xlfn._xlws.FILTER(INDIRECT(M$112),(INDIRECT($B$112)=$B71)*(INDIRECT($D$112)=$D71)*(INDIRECT($F$112)=$F71),0)),0)</f>
        <v>0</v>
      </c>
      <c r="N71" s="403" cm="1">
        <f t="array" aca="1" ref="N71" ca="1">IFERROR(SUM(_xlfn._xlws.FILTER(INDIRECT(N$112),(INDIRECT($B$112)=$B71)*(INDIRECT($D$112)=$D71)*(INDIRECT($F$112)=$F71),0)),0)</f>
        <v>0</v>
      </c>
      <c r="O71" s="403" cm="1">
        <f t="array" aca="1" ref="O71" ca="1">IFERROR(SUM(_xlfn._xlws.FILTER(INDIRECT(O$112),(INDIRECT($B$112)=$B71)*(INDIRECT($D$112)=$D71)*(INDIRECT($F$112)=$F71),0)),0)</f>
        <v>0</v>
      </c>
      <c r="P71" s="403" cm="1">
        <f t="array" aca="1" ref="P71" ca="1">IFERROR(SUM(_xlfn._xlws.FILTER(INDIRECT(P$112),(INDIRECT($B$112)=$B71)*(INDIRECT($D$112)=$D71)*(INDIRECT($F$112)=$F71),0)),0)</f>
        <v>0</v>
      </c>
      <c r="Q71" s="403" cm="1">
        <f t="array" aca="1" ref="Q71" ca="1">IFERROR(SUM(_xlfn._xlws.FILTER(INDIRECT(Q$112),(INDIRECT($B$112)=$B71)*(INDIRECT($D$112)=$D71)*(INDIRECT($F$112)=$F71),0)),0)</f>
        <v>0</v>
      </c>
      <c r="R71" s="403" cm="1">
        <f t="array" aca="1" ref="R71" ca="1">IFERROR(SUM(_xlfn._xlws.FILTER(INDIRECT(R$112),(INDIRECT($B$112)=$B71)*(INDIRECT($D$112)=$D71)*(INDIRECT($F$112)=$F71),0)),0)</f>
        <v>0</v>
      </c>
      <c r="S71" s="403" cm="1">
        <f t="array" aca="1" ref="S71" ca="1">IFERROR(SUM(_xlfn._xlws.FILTER(INDIRECT(S$112),(INDIRECT($B$112)=$B71)*(INDIRECT($D$112)=$D71)*(INDIRECT($F$112)=$F71),0)),0)</f>
        <v>0</v>
      </c>
      <c r="T71" s="403" cm="1">
        <f t="array" aca="1" ref="T71" ca="1">IFERROR(SUM(_xlfn._xlws.FILTER(INDIRECT(T$112),(INDIRECT($B$112)=$B71)*(INDIRECT($D$112)=$D71)*(INDIRECT($F$112)=$F71),0)),0)</f>
        <v>0</v>
      </c>
      <c r="U71" s="403" cm="1">
        <f t="array" aca="1" ref="U71" ca="1">IFERROR(SUM(_xlfn._xlws.FILTER(INDIRECT(U$112),(INDIRECT($B$112)=$B71)*(INDIRECT($D$112)=$D71)*(INDIRECT($F$112)=$F71),0)),0)</f>
        <v>0</v>
      </c>
      <c r="V71" s="403" cm="1">
        <f t="array" aca="1" ref="V71" ca="1">IFERROR(SUM(_xlfn._xlws.FILTER(INDIRECT(V$112),(INDIRECT($B$112)=$B71)*(INDIRECT($D$112)=$D71)*(INDIRECT($F$112)=$F71),0)),0)</f>
        <v>0</v>
      </c>
      <c r="W71" s="403" cm="1">
        <f t="array" aca="1" ref="W71" ca="1">IFERROR(SUM(_xlfn._xlws.FILTER(INDIRECT(W$112),(INDIRECT($B$112)=$B71)*(INDIRECT($D$112)=$D71)*(INDIRECT($F$112)=$F71),0)),0)</f>
        <v>0</v>
      </c>
      <c r="X71" s="403" cm="1">
        <f t="array" aca="1" ref="X71" ca="1">IFERROR(SUM(_xlfn._xlws.FILTER(INDIRECT(X$112),(INDIRECT($B$112)=$B71)*(INDIRECT($D$112)=$D71)*(INDIRECT($F$112)=$F71),0)),0)</f>
        <v>0</v>
      </c>
      <c r="Y71" s="403" cm="1">
        <f t="array" aca="1" ref="Y71" ca="1">IFERROR(SUM(_xlfn._xlws.FILTER(INDIRECT(Y$112),(INDIRECT($B$112)=$B71)*(INDIRECT($D$112)=$D71)*(INDIRECT($F$112)=$F71),0)),0)</f>
        <v>0</v>
      </c>
      <c r="Z71" s="403" cm="1">
        <f t="array" aca="1" ref="Z71" ca="1">IFERROR(SUM(_xlfn._xlws.FILTER(INDIRECT(Z$112),(INDIRECT($B$112)=$B71)*(INDIRECT($D$112)=$D71)*(INDIRECT($F$112)=$F71),0)),0)</f>
        <v>0</v>
      </c>
      <c r="AA71" s="403" cm="1">
        <f t="array" aca="1" ref="AA71" ca="1">IFERROR(SUM(_xlfn._xlws.FILTER(INDIRECT(AA$112),(INDIRECT($B$112)=$B71)*(INDIRECT($D$112)=$D71)*(INDIRECT($F$112)=$F71),0)),0)</f>
        <v>0</v>
      </c>
      <c r="AB71" s="403" cm="1">
        <f t="array" aca="1" ref="AB71" ca="1">IFERROR(SUM(_xlfn._xlws.FILTER(INDIRECT(AB$112),(INDIRECT($B$112)=$B71)*(INDIRECT($D$112)=$D71)*(INDIRECT($F$112)=$F71),0)),0)</f>
        <v>0</v>
      </c>
      <c r="AC71" s="403" cm="1">
        <f t="array" aca="1" ref="AC71" ca="1">IFERROR(SUM(_xlfn._xlws.FILTER(INDIRECT(AC$112),(INDIRECT($B$112)=$B71)*(INDIRECT($D$112)=$D71)*(INDIRECT($F$112)=$F71),0)),0)</f>
        <v>0</v>
      </c>
      <c r="AD71" s="403" cm="1">
        <f t="array" aca="1" ref="AD71" ca="1">IFERROR(SUM(_xlfn._xlws.FILTER(INDIRECT(AD$112),(INDIRECT($B$112)=$B71)*(INDIRECT($D$112)=$D71)*(INDIRECT($F$112)=$F71),0)),0)</f>
        <v>0</v>
      </c>
      <c r="AE71" s="403" cm="1">
        <f t="array" aca="1" ref="AE71" ca="1">IFERROR(SUM(_xlfn._xlws.FILTER(INDIRECT(AE$112),(INDIRECT($B$112)=$B71)*(INDIRECT($D$112)=$D71)*(INDIRECT($F$112)=$F71),0)),0)</f>
        <v>0</v>
      </c>
      <c r="AF71" s="403" cm="1">
        <f t="array" aca="1" ref="AF71" ca="1">IFERROR(SUM(_xlfn._xlws.FILTER(INDIRECT(AF$112),(INDIRECT($B$112)=$B71)*(INDIRECT($D$112)=$D71)*(INDIRECT($F$112)=$F71),0)),0)</f>
        <v>0</v>
      </c>
      <c r="AG71" s="403" cm="1">
        <f t="array" aca="1" ref="AG71" ca="1">IFERROR(SUM(_xlfn._xlws.FILTER(INDIRECT(AG$112),(INDIRECT($B$112)=$B71)*(INDIRECT($D$112)=$D71)*(INDIRECT($F$112)=$F71),0)),0)</f>
        <v>0</v>
      </c>
      <c r="AH71" s="403" cm="1">
        <f t="array" aca="1" ref="AH71" ca="1">IFERROR(SUM(_xlfn._xlws.FILTER(INDIRECT(AH$112),(INDIRECT($B$112)=$B71)*(INDIRECT($D$112)=$D71)*(INDIRECT($F$112)=$F71),0)),0)</f>
        <v>0</v>
      </c>
      <c r="AI71" s="403" cm="1">
        <f t="array" aca="1" ref="AI71" ca="1">IFERROR(SUM(_xlfn._xlws.FILTER(INDIRECT(AI$112),(INDIRECT($B$112)=$B71)*(INDIRECT($D$112)=$D71)*(INDIRECT($F$112)=$F71),0)),0)</f>
        <v>0</v>
      </c>
      <c r="AJ71" s="403" cm="1">
        <f t="array" aca="1" ref="AJ71" ca="1">IFERROR(SUM(_xlfn._xlws.FILTER(INDIRECT(AJ$112),(INDIRECT($B$112)=$B71)*(INDIRECT($D$112)=$D71)*(INDIRECT($F$112)=$F71),0)),0)</f>
        <v>0</v>
      </c>
      <c r="AK71" s="403" cm="1">
        <f t="array" aca="1" ref="AK71" ca="1">IFERROR(SUM(_xlfn._xlws.FILTER(INDIRECT(AK$112),(INDIRECT($B$112)=$B71)*(INDIRECT($D$112)=$D71)*(INDIRECT($F$112)=$F71),0)),0)</f>
        <v>0</v>
      </c>
      <c r="AL71" s="403" cm="1">
        <f t="array" aca="1" ref="AL71" ca="1">IFERROR(SUM(_xlfn._xlws.FILTER(INDIRECT(AL$112),(INDIRECT($B$112)=$B71)*(INDIRECT($D$112)=$D71)*(INDIRECT($F$112)=$F71),0)),0)</f>
        <v>0</v>
      </c>
      <c r="AM71" s="403" cm="1">
        <f t="array" aca="1" ref="AM71" ca="1">IFERROR(SUM(_xlfn._xlws.FILTER(INDIRECT(AM$112),(INDIRECT($B$112)=$B71)*(INDIRECT($D$112)=$D71)*(INDIRECT($F$112)=$F71),0)),0)</f>
        <v>0</v>
      </c>
      <c r="AN71" s="403" cm="1">
        <f t="array" aca="1" ref="AN71" ca="1">IFERROR(SUM(_xlfn._xlws.FILTER(INDIRECT(AN$112),(INDIRECT($B$112)=$B71)*(INDIRECT($D$112)=$D71)*(INDIRECT($F$112)=$F71),0)),0)</f>
        <v>0</v>
      </c>
      <c r="AO71" s="403" cm="1">
        <f t="array" aca="1" ref="AO71" ca="1">IFERROR(SUM(_xlfn._xlws.FILTER(INDIRECT(AO$112),(INDIRECT($B$112)=$B71)*(INDIRECT($D$112)=$D71)*(INDIRECT($F$112)=$F71),0)),0)</f>
        <v>0</v>
      </c>
      <c r="AP71" s="403" cm="1">
        <f t="array" aca="1" ref="AP71" ca="1">IFERROR(SUM(_xlfn._xlws.FILTER(INDIRECT(AP$112),(INDIRECT($B$112)=$B71)*(INDIRECT($D$112)=$D71)*(INDIRECT($F$112)=$F71),0)),0)</f>
        <v>0</v>
      </c>
      <c r="AQ71" s="403" cm="1">
        <f t="array" aca="1" ref="AQ71" ca="1">IFERROR(SUM(_xlfn._xlws.FILTER(INDIRECT(AQ$112),(INDIRECT($B$112)=$B71)*(INDIRECT($D$112)=$D71)*(INDIRECT($F$112)=$F71),0)),0)</f>
        <v>0</v>
      </c>
      <c r="AR71" s="403" cm="1">
        <f t="array" aca="1" ref="AR71" ca="1">IFERROR(SUM(_xlfn._xlws.FILTER(INDIRECT(AR$112),(INDIRECT($B$112)=$B71)*(INDIRECT($D$112)=$D71)*(INDIRECT($F$112)=$F71),0)),0)</f>
        <v>0</v>
      </c>
      <c r="AS71" s="286" t="str">
        <f t="shared" si="4"/>
        <v>X</v>
      </c>
      <c r="AT71" s="403">
        <f t="shared" ca="1" si="3"/>
        <v>0</v>
      </c>
      <c r="AV71" s="142" cm="1">
        <f t="array" aca="1" ref="AV71" ca="1">IF(AND(_xlfn.LET(_xlpm.x,SUM(ROW()),OR(AND(MATCH("SOT",$A:$A,0)&lt;_xlpm.x,MATCH("EOT",$A:$A,0)&gt;_xlpm.x),AND(MATCH("SOS",$A:$A,0)&lt;_xlpm.x,MATCH("EOS",$A:$A,0)&gt;_xlpm.x),AND(MATCH("SOR",$A:$A,0)&lt;_xlpm.x,MATCH("EOR",$A:$A,0)&gt;_xlpm.x))),INDIRECT("rc"&amp;MATCH("SCD",$1:$1,0),FALSE)="PPTO"),1,0)</f>
        <v>0</v>
      </c>
      <c r="AW71" s="142" cm="1">
        <f t="array" aca="1" ref="AW7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72" spans="1:49" s="153" customFormat="1" outlineLevel="2">
      <c r="A72" s="152"/>
      <c r="B72" s="401"/>
      <c r="C72" s="148"/>
      <c r="D72" s="404"/>
      <c r="E72" s="350"/>
      <c r="F72" s="402"/>
      <c r="G72" s="403" cm="1">
        <f t="array" aca="1" ref="G72" ca="1">IFERROR(SUM(_xlfn._xlws.FILTER(INDIRECT(G$112),(INDIRECT($B$112)=$B72)*(INDIRECT($D$112)=$D72)*(INDIRECT($F$112)=$F72),0)),0)</f>
        <v>0</v>
      </c>
      <c r="H72" s="403" cm="1">
        <f t="array" aca="1" ref="H72" ca="1">IFERROR(SUM(_xlfn._xlws.FILTER(INDIRECT(H$112),(INDIRECT($B$112)=$B72)*(INDIRECT($D$112)=$D72)*(INDIRECT($F$112)=$F72),0)),0)</f>
        <v>0</v>
      </c>
      <c r="I72" s="403" cm="1">
        <f t="array" aca="1" ref="I72" ca="1">IFERROR(SUM(_xlfn._xlws.FILTER(INDIRECT(I$112),(INDIRECT($B$112)=$B72)*(INDIRECT($D$112)=$D72)*(INDIRECT($F$112)=$F72),0)),0)</f>
        <v>0</v>
      </c>
      <c r="J72" s="403" cm="1">
        <f t="array" aca="1" ref="J72" ca="1">IFERROR(SUM(_xlfn._xlws.FILTER(INDIRECT(J$112),(INDIRECT($B$112)=$B72)*(INDIRECT($D$112)=$D72)*(INDIRECT($F$112)=$F72),0)),0)</f>
        <v>0</v>
      </c>
      <c r="K72" s="403" cm="1">
        <f t="array" aca="1" ref="K72" ca="1">IFERROR(SUM(_xlfn._xlws.FILTER(INDIRECT(K$112),(INDIRECT($B$112)=$B72)*(INDIRECT($D$112)=$D72)*(INDIRECT($F$112)=$F72),0)),0)</f>
        <v>0</v>
      </c>
      <c r="L72" s="403" cm="1">
        <f t="array" aca="1" ref="L72" ca="1">IFERROR(SUM(_xlfn._xlws.FILTER(INDIRECT(L$112),(INDIRECT($B$112)=$B72)*(INDIRECT($D$112)=$D72)*(INDIRECT($F$112)=$F72),0)),0)</f>
        <v>0</v>
      </c>
      <c r="M72" s="403" cm="1">
        <f t="array" aca="1" ref="M72" ca="1">IFERROR(SUM(_xlfn._xlws.FILTER(INDIRECT(M$112),(INDIRECT($B$112)=$B72)*(INDIRECT($D$112)=$D72)*(INDIRECT($F$112)=$F72),0)),0)</f>
        <v>0</v>
      </c>
      <c r="N72" s="403" cm="1">
        <f t="array" aca="1" ref="N72" ca="1">IFERROR(SUM(_xlfn._xlws.FILTER(INDIRECT(N$112),(INDIRECT($B$112)=$B72)*(INDIRECT($D$112)=$D72)*(INDIRECT($F$112)=$F72),0)),0)</f>
        <v>0</v>
      </c>
      <c r="O72" s="403" cm="1">
        <f t="array" aca="1" ref="O72" ca="1">IFERROR(SUM(_xlfn._xlws.FILTER(INDIRECT(O$112),(INDIRECT($B$112)=$B72)*(INDIRECT($D$112)=$D72)*(INDIRECT($F$112)=$F72),0)),0)</f>
        <v>0</v>
      </c>
      <c r="P72" s="403" cm="1">
        <f t="array" aca="1" ref="P72" ca="1">IFERROR(SUM(_xlfn._xlws.FILTER(INDIRECT(P$112),(INDIRECT($B$112)=$B72)*(INDIRECT($D$112)=$D72)*(INDIRECT($F$112)=$F72),0)),0)</f>
        <v>0</v>
      </c>
      <c r="Q72" s="403" cm="1">
        <f t="array" aca="1" ref="Q72" ca="1">IFERROR(SUM(_xlfn._xlws.FILTER(INDIRECT(Q$112),(INDIRECT($B$112)=$B72)*(INDIRECT($D$112)=$D72)*(INDIRECT($F$112)=$F72),0)),0)</f>
        <v>0</v>
      </c>
      <c r="R72" s="403" cm="1">
        <f t="array" aca="1" ref="R72" ca="1">IFERROR(SUM(_xlfn._xlws.FILTER(INDIRECT(R$112),(INDIRECT($B$112)=$B72)*(INDIRECT($D$112)=$D72)*(INDIRECT($F$112)=$F72),0)),0)</f>
        <v>0</v>
      </c>
      <c r="S72" s="403" cm="1">
        <f t="array" aca="1" ref="S72" ca="1">IFERROR(SUM(_xlfn._xlws.FILTER(INDIRECT(S$112),(INDIRECT($B$112)=$B72)*(INDIRECT($D$112)=$D72)*(INDIRECT($F$112)=$F72),0)),0)</f>
        <v>0</v>
      </c>
      <c r="T72" s="403" cm="1">
        <f t="array" aca="1" ref="T72" ca="1">IFERROR(SUM(_xlfn._xlws.FILTER(INDIRECT(T$112),(INDIRECT($B$112)=$B72)*(INDIRECT($D$112)=$D72)*(INDIRECT($F$112)=$F72),0)),0)</f>
        <v>0</v>
      </c>
      <c r="U72" s="403" cm="1">
        <f t="array" aca="1" ref="U72" ca="1">IFERROR(SUM(_xlfn._xlws.FILTER(INDIRECT(U$112),(INDIRECT($B$112)=$B72)*(INDIRECT($D$112)=$D72)*(INDIRECT($F$112)=$F72),0)),0)</f>
        <v>0</v>
      </c>
      <c r="V72" s="403" cm="1">
        <f t="array" aca="1" ref="V72" ca="1">IFERROR(SUM(_xlfn._xlws.FILTER(INDIRECT(V$112),(INDIRECT($B$112)=$B72)*(INDIRECT($D$112)=$D72)*(INDIRECT($F$112)=$F72),0)),0)</f>
        <v>0</v>
      </c>
      <c r="W72" s="403" cm="1">
        <f t="array" aca="1" ref="W72" ca="1">IFERROR(SUM(_xlfn._xlws.FILTER(INDIRECT(W$112),(INDIRECT($B$112)=$B72)*(INDIRECT($D$112)=$D72)*(INDIRECT($F$112)=$F72),0)),0)</f>
        <v>0</v>
      </c>
      <c r="X72" s="403" cm="1">
        <f t="array" aca="1" ref="X72" ca="1">IFERROR(SUM(_xlfn._xlws.FILTER(INDIRECT(X$112),(INDIRECT($B$112)=$B72)*(INDIRECT($D$112)=$D72)*(INDIRECT($F$112)=$F72),0)),0)</f>
        <v>0</v>
      </c>
      <c r="Y72" s="403" cm="1">
        <f t="array" aca="1" ref="Y72" ca="1">IFERROR(SUM(_xlfn._xlws.FILTER(INDIRECT(Y$112),(INDIRECT($B$112)=$B72)*(INDIRECT($D$112)=$D72)*(INDIRECT($F$112)=$F72),0)),0)</f>
        <v>0</v>
      </c>
      <c r="Z72" s="403" cm="1">
        <f t="array" aca="1" ref="Z72" ca="1">IFERROR(SUM(_xlfn._xlws.FILTER(INDIRECT(Z$112),(INDIRECT($B$112)=$B72)*(INDIRECT($D$112)=$D72)*(INDIRECT($F$112)=$F72),0)),0)</f>
        <v>0</v>
      </c>
      <c r="AA72" s="403" cm="1">
        <f t="array" aca="1" ref="AA72" ca="1">IFERROR(SUM(_xlfn._xlws.FILTER(INDIRECT(AA$112),(INDIRECT($B$112)=$B72)*(INDIRECT($D$112)=$D72)*(INDIRECT($F$112)=$F72),0)),0)</f>
        <v>0</v>
      </c>
      <c r="AB72" s="403" cm="1">
        <f t="array" aca="1" ref="AB72" ca="1">IFERROR(SUM(_xlfn._xlws.FILTER(INDIRECT(AB$112),(INDIRECT($B$112)=$B72)*(INDIRECT($D$112)=$D72)*(INDIRECT($F$112)=$F72),0)),0)</f>
        <v>0</v>
      </c>
      <c r="AC72" s="403" cm="1">
        <f t="array" aca="1" ref="AC72" ca="1">IFERROR(SUM(_xlfn._xlws.FILTER(INDIRECT(AC$112),(INDIRECT($B$112)=$B72)*(INDIRECT($D$112)=$D72)*(INDIRECT($F$112)=$F72),0)),0)</f>
        <v>0</v>
      </c>
      <c r="AD72" s="403" cm="1">
        <f t="array" aca="1" ref="AD72" ca="1">IFERROR(SUM(_xlfn._xlws.FILTER(INDIRECT(AD$112),(INDIRECT($B$112)=$B72)*(INDIRECT($D$112)=$D72)*(INDIRECT($F$112)=$F72),0)),0)</f>
        <v>0</v>
      </c>
      <c r="AE72" s="403" cm="1">
        <f t="array" aca="1" ref="AE72" ca="1">IFERROR(SUM(_xlfn._xlws.FILTER(INDIRECT(AE$112),(INDIRECT($B$112)=$B72)*(INDIRECT($D$112)=$D72)*(INDIRECT($F$112)=$F72),0)),0)</f>
        <v>0</v>
      </c>
      <c r="AF72" s="403" cm="1">
        <f t="array" aca="1" ref="AF72" ca="1">IFERROR(SUM(_xlfn._xlws.FILTER(INDIRECT(AF$112),(INDIRECT($B$112)=$B72)*(INDIRECT($D$112)=$D72)*(INDIRECT($F$112)=$F72),0)),0)</f>
        <v>0</v>
      </c>
      <c r="AG72" s="403" cm="1">
        <f t="array" aca="1" ref="AG72" ca="1">IFERROR(SUM(_xlfn._xlws.FILTER(INDIRECT(AG$112),(INDIRECT($B$112)=$B72)*(INDIRECT($D$112)=$D72)*(INDIRECT($F$112)=$F72),0)),0)</f>
        <v>0</v>
      </c>
      <c r="AH72" s="403" cm="1">
        <f t="array" aca="1" ref="AH72" ca="1">IFERROR(SUM(_xlfn._xlws.FILTER(INDIRECT(AH$112),(INDIRECT($B$112)=$B72)*(INDIRECT($D$112)=$D72)*(INDIRECT($F$112)=$F72),0)),0)</f>
        <v>0</v>
      </c>
      <c r="AI72" s="403" cm="1">
        <f t="array" aca="1" ref="AI72" ca="1">IFERROR(SUM(_xlfn._xlws.FILTER(INDIRECT(AI$112),(INDIRECT($B$112)=$B72)*(INDIRECT($D$112)=$D72)*(INDIRECT($F$112)=$F72),0)),0)</f>
        <v>0</v>
      </c>
      <c r="AJ72" s="403" cm="1">
        <f t="array" aca="1" ref="AJ72" ca="1">IFERROR(SUM(_xlfn._xlws.FILTER(INDIRECT(AJ$112),(INDIRECT($B$112)=$B72)*(INDIRECT($D$112)=$D72)*(INDIRECT($F$112)=$F72),0)),0)</f>
        <v>0</v>
      </c>
      <c r="AK72" s="403" cm="1">
        <f t="array" aca="1" ref="AK72" ca="1">IFERROR(SUM(_xlfn._xlws.FILTER(INDIRECT(AK$112),(INDIRECT($B$112)=$B72)*(INDIRECT($D$112)=$D72)*(INDIRECT($F$112)=$F72),0)),0)</f>
        <v>0</v>
      </c>
      <c r="AL72" s="403" cm="1">
        <f t="array" aca="1" ref="AL72" ca="1">IFERROR(SUM(_xlfn._xlws.FILTER(INDIRECT(AL$112),(INDIRECT($B$112)=$B72)*(INDIRECT($D$112)=$D72)*(INDIRECT($F$112)=$F72),0)),0)</f>
        <v>0</v>
      </c>
      <c r="AM72" s="403" cm="1">
        <f t="array" aca="1" ref="AM72" ca="1">IFERROR(SUM(_xlfn._xlws.FILTER(INDIRECT(AM$112),(INDIRECT($B$112)=$B72)*(INDIRECT($D$112)=$D72)*(INDIRECT($F$112)=$F72),0)),0)</f>
        <v>0</v>
      </c>
      <c r="AN72" s="403" cm="1">
        <f t="array" aca="1" ref="AN72" ca="1">IFERROR(SUM(_xlfn._xlws.FILTER(INDIRECT(AN$112),(INDIRECT($B$112)=$B72)*(INDIRECT($D$112)=$D72)*(INDIRECT($F$112)=$F72),0)),0)</f>
        <v>0</v>
      </c>
      <c r="AO72" s="403" cm="1">
        <f t="array" aca="1" ref="AO72" ca="1">IFERROR(SUM(_xlfn._xlws.FILTER(INDIRECT(AO$112),(INDIRECT($B$112)=$B72)*(INDIRECT($D$112)=$D72)*(INDIRECT($F$112)=$F72),0)),0)</f>
        <v>0</v>
      </c>
      <c r="AP72" s="403" cm="1">
        <f t="array" aca="1" ref="AP72" ca="1">IFERROR(SUM(_xlfn._xlws.FILTER(INDIRECT(AP$112),(INDIRECT($B$112)=$B72)*(INDIRECT($D$112)=$D72)*(INDIRECT($F$112)=$F72),0)),0)</f>
        <v>0</v>
      </c>
      <c r="AQ72" s="403" cm="1">
        <f t="array" aca="1" ref="AQ72" ca="1">IFERROR(SUM(_xlfn._xlws.FILTER(INDIRECT(AQ$112),(INDIRECT($B$112)=$B72)*(INDIRECT($D$112)=$D72)*(INDIRECT($F$112)=$F72),0)),0)</f>
        <v>0</v>
      </c>
      <c r="AR72" s="403" cm="1">
        <f t="array" aca="1" ref="AR72" ca="1">IFERROR(SUM(_xlfn._xlws.FILTER(INDIRECT(AR$112),(INDIRECT($B$112)=$B72)*(INDIRECT($D$112)=$D72)*(INDIRECT($F$112)=$F72),0)),0)</f>
        <v>0</v>
      </c>
      <c r="AS72" s="286" t="str">
        <f t="shared" si="4"/>
        <v>X</v>
      </c>
      <c r="AT72" s="403">
        <f t="shared" ca="1" si="3"/>
        <v>0</v>
      </c>
      <c r="AV72" s="142" cm="1">
        <f t="array" aca="1" ref="AV72" ca="1">IF(AND(_xlfn.LET(_xlpm.x,SUM(ROW()),OR(AND(MATCH("SOT",$A:$A,0)&lt;_xlpm.x,MATCH("EOT",$A:$A,0)&gt;_xlpm.x),AND(MATCH("SOS",$A:$A,0)&lt;_xlpm.x,MATCH("EOS",$A:$A,0)&gt;_xlpm.x),AND(MATCH("SOR",$A:$A,0)&lt;_xlpm.x,MATCH("EOR",$A:$A,0)&gt;_xlpm.x))),INDIRECT("rc"&amp;MATCH("SCD",$1:$1,0),FALSE)="PPTO"),1,0)</f>
        <v>0</v>
      </c>
      <c r="AW72" s="142" cm="1">
        <f t="array" aca="1" ref="AW7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73" spans="1:49" s="153" customFormat="1" outlineLevel="2">
      <c r="A73" s="152"/>
      <c r="B73" s="401"/>
      <c r="C73" s="148"/>
      <c r="D73" s="404"/>
      <c r="E73" s="350"/>
      <c r="F73" s="402"/>
      <c r="G73" s="403" cm="1">
        <f t="array" aca="1" ref="G73" ca="1">IFERROR(SUM(_xlfn._xlws.FILTER(INDIRECT(G$112),(INDIRECT($B$112)=$B73)*(INDIRECT($D$112)=$D73)*(INDIRECT($F$112)=$F73),0)),0)</f>
        <v>0</v>
      </c>
      <c r="H73" s="403" cm="1">
        <f t="array" aca="1" ref="H73" ca="1">IFERROR(SUM(_xlfn._xlws.FILTER(INDIRECT(H$112),(INDIRECT($B$112)=$B73)*(INDIRECT($D$112)=$D73)*(INDIRECT($F$112)=$F73),0)),0)</f>
        <v>0</v>
      </c>
      <c r="I73" s="403" cm="1">
        <f t="array" aca="1" ref="I73" ca="1">IFERROR(SUM(_xlfn._xlws.FILTER(INDIRECT(I$112),(INDIRECT($B$112)=$B73)*(INDIRECT($D$112)=$D73)*(INDIRECT($F$112)=$F73),0)),0)</f>
        <v>0</v>
      </c>
      <c r="J73" s="403" cm="1">
        <f t="array" aca="1" ref="J73" ca="1">IFERROR(SUM(_xlfn._xlws.FILTER(INDIRECT(J$112),(INDIRECT($B$112)=$B73)*(INDIRECT($D$112)=$D73)*(INDIRECT($F$112)=$F73),0)),0)</f>
        <v>0</v>
      </c>
      <c r="K73" s="403" cm="1">
        <f t="array" aca="1" ref="K73" ca="1">IFERROR(SUM(_xlfn._xlws.FILTER(INDIRECT(K$112),(INDIRECT($B$112)=$B73)*(INDIRECT($D$112)=$D73)*(INDIRECT($F$112)=$F73),0)),0)</f>
        <v>0</v>
      </c>
      <c r="L73" s="403" cm="1">
        <f t="array" aca="1" ref="L73" ca="1">IFERROR(SUM(_xlfn._xlws.FILTER(INDIRECT(L$112),(INDIRECT($B$112)=$B73)*(INDIRECT($D$112)=$D73)*(INDIRECT($F$112)=$F73),0)),0)</f>
        <v>0</v>
      </c>
      <c r="M73" s="403" cm="1">
        <f t="array" aca="1" ref="M73" ca="1">IFERROR(SUM(_xlfn._xlws.FILTER(INDIRECT(M$112),(INDIRECT($B$112)=$B73)*(INDIRECT($D$112)=$D73)*(INDIRECT($F$112)=$F73),0)),0)</f>
        <v>0</v>
      </c>
      <c r="N73" s="403" cm="1">
        <f t="array" aca="1" ref="N73" ca="1">IFERROR(SUM(_xlfn._xlws.FILTER(INDIRECT(N$112),(INDIRECT($B$112)=$B73)*(INDIRECT($D$112)=$D73)*(INDIRECT($F$112)=$F73),0)),0)</f>
        <v>0</v>
      </c>
      <c r="O73" s="403" cm="1">
        <f t="array" aca="1" ref="O73" ca="1">IFERROR(SUM(_xlfn._xlws.FILTER(INDIRECT(O$112),(INDIRECT($B$112)=$B73)*(INDIRECT($D$112)=$D73)*(INDIRECT($F$112)=$F73),0)),0)</f>
        <v>0</v>
      </c>
      <c r="P73" s="403" cm="1">
        <f t="array" aca="1" ref="P73" ca="1">IFERROR(SUM(_xlfn._xlws.FILTER(INDIRECT(P$112),(INDIRECT($B$112)=$B73)*(INDIRECT($D$112)=$D73)*(INDIRECT($F$112)=$F73),0)),0)</f>
        <v>0</v>
      </c>
      <c r="Q73" s="403" cm="1">
        <f t="array" aca="1" ref="Q73" ca="1">IFERROR(SUM(_xlfn._xlws.FILTER(INDIRECT(Q$112),(INDIRECT($B$112)=$B73)*(INDIRECT($D$112)=$D73)*(INDIRECT($F$112)=$F73),0)),0)</f>
        <v>0</v>
      </c>
      <c r="R73" s="403" cm="1">
        <f t="array" aca="1" ref="R73" ca="1">IFERROR(SUM(_xlfn._xlws.FILTER(INDIRECT(R$112),(INDIRECT($B$112)=$B73)*(INDIRECT($D$112)=$D73)*(INDIRECT($F$112)=$F73),0)),0)</f>
        <v>0</v>
      </c>
      <c r="S73" s="403" cm="1">
        <f t="array" aca="1" ref="S73" ca="1">IFERROR(SUM(_xlfn._xlws.FILTER(INDIRECT(S$112),(INDIRECT($B$112)=$B73)*(INDIRECT($D$112)=$D73)*(INDIRECT($F$112)=$F73),0)),0)</f>
        <v>0</v>
      </c>
      <c r="T73" s="403" cm="1">
        <f t="array" aca="1" ref="T73" ca="1">IFERROR(SUM(_xlfn._xlws.FILTER(INDIRECT(T$112),(INDIRECT($B$112)=$B73)*(INDIRECT($D$112)=$D73)*(INDIRECT($F$112)=$F73),0)),0)</f>
        <v>0</v>
      </c>
      <c r="U73" s="403" cm="1">
        <f t="array" aca="1" ref="U73" ca="1">IFERROR(SUM(_xlfn._xlws.FILTER(INDIRECT(U$112),(INDIRECT($B$112)=$B73)*(INDIRECT($D$112)=$D73)*(INDIRECT($F$112)=$F73),0)),0)</f>
        <v>0</v>
      </c>
      <c r="V73" s="403" cm="1">
        <f t="array" aca="1" ref="V73" ca="1">IFERROR(SUM(_xlfn._xlws.FILTER(INDIRECT(V$112),(INDIRECT($B$112)=$B73)*(INDIRECT($D$112)=$D73)*(INDIRECT($F$112)=$F73),0)),0)</f>
        <v>0</v>
      </c>
      <c r="W73" s="403" cm="1">
        <f t="array" aca="1" ref="W73" ca="1">IFERROR(SUM(_xlfn._xlws.FILTER(INDIRECT(W$112),(INDIRECT($B$112)=$B73)*(INDIRECT($D$112)=$D73)*(INDIRECT($F$112)=$F73),0)),0)</f>
        <v>0</v>
      </c>
      <c r="X73" s="403" cm="1">
        <f t="array" aca="1" ref="X73" ca="1">IFERROR(SUM(_xlfn._xlws.FILTER(INDIRECT(X$112),(INDIRECT($B$112)=$B73)*(INDIRECT($D$112)=$D73)*(INDIRECT($F$112)=$F73),0)),0)</f>
        <v>0</v>
      </c>
      <c r="Y73" s="403" cm="1">
        <f t="array" aca="1" ref="Y73" ca="1">IFERROR(SUM(_xlfn._xlws.FILTER(INDIRECT(Y$112),(INDIRECT($B$112)=$B73)*(INDIRECT($D$112)=$D73)*(INDIRECT($F$112)=$F73),0)),0)</f>
        <v>0</v>
      </c>
      <c r="Z73" s="403" cm="1">
        <f t="array" aca="1" ref="Z73" ca="1">IFERROR(SUM(_xlfn._xlws.FILTER(INDIRECT(Z$112),(INDIRECT($B$112)=$B73)*(INDIRECT($D$112)=$D73)*(INDIRECT($F$112)=$F73),0)),0)</f>
        <v>0</v>
      </c>
      <c r="AA73" s="403" cm="1">
        <f t="array" aca="1" ref="AA73" ca="1">IFERROR(SUM(_xlfn._xlws.FILTER(INDIRECT(AA$112),(INDIRECT($B$112)=$B73)*(INDIRECT($D$112)=$D73)*(INDIRECT($F$112)=$F73),0)),0)</f>
        <v>0</v>
      </c>
      <c r="AB73" s="403" cm="1">
        <f t="array" aca="1" ref="AB73" ca="1">IFERROR(SUM(_xlfn._xlws.FILTER(INDIRECT(AB$112),(INDIRECT($B$112)=$B73)*(INDIRECT($D$112)=$D73)*(INDIRECT($F$112)=$F73),0)),0)</f>
        <v>0</v>
      </c>
      <c r="AC73" s="403" cm="1">
        <f t="array" aca="1" ref="AC73" ca="1">IFERROR(SUM(_xlfn._xlws.FILTER(INDIRECT(AC$112),(INDIRECT($B$112)=$B73)*(INDIRECT($D$112)=$D73)*(INDIRECT($F$112)=$F73),0)),0)</f>
        <v>0</v>
      </c>
      <c r="AD73" s="403" cm="1">
        <f t="array" aca="1" ref="AD73" ca="1">IFERROR(SUM(_xlfn._xlws.FILTER(INDIRECT(AD$112),(INDIRECT($B$112)=$B73)*(INDIRECT($D$112)=$D73)*(INDIRECT($F$112)=$F73),0)),0)</f>
        <v>0</v>
      </c>
      <c r="AE73" s="403" cm="1">
        <f t="array" aca="1" ref="AE73" ca="1">IFERROR(SUM(_xlfn._xlws.FILTER(INDIRECT(AE$112),(INDIRECT($B$112)=$B73)*(INDIRECT($D$112)=$D73)*(INDIRECT($F$112)=$F73),0)),0)</f>
        <v>0</v>
      </c>
      <c r="AF73" s="403" cm="1">
        <f t="array" aca="1" ref="AF73" ca="1">IFERROR(SUM(_xlfn._xlws.FILTER(INDIRECT(AF$112),(INDIRECT($B$112)=$B73)*(INDIRECT($D$112)=$D73)*(INDIRECT($F$112)=$F73),0)),0)</f>
        <v>0</v>
      </c>
      <c r="AG73" s="403" cm="1">
        <f t="array" aca="1" ref="AG73" ca="1">IFERROR(SUM(_xlfn._xlws.FILTER(INDIRECT(AG$112),(INDIRECT($B$112)=$B73)*(INDIRECT($D$112)=$D73)*(INDIRECT($F$112)=$F73),0)),0)</f>
        <v>0</v>
      </c>
      <c r="AH73" s="403" cm="1">
        <f t="array" aca="1" ref="AH73" ca="1">IFERROR(SUM(_xlfn._xlws.FILTER(INDIRECT(AH$112),(INDIRECT($B$112)=$B73)*(INDIRECT($D$112)=$D73)*(INDIRECT($F$112)=$F73),0)),0)</f>
        <v>0</v>
      </c>
      <c r="AI73" s="403" cm="1">
        <f t="array" aca="1" ref="AI73" ca="1">IFERROR(SUM(_xlfn._xlws.FILTER(INDIRECT(AI$112),(INDIRECT($B$112)=$B73)*(INDIRECT($D$112)=$D73)*(INDIRECT($F$112)=$F73),0)),0)</f>
        <v>0</v>
      </c>
      <c r="AJ73" s="403" cm="1">
        <f t="array" aca="1" ref="AJ73" ca="1">IFERROR(SUM(_xlfn._xlws.FILTER(INDIRECT(AJ$112),(INDIRECT($B$112)=$B73)*(INDIRECT($D$112)=$D73)*(INDIRECT($F$112)=$F73),0)),0)</f>
        <v>0</v>
      </c>
      <c r="AK73" s="403" cm="1">
        <f t="array" aca="1" ref="AK73" ca="1">IFERROR(SUM(_xlfn._xlws.FILTER(INDIRECT(AK$112),(INDIRECT($B$112)=$B73)*(INDIRECT($D$112)=$D73)*(INDIRECT($F$112)=$F73),0)),0)</f>
        <v>0</v>
      </c>
      <c r="AL73" s="403" cm="1">
        <f t="array" aca="1" ref="AL73" ca="1">IFERROR(SUM(_xlfn._xlws.FILTER(INDIRECT(AL$112),(INDIRECT($B$112)=$B73)*(INDIRECT($D$112)=$D73)*(INDIRECT($F$112)=$F73),0)),0)</f>
        <v>0</v>
      </c>
      <c r="AM73" s="403" cm="1">
        <f t="array" aca="1" ref="AM73" ca="1">IFERROR(SUM(_xlfn._xlws.FILTER(INDIRECT(AM$112),(INDIRECT($B$112)=$B73)*(INDIRECT($D$112)=$D73)*(INDIRECT($F$112)=$F73),0)),0)</f>
        <v>0</v>
      </c>
      <c r="AN73" s="403" cm="1">
        <f t="array" aca="1" ref="AN73" ca="1">IFERROR(SUM(_xlfn._xlws.FILTER(INDIRECT(AN$112),(INDIRECT($B$112)=$B73)*(INDIRECT($D$112)=$D73)*(INDIRECT($F$112)=$F73),0)),0)</f>
        <v>0</v>
      </c>
      <c r="AO73" s="403" cm="1">
        <f t="array" aca="1" ref="AO73" ca="1">IFERROR(SUM(_xlfn._xlws.FILTER(INDIRECT(AO$112),(INDIRECT($B$112)=$B73)*(INDIRECT($D$112)=$D73)*(INDIRECT($F$112)=$F73),0)),0)</f>
        <v>0</v>
      </c>
      <c r="AP73" s="403" cm="1">
        <f t="array" aca="1" ref="AP73" ca="1">IFERROR(SUM(_xlfn._xlws.FILTER(INDIRECT(AP$112),(INDIRECT($B$112)=$B73)*(INDIRECT($D$112)=$D73)*(INDIRECT($F$112)=$F73),0)),0)</f>
        <v>0</v>
      </c>
      <c r="AQ73" s="403" cm="1">
        <f t="array" aca="1" ref="AQ73" ca="1">IFERROR(SUM(_xlfn._xlws.FILTER(INDIRECT(AQ$112),(INDIRECT($B$112)=$B73)*(INDIRECT($D$112)=$D73)*(INDIRECT($F$112)=$F73),0)),0)</f>
        <v>0</v>
      </c>
      <c r="AR73" s="403" cm="1">
        <f t="array" aca="1" ref="AR73" ca="1">IFERROR(SUM(_xlfn._xlws.FILTER(INDIRECT(AR$112),(INDIRECT($B$112)=$B73)*(INDIRECT($D$112)=$D73)*(INDIRECT($F$112)=$F73),0)),0)</f>
        <v>0</v>
      </c>
      <c r="AS73" s="286" t="str">
        <f t="shared" si="4"/>
        <v>X</v>
      </c>
      <c r="AT73" s="403">
        <f t="shared" ca="1" si="3"/>
        <v>0</v>
      </c>
      <c r="AV73" s="142" cm="1">
        <f t="array" aca="1" ref="AV73" ca="1">IF(AND(_xlfn.LET(_xlpm.x,SUM(ROW()),OR(AND(MATCH("SOT",$A:$A,0)&lt;_xlpm.x,MATCH("EOT",$A:$A,0)&gt;_xlpm.x),AND(MATCH("SOS",$A:$A,0)&lt;_xlpm.x,MATCH("EOS",$A:$A,0)&gt;_xlpm.x),AND(MATCH("SOR",$A:$A,0)&lt;_xlpm.x,MATCH("EOR",$A:$A,0)&gt;_xlpm.x))),INDIRECT("rc"&amp;MATCH("SCD",$1:$1,0),FALSE)="PPTO"),1,0)</f>
        <v>0</v>
      </c>
      <c r="AW73" s="142" cm="1">
        <f t="array" aca="1" ref="AW7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74" spans="1:49" s="153" customFormat="1" outlineLevel="2">
      <c r="A74" s="152"/>
      <c r="B74" s="401"/>
      <c r="C74" s="148"/>
      <c r="D74" s="404"/>
      <c r="E74" s="350"/>
      <c r="F74" s="402"/>
      <c r="G74" s="403" cm="1">
        <f t="array" aca="1" ref="G74" ca="1">IFERROR(SUM(_xlfn._xlws.FILTER(INDIRECT(G$112),(INDIRECT($B$112)=$B74)*(INDIRECT($D$112)=$D74)*(INDIRECT($F$112)=$F74),0)),0)</f>
        <v>0</v>
      </c>
      <c r="H74" s="403" cm="1">
        <f t="array" aca="1" ref="H74" ca="1">IFERROR(SUM(_xlfn._xlws.FILTER(INDIRECT(H$112),(INDIRECT($B$112)=$B74)*(INDIRECT($D$112)=$D74)*(INDIRECT($F$112)=$F74),0)),0)</f>
        <v>0</v>
      </c>
      <c r="I74" s="403" cm="1">
        <f t="array" aca="1" ref="I74" ca="1">IFERROR(SUM(_xlfn._xlws.FILTER(INDIRECT(I$112),(INDIRECT($B$112)=$B74)*(INDIRECT($D$112)=$D74)*(INDIRECT($F$112)=$F74),0)),0)</f>
        <v>0</v>
      </c>
      <c r="J74" s="403" cm="1">
        <f t="array" aca="1" ref="J74" ca="1">IFERROR(SUM(_xlfn._xlws.FILTER(INDIRECT(J$112),(INDIRECT($B$112)=$B74)*(INDIRECT($D$112)=$D74)*(INDIRECT($F$112)=$F74),0)),0)</f>
        <v>0</v>
      </c>
      <c r="K74" s="403" cm="1">
        <f t="array" aca="1" ref="K74" ca="1">IFERROR(SUM(_xlfn._xlws.FILTER(INDIRECT(K$112),(INDIRECT($B$112)=$B74)*(INDIRECT($D$112)=$D74)*(INDIRECT($F$112)=$F74),0)),0)</f>
        <v>0</v>
      </c>
      <c r="L74" s="403" cm="1">
        <f t="array" aca="1" ref="L74" ca="1">IFERROR(SUM(_xlfn._xlws.FILTER(INDIRECT(L$112),(INDIRECT($B$112)=$B74)*(INDIRECT($D$112)=$D74)*(INDIRECT($F$112)=$F74),0)),0)</f>
        <v>0</v>
      </c>
      <c r="M74" s="403" cm="1">
        <f t="array" aca="1" ref="M74" ca="1">IFERROR(SUM(_xlfn._xlws.FILTER(INDIRECT(M$112),(INDIRECT($B$112)=$B74)*(INDIRECT($D$112)=$D74)*(INDIRECT($F$112)=$F74),0)),0)</f>
        <v>0</v>
      </c>
      <c r="N74" s="403" cm="1">
        <f t="array" aca="1" ref="N74" ca="1">IFERROR(SUM(_xlfn._xlws.FILTER(INDIRECT(N$112),(INDIRECT($B$112)=$B74)*(INDIRECT($D$112)=$D74)*(INDIRECT($F$112)=$F74),0)),0)</f>
        <v>0</v>
      </c>
      <c r="O74" s="403" cm="1">
        <f t="array" aca="1" ref="O74" ca="1">IFERROR(SUM(_xlfn._xlws.FILTER(INDIRECT(O$112),(INDIRECT($B$112)=$B74)*(INDIRECT($D$112)=$D74)*(INDIRECT($F$112)=$F74),0)),0)</f>
        <v>0</v>
      </c>
      <c r="P74" s="403" cm="1">
        <f t="array" aca="1" ref="P74" ca="1">IFERROR(SUM(_xlfn._xlws.FILTER(INDIRECT(P$112),(INDIRECT($B$112)=$B74)*(INDIRECT($D$112)=$D74)*(INDIRECT($F$112)=$F74),0)),0)</f>
        <v>0</v>
      </c>
      <c r="Q74" s="403" cm="1">
        <f t="array" aca="1" ref="Q74" ca="1">IFERROR(SUM(_xlfn._xlws.FILTER(INDIRECT(Q$112),(INDIRECT($B$112)=$B74)*(INDIRECT($D$112)=$D74)*(INDIRECT($F$112)=$F74),0)),0)</f>
        <v>0</v>
      </c>
      <c r="R74" s="403" cm="1">
        <f t="array" aca="1" ref="R74" ca="1">IFERROR(SUM(_xlfn._xlws.FILTER(INDIRECT(R$112),(INDIRECT($B$112)=$B74)*(INDIRECT($D$112)=$D74)*(INDIRECT($F$112)=$F74),0)),0)</f>
        <v>0</v>
      </c>
      <c r="S74" s="403" cm="1">
        <f t="array" aca="1" ref="S74" ca="1">IFERROR(SUM(_xlfn._xlws.FILTER(INDIRECT(S$112),(INDIRECT($B$112)=$B74)*(INDIRECT($D$112)=$D74)*(INDIRECT($F$112)=$F74),0)),0)</f>
        <v>0</v>
      </c>
      <c r="T74" s="403" cm="1">
        <f t="array" aca="1" ref="T74" ca="1">IFERROR(SUM(_xlfn._xlws.FILTER(INDIRECT(T$112),(INDIRECT($B$112)=$B74)*(INDIRECT($D$112)=$D74)*(INDIRECT($F$112)=$F74),0)),0)</f>
        <v>0</v>
      </c>
      <c r="U74" s="403" cm="1">
        <f t="array" aca="1" ref="U74" ca="1">IFERROR(SUM(_xlfn._xlws.FILTER(INDIRECT(U$112),(INDIRECT($B$112)=$B74)*(INDIRECT($D$112)=$D74)*(INDIRECT($F$112)=$F74),0)),0)</f>
        <v>0</v>
      </c>
      <c r="V74" s="403" cm="1">
        <f t="array" aca="1" ref="V74" ca="1">IFERROR(SUM(_xlfn._xlws.FILTER(INDIRECT(V$112),(INDIRECT($B$112)=$B74)*(INDIRECT($D$112)=$D74)*(INDIRECT($F$112)=$F74),0)),0)</f>
        <v>0</v>
      </c>
      <c r="W74" s="403" cm="1">
        <f t="array" aca="1" ref="W74" ca="1">IFERROR(SUM(_xlfn._xlws.FILTER(INDIRECT(W$112),(INDIRECT($B$112)=$B74)*(INDIRECT($D$112)=$D74)*(INDIRECT($F$112)=$F74),0)),0)</f>
        <v>0</v>
      </c>
      <c r="X74" s="403" cm="1">
        <f t="array" aca="1" ref="X74" ca="1">IFERROR(SUM(_xlfn._xlws.FILTER(INDIRECT(X$112),(INDIRECT($B$112)=$B74)*(INDIRECT($D$112)=$D74)*(INDIRECT($F$112)=$F74),0)),0)</f>
        <v>0</v>
      </c>
      <c r="Y74" s="403" cm="1">
        <f t="array" aca="1" ref="Y74" ca="1">IFERROR(SUM(_xlfn._xlws.FILTER(INDIRECT(Y$112),(INDIRECT($B$112)=$B74)*(INDIRECT($D$112)=$D74)*(INDIRECT($F$112)=$F74),0)),0)</f>
        <v>0</v>
      </c>
      <c r="Z74" s="403" cm="1">
        <f t="array" aca="1" ref="Z74" ca="1">IFERROR(SUM(_xlfn._xlws.FILTER(INDIRECT(Z$112),(INDIRECT($B$112)=$B74)*(INDIRECT($D$112)=$D74)*(INDIRECT($F$112)=$F74),0)),0)</f>
        <v>0</v>
      </c>
      <c r="AA74" s="403" cm="1">
        <f t="array" aca="1" ref="AA74" ca="1">IFERROR(SUM(_xlfn._xlws.FILTER(INDIRECT(AA$112),(INDIRECT($B$112)=$B74)*(INDIRECT($D$112)=$D74)*(INDIRECT($F$112)=$F74),0)),0)</f>
        <v>0</v>
      </c>
      <c r="AB74" s="403" cm="1">
        <f t="array" aca="1" ref="AB74" ca="1">IFERROR(SUM(_xlfn._xlws.FILTER(INDIRECT(AB$112),(INDIRECT($B$112)=$B74)*(INDIRECT($D$112)=$D74)*(INDIRECT($F$112)=$F74),0)),0)</f>
        <v>0</v>
      </c>
      <c r="AC74" s="403" cm="1">
        <f t="array" aca="1" ref="AC74" ca="1">IFERROR(SUM(_xlfn._xlws.FILTER(INDIRECT(AC$112),(INDIRECT($B$112)=$B74)*(INDIRECT($D$112)=$D74)*(INDIRECT($F$112)=$F74),0)),0)</f>
        <v>0</v>
      </c>
      <c r="AD74" s="403" cm="1">
        <f t="array" aca="1" ref="AD74" ca="1">IFERROR(SUM(_xlfn._xlws.FILTER(INDIRECT(AD$112),(INDIRECT($B$112)=$B74)*(INDIRECT($D$112)=$D74)*(INDIRECT($F$112)=$F74),0)),0)</f>
        <v>0</v>
      </c>
      <c r="AE74" s="403" cm="1">
        <f t="array" aca="1" ref="AE74" ca="1">IFERROR(SUM(_xlfn._xlws.FILTER(INDIRECT(AE$112),(INDIRECT($B$112)=$B74)*(INDIRECT($D$112)=$D74)*(INDIRECT($F$112)=$F74),0)),0)</f>
        <v>0</v>
      </c>
      <c r="AF74" s="403" cm="1">
        <f t="array" aca="1" ref="AF74" ca="1">IFERROR(SUM(_xlfn._xlws.FILTER(INDIRECT(AF$112),(INDIRECT($B$112)=$B74)*(INDIRECT($D$112)=$D74)*(INDIRECT($F$112)=$F74),0)),0)</f>
        <v>0</v>
      </c>
      <c r="AG74" s="403" cm="1">
        <f t="array" aca="1" ref="AG74" ca="1">IFERROR(SUM(_xlfn._xlws.FILTER(INDIRECT(AG$112),(INDIRECT($B$112)=$B74)*(INDIRECT($D$112)=$D74)*(INDIRECT($F$112)=$F74),0)),0)</f>
        <v>0</v>
      </c>
      <c r="AH74" s="403" cm="1">
        <f t="array" aca="1" ref="AH74" ca="1">IFERROR(SUM(_xlfn._xlws.FILTER(INDIRECT(AH$112),(INDIRECT($B$112)=$B74)*(INDIRECT($D$112)=$D74)*(INDIRECT($F$112)=$F74),0)),0)</f>
        <v>0</v>
      </c>
      <c r="AI74" s="403" cm="1">
        <f t="array" aca="1" ref="AI74" ca="1">IFERROR(SUM(_xlfn._xlws.FILTER(INDIRECT(AI$112),(INDIRECT($B$112)=$B74)*(INDIRECT($D$112)=$D74)*(INDIRECT($F$112)=$F74),0)),0)</f>
        <v>0</v>
      </c>
      <c r="AJ74" s="403" cm="1">
        <f t="array" aca="1" ref="AJ74" ca="1">IFERROR(SUM(_xlfn._xlws.FILTER(INDIRECT(AJ$112),(INDIRECT($B$112)=$B74)*(INDIRECT($D$112)=$D74)*(INDIRECT($F$112)=$F74),0)),0)</f>
        <v>0</v>
      </c>
      <c r="AK74" s="403" cm="1">
        <f t="array" aca="1" ref="AK74" ca="1">IFERROR(SUM(_xlfn._xlws.FILTER(INDIRECT(AK$112),(INDIRECT($B$112)=$B74)*(INDIRECT($D$112)=$D74)*(INDIRECT($F$112)=$F74),0)),0)</f>
        <v>0</v>
      </c>
      <c r="AL74" s="403" cm="1">
        <f t="array" aca="1" ref="AL74" ca="1">IFERROR(SUM(_xlfn._xlws.FILTER(INDIRECT(AL$112),(INDIRECT($B$112)=$B74)*(INDIRECT($D$112)=$D74)*(INDIRECT($F$112)=$F74),0)),0)</f>
        <v>0</v>
      </c>
      <c r="AM74" s="403" cm="1">
        <f t="array" aca="1" ref="AM74" ca="1">IFERROR(SUM(_xlfn._xlws.FILTER(INDIRECT(AM$112),(INDIRECT($B$112)=$B74)*(INDIRECT($D$112)=$D74)*(INDIRECT($F$112)=$F74),0)),0)</f>
        <v>0</v>
      </c>
      <c r="AN74" s="403" cm="1">
        <f t="array" aca="1" ref="AN74" ca="1">IFERROR(SUM(_xlfn._xlws.FILTER(INDIRECT(AN$112),(INDIRECT($B$112)=$B74)*(INDIRECT($D$112)=$D74)*(INDIRECT($F$112)=$F74),0)),0)</f>
        <v>0</v>
      </c>
      <c r="AO74" s="403" cm="1">
        <f t="array" aca="1" ref="AO74" ca="1">IFERROR(SUM(_xlfn._xlws.FILTER(INDIRECT(AO$112),(INDIRECT($B$112)=$B74)*(INDIRECT($D$112)=$D74)*(INDIRECT($F$112)=$F74),0)),0)</f>
        <v>0</v>
      </c>
      <c r="AP74" s="403" cm="1">
        <f t="array" aca="1" ref="AP74" ca="1">IFERROR(SUM(_xlfn._xlws.FILTER(INDIRECT(AP$112),(INDIRECT($B$112)=$B74)*(INDIRECT($D$112)=$D74)*(INDIRECT($F$112)=$F74),0)),0)</f>
        <v>0</v>
      </c>
      <c r="AQ74" s="403" cm="1">
        <f t="array" aca="1" ref="AQ74" ca="1">IFERROR(SUM(_xlfn._xlws.FILTER(INDIRECT(AQ$112),(INDIRECT($B$112)=$B74)*(INDIRECT($D$112)=$D74)*(INDIRECT($F$112)=$F74),0)),0)</f>
        <v>0</v>
      </c>
      <c r="AR74" s="403" cm="1">
        <f t="array" aca="1" ref="AR74" ca="1">IFERROR(SUM(_xlfn._xlws.FILTER(INDIRECT(AR$112),(INDIRECT($B$112)=$B74)*(INDIRECT($D$112)=$D74)*(INDIRECT($F$112)=$F74),0)),0)</f>
        <v>0</v>
      </c>
      <c r="AS74" s="286" t="str">
        <f t="shared" si="4"/>
        <v>X</v>
      </c>
      <c r="AT74" s="403">
        <f t="shared" ca="1" si="3"/>
        <v>0</v>
      </c>
      <c r="AV74" s="142" cm="1">
        <f t="array" aca="1" ref="AV74" ca="1">IF(AND(_xlfn.LET(_xlpm.x,SUM(ROW()),OR(AND(MATCH("SOT",$A:$A,0)&lt;_xlpm.x,MATCH("EOT",$A:$A,0)&gt;_xlpm.x),AND(MATCH("SOS",$A:$A,0)&lt;_xlpm.x,MATCH("EOS",$A:$A,0)&gt;_xlpm.x),AND(MATCH("SOR",$A:$A,0)&lt;_xlpm.x,MATCH("EOR",$A:$A,0)&gt;_xlpm.x))),INDIRECT("rc"&amp;MATCH("SCD",$1:$1,0),FALSE)="PPTO"),1,0)</f>
        <v>0</v>
      </c>
      <c r="AW74" s="142" cm="1">
        <f t="array" aca="1" ref="AW7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75" spans="1:49" s="153" customFormat="1" outlineLevel="2">
      <c r="A75" s="152"/>
      <c r="B75" s="401"/>
      <c r="C75" s="148"/>
      <c r="D75" s="404"/>
      <c r="E75" s="350"/>
      <c r="F75" s="402"/>
      <c r="G75" s="403" cm="1">
        <f t="array" aca="1" ref="G75" ca="1">IFERROR(SUM(_xlfn._xlws.FILTER(INDIRECT(G$112),(INDIRECT($B$112)=$B75)*(INDIRECT($D$112)=$D75)*(INDIRECT($F$112)=$F75),0)),0)</f>
        <v>0</v>
      </c>
      <c r="H75" s="403" cm="1">
        <f t="array" aca="1" ref="H75" ca="1">IFERROR(SUM(_xlfn._xlws.FILTER(INDIRECT(H$112),(INDIRECT($B$112)=$B75)*(INDIRECT($D$112)=$D75)*(INDIRECT($F$112)=$F75),0)),0)</f>
        <v>0</v>
      </c>
      <c r="I75" s="403" cm="1">
        <f t="array" aca="1" ref="I75" ca="1">IFERROR(SUM(_xlfn._xlws.FILTER(INDIRECT(I$112),(INDIRECT($B$112)=$B75)*(INDIRECT($D$112)=$D75)*(INDIRECT($F$112)=$F75),0)),0)</f>
        <v>0</v>
      </c>
      <c r="J75" s="403" cm="1">
        <f t="array" aca="1" ref="J75" ca="1">IFERROR(SUM(_xlfn._xlws.FILTER(INDIRECT(J$112),(INDIRECT($B$112)=$B75)*(INDIRECT($D$112)=$D75)*(INDIRECT($F$112)=$F75),0)),0)</f>
        <v>0</v>
      </c>
      <c r="K75" s="403" cm="1">
        <f t="array" aca="1" ref="K75" ca="1">IFERROR(SUM(_xlfn._xlws.FILTER(INDIRECT(K$112),(INDIRECT($B$112)=$B75)*(INDIRECT($D$112)=$D75)*(INDIRECT($F$112)=$F75),0)),0)</f>
        <v>0</v>
      </c>
      <c r="L75" s="403" cm="1">
        <f t="array" aca="1" ref="L75" ca="1">IFERROR(SUM(_xlfn._xlws.FILTER(INDIRECT(L$112),(INDIRECT($B$112)=$B75)*(INDIRECT($D$112)=$D75)*(INDIRECT($F$112)=$F75),0)),0)</f>
        <v>0</v>
      </c>
      <c r="M75" s="403" cm="1">
        <f t="array" aca="1" ref="M75" ca="1">IFERROR(SUM(_xlfn._xlws.FILTER(INDIRECT(M$112),(INDIRECT($B$112)=$B75)*(INDIRECT($D$112)=$D75)*(INDIRECT($F$112)=$F75),0)),0)</f>
        <v>0</v>
      </c>
      <c r="N75" s="403" cm="1">
        <f t="array" aca="1" ref="N75" ca="1">IFERROR(SUM(_xlfn._xlws.FILTER(INDIRECT(N$112),(INDIRECT($B$112)=$B75)*(INDIRECT($D$112)=$D75)*(INDIRECT($F$112)=$F75),0)),0)</f>
        <v>0</v>
      </c>
      <c r="O75" s="403" cm="1">
        <f t="array" aca="1" ref="O75" ca="1">IFERROR(SUM(_xlfn._xlws.FILTER(INDIRECT(O$112),(INDIRECT($B$112)=$B75)*(INDIRECT($D$112)=$D75)*(INDIRECT($F$112)=$F75),0)),0)</f>
        <v>0</v>
      </c>
      <c r="P75" s="403" cm="1">
        <f t="array" aca="1" ref="P75" ca="1">IFERROR(SUM(_xlfn._xlws.FILTER(INDIRECT(P$112),(INDIRECT($B$112)=$B75)*(INDIRECT($D$112)=$D75)*(INDIRECT($F$112)=$F75),0)),0)</f>
        <v>0</v>
      </c>
      <c r="Q75" s="403" cm="1">
        <f t="array" aca="1" ref="Q75" ca="1">IFERROR(SUM(_xlfn._xlws.FILTER(INDIRECT(Q$112),(INDIRECT($B$112)=$B75)*(INDIRECT($D$112)=$D75)*(INDIRECT($F$112)=$F75),0)),0)</f>
        <v>0</v>
      </c>
      <c r="R75" s="403" cm="1">
        <f t="array" aca="1" ref="R75" ca="1">IFERROR(SUM(_xlfn._xlws.FILTER(INDIRECT(R$112),(INDIRECT($B$112)=$B75)*(INDIRECT($D$112)=$D75)*(INDIRECT($F$112)=$F75),0)),0)</f>
        <v>0</v>
      </c>
      <c r="S75" s="403" cm="1">
        <f t="array" aca="1" ref="S75" ca="1">IFERROR(SUM(_xlfn._xlws.FILTER(INDIRECT(S$112),(INDIRECT($B$112)=$B75)*(INDIRECT($D$112)=$D75)*(INDIRECT($F$112)=$F75),0)),0)</f>
        <v>0</v>
      </c>
      <c r="T75" s="403" cm="1">
        <f t="array" aca="1" ref="T75" ca="1">IFERROR(SUM(_xlfn._xlws.FILTER(INDIRECT(T$112),(INDIRECT($B$112)=$B75)*(INDIRECT($D$112)=$D75)*(INDIRECT($F$112)=$F75),0)),0)</f>
        <v>0</v>
      </c>
      <c r="U75" s="403" cm="1">
        <f t="array" aca="1" ref="U75" ca="1">IFERROR(SUM(_xlfn._xlws.FILTER(INDIRECT(U$112),(INDIRECT($B$112)=$B75)*(INDIRECT($D$112)=$D75)*(INDIRECT($F$112)=$F75),0)),0)</f>
        <v>0</v>
      </c>
      <c r="V75" s="403" cm="1">
        <f t="array" aca="1" ref="V75" ca="1">IFERROR(SUM(_xlfn._xlws.FILTER(INDIRECT(V$112),(INDIRECT($B$112)=$B75)*(INDIRECT($D$112)=$D75)*(INDIRECT($F$112)=$F75),0)),0)</f>
        <v>0</v>
      </c>
      <c r="W75" s="403" cm="1">
        <f t="array" aca="1" ref="W75" ca="1">IFERROR(SUM(_xlfn._xlws.FILTER(INDIRECT(W$112),(INDIRECT($B$112)=$B75)*(INDIRECT($D$112)=$D75)*(INDIRECT($F$112)=$F75),0)),0)</f>
        <v>0</v>
      </c>
      <c r="X75" s="403" cm="1">
        <f t="array" aca="1" ref="X75" ca="1">IFERROR(SUM(_xlfn._xlws.FILTER(INDIRECT(X$112),(INDIRECT($B$112)=$B75)*(INDIRECT($D$112)=$D75)*(INDIRECT($F$112)=$F75),0)),0)</f>
        <v>0</v>
      </c>
      <c r="Y75" s="403" cm="1">
        <f t="array" aca="1" ref="Y75" ca="1">IFERROR(SUM(_xlfn._xlws.FILTER(INDIRECT(Y$112),(INDIRECT($B$112)=$B75)*(INDIRECT($D$112)=$D75)*(INDIRECT($F$112)=$F75),0)),0)</f>
        <v>0</v>
      </c>
      <c r="Z75" s="403" cm="1">
        <f t="array" aca="1" ref="Z75" ca="1">IFERROR(SUM(_xlfn._xlws.FILTER(INDIRECT(Z$112),(INDIRECT($B$112)=$B75)*(INDIRECT($D$112)=$D75)*(INDIRECT($F$112)=$F75),0)),0)</f>
        <v>0</v>
      </c>
      <c r="AA75" s="403" cm="1">
        <f t="array" aca="1" ref="AA75" ca="1">IFERROR(SUM(_xlfn._xlws.FILTER(INDIRECT(AA$112),(INDIRECT($B$112)=$B75)*(INDIRECT($D$112)=$D75)*(INDIRECT($F$112)=$F75),0)),0)</f>
        <v>0</v>
      </c>
      <c r="AB75" s="403" cm="1">
        <f t="array" aca="1" ref="AB75" ca="1">IFERROR(SUM(_xlfn._xlws.FILTER(INDIRECT(AB$112),(INDIRECT($B$112)=$B75)*(INDIRECT($D$112)=$D75)*(INDIRECT($F$112)=$F75),0)),0)</f>
        <v>0</v>
      </c>
      <c r="AC75" s="403" cm="1">
        <f t="array" aca="1" ref="AC75" ca="1">IFERROR(SUM(_xlfn._xlws.FILTER(INDIRECT(AC$112),(INDIRECT($B$112)=$B75)*(INDIRECT($D$112)=$D75)*(INDIRECT($F$112)=$F75),0)),0)</f>
        <v>0</v>
      </c>
      <c r="AD75" s="403" cm="1">
        <f t="array" aca="1" ref="AD75" ca="1">IFERROR(SUM(_xlfn._xlws.FILTER(INDIRECT(AD$112),(INDIRECT($B$112)=$B75)*(INDIRECT($D$112)=$D75)*(INDIRECT($F$112)=$F75),0)),0)</f>
        <v>0</v>
      </c>
      <c r="AE75" s="403" cm="1">
        <f t="array" aca="1" ref="AE75" ca="1">IFERROR(SUM(_xlfn._xlws.FILTER(INDIRECT(AE$112),(INDIRECT($B$112)=$B75)*(INDIRECT($D$112)=$D75)*(INDIRECT($F$112)=$F75),0)),0)</f>
        <v>0</v>
      </c>
      <c r="AF75" s="403" cm="1">
        <f t="array" aca="1" ref="AF75" ca="1">IFERROR(SUM(_xlfn._xlws.FILTER(INDIRECT(AF$112),(INDIRECT($B$112)=$B75)*(INDIRECT($D$112)=$D75)*(INDIRECT($F$112)=$F75),0)),0)</f>
        <v>0</v>
      </c>
      <c r="AG75" s="403" cm="1">
        <f t="array" aca="1" ref="AG75" ca="1">IFERROR(SUM(_xlfn._xlws.FILTER(INDIRECT(AG$112),(INDIRECT($B$112)=$B75)*(INDIRECT($D$112)=$D75)*(INDIRECT($F$112)=$F75),0)),0)</f>
        <v>0</v>
      </c>
      <c r="AH75" s="403" cm="1">
        <f t="array" aca="1" ref="AH75" ca="1">IFERROR(SUM(_xlfn._xlws.FILTER(INDIRECT(AH$112),(INDIRECT($B$112)=$B75)*(INDIRECT($D$112)=$D75)*(INDIRECT($F$112)=$F75),0)),0)</f>
        <v>0</v>
      </c>
      <c r="AI75" s="403" cm="1">
        <f t="array" aca="1" ref="AI75" ca="1">IFERROR(SUM(_xlfn._xlws.FILTER(INDIRECT(AI$112),(INDIRECT($B$112)=$B75)*(INDIRECT($D$112)=$D75)*(INDIRECT($F$112)=$F75),0)),0)</f>
        <v>0</v>
      </c>
      <c r="AJ75" s="403" cm="1">
        <f t="array" aca="1" ref="AJ75" ca="1">IFERROR(SUM(_xlfn._xlws.FILTER(INDIRECT(AJ$112),(INDIRECT($B$112)=$B75)*(INDIRECT($D$112)=$D75)*(INDIRECT($F$112)=$F75),0)),0)</f>
        <v>0</v>
      </c>
      <c r="AK75" s="403" cm="1">
        <f t="array" aca="1" ref="AK75" ca="1">IFERROR(SUM(_xlfn._xlws.FILTER(INDIRECT(AK$112),(INDIRECT($B$112)=$B75)*(INDIRECT($D$112)=$D75)*(INDIRECT($F$112)=$F75),0)),0)</f>
        <v>0</v>
      </c>
      <c r="AL75" s="403" cm="1">
        <f t="array" aca="1" ref="AL75" ca="1">IFERROR(SUM(_xlfn._xlws.FILTER(INDIRECT(AL$112),(INDIRECT($B$112)=$B75)*(INDIRECT($D$112)=$D75)*(INDIRECT($F$112)=$F75),0)),0)</f>
        <v>0</v>
      </c>
      <c r="AM75" s="403" cm="1">
        <f t="array" aca="1" ref="AM75" ca="1">IFERROR(SUM(_xlfn._xlws.FILTER(INDIRECT(AM$112),(INDIRECT($B$112)=$B75)*(INDIRECT($D$112)=$D75)*(INDIRECT($F$112)=$F75),0)),0)</f>
        <v>0</v>
      </c>
      <c r="AN75" s="403" cm="1">
        <f t="array" aca="1" ref="AN75" ca="1">IFERROR(SUM(_xlfn._xlws.FILTER(INDIRECT(AN$112),(INDIRECT($B$112)=$B75)*(INDIRECT($D$112)=$D75)*(INDIRECT($F$112)=$F75),0)),0)</f>
        <v>0</v>
      </c>
      <c r="AO75" s="403" cm="1">
        <f t="array" aca="1" ref="AO75" ca="1">IFERROR(SUM(_xlfn._xlws.FILTER(INDIRECT(AO$112),(INDIRECT($B$112)=$B75)*(INDIRECT($D$112)=$D75)*(INDIRECT($F$112)=$F75),0)),0)</f>
        <v>0</v>
      </c>
      <c r="AP75" s="403" cm="1">
        <f t="array" aca="1" ref="AP75" ca="1">IFERROR(SUM(_xlfn._xlws.FILTER(INDIRECT(AP$112),(INDIRECT($B$112)=$B75)*(INDIRECT($D$112)=$D75)*(INDIRECT($F$112)=$F75),0)),0)</f>
        <v>0</v>
      </c>
      <c r="AQ75" s="403" cm="1">
        <f t="array" aca="1" ref="AQ75" ca="1">IFERROR(SUM(_xlfn._xlws.FILTER(INDIRECT(AQ$112),(INDIRECT($B$112)=$B75)*(INDIRECT($D$112)=$D75)*(INDIRECT($F$112)=$F75),0)),0)</f>
        <v>0</v>
      </c>
      <c r="AR75" s="403" cm="1">
        <f t="array" aca="1" ref="AR75" ca="1">IFERROR(SUM(_xlfn._xlws.FILTER(INDIRECT(AR$112),(INDIRECT($B$112)=$B75)*(INDIRECT($D$112)=$D75)*(INDIRECT($F$112)=$F75),0)),0)</f>
        <v>0</v>
      </c>
      <c r="AS75" s="286" t="str">
        <f t="shared" si="4"/>
        <v>X</v>
      </c>
      <c r="AT75" s="403">
        <f t="shared" ref="AT75:AT83" ca="1" si="5">SUM(INDIRECT("rc"&amp;MATCH("ECD",$1:$1,0)&amp;":rc"&amp;(MATCH("EOC",$1:$1,0)-1),FALSE))</f>
        <v>0</v>
      </c>
      <c r="AV75" s="142" cm="1">
        <f t="array" aca="1" ref="AV75" ca="1">IF(AND(_xlfn.LET(_xlpm.x,SUM(ROW()),OR(AND(MATCH("SOT",$A:$A,0)&lt;_xlpm.x,MATCH("EOT",$A:$A,0)&gt;_xlpm.x),AND(MATCH("SOS",$A:$A,0)&lt;_xlpm.x,MATCH("EOS",$A:$A,0)&gt;_xlpm.x),AND(MATCH("SOR",$A:$A,0)&lt;_xlpm.x,MATCH("EOR",$A:$A,0)&gt;_xlpm.x))),INDIRECT("rc"&amp;MATCH("SCD",$1:$1,0),FALSE)="PPTO"),1,0)</f>
        <v>0</v>
      </c>
      <c r="AW75" s="142" cm="1">
        <f t="array" aca="1" ref="AW7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76" spans="1:49" s="153" customFormat="1" outlineLevel="2">
      <c r="A76" s="152"/>
      <c r="B76" s="401"/>
      <c r="C76" s="148"/>
      <c r="D76" s="404"/>
      <c r="E76" s="350"/>
      <c r="F76" s="402"/>
      <c r="G76" s="403" cm="1">
        <f t="array" aca="1" ref="G76" ca="1">IFERROR(SUM(_xlfn._xlws.FILTER(INDIRECT(G$112),(INDIRECT($B$112)=$B76)*(INDIRECT($D$112)=$D76)*(INDIRECT($F$112)=$F76),0)),0)</f>
        <v>0</v>
      </c>
      <c r="H76" s="403" cm="1">
        <f t="array" aca="1" ref="H76" ca="1">IFERROR(SUM(_xlfn._xlws.FILTER(INDIRECT(H$112),(INDIRECT($B$112)=$B76)*(INDIRECT($D$112)=$D76)*(INDIRECT($F$112)=$F76),0)),0)</f>
        <v>0</v>
      </c>
      <c r="I76" s="403" cm="1">
        <f t="array" aca="1" ref="I76" ca="1">IFERROR(SUM(_xlfn._xlws.FILTER(INDIRECT(I$112),(INDIRECT($B$112)=$B76)*(INDIRECT($D$112)=$D76)*(INDIRECT($F$112)=$F76),0)),0)</f>
        <v>0</v>
      </c>
      <c r="J76" s="403" cm="1">
        <f t="array" aca="1" ref="J76" ca="1">IFERROR(SUM(_xlfn._xlws.FILTER(INDIRECT(J$112),(INDIRECT($B$112)=$B76)*(INDIRECT($D$112)=$D76)*(INDIRECT($F$112)=$F76),0)),0)</f>
        <v>0</v>
      </c>
      <c r="K76" s="403" cm="1">
        <f t="array" aca="1" ref="K76" ca="1">IFERROR(SUM(_xlfn._xlws.FILTER(INDIRECT(K$112),(INDIRECT($B$112)=$B76)*(INDIRECT($D$112)=$D76)*(INDIRECT($F$112)=$F76),0)),0)</f>
        <v>0</v>
      </c>
      <c r="L76" s="403" cm="1">
        <f t="array" aca="1" ref="L76" ca="1">IFERROR(SUM(_xlfn._xlws.FILTER(INDIRECT(L$112),(INDIRECT($B$112)=$B76)*(INDIRECT($D$112)=$D76)*(INDIRECT($F$112)=$F76),0)),0)</f>
        <v>0</v>
      </c>
      <c r="M76" s="403" cm="1">
        <f t="array" aca="1" ref="M76" ca="1">IFERROR(SUM(_xlfn._xlws.FILTER(INDIRECT(M$112),(INDIRECT($B$112)=$B76)*(INDIRECT($D$112)=$D76)*(INDIRECT($F$112)=$F76),0)),0)</f>
        <v>0</v>
      </c>
      <c r="N76" s="403" cm="1">
        <f t="array" aca="1" ref="N76" ca="1">IFERROR(SUM(_xlfn._xlws.FILTER(INDIRECT(N$112),(INDIRECT($B$112)=$B76)*(INDIRECT($D$112)=$D76)*(INDIRECT($F$112)=$F76),0)),0)</f>
        <v>0</v>
      </c>
      <c r="O76" s="403" cm="1">
        <f t="array" aca="1" ref="O76" ca="1">IFERROR(SUM(_xlfn._xlws.FILTER(INDIRECT(O$112),(INDIRECT($B$112)=$B76)*(INDIRECT($D$112)=$D76)*(INDIRECT($F$112)=$F76),0)),0)</f>
        <v>0</v>
      </c>
      <c r="P76" s="403" cm="1">
        <f t="array" aca="1" ref="P76" ca="1">IFERROR(SUM(_xlfn._xlws.FILTER(INDIRECT(P$112),(INDIRECT($B$112)=$B76)*(INDIRECT($D$112)=$D76)*(INDIRECT($F$112)=$F76),0)),0)</f>
        <v>0</v>
      </c>
      <c r="Q76" s="403" cm="1">
        <f t="array" aca="1" ref="Q76" ca="1">IFERROR(SUM(_xlfn._xlws.FILTER(INDIRECT(Q$112),(INDIRECT($B$112)=$B76)*(INDIRECT($D$112)=$D76)*(INDIRECT($F$112)=$F76),0)),0)</f>
        <v>0</v>
      </c>
      <c r="R76" s="403" cm="1">
        <f t="array" aca="1" ref="R76" ca="1">IFERROR(SUM(_xlfn._xlws.FILTER(INDIRECT(R$112),(INDIRECT($B$112)=$B76)*(INDIRECT($D$112)=$D76)*(INDIRECT($F$112)=$F76),0)),0)</f>
        <v>0</v>
      </c>
      <c r="S76" s="403" cm="1">
        <f t="array" aca="1" ref="S76" ca="1">IFERROR(SUM(_xlfn._xlws.FILTER(INDIRECT(S$112),(INDIRECT($B$112)=$B76)*(INDIRECT($D$112)=$D76)*(INDIRECT($F$112)=$F76),0)),0)</f>
        <v>0</v>
      </c>
      <c r="T76" s="403" cm="1">
        <f t="array" aca="1" ref="T76" ca="1">IFERROR(SUM(_xlfn._xlws.FILTER(INDIRECT(T$112),(INDIRECT($B$112)=$B76)*(INDIRECT($D$112)=$D76)*(INDIRECT($F$112)=$F76),0)),0)</f>
        <v>0</v>
      </c>
      <c r="U76" s="403" cm="1">
        <f t="array" aca="1" ref="U76" ca="1">IFERROR(SUM(_xlfn._xlws.FILTER(INDIRECT(U$112),(INDIRECT($B$112)=$B76)*(INDIRECT($D$112)=$D76)*(INDIRECT($F$112)=$F76),0)),0)</f>
        <v>0</v>
      </c>
      <c r="V76" s="403" cm="1">
        <f t="array" aca="1" ref="V76" ca="1">IFERROR(SUM(_xlfn._xlws.FILTER(INDIRECT(V$112),(INDIRECT($B$112)=$B76)*(INDIRECT($D$112)=$D76)*(INDIRECT($F$112)=$F76),0)),0)</f>
        <v>0</v>
      </c>
      <c r="W76" s="403" cm="1">
        <f t="array" aca="1" ref="W76" ca="1">IFERROR(SUM(_xlfn._xlws.FILTER(INDIRECT(W$112),(INDIRECT($B$112)=$B76)*(INDIRECT($D$112)=$D76)*(INDIRECT($F$112)=$F76),0)),0)</f>
        <v>0</v>
      </c>
      <c r="X76" s="403" cm="1">
        <f t="array" aca="1" ref="X76" ca="1">IFERROR(SUM(_xlfn._xlws.FILTER(INDIRECT(X$112),(INDIRECT($B$112)=$B76)*(INDIRECT($D$112)=$D76)*(INDIRECT($F$112)=$F76),0)),0)</f>
        <v>0</v>
      </c>
      <c r="Y76" s="403" cm="1">
        <f t="array" aca="1" ref="Y76" ca="1">IFERROR(SUM(_xlfn._xlws.FILTER(INDIRECT(Y$112),(INDIRECT($B$112)=$B76)*(INDIRECT($D$112)=$D76)*(INDIRECT($F$112)=$F76),0)),0)</f>
        <v>0</v>
      </c>
      <c r="Z76" s="403" cm="1">
        <f t="array" aca="1" ref="Z76" ca="1">IFERROR(SUM(_xlfn._xlws.FILTER(INDIRECT(Z$112),(INDIRECT($B$112)=$B76)*(INDIRECT($D$112)=$D76)*(INDIRECT($F$112)=$F76),0)),0)</f>
        <v>0</v>
      </c>
      <c r="AA76" s="403" cm="1">
        <f t="array" aca="1" ref="AA76" ca="1">IFERROR(SUM(_xlfn._xlws.FILTER(INDIRECT(AA$112),(INDIRECT($B$112)=$B76)*(INDIRECT($D$112)=$D76)*(INDIRECT($F$112)=$F76),0)),0)</f>
        <v>0</v>
      </c>
      <c r="AB76" s="403" cm="1">
        <f t="array" aca="1" ref="AB76" ca="1">IFERROR(SUM(_xlfn._xlws.FILTER(INDIRECT(AB$112),(INDIRECT($B$112)=$B76)*(INDIRECT($D$112)=$D76)*(INDIRECT($F$112)=$F76),0)),0)</f>
        <v>0</v>
      </c>
      <c r="AC76" s="403" cm="1">
        <f t="array" aca="1" ref="AC76" ca="1">IFERROR(SUM(_xlfn._xlws.FILTER(INDIRECT(AC$112),(INDIRECT($B$112)=$B76)*(INDIRECT($D$112)=$D76)*(INDIRECT($F$112)=$F76),0)),0)</f>
        <v>0</v>
      </c>
      <c r="AD76" s="403" cm="1">
        <f t="array" aca="1" ref="AD76" ca="1">IFERROR(SUM(_xlfn._xlws.FILTER(INDIRECT(AD$112),(INDIRECT($B$112)=$B76)*(INDIRECT($D$112)=$D76)*(INDIRECT($F$112)=$F76),0)),0)</f>
        <v>0</v>
      </c>
      <c r="AE76" s="403" cm="1">
        <f t="array" aca="1" ref="AE76" ca="1">IFERROR(SUM(_xlfn._xlws.FILTER(INDIRECT(AE$112),(INDIRECT($B$112)=$B76)*(INDIRECT($D$112)=$D76)*(INDIRECT($F$112)=$F76),0)),0)</f>
        <v>0</v>
      </c>
      <c r="AF76" s="403" cm="1">
        <f t="array" aca="1" ref="AF76" ca="1">IFERROR(SUM(_xlfn._xlws.FILTER(INDIRECT(AF$112),(INDIRECT($B$112)=$B76)*(INDIRECT($D$112)=$D76)*(INDIRECT($F$112)=$F76),0)),0)</f>
        <v>0</v>
      </c>
      <c r="AG76" s="403" cm="1">
        <f t="array" aca="1" ref="AG76" ca="1">IFERROR(SUM(_xlfn._xlws.FILTER(INDIRECT(AG$112),(INDIRECT($B$112)=$B76)*(INDIRECT($D$112)=$D76)*(INDIRECT($F$112)=$F76),0)),0)</f>
        <v>0</v>
      </c>
      <c r="AH76" s="403" cm="1">
        <f t="array" aca="1" ref="AH76" ca="1">IFERROR(SUM(_xlfn._xlws.FILTER(INDIRECT(AH$112),(INDIRECT($B$112)=$B76)*(INDIRECT($D$112)=$D76)*(INDIRECT($F$112)=$F76),0)),0)</f>
        <v>0</v>
      </c>
      <c r="AI76" s="403" cm="1">
        <f t="array" aca="1" ref="AI76" ca="1">IFERROR(SUM(_xlfn._xlws.FILTER(INDIRECT(AI$112),(INDIRECT($B$112)=$B76)*(INDIRECT($D$112)=$D76)*(INDIRECT($F$112)=$F76),0)),0)</f>
        <v>0</v>
      </c>
      <c r="AJ76" s="403" cm="1">
        <f t="array" aca="1" ref="AJ76" ca="1">IFERROR(SUM(_xlfn._xlws.FILTER(INDIRECT(AJ$112),(INDIRECT($B$112)=$B76)*(INDIRECT($D$112)=$D76)*(INDIRECT($F$112)=$F76),0)),0)</f>
        <v>0</v>
      </c>
      <c r="AK76" s="403" cm="1">
        <f t="array" aca="1" ref="AK76" ca="1">IFERROR(SUM(_xlfn._xlws.FILTER(INDIRECT(AK$112),(INDIRECT($B$112)=$B76)*(INDIRECT($D$112)=$D76)*(INDIRECT($F$112)=$F76),0)),0)</f>
        <v>0</v>
      </c>
      <c r="AL76" s="403" cm="1">
        <f t="array" aca="1" ref="AL76" ca="1">IFERROR(SUM(_xlfn._xlws.FILTER(INDIRECT(AL$112),(INDIRECT($B$112)=$B76)*(INDIRECT($D$112)=$D76)*(INDIRECT($F$112)=$F76),0)),0)</f>
        <v>0</v>
      </c>
      <c r="AM76" s="403" cm="1">
        <f t="array" aca="1" ref="AM76" ca="1">IFERROR(SUM(_xlfn._xlws.FILTER(INDIRECT(AM$112),(INDIRECT($B$112)=$B76)*(INDIRECT($D$112)=$D76)*(INDIRECT($F$112)=$F76),0)),0)</f>
        <v>0</v>
      </c>
      <c r="AN76" s="403" cm="1">
        <f t="array" aca="1" ref="AN76" ca="1">IFERROR(SUM(_xlfn._xlws.FILTER(INDIRECT(AN$112),(INDIRECT($B$112)=$B76)*(INDIRECT($D$112)=$D76)*(INDIRECT($F$112)=$F76),0)),0)</f>
        <v>0</v>
      </c>
      <c r="AO76" s="403" cm="1">
        <f t="array" aca="1" ref="AO76" ca="1">IFERROR(SUM(_xlfn._xlws.FILTER(INDIRECT(AO$112),(INDIRECT($B$112)=$B76)*(INDIRECT($D$112)=$D76)*(INDIRECT($F$112)=$F76),0)),0)</f>
        <v>0</v>
      </c>
      <c r="AP76" s="403" cm="1">
        <f t="array" aca="1" ref="AP76" ca="1">IFERROR(SUM(_xlfn._xlws.FILTER(INDIRECT(AP$112),(INDIRECT($B$112)=$B76)*(INDIRECT($D$112)=$D76)*(INDIRECT($F$112)=$F76),0)),0)</f>
        <v>0</v>
      </c>
      <c r="AQ76" s="403" cm="1">
        <f t="array" aca="1" ref="AQ76" ca="1">IFERROR(SUM(_xlfn._xlws.FILTER(INDIRECT(AQ$112),(INDIRECT($B$112)=$B76)*(INDIRECT($D$112)=$D76)*(INDIRECT($F$112)=$F76),0)),0)</f>
        <v>0</v>
      </c>
      <c r="AR76" s="403" cm="1">
        <f t="array" aca="1" ref="AR76" ca="1">IFERROR(SUM(_xlfn._xlws.FILTER(INDIRECT(AR$112),(INDIRECT($B$112)=$B76)*(INDIRECT($D$112)=$D76)*(INDIRECT($F$112)=$F76),0)),0)</f>
        <v>0</v>
      </c>
      <c r="AS76" s="286" t="str">
        <f t="shared" si="4"/>
        <v>X</v>
      </c>
      <c r="AT76" s="403">
        <f t="shared" ca="1" si="5"/>
        <v>0</v>
      </c>
      <c r="AV76" s="142" cm="1">
        <f t="array" aca="1" ref="AV76" ca="1">IF(AND(_xlfn.LET(_xlpm.x,SUM(ROW()),OR(AND(MATCH("SOT",$A:$A,0)&lt;_xlpm.x,MATCH("EOT",$A:$A,0)&gt;_xlpm.x),AND(MATCH("SOS",$A:$A,0)&lt;_xlpm.x,MATCH("EOS",$A:$A,0)&gt;_xlpm.x),AND(MATCH("SOR",$A:$A,0)&lt;_xlpm.x,MATCH("EOR",$A:$A,0)&gt;_xlpm.x))),INDIRECT("rc"&amp;MATCH("SCD",$1:$1,0),FALSE)="PPTO"),1,0)</f>
        <v>0</v>
      </c>
      <c r="AW76" s="142" cm="1">
        <f t="array" aca="1" ref="AW7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77" spans="1:49" s="153" customFormat="1" outlineLevel="2">
      <c r="A77" s="152"/>
      <c r="B77" s="401"/>
      <c r="C77" s="148"/>
      <c r="D77" s="404"/>
      <c r="E77" s="350"/>
      <c r="F77" s="402"/>
      <c r="G77" s="403" cm="1">
        <f t="array" aca="1" ref="G77" ca="1">IFERROR(SUM(_xlfn._xlws.FILTER(INDIRECT(G$112),(INDIRECT($B$112)=$B77)*(INDIRECT($D$112)=$D77)*(INDIRECT($F$112)=$F77),0)),0)</f>
        <v>0</v>
      </c>
      <c r="H77" s="403" cm="1">
        <f t="array" aca="1" ref="H77" ca="1">IFERROR(SUM(_xlfn._xlws.FILTER(INDIRECT(H$112),(INDIRECT($B$112)=$B77)*(INDIRECT($D$112)=$D77)*(INDIRECT($F$112)=$F77),0)),0)</f>
        <v>0</v>
      </c>
      <c r="I77" s="403" cm="1">
        <f t="array" aca="1" ref="I77" ca="1">IFERROR(SUM(_xlfn._xlws.FILTER(INDIRECT(I$112),(INDIRECT($B$112)=$B77)*(INDIRECT($D$112)=$D77)*(INDIRECT($F$112)=$F77),0)),0)</f>
        <v>0</v>
      </c>
      <c r="J77" s="403" cm="1">
        <f t="array" aca="1" ref="J77" ca="1">IFERROR(SUM(_xlfn._xlws.FILTER(INDIRECT(J$112),(INDIRECT($B$112)=$B77)*(INDIRECT($D$112)=$D77)*(INDIRECT($F$112)=$F77),0)),0)</f>
        <v>0</v>
      </c>
      <c r="K77" s="403" cm="1">
        <f t="array" aca="1" ref="K77" ca="1">IFERROR(SUM(_xlfn._xlws.FILTER(INDIRECT(K$112),(INDIRECT($B$112)=$B77)*(INDIRECT($D$112)=$D77)*(INDIRECT($F$112)=$F77),0)),0)</f>
        <v>0</v>
      </c>
      <c r="L77" s="403" cm="1">
        <f t="array" aca="1" ref="L77" ca="1">IFERROR(SUM(_xlfn._xlws.FILTER(INDIRECT(L$112),(INDIRECT($B$112)=$B77)*(INDIRECT($D$112)=$D77)*(INDIRECT($F$112)=$F77),0)),0)</f>
        <v>0</v>
      </c>
      <c r="M77" s="403" cm="1">
        <f t="array" aca="1" ref="M77" ca="1">IFERROR(SUM(_xlfn._xlws.FILTER(INDIRECT(M$112),(INDIRECT($B$112)=$B77)*(INDIRECT($D$112)=$D77)*(INDIRECT($F$112)=$F77),0)),0)</f>
        <v>0</v>
      </c>
      <c r="N77" s="403" cm="1">
        <f t="array" aca="1" ref="N77" ca="1">IFERROR(SUM(_xlfn._xlws.FILTER(INDIRECT(N$112),(INDIRECT($B$112)=$B77)*(INDIRECT($D$112)=$D77)*(INDIRECT($F$112)=$F77),0)),0)</f>
        <v>0</v>
      </c>
      <c r="O77" s="403" cm="1">
        <f t="array" aca="1" ref="O77" ca="1">IFERROR(SUM(_xlfn._xlws.FILTER(INDIRECT(O$112),(INDIRECT($B$112)=$B77)*(INDIRECT($D$112)=$D77)*(INDIRECT($F$112)=$F77),0)),0)</f>
        <v>0</v>
      </c>
      <c r="P77" s="403" cm="1">
        <f t="array" aca="1" ref="P77" ca="1">IFERROR(SUM(_xlfn._xlws.FILTER(INDIRECT(P$112),(INDIRECT($B$112)=$B77)*(INDIRECT($D$112)=$D77)*(INDIRECT($F$112)=$F77),0)),0)</f>
        <v>0</v>
      </c>
      <c r="Q77" s="403" cm="1">
        <f t="array" aca="1" ref="Q77" ca="1">IFERROR(SUM(_xlfn._xlws.FILTER(INDIRECT(Q$112),(INDIRECT($B$112)=$B77)*(INDIRECT($D$112)=$D77)*(INDIRECT($F$112)=$F77),0)),0)</f>
        <v>0</v>
      </c>
      <c r="R77" s="403" cm="1">
        <f t="array" aca="1" ref="R77" ca="1">IFERROR(SUM(_xlfn._xlws.FILTER(INDIRECT(R$112),(INDIRECT($B$112)=$B77)*(INDIRECT($D$112)=$D77)*(INDIRECT($F$112)=$F77),0)),0)</f>
        <v>0</v>
      </c>
      <c r="S77" s="403" cm="1">
        <f t="array" aca="1" ref="S77" ca="1">IFERROR(SUM(_xlfn._xlws.FILTER(INDIRECT(S$112),(INDIRECT($B$112)=$B77)*(INDIRECT($D$112)=$D77)*(INDIRECT($F$112)=$F77),0)),0)</f>
        <v>0</v>
      </c>
      <c r="T77" s="403" cm="1">
        <f t="array" aca="1" ref="T77" ca="1">IFERROR(SUM(_xlfn._xlws.FILTER(INDIRECT(T$112),(INDIRECT($B$112)=$B77)*(INDIRECT($D$112)=$D77)*(INDIRECT($F$112)=$F77),0)),0)</f>
        <v>0</v>
      </c>
      <c r="U77" s="403" cm="1">
        <f t="array" aca="1" ref="U77" ca="1">IFERROR(SUM(_xlfn._xlws.FILTER(INDIRECT(U$112),(INDIRECT($B$112)=$B77)*(INDIRECT($D$112)=$D77)*(INDIRECT($F$112)=$F77),0)),0)</f>
        <v>0</v>
      </c>
      <c r="V77" s="403" cm="1">
        <f t="array" aca="1" ref="V77" ca="1">IFERROR(SUM(_xlfn._xlws.FILTER(INDIRECT(V$112),(INDIRECT($B$112)=$B77)*(INDIRECT($D$112)=$D77)*(INDIRECT($F$112)=$F77),0)),0)</f>
        <v>0</v>
      </c>
      <c r="W77" s="403" cm="1">
        <f t="array" aca="1" ref="W77" ca="1">IFERROR(SUM(_xlfn._xlws.FILTER(INDIRECT(W$112),(INDIRECT($B$112)=$B77)*(INDIRECT($D$112)=$D77)*(INDIRECT($F$112)=$F77),0)),0)</f>
        <v>0</v>
      </c>
      <c r="X77" s="403" cm="1">
        <f t="array" aca="1" ref="X77" ca="1">IFERROR(SUM(_xlfn._xlws.FILTER(INDIRECT(X$112),(INDIRECT($B$112)=$B77)*(INDIRECT($D$112)=$D77)*(INDIRECT($F$112)=$F77),0)),0)</f>
        <v>0</v>
      </c>
      <c r="Y77" s="403" cm="1">
        <f t="array" aca="1" ref="Y77" ca="1">IFERROR(SUM(_xlfn._xlws.FILTER(INDIRECT(Y$112),(INDIRECT($B$112)=$B77)*(INDIRECT($D$112)=$D77)*(INDIRECT($F$112)=$F77),0)),0)</f>
        <v>0</v>
      </c>
      <c r="Z77" s="403" cm="1">
        <f t="array" aca="1" ref="Z77" ca="1">IFERROR(SUM(_xlfn._xlws.FILTER(INDIRECT(Z$112),(INDIRECT($B$112)=$B77)*(INDIRECT($D$112)=$D77)*(INDIRECT($F$112)=$F77),0)),0)</f>
        <v>0</v>
      </c>
      <c r="AA77" s="403" cm="1">
        <f t="array" aca="1" ref="AA77" ca="1">IFERROR(SUM(_xlfn._xlws.FILTER(INDIRECT(AA$112),(INDIRECT($B$112)=$B77)*(INDIRECT($D$112)=$D77)*(INDIRECT($F$112)=$F77),0)),0)</f>
        <v>0</v>
      </c>
      <c r="AB77" s="403" cm="1">
        <f t="array" aca="1" ref="AB77" ca="1">IFERROR(SUM(_xlfn._xlws.FILTER(INDIRECT(AB$112),(INDIRECT($B$112)=$B77)*(INDIRECT($D$112)=$D77)*(INDIRECT($F$112)=$F77),0)),0)</f>
        <v>0</v>
      </c>
      <c r="AC77" s="403" cm="1">
        <f t="array" aca="1" ref="AC77" ca="1">IFERROR(SUM(_xlfn._xlws.FILTER(INDIRECT(AC$112),(INDIRECT($B$112)=$B77)*(INDIRECT($D$112)=$D77)*(INDIRECT($F$112)=$F77),0)),0)</f>
        <v>0</v>
      </c>
      <c r="AD77" s="403" cm="1">
        <f t="array" aca="1" ref="AD77" ca="1">IFERROR(SUM(_xlfn._xlws.FILTER(INDIRECT(AD$112),(INDIRECT($B$112)=$B77)*(INDIRECT($D$112)=$D77)*(INDIRECT($F$112)=$F77),0)),0)</f>
        <v>0</v>
      </c>
      <c r="AE77" s="403" cm="1">
        <f t="array" aca="1" ref="AE77" ca="1">IFERROR(SUM(_xlfn._xlws.FILTER(INDIRECT(AE$112),(INDIRECT($B$112)=$B77)*(INDIRECT($D$112)=$D77)*(INDIRECT($F$112)=$F77),0)),0)</f>
        <v>0</v>
      </c>
      <c r="AF77" s="403" cm="1">
        <f t="array" aca="1" ref="AF77" ca="1">IFERROR(SUM(_xlfn._xlws.FILTER(INDIRECT(AF$112),(INDIRECT($B$112)=$B77)*(INDIRECT($D$112)=$D77)*(INDIRECT($F$112)=$F77),0)),0)</f>
        <v>0</v>
      </c>
      <c r="AG77" s="403" cm="1">
        <f t="array" aca="1" ref="AG77" ca="1">IFERROR(SUM(_xlfn._xlws.FILTER(INDIRECT(AG$112),(INDIRECT($B$112)=$B77)*(INDIRECT($D$112)=$D77)*(INDIRECT($F$112)=$F77),0)),0)</f>
        <v>0</v>
      </c>
      <c r="AH77" s="403" cm="1">
        <f t="array" aca="1" ref="AH77" ca="1">IFERROR(SUM(_xlfn._xlws.FILTER(INDIRECT(AH$112),(INDIRECT($B$112)=$B77)*(INDIRECT($D$112)=$D77)*(INDIRECT($F$112)=$F77),0)),0)</f>
        <v>0</v>
      </c>
      <c r="AI77" s="403" cm="1">
        <f t="array" aca="1" ref="AI77" ca="1">IFERROR(SUM(_xlfn._xlws.FILTER(INDIRECT(AI$112),(INDIRECT($B$112)=$B77)*(INDIRECT($D$112)=$D77)*(INDIRECT($F$112)=$F77),0)),0)</f>
        <v>0</v>
      </c>
      <c r="AJ77" s="403" cm="1">
        <f t="array" aca="1" ref="AJ77" ca="1">IFERROR(SUM(_xlfn._xlws.FILTER(INDIRECT(AJ$112),(INDIRECT($B$112)=$B77)*(INDIRECT($D$112)=$D77)*(INDIRECT($F$112)=$F77),0)),0)</f>
        <v>0</v>
      </c>
      <c r="AK77" s="403" cm="1">
        <f t="array" aca="1" ref="AK77" ca="1">IFERROR(SUM(_xlfn._xlws.FILTER(INDIRECT(AK$112),(INDIRECT($B$112)=$B77)*(INDIRECT($D$112)=$D77)*(INDIRECT($F$112)=$F77),0)),0)</f>
        <v>0</v>
      </c>
      <c r="AL77" s="403" cm="1">
        <f t="array" aca="1" ref="AL77" ca="1">IFERROR(SUM(_xlfn._xlws.FILTER(INDIRECT(AL$112),(INDIRECT($B$112)=$B77)*(INDIRECT($D$112)=$D77)*(INDIRECT($F$112)=$F77),0)),0)</f>
        <v>0</v>
      </c>
      <c r="AM77" s="403" cm="1">
        <f t="array" aca="1" ref="AM77" ca="1">IFERROR(SUM(_xlfn._xlws.FILTER(INDIRECT(AM$112),(INDIRECT($B$112)=$B77)*(INDIRECT($D$112)=$D77)*(INDIRECT($F$112)=$F77),0)),0)</f>
        <v>0</v>
      </c>
      <c r="AN77" s="403" cm="1">
        <f t="array" aca="1" ref="AN77" ca="1">IFERROR(SUM(_xlfn._xlws.FILTER(INDIRECT(AN$112),(INDIRECT($B$112)=$B77)*(INDIRECT($D$112)=$D77)*(INDIRECT($F$112)=$F77),0)),0)</f>
        <v>0</v>
      </c>
      <c r="AO77" s="403" cm="1">
        <f t="array" aca="1" ref="AO77" ca="1">IFERROR(SUM(_xlfn._xlws.FILTER(INDIRECT(AO$112),(INDIRECT($B$112)=$B77)*(INDIRECT($D$112)=$D77)*(INDIRECT($F$112)=$F77),0)),0)</f>
        <v>0</v>
      </c>
      <c r="AP77" s="403" cm="1">
        <f t="array" aca="1" ref="AP77" ca="1">IFERROR(SUM(_xlfn._xlws.FILTER(INDIRECT(AP$112),(INDIRECT($B$112)=$B77)*(INDIRECT($D$112)=$D77)*(INDIRECT($F$112)=$F77),0)),0)</f>
        <v>0</v>
      </c>
      <c r="AQ77" s="403" cm="1">
        <f t="array" aca="1" ref="AQ77" ca="1">IFERROR(SUM(_xlfn._xlws.FILTER(INDIRECT(AQ$112),(INDIRECT($B$112)=$B77)*(INDIRECT($D$112)=$D77)*(INDIRECT($F$112)=$F77),0)),0)</f>
        <v>0</v>
      </c>
      <c r="AR77" s="403" cm="1">
        <f t="array" aca="1" ref="AR77" ca="1">IFERROR(SUM(_xlfn._xlws.FILTER(INDIRECT(AR$112),(INDIRECT($B$112)=$B77)*(INDIRECT($D$112)=$D77)*(INDIRECT($F$112)=$F77),0)),0)</f>
        <v>0</v>
      </c>
      <c r="AS77" s="286" t="str">
        <f t="shared" si="4"/>
        <v>X</v>
      </c>
      <c r="AT77" s="403">
        <f t="shared" ca="1" si="5"/>
        <v>0</v>
      </c>
      <c r="AV77" s="142" cm="1">
        <f t="array" aca="1" ref="AV77" ca="1">IF(AND(_xlfn.LET(_xlpm.x,SUM(ROW()),OR(AND(MATCH("SOT",$A:$A,0)&lt;_xlpm.x,MATCH("EOT",$A:$A,0)&gt;_xlpm.x),AND(MATCH("SOS",$A:$A,0)&lt;_xlpm.x,MATCH("EOS",$A:$A,0)&gt;_xlpm.x),AND(MATCH("SOR",$A:$A,0)&lt;_xlpm.x,MATCH("EOR",$A:$A,0)&gt;_xlpm.x))),INDIRECT("rc"&amp;MATCH("SCD",$1:$1,0),FALSE)="PPTO"),1,0)</f>
        <v>0</v>
      </c>
      <c r="AW77" s="142" cm="1">
        <f t="array" aca="1" ref="AW7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78" spans="1:49" s="153" customFormat="1" outlineLevel="2">
      <c r="A78" s="152"/>
      <c r="B78" s="401"/>
      <c r="C78" s="148"/>
      <c r="D78" s="404"/>
      <c r="E78" s="350"/>
      <c r="F78" s="402"/>
      <c r="G78" s="403" cm="1">
        <f t="array" aca="1" ref="G78" ca="1">IFERROR(SUM(_xlfn._xlws.FILTER(INDIRECT(G$112),(INDIRECT($B$112)=$B78)*(INDIRECT($D$112)=$D78)*(INDIRECT($F$112)=$F78),0)),0)</f>
        <v>0</v>
      </c>
      <c r="H78" s="403" cm="1">
        <f t="array" aca="1" ref="H78" ca="1">IFERROR(SUM(_xlfn._xlws.FILTER(INDIRECT(H$112),(INDIRECT($B$112)=$B78)*(INDIRECT($D$112)=$D78)*(INDIRECT($F$112)=$F78),0)),0)</f>
        <v>0</v>
      </c>
      <c r="I78" s="403" cm="1">
        <f t="array" aca="1" ref="I78" ca="1">IFERROR(SUM(_xlfn._xlws.FILTER(INDIRECT(I$112),(INDIRECT($B$112)=$B78)*(INDIRECT($D$112)=$D78)*(INDIRECT($F$112)=$F78),0)),0)</f>
        <v>0</v>
      </c>
      <c r="J78" s="403" cm="1">
        <f t="array" aca="1" ref="J78" ca="1">IFERROR(SUM(_xlfn._xlws.FILTER(INDIRECT(J$112),(INDIRECT($B$112)=$B78)*(INDIRECT($D$112)=$D78)*(INDIRECT($F$112)=$F78),0)),0)</f>
        <v>0</v>
      </c>
      <c r="K78" s="403" cm="1">
        <f t="array" aca="1" ref="K78" ca="1">IFERROR(SUM(_xlfn._xlws.FILTER(INDIRECT(K$112),(INDIRECT($B$112)=$B78)*(INDIRECT($D$112)=$D78)*(INDIRECT($F$112)=$F78),0)),0)</f>
        <v>0</v>
      </c>
      <c r="L78" s="403" cm="1">
        <f t="array" aca="1" ref="L78" ca="1">IFERROR(SUM(_xlfn._xlws.FILTER(INDIRECT(L$112),(INDIRECT($B$112)=$B78)*(INDIRECT($D$112)=$D78)*(INDIRECT($F$112)=$F78),0)),0)</f>
        <v>0</v>
      </c>
      <c r="M78" s="403" cm="1">
        <f t="array" aca="1" ref="M78" ca="1">IFERROR(SUM(_xlfn._xlws.FILTER(INDIRECT(M$112),(INDIRECT($B$112)=$B78)*(INDIRECT($D$112)=$D78)*(INDIRECT($F$112)=$F78),0)),0)</f>
        <v>0</v>
      </c>
      <c r="N78" s="403" cm="1">
        <f t="array" aca="1" ref="N78" ca="1">IFERROR(SUM(_xlfn._xlws.FILTER(INDIRECT(N$112),(INDIRECT($B$112)=$B78)*(INDIRECT($D$112)=$D78)*(INDIRECT($F$112)=$F78),0)),0)</f>
        <v>0</v>
      </c>
      <c r="O78" s="403" cm="1">
        <f t="array" aca="1" ref="O78" ca="1">IFERROR(SUM(_xlfn._xlws.FILTER(INDIRECT(O$112),(INDIRECT($B$112)=$B78)*(INDIRECT($D$112)=$D78)*(INDIRECT($F$112)=$F78),0)),0)</f>
        <v>0</v>
      </c>
      <c r="P78" s="403" cm="1">
        <f t="array" aca="1" ref="P78" ca="1">IFERROR(SUM(_xlfn._xlws.FILTER(INDIRECT(P$112),(INDIRECT($B$112)=$B78)*(INDIRECT($D$112)=$D78)*(INDIRECT($F$112)=$F78),0)),0)</f>
        <v>0</v>
      </c>
      <c r="Q78" s="403" cm="1">
        <f t="array" aca="1" ref="Q78" ca="1">IFERROR(SUM(_xlfn._xlws.FILTER(INDIRECT(Q$112),(INDIRECT($B$112)=$B78)*(INDIRECT($D$112)=$D78)*(INDIRECT($F$112)=$F78),0)),0)</f>
        <v>0</v>
      </c>
      <c r="R78" s="403" cm="1">
        <f t="array" aca="1" ref="R78" ca="1">IFERROR(SUM(_xlfn._xlws.FILTER(INDIRECT(R$112),(INDIRECT($B$112)=$B78)*(INDIRECT($D$112)=$D78)*(INDIRECT($F$112)=$F78),0)),0)</f>
        <v>0</v>
      </c>
      <c r="S78" s="403" cm="1">
        <f t="array" aca="1" ref="S78" ca="1">IFERROR(SUM(_xlfn._xlws.FILTER(INDIRECT(S$112),(INDIRECT($B$112)=$B78)*(INDIRECT($D$112)=$D78)*(INDIRECT($F$112)=$F78),0)),0)</f>
        <v>0</v>
      </c>
      <c r="T78" s="403" cm="1">
        <f t="array" aca="1" ref="T78" ca="1">IFERROR(SUM(_xlfn._xlws.FILTER(INDIRECT(T$112),(INDIRECT($B$112)=$B78)*(INDIRECT($D$112)=$D78)*(INDIRECT($F$112)=$F78),0)),0)</f>
        <v>0</v>
      </c>
      <c r="U78" s="403" cm="1">
        <f t="array" aca="1" ref="U78" ca="1">IFERROR(SUM(_xlfn._xlws.FILTER(INDIRECT(U$112),(INDIRECT($B$112)=$B78)*(INDIRECT($D$112)=$D78)*(INDIRECT($F$112)=$F78),0)),0)</f>
        <v>0</v>
      </c>
      <c r="V78" s="403" cm="1">
        <f t="array" aca="1" ref="V78" ca="1">IFERROR(SUM(_xlfn._xlws.FILTER(INDIRECT(V$112),(INDIRECT($B$112)=$B78)*(INDIRECT($D$112)=$D78)*(INDIRECT($F$112)=$F78),0)),0)</f>
        <v>0</v>
      </c>
      <c r="W78" s="403" cm="1">
        <f t="array" aca="1" ref="W78" ca="1">IFERROR(SUM(_xlfn._xlws.FILTER(INDIRECT(W$112),(INDIRECT($B$112)=$B78)*(INDIRECT($D$112)=$D78)*(INDIRECT($F$112)=$F78),0)),0)</f>
        <v>0</v>
      </c>
      <c r="X78" s="403" cm="1">
        <f t="array" aca="1" ref="X78" ca="1">IFERROR(SUM(_xlfn._xlws.FILTER(INDIRECT(X$112),(INDIRECT($B$112)=$B78)*(INDIRECT($D$112)=$D78)*(INDIRECT($F$112)=$F78),0)),0)</f>
        <v>0</v>
      </c>
      <c r="Y78" s="403" cm="1">
        <f t="array" aca="1" ref="Y78" ca="1">IFERROR(SUM(_xlfn._xlws.FILTER(INDIRECT(Y$112),(INDIRECT($B$112)=$B78)*(INDIRECT($D$112)=$D78)*(INDIRECT($F$112)=$F78),0)),0)</f>
        <v>0</v>
      </c>
      <c r="Z78" s="403" cm="1">
        <f t="array" aca="1" ref="Z78" ca="1">IFERROR(SUM(_xlfn._xlws.FILTER(INDIRECT(Z$112),(INDIRECT($B$112)=$B78)*(INDIRECT($D$112)=$D78)*(INDIRECT($F$112)=$F78),0)),0)</f>
        <v>0</v>
      </c>
      <c r="AA78" s="403" cm="1">
        <f t="array" aca="1" ref="AA78" ca="1">IFERROR(SUM(_xlfn._xlws.FILTER(INDIRECT(AA$112),(INDIRECT($B$112)=$B78)*(INDIRECT($D$112)=$D78)*(INDIRECT($F$112)=$F78),0)),0)</f>
        <v>0</v>
      </c>
      <c r="AB78" s="403" cm="1">
        <f t="array" aca="1" ref="AB78" ca="1">IFERROR(SUM(_xlfn._xlws.FILTER(INDIRECT(AB$112),(INDIRECT($B$112)=$B78)*(INDIRECT($D$112)=$D78)*(INDIRECT($F$112)=$F78),0)),0)</f>
        <v>0</v>
      </c>
      <c r="AC78" s="403" cm="1">
        <f t="array" aca="1" ref="AC78" ca="1">IFERROR(SUM(_xlfn._xlws.FILTER(INDIRECT(AC$112),(INDIRECT($B$112)=$B78)*(INDIRECT($D$112)=$D78)*(INDIRECT($F$112)=$F78),0)),0)</f>
        <v>0</v>
      </c>
      <c r="AD78" s="403" cm="1">
        <f t="array" aca="1" ref="AD78" ca="1">IFERROR(SUM(_xlfn._xlws.FILTER(INDIRECT(AD$112),(INDIRECT($B$112)=$B78)*(INDIRECT($D$112)=$D78)*(INDIRECT($F$112)=$F78),0)),0)</f>
        <v>0</v>
      </c>
      <c r="AE78" s="403" cm="1">
        <f t="array" aca="1" ref="AE78" ca="1">IFERROR(SUM(_xlfn._xlws.FILTER(INDIRECT(AE$112),(INDIRECT($B$112)=$B78)*(INDIRECT($D$112)=$D78)*(INDIRECT($F$112)=$F78),0)),0)</f>
        <v>0</v>
      </c>
      <c r="AF78" s="403" cm="1">
        <f t="array" aca="1" ref="AF78" ca="1">IFERROR(SUM(_xlfn._xlws.FILTER(INDIRECT(AF$112),(INDIRECT($B$112)=$B78)*(INDIRECT($D$112)=$D78)*(INDIRECT($F$112)=$F78),0)),0)</f>
        <v>0</v>
      </c>
      <c r="AG78" s="403" cm="1">
        <f t="array" aca="1" ref="AG78" ca="1">IFERROR(SUM(_xlfn._xlws.FILTER(INDIRECT(AG$112),(INDIRECT($B$112)=$B78)*(INDIRECT($D$112)=$D78)*(INDIRECT($F$112)=$F78),0)),0)</f>
        <v>0</v>
      </c>
      <c r="AH78" s="403" cm="1">
        <f t="array" aca="1" ref="AH78" ca="1">IFERROR(SUM(_xlfn._xlws.FILTER(INDIRECT(AH$112),(INDIRECT($B$112)=$B78)*(INDIRECT($D$112)=$D78)*(INDIRECT($F$112)=$F78),0)),0)</f>
        <v>0</v>
      </c>
      <c r="AI78" s="403" cm="1">
        <f t="array" aca="1" ref="AI78" ca="1">IFERROR(SUM(_xlfn._xlws.FILTER(INDIRECT(AI$112),(INDIRECT($B$112)=$B78)*(INDIRECT($D$112)=$D78)*(INDIRECT($F$112)=$F78),0)),0)</f>
        <v>0</v>
      </c>
      <c r="AJ78" s="403" cm="1">
        <f t="array" aca="1" ref="AJ78" ca="1">IFERROR(SUM(_xlfn._xlws.FILTER(INDIRECT(AJ$112),(INDIRECT($B$112)=$B78)*(INDIRECT($D$112)=$D78)*(INDIRECT($F$112)=$F78),0)),0)</f>
        <v>0</v>
      </c>
      <c r="AK78" s="403" cm="1">
        <f t="array" aca="1" ref="AK78" ca="1">IFERROR(SUM(_xlfn._xlws.FILTER(INDIRECT(AK$112),(INDIRECT($B$112)=$B78)*(INDIRECT($D$112)=$D78)*(INDIRECT($F$112)=$F78),0)),0)</f>
        <v>0</v>
      </c>
      <c r="AL78" s="403" cm="1">
        <f t="array" aca="1" ref="AL78" ca="1">IFERROR(SUM(_xlfn._xlws.FILTER(INDIRECT(AL$112),(INDIRECT($B$112)=$B78)*(INDIRECT($D$112)=$D78)*(INDIRECT($F$112)=$F78),0)),0)</f>
        <v>0</v>
      </c>
      <c r="AM78" s="403" cm="1">
        <f t="array" aca="1" ref="AM78" ca="1">IFERROR(SUM(_xlfn._xlws.FILTER(INDIRECT(AM$112),(INDIRECT($B$112)=$B78)*(INDIRECT($D$112)=$D78)*(INDIRECT($F$112)=$F78),0)),0)</f>
        <v>0</v>
      </c>
      <c r="AN78" s="403" cm="1">
        <f t="array" aca="1" ref="AN78" ca="1">IFERROR(SUM(_xlfn._xlws.FILTER(INDIRECT(AN$112),(INDIRECT($B$112)=$B78)*(INDIRECT($D$112)=$D78)*(INDIRECT($F$112)=$F78),0)),0)</f>
        <v>0</v>
      </c>
      <c r="AO78" s="403" cm="1">
        <f t="array" aca="1" ref="AO78" ca="1">IFERROR(SUM(_xlfn._xlws.FILTER(INDIRECT(AO$112),(INDIRECT($B$112)=$B78)*(INDIRECT($D$112)=$D78)*(INDIRECT($F$112)=$F78),0)),0)</f>
        <v>0</v>
      </c>
      <c r="AP78" s="403" cm="1">
        <f t="array" aca="1" ref="AP78" ca="1">IFERROR(SUM(_xlfn._xlws.FILTER(INDIRECT(AP$112),(INDIRECT($B$112)=$B78)*(INDIRECT($D$112)=$D78)*(INDIRECT($F$112)=$F78),0)),0)</f>
        <v>0</v>
      </c>
      <c r="AQ78" s="403" cm="1">
        <f t="array" aca="1" ref="AQ78" ca="1">IFERROR(SUM(_xlfn._xlws.FILTER(INDIRECT(AQ$112),(INDIRECT($B$112)=$B78)*(INDIRECT($D$112)=$D78)*(INDIRECT($F$112)=$F78),0)),0)</f>
        <v>0</v>
      </c>
      <c r="AR78" s="403" cm="1">
        <f t="array" aca="1" ref="AR78" ca="1">IFERROR(SUM(_xlfn._xlws.FILTER(INDIRECT(AR$112),(INDIRECT($B$112)=$B78)*(INDIRECT($D$112)=$D78)*(INDIRECT($F$112)=$F78),0)),0)</f>
        <v>0</v>
      </c>
      <c r="AS78" s="286" t="str">
        <f t="shared" si="4"/>
        <v>X</v>
      </c>
      <c r="AT78" s="403">
        <f t="shared" ca="1" si="5"/>
        <v>0</v>
      </c>
      <c r="AV78" s="142" cm="1">
        <f t="array" aca="1" ref="AV78" ca="1">IF(AND(_xlfn.LET(_xlpm.x,SUM(ROW()),OR(AND(MATCH("SOT",$A:$A,0)&lt;_xlpm.x,MATCH("EOT",$A:$A,0)&gt;_xlpm.x),AND(MATCH("SOS",$A:$A,0)&lt;_xlpm.x,MATCH("EOS",$A:$A,0)&gt;_xlpm.x),AND(MATCH("SOR",$A:$A,0)&lt;_xlpm.x,MATCH("EOR",$A:$A,0)&gt;_xlpm.x))),INDIRECT("rc"&amp;MATCH("SCD",$1:$1,0),FALSE)="PPTO"),1,0)</f>
        <v>0</v>
      </c>
      <c r="AW78" s="142" cm="1">
        <f t="array" aca="1" ref="AW7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79" spans="1:49" s="153" customFormat="1" outlineLevel="2">
      <c r="A79" s="152"/>
      <c r="B79" s="401"/>
      <c r="C79" s="148"/>
      <c r="D79" s="404"/>
      <c r="E79" s="350"/>
      <c r="F79" s="402"/>
      <c r="G79" s="403" cm="1">
        <f t="array" aca="1" ref="G79" ca="1">IFERROR(SUM(_xlfn._xlws.FILTER(INDIRECT(G$112),(INDIRECT($B$112)=$B79)*(INDIRECT($D$112)=$D79)*(INDIRECT($F$112)=$F79),0)),0)</f>
        <v>0</v>
      </c>
      <c r="H79" s="403" cm="1">
        <f t="array" aca="1" ref="H79" ca="1">IFERROR(SUM(_xlfn._xlws.FILTER(INDIRECT(H$112),(INDIRECT($B$112)=$B79)*(INDIRECT($D$112)=$D79)*(INDIRECT($F$112)=$F79),0)),0)</f>
        <v>0</v>
      </c>
      <c r="I79" s="403" cm="1">
        <f t="array" aca="1" ref="I79" ca="1">IFERROR(SUM(_xlfn._xlws.FILTER(INDIRECT(I$112),(INDIRECT($B$112)=$B79)*(INDIRECT($D$112)=$D79)*(INDIRECT($F$112)=$F79),0)),0)</f>
        <v>0</v>
      </c>
      <c r="J79" s="403" cm="1">
        <f t="array" aca="1" ref="J79" ca="1">IFERROR(SUM(_xlfn._xlws.FILTER(INDIRECT(J$112),(INDIRECT($B$112)=$B79)*(INDIRECT($D$112)=$D79)*(INDIRECT($F$112)=$F79),0)),0)</f>
        <v>0</v>
      </c>
      <c r="K79" s="403" cm="1">
        <f t="array" aca="1" ref="K79" ca="1">IFERROR(SUM(_xlfn._xlws.FILTER(INDIRECT(K$112),(INDIRECT($B$112)=$B79)*(INDIRECT($D$112)=$D79)*(INDIRECT($F$112)=$F79),0)),0)</f>
        <v>0</v>
      </c>
      <c r="L79" s="403" cm="1">
        <f t="array" aca="1" ref="L79" ca="1">IFERROR(SUM(_xlfn._xlws.FILTER(INDIRECT(L$112),(INDIRECT($B$112)=$B79)*(INDIRECT($D$112)=$D79)*(INDIRECT($F$112)=$F79),0)),0)</f>
        <v>0</v>
      </c>
      <c r="M79" s="403" cm="1">
        <f t="array" aca="1" ref="M79" ca="1">IFERROR(SUM(_xlfn._xlws.FILTER(INDIRECT(M$112),(INDIRECT($B$112)=$B79)*(INDIRECT($D$112)=$D79)*(INDIRECT($F$112)=$F79),0)),0)</f>
        <v>0</v>
      </c>
      <c r="N79" s="403" cm="1">
        <f t="array" aca="1" ref="N79" ca="1">IFERROR(SUM(_xlfn._xlws.FILTER(INDIRECT(N$112),(INDIRECT($B$112)=$B79)*(INDIRECT($D$112)=$D79)*(INDIRECT($F$112)=$F79),0)),0)</f>
        <v>0</v>
      </c>
      <c r="O79" s="403" cm="1">
        <f t="array" aca="1" ref="O79" ca="1">IFERROR(SUM(_xlfn._xlws.FILTER(INDIRECT(O$112),(INDIRECT($B$112)=$B79)*(INDIRECT($D$112)=$D79)*(INDIRECT($F$112)=$F79),0)),0)</f>
        <v>0</v>
      </c>
      <c r="P79" s="403" cm="1">
        <f t="array" aca="1" ref="P79" ca="1">IFERROR(SUM(_xlfn._xlws.FILTER(INDIRECT(P$112),(INDIRECT($B$112)=$B79)*(INDIRECT($D$112)=$D79)*(INDIRECT($F$112)=$F79),0)),0)</f>
        <v>0</v>
      </c>
      <c r="Q79" s="403" cm="1">
        <f t="array" aca="1" ref="Q79" ca="1">IFERROR(SUM(_xlfn._xlws.FILTER(INDIRECT(Q$112),(INDIRECT($B$112)=$B79)*(INDIRECT($D$112)=$D79)*(INDIRECT($F$112)=$F79),0)),0)</f>
        <v>0</v>
      </c>
      <c r="R79" s="403" cm="1">
        <f t="array" aca="1" ref="R79" ca="1">IFERROR(SUM(_xlfn._xlws.FILTER(INDIRECT(R$112),(INDIRECT($B$112)=$B79)*(INDIRECT($D$112)=$D79)*(INDIRECT($F$112)=$F79),0)),0)</f>
        <v>0</v>
      </c>
      <c r="S79" s="403" cm="1">
        <f t="array" aca="1" ref="S79" ca="1">IFERROR(SUM(_xlfn._xlws.FILTER(INDIRECT(S$112),(INDIRECT($B$112)=$B79)*(INDIRECT($D$112)=$D79)*(INDIRECT($F$112)=$F79),0)),0)</f>
        <v>0</v>
      </c>
      <c r="T79" s="403" cm="1">
        <f t="array" aca="1" ref="T79" ca="1">IFERROR(SUM(_xlfn._xlws.FILTER(INDIRECT(T$112),(INDIRECT($B$112)=$B79)*(INDIRECT($D$112)=$D79)*(INDIRECT($F$112)=$F79),0)),0)</f>
        <v>0</v>
      </c>
      <c r="U79" s="403" cm="1">
        <f t="array" aca="1" ref="U79" ca="1">IFERROR(SUM(_xlfn._xlws.FILTER(INDIRECT(U$112),(INDIRECT($B$112)=$B79)*(INDIRECT($D$112)=$D79)*(INDIRECT($F$112)=$F79),0)),0)</f>
        <v>0</v>
      </c>
      <c r="V79" s="403" cm="1">
        <f t="array" aca="1" ref="V79" ca="1">IFERROR(SUM(_xlfn._xlws.FILTER(INDIRECT(V$112),(INDIRECT($B$112)=$B79)*(INDIRECT($D$112)=$D79)*(INDIRECT($F$112)=$F79),0)),0)</f>
        <v>0</v>
      </c>
      <c r="W79" s="403" cm="1">
        <f t="array" aca="1" ref="W79" ca="1">IFERROR(SUM(_xlfn._xlws.FILTER(INDIRECT(W$112),(INDIRECT($B$112)=$B79)*(INDIRECT($D$112)=$D79)*(INDIRECT($F$112)=$F79),0)),0)</f>
        <v>0</v>
      </c>
      <c r="X79" s="403" cm="1">
        <f t="array" aca="1" ref="X79" ca="1">IFERROR(SUM(_xlfn._xlws.FILTER(INDIRECT(X$112),(INDIRECT($B$112)=$B79)*(INDIRECT($D$112)=$D79)*(INDIRECT($F$112)=$F79),0)),0)</f>
        <v>0</v>
      </c>
      <c r="Y79" s="403" cm="1">
        <f t="array" aca="1" ref="Y79" ca="1">IFERROR(SUM(_xlfn._xlws.FILTER(INDIRECT(Y$112),(INDIRECT($B$112)=$B79)*(INDIRECT($D$112)=$D79)*(INDIRECT($F$112)=$F79),0)),0)</f>
        <v>0</v>
      </c>
      <c r="Z79" s="403" cm="1">
        <f t="array" aca="1" ref="Z79" ca="1">IFERROR(SUM(_xlfn._xlws.FILTER(INDIRECT(Z$112),(INDIRECT($B$112)=$B79)*(INDIRECT($D$112)=$D79)*(INDIRECT($F$112)=$F79),0)),0)</f>
        <v>0</v>
      </c>
      <c r="AA79" s="403" cm="1">
        <f t="array" aca="1" ref="AA79" ca="1">IFERROR(SUM(_xlfn._xlws.FILTER(INDIRECT(AA$112),(INDIRECT($B$112)=$B79)*(INDIRECT($D$112)=$D79)*(INDIRECT($F$112)=$F79),0)),0)</f>
        <v>0</v>
      </c>
      <c r="AB79" s="403" cm="1">
        <f t="array" aca="1" ref="AB79" ca="1">IFERROR(SUM(_xlfn._xlws.FILTER(INDIRECT(AB$112),(INDIRECT($B$112)=$B79)*(INDIRECT($D$112)=$D79)*(INDIRECT($F$112)=$F79),0)),0)</f>
        <v>0</v>
      </c>
      <c r="AC79" s="403" cm="1">
        <f t="array" aca="1" ref="AC79" ca="1">IFERROR(SUM(_xlfn._xlws.FILTER(INDIRECT(AC$112),(INDIRECT($B$112)=$B79)*(INDIRECT($D$112)=$D79)*(INDIRECT($F$112)=$F79),0)),0)</f>
        <v>0</v>
      </c>
      <c r="AD79" s="403" cm="1">
        <f t="array" aca="1" ref="AD79" ca="1">IFERROR(SUM(_xlfn._xlws.FILTER(INDIRECT(AD$112),(INDIRECT($B$112)=$B79)*(INDIRECT($D$112)=$D79)*(INDIRECT($F$112)=$F79),0)),0)</f>
        <v>0</v>
      </c>
      <c r="AE79" s="403" cm="1">
        <f t="array" aca="1" ref="AE79" ca="1">IFERROR(SUM(_xlfn._xlws.FILTER(INDIRECT(AE$112),(INDIRECT($B$112)=$B79)*(INDIRECT($D$112)=$D79)*(INDIRECT($F$112)=$F79),0)),0)</f>
        <v>0</v>
      </c>
      <c r="AF79" s="403" cm="1">
        <f t="array" aca="1" ref="AF79" ca="1">IFERROR(SUM(_xlfn._xlws.FILTER(INDIRECT(AF$112),(INDIRECT($B$112)=$B79)*(INDIRECT($D$112)=$D79)*(INDIRECT($F$112)=$F79),0)),0)</f>
        <v>0</v>
      </c>
      <c r="AG79" s="403" cm="1">
        <f t="array" aca="1" ref="AG79" ca="1">IFERROR(SUM(_xlfn._xlws.FILTER(INDIRECT(AG$112),(INDIRECT($B$112)=$B79)*(INDIRECT($D$112)=$D79)*(INDIRECT($F$112)=$F79),0)),0)</f>
        <v>0</v>
      </c>
      <c r="AH79" s="403" cm="1">
        <f t="array" aca="1" ref="AH79" ca="1">IFERROR(SUM(_xlfn._xlws.FILTER(INDIRECT(AH$112),(INDIRECT($B$112)=$B79)*(INDIRECT($D$112)=$D79)*(INDIRECT($F$112)=$F79),0)),0)</f>
        <v>0</v>
      </c>
      <c r="AI79" s="403" cm="1">
        <f t="array" aca="1" ref="AI79" ca="1">IFERROR(SUM(_xlfn._xlws.FILTER(INDIRECT(AI$112),(INDIRECT($B$112)=$B79)*(INDIRECT($D$112)=$D79)*(INDIRECT($F$112)=$F79),0)),0)</f>
        <v>0</v>
      </c>
      <c r="AJ79" s="403" cm="1">
        <f t="array" aca="1" ref="AJ79" ca="1">IFERROR(SUM(_xlfn._xlws.FILTER(INDIRECT(AJ$112),(INDIRECT($B$112)=$B79)*(INDIRECT($D$112)=$D79)*(INDIRECT($F$112)=$F79),0)),0)</f>
        <v>0</v>
      </c>
      <c r="AK79" s="403" cm="1">
        <f t="array" aca="1" ref="AK79" ca="1">IFERROR(SUM(_xlfn._xlws.FILTER(INDIRECT(AK$112),(INDIRECT($B$112)=$B79)*(INDIRECT($D$112)=$D79)*(INDIRECT($F$112)=$F79),0)),0)</f>
        <v>0</v>
      </c>
      <c r="AL79" s="403" cm="1">
        <f t="array" aca="1" ref="AL79" ca="1">IFERROR(SUM(_xlfn._xlws.FILTER(INDIRECT(AL$112),(INDIRECT($B$112)=$B79)*(INDIRECT($D$112)=$D79)*(INDIRECT($F$112)=$F79),0)),0)</f>
        <v>0</v>
      </c>
      <c r="AM79" s="403" cm="1">
        <f t="array" aca="1" ref="AM79" ca="1">IFERROR(SUM(_xlfn._xlws.FILTER(INDIRECT(AM$112),(INDIRECT($B$112)=$B79)*(INDIRECT($D$112)=$D79)*(INDIRECT($F$112)=$F79),0)),0)</f>
        <v>0</v>
      </c>
      <c r="AN79" s="403" cm="1">
        <f t="array" aca="1" ref="AN79" ca="1">IFERROR(SUM(_xlfn._xlws.FILTER(INDIRECT(AN$112),(INDIRECT($B$112)=$B79)*(INDIRECT($D$112)=$D79)*(INDIRECT($F$112)=$F79),0)),0)</f>
        <v>0</v>
      </c>
      <c r="AO79" s="403" cm="1">
        <f t="array" aca="1" ref="AO79" ca="1">IFERROR(SUM(_xlfn._xlws.FILTER(INDIRECT(AO$112),(INDIRECT($B$112)=$B79)*(INDIRECT($D$112)=$D79)*(INDIRECT($F$112)=$F79),0)),0)</f>
        <v>0</v>
      </c>
      <c r="AP79" s="403" cm="1">
        <f t="array" aca="1" ref="AP79" ca="1">IFERROR(SUM(_xlfn._xlws.FILTER(INDIRECT(AP$112),(INDIRECT($B$112)=$B79)*(INDIRECT($D$112)=$D79)*(INDIRECT($F$112)=$F79),0)),0)</f>
        <v>0</v>
      </c>
      <c r="AQ79" s="403" cm="1">
        <f t="array" aca="1" ref="AQ79" ca="1">IFERROR(SUM(_xlfn._xlws.FILTER(INDIRECT(AQ$112),(INDIRECT($B$112)=$B79)*(INDIRECT($D$112)=$D79)*(INDIRECT($F$112)=$F79),0)),0)</f>
        <v>0</v>
      </c>
      <c r="AR79" s="403" cm="1">
        <f t="array" aca="1" ref="AR79" ca="1">IFERROR(SUM(_xlfn._xlws.FILTER(INDIRECT(AR$112),(INDIRECT($B$112)=$B79)*(INDIRECT($D$112)=$D79)*(INDIRECT($F$112)=$F79),0)),0)</f>
        <v>0</v>
      </c>
      <c r="AS79" s="286" t="str">
        <f t="shared" si="4"/>
        <v>X</v>
      </c>
      <c r="AT79" s="403">
        <f t="shared" ca="1" si="5"/>
        <v>0</v>
      </c>
      <c r="AV79" s="142" cm="1">
        <f t="array" aca="1" ref="AV79" ca="1">IF(AND(_xlfn.LET(_xlpm.x,SUM(ROW()),OR(AND(MATCH("SOT",$A:$A,0)&lt;_xlpm.x,MATCH("EOT",$A:$A,0)&gt;_xlpm.x),AND(MATCH("SOS",$A:$A,0)&lt;_xlpm.x,MATCH("EOS",$A:$A,0)&gt;_xlpm.x),AND(MATCH("SOR",$A:$A,0)&lt;_xlpm.x,MATCH("EOR",$A:$A,0)&gt;_xlpm.x))),INDIRECT("rc"&amp;MATCH("SCD",$1:$1,0),FALSE)="PPTO"),1,0)</f>
        <v>0</v>
      </c>
      <c r="AW79" s="142" cm="1">
        <f t="array" aca="1" ref="AW7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80" spans="1:49" s="153" customFormat="1" outlineLevel="2">
      <c r="A80" s="152"/>
      <c r="B80" s="401"/>
      <c r="C80" s="148"/>
      <c r="D80" s="404"/>
      <c r="E80" s="350"/>
      <c r="F80" s="402"/>
      <c r="G80" s="403" cm="1">
        <f t="array" aca="1" ref="G80" ca="1">IFERROR(SUM(_xlfn._xlws.FILTER(INDIRECT(G$112),(INDIRECT($B$112)=$B80)*(INDIRECT($D$112)=$D80)*(INDIRECT($F$112)=$F80),0)),0)</f>
        <v>0</v>
      </c>
      <c r="H80" s="403" cm="1">
        <f t="array" aca="1" ref="H80" ca="1">IFERROR(SUM(_xlfn._xlws.FILTER(INDIRECT(H$112),(INDIRECT($B$112)=$B80)*(INDIRECT($D$112)=$D80)*(INDIRECT($F$112)=$F80),0)),0)</f>
        <v>0</v>
      </c>
      <c r="I80" s="403" cm="1">
        <f t="array" aca="1" ref="I80" ca="1">IFERROR(SUM(_xlfn._xlws.FILTER(INDIRECT(I$112),(INDIRECT($B$112)=$B80)*(INDIRECT($D$112)=$D80)*(INDIRECT($F$112)=$F80),0)),0)</f>
        <v>0</v>
      </c>
      <c r="J80" s="403" cm="1">
        <f t="array" aca="1" ref="J80" ca="1">IFERROR(SUM(_xlfn._xlws.FILTER(INDIRECT(J$112),(INDIRECT($B$112)=$B80)*(INDIRECT($D$112)=$D80)*(INDIRECT($F$112)=$F80),0)),0)</f>
        <v>0</v>
      </c>
      <c r="K80" s="403" cm="1">
        <f t="array" aca="1" ref="K80" ca="1">IFERROR(SUM(_xlfn._xlws.FILTER(INDIRECT(K$112),(INDIRECT($B$112)=$B80)*(INDIRECT($D$112)=$D80)*(INDIRECT($F$112)=$F80),0)),0)</f>
        <v>0</v>
      </c>
      <c r="L80" s="403" cm="1">
        <f t="array" aca="1" ref="L80" ca="1">IFERROR(SUM(_xlfn._xlws.FILTER(INDIRECT(L$112),(INDIRECT($B$112)=$B80)*(INDIRECT($D$112)=$D80)*(INDIRECT($F$112)=$F80),0)),0)</f>
        <v>0</v>
      </c>
      <c r="M80" s="403" cm="1">
        <f t="array" aca="1" ref="M80" ca="1">IFERROR(SUM(_xlfn._xlws.FILTER(INDIRECT(M$112),(INDIRECT($B$112)=$B80)*(INDIRECT($D$112)=$D80)*(INDIRECT($F$112)=$F80),0)),0)</f>
        <v>0</v>
      </c>
      <c r="N80" s="403" cm="1">
        <f t="array" aca="1" ref="N80" ca="1">IFERROR(SUM(_xlfn._xlws.FILTER(INDIRECT(N$112),(INDIRECT($B$112)=$B80)*(INDIRECT($D$112)=$D80)*(INDIRECT($F$112)=$F80),0)),0)</f>
        <v>0</v>
      </c>
      <c r="O80" s="403" cm="1">
        <f t="array" aca="1" ref="O80" ca="1">IFERROR(SUM(_xlfn._xlws.FILTER(INDIRECT(O$112),(INDIRECT($B$112)=$B80)*(INDIRECT($D$112)=$D80)*(INDIRECT($F$112)=$F80),0)),0)</f>
        <v>0</v>
      </c>
      <c r="P80" s="403" cm="1">
        <f t="array" aca="1" ref="P80" ca="1">IFERROR(SUM(_xlfn._xlws.FILTER(INDIRECT(P$112),(INDIRECT($B$112)=$B80)*(INDIRECT($D$112)=$D80)*(INDIRECT($F$112)=$F80),0)),0)</f>
        <v>0</v>
      </c>
      <c r="Q80" s="403" cm="1">
        <f t="array" aca="1" ref="Q80" ca="1">IFERROR(SUM(_xlfn._xlws.FILTER(INDIRECT(Q$112),(INDIRECT($B$112)=$B80)*(INDIRECT($D$112)=$D80)*(INDIRECT($F$112)=$F80),0)),0)</f>
        <v>0</v>
      </c>
      <c r="R80" s="403" cm="1">
        <f t="array" aca="1" ref="R80" ca="1">IFERROR(SUM(_xlfn._xlws.FILTER(INDIRECT(R$112),(INDIRECT($B$112)=$B80)*(INDIRECT($D$112)=$D80)*(INDIRECT($F$112)=$F80),0)),0)</f>
        <v>0</v>
      </c>
      <c r="S80" s="403" cm="1">
        <f t="array" aca="1" ref="S80" ca="1">IFERROR(SUM(_xlfn._xlws.FILTER(INDIRECT(S$112),(INDIRECT($B$112)=$B80)*(INDIRECT($D$112)=$D80)*(INDIRECT($F$112)=$F80),0)),0)</f>
        <v>0</v>
      </c>
      <c r="T80" s="403" cm="1">
        <f t="array" aca="1" ref="T80" ca="1">IFERROR(SUM(_xlfn._xlws.FILTER(INDIRECT(T$112),(INDIRECT($B$112)=$B80)*(INDIRECT($D$112)=$D80)*(INDIRECT($F$112)=$F80),0)),0)</f>
        <v>0</v>
      </c>
      <c r="U80" s="403" cm="1">
        <f t="array" aca="1" ref="U80" ca="1">IFERROR(SUM(_xlfn._xlws.FILTER(INDIRECT(U$112),(INDIRECT($B$112)=$B80)*(INDIRECT($D$112)=$D80)*(INDIRECT($F$112)=$F80),0)),0)</f>
        <v>0</v>
      </c>
      <c r="V80" s="403" cm="1">
        <f t="array" aca="1" ref="V80" ca="1">IFERROR(SUM(_xlfn._xlws.FILTER(INDIRECT(V$112),(INDIRECT($B$112)=$B80)*(INDIRECT($D$112)=$D80)*(INDIRECT($F$112)=$F80),0)),0)</f>
        <v>0</v>
      </c>
      <c r="W80" s="403" cm="1">
        <f t="array" aca="1" ref="W80" ca="1">IFERROR(SUM(_xlfn._xlws.FILTER(INDIRECT(W$112),(INDIRECT($B$112)=$B80)*(INDIRECT($D$112)=$D80)*(INDIRECT($F$112)=$F80),0)),0)</f>
        <v>0</v>
      </c>
      <c r="X80" s="403" cm="1">
        <f t="array" aca="1" ref="X80" ca="1">IFERROR(SUM(_xlfn._xlws.FILTER(INDIRECT(X$112),(INDIRECT($B$112)=$B80)*(INDIRECT($D$112)=$D80)*(INDIRECT($F$112)=$F80),0)),0)</f>
        <v>0</v>
      </c>
      <c r="Y80" s="403" cm="1">
        <f t="array" aca="1" ref="Y80" ca="1">IFERROR(SUM(_xlfn._xlws.FILTER(INDIRECT(Y$112),(INDIRECT($B$112)=$B80)*(INDIRECT($D$112)=$D80)*(INDIRECT($F$112)=$F80),0)),0)</f>
        <v>0</v>
      </c>
      <c r="Z80" s="403" cm="1">
        <f t="array" aca="1" ref="Z80" ca="1">IFERROR(SUM(_xlfn._xlws.FILTER(INDIRECT(Z$112),(INDIRECT($B$112)=$B80)*(INDIRECT($D$112)=$D80)*(INDIRECT($F$112)=$F80),0)),0)</f>
        <v>0</v>
      </c>
      <c r="AA80" s="403" cm="1">
        <f t="array" aca="1" ref="AA80" ca="1">IFERROR(SUM(_xlfn._xlws.FILTER(INDIRECT(AA$112),(INDIRECT($B$112)=$B80)*(INDIRECT($D$112)=$D80)*(INDIRECT($F$112)=$F80),0)),0)</f>
        <v>0</v>
      </c>
      <c r="AB80" s="403" cm="1">
        <f t="array" aca="1" ref="AB80" ca="1">IFERROR(SUM(_xlfn._xlws.FILTER(INDIRECT(AB$112),(INDIRECT($B$112)=$B80)*(INDIRECT($D$112)=$D80)*(INDIRECT($F$112)=$F80),0)),0)</f>
        <v>0</v>
      </c>
      <c r="AC80" s="403" cm="1">
        <f t="array" aca="1" ref="AC80" ca="1">IFERROR(SUM(_xlfn._xlws.FILTER(INDIRECT(AC$112),(INDIRECT($B$112)=$B80)*(INDIRECT($D$112)=$D80)*(INDIRECT($F$112)=$F80),0)),0)</f>
        <v>0</v>
      </c>
      <c r="AD80" s="403" cm="1">
        <f t="array" aca="1" ref="AD80" ca="1">IFERROR(SUM(_xlfn._xlws.FILTER(INDIRECT(AD$112),(INDIRECT($B$112)=$B80)*(INDIRECT($D$112)=$D80)*(INDIRECT($F$112)=$F80),0)),0)</f>
        <v>0</v>
      </c>
      <c r="AE80" s="403" cm="1">
        <f t="array" aca="1" ref="AE80" ca="1">IFERROR(SUM(_xlfn._xlws.FILTER(INDIRECT(AE$112),(INDIRECT($B$112)=$B80)*(INDIRECT($D$112)=$D80)*(INDIRECT($F$112)=$F80),0)),0)</f>
        <v>0</v>
      </c>
      <c r="AF80" s="403" cm="1">
        <f t="array" aca="1" ref="AF80" ca="1">IFERROR(SUM(_xlfn._xlws.FILTER(INDIRECT(AF$112),(INDIRECT($B$112)=$B80)*(INDIRECT($D$112)=$D80)*(INDIRECT($F$112)=$F80),0)),0)</f>
        <v>0</v>
      </c>
      <c r="AG80" s="403" cm="1">
        <f t="array" aca="1" ref="AG80" ca="1">IFERROR(SUM(_xlfn._xlws.FILTER(INDIRECT(AG$112),(INDIRECT($B$112)=$B80)*(INDIRECT($D$112)=$D80)*(INDIRECT($F$112)=$F80),0)),0)</f>
        <v>0</v>
      </c>
      <c r="AH80" s="403" cm="1">
        <f t="array" aca="1" ref="AH80" ca="1">IFERROR(SUM(_xlfn._xlws.FILTER(INDIRECT(AH$112),(INDIRECT($B$112)=$B80)*(INDIRECT($D$112)=$D80)*(INDIRECT($F$112)=$F80),0)),0)</f>
        <v>0</v>
      </c>
      <c r="AI80" s="403" cm="1">
        <f t="array" aca="1" ref="AI80" ca="1">IFERROR(SUM(_xlfn._xlws.FILTER(INDIRECT(AI$112),(INDIRECT($B$112)=$B80)*(INDIRECT($D$112)=$D80)*(INDIRECT($F$112)=$F80),0)),0)</f>
        <v>0</v>
      </c>
      <c r="AJ80" s="403" cm="1">
        <f t="array" aca="1" ref="AJ80" ca="1">IFERROR(SUM(_xlfn._xlws.FILTER(INDIRECT(AJ$112),(INDIRECT($B$112)=$B80)*(INDIRECT($D$112)=$D80)*(INDIRECT($F$112)=$F80),0)),0)</f>
        <v>0</v>
      </c>
      <c r="AK80" s="403" cm="1">
        <f t="array" aca="1" ref="AK80" ca="1">IFERROR(SUM(_xlfn._xlws.FILTER(INDIRECT(AK$112),(INDIRECT($B$112)=$B80)*(INDIRECT($D$112)=$D80)*(INDIRECT($F$112)=$F80),0)),0)</f>
        <v>0</v>
      </c>
      <c r="AL80" s="403" cm="1">
        <f t="array" aca="1" ref="AL80" ca="1">IFERROR(SUM(_xlfn._xlws.FILTER(INDIRECT(AL$112),(INDIRECT($B$112)=$B80)*(INDIRECT($D$112)=$D80)*(INDIRECT($F$112)=$F80),0)),0)</f>
        <v>0</v>
      </c>
      <c r="AM80" s="403" cm="1">
        <f t="array" aca="1" ref="AM80" ca="1">IFERROR(SUM(_xlfn._xlws.FILTER(INDIRECT(AM$112),(INDIRECT($B$112)=$B80)*(INDIRECT($D$112)=$D80)*(INDIRECT($F$112)=$F80),0)),0)</f>
        <v>0</v>
      </c>
      <c r="AN80" s="403" cm="1">
        <f t="array" aca="1" ref="AN80" ca="1">IFERROR(SUM(_xlfn._xlws.FILTER(INDIRECT(AN$112),(INDIRECT($B$112)=$B80)*(INDIRECT($D$112)=$D80)*(INDIRECT($F$112)=$F80),0)),0)</f>
        <v>0</v>
      </c>
      <c r="AO80" s="403" cm="1">
        <f t="array" aca="1" ref="AO80" ca="1">IFERROR(SUM(_xlfn._xlws.FILTER(INDIRECT(AO$112),(INDIRECT($B$112)=$B80)*(INDIRECT($D$112)=$D80)*(INDIRECT($F$112)=$F80),0)),0)</f>
        <v>0</v>
      </c>
      <c r="AP80" s="403" cm="1">
        <f t="array" aca="1" ref="AP80" ca="1">IFERROR(SUM(_xlfn._xlws.FILTER(INDIRECT(AP$112),(INDIRECT($B$112)=$B80)*(INDIRECT($D$112)=$D80)*(INDIRECT($F$112)=$F80),0)),0)</f>
        <v>0</v>
      </c>
      <c r="AQ80" s="403" cm="1">
        <f t="array" aca="1" ref="AQ80" ca="1">IFERROR(SUM(_xlfn._xlws.FILTER(INDIRECT(AQ$112),(INDIRECT($B$112)=$B80)*(INDIRECT($D$112)=$D80)*(INDIRECT($F$112)=$F80),0)),0)</f>
        <v>0</v>
      </c>
      <c r="AR80" s="403" cm="1">
        <f t="array" aca="1" ref="AR80" ca="1">IFERROR(SUM(_xlfn._xlws.FILTER(INDIRECT(AR$112),(INDIRECT($B$112)=$B80)*(INDIRECT($D$112)=$D80)*(INDIRECT($F$112)=$F80),0)),0)</f>
        <v>0</v>
      </c>
      <c r="AS80" s="286" t="str">
        <f t="shared" si="4"/>
        <v>X</v>
      </c>
      <c r="AT80" s="403">
        <f t="shared" ca="1" si="5"/>
        <v>0</v>
      </c>
      <c r="AV80" s="142" cm="1">
        <f t="array" aca="1" ref="AV80" ca="1">IF(AND(_xlfn.LET(_xlpm.x,SUM(ROW()),OR(AND(MATCH("SOT",$A:$A,0)&lt;_xlpm.x,MATCH("EOT",$A:$A,0)&gt;_xlpm.x),AND(MATCH("SOS",$A:$A,0)&lt;_xlpm.x,MATCH("EOS",$A:$A,0)&gt;_xlpm.x),AND(MATCH("SOR",$A:$A,0)&lt;_xlpm.x,MATCH("EOR",$A:$A,0)&gt;_xlpm.x))),INDIRECT("rc"&amp;MATCH("SCD",$1:$1,0),FALSE)="PPTO"),1,0)</f>
        <v>0</v>
      </c>
      <c r="AW80" s="142" cm="1">
        <f t="array" aca="1" ref="AW8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81" spans="1:49" s="153" customFormat="1" outlineLevel="2">
      <c r="A81" s="152"/>
      <c r="B81" s="401"/>
      <c r="C81" s="148"/>
      <c r="D81" s="404"/>
      <c r="E81" s="350"/>
      <c r="F81" s="402"/>
      <c r="G81" s="403" cm="1">
        <f t="array" aca="1" ref="G81" ca="1">IFERROR(SUM(_xlfn._xlws.FILTER(INDIRECT(G$112),(INDIRECT($B$112)=$B81)*(INDIRECT($D$112)=$D81)*(INDIRECT($F$112)=$F81),0)),0)</f>
        <v>0</v>
      </c>
      <c r="H81" s="403" cm="1">
        <f t="array" aca="1" ref="H81" ca="1">IFERROR(SUM(_xlfn._xlws.FILTER(INDIRECT(H$112),(INDIRECT($B$112)=$B81)*(INDIRECT($D$112)=$D81)*(INDIRECT($F$112)=$F81),0)),0)</f>
        <v>0</v>
      </c>
      <c r="I81" s="403" cm="1">
        <f t="array" aca="1" ref="I81" ca="1">IFERROR(SUM(_xlfn._xlws.FILTER(INDIRECT(I$112),(INDIRECT($B$112)=$B81)*(INDIRECT($D$112)=$D81)*(INDIRECT($F$112)=$F81),0)),0)</f>
        <v>0</v>
      </c>
      <c r="J81" s="403" cm="1">
        <f t="array" aca="1" ref="J81" ca="1">IFERROR(SUM(_xlfn._xlws.FILTER(INDIRECT(J$112),(INDIRECT($B$112)=$B81)*(INDIRECT($D$112)=$D81)*(INDIRECT($F$112)=$F81),0)),0)</f>
        <v>0</v>
      </c>
      <c r="K81" s="403" cm="1">
        <f t="array" aca="1" ref="K81" ca="1">IFERROR(SUM(_xlfn._xlws.FILTER(INDIRECT(K$112),(INDIRECT($B$112)=$B81)*(INDIRECT($D$112)=$D81)*(INDIRECT($F$112)=$F81),0)),0)</f>
        <v>0</v>
      </c>
      <c r="L81" s="403" cm="1">
        <f t="array" aca="1" ref="L81" ca="1">IFERROR(SUM(_xlfn._xlws.FILTER(INDIRECT(L$112),(INDIRECT($B$112)=$B81)*(INDIRECT($D$112)=$D81)*(INDIRECT($F$112)=$F81),0)),0)</f>
        <v>0</v>
      </c>
      <c r="M81" s="403" cm="1">
        <f t="array" aca="1" ref="M81" ca="1">IFERROR(SUM(_xlfn._xlws.FILTER(INDIRECT(M$112),(INDIRECT($B$112)=$B81)*(INDIRECT($D$112)=$D81)*(INDIRECT($F$112)=$F81),0)),0)</f>
        <v>0</v>
      </c>
      <c r="N81" s="403" cm="1">
        <f t="array" aca="1" ref="N81" ca="1">IFERROR(SUM(_xlfn._xlws.FILTER(INDIRECT(N$112),(INDIRECT($B$112)=$B81)*(INDIRECT($D$112)=$D81)*(INDIRECT($F$112)=$F81),0)),0)</f>
        <v>0</v>
      </c>
      <c r="O81" s="403" cm="1">
        <f t="array" aca="1" ref="O81" ca="1">IFERROR(SUM(_xlfn._xlws.FILTER(INDIRECT(O$112),(INDIRECT($B$112)=$B81)*(INDIRECT($D$112)=$D81)*(INDIRECT($F$112)=$F81),0)),0)</f>
        <v>0</v>
      </c>
      <c r="P81" s="403" cm="1">
        <f t="array" aca="1" ref="P81" ca="1">IFERROR(SUM(_xlfn._xlws.FILTER(INDIRECT(P$112),(INDIRECT($B$112)=$B81)*(INDIRECT($D$112)=$D81)*(INDIRECT($F$112)=$F81),0)),0)</f>
        <v>0</v>
      </c>
      <c r="Q81" s="403" cm="1">
        <f t="array" aca="1" ref="Q81" ca="1">IFERROR(SUM(_xlfn._xlws.FILTER(INDIRECT(Q$112),(INDIRECT($B$112)=$B81)*(INDIRECT($D$112)=$D81)*(INDIRECT($F$112)=$F81),0)),0)</f>
        <v>0</v>
      </c>
      <c r="R81" s="403" cm="1">
        <f t="array" aca="1" ref="R81" ca="1">IFERROR(SUM(_xlfn._xlws.FILTER(INDIRECT(R$112),(INDIRECT($B$112)=$B81)*(INDIRECT($D$112)=$D81)*(INDIRECT($F$112)=$F81),0)),0)</f>
        <v>0</v>
      </c>
      <c r="S81" s="403" cm="1">
        <f t="array" aca="1" ref="S81" ca="1">IFERROR(SUM(_xlfn._xlws.FILTER(INDIRECT(S$112),(INDIRECT($B$112)=$B81)*(INDIRECT($D$112)=$D81)*(INDIRECT($F$112)=$F81),0)),0)</f>
        <v>0</v>
      </c>
      <c r="T81" s="403" cm="1">
        <f t="array" aca="1" ref="T81" ca="1">IFERROR(SUM(_xlfn._xlws.FILTER(INDIRECT(T$112),(INDIRECT($B$112)=$B81)*(INDIRECT($D$112)=$D81)*(INDIRECT($F$112)=$F81),0)),0)</f>
        <v>0</v>
      </c>
      <c r="U81" s="403" cm="1">
        <f t="array" aca="1" ref="U81" ca="1">IFERROR(SUM(_xlfn._xlws.FILTER(INDIRECT(U$112),(INDIRECT($B$112)=$B81)*(INDIRECT($D$112)=$D81)*(INDIRECT($F$112)=$F81),0)),0)</f>
        <v>0</v>
      </c>
      <c r="V81" s="403" cm="1">
        <f t="array" aca="1" ref="V81" ca="1">IFERROR(SUM(_xlfn._xlws.FILTER(INDIRECT(V$112),(INDIRECT($B$112)=$B81)*(INDIRECT($D$112)=$D81)*(INDIRECT($F$112)=$F81),0)),0)</f>
        <v>0</v>
      </c>
      <c r="W81" s="403" cm="1">
        <f t="array" aca="1" ref="W81" ca="1">IFERROR(SUM(_xlfn._xlws.FILTER(INDIRECT(W$112),(INDIRECT($B$112)=$B81)*(INDIRECT($D$112)=$D81)*(INDIRECT($F$112)=$F81),0)),0)</f>
        <v>0</v>
      </c>
      <c r="X81" s="403" cm="1">
        <f t="array" aca="1" ref="X81" ca="1">IFERROR(SUM(_xlfn._xlws.FILTER(INDIRECT(X$112),(INDIRECT($B$112)=$B81)*(INDIRECT($D$112)=$D81)*(INDIRECT($F$112)=$F81),0)),0)</f>
        <v>0</v>
      </c>
      <c r="Y81" s="403" cm="1">
        <f t="array" aca="1" ref="Y81" ca="1">IFERROR(SUM(_xlfn._xlws.FILTER(INDIRECT(Y$112),(INDIRECT($B$112)=$B81)*(INDIRECT($D$112)=$D81)*(INDIRECT($F$112)=$F81),0)),0)</f>
        <v>0</v>
      </c>
      <c r="Z81" s="403" cm="1">
        <f t="array" aca="1" ref="Z81" ca="1">IFERROR(SUM(_xlfn._xlws.FILTER(INDIRECT(Z$112),(INDIRECT($B$112)=$B81)*(INDIRECT($D$112)=$D81)*(INDIRECT($F$112)=$F81),0)),0)</f>
        <v>0</v>
      </c>
      <c r="AA81" s="403" cm="1">
        <f t="array" aca="1" ref="AA81" ca="1">IFERROR(SUM(_xlfn._xlws.FILTER(INDIRECT(AA$112),(INDIRECT($B$112)=$B81)*(INDIRECT($D$112)=$D81)*(INDIRECT($F$112)=$F81),0)),0)</f>
        <v>0</v>
      </c>
      <c r="AB81" s="403" cm="1">
        <f t="array" aca="1" ref="AB81" ca="1">IFERROR(SUM(_xlfn._xlws.FILTER(INDIRECT(AB$112),(INDIRECT($B$112)=$B81)*(INDIRECT($D$112)=$D81)*(INDIRECT($F$112)=$F81),0)),0)</f>
        <v>0</v>
      </c>
      <c r="AC81" s="403" cm="1">
        <f t="array" aca="1" ref="AC81" ca="1">IFERROR(SUM(_xlfn._xlws.FILTER(INDIRECT(AC$112),(INDIRECT($B$112)=$B81)*(INDIRECT($D$112)=$D81)*(INDIRECT($F$112)=$F81),0)),0)</f>
        <v>0</v>
      </c>
      <c r="AD81" s="403" cm="1">
        <f t="array" aca="1" ref="AD81" ca="1">IFERROR(SUM(_xlfn._xlws.FILTER(INDIRECT(AD$112),(INDIRECT($B$112)=$B81)*(INDIRECT($D$112)=$D81)*(INDIRECT($F$112)=$F81),0)),0)</f>
        <v>0</v>
      </c>
      <c r="AE81" s="403" cm="1">
        <f t="array" aca="1" ref="AE81" ca="1">IFERROR(SUM(_xlfn._xlws.FILTER(INDIRECT(AE$112),(INDIRECT($B$112)=$B81)*(INDIRECT($D$112)=$D81)*(INDIRECT($F$112)=$F81),0)),0)</f>
        <v>0</v>
      </c>
      <c r="AF81" s="403" cm="1">
        <f t="array" aca="1" ref="AF81" ca="1">IFERROR(SUM(_xlfn._xlws.FILTER(INDIRECT(AF$112),(INDIRECT($B$112)=$B81)*(INDIRECT($D$112)=$D81)*(INDIRECT($F$112)=$F81),0)),0)</f>
        <v>0</v>
      </c>
      <c r="AG81" s="403" cm="1">
        <f t="array" aca="1" ref="AG81" ca="1">IFERROR(SUM(_xlfn._xlws.FILTER(INDIRECT(AG$112),(INDIRECT($B$112)=$B81)*(INDIRECT($D$112)=$D81)*(INDIRECT($F$112)=$F81),0)),0)</f>
        <v>0</v>
      </c>
      <c r="AH81" s="403" cm="1">
        <f t="array" aca="1" ref="AH81" ca="1">IFERROR(SUM(_xlfn._xlws.FILTER(INDIRECT(AH$112),(INDIRECT($B$112)=$B81)*(INDIRECT($D$112)=$D81)*(INDIRECT($F$112)=$F81),0)),0)</f>
        <v>0</v>
      </c>
      <c r="AI81" s="403" cm="1">
        <f t="array" aca="1" ref="AI81" ca="1">IFERROR(SUM(_xlfn._xlws.FILTER(INDIRECT(AI$112),(INDIRECT($B$112)=$B81)*(INDIRECT($D$112)=$D81)*(INDIRECT($F$112)=$F81),0)),0)</f>
        <v>0</v>
      </c>
      <c r="AJ81" s="403" cm="1">
        <f t="array" aca="1" ref="AJ81" ca="1">IFERROR(SUM(_xlfn._xlws.FILTER(INDIRECT(AJ$112),(INDIRECT($B$112)=$B81)*(INDIRECT($D$112)=$D81)*(INDIRECT($F$112)=$F81),0)),0)</f>
        <v>0</v>
      </c>
      <c r="AK81" s="403" cm="1">
        <f t="array" aca="1" ref="AK81" ca="1">IFERROR(SUM(_xlfn._xlws.FILTER(INDIRECT(AK$112),(INDIRECT($B$112)=$B81)*(INDIRECT($D$112)=$D81)*(INDIRECT($F$112)=$F81),0)),0)</f>
        <v>0</v>
      </c>
      <c r="AL81" s="403" cm="1">
        <f t="array" aca="1" ref="AL81" ca="1">IFERROR(SUM(_xlfn._xlws.FILTER(INDIRECT(AL$112),(INDIRECT($B$112)=$B81)*(INDIRECT($D$112)=$D81)*(INDIRECT($F$112)=$F81),0)),0)</f>
        <v>0</v>
      </c>
      <c r="AM81" s="403" cm="1">
        <f t="array" aca="1" ref="AM81" ca="1">IFERROR(SUM(_xlfn._xlws.FILTER(INDIRECT(AM$112),(INDIRECT($B$112)=$B81)*(INDIRECT($D$112)=$D81)*(INDIRECT($F$112)=$F81),0)),0)</f>
        <v>0</v>
      </c>
      <c r="AN81" s="403" cm="1">
        <f t="array" aca="1" ref="AN81" ca="1">IFERROR(SUM(_xlfn._xlws.FILTER(INDIRECT(AN$112),(INDIRECT($B$112)=$B81)*(INDIRECT($D$112)=$D81)*(INDIRECT($F$112)=$F81),0)),0)</f>
        <v>0</v>
      </c>
      <c r="AO81" s="403" cm="1">
        <f t="array" aca="1" ref="AO81" ca="1">IFERROR(SUM(_xlfn._xlws.FILTER(INDIRECT(AO$112),(INDIRECT($B$112)=$B81)*(INDIRECT($D$112)=$D81)*(INDIRECT($F$112)=$F81),0)),0)</f>
        <v>0</v>
      </c>
      <c r="AP81" s="403" cm="1">
        <f t="array" aca="1" ref="AP81" ca="1">IFERROR(SUM(_xlfn._xlws.FILTER(INDIRECT(AP$112),(INDIRECT($B$112)=$B81)*(INDIRECT($D$112)=$D81)*(INDIRECT($F$112)=$F81),0)),0)</f>
        <v>0</v>
      </c>
      <c r="AQ81" s="403" cm="1">
        <f t="array" aca="1" ref="AQ81" ca="1">IFERROR(SUM(_xlfn._xlws.FILTER(INDIRECT(AQ$112),(INDIRECT($B$112)=$B81)*(INDIRECT($D$112)=$D81)*(INDIRECT($F$112)=$F81),0)),0)</f>
        <v>0</v>
      </c>
      <c r="AR81" s="403" cm="1">
        <f t="array" aca="1" ref="AR81" ca="1">IFERROR(SUM(_xlfn._xlws.FILTER(INDIRECT(AR$112),(INDIRECT($B$112)=$B81)*(INDIRECT($D$112)=$D81)*(INDIRECT($F$112)=$F81),0)),0)</f>
        <v>0</v>
      </c>
      <c r="AS81" s="286" t="str">
        <f t="shared" si="4"/>
        <v>X</v>
      </c>
      <c r="AT81" s="403">
        <f t="shared" ca="1" si="5"/>
        <v>0</v>
      </c>
      <c r="AV81" s="142" cm="1">
        <f t="array" aca="1" ref="AV81" ca="1">IF(AND(_xlfn.LET(_xlpm.x,SUM(ROW()),OR(AND(MATCH("SOT",$A:$A,0)&lt;_xlpm.x,MATCH("EOT",$A:$A,0)&gt;_xlpm.x),AND(MATCH("SOS",$A:$A,0)&lt;_xlpm.x,MATCH("EOS",$A:$A,0)&gt;_xlpm.x),AND(MATCH("SOR",$A:$A,0)&lt;_xlpm.x,MATCH("EOR",$A:$A,0)&gt;_xlpm.x))),INDIRECT("rc"&amp;MATCH("SCD",$1:$1,0),FALSE)="PPTO"),1,0)</f>
        <v>0</v>
      </c>
      <c r="AW81" s="142" cm="1">
        <f t="array" aca="1" ref="AW8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82" spans="1:49" s="153" customFormat="1" outlineLevel="2">
      <c r="A82" s="152"/>
      <c r="B82" s="401"/>
      <c r="C82" s="148"/>
      <c r="D82" s="404"/>
      <c r="E82" s="350"/>
      <c r="F82" s="402"/>
      <c r="G82" s="403" cm="1">
        <f t="array" aca="1" ref="G82" ca="1">IFERROR(SUM(_xlfn._xlws.FILTER(INDIRECT(G$112),(INDIRECT($B$112)=$B82)*(INDIRECT($D$112)=$D82)*(INDIRECT($F$112)=$F82),0)),0)</f>
        <v>0</v>
      </c>
      <c r="H82" s="403" cm="1">
        <f t="array" aca="1" ref="H82" ca="1">IFERROR(SUM(_xlfn._xlws.FILTER(INDIRECT(H$112),(INDIRECT($B$112)=$B82)*(INDIRECT($D$112)=$D82)*(INDIRECT($F$112)=$F82),0)),0)</f>
        <v>0</v>
      </c>
      <c r="I82" s="403" cm="1">
        <f t="array" aca="1" ref="I82" ca="1">IFERROR(SUM(_xlfn._xlws.FILTER(INDIRECT(I$112),(INDIRECT($B$112)=$B82)*(INDIRECT($D$112)=$D82)*(INDIRECT($F$112)=$F82),0)),0)</f>
        <v>0</v>
      </c>
      <c r="J82" s="403" cm="1">
        <f t="array" aca="1" ref="J82" ca="1">IFERROR(SUM(_xlfn._xlws.FILTER(INDIRECT(J$112),(INDIRECT($B$112)=$B82)*(INDIRECT($D$112)=$D82)*(INDIRECT($F$112)=$F82),0)),0)</f>
        <v>0</v>
      </c>
      <c r="K82" s="403" cm="1">
        <f t="array" aca="1" ref="K82" ca="1">IFERROR(SUM(_xlfn._xlws.FILTER(INDIRECT(K$112),(INDIRECT($B$112)=$B82)*(INDIRECT($D$112)=$D82)*(INDIRECT($F$112)=$F82),0)),0)</f>
        <v>0</v>
      </c>
      <c r="L82" s="403" cm="1">
        <f t="array" aca="1" ref="L82" ca="1">IFERROR(SUM(_xlfn._xlws.FILTER(INDIRECT(L$112),(INDIRECT($B$112)=$B82)*(INDIRECT($D$112)=$D82)*(INDIRECT($F$112)=$F82),0)),0)</f>
        <v>0</v>
      </c>
      <c r="M82" s="403" cm="1">
        <f t="array" aca="1" ref="M82" ca="1">IFERROR(SUM(_xlfn._xlws.FILTER(INDIRECT(M$112),(INDIRECT($B$112)=$B82)*(INDIRECT($D$112)=$D82)*(INDIRECT($F$112)=$F82),0)),0)</f>
        <v>0</v>
      </c>
      <c r="N82" s="403" cm="1">
        <f t="array" aca="1" ref="N82" ca="1">IFERROR(SUM(_xlfn._xlws.FILTER(INDIRECT(N$112),(INDIRECT($B$112)=$B82)*(INDIRECT($D$112)=$D82)*(INDIRECT($F$112)=$F82),0)),0)</f>
        <v>0</v>
      </c>
      <c r="O82" s="403" cm="1">
        <f t="array" aca="1" ref="O82" ca="1">IFERROR(SUM(_xlfn._xlws.FILTER(INDIRECT(O$112),(INDIRECT($B$112)=$B82)*(INDIRECT($D$112)=$D82)*(INDIRECT($F$112)=$F82),0)),0)</f>
        <v>0</v>
      </c>
      <c r="P82" s="403" cm="1">
        <f t="array" aca="1" ref="P82" ca="1">IFERROR(SUM(_xlfn._xlws.FILTER(INDIRECT(P$112),(INDIRECT($B$112)=$B82)*(INDIRECT($D$112)=$D82)*(INDIRECT($F$112)=$F82),0)),0)</f>
        <v>0</v>
      </c>
      <c r="Q82" s="403" cm="1">
        <f t="array" aca="1" ref="Q82" ca="1">IFERROR(SUM(_xlfn._xlws.FILTER(INDIRECT(Q$112),(INDIRECT($B$112)=$B82)*(INDIRECT($D$112)=$D82)*(INDIRECT($F$112)=$F82),0)),0)</f>
        <v>0</v>
      </c>
      <c r="R82" s="403" cm="1">
        <f t="array" aca="1" ref="R82" ca="1">IFERROR(SUM(_xlfn._xlws.FILTER(INDIRECT(R$112),(INDIRECT($B$112)=$B82)*(INDIRECT($D$112)=$D82)*(INDIRECT($F$112)=$F82),0)),0)</f>
        <v>0</v>
      </c>
      <c r="S82" s="403" cm="1">
        <f t="array" aca="1" ref="S82" ca="1">IFERROR(SUM(_xlfn._xlws.FILTER(INDIRECT(S$112),(INDIRECT($B$112)=$B82)*(INDIRECT($D$112)=$D82)*(INDIRECT($F$112)=$F82),0)),0)</f>
        <v>0</v>
      </c>
      <c r="T82" s="403" cm="1">
        <f t="array" aca="1" ref="T82" ca="1">IFERROR(SUM(_xlfn._xlws.FILTER(INDIRECT(T$112),(INDIRECT($B$112)=$B82)*(INDIRECT($D$112)=$D82)*(INDIRECT($F$112)=$F82),0)),0)</f>
        <v>0</v>
      </c>
      <c r="U82" s="403" cm="1">
        <f t="array" aca="1" ref="U82" ca="1">IFERROR(SUM(_xlfn._xlws.FILTER(INDIRECT(U$112),(INDIRECT($B$112)=$B82)*(INDIRECT($D$112)=$D82)*(INDIRECT($F$112)=$F82),0)),0)</f>
        <v>0</v>
      </c>
      <c r="V82" s="403" cm="1">
        <f t="array" aca="1" ref="V82" ca="1">IFERROR(SUM(_xlfn._xlws.FILTER(INDIRECT(V$112),(INDIRECT($B$112)=$B82)*(INDIRECT($D$112)=$D82)*(INDIRECT($F$112)=$F82),0)),0)</f>
        <v>0</v>
      </c>
      <c r="W82" s="403" cm="1">
        <f t="array" aca="1" ref="W82" ca="1">IFERROR(SUM(_xlfn._xlws.FILTER(INDIRECT(W$112),(INDIRECT($B$112)=$B82)*(INDIRECT($D$112)=$D82)*(INDIRECT($F$112)=$F82),0)),0)</f>
        <v>0</v>
      </c>
      <c r="X82" s="403" cm="1">
        <f t="array" aca="1" ref="X82" ca="1">IFERROR(SUM(_xlfn._xlws.FILTER(INDIRECT(X$112),(INDIRECT($B$112)=$B82)*(INDIRECT($D$112)=$D82)*(INDIRECT($F$112)=$F82),0)),0)</f>
        <v>0</v>
      </c>
      <c r="Y82" s="403" cm="1">
        <f t="array" aca="1" ref="Y82" ca="1">IFERROR(SUM(_xlfn._xlws.FILTER(INDIRECT(Y$112),(INDIRECT($B$112)=$B82)*(INDIRECT($D$112)=$D82)*(INDIRECT($F$112)=$F82),0)),0)</f>
        <v>0</v>
      </c>
      <c r="Z82" s="403" cm="1">
        <f t="array" aca="1" ref="Z82" ca="1">IFERROR(SUM(_xlfn._xlws.FILTER(INDIRECT(Z$112),(INDIRECT($B$112)=$B82)*(INDIRECT($D$112)=$D82)*(INDIRECT($F$112)=$F82),0)),0)</f>
        <v>0</v>
      </c>
      <c r="AA82" s="403" cm="1">
        <f t="array" aca="1" ref="AA82" ca="1">IFERROR(SUM(_xlfn._xlws.FILTER(INDIRECT(AA$112),(INDIRECT($B$112)=$B82)*(INDIRECT($D$112)=$D82)*(INDIRECT($F$112)=$F82),0)),0)</f>
        <v>0</v>
      </c>
      <c r="AB82" s="403" cm="1">
        <f t="array" aca="1" ref="AB82" ca="1">IFERROR(SUM(_xlfn._xlws.FILTER(INDIRECT(AB$112),(INDIRECT($B$112)=$B82)*(INDIRECT($D$112)=$D82)*(INDIRECT($F$112)=$F82),0)),0)</f>
        <v>0</v>
      </c>
      <c r="AC82" s="403" cm="1">
        <f t="array" aca="1" ref="AC82" ca="1">IFERROR(SUM(_xlfn._xlws.FILTER(INDIRECT(AC$112),(INDIRECT($B$112)=$B82)*(INDIRECT($D$112)=$D82)*(INDIRECT($F$112)=$F82),0)),0)</f>
        <v>0</v>
      </c>
      <c r="AD82" s="403" cm="1">
        <f t="array" aca="1" ref="AD82" ca="1">IFERROR(SUM(_xlfn._xlws.FILTER(INDIRECT(AD$112),(INDIRECT($B$112)=$B82)*(INDIRECT($D$112)=$D82)*(INDIRECT($F$112)=$F82),0)),0)</f>
        <v>0</v>
      </c>
      <c r="AE82" s="403" cm="1">
        <f t="array" aca="1" ref="AE82" ca="1">IFERROR(SUM(_xlfn._xlws.FILTER(INDIRECT(AE$112),(INDIRECT($B$112)=$B82)*(INDIRECT($D$112)=$D82)*(INDIRECT($F$112)=$F82),0)),0)</f>
        <v>0</v>
      </c>
      <c r="AF82" s="403" cm="1">
        <f t="array" aca="1" ref="AF82" ca="1">IFERROR(SUM(_xlfn._xlws.FILTER(INDIRECT(AF$112),(INDIRECT($B$112)=$B82)*(INDIRECT($D$112)=$D82)*(INDIRECT($F$112)=$F82),0)),0)</f>
        <v>0</v>
      </c>
      <c r="AG82" s="403" cm="1">
        <f t="array" aca="1" ref="AG82" ca="1">IFERROR(SUM(_xlfn._xlws.FILTER(INDIRECT(AG$112),(INDIRECT($B$112)=$B82)*(INDIRECT($D$112)=$D82)*(INDIRECT($F$112)=$F82),0)),0)</f>
        <v>0</v>
      </c>
      <c r="AH82" s="403" cm="1">
        <f t="array" aca="1" ref="AH82" ca="1">IFERROR(SUM(_xlfn._xlws.FILTER(INDIRECT(AH$112),(INDIRECT($B$112)=$B82)*(INDIRECT($D$112)=$D82)*(INDIRECT($F$112)=$F82),0)),0)</f>
        <v>0</v>
      </c>
      <c r="AI82" s="403" cm="1">
        <f t="array" aca="1" ref="AI82" ca="1">IFERROR(SUM(_xlfn._xlws.FILTER(INDIRECT(AI$112),(INDIRECT($B$112)=$B82)*(INDIRECT($D$112)=$D82)*(INDIRECT($F$112)=$F82),0)),0)</f>
        <v>0</v>
      </c>
      <c r="AJ82" s="403" cm="1">
        <f t="array" aca="1" ref="AJ82" ca="1">IFERROR(SUM(_xlfn._xlws.FILTER(INDIRECT(AJ$112),(INDIRECT($B$112)=$B82)*(INDIRECT($D$112)=$D82)*(INDIRECT($F$112)=$F82),0)),0)</f>
        <v>0</v>
      </c>
      <c r="AK82" s="403" cm="1">
        <f t="array" aca="1" ref="AK82" ca="1">IFERROR(SUM(_xlfn._xlws.FILTER(INDIRECT(AK$112),(INDIRECT($B$112)=$B82)*(INDIRECT($D$112)=$D82)*(INDIRECT($F$112)=$F82),0)),0)</f>
        <v>0</v>
      </c>
      <c r="AL82" s="403" cm="1">
        <f t="array" aca="1" ref="AL82" ca="1">IFERROR(SUM(_xlfn._xlws.FILTER(INDIRECT(AL$112),(INDIRECT($B$112)=$B82)*(INDIRECT($D$112)=$D82)*(INDIRECT($F$112)=$F82),0)),0)</f>
        <v>0</v>
      </c>
      <c r="AM82" s="403" cm="1">
        <f t="array" aca="1" ref="AM82" ca="1">IFERROR(SUM(_xlfn._xlws.FILTER(INDIRECT(AM$112),(INDIRECT($B$112)=$B82)*(INDIRECT($D$112)=$D82)*(INDIRECT($F$112)=$F82),0)),0)</f>
        <v>0</v>
      </c>
      <c r="AN82" s="403" cm="1">
        <f t="array" aca="1" ref="AN82" ca="1">IFERROR(SUM(_xlfn._xlws.FILTER(INDIRECT(AN$112),(INDIRECT($B$112)=$B82)*(INDIRECT($D$112)=$D82)*(INDIRECT($F$112)=$F82),0)),0)</f>
        <v>0</v>
      </c>
      <c r="AO82" s="403" cm="1">
        <f t="array" aca="1" ref="AO82" ca="1">IFERROR(SUM(_xlfn._xlws.FILTER(INDIRECT(AO$112),(INDIRECT($B$112)=$B82)*(INDIRECT($D$112)=$D82)*(INDIRECT($F$112)=$F82),0)),0)</f>
        <v>0</v>
      </c>
      <c r="AP82" s="403" cm="1">
        <f t="array" aca="1" ref="AP82" ca="1">IFERROR(SUM(_xlfn._xlws.FILTER(INDIRECT(AP$112),(INDIRECT($B$112)=$B82)*(INDIRECT($D$112)=$D82)*(INDIRECT($F$112)=$F82),0)),0)</f>
        <v>0</v>
      </c>
      <c r="AQ82" s="403" cm="1">
        <f t="array" aca="1" ref="AQ82" ca="1">IFERROR(SUM(_xlfn._xlws.FILTER(INDIRECT(AQ$112),(INDIRECT($B$112)=$B82)*(INDIRECT($D$112)=$D82)*(INDIRECT($F$112)=$F82),0)),0)</f>
        <v>0</v>
      </c>
      <c r="AR82" s="403" cm="1">
        <f t="array" aca="1" ref="AR82" ca="1">IFERROR(SUM(_xlfn._xlws.FILTER(INDIRECT(AR$112),(INDIRECT($B$112)=$B82)*(INDIRECT($D$112)=$D82)*(INDIRECT($F$112)=$F82),0)),0)</f>
        <v>0</v>
      </c>
      <c r="AS82" s="286" t="str">
        <f t="shared" si="4"/>
        <v>X</v>
      </c>
      <c r="AT82" s="403">
        <f t="shared" ca="1" si="5"/>
        <v>0</v>
      </c>
      <c r="AV82" s="142" cm="1">
        <f t="array" aca="1" ref="AV82" ca="1">IF(AND(_xlfn.LET(_xlpm.x,SUM(ROW()),OR(AND(MATCH("SOT",$A:$A,0)&lt;_xlpm.x,MATCH("EOT",$A:$A,0)&gt;_xlpm.x),AND(MATCH("SOS",$A:$A,0)&lt;_xlpm.x,MATCH("EOS",$A:$A,0)&gt;_xlpm.x),AND(MATCH("SOR",$A:$A,0)&lt;_xlpm.x,MATCH("EOR",$A:$A,0)&gt;_xlpm.x))),INDIRECT("rc"&amp;MATCH("SCD",$1:$1,0),FALSE)="PPTO"),1,0)</f>
        <v>0</v>
      </c>
      <c r="AW82" s="142" cm="1">
        <f t="array" aca="1" ref="AW8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83" spans="1:49" s="153" customFormat="1" ht="12" outlineLevel="2">
      <c r="A83" s="152" t="s">
        <v>1329</v>
      </c>
      <c r="B83" s="401"/>
      <c r="C83" s="148"/>
      <c r="D83" s="404"/>
      <c r="E83" s="405"/>
      <c r="F83" s="402"/>
      <c r="G83" s="402"/>
      <c r="H83" s="403"/>
      <c r="I83" s="403"/>
      <c r="J83" s="403"/>
      <c r="K83" s="403"/>
      <c r="L83" s="403"/>
      <c r="M83" s="403"/>
      <c r="N83" s="403"/>
      <c r="O83" s="403"/>
      <c r="P83" s="403"/>
      <c r="Q83" s="403"/>
      <c r="R83" s="403"/>
      <c r="S83" s="403"/>
      <c r="T83" s="403"/>
      <c r="U83" s="403"/>
      <c r="V83" s="403"/>
      <c r="W83" s="403"/>
      <c r="X83" s="403"/>
      <c r="Y83" s="403"/>
      <c r="Z83" s="403"/>
      <c r="AA83" s="403"/>
      <c r="AB83" s="403"/>
      <c r="AC83" s="403"/>
      <c r="AD83" s="403"/>
      <c r="AE83" s="403"/>
      <c r="AF83" s="403"/>
      <c r="AG83" s="403"/>
      <c r="AH83" s="403"/>
      <c r="AI83" s="403"/>
      <c r="AJ83" s="403"/>
      <c r="AK83" s="403"/>
      <c r="AL83" s="403"/>
      <c r="AM83" s="403"/>
      <c r="AN83" s="403"/>
      <c r="AO83" s="403"/>
      <c r="AP83" s="403"/>
      <c r="AQ83" s="403"/>
      <c r="AR83" s="403"/>
      <c r="AS83" s="286" t="str">
        <f>IF($B83="","X",ADDRESS(SUM(ROW()),MATCH("SCD",$1:$1,0)+1,4)&amp;":"&amp;ADDRESS(SUM(ROW()),MATCH("ECD",$1:$1,0)-1,4))</f>
        <v>X</v>
      </c>
      <c r="AT83" s="403">
        <f t="shared" ca="1" si="5"/>
        <v>0</v>
      </c>
      <c r="AV83" s="142" cm="1">
        <f t="array" aca="1" ref="AV83" ca="1">IF(AND(_xlfn.LET(_xlpm.x,SUM(ROW()),OR(AND(MATCH("SOT",$A:$A,0)&lt;_xlpm.x,MATCH("EOT",$A:$A,0)&gt;_xlpm.x),AND(MATCH("SOS",$A:$A,0)&lt;_xlpm.x,MATCH("EOS",$A:$A,0)&gt;_xlpm.x),AND(MATCH("SOR",$A:$A,0)&lt;_xlpm.x,MATCH("EOR",$A:$A,0)&gt;_xlpm.x))),INDIRECT("rc"&amp;MATCH("SCD",$1:$1,0),FALSE)="PPTO"),1,0)</f>
        <v>0</v>
      </c>
      <c r="AW83" s="142" cm="1">
        <f t="array" aca="1" ref="AW8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84" spans="1:49" s="153" customFormat="1" outlineLevel="1">
      <c r="A84" s="152"/>
      <c r="B84" s="401"/>
      <c r="C84" s="148"/>
      <c r="D84" s="404"/>
      <c r="E84" s="405"/>
      <c r="F84" s="402"/>
      <c r="G84" s="402"/>
      <c r="H84" s="403"/>
      <c r="I84" s="403"/>
      <c r="J84" s="403"/>
      <c r="K84" s="403"/>
      <c r="L84" s="403"/>
      <c r="M84" s="403"/>
      <c r="N84" s="403"/>
      <c r="O84" s="403"/>
      <c r="P84" s="403"/>
      <c r="Q84" s="403"/>
      <c r="R84" s="403"/>
      <c r="S84" s="403"/>
      <c r="T84" s="403"/>
      <c r="U84" s="403"/>
      <c r="V84" s="403"/>
      <c r="W84" s="403"/>
      <c r="X84" s="403"/>
      <c r="Y84" s="403"/>
      <c r="Z84" s="403"/>
      <c r="AA84" s="403"/>
      <c r="AB84" s="403"/>
      <c r="AC84" s="403"/>
      <c r="AD84" s="403"/>
      <c r="AE84" s="403"/>
      <c r="AF84" s="403"/>
      <c r="AG84" s="403"/>
      <c r="AH84" s="403"/>
      <c r="AI84" s="403"/>
      <c r="AJ84" s="403"/>
      <c r="AK84" s="403"/>
      <c r="AL84" s="403"/>
      <c r="AM84" s="403"/>
      <c r="AN84" s="403"/>
      <c r="AO84" s="403"/>
      <c r="AP84" s="403"/>
      <c r="AQ84" s="403"/>
      <c r="AR84" s="403"/>
      <c r="AS84" s="286"/>
      <c r="AV84" s="142" cm="1">
        <f t="array" aca="1" ref="AV84" ca="1">IF(AND(_xlfn.LET(_xlpm.x,SUM(ROW()),OR(AND(MATCH("SOT",$A:$A,0)&lt;_xlpm.x,MATCH("EOT",$A:$A,0)&gt;_xlpm.x),AND(MATCH("SOS",$A:$A,0)&lt;_xlpm.x,MATCH("EOS",$A:$A,0)&gt;_xlpm.x),AND(MATCH("SOR",$A:$A,0)&lt;_xlpm.x,MATCH("EOR",$A:$A,0)&gt;_xlpm.x))),INDIRECT("rc"&amp;MATCH("SCD",$1:$1,0),FALSE)="PPTO"),1,0)</f>
        <v>0</v>
      </c>
      <c r="AW84" s="142" cm="1">
        <f t="array" aca="1" ref="AW8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85" spans="1:49" outlineLevel="1">
      <c r="B85" s="485" t="s">
        <v>1748</v>
      </c>
      <c r="C85" s="485"/>
      <c r="D85" s="485"/>
      <c r="E85" s="485"/>
      <c r="F85" s="485"/>
      <c r="G85" s="485"/>
      <c r="H85" s="485"/>
      <c r="I85" s="485"/>
      <c r="J85" s="485"/>
      <c r="K85" s="485"/>
      <c r="L85" s="485"/>
      <c r="M85" s="485"/>
      <c r="N85" s="485"/>
      <c r="O85" s="485"/>
      <c r="P85" s="485"/>
      <c r="Q85" s="485"/>
      <c r="R85" s="485"/>
      <c r="S85" s="485"/>
      <c r="T85" s="485"/>
      <c r="U85" s="485"/>
      <c r="V85" s="485"/>
      <c r="W85" s="485"/>
      <c r="X85" s="485"/>
      <c r="Y85" s="485"/>
      <c r="Z85" s="485"/>
      <c r="AA85" s="485"/>
      <c r="AB85" s="485"/>
      <c r="AC85" s="485"/>
      <c r="AD85" s="485"/>
      <c r="AE85" s="485"/>
      <c r="AF85" s="485"/>
      <c r="AG85" s="485"/>
      <c r="AH85" s="485"/>
      <c r="AI85" s="485"/>
      <c r="AJ85" s="485"/>
      <c r="AK85" s="485"/>
      <c r="AL85" s="485"/>
      <c r="AM85" s="485"/>
      <c r="AN85" s="485"/>
      <c r="AO85" s="485"/>
      <c r="AP85" s="485"/>
      <c r="AQ85" s="485"/>
      <c r="AR85" s="485"/>
      <c r="AS85" s="485"/>
      <c r="AV85" s="142" cm="1">
        <f t="array" aca="1" ref="AV85" ca="1">IF(AND(_xlfn.LET(_xlpm.x,SUM(ROW()),OR(AND(MATCH("SOT",$A:$A,0)&lt;_xlpm.x,MATCH("EOT",$A:$A,0)&gt;_xlpm.x),AND(MATCH("SOS",$A:$A,0)&lt;_xlpm.x,MATCH("EOS",$A:$A,0)&gt;_xlpm.x),AND(MATCH("SOR",$A:$A,0)&lt;_xlpm.x,MATCH("EOR",$A:$A,0)&gt;_xlpm.x))),INDIRECT("rc"&amp;MATCH("SCD",$1:$1,0),FALSE)="PPTO"),1,0)</f>
        <v>0</v>
      </c>
      <c r="AW85" s="142" cm="1">
        <f t="array" aca="1" ref="AW8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86" spans="1:49" ht="13" outlineLevel="1">
      <c r="A86" s="155" t="s">
        <v>1732</v>
      </c>
      <c r="B86" s="198" t="str">
        <f t="shared" ref="B86:AT86" ca="1" si="6">ADDRESS(MATCH("SO"&amp;RIGHT($A86,1),$A:$A,0)+1,SUM(COLUMN()),4,1,$B$9)&amp;":"&amp;ADDRESS(MATCH("EO"&amp;RIGHT($A86,1),$A:$A,0)-1,SUM(COLUMN()),4)</f>
        <v>PPR!B89:B94</v>
      </c>
      <c r="C86" s="198" t="str">
        <f t="shared" ca="1" si="6"/>
        <v>PPR!C89:C94</v>
      </c>
      <c r="D86" s="198" t="str">
        <f t="shared" ca="1" si="6"/>
        <v>PPR!D89:D94</v>
      </c>
      <c r="E86" s="348" t="str">
        <f t="shared" ca="1" si="6"/>
        <v>PPR!E89:E94</v>
      </c>
      <c r="F86" s="198" t="str">
        <f t="shared" ca="1" si="6"/>
        <v>PPR!F89:F94</v>
      </c>
      <c r="G86" s="198" t="str">
        <f t="shared" ca="1" si="6"/>
        <v>PPR!G89:G94</v>
      </c>
      <c r="H86" s="198" t="str">
        <f t="shared" ca="1" si="6"/>
        <v>PPR!H89:H94</v>
      </c>
      <c r="I86" s="198" t="str">
        <f t="shared" ca="1" si="6"/>
        <v>PPR!I89:I94</v>
      </c>
      <c r="J86" s="198" t="str">
        <f t="shared" ca="1" si="6"/>
        <v>PPR!J89:J94</v>
      </c>
      <c r="K86" s="198" t="str">
        <f t="shared" ca="1" si="6"/>
        <v>PPR!K89:K94</v>
      </c>
      <c r="L86" s="198" t="str">
        <f t="shared" ca="1" si="6"/>
        <v>PPR!L89:L94</v>
      </c>
      <c r="M86" s="198" t="str">
        <f t="shared" ca="1" si="6"/>
        <v>PPR!M89:M94</v>
      </c>
      <c r="N86" s="198" t="str">
        <f t="shared" ca="1" si="6"/>
        <v>PPR!N89:N94</v>
      </c>
      <c r="O86" s="198" t="str">
        <f t="shared" ca="1" si="6"/>
        <v>PPR!O89:O94</v>
      </c>
      <c r="P86" s="198" t="str">
        <f t="shared" ca="1" si="6"/>
        <v>PPR!P89:P94</v>
      </c>
      <c r="Q86" s="198" t="str">
        <f t="shared" ca="1" si="6"/>
        <v>PPR!Q89:Q94</v>
      </c>
      <c r="R86" s="198" t="str">
        <f t="shared" ca="1" si="6"/>
        <v>PPR!R89:R94</v>
      </c>
      <c r="S86" s="198" t="str">
        <f t="shared" ca="1" si="6"/>
        <v>PPR!S89:S94</v>
      </c>
      <c r="T86" s="198" t="str">
        <f t="shared" ca="1" si="6"/>
        <v>PPR!T89:T94</v>
      </c>
      <c r="U86" s="198" t="str">
        <f t="shared" ca="1" si="6"/>
        <v>PPR!U89:U94</v>
      </c>
      <c r="V86" s="198" t="str">
        <f t="shared" ca="1" si="6"/>
        <v>PPR!V89:V94</v>
      </c>
      <c r="W86" s="198" t="str">
        <f t="shared" ca="1" si="6"/>
        <v>PPR!W89:W94</v>
      </c>
      <c r="X86" s="198" t="str">
        <f t="shared" ca="1" si="6"/>
        <v>PPR!X89:X94</v>
      </c>
      <c r="Y86" s="198" t="str">
        <f t="shared" ca="1" si="6"/>
        <v>PPR!Y89:Y94</v>
      </c>
      <c r="Z86" s="198" t="str">
        <f t="shared" ca="1" si="6"/>
        <v>PPR!Z89:Z94</v>
      </c>
      <c r="AA86" s="198" t="str">
        <f t="shared" ca="1" si="6"/>
        <v>PPR!AA89:AA94</v>
      </c>
      <c r="AB86" s="198" t="str">
        <f t="shared" ca="1" si="6"/>
        <v>PPR!AB89:AB94</v>
      </c>
      <c r="AC86" s="198" t="str">
        <f t="shared" ca="1" si="6"/>
        <v>PPR!AC89:AC94</v>
      </c>
      <c r="AD86" s="198" t="str">
        <f t="shared" ca="1" si="6"/>
        <v>PPR!AD89:AD94</v>
      </c>
      <c r="AE86" s="198" t="str">
        <f t="shared" ca="1" si="6"/>
        <v>PPR!AE89:AE94</v>
      </c>
      <c r="AF86" s="198" t="str">
        <f t="shared" ca="1" si="6"/>
        <v>PPR!AF89:AF94</v>
      </c>
      <c r="AG86" s="198" t="str">
        <f t="shared" ca="1" si="6"/>
        <v>PPR!AG89:AG94</v>
      </c>
      <c r="AH86" s="198" t="str">
        <f t="shared" ca="1" si="6"/>
        <v>PPR!AH89:AH94</v>
      </c>
      <c r="AI86" s="198" t="str">
        <f t="shared" ca="1" si="6"/>
        <v>PPR!AI89:AI94</v>
      </c>
      <c r="AJ86" s="198" t="str">
        <f t="shared" ca="1" si="6"/>
        <v>PPR!AJ89:AJ94</v>
      </c>
      <c r="AK86" s="198" t="str">
        <f t="shared" ca="1" si="6"/>
        <v>PPR!AK89:AK94</v>
      </c>
      <c r="AL86" s="198" t="str">
        <f t="shared" ca="1" si="6"/>
        <v>PPR!AL89:AL94</v>
      </c>
      <c r="AM86" s="198" t="str">
        <f t="shared" ca="1" si="6"/>
        <v>PPR!AM89:AM94</v>
      </c>
      <c r="AN86" s="198" t="str">
        <f t="shared" ca="1" si="6"/>
        <v>PPR!AN89:AN94</v>
      </c>
      <c r="AO86" s="198" t="str">
        <f t="shared" ca="1" si="6"/>
        <v>PPR!AO89:AO94</v>
      </c>
      <c r="AP86" s="198" t="str">
        <f t="shared" ca="1" si="6"/>
        <v>PPR!AP89:AP94</v>
      </c>
      <c r="AQ86" s="198" t="str">
        <f t="shared" ca="1" si="6"/>
        <v>PPR!AQ89:AQ94</v>
      </c>
      <c r="AR86" s="198" t="str">
        <f t="shared" ca="1" si="6"/>
        <v>PPR!AR89:AR94</v>
      </c>
      <c r="AS86" s="198" t="str">
        <f t="shared" ca="1" si="6"/>
        <v>PPR!AS89:AS94</v>
      </c>
      <c r="AT86" s="198" t="str">
        <f t="shared" ca="1" si="6"/>
        <v>PPR!AT89:AT94</v>
      </c>
      <c r="AV86" s="142" cm="1">
        <f t="array" aca="1" ref="AV86" ca="1">IF(AND(_xlfn.LET(_xlpm.x,SUM(ROW()),OR(AND(MATCH("SOT",$A:$A,0)&lt;_xlpm.x,MATCH("EOT",$A:$A,0)&gt;_xlpm.x),AND(MATCH("SOS",$A:$A,0)&lt;_xlpm.x,MATCH("EOS",$A:$A,0)&gt;_xlpm.x),AND(MATCH("SOR",$A:$A,0)&lt;_xlpm.x,MATCH("EOR",$A:$A,0)&gt;_xlpm.x))),INDIRECT("rc"&amp;MATCH("SCD",$1:$1,0),FALSE)="PPTO"),1,0)</f>
        <v>0</v>
      </c>
      <c r="AW86" s="142" cm="1">
        <f t="array" aca="1" ref="AW8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87" spans="1:49" outlineLevel="1">
      <c r="B87" s="198"/>
      <c r="C87" s="198" t="str">
        <f ca="1">ADDRESS(MATCH("SOS",$A:$A,0)+1,MATCH("SOC",$1:$1,0)+1,4,1,$B$9)&amp;":"&amp;ADDRESS(MATCH("EOS",$A:$A,0)-1,MATCH("EOC",$1:$1,0)-1,4)</f>
        <v>PPR!B89:AR94</v>
      </c>
      <c r="D87" s="198"/>
      <c r="E87" s="348"/>
      <c r="F87" s="198"/>
      <c r="G87" s="198"/>
      <c r="H87" s="198"/>
      <c r="I87" s="198"/>
      <c r="J87" s="198"/>
      <c r="K87" s="198"/>
      <c r="L87" s="198"/>
      <c r="M87" s="198"/>
      <c r="N87" s="198"/>
      <c r="O87" s="198"/>
      <c r="P87" s="198"/>
      <c r="Q87" s="198"/>
      <c r="R87" s="198"/>
      <c r="S87" s="198"/>
      <c r="T87" s="198"/>
      <c r="U87" s="198"/>
      <c r="V87" s="198"/>
      <c r="W87" s="198"/>
      <c r="X87" s="198"/>
      <c r="Y87" s="198"/>
      <c r="Z87" s="198"/>
      <c r="AA87" s="198"/>
      <c r="AB87" s="198"/>
      <c r="AC87" s="198"/>
      <c r="AD87" s="198"/>
      <c r="AE87" s="198"/>
      <c r="AF87" s="198"/>
      <c r="AG87" s="198"/>
      <c r="AH87" s="198"/>
      <c r="AI87" s="198"/>
      <c r="AJ87" s="198"/>
      <c r="AK87" s="198"/>
      <c r="AL87" s="198"/>
      <c r="AM87" s="198"/>
      <c r="AN87" s="198"/>
      <c r="AO87" s="198"/>
      <c r="AP87" s="198"/>
      <c r="AQ87" s="198"/>
      <c r="AR87" s="198"/>
      <c r="AS87" s="198"/>
      <c r="AT87" s="198"/>
      <c r="AV87" s="142" cm="1">
        <f t="array" aca="1" ref="AV87" ca="1">IF(AND(_xlfn.LET(_xlpm.x,SUM(ROW()),OR(AND(MATCH("SOT",$A:$A,0)&lt;_xlpm.x,MATCH("EOT",$A:$A,0)&gt;_xlpm.x),AND(MATCH("SOS",$A:$A,0)&lt;_xlpm.x,MATCH("EOS",$A:$A,0)&gt;_xlpm.x),AND(MATCH("SOR",$A:$A,0)&lt;_xlpm.x,MATCH("EOR",$A:$A,0)&gt;_xlpm.x))),INDIRECT("rc"&amp;MATCH("SCD",$1:$1,0),FALSE)="PPTO"),1,0)</f>
        <v>0</v>
      </c>
      <c r="AW87" s="142" cm="1">
        <f t="array" aca="1" ref="AW8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88" spans="1:49" s="153" customFormat="1" ht="12" outlineLevel="2">
      <c r="A88" s="152" t="s">
        <v>1730</v>
      </c>
      <c r="B88" s="401"/>
      <c r="C88" s="148"/>
      <c r="D88" s="288">
        <f ca="1">COUNTIF(_xlfn.ANCHORARRAY(B89),"&lt;&gt;X")</f>
        <v>3</v>
      </c>
      <c r="E88" s="405"/>
      <c r="F88" s="402"/>
      <c r="G88" s="403"/>
      <c r="H88" s="403"/>
      <c r="I88" s="403"/>
      <c r="J88" s="403"/>
      <c r="K88" s="403"/>
      <c r="L88" s="403"/>
      <c r="M88" s="403"/>
      <c r="N88" s="403"/>
      <c r="O88" s="403"/>
      <c r="P88" s="403"/>
      <c r="Q88" s="403"/>
      <c r="R88" s="403"/>
      <c r="S88" s="403"/>
      <c r="T88" s="403"/>
      <c r="U88" s="403"/>
      <c r="V88" s="403"/>
      <c r="W88" s="403"/>
      <c r="X88" s="403"/>
      <c r="Y88" s="403"/>
      <c r="Z88" s="403"/>
      <c r="AA88" s="403"/>
      <c r="AB88" s="403"/>
      <c r="AC88" s="403"/>
      <c r="AD88" s="403"/>
      <c r="AE88" s="403"/>
      <c r="AF88" s="403"/>
      <c r="AG88" s="403"/>
      <c r="AH88" s="403"/>
      <c r="AI88" s="403"/>
      <c r="AJ88" s="403"/>
      <c r="AK88" s="403"/>
      <c r="AL88" s="403"/>
      <c r="AM88" s="403"/>
      <c r="AN88" s="403"/>
      <c r="AO88" s="403"/>
      <c r="AP88" s="403"/>
      <c r="AQ88" s="403"/>
      <c r="AR88" s="403"/>
      <c r="AS88" s="286" t="str">
        <f t="shared" ref="AS88:AS96" si="7">IF($B88="","X",ADDRESS(SUM(ROW()),MATCH("SCD",$1:$1,0)+1,4)&amp;":"&amp;ADDRESS(SUM(ROW()),MATCH("ECD",$1:$1,0)-1,4))</f>
        <v>X</v>
      </c>
      <c r="AV88" s="142" cm="1">
        <f t="array" aca="1" ref="AV88" ca="1">IF(AND(_xlfn.LET(_xlpm.x,SUM(ROW()),OR(AND(MATCH("SOT",$A:$A,0)&lt;_xlpm.x,MATCH("EOT",$A:$A,0)&gt;_xlpm.x),AND(MATCH("SOS",$A:$A,0)&lt;_xlpm.x,MATCH("EOS",$A:$A,0)&gt;_xlpm.x),AND(MATCH("SOR",$A:$A,0)&lt;_xlpm.x,MATCH("EOR",$A:$A,0)&gt;_xlpm.x))),INDIRECT("rc"&amp;MATCH("SCD",$1:$1,0),FALSE)="PPTO"),1,0)</f>
        <v>0</v>
      </c>
      <c r="AW88" s="142" cm="1">
        <f t="array" aca="1" ref="AW8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89" spans="1:49" s="153" customFormat="1" outlineLevel="2">
      <c r="A89" s="152"/>
      <c r="B89" s="401" t="str" cm="1">
        <f t="array" aca="1" ref="B89:B91" ca="1">_xlfn.LET(_xlpm.x,_xlfn.CHOOSECOLS(_xlfn.LET(_xlpm.x,_xlfn.CHOOSECOLS(INDIRECT($C$113),1,5),_xlfn._xlws.SORT(_xlfn.UNIQUE(_xlpm.x))),1),_xlfn._xlws.FILTER(_xlpm.x,_xlpm.x&lt;&gt;"X","X"))</f>
        <v>31200</v>
      </c>
      <c r="C89" s="148"/>
      <c r="D89" s="404"/>
      <c r="E89" s="405" t="str">
        <f t="shared" ref="E89:E94" ca="1" si="8">IF(B89&lt;&gt;"","SUBGROUP TOTS","")</f>
        <v>SUBGROUP TOTS</v>
      </c>
      <c r="F89" s="402" t="str" cm="1">
        <f t="array" aca="1" ref="F89:F91" ca="1">_xlfn.TAKE(_xlfn.LET(_xlpm.x,_xlfn.CHOOSECOLS(_xlfn.LET(_xlpm.x,_xlfn.CHOOSECOLS(INDIRECT($C$113),1,5),_xlfn._xlws.SORT(_xlfn.UNIQUE(_xlpm.x))),2),_xlfn._xlws.FILTER(_xlpm.x,_xlpm.x&lt;&gt;"X","X")),$D$88)</f>
        <v>PPTO</v>
      </c>
      <c r="G89" s="403" cm="1">
        <f t="array" aca="1" ref="G89" ca="1">IFERROR(SUM(_xlfn._xlws.FILTER(INDIRECT(G$6),(INDIRECT($B$6)=$B89)*(INDIRECT($F$6)=$F89),0)),0)</f>
        <v>148160.42980094999</v>
      </c>
      <c r="H89" s="403" cm="1">
        <f t="array" aca="1" ref="H89" ca="1">IFERROR(SUM(_xlfn._xlws.FILTER(INDIRECT(H$6),(INDIRECT($B$6)=$B89)*(INDIRECT($F$6)=$F89),0)),0)</f>
        <v>0</v>
      </c>
      <c r="I89" s="403" cm="1">
        <f t="array" aca="1" ref="I89" ca="1">IFERROR(SUM(_xlfn._xlws.FILTER(INDIRECT(I$6),(INDIRECT($B$6)=$B89)*(INDIRECT($F$6)=$F89),0)),0)</f>
        <v>112842.694944</v>
      </c>
      <c r="J89" s="403" cm="1">
        <f t="array" aca="1" ref="J89" ca="1">IFERROR(SUM(_xlfn._xlws.FILTER(INDIRECT(J$6),(INDIRECT($B$6)=$B89)*(INDIRECT($F$6)=$F89),0)),0)</f>
        <v>0</v>
      </c>
      <c r="K89" s="403" cm="1">
        <f t="array" aca="1" ref="K89" ca="1">IFERROR(SUM(_xlfn._xlws.FILTER(INDIRECT(K$6),(INDIRECT($B$6)=$B89)*(INDIRECT($F$6)=$F89),0)),0)</f>
        <v>456309.83013433131</v>
      </c>
      <c r="L89" s="403" cm="1">
        <f t="array" aca="1" ref="L89" ca="1">IFERROR(SUM(_xlfn._xlws.FILTER(INDIRECT(L$6),(INDIRECT($B$6)=$B89)*(INDIRECT($F$6)=$F89),0)),0)</f>
        <v>77378.083578237507</v>
      </c>
      <c r="M89" s="403" cm="1">
        <f t="array" aca="1" ref="M89" ca="1">IFERROR(SUM(_xlfn._xlws.FILTER(INDIRECT(M$6),(INDIRECT($B$6)=$B89)*(INDIRECT($F$6)=$F89),0)),0)</f>
        <v>59885.185998207919</v>
      </c>
      <c r="N89" s="403" cm="1">
        <f t="array" aca="1" ref="N89" ca="1">IFERROR(SUM(_xlfn._xlws.FILTER(INDIRECT(N$6),(INDIRECT($B$6)=$B89)*(INDIRECT($F$6)=$F89),0)),0)</f>
        <v>64767.944087670418</v>
      </c>
      <c r="O89" s="403" cm="1">
        <f t="array" aca="1" ref="O89" ca="1">IFERROR(SUM(_xlfn._xlws.FILTER(INDIRECT(O$6),(INDIRECT($B$6)=$B89)*(INDIRECT($F$6)=$F89),0)),0)</f>
        <v>186932.81175121779</v>
      </c>
      <c r="P89" s="403" cm="1">
        <f t="array" aca="1" ref="P89" ca="1">IFERROR(SUM(_xlfn._xlws.FILTER(INDIRECT(P$6),(INDIRECT($B$6)=$B89)*(INDIRECT($F$6)=$F89),0)),0)</f>
        <v>203874.82073650407</v>
      </c>
      <c r="Q89" s="403" cm="1">
        <f t="array" aca="1" ref="Q89" ca="1">IFERROR(SUM(_xlfn._xlws.FILTER(INDIRECT(Q$6),(INDIRECT($B$6)=$B89)*(INDIRECT($F$6)=$F89),0)),0)</f>
        <v>26455.825996187497</v>
      </c>
      <c r="R89" s="403" cm="1">
        <f t="array" aca="1" ref="R89" ca="1">IFERROR(SUM(_xlfn._xlws.FILTER(INDIRECT(R$6),(INDIRECT($B$6)=$B89)*(INDIRECT($F$6)=$F89),0)),0)</f>
        <v>0</v>
      </c>
      <c r="S89" s="403" cm="1">
        <f t="array" aca="1" ref="S89" ca="1">IFERROR(SUM(_xlfn._xlws.FILTER(INDIRECT(S$6),(INDIRECT($B$6)=$B89)*(INDIRECT($F$6)=$F89),0)),0)</f>
        <v>108305.83807799403</v>
      </c>
      <c r="T89" s="403" cm="1">
        <f t="array" aca="1" ref="T89" ca="1">IFERROR(SUM(_xlfn._xlws.FILTER(INDIRECT(T$6),(INDIRECT($B$6)=$B89)*(INDIRECT($F$6)=$F89),0)),0)</f>
        <v>231152.34225957611</v>
      </c>
      <c r="U89" s="403" cm="1">
        <f t="array" aca="1" ref="U89" ca="1">IFERROR(SUM(_xlfn._xlws.FILTER(INDIRECT(U$6),(INDIRECT($B$6)=$B89)*(INDIRECT($F$6)=$F89),0)),0)</f>
        <v>152696.9493604053</v>
      </c>
      <c r="V89" s="403" cm="1">
        <f t="array" aca="1" ref="V89" ca="1">IFERROR(SUM(_xlfn._xlws.FILTER(INDIRECT(V$6),(INDIRECT($B$6)=$B89)*(INDIRECT($F$6)=$F89),0)),0)</f>
        <v>1095048.6332788626</v>
      </c>
      <c r="W89" s="403" cm="1">
        <f t="array" aca="1" ref="W89" ca="1">IFERROR(SUM(_xlfn._xlws.FILTER(INDIRECT(W$6),(INDIRECT($B$6)=$B89)*(INDIRECT($F$6)=$F89),0)),0)</f>
        <v>143813.40323981835</v>
      </c>
      <c r="X89" s="403" cm="1">
        <f t="array" aca="1" ref="X89" ca="1">IFERROR(SUM(_xlfn._xlws.FILTER(INDIRECT(X$6),(INDIRECT($B$6)=$B89)*(INDIRECT($F$6)=$F89),0)),0)</f>
        <v>328094.45820606977</v>
      </c>
      <c r="Y89" s="403" cm="1">
        <f t="array" aca="1" ref="Y89" ca="1">IFERROR(SUM(_xlfn._xlws.FILTER(INDIRECT(Y$6),(INDIRECT($B$6)=$B89)*(INDIRECT($F$6)=$F89),0)),0)</f>
        <v>31354.234743376866</v>
      </c>
      <c r="Z89" s="403" cm="1">
        <f t="array" aca="1" ref="Z89" ca="1">IFERROR(SUM(_xlfn._xlws.FILTER(INDIRECT(Z$6),(INDIRECT($B$6)=$B89)*(INDIRECT($F$6)=$F89),0)),0)</f>
        <v>6242.0316539533305</v>
      </c>
      <c r="AA89" s="403" cm="1">
        <f t="array" aca="1" ref="AA89" ca="1">IFERROR(SUM(_xlfn._xlws.FILTER(INDIRECT(AA$6),(INDIRECT($B$6)=$B89)*(INDIRECT($F$6)=$F89),0)),0)</f>
        <v>0</v>
      </c>
      <c r="AB89" s="403" cm="1">
        <f t="array" aca="1" ref="AB89" ca="1">IFERROR(SUM(_xlfn._xlws.FILTER(INDIRECT(AB$6),(INDIRECT($B$6)=$B89)*(INDIRECT($F$6)=$F89),0)),0)</f>
        <v>0</v>
      </c>
      <c r="AC89" s="403" cm="1">
        <f t="array" aca="1" ref="AC89" ca="1">IFERROR(SUM(_xlfn._xlws.FILTER(INDIRECT(AC$6),(INDIRECT($B$6)=$B89)*(INDIRECT($F$6)=$F89),0)),0)</f>
        <v>7018.3298967039991</v>
      </c>
      <c r="AD89" s="403" cm="1">
        <f t="array" aca="1" ref="AD89" ca="1">IFERROR(SUM(_xlfn._xlws.FILTER(INDIRECT(AD$6),(INDIRECT($B$6)=$B89)*(INDIRECT($F$6)=$F89),0)),0)</f>
        <v>37941.426513023995</v>
      </c>
      <c r="AE89" s="403" cm="1">
        <f t="array" aca="1" ref="AE89" ca="1">IFERROR(SUM(_xlfn._xlws.FILTER(INDIRECT(AE$6),(INDIRECT($B$6)=$B89)*(INDIRECT($F$6)=$F89),0)),0)</f>
        <v>36266.113128404002</v>
      </c>
      <c r="AF89" s="403" cm="1">
        <f t="array" aca="1" ref="AF89" ca="1">IFERROR(SUM(_xlfn._xlws.FILTER(INDIRECT(AF$6),(INDIRECT($B$6)=$B89)*(INDIRECT($F$6)=$F89),0)),0)</f>
        <v>233435.85105272403</v>
      </c>
      <c r="AG89" s="403" cm="1">
        <f t="array" aca="1" ref="AG89" ca="1">IFERROR(SUM(_xlfn._xlws.FILTER(INDIRECT(AG$6),(INDIRECT($B$6)=$B89)*(INDIRECT($F$6)=$F89),0)),0)</f>
        <v>0</v>
      </c>
      <c r="AH89" s="403" cm="1">
        <f t="array" aca="1" ref="AH89" ca="1">IFERROR(SUM(_xlfn._xlws.FILTER(INDIRECT(AH$6),(INDIRECT($B$6)=$B89)*(INDIRECT($F$6)=$F89),0)),0)</f>
        <v>0</v>
      </c>
      <c r="AI89" s="403" cm="1">
        <f t="array" aca="1" ref="AI89" ca="1">IFERROR(SUM(_xlfn._xlws.FILTER(INDIRECT(AI$6),(INDIRECT($B$6)=$B89)*(INDIRECT($F$6)=$F89),0)),0)</f>
        <v>0</v>
      </c>
      <c r="AJ89" s="403" cm="1">
        <f t="array" aca="1" ref="AJ89" ca="1">IFERROR(SUM(_xlfn._xlws.FILTER(INDIRECT(AJ$6),(INDIRECT($B$6)=$B89)*(INDIRECT($F$6)=$F89),0)),0)</f>
        <v>1615434.9599999997</v>
      </c>
      <c r="AK89" s="403" cm="1">
        <f t="array" aca="1" ref="AK89" ca="1">IFERROR(SUM(_xlfn._xlws.FILTER(INDIRECT(AK$6),(INDIRECT($B$6)=$B89)*(INDIRECT($F$6)=$F89),0)),0)</f>
        <v>0</v>
      </c>
      <c r="AL89" s="403" cm="1">
        <f t="array" aca="1" ref="AL89" ca="1">IFERROR(SUM(_xlfn._xlws.FILTER(INDIRECT(AL$6),(INDIRECT($B$6)=$B89)*(INDIRECT($F$6)=$F89),0)),0)</f>
        <v>596880.43000000005</v>
      </c>
      <c r="AM89" s="403" cm="1">
        <f t="array" aca="1" ref="AM89" ca="1">IFERROR(SUM(_xlfn._xlws.FILTER(INDIRECT(AM$6),(INDIRECT($B$6)=$B89)*(INDIRECT($F$6)=$F89),0)),0)</f>
        <v>0</v>
      </c>
      <c r="AN89" s="403" cm="1">
        <f t="array" aca="1" ref="AN89" ca="1">IFERROR(SUM(_xlfn._xlws.FILTER(INDIRECT(AN$6),(INDIRECT($B$6)=$B89)*(INDIRECT($F$6)=$F89),0)),0)</f>
        <v>164143.50999999998</v>
      </c>
      <c r="AO89" s="403" cm="1">
        <f t="array" aca="1" ref="AO89" ca="1">IFERROR(SUM(_xlfn._xlws.FILTER(INDIRECT(AO$6),(INDIRECT($B$6)=$B89)*(INDIRECT($F$6)=$F89),0)),0)</f>
        <v>0</v>
      </c>
      <c r="AP89" s="403" cm="1">
        <f t="array" aca="1" ref="AP89" ca="1">IFERROR(SUM(_xlfn._xlws.FILTER(INDIRECT(AP$6),(INDIRECT($B$6)=$B89)*(INDIRECT($F$6)=$F89),0)),0)</f>
        <v>350584.16680000001</v>
      </c>
      <c r="AQ89" s="403" cm="1">
        <f t="array" aca="1" ref="AQ89" ca="1">IFERROR(SUM(_xlfn._xlws.FILTER(INDIRECT(AQ$6),(INDIRECT($B$6)=$B89)*(INDIRECT($F$6)=$F89),0)),0)</f>
        <v>1470041.6470715969</v>
      </c>
      <c r="AR89" s="403" cm="1">
        <f t="array" aca="1" ref="AR89" ca="1">IFERROR(SUM(_xlfn._xlws.FILTER(INDIRECT(AR$6),(INDIRECT($B$6)=$B89)*(INDIRECT($F$6)=$F89),0)),0)</f>
        <v>5004978.6581666209</v>
      </c>
      <c r="AS89" s="286" t="str">
        <f t="shared" ca="1" si="7"/>
        <v>G89:AP89</v>
      </c>
      <c r="AT89" s="403">
        <f t="shared" ref="AT89:AT94" ca="1" si="9">SUM(INDIRECT("rc"&amp;MATCH("ECD",$1:$1,0)&amp;":rc"&amp;(MATCH("EOC",$1:$1,0)-1),FALSE))</f>
        <v>6475020.305238218</v>
      </c>
      <c r="AV89" s="142" cm="1">
        <f t="array" aca="1" ref="AV89" ca="1">IF(AND(_xlfn.LET(_xlpm.x,SUM(ROW()),OR(AND(MATCH("SOT",$A:$A,0)&lt;_xlpm.x,MATCH("EOT",$A:$A,0)&gt;_xlpm.x),AND(MATCH("SOS",$A:$A,0)&lt;_xlpm.x,MATCH("EOS",$A:$A,0)&gt;_xlpm.x),AND(MATCH("SOR",$A:$A,0)&lt;_xlpm.x,MATCH("EOR",$A:$A,0)&gt;_xlpm.x))),INDIRECT("rc"&amp;MATCH("SCD",$1:$1,0),FALSE)="PPTO"),1,0)</f>
        <v>1</v>
      </c>
      <c r="AW89" s="142" cm="1">
        <f t="array" aca="1" ref="AW8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90" spans="1:49" s="153" customFormat="1" outlineLevel="2">
      <c r="A90" s="152"/>
      <c r="B90" s="401" t="str">
        <f ca="1"/>
        <v>31200</v>
      </c>
      <c r="C90" s="148"/>
      <c r="D90" s="404"/>
      <c r="E90" s="405" t="str">
        <f t="shared" ca="1" si="8"/>
        <v>SUBGROUP TOTS</v>
      </c>
      <c r="F90" s="402" t="str">
        <f ca="1"/>
        <v>PREV</v>
      </c>
      <c r="G90" s="403" cm="1">
        <f t="array" aca="1" ref="G90" ca="1">IFERROR(SUM(_xlfn._xlws.FILTER(INDIRECT(G$6),(INDIRECT($B$6)=$B90)*(INDIRECT($F$6)=$F90),0)),0)</f>
        <v>-14000</v>
      </c>
      <c r="H90" s="403" cm="1">
        <f t="array" aca="1" ref="H90" ca="1">IFERROR(SUM(_xlfn._xlws.FILTER(INDIRECT(H$6),(INDIRECT($B$6)=$B90)*(INDIRECT($F$6)=$F90),0)),0)</f>
        <v>0</v>
      </c>
      <c r="I90" s="403" cm="1">
        <f t="array" aca="1" ref="I90" ca="1">IFERROR(SUM(_xlfn._xlws.FILTER(INDIRECT(I$6),(INDIRECT($B$6)=$B90)*(INDIRECT($F$6)=$F90),0)),0)</f>
        <v>-5000</v>
      </c>
      <c r="J90" s="403" cm="1">
        <f t="array" aca="1" ref="J90" ca="1">IFERROR(SUM(_xlfn._xlws.FILTER(INDIRECT(J$6),(INDIRECT($B$6)=$B90)*(INDIRECT($F$6)=$F90),0)),0)</f>
        <v>0</v>
      </c>
      <c r="K90" s="403" cm="1">
        <f t="array" aca="1" ref="K90" ca="1">IFERROR(SUM(_xlfn._xlws.FILTER(INDIRECT(K$6),(INDIRECT($B$6)=$B90)*(INDIRECT($F$6)=$F90),0)),0)</f>
        <v>-235000</v>
      </c>
      <c r="L90" s="403" cm="1">
        <f t="array" aca="1" ref="L90" ca="1">IFERROR(SUM(_xlfn._xlws.FILTER(INDIRECT(L$6),(INDIRECT($B$6)=$B90)*(INDIRECT($F$6)=$F90),0)),0)</f>
        <v>0</v>
      </c>
      <c r="M90" s="403" cm="1">
        <f t="array" aca="1" ref="M90" ca="1">IFERROR(SUM(_xlfn._xlws.FILTER(INDIRECT(M$6),(INDIRECT($B$6)=$B90)*(INDIRECT($F$6)=$F90),0)),0)</f>
        <v>-49885</v>
      </c>
      <c r="N90" s="403" cm="1">
        <f t="array" aca="1" ref="N90" ca="1">IFERROR(SUM(_xlfn._xlws.FILTER(INDIRECT(N$6),(INDIRECT($B$6)=$B90)*(INDIRECT($F$6)=$F90),0)),0)</f>
        <v>0</v>
      </c>
      <c r="O90" s="403" cm="1">
        <f t="array" aca="1" ref="O90" ca="1">IFERROR(SUM(_xlfn._xlws.FILTER(INDIRECT(O$6),(INDIRECT($B$6)=$B90)*(INDIRECT($F$6)=$F90),0)),0)</f>
        <v>-20000</v>
      </c>
      <c r="P90" s="403" cm="1">
        <f t="array" aca="1" ref="P90" ca="1">IFERROR(SUM(_xlfn._xlws.FILTER(INDIRECT(P$6),(INDIRECT($B$6)=$B90)*(INDIRECT($F$6)=$F90),0)),0)</f>
        <v>0</v>
      </c>
      <c r="Q90" s="403" cm="1">
        <f t="array" aca="1" ref="Q90" ca="1">IFERROR(SUM(_xlfn._xlws.FILTER(INDIRECT(Q$6),(INDIRECT($B$6)=$B90)*(INDIRECT($F$6)=$F90),0)),0)</f>
        <v>-5000</v>
      </c>
      <c r="R90" s="403" cm="1">
        <f t="array" aca="1" ref="R90" ca="1">IFERROR(SUM(_xlfn._xlws.FILTER(INDIRECT(R$6),(INDIRECT($B$6)=$B90)*(INDIRECT($F$6)=$F90),0)),0)</f>
        <v>0</v>
      </c>
      <c r="S90" s="403" cm="1">
        <f t="array" aca="1" ref="S90" ca="1">IFERROR(SUM(_xlfn._xlws.FILTER(INDIRECT(S$6),(INDIRECT($B$6)=$B90)*(INDIRECT($F$6)=$F90),0)),0)</f>
        <v>40000</v>
      </c>
      <c r="T90" s="403" cm="1">
        <f t="array" aca="1" ref="T90" ca="1">IFERROR(SUM(_xlfn._xlws.FILTER(INDIRECT(T$6),(INDIRECT($B$6)=$B90)*(INDIRECT($F$6)=$F90),0)),0)</f>
        <v>166.3</v>
      </c>
      <c r="U90" s="403" cm="1">
        <f t="array" aca="1" ref="U90" ca="1">IFERROR(SUM(_xlfn._xlws.FILTER(INDIRECT(U$6),(INDIRECT($B$6)=$B90)*(INDIRECT($F$6)=$F90),0)),0)</f>
        <v>-10756.07</v>
      </c>
      <c r="V90" s="403" cm="1">
        <f t="array" aca="1" ref="V90" ca="1">IFERROR(SUM(_xlfn._xlws.FILTER(INDIRECT(V$6),(INDIRECT($B$6)=$B90)*(INDIRECT($F$6)=$F90),0)),0)</f>
        <v>-106932.34855330685</v>
      </c>
      <c r="W90" s="403" cm="1">
        <f t="array" aca="1" ref="W90" ca="1">IFERROR(SUM(_xlfn._xlws.FILTER(INDIRECT(W$6),(INDIRECT($B$6)=$B90)*(INDIRECT($F$6)=$F90),0)),0)</f>
        <v>5362.79</v>
      </c>
      <c r="X90" s="403" cm="1">
        <f t="array" aca="1" ref="X90" ca="1">IFERROR(SUM(_xlfn._xlws.FILTER(INDIRECT(X$6),(INDIRECT($B$6)=$B90)*(INDIRECT($F$6)=$F90),0)),0)</f>
        <v>-17873.400000000001</v>
      </c>
      <c r="Y90" s="403" cm="1">
        <f t="array" aca="1" ref="Y90" ca="1">IFERROR(SUM(_xlfn._xlws.FILTER(INDIRECT(Y$6),(INDIRECT($B$6)=$B90)*(INDIRECT($F$6)=$F90),0)),0)</f>
        <v>10383.719999999999</v>
      </c>
      <c r="Z90" s="403" cm="1">
        <f t="array" aca="1" ref="Z90" ca="1">IFERROR(SUM(_xlfn._xlws.FILTER(INDIRECT(Z$6),(INDIRECT($B$6)=$B90)*(INDIRECT($F$6)=$F90),0)),0)</f>
        <v>78.55</v>
      </c>
      <c r="AA90" s="403" cm="1">
        <f t="array" aca="1" ref="AA90" ca="1">IFERROR(SUM(_xlfn._xlws.FILTER(INDIRECT(AA$6),(INDIRECT($B$6)=$B90)*(INDIRECT($F$6)=$F90),0)),0)</f>
        <v>0</v>
      </c>
      <c r="AB90" s="403" cm="1">
        <f t="array" aca="1" ref="AB90" ca="1">IFERROR(SUM(_xlfn._xlws.FILTER(INDIRECT(AB$6),(INDIRECT($B$6)=$B90)*(INDIRECT($F$6)=$F90),0)),0)</f>
        <v>0</v>
      </c>
      <c r="AC90" s="403" cm="1">
        <f t="array" aca="1" ref="AC90" ca="1">IFERROR(SUM(_xlfn._xlws.FILTER(INDIRECT(AC$6),(INDIRECT($B$6)=$B90)*(INDIRECT($F$6)=$F90),0)),0)</f>
        <v>690.16147121999973</v>
      </c>
      <c r="AD90" s="403" cm="1">
        <f t="array" aca="1" ref="AD90" ca="1">IFERROR(SUM(_xlfn._xlws.FILTER(INDIRECT(AD$6),(INDIRECT($B$6)=$B90)*(INDIRECT($F$6)=$F90),0)),0)</f>
        <v>-7500</v>
      </c>
      <c r="AE90" s="403" cm="1">
        <f t="array" aca="1" ref="AE90" ca="1">IFERROR(SUM(_xlfn._xlws.FILTER(INDIRECT(AE$6),(INDIRECT($B$6)=$B90)*(INDIRECT($F$6)=$F90),0)),0)</f>
        <v>19625.659999999996</v>
      </c>
      <c r="AF90" s="403" cm="1">
        <f t="array" aca="1" ref="AF90" ca="1">IFERROR(SUM(_xlfn._xlws.FILTER(INDIRECT(AF$6),(INDIRECT($B$6)=$B90)*(INDIRECT($F$6)=$F90),0)),0)</f>
        <v>1959.4000000000015</v>
      </c>
      <c r="AG90" s="403" cm="1">
        <f t="array" aca="1" ref="AG90" ca="1">IFERROR(SUM(_xlfn._xlws.FILTER(INDIRECT(AG$6),(INDIRECT($B$6)=$B90)*(INDIRECT($F$6)=$F90),0)),0)</f>
        <v>0</v>
      </c>
      <c r="AH90" s="403" cm="1">
        <f t="array" aca="1" ref="AH90" ca="1">IFERROR(SUM(_xlfn._xlws.FILTER(INDIRECT(AH$6),(INDIRECT($B$6)=$B90)*(INDIRECT($F$6)=$F90),0)),0)</f>
        <v>0</v>
      </c>
      <c r="AI90" s="403" cm="1">
        <f t="array" aca="1" ref="AI90" ca="1">IFERROR(SUM(_xlfn._xlws.FILTER(INDIRECT(AI$6),(INDIRECT($B$6)=$B90)*(INDIRECT($F$6)=$F90),0)),0)</f>
        <v>0</v>
      </c>
      <c r="AJ90" s="403" cm="1">
        <f t="array" aca="1" ref="AJ90" ca="1">IFERROR(SUM(_xlfn._xlws.FILTER(INDIRECT(AJ$6),(INDIRECT($B$6)=$B90)*(INDIRECT($F$6)=$F90),0)),0)</f>
        <v>-202371.06</v>
      </c>
      <c r="AK90" s="403" cm="1">
        <f t="array" aca="1" ref="AK90" ca="1">IFERROR(SUM(_xlfn._xlws.FILTER(INDIRECT(AK$6),(INDIRECT($B$6)=$B90)*(INDIRECT($F$6)=$F90),0)),0)</f>
        <v>0</v>
      </c>
      <c r="AL90" s="403" cm="1">
        <f t="array" aca="1" ref="AL90" ca="1">IFERROR(SUM(_xlfn._xlws.FILTER(INDIRECT(AL$6),(INDIRECT($B$6)=$B90)*(INDIRECT($F$6)=$F90),0)),0)</f>
        <v>-104922.73999999999</v>
      </c>
      <c r="AM90" s="403" cm="1">
        <f t="array" aca="1" ref="AM90" ca="1">IFERROR(SUM(_xlfn._xlws.FILTER(INDIRECT(AM$6),(INDIRECT($B$6)=$B90)*(INDIRECT($F$6)=$F90),0)),0)</f>
        <v>0</v>
      </c>
      <c r="AN90" s="403" cm="1">
        <f t="array" aca="1" ref="AN90" ca="1">IFERROR(SUM(_xlfn._xlws.FILTER(INDIRECT(AN$6),(INDIRECT($B$6)=$B90)*(INDIRECT($F$6)=$F90),0)),0)</f>
        <v>1387.3999999999999</v>
      </c>
      <c r="AO90" s="403" cm="1">
        <f t="array" aca="1" ref="AO90" ca="1">IFERROR(SUM(_xlfn._xlws.FILTER(INDIRECT(AO$6),(INDIRECT($B$6)=$B90)*(INDIRECT($F$6)=$F90),0)),0)</f>
        <v>41592.78</v>
      </c>
      <c r="AP90" s="403" cm="1">
        <f t="array" aca="1" ref="AP90" ca="1">IFERROR(SUM(_xlfn._xlws.FILTER(INDIRECT(AP$6),(INDIRECT($B$6)=$B90)*(INDIRECT($F$6)=$F90),0)),0)</f>
        <v>120000</v>
      </c>
      <c r="AQ90" s="403" cm="1">
        <f t="array" aca="1" ref="AQ90" ca="1">IFERROR(SUM(_xlfn._xlws.FILTER(INDIRECT(AQ$6),(INDIRECT($B$6)=$B90)*(INDIRECT($F$6)=$F90),0)),0)</f>
        <v>-221985.95852878006</v>
      </c>
      <c r="AR90" s="403" cm="1">
        <f t="array" aca="1" ref="AR90" ca="1">IFERROR(SUM(_xlfn._xlws.FILTER(INDIRECT(AR$6),(INDIRECT($B$6)=$B90)*(INDIRECT($F$6)=$F90),0)),0)</f>
        <v>-316007.89855330676</v>
      </c>
      <c r="AS90" s="286" t="str">
        <f t="shared" ca="1" si="7"/>
        <v>G90:AP90</v>
      </c>
      <c r="AT90" s="403">
        <f t="shared" ca="1" si="9"/>
        <v>-537993.85708208685</v>
      </c>
      <c r="AV90" s="142" cm="1">
        <f t="array" aca="1" ref="AV90" ca="1">IF(AND(_xlfn.LET(_xlpm.x,SUM(ROW()),OR(AND(MATCH("SOT",$A:$A,0)&lt;_xlpm.x,MATCH("EOT",$A:$A,0)&gt;_xlpm.x),AND(MATCH("SOS",$A:$A,0)&lt;_xlpm.x,MATCH("EOS",$A:$A,0)&gt;_xlpm.x),AND(MATCH("SOR",$A:$A,0)&lt;_xlpm.x,MATCH("EOR",$A:$A,0)&gt;_xlpm.x))),INDIRECT("rc"&amp;MATCH("SCD",$1:$1,0),FALSE)="PPTO"),1,0)</f>
        <v>0</v>
      </c>
      <c r="AW90" s="142" cm="1">
        <f t="array" aca="1" ref="AW9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91" spans="1:49" s="153" customFormat="1" outlineLevel="2">
      <c r="A91" s="152"/>
      <c r="B91" s="401" t="str">
        <f ca="1"/>
        <v>31200</v>
      </c>
      <c r="C91" s="148"/>
      <c r="D91" s="404"/>
      <c r="E91" s="405" t="str">
        <f t="shared" ca="1" si="8"/>
        <v>SUBGROUP TOTS</v>
      </c>
      <c r="F91" s="402" t="str">
        <f ca="1"/>
        <v>REAL</v>
      </c>
      <c r="G91" s="403" cm="1">
        <f t="array" aca="1" ref="G91" ca="1">IFERROR(SUM(_xlfn._xlws.FILTER(INDIRECT(G$6),(INDIRECT($B$6)=$B91)*(INDIRECT($F$6)=$F91),0)),0)</f>
        <v>77532.560000000012</v>
      </c>
      <c r="H91" s="403" cm="1">
        <f t="array" aca="1" ref="H91" ca="1">IFERROR(SUM(_xlfn._xlws.FILTER(INDIRECT(H$6),(INDIRECT($B$6)=$B91)*(INDIRECT($F$6)=$F91),0)),0)</f>
        <v>0</v>
      </c>
      <c r="I91" s="403" cm="1">
        <f t="array" aca="1" ref="I91" ca="1">IFERROR(SUM(_xlfn._xlws.FILTER(INDIRECT(I$6),(INDIRECT($B$6)=$B91)*(INDIRECT($F$6)=$F91),0)),0)</f>
        <v>104416.4</v>
      </c>
      <c r="J91" s="403" cm="1">
        <f t="array" aca="1" ref="J91" ca="1">IFERROR(SUM(_xlfn._xlws.FILTER(INDIRECT(J$6),(INDIRECT($B$6)=$B91)*(INDIRECT($F$6)=$F91),0)),0)</f>
        <v>0</v>
      </c>
      <c r="K91" s="403" cm="1">
        <f t="array" aca="1" ref="K91" ca="1">IFERROR(SUM(_xlfn._xlws.FILTER(INDIRECT(K$6),(INDIRECT($B$6)=$B91)*(INDIRECT($F$6)=$F91),0)),0)</f>
        <v>227155.68</v>
      </c>
      <c r="L91" s="403" cm="1">
        <f t="array" aca="1" ref="L91" ca="1">IFERROR(SUM(_xlfn._xlws.FILTER(INDIRECT(L$6),(INDIRECT($B$6)=$B91)*(INDIRECT($F$6)=$F91),0)),0)</f>
        <v>32718.05</v>
      </c>
      <c r="M91" s="403" cm="1">
        <f t="array" aca="1" ref="M91" ca="1">IFERROR(SUM(_xlfn._xlws.FILTER(INDIRECT(M$6),(INDIRECT($B$6)=$B91)*(INDIRECT($F$6)=$F91),0)),0)</f>
        <v>46262.93</v>
      </c>
      <c r="N91" s="403" cm="1">
        <f t="array" aca="1" ref="N91" ca="1">IFERROR(SUM(_xlfn._xlws.FILTER(INDIRECT(N$6),(INDIRECT($B$6)=$B91)*(INDIRECT($F$6)=$F91),0)),0)</f>
        <v>0</v>
      </c>
      <c r="O91" s="403" cm="1">
        <f t="array" aca="1" ref="O91" ca="1">IFERROR(SUM(_xlfn._xlws.FILTER(INDIRECT(O$6),(INDIRECT($B$6)=$B91)*(INDIRECT($F$6)=$F91),0)),0)</f>
        <v>91656.14</v>
      </c>
      <c r="P91" s="403" cm="1">
        <f t="array" aca="1" ref="P91" ca="1">IFERROR(SUM(_xlfn._xlws.FILTER(INDIRECT(P$6),(INDIRECT($B$6)=$B91)*(INDIRECT($F$6)=$F91),0)),0)</f>
        <v>33000</v>
      </c>
      <c r="Q91" s="403" cm="1">
        <f t="array" aca="1" ref="Q91" ca="1">IFERROR(SUM(_xlfn._xlws.FILTER(INDIRECT(Q$6),(INDIRECT($B$6)=$B91)*(INDIRECT($F$6)=$F91),0)),0)</f>
        <v>11020.56</v>
      </c>
      <c r="R91" s="403" cm="1">
        <f t="array" aca="1" ref="R91" ca="1">IFERROR(SUM(_xlfn._xlws.FILTER(INDIRECT(R$6),(INDIRECT($B$6)=$B91)*(INDIRECT($F$6)=$F91),0)),0)</f>
        <v>0</v>
      </c>
      <c r="S91" s="403" cm="1">
        <f t="array" aca="1" ref="S91" ca="1">IFERROR(SUM(_xlfn._xlws.FILTER(INDIRECT(S$6),(INDIRECT($B$6)=$B91)*(INDIRECT($F$6)=$F91),0)),0)</f>
        <v>98210.97</v>
      </c>
      <c r="T91" s="403" cm="1">
        <f t="array" aca="1" ref="T91" ca="1">IFERROR(SUM(_xlfn._xlws.FILTER(INDIRECT(T$6),(INDIRECT($B$6)=$B91)*(INDIRECT($F$6)=$F91),0)),0)</f>
        <v>0</v>
      </c>
      <c r="U91" s="403" cm="1">
        <f t="array" aca="1" ref="U91" ca="1">IFERROR(SUM(_xlfn._xlws.FILTER(INDIRECT(U$6),(INDIRECT($B$6)=$B91)*(INDIRECT($F$6)=$F91),0)),0)</f>
        <v>0</v>
      </c>
      <c r="V91" s="403" cm="1">
        <f t="array" aca="1" ref="V91" ca="1">IFERROR(SUM(_xlfn._xlws.FILTER(INDIRECT(V$6),(INDIRECT($B$6)=$B91)*(INDIRECT($F$6)=$F91),0)),0)</f>
        <v>987424.6100000001</v>
      </c>
      <c r="W91" s="403" cm="1">
        <f t="array" aca="1" ref="W91" ca="1">IFERROR(SUM(_xlfn._xlws.FILTER(INDIRECT(W$6),(INDIRECT($B$6)=$B91)*(INDIRECT($F$6)=$F91),0)),0)</f>
        <v>115147.60999999999</v>
      </c>
      <c r="X91" s="403" cm="1">
        <f t="array" aca="1" ref="X91" ca="1">IFERROR(SUM(_xlfn._xlws.FILTER(INDIRECT(X$6),(INDIRECT($B$6)=$B91)*(INDIRECT($F$6)=$F91),0)),0)</f>
        <v>66086</v>
      </c>
      <c r="Y91" s="403" cm="1">
        <f t="array" aca="1" ref="Y91" ca="1">IFERROR(SUM(_xlfn._xlws.FILTER(INDIRECT(Y$6),(INDIRECT($B$6)=$B91)*(INDIRECT($F$6)=$F91),0)),0)</f>
        <v>16900.57</v>
      </c>
      <c r="Z91" s="403" cm="1">
        <f t="array" aca="1" ref="Z91" ca="1">IFERROR(SUM(_xlfn._xlws.FILTER(INDIRECT(Z$6),(INDIRECT($B$6)=$B91)*(INDIRECT($F$6)=$F91),0)),0)</f>
        <v>0</v>
      </c>
      <c r="AA91" s="403" cm="1">
        <f t="array" aca="1" ref="AA91" ca="1">IFERROR(SUM(_xlfn._xlws.FILTER(INDIRECT(AA$6),(INDIRECT($B$6)=$B91)*(INDIRECT($F$6)=$F91),0)),0)</f>
        <v>0</v>
      </c>
      <c r="AB91" s="403" cm="1">
        <f t="array" aca="1" ref="AB91" ca="1">IFERROR(SUM(_xlfn._xlws.FILTER(INDIRECT(AB$6),(INDIRECT($B$6)=$B91)*(INDIRECT($F$6)=$F91),0)),0)</f>
        <v>0</v>
      </c>
      <c r="AC91" s="403" cm="1">
        <f t="array" aca="1" ref="AC91" ca="1">IFERROR(SUM(_xlfn._xlws.FILTER(INDIRECT(AC$6),(INDIRECT($B$6)=$B91)*(INDIRECT($F$6)=$F91),0)),0)</f>
        <v>8210.24</v>
      </c>
      <c r="AD91" s="403" cm="1">
        <f t="array" aca="1" ref="AD91" ca="1">IFERROR(SUM(_xlfn._xlws.FILTER(INDIRECT(AD$6),(INDIRECT($B$6)=$B91)*(INDIRECT($F$6)=$F91),0)),0)</f>
        <v>20693.560000000001</v>
      </c>
      <c r="AE91" s="403" cm="1">
        <f t="array" aca="1" ref="AE91" ca="1">IFERROR(SUM(_xlfn._xlws.FILTER(INDIRECT(AE$6),(INDIRECT($B$6)=$B91)*(INDIRECT($F$6)=$F91),0)),0)</f>
        <v>47420.56</v>
      </c>
      <c r="AF91" s="403" cm="1">
        <f t="array" aca="1" ref="AF91" ca="1">IFERROR(SUM(_xlfn._xlws.FILTER(INDIRECT(AF$6),(INDIRECT($B$6)=$B91)*(INDIRECT($F$6)=$F91),0)),0)</f>
        <v>172560.2</v>
      </c>
      <c r="AG91" s="403" cm="1">
        <f t="array" aca="1" ref="AG91" ca="1">IFERROR(SUM(_xlfn._xlws.FILTER(INDIRECT(AG$6),(INDIRECT($B$6)=$B91)*(INDIRECT($F$6)=$F91),0)),0)</f>
        <v>0</v>
      </c>
      <c r="AH91" s="403" cm="1">
        <f t="array" aca="1" ref="AH91" ca="1">IFERROR(SUM(_xlfn._xlws.FILTER(INDIRECT(AH$6),(INDIRECT($B$6)=$B91)*(INDIRECT($F$6)=$F91),0)),0)</f>
        <v>0</v>
      </c>
      <c r="AI91" s="403" cm="1">
        <f t="array" aca="1" ref="AI91" ca="1">IFERROR(SUM(_xlfn._xlws.FILTER(INDIRECT(AI$6),(INDIRECT($B$6)=$B91)*(INDIRECT($F$6)=$F91),0)),0)</f>
        <v>0</v>
      </c>
      <c r="AJ91" s="403" cm="1">
        <f t="array" aca="1" ref="AJ91" ca="1">IFERROR(SUM(_xlfn._xlws.FILTER(INDIRECT(AJ$6),(INDIRECT($B$6)=$B91)*(INDIRECT($F$6)=$F91),0)),0)</f>
        <v>1253873.32</v>
      </c>
      <c r="AK91" s="403" cm="1">
        <f t="array" aca="1" ref="AK91" ca="1">IFERROR(SUM(_xlfn._xlws.FILTER(INDIRECT(AK$6),(INDIRECT($B$6)=$B91)*(INDIRECT($F$6)=$F91),0)),0)</f>
        <v>0</v>
      </c>
      <c r="AL91" s="403" cm="1">
        <f t="array" aca="1" ref="AL91" ca="1">IFERROR(SUM(_xlfn._xlws.FILTER(INDIRECT(AL$6),(INDIRECT($B$6)=$B91)*(INDIRECT($F$6)=$F91),0)),0)</f>
        <v>351433.24</v>
      </c>
      <c r="AM91" s="403" cm="1">
        <f t="array" aca="1" ref="AM91" ca="1">IFERROR(SUM(_xlfn._xlws.FILTER(INDIRECT(AM$6),(INDIRECT($B$6)=$B91)*(INDIRECT($F$6)=$F91),0)),0)</f>
        <v>0</v>
      </c>
      <c r="AN91" s="403" cm="1">
        <f t="array" aca="1" ref="AN91" ca="1">IFERROR(SUM(_xlfn._xlws.FILTER(INDIRECT(AN$6),(INDIRECT($B$6)=$B91)*(INDIRECT($F$6)=$F91),0)),0)</f>
        <v>105243.38</v>
      </c>
      <c r="AO91" s="403" cm="1">
        <f t="array" aca="1" ref="AO91" ca="1">IFERROR(SUM(_xlfn._xlws.FILTER(INDIRECT(AO$6),(INDIRECT($B$6)=$B91)*(INDIRECT($F$6)=$F91),0)),0)</f>
        <v>45936.01</v>
      </c>
      <c r="AP91" s="403" cm="1">
        <f t="array" aca="1" ref="AP91" ca="1">IFERROR(SUM(_xlfn._xlws.FILTER(INDIRECT(AP$6),(INDIRECT($B$6)=$B91)*(INDIRECT($F$6)=$F91),0)),0)</f>
        <v>81795.56</v>
      </c>
      <c r="AQ91" s="403" cm="1">
        <f t="array" aca="1" ref="AQ91" ca="1">IFERROR(SUM(_xlfn._xlws.FILTER(INDIRECT(AQ$6),(INDIRECT($B$6)=$B91)*(INDIRECT($F$6)=$F91),0)),0)</f>
        <v>889870.2300000001</v>
      </c>
      <c r="AR91" s="403" cm="1">
        <f t="array" aca="1" ref="AR91" ca="1">IFERROR(SUM(_xlfn._xlws.FILTER(INDIRECT(AR$6),(INDIRECT($B$6)=$B91)*(INDIRECT($F$6)=$F91),0)),0)</f>
        <v>3104827.9199999995</v>
      </c>
      <c r="AS91" s="286" t="str">
        <f t="shared" ca="1" si="7"/>
        <v>G91:AP91</v>
      </c>
      <c r="AT91" s="403">
        <f t="shared" ca="1" si="9"/>
        <v>3994698.1499999994</v>
      </c>
      <c r="AV91" s="142" cm="1">
        <f t="array" aca="1" ref="AV91" ca="1">IF(AND(_xlfn.LET(_xlpm.x,SUM(ROW()),OR(AND(MATCH("SOT",$A:$A,0)&lt;_xlpm.x,MATCH("EOT",$A:$A,0)&gt;_xlpm.x),AND(MATCH("SOS",$A:$A,0)&lt;_xlpm.x,MATCH("EOS",$A:$A,0)&gt;_xlpm.x),AND(MATCH("SOR",$A:$A,0)&lt;_xlpm.x,MATCH("EOR",$A:$A,0)&gt;_xlpm.x))),INDIRECT("rc"&amp;MATCH("SCD",$1:$1,0),FALSE)="PPTO"),1,0)</f>
        <v>0</v>
      </c>
      <c r="AW91" s="142" cm="1">
        <f t="array" aca="1" ref="AW9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92" spans="1:49" s="153" customFormat="1" outlineLevel="2">
      <c r="A92" s="152"/>
      <c r="B92" s="401"/>
      <c r="C92" s="148"/>
      <c r="D92" s="404"/>
      <c r="E92" s="405" t="str">
        <f t="shared" si="8"/>
        <v/>
      </c>
      <c r="F92" s="402"/>
      <c r="G92" s="403" cm="1">
        <f t="array" aca="1" ref="G92" ca="1">IFERROR(SUM(_xlfn._xlws.FILTER(INDIRECT(G$6),(INDIRECT($B$6)=$B92)*(INDIRECT($F$6)=$F92),0)),0)</f>
        <v>0</v>
      </c>
      <c r="H92" s="403" cm="1">
        <f t="array" aca="1" ref="H92" ca="1">IFERROR(SUM(_xlfn._xlws.FILTER(INDIRECT(H$6),(INDIRECT($B$6)=$B92)*(INDIRECT($F$6)=$F92),0)),0)</f>
        <v>0</v>
      </c>
      <c r="I92" s="403" cm="1">
        <f t="array" aca="1" ref="I92" ca="1">IFERROR(SUM(_xlfn._xlws.FILTER(INDIRECT(I$6),(INDIRECT($B$6)=$B92)*(INDIRECT($F$6)=$F92),0)),0)</f>
        <v>0</v>
      </c>
      <c r="J92" s="403" cm="1">
        <f t="array" aca="1" ref="J92" ca="1">IFERROR(SUM(_xlfn._xlws.FILTER(INDIRECT(J$6),(INDIRECT($B$6)=$B92)*(INDIRECT($F$6)=$F92),0)),0)</f>
        <v>0</v>
      </c>
      <c r="K92" s="403" cm="1">
        <f t="array" aca="1" ref="K92" ca="1">IFERROR(SUM(_xlfn._xlws.FILTER(INDIRECT(K$6),(INDIRECT($B$6)=$B92)*(INDIRECT($F$6)=$F92),0)),0)</f>
        <v>0</v>
      </c>
      <c r="L92" s="403" cm="1">
        <f t="array" aca="1" ref="L92" ca="1">IFERROR(SUM(_xlfn._xlws.FILTER(INDIRECT(L$6),(INDIRECT($B$6)=$B92)*(INDIRECT($F$6)=$F92),0)),0)</f>
        <v>0</v>
      </c>
      <c r="M92" s="403" cm="1">
        <f t="array" aca="1" ref="M92" ca="1">IFERROR(SUM(_xlfn._xlws.FILTER(INDIRECT(M$6),(INDIRECT($B$6)=$B92)*(INDIRECT($F$6)=$F92),0)),0)</f>
        <v>0</v>
      </c>
      <c r="N92" s="403" cm="1">
        <f t="array" aca="1" ref="N92" ca="1">IFERROR(SUM(_xlfn._xlws.FILTER(INDIRECT(N$6),(INDIRECT($B$6)=$B92)*(INDIRECT($F$6)=$F92),0)),0)</f>
        <v>0</v>
      </c>
      <c r="O92" s="403" cm="1">
        <f t="array" aca="1" ref="O92" ca="1">IFERROR(SUM(_xlfn._xlws.FILTER(INDIRECT(O$6),(INDIRECT($B$6)=$B92)*(INDIRECT($F$6)=$F92),0)),0)</f>
        <v>0</v>
      </c>
      <c r="P92" s="403" cm="1">
        <f t="array" aca="1" ref="P92" ca="1">IFERROR(SUM(_xlfn._xlws.FILTER(INDIRECT(P$6),(INDIRECT($B$6)=$B92)*(INDIRECT($F$6)=$F92),0)),0)</f>
        <v>0</v>
      </c>
      <c r="Q92" s="403" cm="1">
        <f t="array" aca="1" ref="Q92" ca="1">IFERROR(SUM(_xlfn._xlws.FILTER(INDIRECT(Q$6),(INDIRECT($B$6)=$B92)*(INDIRECT($F$6)=$F92),0)),0)</f>
        <v>0</v>
      </c>
      <c r="R92" s="403" cm="1">
        <f t="array" aca="1" ref="R92" ca="1">IFERROR(SUM(_xlfn._xlws.FILTER(INDIRECT(R$6),(INDIRECT($B$6)=$B92)*(INDIRECT($F$6)=$F92),0)),0)</f>
        <v>0</v>
      </c>
      <c r="S92" s="403" cm="1">
        <f t="array" aca="1" ref="S92" ca="1">IFERROR(SUM(_xlfn._xlws.FILTER(INDIRECT(S$6),(INDIRECT($B$6)=$B92)*(INDIRECT($F$6)=$F92),0)),0)</f>
        <v>0</v>
      </c>
      <c r="T92" s="403" cm="1">
        <f t="array" aca="1" ref="T92" ca="1">IFERROR(SUM(_xlfn._xlws.FILTER(INDIRECT(T$6),(INDIRECT($B$6)=$B92)*(INDIRECT($F$6)=$F92),0)),0)</f>
        <v>0</v>
      </c>
      <c r="U92" s="403" cm="1">
        <f t="array" aca="1" ref="U92" ca="1">IFERROR(SUM(_xlfn._xlws.FILTER(INDIRECT(U$6),(INDIRECT($B$6)=$B92)*(INDIRECT($F$6)=$F92),0)),0)</f>
        <v>0</v>
      </c>
      <c r="V92" s="403" cm="1">
        <f t="array" aca="1" ref="V92" ca="1">IFERROR(SUM(_xlfn._xlws.FILTER(INDIRECT(V$6),(INDIRECT($B$6)=$B92)*(INDIRECT($F$6)=$F92),0)),0)</f>
        <v>0</v>
      </c>
      <c r="W92" s="403" cm="1">
        <f t="array" aca="1" ref="W92" ca="1">IFERROR(SUM(_xlfn._xlws.FILTER(INDIRECT(W$6),(INDIRECT($B$6)=$B92)*(INDIRECT($F$6)=$F92),0)),0)</f>
        <v>0</v>
      </c>
      <c r="X92" s="403" cm="1">
        <f t="array" aca="1" ref="X92" ca="1">IFERROR(SUM(_xlfn._xlws.FILTER(INDIRECT(X$6),(INDIRECT($B$6)=$B92)*(INDIRECT($F$6)=$F92),0)),0)</f>
        <v>0</v>
      </c>
      <c r="Y92" s="403" cm="1">
        <f t="array" aca="1" ref="Y92" ca="1">IFERROR(SUM(_xlfn._xlws.FILTER(INDIRECT(Y$6),(INDIRECT($B$6)=$B92)*(INDIRECT($F$6)=$F92),0)),0)</f>
        <v>0</v>
      </c>
      <c r="Z92" s="403" cm="1">
        <f t="array" aca="1" ref="Z92" ca="1">IFERROR(SUM(_xlfn._xlws.FILTER(INDIRECT(Z$6),(INDIRECT($B$6)=$B92)*(INDIRECT($F$6)=$F92),0)),0)</f>
        <v>0</v>
      </c>
      <c r="AA92" s="403" cm="1">
        <f t="array" aca="1" ref="AA92" ca="1">IFERROR(SUM(_xlfn._xlws.FILTER(INDIRECT(AA$6),(INDIRECT($B$6)=$B92)*(INDIRECT($F$6)=$F92),0)),0)</f>
        <v>0</v>
      </c>
      <c r="AB92" s="403" cm="1">
        <f t="array" aca="1" ref="AB92" ca="1">IFERROR(SUM(_xlfn._xlws.FILTER(INDIRECT(AB$6),(INDIRECT($B$6)=$B92)*(INDIRECT($F$6)=$F92),0)),0)</f>
        <v>0</v>
      </c>
      <c r="AC92" s="403" cm="1">
        <f t="array" aca="1" ref="AC92" ca="1">IFERROR(SUM(_xlfn._xlws.FILTER(INDIRECT(AC$6),(INDIRECT($B$6)=$B92)*(INDIRECT($F$6)=$F92),0)),0)</f>
        <v>0</v>
      </c>
      <c r="AD92" s="403" cm="1">
        <f t="array" aca="1" ref="AD92" ca="1">IFERROR(SUM(_xlfn._xlws.FILTER(INDIRECT(AD$6),(INDIRECT($B$6)=$B92)*(INDIRECT($F$6)=$F92),0)),0)</f>
        <v>0</v>
      </c>
      <c r="AE92" s="403" cm="1">
        <f t="array" aca="1" ref="AE92" ca="1">IFERROR(SUM(_xlfn._xlws.FILTER(INDIRECT(AE$6),(INDIRECT($B$6)=$B92)*(INDIRECT($F$6)=$F92),0)),0)</f>
        <v>0</v>
      </c>
      <c r="AF92" s="403" cm="1">
        <f t="array" aca="1" ref="AF92" ca="1">IFERROR(SUM(_xlfn._xlws.FILTER(INDIRECT(AF$6),(INDIRECT($B$6)=$B92)*(INDIRECT($F$6)=$F92),0)),0)</f>
        <v>0</v>
      </c>
      <c r="AG92" s="403" cm="1">
        <f t="array" aca="1" ref="AG92" ca="1">IFERROR(SUM(_xlfn._xlws.FILTER(INDIRECT(AG$6),(INDIRECT($B$6)=$B92)*(INDIRECT($F$6)=$F92),0)),0)</f>
        <v>0</v>
      </c>
      <c r="AH92" s="403" cm="1">
        <f t="array" aca="1" ref="AH92" ca="1">IFERROR(SUM(_xlfn._xlws.FILTER(INDIRECT(AH$6),(INDIRECT($B$6)=$B92)*(INDIRECT($F$6)=$F92),0)),0)</f>
        <v>0</v>
      </c>
      <c r="AI92" s="403" cm="1">
        <f t="array" aca="1" ref="AI92" ca="1">IFERROR(SUM(_xlfn._xlws.FILTER(INDIRECT(AI$6),(INDIRECT($B$6)=$B92)*(INDIRECT($F$6)=$F92),0)),0)</f>
        <v>0</v>
      </c>
      <c r="AJ92" s="403" cm="1">
        <f t="array" aca="1" ref="AJ92" ca="1">IFERROR(SUM(_xlfn._xlws.FILTER(INDIRECT(AJ$6),(INDIRECT($B$6)=$B92)*(INDIRECT($F$6)=$F92),0)),0)</f>
        <v>0</v>
      </c>
      <c r="AK92" s="403" cm="1">
        <f t="array" aca="1" ref="AK92" ca="1">IFERROR(SUM(_xlfn._xlws.FILTER(INDIRECT(AK$6),(INDIRECT($B$6)=$B92)*(INDIRECT($F$6)=$F92),0)),0)</f>
        <v>0</v>
      </c>
      <c r="AL92" s="403" cm="1">
        <f t="array" aca="1" ref="AL92" ca="1">IFERROR(SUM(_xlfn._xlws.FILTER(INDIRECT(AL$6),(INDIRECT($B$6)=$B92)*(INDIRECT($F$6)=$F92),0)),0)</f>
        <v>0</v>
      </c>
      <c r="AM92" s="403" cm="1">
        <f t="array" aca="1" ref="AM92" ca="1">IFERROR(SUM(_xlfn._xlws.FILTER(INDIRECT(AM$6),(INDIRECT($B$6)=$B92)*(INDIRECT($F$6)=$F92),0)),0)</f>
        <v>0</v>
      </c>
      <c r="AN92" s="403" cm="1">
        <f t="array" aca="1" ref="AN92" ca="1">IFERROR(SUM(_xlfn._xlws.FILTER(INDIRECT(AN$6),(INDIRECT($B$6)=$B92)*(INDIRECT($F$6)=$F92),0)),0)</f>
        <v>0</v>
      </c>
      <c r="AO92" s="403" cm="1">
        <f t="array" aca="1" ref="AO92" ca="1">IFERROR(SUM(_xlfn._xlws.FILTER(INDIRECT(AO$6),(INDIRECT($B$6)=$B92)*(INDIRECT($F$6)=$F92),0)),0)</f>
        <v>0</v>
      </c>
      <c r="AP92" s="403" cm="1">
        <f t="array" aca="1" ref="AP92" ca="1">IFERROR(SUM(_xlfn._xlws.FILTER(INDIRECT(AP$6),(INDIRECT($B$6)=$B92)*(INDIRECT($F$6)=$F92),0)),0)</f>
        <v>0</v>
      </c>
      <c r="AQ92" s="403" cm="1">
        <f t="array" aca="1" ref="AQ92" ca="1">IFERROR(SUM(_xlfn._xlws.FILTER(INDIRECT(AQ$6),(INDIRECT($B$6)=$B92)*(INDIRECT($F$6)=$F92),0)),0)</f>
        <v>0</v>
      </c>
      <c r="AR92" s="403" cm="1">
        <f t="array" aca="1" ref="AR92" ca="1">IFERROR(SUM(_xlfn._xlws.FILTER(INDIRECT(AR$6),(INDIRECT($B$6)=$B92)*(INDIRECT($F$6)=$F92),0)),0)</f>
        <v>0</v>
      </c>
      <c r="AS92" s="286" t="str">
        <f t="shared" si="7"/>
        <v>X</v>
      </c>
      <c r="AT92" s="403">
        <f t="shared" ca="1" si="9"/>
        <v>0</v>
      </c>
      <c r="AV92" s="142" cm="1">
        <f t="array" aca="1" ref="AV92" ca="1">IF(AND(_xlfn.LET(_xlpm.x,SUM(ROW()),OR(AND(MATCH("SOT",$A:$A,0)&lt;_xlpm.x,MATCH("EOT",$A:$A,0)&gt;_xlpm.x),AND(MATCH("SOS",$A:$A,0)&lt;_xlpm.x,MATCH("EOS",$A:$A,0)&gt;_xlpm.x),AND(MATCH("SOR",$A:$A,0)&lt;_xlpm.x,MATCH("EOR",$A:$A,0)&gt;_xlpm.x))),INDIRECT("rc"&amp;MATCH("SCD",$1:$1,0),FALSE)="PPTO"),1,0)</f>
        <v>0</v>
      </c>
      <c r="AW92" s="142" cm="1">
        <f t="array" aca="1" ref="AW9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93" spans="1:49" s="153" customFormat="1" outlineLevel="2">
      <c r="A93" s="152"/>
      <c r="B93" s="401"/>
      <c r="C93" s="148"/>
      <c r="D93" s="404"/>
      <c r="E93" s="405" t="str">
        <f t="shared" si="8"/>
        <v/>
      </c>
      <c r="F93" s="402"/>
      <c r="G93" s="403" cm="1">
        <f t="array" aca="1" ref="G93" ca="1">IFERROR(SUM(_xlfn._xlws.FILTER(INDIRECT(G$6),(INDIRECT($B$6)=$B93)*(INDIRECT($F$6)=$F93),0)),0)</f>
        <v>0</v>
      </c>
      <c r="H93" s="403" cm="1">
        <f t="array" aca="1" ref="H93" ca="1">IFERROR(SUM(_xlfn._xlws.FILTER(INDIRECT(H$6),(INDIRECT($B$6)=$B93)*(INDIRECT($F$6)=$F93),0)),0)</f>
        <v>0</v>
      </c>
      <c r="I93" s="403" cm="1">
        <f t="array" aca="1" ref="I93" ca="1">IFERROR(SUM(_xlfn._xlws.FILTER(INDIRECT(I$6),(INDIRECT($B$6)=$B93)*(INDIRECT($F$6)=$F93),0)),0)</f>
        <v>0</v>
      </c>
      <c r="J93" s="403" cm="1">
        <f t="array" aca="1" ref="J93" ca="1">IFERROR(SUM(_xlfn._xlws.FILTER(INDIRECT(J$6),(INDIRECT($B$6)=$B93)*(INDIRECT($F$6)=$F93),0)),0)</f>
        <v>0</v>
      </c>
      <c r="K93" s="403" cm="1">
        <f t="array" aca="1" ref="K93" ca="1">IFERROR(SUM(_xlfn._xlws.FILTER(INDIRECT(K$6),(INDIRECT($B$6)=$B93)*(INDIRECT($F$6)=$F93),0)),0)</f>
        <v>0</v>
      </c>
      <c r="L93" s="403" cm="1">
        <f t="array" aca="1" ref="L93" ca="1">IFERROR(SUM(_xlfn._xlws.FILTER(INDIRECT(L$6),(INDIRECT($B$6)=$B93)*(INDIRECT($F$6)=$F93),0)),0)</f>
        <v>0</v>
      </c>
      <c r="M93" s="403" cm="1">
        <f t="array" aca="1" ref="M93" ca="1">IFERROR(SUM(_xlfn._xlws.FILTER(INDIRECT(M$6),(INDIRECT($B$6)=$B93)*(INDIRECT($F$6)=$F93),0)),0)</f>
        <v>0</v>
      </c>
      <c r="N93" s="403" cm="1">
        <f t="array" aca="1" ref="N93" ca="1">IFERROR(SUM(_xlfn._xlws.FILTER(INDIRECT(N$6),(INDIRECT($B$6)=$B93)*(INDIRECT($F$6)=$F93),0)),0)</f>
        <v>0</v>
      </c>
      <c r="O93" s="403" cm="1">
        <f t="array" aca="1" ref="O93" ca="1">IFERROR(SUM(_xlfn._xlws.FILTER(INDIRECT(O$6),(INDIRECT($B$6)=$B93)*(INDIRECT($F$6)=$F93),0)),0)</f>
        <v>0</v>
      </c>
      <c r="P93" s="403" cm="1">
        <f t="array" aca="1" ref="P93" ca="1">IFERROR(SUM(_xlfn._xlws.FILTER(INDIRECT(P$6),(INDIRECT($B$6)=$B93)*(INDIRECT($F$6)=$F93),0)),0)</f>
        <v>0</v>
      </c>
      <c r="Q93" s="403" cm="1">
        <f t="array" aca="1" ref="Q93" ca="1">IFERROR(SUM(_xlfn._xlws.FILTER(INDIRECT(Q$6),(INDIRECT($B$6)=$B93)*(INDIRECT($F$6)=$F93),0)),0)</f>
        <v>0</v>
      </c>
      <c r="R93" s="403" cm="1">
        <f t="array" aca="1" ref="R93" ca="1">IFERROR(SUM(_xlfn._xlws.FILTER(INDIRECT(R$6),(INDIRECT($B$6)=$B93)*(INDIRECT($F$6)=$F93),0)),0)</f>
        <v>0</v>
      </c>
      <c r="S93" s="403" cm="1">
        <f t="array" aca="1" ref="S93" ca="1">IFERROR(SUM(_xlfn._xlws.FILTER(INDIRECT(S$6),(INDIRECT($B$6)=$B93)*(INDIRECT($F$6)=$F93),0)),0)</f>
        <v>0</v>
      </c>
      <c r="T93" s="403" cm="1">
        <f t="array" aca="1" ref="T93" ca="1">IFERROR(SUM(_xlfn._xlws.FILTER(INDIRECT(T$6),(INDIRECT($B$6)=$B93)*(INDIRECT($F$6)=$F93),0)),0)</f>
        <v>0</v>
      </c>
      <c r="U93" s="403" cm="1">
        <f t="array" aca="1" ref="U93" ca="1">IFERROR(SUM(_xlfn._xlws.FILTER(INDIRECT(U$6),(INDIRECT($B$6)=$B93)*(INDIRECT($F$6)=$F93),0)),0)</f>
        <v>0</v>
      </c>
      <c r="V93" s="403" cm="1">
        <f t="array" aca="1" ref="V93" ca="1">IFERROR(SUM(_xlfn._xlws.FILTER(INDIRECT(V$6),(INDIRECT($B$6)=$B93)*(INDIRECT($F$6)=$F93),0)),0)</f>
        <v>0</v>
      </c>
      <c r="W93" s="403" cm="1">
        <f t="array" aca="1" ref="W93" ca="1">IFERROR(SUM(_xlfn._xlws.FILTER(INDIRECT(W$6),(INDIRECT($B$6)=$B93)*(INDIRECT($F$6)=$F93),0)),0)</f>
        <v>0</v>
      </c>
      <c r="X93" s="403" cm="1">
        <f t="array" aca="1" ref="X93" ca="1">IFERROR(SUM(_xlfn._xlws.FILTER(INDIRECT(X$6),(INDIRECT($B$6)=$B93)*(INDIRECT($F$6)=$F93),0)),0)</f>
        <v>0</v>
      </c>
      <c r="Y93" s="403" cm="1">
        <f t="array" aca="1" ref="Y93" ca="1">IFERROR(SUM(_xlfn._xlws.FILTER(INDIRECT(Y$6),(INDIRECT($B$6)=$B93)*(INDIRECT($F$6)=$F93),0)),0)</f>
        <v>0</v>
      </c>
      <c r="Z93" s="403" cm="1">
        <f t="array" aca="1" ref="Z93" ca="1">IFERROR(SUM(_xlfn._xlws.FILTER(INDIRECT(Z$6),(INDIRECT($B$6)=$B93)*(INDIRECT($F$6)=$F93),0)),0)</f>
        <v>0</v>
      </c>
      <c r="AA93" s="403" cm="1">
        <f t="array" aca="1" ref="AA93" ca="1">IFERROR(SUM(_xlfn._xlws.FILTER(INDIRECT(AA$6),(INDIRECT($B$6)=$B93)*(INDIRECT($F$6)=$F93),0)),0)</f>
        <v>0</v>
      </c>
      <c r="AB93" s="403" cm="1">
        <f t="array" aca="1" ref="AB93" ca="1">IFERROR(SUM(_xlfn._xlws.FILTER(INDIRECT(AB$6),(INDIRECT($B$6)=$B93)*(INDIRECT($F$6)=$F93),0)),0)</f>
        <v>0</v>
      </c>
      <c r="AC93" s="403" cm="1">
        <f t="array" aca="1" ref="AC93" ca="1">IFERROR(SUM(_xlfn._xlws.FILTER(INDIRECT(AC$6),(INDIRECT($B$6)=$B93)*(INDIRECT($F$6)=$F93),0)),0)</f>
        <v>0</v>
      </c>
      <c r="AD93" s="403" cm="1">
        <f t="array" aca="1" ref="AD93" ca="1">IFERROR(SUM(_xlfn._xlws.FILTER(INDIRECT(AD$6),(INDIRECT($B$6)=$B93)*(INDIRECT($F$6)=$F93),0)),0)</f>
        <v>0</v>
      </c>
      <c r="AE93" s="403" cm="1">
        <f t="array" aca="1" ref="AE93" ca="1">IFERROR(SUM(_xlfn._xlws.FILTER(INDIRECT(AE$6),(INDIRECT($B$6)=$B93)*(INDIRECT($F$6)=$F93),0)),0)</f>
        <v>0</v>
      </c>
      <c r="AF93" s="403" cm="1">
        <f t="array" aca="1" ref="AF93" ca="1">IFERROR(SUM(_xlfn._xlws.FILTER(INDIRECT(AF$6),(INDIRECT($B$6)=$B93)*(INDIRECT($F$6)=$F93),0)),0)</f>
        <v>0</v>
      </c>
      <c r="AG93" s="403" cm="1">
        <f t="array" aca="1" ref="AG93" ca="1">IFERROR(SUM(_xlfn._xlws.FILTER(INDIRECT(AG$6),(INDIRECT($B$6)=$B93)*(INDIRECT($F$6)=$F93),0)),0)</f>
        <v>0</v>
      </c>
      <c r="AH93" s="403" cm="1">
        <f t="array" aca="1" ref="AH93" ca="1">IFERROR(SUM(_xlfn._xlws.FILTER(INDIRECT(AH$6),(INDIRECT($B$6)=$B93)*(INDIRECT($F$6)=$F93),0)),0)</f>
        <v>0</v>
      </c>
      <c r="AI93" s="403" cm="1">
        <f t="array" aca="1" ref="AI93" ca="1">IFERROR(SUM(_xlfn._xlws.FILTER(INDIRECT(AI$6),(INDIRECT($B$6)=$B93)*(INDIRECT($F$6)=$F93),0)),0)</f>
        <v>0</v>
      </c>
      <c r="AJ93" s="403" cm="1">
        <f t="array" aca="1" ref="AJ93" ca="1">IFERROR(SUM(_xlfn._xlws.FILTER(INDIRECT(AJ$6),(INDIRECT($B$6)=$B93)*(INDIRECT($F$6)=$F93),0)),0)</f>
        <v>0</v>
      </c>
      <c r="AK93" s="403" cm="1">
        <f t="array" aca="1" ref="AK93" ca="1">IFERROR(SUM(_xlfn._xlws.FILTER(INDIRECT(AK$6),(INDIRECT($B$6)=$B93)*(INDIRECT($F$6)=$F93),0)),0)</f>
        <v>0</v>
      </c>
      <c r="AL93" s="403" cm="1">
        <f t="array" aca="1" ref="AL93" ca="1">IFERROR(SUM(_xlfn._xlws.FILTER(INDIRECT(AL$6),(INDIRECT($B$6)=$B93)*(INDIRECT($F$6)=$F93),0)),0)</f>
        <v>0</v>
      </c>
      <c r="AM93" s="403" cm="1">
        <f t="array" aca="1" ref="AM93" ca="1">IFERROR(SUM(_xlfn._xlws.FILTER(INDIRECT(AM$6),(INDIRECT($B$6)=$B93)*(INDIRECT($F$6)=$F93),0)),0)</f>
        <v>0</v>
      </c>
      <c r="AN93" s="403" cm="1">
        <f t="array" aca="1" ref="AN93" ca="1">IFERROR(SUM(_xlfn._xlws.FILTER(INDIRECT(AN$6),(INDIRECT($B$6)=$B93)*(INDIRECT($F$6)=$F93),0)),0)</f>
        <v>0</v>
      </c>
      <c r="AO93" s="403" cm="1">
        <f t="array" aca="1" ref="AO93" ca="1">IFERROR(SUM(_xlfn._xlws.FILTER(INDIRECT(AO$6),(INDIRECT($B$6)=$B93)*(INDIRECT($F$6)=$F93),0)),0)</f>
        <v>0</v>
      </c>
      <c r="AP93" s="403" cm="1">
        <f t="array" aca="1" ref="AP93" ca="1">IFERROR(SUM(_xlfn._xlws.FILTER(INDIRECT(AP$6),(INDIRECT($B$6)=$B93)*(INDIRECT($F$6)=$F93),0)),0)</f>
        <v>0</v>
      </c>
      <c r="AQ93" s="403" cm="1">
        <f t="array" aca="1" ref="AQ93" ca="1">IFERROR(SUM(_xlfn._xlws.FILTER(INDIRECT(AQ$6),(INDIRECT($B$6)=$B93)*(INDIRECT($F$6)=$F93),0)),0)</f>
        <v>0</v>
      </c>
      <c r="AR93" s="403" cm="1">
        <f t="array" aca="1" ref="AR93" ca="1">IFERROR(SUM(_xlfn._xlws.FILTER(INDIRECT(AR$6),(INDIRECT($B$6)=$B93)*(INDIRECT($F$6)=$F93),0)),0)</f>
        <v>0</v>
      </c>
      <c r="AS93" s="286" t="str">
        <f t="shared" si="7"/>
        <v>X</v>
      </c>
      <c r="AT93" s="403">
        <f t="shared" ca="1" si="9"/>
        <v>0</v>
      </c>
      <c r="AV93" s="142" cm="1">
        <f t="array" aca="1" ref="AV93" ca="1">IF(AND(_xlfn.LET(_xlpm.x,SUM(ROW()),OR(AND(MATCH("SOT",$A:$A,0)&lt;_xlpm.x,MATCH("EOT",$A:$A,0)&gt;_xlpm.x),AND(MATCH("SOS",$A:$A,0)&lt;_xlpm.x,MATCH("EOS",$A:$A,0)&gt;_xlpm.x),AND(MATCH("SOR",$A:$A,0)&lt;_xlpm.x,MATCH("EOR",$A:$A,0)&gt;_xlpm.x))),INDIRECT("rc"&amp;MATCH("SCD",$1:$1,0),FALSE)="PPTO"),1,0)</f>
        <v>0</v>
      </c>
      <c r="AW93" s="142" cm="1">
        <f t="array" aca="1" ref="AW9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94" spans="1:49" s="153" customFormat="1" outlineLevel="2">
      <c r="A94" s="152"/>
      <c r="B94" s="401"/>
      <c r="C94" s="148"/>
      <c r="D94" s="404"/>
      <c r="E94" s="405" t="str">
        <f t="shared" si="8"/>
        <v/>
      </c>
      <c r="F94" s="402"/>
      <c r="G94" s="403" cm="1">
        <f t="array" aca="1" ref="G94" ca="1">IFERROR(SUM(_xlfn._xlws.FILTER(INDIRECT(G$6),(INDIRECT($B$6)=$B94)*(INDIRECT($F$6)=$F94),0)),0)</f>
        <v>0</v>
      </c>
      <c r="H94" s="403" cm="1">
        <f t="array" aca="1" ref="H94" ca="1">IFERROR(SUM(_xlfn._xlws.FILTER(INDIRECT(H$6),(INDIRECT($B$6)=$B94)*(INDIRECT($F$6)=$F94),0)),0)</f>
        <v>0</v>
      </c>
      <c r="I94" s="403" cm="1">
        <f t="array" aca="1" ref="I94" ca="1">IFERROR(SUM(_xlfn._xlws.FILTER(INDIRECT(I$6),(INDIRECT($B$6)=$B94)*(INDIRECT($F$6)=$F94),0)),0)</f>
        <v>0</v>
      </c>
      <c r="J94" s="403" cm="1">
        <f t="array" aca="1" ref="J94" ca="1">IFERROR(SUM(_xlfn._xlws.FILTER(INDIRECT(J$6),(INDIRECT($B$6)=$B94)*(INDIRECT($F$6)=$F94),0)),0)</f>
        <v>0</v>
      </c>
      <c r="K94" s="403" cm="1">
        <f t="array" aca="1" ref="K94" ca="1">IFERROR(SUM(_xlfn._xlws.FILTER(INDIRECT(K$6),(INDIRECT($B$6)=$B94)*(INDIRECT($F$6)=$F94),0)),0)</f>
        <v>0</v>
      </c>
      <c r="L94" s="403" cm="1">
        <f t="array" aca="1" ref="L94" ca="1">IFERROR(SUM(_xlfn._xlws.FILTER(INDIRECT(L$6),(INDIRECT($B$6)=$B94)*(INDIRECT($F$6)=$F94),0)),0)</f>
        <v>0</v>
      </c>
      <c r="M94" s="403" cm="1">
        <f t="array" aca="1" ref="M94" ca="1">IFERROR(SUM(_xlfn._xlws.FILTER(INDIRECT(M$6),(INDIRECT($B$6)=$B94)*(INDIRECT($F$6)=$F94),0)),0)</f>
        <v>0</v>
      </c>
      <c r="N94" s="403" cm="1">
        <f t="array" aca="1" ref="N94" ca="1">IFERROR(SUM(_xlfn._xlws.FILTER(INDIRECT(N$6),(INDIRECT($B$6)=$B94)*(INDIRECT($F$6)=$F94),0)),0)</f>
        <v>0</v>
      </c>
      <c r="O94" s="403" cm="1">
        <f t="array" aca="1" ref="O94" ca="1">IFERROR(SUM(_xlfn._xlws.FILTER(INDIRECT(O$6),(INDIRECT($B$6)=$B94)*(INDIRECT($F$6)=$F94),0)),0)</f>
        <v>0</v>
      </c>
      <c r="P94" s="403" cm="1">
        <f t="array" aca="1" ref="P94" ca="1">IFERROR(SUM(_xlfn._xlws.FILTER(INDIRECT(P$6),(INDIRECT($B$6)=$B94)*(INDIRECT($F$6)=$F94),0)),0)</f>
        <v>0</v>
      </c>
      <c r="Q94" s="403" cm="1">
        <f t="array" aca="1" ref="Q94" ca="1">IFERROR(SUM(_xlfn._xlws.FILTER(INDIRECT(Q$6),(INDIRECT($B$6)=$B94)*(INDIRECT($F$6)=$F94),0)),0)</f>
        <v>0</v>
      </c>
      <c r="R94" s="403" cm="1">
        <f t="array" aca="1" ref="R94" ca="1">IFERROR(SUM(_xlfn._xlws.FILTER(INDIRECT(R$6),(INDIRECT($B$6)=$B94)*(INDIRECT($F$6)=$F94),0)),0)</f>
        <v>0</v>
      </c>
      <c r="S94" s="403" cm="1">
        <f t="array" aca="1" ref="S94" ca="1">IFERROR(SUM(_xlfn._xlws.FILTER(INDIRECT(S$6),(INDIRECT($B$6)=$B94)*(INDIRECT($F$6)=$F94),0)),0)</f>
        <v>0</v>
      </c>
      <c r="T94" s="403" cm="1">
        <f t="array" aca="1" ref="T94" ca="1">IFERROR(SUM(_xlfn._xlws.FILTER(INDIRECT(T$6),(INDIRECT($B$6)=$B94)*(INDIRECT($F$6)=$F94),0)),0)</f>
        <v>0</v>
      </c>
      <c r="U94" s="403" cm="1">
        <f t="array" aca="1" ref="U94" ca="1">IFERROR(SUM(_xlfn._xlws.FILTER(INDIRECT(U$6),(INDIRECT($B$6)=$B94)*(INDIRECT($F$6)=$F94),0)),0)</f>
        <v>0</v>
      </c>
      <c r="V94" s="403" cm="1">
        <f t="array" aca="1" ref="V94" ca="1">IFERROR(SUM(_xlfn._xlws.FILTER(INDIRECT(V$6),(INDIRECT($B$6)=$B94)*(INDIRECT($F$6)=$F94),0)),0)</f>
        <v>0</v>
      </c>
      <c r="W94" s="403" cm="1">
        <f t="array" aca="1" ref="W94" ca="1">IFERROR(SUM(_xlfn._xlws.FILTER(INDIRECT(W$6),(INDIRECT($B$6)=$B94)*(INDIRECT($F$6)=$F94),0)),0)</f>
        <v>0</v>
      </c>
      <c r="X94" s="403" cm="1">
        <f t="array" aca="1" ref="X94" ca="1">IFERROR(SUM(_xlfn._xlws.FILTER(INDIRECT(X$6),(INDIRECT($B$6)=$B94)*(INDIRECT($F$6)=$F94),0)),0)</f>
        <v>0</v>
      </c>
      <c r="Y94" s="403" cm="1">
        <f t="array" aca="1" ref="Y94" ca="1">IFERROR(SUM(_xlfn._xlws.FILTER(INDIRECT(Y$6),(INDIRECT($B$6)=$B94)*(INDIRECT($F$6)=$F94),0)),0)</f>
        <v>0</v>
      </c>
      <c r="Z94" s="403" cm="1">
        <f t="array" aca="1" ref="Z94" ca="1">IFERROR(SUM(_xlfn._xlws.FILTER(INDIRECT(Z$6),(INDIRECT($B$6)=$B94)*(INDIRECT($F$6)=$F94),0)),0)</f>
        <v>0</v>
      </c>
      <c r="AA94" s="403" cm="1">
        <f t="array" aca="1" ref="AA94" ca="1">IFERROR(SUM(_xlfn._xlws.FILTER(INDIRECT(AA$6),(INDIRECT($B$6)=$B94)*(INDIRECT($F$6)=$F94),0)),0)</f>
        <v>0</v>
      </c>
      <c r="AB94" s="403" cm="1">
        <f t="array" aca="1" ref="AB94" ca="1">IFERROR(SUM(_xlfn._xlws.FILTER(INDIRECT(AB$6),(INDIRECT($B$6)=$B94)*(INDIRECT($F$6)=$F94),0)),0)</f>
        <v>0</v>
      </c>
      <c r="AC94" s="403" cm="1">
        <f t="array" aca="1" ref="AC94" ca="1">IFERROR(SUM(_xlfn._xlws.FILTER(INDIRECT(AC$6),(INDIRECT($B$6)=$B94)*(INDIRECT($F$6)=$F94),0)),0)</f>
        <v>0</v>
      </c>
      <c r="AD94" s="403" cm="1">
        <f t="array" aca="1" ref="AD94" ca="1">IFERROR(SUM(_xlfn._xlws.FILTER(INDIRECT(AD$6),(INDIRECT($B$6)=$B94)*(INDIRECT($F$6)=$F94),0)),0)</f>
        <v>0</v>
      </c>
      <c r="AE94" s="403" cm="1">
        <f t="array" aca="1" ref="AE94" ca="1">IFERROR(SUM(_xlfn._xlws.FILTER(INDIRECT(AE$6),(INDIRECT($B$6)=$B94)*(INDIRECT($F$6)=$F94),0)),0)</f>
        <v>0</v>
      </c>
      <c r="AF94" s="403" cm="1">
        <f t="array" aca="1" ref="AF94" ca="1">IFERROR(SUM(_xlfn._xlws.FILTER(INDIRECT(AF$6),(INDIRECT($B$6)=$B94)*(INDIRECT($F$6)=$F94),0)),0)</f>
        <v>0</v>
      </c>
      <c r="AG94" s="403" cm="1">
        <f t="array" aca="1" ref="AG94" ca="1">IFERROR(SUM(_xlfn._xlws.FILTER(INDIRECT(AG$6),(INDIRECT($B$6)=$B94)*(INDIRECT($F$6)=$F94),0)),0)</f>
        <v>0</v>
      </c>
      <c r="AH94" s="403" cm="1">
        <f t="array" aca="1" ref="AH94" ca="1">IFERROR(SUM(_xlfn._xlws.FILTER(INDIRECT(AH$6),(INDIRECT($B$6)=$B94)*(INDIRECT($F$6)=$F94),0)),0)</f>
        <v>0</v>
      </c>
      <c r="AI94" s="403" cm="1">
        <f t="array" aca="1" ref="AI94" ca="1">IFERROR(SUM(_xlfn._xlws.FILTER(INDIRECT(AI$6),(INDIRECT($B$6)=$B94)*(INDIRECT($F$6)=$F94),0)),0)</f>
        <v>0</v>
      </c>
      <c r="AJ94" s="403" cm="1">
        <f t="array" aca="1" ref="AJ94" ca="1">IFERROR(SUM(_xlfn._xlws.FILTER(INDIRECT(AJ$6),(INDIRECT($B$6)=$B94)*(INDIRECT($F$6)=$F94),0)),0)</f>
        <v>0</v>
      </c>
      <c r="AK94" s="403" cm="1">
        <f t="array" aca="1" ref="AK94" ca="1">IFERROR(SUM(_xlfn._xlws.FILTER(INDIRECT(AK$6),(INDIRECT($B$6)=$B94)*(INDIRECT($F$6)=$F94),0)),0)</f>
        <v>0</v>
      </c>
      <c r="AL94" s="403" cm="1">
        <f t="array" aca="1" ref="AL94" ca="1">IFERROR(SUM(_xlfn._xlws.FILTER(INDIRECT(AL$6),(INDIRECT($B$6)=$B94)*(INDIRECT($F$6)=$F94),0)),0)</f>
        <v>0</v>
      </c>
      <c r="AM94" s="403" cm="1">
        <f t="array" aca="1" ref="AM94" ca="1">IFERROR(SUM(_xlfn._xlws.FILTER(INDIRECT(AM$6),(INDIRECT($B$6)=$B94)*(INDIRECT($F$6)=$F94),0)),0)</f>
        <v>0</v>
      </c>
      <c r="AN94" s="403" cm="1">
        <f t="array" aca="1" ref="AN94" ca="1">IFERROR(SUM(_xlfn._xlws.FILTER(INDIRECT(AN$6),(INDIRECT($B$6)=$B94)*(INDIRECT($F$6)=$F94),0)),0)</f>
        <v>0</v>
      </c>
      <c r="AO94" s="403" cm="1">
        <f t="array" aca="1" ref="AO94" ca="1">IFERROR(SUM(_xlfn._xlws.FILTER(INDIRECT(AO$6),(INDIRECT($B$6)=$B94)*(INDIRECT($F$6)=$F94),0)),0)</f>
        <v>0</v>
      </c>
      <c r="AP94" s="403" cm="1">
        <f t="array" aca="1" ref="AP94" ca="1">IFERROR(SUM(_xlfn._xlws.FILTER(INDIRECT(AP$6),(INDIRECT($B$6)=$B94)*(INDIRECT($F$6)=$F94),0)),0)</f>
        <v>0</v>
      </c>
      <c r="AQ94" s="403" cm="1">
        <f t="array" aca="1" ref="AQ94" ca="1">IFERROR(SUM(_xlfn._xlws.FILTER(INDIRECT(AQ$6),(INDIRECT($B$6)=$B94)*(INDIRECT($F$6)=$F94),0)),0)</f>
        <v>0</v>
      </c>
      <c r="AR94" s="403" cm="1">
        <f t="array" aca="1" ref="AR94" ca="1">IFERROR(SUM(_xlfn._xlws.FILTER(INDIRECT(AR$6),(INDIRECT($B$6)=$B94)*(INDIRECT($F$6)=$F94),0)),0)</f>
        <v>0</v>
      </c>
      <c r="AS94" s="286" t="str">
        <f t="shared" si="7"/>
        <v>X</v>
      </c>
      <c r="AT94" s="403">
        <f t="shared" ca="1" si="9"/>
        <v>0</v>
      </c>
      <c r="AV94" s="142" cm="1">
        <f t="array" aca="1" ref="AV94" ca="1">IF(AND(_xlfn.LET(_xlpm.x,SUM(ROW()),OR(AND(MATCH("SOT",$A:$A,0)&lt;_xlpm.x,MATCH("EOT",$A:$A,0)&gt;_xlpm.x),AND(MATCH("SOS",$A:$A,0)&lt;_xlpm.x,MATCH("EOS",$A:$A,0)&gt;_xlpm.x),AND(MATCH("SOR",$A:$A,0)&lt;_xlpm.x,MATCH("EOR",$A:$A,0)&gt;_xlpm.x))),INDIRECT("rc"&amp;MATCH("SCD",$1:$1,0),FALSE)="PPTO"),1,0)</f>
        <v>0</v>
      </c>
      <c r="AW94" s="142" cm="1">
        <f t="array" aca="1" ref="AW9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95" spans="1:49" s="153" customFormat="1" ht="12" outlineLevel="2">
      <c r="A95" s="152" t="s">
        <v>1731</v>
      </c>
      <c r="B95" s="401"/>
      <c r="C95" s="148"/>
      <c r="D95" s="404"/>
      <c r="E95" s="405"/>
      <c r="F95" s="402"/>
      <c r="G95" s="403"/>
      <c r="H95" s="403"/>
      <c r="I95" s="403"/>
      <c r="J95" s="403"/>
      <c r="K95" s="403"/>
      <c r="L95" s="403"/>
      <c r="M95" s="403"/>
      <c r="N95" s="403"/>
      <c r="O95" s="403"/>
      <c r="P95" s="403"/>
      <c r="Q95" s="403"/>
      <c r="R95" s="403"/>
      <c r="S95" s="403"/>
      <c r="T95" s="403"/>
      <c r="U95" s="403"/>
      <c r="V95" s="403"/>
      <c r="W95" s="403"/>
      <c r="X95" s="403"/>
      <c r="Y95" s="403"/>
      <c r="Z95" s="403"/>
      <c r="AA95" s="403"/>
      <c r="AB95" s="403"/>
      <c r="AC95" s="403"/>
      <c r="AD95" s="403"/>
      <c r="AE95" s="403"/>
      <c r="AF95" s="403"/>
      <c r="AG95" s="403"/>
      <c r="AH95" s="403"/>
      <c r="AI95" s="403"/>
      <c r="AJ95" s="403"/>
      <c r="AK95" s="403"/>
      <c r="AL95" s="403"/>
      <c r="AM95" s="403"/>
      <c r="AN95" s="403"/>
      <c r="AO95" s="403"/>
      <c r="AP95" s="403"/>
      <c r="AQ95" s="403"/>
      <c r="AR95" s="403"/>
      <c r="AS95" s="286" t="str">
        <f t="shared" si="7"/>
        <v>X</v>
      </c>
      <c r="AV95" s="142" cm="1">
        <f t="array" aca="1" ref="AV95" ca="1">IF(AND(_xlfn.LET(_xlpm.x,SUM(ROW()),OR(AND(MATCH("SOT",$A:$A,0)&lt;_xlpm.x,MATCH("EOT",$A:$A,0)&gt;_xlpm.x),AND(MATCH("SOS",$A:$A,0)&lt;_xlpm.x,MATCH("EOS",$A:$A,0)&gt;_xlpm.x),AND(MATCH("SOR",$A:$A,0)&lt;_xlpm.x,MATCH("EOR",$A:$A,0)&gt;_xlpm.x))),INDIRECT("rc"&amp;MATCH("SCD",$1:$1,0),FALSE)="PPTO"),1,0)</f>
        <v>0</v>
      </c>
      <c r="AW95" s="142" cm="1">
        <f t="array" aca="1" ref="AW9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96" spans="1:49" s="153" customFormat="1" outlineLevel="1">
      <c r="A96" s="152"/>
      <c r="B96" s="401"/>
      <c r="C96" s="148"/>
      <c r="D96" s="404"/>
      <c r="E96" s="405"/>
      <c r="F96" s="402"/>
      <c r="G96" s="403"/>
      <c r="H96" s="403"/>
      <c r="I96" s="403"/>
      <c r="J96" s="403"/>
      <c r="K96" s="403"/>
      <c r="L96" s="403"/>
      <c r="M96" s="403"/>
      <c r="N96" s="403"/>
      <c r="O96" s="403"/>
      <c r="P96" s="403"/>
      <c r="Q96" s="403"/>
      <c r="R96" s="403"/>
      <c r="S96" s="403"/>
      <c r="T96" s="403"/>
      <c r="U96" s="403"/>
      <c r="V96" s="403"/>
      <c r="W96" s="403"/>
      <c r="X96" s="403"/>
      <c r="Y96" s="403"/>
      <c r="Z96" s="403"/>
      <c r="AA96" s="403"/>
      <c r="AB96" s="403"/>
      <c r="AC96" s="403"/>
      <c r="AD96" s="403"/>
      <c r="AE96" s="403"/>
      <c r="AF96" s="403"/>
      <c r="AG96" s="403"/>
      <c r="AH96" s="403"/>
      <c r="AI96" s="403"/>
      <c r="AJ96" s="403"/>
      <c r="AK96" s="403"/>
      <c r="AL96" s="403"/>
      <c r="AM96" s="403"/>
      <c r="AN96" s="403"/>
      <c r="AO96" s="403"/>
      <c r="AP96" s="403"/>
      <c r="AQ96" s="403"/>
      <c r="AR96" s="403"/>
      <c r="AS96" s="286" t="str">
        <f t="shared" si="7"/>
        <v>X</v>
      </c>
      <c r="AV96" s="142" cm="1">
        <f t="array" aca="1" ref="AV96" ca="1">IF(AND(_xlfn.LET(_xlpm.x,SUM(ROW()),OR(AND(MATCH("SOT",$A:$A,0)&lt;_xlpm.x,MATCH("EOT",$A:$A,0)&gt;_xlpm.x),AND(MATCH("SOS",$A:$A,0)&lt;_xlpm.x,MATCH("EOS",$A:$A,0)&gt;_xlpm.x),AND(MATCH("SOR",$A:$A,0)&lt;_xlpm.x,MATCH("EOR",$A:$A,0)&gt;_xlpm.x))),INDIRECT("rc"&amp;MATCH("SCD",$1:$1,0),FALSE)="PPTO"),1,0)</f>
        <v>0</v>
      </c>
      <c r="AW96" s="142" cm="1">
        <f t="array" aca="1" ref="AW9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97" spans="1:49" outlineLevel="1">
      <c r="B97" s="485" t="s">
        <v>1747</v>
      </c>
      <c r="C97" s="485"/>
      <c r="D97" s="485"/>
      <c r="E97" s="485"/>
      <c r="F97" s="485"/>
      <c r="G97" s="485"/>
      <c r="H97" s="485"/>
      <c r="I97" s="485"/>
      <c r="J97" s="485"/>
      <c r="K97" s="485"/>
      <c r="L97" s="485"/>
      <c r="M97" s="485"/>
      <c r="N97" s="485"/>
      <c r="O97" s="485"/>
      <c r="P97" s="485"/>
      <c r="Q97" s="485"/>
      <c r="R97" s="485"/>
      <c r="S97" s="485"/>
      <c r="T97" s="485"/>
      <c r="U97" s="485"/>
      <c r="V97" s="485"/>
      <c r="W97" s="485"/>
      <c r="X97" s="485"/>
      <c r="Y97" s="485"/>
      <c r="Z97" s="485"/>
      <c r="AA97" s="485"/>
      <c r="AB97" s="485"/>
      <c r="AC97" s="485"/>
      <c r="AD97" s="485"/>
      <c r="AE97" s="485"/>
      <c r="AF97" s="485"/>
      <c r="AG97" s="485"/>
      <c r="AH97" s="485"/>
      <c r="AI97" s="485"/>
      <c r="AJ97" s="485"/>
      <c r="AK97" s="485"/>
      <c r="AL97" s="485"/>
      <c r="AM97" s="485"/>
      <c r="AN97" s="485"/>
      <c r="AO97" s="485"/>
      <c r="AP97" s="485"/>
      <c r="AQ97" s="485"/>
      <c r="AR97" s="485"/>
      <c r="AS97" s="485"/>
      <c r="AV97" s="142" cm="1">
        <f t="array" aca="1" ref="AV97" ca="1">IF(AND(_xlfn.LET(_xlpm.x,SUM(ROW()),OR(AND(MATCH("SOT",$A:$A,0)&lt;_xlpm.x,MATCH("EOT",$A:$A,0)&gt;_xlpm.x),AND(MATCH("SOS",$A:$A,0)&lt;_xlpm.x,MATCH("EOS",$A:$A,0)&gt;_xlpm.x),AND(MATCH("SOR",$A:$A,0)&lt;_xlpm.x,MATCH("EOR",$A:$A,0)&gt;_xlpm.x))),INDIRECT("rc"&amp;MATCH("SCD",$1:$1,0),FALSE)="PPTO"),1,0)</f>
        <v>0</v>
      </c>
      <c r="AW97" s="142" cm="1">
        <f t="array" aca="1" ref="AW9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98" spans="1:49" ht="12" outlineLevel="1">
      <c r="A98" s="155" t="s">
        <v>475</v>
      </c>
      <c r="B98" s="198" t="str">
        <f t="shared" ref="B98:AT98" ca="1" si="10">ADDRESS(MATCH("SO"&amp;RIGHT($A98,1),$A:$A,0)+1,SUM(COLUMN()),4,1,$B$9)&amp;":"&amp;ADDRESS(MATCH("EO"&amp;RIGHT($A98,1),$A:$A,0)-1,SUM(COLUMN()),4)</f>
        <v>PPR!B101:B102</v>
      </c>
      <c r="C98" s="198" t="str">
        <f t="shared" ca="1" si="10"/>
        <v>PPR!C101:C102</v>
      </c>
      <c r="D98" s="198" t="str">
        <f t="shared" ca="1" si="10"/>
        <v>PPR!D101:D102</v>
      </c>
      <c r="E98" s="348" t="str">
        <f t="shared" ca="1" si="10"/>
        <v>PPR!E101:E102</v>
      </c>
      <c r="F98" s="198" t="str">
        <f t="shared" ca="1" si="10"/>
        <v>PPR!F101:F102</v>
      </c>
      <c r="G98" s="198" t="str">
        <f t="shared" ca="1" si="10"/>
        <v>PPR!G101:G102</v>
      </c>
      <c r="H98" s="198" t="str">
        <f t="shared" ca="1" si="10"/>
        <v>PPR!H101:H102</v>
      </c>
      <c r="I98" s="198" t="str">
        <f t="shared" ca="1" si="10"/>
        <v>PPR!I101:I102</v>
      </c>
      <c r="J98" s="198" t="str">
        <f t="shared" ca="1" si="10"/>
        <v>PPR!J101:J102</v>
      </c>
      <c r="K98" s="198" t="str">
        <f t="shared" ca="1" si="10"/>
        <v>PPR!K101:K102</v>
      </c>
      <c r="L98" s="198" t="str">
        <f t="shared" ca="1" si="10"/>
        <v>PPR!L101:L102</v>
      </c>
      <c r="M98" s="198" t="str">
        <f t="shared" ca="1" si="10"/>
        <v>PPR!M101:M102</v>
      </c>
      <c r="N98" s="198" t="str">
        <f t="shared" ca="1" si="10"/>
        <v>PPR!N101:N102</v>
      </c>
      <c r="O98" s="198" t="str">
        <f t="shared" ca="1" si="10"/>
        <v>PPR!O101:O102</v>
      </c>
      <c r="P98" s="198" t="str">
        <f t="shared" ca="1" si="10"/>
        <v>PPR!P101:P102</v>
      </c>
      <c r="Q98" s="198" t="str">
        <f t="shared" ca="1" si="10"/>
        <v>PPR!Q101:Q102</v>
      </c>
      <c r="R98" s="198" t="str">
        <f t="shared" ca="1" si="10"/>
        <v>PPR!R101:R102</v>
      </c>
      <c r="S98" s="198" t="str">
        <f t="shared" ca="1" si="10"/>
        <v>PPR!S101:S102</v>
      </c>
      <c r="T98" s="198" t="str">
        <f t="shared" ca="1" si="10"/>
        <v>PPR!T101:T102</v>
      </c>
      <c r="U98" s="198" t="str">
        <f t="shared" ca="1" si="10"/>
        <v>PPR!U101:U102</v>
      </c>
      <c r="V98" s="198" t="str">
        <f t="shared" ca="1" si="10"/>
        <v>PPR!V101:V102</v>
      </c>
      <c r="W98" s="198" t="str">
        <f t="shared" ca="1" si="10"/>
        <v>PPR!W101:W102</v>
      </c>
      <c r="X98" s="198" t="str">
        <f t="shared" ca="1" si="10"/>
        <v>PPR!X101:X102</v>
      </c>
      <c r="Y98" s="198" t="str">
        <f t="shared" ca="1" si="10"/>
        <v>PPR!Y101:Y102</v>
      </c>
      <c r="Z98" s="198" t="str">
        <f t="shared" ca="1" si="10"/>
        <v>PPR!Z101:Z102</v>
      </c>
      <c r="AA98" s="198" t="str">
        <f t="shared" ca="1" si="10"/>
        <v>PPR!AA101:AA102</v>
      </c>
      <c r="AB98" s="198" t="str">
        <f t="shared" ca="1" si="10"/>
        <v>PPR!AB101:AB102</v>
      </c>
      <c r="AC98" s="198" t="str">
        <f t="shared" ca="1" si="10"/>
        <v>PPR!AC101:AC102</v>
      </c>
      <c r="AD98" s="198" t="str">
        <f t="shared" ca="1" si="10"/>
        <v>PPR!AD101:AD102</v>
      </c>
      <c r="AE98" s="198" t="str">
        <f t="shared" ca="1" si="10"/>
        <v>PPR!AE101:AE102</v>
      </c>
      <c r="AF98" s="198" t="str">
        <f t="shared" ca="1" si="10"/>
        <v>PPR!AF101:AF102</v>
      </c>
      <c r="AG98" s="198" t="str">
        <f t="shared" ca="1" si="10"/>
        <v>PPR!AG101:AG102</v>
      </c>
      <c r="AH98" s="198" t="str">
        <f t="shared" ca="1" si="10"/>
        <v>PPR!AH101:AH102</v>
      </c>
      <c r="AI98" s="198" t="str">
        <f t="shared" ca="1" si="10"/>
        <v>PPR!AI101:AI102</v>
      </c>
      <c r="AJ98" s="198" t="str">
        <f t="shared" ca="1" si="10"/>
        <v>PPR!AJ101:AJ102</v>
      </c>
      <c r="AK98" s="198" t="str">
        <f t="shared" ca="1" si="10"/>
        <v>PPR!AK101:AK102</v>
      </c>
      <c r="AL98" s="198" t="str">
        <f t="shared" ca="1" si="10"/>
        <v>PPR!AL101:AL102</v>
      </c>
      <c r="AM98" s="198" t="str">
        <f t="shared" ca="1" si="10"/>
        <v>PPR!AM101:AM102</v>
      </c>
      <c r="AN98" s="198" t="str">
        <f t="shared" ca="1" si="10"/>
        <v>PPR!AN101:AN102</v>
      </c>
      <c r="AO98" s="198" t="str">
        <f t="shared" ca="1" si="10"/>
        <v>PPR!AO101:AO102</v>
      </c>
      <c r="AP98" s="198" t="str">
        <f t="shared" ca="1" si="10"/>
        <v>PPR!AP101:AP102</v>
      </c>
      <c r="AQ98" s="198" t="str">
        <f t="shared" ca="1" si="10"/>
        <v>PPR!AQ101:AQ102</v>
      </c>
      <c r="AR98" s="198" t="str">
        <f t="shared" ca="1" si="10"/>
        <v>PPR!AR101:AR102</v>
      </c>
      <c r="AS98" s="198" t="str">
        <f t="shared" ca="1" si="10"/>
        <v>PPR!AS101:AS102</v>
      </c>
      <c r="AT98" s="198" t="str">
        <f t="shared" ca="1" si="10"/>
        <v>PPR!AT101:AT102</v>
      </c>
      <c r="AV98" s="142" cm="1">
        <f t="array" aca="1" ref="AV98" ca="1">IF(AND(_xlfn.LET(_xlpm.x,SUM(ROW()),OR(AND(MATCH("SOT",$A:$A,0)&lt;_xlpm.x,MATCH("EOT",$A:$A,0)&gt;_xlpm.x),AND(MATCH("SOS",$A:$A,0)&lt;_xlpm.x,MATCH("EOS",$A:$A,0)&gt;_xlpm.x),AND(MATCH("SOR",$A:$A,0)&lt;_xlpm.x,MATCH("EOR",$A:$A,0)&gt;_xlpm.x))),INDIRECT("rc"&amp;MATCH("SCD",$1:$1,0),FALSE)="PPTO"),1,0)</f>
        <v>0</v>
      </c>
      <c r="AW98" s="142" cm="1">
        <f t="array" aca="1" ref="AW9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99" spans="1:49" outlineLevel="1">
      <c r="B99" s="198"/>
      <c r="C99" s="198" t="str">
        <f ca="1">ADDRESS(MATCH("SOI",$A:$A,0)+1,MATCH("SOC",$1:$1,0)+1,4,1,$B$9)&amp;":"&amp;ADDRESS(MATCH("EOI",$A:$A,0)-1,MATCH("EOC",$1:$1,0)-1,4)</f>
        <v>PPR!B101:AR102</v>
      </c>
      <c r="D99" s="198"/>
      <c r="E99" s="348"/>
      <c r="F99" s="198"/>
      <c r="G99" s="198"/>
      <c r="H99" s="198"/>
      <c r="I99" s="198"/>
      <c r="J99" s="198"/>
      <c r="K99" s="198"/>
      <c r="L99" s="198"/>
      <c r="M99" s="198"/>
      <c r="N99" s="198"/>
      <c r="O99" s="198"/>
      <c r="P99" s="198"/>
      <c r="Q99" s="198"/>
      <c r="R99" s="198"/>
      <c r="S99" s="198"/>
      <c r="T99" s="198"/>
      <c r="U99" s="198"/>
      <c r="V99" s="198"/>
      <c r="W99" s="198"/>
      <c r="X99" s="198"/>
      <c r="Y99" s="198"/>
      <c r="Z99" s="198"/>
      <c r="AA99" s="198"/>
      <c r="AB99" s="198"/>
      <c r="AC99" s="198"/>
      <c r="AD99" s="198"/>
      <c r="AE99" s="198"/>
      <c r="AF99" s="198"/>
      <c r="AG99" s="198"/>
      <c r="AH99" s="198"/>
      <c r="AI99" s="198"/>
      <c r="AJ99" s="198"/>
      <c r="AK99" s="198"/>
      <c r="AL99" s="198"/>
      <c r="AM99" s="198"/>
      <c r="AN99" s="198"/>
      <c r="AO99" s="198"/>
      <c r="AP99" s="198"/>
      <c r="AQ99" s="198"/>
      <c r="AR99" s="198"/>
      <c r="AS99" s="198"/>
      <c r="AT99" s="198"/>
      <c r="AV99" s="142" cm="1">
        <f t="array" aca="1" ref="AV99" ca="1">IF(AND(_xlfn.LET(_xlpm.x,SUM(ROW()),OR(AND(MATCH("SOT",$A:$A,0)&lt;_xlpm.x,MATCH("EOT",$A:$A,0)&gt;_xlpm.x),AND(MATCH("SOS",$A:$A,0)&lt;_xlpm.x,MATCH("EOS",$A:$A,0)&gt;_xlpm.x),AND(MATCH("SOR",$A:$A,0)&lt;_xlpm.x,MATCH("EOR",$A:$A,0)&gt;_xlpm.x))),INDIRECT("rc"&amp;MATCH("SCD",$1:$1,0),FALSE)="PPTO"),1,0)</f>
        <v>0</v>
      </c>
      <c r="AW99" s="142" cm="1">
        <f t="array" aca="1" ref="AW9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100" spans="1:49" s="153" customFormat="1" ht="11" outlineLevel="1">
      <c r="A100" s="152" t="s">
        <v>1743</v>
      </c>
      <c r="B100" s="401"/>
      <c r="C100" s="148"/>
      <c r="D100" s="404"/>
      <c r="E100" s="405"/>
      <c r="F100" s="402"/>
      <c r="G100" s="403"/>
      <c r="H100" s="403"/>
      <c r="I100" s="403"/>
      <c r="J100" s="403"/>
      <c r="K100" s="403"/>
      <c r="L100" s="403"/>
      <c r="M100" s="403"/>
      <c r="N100" s="403"/>
      <c r="O100" s="403"/>
      <c r="P100" s="403"/>
      <c r="Q100" s="403"/>
      <c r="R100" s="403"/>
      <c r="S100" s="403"/>
      <c r="T100" s="403"/>
      <c r="U100" s="403"/>
      <c r="V100" s="403"/>
      <c r="W100" s="403"/>
      <c r="X100" s="403"/>
      <c r="Y100" s="403"/>
      <c r="Z100" s="403"/>
      <c r="AA100" s="403"/>
      <c r="AB100" s="403"/>
      <c r="AC100" s="403"/>
      <c r="AD100" s="403"/>
      <c r="AE100" s="403"/>
      <c r="AF100" s="403"/>
      <c r="AG100" s="403"/>
      <c r="AH100" s="403"/>
      <c r="AI100" s="403"/>
      <c r="AJ100" s="403"/>
      <c r="AK100" s="403"/>
      <c r="AL100" s="403"/>
      <c r="AM100" s="403"/>
      <c r="AN100" s="403"/>
      <c r="AO100" s="403"/>
      <c r="AP100" s="403"/>
      <c r="AQ100" s="403"/>
      <c r="AR100" s="403"/>
      <c r="AS100" s="286"/>
      <c r="AV100" s="142" cm="1">
        <f t="array" aca="1" ref="AV100" ca="1">IF(AND(_xlfn.LET(_xlpm.x,SUM(ROW()),OR(AND(MATCH("SOT",$A:$A,0)&lt;_xlpm.x,MATCH("EOT",$A:$A,0)&gt;_xlpm.x),AND(MATCH("SOS",$A:$A,0)&lt;_xlpm.x,MATCH("EOS",$A:$A,0)&gt;_xlpm.x),AND(MATCH("SOR",$A:$A,0)&lt;_xlpm.x,MATCH("EOR",$A:$A,0)&gt;_xlpm.x))),INDIRECT("rc"&amp;MATCH("SCD",$1:$1,0),FALSE)="PPTO"),1,0)</f>
        <v>0</v>
      </c>
      <c r="AW100" s="142" cm="1">
        <f t="array" aca="1" ref="AW10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101" spans="1:49" s="153" customFormat="1" outlineLevel="2">
      <c r="A101" s="152"/>
      <c r="B101" s="406" t="str" cm="1">
        <f t="array" aca="1" ref="B101:B102" ca="1">_xlfn.UNIQUE(INDIRECT(B$86))</f>
        <v>31200</v>
      </c>
      <c r="C101" s="407"/>
      <c r="D101" s="404" t="s">
        <v>1388</v>
      </c>
      <c r="E101" s="408" t="s">
        <v>1390</v>
      </c>
      <c r="F101" s="409" t="s">
        <v>1744</v>
      </c>
      <c r="G101" s="403" cm="1">
        <f t="array" aca="1" ref="G101" ca="1">IFERROR(SUM(_xlfn._xlws.FILTER(INDIRECT(G$86)+INDIRECT(H$86),(INDIRECT($B$86)=$B101)*((INDIRECT($F$86)="PPTO")+(INDIRECT($F$86)="PREV")),0),-_xlfn._xlws.FILTER(INDIRECT(G$86)+INDIRECT(H$86),(INDIRECT($B$86)=$B101)*(INDIRECT($F$86)="REAL"),0)),0)</f>
        <v>56627.869800949979</v>
      </c>
      <c r="H101" s="410" cm="1">
        <f t="array" aca="1" ref="H101" ca="1">_xlfn.LET(_xlpm.x,SUM(_xlfn._xlws.FILTER(INDIRECT(G$86)+INDIRECT(H$86),(INDIRECT($B$86)=$B101)*((INDIRECT($F$86)="PPTO")+(INDIRECT($F$86)="PREV")),0)),_xlpm.y,INDIRECT("rc[-1]",FALSE),IF(_xlpm.x=0,IF(_xlpm.x&gt;0,200%,0),_xlpm.y/_xlpm.x))</f>
        <v>0.42209070055132603</v>
      </c>
      <c r="I101" s="403" cm="1">
        <f t="array" aca="1" ref="I101" ca="1">IFERROR(SUM(_xlfn._xlws.FILTER(INDIRECT(I$86)+INDIRECT(J$86),(INDIRECT($B$86)=$B101)*((INDIRECT($F$86)="PPTO")+(INDIRECT($F$86)="PREV")),0),-_xlfn._xlws.FILTER(INDIRECT(I$86)+INDIRECT(J$86),(INDIRECT($B$86)=$B101)*(INDIRECT($F$86)="REAL"),0)),0)</f>
        <v>3426.2949440000084</v>
      </c>
      <c r="J101" s="410" cm="1">
        <f t="array" aca="1" ref="J101" ca="1">_xlfn.LET(_xlpm.x,SUM(_xlfn._xlws.FILTER(INDIRECT(I$86)+INDIRECT(J$86),(INDIRECT($B$86)=$B101)*((INDIRECT($F$86)="PPTO")+(INDIRECT($F$86)="PREV")),0)),_xlpm.y,INDIRECT("rc[-1]",FALSE),IF(_xlpm.x=0,IF(_xlpm.x&gt;0,200%,0),_xlpm.y/_xlpm.x))</f>
        <v>3.1771228879055716E-2</v>
      </c>
      <c r="K101" s="403" cm="1">
        <f t="array" aca="1" ref="K101" ca="1">IFERROR(SUM(_xlfn._xlws.FILTER(INDIRECT(K$86)+INDIRECT(L$86),(INDIRECT($B$86)=$B101)*((INDIRECT($F$86)="PPTO")+(INDIRECT($F$86)="PREV")),0),-_xlfn._xlws.FILTER(INDIRECT(K$86)+INDIRECT(L$86),(INDIRECT($B$86)=$B101)*(INDIRECT($F$86)="REAL"),0)),0)</f>
        <v>38814.183712568833</v>
      </c>
      <c r="L101" s="410" cm="1">
        <f t="array" aca="1" ref="L101" ca="1">_xlfn.LET(_xlpm.x,SUM(_xlfn._xlws.FILTER(INDIRECT(K$86)+INDIRECT(L$86),(INDIRECT($B$86)=$B101)*((INDIRECT($F$86)="PPTO")+(INDIRECT($F$86)="PREV")),0)),_xlpm.y,INDIRECT("rc[-1]",FALSE),IF(_xlpm.x=0,IF(_xlpm.x&gt;0,200%,0),_xlpm.y/_xlpm.x))</f>
        <v>0.12994895986959892</v>
      </c>
      <c r="M101" s="403" cm="1">
        <f t="array" aca="1" ref="M101" ca="1">IFERROR(SUM(_xlfn._xlws.FILTER(INDIRECT(M$86)+INDIRECT(N$86),(INDIRECT($B$86)=$B101)*((INDIRECT($F$86)="PPTO")+(INDIRECT($F$86)="PREV")),0),-_xlfn._xlws.FILTER(INDIRECT(M$86)+INDIRECT(N$86),(INDIRECT($B$86)=$B101)*(INDIRECT($F$86)="REAL"),0)),0)</f>
        <v>28505.200085878336</v>
      </c>
      <c r="N101" s="410" cm="1">
        <f t="array" aca="1" ref="N101" ca="1">_xlfn.LET(_xlpm.x,SUM(_xlfn._xlws.FILTER(INDIRECT(M$86)+INDIRECT(N$86),(INDIRECT($B$86)=$B101)*((INDIRECT($F$86)="PPTO")+(INDIRECT($F$86)="PREV")),0)),_xlpm.y,INDIRECT("rc[-1]",FALSE),IF(_xlpm.x=0,IF(_xlpm.x&gt;0,200%,0),_xlpm.y/_xlpm.x))</f>
        <v>0.3812480003597441</v>
      </c>
      <c r="O101" s="403" cm="1">
        <f t="array" aca="1" ref="O101" ca="1">IFERROR(SUM(_xlfn._xlws.FILTER(INDIRECT(O$86)+INDIRECT(P$86),(INDIRECT($B$86)=$B101)*((INDIRECT($F$86)="PPTO")+(INDIRECT($F$86)="PREV")),0),-_xlfn._xlws.FILTER(INDIRECT(O$86)+INDIRECT(P$86),(INDIRECT($B$86)=$B101)*(INDIRECT($F$86)="REAL"),0)),0)</f>
        <v>246151.49248772184</v>
      </c>
      <c r="P101" s="410" cm="1">
        <f t="array" aca="1" ref="P101" ca="1">_xlfn.LET(_xlpm.x,SUM(_xlfn._xlws.FILTER(INDIRECT(O$86)+INDIRECT(P$86),(INDIRECT($B$86)=$B101)*((INDIRECT($F$86)="PPTO")+(INDIRECT($F$86)="PREV")),0)),_xlpm.y,INDIRECT("rc[-1]",FALSE),IF(_xlpm.x=0,IF(_xlpm.x&gt;0,200%,0),_xlpm.y/_xlpm.x))</f>
        <v>0.66382531243035403</v>
      </c>
      <c r="Q101" s="403" cm="1">
        <f t="array" aca="1" ref="Q101" ca="1">IFERROR(SUM(_xlfn._xlws.FILTER(INDIRECT(Q$86)+INDIRECT(R$86),(INDIRECT($B$86)=$B101)*((INDIRECT($F$86)="PPTO")+(INDIRECT($F$86)="PREV")),0),-_xlfn._xlws.FILTER(INDIRECT(Q$86)+INDIRECT(R$86),(INDIRECT($B$86)=$B101)*(INDIRECT($F$86)="REAL"),0)),0)</f>
        <v>10435.265996187498</v>
      </c>
      <c r="R101" s="410" cm="1">
        <f t="array" aca="1" ref="R101" ca="1">_xlfn.LET(_xlpm.x,SUM(_xlfn._xlws.FILTER(INDIRECT(Q$86)+INDIRECT(R$86),(INDIRECT($B$86)=$B101)*((INDIRECT($F$86)="PPTO")+(INDIRECT($F$86)="PREV")),0)),_xlpm.y,INDIRECT("rc[-1]",FALSE),IF(_xlpm.x=0,IF(_xlpm.x&gt;0,200%,0),_xlpm.y/_xlpm.x))</f>
        <v>0.486360487731479</v>
      </c>
      <c r="S101" s="403" cm="1">
        <f t="array" aca="1" ref="S101" ca="1">IFERROR(SUM(_xlfn._xlws.FILTER(INDIRECT(S$86)+INDIRECT(T$86),(INDIRECT($B$86)=$B101)*((INDIRECT($F$86)="PPTO")+(INDIRECT($F$86)="PREV")),0),-_xlfn._xlws.FILTER(INDIRECT(S$86)+INDIRECT(T$86),(INDIRECT($B$86)=$B101)*(INDIRECT($F$86)="REAL"),0)),0)</f>
        <v>281413.5103375701</v>
      </c>
      <c r="T101" s="410" cm="1">
        <f t="array" aca="1" ref="T101" ca="1">_xlfn.LET(_xlpm.x,SUM(_xlfn._xlws.FILTER(INDIRECT(S$86)+INDIRECT(T$86),(INDIRECT($B$86)=$B101)*((INDIRECT($F$86)="PPTO")+(INDIRECT($F$86)="PREV")),0)),_xlpm.y,INDIRECT("rc[-1]",FALSE),IF(_xlpm.x=0,IF(_xlpm.x&gt;0,200%,0),_xlpm.y/_xlpm.x))</f>
        <v>0.74129442360337572</v>
      </c>
      <c r="U101" s="403" cm="1">
        <f t="array" aca="1" ref="U101" ca="1">IFERROR(SUM(_xlfn._xlws.FILTER(INDIRECT(U$86)+INDIRECT(V$86),(INDIRECT($B$86)=$B101)*((INDIRECT($F$86)="PPTO")+(INDIRECT($F$86)="PREV")),0),-_xlfn._xlws.FILTER(INDIRECT(U$86)+INDIRECT(V$86),(INDIRECT($B$86)=$B101)*(INDIRECT($F$86)="REAL"),0)),0)</f>
        <v>142632.55408596084</v>
      </c>
      <c r="V101" s="410" cm="1">
        <f t="array" aca="1" ref="V101" ca="1">_xlfn.LET(_xlpm.x,SUM(_xlfn._xlws.FILTER(INDIRECT(U$86)+INDIRECT(V$86),(INDIRECT($B$86)=$B101)*((INDIRECT($F$86)="PPTO")+(INDIRECT($F$86)="PREV")),0)),_xlpm.y,INDIRECT("rc[-1]",FALSE),IF(_xlpm.x=0,IF(_xlpm.x&gt;0,200%,0),_xlpm.y/_xlpm.x))</f>
        <v>0.12621711415928966</v>
      </c>
      <c r="W101" s="403" cm="1">
        <f t="array" aca="1" ref="W101" ca="1">IFERROR(SUM(_xlfn._xlws.FILTER(INDIRECT(W$86)+INDIRECT(X$86),(INDIRECT($B$86)=$B101)*((INDIRECT($F$86)="PPTO")+(INDIRECT($F$86)="PREV")),0),-_xlfn._xlws.FILTER(INDIRECT(W$86)+INDIRECT(X$86),(INDIRECT($B$86)=$B101)*(INDIRECT($F$86)="REAL"),0)),0)</f>
        <v>278163.64144588815</v>
      </c>
      <c r="X101" s="410" cm="1">
        <f t="array" aca="1" ref="X101" ca="1">_xlfn.LET(_xlpm.x,SUM(_xlfn._xlws.FILTER(INDIRECT(W$86)+INDIRECT(X$86),(INDIRECT($B$86)=$B101)*((INDIRECT($F$86)="PPTO")+(INDIRECT($F$86)="PREV")),0)),_xlpm.y,INDIRECT("rc[-1]",FALSE),IF(_xlpm.x=0,IF(_xlpm.x&gt;0,200%,0),_xlpm.y/_xlpm.x))</f>
        <v>0.60549696492612282</v>
      </c>
      <c r="Y101" s="403" cm="1">
        <f t="array" aca="1" ref="Y101" ca="1">IFERROR(SUM(_xlfn._xlws.FILTER(INDIRECT(Y$86)+INDIRECT(Z$86),(INDIRECT($B$86)=$B101)*((INDIRECT($F$86)="PPTO")+(INDIRECT($F$86)="PREV")),0),-_xlfn._xlws.FILTER(INDIRECT(Y$86)+INDIRECT(Z$86),(INDIRECT($B$86)=$B101)*(INDIRECT($F$86)="REAL"),0)),0)</f>
        <v>31157.966397330194</v>
      </c>
      <c r="Z101" s="410" cm="1">
        <f t="array" aca="1" ref="Z101" ca="1">_xlfn.LET(_xlpm.x,SUM(_xlfn._xlws.FILTER(INDIRECT(Y$86)+INDIRECT(Z$86),(INDIRECT($B$86)=$B101)*((INDIRECT($F$86)="PPTO")+(INDIRECT($F$86)="PREV")),0)),_xlpm.y,INDIRECT("rc[-1]",FALSE),IF(_xlpm.x=0,IF(_xlpm.x&gt;0,200%,0),_xlpm.y/_xlpm.x))</f>
        <v>0.64833365168942425</v>
      </c>
      <c r="AA101" s="403" cm="1">
        <f t="array" aca="1" ref="AA101" ca="1">IFERROR(SUM(_xlfn._xlws.FILTER(INDIRECT(AA$86)+INDIRECT(AB$86),(INDIRECT($B$86)=$B101)*((INDIRECT($F$86)="PPTO")+(INDIRECT($F$86)="PREV")),0),-_xlfn._xlws.FILTER(INDIRECT(AA$86)+INDIRECT(AB$86),(INDIRECT($B$86)=$B101)*(INDIRECT($F$86)="REAL"),0)),0)</f>
        <v>0</v>
      </c>
      <c r="AB101" s="410" cm="1">
        <f t="array" aca="1" ref="AB101" ca="1">_xlfn.LET(_xlpm.x,SUM(_xlfn._xlws.FILTER(INDIRECT(AA$86)+INDIRECT(AB$86),(INDIRECT($B$86)=$B101)*((INDIRECT($F$86)="PPTO")+(INDIRECT($F$86)="PREV")),0)),_xlpm.y,INDIRECT("rc[-1]",FALSE),IF(_xlpm.x=0,IF(_xlpm.x&gt;0,200%,0),_xlpm.y/_xlpm.x))</f>
        <v>0</v>
      </c>
      <c r="AC101" s="403" cm="1">
        <f t="array" aca="1" ref="AC101" ca="1">IFERROR(SUM(_xlfn._xlws.FILTER(INDIRECT(AC$86)+INDIRECT(AD$86),(INDIRECT($B$86)=$B101)*((INDIRECT($F$86)="PPTO")+(INDIRECT($F$86)="PREV")),0),-_xlfn._xlws.FILTER(INDIRECT(AC$86)+INDIRECT(AD$86),(INDIRECT($B$86)=$B101)*(INDIRECT($F$86)="REAL"),0)),0)</f>
        <v>9246.117880947997</v>
      </c>
      <c r="AD101" s="410" cm="1">
        <f t="array" aca="1" ref="AD101" ca="1">_xlfn.LET(_xlpm.x,SUM(_xlfn._xlws.FILTER(INDIRECT(AC$86)+INDIRECT(AD$86),(INDIRECT($B$86)=$B101)*((INDIRECT($F$86)="PPTO")+(INDIRECT($F$86)="PREV")),0)),_xlpm.y,INDIRECT("rc[-1]",FALSE),IF(_xlpm.x=0,IF(_xlpm.x&gt;0,200%,0),_xlpm.y/_xlpm.x))</f>
        <v>0.24236272040746623</v>
      </c>
      <c r="AE101" s="403" cm="1">
        <f t="array" aca="1" ref="AE101" ca="1">IFERROR(SUM(_xlfn._xlws.FILTER(INDIRECT(AE$86)+INDIRECT(AF$86),(INDIRECT($B$86)=$B101)*((INDIRECT($F$86)="PPTO")+(INDIRECT($F$86)="PREV")),0),-_xlfn._xlws.FILTER(INDIRECT(AE$86)+INDIRECT(AF$86),(INDIRECT($B$86)=$B101)*(INDIRECT($F$86)="REAL"),0)),0)</f>
        <v>71306.264181128005</v>
      </c>
      <c r="AF101" s="410" cm="1">
        <f t="array" aca="1" ref="AF101" ca="1">_xlfn.LET(_xlpm.x,SUM(_xlfn._xlws.FILTER(INDIRECT(AE$86)+INDIRECT(AF$86),(INDIRECT($B$86)=$B101)*((INDIRECT($F$86)="PPTO")+(INDIRECT($F$86)="PREV")),0)),_xlpm.y,INDIRECT("rc[-1]",FALSE),IF(_xlpm.x=0,IF(_xlpm.x&gt;0,200%,0),_xlpm.y/_xlpm.x))</f>
        <v>0.2447972558392727</v>
      </c>
      <c r="AG101" s="403" cm="1">
        <f t="array" aca="1" ref="AG101" ca="1">IFERROR(SUM(_xlfn._xlws.FILTER(INDIRECT(AG$86)+INDIRECT(AH$86),(INDIRECT($B$86)=$B101)*((INDIRECT($F$86)="PPTO")+(INDIRECT($F$86)="PREV")),0),-_xlfn._xlws.FILTER(INDIRECT(AG$86)+INDIRECT(AH$86),(INDIRECT($B$86)=$B101)*(INDIRECT($F$86)="REAL"),0)),0)</f>
        <v>0</v>
      </c>
      <c r="AH101" s="410" cm="1">
        <f t="array" aca="1" ref="AH101" ca="1">_xlfn.LET(_xlpm.x,SUM(_xlfn._xlws.FILTER(INDIRECT(AG$86)+INDIRECT(AH$86),(INDIRECT($B$86)=$B101)*((INDIRECT($F$86)="PPTO")+(INDIRECT($F$86)="PREV")),0)),_xlpm.y,INDIRECT("rc[-1]",FALSE),IF(_xlpm.x=0,IF(_xlpm.x&gt;0,200%,0),_xlpm.y/_xlpm.x))</f>
        <v>0</v>
      </c>
      <c r="AI101" s="403" cm="1">
        <f t="array" aca="1" ref="AI101" ca="1">IFERROR(SUM(_xlfn._xlws.FILTER(INDIRECT(AI$86)+INDIRECT(AJ$86),(INDIRECT($B$86)=$B101)*((INDIRECT($F$86)="PPTO")+(INDIRECT($F$86)="PREV")),0),-_xlfn._xlws.FILTER(INDIRECT(AI$86)+INDIRECT(AJ$86),(INDIRECT($B$86)=$B101)*(INDIRECT($F$86)="REAL"),0)),0)</f>
        <v>159190.57999999961</v>
      </c>
      <c r="AJ101" s="410" cm="1">
        <f t="array" aca="1" ref="AJ101" ca="1">_xlfn.LET(_xlpm.x,SUM(_xlfn._xlws.FILTER(INDIRECT(AI$86)+INDIRECT(AJ$86),(INDIRECT($B$86)=$B101)*((INDIRECT($F$86)="PPTO")+(INDIRECT($F$86)="PREV")),0)),_xlpm.y,INDIRECT("rc[-1]",FALSE),IF(_xlpm.x=0,IF(_xlpm.x&gt;0,200%,0),_xlpm.y/_xlpm.x))</f>
        <v>0.11265632077926528</v>
      </c>
      <c r="AK101" s="403" cm="1">
        <f t="array" aca="1" ref="AK101" ca="1">IFERROR(SUM(_xlfn._xlws.FILTER(INDIRECT(AK$86)+INDIRECT(AL$86),(INDIRECT($B$86)=$B101)*((INDIRECT($F$86)="PPTO")+(INDIRECT($F$86)="PREV")),0),-_xlfn._xlws.FILTER(INDIRECT(AK$86)+INDIRECT(AL$86),(INDIRECT($B$86)=$B101)*(INDIRECT($F$86)="REAL"),0)),0)</f>
        <v>140524.45000000007</v>
      </c>
      <c r="AL101" s="410" cm="1">
        <f t="array" aca="1" ref="AL101" ca="1">_xlfn.LET(_xlpm.x,SUM(_xlfn._xlws.FILTER(INDIRECT(AK$86)+INDIRECT(AL$86),(INDIRECT($B$86)=$B101)*((INDIRECT($F$86)="PPTO")+(INDIRECT($F$86)="PREV")),0)),_xlpm.y,INDIRECT("rc[-1]",FALSE),IF(_xlpm.x=0,IF(_xlpm.x&gt;0,200%,0),_xlpm.y/_xlpm.x))</f>
        <v>0.28564336498124471</v>
      </c>
      <c r="AM101" s="403" cm="1">
        <f t="array" aca="1" ref="AM101" ca="1">IFERROR(SUM(_xlfn._xlws.FILTER(INDIRECT(AM$86)+INDIRECT(AN$86),(INDIRECT($B$86)=$B101)*((INDIRECT($F$86)="PPTO")+(INDIRECT($F$86)="PREV")),0),-_xlfn._xlws.FILTER(INDIRECT(AM$86)+INDIRECT(AN$86),(INDIRECT($B$86)=$B101)*(INDIRECT($F$86)="REAL"),0)),0)</f>
        <v>60287.52999999997</v>
      </c>
      <c r="AN101" s="410" cm="1">
        <f t="array" aca="1" ref="AN101" ca="1">_xlfn.LET(_xlpm.x,SUM(_xlfn._xlws.FILTER(INDIRECT(AM$86)+INDIRECT(AN$86),(INDIRECT($B$86)=$B101)*((INDIRECT($F$86)="PPTO")+(INDIRECT($F$86)="PREV")),0)),_xlpm.y,INDIRECT("rc[-1]",FALSE),IF(_xlpm.x=0,IF(_xlpm.x&gt;0,200%,0),_xlpm.y/_xlpm.x))</f>
        <v>0.36420708374043242</v>
      </c>
      <c r="AO101" s="403" cm="1">
        <f t="array" aca="1" ref="AO101" ca="1">IFERROR(SUM(_xlfn._xlws.FILTER(INDIRECT(AO$86)+INDIRECT(AP$86),(INDIRECT($B$86)=$B101)*((INDIRECT($F$86)="PPTO")+(INDIRECT($F$86)="PREV")),0),-_xlfn._xlws.FILTER(INDIRECT(AO$86)+INDIRECT(AP$86),(INDIRECT($B$86)=$B101)*(INDIRECT($F$86)="REAL"),0)),0)</f>
        <v>384445.37680000003</v>
      </c>
      <c r="AP101" s="410" cm="1">
        <f t="array" aca="1" ref="AP101" ca="1">_xlfn.LET(_xlpm.x,SUM(_xlfn._xlws.FILTER(INDIRECT(AO$86)+INDIRECT(AP$86),(INDIRECT($B$86)=$B101)*((INDIRECT($F$86)="PPTO")+(INDIRECT($F$86)="PREV")),0)),_xlpm.y,INDIRECT("rc[-1]",FALSE),IF(_xlpm.x=0,IF(_xlpm.x&gt;0,200%,0),_xlpm.y/_xlpm.x))</f>
        <v>0.75061046617180549</v>
      </c>
      <c r="AQ101" s="403" cm="1">
        <f t="array" aca="1" ref="AQ101" ca="1">IFERROR(SUM(_xlfn._xlws.FILTER(INDIRECT(AQ$86)+INDIRECT(AR$86),(INDIRECT($B$86)=$B101)*((INDIRECT($F$86)="PPTO")+(INDIRECT($F$86)="PREV")),0),-_xlfn._xlws.FILTER(INDIRECT(AQ$86)+INDIRECT(AR$86),(INDIRECT($B$86)=$B101)*(INDIRECT($F$86)="REAL"),0)),0)</f>
        <v>1942328.298156132</v>
      </c>
      <c r="AR101" s="410" cm="1">
        <f t="array" aca="1" ref="AR101" ca="1">_xlfn.LET(_xlpm.x,SUM(_xlfn._xlws.FILTER(INDIRECT(AQ$86)+INDIRECT(AR$86),(INDIRECT($B$86)=$B101)*((INDIRECT($F$86)="PPTO")+(INDIRECT($F$86)="PREV")),0)),_xlpm.y,INDIRECT("rc[-1]",FALSE),IF(_xlpm.x=0,IF(_xlpm.x&gt;0,200%,0),_xlpm.y/_xlpm.x))</f>
        <v>0.32715506914397574</v>
      </c>
      <c r="AS101" s="286" t="str">
        <f ca="1">IF($B101="","X",ADDRESS(SUM(ROW()),MATCH("SCD",$1:$1,0)+1,4)&amp;":"&amp;ADDRESS(SUM(ROW()),MATCH("ECD",$1:$1,0)-1,4))</f>
        <v>G101:AP101</v>
      </c>
      <c r="AT101" s="403">
        <f ca="1">SUM(INDIRECT("rc"&amp;MATCH("ECD",$1:$1,0)&amp;":rc"&amp;(MATCH("EOC",$1:$1,0)-1),FALSE))</f>
        <v>1942328.6253112012</v>
      </c>
      <c r="AV101" s="142" cm="1">
        <f t="array" aca="1" ref="AV101" ca="1">IF(AND(_xlfn.LET(_xlpm.x,SUM(ROW()),OR(AND(MATCH("SOT",$A:$A,0)&lt;_xlpm.x,MATCH("EOT",$A:$A,0)&gt;_xlpm.x),AND(MATCH("SOS",$A:$A,0)&lt;_xlpm.x,MATCH("EOS",$A:$A,0)&gt;_xlpm.x),AND(MATCH("SOR",$A:$A,0)&lt;_xlpm.x,MATCH("EOR",$A:$A,0)&gt;_xlpm.x))),INDIRECT("rc"&amp;MATCH("SCD",$1:$1,0),FALSE)="PPTO"),1,0)</f>
        <v>0</v>
      </c>
      <c r="AW101" s="142" cm="1">
        <f t="array" aca="1" ref="AW10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102" spans="1:49" s="153" customFormat="1" outlineLevel="2">
      <c r="A102" s="152"/>
      <c r="B102" s="406">
        <f ca="1"/>
        <v>0</v>
      </c>
      <c r="C102" s="407"/>
      <c r="D102" s="404" t="s">
        <v>1388</v>
      </c>
      <c r="E102" s="408" t="s">
        <v>1390</v>
      </c>
      <c r="F102" s="409" t="s">
        <v>1744</v>
      </c>
      <c r="G102" s="403" cm="1">
        <f t="array" aca="1" ref="G102" ca="1">IFERROR(SUM(_xlfn._xlws.FILTER(INDIRECT(G$86)+INDIRECT(H$86),(INDIRECT($B$86)=$B102)*((INDIRECT($F$86)="PPTO")+(INDIRECT($F$86)="PREV")),0),-_xlfn._xlws.FILTER(INDIRECT(G$86)+INDIRECT(H$86),(INDIRECT($B$86)=$B102)*(INDIRECT($F$86)="REAL"),0)),0)</f>
        <v>0</v>
      </c>
      <c r="H102" s="410" cm="1">
        <f t="array" aca="1" ref="H102" ca="1">_xlfn.LET(_xlpm.x,_xlfn._xlws.FILTER(INDIRECT(G$86)+INDIRECT(H$86),(INDIRECT($B$86)=$B102)*(INDIRECT($F$86)="REAL"),0),_xlpm.y,G102,IF(_xlpm.y=0,IF(_xlpm.x&gt;0,200%,0),_xlpm.x/_xlpm.y))</f>
        <v>0</v>
      </c>
      <c r="I102" s="403" cm="1">
        <f t="array" aca="1" ref="I102" ca="1">IFERROR(SUM(_xlfn._xlws.FILTER(INDIRECT(I$86)+INDIRECT(J$86),(INDIRECT($B$86)=$B102)*((INDIRECT($F$86)="PPTO")+(INDIRECT($F$86)="PREV")),0),-_xlfn._xlws.FILTER(INDIRECT(I$86)+INDIRECT(J$86),(INDIRECT($B$86)=$B102)*(INDIRECT($F$86)="REAL"),0)),0)</f>
        <v>0</v>
      </c>
      <c r="J102" s="410" cm="1">
        <f t="array" aca="1" ref="J102" ca="1">_xlfn.LET(_xlpm.x,_xlfn._xlws.FILTER(INDIRECT(I$86)+INDIRECT(J$86),(INDIRECT($B$86)=$B102)*(INDIRECT($F$86)="REAL"),0),_xlpm.y,I102,IF(_xlpm.y=0,IF(_xlpm.x&gt;0,200%,0),_xlpm.x/_xlpm.y))</f>
        <v>0</v>
      </c>
      <c r="K102" s="403" cm="1">
        <f t="array" aca="1" ref="K102" ca="1">IFERROR(SUM(_xlfn._xlws.FILTER(INDIRECT(K$86)+INDIRECT(L$86),(INDIRECT($B$86)=$B102)*((INDIRECT($F$86)="PPTO")+(INDIRECT($F$86)="PREV")),0),-_xlfn._xlws.FILTER(INDIRECT(K$86)+INDIRECT(L$86),(INDIRECT($B$86)=$B102)*(INDIRECT($F$86)="REAL"),0)),0)</f>
        <v>0</v>
      </c>
      <c r="L102" s="410" cm="1">
        <f t="array" aca="1" ref="L102" ca="1">_xlfn.LET(_xlpm.x,_xlfn._xlws.FILTER(INDIRECT(K$86)+INDIRECT(L$86),(INDIRECT($B$86)=$B102)*(INDIRECT($F$86)="REAL"),0),_xlpm.y,K102,IF(_xlpm.y=0,IF(_xlpm.x&gt;0,200%,0),_xlpm.x/_xlpm.y))</f>
        <v>0</v>
      </c>
      <c r="M102" s="403" cm="1">
        <f t="array" aca="1" ref="M102" ca="1">IFERROR(SUM(_xlfn._xlws.FILTER(INDIRECT(M$86)+INDIRECT(N$86),(INDIRECT($B$86)=$B102)*((INDIRECT($F$86)="PPTO")+(INDIRECT($F$86)="PREV")),0),-_xlfn._xlws.FILTER(INDIRECT(M$86)+INDIRECT(N$86),(INDIRECT($B$86)=$B102)*(INDIRECT($F$86)="REAL"),0)),0)</f>
        <v>0</v>
      </c>
      <c r="N102" s="410" cm="1">
        <f t="array" aca="1" ref="N102" ca="1">_xlfn.LET(_xlpm.x,_xlfn._xlws.FILTER(INDIRECT(M$86)+INDIRECT(N$86),(INDIRECT($B$86)=$B102)*(INDIRECT($F$86)="REAL"),0),_xlpm.y,M102,IF(_xlpm.y=0,IF(_xlpm.x&gt;0,200%,0),_xlpm.x/_xlpm.y))</f>
        <v>0</v>
      </c>
      <c r="O102" s="403" cm="1">
        <f t="array" aca="1" ref="O102" ca="1">IFERROR(SUM(_xlfn._xlws.FILTER(INDIRECT(O$86)+INDIRECT(P$86),(INDIRECT($B$86)=$B102)*((INDIRECT($F$86)="PPTO")+(INDIRECT($F$86)="PREV")),0),-_xlfn._xlws.FILTER(INDIRECT(O$86)+INDIRECT(P$86),(INDIRECT($B$86)=$B102)*(INDIRECT($F$86)="REAL"),0)),0)</f>
        <v>0</v>
      </c>
      <c r="P102" s="410" cm="1">
        <f t="array" aca="1" ref="P102" ca="1">_xlfn.LET(_xlpm.x,_xlfn._xlws.FILTER(INDIRECT(O$86)+INDIRECT(P$86),(INDIRECT($B$86)=$B102)*(INDIRECT($F$86)="REAL"),0),_xlpm.y,O102,IF(_xlpm.y=0,IF(_xlpm.x&gt;0,200%,0),_xlpm.x/_xlpm.y))</f>
        <v>0</v>
      </c>
      <c r="Q102" s="403" cm="1">
        <f t="array" aca="1" ref="Q102" ca="1">IFERROR(SUM(_xlfn._xlws.FILTER(INDIRECT(Q$86)+INDIRECT(R$86),(INDIRECT($B$86)=$B102)*((INDIRECT($F$86)="PPTO")+(INDIRECT($F$86)="PREV")),0),-_xlfn._xlws.FILTER(INDIRECT(Q$86)+INDIRECT(R$86),(INDIRECT($B$86)=$B102)*(INDIRECT($F$86)="REAL"),0)),0)</f>
        <v>0</v>
      </c>
      <c r="R102" s="410" cm="1">
        <f t="array" aca="1" ref="R102" ca="1">_xlfn.LET(_xlpm.x,_xlfn._xlws.FILTER(INDIRECT(Q$86)+INDIRECT(R$86),(INDIRECT($B$86)=$B102)*(INDIRECT($F$86)="REAL"),0),_xlpm.y,Q102,IF(_xlpm.y=0,IF(_xlpm.x&gt;0,200%,0),_xlpm.x/_xlpm.y))</f>
        <v>0</v>
      </c>
      <c r="S102" s="403" cm="1">
        <f t="array" aca="1" ref="S102" ca="1">IFERROR(SUM(_xlfn._xlws.FILTER(INDIRECT(S$86)+INDIRECT(T$86),(INDIRECT($B$86)=$B102)*((INDIRECT($F$86)="PPTO")+(INDIRECT($F$86)="PREV")),0),-_xlfn._xlws.FILTER(INDIRECT(S$86)+INDIRECT(T$86),(INDIRECT($B$86)=$B102)*(INDIRECT($F$86)="REAL"),0)),0)</f>
        <v>0</v>
      </c>
      <c r="T102" s="410" cm="1">
        <f t="array" aca="1" ref="T102" ca="1">_xlfn.LET(_xlpm.x,_xlfn._xlws.FILTER(INDIRECT(S$86)+INDIRECT(T$86),(INDIRECT($B$86)=$B102)*(INDIRECT($F$86)="REAL"),0),_xlpm.y,S102,IF(_xlpm.y=0,IF(_xlpm.x&gt;0,200%,0),_xlpm.x/_xlpm.y))</f>
        <v>0</v>
      </c>
      <c r="U102" s="403" cm="1">
        <f t="array" aca="1" ref="U102" ca="1">IFERROR(SUM(_xlfn._xlws.FILTER(INDIRECT(U$86)+INDIRECT(V$86),(INDIRECT($B$86)=$B102)*((INDIRECT($F$86)="PPTO")+(INDIRECT($F$86)="PREV")),0),-_xlfn._xlws.FILTER(INDIRECT(U$86)+INDIRECT(V$86),(INDIRECT($B$86)=$B102)*(INDIRECT($F$86)="REAL"),0)),0)</f>
        <v>0</v>
      </c>
      <c r="V102" s="410" cm="1">
        <f t="array" aca="1" ref="V102" ca="1">_xlfn.LET(_xlpm.x,_xlfn._xlws.FILTER(INDIRECT(U$86)+INDIRECT(V$86),(INDIRECT($B$86)=$B102)*(INDIRECT($F$86)="REAL"),0),_xlpm.y,U102,IF(_xlpm.y=0,IF(_xlpm.x&gt;0,200%,0),_xlpm.x/_xlpm.y))</f>
        <v>0</v>
      </c>
      <c r="W102" s="403" cm="1">
        <f t="array" aca="1" ref="W102" ca="1">IFERROR(SUM(_xlfn._xlws.FILTER(INDIRECT(W$86)+INDIRECT(X$86),(INDIRECT($B$86)=$B102)*((INDIRECT($F$86)="PPTO")+(INDIRECT($F$86)="PREV")),0),-_xlfn._xlws.FILTER(INDIRECT(W$86)+INDIRECT(X$86),(INDIRECT($B$86)=$B102)*(INDIRECT($F$86)="REAL"),0)),0)</f>
        <v>0</v>
      </c>
      <c r="X102" s="410" cm="1">
        <f t="array" aca="1" ref="X102" ca="1">_xlfn.LET(_xlpm.x,_xlfn._xlws.FILTER(INDIRECT(W$86)+INDIRECT(X$86),(INDIRECT($B$86)=$B102)*(INDIRECT($F$86)="REAL"),0),_xlpm.y,W102,IF(_xlpm.y=0,IF(_xlpm.x&gt;0,200%,0),_xlpm.x/_xlpm.y))</f>
        <v>0</v>
      </c>
      <c r="Y102" s="403" cm="1">
        <f t="array" aca="1" ref="Y102" ca="1">IFERROR(SUM(_xlfn._xlws.FILTER(INDIRECT(Y$86)+INDIRECT(Z$86),(INDIRECT($B$86)=$B102)*((INDIRECT($F$86)="PPTO")+(INDIRECT($F$86)="PREV")),0),-_xlfn._xlws.FILTER(INDIRECT(Y$86)+INDIRECT(Z$86),(INDIRECT($B$86)=$B102)*(INDIRECT($F$86)="REAL"),0)),0)</f>
        <v>0</v>
      </c>
      <c r="Z102" s="410" cm="1">
        <f t="array" aca="1" ref="Z102" ca="1">_xlfn.LET(_xlpm.x,_xlfn._xlws.FILTER(INDIRECT(Y$86)+INDIRECT(Z$86),(INDIRECT($B$86)=$B102)*(INDIRECT($F$86)="REAL"),0),_xlpm.y,Y102,IF(_xlpm.y=0,IF(_xlpm.x&gt;0,200%,0),_xlpm.x/_xlpm.y))</f>
        <v>0</v>
      </c>
      <c r="AA102" s="403" cm="1">
        <f t="array" aca="1" ref="AA102" ca="1">IFERROR(SUM(_xlfn._xlws.FILTER(INDIRECT(AA$86)+INDIRECT(AB$86),(INDIRECT($B$86)=$B102)*((INDIRECT($F$86)="PPTO")+(INDIRECT($F$86)="PREV")),0),-_xlfn._xlws.FILTER(INDIRECT(AA$86)+INDIRECT(AB$86),(INDIRECT($B$86)=$B102)*(INDIRECT($F$86)="REAL"),0)),0)</f>
        <v>0</v>
      </c>
      <c r="AB102" s="410" cm="1">
        <f t="array" aca="1" ref="AB102" ca="1">_xlfn.LET(_xlpm.x,_xlfn._xlws.FILTER(INDIRECT(AA$86)+INDIRECT(AB$86),(INDIRECT($B$86)=$B102)*(INDIRECT($F$86)="REAL"),0),_xlpm.y,AA102,IF(_xlpm.y=0,IF(_xlpm.x&gt;0,200%,0),_xlpm.x/_xlpm.y))</f>
        <v>0</v>
      </c>
      <c r="AC102" s="403" cm="1">
        <f t="array" aca="1" ref="AC102" ca="1">IFERROR(SUM(_xlfn._xlws.FILTER(INDIRECT(AC$86)+INDIRECT(AD$86),(INDIRECT($B$86)=$B102)*((INDIRECT($F$86)="PPTO")+(INDIRECT($F$86)="PREV")),0),-_xlfn._xlws.FILTER(INDIRECT(AC$86)+INDIRECT(AD$86),(INDIRECT($B$86)=$B102)*(INDIRECT($F$86)="REAL"),0)),0)</f>
        <v>0</v>
      </c>
      <c r="AD102" s="410" cm="1">
        <f t="array" aca="1" ref="AD102" ca="1">_xlfn.LET(_xlpm.x,_xlfn._xlws.FILTER(INDIRECT(AC$86)+INDIRECT(AD$86),(INDIRECT($B$86)=$B102)*(INDIRECT($F$86)="REAL"),0),_xlpm.y,AC102,IF(_xlpm.y=0,IF(_xlpm.x&gt;0,200%,0),_xlpm.x/_xlpm.y))</f>
        <v>0</v>
      </c>
      <c r="AE102" s="403" cm="1">
        <f t="array" aca="1" ref="AE102" ca="1">IFERROR(SUM(_xlfn._xlws.FILTER(INDIRECT(AE$86)+INDIRECT(AF$86),(INDIRECT($B$86)=$B102)*((INDIRECT($F$86)="PPTO")+(INDIRECT($F$86)="PREV")),0),-_xlfn._xlws.FILTER(INDIRECT(AE$86)+INDIRECT(AF$86),(INDIRECT($B$86)=$B102)*(INDIRECT($F$86)="REAL"),0)),0)</f>
        <v>0</v>
      </c>
      <c r="AF102" s="410" cm="1">
        <f t="array" aca="1" ref="AF102" ca="1">_xlfn.LET(_xlpm.x,_xlfn._xlws.FILTER(INDIRECT(AE$86)+INDIRECT(AF$86),(INDIRECT($B$86)=$B102)*(INDIRECT($F$86)="REAL"),0),_xlpm.y,AE102,IF(_xlpm.y=0,IF(_xlpm.x&gt;0,200%,0),_xlpm.x/_xlpm.y))</f>
        <v>0</v>
      </c>
      <c r="AG102" s="403" cm="1">
        <f t="array" aca="1" ref="AG102" ca="1">IFERROR(SUM(_xlfn._xlws.FILTER(INDIRECT(AG$86)+INDIRECT(AH$86),(INDIRECT($B$86)=$B102)*((INDIRECT($F$86)="PPTO")+(INDIRECT($F$86)="PREV")),0),-_xlfn._xlws.FILTER(INDIRECT(AG$86)+INDIRECT(AH$86),(INDIRECT($B$86)=$B102)*(INDIRECT($F$86)="REAL"),0)),0)</f>
        <v>0</v>
      </c>
      <c r="AH102" s="410" cm="1">
        <f t="array" aca="1" ref="AH102" ca="1">_xlfn.LET(_xlpm.x,_xlfn._xlws.FILTER(INDIRECT(AG$86)+INDIRECT(AH$86),(INDIRECT($B$86)=$B102)*(INDIRECT($F$86)="REAL"),0),_xlpm.y,AG102,IF(_xlpm.y=0,IF(_xlpm.x&gt;0,200%,0),_xlpm.x/_xlpm.y))</f>
        <v>0</v>
      </c>
      <c r="AI102" s="403" cm="1">
        <f t="array" aca="1" ref="AI102" ca="1">IFERROR(SUM(_xlfn._xlws.FILTER(INDIRECT(AI$86)+INDIRECT(AJ$86),(INDIRECT($B$86)=$B102)*((INDIRECT($F$86)="PPTO")+(INDIRECT($F$86)="PREV")),0),-_xlfn._xlws.FILTER(INDIRECT(AI$86)+INDIRECT(AJ$86),(INDIRECT($B$86)=$B102)*(INDIRECT($F$86)="REAL"),0)),0)</f>
        <v>0</v>
      </c>
      <c r="AJ102" s="410" cm="1">
        <f t="array" aca="1" ref="AJ102" ca="1">_xlfn.LET(_xlpm.x,_xlfn._xlws.FILTER(INDIRECT(AI$86)+INDIRECT(AJ$86),(INDIRECT($B$86)=$B102)*(INDIRECT($F$86)="REAL"),0),_xlpm.y,AI102,IF(_xlpm.y=0,IF(_xlpm.x&gt;0,200%,0),_xlpm.x/_xlpm.y))</f>
        <v>0</v>
      </c>
      <c r="AK102" s="403" cm="1">
        <f t="array" aca="1" ref="AK102" ca="1">IFERROR(SUM(_xlfn._xlws.FILTER(INDIRECT(AK$86)+INDIRECT(AL$86),(INDIRECT($B$86)=$B102)*((INDIRECT($F$86)="PPTO")+(INDIRECT($F$86)="PREV")),0),-_xlfn._xlws.FILTER(INDIRECT(AK$86)+INDIRECT(AL$86),(INDIRECT($B$86)=$B102)*(INDIRECT($F$86)="REAL"),0)),0)</f>
        <v>0</v>
      </c>
      <c r="AL102" s="410" cm="1">
        <f t="array" aca="1" ref="AL102" ca="1">_xlfn.LET(_xlpm.x,_xlfn._xlws.FILTER(INDIRECT(AK$86)+INDIRECT(AL$86),(INDIRECT($B$86)=$B102)*(INDIRECT($F$86)="REAL"),0),_xlpm.y,AK102,IF(_xlpm.y=0,IF(_xlpm.x&gt;0,200%,0),_xlpm.x/_xlpm.y))</f>
        <v>0</v>
      </c>
      <c r="AM102" s="403" cm="1">
        <f t="array" aca="1" ref="AM102" ca="1">IFERROR(SUM(_xlfn._xlws.FILTER(INDIRECT(AM$86)+INDIRECT(AN$86),(INDIRECT($B$86)=$B102)*((INDIRECT($F$86)="PPTO")+(INDIRECT($F$86)="PREV")),0),-_xlfn._xlws.FILTER(INDIRECT(AM$86)+INDIRECT(AN$86),(INDIRECT($B$86)=$B102)*(INDIRECT($F$86)="REAL"),0)),0)</f>
        <v>0</v>
      </c>
      <c r="AN102" s="410" cm="1">
        <f t="array" aca="1" ref="AN102" ca="1">_xlfn.LET(_xlpm.x,_xlfn._xlws.FILTER(INDIRECT(AM$86)+INDIRECT(AN$86),(INDIRECT($B$86)=$B102)*(INDIRECT($F$86)="REAL"),0),_xlpm.y,AM102,IF(_xlpm.y=0,IF(_xlpm.x&gt;0,200%,0),_xlpm.x/_xlpm.y))</f>
        <v>0</v>
      </c>
      <c r="AO102" s="403" cm="1">
        <f t="array" aca="1" ref="AO102" ca="1">IFERROR(SUM(_xlfn._xlws.FILTER(INDIRECT(AO$86)+INDIRECT(AP$86),(INDIRECT($B$86)=$B102)*((INDIRECT($F$86)="PPTO")+(INDIRECT($F$86)="PREV")),0),-_xlfn._xlws.FILTER(INDIRECT(AO$86)+INDIRECT(AP$86),(INDIRECT($B$86)=$B102)*(INDIRECT($F$86)="REAL"),0)),0)</f>
        <v>0</v>
      </c>
      <c r="AP102" s="410" cm="1">
        <f t="array" aca="1" ref="AP102" ca="1">_xlfn.LET(_xlpm.x,_xlfn._xlws.FILTER(INDIRECT(AO$86)+INDIRECT(AP$86),(INDIRECT($B$86)=$B102)*(INDIRECT($F$86)="REAL"),0),_xlpm.y,AO102,IF(_xlpm.y=0,IF(_xlpm.x&gt;0,200%,0),_xlpm.x/_xlpm.y))</f>
        <v>0</v>
      </c>
      <c r="AQ102" s="403" cm="1">
        <f t="array" aca="1" ref="AQ102" ca="1">IFERROR(SUM(_xlfn._xlws.FILTER(INDIRECT(AQ$86)+INDIRECT(AR$86),(INDIRECT($B$86)=$B102)*((INDIRECT($F$86)="PPTO")+(INDIRECT($F$86)="PREV")),0),-_xlfn._xlws.FILTER(INDIRECT(AQ$86)+INDIRECT(AR$86),(INDIRECT($B$86)=$B102)*(INDIRECT($F$86)="REAL"),0)),0)</f>
        <v>0</v>
      </c>
      <c r="AR102" s="410" cm="1">
        <f t="array" aca="1" ref="AR102" ca="1">_xlfn.LET(_xlpm.x,_xlfn._xlws.FILTER(INDIRECT(AQ$86)+INDIRECT(AR$86),(INDIRECT($B$86)=$B102)*(INDIRECT($F$86)="REAL"),0),_xlpm.y,AQ102,IF(_xlpm.y=0,IF(_xlpm.x&gt;0,200%,0),_xlpm.x/_xlpm.y))</f>
        <v>0</v>
      </c>
      <c r="AS102" s="286" t="str">
        <f ca="1">IF($B102="","X",ADDRESS(SUM(ROW()),MATCH("SCD",$1:$1,0)+1,4)&amp;":"&amp;ADDRESS(SUM(ROW()),MATCH("ECD",$1:$1,0)-1,4))</f>
        <v>G102:AP102</v>
      </c>
      <c r="AT102" s="403">
        <f ca="1">SUM(INDIRECT("rc"&amp;MATCH("ECD",$1:$1,0)&amp;":rc"&amp;(MATCH("EOC",$1:$1,0)-1),FALSE))</f>
        <v>0</v>
      </c>
      <c r="AV102" s="142" cm="1">
        <f t="array" aca="1" ref="AV102" ca="1">IF(AND(_xlfn.LET(_xlpm.x,SUM(ROW()),OR(AND(MATCH("SOT",$A:$A,0)&lt;_xlpm.x,MATCH("EOT",$A:$A,0)&gt;_xlpm.x),AND(MATCH("SOS",$A:$A,0)&lt;_xlpm.x,MATCH("EOS",$A:$A,0)&gt;_xlpm.x),AND(MATCH("SOR",$A:$A,0)&lt;_xlpm.x,MATCH("EOR",$A:$A,0)&gt;_xlpm.x))),INDIRECT("rc"&amp;MATCH("SCD",$1:$1,0),FALSE)="PPTO"),1,0)</f>
        <v>0</v>
      </c>
      <c r="AW102" s="142" cm="1">
        <f t="array" aca="1" ref="AW10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103" spans="1:49" s="153" customFormat="1" ht="11" outlineLevel="1">
      <c r="A103" s="152" t="s">
        <v>1742</v>
      </c>
      <c r="B103" s="406"/>
      <c r="C103" s="407"/>
      <c r="D103" s="404"/>
      <c r="E103" s="408"/>
      <c r="F103" s="409"/>
      <c r="G103" s="403"/>
      <c r="H103" s="410"/>
      <c r="I103" s="403"/>
      <c r="J103" s="410"/>
      <c r="K103" s="403"/>
      <c r="L103" s="410"/>
      <c r="M103" s="403"/>
      <c r="N103" s="410"/>
      <c r="O103" s="403"/>
      <c r="P103" s="410"/>
      <c r="Q103" s="403"/>
      <c r="R103" s="410"/>
      <c r="S103" s="403"/>
      <c r="T103" s="410"/>
      <c r="U103" s="403"/>
      <c r="V103" s="410"/>
      <c r="W103" s="403"/>
      <c r="X103" s="410"/>
      <c r="Y103" s="403"/>
      <c r="Z103" s="410"/>
      <c r="AA103" s="403"/>
      <c r="AB103" s="410"/>
      <c r="AC103" s="403"/>
      <c r="AD103" s="410"/>
      <c r="AE103" s="403"/>
      <c r="AF103" s="410"/>
      <c r="AG103" s="403"/>
      <c r="AH103" s="410"/>
      <c r="AI103" s="403"/>
      <c r="AJ103" s="410"/>
      <c r="AK103" s="403"/>
      <c r="AL103" s="410"/>
      <c r="AM103" s="403"/>
      <c r="AN103" s="410"/>
      <c r="AO103" s="403"/>
      <c r="AP103" s="410"/>
      <c r="AQ103" s="403"/>
      <c r="AR103" s="410"/>
      <c r="AS103" s="286"/>
      <c r="AV103" s="142" cm="1">
        <f t="array" aca="1" ref="AV103" ca="1">IF(AND(_xlfn.LET(_xlpm.x,SUM(ROW()),OR(AND(MATCH("SOT",$A:$A,0)&lt;_xlpm.x,MATCH("EOT",$A:$A,0)&gt;_xlpm.x),AND(MATCH("SOS",$A:$A,0)&lt;_xlpm.x,MATCH("EOS",$A:$A,0)&gt;_xlpm.x),AND(MATCH("SOR",$A:$A,0)&lt;_xlpm.x,MATCH("EOR",$A:$A,0)&gt;_xlpm.x))),INDIRECT("rc"&amp;MATCH("SCD",$1:$1,0),FALSE)="PPTO"),1,0)</f>
        <v>0</v>
      </c>
      <c r="AW103" s="142" cm="1">
        <f t="array" aca="1" ref="AW10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104" spans="1:49" outlineLevel="1">
      <c r="B104" s="485" t="s">
        <v>1746</v>
      </c>
      <c r="C104" s="485"/>
      <c r="D104" s="485"/>
      <c r="E104" s="485"/>
      <c r="F104" s="485"/>
      <c r="G104" s="485"/>
      <c r="H104" s="485"/>
      <c r="I104" s="485"/>
      <c r="J104" s="485"/>
      <c r="K104" s="485"/>
      <c r="L104" s="485"/>
      <c r="M104" s="485"/>
      <c r="N104" s="485"/>
      <c r="O104" s="485"/>
      <c r="P104" s="485"/>
      <c r="Q104" s="485"/>
      <c r="R104" s="485"/>
      <c r="S104" s="485"/>
      <c r="T104" s="485"/>
      <c r="U104" s="485"/>
      <c r="V104" s="485"/>
      <c r="W104" s="485"/>
      <c r="X104" s="485"/>
      <c r="Y104" s="485"/>
      <c r="Z104" s="485"/>
      <c r="AA104" s="485"/>
      <c r="AB104" s="485"/>
      <c r="AC104" s="485"/>
      <c r="AD104" s="485"/>
      <c r="AE104" s="485"/>
      <c r="AF104" s="485"/>
      <c r="AG104" s="485"/>
      <c r="AH104" s="485"/>
      <c r="AI104" s="485"/>
      <c r="AJ104" s="485"/>
      <c r="AK104" s="485"/>
      <c r="AL104" s="485"/>
      <c r="AM104" s="485"/>
      <c r="AN104" s="485"/>
      <c r="AO104" s="485"/>
      <c r="AP104" s="485"/>
      <c r="AQ104" s="485"/>
      <c r="AR104" s="485"/>
      <c r="AS104" s="485"/>
      <c r="AV104" s="142" cm="1">
        <f t="array" aca="1" ref="AV104" ca="1">IF(AND(_xlfn.LET(_xlpm.x,SUM(ROW()),OR(AND(MATCH("SOT",$A:$A,0)&lt;_xlpm.x,MATCH("EOT",$A:$A,0)&gt;_xlpm.x),AND(MATCH("SOS",$A:$A,0)&lt;_xlpm.x,MATCH("EOS",$A:$A,0)&gt;_xlpm.x),AND(MATCH("SOR",$A:$A,0)&lt;_xlpm.x,MATCH("EOR",$A:$A,0)&gt;_xlpm.x))),INDIRECT("rc"&amp;MATCH("SCD",$1:$1,0),FALSE)="PPTO"),1,0)</f>
        <v>0</v>
      </c>
      <c r="AW104" s="142" cm="1">
        <f t="array" aca="1" ref="AW10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105" spans="1:49" ht="14" outlineLevel="1">
      <c r="A105" s="155" t="s">
        <v>1764</v>
      </c>
      <c r="B105" s="198" t="str">
        <f t="shared" ref="B105:AT105" ca="1" si="11">ADDRESS(MATCH("SO"&amp;RIGHT($A105,1),$A:$A,0)+1,SUM(COLUMN()),4,1,$B$9)&amp;":"&amp;ADDRESS(MATCH("EO"&amp;RIGHT($A105,1),$A:$A,0)-1,SUM(COLUMN()),4)</f>
        <v>PPR!B108:B109</v>
      </c>
      <c r="C105" s="198" t="str">
        <f t="shared" ca="1" si="11"/>
        <v>PPR!C108:C109</v>
      </c>
      <c r="D105" s="198" t="str">
        <f t="shared" ca="1" si="11"/>
        <v>PPR!D108:D109</v>
      </c>
      <c r="E105" s="348" t="str">
        <f t="shared" ca="1" si="11"/>
        <v>PPR!E108:E109</v>
      </c>
      <c r="F105" s="198" t="str">
        <f t="shared" ca="1" si="11"/>
        <v>PPR!F108:F109</v>
      </c>
      <c r="G105" s="198" t="str">
        <f t="shared" ca="1" si="11"/>
        <v>PPR!G108:G109</v>
      </c>
      <c r="H105" s="198" t="str">
        <f t="shared" ca="1" si="11"/>
        <v>PPR!H108:H109</v>
      </c>
      <c r="I105" s="198" t="str">
        <f t="shared" ca="1" si="11"/>
        <v>PPR!I108:I109</v>
      </c>
      <c r="J105" s="198" t="str">
        <f t="shared" ca="1" si="11"/>
        <v>PPR!J108:J109</v>
      </c>
      <c r="K105" s="198" t="str">
        <f t="shared" ca="1" si="11"/>
        <v>PPR!K108:K109</v>
      </c>
      <c r="L105" s="198" t="str">
        <f t="shared" ca="1" si="11"/>
        <v>PPR!L108:L109</v>
      </c>
      <c r="M105" s="198" t="str">
        <f t="shared" ca="1" si="11"/>
        <v>PPR!M108:M109</v>
      </c>
      <c r="N105" s="198" t="str">
        <f t="shared" ca="1" si="11"/>
        <v>PPR!N108:N109</v>
      </c>
      <c r="O105" s="198" t="str">
        <f t="shared" ca="1" si="11"/>
        <v>PPR!O108:O109</v>
      </c>
      <c r="P105" s="198" t="str">
        <f t="shared" ca="1" si="11"/>
        <v>PPR!P108:P109</v>
      </c>
      <c r="Q105" s="198" t="str">
        <f t="shared" ca="1" si="11"/>
        <v>PPR!Q108:Q109</v>
      </c>
      <c r="R105" s="198" t="str">
        <f t="shared" ca="1" si="11"/>
        <v>PPR!R108:R109</v>
      </c>
      <c r="S105" s="198" t="str">
        <f t="shared" ca="1" si="11"/>
        <v>PPR!S108:S109</v>
      </c>
      <c r="T105" s="198" t="str">
        <f t="shared" ca="1" si="11"/>
        <v>PPR!T108:T109</v>
      </c>
      <c r="U105" s="198" t="str">
        <f t="shared" ca="1" si="11"/>
        <v>PPR!U108:U109</v>
      </c>
      <c r="V105" s="198" t="str">
        <f t="shared" ca="1" si="11"/>
        <v>PPR!V108:V109</v>
      </c>
      <c r="W105" s="198" t="str">
        <f t="shared" ca="1" si="11"/>
        <v>PPR!W108:W109</v>
      </c>
      <c r="X105" s="198" t="str">
        <f t="shared" ca="1" si="11"/>
        <v>PPR!X108:X109</v>
      </c>
      <c r="Y105" s="198" t="str">
        <f t="shared" ca="1" si="11"/>
        <v>PPR!Y108:Y109</v>
      </c>
      <c r="Z105" s="198" t="str">
        <f t="shared" ca="1" si="11"/>
        <v>PPR!Z108:Z109</v>
      </c>
      <c r="AA105" s="198" t="str">
        <f t="shared" ca="1" si="11"/>
        <v>PPR!AA108:AA109</v>
      </c>
      <c r="AB105" s="198" t="str">
        <f t="shared" ca="1" si="11"/>
        <v>PPR!AB108:AB109</v>
      </c>
      <c r="AC105" s="198" t="str">
        <f t="shared" ca="1" si="11"/>
        <v>PPR!AC108:AC109</v>
      </c>
      <c r="AD105" s="198" t="str">
        <f t="shared" ca="1" si="11"/>
        <v>PPR!AD108:AD109</v>
      </c>
      <c r="AE105" s="198" t="str">
        <f t="shared" ca="1" si="11"/>
        <v>PPR!AE108:AE109</v>
      </c>
      <c r="AF105" s="198" t="str">
        <f t="shared" ca="1" si="11"/>
        <v>PPR!AF108:AF109</v>
      </c>
      <c r="AG105" s="198" t="str">
        <f t="shared" ca="1" si="11"/>
        <v>PPR!AG108:AG109</v>
      </c>
      <c r="AH105" s="198" t="str">
        <f t="shared" ca="1" si="11"/>
        <v>PPR!AH108:AH109</v>
      </c>
      <c r="AI105" s="198" t="str">
        <f t="shared" ca="1" si="11"/>
        <v>PPR!AI108:AI109</v>
      </c>
      <c r="AJ105" s="198" t="str">
        <f t="shared" ca="1" si="11"/>
        <v>PPR!AJ108:AJ109</v>
      </c>
      <c r="AK105" s="198" t="str">
        <f t="shared" ca="1" si="11"/>
        <v>PPR!AK108:AK109</v>
      </c>
      <c r="AL105" s="198" t="str">
        <f t="shared" ca="1" si="11"/>
        <v>PPR!AL108:AL109</v>
      </c>
      <c r="AM105" s="198" t="str">
        <f t="shared" ca="1" si="11"/>
        <v>PPR!AM108:AM109</v>
      </c>
      <c r="AN105" s="198" t="str">
        <f t="shared" ca="1" si="11"/>
        <v>PPR!AN108:AN109</v>
      </c>
      <c r="AO105" s="198" t="str">
        <f t="shared" ca="1" si="11"/>
        <v>PPR!AO108:AO109</v>
      </c>
      <c r="AP105" s="198" t="str">
        <f t="shared" ca="1" si="11"/>
        <v>PPR!AP108:AP109</v>
      </c>
      <c r="AQ105" s="198" t="str">
        <f t="shared" ca="1" si="11"/>
        <v>PPR!AQ108:AQ109</v>
      </c>
      <c r="AR105" s="198" t="str">
        <f t="shared" ca="1" si="11"/>
        <v>PPR!AR108:AR109</v>
      </c>
      <c r="AS105" s="198" t="str">
        <f t="shared" ca="1" si="11"/>
        <v>PPR!AS108:AS109</v>
      </c>
      <c r="AT105" s="198" t="str">
        <f t="shared" ca="1" si="11"/>
        <v>PPR!AT108:AT109</v>
      </c>
      <c r="AV105" s="142" cm="1">
        <f t="array" aca="1" ref="AV105" ca="1">IF(AND(_xlfn.LET(_xlpm.x,SUM(ROW()),OR(AND(MATCH("SOT",$A:$A,0)&lt;_xlpm.x,MATCH("EOT",$A:$A,0)&gt;_xlpm.x),AND(MATCH("SOS",$A:$A,0)&lt;_xlpm.x,MATCH("EOS",$A:$A,0)&gt;_xlpm.x),AND(MATCH("SOR",$A:$A,0)&lt;_xlpm.x,MATCH("EOR",$A:$A,0)&gt;_xlpm.x))),INDIRECT("rc"&amp;MATCH("SCD",$1:$1,0),FALSE)="PPTO"),1,0)</f>
        <v>0</v>
      </c>
      <c r="AW105" s="142" cm="1">
        <f t="array" aca="1" ref="AW10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106" spans="1:49" outlineLevel="1">
      <c r="B106" s="198"/>
      <c r="C106" s="198" t="str">
        <f ca="1">ADDRESS(MATCH("SOD",$A:$A,0)+1,MATCH("SOC",$1:$1,0)+1,4,1,$B$9)&amp;":"&amp;ADDRESS(MATCH("EOD",$A:$A,0)-1,MATCH("EOC",$1:$1,0)-1,4)</f>
        <v>PPR!B108:AR109</v>
      </c>
      <c r="D106" s="198"/>
      <c r="E106" s="348"/>
      <c r="F106" s="198"/>
      <c r="G106" s="198"/>
      <c r="H106" s="198"/>
      <c r="I106" s="198"/>
      <c r="J106" s="198"/>
      <c r="K106" s="198"/>
      <c r="L106" s="198"/>
      <c r="M106" s="198"/>
      <c r="N106" s="198"/>
      <c r="O106" s="198"/>
      <c r="P106" s="198"/>
      <c r="Q106" s="198"/>
      <c r="R106" s="198"/>
      <c r="S106" s="198"/>
      <c r="T106" s="198"/>
      <c r="U106" s="198"/>
      <c r="V106" s="198"/>
      <c r="W106" s="198"/>
      <c r="X106" s="198"/>
      <c r="Y106" s="198"/>
      <c r="Z106" s="198"/>
      <c r="AA106" s="198"/>
      <c r="AB106" s="198"/>
      <c r="AC106" s="198"/>
      <c r="AD106" s="198"/>
      <c r="AE106" s="198"/>
      <c r="AF106" s="198"/>
      <c r="AG106" s="198"/>
      <c r="AH106" s="198"/>
      <c r="AI106" s="198"/>
      <c r="AJ106" s="198"/>
      <c r="AK106" s="198"/>
      <c r="AL106" s="198"/>
      <c r="AM106" s="198"/>
      <c r="AN106" s="198"/>
      <c r="AO106" s="198"/>
      <c r="AP106" s="198"/>
      <c r="AQ106" s="198"/>
      <c r="AR106" s="198"/>
      <c r="AS106" s="198"/>
      <c r="AT106" s="198"/>
      <c r="AV106" s="142" cm="1">
        <f t="array" aca="1" ref="AV106" ca="1">IF(AND(_xlfn.LET(_xlpm.x,SUM(ROW()),OR(AND(MATCH("SOT",$A:$A,0)&lt;_xlpm.x,MATCH("EOT",$A:$A,0)&gt;_xlpm.x),AND(MATCH("SOS",$A:$A,0)&lt;_xlpm.x,MATCH("EOS",$A:$A,0)&gt;_xlpm.x),AND(MATCH("SOR",$A:$A,0)&lt;_xlpm.x,MATCH("EOR",$A:$A,0)&gt;_xlpm.x))),INDIRECT("rc"&amp;MATCH("SCD",$1:$1,0),FALSE)="PPTO"),1,0)</f>
        <v>0</v>
      </c>
      <c r="AW106" s="142" cm="1">
        <f t="array" aca="1" ref="AW10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107" spans="1:49" s="153" customFormat="1" ht="13" outlineLevel="1">
      <c r="A107" s="152" t="s">
        <v>1741</v>
      </c>
      <c r="B107" s="406"/>
      <c r="C107" s="407"/>
      <c r="D107" s="404"/>
      <c r="E107" s="408"/>
      <c r="F107" s="409"/>
      <c r="G107" s="403"/>
      <c r="H107" s="410"/>
      <c r="I107" s="403"/>
      <c r="J107" s="410"/>
      <c r="K107" s="403"/>
      <c r="L107" s="410"/>
      <c r="M107" s="403"/>
      <c r="N107" s="410"/>
      <c r="O107" s="403"/>
      <c r="P107" s="410"/>
      <c r="Q107" s="403"/>
      <c r="R107" s="410"/>
      <c r="S107" s="403"/>
      <c r="T107" s="410"/>
      <c r="U107" s="403"/>
      <c r="V107" s="410"/>
      <c r="W107" s="403"/>
      <c r="X107" s="410"/>
      <c r="Y107" s="403"/>
      <c r="Z107" s="410"/>
      <c r="AA107" s="403"/>
      <c r="AB107" s="410"/>
      <c r="AC107" s="403"/>
      <c r="AD107" s="410"/>
      <c r="AE107" s="403"/>
      <c r="AF107" s="410"/>
      <c r="AG107" s="403"/>
      <c r="AH107" s="410"/>
      <c r="AI107" s="403"/>
      <c r="AJ107" s="410"/>
      <c r="AK107" s="403"/>
      <c r="AL107" s="410"/>
      <c r="AM107" s="403"/>
      <c r="AN107" s="410"/>
      <c r="AO107" s="403"/>
      <c r="AP107" s="410"/>
      <c r="AQ107" s="403"/>
      <c r="AR107" s="410"/>
      <c r="AS107" s="286"/>
      <c r="AV107" s="142" cm="1">
        <f t="array" aca="1" ref="AV107" ca="1">IF(AND(_xlfn.LET(_xlpm.x,SUM(ROW()),OR(AND(MATCH("SOT",$A:$A,0)&lt;_xlpm.x,MATCH("EOT",$A:$A,0)&gt;_xlpm.x),AND(MATCH("SOS",$A:$A,0)&lt;_xlpm.x,MATCH("EOS",$A:$A,0)&gt;_xlpm.x),AND(MATCH("SOR",$A:$A,0)&lt;_xlpm.x,MATCH("EOR",$A:$A,0)&gt;_xlpm.x))),INDIRECT("rc"&amp;MATCH("SCD",$1:$1,0),FALSE)="PPTO"),1,0)</f>
        <v>0</v>
      </c>
      <c r="AW107" s="142" cm="1">
        <f t="array" aca="1" ref="AW10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108" spans="1:49" s="153" customFormat="1" outlineLevel="2">
      <c r="A108" s="152"/>
      <c r="B108" s="406" t="str" cm="1">
        <f t="array" aca="1" ref="B108:B109" ca="1">_xlfn.UNIQUE(INDIRECT(B$86))</f>
        <v>31200</v>
      </c>
      <c r="C108" s="407"/>
      <c r="D108" s="404" t="s">
        <v>1389</v>
      </c>
      <c r="E108" s="408" t="s">
        <v>1391</v>
      </c>
      <c r="F108" s="409" t="s">
        <v>2012</v>
      </c>
      <c r="G108" s="403" cm="1">
        <f t="array" aca="1" ref="G108" ca="1">IFERROR(-SUM(_xlfn._xlws.FILTER(INDIRECT(G$86)+INDIRECT(H$86),(INDIRECT($B$86)=$B108)*(INDIRECT($F$86)="PREV"),0)),0)</f>
        <v>14000</v>
      </c>
      <c r="H108" s="410" cm="1">
        <f t="array" aca="1" ref="H108" ca="1">_xlfn.LET(_xlpm.x,SUM(_xlfn._xlws.FILTER(INDIRECT(G$86)+INDIRECT(H$86),(INDIRECT($B$86)=$B108)*(INDIRECT($F$86)="PPTO"),0)),_xlpm.y,G108,IF(_xlpm.x=0,IF(_xlpm.x&gt;0,200%,0),_xlpm.y/_xlpm.x))</f>
        <v>9.4492166490126053E-2</v>
      </c>
      <c r="I108" s="403" cm="1">
        <f t="array" aca="1" ref="I108" ca="1">IFERROR(-SUM(_xlfn._xlws.FILTER(INDIRECT(I$86)+INDIRECT(J$86),(INDIRECT($B$86)=$B108)*(INDIRECT($F$86)="PREV"),0)),0)</f>
        <v>5000</v>
      </c>
      <c r="J108" s="410" cm="1">
        <f t="array" aca="1" ref="J108" ca="1">_xlfn.LET(_xlpm.x,SUM(_xlfn._xlws.FILTER(INDIRECT(I$86)+INDIRECT(J$86),(INDIRECT($B$86)=$B108)*(INDIRECT($F$86)="PPTO"),0)),_xlpm.y,I108,IF(_xlpm.x=0,IF(_xlpm.x&gt;0,200%,0),_xlpm.y/_xlpm.x))</f>
        <v>4.4309469943812761E-2</v>
      </c>
      <c r="K108" s="403" cm="1">
        <f t="array" aca="1" ref="K108" ca="1">IFERROR(-SUM(_xlfn._xlws.FILTER(INDIRECT(K$86)+INDIRECT(L$86),(INDIRECT($B$86)=$B108)*(INDIRECT($F$86)="PREV"),0)),0)</f>
        <v>235000</v>
      </c>
      <c r="L108" s="410" cm="1">
        <f t="array" aca="1" ref="L108" ca="1">_xlfn.LET(_xlpm.x,SUM(_xlfn._xlws.FILTER(INDIRECT(K$86)+INDIRECT(L$86),(INDIRECT($B$86)=$B108)*(INDIRECT($F$86)="PPTO"),0)),_xlpm.y,K108,IF(_xlpm.x=0,IF(_xlpm.x&gt;0,200%,0),_xlpm.y/_xlpm.x))</f>
        <v>0.44033225029443934</v>
      </c>
      <c r="M108" s="403" cm="1">
        <f t="array" aca="1" ref="M108" ca="1">IFERROR(-SUM(_xlfn._xlws.FILTER(INDIRECT(M$86)+INDIRECT(N$86),(INDIRECT($B$86)=$B108)*(INDIRECT($F$86)="PREV"),0)),0)</f>
        <v>49885</v>
      </c>
      <c r="N108" s="410" cm="1">
        <f t="array" aca="1" ref="N108" ca="1">_xlfn.LET(_xlpm.x,SUM(_xlfn._xlws.FILTER(INDIRECT(M$86)+INDIRECT(N$86),(INDIRECT($B$86)=$B108)*(INDIRECT($F$86)="PPTO"),0)),_xlpm.y,M108,IF(_xlpm.x=0,IF(_xlpm.x&gt;0,200%,0),_xlpm.y/_xlpm.x))</f>
        <v>0.4001905123893183</v>
      </c>
      <c r="O108" s="403" cm="1">
        <f t="array" aca="1" ref="O108" ca="1">IFERROR(-SUM(_xlfn._xlws.FILTER(INDIRECT(O$86)+INDIRECT(P$86),(INDIRECT($B$86)=$B108)*(INDIRECT($F$86)="PREV"),0)),0)</f>
        <v>20000</v>
      </c>
      <c r="P108" s="410" cm="1">
        <f t="array" aca="1" ref="P108" ca="1">_xlfn.LET(_xlpm.x,SUM(_xlfn._xlws.FILTER(INDIRECT(O$86)+INDIRECT(P$86),(INDIRECT($B$86)=$B108)*(INDIRECT($F$86)="PPTO"),0)),_xlpm.y,O108,IF(_xlpm.x=0,IF(_xlpm.x&gt;0,200%,0),_xlpm.y/_xlpm.x))</f>
        <v>5.1176073181294246E-2</v>
      </c>
      <c r="Q108" s="403" cm="1">
        <f t="array" aca="1" ref="Q108" ca="1">IFERROR(-SUM(_xlfn._xlws.FILTER(INDIRECT(Q$86)+INDIRECT(R$86),(INDIRECT($B$86)=$B108)*(INDIRECT($F$86)="PREV"),0)),0)</f>
        <v>5000</v>
      </c>
      <c r="R108" s="410" cm="1">
        <f t="array" aca="1" ref="R108" ca="1">_xlfn.LET(_xlpm.x,SUM(_xlfn._xlws.FILTER(INDIRECT(Q$86)+INDIRECT(R$86),(INDIRECT($B$86)=$B108)*(INDIRECT($F$86)="PPTO"),0)),_xlpm.y,Q108,IF(_xlpm.x=0,IF(_xlpm.x&gt;0,200%,0),_xlpm.y/_xlpm.x))</f>
        <v>0.18899428809066635</v>
      </c>
      <c r="S108" s="403" cm="1">
        <f t="array" aca="1" ref="S108" ca="1">IFERROR(-SUM(_xlfn._xlws.FILTER(INDIRECT(S$86)+INDIRECT(T$86),(INDIRECT($B$86)=$B108)*(INDIRECT($F$86)="PREV"),0)),0)</f>
        <v>-40166.300000000003</v>
      </c>
      <c r="T108" s="410" cm="1">
        <f t="array" aca="1" ref="T108" ca="1">_xlfn.LET(_xlpm.x,SUM(_xlfn._xlws.FILTER(INDIRECT(S$86)+INDIRECT(T$86),(INDIRECT($B$86)=$B108)*(INDIRECT($F$86)="PPTO"),0)),_xlpm.y,S108,IF(_xlpm.x=0,IF(_xlpm.x&gt;0,200%,0),_xlpm.y/_xlpm.x))</f>
        <v>-0.11832473726235469</v>
      </c>
      <c r="U108" s="403" cm="1">
        <f t="array" aca="1" ref="U108" ca="1">IFERROR(-SUM(_xlfn._xlws.FILTER(INDIRECT(U$86)+INDIRECT(V$86),(INDIRECT($B$86)=$B108)*(INDIRECT($F$86)="PREV"),0)),0)</f>
        <v>117688.41855330684</v>
      </c>
      <c r="V108" s="410" cm="1">
        <f t="array" aca="1" ref="V108" ca="1">_xlfn.LET(_xlpm.x,SUM(_xlfn._xlws.FILTER(INDIRECT(U$86)+INDIRECT(V$86),(INDIRECT($B$86)=$B108)*(INDIRECT($F$86)="PPTO"),0)),_xlpm.y,U108,IF(_xlpm.x=0,IF(_xlpm.x&gt;0,200%,0),_xlpm.y/_xlpm.x))</f>
        <v>9.4320845684237056E-2</v>
      </c>
      <c r="W108" s="403" cm="1">
        <f t="array" aca="1" ref="W108" ca="1">IFERROR(-SUM(_xlfn._xlws.FILTER(INDIRECT(W$86)+INDIRECT(X$86),(INDIRECT($B$86)=$B108)*(INDIRECT($F$86)="PREV"),0)),0)</f>
        <v>12510.61</v>
      </c>
      <c r="X108" s="410" cm="1">
        <f t="array" aca="1" ref="X108" ca="1">_xlfn.LET(_xlpm.x,SUM(_xlfn._xlws.FILTER(INDIRECT(W$86)+INDIRECT(X$86),(INDIRECT($B$86)=$B108)*(INDIRECT($F$86)="PPTO"),0)),_xlpm.y,W108,IF(_xlpm.x=0,IF(_xlpm.x&gt;0,200%,0),_xlpm.y/_xlpm.x))</f>
        <v>2.6510704783913722E-2</v>
      </c>
      <c r="Y108" s="403" cm="1">
        <f t="array" aca="1" ref="Y108" ca="1">IFERROR(-SUM(_xlfn._xlws.FILTER(INDIRECT(Y$86)+INDIRECT(Z$86),(INDIRECT($B$86)=$B108)*(INDIRECT($F$86)="PREV"),0)),0)</f>
        <v>-10462.269999999999</v>
      </c>
      <c r="Z108" s="410" cm="1">
        <f t="array" aca="1" ref="Z108" ca="1">_xlfn.LET(_xlpm.x,SUM(_xlfn._xlws.FILTER(INDIRECT(Y$86)+INDIRECT(Z$86),(INDIRECT($B$86)=$B108)*(INDIRECT($F$86)="PPTO"),0)),_xlpm.y,Y108,IF(_xlpm.x=0,IF(_xlpm.x&gt;0,200%,0),_xlpm.y/_xlpm.x))</f>
        <v>-0.27827949428358528</v>
      </c>
      <c r="AA108" s="403" cm="1">
        <f t="array" aca="1" ref="AA108" ca="1">IFERROR(-SUM(_xlfn._xlws.FILTER(INDIRECT(AA$86)+INDIRECT(AB$86),(INDIRECT($B$86)=$B108)*(INDIRECT($F$86)="PREV"),0)),0)</f>
        <v>0</v>
      </c>
      <c r="AB108" s="410" cm="1">
        <f t="array" aca="1" ref="AB108" ca="1">_xlfn.LET(_xlpm.x,SUM(_xlfn._xlws.FILTER(INDIRECT(AA$86)+INDIRECT(AB$86),(INDIRECT($B$86)=$B108)*(INDIRECT($F$86)="PPTO"),0)),_xlpm.y,AA108,IF(_xlpm.x=0,IF(_xlpm.x&gt;0,200%,0),_xlpm.y/_xlpm.x))</f>
        <v>0</v>
      </c>
      <c r="AC108" s="403" cm="1">
        <f t="array" aca="1" ref="AC108" ca="1">IFERROR(-SUM(_xlfn._xlws.FILTER(INDIRECT(AC$86)+INDIRECT(AD$86),(INDIRECT($B$86)=$B108)*(INDIRECT($F$86)="PREV"),0)),0)</f>
        <v>6809.8385287800002</v>
      </c>
      <c r="AD108" s="410" cm="1">
        <f t="array" aca="1" ref="AD108" ca="1">_xlfn.LET(_xlpm.x,SUM(_xlfn._xlws.FILTER(INDIRECT(AC$86)+INDIRECT(AD$86),(INDIRECT($B$86)=$B108)*(INDIRECT($F$86)="PPTO"),0)),_xlpm.y,AC108,IF(_xlpm.x=0,IF(_xlpm.x&gt;0,200%,0),_xlpm.y/_xlpm.x))</f>
        <v>0.15146520071684702</v>
      </c>
      <c r="AE108" s="403" cm="1">
        <f t="array" aca="1" ref="AE108" ca="1">IFERROR(-SUM(_xlfn._xlws.FILTER(INDIRECT(AE$86)+INDIRECT(AF$86),(INDIRECT($B$86)=$B108)*(INDIRECT($F$86)="PREV"),0)),0)</f>
        <v>-21585.059999999998</v>
      </c>
      <c r="AF108" s="410" cm="1">
        <f t="array" aca="1" ref="AF108" ca="1">_xlfn.LET(_xlpm.x,SUM(_xlfn._xlws.FILTER(INDIRECT(AE$86)+INDIRECT(AF$86),(INDIRECT($B$86)=$B108)*(INDIRECT($F$86)="PPTO"),0)),_xlpm.y,AE108,IF(_xlpm.x=0,IF(_xlpm.x&gt;0,200%,0),_xlpm.y/_xlpm.x))</f>
        <v>-8.0033010013615541E-2</v>
      </c>
      <c r="AG108" s="403" cm="1">
        <f t="array" aca="1" ref="AG108" ca="1">IFERROR(-SUM(_xlfn._xlws.FILTER(INDIRECT(AG$86)+INDIRECT(AH$86),(INDIRECT($B$86)=$B108)*(INDIRECT($F$86)="PREV"),0)),0)</f>
        <v>0</v>
      </c>
      <c r="AH108" s="410" cm="1">
        <f t="array" aca="1" ref="AH108" ca="1">_xlfn.LET(_xlpm.x,SUM(_xlfn._xlws.FILTER(INDIRECT(AG$86)+INDIRECT(AH$86),(INDIRECT($B$86)=$B108)*(INDIRECT($F$86)="PPTO"),0)),_xlpm.y,AG108,IF(_xlpm.x=0,IF(_xlpm.x&gt;0,200%,0),_xlpm.y/_xlpm.x))</f>
        <v>0</v>
      </c>
      <c r="AI108" s="403" cm="1">
        <f t="array" aca="1" ref="AI108" ca="1">IFERROR(-SUM(_xlfn._xlws.FILTER(INDIRECT(AI$86)+INDIRECT(AJ$86),(INDIRECT($B$86)=$B108)*(INDIRECT($F$86)="PREV"),0)),0)</f>
        <v>202371.06</v>
      </c>
      <c r="AJ108" s="410" cm="1">
        <f t="array" aca="1" ref="AJ108" ca="1">_xlfn.LET(_xlpm.x,SUM(_xlfn._xlws.FILTER(INDIRECT(AI$86)+INDIRECT(AJ$86),(INDIRECT($B$86)=$B108)*(INDIRECT($F$86)="PPTO"),0)),_xlpm.y,AI108,IF(_xlpm.x=0,IF(_xlpm.x&gt;0,200%,0),_xlpm.y/_xlpm.x))</f>
        <v>0.12527341862157051</v>
      </c>
      <c r="AK108" s="403" cm="1">
        <f t="array" aca="1" ref="AK108" ca="1">IFERROR(-SUM(_xlfn._xlws.FILTER(INDIRECT(AK$86)+INDIRECT(AL$86),(INDIRECT($B$86)=$B108)*(INDIRECT($F$86)="PREV"),0)),0)</f>
        <v>104922.73999999999</v>
      </c>
      <c r="AL108" s="410" cm="1">
        <f t="array" aca="1" ref="AL108" ca="1">_xlfn.LET(_xlpm.x,SUM(_xlfn._xlws.FILTER(INDIRECT(AK$86)+INDIRECT(AL$86),(INDIRECT($B$86)=$B108)*(INDIRECT($F$86)="PPTO"),0)),_xlpm.y,AK108,IF(_xlpm.x=0,IF(_xlpm.x&gt;0,200%,0),_xlpm.y/_xlpm.x))</f>
        <v>0.1757851903437343</v>
      </c>
      <c r="AM108" s="403" cm="1">
        <f t="array" aca="1" ref="AM108" ca="1">IFERROR(-SUM(_xlfn._xlws.FILTER(INDIRECT(AM$86)+INDIRECT(AN$86),(INDIRECT($B$86)=$B108)*(INDIRECT($F$86)="PREV"),0)),0)</f>
        <v>-1387.3999999999999</v>
      </c>
      <c r="AN108" s="410" cm="1">
        <f t="array" aca="1" ref="AN108" ca="1">_xlfn.LET(_xlpm.x,SUM(_xlfn._xlws.FILTER(INDIRECT(AM$86)+INDIRECT(AN$86),(INDIRECT($B$86)=$B108)*(INDIRECT($F$86)="PPTO"),0)),_xlpm.y,AM108,IF(_xlpm.x=0,IF(_xlpm.x&gt;0,200%,0),_xlpm.y/_xlpm.x))</f>
        <v>-8.4523597673767312E-3</v>
      </c>
      <c r="AO108" s="403" cm="1">
        <f t="array" aca="1" ref="AO108" ca="1">IFERROR(-SUM(_xlfn._xlws.FILTER(INDIRECT(AO$86)+INDIRECT(AP$86),(INDIRECT($B$86)=$B108)*(INDIRECT($F$86)="PREV"),0)),0)</f>
        <v>-161592.78</v>
      </c>
      <c r="AP108" s="410" cm="1">
        <f t="array" aca="1" ref="AP108" ca="1">_xlfn.LET(_xlpm.x,SUM(_xlfn._xlws.FILTER(INDIRECT(AO$86)+INDIRECT(AP$86),(INDIRECT($B$86)=$B108)*(INDIRECT($F$86)="PPTO"),0)),_xlpm.y,AO108,IF(_xlpm.x=0,IF(_xlpm.x&gt;0,200%,0),_xlpm.y/_xlpm.x))</f>
        <v>-0.46092435227454204</v>
      </c>
      <c r="AQ108" s="403" cm="1">
        <f t="array" aca="1" ref="AQ108" ca="1">IFERROR(-SUM(_xlfn._xlws.FILTER(INDIRECT(AQ$86)+INDIRECT(AR$86),(INDIRECT($B$86)=$B108)*(INDIRECT($F$86)="PREV"),0)),0)</f>
        <v>537993.85708208685</v>
      </c>
      <c r="AR108" s="410" cm="1">
        <f t="array" aca="1" ref="AR108" ca="1">_xlfn.LET(_xlpm.x,SUM(_xlfn._xlws.FILTER(INDIRECT(AQ$86)+INDIRECT(AR$86),(INDIRECT($B$86)=$B108)*(INDIRECT($F$86)="PPTO"),0)),_xlpm.y,AQ108,IF(_xlpm.x=0,IF(_xlpm.x&gt;0,200%,0),_xlpm.y/_xlpm.x))</f>
        <v>8.3087593817560063E-2</v>
      </c>
      <c r="AS108" s="286" t="str">
        <f ca="1">IF($B108="","X",ADDRESS(SUM(ROW()),MATCH("SCD",$1:$1,0)+1,4)&amp;":"&amp;ADDRESS(SUM(ROW()),MATCH("ECD",$1:$1,0)-1,4))</f>
        <v>G108:AP108</v>
      </c>
      <c r="AT108" s="403">
        <f ca="1">SUM(INDIRECT("rc"&amp;MATCH("ECD",$1:$1,0)&amp;":rc"&amp;(MATCH("EOC",$1:$1,0)-1),FALSE))</f>
        <v>537993.94016968063</v>
      </c>
      <c r="AV108" s="142" cm="1">
        <f t="array" aca="1" ref="AV108" ca="1">IF(AND(_xlfn.LET(_xlpm.x,SUM(ROW()),OR(AND(MATCH("SOT",$A:$A,0)&lt;_xlpm.x,MATCH("EOT",$A:$A,0)&gt;_xlpm.x),AND(MATCH("SOS",$A:$A,0)&lt;_xlpm.x,MATCH("EOS",$A:$A,0)&gt;_xlpm.x),AND(MATCH("SOR",$A:$A,0)&lt;_xlpm.x,MATCH("EOR",$A:$A,0)&gt;_xlpm.x))),INDIRECT("rc"&amp;MATCH("SCD",$1:$1,0),FALSE)="PPTO"),1,0)</f>
        <v>0</v>
      </c>
      <c r="AW108" s="142" cm="1">
        <f t="array" aca="1" ref="AW10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109" spans="1:49" s="153" customFormat="1" outlineLevel="2">
      <c r="A109" s="152"/>
      <c r="B109" s="406">
        <f ca="1"/>
        <v>0</v>
      </c>
      <c r="C109" s="407"/>
      <c r="D109" s="404" t="s">
        <v>1389</v>
      </c>
      <c r="E109" s="408" t="s">
        <v>1391</v>
      </c>
      <c r="F109" s="409" t="s">
        <v>2012</v>
      </c>
      <c r="G109" s="403" cm="1">
        <f t="array" aca="1" ref="G109" ca="1">IFERROR(-SUM(_xlfn._xlws.FILTER(INDIRECT(G$86)+INDIRECT(H$86),(INDIRECT($B$86)=$B109)*(INDIRECT($F$86)="PREV"),0)),0)</f>
        <v>0</v>
      </c>
      <c r="H109" s="410" cm="1">
        <f t="array" aca="1" ref="H109" ca="1">_xlfn.LET(_xlpm.x,SUM(_xlfn._xlws.FILTER(INDIRECT(G$86)+INDIRECT(H$86),(INDIRECT($B$86)=$B109)*(INDIRECT($F$86)="PPTO"),0)),_xlpm.y,G109,IF(_xlpm.x=0,IF(_xlpm.x&gt;0,200%,0),_xlpm.y/_xlpm.x))</f>
        <v>0</v>
      </c>
      <c r="I109" s="403" cm="1">
        <f t="array" aca="1" ref="I109" ca="1">IFERROR(-SUM(_xlfn._xlws.FILTER(INDIRECT(I$86)+INDIRECT(J$86),(INDIRECT($B$86)=$B109)*(INDIRECT($F$86)="PREV"),0)),0)</f>
        <v>0</v>
      </c>
      <c r="J109" s="410" cm="1">
        <f t="array" aca="1" ref="J109" ca="1">_xlfn.LET(_xlpm.x,SUM(_xlfn._xlws.FILTER(INDIRECT(I$86)+INDIRECT(J$86),(INDIRECT($B$86)=$B109)*(INDIRECT($F$86)="PPTO"),0)),_xlpm.y,I109,IF(_xlpm.x=0,IF(_xlpm.x&gt;0,200%,0),_xlpm.y/_xlpm.x))</f>
        <v>0</v>
      </c>
      <c r="K109" s="403" cm="1">
        <f t="array" aca="1" ref="K109" ca="1">IFERROR(-SUM(_xlfn._xlws.FILTER(INDIRECT(K$86)+INDIRECT(L$86),(INDIRECT($B$86)=$B109)*(INDIRECT($F$86)="PREV"),0)),0)</f>
        <v>0</v>
      </c>
      <c r="L109" s="410" cm="1">
        <f t="array" aca="1" ref="L109" ca="1">_xlfn.LET(_xlpm.x,SUM(_xlfn._xlws.FILTER(INDIRECT(K$86)+INDIRECT(L$86),(INDIRECT($B$86)=$B109)*(INDIRECT($F$86)="PPTO"),0)),_xlpm.y,K109,IF(_xlpm.x=0,IF(_xlpm.x&gt;0,200%,0),_xlpm.y/_xlpm.x))</f>
        <v>0</v>
      </c>
      <c r="M109" s="403" cm="1">
        <f t="array" aca="1" ref="M109" ca="1">IFERROR(-SUM(_xlfn._xlws.FILTER(INDIRECT(M$86)+INDIRECT(N$86),(INDIRECT($B$86)=$B109)*(INDIRECT($F$86)="PREV"),0)),0)</f>
        <v>0</v>
      </c>
      <c r="N109" s="410" cm="1">
        <f t="array" aca="1" ref="N109" ca="1">_xlfn.LET(_xlpm.x,SUM(_xlfn._xlws.FILTER(INDIRECT(M$86)+INDIRECT(N$86),(INDIRECT($B$86)=$B109)*(INDIRECT($F$86)="PPTO"),0)),_xlpm.y,M109,IF(_xlpm.x=0,IF(_xlpm.x&gt;0,200%,0),_xlpm.y/_xlpm.x))</f>
        <v>0</v>
      </c>
      <c r="O109" s="403" cm="1">
        <f t="array" aca="1" ref="O109" ca="1">IFERROR(-SUM(_xlfn._xlws.FILTER(INDIRECT(O$86)+INDIRECT(P$86),(INDIRECT($B$86)=$B109)*(INDIRECT($F$86)="PREV"),0)),0)</f>
        <v>0</v>
      </c>
      <c r="P109" s="410" cm="1">
        <f t="array" aca="1" ref="P109" ca="1">_xlfn.LET(_xlpm.x,SUM(_xlfn._xlws.FILTER(INDIRECT(O$86)+INDIRECT(P$86),(INDIRECT($B$86)=$B109)*(INDIRECT($F$86)="PPTO"),0)),_xlpm.y,O109,IF(_xlpm.x=0,IF(_xlpm.x&gt;0,200%,0),_xlpm.y/_xlpm.x))</f>
        <v>0</v>
      </c>
      <c r="Q109" s="403" cm="1">
        <f t="array" aca="1" ref="Q109" ca="1">IFERROR(-SUM(_xlfn._xlws.FILTER(INDIRECT(Q$86)+INDIRECT(R$86),(INDIRECT($B$86)=$B109)*(INDIRECT($F$86)="PREV"),0)),0)</f>
        <v>0</v>
      </c>
      <c r="R109" s="410" cm="1">
        <f t="array" aca="1" ref="R109" ca="1">_xlfn.LET(_xlpm.x,SUM(_xlfn._xlws.FILTER(INDIRECT(Q$86)+INDIRECT(R$86),(INDIRECT($B$86)=$B109)*(INDIRECT($F$86)="PPTO"),0)),_xlpm.y,Q109,IF(_xlpm.x=0,IF(_xlpm.x&gt;0,200%,0),_xlpm.y/_xlpm.x))</f>
        <v>0</v>
      </c>
      <c r="S109" s="403" cm="1">
        <f t="array" aca="1" ref="S109" ca="1">IFERROR(-SUM(_xlfn._xlws.FILTER(INDIRECT(S$86)+INDIRECT(T$86),(INDIRECT($B$86)=$B109)*(INDIRECT($F$86)="PREV"),0)),0)</f>
        <v>0</v>
      </c>
      <c r="T109" s="410" cm="1">
        <f t="array" aca="1" ref="T109" ca="1">_xlfn.LET(_xlpm.x,SUM(_xlfn._xlws.FILTER(INDIRECT(S$86)+INDIRECT(T$86),(INDIRECT($B$86)=$B109)*(INDIRECT($F$86)="PPTO"),0)),_xlpm.y,S109,IF(_xlpm.x=0,IF(_xlpm.x&gt;0,200%,0),_xlpm.y/_xlpm.x))</f>
        <v>0</v>
      </c>
      <c r="U109" s="403" cm="1">
        <f t="array" aca="1" ref="U109" ca="1">IFERROR(-SUM(_xlfn._xlws.FILTER(INDIRECT(U$86)+INDIRECT(V$86),(INDIRECT($B$86)=$B109)*(INDIRECT($F$86)="PREV"),0)),0)</f>
        <v>0</v>
      </c>
      <c r="V109" s="410" cm="1">
        <f t="array" aca="1" ref="V109" ca="1">_xlfn.LET(_xlpm.x,SUM(_xlfn._xlws.FILTER(INDIRECT(U$86)+INDIRECT(V$86),(INDIRECT($B$86)=$B109)*(INDIRECT($F$86)="PPTO"),0)),_xlpm.y,U109,IF(_xlpm.x=0,IF(_xlpm.x&gt;0,200%,0),_xlpm.y/_xlpm.x))</f>
        <v>0</v>
      </c>
      <c r="W109" s="403" cm="1">
        <f t="array" aca="1" ref="W109" ca="1">IFERROR(-SUM(_xlfn._xlws.FILTER(INDIRECT(W$86)+INDIRECT(X$86),(INDIRECT($B$86)=$B109)*(INDIRECT($F$86)="PREV"),0)),0)</f>
        <v>0</v>
      </c>
      <c r="X109" s="410" cm="1">
        <f t="array" aca="1" ref="X109" ca="1">_xlfn.LET(_xlpm.x,SUM(_xlfn._xlws.FILTER(INDIRECT(W$86)+INDIRECT(X$86),(INDIRECT($B$86)=$B109)*(INDIRECT($F$86)="PPTO"),0)),_xlpm.y,W109,IF(_xlpm.x=0,IF(_xlpm.x&gt;0,200%,0),_xlpm.y/_xlpm.x))</f>
        <v>0</v>
      </c>
      <c r="Y109" s="403" cm="1">
        <f t="array" aca="1" ref="Y109" ca="1">IFERROR(-SUM(_xlfn._xlws.FILTER(INDIRECT(Y$86)+INDIRECT(Z$86),(INDIRECT($B$86)=$B109)*(INDIRECT($F$86)="PREV"),0)),0)</f>
        <v>0</v>
      </c>
      <c r="Z109" s="410" cm="1">
        <f t="array" aca="1" ref="Z109" ca="1">_xlfn.LET(_xlpm.x,SUM(_xlfn._xlws.FILTER(INDIRECT(Y$86)+INDIRECT(Z$86),(INDIRECT($B$86)=$B109)*(INDIRECT($F$86)="PPTO"),0)),_xlpm.y,Y109,IF(_xlpm.x=0,IF(_xlpm.x&gt;0,200%,0),_xlpm.y/_xlpm.x))</f>
        <v>0</v>
      </c>
      <c r="AA109" s="403" cm="1">
        <f t="array" aca="1" ref="AA109" ca="1">IFERROR(-SUM(_xlfn._xlws.FILTER(INDIRECT(AA$86)+INDIRECT(AB$86),(INDIRECT($B$86)=$B109)*(INDIRECT($F$86)="PREV"),0)),0)</f>
        <v>0</v>
      </c>
      <c r="AB109" s="410" cm="1">
        <f t="array" aca="1" ref="AB109" ca="1">_xlfn.LET(_xlpm.x,SUM(_xlfn._xlws.FILTER(INDIRECT(AA$86)+INDIRECT(AB$86),(INDIRECT($B$86)=$B109)*(INDIRECT($F$86)="PPTO"),0)),_xlpm.y,AA109,IF(_xlpm.x=0,IF(_xlpm.x&gt;0,200%,0),_xlpm.y/_xlpm.x))</f>
        <v>0</v>
      </c>
      <c r="AC109" s="403" cm="1">
        <f t="array" aca="1" ref="AC109" ca="1">IFERROR(-SUM(_xlfn._xlws.FILTER(INDIRECT(AC$86)+INDIRECT(AD$86),(INDIRECT($B$86)=$B109)*(INDIRECT($F$86)="PREV"),0)),0)</f>
        <v>0</v>
      </c>
      <c r="AD109" s="410" cm="1">
        <f t="array" aca="1" ref="AD109" ca="1">_xlfn.LET(_xlpm.x,SUM(_xlfn._xlws.FILTER(INDIRECT(AC$86)+INDIRECT(AD$86),(INDIRECT($B$86)=$B109)*(INDIRECT($F$86)="PPTO"),0)),_xlpm.y,AC109,IF(_xlpm.x=0,IF(_xlpm.x&gt;0,200%,0),_xlpm.y/_xlpm.x))</f>
        <v>0</v>
      </c>
      <c r="AE109" s="403" cm="1">
        <f t="array" aca="1" ref="AE109" ca="1">IFERROR(-SUM(_xlfn._xlws.FILTER(INDIRECT(AE$86)+INDIRECT(AF$86),(INDIRECT($B$86)=$B109)*(INDIRECT($F$86)="PREV"),0)),0)</f>
        <v>0</v>
      </c>
      <c r="AF109" s="410" cm="1">
        <f t="array" aca="1" ref="AF109" ca="1">_xlfn.LET(_xlpm.x,SUM(_xlfn._xlws.FILTER(INDIRECT(AE$86)+INDIRECT(AF$86),(INDIRECT($B$86)=$B109)*(INDIRECT($F$86)="PPTO"),0)),_xlpm.y,AE109,IF(_xlpm.x=0,IF(_xlpm.x&gt;0,200%,0),_xlpm.y/_xlpm.x))</f>
        <v>0</v>
      </c>
      <c r="AG109" s="403" cm="1">
        <f t="array" aca="1" ref="AG109" ca="1">IFERROR(-SUM(_xlfn._xlws.FILTER(INDIRECT(AG$86)+INDIRECT(AH$86),(INDIRECT($B$86)=$B109)*(INDIRECT($F$86)="PREV"),0)),0)</f>
        <v>0</v>
      </c>
      <c r="AH109" s="410" cm="1">
        <f t="array" aca="1" ref="AH109" ca="1">_xlfn.LET(_xlpm.x,SUM(_xlfn._xlws.FILTER(INDIRECT(AG$86)+INDIRECT(AH$86),(INDIRECT($B$86)=$B109)*(INDIRECT($F$86)="PPTO"),0)),_xlpm.y,AG109,IF(_xlpm.x=0,IF(_xlpm.x&gt;0,200%,0),_xlpm.y/_xlpm.x))</f>
        <v>0</v>
      </c>
      <c r="AI109" s="403" cm="1">
        <f t="array" aca="1" ref="AI109" ca="1">IFERROR(-SUM(_xlfn._xlws.FILTER(INDIRECT(AI$86)+INDIRECT(AJ$86),(INDIRECT($B$86)=$B109)*(INDIRECT($F$86)="PREV"),0)),0)</f>
        <v>0</v>
      </c>
      <c r="AJ109" s="410" cm="1">
        <f t="array" aca="1" ref="AJ109" ca="1">_xlfn.LET(_xlpm.x,SUM(_xlfn._xlws.FILTER(INDIRECT(AI$86)+INDIRECT(AJ$86),(INDIRECT($B$86)=$B109)*(INDIRECT($F$86)="PPTO"),0)),_xlpm.y,AI109,IF(_xlpm.x=0,IF(_xlpm.x&gt;0,200%,0),_xlpm.y/_xlpm.x))</f>
        <v>0</v>
      </c>
      <c r="AK109" s="403" cm="1">
        <f t="array" aca="1" ref="AK109" ca="1">IFERROR(-SUM(_xlfn._xlws.FILTER(INDIRECT(AK$86)+INDIRECT(AL$86),(INDIRECT($B$86)=$B109)*(INDIRECT($F$86)="PREV"),0)),0)</f>
        <v>0</v>
      </c>
      <c r="AL109" s="410" cm="1">
        <f t="array" aca="1" ref="AL109" ca="1">_xlfn.LET(_xlpm.x,SUM(_xlfn._xlws.FILTER(INDIRECT(AK$86)+INDIRECT(AL$86),(INDIRECT($B$86)=$B109)*(INDIRECT($F$86)="PPTO"),0)),_xlpm.y,AK109,IF(_xlpm.x=0,IF(_xlpm.x&gt;0,200%,0),_xlpm.y/_xlpm.x))</f>
        <v>0</v>
      </c>
      <c r="AM109" s="403" cm="1">
        <f t="array" aca="1" ref="AM109" ca="1">IFERROR(-SUM(_xlfn._xlws.FILTER(INDIRECT(AM$86)+INDIRECT(AN$86),(INDIRECT($B$86)=$B109)*(INDIRECT($F$86)="PREV"),0)),0)</f>
        <v>0</v>
      </c>
      <c r="AN109" s="410" cm="1">
        <f t="array" aca="1" ref="AN109" ca="1">_xlfn.LET(_xlpm.x,SUM(_xlfn._xlws.FILTER(INDIRECT(AM$86)+INDIRECT(AN$86),(INDIRECT($B$86)=$B109)*(INDIRECT($F$86)="PPTO"),0)),_xlpm.y,AM109,IF(_xlpm.x=0,IF(_xlpm.x&gt;0,200%,0),_xlpm.y/_xlpm.x))</f>
        <v>0</v>
      </c>
      <c r="AO109" s="403" cm="1">
        <f t="array" aca="1" ref="AO109" ca="1">IFERROR(-SUM(_xlfn._xlws.FILTER(INDIRECT(AO$86)+INDIRECT(AP$86),(INDIRECT($B$86)=$B109)*(INDIRECT($F$86)="PREV"),0)),0)</f>
        <v>0</v>
      </c>
      <c r="AP109" s="410" cm="1">
        <f t="array" aca="1" ref="AP109" ca="1">_xlfn.LET(_xlpm.x,SUM(_xlfn._xlws.FILTER(INDIRECT(AO$86)+INDIRECT(AP$86),(INDIRECT($B$86)=$B109)*(INDIRECT($F$86)="PPTO"),0)),_xlpm.y,AO109,IF(_xlpm.x=0,IF(_xlpm.x&gt;0,200%,0),_xlpm.y/_xlpm.x))</f>
        <v>0</v>
      </c>
      <c r="AQ109" s="403" cm="1">
        <f t="array" aca="1" ref="AQ109" ca="1">IFERROR(-SUM(_xlfn._xlws.FILTER(INDIRECT(AQ$86)+INDIRECT(AR$86),(INDIRECT($B$86)=$B109)*(INDIRECT($F$86)="PREV"),0)),0)</f>
        <v>0</v>
      </c>
      <c r="AR109" s="410" cm="1">
        <f t="array" aca="1" ref="AR109" ca="1">_xlfn.LET(_xlpm.x,SUM(_xlfn._xlws.FILTER(INDIRECT(AQ$86)+INDIRECT(AR$86),(INDIRECT($B$86)=$B109)*(INDIRECT($F$86)="PPTO"),0)),_xlpm.y,AQ109,IF(_xlpm.x=0,IF(_xlpm.x&gt;0,200%,0),_xlpm.y/_xlpm.x))</f>
        <v>0</v>
      </c>
      <c r="AS109" s="286" t="str">
        <f ca="1">IF($B109="","X",ADDRESS(SUM(ROW()),MATCH("SCD",$1:$1,0)+1,4)&amp;":"&amp;ADDRESS(SUM(ROW()),MATCH("ECD",$1:$1,0)-1,4))</f>
        <v>G109:AP109</v>
      </c>
      <c r="AT109" s="403">
        <f ca="1">SUM(INDIRECT("rc"&amp;MATCH("ECD",$1:$1,0)&amp;":rc"&amp;(MATCH("EOC",$1:$1,0)-1),FALSE))</f>
        <v>0</v>
      </c>
      <c r="AV109" s="142" cm="1">
        <f t="array" aca="1" ref="AV109" ca="1">IF(AND(_xlfn.LET(_xlpm.x,SUM(ROW()),OR(AND(MATCH("SOT",$A:$A,0)&lt;_xlpm.x,MATCH("EOT",$A:$A,0)&gt;_xlpm.x),AND(MATCH("SOS",$A:$A,0)&lt;_xlpm.x,MATCH("EOS",$A:$A,0)&gt;_xlpm.x),AND(MATCH("SOR",$A:$A,0)&lt;_xlpm.x,MATCH("EOR",$A:$A,0)&gt;_xlpm.x))),INDIRECT("rc"&amp;MATCH("SCD",$1:$1,0),FALSE)="PPTO"),1,0)</f>
        <v>0</v>
      </c>
      <c r="AW109" s="142" cm="1">
        <f t="array" aca="1" ref="AW10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110" spans="1:49" ht="13" outlineLevel="1">
      <c r="A110" s="155" t="s">
        <v>1740</v>
      </c>
      <c r="B110" s="156"/>
      <c r="D110" s="159"/>
      <c r="G110" s="157"/>
      <c r="H110" s="160"/>
      <c r="I110" s="157"/>
      <c r="J110" s="160"/>
      <c r="K110" s="157"/>
      <c r="L110" s="160"/>
      <c r="M110" s="157"/>
      <c r="N110" s="160"/>
      <c r="O110" s="157"/>
      <c r="P110" s="160"/>
      <c r="Q110" s="157"/>
      <c r="R110" s="160"/>
      <c r="S110" s="157"/>
      <c r="T110" s="160"/>
      <c r="U110" s="157"/>
      <c r="V110" s="160"/>
      <c r="W110" s="157"/>
      <c r="X110" s="160"/>
      <c r="Y110" s="157"/>
      <c r="Z110" s="160"/>
      <c r="AA110" s="157"/>
      <c r="AB110" s="160"/>
      <c r="AC110" s="157"/>
      <c r="AD110" s="160"/>
      <c r="AE110" s="157"/>
      <c r="AF110" s="160"/>
      <c r="AG110" s="157"/>
      <c r="AH110" s="160"/>
      <c r="AI110" s="157"/>
      <c r="AJ110" s="160"/>
      <c r="AK110" s="157"/>
      <c r="AL110" s="160"/>
      <c r="AM110" s="157"/>
      <c r="AN110" s="160"/>
      <c r="AO110" s="157"/>
      <c r="AP110" s="160"/>
      <c r="AQ110" s="157"/>
      <c r="AR110" s="160"/>
      <c r="AS110" s="148"/>
      <c r="AV110" s="142" cm="1">
        <f t="array" aca="1" ref="AV110" ca="1">IF(AND(_xlfn.LET(_xlpm.x,SUM(ROW()),OR(AND(MATCH("SOT",$A:$A,0)&lt;_xlpm.x,MATCH("EOT",$A:$A,0)&gt;_xlpm.x),AND(MATCH("SOS",$A:$A,0)&lt;_xlpm.x,MATCH("EOS",$A:$A,0)&gt;_xlpm.x),AND(MATCH("SOR",$A:$A,0)&lt;_xlpm.x,MATCH("EOR",$A:$A,0)&gt;_xlpm.x))),INDIRECT("rc"&amp;MATCH("SCD",$1:$1,0),FALSE)="PPTO"),1,0)</f>
        <v>0</v>
      </c>
      <c r="AW110" s="142" cm="1">
        <f t="array" aca="1" ref="AW11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111" spans="1:49">
      <c r="B111" s="485" t="s">
        <v>1745</v>
      </c>
      <c r="C111" s="485"/>
      <c r="D111" s="485"/>
      <c r="E111" s="485"/>
      <c r="F111" s="485"/>
      <c r="G111" s="485"/>
      <c r="H111" s="485"/>
      <c r="I111" s="485"/>
      <c r="J111" s="485"/>
      <c r="K111" s="485"/>
      <c r="L111" s="485"/>
      <c r="M111" s="485"/>
      <c r="N111" s="485"/>
      <c r="O111" s="485"/>
      <c r="P111" s="485"/>
      <c r="Q111" s="485"/>
      <c r="R111" s="485"/>
      <c r="S111" s="485"/>
      <c r="T111" s="485"/>
      <c r="U111" s="485"/>
      <c r="V111" s="485"/>
      <c r="W111" s="485"/>
      <c r="X111" s="485"/>
      <c r="Y111" s="485"/>
      <c r="Z111" s="485"/>
      <c r="AA111" s="485"/>
      <c r="AB111" s="485"/>
      <c r="AC111" s="485"/>
      <c r="AD111" s="485"/>
      <c r="AE111" s="485"/>
      <c r="AF111" s="485"/>
      <c r="AG111" s="485"/>
      <c r="AH111" s="485"/>
      <c r="AI111" s="485"/>
      <c r="AJ111" s="485"/>
      <c r="AK111" s="485"/>
      <c r="AL111" s="485"/>
      <c r="AM111" s="485"/>
      <c r="AN111" s="485"/>
      <c r="AO111" s="485"/>
      <c r="AP111" s="485"/>
      <c r="AQ111" s="485"/>
      <c r="AR111" s="485"/>
      <c r="AS111" s="485"/>
      <c r="AV111" s="142" cm="1">
        <f t="array" aca="1" ref="AV111" ca="1">IF(AND(_xlfn.LET(_xlpm.x,SUM(ROW()),OR(AND(MATCH("SOT",$A:$A,0)&lt;_xlpm.x,MATCH("EOT",$A:$A,0)&gt;_xlpm.x),AND(MATCH("SOS",$A:$A,0)&lt;_xlpm.x,MATCH("EOS",$A:$A,0)&gt;_xlpm.x),AND(MATCH("SOR",$A:$A,0)&lt;_xlpm.x,MATCH("EOR",$A:$A,0)&gt;_xlpm.x))),INDIRECT("rc"&amp;MATCH("SCD",$1:$1,0),FALSE)="PPTO"),1,0)</f>
        <v>0</v>
      </c>
      <c r="AW111" s="142" cm="1">
        <f t="array" aca="1" ref="AW11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112" spans="1:49" ht="14">
      <c r="A112" s="155" t="s">
        <v>407</v>
      </c>
      <c r="B112" s="198" t="str">
        <f t="shared" ref="B112:AS112" ca="1" si="12">ADDRESS(MATCH("SO"&amp;RIGHT($A112,1),$A:$A,0)+1,SUM(COLUMN()),4,1,$B$9)&amp;":"&amp;ADDRESS(MATCH("EO"&amp;RIGHT($A112,1),$A:$A,0)-1,SUM(COLUMN()),4)</f>
        <v>PPR!B116:B253</v>
      </c>
      <c r="C112" s="198" t="str">
        <f t="shared" ca="1" si="12"/>
        <v>PPR!C116:C253</v>
      </c>
      <c r="D112" s="198" t="str">
        <f t="shared" ca="1" si="12"/>
        <v>PPR!D116:D253</v>
      </c>
      <c r="E112" s="348" t="str">
        <f t="shared" ca="1" si="12"/>
        <v>PPR!E116:E253</v>
      </c>
      <c r="F112" s="198" t="str">
        <f t="shared" ca="1" si="12"/>
        <v>PPR!F116:F253</v>
      </c>
      <c r="G112" s="198" t="str">
        <f t="shared" ca="1" si="12"/>
        <v>PPR!G116:G253</v>
      </c>
      <c r="H112" s="198" t="str">
        <f t="shared" ca="1" si="12"/>
        <v>PPR!H116:H253</v>
      </c>
      <c r="I112" s="198" t="str">
        <f t="shared" ca="1" si="12"/>
        <v>PPR!I116:I253</v>
      </c>
      <c r="J112" s="198" t="str">
        <f t="shared" ca="1" si="12"/>
        <v>PPR!J116:J253</v>
      </c>
      <c r="K112" s="198" t="str">
        <f t="shared" ca="1" si="12"/>
        <v>PPR!K116:K253</v>
      </c>
      <c r="L112" s="198" t="str">
        <f t="shared" ca="1" si="12"/>
        <v>PPR!L116:L253</v>
      </c>
      <c r="M112" s="198" t="str">
        <f t="shared" ca="1" si="12"/>
        <v>PPR!M116:M253</v>
      </c>
      <c r="N112" s="198" t="str">
        <f t="shared" ca="1" si="12"/>
        <v>PPR!N116:N253</v>
      </c>
      <c r="O112" s="198" t="str">
        <f t="shared" ca="1" si="12"/>
        <v>PPR!O116:O253</v>
      </c>
      <c r="P112" s="198" t="str">
        <f t="shared" ca="1" si="12"/>
        <v>PPR!P116:P253</v>
      </c>
      <c r="Q112" s="198" t="str">
        <f t="shared" ca="1" si="12"/>
        <v>PPR!Q116:Q253</v>
      </c>
      <c r="R112" s="198" t="str">
        <f t="shared" ca="1" si="12"/>
        <v>PPR!R116:R253</v>
      </c>
      <c r="S112" s="198" t="str">
        <f t="shared" ca="1" si="12"/>
        <v>PPR!S116:S253</v>
      </c>
      <c r="T112" s="198" t="str">
        <f t="shared" ca="1" si="12"/>
        <v>PPR!T116:T253</v>
      </c>
      <c r="U112" s="198" t="str">
        <f t="shared" ca="1" si="12"/>
        <v>PPR!U116:U253</v>
      </c>
      <c r="V112" s="198" t="str">
        <f t="shared" ca="1" si="12"/>
        <v>PPR!V116:V253</v>
      </c>
      <c r="W112" s="198" t="str">
        <f t="shared" ca="1" si="12"/>
        <v>PPR!W116:W253</v>
      </c>
      <c r="X112" s="198" t="str">
        <f t="shared" ca="1" si="12"/>
        <v>PPR!X116:X253</v>
      </c>
      <c r="Y112" s="198" t="str">
        <f t="shared" ca="1" si="12"/>
        <v>PPR!Y116:Y253</v>
      </c>
      <c r="Z112" s="198" t="str">
        <f t="shared" ca="1" si="12"/>
        <v>PPR!Z116:Z253</v>
      </c>
      <c r="AA112" s="198" t="str">
        <f t="shared" ca="1" si="12"/>
        <v>PPR!AA116:AA253</v>
      </c>
      <c r="AB112" s="198" t="str">
        <f t="shared" ca="1" si="12"/>
        <v>PPR!AB116:AB253</v>
      </c>
      <c r="AC112" s="198" t="str">
        <f t="shared" ca="1" si="12"/>
        <v>PPR!AC116:AC253</v>
      </c>
      <c r="AD112" s="198" t="str">
        <f t="shared" ca="1" si="12"/>
        <v>PPR!AD116:AD253</v>
      </c>
      <c r="AE112" s="198" t="str">
        <f t="shared" ca="1" si="12"/>
        <v>PPR!AE116:AE253</v>
      </c>
      <c r="AF112" s="198" t="str">
        <f t="shared" ca="1" si="12"/>
        <v>PPR!AF116:AF253</v>
      </c>
      <c r="AG112" s="198" t="str">
        <f t="shared" ca="1" si="12"/>
        <v>PPR!AG116:AG253</v>
      </c>
      <c r="AH112" s="198" t="str">
        <f t="shared" ca="1" si="12"/>
        <v>PPR!AH116:AH253</v>
      </c>
      <c r="AI112" s="198" t="str">
        <f t="shared" ca="1" si="12"/>
        <v>PPR!AI116:AI253</v>
      </c>
      <c r="AJ112" s="198" t="str">
        <f t="shared" ca="1" si="12"/>
        <v>PPR!AJ116:AJ253</v>
      </c>
      <c r="AK112" s="198" t="str">
        <f t="shared" ca="1" si="12"/>
        <v>PPR!AK116:AK253</v>
      </c>
      <c r="AL112" s="198" t="str">
        <f t="shared" ca="1" si="12"/>
        <v>PPR!AL116:AL253</v>
      </c>
      <c r="AM112" s="198" t="str">
        <f t="shared" ca="1" si="12"/>
        <v>PPR!AM116:AM253</v>
      </c>
      <c r="AN112" s="198" t="str">
        <f t="shared" ca="1" si="12"/>
        <v>PPR!AN116:AN253</v>
      </c>
      <c r="AO112" s="198" t="str">
        <f t="shared" ca="1" si="12"/>
        <v>PPR!AO116:AO253</v>
      </c>
      <c r="AP112" s="198" t="str">
        <f t="shared" ca="1" si="12"/>
        <v>PPR!AP116:AP253</v>
      </c>
      <c r="AQ112" s="198" t="str">
        <f t="shared" ca="1" si="12"/>
        <v>PPR!AQ116:AQ253</v>
      </c>
      <c r="AR112" s="198" t="str">
        <f t="shared" ca="1" si="12"/>
        <v>PPR!AR116:AR253</v>
      </c>
      <c r="AS112" s="198" t="str">
        <f t="shared" ca="1" si="12"/>
        <v>PPR!AS116:AS253</v>
      </c>
      <c r="AV112" s="142" cm="1">
        <f t="array" aca="1" ref="AV112" ca="1">IF(AND(_xlfn.LET(_xlpm.x,SUM(ROW()),OR(AND(MATCH("SOT",$A:$A,0)&lt;_xlpm.x,MATCH("EOT",$A:$A,0)&gt;_xlpm.x),AND(MATCH("SOS",$A:$A,0)&lt;_xlpm.x,MATCH("EOS",$A:$A,0)&gt;_xlpm.x),AND(MATCH("SOR",$A:$A,0)&lt;_xlpm.x,MATCH("EOR",$A:$A,0)&gt;_xlpm.x))),INDIRECT("rc"&amp;MATCH("SCD",$1:$1,0),FALSE)="PPTO"),1,0)</f>
        <v>0</v>
      </c>
      <c r="AW112" s="142" cm="1">
        <f t="array" aca="1" ref="AW11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113" spans="1:50" s="149" customFormat="1" ht="14" outlineLevel="1">
      <c r="A113" s="141" t="s">
        <v>1978</v>
      </c>
      <c r="B113" s="147" t="s">
        <v>416</v>
      </c>
      <c r="C113" s="148" t="str">
        <f ca="1">ADDRESS(MATCH("SOR",$A:$A,0)+1,MATCH("SOC",$1:$1,0)+1,4,1,$B$9)&amp;":"&amp;ADDRESS(MATCH("EOR",$A:$A,0)-1,MATCH("EOC",$1:$1,0)-1,4)</f>
        <v>PPR!B116:AR253</v>
      </c>
      <c r="D113" s="147"/>
      <c r="E113" s="351"/>
      <c r="F113" s="288" cm="1">
        <f t="array" aca="1" ref="F113" ca="1">COUNT(CODE(_xlfn._xlws.FILTER(_xlfn.CHOOSECOLS(INDIRECT($C$113),1),_xlfn.CHOOSECOLS(INDIRECT($C$113),1)&lt;&gt;"X","X")))/3</f>
        <v>27</v>
      </c>
      <c r="G113" s="147" t="s">
        <v>1710</v>
      </c>
      <c r="H113" s="147" t="s">
        <v>1711</v>
      </c>
      <c r="I113" s="150" t="s">
        <v>1710</v>
      </c>
      <c r="J113" s="150" t="s">
        <v>1711</v>
      </c>
      <c r="K113" s="147" t="s">
        <v>1710</v>
      </c>
      <c r="L113" s="147" t="s">
        <v>1711</v>
      </c>
      <c r="M113" s="150" t="s">
        <v>1710</v>
      </c>
      <c r="N113" s="150" t="s">
        <v>1711</v>
      </c>
      <c r="O113" s="147" t="s">
        <v>1710</v>
      </c>
      <c r="P113" s="147" t="s">
        <v>1711</v>
      </c>
      <c r="Q113" s="150" t="s">
        <v>1710</v>
      </c>
      <c r="R113" s="150" t="s">
        <v>1711</v>
      </c>
      <c r="S113" s="147" t="s">
        <v>1710</v>
      </c>
      <c r="T113" s="147" t="s">
        <v>1711</v>
      </c>
      <c r="U113" s="150" t="s">
        <v>1710</v>
      </c>
      <c r="V113" s="150" t="s">
        <v>1711</v>
      </c>
      <c r="W113" s="147" t="s">
        <v>1710</v>
      </c>
      <c r="X113" s="147" t="s">
        <v>1711</v>
      </c>
      <c r="Y113" s="150" t="s">
        <v>1710</v>
      </c>
      <c r="Z113" s="150" t="s">
        <v>1711</v>
      </c>
      <c r="AA113" s="147" t="s">
        <v>1710</v>
      </c>
      <c r="AB113" s="147" t="s">
        <v>1711</v>
      </c>
      <c r="AC113" s="150" t="s">
        <v>1710</v>
      </c>
      <c r="AD113" s="150" t="s">
        <v>1711</v>
      </c>
      <c r="AE113" s="150" t="s">
        <v>1710</v>
      </c>
      <c r="AF113" s="150" t="s">
        <v>1711</v>
      </c>
      <c r="AG113" s="150" t="s">
        <v>1710</v>
      </c>
      <c r="AH113" s="150" t="s">
        <v>1711</v>
      </c>
      <c r="AI113" s="150" t="s">
        <v>1710</v>
      </c>
      <c r="AJ113" s="150" t="s">
        <v>1711</v>
      </c>
      <c r="AK113" s="150" t="s">
        <v>1710</v>
      </c>
      <c r="AL113" s="150" t="s">
        <v>1711</v>
      </c>
      <c r="AM113" s="150" t="s">
        <v>1710</v>
      </c>
      <c r="AN113" s="150" t="s">
        <v>1711</v>
      </c>
      <c r="AO113" s="150" t="s">
        <v>1710</v>
      </c>
      <c r="AP113" s="150" t="s">
        <v>1711</v>
      </c>
      <c r="AQ113" s="151"/>
      <c r="AS113" s="286" t="str">
        <f t="shared" ref="AS113:AS144" si="13">IF($B113="","X",ADDRESS(SUM(ROW()),MATCH("SCD",$1:$1,0)+1,4)&amp;":"&amp;ADDRESS(SUM(ROW()),MATCH("ECD",$1:$1,0)-1,4))</f>
        <v>G113:AP113</v>
      </c>
      <c r="AV113" s="142" cm="1">
        <f t="array" aca="1" ref="AV113" ca="1">IF(AND(_xlfn.LET(_xlpm.x,SUM(ROW()),OR(AND(MATCH("SOT",$A:$A,0)&lt;_xlpm.x,MATCH("EOT",$A:$A,0)&gt;_xlpm.x),AND(MATCH("SOS",$A:$A,0)&lt;_xlpm.x,MATCH("EOS",$A:$A,0)&gt;_xlpm.x),AND(MATCH("SOR",$A:$A,0)&lt;_xlpm.x,MATCH("EOR",$A:$A,0)&gt;_xlpm.x))),INDIRECT("rc"&amp;MATCH("SCD",$1:$1,0),FALSE)="PPTO"),1,0)</f>
        <v>0</v>
      </c>
      <c r="AW113" s="142" cm="1">
        <f t="array" aca="1" ref="AW11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114" spans="1:50" s="153" customFormat="1" outlineLevel="1">
      <c r="A114" s="152" t="s">
        <v>2036</v>
      </c>
      <c r="B114" s="289" t="s">
        <v>1299</v>
      </c>
      <c r="C114" s="290" t="s">
        <v>11</v>
      </c>
      <c r="D114" s="290" t="s">
        <v>12</v>
      </c>
      <c r="E114" s="349" t="s">
        <v>64</v>
      </c>
      <c r="F114" s="290" t="s">
        <v>1392</v>
      </c>
      <c r="G114" s="486" t="s">
        <v>24</v>
      </c>
      <c r="H114" s="486"/>
      <c r="I114" s="489" t="s">
        <v>14</v>
      </c>
      <c r="J114" s="489"/>
      <c r="K114" s="489" t="s">
        <v>506</v>
      </c>
      <c r="L114" s="489"/>
      <c r="M114" s="486" t="s">
        <v>3</v>
      </c>
      <c r="N114" s="486"/>
      <c r="O114" s="489" t="s">
        <v>5</v>
      </c>
      <c r="P114" s="489"/>
      <c r="Q114" s="489" t="s">
        <v>16</v>
      </c>
      <c r="R114" s="489"/>
      <c r="S114" s="486" t="s">
        <v>4</v>
      </c>
      <c r="T114" s="486"/>
      <c r="U114" s="489" t="s">
        <v>294</v>
      </c>
      <c r="V114" s="489"/>
      <c r="W114" s="489" t="s">
        <v>2</v>
      </c>
      <c r="X114" s="489"/>
      <c r="Y114" s="489" t="s">
        <v>1</v>
      </c>
      <c r="Z114" s="489"/>
      <c r="AA114" s="489" t="s">
        <v>388</v>
      </c>
      <c r="AB114" s="489"/>
      <c r="AC114" s="489" t="s">
        <v>8</v>
      </c>
      <c r="AD114" s="489"/>
      <c r="AE114" s="489" t="s">
        <v>25</v>
      </c>
      <c r="AF114" s="489"/>
      <c r="AG114" s="486" t="s">
        <v>17</v>
      </c>
      <c r="AH114" s="486"/>
      <c r="AI114" s="486" t="s">
        <v>1665</v>
      </c>
      <c r="AJ114" s="486"/>
      <c r="AK114" s="486" t="s">
        <v>1666</v>
      </c>
      <c r="AL114" s="486"/>
      <c r="AM114" s="486" t="s">
        <v>75</v>
      </c>
      <c r="AN114" s="486"/>
      <c r="AO114" s="487" t="s">
        <v>21</v>
      </c>
      <c r="AP114" s="487"/>
      <c r="AQ114" s="488" t="s">
        <v>7</v>
      </c>
      <c r="AR114" s="488"/>
      <c r="AS114" s="286" t="str">
        <f t="shared" si="13"/>
        <v>G114:AP114</v>
      </c>
      <c r="AT114" s="486" t="s">
        <v>1750</v>
      </c>
      <c r="AV114" s="142" cm="1">
        <f t="array" aca="1" ref="AV114" ca="1">IF(AND(_xlfn.LET(_xlpm.x,SUM(ROW()),OR(AND(MATCH("SOT",$A:$A,0)&lt;_xlpm.x,MATCH("EOT",$A:$A,0)&gt;_xlpm.x),AND(MATCH("SOS",$A:$A,0)&lt;_xlpm.x,MATCH("EOS",$A:$A,0)&gt;_xlpm.x),AND(MATCH("SOR",$A:$A,0)&lt;_xlpm.x,MATCH("EOR",$A:$A,0)&gt;_xlpm.x))),INDIRECT("rc"&amp;MATCH("SCD",$1:$1,0),FALSE)="PPTO"),1,0)</f>
        <v>0</v>
      </c>
      <c r="AW114" s="142" cm="1">
        <f t="array" aca="1" ref="AW11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115" spans="1:50" s="153" customFormat="1" ht="13" outlineLevel="1">
      <c r="A115" s="152" t="s">
        <v>390</v>
      </c>
      <c r="B115" s="148" t="s">
        <v>1727</v>
      </c>
      <c r="C115" s="148"/>
      <c r="D115" s="148"/>
      <c r="E115" s="350"/>
      <c r="F115" s="148"/>
      <c r="G115" s="291" t="s">
        <v>28</v>
      </c>
      <c r="H115" s="291" t="s">
        <v>1384</v>
      </c>
      <c r="I115" s="291" t="s">
        <v>28</v>
      </c>
      <c r="J115" s="291" t="s">
        <v>1384</v>
      </c>
      <c r="K115" s="291" t="s">
        <v>28</v>
      </c>
      <c r="L115" s="291" t="s">
        <v>1384</v>
      </c>
      <c r="M115" s="291" t="s">
        <v>28</v>
      </c>
      <c r="N115" s="291" t="s">
        <v>1384</v>
      </c>
      <c r="O115" s="291" t="s">
        <v>28</v>
      </c>
      <c r="P115" s="291" t="s">
        <v>1384</v>
      </c>
      <c r="Q115" s="291" t="s">
        <v>28</v>
      </c>
      <c r="R115" s="291" t="s">
        <v>1384</v>
      </c>
      <c r="S115" s="291" t="s">
        <v>28</v>
      </c>
      <c r="T115" s="291" t="s">
        <v>1384</v>
      </c>
      <c r="U115" s="291" t="s">
        <v>28</v>
      </c>
      <c r="V115" s="291" t="s">
        <v>1384</v>
      </c>
      <c r="W115" s="291" t="s">
        <v>28</v>
      </c>
      <c r="X115" s="291" t="s">
        <v>1384</v>
      </c>
      <c r="Y115" s="291" t="s">
        <v>28</v>
      </c>
      <c r="Z115" s="291" t="s">
        <v>1384</v>
      </c>
      <c r="AA115" s="291" t="s">
        <v>28</v>
      </c>
      <c r="AB115" s="291" t="s">
        <v>1384</v>
      </c>
      <c r="AC115" s="291" t="s">
        <v>28</v>
      </c>
      <c r="AD115" s="291" t="s">
        <v>1384</v>
      </c>
      <c r="AE115" s="291" t="s">
        <v>28</v>
      </c>
      <c r="AF115" s="291" t="s">
        <v>1384</v>
      </c>
      <c r="AG115" s="291" t="s">
        <v>28</v>
      </c>
      <c r="AH115" s="291" t="s">
        <v>1384</v>
      </c>
      <c r="AI115" s="291" t="s">
        <v>28</v>
      </c>
      <c r="AJ115" s="291" t="s">
        <v>1384</v>
      </c>
      <c r="AK115" s="291" t="s">
        <v>28</v>
      </c>
      <c r="AL115" s="291" t="s">
        <v>1384</v>
      </c>
      <c r="AM115" s="291" t="s">
        <v>28</v>
      </c>
      <c r="AN115" s="291" t="s">
        <v>1384</v>
      </c>
      <c r="AO115" s="291" t="s">
        <v>28</v>
      </c>
      <c r="AP115" s="291" t="s">
        <v>1384</v>
      </c>
      <c r="AQ115" s="291" t="s">
        <v>28</v>
      </c>
      <c r="AR115" s="291" t="s">
        <v>1384</v>
      </c>
      <c r="AS115" s="286" t="str">
        <f t="shared" si="13"/>
        <v>G115:AP115</v>
      </c>
      <c r="AT115" s="486"/>
      <c r="AV115" s="142" cm="1">
        <f t="array" aca="1" ref="AV115" ca="1">IF(AND(_xlfn.LET(_xlpm.x,SUM(ROW()),OR(AND(MATCH("SOT",$A:$A,0)&lt;_xlpm.x,MATCH("EOT",$A:$A,0)&gt;_xlpm.x),AND(MATCH("SOS",$A:$A,0)&lt;_xlpm.x,MATCH("EOS",$A:$A,0)&gt;_xlpm.x),AND(MATCH("SOR",$A:$A,0)&lt;_xlpm.x,MATCH("EOR",$A:$A,0)&gt;_xlpm.x))),INDIRECT("rc"&amp;MATCH("SCD",$1:$1,0),FALSE)="PPTO"),1,0)</f>
        <v>0</v>
      </c>
      <c r="AW115" s="142" cm="1">
        <f t="array" aca="1" ref="AW11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116" spans="1:50" outlineLevel="1">
      <c r="B116" s="156" t="str" cm="1">
        <f t="array" aca="1" ref="B116:E116" ca="1">_xlfn.LET(_xlpm.x,SUM(ROW()-MATCH("SOR",$A:$A,0)),_xlpm.y,IFERROR(_xlfn.TAKE(INDEX(_xlfn._xlws.FILTER(TbAssign[],ISNUMBER(FIND(TbAssign[Project],$C$4)),"X"),1+QUOTIENT(_xlpm.x,3),0),1,4),0),IF(MOD(_xlpm.x-1,3)=0,IF(_xlpm.y=0,"X",_xlpm.y),INDIRECT("r[-1]c#",FALSE)))</f>
        <v>31200</v>
      </c>
      <c r="C116" s="156" t="str">
        <f ca="1"/>
        <v>XA01</v>
      </c>
      <c r="D116" s="148" t="str">
        <f ca="1"/>
        <v>GDHR</v>
      </c>
      <c r="E116" s="352" t="str">
        <f ca="1"/>
        <v>GESTION Y COORDINACION</v>
      </c>
      <c r="F116" s="148" t="s">
        <v>397</v>
      </c>
      <c r="G116" s="157" cm="1">
        <f t="array" aca="1" ref="G116" ca="1">IF(OR($E116="X",$E116="",$E116=0,$B116="X",$B116="",$B116=0),0,SUM(_xlfn._xlws.FILTER(IF($E$4="Ppto",PptoSty[CurPpto],PptoSty[CurInt]),(IF($E$4="Ppto",PptoSty[POvsCT]=G$113,TRUE))*(PptoSty[Project]=TEXT($B116,"@"))*(PptoSty[PptoVsRow]=$E116)*(PptoSty[PptoVsColumn]=UPPER(G$114)),0)))</f>
        <v>68668.844164500013</v>
      </c>
      <c r="H116" s="157" cm="1">
        <f t="array" aca="1" ref="H116" ca="1">IF(OR($E116="X",$E116="",$E116=0,$B116="X",$B116="",$B116=0),0,SUM(_xlfn._xlws.FILTER(IF($E$4="Ppto",PptoSty[CurPpto],PptoSty[CurExt]),(IF($E$4="Ppto",PptoSty[POvsCT]=H$113,TRUE))*(PptoSty[Project]=TEXT($B116,"@"))*(PptoSty[PptoVsRow]=$E116)*(PptoSty[PptoVsColumn]=UPPER(G$114)),0)))</f>
        <v>0</v>
      </c>
      <c r="I116" s="157" cm="1">
        <f t="array" aca="1" ref="I116" ca="1">IF(OR($E116="X",$E116="",$E116=0,$B116="X",$B116="",$B116=0),0,SUM(_xlfn._xlws.FILTER(IF($E$4="Ppto",PptoSty[CurPpto],PptoSty[CurInt]),(IF($E$4="Ppto",PptoSty[POvsCT]=I$113,TRUE))*(PptoSty[Project]=TEXT($B116,"@"))*(PptoSty[PptoVsRow]=$E116)*(PptoSty[PptoVsColumn]=UPPER(I$114)),0)))</f>
        <v>112842.694944</v>
      </c>
      <c r="J116" s="157" cm="1">
        <f t="array" aca="1" ref="J116" ca="1">IF(OR($E116="X",$E116="",$E116=0,$B116="X",$B116="",$B116=0),0,SUM(_xlfn._xlws.FILTER(IF($E$4="Ppto",PptoSty[CurPpto],PptoSty[CurExt]),(IF($E$4="Ppto",PptoSty[POvsCT]=J$113,TRUE))*(PptoSty[Project]=TEXT($B116,"@"))*(PptoSty[PptoVsRow]=$E116)*(PptoSty[PptoVsColumn]=UPPER(I$114)),0)))</f>
        <v>0</v>
      </c>
      <c r="K116" s="157" cm="1">
        <f t="array" aca="1" ref="K116" ca="1">IF(OR($E116="X",$E116="",$E116=0,$B116="X",$B116="",$B116=0),0,SUM(_xlfn._xlws.FILTER(IF($E$4="Ppto",PptoSty[CurPpto],PptoSty[CurInt]),(IF($E$4="Ppto",PptoSty[POvsCT]=K$113,TRUE))*(PptoSty[Project]=TEXT($B116,"@"))*(PptoSty[PptoVsRow]=$E116)*(PptoSty[PptoVsColumn]=UPPER(K$114)),0)))</f>
        <v>0</v>
      </c>
      <c r="L116" s="157" cm="1">
        <f t="array" aca="1" ref="L116" ca="1">IF(OR($E116="X",$E116="",$E116=0,$B116="X",$B116="",$B116=0),0,SUM(_xlfn._xlws.FILTER(IF($E$4="Ppto",PptoSty[CurPpto],PptoSty[CurExt]),(IF($E$4="Ppto",PptoSty[POvsCT]=L$113,TRUE))*(PptoSty[Project]=TEXT($B116,"@"))*(PptoSty[PptoVsRow]=$E116)*(PptoSty[PptoVsColumn]=UPPER(K$114)),0)))</f>
        <v>0</v>
      </c>
      <c r="M116" s="157" cm="1">
        <f t="array" aca="1" ref="M116" ca="1">IF(OR($E116="X",$E116="",$E116=0,$B116="X",$B116="",$B116=0),0,SUM(_xlfn._xlws.FILTER(IF($E$4="Ppto",PptoSty[CurPpto],PptoSty[CurInt]),(IF($E$4="Ppto",PptoSty[POvsCT]=M$113,TRUE))*(PptoSty[Project]=TEXT($B116,"@"))*(PptoSty[PptoVsRow]=$E116)*(PptoSty[PptoVsColumn]=UPPER(M$114)),0)))</f>
        <v>0</v>
      </c>
      <c r="N116" s="157" cm="1">
        <f t="array" aca="1" ref="N116" ca="1">IF(OR($E116="X",$E116="",$E116=0,$B116="X",$B116="",$B116=0),0,SUM(_xlfn._xlws.FILTER(IF($E$4="Ppto",PptoSty[CurPpto],PptoSty[CurExt]),(IF($E$4="Ppto",PptoSty[POvsCT]=N$113,TRUE))*(PptoSty[Project]=TEXT($B116,"@"))*(PptoSty[PptoVsRow]=$E116)*(PptoSty[PptoVsColumn]=UPPER(M$114)),0)))</f>
        <v>0</v>
      </c>
      <c r="O116" s="157" cm="1">
        <f t="array" aca="1" ref="O116" ca="1">IF(OR($E116="X",$E116="",$E116=0,$B116="X",$B116="",$B116=0),0,SUM(_xlfn._xlws.FILTER(IF($E$4="Ppto",PptoSty[CurPpto],PptoSty[CurInt]),(IF($E$4="Ppto",PptoSty[POvsCT]=O$113,TRUE))*(PptoSty[Project]=TEXT($B116,"@"))*(PptoSty[PptoVsRow]=$E116)*(PptoSty[PptoVsColumn]=UPPER(O$114)),0)))</f>
        <v>29233.208708807811</v>
      </c>
      <c r="P116" s="157" cm="1">
        <f t="array" aca="1" ref="P116" ca="1">IF(OR($E116="X",$E116="",$E116=0,$B116="X",$B116="",$B116=0),0,SUM(_xlfn._xlws.FILTER(IF($E$4="Ppto",PptoSty[CurPpto],PptoSty[CurExt]),(IF($E$4="Ppto",PptoSty[POvsCT]=P$113,TRUE))*(PptoSty[Project]=TEXT($B116,"@"))*(PptoSty[PptoVsRow]=$E116)*(PptoSty[PptoVsColumn]=UPPER(O$114)),0)))</f>
        <v>31882.659492614061</v>
      </c>
      <c r="Q116" s="157" cm="1">
        <f t="array" aca="1" ref="Q116" ca="1">IF(OR($E116="X",$E116="",$E116=0,$B116="X",$B116="",$B116=0),0,SUM(_xlfn._xlws.FILTER(IF($E$4="Ppto",PptoSty[CurPpto],PptoSty[CurInt]),(IF($E$4="Ppto",PptoSty[POvsCT]=Q$113,TRUE))*(PptoSty[Project]=TEXT($B116,"@"))*(PptoSty[PptoVsRow]=$E116)*(PptoSty[PptoVsColumn]=UPPER(Q$114)),0)))</f>
        <v>0</v>
      </c>
      <c r="R116" s="157" cm="1">
        <f t="array" aca="1" ref="R116" ca="1">IF(OR($E116="X",$E116="",$E116=0,$B116="X",$B116="",$B116=0),0,SUM(_xlfn._xlws.FILTER(IF($E$4="Ppto",PptoSty[CurPpto],PptoSty[CurExt]),(IF($E$4="Ppto",PptoSty[POvsCT]=R$113,TRUE))*(PptoSty[Project]=TEXT($B116,"@"))*(PptoSty[PptoVsRow]=$E116)*(PptoSty[PptoVsColumn]=UPPER(Q$114)),0)))</f>
        <v>0</v>
      </c>
      <c r="S116" s="157" cm="1">
        <f t="array" aca="1" ref="S116" ca="1">IF(OR($E116="X",$E116="",$E116=0,$B116="X",$B116="",$B116=0),0,SUM(_xlfn._xlws.FILTER(IF($E$4="Ppto",PptoSty[CurPpto],PptoSty[CurInt]),(IF($E$4="Ppto",PptoSty[POvsCT]=S$113,TRUE))*(PptoSty[Project]=TEXT($B116,"@"))*(PptoSty[PptoVsRow]=$E116)*(PptoSty[PptoVsColumn]=UPPER(S$114)),0)))</f>
        <v>0</v>
      </c>
      <c r="T116" s="157" cm="1">
        <f t="array" aca="1" ref="T116" ca="1">IF(OR($E116="X",$E116="",$E116=0,$B116="X",$B116="",$B116=0),0,SUM(_xlfn._xlws.FILTER(IF($E$4="Ppto",PptoSty[CurPpto],PptoSty[CurExt]),(IF($E$4="Ppto",PptoSty[POvsCT]=T$113,TRUE))*(PptoSty[Project]=TEXT($B116,"@"))*(PptoSty[PptoVsRow]=$E116)*(PptoSty[PptoVsColumn]=UPPER(S$114)),0)))</f>
        <v>0</v>
      </c>
      <c r="U116" s="157" cm="1">
        <f t="array" aca="1" ref="U116" ca="1">IF(OR($E116="X",$E116="",$E116=0,$B116="X",$B116="",$B116=0),0,SUM(_xlfn._xlws.FILTER(IF($E$4="Ppto",PptoSty[CurPpto],PptoSty[CurInt]),(IF($E$4="Ppto",PptoSty[POvsCT]=U$113,TRUE))*(PptoSty[Project]=TEXT($B116,"@"))*(PptoSty[PptoVsRow]=$E116)*(PptoSty[PptoVsColumn]=UPPER(U$114)),0)))</f>
        <v>123.42135738628699</v>
      </c>
      <c r="V116" s="157" cm="1">
        <f t="array" aca="1" ref="V116" ca="1">IF(OR($E116="X",$E116="",$E116=0,$B116="X",$B116="",$B116=0),0,SUM(_xlfn._xlws.FILTER(IF($E$4="Ppto",PptoSty[CurPpto],PptoSty[CurExt]),(IF($E$4="Ppto",PptoSty[POvsCT]=V$113,TRUE))*(PptoSty[Project]=TEXT($B116,"@"))*(PptoSty[PptoVsRow]=$E116)*(PptoSty[PptoVsColumn]=UPPER(U$114)),0)))</f>
        <v>1247.3689620928537</v>
      </c>
      <c r="W116" s="157" cm="1">
        <f t="array" aca="1" ref="W116" ca="1">IF(OR($E116="X",$E116="",$E116=0,$B116="X",$B116="",$B116=0),0,SUM(_xlfn._xlws.FILTER(IF($E$4="Ppto",PptoSty[CurPpto],PptoSty[CurInt]),(IF($E$4="Ppto",PptoSty[POvsCT]=W$113,TRUE))*(PptoSty[Project]=TEXT($B116,"@"))*(PptoSty[PptoVsRow]=$E116)*(PptoSty[PptoVsColumn]=UPPER(W$114)),0)))</f>
        <v>1207.5204506033313</v>
      </c>
      <c r="X116" s="157" cm="1">
        <f t="array" aca="1" ref="X116" ca="1">IF(OR($E116="X",$E116="",$E116=0,$B116="X",$B116="",$B116=0),0,SUM(_xlfn._xlws.FILTER(IF($E$4="Ppto",PptoSty[CurPpto],PptoSty[CurExt]),(IF($E$4="Ppto",PptoSty[POvsCT]=X$113,TRUE))*(PptoSty[Project]=TEXT($B116,"@"))*(PptoSty[PptoVsRow]=$E116)*(PptoSty[PptoVsColumn]=UPPER(W$114)),0)))</f>
        <v>12203.913188709794</v>
      </c>
      <c r="Y116" s="157" cm="1">
        <f t="array" aca="1" ref="Y116" ca="1">IF(OR($E116="X",$E116="",$E116=0,$B116="X",$B116="",$B116=0),0,SUM(_xlfn._xlws.FILTER(IF($E$4="Ppto",PptoSty[CurPpto],PptoSty[CurInt]),(IF($E$4="Ppto",PptoSty[POvsCT]=Y$113,TRUE))*(PptoSty[Project]=TEXT($B116,"@"))*(PptoSty[PptoVsRow]=$E116)*(PptoSty[PptoVsColumn]=UPPER(Y$114)),0)))</f>
        <v>22167.644708656866</v>
      </c>
      <c r="Z116" s="157" cm="1">
        <f t="array" aca="1" ref="Z116" ca="1">IF(OR($E116="X",$E116="",$E116=0,$B116="X",$B116="",$B116=0),0,SUM(_xlfn._xlws.FILTER(IF($E$4="Ppto",PptoSty[CurPpto],PptoSty[CurExt]),(IF($E$4="Ppto",PptoSty[POvsCT]=Z$113,TRUE))*(PptoSty[Project]=TEXT($B116,"@"))*(PptoSty[PptoVsRow]=$E116)*(PptoSty[PptoVsColumn]=UPPER(Y$114)),0)))</f>
        <v>4413.156343873331</v>
      </c>
      <c r="AA116" s="157" cm="1">
        <f t="array" aca="1" ref="AA116" ca="1">IF(OR($E116="X",$E116="",$E116=0,$B116="X",$B116="",$B116=0),0,SUM(_xlfn._xlws.FILTER(IF($E$4="Ppto",PptoSty[CurPpto],PptoSty[CurInt]),(IF($E$4="Ppto",PptoSty[POvsCT]=AA$113,TRUE))*(PptoSty[Project]=TEXT($B116,"@"))*(PptoSty[PptoVsRow]=$E116)*(PptoSty[PptoVsColumn]=UPPER(AA$114)),0)))</f>
        <v>0</v>
      </c>
      <c r="AB116" s="157" cm="1">
        <f t="array" aca="1" ref="AB116" ca="1">IF(OR($E116="X",$E116="",$E116=0,$B116="X",$B116="",$B116=0),0,SUM(_xlfn._xlws.FILTER(IF($E$4="Ppto",PptoSty[CurPpto],PptoSty[CurExt]),(IF($E$4="Ppto",PptoSty[POvsCT]=AB$113,TRUE))*(PptoSty[Project]=TEXT($B116,"@"))*(PptoSty[PptoVsRow]=$E116)*(PptoSty[PptoVsColumn]=UPPER(AA$114)),0)))</f>
        <v>0</v>
      </c>
      <c r="AC116" s="157" cm="1">
        <f t="array" aca="1" ref="AC116" ca="1">IF(OR($E116="X",$E116="",$E116=0,$B116="X",$B116="",$B116=0),0,SUM(_xlfn._xlws.FILTER(IF($E$4="Ppto",PptoSty[CurPpto],PptoSty[CurInt]),(IF($E$4="Ppto",PptoSty[POvsCT]=AC$113,TRUE))*(PptoSty[Project]=TEXT($B116,"@"))*(PptoSty[PptoVsRow]=$E116)*(PptoSty[PptoVsColumn]=UPPER(AC$114)),0)))</f>
        <v>0</v>
      </c>
      <c r="AD116" s="157" cm="1">
        <f t="array" aca="1" ref="AD116" ca="1">IF(OR($E116="X",$E116="",$E116=0,$B116="X",$B116="",$B116=0),0,SUM(_xlfn._xlws.FILTER(IF($E$4="Ppto",PptoSty[CurPpto],PptoSty[CurExt]),(IF($E$4="Ppto",PptoSty[POvsCT]=AD$113,TRUE))*(PptoSty[Project]=TEXT($B116,"@"))*(PptoSty[PptoVsRow]=$E116)*(PptoSty[PptoVsColumn]=UPPER(AC$114)),0)))</f>
        <v>0</v>
      </c>
      <c r="AE116" s="157" cm="1">
        <f t="array" aca="1" ref="AE116" ca="1">IF(OR($E116="X",$E116="",$E116=0,$B116="X",$B116="",$B116=0),0,SUM(_xlfn._xlws.FILTER(IF($E$4="Ppto",PptoSty[CurPpto],PptoSty[CurInt]),(IF($E$4="Ppto",PptoSty[POvsCT]=AE$113,TRUE))*(PptoSty[Project]=TEXT($B116,"@"))*(PptoSty[PptoVsRow]=$E116)*(PptoSty[PptoVsColumn]=UPPER(AE$114)),0)))</f>
        <v>0</v>
      </c>
      <c r="AF116" s="157" cm="1">
        <f t="array" aca="1" ref="AF116" ca="1">IF(OR($E116="X",$E116="",$E116=0,$B116="X",$B116="",$B116=0),0,SUM(_xlfn._xlws.FILTER(IF($E$4="Ppto",PptoSty[CurPpto],PptoSty[CurExt]),(IF($E$4="Ppto",PptoSty[POvsCT]=AF$113,TRUE))*(PptoSty[Project]=TEXT($B116,"@"))*(PptoSty[PptoVsRow]=$E116)*(PptoSty[PptoVsColumn]=UPPER(AE$114)),0)))</f>
        <v>0</v>
      </c>
      <c r="AG116" s="157" cm="1">
        <f t="array" aca="1" ref="AG116" ca="1">IF(OR($E116="X",$E116="",$E116=0,$B116="X",$B116="",$B116=0),0,SUM(_xlfn._xlws.FILTER(IF($E$4="Ppto",PptoSty[CurPpto],PptoSty[CurInt]),(IF($E$4="Ppto",PptoSty[POvsCT]=AG$113,TRUE))*(PptoSty[Project]=TEXT($B116,"@"))*(PptoSty[PptoVsRow]=$E116)*(PptoSty[PptoVsColumn]=UPPER(AG$114)),0)))</f>
        <v>0</v>
      </c>
      <c r="AH116" s="157" cm="1">
        <f t="array" aca="1" ref="AH116" ca="1">IF(OR($E116="X",$E116="",$E116=0,$B116="X",$B116="",$B116=0),0,SUM(_xlfn._xlws.FILTER(IF($E$4="Ppto",PptoSty[CurPpto],PptoSty[CurExt]),(IF($E$4="Ppto",PptoSty[POvsCT]=AH$113,TRUE))*(PptoSty[Project]=TEXT($B116,"@"))*(PptoSty[PptoVsRow]=$E116)*(PptoSty[PptoVsColumn]=UPPER(AG$114)),0)))</f>
        <v>0</v>
      </c>
      <c r="AI116" s="157" cm="1">
        <f t="array" aca="1" ref="AI116" ca="1">IF(OR($E116="X",$E116="",$E116=0,$B116="X",$B116="",$B116=0),0,SUM(_xlfn._xlws.FILTER(IF($E$4="Ppto",PptoSty[CurPpto],PptoSty[CurInt]),(IF($E$4="Ppto",PptoSty[POvsCT]=AI$113,TRUE))*(PptoSty[Project]=TEXT($B116,"@"))*(PptoSty[PptoVsRow]=$E116)*(PptoSty[PptoVsColumn]=UPPER(AI$114)),0)))</f>
        <v>0</v>
      </c>
      <c r="AJ116" s="157" cm="1">
        <f t="array" aca="1" ref="AJ116" ca="1">IF(OR($E116="X",$E116="",$E116=0,$B116="X",$B116="",$B116=0),0,SUM(_xlfn._xlws.FILTER(IF($E$4="Ppto",PptoSty[CurPpto],PptoSty[CurExt]),(IF($E$4="Ppto",PptoSty[POvsCT]=AJ$113,TRUE))*(PptoSty[Project]=TEXT($B116,"@"))*(PptoSty[PptoVsRow]=$E116)*(PptoSty[PptoVsColumn]=UPPER(AI$114)),0)))</f>
        <v>0</v>
      </c>
      <c r="AK116" s="157" cm="1">
        <f t="array" aca="1" ref="AK116" ca="1">IF(OR($E116="X",$E116="",$E116=0,$B116="X",$B116="",$B116=0),0,SUM(_xlfn._xlws.FILTER(IF($E$4="Ppto",PptoSty[CurPpto],PptoSty[CurInt]),(IF($E$4="Ppto",PptoSty[POvsCT]=AK$113,TRUE))*(PptoSty[Project]=TEXT($B116,"@"))*(PptoSty[PptoVsRow]=$E116)*(PptoSty[PptoVsColumn]=UPPER(AK$114)),0)))</f>
        <v>0</v>
      </c>
      <c r="AL116" s="157" cm="1">
        <f t="array" aca="1" ref="AL116" ca="1">IF(OR($E116="X",$E116="",$E116=0,$B116="X",$B116="",$B116=0),0,SUM(_xlfn._xlws.FILTER(IF($E$4="Ppto",PptoSty[CurPpto],PptoSty[CurExt]),(IF($E$4="Ppto",PptoSty[POvsCT]=AL$113,TRUE))*(PptoSty[Project]=TEXT($B116,"@"))*(PptoSty[PptoVsRow]=$E116)*(PptoSty[PptoVsColumn]=UPPER(AK$114)),0)))</f>
        <v>0</v>
      </c>
      <c r="AM116" s="157" cm="1">
        <f t="array" aca="1" ref="AM116" ca="1">IF(OR($E116="X",$E116="",$E116=0,$B116="X",$B116="",$B116=0),0,SUM(_xlfn._xlws.FILTER(IF($E$4="Ppto",PptoSty[CurPpto],PptoSty[CurInt]),(IF($E$4="Ppto",PptoSty[POvsCT]=AM$113,TRUE))*(PptoSty[Project]=TEXT($B116,"@"))*(PptoSty[PptoVsRow]=$E116)*(PptoSty[PptoVsColumn]=UPPER(AM$114)),0)))</f>
        <v>0</v>
      </c>
      <c r="AN116" s="157" cm="1">
        <f t="array" aca="1" ref="AN116" ca="1">IF(OR($E116="X",$E116="",$E116=0,$B116="X",$B116="",$B116=0),0,SUM(_xlfn._xlws.FILTER(IF($E$4="Ppto",PptoSty[CurPpto],PptoSty[CurExt]),(IF($E$4="Ppto",PptoSty[POvsCT]=AN$113,TRUE))*(PptoSty[Project]=TEXT($B116,"@"))*(PptoSty[PptoVsRow]=$E116)*(PptoSty[PptoVsColumn]=UPPER(AM$114)),0)))</f>
        <v>0</v>
      </c>
      <c r="AO116" s="157" cm="1">
        <f t="array" aca="1" ref="AO116" ca="1">IF(OR($E116="X",$E116="",$E116=0,$B116="X",$B116="",$B116=0),0,SUM(_xlfn._xlws.FILTER(IF($E$4="Ppto",PptoSty[CurPpto],PptoSty[CurInt]),(IF($E$4="Ppto",PptoSty[POvsCT]=AO$113,TRUE))*(PptoSty[Project]=TEXT($B116,"@"))*(PptoSty[PptoVsRow]=$E116)*(PptoSty[PptoVsColumn]=UPPER(AO$114)),0)))</f>
        <v>0</v>
      </c>
      <c r="AP116" s="157" cm="1">
        <f t="array" aca="1" ref="AP116" ca="1">IF(OR($E116="X",$E116="",$E116=0,$B116="X",$B116="",$B116=0),0,SUM(_xlfn._xlws.FILTER(IF($E$4="Ppto",PptoSty[CurPpto],PptoSty[CurExt]),(IF($E$4="Ppto",PptoSty[POvsCT]=AP$113,TRUE))*(PptoSty[Project]=TEXT($B116,"@"))*(PptoSty[PptoVsRow]=$E116)*(PptoSty[PptoVsColumn]=UPPER(AO$114)),0)))</f>
        <v>0</v>
      </c>
      <c r="AQ116" s="157" cm="1">
        <f t="array" aca="1" ref="AQ116" ca="1">SUM(IF(INDIRECT($AS$115)=AQ$115,INDIRECT($AS116)))</f>
        <v>234243.33433395432</v>
      </c>
      <c r="AR116" s="157" cm="1">
        <f t="array" aca="1" ref="AR116" ca="1">SUM(IF(INDIRECT($AS$115)=AR$115,INDIRECT($AS116)))</f>
        <v>49747.097987290035</v>
      </c>
      <c r="AS116" s="286" t="str">
        <f t="shared" ca="1" si="13"/>
        <v>G116:AP116</v>
      </c>
      <c r="AT116" s="403">
        <f t="shared" ref="AT116:AT179" ca="1" si="14">SUM(INDIRECT("rc"&amp;MATCH("ECD",$1:$1,0)&amp;":rc"&amp;(MATCH("EOC",$1:$1,0)-1),FALSE))</f>
        <v>283990.43232124439</v>
      </c>
      <c r="AV116" s="142" cm="1">
        <f t="array" aca="1" ref="AV116" ca="1">IF(AND(_xlfn.LET(_xlpm.x,SUM(ROW()),OR(AND(MATCH("SOT",$A:$A,0)&lt;_xlpm.x,MATCH("EOT",$A:$A,0)&gt;_xlpm.x),AND(MATCH("SOS",$A:$A,0)&lt;_xlpm.x,MATCH("EOS",$A:$A,0)&gt;_xlpm.x),AND(MATCH("SOR",$A:$A,0)&lt;_xlpm.x,MATCH("EOR",$A:$A,0)&gt;_xlpm.x))),INDIRECT("rc"&amp;MATCH("SCD",$1:$1,0),FALSE)="PPTO"),1,0)</f>
        <v>1</v>
      </c>
      <c r="AW116" s="142" cm="1">
        <f t="array" aca="1" ref="AW11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17" spans="1:50" outlineLevel="1">
      <c r="B117" s="156" t="str" cm="1">
        <f t="array" aca="1" ref="B117:E117" ca="1">_xlfn.LET(_xlpm.x,SUM(ROW()-MATCH("SOR",$A:$A,0)),_xlpm.y,IFERROR(_xlfn.TAKE(INDEX(_xlfn._xlws.FILTER(TbAssign[],ISNUMBER(FIND(TbAssign[Project],$C$4)),"X"),1+QUOTIENT(_xlpm.x,3),0),1,4),0),IF(MOD(_xlpm.x-1,3)=0,IF(_xlpm.y=0,"X",_xlpm.y),INDIRECT("r[-1]c#",FALSE)))</f>
        <v>31200</v>
      </c>
      <c r="C117" s="156" t="str">
        <f ca="1"/>
        <v>XA01</v>
      </c>
      <c r="D117" s="148" t="str">
        <f ca="1"/>
        <v>GDHR</v>
      </c>
      <c r="E117" s="352" t="str">
        <f ca="1"/>
        <v>GESTION Y COORDINACION</v>
      </c>
      <c r="F117" s="148" t="s">
        <v>1382</v>
      </c>
      <c r="G117" s="157" cm="1">
        <f t="array" aca="1" ref="G117" ca="1">IF(OR($E117="X",$E117="",$E117=0,$B117="X",$B117="",$B117=0),0,SUM(_xlfn._xlws.FILTER(PrvSty[DsvValue:SERRA],(PrvSty[Project]=TEXT($B117,"@"))*(PrvSty[Row]=$E117)*(PrvSty[Column]=UPPER(G$114)),0)))</f>
        <v>-9000</v>
      </c>
      <c r="H117" s="157" cm="1">
        <f t="array" aca="1" ref="H117" ca="1">IF(OR($E117="X",$E117="",$E117=0,$B117="X",$B117="",$B117=0),0,SUM(_xlfn._xlws.FILTER(PrvSty[DsvValue:EXT.],(PrvSty[Project]=TEXT($B117,"@"))*(PrvSty[Row]=$E117)*(PrvSty[Column]=UPPER(G$114)),0)))</f>
        <v>0</v>
      </c>
      <c r="I117" s="157" cm="1">
        <f t="array" aca="1" ref="I117" ca="1">IF(OR($E117="X",$E117="",$E117=0,$B117="X",$B117="",$B117=0),0,SUM(_xlfn._xlws.FILTER(PrvSty[DsvValue:SERRA],(PrvSty[Project]=TEXT($B117,"@"))*(PrvSty[Row]=$E117)*(PrvSty[Column]=UPPER(I$114)),0)))</f>
        <v>-10000</v>
      </c>
      <c r="J117" s="157" cm="1">
        <f t="array" aca="1" ref="J117" ca="1">IF(OR($E117="X",$E117="",$E117=0,$B117="X",$B117="",$B117=0),0,SUM(_xlfn._xlws.FILTER(PrvSty[DsvValue:EXT.],(PrvSty[Project]=TEXT($B117,"@"))*(PrvSty[Row]=$E117)*(PrvSty[Column]=UPPER(I$114)),0)))</f>
        <v>0</v>
      </c>
      <c r="K117" s="157" cm="1">
        <f t="array" aca="1" ref="K117" ca="1">IF(OR($E117="X",$E117="",$E117=0,$B117="X",$B117="",$B117=0),0,SUM(_xlfn._xlws.FILTER(PrvSty[DsvValue:SERRA],(PrvSty[Project]=TEXT($B117,"@"))*(PrvSty[Row]=$E117)*(PrvSty[Column]=UPPER(K$114)),0)))</f>
        <v>0</v>
      </c>
      <c r="L117" s="157" cm="1">
        <f t="array" aca="1" ref="L117" ca="1">IF(OR($E117="X",$E117="",$E117=0,$B117="X",$B117="",$B117=0),0,SUM(_xlfn._xlws.FILTER(PrvSty[DsvValue:EXT.],(PrvSty[Project]=TEXT($B117,"@"))*(PrvSty[Row]=$E117)*(PrvSty[Column]=UPPER(K$114)),0)))</f>
        <v>0</v>
      </c>
      <c r="M117" s="157" cm="1">
        <f t="array" aca="1" ref="M117" ca="1">IF(OR($E117="X",$E117="",$E117=0,$B117="X",$B117="",$B117=0),0,SUM(_xlfn._xlws.FILTER(PrvSty[DsvValue:SERRA],(PrvSty[Project]=TEXT($B117,"@"))*(PrvSty[Row]=$E117)*(PrvSty[Column]=UPPER(M$114)),0)))</f>
        <v>0</v>
      </c>
      <c r="N117" s="157" cm="1">
        <f t="array" aca="1" ref="N117" ca="1">IF(OR($E117="X",$E117="",$E117=0,$B117="X",$B117="",$B117=0),0,SUM(_xlfn._xlws.FILTER(PrvSty[DsvValue:EXT.],(PrvSty[Project]=TEXT($B117,"@"))*(PrvSty[Row]=$E117)*(PrvSty[Column]=UPPER(M$114)),0)))</f>
        <v>0</v>
      </c>
      <c r="O117" s="157" cm="1">
        <f t="array" aca="1" ref="O117" ca="1">IF(OR($E117="X",$E117="",$E117=0,$B117="X",$B117="",$B117=0),0,SUM(_xlfn._xlws.FILTER(PrvSty[DsvValue:SERRA],(PrvSty[Project]=TEXT($B117,"@"))*(PrvSty[Row]=$E117)*(PrvSty[Column]=UPPER(O$114)),0)))</f>
        <v>-15000</v>
      </c>
      <c r="P117" s="157" cm="1">
        <f t="array" aca="1" ref="P117" ca="1">IF(OR($E117="X",$E117="",$E117=0,$B117="X",$B117="",$B117=0),0,SUM(_xlfn._xlws.FILTER(PrvSty[DsvValue:EXT.],(PrvSty[Project]=TEXT($B117,"@"))*(PrvSty[Row]=$E117)*(PrvSty[Column]=UPPER(O$114)),0)))</f>
        <v>0</v>
      </c>
      <c r="Q117" s="157" cm="1">
        <f t="array" aca="1" ref="Q117" ca="1">IF(OR($E117="X",$E117="",$E117=0,$B117="X",$B117="",$B117=0),0,SUM(_xlfn._xlws.FILTER(PrvSty[DsvValue:SERRA],(PrvSty[Project]=TEXT($B117,"@"))*(PrvSty[Row]=$E117)*(PrvSty[Column]=UPPER(Q$114)),0)))</f>
        <v>0</v>
      </c>
      <c r="R117" s="157" cm="1">
        <f t="array" aca="1" ref="R117" ca="1">IF(OR($E117="X",$E117="",$E117=0,$B117="X",$B117="",$B117=0),0,SUM(_xlfn._xlws.FILTER(PrvSty[DsvValue:EXT.],(PrvSty[Project]=TEXT($B117,"@"))*(PrvSty[Row]=$E117)*(PrvSty[Column]=UPPER(Q$114)),0)))</f>
        <v>0</v>
      </c>
      <c r="S117" s="157" cm="1">
        <f t="array" aca="1" ref="S117" ca="1">IF(OR($E117="X",$E117="",$E117=0,$B117="X",$B117="",$B117=0),0,SUM(_xlfn._xlws.FILTER(PrvSty[DsvValue:SERRA],(PrvSty[Project]=TEXT($B117,"@"))*(PrvSty[Row]=$E117)*(PrvSty[Column]=UPPER(S$114)),0)))</f>
        <v>0</v>
      </c>
      <c r="T117" s="157" cm="1">
        <f t="array" aca="1" ref="T117" ca="1">IF(OR($E117="X",$E117="",$E117=0,$B117="X",$B117="",$B117=0),0,SUM(_xlfn._xlws.FILTER(PrvSty[DsvValue:EXT.],(PrvSty[Project]=TEXT($B117,"@"))*(PrvSty[Row]=$E117)*(PrvSty[Column]=UPPER(S$114)),0)))</f>
        <v>166.3</v>
      </c>
      <c r="U117" s="157" cm="1">
        <f t="array" aca="1" ref="U117" ca="1">IF(OR($E117="X",$E117="",$E117=0,$B117="X",$B117="",$B117=0),0,SUM(_xlfn._xlws.FILTER(PrvSty[DsvValue:SERRA],(PrvSty[Project]=TEXT($B117,"@"))*(PrvSty[Row]=$E117)*(PrvSty[Column]=UPPER(U$114)),0)))</f>
        <v>0</v>
      </c>
      <c r="V117" s="157" cm="1">
        <f t="array" aca="1" ref="V117" ca="1">IF(OR($E117="X",$E117="",$E117=0,$B117="X",$B117="",$B117=0),0,SUM(_xlfn._xlws.FILTER(PrvSty[DsvValue:EXT.],(PrvSty[Project]=TEXT($B117,"@"))*(PrvSty[Row]=$E117)*(PrvSty[Column]=UPPER(U$114)),0)))</f>
        <v>0</v>
      </c>
      <c r="W117" s="157" cm="1">
        <f t="array" aca="1" ref="W117" ca="1">IF(OR($E117="X",$E117="",$E117=0,$B117="X",$B117="",$B117=0),0,SUM(_xlfn._xlws.FILTER(PrvSty[DsvValue:SERRA],(PrvSty[Project]=TEXT($B117,"@"))*(PrvSty[Row]=$E117)*(PrvSty[Column]=UPPER(W$114)),0)))</f>
        <v>-4796.9336393131252</v>
      </c>
      <c r="X117" s="157" cm="1">
        <f t="array" aca="1" ref="X117" ca="1">IF(OR($E117="X",$E117="",$E117=0,$B117="X",$B117="",$B117=0),0,SUM(_xlfn._xlws.FILTER(PrvSty[DsvValue:EXT.],(PrvSty[Project]=TEXT($B117,"@"))*(PrvSty[Row]=$E117)*(PrvSty[Column]=UPPER(W$114)),0)))</f>
        <v>0</v>
      </c>
      <c r="Y117" s="157" cm="1">
        <f t="array" aca="1" ref="Y117" ca="1">IF(OR($E117="X",$E117="",$E117=0,$B117="X",$B117="",$B117=0),0,SUM(_xlfn._xlws.FILTER(PrvSty[DsvValue:SERRA],(PrvSty[Project]=TEXT($B117,"@"))*(PrvSty[Row]=$E117)*(PrvSty[Column]=UPPER(Y$114)),0)))</f>
        <v>-2653.4400000000005</v>
      </c>
      <c r="Z117" s="157" cm="1">
        <f t="array" aca="1" ref="Z117" ca="1">IF(OR($E117="X",$E117="",$E117=0,$B117="X",$B117="",$B117=0),0,SUM(_xlfn._xlws.FILTER(PrvSty[DsvValue:EXT.],(PrvSty[Project]=TEXT($B117,"@"))*(PrvSty[Row]=$E117)*(PrvSty[Column]=UPPER(Y$114)),0)))</f>
        <v>0</v>
      </c>
      <c r="AA117" s="157" cm="1">
        <f t="array" aca="1" ref="AA117" ca="1">IF(OR($E117="X",$E117="",$E117=0,$B117="X",$B117="",$B117=0),0,SUM(_xlfn._xlws.FILTER(PrvSty[DsvValue:SERRA],(PrvSty[Project]=TEXT($B117,"@"))*(PrvSty[Row]=$E117)*(PrvSty[Column]=UPPER(AA$114)),0)))</f>
        <v>0</v>
      </c>
      <c r="AB117" s="157" cm="1">
        <f t="array" aca="1" ref="AB117" ca="1">IF(OR($E117="X",$E117="",$E117=0,$B117="X",$B117="",$B117=0),0,SUM(_xlfn._xlws.FILTER(PrvSty[DsvValue:EXT.],(PrvSty[Project]=TEXT($B117,"@"))*(PrvSty[Row]=$E117)*(PrvSty[Column]=UPPER(AA$114)),0)))</f>
        <v>0</v>
      </c>
      <c r="AC117" s="157" cm="1">
        <f t="array" aca="1" ref="AC117" ca="1">IF(OR($E117="X",$E117="",$E117=0,$B117="X",$B117="",$B117=0),0,SUM(_xlfn._xlws.FILTER(PrvSty[DsvValue:SERRA],(PrvSty[Project]=TEXT($B117,"@"))*(PrvSty[Row]=$E117)*(PrvSty[Column]=UPPER(AC$114)),0)))</f>
        <v>0</v>
      </c>
      <c r="AD117" s="157" cm="1">
        <f t="array" aca="1" ref="AD117" ca="1">IF(OR($E117="X",$E117="",$E117=0,$B117="X",$B117="",$B117=0),0,SUM(_xlfn._xlws.FILTER(PrvSty[DsvValue:EXT.],(PrvSty[Project]=TEXT($B117,"@"))*(PrvSty[Row]=$E117)*(PrvSty[Column]=UPPER(AC$114)),0)))</f>
        <v>0</v>
      </c>
      <c r="AE117" s="157" cm="1">
        <f t="array" aca="1" ref="AE117" ca="1">IF(OR($E117="X",$E117="",$E117=0,$B117="X",$B117="",$B117=0),0,SUM(_xlfn._xlws.FILTER(PrvSty[DsvValue:SERRA],(PrvSty[Project]=TEXT($B117,"@"))*(PrvSty[Row]=$E117)*(PrvSty[Column]=UPPER(AE$114)),0)))</f>
        <v>4935.74</v>
      </c>
      <c r="AF117" s="157" cm="1">
        <f t="array" aca="1" ref="AF117" ca="1">IF(OR($E117="X",$E117="",$E117=0,$B117="X",$B117="",$B117=0),0,SUM(_xlfn._xlws.FILTER(PrvSty[DsvValue:EXT.],(PrvSty[Project]=TEXT($B117,"@"))*(PrvSty[Row]=$E117)*(PrvSty[Column]=UPPER(AE$114)),0)))</f>
        <v>11564.6</v>
      </c>
      <c r="AG117" s="157" cm="1">
        <f t="array" aca="1" ref="AG117" ca="1">IF(OR($E117="X",$E117="",$E117=0,$B117="X",$B117="",$B117=0),0,SUM(_xlfn._xlws.FILTER(PrvSty[DsvValue:SERRA],(PrvSty[Project]=TEXT($B117,"@"))*(PrvSty[Row]=$E117)*(PrvSty[Column]=UPPER(AG$114)),0)))</f>
        <v>0</v>
      </c>
      <c r="AH117" s="157" cm="1">
        <f t="array" aca="1" ref="AH117" ca="1">IF(OR($E117="X",$E117="",$E117=0,$B117="X",$B117="",$B117=0),0,SUM(_xlfn._xlws.FILTER(PrvSty[DsvValue:EXT.],(PrvSty[Project]=TEXT($B117,"@"))*(PrvSty[Row]=$E117)*(PrvSty[Column]=UPPER(AG$114)),0)))</f>
        <v>0</v>
      </c>
      <c r="AI117" s="157" cm="1">
        <f t="array" aca="1" ref="AI117" ca="1">IF(OR($E117="X",$E117="",$E117=0,$B117="X",$B117="",$B117=0),0,SUM(_xlfn._xlws.FILTER(PrvSty[DsvValue:SERRA],(PrvSty[Project]=TEXT($B117,"@"))*(PrvSty[Row]=$E117)*(PrvSty[Column]=UPPER(AI$114)),0)))</f>
        <v>0</v>
      </c>
      <c r="AJ117" s="157" cm="1">
        <f t="array" aca="1" ref="AJ117" ca="1">IF(OR($E117="X",$E117="",$E117=0,$B117="X",$B117="",$B117=0),0,SUM(_xlfn._xlws.FILTER(PrvSty[DsvValue:EXT.],(PrvSty[Project]=TEXT($B117,"@"))*(PrvSty[Row]=$E117)*(PrvSty[Column]=UPPER(AI$114)),0)))</f>
        <v>0</v>
      </c>
      <c r="AK117" s="157" cm="1">
        <f t="array" aca="1" ref="AK117" ca="1">IF(OR($E117="X",$E117="",$E117=0,$B117="X",$B117="",$B117=0),0,SUM(_xlfn._xlws.FILTER(PrvSty[DsvValue:SERRA],(PrvSty[Project]=TEXT($B117,"@"))*(PrvSty[Row]=$E117)*(PrvSty[Column]=UPPER(AK$114)),0)))</f>
        <v>0</v>
      </c>
      <c r="AL117" s="157" cm="1">
        <f t="array" aca="1" ref="AL117" ca="1">IF(OR($E117="X",$E117="",$E117=0,$B117="X",$B117="",$B117=0),0,SUM(_xlfn._xlws.FILTER(PrvSty[DsvValue:EXT.],(PrvSty[Project]=TEXT($B117,"@"))*(PrvSty[Row]=$E117)*(PrvSty[Column]=UPPER(AK$114)),0)))</f>
        <v>0</v>
      </c>
      <c r="AM117" s="157" cm="1">
        <f t="array" aca="1" ref="AM117" ca="1">IF(OR($E117="X",$E117="",$E117=0,$B117="X",$B117="",$B117=0),0,SUM(_xlfn._xlws.FILTER(PrvSty[DsvValue:SERRA],(PrvSty[Project]=TEXT($B117,"@"))*(PrvSty[Row]=$E117)*(PrvSty[Column]=UPPER(AM$114)),0)))</f>
        <v>0</v>
      </c>
      <c r="AN117" s="157" cm="1">
        <f t="array" aca="1" ref="AN117" ca="1">IF(OR($E117="X",$E117="",$E117=0,$B117="X",$B117="",$B117=0),0,SUM(_xlfn._xlws.FILTER(PrvSty[DsvValue:EXT.],(PrvSty[Project]=TEXT($B117,"@"))*(PrvSty[Row]=$E117)*(PrvSty[Column]=UPPER(AM$114)),0)))</f>
        <v>0</v>
      </c>
      <c r="AO117" s="157" cm="1">
        <f t="array" aca="1" ref="AO117" ca="1">IF(OR($E117="X",$E117="",$E117=0,$B117="X",$B117="",$B117=0),0,SUM(_xlfn._xlws.FILTER(PrvSty[DsvValue:SERRA],(PrvSty[Project]=TEXT($B117,"@"))*(PrvSty[Row]=$E117)*(PrvSty[Column]=UPPER(AO$114)),0)))</f>
        <v>0</v>
      </c>
      <c r="AP117" s="157" cm="1">
        <f t="array" aca="1" ref="AP117" ca="1">IF(OR($E117="X",$E117="",$E117=0,$B117="X",$B117="",$B117=0),0,SUM(_xlfn._xlws.FILTER(PrvSty[DsvValue:EXT.],(PrvSty[Project]=TEXT($B117,"@"))*(PrvSty[Row]=$E117)*(PrvSty[Column]=UPPER(AO$114)),0)))</f>
        <v>0</v>
      </c>
      <c r="AQ117" s="157" cm="1">
        <f t="array" aca="1" ref="AQ117" ca="1">SUM(IF(INDIRECT($AS$115)=AQ$115,INDIRECT($AS117)))</f>
        <v>-36514.633639313128</v>
      </c>
      <c r="AR117" s="157" cm="1">
        <f t="array" aca="1" ref="AR117" ca="1">SUM(IF(INDIRECT($AS$115)=AR$115,INDIRECT($AS117)))</f>
        <v>11730.9</v>
      </c>
      <c r="AS117" s="286" t="str">
        <f t="shared" ca="1" si="13"/>
        <v>G117:AP117</v>
      </c>
      <c r="AT117" s="403">
        <f t="shared" ca="1" si="14"/>
        <v>-24783.733639313126</v>
      </c>
      <c r="AV117" s="142" cm="1">
        <f t="array" aca="1" ref="AV117" ca="1">IF(AND(_xlfn.LET(_xlpm.x,SUM(ROW()),OR(AND(MATCH("SOT",$A:$A,0)&lt;_xlpm.x,MATCH("EOT",$A:$A,0)&gt;_xlpm.x),AND(MATCH("SOS",$A:$A,0)&lt;_xlpm.x,MATCH("EOS",$A:$A,0)&gt;_xlpm.x),AND(MATCH("SOR",$A:$A,0)&lt;_xlpm.x,MATCH("EOR",$A:$A,0)&gt;_xlpm.x))),INDIRECT("rc"&amp;MATCH("SCD",$1:$1,0),FALSE)="PPTO"),1,0)</f>
        <v>0</v>
      </c>
      <c r="AW117" s="142" cm="1">
        <f t="array" aca="1" ref="AW11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c r="AX117" s="154" cm="1" vm="3">
        <f t="array" ref="AX117">_xlfn._xlws.PY(0,1)</f>
        <v>0</v>
      </c>
    </row>
    <row r="118" spans="1:50" outlineLevel="1">
      <c r="B118" s="156" t="str" cm="1">
        <f t="array" aca="1" ref="B118:E118" ca="1">_xlfn.LET(_xlpm.x,SUM(ROW()-MATCH("SOR",$A:$A,0)),_xlpm.y,IFERROR(_xlfn.TAKE(INDEX(_xlfn._xlws.FILTER(TbAssign[],ISNUMBER(FIND(TbAssign[Project],$C$4)),"X"),1+QUOTIENT(_xlpm.x,3),0),1,4),0),IF(MOD(_xlpm.x-1,3)=0,IF(_xlpm.y=0,"X",_xlpm.y),INDIRECT("r[-1]c#",FALSE)))</f>
        <v>31200</v>
      </c>
      <c r="C118" s="156" t="str">
        <f ca="1"/>
        <v>XA01</v>
      </c>
      <c r="D118" s="148" t="str">
        <f ca="1"/>
        <v>GDHR</v>
      </c>
      <c r="E118" s="352" t="str">
        <f ca="1"/>
        <v>GESTION Y COORDINACION</v>
      </c>
      <c r="F118" s="148" t="s">
        <v>1383</v>
      </c>
      <c r="G118" s="158" cm="1">
        <f t="array" aca="1" ref="G118" ca="1">IF(OR($E118="X",$E118="",$E118=0,$B118="X",$B118="",$B118=0),0,SUM(_xlfn._xlws.FILTER(FrmBB1[Cur],(FrmBB1[PrjId]=TEXT($B118,"@"))*(FrmBB1[Row]=$E118)*(FrmBB1[Column]=UPPER(_xlfn.LET(_xlpm.x,_xlfn.TEXTBEFORE(G$114," ("),IFERROR(_xlpm.x,G$114)))&amp;" "&amp;G$115),0)))</f>
        <v>74664.240000000005</v>
      </c>
      <c r="H118" s="157" cm="1">
        <f t="array" aca="1" ref="H118" ca="1">IF(OR($E118="X",$E118="",$E118=0,$B118="X",$B118="",$B118=0),0,SUM(_xlfn._xlws.FILTER(FrmBB1[Cur],(FrmBB1[PrjId]=TEXT($B118,"@"))*(FrmBB1[Row]=$E118)*(FrmBB1[Column]=UPPER(_xlfn.LET(_xlpm.x,_xlfn.TEXTBEFORE(G$114," ("),IFERROR(_xlpm.x,G$114)))&amp;" "&amp;H$115),0)))</f>
        <v>0</v>
      </c>
      <c r="I118" s="158" cm="1">
        <f t="array" aca="1" ref="I118" ca="1">IF(OR($E118="X",$E118="",$E118=0,$B118="X",$B118="",$B118=0),0,SUM(_xlfn._xlws.FILTER(FrmBB1[Cur],(FrmBB1[PrjId]=TEXT($B118,"@"))*(FrmBB1[Row]=$E118)*(FrmBB1[Column]=UPPER(_xlfn.LET(_xlpm.x,_xlfn.TEXTBEFORE(I$114," ("),IFERROR(_xlpm.x,I$114)))&amp;" "&amp;I$115),0)))</f>
        <v>104416.4</v>
      </c>
      <c r="J118" s="157" cm="1">
        <f t="array" aca="1" ref="J118" ca="1">IF(OR($E118="X",$E118="",$E118=0,$B118="X",$B118="",$B118=0),0,SUM(_xlfn._xlws.FILTER(FrmBB1[Cur],(FrmBB1[PrjId]=TEXT($B118,"@"))*(FrmBB1[Row]=$E118)*(FrmBB1[Column]=UPPER(_xlfn.LET(_xlpm.x,_xlfn.TEXTBEFORE(I$114," ("),IFERROR(_xlpm.x,I$114)))&amp;" "&amp;J$115),0)))</f>
        <v>0</v>
      </c>
      <c r="K118" s="158" cm="1">
        <f t="array" aca="1" ref="K118" ca="1">IF(OR($E118="X",$E118="",$E118=0,$B118="X",$B118="",$B118=0),0,SUM(_xlfn._xlws.FILTER(FrmBB1[Cur],(FrmBB1[PrjId]=TEXT($B118,"@"))*(FrmBB1[Row]=$E118)*(FrmBB1[Column]=UPPER(_xlfn.LET(_xlpm.x,_xlfn.TEXTBEFORE(K$114," ("),IFERROR(_xlpm.x,K$114)))&amp;" "&amp;K$115),0)))</f>
        <v>0</v>
      </c>
      <c r="L118" s="157" cm="1">
        <f t="array" aca="1" ref="L118" ca="1">IF(OR($E118="X",$E118="",$E118=0,$B118="X",$B118="",$B118=0),0,SUM(_xlfn._xlws.FILTER(FrmBB1[Cur],(FrmBB1[PrjId]=TEXT($B118,"@"))*(FrmBB1[Row]=$E118)*(FrmBB1[Column]=UPPER(_xlfn.LET(_xlpm.x,_xlfn.TEXTBEFORE(K$114," ("),IFERROR(_xlpm.x,K$114)))&amp;" "&amp;L$115),0)))</f>
        <v>0</v>
      </c>
      <c r="M118" s="158" cm="1">
        <f t="array" aca="1" ref="M118" ca="1">IF(OR($E118="X",$E118="",$E118=0,$B118="X",$B118="",$B118=0),0,SUM(_xlfn._xlws.FILTER(FrmBB1[Cur],(FrmBB1[PrjId]=TEXT($B118,"@"))*(FrmBB1[Row]=$E118)*(FrmBB1[Column]=UPPER(_xlfn.LET(_xlpm.x,_xlfn.TEXTBEFORE(M$114," ("),IFERROR(_xlpm.x,M$114)))&amp;" "&amp;M$115),0)))</f>
        <v>0</v>
      </c>
      <c r="N118" s="157" cm="1">
        <f t="array" aca="1" ref="N118" ca="1">IF(OR($E118="X",$E118="",$E118=0,$B118="X",$B118="",$B118=0),0,SUM(_xlfn._xlws.FILTER(FrmBB1[Cur],(FrmBB1[PrjId]=TEXT($B118,"@"))*(FrmBB1[Row]=$E118)*(FrmBB1[Column]=UPPER(_xlfn.LET(_xlpm.x,_xlfn.TEXTBEFORE(M$114," ("),IFERROR(_xlpm.x,M$114)))&amp;" "&amp;N$115),0)))</f>
        <v>0</v>
      </c>
      <c r="O118" s="158" cm="1">
        <f t="array" aca="1" ref="O118" ca="1">IF(OR($E118="X",$E118="",$E118=0,$B118="X",$B118="",$B118=0),0,SUM(_xlfn._xlws.FILTER(FrmBB1[Cur],(FrmBB1[PrjId]=TEXT($B118,"@"))*(FrmBB1[Row]=$E118)*(FrmBB1[Column]=UPPER(_xlfn.LET(_xlpm.x,_xlfn.TEXTBEFORE(O$114," ("),IFERROR(_xlpm.x,O$114)))&amp;" "&amp;O$115),0)))</f>
        <v>23665.5</v>
      </c>
      <c r="P118" s="157" cm="1">
        <f t="array" aca="1" ref="P118" ca="1">IF(OR($E118="X",$E118="",$E118=0,$B118="X",$B118="",$B118=0),0,SUM(_xlfn._xlws.FILTER(FrmBB1[Cur],(FrmBB1[PrjId]=TEXT($B118,"@"))*(FrmBB1[Row]=$E118)*(FrmBB1[Column]=UPPER(_xlfn.LET(_xlpm.x,_xlfn.TEXTBEFORE(O$114," ("),IFERROR(_xlpm.x,O$114)))&amp;" "&amp;P$115),0)))</f>
        <v>0</v>
      </c>
      <c r="Q118" s="158" cm="1">
        <f t="array" aca="1" ref="Q118" ca="1">IF(OR($E118="X",$E118="",$E118=0,$B118="X",$B118="",$B118=0),0,SUM(_xlfn._xlws.FILTER(FrmBB1[Cur],(FrmBB1[PrjId]=TEXT($B118,"@"))*(FrmBB1[Row]=$E118)*(FrmBB1[Column]=UPPER(_xlfn.LET(_xlpm.x,_xlfn.TEXTBEFORE(Q$114," ("),IFERROR(_xlpm.x,Q$114)))&amp;" "&amp;Q$115),0)))</f>
        <v>0</v>
      </c>
      <c r="R118" s="157" cm="1">
        <f t="array" aca="1" ref="R118" ca="1">IF(OR($E118="X",$E118="",$E118=0,$B118="X",$B118="",$B118=0),0,SUM(_xlfn._xlws.FILTER(FrmBB1[Cur],(FrmBB1[PrjId]=TEXT($B118,"@"))*(FrmBB1[Row]=$E118)*(FrmBB1[Column]=UPPER(_xlfn.LET(_xlpm.x,_xlfn.TEXTBEFORE(Q$114," ("),IFERROR(_xlpm.x,Q$114)))&amp;" "&amp;R$115),0)))</f>
        <v>0</v>
      </c>
      <c r="S118" s="158" cm="1">
        <f t="array" aca="1" ref="S118" ca="1">IF(OR($E118="X",$E118="",$E118=0,$B118="X",$B118="",$B118=0),0,SUM(_xlfn._xlws.FILTER(FrmBB1[Cur],(FrmBB1[PrjId]=TEXT($B118,"@"))*(FrmBB1[Row]=$E118)*(FrmBB1[Column]=UPPER(_xlfn.LET(_xlpm.x,_xlfn.TEXTBEFORE(S$114," ("),IFERROR(_xlpm.x,S$114)))&amp;" "&amp;S$115),0)))</f>
        <v>166.2</v>
      </c>
      <c r="T118" s="157" cm="1">
        <f t="array" aca="1" ref="T118" ca="1">IF(OR($E118="X",$E118="",$E118=0,$B118="X",$B118="",$B118=0),0,SUM(_xlfn._xlws.FILTER(FrmBB1[Cur],(FrmBB1[PrjId]=TEXT($B118,"@"))*(FrmBB1[Row]=$E118)*(FrmBB1[Column]=UPPER(_xlfn.LET(_xlpm.x,_xlfn.TEXTBEFORE(S$114," ("),IFERROR(_xlpm.x,S$114)))&amp;" "&amp;T$115),0)))</f>
        <v>0</v>
      </c>
      <c r="U118" s="158" cm="1">
        <f t="array" aca="1" ref="U118" ca="1">IF(OR($E118="X",$E118="",$E118=0,$B118="X",$B118="",$B118=0),0,SUM(_xlfn._xlws.FILTER(FrmBB1[Cur],(FrmBB1[PrjId]=TEXT($B118,"@"))*(FrmBB1[Row]=$E118)*(FrmBB1[Column]=UPPER(_xlfn.LET(_xlpm.x,_xlfn.TEXTBEFORE(U$114," ("),IFERROR(_xlpm.x,U$114)))&amp;" "&amp;U$115),0)))</f>
        <v>0</v>
      </c>
      <c r="V118" s="157" cm="1">
        <f t="array" aca="1" ref="V118" ca="1">IF(OR($E118="X",$E118="",$E118=0,$B118="X",$B118="",$B118=0),0,SUM(_xlfn._xlws.FILTER(FrmBB1[Cur],(FrmBB1[PrjId]=TEXT($B118,"@"))*(FrmBB1[Row]=$E118)*(FrmBB1[Column]=UPPER(_xlfn.LET(_xlpm.x,_xlfn.TEXTBEFORE(U$114," ("),IFERROR(_xlpm.x,U$114)))&amp;" "&amp;V$115),0)))</f>
        <v>0</v>
      </c>
      <c r="W118" s="158" cm="1">
        <f t="array" aca="1" ref="W118" ca="1">IF(OR($E118="X",$E118="",$E118=0,$B118="X",$B118="",$B118=0),0,SUM(_xlfn._xlws.FILTER(FrmBB1[Cur],(FrmBB1[PrjId]=TEXT($B118,"@"))*(FrmBB1[Row]=$E118)*(FrmBB1[Column]=UPPER(_xlfn.LET(_xlpm.x,_xlfn.TEXTBEFORE(W$114," ("),IFERROR(_xlpm.x,W$114)))&amp;" "&amp;W$115),0)))</f>
        <v>8614.5</v>
      </c>
      <c r="X118" s="157" cm="1">
        <f t="array" aca="1" ref="X118" ca="1">IF(OR($E118="X",$E118="",$E118=0,$B118="X",$B118="",$B118=0),0,SUM(_xlfn._xlws.FILTER(FrmBB1[Cur],(FrmBB1[PrjId]=TEXT($B118,"@"))*(FrmBB1[Row]=$E118)*(FrmBB1[Column]=UPPER(_xlfn.LET(_xlpm.x,_xlfn.TEXTBEFORE(W$114," ("),IFERROR(_xlpm.x,W$114)))&amp;" "&amp;X$115),0)))</f>
        <v>0</v>
      </c>
      <c r="Y118" s="158" cm="1">
        <f t="array" aca="1" ref="Y118" ca="1">IF(OR($E118="X",$E118="",$E118=0,$B118="X",$B118="",$B118=0),0,SUM(_xlfn._xlws.FILTER(FrmBB1[Cur],(FrmBB1[PrjId]=TEXT($B118,"@"))*(FrmBB1[Row]=$E118)*(FrmBB1[Column]=UPPER(_xlfn.LET(_xlpm.x,_xlfn.TEXTBEFORE(Y$114," ("),IFERROR(_xlpm.x,Y$114)))&amp;" "&amp;Y$115),0)))</f>
        <v>0</v>
      </c>
      <c r="Z118" s="157" cm="1">
        <f t="array" aca="1" ref="Z118" ca="1">IF(OR($E118="X",$E118="",$E118=0,$B118="X",$B118="",$B118=0),0,SUM(_xlfn._xlws.FILTER(FrmBB1[Cur],(FrmBB1[PrjId]=TEXT($B118,"@"))*(FrmBB1[Row]=$E118)*(FrmBB1[Column]=UPPER(_xlfn.LET(_xlpm.x,_xlfn.TEXTBEFORE(Y$114," ("),IFERROR(_xlpm.x,Y$114)))&amp;" "&amp;Z$115),0)))</f>
        <v>0</v>
      </c>
      <c r="AA118" s="158" cm="1">
        <f t="array" aca="1" ref="AA118" ca="1">IF(OR($E118="X",$E118="",$E118=0,$B118="X",$B118="",$B118=0),0,SUM(_xlfn._xlws.FILTER(FrmBB1[Cur],(FrmBB1[PrjId]=TEXT($B118,"@"))*(FrmBB1[Row]=$E118)*(FrmBB1[Column]=UPPER(_xlfn.LET(_xlpm.x,_xlfn.TEXTBEFORE(AA$114," ("),IFERROR(_xlpm.x,AA$114)))&amp;" "&amp;AA$115),0)))</f>
        <v>0</v>
      </c>
      <c r="AB118" s="157" cm="1">
        <f t="array" aca="1" ref="AB118" ca="1">IF(OR($E118="X",$E118="",$E118=0,$B118="X",$B118="",$B118=0),0,SUM(_xlfn._xlws.FILTER(FrmBB1[Cur],(FrmBB1[PrjId]=TEXT($B118,"@"))*(FrmBB1[Row]=$E118)*(FrmBB1[Column]=UPPER(_xlfn.LET(_xlpm.x,_xlfn.TEXTBEFORE(AA$114," ("),IFERROR(_xlpm.x,AA$114)))&amp;" "&amp;AB$115),0)))</f>
        <v>0</v>
      </c>
      <c r="AC118" s="158" cm="1">
        <f t="array" aca="1" ref="AC118" ca="1">IF(OR($E118="X",$E118="",$E118=0,$B118="X",$B118="",$B118=0),0,SUM(_xlfn._xlws.FILTER(FrmBB1[Cur],(FrmBB1[PrjId]=TEXT($B118,"@"))*(FrmBB1[Row]=$E118)*(FrmBB1[Column]=UPPER(_xlfn.LET(_xlpm.x,_xlfn.TEXTBEFORE(AC$114," ("),IFERROR(_xlpm.x,AC$114)))&amp;" "&amp;AC$115),0)))</f>
        <v>0</v>
      </c>
      <c r="AD118" s="157" cm="1">
        <f t="array" aca="1" ref="AD118" ca="1">IF(OR($E118="X",$E118="",$E118=0,$B118="X",$B118="",$B118=0),0,SUM(_xlfn._xlws.FILTER(FrmBB1[Cur],(FrmBB1[PrjId]=TEXT($B118,"@"))*(FrmBB1[Row]=$E118)*(FrmBB1[Column]=UPPER(_xlfn.LET(_xlpm.x,_xlfn.TEXTBEFORE(AC$114," ("),IFERROR(_xlpm.x,AC$114)))&amp;" "&amp;AD$115),0)))</f>
        <v>0</v>
      </c>
      <c r="AE118" s="158" cm="1">
        <f t="array" aca="1" ref="AE118" ca="1">IF(OR($E118="X",$E118="",$E118=0,$B118="X",$B118="",$B118=0),0,SUM(_xlfn._xlws.FILTER(FrmBB1[Cur],(FrmBB1[PrjId]=TEXT($B118,"@"))*(FrmBB1[Row]=$E118)*(FrmBB1[Column]=UPPER(_xlfn.LET(_xlpm.x,_xlfn.TEXTBEFORE(AE$114," ("),IFERROR(_xlpm.x,AE$114)))&amp;" "&amp;AE$115),0)))</f>
        <v>18321.84</v>
      </c>
      <c r="AF118" s="157" cm="1">
        <f t="array" aca="1" ref="AF118" ca="1">IF(OR($E118="X",$E118="",$E118=0,$B118="X",$B118="",$B118=0),0,SUM(_xlfn._xlws.FILTER(FrmBB1[Cur],(FrmBB1[PrjId]=TEXT($B118,"@"))*(FrmBB1[Row]=$E118)*(FrmBB1[Column]=UPPER(_xlfn.LET(_xlpm.x,_xlfn.TEXTBEFORE(AE$114," ("),IFERROR(_xlpm.x,AE$114)))&amp;" "&amp;AF$115),0)))</f>
        <v>0</v>
      </c>
      <c r="AG118" s="158" cm="1">
        <f t="array" aca="1" ref="AG118" ca="1">IF(OR($E118="X",$E118="",$E118=0,$B118="X",$B118="",$B118=0),0,SUM(_xlfn._xlws.FILTER(FrmBB1[Cur],(FrmBB1[PrjId]=TEXT($B118,"@"))*(FrmBB1[Row]=$E118)*(FrmBB1[Column]=UPPER(_xlfn.LET(_xlpm.x,_xlfn.TEXTBEFORE(AG$114," ("),IFERROR(_xlpm.x,AG$114)))&amp;" "&amp;AG$115),0)))</f>
        <v>0</v>
      </c>
      <c r="AH118" s="157" cm="1">
        <f t="array" aca="1" ref="AH118" ca="1">IF(OR($E118="X",$E118="",$E118=0,$B118="X",$B118="",$B118=0),0,SUM(_xlfn._xlws.FILTER(FrmBB1[Cur],(FrmBB1[PrjId]=TEXT($B118,"@"))*(FrmBB1[Row]=$E118)*(FrmBB1[Column]=UPPER(_xlfn.LET(_xlpm.x,_xlfn.TEXTBEFORE(AG$114," ("),IFERROR(_xlpm.x,AG$114)))&amp;" "&amp;AH$115),0)))</f>
        <v>0</v>
      </c>
      <c r="AI118" s="158" cm="1">
        <f t="array" aca="1" ref="AI118" ca="1">IF(OR($E118="X",$E118="",$E118=0,$B118="X",$B118="",$B118=0),0,SUM(_xlfn._xlws.FILTER(FrmBB1[Cur],(FrmBB1[PrjId]=TEXT($B118,"@"))*(FrmBB1[Row]=$E118)*(FrmBB1[Column]=UPPER(_xlfn.LET(_xlpm.x,_xlfn.TEXTBEFORE(AI$114," ("),IFERROR(_xlpm.x,AI$114)))&amp;" "&amp;AI$115),0)))</f>
        <v>0</v>
      </c>
      <c r="AJ118" s="157" cm="1">
        <f t="array" aca="1" ref="AJ118" ca="1">IF(OR($E118="X",$E118="",$E118=0,$B118="X",$B118="",$B118=0),0,SUM(_xlfn._xlws.FILTER(FrmBB1[Cur],(FrmBB1[PrjId]=TEXT($B118,"@"))*(FrmBB1[Row]=$E118)*(FrmBB1[Column]=UPPER(_xlfn.LET(_xlpm.x,_xlfn.TEXTBEFORE(AI$114," ("),IFERROR(_xlpm.x,AI$114)))&amp;" "&amp;AJ$115),0)))</f>
        <v>0</v>
      </c>
      <c r="AK118" s="158" cm="1">
        <f t="array" aca="1" ref="AK118" ca="1">IF(OR($E118="X",$E118="",$E118=0,$B118="X",$B118="",$B118=0),0,SUM(_xlfn._xlws.FILTER(FrmBB1[Cur],(FrmBB1[PrjId]=TEXT($B118,"@"))*(FrmBB1[Row]=$E118)*(FrmBB1[Column]=UPPER(_xlfn.LET(_xlpm.x,_xlfn.TEXTBEFORE(AK$114," ("),IFERROR(_xlpm.x,AK$114)))&amp;" "&amp;AK$115),0)))</f>
        <v>0</v>
      </c>
      <c r="AL118" s="157" cm="1">
        <f t="array" aca="1" ref="AL118" ca="1">IF(OR($E118="X",$E118="",$E118=0,$B118="X",$B118="",$B118=0),0,SUM(_xlfn._xlws.FILTER(FrmBB1[Cur],(FrmBB1[PrjId]=TEXT($B118,"@"))*(FrmBB1[Row]=$E118)*(FrmBB1[Column]=UPPER(_xlfn.LET(_xlpm.x,_xlfn.TEXTBEFORE(AK$114," ("),IFERROR(_xlpm.x,AK$114)))&amp;" "&amp;AL$115),0)))</f>
        <v>0</v>
      </c>
      <c r="AM118" s="158" cm="1">
        <f t="array" aca="1" ref="AM118" ca="1">IF(OR($E118="X",$E118="",$E118=0,$B118="X",$B118="",$B118=0),0,SUM(_xlfn._xlws.FILTER(FrmBB1[Cur],(FrmBB1[PrjId]=TEXT($B118,"@"))*(FrmBB1[Row]=$E118)*(FrmBB1[Column]=UPPER(_xlfn.LET(_xlpm.x,_xlfn.TEXTBEFORE(AM$114," ("),IFERROR(_xlpm.x,AM$114)))&amp;" "&amp;AM$115),0)))</f>
        <v>0</v>
      </c>
      <c r="AN118" s="157" cm="1">
        <f t="array" aca="1" ref="AN118" ca="1">IF(OR($E118="X",$E118="",$E118=0,$B118="X",$B118="",$B118=0),0,SUM(_xlfn._xlws.FILTER(FrmBB1[Cur],(FrmBB1[PrjId]=TEXT($B118,"@"))*(FrmBB1[Row]=$E118)*(FrmBB1[Column]=UPPER(_xlfn.LET(_xlpm.x,_xlfn.TEXTBEFORE(AM$114," ("),IFERROR(_xlpm.x,AM$114)))&amp;" "&amp;AN$115),0)))</f>
        <v>0</v>
      </c>
      <c r="AO118" s="158" cm="1">
        <f t="array" aca="1" ref="AO118" ca="1">IF(OR($E118="X",$E118="",$E118=0,$B118="X",$B118="",$B118=0),0,SUM(_xlfn._xlws.FILTER(FrmBB1[Cur],(FrmBB1[PrjId]=TEXT($B118,"@"))*(FrmBB1[Row]=$E118)*(FrmBB1[Column]=UPPER(_xlfn.LET(_xlpm.x,_xlfn.TEXTBEFORE(AO$114," ("),IFERROR(_xlpm.x,AO$114)))&amp;" "&amp;AO$115),0)))</f>
        <v>0</v>
      </c>
      <c r="AP118" s="157" cm="1">
        <f t="array" aca="1" ref="AP118" ca="1">IF(OR($E118="X",$E118="",$E118=0,$B118="X",$B118="",$B118=0),0,SUM(_xlfn._xlws.FILTER(FrmBB1[Cur],(FrmBB1[PrjId]=TEXT($B118,"@"))*(FrmBB1[Row]=$E118)*(FrmBB1[Column]=UPPER(_xlfn.LET(_xlpm.x,_xlfn.TEXTBEFORE(AO$114," ("),IFERROR(_xlpm.x,AO$114)))&amp;" "&amp;AP$115),0)))</f>
        <v>0</v>
      </c>
      <c r="AQ118" s="157" cm="1">
        <f t="array" aca="1" ref="AQ118" ca="1">SUM(IF(INDIRECT($AS$115)=AQ$115,INDIRECT($AS118)))</f>
        <v>229848.68000000002</v>
      </c>
      <c r="AR118" s="157" cm="1">
        <f t="array" aca="1" ref="AR118" ca="1">SUM(IF(INDIRECT($AS$115)=AR$115,INDIRECT($AS118)))</f>
        <v>0</v>
      </c>
      <c r="AS118" s="286" t="str">
        <f t="shared" ca="1" si="13"/>
        <v>G118:AP118</v>
      </c>
      <c r="AT118" s="355">
        <f t="shared" ca="1" si="14"/>
        <v>229848.68000000002</v>
      </c>
      <c r="AV118" s="142" cm="1">
        <f t="array" aca="1" ref="AV118" ca="1">IF(AND(_xlfn.LET(_xlpm.x,SUM(ROW()),OR(AND(MATCH("SOT",$A:$A,0)&lt;_xlpm.x,MATCH("EOT",$A:$A,0)&gt;_xlpm.x),AND(MATCH("SOS",$A:$A,0)&lt;_xlpm.x,MATCH("EOS",$A:$A,0)&gt;_xlpm.x),AND(MATCH("SOR",$A:$A,0)&lt;_xlpm.x,MATCH("EOR",$A:$A,0)&gt;_xlpm.x))),INDIRECT("rc"&amp;MATCH("SCD",$1:$1,0),FALSE)="PPTO"),1,0)</f>
        <v>0</v>
      </c>
      <c r="AW118" s="142" cm="1">
        <f t="array" aca="1" ref="AW11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19" spans="1:50" outlineLevel="1">
      <c r="B119" s="156" t="str" cm="1">
        <f t="array" aca="1" ref="B119:E119" ca="1">_xlfn.LET(_xlpm.x,SUM(ROW()-MATCH("SOR",$A:$A,0)),_xlpm.y,IFERROR(_xlfn.TAKE(INDEX(_xlfn._xlws.FILTER(TbAssign[],ISNUMBER(FIND(TbAssign[Project],$C$4)),"X"),1+QUOTIENT(_xlpm.x,3),0),1,4),0),IF(MOD(_xlpm.x-1,3)=0,IF(_xlpm.y=0,"X",_xlpm.y),INDIRECT("r[-1]c#",FALSE)))</f>
        <v>31200</v>
      </c>
      <c r="C119" s="156" t="str">
        <f ca="1"/>
        <v>XB01</v>
      </c>
      <c r="D119" s="148" t="str">
        <f ca="1"/>
        <v>DISC</v>
      </c>
      <c r="E119" s="352" t="str">
        <f ca="1"/>
        <v>DISEÑO HARDWARE</v>
      </c>
      <c r="F119" s="148" t="s">
        <v>397</v>
      </c>
      <c r="G119" s="157" cm="1">
        <f t="array" aca="1" ref="G119" ca="1">IF(OR($E119="X",$E119="",$E119=0,$B119="X",$B119="",$B119=0),0,SUM(_xlfn._xlws.FILTER(IF($E$4="Ppto",PptoSty[CurPpto],PptoSty[CurInt]),(IF($E$4="Ppto",PptoSty[POvsCT]=G$113,TRUE))*(PptoSty[Project]=TEXT($B119,"@"))*(PptoSty[PptoVsRow]=$E119)*(PptoSty[PptoVsColumn]=UPPER(G$114)),0)))</f>
        <v>0</v>
      </c>
      <c r="H119" s="157" cm="1">
        <f t="array" aca="1" ref="H119" ca="1">IF(OR($E119="X",$E119="",$E119=0,$B119="X",$B119="",$B119=0),0,SUM(_xlfn._xlws.FILTER(IF($E$4="Ppto",PptoSty[CurPpto],PptoSty[CurExt]),(IF($E$4="Ppto",PptoSty[POvsCT]=H$113,TRUE))*(PptoSty[Project]=TEXT($B119,"@"))*(PptoSty[PptoVsRow]=$E119)*(PptoSty[PptoVsColumn]=UPPER(G$114)),0)))</f>
        <v>0</v>
      </c>
      <c r="I119" s="157" cm="1">
        <f t="array" aca="1" ref="I119" ca="1">IF(OR($E119="X",$E119="",$E119=0,$B119="X",$B119="",$B119=0),0,SUM(_xlfn._xlws.FILTER(IF($E$4="Ppto",PptoSty[CurPpto],PptoSty[CurInt]),(IF($E$4="Ppto",PptoSty[POvsCT]=I$113,TRUE))*(PptoSty[Project]=TEXT($B119,"@"))*(PptoSty[PptoVsRow]=$E119)*(PptoSty[PptoVsColumn]=UPPER(I$114)),0)))</f>
        <v>0</v>
      </c>
      <c r="J119" s="157" cm="1">
        <f t="array" aca="1" ref="J119" ca="1">IF(OR($E119="X",$E119="",$E119=0,$B119="X",$B119="",$B119=0),0,SUM(_xlfn._xlws.FILTER(IF($E$4="Ppto",PptoSty[CurPpto],PptoSty[CurExt]),(IF($E$4="Ppto",PptoSty[POvsCT]=J$113,TRUE))*(PptoSty[Project]=TEXT($B119,"@"))*(PptoSty[PptoVsRow]=$E119)*(PptoSty[PptoVsColumn]=UPPER(I$114)),0)))</f>
        <v>0</v>
      </c>
      <c r="K119" s="157" cm="1">
        <f t="array" aca="1" ref="K119" ca="1">IF(OR($E119="X",$E119="",$E119=0,$B119="X",$B119="",$B119=0),0,SUM(_xlfn._xlws.FILTER(IF($E$4="Ppto",PptoSty[CurPpto],PptoSty[CurInt]),(IF($E$4="Ppto",PptoSty[POvsCT]=K$113,TRUE))*(PptoSty[Project]=TEXT($B119,"@"))*(PptoSty[PptoVsRow]=$E119)*(PptoSty[PptoVsColumn]=UPPER(K$114)),0)))</f>
        <v>0</v>
      </c>
      <c r="L119" s="157" cm="1">
        <f t="array" aca="1" ref="L119" ca="1">IF(OR($E119="X",$E119="",$E119=0,$B119="X",$B119="",$B119=0),0,SUM(_xlfn._xlws.FILTER(IF($E$4="Ppto",PptoSty[CurPpto],PptoSty[CurExt]),(IF($E$4="Ppto",PptoSty[POvsCT]=L$113,TRUE))*(PptoSty[Project]=TEXT($B119,"@"))*(PptoSty[PptoVsRow]=$E119)*(PptoSty[PptoVsColumn]=UPPER(K$114)),0)))</f>
        <v>0</v>
      </c>
      <c r="M119" s="157" cm="1">
        <f t="array" aca="1" ref="M119" ca="1">IF(OR($E119="X",$E119="",$E119=0,$B119="X",$B119="",$B119=0),0,SUM(_xlfn._xlws.FILTER(IF($E$4="Ppto",PptoSty[CurPpto],PptoSty[CurInt]),(IF($E$4="Ppto",PptoSty[POvsCT]=M$113,TRUE))*(PptoSty[Project]=TEXT($B119,"@"))*(PptoSty[PptoVsRow]=$E119)*(PptoSty[PptoVsColumn]=UPPER(M$114)),0)))</f>
        <v>0</v>
      </c>
      <c r="N119" s="157" cm="1">
        <f t="array" aca="1" ref="N119" ca="1">IF(OR($E119="X",$E119="",$E119=0,$B119="X",$B119="",$B119=0),0,SUM(_xlfn._xlws.FILTER(IF($E$4="Ppto",PptoSty[CurPpto],PptoSty[CurExt]),(IF($E$4="Ppto",PptoSty[POvsCT]=N$113,TRUE))*(PptoSty[Project]=TEXT($B119,"@"))*(PptoSty[PptoVsRow]=$E119)*(PptoSty[PptoVsColumn]=UPPER(M$114)),0)))</f>
        <v>0</v>
      </c>
      <c r="O119" s="157" cm="1">
        <f t="array" aca="1" ref="O119" ca="1">IF(OR($E119="X",$E119="",$E119=0,$B119="X",$B119="",$B119=0),0,SUM(_xlfn._xlws.FILTER(IF($E$4="Ppto",PptoSty[CurPpto],PptoSty[CurInt]),(IF($E$4="Ppto",PptoSty[POvsCT]=O$113,TRUE))*(PptoSty[Project]=TEXT($B119,"@"))*(PptoSty[PptoVsRow]=$E119)*(PptoSty[PptoVsColumn]=UPPER(O$114)),0)))</f>
        <v>13755.1134501</v>
      </c>
      <c r="P119" s="157" cm="1">
        <f t="array" aca="1" ref="P119" ca="1">IF(OR($E119="X",$E119="",$E119=0,$B119="X",$B119="",$B119=0),0,SUM(_xlfn._xlws.FILTER(IF($E$4="Ppto",PptoSty[CurPpto],PptoSty[CurExt]),(IF($E$4="Ppto",PptoSty[POvsCT]=P$113,TRUE))*(PptoSty[Project]=TEXT($B119,"@"))*(PptoSty[PptoVsRow]=$E119)*(PptoSty[PptoVsColumn]=UPPER(O$114)),0)))</f>
        <v>15001.760592900002</v>
      </c>
      <c r="Q119" s="157" cm="1">
        <f t="array" aca="1" ref="Q119" ca="1">IF(OR($E119="X",$E119="",$E119=0,$B119="X",$B119="",$B119=0),0,SUM(_xlfn._xlws.FILTER(IF($E$4="Ppto",PptoSty[CurPpto],PptoSty[CurInt]),(IF($E$4="Ppto",PptoSty[POvsCT]=Q$113,TRUE))*(PptoSty[Project]=TEXT($B119,"@"))*(PptoSty[PptoVsRow]=$E119)*(PptoSty[PptoVsColumn]=UPPER(Q$114)),0)))</f>
        <v>26455.825996187497</v>
      </c>
      <c r="R119" s="157" cm="1">
        <f t="array" aca="1" ref="R119" ca="1">IF(OR($E119="X",$E119="",$E119=0,$B119="X",$B119="",$B119=0),0,SUM(_xlfn._xlws.FILTER(IF($E$4="Ppto",PptoSty[CurPpto],PptoSty[CurExt]),(IF($E$4="Ppto",PptoSty[POvsCT]=R$113,TRUE))*(PptoSty[Project]=TEXT($B119,"@"))*(PptoSty[PptoVsRow]=$E119)*(PptoSty[PptoVsColumn]=UPPER(Q$114)),0)))</f>
        <v>0</v>
      </c>
      <c r="S119" s="157" cm="1">
        <f t="array" aca="1" ref="S119" ca="1">IF(OR($E119="X",$E119="",$E119=0,$B119="X",$B119="",$B119=0),0,SUM(_xlfn._xlws.FILTER(IF($E$4="Ppto",PptoSty[CurPpto],PptoSty[CurInt]),(IF($E$4="Ppto",PptoSty[POvsCT]=S$113,TRUE))*(PptoSty[Project]=TEXT($B119,"@"))*(PptoSty[PptoVsRow]=$E119)*(PptoSty[PptoVsColumn]=UPPER(S$114)),0)))</f>
        <v>0</v>
      </c>
      <c r="T119" s="157" cm="1">
        <f t="array" aca="1" ref="T119" ca="1">IF(OR($E119="X",$E119="",$E119=0,$B119="X",$B119="",$B119=0),0,SUM(_xlfn._xlws.FILTER(IF($E$4="Ppto",PptoSty[CurPpto],PptoSty[CurExt]),(IF($E$4="Ppto",PptoSty[POvsCT]=T$113,TRUE))*(PptoSty[Project]=TEXT($B119,"@"))*(PptoSty[PptoVsRow]=$E119)*(PptoSty[PptoVsColumn]=UPPER(S$114)),0)))</f>
        <v>0</v>
      </c>
      <c r="U119" s="157" cm="1">
        <f t="array" aca="1" ref="U119" ca="1">IF(OR($E119="X",$E119="",$E119=0,$B119="X",$B119="",$B119=0),0,SUM(_xlfn._xlws.FILTER(IF($E$4="Ppto",PptoSty[CurPpto],PptoSty[CurInt]),(IF($E$4="Ppto",PptoSty[POvsCT]=U$113,TRUE))*(PptoSty[Project]=TEXT($B119,"@"))*(PptoSty[PptoVsRow]=$E119)*(PptoSty[PptoVsColumn]=UPPER(U$114)),0)))</f>
        <v>0</v>
      </c>
      <c r="V119" s="157" cm="1">
        <f t="array" aca="1" ref="V119" ca="1">IF(OR($E119="X",$E119="",$E119=0,$B119="X",$B119="",$B119=0),0,SUM(_xlfn._xlws.FILTER(IF($E$4="Ppto",PptoSty[CurPpto],PptoSty[CurExt]),(IF($E$4="Ppto",PptoSty[POvsCT]=V$113,TRUE))*(PptoSty[Project]=TEXT($B119,"@"))*(PptoSty[PptoVsRow]=$E119)*(PptoSty[PptoVsColumn]=UPPER(U$114)),0)))</f>
        <v>0</v>
      </c>
      <c r="W119" s="157" cm="1">
        <f t="array" aca="1" ref="W119" ca="1">IF(OR($E119="X",$E119="",$E119=0,$B119="X",$B119="",$B119=0),0,SUM(_xlfn._xlws.FILTER(IF($E$4="Ppto",PptoSty[CurPpto],PptoSty[CurInt]),(IF($E$4="Ppto",PptoSty[POvsCT]=W$113,TRUE))*(PptoSty[Project]=TEXT($B119,"@"))*(PptoSty[PptoVsRow]=$E119)*(PptoSty[PptoVsColumn]=UPPER(W$114)),0)))</f>
        <v>0</v>
      </c>
      <c r="X119" s="157" cm="1">
        <f t="array" aca="1" ref="X119" ca="1">IF(OR($E119="X",$E119="",$E119=0,$B119="X",$B119="",$B119=0),0,SUM(_xlfn._xlws.FILTER(IF($E$4="Ppto",PptoSty[CurPpto],PptoSty[CurExt]),(IF($E$4="Ppto",PptoSty[POvsCT]=X$113,TRUE))*(PptoSty[Project]=TEXT($B119,"@"))*(PptoSty[PptoVsRow]=$E119)*(PptoSty[PptoVsColumn]=UPPER(W$114)),0)))</f>
        <v>0</v>
      </c>
      <c r="Y119" s="157" cm="1">
        <f t="array" aca="1" ref="Y119" ca="1">IF(OR($E119="X",$E119="",$E119=0,$B119="X",$B119="",$B119=0),0,SUM(_xlfn._xlws.FILTER(IF($E$4="Ppto",PptoSty[CurPpto],PptoSty[CurInt]),(IF($E$4="Ppto",PptoSty[POvsCT]=Y$113,TRUE))*(PptoSty[Project]=TEXT($B119,"@"))*(PptoSty[PptoVsRow]=$E119)*(PptoSty[PptoVsColumn]=UPPER(Y$114)),0)))</f>
        <v>0</v>
      </c>
      <c r="Z119" s="157" cm="1">
        <f t="array" aca="1" ref="Z119" ca="1">IF(OR($E119="X",$E119="",$E119=0,$B119="X",$B119="",$B119=0),0,SUM(_xlfn._xlws.FILTER(IF($E$4="Ppto",PptoSty[CurPpto],PptoSty[CurExt]),(IF($E$4="Ppto",PptoSty[POvsCT]=Z$113,TRUE))*(PptoSty[Project]=TEXT($B119,"@"))*(PptoSty[PptoVsRow]=$E119)*(PptoSty[PptoVsColumn]=UPPER(Y$114)),0)))</f>
        <v>0</v>
      </c>
      <c r="AA119" s="157" cm="1">
        <f t="array" aca="1" ref="AA119" ca="1">IF(OR($E119="X",$E119="",$E119=0,$B119="X",$B119="",$B119=0),0,SUM(_xlfn._xlws.FILTER(IF($E$4="Ppto",PptoSty[CurPpto],PptoSty[CurInt]),(IF($E$4="Ppto",PptoSty[POvsCT]=AA$113,TRUE))*(PptoSty[Project]=TEXT($B119,"@"))*(PptoSty[PptoVsRow]=$E119)*(PptoSty[PptoVsColumn]=UPPER(AA$114)),0)))</f>
        <v>0</v>
      </c>
      <c r="AB119" s="157" cm="1">
        <f t="array" aca="1" ref="AB119" ca="1">IF(OR($E119="X",$E119="",$E119=0,$B119="X",$B119="",$B119=0),0,SUM(_xlfn._xlws.FILTER(IF($E$4="Ppto",PptoSty[CurPpto],PptoSty[CurExt]),(IF($E$4="Ppto",PptoSty[POvsCT]=AB$113,TRUE))*(PptoSty[Project]=TEXT($B119,"@"))*(PptoSty[PptoVsRow]=$E119)*(PptoSty[PptoVsColumn]=UPPER(AA$114)),0)))</f>
        <v>0</v>
      </c>
      <c r="AC119" s="157" cm="1">
        <f t="array" aca="1" ref="AC119" ca="1">IF(OR($E119="X",$E119="",$E119=0,$B119="X",$B119="",$B119=0),0,SUM(_xlfn._xlws.FILTER(IF($E$4="Ppto",PptoSty[CurPpto],PptoSty[CurInt]),(IF($E$4="Ppto",PptoSty[POvsCT]=AC$113,TRUE))*(PptoSty[Project]=TEXT($B119,"@"))*(PptoSty[PptoVsRow]=$E119)*(PptoSty[PptoVsColumn]=UPPER(AC$114)),0)))</f>
        <v>0</v>
      </c>
      <c r="AD119" s="157" cm="1">
        <f t="array" aca="1" ref="AD119" ca="1">IF(OR($E119="X",$E119="",$E119=0,$B119="X",$B119="",$B119=0),0,SUM(_xlfn._xlws.FILTER(IF($E$4="Ppto",PptoSty[CurPpto],PptoSty[CurExt]),(IF($E$4="Ppto",PptoSty[POvsCT]=AD$113,TRUE))*(PptoSty[Project]=TEXT($B119,"@"))*(PptoSty[PptoVsRow]=$E119)*(PptoSty[PptoVsColumn]=UPPER(AC$114)),0)))</f>
        <v>0</v>
      </c>
      <c r="AE119" s="157" cm="1">
        <f t="array" aca="1" ref="AE119" ca="1">IF(OR($E119="X",$E119="",$E119=0,$B119="X",$B119="",$B119=0),0,SUM(_xlfn._xlws.FILTER(IF($E$4="Ppto",PptoSty[CurPpto],PptoSty[CurInt]),(IF($E$4="Ppto",PptoSty[POvsCT]=AE$113,TRUE))*(PptoSty[Project]=TEXT($B119,"@"))*(PptoSty[PptoVsRow]=$E119)*(PptoSty[PptoVsColumn]=UPPER(AE$114)),0)))</f>
        <v>0</v>
      </c>
      <c r="AF119" s="157" cm="1">
        <f t="array" aca="1" ref="AF119" ca="1">IF(OR($E119="X",$E119="",$E119=0,$B119="X",$B119="",$B119=0),0,SUM(_xlfn._xlws.FILTER(IF($E$4="Ppto",PptoSty[CurPpto],PptoSty[CurExt]),(IF($E$4="Ppto",PptoSty[POvsCT]=AF$113,TRUE))*(PptoSty[Project]=TEXT($B119,"@"))*(PptoSty[PptoVsRow]=$E119)*(PptoSty[PptoVsColumn]=UPPER(AE$114)),0)))</f>
        <v>0</v>
      </c>
      <c r="AG119" s="157" cm="1">
        <f t="array" aca="1" ref="AG119" ca="1">IF(OR($E119="X",$E119="",$E119=0,$B119="X",$B119="",$B119=0),0,SUM(_xlfn._xlws.FILTER(IF($E$4="Ppto",PptoSty[CurPpto],PptoSty[CurInt]),(IF($E$4="Ppto",PptoSty[POvsCT]=AG$113,TRUE))*(PptoSty[Project]=TEXT($B119,"@"))*(PptoSty[PptoVsRow]=$E119)*(PptoSty[PptoVsColumn]=UPPER(AG$114)),0)))</f>
        <v>0</v>
      </c>
      <c r="AH119" s="157" cm="1">
        <f t="array" aca="1" ref="AH119" ca="1">IF(OR($E119="X",$E119="",$E119=0,$B119="X",$B119="",$B119=0),0,SUM(_xlfn._xlws.FILTER(IF($E$4="Ppto",PptoSty[CurPpto],PptoSty[CurExt]),(IF($E$4="Ppto",PptoSty[POvsCT]=AH$113,TRUE))*(PptoSty[Project]=TEXT($B119,"@"))*(PptoSty[PptoVsRow]=$E119)*(PptoSty[PptoVsColumn]=UPPER(AG$114)),0)))</f>
        <v>0</v>
      </c>
      <c r="AI119" s="157" cm="1">
        <f t="array" aca="1" ref="AI119" ca="1">IF(OR($E119="X",$E119="",$E119=0,$B119="X",$B119="",$B119=0),0,SUM(_xlfn._xlws.FILTER(IF($E$4="Ppto",PptoSty[CurPpto],PptoSty[CurInt]),(IF($E$4="Ppto",PptoSty[POvsCT]=AI$113,TRUE))*(PptoSty[Project]=TEXT($B119,"@"))*(PptoSty[PptoVsRow]=$E119)*(PptoSty[PptoVsColumn]=UPPER(AI$114)),0)))</f>
        <v>0</v>
      </c>
      <c r="AJ119" s="157" cm="1">
        <f t="array" aca="1" ref="AJ119" ca="1">IF(OR($E119="X",$E119="",$E119=0,$B119="X",$B119="",$B119=0),0,SUM(_xlfn._xlws.FILTER(IF($E$4="Ppto",PptoSty[CurPpto],PptoSty[CurExt]),(IF($E$4="Ppto",PptoSty[POvsCT]=AJ$113,TRUE))*(PptoSty[Project]=TEXT($B119,"@"))*(PptoSty[PptoVsRow]=$E119)*(PptoSty[PptoVsColumn]=UPPER(AI$114)),0)))</f>
        <v>0</v>
      </c>
      <c r="AK119" s="157" cm="1">
        <f t="array" aca="1" ref="AK119" ca="1">IF(OR($E119="X",$E119="",$E119=0,$B119="X",$B119="",$B119=0),0,SUM(_xlfn._xlws.FILTER(IF($E$4="Ppto",PptoSty[CurPpto],PptoSty[CurInt]),(IF($E$4="Ppto",PptoSty[POvsCT]=AK$113,TRUE))*(PptoSty[Project]=TEXT($B119,"@"))*(PptoSty[PptoVsRow]=$E119)*(PptoSty[PptoVsColumn]=UPPER(AK$114)),0)))</f>
        <v>0</v>
      </c>
      <c r="AL119" s="157" cm="1">
        <f t="array" aca="1" ref="AL119" ca="1">IF(OR($E119="X",$E119="",$E119=0,$B119="X",$B119="",$B119=0),0,SUM(_xlfn._xlws.FILTER(IF($E$4="Ppto",PptoSty[CurPpto],PptoSty[CurExt]),(IF($E$4="Ppto",PptoSty[POvsCT]=AL$113,TRUE))*(PptoSty[Project]=TEXT($B119,"@"))*(PptoSty[PptoVsRow]=$E119)*(PptoSty[PptoVsColumn]=UPPER(AK$114)),0)))</f>
        <v>0</v>
      </c>
      <c r="AM119" s="157" cm="1">
        <f t="array" aca="1" ref="AM119" ca="1">IF(OR($E119="X",$E119="",$E119=0,$B119="X",$B119="",$B119=0),0,SUM(_xlfn._xlws.FILTER(IF($E$4="Ppto",PptoSty[CurPpto],PptoSty[CurInt]),(IF($E$4="Ppto",PptoSty[POvsCT]=AM$113,TRUE))*(PptoSty[Project]=TEXT($B119,"@"))*(PptoSty[PptoVsRow]=$E119)*(PptoSty[PptoVsColumn]=UPPER(AM$114)),0)))</f>
        <v>0</v>
      </c>
      <c r="AN119" s="157" cm="1">
        <f t="array" aca="1" ref="AN119" ca="1">IF(OR($E119="X",$E119="",$E119=0,$B119="X",$B119="",$B119=0),0,SUM(_xlfn._xlws.FILTER(IF($E$4="Ppto",PptoSty[CurPpto],PptoSty[CurExt]),(IF($E$4="Ppto",PptoSty[POvsCT]=AN$113,TRUE))*(PptoSty[Project]=TEXT($B119,"@"))*(PptoSty[PptoVsRow]=$E119)*(PptoSty[PptoVsColumn]=UPPER(AM$114)),0)))</f>
        <v>0</v>
      </c>
      <c r="AO119" s="157" cm="1">
        <f t="array" aca="1" ref="AO119" ca="1">IF(OR($E119="X",$E119="",$E119=0,$B119="X",$B119="",$B119=0),0,SUM(_xlfn._xlws.FILTER(IF($E$4="Ppto",PptoSty[CurPpto],PptoSty[CurInt]),(IF($E$4="Ppto",PptoSty[POvsCT]=AO$113,TRUE))*(PptoSty[Project]=TEXT($B119,"@"))*(PptoSty[PptoVsRow]=$E119)*(PptoSty[PptoVsColumn]=UPPER(AO$114)),0)))</f>
        <v>0</v>
      </c>
      <c r="AP119" s="157" cm="1">
        <f t="array" aca="1" ref="AP119" ca="1">IF(OR($E119="X",$E119="",$E119=0,$B119="X",$B119="",$B119=0),0,SUM(_xlfn._xlws.FILTER(IF($E$4="Ppto",PptoSty[CurPpto],PptoSty[CurExt]),(IF($E$4="Ppto",PptoSty[POvsCT]=AP$113,TRUE))*(PptoSty[Project]=TEXT($B119,"@"))*(PptoSty[PptoVsRow]=$E119)*(PptoSty[PptoVsColumn]=UPPER(AO$114)),0)))</f>
        <v>0</v>
      </c>
      <c r="AQ119" s="157" cm="1">
        <f t="array" aca="1" ref="AQ119" ca="1">SUM(IF(INDIRECT($AS$115)=AQ$115,INDIRECT($AS119)))</f>
        <v>40210.939446287499</v>
      </c>
      <c r="AR119" s="157" cm="1">
        <f t="array" aca="1" ref="AR119" ca="1">SUM(IF(INDIRECT($AS$115)=AR$115,INDIRECT($AS119)))</f>
        <v>15001.760592900002</v>
      </c>
      <c r="AS119" s="286" t="str">
        <f t="shared" ca="1" si="13"/>
        <v>G119:AP119</v>
      </c>
      <c r="AT119" s="403">
        <f t="shared" ca="1" si="14"/>
        <v>55212.700039187504</v>
      </c>
      <c r="AV119" s="142" cm="1">
        <f t="array" aca="1" ref="AV119" ca="1">IF(AND(_xlfn.LET(_xlpm.x,SUM(ROW()),OR(AND(MATCH("SOT",$A:$A,0)&lt;_xlpm.x,MATCH("EOT",$A:$A,0)&gt;_xlpm.x),AND(MATCH("SOS",$A:$A,0)&lt;_xlpm.x,MATCH("EOS",$A:$A,0)&gt;_xlpm.x),AND(MATCH("SOR",$A:$A,0)&lt;_xlpm.x,MATCH("EOR",$A:$A,0)&gt;_xlpm.x))),INDIRECT("rc"&amp;MATCH("SCD",$1:$1,0),FALSE)="PPTO"),1,0)</f>
        <v>1</v>
      </c>
      <c r="AW119" s="142" cm="1">
        <f t="array" aca="1" ref="AW11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20" spans="1:50" outlineLevel="1">
      <c r="B120" s="156" t="str" cm="1">
        <f t="array" aca="1" ref="B120:E120" ca="1">_xlfn.LET(_xlpm.x,SUM(ROW()-MATCH("SOR",$A:$A,0)),_xlpm.y,IFERROR(_xlfn.TAKE(INDEX(_xlfn._xlws.FILTER(TbAssign[],ISNUMBER(FIND(TbAssign[Project],$C$4)),"X"),1+QUOTIENT(_xlpm.x,3),0),1,4),0),IF(MOD(_xlpm.x-1,3)=0,IF(_xlpm.y=0,"X",_xlpm.y),INDIRECT("r[-1]c#",FALSE)))</f>
        <v>31200</v>
      </c>
      <c r="C120" s="156" t="str">
        <f ca="1"/>
        <v>XB01</v>
      </c>
      <c r="D120" s="148" t="str">
        <f ca="1"/>
        <v>DISC</v>
      </c>
      <c r="E120" s="352" t="str">
        <f ca="1"/>
        <v>DISEÑO HARDWARE</v>
      </c>
      <c r="F120" s="148" t="s">
        <v>1382</v>
      </c>
      <c r="G120" s="157" cm="1">
        <f t="array" aca="1" ref="G120" ca="1">IF(OR($E120="X",$E120="",$E120=0,$B120="X",$B120="",$B120=0),0,SUM(_xlfn._xlws.FILTER(PrvSty[DsvValue:SERRA],(PrvSty[Project]=TEXT($B120,"@"))*(PrvSty[Row]=$E120)*(PrvSty[Column]=UPPER(G$114)),0)))</f>
        <v>0</v>
      </c>
      <c r="H120" s="157" cm="1">
        <f t="array" aca="1" ref="H120" ca="1">IF(OR($E120="X",$E120="",$E120=0,$B120="X",$B120="",$B120=0),0,SUM(_xlfn._xlws.FILTER(PrvSty[DsvValue:EXT.],(PrvSty[Project]=TEXT($B120,"@"))*(PrvSty[Row]=$E120)*(PrvSty[Column]=UPPER(G$114)),0)))</f>
        <v>0</v>
      </c>
      <c r="I120" s="157" cm="1">
        <f t="array" aca="1" ref="I120" ca="1">IF(OR($E120="X",$E120="",$E120=0,$B120="X",$B120="",$B120=0),0,SUM(_xlfn._xlws.FILTER(PrvSty[DsvValue:SERRA],(PrvSty[Project]=TEXT($B120,"@"))*(PrvSty[Row]=$E120)*(PrvSty[Column]=UPPER(I$114)),0)))</f>
        <v>0</v>
      </c>
      <c r="J120" s="157" cm="1">
        <f t="array" aca="1" ref="J120" ca="1">IF(OR($E120="X",$E120="",$E120=0,$B120="X",$B120="",$B120=0),0,SUM(_xlfn._xlws.FILTER(PrvSty[DsvValue:EXT.],(PrvSty[Project]=TEXT($B120,"@"))*(PrvSty[Row]=$E120)*(PrvSty[Column]=UPPER(I$114)),0)))</f>
        <v>0</v>
      </c>
      <c r="K120" s="157" cm="1">
        <f t="array" aca="1" ref="K120" ca="1">IF(OR($E120="X",$E120="",$E120=0,$B120="X",$B120="",$B120=0),0,SUM(_xlfn._xlws.FILTER(PrvSty[DsvValue:SERRA],(PrvSty[Project]=TEXT($B120,"@"))*(PrvSty[Row]=$E120)*(PrvSty[Column]=UPPER(K$114)),0)))</f>
        <v>0</v>
      </c>
      <c r="L120" s="157" cm="1">
        <f t="array" aca="1" ref="L120" ca="1">IF(OR($E120="X",$E120="",$E120=0,$B120="X",$B120="",$B120=0),0,SUM(_xlfn._xlws.FILTER(PrvSty[DsvValue:EXT.],(PrvSty[Project]=TEXT($B120,"@"))*(PrvSty[Row]=$E120)*(PrvSty[Column]=UPPER(K$114)),0)))</f>
        <v>0</v>
      </c>
      <c r="M120" s="157" cm="1">
        <f t="array" aca="1" ref="M120" ca="1">IF(OR($E120="X",$E120="",$E120=0,$B120="X",$B120="",$B120=0),0,SUM(_xlfn._xlws.FILTER(PrvSty[DsvValue:SERRA],(PrvSty[Project]=TEXT($B120,"@"))*(PrvSty[Row]=$E120)*(PrvSty[Column]=UPPER(M$114)),0)))</f>
        <v>0</v>
      </c>
      <c r="N120" s="157" cm="1">
        <f t="array" aca="1" ref="N120" ca="1">IF(OR($E120="X",$E120="",$E120=0,$B120="X",$B120="",$B120=0),0,SUM(_xlfn._xlws.FILTER(PrvSty[DsvValue:EXT.],(PrvSty[Project]=TEXT($B120,"@"))*(PrvSty[Row]=$E120)*(PrvSty[Column]=UPPER(M$114)),0)))</f>
        <v>0</v>
      </c>
      <c r="O120" s="157" cm="1">
        <f t="array" aca="1" ref="O120" ca="1">IF(OR($E120="X",$E120="",$E120=0,$B120="X",$B120="",$B120=0),0,SUM(_xlfn._xlws.FILTER(PrvSty[DsvValue:SERRA],(PrvSty[Project]=TEXT($B120,"@"))*(PrvSty[Row]=$E120)*(PrvSty[Column]=UPPER(O$114)),0)))</f>
        <v>5000</v>
      </c>
      <c r="P120" s="157" cm="1">
        <f t="array" aca="1" ref="P120" ca="1">IF(OR($E120="X",$E120="",$E120=0,$B120="X",$B120="",$B120=0),0,SUM(_xlfn._xlws.FILTER(PrvSty[DsvValue:EXT.],(PrvSty[Project]=TEXT($B120,"@"))*(PrvSty[Row]=$E120)*(PrvSty[Column]=UPPER(O$114)),0)))</f>
        <v>0</v>
      </c>
      <c r="Q120" s="157" cm="1">
        <f t="array" aca="1" ref="Q120" ca="1">IF(OR($E120="X",$E120="",$E120=0,$B120="X",$B120="",$B120=0),0,SUM(_xlfn._xlws.FILTER(PrvSty[DsvValue:SERRA],(PrvSty[Project]=TEXT($B120,"@"))*(PrvSty[Row]=$E120)*(PrvSty[Column]=UPPER(Q$114)),0)))</f>
        <v>-5000</v>
      </c>
      <c r="R120" s="157" cm="1">
        <f t="array" aca="1" ref="R120" ca="1">IF(OR($E120="X",$E120="",$E120=0,$B120="X",$B120="",$B120=0),0,SUM(_xlfn._xlws.FILTER(PrvSty[DsvValue:EXT.],(PrvSty[Project]=TEXT($B120,"@"))*(PrvSty[Row]=$E120)*(PrvSty[Column]=UPPER(Q$114)),0)))</f>
        <v>0</v>
      </c>
      <c r="S120" s="157" cm="1">
        <f t="array" aca="1" ref="S120" ca="1">IF(OR($E120="X",$E120="",$E120=0,$B120="X",$B120="",$B120=0),0,SUM(_xlfn._xlws.FILTER(PrvSty[DsvValue:SERRA],(PrvSty[Project]=TEXT($B120,"@"))*(PrvSty[Row]=$E120)*(PrvSty[Column]=UPPER(S$114)),0)))</f>
        <v>0</v>
      </c>
      <c r="T120" s="157" cm="1">
        <f t="array" aca="1" ref="T120" ca="1">IF(OR($E120="X",$E120="",$E120=0,$B120="X",$B120="",$B120=0),0,SUM(_xlfn._xlws.FILTER(PrvSty[DsvValue:EXT.],(PrvSty[Project]=TEXT($B120,"@"))*(PrvSty[Row]=$E120)*(PrvSty[Column]=UPPER(S$114)),0)))</f>
        <v>0</v>
      </c>
      <c r="U120" s="157" cm="1">
        <f t="array" aca="1" ref="U120" ca="1">IF(OR($E120="X",$E120="",$E120=0,$B120="X",$B120="",$B120=0),0,SUM(_xlfn._xlws.FILTER(PrvSty[DsvValue:SERRA],(PrvSty[Project]=TEXT($B120,"@"))*(PrvSty[Row]=$E120)*(PrvSty[Column]=UPPER(U$114)),0)))</f>
        <v>0</v>
      </c>
      <c r="V120" s="157" cm="1">
        <f t="array" aca="1" ref="V120" ca="1">IF(OR($E120="X",$E120="",$E120=0,$B120="X",$B120="",$B120=0),0,SUM(_xlfn._xlws.FILTER(PrvSty[DsvValue:EXT.],(PrvSty[Project]=TEXT($B120,"@"))*(PrvSty[Row]=$E120)*(PrvSty[Column]=UPPER(U$114)),0)))</f>
        <v>0</v>
      </c>
      <c r="W120" s="157" cm="1">
        <f t="array" aca="1" ref="W120" ca="1">IF(OR($E120="X",$E120="",$E120=0,$B120="X",$B120="",$B120=0),0,SUM(_xlfn._xlws.FILTER(PrvSty[DsvValue:SERRA],(PrvSty[Project]=TEXT($B120,"@"))*(PrvSty[Row]=$E120)*(PrvSty[Column]=UPPER(W$114)),0)))</f>
        <v>0</v>
      </c>
      <c r="X120" s="157" cm="1">
        <f t="array" aca="1" ref="X120" ca="1">IF(OR($E120="X",$E120="",$E120=0,$B120="X",$B120="",$B120=0),0,SUM(_xlfn._xlws.FILTER(PrvSty[DsvValue:EXT.],(PrvSty[Project]=TEXT($B120,"@"))*(PrvSty[Row]=$E120)*(PrvSty[Column]=UPPER(W$114)),0)))</f>
        <v>0</v>
      </c>
      <c r="Y120" s="157" cm="1">
        <f t="array" aca="1" ref="Y120" ca="1">IF(OR($E120="X",$E120="",$E120=0,$B120="X",$B120="",$B120=0),0,SUM(_xlfn._xlws.FILTER(PrvSty[DsvValue:SERRA],(PrvSty[Project]=TEXT($B120,"@"))*(PrvSty[Row]=$E120)*(PrvSty[Column]=UPPER(Y$114)),0)))</f>
        <v>0</v>
      </c>
      <c r="Z120" s="157" cm="1">
        <f t="array" aca="1" ref="Z120" ca="1">IF(OR($E120="X",$E120="",$E120=0,$B120="X",$B120="",$B120=0),0,SUM(_xlfn._xlws.FILTER(PrvSty[DsvValue:EXT.],(PrvSty[Project]=TEXT($B120,"@"))*(PrvSty[Row]=$E120)*(PrvSty[Column]=UPPER(Y$114)),0)))</f>
        <v>0</v>
      </c>
      <c r="AA120" s="157" cm="1">
        <f t="array" aca="1" ref="AA120" ca="1">IF(OR($E120="X",$E120="",$E120=0,$B120="X",$B120="",$B120=0),0,SUM(_xlfn._xlws.FILTER(PrvSty[DsvValue:SERRA],(PrvSty[Project]=TEXT($B120,"@"))*(PrvSty[Row]=$E120)*(PrvSty[Column]=UPPER(AA$114)),0)))</f>
        <v>0</v>
      </c>
      <c r="AB120" s="157" cm="1">
        <f t="array" aca="1" ref="AB120" ca="1">IF(OR($E120="X",$E120="",$E120=0,$B120="X",$B120="",$B120=0),0,SUM(_xlfn._xlws.FILTER(PrvSty[DsvValue:EXT.],(PrvSty[Project]=TEXT($B120,"@"))*(PrvSty[Row]=$E120)*(PrvSty[Column]=UPPER(AA$114)),0)))</f>
        <v>0</v>
      </c>
      <c r="AC120" s="157" cm="1">
        <f t="array" aca="1" ref="AC120" ca="1">IF(OR($E120="X",$E120="",$E120=0,$B120="X",$B120="",$B120=0),0,SUM(_xlfn._xlws.FILTER(PrvSty[DsvValue:SERRA],(PrvSty[Project]=TEXT($B120,"@"))*(PrvSty[Row]=$E120)*(PrvSty[Column]=UPPER(AC$114)),0)))</f>
        <v>0</v>
      </c>
      <c r="AD120" s="157" cm="1">
        <f t="array" aca="1" ref="AD120" ca="1">IF(OR($E120="X",$E120="",$E120=0,$B120="X",$B120="",$B120=0),0,SUM(_xlfn._xlws.FILTER(PrvSty[DsvValue:EXT.],(PrvSty[Project]=TEXT($B120,"@"))*(PrvSty[Row]=$E120)*(PrvSty[Column]=UPPER(AC$114)),0)))</f>
        <v>0</v>
      </c>
      <c r="AE120" s="157" cm="1">
        <f t="array" aca="1" ref="AE120" ca="1">IF(OR($E120="X",$E120="",$E120=0,$B120="X",$B120="",$B120=0),0,SUM(_xlfn._xlws.FILTER(PrvSty[DsvValue:SERRA],(PrvSty[Project]=TEXT($B120,"@"))*(PrvSty[Row]=$E120)*(PrvSty[Column]=UPPER(AE$114)),0)))</f>
        <v>0</v>
      </c>
      <c r="AF120" s="157" cm="1">
        <f t="array" aca="1" ref="AF120" ca="1">IF(OR($E120="X",$E120="",$E120=0,$B120="X",$B120="",$B120=0),0,SUM(_xlfn._xlws.FILTER(PrvSty[DsvValue:EXT.],(PrvSty[Project]=TEXT($B120,"@"))*(PrvSty[Row]=$E120)*(PrvSty[Column]=UPPER(AE$114)),0)))</f>
        <v>0</v>
      </c>
      <c r="AG120" s="157" cm="1">
        <f t="array" aca="1" ref="AG120" ca="1">IF(OR($E120="X",$E120="",$E120=0,$B120="X",$B120="",$B120=0),0,SUM(_xlfn._xlws.FILTER(PrvSty[DsvValue:SERRA],(PrvSty[Project]=TEXT($B120,"@"))*(PrvSty[Row]=$E120)*(PrvSty[Column]=UPPER(AG$114)),0)))</f>
        <v>0</v>
      </c>
      <c r="AH120" s="157" cm="1">
        <f t="array" aca="1" ref="AH120" ca="1">IF(OR($E120="X",$E120="",$E120=0,$B120="X",$B120="",$B120=0),0,SUM(_xlfn._xlws.FILTER(PrvSty[DsvValue:EXT.],(PrvSty[Project]=TEXT($B120,"@"))*(PrvSty[Row]=$E120)*(PrvSty[Column]=UPPER(AG$114)),0)))</f>
        <v>0</v>
      </c>
      <c r="AI120" s="157" cm="1">
        <f t="array" aca="1" ref="AI120" ca="1">IF(OR($E120="X",$E120="",$E120=0,$B120="X",$B120="",$B120=0),0,SUM(_xlfn._xlws.FILTER(PrvSty[DsvValue:SERRA],(PrvSty[Project]=TEXT($B120,"@"))*(PrvSty[Row]=$E120)*(PrvSty[Column]=UPPER(AI$114)),0)))</f>
        <v>0</v>
      </c>
      <c r="AJ120" s="157" cm="1">
        <f t="array" aca="1" ref="AJ120" ca="1">IF(OR($E120="X",$E120="",$E120=0,$B120="X",$B120="",$B120=0),0,SUM(_xlfn._xlws.FILTER(PrvSty[DsvValue:EXT.],(PrvSty[Project]=TEXT($B120,"@"))*(PrvSty[Row]=$E120)*(PrvSty[Column]=UPPER(AI$114)),0)))</f>
        <v>20.8</v>
      </c>
      <c r="AK120" s="157" cm="1">
        <f t="array" aca="1" ref="AK120" ca="1">IF(OR($E120="X",$E120="",$E120=0,$B120="X",$B120="",$B120=0),0,SUM(_xlfn._xlws.FILTER(PrvSty[DsvValue:SERRA],(PrvSty[Project]=TEXT($B120,"@"))*(PrvSty[Row]=$E120)*(PrvSty[Column]=UPPER(AK$114)),0)))</f>
        <v>0</v>
      </c>
      <c r="AL120" s="157" cm="1">
        <f t="array" aca="1" ref="AL120" ca="1">IF(OR($E120="X",$E120="",$E120=0,$B120="X",$B120="",$B120=0),0,SUM(_xlfn._xlws.FILTER(PrvSty[DsvValue:EXT.],(PrvSty[Project]=TEXT($B120,"@"))*(PrvSty[Row]=$E120)*(PrvSty[Column]=UPPER(AK$114)),0)))</f>
        <v>26.23</v>
      </c>
      <c r="AM120" s="157" cm="1">
        <f t="array" aca="1" ref="AM120" ca="1">IF(OR($E120="X",$E120="",$E120=0,$B120="X",$B120="",$B120=0),0,SUM(_xlfn._xlws.FILTER(PrvSty[DsvValue:SERRA],(PrvSty[Project]=TEXT($B120,"@"))*(PrvSty[Row]=$E120)*(PrvSty[Column]=UPPER(AM$114)),0)))</f>
        <v>0</v>
      </c>
      <c r="AN120" s="157" cm="1">
        <f t="array" aca="1" ref="AN120" ca="1">IF(OR($E120="X",$E120="",$E120=0,$B120="X",$B120="",$B120=0),0,SUM(_xlfn._xlws.FILTER(PrvSty[DsvValue:EXT.],(PrvSty[Project]=TEXT($B120,"@"))*(PrvSty[Row]=$E120)*(PrvSty[Column]=UPPER(AM$114)),0)))</f>
        <v>0</v>
      </c>
      <c r="AO120" s="157" cm="1">
        <f t="array" aca="1" ref="AO120" ca="1">IF(OR($E120="X",$E120="",$E120=0,$B120="X",$B120="",$B120=0),0,SUM(_xlfn._xlws.FILTER(PrvSty[DsvValue:SERRA],(PrvSty[Project]=TEXT($B120,"@"))*(PrvSty[Row]=$E120)*(PrvSty[Column]=UPPER(AO$114)),0)))</f>
        <v>0</v>
      </c>
      <c r="AP120" s="157" cm="1">
        <f t="array" aca="1" ref="AP120" ca="1">IF(OR($E120="X",$E120="",$E120=0,$B120="X",$B120="",$B120=0),0,SUM(_xlfn._xlws.FILTER(PrvSty[DsvValue:EXT.],(PrvSty[Project]=TEXT($B120,"@"))*(PrvSty[Row]=$E120)*(PrvSty[Column]=UPPER(AO$114)),0)))</f>
        <v>0</v>
      </c>
      <c r="AQ120" s="157" cm="1">
        <f t="array" aca="1" ref="AQ120" ca="1">SUM(IF(INDIRECT($AS$115)=AQ$115,INDIRECT($AS120)))</f>
        <v>0</v>
      </c>
      <c r="AR120" s="157" cm="1">
        <f t="array" aca="1" ref="AR120" ca="1">SUM(IF(INDIRECT($AS$115)=AR$115,INDIRECT($AS120)))</f>
        <v>47.03</v>
      </c>
      <c r="AS120" s="286" t="str">
        <f t="shared" ca="1" si="13"/>
        <v>G120:AP120</v>
      </c>
      <c r="AT120" s="403">
        <f t="shared" ca="1" si="14"/>
        <v>47.03</v>
      </c>
      <c r="AV120" s="142" cm="1">
        <f t="array" aca="1" ref="AV120" ca="1">IF(AND(_xlfn.LET(_xlpm.x,SUM(ROW()),OR(AND(MATCH("SOT",$A:$A,0)&lt;_xlpm.x,MATCH("EOT",$A:$A,0)&gt;_xlpm.x),AND(MATCH("SOS",$A:$A,0)&lt;_xlpm.x,MATCH("EOS",$A:$A,0)&gt;_xlpm.x),AND(MATCH("SOR",$A:$A,0)&lt;_xlpm.x,MATCH("EOR",$A:$A,0)&gt;_xlpm.x))),INDIRECT("rc"&amp;MATCH("SCD",$1:$1,0),FALSE)="PPTO"),1,0)</f>
        <v>0</v>
      </c>
      <c r="AW120" s="142" cm="1">
        <f t="array" aca="1" ref="AW12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21" spans="1:50" outlineLevel="1">
      <c r="B121" s="156" t="str" cm="1">
        <f t="array" aca="1" ref="B121:E121" ca="1">_xlfn.LET(_xlpm.x,SUM(ROW()-MATCH("SOR",$A:$A,0)),_xlpm.y,IFERROR(_xlfn.TAKE(INDEX(_xlfn._xlws.FILTER(TbAssign[],ISNUMBER(FIND(TbAssign[Project],$C$4)),"X"),1+QUOTIENT(_xlpm.x,3),0),1,4),0),IF(MOD(_xlpm.x-1,3)=0,IF(_xlpm.y=0,"X",_xlpm.y),INDIRECT("r[-1]c#",FALSE)))</f>
        <v>31200</v>
      </c>
      <c r="C121" s="156" t="str">
        <f ca="1"/>
        <v>XB01</v>
      </c>
      <c r="D121" s="148" t="str">
        <f ca="1"/>
        <v>DISC</v>
      </c>
      <c r="E121" s="352" t="str">
        <f ca="1"/>
        <v>DISEÑO HARDWARE</v>
      </c>
      <c r="F121" s="148" t="s">
        <v>1383</v>
      </c>
      <c r="G121" s="158" cm="1">
        <f t="array" aca="1" ref="G121" ca="1">IF(OR($E121="X",$E121="",$E121=0,$B121="X",$B121="",$B121=0),0,SUM(_xlfn._xlws.FILTER(FrmBB1[Cur],(FrmBB1[PrjId]=TEXT($B121,"@"))*(FrmBB1[Row]=$E121)*(FrmBB1[Column]=UPPER(_xlfn.LET(_xlpm.x,_xlfn.TEXTBEFORE(G$114," ("),IFERROR(_xlpm.x,G$114)))&amp;" "&amp;G$115),0)))</f>
        <v>0</v>
      </c>
      <c r="H121" s="157" cm="1">
        <f t="array" aca="1" ref="H121" ca="1">IF(OR($E121="X",$E121="",$E121=0,$B121="X",$B121="",$B121=0),0,SUM(_xlfn._xlws.FILTER(FrmBB1[Cur],(FrmBB1[PrjId]=TEXT($B121,"@"))*(FrmBB1[Row]=$E121)*(FrmBB1[Column]=UPPER(_xlfn.LET(_xlpm.x,_xlfn.TEXTBEFORE(G$114," ("),IFERROR(_xlpm.x,G$114)))&amp;" "&amp;H$115),0)))</f>
        <v>0</v>
      </c>
      <c r="I121" s="158" cm="1">
        <f t="array" aca="1" ref="I121" ca="1">IF(OR($E121="X",$E121="",$E121=0,$B121="X",$B121="",$B121=0),0,SUM(_xlfn._xlws.FILTER(FrmBB1[Cur],(FrmBB1[PrjId]=TEXT($B121,"@"))*(FrmBB1[Row]=$E121)*(FrmBB1[Column]=UPPER(_xlfn.LET(_xlpm.x,_xlfn.TEXTBEFORE(I$114," ("),IFERROR(_xlpm.x,I$114)))&amp;" "&amp;I$115),0)))</f>
        <v>0</v>
      </c>
      <c r="J121" s="157" cm="1">
        <f t="array" aca="1" ref="J121" ca="1">IF(OR($E121="X",$E121="",$E121=0,$B121="X",$B121="",$B121=0),0,SUM(_xlfn._xlws.FILTER(FrmBB1[Cur],(FrmBB1[PrjId]=TEXT($B121,"@"))*(FrmBB1[Row]=$E121)*(FrmBB1[Column]=UPPER(_xlfn.LET(_xlpm.x,_xlfn.TEXTBEFORE(I$114," ("),IFERROR(_xlpm.x,I$114)))&amp;" "&amp;J$115),0)))</f>
        <v>0</v>
      </c>
      <c r="K121" s="158" cm="1">
        <f t="array" aca="1" ref="K121" ca="1">IF(OR($E121="X",$E121="",$E121=0,$B121="X",$B121="",$B121=0),0,SUM(_xlfn._xlws.FILTER(FrmBB1[Cur],(FrmBB1[PrjId]=TEXT($B121,"@"))*(FrmBB1[Row]=$E121)*(FrmBB1[Column]=UPPER(_xlfn.LET(_xlpm.x,_xlfn.TEXTBEFORE(K$114," ("),IFERROR(_xlpm.x,K$114)))&amp;" "&amp;K$115),0)))</f>
        <v>0</v>
      </c>
      <c r="L121" s="157" cm="1">
        <f t="array" aca="1" ref="L121" ca="1">IF(OR($E121="X",$E121="",$E121=0,$B121="X",$B121="",$B121=0),0,SUM(_xlfn._xlws.FILTER(FrmBB1[Cur],(FrmBB1[PrjId]=TEXT($B121,"@"))*(FrmBB1[Row]=$E121)*(FrmBB1[Column]=UPPER(_xlfn.LET(_xlpm.x,_xlfn.TEXTBEFORE(K$114," ("),IFERROR(_xlpm.x,K$114)))&amp;" "&amp;L$115),0)))</f>
        <v>0</v>
      </c>
      <c r="M121" s="158" cm="1">
        <f t="array" aca="1" ref="M121" ca="1">IF(OR($E121="X",$E121="",$E121=0,$B121="X",$B121="",$B121=0),0,SUM(_xlfn._xlws.FILTER(FrmBB1[Cur],(FrmBB1[PrjId]=TEXT($B121,"@"))*(FrmBB1[Row]=$E121)*(FrmBB1[Column]=UPPER(_xlfn.LET(_xlpm.x,_xlfn.TEXTBEFORE(M$114," ("),IFERROR(_xlpm.x,M$114)))&amp;" "&amp;M$115),0)))</f>
        <v>0</v>
      </c>
      <c r="N121" s="157" cm="1">
        <f t="array" aca="1" ref="N121" ca="1">IF(OR($E121="X",$E121="",$E121=0,$B121="X",$B121="",$B121=0),0,SUM(_xlfn._xlws.FILTER(FrmBB1[Cur],(FrmBB1[PrjId]=TEXT($B121,"@"))*(FrmBB1[Row]=$E121)*(FrmBB1[Column]=UPPER(_xlfn.LET(_xlpm.x,_xlfn.TEXTBEFORE(M$114," ("),IFERROR(_xlpm.x,M$114)))&amp;" "&amp;N$115),0)))</f>
        <v>0</v>
      </c>
      <c r="O121" s="158" cm="1">
        <f t="array" aca="1" ref="O121" ca="1">IF(OR($E121="X",$E121="",$E121=0,$B121="X",$B121="",$B121=0),0,SUM(_xlfn._xlws.FILTER(FrmBB1[Cur],(FrmBB1[PrjId]=TEXT($B121,"@"))*(FrmBB1[Row]=$E121)*(FrmBB1[Column]=UPPER(_xlfn.LET(_xlpm.x,_xlfn.TEXTBEFORE(O$114," ("),IFERROR(_xlpm.x,O$114)))&amp;" "&amp;O$115),0)))</f>
        <v>19337.2</v>
      </c>
      <c r="P121" s="157" cm="1">
        <f t="array" aca="1" ref="P121" ca="1">IF(OR($E121="X",$E121="",$E121=0,$B121="X",$B121="",$B121=0),0,SUM(_xlfn._xlws.FILTER(FrmBB1[Cur],(FrmBB1[PrjId]=TEXT($B121,"@"))*(FrmBB1[Row]=$E121)*(FrmBB1[Column]=UPPER(_xlfn.LET(_xlpm.x,_xlfn.TEXTBEFORE(O$114," ("),IFERROR(_xlpm.x,O$114)))&amp;" "&amp;P$115),0)))</f>
        <v>15000</v>
      </c>
      <c r="Q121" s="158" cm="1">
        <f t="array" aca="1" ref="Q121" ca="1">IF(OR($E121="X",$E121="",$E121=0,$B121="X",$B121="",$B121=0),0,SUM(_xlfn._xlws.FILTER(FrmBB1[Cur],(FrmBB1[PrjId]=TEXT($B121,"@"))*(FrmBB1[Row]=$E121)*(FrmBB1[Column]=UPPER(_xlfn.LET(_xlpm.x,_xlfn.TEXTBEFORE(Q$114," ("),IFERROR(_xlpm.x,Q$114)))&amp;" "&amp;Q$115),0)))</f>
        <v>11020.56</v>
      </c>
      <c r="R121" s="157" cm="1">
        <f t="array" aca="1" ref="R121" ca="1">IF(OR($E121="X",$E121="",$E121=0,$B121="X",$B121="",$B121=0),0,SUM(_xlfn._xlws.FILTER(FrmBB1[Cur],(FrmBB1[PrjId]=TEXT($B121,"@"))*(FrmBB1[Row]=$E121)*(FrmBB1[Column]=UPPER(_xlfn.LET(_xlpm.x,_xlfn.TEXTBEFORE(Q$114," ("),IFERROR(_xlpm.x,Q$114)))&amp;" "&amp;R$115),0)))</f>
        <v>0</v>
      </c>
      <c r="S121" s="158" cm="1">
        <f t="array" aca="1" ref="S121" ca="1">IF(OR($E121="X",$E121="",$E121=0,$B121="X",$B121="",$B121=0),0,SUM(_xlfn._xlws.FILTER(FrmBB1[Cur],(FrmBB1[PrjId]=TEXT($B121,"@"))*(FrmBB1[Row]=$E121)*(FrmBB1[Column]=UPPER(_xlfn.LET(_xlpm.x,_xlfn.TEXTBEFORE(S$114," ("),IFERROR(_xlpm.x,S$114)))&amp;" "&amp;S$115),0)))</f>
        <v>0</v>
      </c>
      <c r="T121" s="157" cm="1">
        <f t="array" aca="1" ref="T121" ca="1">IF(OR($E121="X",$E121="",$E121=0,$B121="X",$B121="",$B121=0),0,SUM(_xlfn._xlws.FILTER(FrmBB1[Cur],(FrmBB1[PrjId]=TEXT($B121,"@"))*(FrmBB1[Row]=$E121)*(FrmBB1[Column]=UPPER(_xlfn.LET(_xlpm.x,_xlfn.TEXTBEFORE(S$114," ("),IFERROR(_xlpm.x,S$114)))&amp;" "&amp;T$115),0)))</f>
        <v>0</v>
      </c>
      <c r="U121" s="158" cm="1">
        <f t="array" aca="1" ref="U121" ca="1">IF(OR($E121="X",$E121="",$E121=0,$B121="X",$B121="",$B121=0),0,SUM(_xlfn._xlws.FILTER(FrmBB1[Cur],(FrmBB1[PrjId]=TEXT($B121,"@"))*(FrmBB1[Row]=$E121)*(FrmBB1[Column]=UPPER(_xlfn.LET(_xlpm.x,_xlfn.TEXTBEFORE(U$114," ("),IFERROR(_xlpm.x,U$114)))&amp;" "&amp;U$115),0)))</f>
        <v>0</v>
      </c>
      <c r="V121" s="157" cm="1">
        <f t="array" aca="1" ref="V121" ca="1">IF(OR($E121="X",$E121="",$E121=0,$B121="X",$B121="",$B121=0),0,SUM(_xlfn._xlws.FILTER(FrmBB1[Cur],(FrmBB1[PrjId]=TEXT($B121,"@"))*(FrmBB1[Row]=$E121)*(FrmBB1[Column]=UPPER(_xlfn.LET(_xlpm.x,_xlfn.TEXTBEFORE(U$114," ("),IFERROR(_xlpm.x,U$114)))&amp;" "&amp;V$115),0)))</f>
        <v>0</v>
      </c>
      <c r="W121" s="158" cm="1">
        <f t="array" aca="1" ref="W121" ca="1">IF(OR($E121="X",$E121="",$E121=0,$B121="X",$B121="",$B121=0),0,SUM(_xlfn._xlws.FILTER(FrmBB1[Cur],(FrmBB1[PrjId]=TEXT($B121,"@"))*(FrmBB1[Row]=$E121)*(FrmBB1[Column]=UPPER(_xlfn.LET(_xlpm.x,_xlfn.TEXTBEFORE(W$114," ("),IFERROR(_xlpm.x,W$114)))&amp;" "&amp;W$115),0)))</f>
        <v>0</v>
      </c>
      <c r="X121" s="157" cm="1">
        <f t="array" aca="1" ref="X121" ca="1">IF(OR($E121="X",$E121="",$E121=0,$B121="X",$B121="",$B121=0),0,SUM(_xlfn._xlws.FILTER(FrmBB1[Cur],(FrmBB1[PrjId]=TEXT($B121,"@"))*(FrmBB1[Row]=$E121)*(FrmBB1[Column]=UPPER(_xlfn.LET(_xlpm.x,_xlfn.TEXTBEFORE(W$114," ("),IFERROR(_xlpm.x,W$114)))&amp;" "&amp;X$115),0)))</f>
        <v>0</v>
      </c>
      <c r="Y121" s="158" cm="1">
        <f t="array" aca="1" ref="Y121" ca="1">IF(OR($E121="X",$E121="",$E121=0,$B121="X",$B121="",$B121=0),0,SUM(_xlfn._xlws.FILTER(FrmBB1[Cur],(FrmBB1[PrjId]=TEXT($B121,"@"))*(FrmBB1[Row]=$E121)*(FrmBB1[Column]=UPPER(_xlfn.LET(_xlpm.x,_xlfn.TEXTBEFORE(Y$114," ("),IFERROR(_xlpm.x,Y$114)))&amp;" "&amp;Y$115),0)))</f>
        <v>0</v>
      </c>
      <c r="Z121" s="157" cm="1">
        <f t="array" aca="1" ref="Z121" ca="1">IF(OR($E121="X",$E121="",$E121=0,$B121="X",$B121="",$B121=0),0,SUM(_xlfn._xlws.FILTER(FrmBB1[Cur],(FrmBB1[PrjId]=TEXT($B121,"@"))*(FrmBB1[Row]=$E121)*(FrmBB1[Column]=UPPER(_xlfn.LET(_xlpm.x,_xlfn.TEXTBEFORE(Y$114," ("),IFERROR(_xlpm.x,Y$114)))&amp;" "&amp;Z$115),0)))</f>
        <v>0</v>
      </c>
      <c r="AA121" s="158" cm="1">
        <f t="array" aca="1" ref="AA121" ca="1">IF(OR($E121="X",$E121="",$E121=0,$B121="X",$B121="",$B121=0),0,SUM(_xlfn._xlws.FILTER(FrmBB1[Cur],(FrmBB1[PrjId]=TEXT($B121,"@"))*(FrmBB1[Row]=$E121)*(FrmBB1[Column]=UPPER(_xlfn.LET(_xlpm.x,_xlfn.TEXTBEFORE(AA$114," ("),IFERROR(_xlpm.x,AA$114)))&amp;" "&amp;AA$115),0)))</f>
        <v>0</v>
      </c>
      <c r="AB121" s="157" cm="1">
        <f t="array" aca="1" ref="AB121" ca="1">IF(OR($E121="X",$E121="",$E121=0,$B121="X",$B121="",$B121=0),0,SUM(_xlfn._xlws.FILTER(FrmBB1[Cur],(FrmBB1[PrjId]=TEXT($B121,"@"))*(FrmBB1[Row]=$E121)*(FrmBB1[Column]=UPPER(_xlfn.LET(_xlpm.x,_xlfn.TEXTBEFORE(AA$114," ("),IFERROR(_xlpm.x,AA$114)))&amp;" "&amp;AB$115),0)))</f>
        <v>0</v>
      </c>
      <c r="AC121" s="158" cm="1">
        <f t="array" aca="1" ref="AC121" ca="1">IF(OR($E121="X",$E121="",$E121=0,$B121="X",$B121="",$B121=0),0,SUM(_xlfn._xlws.FILTER(FrmBB1[Cur],(FrmBB1[PrjId]=TEXT($B121,"@"))*(FrmBB1[Row]=$E121)*(FrmBB1[Column]=UPPER(_xlfn.LET(_xlpm.x,_xlfn.TEXTBEFORE(AC$114," ("),IFERROR(_xlpm.x,AC$114)))&amp;" "&amp;AC$115),0)))</f>
        <v>0</v>
      </c>
      <c r="AD121" s="157" cm="1">
        <f t="array" aca="1" ref="AD121" ca="1">IF(OR($E121="X",$E121="",$E121=0,$B121="X",$B121="",$B121=0),0,SUM(_xlfn._xlws.FILTER(FrmBB1[Cur],(FrmBB1[PrjId]=TEXT($B121,"@"))*(FrmBB1[Row]=$E121)*(FrmBB1[Column]=UPPER(_xlfn.LET(_xlpm.x,_xlfn.TEXTBEFORE(AC$114," ("),IFERROR(_xlpm.x,AC$114)))&amp;" "&amp;AD$115),0)))</f>
        <v>0</v>
      </c>
      <c r="AE121" s="158" cm="1">
        <f t="array" aca="1" ref="AE121" ca="1">IF(OR($E121="X",$E121="",$E121=0,$B121="X",$B121="",$B121=0),0,SUM(_xlfn._xlws.FILTER(FrmBB1[Cur],(FrmBB1[PrjId]=TEXT($B121,"@"))*(FrmBB1[Row]=$E121)*(FrmBB1[Column]=UPPER(_xlfn.LET(_xlpm.x,_xlfn.TEXTBEFORE(AE$114," ("),IFERROR(_xlpm.x,AE$114)))&amp;" "&amp;AE$115),0)))</f>
        <v>0</v>
      </c>
      <c r="AF121" s="157" cm="1">
        <f t="array" aca="1" ref="AF121" ca="1">IF(OR($E121="X",$E121="",$E121=0,$B121="X",$B121="",$B121=0),0,SUM(_xlfn._xlws.FILTER(FrmBB1[Cur],(FrmBB1[PrjId]=TEXT($B121,"@"))*(FrmBB1[Row]=$E121)*(FrmBB1[Column]=UPPER(_xlfn.LET(_xlpm.x,_xlfn.TEXTBEFORE(AE$114," ("),IFERROR(_xlpm.x,AE$114)))&amp;" "&amp;AF$115),0)))</f>
        <v>0</v>
      </c>
      <c r="AG121" s="158" cm="1">
        <f t="array" aca="1" ref="AG121" ca="1">IF(OR($E121="X",$E121="",$E121=0,$B121="X",$B121="",$B121=0),0,SUM(_xlfn._xlws.FILTER(FrmBB1[Cur],(FrmBB1[PrjId]=TEXT($B121,"@"))*(FrmBB1[Row]=$E121)*(FrmBB1[Column]=UPPER(_xlfn.LET(_xlpm.x,_xlfn.TEXTBEFORE(AG$114," ("),IFERROR(_xlpm.x,AG$114)))&amp;" "&amp;AG$115),0)))</f>
        <v>0</v>
      </c>
      <c r="AH121" s="157" cm="1">
        <f t="array" aca="1" ref="AH121" ca="1">IF(OR($E121="X",$E121="",$E121=0,$B121="X",$B121="",$B121=0),0,SUM(_xlfn._xlws.FILTER(FrmBB1[Cur],(FrmBB1[PrjId]=TEXT($B121,"@"))*(FrmBB1[Row]=$E121)*(FrmBB1[Column]=UPPER(_xlfn.LET(_xlpm.x,_xlfn.TEXTBEFORE(AG$114," ("),IFERROR(_xlpm.x,AG$114)))&amp;" "&amp;AH$115),0)))</f>
        <v>0</v>
      </c>
      <c r="AI121" s="158" cm="1">
        <f t="array" aca="1" ref="AI121" ca="1">IF(OR($E121="X",$E121="",$E121=0,$B121="X",$B121="",$B121=0),0,SUM(_xlfn._xlws.FILTER(FrmBB1[Cur],(FrmBB1[PrjId]=TEXT($B121,"@"))*(FrmBB1[Row]=$E121)*(FrmBB1[Column]=UPPER(_xlfn.LET(_xlpm.x,_xlfn.TEXTBEFORE(AI$114," ("),IFERROR(_xlpm.x,AI$114)))&amp;" "&amp;AI$115),0)))</f>
        <v>0</v>
      </c>
      <c r="AJ121" s="157" cm="1">
        <f t="array" aca="1" ref="AJ121" ca="1">IF(OR($E121="X",$E121="",$E121=0,$B121="X",$B121="",$B121=0),0,SUM(_xlfn._xlws.FILTER(FrmBB1[Cur],(FrmBB1[PrjId]=TEXT($B121,"@"))*(FrmBB1[Row]=$E121)*(FrmBB1[Column]=UPPER(_xlfn.LET(_xlpm.x,_xlfn.TEXTBEFORE(AI$114," ("),IFERROR(_xlpm.x,AI$114)))&amp;" "&amp;AJ$115),0)))</f>
        <v>20.8</v>
      </c>
      <c r="AK121" s="158" cm="1">
        <f t="array" aca="1" ref="AK121" ca="1">IF(OR($E121="X",$E121="",$E121=0,$B121="X",$B121="",$B121=0),0,SUM(_xlfn._xlws.FILTER(FrmBB1[Cur],(FrmBB1[PrjId]=TEXT($B121,"@"))*(FrmBB1[Row]=$E121)*(FrmBB1[Column]=UPPER(_xlfn.LET(_xlpm.x,_xlfn.TEXTBEFORE(AK$114," ("),IFERROR(_xlpm.x,AK$114)))&amp;" "&amp;AK$115),0)))</f>
        <v>0</v>
      </c>
      <c r="AL121" s="157" cm="1">
        <f t="array" aca="1" ref="AL121" ca="1">IF(OR($E121="X",$E121="",$E121=0,$B121="X",$B121="",$B121=0),0,SUM(_xlfn._xlws.FILTER(FrmBB1[Cur],(FrmBB1[PrjId]=TEXT($B121,"@"))*(FrmBB1[Row]=$E121)*(FrmBB1[Column]=UPPER(_xlfn.LET(_xlpm.x,_xlfn.TEXTBEFORE(AK$114," ("),IFERROR(_xlpm.x,AK$114)))&amp;" "&amp;AL$115),0)))</f>
        <v>26.23</v>
      </c>
      <c r="AM121" s="158" cm="1">
        <f t="array" aca="1" ref="AM121" ca="1">IF(OR($E121="X",$E121="",$E121=0,$B121="X",$B121="",$B121=0),0,SUM(_xlfn._xlws.FILTER(FrmBB1[Cur],(FrmBB1[PrjId]=TEXT($B121,"@"))*(FrmBB1[Row]=$E121)*(FrmBB1[Column]=UPPER(_xlfn.LET(_xlpm.x,_xlfn.TEXTBEFORE(AM$114," ("),IFERROR(_xlpm.x,AM$114)))&amp;" "&amp;AM$115),0)))</f>
        <v>0</v>
      </c>
      <c r="AN121" s="157" cm="1">
        <f t="array" aca="1" ref="AN121" ca="1">IF(OR($E121="X",$E121="",$E121=0,$B121="X",$B121="",$B121=0),0,SUM(_xlfn._xlws.FILTER(FrmBB1[Cur],(FrmBB1[PrjId]=TEXT($B121,"@"))*(FrmBB1[Row]=$E121)*(FrmBB1[Column]=UPPER(_xlfn.LET(_xlpm.x,_xlfn.TEXTBEFORE(AM$114," ("),IFERROR(_xlpm.x,AM$114)))&amp;" "&amp;AN$115),0)))</f>
        <v>0</v>
      </c>
      <c r="AO121" s="158" cm="1">
        <f t="array" aca="1" ref="AO121" ca="1">IF(OR($E121="X",$E121="",$E121=0,$B121="X",$B121="",$B121=0),0,SUM(_xlfn._xlws.FILTER(FrmBB1[Cur],(FrmBB1[PrjId]=TEXT($B121,"@"))*(FrmBB1[Row]=$E121)*(FrmBB1[Column]=UPPER(_xlfn.LET(_xlpm.x,_xlfn.TEXTBEFORE(AO$114," ("),IFERROR(_xlpm.x,AO$114)))&amp;" "&amp;AO$115),0)))</f>
        <v>0</v>
      </c>
      <c r="AP121" s="157" cm="1">
        <f t="array" aca="1" ref="AP121" ca="1">IF(OR($E121="X",$E121="",$E121=0,$B121="X",$B121="",$B121=0),0,SUM(_xlfn._xlws.FILTER(FrmBB1[Cur],(FrmBB1[PrjId]=TEXT($B121,"@"))*(FrmBB1[Row]=$E121)*(FrmBB1[Column]=UPPER(_xlfn.LET(_xlpm.x,_xlfn.TEXTBEFORE(AO$114," ("),IFERROR(_xlpm.x,AO$114)))&amp;" "&amp;AP$115),0)))</f>
        <v>0</v>
      </c>
      <c r="AQ121" s="157" cm="1">
        <f t="array" aca="1" ref="AQ121" ca="1">SUM(IF(INDIRECT($AS$115)=AQ$115,INDIRECT($AS121)))</f>
        <v>30357.760000000002</v>
      </c>
      <c r="AR121" s="157" cm="1">
        <f t="array" aca="1" ref="AR121" ca="1">SUM(IF(INDIRECT($AS$115)=AR$115,INDIRECT($AS121)))</f>
        <v>15047.029999999999</v>
      </c>
      <c r="AS121" s="286" t="str">
        <f t="shared" ca="1" si="13"/>
        <v>G121:AP121</v>
      </c>
      <c r="AT121" s="355">
        <f t="shared" ca="1" si="14"/>
        <v>45404.79</v>
      </c>
      <c r="AV121" s="142" cm="1">
        <f t="array" aca="1" ref="AV121" ca="1">IF(AND(_xlfn.LET(_xlpm.x,SUM(ROW()),OR(AND(MATCH("SOT",$A:$A,0)&lt;_xlpm.x,MATCH("EOT",$A:$A,0)&gt;_xlpm.x),AND(MATCH("SOS",$A:$A,0)&lt;_xlpm.x,MATCH("EOS",$A:$A,0)&gt;_xlpm.x),AND(MATCH("SOR",$A:$A,0)&lt;_xlpm.x,MATCH("EOR",$A:$A,0)&gt;_xlpm.x))),INDIRECT("rc"&amp;MATCH("SCD",$1:$1,0),FALSE)="PPTO"),1,0)</f>
        <v>0</v>
      </c>
      <c r="AW121" s="142" cm="1">
        <f t="array" aca="1" ref="AW12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22" spans="1:50" outlineLevel="1">
      <c r="B122" s="156" t="str" cm="1">
        <f t="array" aca="1" ref="B122:E122" ca="1">_xlfn.LET(_xlpm.x,SUM(ROW()-MATCH("SOR",$A:$A,0)),_xlpm.y,IFERROR(_xlfn.TAKE(INDEX(_xlfn._xlws.FILTER(TbAssign[],ISNUMBER(FIND(TbAssign[Project],$C$4)),"X"),1+QUOTIENT(_xlpm.x,3),0),1,4),0),IF(MOD(_xlpm.x-1,3)=0,IF(_xlpm.y=0,"X",_xlpm.y),INDIRECT("r[-1]c#",FALSE)))</f>
        <v>31200</v>
      </c>
      <c r="C122" s="156" t="str">
        <f ca="1"/>
        <v>XB01</v>
      </c>
      <c r="D122" s="148" t="str">
        <f ca="1"/>
        <v>DIST</v>
      </c>
      <c r="E122" s="352" t="str">
        <f ca="1"/>
        <v>DISEÑO SOFTWARE</v>
      </c>
      <c r="F122" s="148" t="s">
        <v>397</v>
      </c>
      <c r="G122" s="157" cm="1">
        <f t="array" aca="1" ref="G122" ca="1">IF(OR($E122="X",$E122="",$E122=0,$B122="X",$B122="",$B122=0),0,SUM(_xlfn._xlws.FILTER(IF($E$4="Ppto",PptoSty[CurPpto],PptoSty[CurInt]),(IF($E$4="Ppto",PptoSty[POvsCT]=G$113,TRUE))*(PptoSty[Project]=TEXT($B122,"@"))*(PptoSty[PptoVsRow]=$E122)*(PptoSty[PptoVsColumn]=UPPER(G$114)),0)))</f>
        <v>0</v>
      </c>
      <c r="H122" s="157" cm="1">
        <f t="array" aca="1" ref="H122" ca="1">IF(OR($E122="X",$E122="",$E122=0,$B122="X",$B122="",$B122=0),0,SUM(_xlfn._xlws.FILTER(IF($E$4="Ppto",PptoSty[CurPpto],PptoSty[CurExt]),(IF($E$4="Ppto",PptoSty[POvsCT]=H$113,TRUE))*(PptoSty[Project]=TEXT($B122,"@"))*(PptoSty[PptoVsRow]=$E122)*(PptoSty[PptoVsColumn]=UPPER(G$114)),0)))</f>
        <v>0</v>
      </c>
      <c r="I122" s="157" cm="1">
        <f t="array" aca="1" ref="I122" ca="1">IF(OR($E122="X",$E122="",$E122=0,$B122="X",$B122="",$B122=0),0,SUM(_xlfn._xlws.FILTER(IF($E$4="Ppto",PptoSty[CurPpto],PptoSty[CurInt]),(IF($E$4="Ppto",PptoSty[POvsCT]=I$113,TRUE))*(PptoSty[Project]=TEXT($B122,"@"))*(PptoSty[PptoVsRow]=$E122)*(PptoSty[PptoVsColumn]=UPPER(I$114)),0)))</f>
        <v>0</v>
      </c>
      <c r="J122" s="157" cm="1">
        <f t="array" aca="1" ref="J122" ca="1">IF(OR($E122="X",$E122="",$E122=0,$B122="X",$B122="",$B122=0),0,SUM(_xlfn._xlws.FILTER(IF($E$4="Ppto",PptoSty[CurPpto],PptoSty[CurExt]),(IF($E$4="Ppto",PptoSty[POvsCT]=J$113,TRUE))*(PptoSty[Project]=TEXT($B122,"@"))*(PptoSty[PptoVsRow]=$E122)*(PptoSty[PptoVsColumn]=UPPER(I$114)),0)))</f>
        <v>0</v>
      </c>
      <c r="K122" s="157" cm="1">
        <f t="array" aca="1" ref="K122" ca="1">IF(OR($E122="X",$E122="",$E122=0,$B122="X",$B122="",$B122=0),0,SUM(_xlfn._xlws.FILTER(IF($E$4="Ppto",PptoSty[CurPpto],PptoSty[CurInt]),(IF($E$4="Ppto",PptoSty[POvsCT]=K$113,TRUE))*(PptoSty[Project]=TEXT($B122,"@"))*(PptoSty[PptoVsRow]=$E122)*(PptoSty[PptoVsColumn]=UPPER(K$114)),0)))</f>
        <v>0</v>
      </c>
      <c r="L122" s="157" cm="1">
        <f t="array" aca="1" ref="L122" ca="1">IF(OR($E122="X",$E122="",$E122=0,$B122="X",$B122="",$B122=0),0,SUM(_xlfn._xlws.FILTER(IF($E$4="Ppto",PptoSty[CurPpto],PptoSty[CurExt]),(IF($E$4="Ppto",PptoSty[POvsCT]=L$113,TRUE))*(PptoSty[Project]=TEXT($B122,"@"))*(PptoSty[PptoVsRow]=$E122)*(PptoSty[PptoVsColumn]=UPPER(K$114)),0)))</f>
        <v>0</v>
      </c>
      <c r="M122" s="157" cm="1">
        <f t="array" aca="1" ref="M122" ca="1">IF(OR($E122="X",$E122="",$E122=0,$B122="X",$B122="",$B122=0),0,SUM(_xlfn._xlws.FILTER(IF($E$4="Ppto",PptoSty[CurPpto],PptoSty[CurInt]),(IF($E$4="Ppto",PptoSty[POvsCT]=M$113,TRUE))*(PptoSty[Project]=TEXT($B122,"@"))*(PptoSty[PptoVsRow]=$E122)*(PptoSty[PptoVsColumn]=UPPER(M$114)),0)))</f>
        <v>0</v>
      </c>
      <c r="N122" s="157" cm="1">
        <f t="array" aca="1" ref="N122" ca="1">IF(OR($E122="X",$E122="",$E122=0,$B122="X",$B122="",$B122=0),0,SUM(_xlfn._xlws.FILTER(IF($E$4="Ppto",PptoSty[CurPpto],PptoSty[CurExt]),(IF($E$4="Ppto",PptoSty[POvsCT]=N$113,TRUE))*(PptoSty[Project]=TEXT($B122,"@"))*(PptoSty[PptoVsRow]=$E122)*(PptoSty[PptoVsColumn]=UPPER(M$114)),0)))</f>
        <v>0</v>
      </c>
      <c r="O122" s="157" cm="1">
        <f t="array" aca="1" ref="O122" ca="1">IF(OR($E122="X",$E122="",$E122=0,$B122="X",$B122="",$B122=0),0,SUM(_xlfn._xlws.FILTER(IF($E$4="Ppto",PptoSty[CurPpto],PptoSty[CurInt]),(IF($E$4="Ppto",PptoSty[POvsCT]=O$113,TRUE))*(PptoSty[Project]=TEXT($B122,"@"))*(PptoSty[PptoVsRow]=$E122)*(PptoSty[PptoVsColumn]=UPPER(O$114)),0)))</f>
        <v>33714.229397309988</v>
      </c>
      <c r="P122" s="157" cm="1">
        <f t="array" aca="1" ref="P122" ca="1">IF(OR($E122="X",$E122="",$E122=0,$B122="X",$B122="",$B122=0),0,SUM(_xlfn._xlws.FILTER(IF($E$4="Ppto",PptoSty[CurPpto],PptoSty[CurExt]),(IF($E$4="Ppto",PptoSty[POvsCT]=P$113,TRUE))*(PptoSty[Project]=TEXT($B122,"@"))*(PptoSty[PptoVsRow]=$E122)*(PptoSty[PptoVsColumn]=UPPER(O$114)),0)))</f>
        <v>36769.80199598999</v>
      </c>
      <c r="Q122" s="157" cm="1">
        <f t="array" aca="1" ref="Q122" ca="1">IF(OR($E122="X",$E122="",$E122=0,$B122="X",$B122="",$B122=0),0,SUM(_xlfn._xlws.FILTER(IF($E$4="Ppto",PptoSty[CurPpto],PptoSty[CurInt]),(IF($E$4="Ppto",PptoSty[POvsCT]=Q$113,TRUE))*(PptoSty[Project]=TEXT($B122,"@"))*(PptoSty[PptoVsRow]=$E122)*(PptoSty[PptoVsColumn]=UPPER(Q$114)),0)))</f>
        <v>0</v>
      </c>
      <c r="R122" s="157" cm="1">
        <f t="array" aca="1" ref="R122" ca="1">IF(OR($E122="X",$E122="",$E122=0,$B122="X",$B122="",$B122=0),0,SUM(_xlfn._xlws.FILTER(IF($E$4="Ppto",PptoSty[CurPpto],PptoSty[CurExt]),(IF($E$4="Ppto",PptoSty[POvsCT]=R$113,TRUE))*(PptoSty[Project]=TEXT($B122,"@"))*(PptoSty[PptoVsRow]=$E122)*(PptoSty[PptoVsColumn]=UPPER(Q$114)),0)))</f>
        <v>0</v>
      </c>
      <c r="S122" s="157" cm="1">
        <f t="array" aca="1" ref="S122" ca="1">IF(OR($E122="X",$E122="",$E122=0,$B122="X",$B122="",$B122=0),0,SUM(_xlfn._xlws.FILTER(IF($E$4="Ppto",PptoSty[CurPpto],PptoSty[CurInt]),(IF($E$4="Ppto",PptoSty[POvsCT]=S$113,TRUE))*(PptoSty[Project]=TEXT($B122,"@"))*(PptoSty[PptoVsRow]=$E122)*(PptoSty[PptoVsColumn]=UPPER(S$114)),0)))</f>
        <v>9021.5914032877772</v>
      </c>
      <c r="T122" s="157" cm="1">
        <f t="array" aca="1" ref="T122" ca="1">IF(OR($E122="X",$E122="",$E122=0,$B122="X",$B122="",$B122=0),0,SUM(_xlfn._xlws.FILTER(IF($E$4="Ppto",PptoSty[CurPpto],PptoSty[CurExt]),(IF($E$4="Ppto",PptoSty[POvsCT]=T$113,TRUE))*(PptoSty[Project]=TEXT($B122,"@"))*(PptoSty[PptoVsRow]=$E122)*(PptoSty[PptoVsColumn]=UPPER(S$114)),0)))</f>
        <v>42185.798574126115</v>
      </c>
      <c r="U122" s="157" cm="1">
        <f t="array" aca="1" ref="U122" ca="1">IF(OR($E122="X",$E122="",$E122=0,$B122="X",$B122="",$B122=0),0,SUM(_xlfn._xlws.FILTER(IF($E$4="Ppto",PptoSty[CurPpto],PptoSty[CurInt]),(IF($E$4="Ppto",PptoSty[POvsCT]=U$113,TRUE))*(PptoSty[Project]=TEXT($B122,"@"))*(PptoSty[PptoVsRow]=$E122)*(PptoSty[PptoVsColumn]=UPPER(U$114)),0)))</f>
        <v>0</v>
      </c>
      <c r="V122" s="157" cm="1">
        <f t="array" aca="1" ref="V122" ca="1">IF(OR($E122="X",$E122="",$E122=0,$B122="X",$B122="",$B122=0),0,SUM(_xlfn._xlws.FILTER(IF($E$4="Ppto",PptoSty[CurPpto],PptoSty[CurExt]),(IF($E$4="Ppto",PptoSty[POvsCT]=V$113,TRUE))*(PptoSty[Project]=TEXT($B122,"@"))*(PptoSty[PptoVsRow]=$E122)*(PptoSty[PptoVsColumn]=UPPER(U$114)),0)))</f>
        <v>0</v>
      </c>
      <c r="W122" s="157" cm="1">
        <f t="array" aca="1" ref="W122" ca="1">IF(OR($E122="X",$E122="",$E122=0,$B122="X",$B122="",$B122=0),0,SUM(_xlfn._xlws.FILTER(IF($E$4="Ppto",PptoSty[CurPpto],PptoSty[CurInt]),(IF($E$4="Ppto",PptoSty[POvsCT]=W$113,TRUE))*(PptoSty[Project]=TEXT($B122,"@"))*(PptoSty[PptoVsRow]=$E122)*(PptoSty[PptoVsColumn]=UPPER(W$114)),0)))</f>
        <v>0</v>
      </c>
      <c r="X122" s="157" cm="1">
        <f t="array" aca="1" ref="X122" ca="1">IF(OR($E122="X",$E122="",$E122=0,$B122="X",$B122="",$B122=0),0,SUM(_xlfn._xlws.FILTER(IF($E$4="Ppto",PptoSty[CurPpto],PptoSty[CurExt]),(IF($E$4="Ppto",PptoSty[POvsCT]=X$113,TRUE))*(PptoSty[Project]=TEXT($B122,"@"))*(PptoSty[PptoVsRow]=$E122)*(PptoSty[PptoVsColumn]=UPPER(W$114)),0)))</f>
        <v>0</v>
      </c>
      <c r="Y122" s="157" cm="1">
        <f t="array" aca="1" ref="Y122" ca="1">IF(OR($E122="X",$E122="",$E122=0,$B122="X",$B122="",$B122=0),0,SUM(_xlfn._xlws.FILTER(IF($E$4="Ppto",PptoSty[CurPpto],PptoSty[CurInt]),(IF($E$4="Ppto",PptoSty[POvsCT]=Y$113,TRUE))*(PptoSty[Project]=TEXT($B122,"@"))*(PptoSty[PptoVsRow]=$E122)*(PptoSty[PptoVsColumn]=UPPER(Y$114)),0)))</f>
        <v>0</v>
      </c>
      <c r="Z122" s="157" cm="1">
        <f t="array" aca="1" ref="Z122" ca="1">IF(OR($E122="X",$E122="",$E122=0,$B122="X",$B122="",$B122=0),0,SUM(_xlfn._xlws.FILTER(IF($E$4="Ppto",PptoSty[CurPpto],PptoSty[CurExt]),(IF($E$4="Ppto",PptoSty[POvsCT]=Z$113,TRUE))*(PptoSty[Project]=TEXT($B122,"@"))*(PptoSty[PptoVsRow]=$E122)*(PptoSty[PptoVsColumn]=UPPER(Y$114)),0)))</f>
        <v>0</v>
      </c>
      <c r="AA122" s="157" cm="1">
        <f t="array" aca="1" ref="AA122" ca="1">IF(OR($E122="X",$E122="",$E122=0,$B122="X",$B122="",$B122=0),0,SUM(_xlfn._xlws.FILTER(IF($E$4="Ppto",PptoSty[CurPpto],PptoSty[CurInt]),(IF($E$4="Ppto",PptoSty[POvsCT]=AA$113,TRUE))*(PptoSty[Project]=TEXT($B122,"@"))*(PptoSty[PptoVsRow]=$E122)*(PptoSty[PptoVsColumn]=UPPER(AA$114)),0)))</f>
        <v>0</v>
      </c>
      <c r="AB122" s="157" cm="1">
        <f t="array" aca="1" ref="AB122" ca="1">IF(OR($E122="X",$E122="",$E122=0,$B122="X",$B122="",$B122=0),0,SUM(_xlfn._xlws.FILTER(IF($E$4="Ppto",PptoSty[CurPpto],PptoSty[CurExt]),(IF($E$4="Ppto",PptoSty[POvsCT]=AB$113,TRUE))*(PptoSty[Project]=TEXT($B122,"@"))*(PptoSty[PptoVsRow]=$E122)*(PptoSty[PptoVsColumn]=UPPER(AA$114)),0)))</f>
        <v>0</v>
      </c>
      <c r="AC122" s="157" cm="1">
        <f t="array" aca="1" ref="AC122" ca="1">IF(OR($E122="X",$E122="",$E122=0,$B122="X",$B122="",$B122=0),0,SUM(_xlfn._xlws.FILTER(IF($E$4="Ppto",PptoSty[CurPpto],PptoSty[CurInt]),(IF($E$4="Ppto",PptoSty[POvsCT]=AC$113,TRUE))*(PptoSty[Project]=TEXT($B122,"@"))*(PptoSty[PptoVsRow]=$E122)*(PptoSty[PptoVsColumn]=UPPER(AC$114)),0)))</f>
        <v>0</v>
      </c>
      <c r="AD122" s="157" cm="1">
        <f t="array" aca="1" ref="AD122" ca="1">IF(OR($E122="X",$E122="",$E122=0,$B122="X",$B122="",$B122=0),0,SUM(_xlfn._xlws.FILTER(IF($E$4="Ppto",PptoSty[CurPpto],PptoSty[CurExt]),(IF($E$4="Ppto",PptoSty[POvsCT]=AD$113,TRUE))*(PptoSty[Project]=TEXT($B122,"@"))*(PptoSty[PptoVsRow]=$E122)*(PptoSty[PptoVsColumn]=UPPER(AC$114)),0)))</f>
        <v>0</v>
      </c>
      <c r="AE122" s="157" cm="1">
        <f t="array" aca="1" ref="AE122" ca="1">IF(OR($E122="X",$E122="",$E122=0,$B122="X",$B122="",$B122=0),0,SUM(_xlfn._xlws.FILTER(IF($E$4="Ppto",PptoSty[CurPpto],PptoSty[CurInt]),(IF($E$4="Ppto",PptoSty[POvsCT]=AE$113,TRUE))*(PptoSty[Project]=TEXT($B122,"@"))*(PptoSty[PptoVsRow]=$E122)*(PptoSty[PptoVsColumn]=UPPER(AE$114)),0)))</f>
        <v>0</v>
      </c>
      <c r="AF122" s="157" cm="1">
        <f t="array" aca="1" ref="AF122" ca="1">IF(OR($E122="X",$E122="",$E122=0,$B122="X",$B122="",$B122=0),0,SUM(_xlfn._xlws.FILTER(IF($E$4="Ppto",PptoSty[CurPpto],PptoSty[CurExt]),(IF($E$4="Ppto",PptoSty[POvsCT]=AF$113,TRUE))*(PptoSty[Project]=TEXT($B122,"@"))*(PptoSty[PptoVsRow]=$E122)*(PptoSty[PptoVsColumn]=UPPER(AE$114)),0)))</f>
        <v>0</v>
      </c>
      <c r="AG122" s="157" cm="1">
        <f t="array" aca="1" ref="AG122" ca="1">IF(OR($E122="X",$E122="",$E122=0,$B122="X",$B122="",$B122=0),0,SUM(_xlfn._xlws.FILTER(IF($E$4="Ppto",PptoSty[CurPpto],PptoSty[CurInt]),(IF($E$4="Ppto",PptoSty[POvsCT]=AG$113,TRUE))*(PptoSty[Project]=TEXT($B122,"@"))*(PptoSty[PptoVsRow]=$E122)*(PptoSty[PptoVsColumn]=UPPER(AG$114)),0)))</f>
        <v>0</v>
      </c>
      <c r="AH122" s="157" cm="1">
        <f t="array" aca="1" ref="AH122" ca="1">IF(OR($E122="X",$E122="",$E122=0,$B122="X",$B122="",$B122=0),0,SUM(_xlfn._xlws.FILTER(IF($E$4="Ppto",PptoSty[CurPpto],PptoSty[CurExt]),(IF($E$4="Ppto",PptoSty[POvsCT]=AH$113,TRUE))*(PptoSty[Project]=TEXT($B122,"@"))*(PptoSty[PptoVsRow]=$E122)*(PptoSty[PptoVsColumn]=UPPER(AG$114)),0)))</f>
        <v>0</v>
      </c>
      <c r="AI122" s="157" cm="1">
        <f t="array" aca="1" ref="AI122" ca="1">IF(OR($E122="X",$E122="",$E122=0,$B122="X",$B122="",$B122=0),0,SUM(_xlfn._xlws.FILTER(IF($E$4="Ppto",PptoSty[CurPpto],PptoSty[CurInt]),(IF($E$4="Ppto",PptoSty[POvsCT]=AI$113,TRUE))*(PptoSty[Project]=TEXT($B122,"@"))*(PptoSty[PptoVsRow]=$E122)*(PptoSty[PptoVsColumn]=UPPER(AI$114)),0)))</f>
        <v>0</v>
      </c>
      <c r="AJ122" s="157" cm="1">
        <f t="array" aca="1" ref="AJ122" ca="1">IF(OR($E122="X",$E122="",$E122=0,$B122="X",$B122="",$B122=0),0,SUM(_xlfn._xlws.FILTER(IF($E$4="Ppto",PptoSty[CurPpto],PptoSty[CurExt]),(IF($E$4="Ppto",PptoSty[POvsCT]=AJ$113,TRUE))*(PptoSty[Project]=TEXT($B122,"@"))*(PptoSty[PptoVsRow]=$E122)*(PptoSty[PptoVsColumn]=UPPER(AI$114)),0)))</f>
        <v>0</v>
      </c>
      <c r="AK122" s="157" cm="1">
        <f t="array" aca="1" ref="AK122" ca="1">IF(OR($E122="X",$E122="",$E122=0,$B122="X",$B122="",$B122=0),0,SUM(_xlfn._xlws.FILTER(IF($E$4="Ppto",PptoSty[CurPpto],PptoSty[CurInt]),(IF($E$4="Ppto",PptoSty[POvsCT]=AK$113,TRUE))*(PptoSty[Project]=TEXT($B122,"@"))*(PptoSty[PptoVsRow]=$E122)*(PptoSty[PptoVsColumn]=UPPER(AK$114)),0)))</f>
        <v>0</v>
      </c>
      <c r="AL122" s="157" cm="1">
        <f t="array" aca="1" ref="AL122" ca="1">IF(OR($E122="X",$E122="",$E122=0,$B122="X",$B122="",$B122=0),0,SUM(_xlfn._xlws.FILTER(IF($E$4="Ppto",PptoSty[CurPpto],PptoSty[CurExt]),(IF($E$4="Ppto",PptoSty[POvsCT]=AL$113,TRUE))*(PptoSty[Project]=TEXT($B122,"@"))*(PptoSty[PptoVsRow]=$E122)*(PptoSty[PptoVsColumn]=UPPER(AK$114)),0)))</f>
        <v>0</v>
      </c>
      <c r="AM122" s="157" cm="1">
        <f t="array" aca="1" ref="AM122" ca="1">IF(OR($E122="X",$E122="",$E122=0,$B122="X",$B122="",$B122=0),0,SUM(_xlfn._xlws.FILTER(IF($E$4="Ppto",PptoSty[CurPpto],PptoSty[CurInt]),(IF($E$4="Ppto",PptoSty[POvsCT]=AM$113,TRUE))*(PptoSty[Project]=TEXT($B122,"@"))*(PptoSty[PptoVsRow]=$E122)*(PptoSty[PptoVsColumn]=UPPER(AM$114)),0)))</f>
        <v>0</v>
      </c>
      <c r="AN122" s="157" cm="1">
        <f t="array" aca="1" ref="AN122" ca="1">IF(OR($E122="X",$E122="",$E122=0,$B122="X",$B122="",$B122=0),0,SUM(_xlfn._xlws.FILTER(IF($E$4="Ppto",PptoSty[CurPpto],PptoSty[CurExt]),(IF($E$4="Ppto",PptoSty[POvsCT]=AN$113,TRUE))*(PptoSty[Project]=TEXT($B122,"@"))*(PptoSty[PptoVsRow]=$E122)*(PptoSty[PptoVsColumn]=UPPER(AM$114)),0)))</f>
        <v>0</v>
      </c>
      <c r="AO122" s="157" cm="1">
        <f t="array" aca="1" ref="AO122" ca="1">IF(OR($E122="X",$E122="",$E122=0,$B122="X",$B122="",$B122=0),0,SUM(_xlfn._xlws.FILTER(IF($E$4="Ppto",PptoSty[CurPpto],PptoSty[CurInt]),(IF($E$4="Ppto",PptoSty[POvsCT]=AO$113,TRUE))*(PptoSty[Project]=TEXT($B122,"@"))*(PptoSty[PptoVsRow]=$E122)*(PptoSty[PptoVsColumn]=UPPER(AO$114)),0)))</f>
        <v>0</v>
      </c>
      <c r="AP122" s="157" cm="1">
        <f t="array" aca="1" ref="AP122" ca="1">IF(OR($E122="X",$E122="",$E122=0,$B122="X",$B122="",$B122=0),0,SUM(_xlfn._xlws.FILTER(IF($E$4="Ppto",PptoSty[CurPpto],PptoSty[CurExt]),(IF($E$4="Ppto",PptoSty[POvsCT]=AP$113,TRUE))*(PptoSty[Project]=TEXT($B122,"@"))*(PptoSty[PptoVsRow]=$E122)*(PptoSty[PptoVsColumn]=UPPER(AO$114)),0)))</f>
        <v>0</v>
      </c>
      <c r="AQ122" s="157" cm="1">
        <f t="array" aca="1" ref="AQ122" ca="1">SUM(IF(INDIRECT($AS$115)=AQ$115,INDIRECT($AS122)))</f>
        <v>42735.820800597765</v>
      </c>
      <c r="AR122" s="157" cm="1">
        <f t="array" aca="1" ref="AR122" ca="1">SUM(IF(INDIRECT($AS$115)=AR$115,INDIRECT($AS122)))</f>
        <v>78955.600570116105</v>
      </c>
      <c r="AS122" s="286" t="str">
        <f t="shared" ca="1" si="13"/>
        <v>G122:AP122</v>
      </c>
      <c r="AT122" s="403">
        <f t="shared" ca="1" si="14"/>
        <v>121691.42137071387</v>
      </c>
      <c r="AV122" s="142" cm="1">
        <f t="array" aca="1" ref="AV122" ca="1">IF(AND(_xlfn.LET(_xlpm.x,SUM(ROW()),OR(AND(MATCH("SOT",$A:$A,0)&lt;_xlpm.x,MATCH("EOT",$A:$A,0)&gt;_xlpm.x),AND(MATCH("SOS",$A:$A,0)&lt;_xlpm.x,MATCH("EOS",$A:$A,0)&gt;_xlpm.x),AND(MATCH("SOR",$A:$A,0)&lt;_xlpm.x,MATCH("EOR",$A:$A,0)&gt;_xlpm.x))),INDIRECT("rc"&amp;MATCH("SCD",$1:$1,0),FALSE)="PPTO"),1,0)</f>
        <v>1</v>
      </c>
      <c r="AW122" s="142" cm="1">
        <f t="array" aca="1" ref="AW12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23" spans="1:50" outlineLevel="1">
      <c r="B123" s="156" t="str" cm="1">
        <f t="array" aca="1" ref="B123:E123" ca="1">_xlfn.LET(_xlpm.x,SUM(ROW()-MATCH("SOR",$A:$A,0)),_xlpm.y,IFERROR(_xlfn.TAKE(INDEX(_xlfn._xlws.FILTER(TbAssign[],ISNUMBER(FIND(TbAssign[Project],$C$4)),"X"),1+QUOTIENT(_xlpm.x,3),0),1,4),0),IF(MOD(_xlpm.x-1,3)=0,IF(_xlpm.y=0,"X",_xlpm.y),INDIRECT("r[-1]c#",FALSE)))</f>
        <v>31200</v>
      </c>
      <c r="C123" s="156" t="str">
        <f ca="1"/>
        <v>XB01</v>
      </c>
      <c r="D123" s="148" t="str">
        <f ca="1"/>
        <v>DIST</v>
      </c>
      <c r="E123" s="352" t="str">
        <f ca="1"/>
        <v>DISEÑO SOFTWARE</v>
      </c>
      <c r="F123" s="148" t="s">
        <v>1382</v>
      </c>
      <c r="G123" s="157" cm="1">
        <f t="array" aca="1" ref="G123" ca="1">IF(OR($E123="X",$E123="",$E123=0,$B123="X",$B123="",$B123=0),0,SUM(_xlfn._xlws.FILTER(PrvSty[DsvValue:SERRA],(PrvSty[Project]=TEXT($B123,"@"))*(PrvSty[Row]=$E123)*(PrvSty[Column]=UPPER(G$114)),0)))</f>
        <v>0</v>
      </c>
      <c r="H123" s="157" cm="1">
        <f t="array" aca="1" ref="H123" ca="1">IF(OR($E123="X",$E123="",$E123=0,$B123="X",$B123="",$B123=0),0,SUM(_xlfn._xlws.FILTER(PrvSty[DsvValue:EXT.],(PrvSty[Project]=TEXT($B123,"@"))*(PrvSty[Row]=$E123)*(PrvSty[Column]=UPPER(G$114)),0)))</f>
        <v>0</v>
      </c>
      <c r="I123" s="157" cm="1">
        <f t="array" aca="1" ref="I123" ca="1">IF(OR($E123="X",$E123="",$E123=0,$B123="X",$B123="",$B123=0),0,SUM(_xlfn._xlws.FILTER(PrvSty[DsvValue:SERRA],(PrvSty[Project]=TEXT($B123,"@"))*(PrvSty[Row]=$E123)*(PrvSty[Column]=UPPER(I$114)),0)))</f>
        <v>0</v>
      </c>
      <c r="J123" s="157" cm="1">
        <f t="array" aca="1" ref="J123" ca="1">IF(OR($E123="X",$E123="",$E123=0,$B123="X",$B123="",$B123=0),0,SUM(_xlfn._xlws.FILTER(PrvSty[DsvValue:EXT.],(PrvSty[Project]=TEXT($B123,"@"))*(PrvSty[Row]=$E123)*(PrvSty[Column]=UPPER(I$114)),0)))</f>
        <v>0</v>
      </c>
      <c r="K123" s="157" cm="1">
        <f t="array" aca="1" ref="K123" ca="1">IF(OR($E123="X",$E123="",$E123=0,$B123="X",$B123="",$B123=0),0,SUM(_xlfn._xlws.FILTER(PrvSty[DsvValue:SERRA],(PrvSty[Project]=TEXT($B123,"@"))*(PrvSty[Row]=$E123)*(PrvSty[Column]=UPPER(K$114)),0)))</f>
        <v>0</v>
      </c>
      <c r="L123" s="157" cm="1">
        <f t="array" aca="1" ref="L123" ca="1">IF(OR($E123="X",$E123="",$E123=0,$B123="X",$B123="",$B123=0),0,SUM(_xlfn._xlws.FILTER(PrvSty[DsvValue:EXT.],(PrvSty[Project]=TEXT($B123,"@"))*(PrvSty[Row]=$E123)*(PrvSty[Column]=UPPER(K$114)),0)))</f>
        <v>0</v>
      </c>
      <c r="M123" s="157" cm="1">
        <f t="array" aca="1" ref="M123" ca="1">IF(OR($E123="X",$E123="",$E123=0,$B123="X",$B123="",$B123=0),0,SUM(_xlfn._xlws.FILTER(PrvSty[DsvValue:SERRA],(PrvSty[Project]=TEXT($B123,"@"))*(PrvSty[Row]=$E123)*(PrvSty[Column]=UPPER(M$114)),0)))</f>
        <v>0</v>
      </c>
      <c r="N123" s="157" cm="1">
        <f t="array" aca="1" ref="N123" ca="1">IF(OR($E123="X",$E123="",$E123=0,$B123="X",$B123="",$B123=0),0,SUM(_xlfn._xlws.FILTER(PrvSty[DsvValue:EXT.],(PrvSty[Project]=TEXT($B123,"@"))*(PrvSty[Row]=$E123)*(PrvSty[Column]=UPPER(M$114)),0)))</f>
        <v>0</v>
      </c>
      <c r="O123" s="157" cm="1">
        <f t="array" aca="1" ref="O123" ca="1">IF(OR($E123="X",$E123="",$E123=0,$B123="X",$B123="",$B123=0),0,SUM(_xlfn._xlws.FILTER(PrvSty[DsvValue:SERRA],(PrvSty[Project]=TEXT($B123,"@"))*(PrvSty[Row]=$E123)*(PrvSty[Column]=UPPER(O$114)),0)))</f>
        <v>-48613.880000000005</v>
      </c>
      <c r="P123" s="157" cm="1">
        <f t="array" aca="1" ref="P123" ca="1">IF(OR($E123="X",$E123="",$E123=0,$B123="X",$B123="",$B123=0),0,SUM(_xlfn._xlws.FILTER(PrvSty[DsvValue:EXT.],(PrvSty[Project]=TEXT($B123,"@"))*(PrvSty[Row]=$E123)*(PrvSty[Column]=UPPER(O$114)),0)))</f>
        <v>0</v>
      </c>
      <c r="Q123" s="157" cm="1">
        <f t="array" aca="1" ref="Q123" ca="1">IF(OR($E123="X",$E123="",$E123=0,$B123="X",$B123="",$B123=0),0,SUM(_xlfn._xlws.FILTER(PrvSty[DsvValue:SERRA],(PrvSty[Project]=TEXT($B123,"@"))*(PrvSty[Row]=$E123)*(PrvSty[Column]=UPPER(Q$114)),0)))</f>
        <v>0</v>
      </c>
      <c r="R123" s="157" cm="1">
        <f t="array" aca="1" ref="R123" ca="1">IF(OR($E123="X",$E123="",$E123=0,$B123="X",$B123="",$B123=0),0,SUM(_xlfn._xlws.FILTER(PrvSty[DsvValue:EXT.],(PrvSty[Project]=TEXT($B123,"@"))*(PrvSty[Row]=$E123)*(PrvSty[Column]=UPPER(Q$114)),0)))</f>
        <v>0</v>
      </c>
      <c r="S123" s="157" cm="1">
        <f t="array" aca="1" ref="S123" ca="1">IF(OR($E123="X",$E123="",$E123=0,$B123="X",$B123="",$B123=0),0,SUM(_xlfn._xlws.FILTER(PrvSty[DsvValue:SERRA],(PrvSty[Project]=TEXT($B123,"@"))*(PrvSty[Row]=$E123)*(PrvSty[Column]=UPPER(S$114)),0)))</f>
        <v>5000</v>
      </c>
      <c r="T123" s="157" cm="1">
        <f t="array" aca="1" ref="T123" ca="1">IF(OR($E123="X",$E123="",$E123=0,$B123="X",$B123="",$B123=0),0,SUM(_xlfn._xlws.FILTER(PrvSty[DsvValue:EXT.],(PrvSty[Project]=TEXT($B123,"@"))*(PrvSty[Row]=$E123)*(PrvSty[Column]=UPPER(S$114)),0)))</f>
        <v>0</v>
      </c>
      <c r="U123" s="157" cm="1">
        <f t="array" aca="1" ref="U123" ca="1">IF(OR($E123="X",$E123="",$E123=0,$B123="X",$B123="",$B123=0),0,SUM(_xlfn._xlws.FILTER(PrvSty[DsvValue:SERRA],(PrvSty[Project]=TEXT($B123,"@"))*(PrvSty[Row]=$E123)*(PrvSty[Column]=UPPER(U$114)),0)))</f>
        <v>0</v>
      </c>
      <c r="V123" s="157" cm="1">
        <f t="array" aca="1" ref="V123" ca="1">IF(OR($E123="X",$E123="",$E123=0,$B123="X",$B123="",$B123=0),0,SUM(_xlfn._xlws.FILTER(PrvSty[DsvValue:EXT.],(PrvSty[Project]=TEXT($B123,"@"))*(PrvSty[Row]=$E123)*(PrvSty[Column]=UPPER(U$114)),0)))</f>
        <v>0</v>
      </c>
      <c r="W123" s="157" cm="1">
        <f t="array" aca="1" ref="W123" ca="1">IF(OR($E123="X",$E123="",$E123=0,$B123="X",$B123="",$B123=0),0,SUM(_xlfn._xlws.FILTER(PrvSty[DsvValue:SERRA],(PrvSty[Project]=TEXT($B123,"@"))*(PrvSty[Row]=$E123)*(PrvSty[Column]=UPPER(W$114)),0)))</f>
        <v>0</v>
      </c>
      <c r="X123" s="157" cm="1">
        <f t="array" aca="1" ref="X123" ca="1">IF(OR($E123="X",$E123="",$E123=0,$B123="X",$B123="",$B123=0),0,SUM(_xlfn._xlws.FILTER(PrvSty[DsvValue:EXT.],(PrvSty[Project]=TEXT($B123,"@"))*(PrvSty[Row]=$E123)*(PrvSty[Column]=UPPER(W$114)),0)))</f>
        <v>0</v>
      </c>
      <c r="Y123" s="157" cm="1">
        <f t="array" aca="1" ref="Y123" ca="1">IF(OR($E123="X",$E123="",$E123=0,$B123="X",$B123="",$B123=0),0,SUM(_xlfn._xlws.FILTER(PrvSty[DsvValue:SERRA],(PrvSty[Project]=TEXT($B123,"@"))*(PrvSty[Row]=$E123)*(PrvSty[Column]=UPPER(Y$114)),0)))</f>
        <v>0</v>
      </c>
      <c r="Z123" s="157" cm="1">
        <f t="array" aca="1" ref="Z123" ca="1">IF(OR($E123="X",$E123="",$E123=0,$B123="X",$B123="",$B123=0),0,SUM(_xlfn._xlws.FILTER(PrvSty[DsvValue:EXT.],(PrvSty[Project]=TEXT($B123,"@"))*(PrvSty[Row]=$E123)*(PrvSty[Column]=UPPER(Y$114)),0)))</f>
        <v>0</v>
      </c>
      <c r="AA123" s="157" cm="1">
        <f t="array" aca="1" ref="AA123" ca="1">IF(OR($E123="X",$E123="",$E123=0,$B123="X",$B123="",$B123=0),0,SUM(_xlfn._xlws.FILTER(PrvSty[DsvValue:SERRA],(PrvSty[Project]=TEXT($B123,"@"))*(PrvSty[Row]=$E123)*(PrvSty[Column]=UPPER(AA$114)),0)))</f>
        <v>0</v>
      </c>
      <c r="AB123" s="157" cm="1">
        <f t="array" aca="1" ref="AB123" ca="1">IF(OR($E123="X",$E123="",$E123=0,$B123="X",$B123="",$B123=0),0,SUM(_xlfn._xlws.FILTER(PrvSty[DsvValue:EXT.],(PrvSty[Project]=TEXT($B123,"@"))*(PrvSty[Row]=$E123)*(PrvSty[Column]=UPPER(AA$114)),0)))</f>
        <v>0</v>
      </c>
      <c r="AC123" s="157" cm="1">
        <f t="array" aca="1" ref="AC123" ca="1">IF(OR($E123="X",$E123="",$E123=0,$B123="X",$B123="",$B123=0),0,SUM(_xlfn._xlws.FILTER(PrvSty[DsvValue:SERRA],(PrvSty[Project]=TEXT($B123,"@"))*(PrvSty[Row]=$E123)*(PrvSty[Column]=UPPER(AC$114)),0)))</f>
        <v>0</v>
      </c>
      <c r="AD123" s="157" cm="1">
        <f t="array" aca="1" ref="AD123" ca="1">IF(OR($E123="X",$E123="",$E123=0,$B123="X",$B123="",$B123=0),0,SUM(_xlfn._xlws.FILTER(PrvSty[DsvValue:EXT.],(PrvSty[Project]=TEXT($B123,"@"))*(PrvSty[Row]=$E123)*(PrvSty[Column]=UPPER(AC$114)),0)))</f>
        <v>0</v>
      </c>
      <c r="AE123" s="157" cm="1">
        <f t="array" aca="1" ref="AE123" ca="1">IF(OR($E123="X",$E123="",$E123=0,$B123="X",$B123="",$B123=0),0,SUM(_xlfn._xlws.FILTER(PrvSty[DsvValue:SERRA],(PrvSty[Project]=TEXT($B123,"@"))*(PrvSty[Row]=$E123)*(PrvSty[Column]=UPPER(AE$114)),0)))</f>
        <v>0</v>
      </c>
      <c r="AF123" s="157" cm="1">
        <f t="array" aca="1" ref="AF123" ca="1">IF(OR($E123="X",$E123="",$E123=0,$B123="X",$B123="",$B123=0),0,SUM(_xlfn._xlws.FILTER(PrvSty[DsvValue:EXT.],(PrvSty[Project]=TEXT($B123,"@"))*(PrvSty[Row]=$E123)*(PrvSty[Column]=UPPER(AE$114)),0)))</f>
        <v>0</v>
      </c>
      <c r="AG123" s="157" cm="1">
        <f t="array" aca="1" ref="AG123" ca="1">IF(OR($E123="X",$E123="",$E123=0,$B123="X",$B123="",$B123=0),0,SUM(_xlfn._xlws.FILTER(PrvSty[DsvValue:SERRA],(PrvSty[Project]=TEXT($B123,"@"))*(PrvSty[Row]=$E123)*(PrvSty[Column]=UPPER(AG$114)),0)))</f>
        <v>0</v>
      </c>
      <c r="AH123" s="157" cm="1">
        <f t="array" aca="1" ref="AH123" ca="1">IF(OR($E123="X",$E123="",$E123=0,$B123="X",$B123="",$B123=0),0,SUM(_xlfn._xlws.FILTER(PrvSty[DsvValue:EXT.],(PrvSty[Project]=TEXT($B123,"@"))*(PrvSty[Row]=$E123)*(PrvSty[Column]=UPPER(AG$114)),0)))</f>
        <v>0</v>
      </c>
      <c r="AI123" s="157" cm="1">
        <f t="array" aca="1" ref="AI123" ca="1">IF(OR($E123="X",$E123="",$E123=0,$B123="X",$B123="",$B123=0),0,SUM(_xlfn._xlws.FILTER(PrvSty[DsvValue:SERRA],(PrvSty[Project]=TEXT($B123,"@"))*(PrvSty[Row]=$E123)*(PrvSty[Column]=UPPER(AI$114)),0)))</f>
        <v>0</v>
      </c>
      <c r="AJ123" s="157" cm="1">
        <f t="array" aca="1" ref="AJ123" ca="1">IF(OR($E123="X",$E123="",$E123=0,$B123="X",$B123="",$B123=0),0,SUM(_xlfn._xlws.FILTER(PrvSty[DsvValue:EXT.],(PrvSty[Project]=TEXT($B123,"@"))*(PrvSty[Row]=$E123)*(PrvSty[Column]=UPPER(AI$114)),0)))</f>
        <v>0</v>
      </c>
      <c r="AK123" s="157" cm="1">
        <f t="array" aca="1" ref="AK123" ca="1">IF(OR($E123="X",$E123="",$E123=0,$B123="X",$B123="",$B123=0),0,SUM(_xlfn._xlws.FILTER(PrvSty[DsvValue:SERRA],(PrvSty[Project]=TEXT($B123,"@"))*(PrvSty[Row]=$E123)*(PrvSty[Column]=UPPER(AK$114)),0)))</f>
        <v>0</v>
      </c>
      <c r="AL123" s="157" cm="1">
        <f t="array" aca="1" ref="AL123" ca="1">IF(OR($E123="X",$E123="",$E123=0,$B123="X",$B123="",$B123=0),0,SUM(_xlfn._xlws.FILTER(PrvSty[DsvValue:EXT.],(PrvSty[Project]=TEXT($B123,"@"))*(PrvSty[Row]=$E123)*(PrvSty[Column]=UPPER(AK$114)),0)))</f>
        <v>0</v>
      </c>
      <c r="AM123" s="157" cm="1">
        <f t="array" aca="1" ref="AM123" ca="1">IF(OR($E123="X",$E123="",$E123=0,$B123="X",$B123="",$B123=0),0,SUM(_xlfn._xlws.FILTER(PrvSty[DsvValue:SERRA],(PrvSty[Project]=TEXT($B123,"@"))*(PrvSty[Row]=$E123)*(PrvSty[Column]=UPPER(AM$114)),0)))</f>
        <v>0</v>
      </c>
      <c r="AN123" s="157" cm="1">
        <f t="array" aca="1" ref="AN123" ca="1">IF(OR($E123="X",$E123="",$E123=0,$B123="X",$B123="",$B123=0),0,SUM(_xlfn._xlws.FILTER(PrvSty[DsvValue:EXT.],(PrvSty[Project]=TEXT($B123,"@"))*(PrvSty[Row]=$E123)*(PrvSty[Column]=UPPER(AM$114)),0)))</f>
        <v>0</v>
      </c>
      <c r="AO123" s="157" cm="1">
        <f t="array" aca="1" ref="AO123" ca="1">IF(OR($E123="X",$E123="",$E123=0,$B123="X",$B123="",$B123=0),0,SUM(_xlfn._xlws.FILTER(PrvSty[DsvValue:SERRA],(PrvSty[Project]=TEXT($B123,"@"))*(PrvSty[Row]=$E123)*(PrvSty[Column]=UPPER(AO$114)),0)))</f>
        <v>0</v>
      </c>
      <c r="AP123" s="157" cm="1">
        <f t="array" aca="1" ref="AP123" ca="1">IF(OR($E123="X",$E123="",$E123=0,$B123="X",$B123="",$B123=0),0,SUM(_xlfn._xlws.FILTER(PrvSty[DsvValue:EXT.],(PrvSty[Project]=TEXT($B123,"@"))*(PrvSty[Row]=$E123)*(PrvSty[Column]=UPPER(AO$114)),0)))</f>
        <v>0</v>
      </c>
      <c r="AQ123" s="157" cm="1">
        <f t="array" aca="1" ref="AQ123" ca="1">SUM(IF(INDIRECT($AS$115)=AQ$115,INDIRECT($AS123)))</f>
        <v>-43613.880000000005</v>
      </c>
      <c r="AR123" s="157" cm="1">
        <f t="array" aca="1" ref="AR123" ca="1">SUM(IF(INDIRECT($AS$115)=AR$115,INDIRECT($AS123)))</f>
        <v>0</v>
      </c>
      <c r="AS123" s="286" t="str">
        <f t="shared" ca="1" si="13"/>
        <v>G123:AP123</v>
      </c>
      <c r="AT123" s="403">
        <f t="shared" ca="1" si="14"/>
        <v>-43613.880000000005</v>
      </c>
      <c r="AV123" s="142" cm="1">
        <f t="array" aca="1" ref="AV123" ca="1">IF(AND(_xlfn.LET(_xlpm.x,SUM(ROW()),OR(AND(MATCH("SOT",$A:$A,0)&lt;_xlpm.x,MATCH("EOT",$A:$A,0)&gt;_xlpm.x),AND(MATCH("SOS",$A:$A,0)&lt;_xlpm.x,MATCH("EOS",$A:$A,0)&gt;_xlpm.x),AND(MATCH("SOR",$A:$A,0)&lt;_xlpm.x,MATCH("EOR",$A:$A,0)&gt;_xlpm.x))),INDIRECT("rc"&amp;MATCH("SCD",$1:$1,0),FALSE)="PPTO"),1,0)</f>
        <v>0</v>
      </c>
      <c r="AW123" s="142" cm="1">
        <f t="array" aca="1" ref="AW12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24" spans="1:50" outlineLevel="1">
      <c r="B124" s="156" t="str" cm="1">
        <f t="array" aca="1" ref="B124:E124" ca="1">_xlfn.LET(_xlpm.x,SUM(ROW()-MATCH("SOR",$A:$A,0)),_xlpm.y,IFERROR(_xlfn.TAKE(INDEX(_xlfn._xlws.FILTER(TbAssign[],ISNUMBER(FIND(TbAssign[Project],$C$4)),"X"),1+QUOTIENT(_xlpm.x,3),0),1,4),0),IF(MOD(_xlpm.x-1,3)=0,IF(_xlpm.y=0,"X",_xlpm.y),INDIRECT("r[-1]c#",FALSE)))</f>
        <v>31200</v>
      </c>
      <c r="C124" s="156" t="str">
        <f ca="1"/>
        <v>XB01</v>
      </c>
      <c r="D124" s="148" t="str">
        <f ca="1"/>
        <v>DIST</v>
      </c>
      <c r="E124" s="352" t="str">
        <f ca="1"/>
        <v>DISEÑO SOFTWARE</v>
      </c>
      <c r="F124" s="148" t="s">
        <v>1383</v>
      </c>
      <c r="G124" s="158" cm="1">
        <f t="array" aca="1" ref="G124" ca="1">IF(OR($E124="X",$E124="",$E124=0,$B124="X",$B124="",$B124=0),0,SUM(_xlfn._xlws.FILTER(FrmBB1[Cur],(FrmBB1[PrjId]=TEXT($B124,"@"))*(FrmBB1[Row]=$E124)*(FrmBB1[Column]=UPPER(_xlfn.LET(_xlpm.x,_xlfn.TEXTBEFORE(G$114," ("),IFERROR(_xlpm.x,G$114)))&amp;" "&amp;G$115),0)))</f>
        <v>0</v>
      </c>
      <c r="H124" s="157" cm="1">
        <f t="array" aca="1" ref="H124" ca="1">IF(OR($E124="X",$E124="",$E124=0,$B124="X",$B124="",$B124=0),0,SUM(_xlfn._xlws.FILTER(FrmBB1[Cur],(FrmBB1[PrjId]=TEXT($B124,"@"))*(FrmBB1[Row]=$E124)*(FrmBB1[Column]=UPPER(_xlfn.LET(_xlpm.x,_xlfn.TEXTBEFORE(G$114," ("),IFERROR(_xlpm.x,G$114)))&amp;" "&amp;H$115),0)))</f>
        <v>0</v>
      </c>
      <c r="I124" s="158" cm="1">
        <f t="array" aca="1" ref="I124" ca="1">IF(OR($E124="X",$E124="",$E124=0,$B124="X",$B124="",$B124=0),0,SUM(_xlfn._xlws.FILTER(FrmBB1[Cur],(FrmBB1[PrjId]=TEXT($B124,"@"))*(FrmBB1[Row]=$E124)*(FrmBB1[Column]=UPPER(_xlfn.LET(_xlpm.x,_xlfn.TEXTBEFORE(I$114," ("),IFERROR(_xlpm.x,I$114)))&amp;" "&amp;I$115),0)))</f>
        <v>0</v>
      </c>
      <c r="J124" s="157" cm="1">
        <f t="array" aca="1" ref="J124" ca="1">IF(OR($E124="X",$E124="",$E124=0,$B124="X",$B124="",$B124=0),0,SUM(_xlfn._xlws.FILTER(FrmBB1[Cur],(FrmBB1[PrjId]=TEXT($B124,"@"))*(FrmBB1[Row]=$E124)*(FrmBB1[Column]=UPPER(_xlfn.LET(_xlpm.x,_xlfn.TEXTBEFORE(I$114," ("),IFERROR(_xlpm.x,I$114)))&amp;" "&amp;J$115),0)))</f>
        <v>0</v>
      </c>
      <c r="K124" s="158" cm="1">
        <f t="array" aca="1" ref="K124" ca="1">IF(OR($E124="X",$E124="",$E124=0,$B124="X",$B124="",$B124=0),0,SUM(_xlfn._xlws.FILTER(FrmBB1[Cur],(FrmBB1[PrjId]=TEXT($B124,"@"))*(FrmBB1[Row]=$E124)*(FrmBB1[Column]=UPPER(_xlfn.LET(_xlpm.x,_xlfn.TEXTBEFORE(K$114," ("),IFERROR(_xlpm.x,K$114)))&amp;" "&amp;K$115),0)))</f>
        <v>0</v>
      </c>
      <c r="L124" s="157" cm="1">
        <f t="array" aca="1" ref="L124" ca="1">IF(OR($E124="X",$E124="",$E124=0,$B124="X",$B124="",$B124=0),0,SUM(_xlfn._xlws.FILTER(FrmBB1[Cur],(FrmBB1[PrjId]=TEXT($B124,"@"))*(FrmBB1[Row]=$E124)*(FrmBB1[Column]=UPPER(_xlfn.LET(_xlpm.x,_xlfn.TEXTBEFORE(K$114," ("),IFERROR(_xlpm.x,K$114)))&amp;" "&amp;L$115),0)))</f>
        <v>0</v>
      </c>
      <c r="M124" s="158" cm="1">
        <f t="array" aca="1" ref="M124" ca="1">IF(OR($E124="X",$E124="",$E124=0,$B124="X",$B124="",$B124=0),0,SUM(_xlfn._xlws.FILTER(FrmBB1[Cur],(FrmBB1[PrjId]=TEXT($B124,"@"))*(FrmBB1[Row]=$E124)*(FrmBB1[Column]=UPPER(_xlfn.LET(_xlpm.x,_xlfn.TEXTBEFORE(M$114," ("),IFERROR(_xlpm.x,M$114)))&amp;" "&amp;M$115),0)))</f>
        <v>0</v>
      </c>
      <c r="N124" s="157" cm="1">
        <f t="array" aca="1" ref="N124" ca="1">IF(OR($E124="X",$E124="",$E124=0,$B124="X",$B124="",$B124=0),0,SUM(_xlfn._xlws.FILTER(FrmBB1[Cur],(FrmBB1[PrjId]=TEXT($B124,"@"))*(FrmBB1[Row]=$E124)*(FrmBB1[Column]=UPPER(_xlfn.LET(_xlpm.x,_xlfn.TEXTBEFORE(M$114," ("),IFERROR(_xlpm.x,M$114)))&amp;" "&amp;N$115),0)))</f>
        <v>0</v>
      </c>
      <c r="O124" s="158" cm="1">
        <f t="array" aca="1" ref="O124" ca="1">IF(OR($E124="X",$E124="",$E124=0,$B124="X",$B124="",$B124=0),0,SUM(_xlfn._xlws.FILTER(FrmBB1[Cur],(FrmBB1[PrjId]=TEXT($B124,"@"))*(FrmBB1[Row]=$E124)*(FrmBB1[Column]=UPPER(_xlfn.LET(_xlpm.x,_xlfn.TEXTBEFORE(O$114," ("),IFERROR(_xlpm.x,O$114)))&amp;" "&amp;O$115),0)))</f>
        <v>12758.48</v>
      </c>
      <c r="P124" s="157" cm="1">
        <f t="array" aca="1" ref="P124" ca="1">IF(OR($E124="X",$E124="",$E124=0,$B124="X",$B124="",$B124=0),0,SUM(_xlfn._xlws.FILTER(FrmBB1[Cur],(FrmBB1[PrjId]=TEXT($B124,"@"))*(FrmBB1[Row]=$E124)*(FrmBB1[Column]=UPPER(_xlfn.LET(_xlpm.x,_xlfn.TEXTBEFORE(O$114," ("),IFERROR(_xlpm.x,O$114)))&amp;" "&amp;P$115),0)))</f>
        <v>0</v>
      </c>
      <c r="Q124" s="158" cm="1">
        <f t="array" aca="1" ref="Q124" ca="1">IF(OR($E124="X",$E124="",$E124=0,$B124="X",$B124="",$B124=0),0,SUM(_xlfn._xlws.FILTER(FrmBB1[Cur],(FrmBB1[PrjId]=TEXT($B124,"@"))*(FrmBB1[Row]=$E124)*(FrmBB1[Column]=UPPER(_xlfn.LET(_xlpm.x,_xlfn.TEXTBEFORE(Q$114," ("),IFERROR(_xlpm.x,Q$114)))&amp;" "&amp;Q$115),0)))</f>
        <v>0</v>
      </c>
      <c r="R124" s="157" cm="1">
        <f t="array" aca="1" ref="R124" ca="1">IF(OR($E124="X",$E124="",$E124=0,$B124="X",$B124="",$B124=0),0,SUM(_xlfn._xlws.FILTER(FrmBB1[Cur],(FrmBB1[PrjId]=TEXT($B124,"@"))*(FrmBB1[Row]=$E124)*(FrmBB1[Column]=UPPER(_xlfn.LET(_xlpm.x,_xlfn.TEXTBEFORE(Q$114," ("),IFERROR(_xlpm.x,Q$114)))&amp;" "&amp;R$115),0)))</f>
        <v>0</v>
      </c>
      <c r="S124" s="158" cm="1">
        <f t="array" aca="1" ref="S124" ca="1">IF(OR($E124="X",$E124="",$E124=0,$B124="X",$B124="",$B124=0),0,SUM(_xlfn._xlws.FILTER(FrmBB1[Cur],(FrmBB1[PrjId]=TEXT($B124,"@"))*(FrmBB1[Row]=$E124)*(FrmBB1[Column]=UPPER(_xlfn.LET(_xlpm.x,_xlfn.TEXTBEFORE(S$114," ("),IFERROR(_xlpm.x,S$114)))&amp;" "&amp;S$115),0)))</f>
        <v>47993.68</v>
      </c>
      <c r="T124" s="157" cm="1">
        <f t="array" aca="1" ref="T124" ca="1">IF(OR($E124="X",$E124="",$E124=0,$B124="X",$B124="",$B124=0),0,SUM(_xlfn._xlws.FILTER(FrmBB1[Cur],(FrmBB1[PrjId]=TEXT($B124,"@"))*(FrmBB1[Row]=$E124)*(FrmBB1[Column]=UPPER(_xlfn.LET(_xlpm.x,_xlfn.TEXTBEFORE(S$114," ("),IFERROR(_xlpm.x,S$114)))&amp;" "&amp;T$115),0)))</f>
        <v>0</v>
      </c>
      <c r="U124" s="158" cm="1">
        <f t="array" aca="1" ref="U124" ca="1">IF(OR($E124="X",$E124="",$E124=0,$B124="X",$B124="",$B124=0),0,SUM(_xlfn._xlws.FILTER(FrmBB1[Cur],(FrmBB1[PrjId]=TEXT($B124,"@"))*(FrmBB1[Row]=$E124)*(FrmBB1[Column]=UPPER(_xlfn.LET(_xlpm.x,_xlfn.TEXTBEFORE(U$114," ("),IFERROR(_xlpm.x,U$114)))&amp;" "&amp;U$115),0)))</f>
        <v>0</v>
      </c>
      <c r="V124" s="157" cm="1">
        <f t="array" aca="1" ref="V124" ca="1">IF(OR($E124="X",$E124="",$E124=0,$B124="X",$B124="",$B124=0),0,SUM(_xlfn._xlws.FILTER(FrmBB1[Cur],(FrmBB1[PrjId]=TEXT($B124,"@"))*(FrmBB1[Row]=$E124)*(FrmBB1[Column]=UPPER(_xlfn.LET(_xlpm.x,_xlfn.TEXTBEFORE(U$114," ("),IFERROR(_xlpm.x,U$114)))&amp;" "&amp;V$115),0)))</f>
        <v>0</v>
      </c>
      <c r="W124" s="158" cm="1">
        <f t="array" aca="1" ref="W124" ca="1">IF(OR($E124="X",$E124="",$E124=0,$B124="X",$B124="",$B124=0),0,SUM(_xlfn._xlws.FILTER(FrmBB1[Cur],(FrmBB1[PrjId]=TEXT($B124,"@"))*(FrmBB1[Row]=$E124)*(FrmBB1[Column]=UPPER(_xlfn.LET(_xlpm.x,_xlfn.TEXTBEFORE(W$114," ("),IFERROR(_xlpm.x,W$114)))&amp;" "&amp;W$115),0)))</f>
        <v>0</v>
      </c>
      <c r="X124" s="157" cm="1">
        <f t="array" aca="1" ref="X124" ca="1">IF(OR($E124="X",$E124="",$E124=0,$B124="X",$B124="",$B124=0),0,SUM(_xlfn._xlws.FILTER(FrmBB1[Cur],(FrmBB1[PrjId]=TEXT($B124,"@"))*(FrmBB1[Row]=$E124)*(FrmBB1[Column]=UPPER(_xlfn.LET(_xlpm.x,_xlfn.TEXTBEFORE(W$114," ("),IFERROR(_xlpm.x,W$114)))&amp;" "&amp;X$115),0)))</f>
        <v>0</v>
      </c>
      <c r="Y124" s="158" cm="1">
        <f t="array" aca="1" ref="Y124" ca="1">IF(OR($E124="X",$E124="",$E124=0,$B124="X",$B124="",$B124=0),0,SUM(_xlfn._xlws.FILTER(FrmBB1[Cur],(FrmBB1[PrjId]=TEXT($B124,"@"))*(FrmBB1[Row]=$E124)*(FrmBB1[Column]=UPPER(_xlfn.LET(_xlpm.x,_xlfn.TEXTBEFORE(Y$114," ("),IFERROR(_xlpm.x,Y$114)))&amp;" "&amp;Y$115),0)))</f>
        <v>0</v>
      </c>
      <c r="Z124" s="157" cm="1">
        <f t="array" aca="1" ref="Z124" ca="1">IF(OR($E124="X",$E124="",$E124=0,$B124="X",$B124="",$B124=0),0,SUM(_xlfn._xlws.FILTER(FrmBB1[Cur],(FrmBB1[PrjId]=TEXT($B124,"@"))*(FrmBB1[Row]=$E124)*(FrmBB1[Column]=UPPER(_xlfn.LET(_xlpm.x,_xlfn.TEXTBEFORE(Y$114," ("),IFERROR(_xlpm.x,Y$114)))&amp;" "&amp;Z$115),0)))</f>
        <v>0</v>
      </c>
      <c r="AA124" s="158" cm="1">
        <f t="array" aca="1" ref="AA124" ca="1">IF(OR($E124="X",$E124="",$E124=0,$B124="X",$B124="",$B124=0),0,SUM(_xlfn._xlws.FILTER(FrmBB1[Cur],(FrmBB1[PrjId]=TEXT($B124,"@"))*(FrmBB1[Row]=$E124)*(FrmBB1[Column]=UPPER(_xlfn.LET(_xlpm.x,_xlfn.TEXTBEFORE(AA$114," ("),IFERROR(_xlpm.x,AA$114)))&amp;" "&amp;AA$115),0)))</f>
        <v>0</v>
      </c>
      <c r="AB124" s="157" cm="1">
        <f t="array" aca="1" ref="AB124" ca="1">IF(OR($E124="X",$E124="",$E124=0,$B124="X",$B124="",$B124=0),0,SUM(_xlfn._xlws.FILTER(FrmBB1[Cur],(FrmBB1[PrjId]=TEXT($B124,"@"))*(FrmBB1[Row]=$E124)*(FrmBB1[Column]=UPPER(_xlfn.LET(_xlpm.x,_xlfn.TEXTBEFORE(AA$114," ("),IFERROR(_xlpm.x,AA$114)))&amp;" "&amp;AB$115),0)))</f>
        <v>0</v>
      </c>
      <c r="AC124" s="158" cm="1">
        <f t="array" aca="1" ref="AC124" ca="1">IF(OR($E124="X",$E124="",$E124=0,$B124="X",$B124="",$B124=0),0,SUM(_xlfn._xlws.FILTER(FrmBB1[Cur],(FrmBB1[PrjId]=TEXT($B124,"@"))*(FrmBB1[Row]=$E124)*(FrmBB1[Column]=UPPER(_xlfn.LET(_xlpm.x,_xlfn.TEXTBEFORE(AC$114," ("),IFERROR(_xlpm.x,AC$114)))&amp;" "&amp;AC$115),0)))</f>
        <v>0</v>
      </c>
      <c r="AD124" s="157" cm="1">
        <f t="array" aca="1" ref="AD124" ca="1">IF(OR($E124="X",$E124="",$E124=0,$B124="X",$B124="",$B124=0),0,SUM(_xlfn._xlws.FILTER(FrmBB1[Cur],(FrmBB1[PrjId]=TEXT($B124,"@"))*(FrmBB1[Row]=$E124)*(FrmBB1[Column]=UPPER(_xlfn.LET(_xlpm.x,_xlfn.TEXTBEFORE(AC$114," ("),IFERROR(_xlpm.x,AC$114)))&amp;" "&amp;AD$115),0)))</f>
        <v>0</v>
      </c>
      <c r="AE124" s="158" cm="1">
        <f t="array" aca="1" ref="AE124" ca="1">IF(OR($E124="X",$E124="",$E124=0,$B124="X",$B124="",$B124=0),0,SUM(_xlfn._xlws.FILTER(FrmBB1[Cur],(FrmBB1[PrjId]=TEXT($B124,"@"))*(FrmBB1[Row]=$E124)*(FrmBB1[Column]=UPPER(_xlfn.LET(_xlpm.x,_xlfn.TEXTBEFORE(AE$114," ("),IFERROR(_xlpm.x,AE$114)))&amp;" "&amp;AE$115),0)))</f>
        <v>0</v>
      </c>
      <c r="AF124" s="157" cm="1">
        <f t="array" aca="1" ref="AF124" ca="1">IF(OR($E124="X",$E124="",$E124=0,$B124="X",$B124="",$B124=0),0,SUM(_xlfn._xlws.FILTER(FrmBB1[Cur],(FrmBB1[PrjId]=TEXT($B124,"@"))*(FrmBB1[Row]=$E124)*(FrmBB1[Column]=UPPER(_xlfn.LET(_xlpm.x,_xlfn.TEXTBEFORE(AE$114," ("),IFERROR(_xlpm.x,AE$114)))&amp;" "&amp;AF$115),0)))</f>
        <v>0</v>
      </c>
      <c r="AG124" s="158" cm="1">
        <f t="array" aca="1" ref="AG124" ca="1">IF(OR($E124="X",$E124="",$E124=0,$B124="X",$B124="",$B124=0),0,SUM(_xlfn._xlws.FILTER(FrmBB1[Cur],(FrmBB1[PrjId]=TEXT($B124,"@"))*(FrmBB1[Row]=$E124)*(FrmBB1[Column]=UPPER(_xlfn.LET(_xlpm.x,_xlfn.TEXTBEFORE(AG$114," ("),IFERROR(_xlpm.x,AG$114)))&amp;" "&amp;AG$115),0)))</f>
        <v>0</v>
      </c>
      <c r="AH124" s="157" cm="1">
        <f t="array" aca="1" ref="AH124" ca="1">IF(OR($E124="X",$E124="",$E124=0,$B124="X",$B124="",$B124=0),0,SUM(_xlfn._xlws.FILTER(FrmBB1[Cur],(FrmBB1[PrjId]=TEXT($B124,"@"))*(FrmBB1[Row]=$E124)*(FrmBB1[Column]=UPPER(_xlfn.LET(_xlpm.x,_xlfn.TEXTBEFORE(AG$114," ("),IFERROR(_xlpm.x,AG$114)))&amp;" "&amp;AH$115),0)))</f>
        <v>0</v>
      </c>
      <c r="AI124" s="158" cm="1">
        <f t="array" aca="1" ref="AI124" ca="1">IF(OR($E124="X",$E124="",$E124=0,$B124="X",$B124="",$B124=0),0,SUM(_xlfn._xlws.FILTER(FrmBB1[Cur],(FrmBB1[PrjId]=TEXT($B124,"@"))*(FrmBB1[Row]=$E124)*(FrmBB1[Column]=UPPER(_xlfn.LET(_xlpm.x,_xlfn.TEXTBEFORE(AI$114," ("),IFERROR(_xlpm.x,AI$114)))&amp;" "&amp;AI$115),0)))</f>
        <v>0</v>
      </c>
      <c r="AJ124" s="157" cm="1">
        <f t="array" aca="1" ref="AJ124" ca="1">IF(OR($E124="X",$E124="",$E124=0,$B124="X",$B124="",$B124=0),0,SUM(_xlfn._xlws.FILTER(FrmBB1[Cur],(FrmBB1[PrjId]=TEXT($B124,"@"))*(FrmBB1[Row]=$E124)*(FrmBB1[Column]=UPPER(_xlfn.LET(_xlpm.x,_xlfn.TEXTBEFORE(AI$114," ("),IFERROR(_xlpm.x,AI$114)))&amp;" "&amp;AJ$115),0)))</f>
        <v>0</v>
      </c>
      <c r="AK124" s="158" cm="1">
        <f t="array" aca="1" ref="AK124" ca="1">IF(OR($E124="X",$E124="",$E124=0,$B124="X",$B124="",$B124=0),0,SUM(_xlfn._xlws.FILTER(FrmBB1[Cur],(FrmBB1[PrjId]=TEXT($B124,"@"))*(FrmBB1[Row]=$E124)*(FrmBB1[Column]=UPPER(_xlfn.LET(_xlpm.x,_xlfn.TEXTBEFORE(AK$114," ("),IFERROR(_xlpm.x,AK$114)))&amp;" "&amp;AK$115),0)))</f>
        <v>0</v>
      </c>
      <c r="AL124" s="157" cm="1">
        <f t="array" aca="1" ref="AL124" ca="1">IF(OR($E124="X",$E124="",$E124=0,$B124="X",$B124="",$B124=0),0,SUM(_xlfn._xlws.FILTER(FrmBB1[Cur],(FrmBB1[PrjId]=TEXT($B124,"@"))*(FrmBB1[Row]=$E124)*(FrmBB1[Column]=UPPER(_xlfn.LET(_xlpm.x,_xlfn.TEXTBEFORE(AK$114," ("),IFERROR(_xlpm.x,AK$114)))&amp;" "&amp;AL$115),0)))</f>
        <v>0</v>
      </c>
      <c r="AM124" s="158" cm="1">
        <f t="array" aca="1" ref="AM124" ca="1">IF(OR($E124="X",$E124="",$E124=0,$B124="X",$B124="",$B124=0),0,SUM(_xlfn._xlws.FILTER(FrmBB1[Cur],(FrmBB1[PrjId]=TEXT($B124,"@"))*(FrmBB1[Row]=$E124)*(FrmBB1[Column]=UPPER(_xlfn.LET(_xlpm.x,_xlfn.TEXTBEFORE(AM$114," ("),IFERROR(_xlpm.x,AM$114)))&amp;" "&amp;AM$115),0)))</f>
        <v>0</v>
      </c>
      <c r="AN124" s="157" cm="1">
        <f t="array" aca="1" ref="AN124" ca="1">IF(OR($E124="X",$E124="",$E124=0,$B124="X",$B124="",$B124=0),0,SUM(_xlfn._xlws.FILTER(FrmBB1[Cur],(FrmBB1[PrjId]=TEXT($B124,"@"))*(FrmBB1[Row]=$E124)*(FrmBB1[Column]=UPPER(_xlfn.LET(_xlpm.x,_xlfn.TEXTBEFORE(AM$114," ("),IFERROR(_xlpm.x,AM$114)))&amp;" "&amp;AN$115),0)))</f>
        <v>0</v>
      </c>
      <c r="AO124" s="158" cm="1">
        <f t="array" aca="1" ref="AO124" ca="1">IF(OR($E124="X",$E124="",$E124=0,$B124="X",$B124="",$B124=0),0,SUM(_xlfn._xlws.FILTER(FrmBB1[Cur],(FrmBB1[PrjId]=TEXT($B124,"@"))*(FrmBB1[Row]=$E124)*(FrmBB1[Column]=UPPER(_xlfn.LET(_xlpm.x,_xlfn.TEXTBEFORE(AO$114," ("),IFERROR(_xlpm.x,AO$114)))&amp;" "&amp;AO$115),0)))</f>
        <v>0</v>
      </c>
      <c r="AP124" s="157" cm="1">
        <f t="array" aca="1" ref="AP124" ca="1">IF(OR($E124="X",$E124="",$E124=0,$B124="X",$B124="",$B124=0),0,SUM(_xlfn._xlws.FILTER(FrmBB1[Cur],(FrmBB1[PrjId]=TEXT($B124,"@"))*(FrmBB1[Row]=$E124)*(FrmBB1[Column]=UPPER(_xlfn.LET(_xlpm.x,_xlfn.TEXTBEFORE(AO$114," ("),IFERROR(_xlpm.x,AO$114)))&amp;" "&amp;AP$115),0)))</f>
        <v>0</v>
      </c>
      <c r="AQ124" s="157" cm="1">
        <f t="array" aca="1" ref="AQ124" ca="1">SUM(IF(INDIRECT($AS$115)=AQ$115,INDIRECT($AS124)))</f>
        <v>60752.160000000003</v>
      </c>
      <c r="AR124" s="157" cm="1">
        <f t="array" aca="1" ref="AR124" ca="1">SUM(IF(INDIRECT($AS$115)=AR$115,INDIRECT($AS124)))</f>
        <v>0</v>
      </c>
      <c r="AS124" s="286" t="str">
        <f t="shared" ca="1" si="13"/>
        <v>G124:AP124</v>
      </c>
      <c r="AT124" s="355">
        <f t="shared" ca="1" si="14"/>
        <v>60752.160000000003</v>
      </c>
      <c r="AV124" s="142" cm="1">
        <f t="array" aca="1" ref="AV124" ca="1">IF(AND(_xlfn.LET(_xlpm.x,SUM(ROW()),OR(AND(MATCH("SOT",$A:$A,0)&lt;_xlpm.x,MATCH("EOT",$A:$A,0)&gt;_xlpm.x),AND(MATCH("SOS",$A:$A,0)&lt;_xlpm.x,MATCH("EOS",$A:$A,0)&gt;_xlpm.x),AND(MATCH("SOR",$A:$A,0)&lt;_xlpm.x,MATCH("EOR",$A:$A,0)&gt;_xlpm.x))),INDIRECT("rc"&amp;MATCH("SCD",$1:$1,0),FALSE)="PPTO"),1,0)</f>
        <v>0</v>
      </c>
      <c r="AW124" s="142" cm="1">
        <f t="array" aca="1" ref="AW12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25" spans="1:50" outlineLevel="1">
      <c r="B125" s="156" t="str" cm="1">
        <f t="array" aca="1" ref="B125:E125" ca="1">_xlfn.LET(_xlpm.x,SUM(ROW()-MATCH("SOR",$A:$A,0)),_xlpm.y,IFERROR(_xlfn.TAKE(INDEX(_xlfn._xlws.FILTER(TbAssign[],ISNUMBER(FIND(TbAssign[Project],$C$4)),"X"),1+QUOTIENT(_xlpm.x,3),0),1,4),0),IF(MOD(_xlpm.x-1,3)=0,IF(_xlpm.y=0,"X",_xlpm.y),INDIRECT("r[-1]c#",FALSE)))</f>
        <v>31200</v>
      </c>
      <c r="C125" s="156" t="str">
        <f ca="1"/>
        <v>XB02</v>
      </c>
      <c r="D125" s="148" t="str">
        <f ca="1"/>
        <v>DISC</v>
      </c>
      <c r="E125" s="352" t="str">
        <f ca="1"/>
        <v>ROBCAD</v>
      </c>
      <c r="F125" s="148" t="s">
        <v>397</v>
      </c>
      <c r="G125" s="157" cm="1">
        <f t="array" aca="1" ref="G125" ca="1">IF(OR($E125="X",$E125="",$E125=0,$B125="X",$B125="",$B125=0),0,SUM(_xlfn._xlws.FILTER(IF($E$4="Ppto",PptoSty[CurPpto],PptoSty[CurInt]),(IF($E$4="Ppto",PptoSty[POvsCT]=G$113,TRUE))*(PptoSty[Project]=TEXT($B125,"@"))*(PptoSty[PptoVsRow]=$E125)*(PptoSty[PptoVsColumn]=UPPER(G$114)),0)))</f>
        <v>0</v>
      </c>
      <c r="H125" s="157" cm="1">
        <f t="array" aca="1" ref="H125" ca="1">IF(OR($E125="X",$E125="",$E125=0,$B125="X",$B125="",$B125=0),0,SUM(_xlfn._xlws.FILTER(IF($E$4="Ppto",PptoSty[CurPpto],PptoSty[CurExt]),(IF($E$4="Ppto",PptoSty[POvsCT]=H$113,TRUE))*(PptoSty[Project]=TEXT($B125,"@"))*(PptoSty[PptoVsRow]=$E125)*(PptoSty[PptoVsColumn]=UPPER(G$114)),0)))</f>
        <v>0</v>
      </c>
      <c r="I125" s="157" cm="1">
        <f t="array" aca="1" ref="I125" ca="1">IF(OR($E125="X",$E125="",$E125=0,$B125="X",$B125="",$B125=0),0,SUM(_xlfn._xlws.FILTER(IF($E$4="Ppto",PptoSty[CurPpto],PptoSty[CurInt]),(IF($E$4="Ppto",PptoSty[POvsCT]=I$113,TRUE))*(PptoSty[Project]=TEXT($B125,"@"))*(PptoSty[PptoVsRow]=$E125)*(PptoSty[PptoVsColumn]=UPPER(I$114)),0)))</f>
        <v>0</v>
      </c>
      <c r="J125" s="157" cm="1">
        <f t="array" aca="1" ref="J125" ca="1">IF(OR($E125="X",$E125="",$E125=0,$B125="X",$B125="",$B125=0),0,SUM(_xlfn._xlws.FILTER(IF($E$4="Ppto",PptoSty[CurPpto],PptoSty[CurExt]),(IF($E$4="Ppto",PptoSty[POvsCT]=J$113,TRUE))*(PptoSty[Project]=TEXT($B125,"@"))*(PptoSty[PptoVsRow]=$E125)*(PptoSty[PptoVsColumn]=UPPER(I$114)),0)))</f>
        <v>0</v>
      </c>
      <c r="K125" s="157" cm="1">
        <f t="array" aca="1" ref="K125" ca="1">IF(OR($E125="X",$E125="",$E125=0,$B125="X",$B125="",$B125=0),0,SUM(_xlfn._xlws.FILTER(IF($E$4="Ppto",PptoSty[CurPpto],PptoSty[CurInt]),(IF($E$4="Ppto",PptoSty[POvsCT]=K$113,TRUE))*(PptoSty[Project]=TEXT($B125,"@"))*(PptoSty[PptoVsRow]=$E125)*(PptoSty[PptoVsColumn]=UPPER(K$114)),0)))</f>
        <v>0</v>
      </c>
      <c r="L125" s="157" cm="1">
        <f t="array" aca="1" ref="L125" ca="1">IF(OR($E125="X",$E125="",$E125=0,$B125="X",$B125="",$B125=0),0,SUM(_xlfn._xlws.FILTER(IF($E$4="Ppto",PptoSty[CurPpto],PptoSty[CurExt]),(IF($E$4="Ppto",PptoSty[POvsCT]=L$113,TRUE))*(PptoSty[Project]=TEXT($B125,"@"))*(PptoSty[PptoVsRow]=$E125)*(PptoSty[PptoVsColumn]=UPPER(K$114)),0)))</f>
        <v>0</v>
      </c>
      <c r="M125" s="157" cm="1">
        <f t="array" aca="1" ref="M125" ca="1">IF(OR($E125="X",$E125="",$E125=0,$B125="X",$B125="",$B125=0),0,SUM(_xlfn._xlws.FILTER(IF($E$4="Ppto",PptoSty[CurPpto],PptoSty[CurInt]),(IF($E$4="Ppto",PptoSty[POvsCT]=M$113,TRUE))*(PptoSty[Project]=TEXT($B125,"@"))*(PptoSty[PptoVsRow]=$E125)*(PptoSty[PptoVsColumn]=UPPER(M$114)),0)))</f>
        <v>59885.185998207919</v>
      </c>
      <c r="N125" s="157" cm="1">
        <f t="array" aca="1" ref="N125" ca="1">IF(OR($E125="X",$E125="",$E125=0,$B125="X",$B125="",$B125=0),0,SUM(_xlfn._xlws.FILTER(IF($E$4="Ppto",PptoSty[CurPpto],PptoSty[CurExt]),(IF($E$4="Ppto",PptoSty[POvsCT]=N$113,TRUE))*(PptoSty[Project]=TEXT($B125,"@"))*(PptoSty[PptoVsRow]=$E125)*(PptoSty[PptoVsColumn]=UPPER(M$114)),0)))</f>
        <v>64767.944087670418</v>
      </c>
      <c r="O125" s="157" cm="1">
        <f t="array" aca="1" ref="O125" ca="1">IF(OR($E125="X",$E125="",$E125=0,$B125="X",$B125="",$B125=0),0,SUM(_xlfn._xlws.FILTER(IF($E$4="Ppto",PptoSty[CurPpto],PptoSty[CurInt]),(IF($E$4="Ppto",PptoSty[POvsCT]=O$113,TRUE))*(PptoSty[Project]=TEXT($B125,"@"))*(PptoSty[PptoVsRow]=$E125)*(PptoSty[PptoVsColumn]=UPPER(O$114)),0)))</f>
        <v>0</v>
      </c>
      <c r="P125" s="157" cm="1">
        <f t="array" aca="1" ref="P125" ca="1">IF(OR($E125="X",$E125="",$E125=0,$B125="X",$B125="",$B125=0),0,SUM(_xlfn._xlws.FILTER(IF($E$4="Ppto",PptoSty[CurPpto],PptoSty[CurExt]),(IF($E$4="Ppto",PptoSty[POvsCT]=P$113,TRUE))*(PptoSty[Project]=TEXT($B125,"@"))*(PptoSty[PptoVsRow]=$E125)*(PptoSty[PptoVsColumn]=UPPER(O$114)),0)))</f>
        <v>0</v>
      </c>
      <c r="Q125" s="157" cm="1">
        <f t="array" aca="1" ref="Q125" ca="1">IF(OR($E125="X",$E125="",$E125=0,$B125="X",$B125="",$B125=0),0,SUM(_xlfn._xlws.FILTER(IF($E$4="Ppto",PptoSty[CurPpto],PptoSty[CurInt]),(IF($E$4="Ppto",PptoSty[POvsCT]=Q$113,TRUE))*(PptoSty[Project]=TEXT($B125,"@"))*(PptoSty[PptoVsRow]=$E125)*(PptoSty[PptoVsColumn]=UPPER(Q$114)),0)))</f>
        <v>0</v>
      </c>
      <c r="R125" s="157" cm="1">
        <f t="array" aca="1" ref="R125" ca="1">IF(OR($E125="X",$E125="",$E125=0,$B125="X",$B125="",$B125=0),0,SUM(_xlfn._xlws.FILTER(IF($E$4="Ppto",PptoSty[CurPpto],PptoSty[CurExt]),(IF($E$4="Ppto",PptoSty[POvsCT]=R$113,TRUE))*(PptoSty[Project]=TEXT($B125,"@"))*(PptoSty[PptoVsRow]=$E125)*(PptoSty[PptoVsColumn]=UPPER(Q$114)),0)))</f>
        <v>0</v>
      </c>
      <c r="S125" s="157" cm="1">
        <f t="array" aca="1" ref="S125" ca="1">IF(OR($E125="X",$E125="",$E125=0,$B125="X",$B125="",$B125=0),0,SUM(_xlfn._xlws.FILTER(IF($E$4="Ppto",PptoSty[CurPpto],PptoSty[CurInt]),(IF($E$4="Ppto",PptoSty[POvsCT]=S$113,TRUE))*(PptoSty[Project]=TEXT($B125,"@"))*(PptoSty[PptoVsRow]=$E125)*(PptoSty[PptoVsColumn]=UPPER(S$114)),0)))</f>
        <v>0</v>
      </c>
      <c r="T125" s="157" cm="1">
        <f t="array" aca="1" ref="T125" ca="1">IF(OR($E125="X",$E125="",$E125=0,$B125="X",$B125="",$B125=0),0,SUM(_xlfn._xlws.FILTER(IF($E$4="Ppto",PptoSty[CurPpto],PptoSty[CurExt]),(IF($E$4="Ppto",PptoSty[POvsCT]=T$113,TRUE))*(PptoSty[Project]=TEXT($B125,"@"))*(PptoSty[PptoVsRow]=$E125)*(PptoSty[PptoVsColumn]=UPPER(S$114)),0)))</f>
        <v>0</v>
      </c>
      <c r="U125" s="157" cm="1">
        <f t="array" aca="1" ref="U125" ca="1">IF(OR($E125="X",$E125="",$E125=0,$B125="X",$B125="",$B125=0),0,SUM(_xlfn._xlws.FILTER(IF($E$4="Ppto",PptoSty[CurPpto],PptoSty[CurInt]),(IF($E$4="Ppto",PptoSty[POvsCT]=U$113,TRUE))*(PptoSty[Project]=TEXT($B125,"@"))*(PptoSty[PptoVsRow]=$E125)*(PptoSty[PptoVsColumn]=UPPER(U$114)),0)))</f>
        <v>0</v>
      </c>
      <c r="V125" s="157" cm="1">
        <f t="array" aca="1" ref="V125" ca="1">IF(OR($E125="X",$E125="",$E125=0,$B125="X",$B125="",$B125=0),0,SUM(_xlfn._xlws.FILTER(IF($E$4="Ppto",PptoSty[CurPpto],PptoSty[CurExt]),(IF($E$4="Ppto",PptoSty[POvsCT]=V$113,TRUE))*(PptoSty[Project]=TEXT($B125,"@"))*(PptoSty[PptoVsRow]=$E125)*(PptoSty[PptoVsColumn]=UPPER(U$114)),0)))</f>
        <v>0</v>
      </c>
      <c r="W125" s="157" cm="1">
        <f t="array" aca="1" ref="W125" ca="1">IF(OR($E125="X",$E125="",$E125=0,$B125="X",$B125="",$B125=0),0,SUM(_xlfn._xlws.FILTER(IF($E$4="Ppto",PptoSty[CurPpto],PptoSty[CurInt]),(IF($E$4="Ppto",PptoSty[POvsCT]=W$113,TRUE))*(PptoSty[Project]=TEXT($B125,"@"))*(PptoSty[PptoVsRow]=$E125)*(PptoSty[PptoVsColumn]=UPPER(W$114)),0)))</f>
        <v>0</v>
      </c>
      <c r="X125" s="157" cm="1">
        <f t="array" aca="1" ref="X125" ca="1">IF(OR($E125="X",$E125="",$E125=0,$B125="X",$B125="",$B125=0),0,SUM(_xlfn._xlws.FILTER(IF($E$4="Ppto",PptoSty[CurPpto],PptoSty[CurExt]),(IF($E$4="Ppto",PptoSty[POvsCT]=X$113,TRUE))*(PptoSty[Project]=TEXT($B125,"@"))*(PptoSty[PptoVsRow]=$E125)*(PptoSty[PptoVsColumn]=UPPER(W$114)),0)))</f>
        <v>0</v>
      </c>
      <c r="Y125" s="157" cm="1">
        <f t="array" aca="1" ref="Y125" ca="1">IF(OR($E125="X",$E125="",$E125=0,$B125="X",$B125="",$B125=0),0,SUM(_xlfn._xlws.FILTER(IF($E$4="Ppto",PptoSty[CurPpto],PptoSty[CurInt]),(IF($E$4="Ppto",PptoSty[POvsCT]=Y$113,TRUE))*(PptoSty[Project]=TEXT($B125,"@"))*(PptoSty[PptoVsRow]=$E125)*(PptoSty[PptoVsColumn]=UPPER(Y$114)),0)))</f>
        <v>0</v>
      </c>
      <c r="Z125" s="157" cm="1">
        <f t="array" aca="1" ref="Z125" ca="1">IF(OR($E125="X",$E125="",$E125=0,$B125="X",$B125="",$B125=0),0,SUM(_xlfn._xlws.FILTER(IF($E$4="Ppto",PptoSty[CurPpto],PptoSty[CurExt]),(IF($E$4="Ppto",PptoSty[POvsCT]=Z$113,TRUE))*(PptoSty[Project]=TEXT($B125,"@"))*(PptoSty[PptoVsRow]=$E125)*(PptoSty[PptoVsColumn]=UPPER(Y$114)),0)))</f>
        <v>0</v>
      </c>
      <c r="AA125" s="157" cm="1">
        <f t="array" aca="1" ref="AA125" ca="1">IF(OR($E125="X",$E125="",$E125=0,$B125="X",$B125="",$B125=0),0,SUM(_xlfn._xlws.FILTER(IF($E$4="Ppto",PptoSty[CurPpto],PptoSty[CurInt]),(IF($E$4="Ppto",PptoSty[POvsCT]=AA$113,TRUE))*(PptoSty[Project]=TEXT($B125,"@"))*(PptoSty[PptoVsRow]=$E125)*(PptoSty[PptoVsColumn]=UPPER(AA$114)),0)))</f>
        <v>0</v>
      </c>
      <c r="AB125" s="157" cm="1">
        <f t="array" aca="1" ref="AB125" ca="1">IF(OR($E125="X",$E125="",$E125=0,$B125="X",$B125="",$B125=0),0,SUM(_xlfn._xlws.FILTER(IF($E$4="Ppto",PptoSty[CurPpto],PptoSty[CurExt]),(IF($E$4="Ppto",PptoSty[POvsCT]=AB$113,TRUE))*(PptoSty[Project]=TEXT($B125,"@"))*(PptoSty[PptoVsRow]=$E125)*(PptoSty[PptoVsColumn]=UPPER(AA$114)),0)))</f>
        <v>0</v>
      </c>
      <c r="AC125" s="157" cm="1">
        <f t="array" aca="1" ref="AC125" ca="1">IF(OR($E125="X",$E125="",$E125=0,$B125="X",$B125="",$B125=0),0,SUM(_xlfn._xlws.FILTER(IF($E$4="Ppto",PptoSty[CurPpto],PptoSty[CurInt]),(IF($E$4="Ppto",PptoSty[POvsCT]=AC$113,TRUE))*(PptoSty[Project]=TEXT($B125,"@"))*(PptoSty[PptoVsRow]=$E125)*(PptoSty[PptoVsColumn]=UPPER(AC$114)),0)))</f>
        <v>0</v>
      </c>
      <c r="AD125" s="157" cm="1">
        <f t="array" aca="1" ref="AD125" ca="1">IF(OR($E125="X",$E125="",$E125=0,$B125="X",$B125="",$B125=0),0,SUM(_xlfn._xlws.FILTER(IF($E$4="Ppto",PptoSty[CurPpto],PptoSty[CurExt]),(IF($E$4="Ppto",PptoSty[POvsCT]=AD$113,TRUE))*(PptoSty[Project]=TEXT($B125,"@"))*(PptoSty[PptoVsRow]=$E125)*(PptoSty[PptoVsColumn]=UPPER(AC$114)),0)))</f>
        <v>0</v>
      </c>
      <c r="AE125" s="157" cm="1">
        <f t="array" aca="1" ref="AE125" ca="1">IF(OR($E125="X",$E125="",$E125=0,$B125="X",$B125="",$B125=0),0,SUM(_xlfn._xlws.FILTER(IF($E$4="Ppto",PptoSty[CurPpto],PptoSty[CurInt]),(IF($E$4="Ppto",PptoSty[POvsCT]=AE$113,TRUE))*(PptoSty[Project]=TEXT($B125,"@"))*(PptoSty[PptoVsRow]=$E125)*(PptoSty[PptoVsColumn]=UPPER(AE$114)),0)))</f>
        <v>0</v>
      </c>
      <c r="AF125" s="157" cm="1">
        <f t="array" aca="1" ref="AF125" ca="1">IF(OR($E125="X",$E125="",$E125=0,$B125="X",$B125="",$B125=0),0,SUM(_xlfn._xlws.FILTER(IF($E$4="Ppto",PptoSty[CurPpto],PptoSty[CurExt]),(IF($E$4="Ppto",PptoSty[POvsCT]=AF$113,TRUE))*(PptoSty[Project]=TEXT($B125,"@"))*(PptoSty[PptoVsRow]=$E125)*(PptoSty[PptoVsColumn]=UPPER(AE$114)),0)))</f>
        <v>0</v>
      </c>
      <c r="AG125" s="157" cm="1">
        <f t="array" aca="1" ref="AG125" ca="1">IF(OR($E125="X",$E125="",$E125=0,$B125="X",$B125="",$B125=0),0,SUM(_xlfn._xlws.FILTER(IF($E$4="Ppto",PptoSty[CurPpto],PptoSty[CurInt]),(IF($E$4="Ppto",PptoSty[POvsCT]=AG$113,TRUE))*(PptoSty[Project]=TEXT($B125,"@"))*(PptoSty[PptoVsRow]=$E125)*(PptoSty[PptoVsColumn]=UPPER(AG$114)),0)))</f>
        <v>0</v>
      </c>
      <c r="AH125" s="157" cm="1">
        <f t="array" aca="1" ref="AH125" ca="1">IF(OR($E125="X",$E125="",$E125=0,$B125="X",$B125="",$B125=0),0,SUM(_xlfn._xlws.FILTER(IF($E$4="Ppto",PptoSty[CurPpto],PptoSty[CurExt]),(IF($E$4="Ppto",PptoSty[POvsCT]=AH$113,TRUE))*(PptoSty[Project]=TEXT($B125,"@"))*(PptoSty[PptoVsRow]=$E125)*(PptoSty[PptoVsColumn]=UPPER(AG$114)),0)))</f>
        <v>0</v>
      </c>
      <c r="AI125" s="157" cm="1">
        <f t="array" aca="1" ref="AI125" ca="1">IF(OR($E125="X",$E125="",$E125=0,$B125="X",$B125="",$B125=0),0,SUM(_xlfn._xlws.FILTER(IF($E$4="Ppto",PptoSty[CurPpto],PptoSty[CurInt]),(IF($E$4="Ppto",PptoSty[POvsCT]=AI$113,TRUE))*(PptoSty[Project]=TEXT($B125,"@"))*(PptoSty[PptoVsRow]=$E125)*(PptoSty[PptoVsColumn]=UPPER(AI$114)),0)))</f>
        <v>0</v>
      </c>
      <c r="AJ125" s="157" cm="1">
        <f t="array" aca="1" ref="AJ125" ca="1">IF(OR($E125="X",$E125="",$E125=0,$B125="X",$B125="",$B125=0),0,SUM(_xlfn._xlws.FILTER(IF($E$4="Ppto",PptoSty[CurPpto],PptoSty[CurExt]),(IF($E$4="Ppto",PptoSty[POvsCT]=AJ$113,TRUE))*(PptoSty[Project]=TEXT($B125,"@"))*(PptoSty[PptoVsRow]=$E125)*(PptoSty[PptoVsColumn]=UPPER(AI$114)),0)))</f>
        <v>0</v>
      </c>
      <c r="AK125" s="157" cm="1">
        <f t="array" aca="1" ref="AK125" ca="1">IF(OR($E125="X",$E125="",$E125=0,$B125="X",$B125="",$B125=0),0,SUM(_xlfn._xlws.FILTER(IF($E$4="Ppto",PptoSty[CurPpto],PptoSty[CurInt]),(IF($E$4="Ppto",PptoSty[POvsCT]=AK$113,TRUE))*(PptoSty[Project]=TEXT($B125,"@"))*(PptoSty[PptoVsRow]=$E125)*(PptoSty[PptoVsColumn]=UPPER(AK$114)),0)))</f>
        <v>0</v>
      </c>
      <c r="AL125" s="157" cm="1">
        <f t="array" aca="1" ref="AL125" ca="1">IF(OR($E125="X",$E125="",$E125=0,$B125="X",$B125="",$B125=0),0,SUM(_xlfn._xlws.FILTER(IF($E$4="Ppto",PptoSty[CurPpto],PptoSty[CurExt]),(IF($E$4="Ppto",PptoSty[POvsCT]=AL$113,TRUE))*(PptoSty[Project]=TEXT($B125,"@"))*(PptoSty[PptoVsRow]=$E125)*(PptoSty[PptoVsColumn]=UPPER(AK$114)),0)))</f>
        <v>0</v>
      </c>
      <c r="AM125" s="157" cm="1">
        <f t="array" aca="1" ref="AM125" ca="1">IF(OR($E125="X",$E125="",$E125=0,$B125="X",$B125="",$B125=0),0,SUM(_xlfn._xlws.FILTER(IF($E$4="Ppto",PptoSty[CurPpto],PptoSty[CurInt]),(IF($E$4="Ppto",PptoSty[POvsCT]=AM$113,TRUE))*(PptoSty[Project]=TEXT($B125,"@"))*(PptoSty[PptoVsRow]=$E125)*(PptoSty[PptoVsColumn]=UPPER(AM$114)),0)))</f>
        <v>0</v>
      </c>
      <c r="AN125" s="157" cm="1">
        <f t="array" aca="1" ref="AN125" ca="1">IF(OR($E125="X",$E125="",$E125=0,$B125="X",$B125="",$B125=0),0,SUM(_xlfn._xlws.FILTER(IF($E$4="Ppto",PptoSty[CurPpto],PptoSty[CurExt]),(IF($E$4="Ppto",PptoSty[POvsCT]=AN$113,TRUE))*(PptoSty[Project]=TEXT($B125,"@"))*(PptoSty[PptoVsRow]=$E125)*(PptoSty[PptoVsColumn]=UPPER(AM$114)),0)))</f>
        <v>0</v>
      </c>
      <c r="AO125" s="157" cm="1">
        <f t="array" aca="1" ref="AO125" ca="1">IF(OR($E125="X",$E125="",$E125=0,$B125="X",$B125="",$B125=0),0,SUM(_xlfn._xlws.FILTER(IF($E$4="Ppto",PptoSty[CurPpto],PptoSty[CurInt]),(IF($E$4="Ppto",PptoSty[POvsCT]=AO$113,TRUE))*(PptoSty[Project]=TEXT($B125,"@"))*(PptoSty[PptoVsRow]=$E125)*(PptoSty[PptoVsColumn]=UPPER(AO$114)),0)))</f>
        <v>0</v>
      </c>
      <c r="AP125" s="157" cm="1">
        <f t="array" aca="1" ref="AP125" ca="1">IF(OR($E125="X",$E125="",$E125=0,$B125="X",$B125="",$B125=0),0,SUM(_xlfn._xlws.FILTER(IF($E$4="Ppto",PptoSty[CurPpto],PptoSty[CurExt]),(IF($E$4="Ppto",PptoSty[POvsCT]=AP$113,TRUE))*(PptoSty[Project]=TEXT($B125,"@"))*(PptoSty[PptoVsRow]=$E125)*(PptoSty[PptoVsColumn]=UPPER(AO$114)),0)))</f>
        <v>0</v>
      </c>
      <c r="AQ125" s="157" cm="1">
        <f t="array" aca="1" ref="AQ125" ca="1">SUM(IF(INDIRECT($AS$115)=AQ$115,INDIRECT($AS125)))</f>
        <v>59885.185998207919</v>
      </c>
      <c r="AR125" s="157" cm="1">
        <f t="array" aca="1" ref="AR125" ca="1">SUM(IF(INDIRECT($AS$115)=AR$115,INDIRECT($AS125)))</f>
        <v>64767.944087670418</v>
      </c>
      <c r="AS125" s="286" t="str">
        <f t="shared" ca="1" si="13"/>
        <v>G125:AP125</v>
      </c>
      <c r="AT125" s="403">
        <f t="shared" ca="1" si="14"/>
        <v>124653.13008587834</v>
      </c>
      <c r="AV125" s="142" cm="1">
        <f t="array" aca="1" ref="AV125" ca="1">IF(AND(_xlfn.LET(_xlpm.x,SUM(ROW()),OR(AND(MATCH("SOT",$A:$A,0)&lt;_xlpm.x,MATCH("EOT",$A:$A,0)&gt;_xlpm.x),AND(MATCH("SOS",$A:$A,0)&lt;_xlpm.x,MATCH("EOS",$A:$A,0)&gt;_xlpm.x),AND(MATCH("SOR",$A:$A,0)&lt;_xlpm.x,MATCH("EOR",$A:$A,0)&gt;_xlpm.x))),INDIRECT("rc"&amp;MATCH("SCD",$1:$1,0),FALSE)="PPTO"),1,0)</f>
        <v>1</v>
      </c>
      <c r="AW125" s="142" cm="1">
        <f t="array" aca="1" ref="AW12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26" spans="1:50" outlineLevel="1">
      <c r="B126" s="156" t="str" cm="1">
        <f t="array" aca="1" ref="B126:E126" ca="1">_xlfn.LET(_xlpm.x,SUM(ROW()-MATCH("SOR",$A:$A,0)),_xlpm.y,IFERROR(_xlfn.TAKE(INDEX(_xlfn._xlws.FILTER(TbAssign[],ISNUMBER(FIND(TbAssign[Project],$C$4)),"X"),1+QUOTIENT(_xlpm.x,3),0),1,4),0),IF(MOD(_xlpm.x-1,3)=0,IF(_xlpm.y=0,"X",_xlpm.y),INDIRECT("r[-1]c#",FALSE)))</f>
        <v>31200</v>
      </c>
      <c r="C126" s="156" t="str">
        <f ca="1"/>
        <v>XB02</v>
      </c>
      <c r="D126" s="148" t="str">
        <f ca="1"/>
        <v>DISC</v>
      </c>
      <c r="E126" s="352" t="str">
        <f ca="1"/>
        <v>ROBCAD</v>
      </c>
      <c r="F126" s="148" t="s">
        <v>1382</v>
      </c>
      <c r="G126" s="157" cm="1">
        <f t="array" aca="1" ref="G126" ca="1">IF(OR($E126="X",$E126="",$E126=0,$B126="X",$B126="",$B126=0),0,SUM(_xlfn._xlws.FILTER(PrvSty[DsvValue:SERRA],(PrvSty[Project]=TEXT($B126,"@"))*(PrvSty[Row]=$E126)*(PrvSty[Column]=UPPER(G$114)),0)))</f>
        <v>0</v>
      </c>
      <c r="H126" s="157" cm="1">
        <f t="array" aca="1" ref="H126" ca="1">IF(OR($E126="X",$E126="",$E126=0,$B126="X",$B126="",$B126=0),0,SUM(_xlfn._xlws.FILTER(PrvSty[DsvValue:EXT.],(PrvSty[Project]=TEXT($B126,"@"))*(PrvSty[Row]=$E126)*(PrvSty[Column]=UPPER(G$114)),0)))</f>
        <v>0</v>
      </c>
      <c r="I126" s="157" cm="1">
        <f t="array" aca="1" ref="I126" ca="1">IF(OR($E126="X",$E126="",$E126=0,$B126="X",$B126="",$B126=0),0,SUM(_xlfn._xlws.FILTER(PrvSty[DsvValue:SERRA],(PrvSty[Project]=TEXT($B126,"@"))*(PrvSty[Row]=$E126)*(PrvSty[Column]=UPPER(I$114)),0)))</f>
        <v>0</v>
      </c>
      <c r="J126" s="157" cm="1">
        <f t="array" aca="1" ref="J126" ca="1">IF(OR($E126="X",$E126="",$E126=0,$B126="X",$B126="",$B126=0),0,SUM(_xlfn._xlws.FILTER(PrvSty[DsvValue:EXT.],(PrvSty[Project]=TEXT($B126,"@"))*(PrvSty[Row]=$E126)*(PrvSty[Column]=UPPER(I$114)),0)))</f>
        <v>0</v>
      </c>
      <c r="K126" s="157" cm="1">
        <f t="array" aca="1" ref="K126" ca="1">IF(OR($E126="X",$E126="",$E126=0,$B126="X",$B126="",$B126=0),0,SUM(_xlfn._xlws.FILTER(PrvSty[DsvValue:SERRA],(PrvSty[Project]=TEXT($B126,"@"))*(PrvSty[Row]=$E126)*(PrvSty[Column]=UPPER(K$114)),0)))</f>
        <v>0</v>
      </c>
      <c r="L126" s="157" cm="1">
        <f t="array" aca="1" ref="L126" ca="1">IF(OR($E126="X",$E126="",$E126=0,$B126="X",$B126="",$B126=0),0,SUM(_xlfn._xlws.FILTER(PrvSty[DsvValue:EXT.],(PrvSty[Project]=TEXT($B126,"@"))*(PrvSty[Row]=$E126)*(PrvSty[Column]=UPPER(K$114)),0)))</f>
        <v>0</v>
      </c>
      <c r="M126" s="157" cm="1">
        <f t="array" aca="1" ref="M126" ca="1">IF(OR($E126="X",$E126="",$E126=0,$B126="X",$B126="",$B126=0),0,SUM(_xlfn._xlws.FILTER(PrvSty[DsvValue:SERRA],(PrvSty[Project]=TEXT($B126,"@"))*(PrvSty[Row]=$E126)*(PrvSty[Column]=UPPER(M$114)),0)))</f>
        <v>-49885</v>
      </c>
      <c r="N126" s="157" cm="1">
        <f t="array" aca="1" ref="N126" ca="1">IF(OR($E126="X",$E126="",$E126=0,$B126="X",$B126="",$B126=0),0,SUM(_xlfn._xlws.FILTER(PrvSty[DsvValue:EXT.],(PrvSty[Project]=TEXT($B126,"@"))*(PrvSty[Row]=$E126)*(PrvSty[Column]=UPPER(M$114)),0)))</f>
        <v>0</v>
      </c>
      <c r="O126" s="157" cm="1">
        <f t="array" aca="1" ref="O126" ca="1">IF(OR($E126="X",$E126="",$E126=0,$B126="X",$B126="",$B126=0),0,SUM(_xlfn._xlws.FILTER(PrvSty[DsvValue:SERRA],(PrvSty[Project]=TEXT($B126,"@"))*(PrvSty[Row]=$E126)*(PrvSty[Column]=UPPER(O$114)),0)))</f>
        <v>0</v>
      </c>
      <c r="P126" s="157" cm="1">
        <f t="array" aca="1" ref="P126" ca="1">IF(OR($E126="X",$E126="",$E126=0,$B126="X",$B126="",$B126=0),0,SUM(_xlfn._xlws.FILTER(PrvSty[DsvValue:EXT.],(PrvSty[Project]=TEXT($B126,"@"))*(PrvSty[Row]=$E126)*(PrvSty[Column]=UPPER(O$114)),0)))</f>
        <v>0</v>
      </c>
      <c r="Q126" s="157" cm="1">
        <f t="array" aca="1" ref="Q126" ca="1">IF(OR($E126="X",$E126="",$E126=0,$B126="X",$B126="",$B126=0),0,SUM(_xlfn._xlws.FILTER(PrvSty[DsvValue:SERRA],(PrvSty[Project]=TEXT($B126,"@"))*(PrvSty[Row]=$E126)*(PrvSty[Column]=UPPER(Q$114)),0)))</f>
        <v>0</v>
      </c>
      <c r="R126" s="157" cm="1">
        <f t="array" aca="1" ref="R126" ca="1">IF(OR($E126="X",$E126="",$E126=0,$B126="X",$B126="",$B126=0),0,SUM(_xlfn._xlws.FILTER(PrvSty[DsvValue:EXT.],(PrvSty[Project]=TEXT($B126,"@"))*(PrvSty[Row]=$E126)*(PrvSty[Column]=UPPER(Q$114)),0)))</f>
        <v>0</v>
      </c>
      <c r="S126" s="157" cm="1">
        <f t="array" aca="1" ref="S126" ca="1">IF(OR($E126="X",$E126="",$E126=0,$B126="X",$B126="",$B126=0),0,SUM(_xlfn._xlws.FILTER(PrvSty[DsvValue:SERRA],(PrvSty[Project]=TEXT($B126,"@"))*(PrvSty[Row]=$E126)*(PrvSty[Column]=UPPER(S$114)),0)))</f>
        <v>0</v>
      </c>
      <c r="T126" s="157" cm="1">
        <f t="array" aca="1" ref="T126" ca="1">IF(OR($E126="X",$E126="",$E126=0,$B126="X",$B126="",$B126=0),0,SUM(_xlfn._xlws.FILTER(PrvSty[DsvValue:EXT.],(PrvSty[Project]=TEXT($B126,"@"))*(PrvSty[Row]=$E126)*(PrvSty[Column]=UPPER(S$114)),0)))</f>
        <v>0</v>
      </c>
      <c r="U126" s="157" cm="1">
        <f t="array" aca="1" ref="U126" ca="1">IF(OR($E126="X",$E126="",$E126=0,$B126="X",$B126="",$B126=0),0,SUM(_xlfn._xlws.FILTER(PrvSty[DsvValue:SERRA],(PrvSty[Project]=TEXT($B126,"@"))*(PrvSty[Row]=$E126)*(PrvSty[Column]=UPPER(U$114)),0)))</f>
        <v>0</v>
      </c>
      <c r="V126" s="157" cm="1">
        <f t="array" aca="1" ref="V126" ca="1">IF(OR($E126="X",$E126="",$E126=0,$B126="X",$B126="",$B126=0),0,SUM(_xlfn._xlws.FILTER(PrvSty[DsvValue:EXT.],(PrvSty[Project]=TEXT($B126,"@"))*(PrvSty[Row]=$E126)*(PrvSty[Column]=UPPER(U$114)),0)))</f>
        <v>0</v>
      </c>
      <c r="W126" s="157" cm="1">
        <f t="array" aca="1" ref="W126" ca="1">IF(OR($E126="X",$E126="",$E126=0,$B126="X",$B126="",$B126=0),0,SUM(_xlfn._xlws.FILTER(PrvSty[DsvValue:SERRA],(PrvSty[Project]=TEXT($B126,"@"))*(PrvSty[Row]=$E126)*(PrvSty[Column]=UPPER(W$114)),0)))</f>
        <v>0</v>
      </c>
      <c r="X126" s="157" cm="1">
        <f t="array" aca="1" ref="X126" ca="1">IF(OR($E126="X",$E126="",$E126=0,$B126="X",$B126="",$B126=0),0,SUM(_xlfn._xlws.FILTER(PrvSty[DsvValue:EXT.],(PrvSty[Project]=TEXT($B126,"@"))*(PrvSty[Row]=$E126)*(PrvSty[Column]=UPPER(W$114)),0)))</f>
        <v>0</v>
      </c>
      <c r="Y126" s="157" cm="1">
        <f t="array" aca="1" ref="Y126" ca="1">IF(OR($E126="X",$E126="",$E126=0,$B126="X",$B126="",$B126=0),0,SUM(_xlfn._xlws.FILTER(PrvSty[DsvValue:SERRA],(PrvSty[Project]=TEXT($B126,"@"))*(PrvSty[Row]=$E126)*(PrvSty[Column]=UPPER(Y$114)),0)))</f>
        <v>0</v>
      </c>
      <c r="Z126" s="157" cm="1">
        <f t="array" aca="1" ref="Z126" ca="1">IF(OR($E126="X",$E126="",$E126=0,$B126="X",$B126="",$B126=0),0,SUM(_xlfn._xlws.FILTER(PrvSty[DsvValue:EXT.],(PrvSty[Project]=TEXT($B126,"@"))*(PrvSty[Row]=$E126)*(PrvSty[Column]=UPPER(Y$114)),0)))</f>
        <v>0</v>
      </c>
      <c r="AA126" s="157" cm="1">
        <f t="array" aca="1" ref="AA126" ca="1">IF(OR($E126="X",$E126="",$E126=0,$B126="X",$B126="",$B126=0),0,SUM(_xlfn._xlws.FILTER(PrvSty[DsvValue:SERRA],(PrvSty[Project]=TEXT($B126,"@"))*(PrvSty[Row]=$E126)*(PrvSty[Column]=UPPER(AA$114)),0)))</f>
        <v>0</v>
      </c>
      <c r="AB126" s="157" cm="1">
        <f t="array" aca="1" ref="AB126" ca="1">IF(OR($E126="X",$E126="",$E126=0,$B126="X",$B126="",$B126=0),0,SUM(_xlfn._xlws.FILTER(PrvSty[DsvValue:EXT.],(PrvSty[Project]=TEXT($B126,"@"))*(PrvSty[Row]=$E126)*(PrvSty[Column]=UPPER(AA$114)),0)))</f>
        <v>0</v>
      </c>
      <c r="AC126" s="157" cm="1">
        <f t="array" aca="1" ref="AC126" ca="1">IF(OR($E126="X",$E126="",$E126=0,$B126="X",$B126="",$B126=0),0,SUM(_xlfn._xlws.FILTER(PrvSty[DsvValue:SERRA],(PrvSty[Project]=TEXT($B126,"@"))*(PrvSty[Row]=$E126)*(PrvSty[Column]=UPPER(AC$114)),0)))</f>
        <v>0</v>
      </c>
      <c r="AD126" s="157" cm="1">
        <f t="array" aca="1" ref="AD126" ca="1">IF(OR($E126="X",$E126="",$E126=0,$B126="X",$B126="",$B126=0),0,SUM(_xlfn._xlws.FILTER(PrvSty[DsvValue:EXT.],(PrvSty[Project]=TEXT($B126,"@"))*(PrvSty[Row]=$E126)*(PrvSty[Column]=UPPER(AC$114)),0)))</f>
        <v>0</v>
      </c>
      <c r="AE126" s="157" cm="1">
        <f t="array" aca="1" ref="AE126" ca="1">IF(OR($E126="X",$E126="",$E126=0,$B126="X",$B126="",$B126=0),0,SUM(_xlfn._xlws.FILTER(PrvSty[DsvValue:SERRA],(PrvSty[Project]=TEXT($B126,"@"))*(PrvSty[Row]=$E126)*(PrvSty[Column]=UPPER(AE$114)),0)))</f>
        <v>0</v>
      </c>
      <c r="AF126" s="157" cm="1">
        <f t="array" aca="1" ref="AF126" ca="1">IF(OR($E126="X",$E126="",$E126=0,$B126="X",$B126="",$B126=0),0,SUM(_xlfn._xlws.FILTER(PrvSty[DsvValue:EXT.],(PrvSty[Project]=TEXT($B126,"@"))*(PrvSty[Row]=$E126)*(PrvSty[Column]=UPPER(AE$114)),0)))</f>
        <v>0</v>
      </c>
      <c r="AG126" s="157" cm="1">
        <f t="array" aca="1" ref="AG126" ca="1">IF(OR($E126="X",$E126="",$E126=0,$B126="X",$B126="",$B126=0),0,SUM(_xlfn._xlws.FILTER(PrvSty[DsvValue:SERRA],(PrvSty[Project]=TEXT($B126,"@"))*(PrvSty[Row]=$E126)*(PrvSty[Column]=UPPER(AG$114)),0)))</f>
        <v>0</v>
      </c>
      <c r="AH126" s="157" cm="1">
        <f t="array" aca="1" ref="AH126" ca="1">IF(OR($E126="X",$E126="",$E126=0,$B126="X",$B126="",$B126=0),0,SUM(_xlfn._xlws.FILTER(PrvSty[DsvValue:EXT.],(PrvSty[Project]=TEXT($B126,"@"))*(PrvSty[Row]=$E126)*(PrvSty[Column]=UPPER(AG$114)),0)))</f>
        <v>0</v>
      </c>
      <c r="AI126" s="157" cm="1">
        <f t="array" aca="1" ref="AI126" ca="1">IF(OR($E126="X",$E126="",$E126=0,$B126="X",$B126="",$B126=0),0,SUM(_xlfn._xlws.FILTER(PrvSty[DsvValue:SERRA],(PrvSty[Project]=TEXT($B126,"@"))*(PrvSty[Row]=$E126)*(PrvSty[Column]=UPPER(AI$114)),0)))</f>
        <v>0</v>
      </c>
      <c r="AJ126" s="157" cm="1">
        <f t="array" aca="1" ref="AJ126" ca="1">IF(OR($E126="X",$E126="",$E126=0,$B126="X",$B126="",$B126=0),0,SUM(_xlfn._xlws.FILTER(PrvSty[DsvValue:EXT.],(PrvSty[Project]=TEXT($B126,"@"))*(PrvSty[Row]=$E126)*(PrvSty[Column]=UPPER(AI$114)),0)))</f>
        <v>0</v>
      </c>
      <c r="AK126" s="157" cm="1">
        <f t="array" aca="1" ref="AK126" ca="1">IF(OR($E126="X",$E126="",$E126=0,$B126="X",$B126="",$B126=0),0,SUM(_xlfn._xlws.FILTER(PrvSty[DsvValue:SERRA],(PrvSty[Project]=TEXT($B126,"@"))*(PrvSty[Row]=$E126)*(PrvSty[Column]=UPPER(AK$114)),0)))</f>
        <v>0</v>
      </c>
      <c r="AL126" s="157" cm="1">
        <f t="array" aca="1" ref="AL126" ca="1">IF(OR($E126="X",$E126="",$E126=0,$B126="X",$B126="",$B126=0),0,SUM(_xlfn._xlws.FILTER(PrvSty[DsvValue:EXT.],(PrvSty[Project]=TEXT($B126,"@"))*(PrvSty[Row]=$E126)*(PrvSty[Column]=UPPER(AK$114)),0)))</f>
        <v>0</v>
      </c>
      <c r="AM126" s="157" cm="1">
        <f t="array" aca="1" ref="AM126" ca="1">IF(OR($E126="X",$E126="",$E126=0,$B126="X",$B126="",$B126=0),0,SUM(_xlfn._xlws.FILTER(PrvSty[DsvValue:SERRA],(PrvSty[Project]=TEXT($B126,"@"))*(PrvSty[Row]=$E126)*(PrvSty[Column]=UPPER(AM$114)),0)))</f>
        <v>0</v>
      </c>
      <c r="AN126" s="157" cm="1">
        <f t="array" aca="1" ref="AN126" ca="1">IF(OR($E126="X",$E126="",$E126=0,$B126="X",$B126="",$B126=0),0,SUM(_xlfn._xlws.FILTER(PrvSty[DsvValue:EXT.],(PrvSty[Project]=TEXT($B126,"@"))*(PrvSty[Row]=$E126)*(PrvSty[Column]=UPPER(AM$114)),0)))</f>
        <v>0</v>
      </c>
      <c r="AO126" s="157" cm="1">
        <f t="array" aca="1" ref="AO126" ca="1">IF(OR($E126="X",$E126="",$E126=0,$B126="X",$B126="",$B126=0),0,SUM(_xlfn._xlws.FILTER(PrvSty[DsvValue:SERRA],(PrvSty[Project]=TEXT($B126,"@"))*(PrvSty[Row]=$E126)*(PrvSty[Column]=UPPER(AO$114)),0)))</f>
        <v>0</v>
      </c>
      <c r="AP126" s="157" cm="1">
        <f t="array" aca="1" ref="AP126" ca="1">IF(OR($E126="X",$E126="",$E126=0,$B126="X",$B126="",$B126=0),0,SUM(_xlfn._xlws.FILTER(PrvSty[DsvValue:EXT.],(PrvSty[Project]=TEXT($B126,"@"))*(PrvSty[Row]=$E126)*(PrvSty[Column]=UPPER(AO$114)),0)))</f>
        <v>0</v>
      </c>
      <c r="AQ126" s="157" cm="1">
        <f t="array" aca="1" ref="AQ126" ca="1">SUM(IF(INDIRECT($AS$115)=AQ$115,INDIRECT($AS126)))</f>
        <v>-49885</v>
      </c>
      <c r="AR126" s="157" cm="1">
        <f t="array" aca="1" ref="AR126" ca="1">SUM(IF(INDIRECT($AS$115)=AR$115,INDIRECT($AS126)))</f>
        <v>0</v>
      </c>
      <c r="AS126" s="286" t="str">
        <f t="shared" ca="1" si="13"/>
        <v>G126:AP126</v>
      </c>
      <c r="AT126" s="403">
        <f t="shared" ca="1" si="14"/>
        <v>-49885</v>
      </c>
      <c r="AV126" s="142" cm="1">
        <f t="array" aca="1" ref="AV126" ca="1">IF(AND(_xlfn.LET(_xlpm.x,SUM(ROW()),OR(AND(MATCH("SOT",$A:$A,0)&lt;_xlpm.x,MATCH("EOT",$A:$A,0)&gt;_xlpm.x),AND(MATCH("SOS",$A:$A,0)&lt;_xlpm.x,MATCH("EOS",$A:$A,0)&gt;_xlpm.x),AND(MATCH("SOR",$A:$A,0)&lt;_xlpm.x,MATCH("EOR",$A:$A,0)&gt;_xlpm.x))),INDIRECT("rc"&amp;MATCH("SCD",$1:$1,0),FALSE)="PPTO"),1,0)</f>
        <v>0</v>
      </c>
      <c r="AW126" s="142" cm="1">
        <f t="array" aca="1" ref="AW12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27" spans="1:50" outlineLevel="1">
      <c r="B127" s="156" t="str" cm="1">
        <f t="array" aca="1" ref="B127:E127" ca="1">_xlfn.LET(_xlpm.x,SUM(ROW()-MATCH("SOR",$A:$A,0)),_xlpm.y,IFERROR(_xlfn.TAKE(INDEX(_xlfn._xlws.FILTER(TbAssign[],ISNUMBER(FIND(TbAssign[Project],$C$4)),"X"),1+QUOTIENT(_xlpm.x,3),0),1,4),0),IF(MOD(_xlpm.x-1,3)=0,IF(_xlpm.y=0,"X",_xlpm.y),INDIRECT("r[-1]c#",FALSE)))</f>
        <v>31200</v>
      </c>
      <c r="C127" s="156" t="str">
        <f ca="1"/>
        <v>XB02</v>
      </c>
      <c r="D127" s="148" t="str">
        <f ca="1"/>
        <v>DISC</v>
      </c>
      <c r="E127" s="352" t="str">
        <f ca="1"/>
        <v>ROBCAD</v>
      </c>
      <c r="F127" s="148" t="s">
        <v>1383</v>
      </c>
      <c r="G127" s="158" cm="1">
        <f t="array" aca="1" ref="G127" ca="1">IF(OR($E127="X",$E127="",$E127=0,$B127="X",$B127="",$B127=0),0,SUM(_xlfn._xlws.FILTER(FrmBB1[Cur],(FrmBB1[PrjId]=TEXT($B127,"@"))*(FrmBB1[Row]=$E127)*(FrmBB1[Column]=UPPER(_xlfn.LET(_xlpm.x,_xlfn.TEXTBEFORE(G$114," ("),IFERROR(_xlpm.x,G$114)))&amp;" "&amp;G$115),0)))</f>
        <v>0</v>
      </c>
      <c r="H127" s="157" cm="1">
        <f t="array" aca="1" ref="H127" ca="1">IF(OR($E127="X",$E127="",$E127=0,$B127="X",$B127="",$B127=0),0,SUM(_xlfn._xlws.FILTER(FrmBB1[Cur],(FrmBB1[PrjId]=TEXT($B127,"@"))*(FrmBB1[Row]=$E127)*(FrmBB1[Column]=UPPER(_xlfn.LET(_xlpm.x,_xlfn.TEXTBEFORE(G$114," ("),IFERROR(_xlpm.x,G$114)))&amp;" "&amp;H$115),0)))</f>
        <v>0</v>
      </c>
      <c r="I127" s="158" cm="1">
        <f t="array" aca="1" ref="I127" ca="1">IF(OR($E127="X",$E127="",$E127=0,$B127="X",$B127="",$B127=0),0,SUM(_xlfn._xlws.FILTER(FrmBB1[Cur],(FrmBB1[PrjId]=TEXT($B127,"@"))*(FrmBB1[Row]=$E127)*(FrmBB1[Column]=UPPER(_xlfn.LET(_xlpm.x,_xlfn.TEXTBEFORE(I$114," ("),IFERROR(_xlpm.x,I$114)))&amp;" "&amp;I$115),0)))</f>
        <v>0</v>
      </c>
      <c r="J127" s="157" cm="1">
        <f t="array" aca="1" ref="J127" ca="1">IF(OR($E127="X",$E127="",$E127=0,$B127="X",$B127="",$B127=0),0,SUM(_xlfn._xlws.FILTER(FrmBB1[Cur],(FrmBB1[PrjId]=TEXT($B127,"@"))*(FrmBB1[Row]=$E127)*(FrmBB1[Column]=UPPER(_xlfn.LET(_xlpm.x,_xlfn.TEXTBEFORE(I$114," ("),IFERROR(_xlpm.x,I$114)))&amp;" "&amp;J$115),0)))</f>
        <v>0</v>
      </c>
      <c r="K127" s="158" cm="1">
        <f t="array" aca="1" ref="K127" ca="1">IF(OR($E127="X",$E127="",$E127=0,$B127="X",$B127="",$B127=0),0,SUM(_xlfn._xlws.FILTER(FrmBB1[Cur],(FrmBB1[PrjId]=TEXT($B127,"@"))*(FrmBB1[Row]=$E127)*(FrmBB1[Column]=UPPER(_xlfn.LET(_xlpm.x,_xlfn.TEXTBEFORE(K$114," ("),IFERROR(_xlpm.x,K$114)))&amp;" "&amp;K$115),0)))</f>
        <v>0</v>
      </c>
      <c r="L127" s="157" cm="1">
        <f t="array" aca="1" ref="L127" ca="1">IF(OR($E127="X",$E127="",$E127=0,$B127="X",$B127="",$B127=0),0,SUM(_xlfn._xlws.FILTER(FrmBB1[Cur],(FrmBB1[PrjId]=TEXT($B127,"@"))*(FrmBB1[Row]=$E127)*(FrmBB1[Column]=UPPER(_xlfn.LET(_xlpm.x,_xlfn.TEXTBEFORE(K$114," ("),IFERROR(_xlpm.x,K$114)))&amp;" "&amp;L$115),0)))</f>
        <v>0</v>
      </c>
      <c r="M127" s="158" cm="1">
        <f t="array" aca="1" ref="M127" ca="1">IF(OR($E127="X",$E127="",$E127=0,$B127="X",$B127="",$B127=0),0,SUM(_xlfn._xlws.FILTER(FrmBB1[Cur],(FrmBB1[PrjId]=TEXT($B127,"@"))*(FrmBB1[Row]=$E127)*(FrmBB1[Column]=UPPER(_xlfn.LET(_xlpm.x,_xlfn.TEXTBEFORE(M$114," ("),IFERROR(_xlpm.x,M$114)))&amp;" "&amp;M$115),0)))</f>
        <v>46262.93</v>
      </c>
      <c r="N127" s="157" cm="1">
        <f t="array" aca="1" ref="N127" ca="1">IF(OR($E127="X",$E127="",$E127=0,$B127="X",$B127="",$B127=0),0,SUM(_xlfn._xlws.FILTER(FrmBB1[Cur],(FrmBB1[PrjId]=TEXT($B127,"@"))*(FrmBB1[Row]=$E127)*(FrmBB1[Column]=UPPER(_xlfn.LET(_xlpm.x,_xlfn.TEXTBEFORE(M$114," ("),IFERROR(_xlpm.x,M$114)))&amp;" "&amp;N$115),0)))</f>
        <v>0</v>
      </c>
      <c r="O127" s="158" cm="1">
        <f t="array" aca="1" ref="O127" ca="1">IF(OR($E127="X",$E127="",$E127=0,$B127="X",$B127="",$B127=0),0,SUM(_xlfn._xlws.FILTER(FrmBB1[Cur],(FrmBB1[PrjId]=TEXT($B127,"@"))*(FrmBB1[Row]=$E127)*(FrmBB1[Column]=UPPER(_xlfn.LET(_xlpm.x,_xlfn.TEXTBEFORE(O$114," ("),IFERROR(_xlpm.x,O$114)))&amp;" "&amp;O$115),0)))</f>
        <v>0</v>
      </c>
      <c r="P127" s="157" cm="1">
        <f t="array" aca="1" ref="P127" ca="1">IF(OR($E127="X",$E127="",$E127=0,$B127="X",$B127="",$B127=0),0,SUM(_xlfn._xlws.FILTER(FrmBB1[Cur],(FrmBB1[PrjId]=TEXT($B127,"@"))*(FrmBB1[Row]=$E127)*(FrmBB1[Column]=UPPER(_xlfn.LET(_xlpm.x,_xlfn.TEXTBEFORE(O$114," ("),IFERROR(_xlpm.x,O$114)))&amp;" "&amp;P$115),0)))</f>
        <v>0</v>
      </c>
      <c r="Q127" s="158" cm="1">
        <f t="array" aca="1" ref="Q127" ca="1">IF(OR($E127="X",$E127="",$E127=0,$B127="X",$B127="",$B127=0),0,SUM(_xlfn._xlws.FILTER(FrmBB1[Cur],(FrmBB1[PrjId]=TEXT($B127,"@"))*(FrmBB1[Row]=$E127)*(FrmBB1[Column]=UPPER(_xlfn.LET(_xlpm.x,_xlfn.TEXTBEFORE(Q$114," ("),IFERROR(_xlpm.x,Q$114)))&amp;" "&amp;Q$115),0)))</f>
        <v>0</v>
      </c>
      <c r="R127" s="157" cm="1">
        <f t="array" aca="1" ref="R127" ca="1">IF(OR($E127="X",$E127="",$E127=0,$B127="X",$B127="",$B127=0),0,SUM(_xlfn._xlws.FILTER(FrmBB1[Cur],(FrmBB1[PrjId]=TEXT($B127,"@"))*(FrmBB1[Row]=$E127)*(FrmBB1[Column]=UPPER(_xlfn.LET(_xlpm.x,_xlfn.TEXTBEFORE(Q$114," ("),IFERROR(_xlpm.x,Q$114)))&amp;" "&amp;R$115),0)))</f>
        <v>0</v>
      </c>
      <c r="S127" s="158" cm="1">
        <f t="array" aca="1" ref="S127" ca="1">IF(OR($E127="X",$E127="",$E127=0,$B127="X",$B127="",$B127=0),0,SUM(_xlfn._xlws.FILTER(FrmBB1[Cur],(FrmBB1[PrjId]=TEXT($B127,"@"))*(FrmBB1[Row]=$E127)*(FrmBB1[Column]=UPPER(_xlfn.LET(_xlpm.x,_xlfn.TEXTBEFORE(S$114," ("),IFERROR(_xlpm.x,S$114)))&amp;" "&amp;S$115),0)))</f>
        <v>0</v>
      </c>
      <c r="T127" s="157" cm="1">
        <f t="array" aca="1" ref="T127" ca="1">IF(OR($E127="X",$E127="",$E127=0,$B127="X",$B127="",$B127=0),0,SUM(_xlfn._xlws.FILTER(FrmBB1[Cur],(FrmBB1[PrjId]=TEXT($B127,"@"))*(FrmBB1[Row]=$E127)*(FrmBB1[Column]=UPPER(_xlfn.LET(_xlpm.x,_xlfn.TEXTBEFORE(S$114," ("),IFERROR(_xlpm.x,S$114)))&amp;" "&amp;T$115),0)))</f>
        <v>0</v>
      </c>
      <c r="U127" s="158" cm="1">
        <f t="array" aca="1" ref="U127" ca="1">IF(OR($E127="X",$E127="",$E127=0,$B127="X",$B127="",$B127=0),0,SUM(_xlfn._xlws.FILTER(FrmBB1[Cur],(FrmBB1[PrjId]=TEXT($B127,"@"))*(FrmBB1[Row]=$E127)*(FrmBB1[Column]=UPPER(_xlfn.LET(_xlpm.x,_xlfn.TEXTBEFORE(U$114," ("),IFERROR(_xlpm.x,U$114)))&amp;" "&amp;U$115),0)))</f>
        <v>0</v>
      </c>
      <c r="V127" s="157" cm="1">
        <f t="array" aca="1" ref="V127" ca="1">IF(OR($E127="X",$E127="",$E127=0,$B127="X",$B127="",$B127=0),0,SUM(_xlfn._xlws.FILTER(FrmBB1[Cur],(FrmBB1[PrjId]=TEXT($B127,"@"))*(FrmBB1[Row]=$E127)*(FrmBB1[Column]=UPPER(_xlfn.LET(_xlpm.x,_xlfn.TEXTBEFORE(U$114," ("),IFERROR(_xlpm.x,U$114)))&amp;" "&amp;V$115),0)))</f>
        <v>0</v>
      </c>
      <c r="W127" s="158" cm="1">
        <f t="array" aca="1" ref="W127" ca="1">IF(OR($E127="X",$E127="",$E127=0,$B127="X",$B127="",$B127=0),0,SUM(_xlfn._xlws.FILTER(FrmBB1[Cur],(FrmBB1[PrjId]=TEXT($B127,"@"))*(FrmBB1[Row]=$E127)*(FrmBB1[Column]=UPPER(_xlfn.LET(_xlpm.x,_xlfn.TEXTBEFORE(W$114," ("),IFERROR(_xlpm.x,W$114)))&amp;" "&amp;W$115),0)))</f>
        <v>0</v>
      </c>
      <c r="X127" s="157" cm="1">
        <f t="array" aca="1" ref="X127" ca="1">IF(OR($E127="X",$E127="",$E127=0,$B127="X",$B127="",$B127=0),0,SUM(_xlfn._xlws.FILTER(FrmBB1[Cur],(FrmBB1[PrjId]=TEXT($B127,"@"))*(FrmBB1[Row]=$E127)*(FrmBB1[Column]=UPPER(_xlfn.LET(_xlpm.x,_xlfn.TEXTBEFORE(W$114," ("),IFERROR(_xlpm.x,W$114)))&amp;" "&amp;X$115),0)))</f>
        <v>0</v>
      </c>
      <c r="Y127" s="158" cm="1">
        <f t="array" aca="1" ref="Y127" ca="1">IF(OR($E127="X",$E127="",$E127=0,$B127="X",$B127="",$B127=0),0,SUM(_xlfn._xlws.FILTER(FrmBB1[Cur],(FrmBB1[PrjId]=TEXT($B127,"@"))*(FrmBB1[Row]=$E127)*(FrmBB1[Column]=UPPER(_xlfn.LET(_xlpm.x,_xlfn.TEXTBEFORE(Y$114," ("),IFERROR(_xlpm.x,Y$114)))&amp;" "&amp;Y$115),0)))</f>
        <v>0</v>
      </c>
      <c r="Z127" s="157" cm="1">
        <f t="array" aca="1" ref="Z127" ca="1">IF(OR($E127="X",$E127="",$E127=0,$B127="X",$B127="",$B127=0),0,SUM(_xlfn._xlws.FILTER(FrmBB1[Cur],(FrmBB1[PrjId]=TEXT($B127,"@"))*(FrmBB1[Row]=$E127)*(FrmBB1[Column]=UPPER(_xlfn.LET(_xlpm.x,_xlfn.TEXTBEFORE(Y$114," ("),IFERROR(_xlpm.x,Y$114)))&amp;" "&amp;Z$115),0)))</f>
        <v>0</v>
      </c>
      <c r="AA127" s="158" cm="1">
        <f t="array" aca="1" ref="AA127" ca="1">IF(OR($E127="X",$E127="",$E127=0,$B127="X",$B127="",$B127=0),0,SUM(_xlfn._xlws.FILTER(FrmBB1[Cur],(FrmBB1[PrjId]=TEXT($B127,"@"))*(FrmBB1[Row]=$E127)*(FrmBB1[Column]=UPPER(_xlfn.LET(_xlpm.x,_xlfn.TEXTBEFORE(AA$114," ("),IFERROR(_xlpm.x,AA$114)))&amp;" "&amp;AA$115),0)))</f>
        <v>0</v>
      </c>
      <c r="AB127" s="157" cm="1">
        <f t="array" aca="1" ref="AB127" ca="1">IF(OR($E127="X",$E127="",$E127=0,$B127="X",$B127="",$B127=0),0,SUM(_xlfn._xlws.FILTER(FrmBB1[Cur],(FrmBB1[PrjId]=TEXT($B127,"@"))*(FrmBB1[Row]=$E127)*(FrmBB1[Column]=UPPER(_xlfn.LET(_xlpm.x,_xlfn.TEXTBEFORE(AA$114," ("),IFERROR(_xlpm.x,AA$114)))&amp;" "&amp;AB$115),0)))</f>
        <v>0</v>
      </c>
      <c r="AC127" s="158" cm="1">
        <f t="array" aca="1" ref="AC127" ca="1">IF(OR($E127="X",$E127="",$E127=0,$B127="X",$B127="",$B127=0),0,SUM(_xlfn._xlws.FILTER(FrmBB1[Cur],(FrmBB1[PrjId]=TEXT($B127,"@"))*(FrmBB1[Row]=$E127)*(FrmBB1[Column]=UPPER(_xlfn.LET(_xlpm.x,_xlfn.TEXTBEFORE(AC$114," ("),IFERROR(_xlpm.x,AC$114)))&amp;" "&amp;AC$115),0)))</f>
        <v>0</v>
      </c>
      <c r="AD127" s="157" cm="1">
        <f t="array" aca="1" ref="AD127" ca="1">IF(OR($E127="X",$E127="",$E127=0,$B127="X",$B127="",$B127=0),0,SUM(_xlfn._xlws.FILTER(FrmBB1[Cur],(FrmBB1[PrjId]=TEXT($B127,"@"))*(FrmBB1[Row]=$E127)*(FrmBB1[Column]=UPPER(_xlfn.LET(_xlpm.x,_xlfn.TEXTBEFORE(AC$114," ("),IFERROR(_xlpm.x,AC$114)))&amp;" "&amp;AD$115),0)))</f>
        <v>0</v>
      </c>
      <c r="AE127" s="158" cm="1">
        <f t="array" aca="1" ref="AE127" ca="1">IF(OR($E127="X",$E127="",$E127=0,$B127="X",$B127="",$B127=0),0,SUM(_xlfn._xlws.FILTER(FrmBB1[Cur],(FrmBB1[PrjId]=TEXT($B127,"@"))*(FrmBB1[Row]=$E127)*(FrmBB1[Column]=UPPER(_xlfn.LET(_xlpm.x,_xlfn.TEXTBEFORE(AE$114," ("),IFERROR(_xlpm.x,AE$114)))&amp;" "&amp;AE$115),0)))</f>
        <v>0</v>
      </c>
      <c r="AF127" s="157" cm="1">
        <f t="array" aca="1" ref="AF127" ca="1">IF(OR($E127="X",$E127="",$E127=0,$B127="X",$B127="",$B127=0),0,SUM(_xlfn._xlws.FILTER(FrmBB1[Cur],(FrmBB1[PrjId]=TEXT($B127,"@"))*(FrmBB1[Row]=$E127)*(FrmBB1[Column]=UPPER(_xlfn.LET(_xlpm.x,_xlfn.TEXTBEFORE(AE$114," ("),IFERROR(_xlpm.x,AE$114)))&amp;" "&amp;AF$115),0)))</f>
        <v>0</v>
      </c>
      <c r="AG127" s="158" cm="1">
        <f t="array" aca="1" ref="AG127" ca="1">IF(OR($E127="X",$E127="",$E127=0,$B127="X",$B127="",$B127=0),0,SUM(_xlfn._xlws.FILTER(FrmBB1[Cur],(FrmBB1[PrjId]=TEXT($B127,"@"))*(FrmBB1[Row]=$E127)*(FrmBB1[Column]=UPPER(_xlfn.LET(_xlpm.x,_xlfn.TEXTBEFORE(AG$114," ("),IFERROR(_xlpm.x,AG$114)))&amp;" "&amp;AG$115),0)))</f>
        <v>0</v>
      </c>
      <c r="AH127" s="157" cm="1">
        <f t="array" aca="1" ref="AH127" ca="1">IF(OR($E127="X",$E127="",$E127=0,$B127="X",$B127="",$B127=0),0,SUM(_xlfn._xlws.FILTER(FrmBB1[Cur],(FrmBB1[PrjId]=TEXT($B127,"@"))*(FrmBB1[Row]=$E127)*(FrmBB1[Column]=UPPER(_xlfn.LET(_xlpm.x,_xlfn.TEXTBEFORE(AG$114," ("),IFERROR(_xlpm.x,AG$114)))&amp;" "&amp;AH$115),0)))</f>
        <v>0</v>
      </c>
      <c r="AI127" s="158" cm="1">
        <f t="array" aca="1" ref="AI127" ca="1">IF(OR($E127="X",$E127="",$E127=0,$B127="X",$B127="",$B127=0),0,SUM(_xlfn._xlws.FILTER(FrmBB1[Cur],(FrmBB1[PrjId]=TEXT($B127,"@"))*(FrmBB1[Row]=$E127)*(FrmBB1[Column]=UPPER(_xlfn.LET(_xlpm.x,_xlfn.TEXTBEFORE(AI$114," ("),IFERROR(_xlpm.x,AI$114)))&amp;" "&amp;AI$115),0)))</f>
        <v>0</v>
      </c>
      <c r="AJ127" s="157" cm="1">
        <f t="array" aca="1" ref="AJ127" ca="1">IF(OR($E127="X",$E127="",$E127=0,$B127="X",$B127="",$B127=0),0,SUM(_xlfn._xlws.FILTER(FrmBB1[Cur],(FrmBB1[PrjId]=TEXT($B127,"@"))*(FrmBB1[Row]=$E127)*(FrmBB1[Column]=UPPER(_xlfn.LET(_xlpm.x,_xlfn.TEXTBEFORE(AI$114," ("),IFERROR(_xlpm.x,AI$114)))&amp;" "&amp;AJ$115),0)))</f>
        <v>0</v>
      </c>
      <c r="AK127" s="158" cm="1">
        <f t="array" aca="1" ref="AK127" ca="1">IF(OR($E127="X",$E127="",$E127=0,$B127="X",$B127="",$B127=0),0,SUM(_xlfn._xlws.FILTER(FrmBB1[Cur],(FrmBB1[PrjId]=TEXT($B127,"@"))*(FrmBB1[Row]=$E127)*(FrmBB1[Column]=UPPER(_xlfn.LET(_xlpm.x,_xlfn.TEXTBEFORE(AK$114," ("),IFERROR(_xlpm.x,AK$114)))&amp;" "&amp;AK$115),0)))</f>
        <v>0</v>
      </c>
      <c r="AL127" s="157" cm="1">
        <f t="array" aca="1" ref="AL127" ca="1">IF(OR($E127="X",$E127="",$E127=0,$B127="X",$B127="",$B127=0),0,SUM(_xlfn._xlws.FILTER(FrmBB1[Cur],(FrmBB1[PrjId]=TEXT($B127,"@"))*(FrmBB1[Row]=$E127)*(FrmBB1[Column]=UPPER(_xlfn.LET(_xlpm.x,_xlfn.TEXTBEFORE(AK$114," ("),IFERROR(_xlpm.x,AK$114)))&amp;" "&amp;AL$115),0)))</f>
        <v>0</v>
      </c>
      <c r="AM127" s="158" cm="1">
        <f t="array" aca="1" ref="AM127" ca="1">IF(OR($E127="X",$E127="",$E127=0,$B127="X",$B127="",$B127=0),0,SUM(_xlfn._xlws.FILTER(FrmBB1[Cur],(FrmBB1[PrjId]=TEXT($B127,"@"))*(FrmBB1[Row]=$E127)*(FrmBB1[Column]=UPPER(_xlfn.LET(_xlpm.x,_xlfn.TEXTBEFORE(AM$114," ("),IFERROR(_xlpm.x,AM$114)))&amp;" "&amp;AM$115),0)))</f>
        <v>0</v>
      </c>
      <c r="AN127" s="157" cm="1">
        <f t="array" aca="1" ref="AN127" ca="1">IF(OR($E127="X",$E127="",$E127=0,$B127="X",$B127="",$B127=0),0,SUM(_xlfn._xlws.FILTER(FrmBB1[Cur],(FrmBB1[PrjId]=TEXT($B127,"@"))*(FrmBB1[Row]=$E127)*(FrmBB1[Column]=UPPER(_xlfn.LET(_xlpm.x,_xlfn.TEXTBEFORE(AM$114," ("),IFERROR(_xlpm.x,AM$114)))&amp;" "&amp;AN$115),0)))</f>
        <v>0</v>
      </c>
      <c r="AO127" s="158" cm="1">
        <f t="array" aca="1" ref="AO127" ca="1">IF(OR($E127="X",$E127="",$E127=0,$B127="X",$B127="",$B127=0),0,SUM(_xlfn._xlws.FILTER(FrmBB1[Cur],(FrmBB1[PrjId]=TEXT($B127,"@"))*(FrmBB1[Row]=$E127)*(FrmBB1[Column]=UPPER(_xlfn.LET(_xlpm.x,_xlfn.TEXTBEFORE(AO$114," ("),IFERROR(_xlpm.x,AO$114)))&amp;" "&amp;AO$115),0)))</f>
        <v>0</v>
      </c>
      <c r="AP127" s="157" cm="1">
        <f t="array" aca="1" ref="AP127" ca="1">IF(OR($E127="X",$E127="",$E127=0,$B127="X",$B127="",$B127=0),0,SUM(_xlfn._xlws.FILTER(FrmBB1[Cur],(FrmBB1[PrjId]=TEXT($B127,"@"))*(FrmBB1[Row]=$E127)*(FrmBB1[Column]=UPPER(_xlfn.LET(_xlpm.x,_xlfn.TEXTBEFORE(AO$114," ("),IFERROR(_xlpm.x,AO$114)))&amp;" "&amp;AP$115),0)))</f>
        <v>0</v>
      </c>
      <c r="AQ127" s="157" cm="1">
        <f t="array" aca="1" ref="AQ127" ca="1">SUM(IF(INDIRECT($AS$115)=AQ$115,INDIRECT($AS127)))</f>
        <v>46262.93</v>
      </c>
      <c r="AR127" s="157" cm="1">
        <f t="array" aca="1" ref="AR127" ca="1">SUM(IF(INDIRECT($AS$115)=AR$115,INDIRECT($AS127)))</f>
        <v>0</v>
      </c>
      <c r="AS127" s="286" t="str">
        <f t="shared" ca="1" si="13"/>
        <v>G127:AP127</v>
      </c>
      <c r="AT127" s="355">
        <f t="shared" ca="1" si="14"/>
        <v>46262.93</v>
      </c>
      <c r="AV127" s="142" cm="1">
        <f t="array" aca="1" ref="AV127" ca="1">IF(AND(_xlfn.LET(_xlpm.x,SUM(ROW()),OR(AND(MATCH("SOT",$A:$A,0)&lt;_xlpm.x,MATCH("EOT",$A:$A,0)&gt;_xlpm.x),AND(MATCH("SOS",$A:$A,0)&lt;_xlpm.x,MATCH("EOS",$A:$A,0)&gt;_xlpm.x),AND(MATCH("SOR",$A:$A,0)&lt;_xlpm.x,MATCH("EOR",$A:$A,0)&gt;_xlpm.x))),INDIRECT("rc"&amp;MATCH("SCD",$1:$1,0),FALSE)="PPTO"),1,0)</f>
        <v>0</v>
      </c>
      <c r="AW127" s="142" cm="1">
        <f t="array" aca="1" ref="AW12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28" spans="1:50" outlineLevel="1">
      <c r="B128" s="156" t="str" cm="1">
        <f t="array" aca="1" ref="B128:E128" ca="1">_xlfn.LET(_xlpm.x,SUM(ROW()-MATCH("SOR",$A:$A,0)),_xlpm.y,IFERROR(_xlfn.TAKE(INDEX(_xlfn._xlws.FILTER(TbAssign[],ISNUMBER(FIND(TbAssign[Project],$C$4)),"X"),1+QUOTIENT(_xlpm.x,3),0),1,4),0),IF(MOD(_xlpm.x-1,3)=0,IF(_xlpm.y=0,"X",_xlpm.y),INDIRECT("r[-1]c#",FALSE)))</f>
        <v>31200</v>
      </c>
      <c r="C128" s="156" t="str">
        <f ca="1"/>
        <v>XE01</v>
      </c>
      <c r="D128" s="148" t="str">
        <f ca="1"/>
        <v>PMCS</v>
      </c>
      <c r="E128" s="352" t="str">
        <f ca="1"/>
        <v>PUESTA EN MARCHA EN SERRA</v>
      </c>
      <c r="F128" s="148" t="s">
        <v>397</v>
      </c>
      <c r="G128" s="157" cm="1">
        <f t="array" aca="1" ref="G128" ca="1">IF(OR($E128="X",$E128="",$E128=0,$B128="X",$B128="",$B128=0),0,SUM(_xlfn._xlws.FILTER(IF($E$4="Ppto",PptoSty[CurPpto],PptoSty[CurInt]),(IF($E$4="Ppto",PptoSty[POvsCT]=G$113,TRUE))*(PptoSty[Project]=TEXT($B128,"@"))*(PptoSty[PptoVsRow]=$E128)*(PptoSty[PptoVsColumn]=UPPER(G$114)),0)))</f>
        <v>58914.315648449992</v>
      </c>
      <c r="H128" s="157" cm="1">
        <f t="array" aca="1" ref="H128" ca="1">IF(OR($E128="X",$E128="",$E128=0,$B128="X",$B128="",$B128=0),0,SUM(_xlfn._xlws.FILTER(IF($E$4="Ppto",PptoSty[CurPpto],PptoSty[CurExt]),(IF($E$4="Ppto",PptoSty[POvsCT]=H$113,TRUE))*(PptoSty[Project]=TEXT($B128,"@"))*(PptoSty[PptoVsRow]=$E128)*(PptoSty[PptoVsColumn]=UPPER(G$114)),0)))</f>
        <v>0</v>
      </c>
      <c r="I128" s="157" cm="1">
        <f t="array" aca="1" ref="I128" ca="1">IF(OR($E128="X",$E128="",$E128=0,$B128="X",$B128="",$B128=0),0,SUM(_xlfn._xlws.FILTER(IF($E$4="Ppto",PptoSty[CurPpto],PptoSty[CurInt]),(IF($E$4="Ppto",PptoSty[POvsCT]=I$113,TRUE))*(PptoSty[Project]=TEXT($B128,"@"))*(PptoSty[PptoVsRow]=$E128)*(PptoSty[PptoVsColumn]=UPPER(I$114)),0)))</f>
        <v>0</v>
      </c>
      <c r="J128" s="157" cm="1">
        <f t="array" aca="1" ref="J128" ca="1">IF(OR($E128="X",$E128="",$E128=0,$B128="X",$B128="",$B128=0),0,SUM(_xlfn._xlws.FILTER(IF($E$4="Ppto",PptoSty[CurPpto],PptoSty[CurExt]),(IF($E$4="Ppto",PptoSty[POvsCT]=J$113,TRUE))*(PptoSty[Project]=TEXT($B128,"@"))*(PptoSty[PptoVsRow]=$E128)*(PptoSty[PptoVsColumn]=UPPER(I$114)),0)))</f>
        <v>0</v>
      </c>
      <c r="K128" s="157" cm="1">
        <f t="array" aca="1" ref="K128" ca="1">IF(OR($E128="X",$E128="",$E128=0,$B128="X",$B128="",$B128=0),0,SUM(_xlfn._xlws.FILTER(IF($E$4="Ppto",PptoSty[CurPpto],PptoSty[CurInt]),(IF($E$4="Ppto",PptoSty[POvsCT]=K$113,TRUE))*(PptoSty[Project]=TEXT($B128,"@"))*(PptoSty[PptoVsRow]=$E128)*(PptoSty[PptoVsColumn]=UPPER(K$114)),0)))</f>
        <v>0</v>
      </c>
      <c r="L128" s="157" cm="1">
        <f t="array" aca="1" ref="L128" ca="1">IF(OR($E128="X",$E128="",$E128=0,$B128="X",$B128="",$B128=0),0,SUM(_xlfn._xlws.FILTER(IF($E$4="Ppto",PptoSty[CurPpto],PptoSty[CurExt]),(IF($E$4="Ppto",PptoSty[POvsCT]=L$113,TRUE))*(PptoSty[Project]=TEXT($B128,"@"))*(PptoSty[PptoVsRow]=$E128)*(PptoSty[PptoVsColumn]=UPPER(K$114)),0)))</f>
        <v>0</v>
      </c>
      <c r="M128" s="157" cm="1">
        <f t="array" aca="1" ref="M128" ca="1">IF(OR($E128="X",$E128="",$E128=0,$B128="X",$B128="",$B128=0),0,SUM(_xlfn._xlws.FILTER(IF($E$4="Ppto",PptoSty[CurPpto],PptoSty[CurInt]),(IF($E$4="Ppto",PptoSty[POvsCT]=M$113,TRUE))*(PptoSty[Project]=TEXT($B128,"@"))*(PptoSty[PptoVsRow]=$E128)*(PptoSty[PptoVsColumn]=UPPER(M$114)),0)))</f>
        <v>0</v>
      </c>
      <c r="N128" s="157" cm="1">
        <f t="array" aca="1" ref="N128" ca="1">IF(OR($E128="X",$E128="",$E128=0,$B128="X",$B128="",$B128=0),0,SUM(_xlfn._xlws.FILTER(IF($E$4="Ppto",PptoSty[CurPpto],PptoSty[CurExt]),(IF($E$4="Ppto",PptoSty[POvsCT]=N$113,TRUE))*(PptoSty[Project]=TEXT($B128,"@"))*(PptoSty[PptoVsRow]=$E128)*(PptoSty[PptoVsColumn]=UPPER(M$114)),0)))</f>
        <v>0</v>
      </c>
      <c r="O128" s="157" cm="1">
        <f t="array" aca="1" ref="O128" ca="1">IF(OR($E128="X",$E128="",$E128=0,$B128="X",$B128="",$B128=0),0,SUM(_xlfn._xlws.FILTER(IF($E$4="Ppto",PptoSty[CurPpto],PptoSty[CurInt]),(IF($E$4="Ppto",PptoSty[POvsCT]=O$113,TRUE))*(PptoSty[Project]=TEXT($B128,"@"))*(PptoSty[PptoVsRow]=$E128)*(PptoSty[PptoVsColumn]=UPPER(O$114)),0)))</f>
        <v>71007.22282499999</v>
      </c>
      <c r="P128" s="157" cm="1">
        <f t="array" aca="1" ref="P128" ca="1">IF(OR($E128="X",$E128="",$E128=0,$B128="X",$B128="",$B128=0),0,SUM(_xlfn._xlws.FILTER(IF($E$4="Ppto",PptoSty[CurPpto],PptoSty[CurExt]),(IF($E$4="Ppto",PptoSty[POvsCT]=P$113,TRUE))*(PptoSty[Project]=TEXT($B128,"@"))*(PptoSty[PptoVsRow]=$E128)*(PptoSty[PptoVsColumn]=UPPER(O$114)),0)))</f>
        <v>77442.716925000001</v>
      </c>
      <c r="Q128" s="157" cm="1">
        <f t="array" aca="1" ref="Q128" ca="1">IF(OR($E128="X",$E128="",$E128=0,$B128="X",$B128="",$B128=0),0,SUM(_xlfn._xlws.FILTER(IF($E$4="Ppto",PptoSty[CurPpto],PptoSty[CurInt]),(IF($E$4="Ppto",PptoSty[POvsCT]=Q$113,TRUE))*(PptoSty[Project]=TEXT($B128,"@"))*(PptoSty[PptoVsRow]=$E128)*(PptoSty[PptoVsColumn]=UPPER(Q$114)),0)))</f>
        <v>0</v>
      </c>
      <c r="R128" s="157" cm="1">
        <f t="array" aca="1" ref="R128" ca="1">IF(OR($E128="X",$E128="",$E128=0,$B128="X",$B128="",$B128=0),0,SUM(_xlfn._xlws.FILTER(IF($E$4="Ppto",PptoSty[CurPpto],PptoSty[CurExt]),(IF($E$4="Ppto",PptoSty[POvsCT]=R$113,TRUE))*(PptoSty[Project]=TEXT($B128,"@"))*(PptoSty[PptoVsRow]=$E128)*(PptoSty[PptoVsColumn]=UPPER(Q$114)),0)))</f>
        <v>0</v>
      </c>
      <c r="S128" s="157" cm="1">
        <f t="array" aca="1" ref="S128" ca="1">IF(OR($E128="X",$E128="",$E128=0,$B128="X",$B128="",$B128=0),0,SUM(_xlfn._xlws.FILTER(IF($E$4="Ppto",PptoSty[CurPpto],PptoSty[CurInt]),(IF($E$4="Ppto",PptoSty[POvsCT]=S$113,TRUE))*(PptoSty[Project]=TEXT($B128,"@"))*(PptoSty[PptoVsRow]=$E128)*(PptoSty[PptoVsColumn]=UPPER(S$114)),0)))</f>
        <v>31956.476933906248</v>
      </c>
      <c r="T128" s="157" cm="1">
        <f t="array" aca="1" ref="T128" ca="1">IF(OR($E128="X",$E128="",$E128=0,$B128="X",$B128="",$B128=0),0,SUM(_xlfn._xlws.FILTER(IF($E$4="Ppto",PptoSty[CurPpto],PptoSty[CurExt]),(IF($E$4="Ppto",PptoSty[POvsCT]=T$113,TRUE))*(PptoSty[Project]=TEXT($B128,"@"))*(PptoSty[PptoVsRow]=$E128)*(PptoSty[PptoVsColumn]=UPPER(S$114)),0)))</f>
        <v>70904.956526249996</v>
      </c>
      <c r="U128" s="157" cm="1">
        <f t="array" aca="1" ref="U128" ca="1">IF(OR($E128="X",$E128="",$E128=0,$B128="X",$B128="",$B128=0),0,SUM(_xlfn._xlws.FILTER(IF($E$4="Ppto",PptoSty[CurPpto],PptoSty[CurInt]),(IF($E$4="Ppto",PptoSty[POvsCT]=U$113,TRUE))*(PptoSty[Project]=TEXT($B128,"@"))*(PptoSty[PptoVsRow]=$E128)*(PptoSty[PptoVsColumn]=UPPER(U$114)),0)))</f>
        <v>0</v>
      </c>
      <c r="V128" s="157" cm="1">
        <f t="array" aca="1" ref="V128" ca="1">IF(OR($E128="X",$E128="",$E128=0,$B128="X",$B128="",$B128=0),0,SUM(_xlfn._xlws.FILTER(IF($E$4="Ppto",PptoSty[CurPpto],PptoSty[CurExt]),(IF($E$4="Ppto",PptoSty[POvsCT]=V$113,TRUE))*(PptoSty[Project]=TEXT($B128,"@"))*(PptoSty[PptoVsRow]=$E128)*(PptoSty[PptoVsColumn]=UPPER(U$114)),0)))</f>
        <v>0</v>
      </c>
      <c r="W128" s="157" cm="1">
        <f t="array" aca="1" ref="W128" ca="1">IF(OR($E128="X",$E128="",$E128=0,$B128="X",$B128="",$B128=0),0,SUM(_xlfn._xlws.FILTER(IF($E$4="Ppto",PptoSty[CurPpto],PptoSty[CurInt]),(IF($E$4="Ppto",PptoSty[POvsCT]=W$113,TRUE))*(PptoSty[Project]=TEXT($B128,"@"))*(PptoSty[PptoVsRow]=$E128)*(PptoSty[PptoVsColumn]=UPPER(W$114)),0)))</f>
        <v>41480.067952440004</v>
      </c>
      <c r="X128" s="157" cm="1">
        <f t="array" aca="1" ref="X128" ca="1">IF(OR($E128="X",$E128="",$E128=0,$B128="X",$B128="",$B128=0),0,SUM(_xlfn._xlws.FILTER(IF($E$4="Ppto",PptoSty[CurPpto],PptoSty[CurExt]),(IF($E$4="Ppto",PptoSty[POvsCT]=X$113,TRUE))*(PptoSty[Project]=TEXT($B128,"@"))*(PptoSty[PptoVsRow]=$E128)*(PptoSty[PptoVsColumn]=UPPER(W$114)),0)))</f>
        <v>96809.416447185009</v>
      </c>
      <c r="Y128" s="157" cm="1">
        <f t="array" aca="1" ref="Y128" ca="1">IF(OR($E128="X",$E128="",$E128=0,$B128="X",$B128="",$B128=0),0,SUM(_xlfn._xlws.FILTER(IF($E$4="Ppto",PptoSty[CurPpto],PptoSty[CurInt]),(IF($E$4="Ppto",PptoSty[POvsCT]=Y$113,TRUE))*(PptoSty[Project]=TEXT($B128,"@"))*(PptoSty[PptoVsRow]=$E128)*(PptoSty[PptoVsColumn]=UPPER(Y$114)),0)))</f>
        <v>9186.5900347199986</v>
      </c>
      <c r="Z128" s="157" cm="1">
        <f t="array" aca="1" ref="Z128" ca="1">IF(OR($E128="X",$E128="",$E128=0,$B128="X",$B128="",$B128=0),0,SUM(_xlfn._xlws.FILTER(IF($E$4="Ppto",PptoSty[CurPpto],PptoSty[CurExt]),(IF($E$4="Ppto",PptoSty[POvsCT]=Z$113,TRUE))*(PptoSty[Project]=TEXT($B128,"@"))*(PptoSty[PptoVsRow]=$E128)*(PptoSty[PptoVsColumn]=UPPER(Y$114)),0)))</f>
        <v>1828.8753100799997</v>
      </c>
      <c r="AA128" s="157" cm="1">
        <f t="array" aca="1" ref="AA128" ca="1">IF(OR($E128="X",$E128="",$E128=0,$B128="X",$B128="",$B128=0),0,SUM(_xlfn._xlws.FILTER(IF($E$4="Ppto",PptoSty[CurPpto],PptoSty[CurInt]),(IF($E$4="Ppto",PptoSty[POvsCT]=AA$113,TRUE))*(PptoSty[Project]=TEXT($B128,"@"))*(PptoSty[PptoVsRow]=$E128)*(PptoSty[PptoVsColumn]=UPPER(AA$114)),0)))</f>
        <v>0</v>
      </c>
      <c r="AB128" s="157" cm="1">
        <f t="array" aca="1" ref="AB128" ca="1">IF(OR($E128="X",$E128="",$E128=0,$B128="X",$B128="",$B128=0),0,SUM(_xlfn._xlws.FILTER(IF($E$4="Ppto",PptoSty[CurPpto],PptoSty[CurExt]),(IF($E$4="Ppto",PptoSty[POvsCT]=AB$113,TRUE))*(PptoSty[Project]=TEXT($B128,"@"))*(PptoSty[PptoVsRow]=$E128)*(PptoSty[PptoVsColumn]=UPPER(AA$114)),0)))</f>
        <v>0</v>
      </c>
      <c r="AC128" s="157" cm="1">
        <f t="array" aca="1" ref="AC128" ca="1">IF(OR($E128="X",$E128="",$E128=0,$B128="X",$B128="",$B128=0),0,SUM(_xlfn._xlws.FILTER(IF($E$4="Ppto",PptoSty[CurPpto],PptoSty[CurInt]),(IF($E$4="Ppto",PptoSty[POvsCT]=AC$113,TRUE))*(PptoSty[Project]=TEXT($B128,"@"))*(PptoSty[PptoVsRow]=$E128)*(PptoSty[PptoVsColumn]=UPPER(AC$114)),0)))</f>
        <v>0</v>
      </c>
      <c r="AD128" s="157" cm="1">
        <f t="array" aca="1" ref="AD128" ca="1">IF(OR($E128="X",$E128="",$E128=0,$B128="X",$B128="",$B128=0),0,SUM(_xlfn._xlws.FILTER(IF($E$4="Ppto",PptoSty[CurPpto],PptoSty[CurExt]),(IF($E$4="Ppto",PptoSty[POvsCT]=AD$113,TRUE))*(PptoSty[Project]=TEXT($B128,"@"))*(PptoSty[PptoVsRow]=$E128)*(PptoSty[PptoVsColumn]=UPPER(AC$114)),0)))</f>
        <v>0</v>
      </c>
      <c r="AE128" s="157" cm="1">
        <f t="array" aca="1" ref="AE128" ca="1">IF(OR($E128="X",$E128="",$E128=0,$B128="X",$B128="",$B128=0),0,SUM(_xlfn._xlws.FILTER(IF($E$4="Ppto",PptoSty[CurPpto],PptoSty[CurInt]),(IF($E$4="Ppto",PptoSty[POvsCT]=AE$113,TRUE))*(PptoSty[Project]=TEXT($B128,"@"))*(PptoSty[PptoVsRow]=$E128)*(PptoSty[PptoVsColumn]=UPPER(AE$114)),0)))</f>
        <v>0</v>
      </c>
      <c r="AF128" s="157" cm="1">
        <f t="array" aca="1" ref="AF128" ca="1">IF(OR($E128="X",$E128="",$E128=0,$B128="X",$B128="",$B128=0),0,SUM(_xlfn._xlws.FILTER(IF($E$4="Ppto",PptoSty[CurPpto],PptoSty[CurExt]),(IF($E$4="Ppto",PptoSty[POvsCT]=AF$113,TRUE))*(PptoSty[Project]=TEXT($B128,"@"))*(PptoSty[PptoVsRow]=$E128)*(PptoSty[PptoVsColumn]=UPPER(AE$114)),0)))</f>
        <v>0</v>
      </c>
      <c r="AG128" s="157" cm="1">
        <f t="array" aca="1" ref="AG128" ca="1">IF(OR($E128="X",$E128="",$E128=0,$B128="X",$B128="",$B128=0),0,SUM(_xlfn._xlws.FILTER(IF($E$4="Ppto",PptoSty[CurPpto],PptoSty[CurInt]),(IF($E$4="Ppto",PptoSty[POvsCT]=AG$113,TRUE))*(PptoSty[Project]=TEXT($B128,"@"))*(PptoSty[PptoVsRow]=$E128)*(PptoSty[PptoVsColumn]=UPPER(AG$114)),0)))</f>
        <v>0</v>
      </c>
      <c r="AH128" s="157" cm="1">
        <f t="array" aca="1" ref="AH128" ca="1">IF(OR($E128="X",$E128="",$E128=0,$B128="X",$B128="",$B128=0),0,SUM(_xlfn._xlws.FILTER(IF($E$4="Ppto",PptoSty[CurPpto],PptoSty[CurExt]),(IF($E$4="Ppto",PptoSty[POvsCT]=AH$113,TRUE))*(PptoSty[Project]=TEXT($B128,"@"))*(PptoSty[PptoVsRow]=$E128)*(PptoSty[PptoVsColumn]=UPPER(AG$114)),0)))</f>
        <v>0</v>
      </c>
      <c r="AI128" s="157" cm="1">
        <f t="array" aca="1" ref="AI128" ca="1">IF(OR($E128="X",$E128="",$E128=0,$B128="X",$B128="",$B128=0),0,SUM(_xlfn._xlws.FILTER(IF($E$4="Ppto",PptoSty[CurPpto],PptoSty[CurInt]),(IF($E$4="Ppto",PptoSty[POvsCT]=AI$113,TRUE))*(PptoSty[Project]=TEXT($B128,"@"))*(PptoSty[PptoVsRow]=$E128)*(PptoSty[PptoVsColumn]=UPPER(AI$114)),0)))</f>
        <v>0</v>
      </c>
      <c r="AJ128" s="157" cm="1">
        <f t="array" aca="1" ref="AJ128" ca="1">IF(OR($E128="X",$E128="",$E128=0,$B128="X",$B128="",$B128=0),0,SUM(_xlfn._xlws.FILTER(IF($E$4="Ppto",PptoSty[CurPpto],PptoSty[CurExt]),(IF($E$4="Ppto",PptoSty[POvsCT]=AJ$113,TRUE))*(PptoSty[Project]=TEXT($B128,"@"))*(PptoSty[PptoVsRow]=$E128)*(PptoSty[PptoVsColumn]=UPPER(AI$114)),0)))</f>
        <v>0</v>
      </c>
      <c r="AK128" s="157" cm="1">
        <f t="array" aca="1" ref="AK128" ca="1">IF(OR($E128="X",$E128="",$E128=0,$B128="X",$B128="",$B128=0),0,SUM(_xlfn._xlws.FILTER(IF($E$4="Ppto",PptoSty[CurPpto],PptoSty[CurInt]),(IF($E$4="Ppto",PptoSty[POvsCT]=AK$113,TRUE))*(PptoSty[Project]=TEXT($B128,"@"))*(PptoSty[PptoVsRow]=$E128)*(PptoSty[PptoVsColumn]=UPPER(AK$114)),0)))</f>
        <v>0</v>
      </c>
      <c r="AL128" s="157" cm="1">
        <f t="array" aca="1" ref="AL128" ca="1">IF(OR($E128="X",$E128="",$E128=0,$B128="X",$B128="",$B128=0),0,SUM(_xlfn._xlws.FILTER(IF($E$4="Ppto",PptoSty[CurPpto],PptoSty[CurExt]),(IF($E$4="Ppto",PptoSty[POvsCT]=AL$113,TRUE))*(PptoSty[Project]=TEXT($B128,"@"))*(PptoSty[PptoVsRow]=$E128)*(PptoSty[PptoVsColumn]=UPPER(AK$114)),0)))</f>
        <v>0</v>
      </c>
      <c r="AM128" s="157" cm="1">
        <f t="array" aca="1" ref="AM128" ca="1">IF(OR($E128="X",$E128="",$E128=0,$B128="X",$B128="",$B128=0),0,SUM(_xlfn._xlws.FILTER(IF($E$4="Ppto",PptoSty[CurPpto],PptoSty[CurInt]),(IF($E$4="Ppto",PptoSty[POvsCT]=AM$113,TRUE))*(PptoSty[Project]=TEXT($B128,"@"))*(PptoSty[PptoVsRow]=$E128)*(PptoSty[PptoVsColumn]=UPPER(AM$114)),0)))</f>
        <v>0</v>
      </c>
      <c r="AN128" s="157" cm="1">
        <f t="array" aca="1" ref="AN128" ca="1">IF(OR($E128="X",$E128="",$E128=0,$B128="X",$B128="",$B128=0),0,SUM(_xlfn._xlws.FILTER(IF($E$4="Ppto",PptoSty[CurPpto],PptoSty[CurExt]),(IF($E$4="Ppto",PptoSty[POvsCT]=AN$113,TRUE))*(PptoSty[Project]=TEXT($B128,"@"))*(PptoSty[PptoVsRow]=$E128)*(PptoSty[PptoVsColumn]=UPPER(AM$114)),0)))</f>
        <v>0</v>
      </c>
      <c r="AO128" s="157" cm="1">
        <f t="array" aca="1" ref="AO128" ca="1">IF(OR($E128="X",$E128="",$E128=0,$B128="X",$B128="",$B128=0),0,SUM(_xlfn._xlws.FILTER(IF($E$4="Ppto",PptoSty[CurPpto],PptoSty[CurInt]),(IF($E$4="Ppto",PptoSty[POvsCT]=AO$113,TRUE))*(PptoSty[Project]=TEXT($B128,"@"))*(PptoSty[PptoVsRow]=$E128)*(PptoSty[PptoVsColumn]=UPPER(AO$114)),0)))</f>
        <v>0</v>
      </c>
      <c r="AP128" s="157" cm="1">
        <f t="array" aca="1" ref="AP128" ca="1">IF(OR($E128="X",$E128="",$E128=0,$B128="X",$B128="",$B128=0),0,SUM(_xlfn._xlws.FILTER(IF($E$4="Ppto",PptoSty[CurPpto],PptoSty[CurExt]),(IF($E$4="Ppto",PptoSty[POvsCT]=AP$113,TRUE))*(PptoSty[Project]=TEXT($B128,"@"))*(PptoSty[PptoVsRow]=$E128)*(PptoSty[PptoVsColumn]=UPPER(AO$114)),0)))</f>
        <v>0</v>
      </c>
      <c r="AQ128" s="157" cm="1">
        <f t="array" aca="1" ref="AQ128" ca="1">SUM(IF(INDIRECT($AS$115)=AQ$115,INDIRECT($AS128)))</f>
        <v>212544.67339451623</v>
      </c>
      <c r="AR128" s="157" cm="1">
        <f t="array" aca="1" ref="AR128" ca="1">SUM(IF(INDIRECT($AS$115)=AR$115,INDIRECT($AS128)))</f>
        <v>246985.96520851503</v>
      </c>
      <c r="AS128" s="286" t="str">
        <f t="shared" ca="1" si="13"/>
        <v>G128:AP128</v>
      </c>
      <c r="AT128" s="403">
        <f t="shared" ca="1" si="14"/>
        <v>459530.63860303129</v>
      </c>
      <c r="AV128" s="142" cm="1">
        <f t="array" aca="1" ref="AV128" ca="1">IF(AND(_xlfn.LET(_xlpm.x,SUM(ROW()),OR(AND(MATCH("SOT",$A:$A,0)&lt;_xlpm.x,MATCH("EOT",$A:$A,0)&gt;_xlpm.x),AND(MATCH("SOS",$A:$A,0)&lt;_xlpm.x,MATCH("EOS",$A:$A,0)&gt;_xlpm.x),AND(MATCH("SOR",$A:$A,0)&lt;_xlpm.x,MATCH("EOR",$A:$A,0)&gt;_xlpm.x))),INDIRECT("rc"&amp;MATCH("SCD",$1:$1,0),FALSE)="PPTO"),1,0)</f>
        <v>1</v>
      </c>
      <c r="AW128" s="142" cm="1">
        <f t="array" aca="1" ref="AW12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29" spans="2:49" outlineLevel="1">
      <c r="B129" s="156" t="str" cm="1">
        <f t="array" aca="1" ref="B129:E129" ca="1">_xlfn.LET(_xlpm.x,SUM(ROW()-MATCH("SOR",$A:$A,0)),_xlpm.y,IFERROR(_xlfn.TAKE(INDEX(_xlfn._xlws.FILTER(TbAssign[],ISNUMBER(FIND(TbAssign[Project],$C$4)),"X"),1+QUOTIENT(_xlpm.x,3),0),1,4),0),IF(MOD(_xlpm.x-1,3)=0,IF(_xlpm.y=0,"X",_xlpm.y),INDIRECT("r[-1]c#",FALSE)))</f>
        <v>31200</v>
      </c>
      <c r="C129" s="156" t="str">
        <f ca="1"/>
        <v>XE01</v>
      </c>
      <c r="D129" s="148" t="str">
        <f ca="1"/>
        <v>PMCS</v>
      </c>
      <c r="E129" s="352" t="str">
        <f ca="1"/>
        <v>PUESTA EN MARCHA EN SERRA</v>
      </c>
      <c r="F129" s="148" t="s">
        <v>1382</v>
      </c>
      <c r="G129" s="157" cm="1">
        <f t="array" aca="1" ref="G129" ca="1">IF(OR($E129="X",$E129="",$E129=0,$B129="X",$B129="",$B129=0),0,SUM(_xlfn._xlws.FILTER(PrvSty[DsvValue:SERRA],(PrvSty[Project]=TEXT($B129,"@"))*(PrvSty[Row]=$E129)*(PrvSty[Column]=UPPER(G$114)),0)))</f>
        <v>-20000</v>
      </c>
      <c r="H129" s="157" cm="1">
        <f t="array" aca="1" ref="H129" ca="1">IF(OR($E129="X",$E129="",$E129=0,$B129="X",$B129="",$B129=0),0,SUM(_xlfn._xlws.FILTER(PrvSty[DsvValue:EXT.],(PrvSty[Project]=TEXT($B129,"@"))*(PrvSty[Row]=$E129)*(PrvSty[Column]=UPPER(G$114)),0)))</f>
        <v>0</v>
      </c>
      <c r="I129" s="157" cm="1">
        <f t="array" aca="1" ref="I129" ca="1">IF(OR($E129="X",$E129="",$E129=0,$B129="X",$B129="",$B129=0),0,SUM(_xlfn._xlws.FILTER(PrvSty[DsvValue:SERRA],(PrvSty[Project]=TEXT($B129,"@"))*(PrvSty[Row]=$E129)*(PrvSty[Column]=UPPER(I$114)),0)))</f>
        <v>5000</v>
      </c>
      <c r="J129" s="157" cm="1">
        <f t="array" aca="1" ref="J129" ca="1">IF(OR($E129="X",$E129="",$E129=0,$B129="X",$B129="",$B129=0),0,SUM(_xlfn._xlws.FILTER(PrvSty[DsvValue:EXT.],(PrvSty[Project]=TEXT($B129,"@"))*(PrvSty[Row]=$E129)*(PrvSty[Column]=UPPER(I$114)),0)))</f>
        <v>0</v>
      </c>
      <c r="K129" s="157" cm="1">
        <f t="array" aca="1" ref="K129" ca="1">IF(OR($E129="X",$E129="",$E129=0,$B129="X",$B129="",$B129=0),0,SUM(_xlfn._xlws.FILTER(PrvSty[DsvValue:SERRA],(PrvSty[Project]=TEXT($B129,"@"))*(PrvSty[Row]=$E129)*(PrvSty[Column]=UPPER(K$114)),0)))</f>
        <v>0</v>
      </c>
      <c r="L129" s="157" cm="1">
        <f t="array" aca="1" ref="L129" ca="1">IF(OR($E129="X",$E129="",$E129=0,$B129="X",$B129="",$B129=0),0,SUM(_xlfn._xlws.FILTER(PrvSty[DsvValue:EXT.],(PrvSty[Project]=TEXT($B129,"@"))*(PrvSty[Row]=$E129)*(PrvSty[Column]=UPPER(K$114)),0)))</f>
        <v>0</v>
      </c>
      <c r="M129" s="157" cm="1">
        <f t="array" aca="1" ref="M129" ca="1">IF(OR($E129="X",$E129="",$E129=0,$B129="X",$B129="",$B129=0),0,SUM(_xlfn._xlws.FILTER(PrvSty[DsvValue:SERRA],(PrvSty[Project]=TEXT($B129,"@"))*(PrvSty[Row]=$E129)*(PrvSty[Column]=UPPER(M$114)),0)))</f>
        <v>0</v>
      </c>
      <c r="N129" s="157" cm="1">
        <f t="array" aca="1" ref="N129" ca="1">IF(OR($E129="X",$E129="",$E129=0,$B129="X",$B129="",$B129=0),0,SUM(_xlfn._xlws.FILTER(PrvSty[DsvValue:EXT.],(PrvSty[Project]=TEXT($B129,"@"))*(PrvSty[Row]=$E129)*(PrvSty[Column]=UPPER(M$114)),0)))</f>
        <v>0</v>
      </c>
      <c r="O129" s="157" cm="1">
        <f t="array" aca="1" ref="O129" ca="1">IF(OR($E129="X",$E129="",$E129=0,$B129="X",$B129="",$B129=0),0,SUM(_xlfn._xlws.FILTER(PrvSty[DsvValue:SERRA],(PrvSty[Project]=TEXT($B129,"@"))*(PrvSty[Row]=$E129)*(PrvSty[Column]=UPPER(O$114)),0)))</f>
        <v>-20000</v>
      </c>
      <c r="P129" s="157" cm="1">
        <f t="array" aca="1" ref="P129" ca="1">IF(OR($E129="X",$E129="",$E129=0,$B129="X",$B129="",$B129=0),0,SUM(_xlfn._xlws.FILTER(PrvSty[DsvValue:EXT.],(PrvSty[Project]=TEXT($B129,"@"))*(PrvSty[Row]=$E129)*(PrvSty[Column]=UPPER(O$114)),0)))</f>
        <v>0</v>
      </c>
      <c r="Q129" s="157" cm="1">
        <f t="array" aca="1" ref="Q129" ca="1">IF(OR($E129="X",$E129="",$E129=0,$B129="X",$B129="",$B129=0),0,SUM(_xlfn._xlws.FILTER(PrvSty[DsvValue:SERRA],(PrvSty[Project]=TEXT($B129,"@"))*(PrvSty[Row]=$E129)*(PrvSty[Column]=UPPER(Q$114)),0)))</f>
        <v>0</v>
      </c>
      <c r="R129" s="157" cm="1">
        <f t="array" aca="1" ref="R129" ca="1">IF(OR($E129="X",$E129="",$E129=0,$B129="X",$B129="",$B129=0),0,SUM(_xlfn._xlws.FILTER(PrvSty[DsvValue:EXT.],(PrvSty[Project]=TEXT($B129,"@"))*(PrvSty[Row]=$E129)*(PrvSty[Column]=UPPER(Q$114)),0)))</f>
        <v>0</v>
      </c>
      <c r="S129" s="157" cm="1">
        <f t="array" aca="1" ref="S129" ca="1">IF(OR($E129="X",$E129="",$E129=0,$B129="X",$B129="",$B129=0),0,SUM(_xlfn._xlws.FILTER(PrvSty[DsvValue:SERRA],(PrvSty[Project]=TEXT($B129,"@"))*(PrvSty[Row]=$E129)*(PrvSty[Column]=UPPER(S$114)),0)))</f>
        <v>35000</v>
      </c>
      <c r="T129" s="157" cm="1">
        <f t="array" aca="1" ref="T129" ca="1">IF(OR($E129="X",$E129="",$E129=0,$B129="X",$B129="",$B129=0),0,SUM(_xlfn._xlws.FILTER(PrvSty[DsvValue:EXT.],(PrvSty[Project]=TEXT($B129,"@"))*(PrvSty[Row]=$E129)*(PrvSty[Column]=UPPER(S$114)),0)))</f>
        <v>0</v>
      </c>
      <c r="U129" s="157" cm="1">
        <f t="array" aca="1" ref="U129" ca="1">IF(OR($E129="X",$E129="",$E129=0,$B129="X",$B129="",$B129=0),0,SUM(_xlfn._xlws.FILTER(PrvSty[DsvValue:SERRA],(PrvSty[Project]=TEXT($B129,"@"))*(PrvSty[Row]=$E129)*(PrvSty[Column]=UPPER(U$114)),0)))</f>
        <v>0</v>
      </c>
      <c r="V129" s="157" cm="1">
        <f t="array" aca="1" ref="V129" ca="1">IF(OR($E129="X",$E129="",$E129=0,$B129="X",$B129="",$B129=0),0,SUM(_xlfn._xlws.FILTER(PrvSty[DsvValue:EXT.],(PrvSty[Project]=TEXT($B129,"@"))*(PrvSty[Row]=$E129)*(PrvSty[Column]=UPPER(U$114)),0)))</f>
        <v>1141.25</v>
      </c>
      <c r="W129" s="157" cm="1">
        <f t="array" aca="1" ref="W129" ca="1">IF(OR($E129="X",$E129="",$E129=0,$B129="X",$B129="",$B129=0),0,SUM(_xlfn._xlws.FILTER(PrvSty[DsvValue:SERRA],(PrvSty[Project]=TEXT($B129,"@"))*(PrvSty[Row]=$E129)*(PrvSty[Column]=UPPER(W$114)),0)))</f>
        <v>0</v>
      </c>
      <c r="X129" s="157" cm="1">
        <f t="array" aca="1" ref="X129" ca="1">IF(OR($E129="X",$E129="",$E129=0,$B129="X",$B129="",$B129=0),0,SUM(_xlfn._xlws.FILTER(PrvSty[DsvValue:EXT.],(PrvSty[Project]=TEXT($B129,"@"))*(PrvSty[Row]=$E129)*(PrvSty[Column]=UPPER(W$114)),0)))</f>
        <v>-30000</v>
      </c>
      <c r="Y129" s="157" cm="1">
        <f t="array" aca="1" ref="Y129" ca="1">IF(OR($E129="X",$E129="",$E129=0,$B129="X",$B129="",$B129=0),0,SUM(_xlfn._xlws.FILTER(PrvSty[DsvValue:SERRA],(PrvSty[Project]=TEXT($B129,"@"))*(PrvSty[Row]=$E129)*(PrvSty[Column]=UPPER(Y$114)),0)))</f>
        <v>0</v>
      </c>
      <c r="Z129" s="157" cm="1">
        <f t="array" aca="1" ref="Z129" ca="1">IF(OR($E129="X",$E129="",$E129=0,$B129="X",$B129="",$B129=0),0,SUM(_xlfn._xlws.FILTER(PrvSty[DsvValue:EXT.],(PrvSty[Project]=TEXT($B129,"@"))*(PrvSty[Row]=$E129)*(PrvSty[Column]=UPPER(Y$114)),0)))</f>
        <v>0</v>
      </c>
      <c r="AA129" s="157" cm="1">
        <f t="array" aca="1" ref="AA129" ca="1">IF(OR($E129="X",$E129="",$E129=0,$B129="X",$B129="",$B129=0),0,SUM(_xlfn._xlws.FILTER(PrvSty[DsvValue:SERRA],(PrvSty[Project]=TEXT($B129,"@"))*(PrvSty[Row]=$E129)*(PrvSty[Column]=UPPER(AA$114)),0)))</f>
        <v>0</v>
      </c>
      <c r="AB129" s="157" cm="1">
        <f t="array" aca="1" ref="AB129" ca="1">IF(OR($E129="X",$E129="",$E129=0,$B129="X",$B129="",$B129=0),0,SUM(_xlfn._xlws.FILTER(PrvSty[DsvValue:EXT.],(PrvSty[Project]=TEXT($B129,"@"))*(PrvSty[Row]=$E129)*(PrvSty[Column]=UPPER(AA$114)),0)))</f>
        <v>0</v>
      </c>
      <c r="AC129" s="157" cm="1">
        <f t="array" aca="1" ref="AC129" ca="1">IF(OR($E129="X",$E129="",$E129=0,$B129="X",$B129="",$B129=0),0,SUM(_xlfn._xlws.FILTER(PrvSty[DsvValue:SERRA],(PrvSty[Project]=TEXT($B129,"@"))*(PrvSty[Row]=$E129)*(PrvSty[Column]=UPPER(AC$114)),0)))</f>
        <v>0</v>
      </c>
      <c r="AD129" s="157" cm="1">
        <f t="array" aca="1" ref="AD129" ca="1">IF(OR($E129="X",$E129="",$E129=0,$B129="X",$B129="",$B129=0),0,SUM(_xlfn._xlws.FILTER(PrvSty[DsvValue:EXT.],(PrvSty[Project]=TEXT($B129,"@"))*(PrvSty[Row]=$E129)*(PrvSty[Column]=UPPER(AC$114)),0)))</f>
        <v>0</v>
      </c>
      <c r="AE129" s="157" cm="1">
        <f t="array" aca="1" ref="AE129" ca="1">IF(OR($E129="X",$E129="",$E129=0,$B129="X",$B129="",$B129=0),0,SUM(_xlfn._xlws.FILTER(PrvSty[DsvValue:SERRA],(PrvSty[Project]=TEXT($B129,"@"))*(PrvSty[Row]=$E129)*(PrvSty[Column]=UPPER(AE$114)),0)))</f>
        <v>0</v>
      </c>
      <c r="AF129" s="157" cm="1">
        <f t="array" aca="1" ref="AF129" ca="1">IF(OR($E129="X",$E129="",$E129=0,$B129="X",$B129="",$B129=0),0,SUM(_xlfn._xlws.FILTER(PrvSty[DsvValue:EXT.],(PrvSty[Project]=TEXT($B129,"@"))*(PrvSty[Row]=$E129)*(PrvSty[Column]=UPPER(AE$114)),0)))</f>
        <v>0</v>
      </c>
      <c r="AG129" s="157" cm="1">
        <f t="array" aca="1" ref="AG129" ca="1">IF(OR($E129="X",$E129="",$E129=0,$B129="X",$B129="",$B129=0),0,SUM(_xlfn._xlws.FILTER(PrvSty[DsvValue:SERRA],(PrvSty[Project]=TEXT($B129,"@"))*(PrvSty[Row]=$E129)*(PrvSty[Column]=UPPER(AG$114)),0)))</f>
        <v>0</v>
      </c>
      <c r="AH129" s="157" cm="1">
        <f t="array" aca="1" ref="AH129" ca="1">IF(OR($E129="X",$E129="",$E129=0,$B129="X",$B129="",$B129=0),0,SUM(_xlfn._xlws.FILTER(PrvSty[DsvValue:EXT.],(PrvSty[Project]=TEXT($B129,"@"))*(PrvSty[Row]=$E129)*(PrvSty[Column]=UPPER(AG$114)),0)))</f>
        <v>0</v>
      </c>
      <c r="AI129" s="157" cm="1">
        <f t="array" aca="1" ref="AI129" ca="1">IF(OR($E129="X",$E129="",$E129=0,$B129="X",$B129="",$B129=0),0,SUM(_xlfn._xlws.FILTER(PrvSty[DsvValue:SERRA],(PrvSty[Project]=TEXT($B129,"@"))*(PrvSty[Row]=$E129)*(PrvSty[Column]=UPPER(AI$114)),0)))</f>
        <v>0</v>
      </c>
      <c r="AJ129" s="157" cm="1">
        <f t="array" aca="1" ref="AJ129" ca="1">IF(OR($E129="X",$E129="",$E129=0,$B129="X",$B129="",$B129=0),0,SUM(_xlfn._xlws.FILTER(PrvSty[DsvValue:EXT.],(PrvSty[Project]=TEXT($B129,"@"))*(PrvSty[Row]=$E129)*(PrvSty[Column]=UPPER(AI$114)),0)))</f>
        <v>0</v>
      </c>
      <c r="AK129" s="157" cm="1">
        <f t="array" aca="1" ref="AK129" ca="1">IF(OR($E129="X",$E129="",$E129=0,$B129="X",$B129="",$B129=0),0,SUM(_xlfn._xlws.FILTER(PrvSty[DsvValue:SERRA],(PrvSty[Project]=TEXT($B129,"@"))*(PrvSty[Row]=$E129)*(PrvSty[Column]=UPPER(AK$114)),0)))</f>
        <v>0</v>
      </c>
      <c r="AL129" s="157" cm="1">
        <f t="array" aca="1" ref="AL129" ca="1">IF(OR($E129="X",$E129="",$E129=0,$B129="X",$B129="",$B129=0),0,SUM(_xlfn._xlws.FILTER(PrvSty[DsvValue:EXT.],(PrvSty[Project]=TEXT($B129,"@"))*(PrvSty[Row]=$E129)*(PrvSty[Column]=UPPER(AK$114)),0)))</f>
        <v>0</v>
      </c>
      <c r="AM129" s="157" cm="1">
        <f t="array" aca="1" ref="AM129" ca="1">IF(OR($E129="X",$E129="",$E129=0,$B129="X",$B129="",$B129=0),0,SUM(_xlfn._xlws.FILTER(PrvSty[DsvValue:SERRA],(PrvSty[Project]=TEXT($B129,"@"))*(PrvSty[Row]=$E129)*(PrvSty[Column]=UPPER(AM$114)),0)))</f>
        <v>0</v>
      </c>
      <c r="AN129" s="157" cm="1">
        <f t="array" aca="1" ref="AN129" ca="1">IF(OR($E129="X",$E129="",$E129=0,$B129="X",$B129="",$B129=0),0,SUM(_xlfn._xlws.FILTER(PrvSty[DsvValue:EXT.],(PrvSty[Project]=TEXT($B129,"@"))*(PrvSty[Row]=$E129)*(PrvSty[Column]=UPPER(AM$114)),0)))</f>
        <v>0</v>
      </c>
      <c r="AO129" s="157" cm="1">
        <f t="array" aca="1" ref="AO129" ca="1">IF(OR($E129="X",$E129="",$E129=0,$B129="X",$B129="",$B129=0),0,SUM(_xlfn._xlws.FILTER(PrvSty[DsvValue:SERRA],(PrvSty[Project]=TEXT($B129,"@"))*(PrvSty[Row]=$E129)*(PrvSty[Column]=UPPER(AO$114)),0)))</f>
        <v>0</v>
      </c>
      <c r="AP129" s="157" cm="1">
        <f t="array" aca="1" ref="AP129" ca="1">IF(OR($E129="X",$E129="",$E129=0,$B129="X",$B129="",$B129=0),0,SUM(_xlfn._xlws.FILTER(PrvSty[DsvValue:EXT.],(PrvSty[Project]=TEXT($B129,"@"))*(PrvSty[Row]=$E129)*(PrvSty[Column]=UPPER(AO$114)),0)))</f>
        <v>0</v>
      </c>
      <c r="AQ129" s="157" cm="1">
        <f t="array" aca="1" ref="AQ129" ca="1">SUM(IF(INDIRECT($AS$115)=AQ$115,INDIRECT($AS129)))</f>
        <v>0</v>
      </c>
      <c r="AR129" s="157" cm="1">
        <f t="array" aca="1" ref="AR129" ca="1">SUM(IF(INDIRECT($AS$115)=AR$115,INDIRECT($AS129)))</f>
        <v>-28858.75</v>
      </c>
      <c r="AS129" s="286" t="str">
        <f t="shared" ca="1" si="13"/>
        <v>G129:AP129</v>
      </c>
      <c r="AT129" s="403">
        <f t="shared" ca="1" si="14"/>
        <v>-28858.75</v>
      </c>
      <c r="AV129" s="142" cm="1">
        <f t="array" aca="1" ref="AV129" ca="1">IF(AND(_xlfn.LET(_xlpm.x,SUM(ROW()),OR(AND(MATCH("SOT",$A:$A,0)&lt;_xlpm.x,MATCH("EOT",$A:$A,0)&gt;_xlpm.x),AND(MATCH("SOS",$A:$A,0)&lt;_xlpm.x,MATCH("EOS",$A:$A,0)&gt;_xlpm.x),AND(MATCH("SOR",$A:$A,0)&lt;_xlpm.x,MATCH("EOR",$A:$A,0)&gt;_xlpm.x))),INDIRECT("rc"&amp;MATCH("SCD",$1:$1,0),FALSE)="PPTO"),1,0)</f>
        <v>0</v>
      </c>
      <c r="AW129" s="142" cm="1">
        <f t="array" aca="1" ref="AW12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30" spans="2:49" outlineLevel="1">
      <c r="B130" s="156" t="str" cm="1">
        <f t="array" aca="1" ref="B130:E130" ca="1">_xlfn.LET(_xlpm.x,SUM(ROW()-MATCH("SOR",$A:$A,0)),_xlpm.y,IFERROR(_xlfn.TAKE(INDEX(_xlfn._xlws.FILTER(TbAssign[],ISNUMBER(FIND(TbAssign[Project],$C$4)),"X"),1+QUOTIENT(_xlpm.x,3),0),1,4),0),IF(MOD(_xlpm.x-1,3)=0,IF(_xlpm.y=0,"X",_xlpm.y),INDIRECT("r[-1]c#",FALSE)))</f>
        <v>31200</v>
      </c>
      <c r="C130" s="156" t="str">
        <f ca="1"/>
        <v>XE01</v>
      </c>
      <c r="D130" s="148" t="str">
        <f ca="1"/>
        <v>PMCS</v>
      </c>
      <c r="E130" s="352" t="str">
        <f ca="1"/>
        <v>PUESTA EN MARCHA EN SERRA</v>
      </c>
      <c r="F130" s="148" t="s">
        <v>1383</v>
      </c>
      <c r="G130" s="158" cm="1">
        <f t="array" aca="1" ref="G130" ca="1">IF(OR($E130="X",$E130="",$E130=0,$B130="X",$B130="",$B130=0),0,SUM(_xlfn._xlws.FILTER(FrmBB1[Cur],(FrmBB1[PrjId]=TEXT($B130,"@"))*(FrmBB1[Row]=$E130)*(FrmBB1[Column]=UPPER(_xlfn.LET(_xlpm.x,_xlfn.TEXTBEFORE(G$114," ("),IFERROR(_xlpm.x,G$114)))&amp;" "&amp;G$115),0)))</f>
        <v>2868.32</v>
      </c>
      <c r="H130" s="157" cm="1">
        <f t="array" aca="1" ref="H130" ca="1">IF(OR($E130="X",$E130="",$E130=0,$B130="X",$B130="",$B130=0),0,SUM(_xlfn._xlws.FILTER(FrmBB1[Cur],(FrmBB1[PrjId]=TEXT($B130,"@"))*(FrmBB1[Row]=$E130)*(FrmBB1[Column]=UPPER(_xlfn.LET(_xlpm.x,_xlfn.TEXTBEFORE(G$114," ("),IFERROR(_xlpm.x,G$114)))&amp;" "&amp;H$115),0)))</f>
        <v>0</v>
      </c>
      <c r="I130" s="158" cm="1">
        <f t="array" aca="1" ref="I130" ca="1">IF(OR($E130="X",$E130="",$E130=0,$B130="X",$B130="",$B130=0),0,SUM(_xlfn._xlws.FILTER(FrmBB1[Cur],(FrmBB1[PrjId]=TEXT($B130,"@"))*(FrmBB1[Row]=$E130)*(FrmBB1[Column]=UPPER(_xlfn.LET(_xlpm.x,_xlfn.TEXTBEFORE(I$114," ("),IFERROR(_xlpm.x,I$114)))&amp;" "&amp;I$115),0)))</f>
        <v>0</v>
      </c>
      <c r="J130" s="157" cm="1">
        <f t="array" aca="1" ref="J130" ca="1">IF(OR($E130="X",$E130="",$E130=0,$B130="X",$B130="",$B130=0),0,SUM(_xlfn._xlws.FILTER(FrmBB1[Cur],(FrmBB1[PrjId]=TEXT($B130,"@"))*(FrmBB1[Row]=$E130)*(FrmBB1[Column]=UPPER(_xlfn.LET(_xlpm.x,_xlfn.TEXTBEFORE(I$114," ("),IFERROR(_xlpm.x,I$114)))&amp;" "&amp;J$115),0)))</f>
        <v>0</v>
      </c>
      <c r="K130" s="158" cm="1">
        <f t="array" aca="1" ref="K130" ca="1">IF(OR($E130="X",$E130="",$E130=0,$B130="X",$B130="",$B130=0),0,SUM(_xlfn._xlws.FILTER(FrmBB1[Cur],(FrmBB1[PrjId]=TEXT($B130,"@"))*(FrmBB1[Row]=$E130)*(FrmBB1[Column]=UPPER(_xlfn.LET(_xlpm.x,_xlfn.TEXTBEFORE(K$114," ("),IFERROR(_xlpm.x,K$114)))&amp;" "&amp;K$115),0)))</f>
        <v>0</v>
      </c>
      <c r="L130" s="157" cm="1">
        <f t="array" aca="1" ref="L130" ca="1">IF(OR($E130="X",$E130="",$E130=0,$B130="X",$B130="",$B130=0),0,SUM(_xlfn._xlws.FILTER(FrmBB1[Cur],(FrmBB1[PrjId]=TEXT($B130,"@"))*(FrmBB1[Row]=$E130)*(FrmBB1[Column]=UPPER(_xlfn.LET(_xlpm.x,_xlfn.TEXTBEFORE(K$114," ("),IFERROR(_xlpm.x,K$114)))&amp;" "&amp;L$115),0)))</f>
        <v>0</v>
      </c>
      <c r="M130" s="158" cm="1">
        <f t="array" aca="1" ref="M130" ca="1">IF(OR($E130="X",$E130="",$E130=0,$B130="X",$B130="",$B130=0),0,SUM(_xlfn._xlws.FILTER(FrmBB1[Cur],(FrmBB1[PrjId]=TEXT($B130,"@"))*(FrmBB1[Row]=$E130)*(FrmBB1[Column]=UPPER(_xlfn.LET(_xlpm.x,_xlfn.TEXTBEFORE(M$114," ("),IFERROR(_xlpm.x,M$114)))&amp;" "&amp;M$115),0)))</f>
        <v>0</v>
      </c>
      <c r="N130" s="157" cm="1">
        <f t="array" aca="1" ref="N130" ca="1">IF(OR($E130="X",$E130="",$E130=0,$B130="X",$B130="",$B130=0),0,SUM(_xlfn._xlws.FILTER(FrmBB1[Cur],(FrmBB1[PrjId]=TEXT($B130,"@"))*(FrmBB1[Row]=$E130)*(FrmBB1[Column]=UPPER(_xlfn.LET(_xlpm.x,_xlfn.TEXTBEFORE(M$114," ("),IFERROR(_xlpm.x,M$114)))&amp;" "&amp;N$115),0)))</f>
        <v>0</v>
      </c>
      <c r="O130" s="158" cm="1">
        <f t="array" aca="1" ref="O130" ca="1">IF(OR($E130="X",$E130="",$E130=0,$B130="X",$B130="",$B130=0),0,SUM(_xlfn._xlws.FILTER(FrmBB1[Cur],(FrmBB1[PrjId]=TEXT($B130,"@"))*(FrmBB1[Row]=$E130)*(FrmBB1[Column]=UPPER(_xlfn.LET(_xlpm.x,_xlfn.TEXTBEFORE(O$114," ("),IFERROR(_xlpm.x,O$114)))&amp;" "&amp;O$115),0)))</f>
        <v>22061.360000000001</v>
      </c>
      <c r="P130" s="157" cm="1">
        <f t="array" aca="1" ref="P130" ca="1">IF(OR($E130="X",$E130="",$E130=0,$B130="X",$B130="",$B130=0),0,SUM(_xlfn._xlws.FILTER(FrmBB1[Cur],(FrmBB1[PrjId]=TEXT($B130,"@"))*(FrmBB1[Row]=$E130)*(FrmBB1[Column]=UPPER(_xlfn.LET(_xlpm.x,_xlfn.TEXTBEFORE(O$114," ("),IFERROR(_xlpm.x,O$114)))&amp;" "&amp;P$115),0)))</f>
        <v>18000</v>
      </c>
      <c r="Q130" s="158" cm="1">
        <f t="array" aca="1" ref="Q130" ca="1">IF(OR($E130="X",$E130="",$E130=0,$B130="X",$B130="",$B130=0),0,SUM(_xlfn._xlws.FILTER(FrmBB1[Cur],(FrmBB1[PrjId]=TEXT($B130,"@"))*(FrmBB1[Row]=$E130)*(FrmBB1[Column]=UPPER(_xlfn.LET(_xlpm.x,_xlfn.TEXTBEFORE(Q$114," ("),IFERROR(_xlpm.x,Q$114)))&amp;" "&amp;Q$115),0)))</f>
        <v>0</v>
      </c>
      <c r="R130" s="157" cm="1">
        <f t="array" aca="1" ref="R130" ca="1">IF(OR($E130="X",$E130="",$E130=0,$B130="X",$B130="",$B130=0),0,SUM(_xlfn._xlws.FILTER(FrmBB1[Cur],(FrmBB1[PrjId]=TEXT($B130,"@"))*(FrmBB1[Row]=$E130)*(FrmBB1[Column]=UPPER(_xlfn.LET(_xlpm.x,_xlfn.TEXTBEFORE(Q$114," ("),IFERROR(_xlpm.x,Q$114)))&amp;" "&amp;R$115),0)))</f>
        <v>0</v>
      </c>
      <c r="S130" s="158" cm="1">
        <f t="array" aca="1" ref="S130" ca="1">IF(OR($E130="X",$E130="",$E130=0,$B130="X",$B130="",$B130=0),0,SUM(_xlfn._xlws.FILTER(FrmBB1[Cur],(FrmBB1[PrjId]=TEXT($B130,"@"))*(FrmBB1[Row]=$E130)*(FrmBB1[Column]=UPPER(_xlfn.LET(_xlpm.x,_xlfn.TEXTBEFORE(S$114," ("),IFERROR(_xlpm.x,S$114)))&amp;" "&amp;S$115),0)))</f>
        <v>49475.35</v>
      </c>
      <c r="T130" s="157" cm="1">
        <f t="array" aca="1" ref="T130" ca="1">IF(OR($E130="X",$E130="",$E130=0,$B130="X",$B130="",$B130=0),0,SUM(_xlfn._xlws.FILTER(FrmBB1[Cur],(FrmBB1[PrjId]=TEXT($B130,"@"))*(FrmBB1[Row]=$E130)*(FrmBB1[Column]=UPPER(_xlfn.LET(_xlpm.x,_xlfn.TEXTBEFORE(S$114," ("),IFERROR(_xlpm.x,S$114)))&amp;" "&amp;T$115),0)))</f>
        <v>0</v>
      </c>
      <c r="U130" s="158" cm="1">
        <f t="array" aca="1" ref="U130" ca="1">IF(OR($E130="X",$E130="",$E130=0,$B130="X",$B130="",$B130=0),0,SUM(_xlfn._xlws.FILTER(FrmBB1[Cur],(FrmBB1[PrjId]=TEXT($B130,"@"))*(FrmBB1[Row]=$E130)*(FrmBB1[Column]=UPPER(_xlfn.LET(_xlpm.x,_xlfn.TEXTBEFORE(U$114," ("),IFERROR(_xlpm.x,U$114)))&amp;" "&amp;U$115),0)))</f>
        <v>0</v>
      </c>
      <c r="V130" s="157" cm="1">
        <f t="array" aca="1" ref="V130" ca="1">IF(OR($E130="X",$E130="",$E130=0,$B130="X",$B130="",$B130=0),0,SUM(_xlfn._xlws.FILTER(FrmBB1[Cur],(FrmBB1[PrjId]=TEXT($B130,"@"))*(FrmBB1[Row]=$E130)*(FrmBB1[Column]=UPPER(_xlfn.LET(_xlpm.x,_xlfn.TEXTBEFORE(U$114," ("),IFERROR(_xlpm.x,U$114)))&amp;" "&amp;V$115),0)))</f>
        <v>2671.25</v>
      </c>
      <c r="W130" s="158" cm="1">
        <f t="array" aca="1" ref="W130" ca="1">IF(OR($E130="X",$E130="",$E130=0,$B130="X",$B130="",$B130=0),0,SUM(_xlfn._xlws.FILTER(FrmBB1[Cur],(FrmBB1[PrjId]=TEXT($B130,"@"))*(FrmBB1[Row]=$E130)*(FrmBB1[Column]=UPPER(_xlfn.LET(_xlpm.x,_xlfn.TEXTBEFORE(W$114," ("),IFERROR(_xlpm.x,W$114)))&amp;" "&amp;W$115),0)))</f>
        <v>21679.85</v>
      </c>
      <c r="X130" s="157" cm="1">
        <f t="array" aca="1" ref="X130" ca="1">IF(OR($E130="X",$E130="",$E130=0,$B130="X",$B130="",$B130=0),0,SUM(_xlfn._xlws.FILTER(FrmBB1[Cur],(FrmBB1[PrjId]=TEXT($B130,"@"))*(FrmBB1[Row]=$E130)*(FrmBB1[Column]=UPPER(_xlfn.LET(_xlpm.x,_xlfn.TEXTBEFORE(W$114," ("),IFERROR(_xlpm.x,W$114)))&amp;" "&amp;X$115),0)))</f>
        <v>0</v>
      </c>
      <c r="Y130" s="158" cm="1">
        <f t="array" aca="1" ref="Y130" ca="1">IF(OR($E130="X",$E130="",$E130=0,$B130="X",$B130="",$B130=0),0,SUM(_xlfn._xlws.FILTER(FrmBB1[Cur],(FrmBB1[PrjId]=TEXT($B130,"@"))*(FrmBB1[Row]=$E130)*(FrmBB1[Column]=UPPER(_xlfn.LET(_xlpm.x,_xlfn.TEXTBEFORE(Y$114," ("),IFERROR(_xlpm.x,Y$114)))&amp;" "&amp;Y$115),0)))</f>
        <v>0</v>
      </c>
      <c r="Z130" s="157" cm="1">
        <f t="array" aca="1" ref="Z130" ca="1">IF(OR($E130="X",$E130="",$E130=0,$B130="X",$B130="",$B130=0),0,SUM(_xlfn._xlws.FILTER(FrmBB1[Cur],(FrmBB1[PrjId]=TEXT($B130,"@"))*(FrmBB1[Row]=$E130)*(FrmBB1[Column]=UPPER(_xlfn.LET(_xlpm.x,_xlfn.TEXTBEFORE(Y$114," ("),IFERROR(_xlpm.x,Y$114)))&amp;" "&amp;Z$115),0)))</f>
        <v>0</v>
      </c>
      <c r="AA130" s="158" cm="1">
        <f t="array" aca="1" ref="AA130" ca="1">IF(OR($E130="X",$E130="",$E130=0,$B130="X",$B130="",$B130=0),0,SUM(_xlfn._xlws.FILTER(FrmBB1[Cur],(FrmBB1[PrjId]=TEXT($B130,"@"))*(FrmBB1[Row]=$E130)*(FrmBB1[Column]=UPPER(_xlfn.LET(_xlpm.x,_xlfn.TEXTBEFORE(AA$114," ("),IFERROR(_xlpm.x,AA$114)))&amp;" "&amp;AA$115),0)))</f>
        <v>0</v>
      </c>
      <c r="AB130" s="157" cm="1">
        <f t="array" aca="1" ref="AB130" ca="1">IF(OR($E130="X",$E130="",$E130=0,$B130="X",$B130="",$B130=0),0,SUM(_xlfn._xlws.FILTER(FrmBB1[Cur],(FrmBB1[PrjId]=TEXT($B130,"@"))*(FrmBB1[Row]=$E130)*(FrmBB1[Column]=UPPER(_xlfn.LET(_xlpm.x,_xlfn.TEXTBEFORE(AA$114," ("),IFERROR(_xlpm.x,AA$114)))&amp;" "&amp;AB$115),0)))</f>
        <v>0</v>
      </c>
      <c r="AC130" s="158" cm="1">
        <f t="array" aca="1" ref="AC130" ca="1">IF(OR($E130="X",$E130="",$E130=0,$B130="X",$B130="",$B130=0),0,SUM(_xlfn._xlws.FILTER(FrmBB1[Cur],(FrmBB1[PrjId]=TEXT($B130,"@"))*(FrmBB1[Row]=$E130)*(FrmBB1[Column]=UPPER(_xlfn.LET(_xlpm.x,_xlfn.TEXTBEFORE(AC$114," ("),IFERROR(_xlpm.x,AC$114)))&amp;" "&amp;AC$115),0)))</f>
        <v>0</v>
      </c>
      <c r="AD130" s="157" cm="1">
        <f t="array" aca="1" ref="AD130" ca="1">IF(OR($E130="X",$E130="",$E130=0,$B130="X",$B130="",$B130=0),0,SUM(_xlfn._xlws.FILTER(FrmBB1[Cur],(FrmBB1[PrjId]=TEXT($B130,"@"))*(FrmBB1[Row]=$E130)*(FrmBB1[Column]=UPPER(_xlfn.LET(_xlpm.x,_xlfn.TEXTBEFORE(AC$114," ("),IFERROR(_xlpm.x,AC$114)))&amp;" "&amp;AD$115),0)))</f>
        <v>0</v>
      </c>
      <c r="AE130" s="158" cm="1">
        <f t="array" aca="1" ref="AE130" ca="1">IF(OR($E130="X",$E130="",$E130=0,$B130="X",$B130="",$B130=0),0,SUM(_xlfn._xlws.FILTER(FrmBB1[Cur],(FrmBB1[PrjId]=TEXT($B130,"@"))*(FrmBB1[Row]=$E130)*(FrmBB1[Column]=UPPER(_xlfn.LET(_xlpm.x,_xlfn.TEXTBEFORE(AE$114," ("),IFERROR(_xlpm.x,AE$114)))&amp;" "&amp;AE$115),0)))</f>
        <v>0</v>
      </c>
      <c r="AF130" s="157" cm="1">
        <f t="array" aca="1" ref="AF130" ca="1">IF(OR($E130="X",$E130="",$E130=0,$B130="X",$B130="",$B130=0),0,SUM(_xlfn._xlws.FILTER(FrmBB1[Cur],(FrmBB1[PrjId]=TEXT($B130,"@"))*(FrmBB1[Row]=$E130)*(FrmBB1[Column]=UPPER(_xlfn.LET(_xlpm.x,_xlfn.TEXTBEFORE(AE$114," ("),IFERROR(_xlpm.x,AE$114)))&amp;" "&amp;AF$115),0)))</f>
        <v>0</v>
      </c>
      <c r="AG130" s="158" cm="1">
        <f t="array" aca="1" ref="AG130" ca="1">IF(OR($E130="X",$E130="",$E130=0,$B130="X",$B130="",$B130=0),0,SUM(_xlfn._xlws.FILTER(FrmBB1[Cur],(FrmBB1[PrjId]=TEXT($B130,"@"))*(FrmBB1[Row]=$E130)*(FrmBB1[Column]=UPPER(_xlfn.LET(_xlpm.x,_xlfn.TEXTBEFORE(AG$114," ("),IFERROR(_xlpm.x,AG$114)))&amp;" "&amp;AG$115),0)))</f>
        <v>0</v>
      </c>
      <c r="AH130" s="157" cm="1">
        <f t="array" aca="1" ref="AH130" ca="1">IF(OR($E130="X",$E130="",$E130=0,$B130="X",$B130="",$B130=0),0,SUM(_xlfn._xlws.FILTER(FrmBB1[Cur],(FrmBB1[PrjId]=TEXT($B130,"@"))*(FrmBB1[Row]=$E130)*(FrmBB1[Column]=UPPER(_xlfn.LET(_xlpm.x,_xlfn.TEXTBEFORE(AG$114," ("),IFERROR(_xlpm.x,AG$114)))&amp;" "&amp;AH$115),0)))</f>
        <v>0</v>
      </c>
      <c r="AI130" s="158" cm="1">
        <f t="array" aca="1" ref="AI130" ca="1">IF(OR($E130="X",$E130="",$E130=0,$B130="X",$B130="",$B130=0),0,SUM(_xlfn._xlws.FILTER(FrmBB1[Cur],(FrmBB1[PrjId]=TEXT($B130,"@"))*(FrmBB1[Row]=$E130)*(FrmBB1[Column]=UPPER(_xlfn.LET(_xlpm.x,_xlfn.TEXTBEFORE(AI$114," ("),IFERROR(_xlpm.x,AI$114)))&amp;" "&amp;AI$115),0)))</f>
        <v>0</v>
      </c>
      <c r="AJ130" s="157" cm="1">
        <f t="array" aca="1" ref="AJ130" ca="1">IF(OR($E130="X",$E130="",$E130=0,$B130="X",$B130="",$B130=0),0,SUM(_xlfn._xlws.FILTER(FrmBB1[Cur],(FrmBB1[PrjId]=TEXT($B130,"@"))*(FrmBB1[Row]=$E130)*(FrmBB1[Column]=UPPER(_xlfn.LET(_xlpm.x,_xlfn.TEXTBEFORE(AI$114," ("),IFERROR(_xlpm.x,AI$114)))&amp;" "&amp;AJ$115),0)))</f>
        <v>0</v>
      </c>
      <c r="AK130" s="158" cm="1">
        <f t="array" aca="1" ref="AK130" ca="1">IF(OR($E130="X",$E130="",$E130=0,$B130="X",$B130="",$B130=0),0,SUM(_xlfn._xlws.FILTER(FrmBB1[Cur],(FrmBB1[PrjId]=TEXT($B130,"@"))*(FrmBB1[Row]=$E130)*(FrmBB1[Column]=UPPER(_xlfn.LET(_xlpm.x,_xlfn.TEXTBEFORE(AK$114," ("),IFERROR(_xlpm.x,AK$114)))&amp;" "&amp;AK$115),0)))</f>
        <v>0</v>
      </c>
      <c r="AL130" s="157" cm="1">
        <f t="array" aca="1" ref="AL130" ca="1">IF(OR($E130="X",$E130="",$E130=0,$B130="X",$B130="",$B130=0),0,SUM(_xlfn._xlws.FILTER(FrmBB1[Cur],(FrmBB1[PrjId]=TEXT($B130,"@"))*(FrmBB1[Row]=$E130)*(FrmBB1[Column]=UPPER(_xlfn.LET(_xlpm.x,_xlfn.TEXTBEFORE(AK$114," ("),IFERROR(_xlpm.x,AK$114)))&amp;" "&amp;AL$115),0)))</f>
        <v>0</v>
      </c>
      <c r="AM130" s="158" cm="1">
        <f t="array" aca="1" ref="AM130" ca="1">IF(OR($E130="X",$E130="",$E130=0,$B130="X",$B130="",$B130=0),0,SUM(_xlfn._xlws.FILTER(FrmBB1[Cur],(FrmBB1[PrjId]=TEXT($B130,"@"))*(FrmBB1[Row]=$E130)*(FrmBB1[Column]=UPPER(_xlfn.LET(_xlpm.x,_xlfn.TEXTBEFORE(AM$114," ("),IFERROR(_xlpm.x,AM$114)))&amp;" "&amp;AM$115),0)))</f>
        <v>0</v>
      </c>
      <c r="AN130" s="157" cm="1">
        <f t="array" aca="1" ref="AN130" ca="1">IF(OR($E130="X",$E130="",$E130=0,$B130="X",$B130="",$B130=0),0,SUM(_xlfn._xlws.FILTER(FrmBB1[Cur],(FrmBB1[PrjId]=TEXT($B130,"@"))*(FrmBB1[Row]=$E130)*(FrmBB1[Column]=UPPER(_xlfn.LET(_xlpm.x,_xlfn.TEXTBEFORE(AM$114," ("),IFERROR(_xlpm.x,AM$114)))&amp;" "&amp;AN$115),0)))</f>
        <v>0</v>
      </c>
      <c r="AO130" s="158" cm="1">
        <f t="array" aca="1" ref="AO130" ca="1">IF(OR($E130="X",$E130="",$E130=0,$B130="X",$B130="",$B130=0),0,SUM(_xlfn._xlws.FILTER(FrmBB1[Cur],(FrmBB1[PrjId]=TEXT($B130,"@"))*(FrmBB1[Row]=$E130)*(FrmBB1[Column]=UPPER(_xlfn.LET(_xlpm.x,_xlfn.TEXTBEFORE(AO$114," ("),IFERROR(_xlpm.x,AO$114)))&amp;" "&amp;AO$115),0)))</f>
        <v>0</v>
      </c>
      <c r="AP130" s="157" cm="1">
        <f t="array" aca="1" ref="AP130" ca="1">IF(OR($E130="X",$E130="",$E130=0,$B130="X",$B130="",$B130=0),0,SUM(_xlfn._xlws.FILTER(FrmBB1[Cur],(FrmBB1[PrjId]=TEXT($B130,"@"))*(FrmBB1[Row]=$E130)*(FrmBB1[Column]=UPPER(_xlfn.LET(_xlpm.x,_xlfn.TEXTBEFORE(AO$114," ("),IFERROR(_xlpm.x,AO$114)))&amp;" "&amp;AP$115),0)))</f>
        <v>0</v>
      </c>
      <c r="AQ130" s="157" cm="1">
        <f t="array" aca="1" ref="AQ130" ca="1">SUM(IF(INDIRECT($AS$115)=AQ$115,INDIRECT($AS130)))</f>
        <v>96084.88</v>
      </c>
      <c r="AR130" s="157" cm="1">
        <f t="array" aca="1" ref="AR130" ca="1">SUM(IF(INDIRECT($AS$115)=AR$115,INDIRECT($AS130)))</f>
        <v>20671.25</v>
      </c>
      <c r="AS130" s="286" t="str">
        <f t="shared" ca="1" si="13"/>
        <v>G130:AP130</v>
      </c>
      <c r="AT130" s="355">
        <f t="shared" ca="1" si="14"/>
        <v>116756.13</v>
      </c>
      <c r="AV130" s="142" cm="1">
        <f t="array" aca="1" ref="AV130" ca="1">IF(AND(_xlfn.LET(_xlpm.x,SUM(ROW()),OR(AND(MATCH("SOT",$A:$A,0)&lt;_xlpm.x,MATCH("EOT",$A:$A,0)&gt;_xlpm.x),AND(MATCH("SOS",$A:$A,0)&lt;_xlpm.x,MATCH("EOS",$A:$A,0)&gt;_xlpm.x),AND(MATCH("SOR",$A:$A,0)&lt;_xlpm.x,MATCH("EOR",$A:$A,0)&gt;_xlpm.x))),INDIRECT("rc"&amp;MATCH("SCD",$1:$1,0),FALSE)="PPTO"),1,0)</f>
        <v>0</v>
      </c>
      <c r="AW130" s="142" cm="1">
        <f t="array" aca="1" ref="AW13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31" spans="2:49" outlineLevel="1">
      <c r="B131" s="156" t="str" cm="1">
        <f t="array" aca="1" ref="B131:E131" ca="1">_xlfn.LET(_xlpm.x,SUM(ROW()-MATCH("SOR",$A:$A,0)),_xlpm.y,IFERROR(_xlfn.TAKE(INDEX(_xlfn._xlws.FILTER(TbAssign[],ISNUMBER(FIND(TbAssign[Project],$C$4)),"X"),1+QUOTIENT(_xlpm.x,3),0),1,4),0),IF(MOD(_xlpm.x-1,3)=0,IF(_xlpm.y=0,"X",_xlpm.y),INDIRECT("r[-1]c#",FALSE)))</f>
        <v>31200</v>
      </c>
      <c r="C131" s="156" t="str">
        <f ca="1"/>
        <v>XD01</v>
      </c>
      <c r="D131" s="148" t="str">
        <f ca="1"/>
        <v>IMCS</v>
      </c>
      <c r="E131" s="352" t="str">
        <f ca="1"/>
        <v>DESMONTAJE</v>
      </c>
      <c r="F131" s="148" t="s">
        <v>397</v>
      </c>
      <c r="G131" s="157" cm="1">
        <f t="array" aca="1" ref="G131" ca="1">IF(OR($E131="X",$E131="",$E131=0,$B131="X",$B131="",$B131=0),0,SUM(_xlfn._xlws.FILTER(IF($E$4="Ppto",PptoSty[CurPpto],PptoSty[CurInt]),(IF($E$4="Ppto",PptoSty[POvsCT]=G$113,TRUE))*(PptoSty[Project]=TEXT($B131,"@"))*(PptoSty[PptoVsRow]=$E131)*(PptoSty[PptoVsColumn]=UPPER(G$114)),0)))</f>
        <v>0</v>
      </c>
      <c r="H131" s="157" cm="1">
        <f t="array" aca="1" ref="H131" ca="1">IF(OR($E131="X",$E131="",$E131=0,$B131="X",$B131="",$B131=0),0,SUM(_xlfn._xlws.FILTER(IF($E$4="Ppto",PptoSty[CurPpto],PptoSty[CurExt]),(IF($E$4="Ppto",PptoSty[POvsCT]=H$113,TRUE))*(PptoSty[Project]=TEXT($B131,"@"))*(PptoSty[PptoVsRow]=$E131)*(PptoSty[PptoVsColumn]=UPPER(G$114)),0)))</f>
        <v>0</v>
      </c>
      <c r="I131" s="157" cm="1">
        <f t="array" aca="1" ref="I131" ca="1">IF(OR($E131="X",$E131="",$E131=0,$B131="X",$B131="",$B131=0),0,SUM(_xlfn._xlws.FILTER(IF($E$4="Ppto",PptoSty[CurPpto],PptoSty[CurInt]),(IF($E$4="Ppto",PptoSty[POvsCT]=I$113,TRUE))*(PptoSty[Project]=TEXT($B131,"@"))*(PptoSty[PptoVsRow]=$E131)*(PptoSty[PptoVsColumn]=UPPER(I$114)),0)))</f>
        <v>0</v>
      </c>
      <c r="J131" s="157" cm="1">
        <f t="array" aca="1" ref="J131" ca="1">IF(OR($E131="X",$E131="",$E131=0,$B131="X",$B131="",$B131=0),0,SUM(_xlfn._xlws.FILTER(IF($E$4="Ppto",PptoSty[CurPpto],PptoSty[CurExt]),(IF($E$4="Ppto",PptoSty[POvsCT]=J$113,TRUE))*(PptoSty[Project]=TEXT($B131,"@"))*(PptoSty[PptoVsRow]=$E131)*(PptoSty[PptoVsColumn]=UPPER(I$114)),0)))</f>
        <v>0</v>
      </c>
      <c r="K131" s="157" cm="1">
        <f t="array" aca="1" ref="K131" ca="1">IF(OR($E131="X",$E131="",$E131=0,$B131="X",$B131="",$B131=0),0,SUM(_xlfn._xlws.FILTER(IF($E$4="Ppto",PptoSty[CurPpto],PptoSty[CurInt]),(IF($E$4="Ppto",PptoSty[POvsCT]=K$113,TRUE))*(PptoSty[Project]=TEXT($B131,"@"))*(PptoSty[PptoVsRow]=$E131)*(PptoSty[PptoVsColumn]=UPPER(K$114)),0)))</f>
        <v>0</v>
      </c>
      <c r="L131" s="157" cm="1">
        <f t="array" aca="1" ref="L131" ca="1">IF(OR($E131="X",$E131="",$E131=0,$B131="X",$B131="",$B131=0),0,SUM(_xlfn._xlws.FILTER(IF($E$4="Ppto",PptoSty[CurPpto],PptoSty[CurExt]),(IF($E$4="Ppto",PptoSty[POvsCT]=L$113,TRUE))*(PptoSty[Project]=TEXT($B131,"@"))*(PptoSty[PptoVsRow]=$E131)*(PptoSty[PptoVsColumn]=UPPER(K$114)),0)))</f>
        <v>0</v>
      </c>
      <c r="M131" s="157" cm="1">
        <f t="array" aca="1" ref="M131" ca="1">IF(OR($E131="X",$E131="",$E131=0,$B131="X",$B131="",$B131=0),0,SUM(_xlfn._xlws.FILTER(IF($E$4="Ppto",PptoSty[CurPpto],PptoSty[CurInt]),(IF($E$4="Ppto",PptoSty[POvsCT]=M$113,TRUE))*(PptoSty[Project]=TEXT($B131,"@"))*(PptoSty[PptoVsRow]=$E131)*(PptoSty[PptoVsColumn]=UPPER(M$114)),0)))</f>
        <v>0</v>
      </c>
      <c r="N131" s="157" cm="1">
        <f t="array" aca="1" ref="N131" ca="1">IF(OR($E131="X",$E131="",$E131=0,$B131="X",$B131="",$B131=0),0,SUM(_xlfn._xlws.FILTER(IF($E$4="Ppto",PptoSty[CurPpto],PptoSty[CurExt]),(IF($E$4="Ppto",PptoSty[POvsCT]=N$113,TRUE))*(PptoSty[Project]=TEXT($B131,"@"))*(PptoSty[PptoVsRow]=$E131)*(PptoSty[PptoVsColumn]=UPPER(M$114)),0)))</f>
        <v>0</v>
      </c>
      <c r="O131" s="157" cm="1">
        <f t="array" aca="1" ref="O131" ca="1">IF(OR($E131="X",$E131="",$E131=0,$B131="X",$B131="",$B131=0),0,SUM(_xlfn._xlws.FILTER(IF($E$4="Ppto",PptoSty[CurPpto],PptoSty[CurInt]),(IF($E$4="Ppto",PptoSty[POvsCT]=O$113,TRUE))*(PptoSty[Project]=TEXT($B131,"@"))*(PptoSty[PptoVsRow]=$E131)*(PptoSty[PptoVsColumn]=UPPER(O$114)),0)))</f>
        <v>0</v>
      </c>
      <c r="P131" s="157" cm="1">
        <f t="array" aca="1" ref="P131" ca="1">IF(OR($E131="X",$E131="",$E131=0,$B131="X",$B131="",$B131=0),0,SUM(_xlfn._xlws.FILTER(IF($E$4="Ppto",PptoSty[CurPpto],PptoSty[CurExt]),(IF($E$4="Ppto",PptoSty[POvsCT]=P$113,TRUE))*(PptoSty[Project]=TEXT($B131,"@"))*(PptoSty[PptoVsRow]=$E131)*(PptoSty[PptoVsColumn]=UPPER(O$114)),0)))</f>
        <v>0</v>
      </c>
      <c r="Q131" s="157" cm="1">
        <f t="array" aca="1" ref="Q131" ca="1">IF(OR($E131="X",$E131="",$E131=0,$B131="X",$B131="",$B131=0),0,SUM(_xlfn._xlws.FILTER(IF($E$4="Ppto",PptoSty[CurPpto],PptoSty[CurInt]),(IF($E$4="Ppto",PptoSty[POvsCT]=Q$113,TRUE))*(PptoSty[Project]=TEXT($B131,"@"))*(PptoSty[PptoVsRow]=$E131)*(PptoSty[PptoVsColumn]=UPPER(Q$114)),0)))</f>
        <v>0</v>
      </c>
      <c r="R131" s="157" cm="1">
        <f t="array" aca="1" ref="R131" ca="1">IF(OR($E131="X",$E131="",$E131=0,$B131="X",$B131="",$B131=0),0,SUM(_xlfn._xlws.FILTER(IF($E$4="Ppto",PptoSty[CurPpto],PptoSty[CurExt]),(IF($E$4="Ppto",PptoSty[POvsCT]=R$113,TRUE))*(PptoSty[Project]=TEXT($B131,"@"))*(PptoSty[PptoVsRow]=$E131)*(PptoSty[PptoVsColumn]=UPPER(Q$114)),0)))</f>
        <v>0</v>
      </c>
      <c r="S131" s="157" cm="1">
        <f t="array" aca="1" ref="S131" ca="1">IF(OR($E131="X",$E131="",$E131=0,$B131="X",$B131="",$B131=0),0,SUM(_xlfn._xlws.FILTER(IF($E$4="Ppto",PptoSty[CurPpto],PptoSty[CurInt]),(IF($E$4="Ppto",PptoSty[POvsCT]=S$113,TRUE))*(PptoSty[Project]=TEXT($B131,"@"))*(PptoSty[PptoVsRow]=$E131)*(PptoSty[PptoVsColumn]=UPPER(S$114)),0)))</f>
        <v>0</v>
      </c>
      <c r="T131" s="157" cm="1">
        <f t="array" aca="1" ref="T131" ca="1">IF(OR($E131="X",$E131="",$E131=0,$B131="X",$B131="",$B131=0),0,SUM(_xlfn._xlws.FILTER(IF($E$4="Ppto",PptoSty[CurPpto],PptoSty[CurExt]),(IF($E$4="Ppto",PptoSty[POvsCT]=T$113,TRUE))*(PptoSty[Project]=TEXT($B131,"@"))*(PptoSty[PptoVsRow]=$E131)*(PptoSty[PptoVsColumn]=UPPER(S$114)),0)))</f>
        <v>0</v>
      </c>
      <c r="U131" s="157" cm="1">
        <f t="array" aca="1" ref="U131" ca="1">IF(OR($E131="X",$E131="",$E131=0,$B131="X",$B131="",$B131=0),0,SUM(_xlfn._xlws.FILTER(IF($E$4="Ppto",PptoSty[CurPpto],PptoSty[CurInt]),(IF($E$4="Ppto",PptoSty[POvsCT]=U$113,TRUE))*(PptoSty[Project]=TEXT($B131,"@"))*(PptoSty[PptoVsRow]=$E131)*(PptoSty[PptoVsColumn]=UPPER(U$114)),0)))</f>
        <v>0</v>
      </c>
      <c r="V131" s="157" cm="1">
        <f t="array" aca="1" ref="V131" ca="1">IF(OR($E131="X",$E131="",$E131=0,$B131="X",$B131="",$B131=0),0,SUM(_xlfn._xlws.FILTER(IF($E$4="Ppto",PptoSty[CurPpto],PptoSty[CurExt]),(IF($E$4="Ppto",PptoSty[POvsCT]=V$113,TRUE))*(PptoSty[Project]=TEXT($B131,"@"))*(PptoSty[PptoVsRow]=$E131)*(PptoSty[PptoVsColumn]=UPPER(U$114)),0)))</f>
        <v>0</v>
      </c>
      <c r="W131" s="157" cm="1">
        <f t="array" aca="1" ref="W131" ca="1">IF(OR($E131="X",$E131="",$E131=0,$B131="X",$B131="",$B131=0),0,SUM(_xlfn._xlws.FILTER(IF($E$4="Ppto",PptoSty[CurPpto],PptoSty[CurInt]),(IF($E$4="Ppto",PptoSty[POvsCT]=W$113,TRUE))*(PptoSty[Project]=TEXT($B131,"@"))*(PptoSty[PptoVsRow]=$E131)*(PptoSty[PptoVsColumn]=UPPER(W$114)),0)))</f>
        <v>21212.270108999997</v>
      </c>
      <c r="X131" s="157" cm="1">
        <f t="array" aca="1" ref="X131" ca="1">IF(OR($E131="X",$E131="",$E131=0,$B131="X",$B131="",$B131=0),0,SUM(_xlfn._xlws.FILTER(IF($E$4="Ppto",PptoSty[CurPpto],PptoSty[CurExt]),(IF($E$4="Ppto",PptoSty[POvsCT]=X$113,TRUE))*(PptoSty[Project]=TEXT($B131,"@"))*(PptoSty[PptoVsRow]=$E131)*(PptoSty[PptoVsColumn]=UPPER(W$114)),0)))</f>
        <v>48120.5304225</v>
      </c>
      <c r="Y131" s="157" cm="1">
        <f t="array" aca="1" ref="Y131" ca="1">IF(OR($E131="X",$E131="",$E131=0,$B131="X",$B131="",$B131=0),0,SUM(_xlfn._xlws.FILTER(IF($E$4="Ppto",PptoSty[CurPpto],PptoSty[CurInt]),(IF($E$4="Ppto",PptoSty[POvsCT]=Y$113,TRUE))*(PptoSty[Project]=TEXT($B131,"@"))*(PptoSty[PptoVsRow]=$E131)*(PptoSty[PptoVsColumn]=UPPER(Y$114)),0)))</f>
        <v>0</v>
      </c>
      <c r="Z131" s="157" cm="1">
        <f t="array" aca="1" ref="Z131" ca="1">IF(OR($E131="X",$E131="",$E131=0,$B131="X",$B131="",$B131=0),0,SUM(_xlfn._xlws.FILTER(IF($E$4="Ppto",PptoSty[CurPpto],PptoSty[CurExt]),(IF($E$4="Ppto",PptoSty[POvsCT]=Z$113,TRUE))*(PptoSty[Project]=TEXT($B131,"@"))*(PptoSty[PptoVsRow]=$E131)*(PptoSty[PptoVsColumn]=UPPER(Y$114)),0)))</f>
        <v>0</v>
      </c>
      <c r="AA131" s="157" cm="1">
        <f t="array" aca="1" ref="AA131" ca="1">IF(OR($E131="X",$E131="",$E131=0,$B131="X",$B131="",$B131=0),0,SUM(_xlfn._xlws.FILTER(IF($E$4="Ppto",PptoSty[CurPpto],PptoSty[CurInt]),(IF($E$4="Ppto",PptoSty[POvsCT]=AA$113,TRUE))*(PptoSty[Project]=TEXT($B131,"@"))*(PptoSty[PptoVsRow]=$E131)*(PptoSty[PptoVsColumn]=UPPER(AA$114)),0)))</f>
        <v>0</v>
      </c>
      <c r="AB131" s="157" cm="1">
        <f t="array" aca="1" ref="AB131" ca="1">IF(OR($E131="X",$E131="",$E131=0,$B131="X",$B131="",$B131=0),0,SUM(_xlfn._xlws.FILTER(IF($E$4="Ppto",PptoSty[CurPpto],PptoSty[CurExt]),(IF($E$4="Ppto",PptoSty[POvsCT]=AB$113,TRUE))*(PptoSty[Project]=TEXT($B131,"@"))*(PptoSty[PptoVsRow]=$E131)*(PptoSty[PptoVsColumn]=UPPER(AA$114)),0)))</f>
        <v>0</v>
      </c>
      <c r="AC131" s="157" cm="1">
        <f t="array" aca="1" ref="AC131" ca="1">IF(OR($E131="X",$E131="",$E131=0,$B131="X",$B131="",$B131=0),0,SUM(_xlfn._xlws.FILTER(IF($E$4="Ppto",PptoSty[CurPpto],PptoSty[CurInt]),(IF($E$4="Ppto",PptoSty[POvsCT]=AC$113,TRUE))*(PptoSty[Project]=TEXT($B131,"@"))*(PptoSty[PptoVsRow]=$E131)*(PptoSty[PptoVsColumn]=UPPER(AC$114)),0)))</f>
        <v>0</v>
      </c>
      <c r="AD131" s="157" cm="1">
        <f t="array" aca="1" ref="AD131" ca="1">IF(OR($E131="X",$E131="",$E131=0,$B131="X",$B131="",$B131=0),0,SUM(_xlfn._xlws.FILTER(IF($E$4="Ppto",PptoSty[CurPpto],PptoSty[CurExt]),(IF($E$4="Ppto",PptoSty[POvsCT]=AD$113,TRUE))*(PptoSty[Project]=TEXT($B131,"@"))*(PptoSty[PptoVsRow]=$E131)*(PptoSty[PptoVsColumn]=UPPER(AC$114)),0)))</f>
        <v>0</v>
      </c>
      <c r="AE131" s="157" cm="1">
        <f t="array" aca="1" ref="AE131" ca="1">IF(OR($E131="X",$E131="",$E131=0,$B131="X",$B131="",$B131=0),0,SUM(_xlfn._xlws.FILTER(IF($E$4="Ppto",PptoSty[CurPpto],PptoSty[CurInt]),(IF($E$4="Ppto",PptoSty[POvsCT]=AE$113,TRUE))*(PptoSty[Project]=TEXT($B131,"@"))*(PptoSty[PptoVsRow]=$E131)*(PptoSty[PptoVsColumn]=UPPER(AE$114)),0)))</f>
        <v>8836.1663059999992</v>
      </c>
      <c r="AF131" s="157" cm="1">
        <f t="array" aca="1" ref="AF131" ca="1">IF(OR($E131="X",$E131="",$E131=0,$B131="X",$B131="",$B131=0),0,SUM(_xlfn._xlws.FILTER(IF($E$4="Ppto",PptoSty[CurPpto],PptoSty[CurExt]),(IF($E$4="Ppto",PptoSty[POvsCT]=AF$113,TRUE))*(PptoSty[Project]=TEXT($B131,"@"))*(PptoSty[PptoVsRow]=$E131)*(PptoSty[PptoVsColumn]=UPPER(AE$114)),0)))</f>
        <v>57832.187057999996</v>
      </c>
      <c r="AG131" s="157" cm="1">
        <f t="array" aca="1" ref="AG131" ca="1">IF(OR($E131="X",$E131="",$E131=0,$B131="X",$B131="",$B131=0),0,SUM(_xlfn._xlws.FILTER(IF($E$4="Ppto",PptoSty[CurPpto],PptoSty[CurInt]),(IF($E$4="Ppto",PptoSty[POvsCT]=AG$113,TRUE))*(PptoSty[Project]=TEXT($B131,"@"))*(PptoSty[PptoVsRow]=$E131)*(PptoSty[PptoVsColumn]=UPPER(AG$114)),0)))</f>
        <v>0</v>
      </c>
      <c r="AH131" s="157" cm="1">
        <f t="array" aca="1" ref="AH131" ca="1">IF(OR($E131="X",$E131="",$E131=0,$B131="X",$B131="",$B131=0),0,SUM(_xlfn._xlws.FILTER(IF($E$4="Ppto",PptoSty[CurPpto],PptoSty[CurExt]),(IF($E$4="Ppto",PptoSty[POvsCT]=AH$113,TRUE))*(PptoSty[Project]=TEXT($B131,"@"))*(PptoSty[PptoVsRow]=$E131)*(PptoSty[PptoVsColumn]=UPPER(AG$114)),0)))</f>
        <v>0</v>
      </c>
      <c r="AI131" s="157" cm="1">
        <f t="array" aca="1" ref="AI131" ca="1">IF(OR($E131="X",$E131="",$E131=0,$B131="X",$B131="",$B131=0),0,SUM(_xlfn._xlws.FILTER(IF($E$4="Ppto",PptoSty[CurPpto],PptoSty[CurInt]),(IF($E$4="Ppto",PptoSty[POvsCT]=AI$113,TRUE))*(PptoSty[Project]=TEXT($B131,"@"))*(PptoSty[PptoVsRow]=$E131)*(PptoSty[PptoVsColumn]=UPPER(AI$114)),0)))</f>
        <v>0</v>
      </c>
      <c r="AJ131" s="157" cm="1">
        <f t="array" aca="1" ref="AJ131" ca="1">IF(OR($E131="X",$E131="",$E131=0,$B131="X",$B131="",$B131=0),0,SUM(_xlfn._xlws.FILTER(IF($E$4="Ppto",PptoSty[CurPpto],PptoSty[CurExt]),(IF($E$4="Ppto",PptoSty[POvsCT]=AJ$113,TRUE))*(PptoSty[Project]=TEXT($B131,"@"))*(PptoSty[PptoVsRow]=$E131)*(PptoSty[PptoVsColumn]=UPPER(AI$114)),0)))</f>
        <v>0</v>
      </c>
      <c r="AK131" s="157" cm="1">
        <f t="array" aca="1" ref="AK131" ca="1">IF(OR($E131="X",$E131="",$E131=0,$B131="X",$B131="",$B131=0),0,SUM(_xlfn._xlws.FILTER(IF($E$4="Ppto",PptoSty[CurPpto],PptoSty[CurInt]),(IF($E$4="Ppto",PptoSty[POvsCT]=AK$113,TRUE))*(PptoSty[Project]=TEXT($B131,"@"))*(PptoSty[PptoVsRow]=$E131)*(PptoSty[PptoVsColumn]=UPPER(AK$114)),0)))</f>
        <v>0</v>
      </c>
      <c r="AL131" s="157" cm="1">
        <f t="array" aca="1" ref="AL131" ca="1">IF(OR($E131="X",$E131="",$E131=0,$B131="X",$B131="",$B131=0),0,SUM(_xlfn._xlws.FILTER(IF($E$4="Ppto",PptoSty[CurPpto],PptoSty[CurExt]),(IF($E$4="Ppto",PptoSty[POvsCT]=AL$113,TRUE))*(PptoSty[Project]=TEXT($B131,"@"))*(PptoSty[PptoVsRow]=$E131)*(PptoSty[PptoVsColumn]=UPPER(AK$114)),0)))</f>
        <v>0</v>
      </c>
      <c r="AM131" s="157" cm="1">
        <f t="array" aca="1" ref="AM131" ca="1">IF(OR($E131="X",$E131="",$E131=0,$B131="X",$B131="",$B131=0),0,SUM(_xlfn._xlws.FILTER(IF($E$4="Ppto",PptoSty[CurPpto],PptoSty[CurInt]),(IF($E$4="Ppto",PptoSty[POvsCT]=AM$113,TRUE))*(PptoSty[Project]=TEXT($B131,"@"))*(PptoSty[PptoVsRow]=$E131)*(PptoSty[PptoVsColumn]=UPPER(AM$114)),0)))</f>
        <v>0</v>
      </c>
      <c r="AN131" s="157" cm="1">
        <f t="array" aca="1" ref="AN131" ca="1">IF(OR($E131="X",$E131="",$E131=0,$B131="X",$B131="",$B131=0),0,SUM(_xlfn._xlws.FILTER(IF($E$4="Ppto",PptoSty[CurPpto],PptoSty[CurExt]),(IF($E$4="Ppto",PptoSty[POvsCT]=AN$113,TRUE))*(PptoSty[Project]=TEXT($B131,"@"))*(PptoSty[PptoVsRow]=$E131)*(PptoSty[PptoVsColumn]=UPPER(AM$114)),0)))</f>
        <v>0</v>
      </c>
      <c r="AO131" s="157" cm="1">
        <f t="array" aca="1" ref="AO131" ca="1">IF(OR($E131="X",$E131="",$E131=0,$B131="X",$B131="",$B131=0),0,SUM(_xlfn._xlws.FILTER(IF($E$4="Ppto",PptoSty[CurPpto],PptoSty[CurInt]),(IF($E$4="Ppto",PptoSty[POvsCT]=AO$113,TRUE))*(PptoSty[Project]=TEXT($B131,"@"))*(PptoSty[PptoVsRow]=$E131)*(PptoSty[PptoVsColumn]=UPPER(AO$114)),0)))</f>
        <v>0</v>
      </c>
      <c r="AP131" s="157" cm="1">
        <f t="array" aca="1" ref="AP131" ca="1">IF(OR($E131="X",$E131="",$E131=0,$B131="X",$B131="",$B131=0),0,SUM(_xlfn._xlws.FILTER(IF($E$4="Ppto",PptoSty[CurPpto],PptoSty[CurExt]),(IF($E$4="Ppto",PptoSty[POvsCT]=AP$113,TRUE))*(PptoSty[Project]=TEXT($B131,"@"))*(PptoSty[PptoVsRow]=$E131)*(PptoSty[PptoVsColumn]=UPPER(AO$114)),0)))</f>
        <v>0</v>
      </c>
      <c r="AQ131" s="157" cm="1">
        <f t="array" aca="1" ref="AQ131" ca="1">SUM(IF(INDIRECT($AS$115)=AQ$115,INDIRECT($AS131)))</f>
        <v>30048.436414999996</v>
      </c>
      <c r="AR131" s="157" cm="1">
        <f t="array" aca="1" ref="AR131" ca="1">SUM(IF(INDIRECT($AS$115)=AR$115,INDIRECT($AS131)))</f>
        <v>105952.7174805</v>
      </c>
      <c r="AS131" s="286" t="str">
        <f t="shared" ca="1" si="13"/>
        <v>G131:AP131</v>
      </c>
      <c r="AT131" s="403">
        <f t="shared" ca="1" si="14"/>
        <v>136001.1538955</v>
      </c>
      <c r="AV131" s="142" cm="1">
        <f t="array" aca="1" ref="AV131" ca="1">IF(AND(_xlfn.LET(_xlpm.x,SUM(ROW()),OR(AND(MATCH("SOT",$A:$A,0)&lt;_xlpm.x,MATCH("EOT",$A:$A,0)&gt;_xlpm.x),AND(MATCH("SOS",$A:$A,0)&lt;_xlpm.x,MATCH("EOS",$A:$A,0)&gt;_xlpm.x),AND(MATCH("SOR",$A:$A,0)&lt;_xlpm.x,MATCH("EOR",$A:$A,0)&gt;_xlpm.x))),INDIRECT("rc"&amp;MATCH("SCD",$1:$1,0),FALSE)="PPTO"),1,0)</f>
        <v>1</v>
      </c>
      <c r="AW131" s="142" cm="1">
        <f t="array" aca="1" ref="AW13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32" spans="2:49" outlineLevel="1">
      <c r="B132" s="156" t="str" cm="1">
        <f t="array" aca="1" ref="B132:E132" ca="1">_xlfn.LET(_xlpm.x,SUM(ROW()-MATCH("SOR",$A:$A,0)),_xlpm.y,IFERROR(_xlfn.TAKE(INDEX(_xlfn._xlws.FILTER(TbAssign[],ISNUMBER(FIND(TbAssign[Project],$C$4)),"X"),1+QUOTIENT(_xlpm.x,3),0),1,4),0),IF(MOD(_xlpm.x-1,3)=0,IF(_xlpm.y=0,"X",_xlpm.y),INDIRECT("r[-1]c#",FALSE)))</f>
        <v>31200</v>
      </c>
      <c r="C132" s="156" t="str">
        <f ca="1"/>
        <v>XD01</v>
      </c>
      <c r="D132" s="148" t="str">
        <f ca="1"/>
        <v>IMCS</v>
      </c>
      <c r="E132" s="352" t="str">
        <f ca="1"/>
        <v>DESMONTAJE</v>
      </c>
      <c r="F132" s="148" t="s">
        <v>1382</v>
      </c>
      <c r="G132" s="157" cm="1">
        <f t="array" aca="1" ref="G132" ca="1">IF(OR($E132="X",$E132="",$E132=0,$B132="X",$B132="",$B132=0),0,SUM(_xlfn._xlws.FILTER(PrvSty[DsvValue:SERRA],(PrvSty[Project]=TEXT($B132,"@"))*(PrvSty[Row]=$E132)*(PrvSty[Column]=UPPER(G$114)),0)))</f>
        <v>0</v>
      </c>
      <c r="H132" s="157" cm="1">
        <f t="array" aca="1" ref="H132" ca="1">IF(OR($E132="X",$E132="",$E132=0,$B132="X",$B132="",$B132=0),0,SUM(_xlfn._xlws.FILTER(PrvSty[DsvValue:EXT.],(PrvSty[Project]=TEXT($B132,"@"))*(PrvSty[Row]=$E132)*(PrvSty[Column]=UPPER(G$114)),0)))</f>
        <v>0</v>
      </c>
      <c r="I132" s="157" cm="1">
        <f t="array" aca="1" ref="I132" ca="1">IF(OR($E132="X",$E132="",$E132=0,$B132="X",$B132="",$B132=0),0,SUM(_xlfn._xlws.FILTER(PrvSty[DsvValue:SERRA],(PrvSty[Project]=TEXT($B132,"@"))*(PrvSty[Row]=$E132)*(PrvSty[Column]=UPPER(I$114)),0)))</f>
        <v>0</v>
      </c>
      <c r="J132" s="157" cm="1">
        <f t="array" aca="1" ref="J132" ca="1">IF(OR($E132="X",$E132="",$E132=0,$B132="X",$B132="",$B132=0),0,SUM(_xlfn._xlws.FILTER(PrvSty[DsvValue:EXT.],(PrvSty[Project]=TEXT($B132,"@"))*(PrvSty[Row]=$E132)*(PrvSty[Column]=UPPER(I$114)),0)))</f>
        <v>0</v>
      </c>
      <c r="K132" s="157" cm="1">
        <f t="array" aca="1" ref="K132" ca="1">IF(OR($E132="X",$E132="",$E132=0,$B132="X",$B132="",$B132=0),0,SUM(_xlfn._xlws.FILTER(PrvSty[DsvValue:SERRA],(PrvSty[Project]=TEXT($B132,"@"))*(PrvSty[Row]=$E132)*(PrvSty[Column]=UPPER(K$114)),0)))</f>
        <v>0</v>
      </c>
      <c r="L132" s="157" cm="1">
        <f t="array" aca="1" ref="L132" ca="1">IF(OR($E132="X",$E132="",$E132=0,$B132="X",$B132="",$B132=0),0,SUM(_xlfn._xlws.FILTER(PrvSty[DsvValue:EXT.],(PrvSty[Project]=TEXT($B132,"@"))*(PrvSty[Row]=$E132)*(PrvSty[Column]=UPPER(K$114)),0)))</f>
        <v>0</v>
      </c>
      <c r="M132" s="157" cm="1">
        <f t="array" aca="1" ref="M132" ca="1">IF(OR($E132="X",$E132="",$E132=0,$B132="X",$B132="",$B132=0),0,SUM(_xlfn._xlws.FILTER(PrvSty[DsvValue:SERRA],(PrvSty[Project]=TEXT($B132,"@"))*(PrvSty[Row]=$E132)*(PrvSty[Column]=UPPER(M$114)),0)))</f>
        <v>0</v>
      </c>
      <c r="N132" s="157" cm="1">
        <f t="array" aca="1" ref="N132" ca="1">IF(OR($E132="X",$E132="",$E132=0,$B132="X",$B132="",$B132=0),0,SUM(_xlfn._xlws.FILTER(PrvSty[DsvValue:EXT.],(PrvSty[Project]=TEXT($B132,"@"))*(PrvSty[Row]=$E132)*(PrvSty[Column]=UPPER(M$114)),0)))</f>
        <v>0</v>
      </c>
      <c r="O132" s="157" cm="1">
        <f t="array" aca="1" ref="O132" ca="1">IF(OR($E132="X",$E132="",$E132=0,$B132="X",$B132="",$B132=0),0,SUM(_xlfn._xlws.FILTER(PrvSty[DsvValue:SERRA],(PrvSty[Project]=TEXT($B132,"@"))*(PrvSty[Row]=$E132)*(PrvSty[Column]=UPPER(O$114)),0)))</f>
        <v>0</v>
      </c>
      <c r="P132" s="157" cm="1">
        <f t="array" aca="1" ref="P132" ca="1">IF(OR($E132="X",$E132="",$E132=0,$B132="X",$B132="",$B132=0),0,SUM(_xlfn._xlws.FILTER(PrvSty[DsvValue:EXT.],(PrvSty[Project]=TEXT($B132,"@"))*(PrvSty[Row]=$E132)*(PrvSty[Column]=UPPER(O$114)),0)))</f>
        <v>0</v>
      </c>
      <c r="Q132" s="157" cm="1">
        <f t="array" aca="1" ref="Q132" ca="1">IF(OR($E132="X",$E132="",$E132=0,$B132="X",$B132="",$B132=0),0,SUM(_xlfn._xlws.FILTER(PrvSty[DsvValue:SERRA],(PrvSty[Project]=TEXT($B132,"@"))*(PrvSty[Row]=$E132)*(PrvSty[Column]=UPPER(Q$114)),0)))</f>
        <v>0</v>
      </c>
      <c r="R132" s="157" cm="1">
        <f t="array" aca="1" ref="R132" ca="1">IF(OR($E132="X",$E132="",$E132=0,$B132="X",$B132="",$B132=0),0,SUM(_xlfn._xlws.FILTER(PrvSty[DsvValue:EXT.],(PrvSty[Project]=TEXT($B132,"@"))*(PrvSty[Row]=$E132)*(PrvSty[Column]=UPPER(Q$114)),0)))</f>
        <v>0</v>
      </c>
      <c r="S132" s="157" cm="1">
        <f t="array" aca="1" ref="S132" ca="1">IF(OR($E132="X",$E132="",$E132=0,$B132="X",$B132="",$B132=0),0,SUM(_xlfn._xlws.FILTER(PrvSty[DsvValue:SERRA],(PrvSty[Project]=TEXT($B132,"@"))*(PrvSty[Row]=$E132)*(PrvSty[Column]=UPPER(S$114)),0)))</f>
        <v>0</v>
      </c>
      <c r="T132" s="157" cm="1">
        <f t="array" aca="1" ref="T132" ca="1">IF(OR($E132="X",$E132="",$E132=0,$B132="X",$B132="",$B132=0),0,SUM(_xlfn._xlws.FILTER(PrvSty[DsvValue:EXT.],(PrvSty[Project]=TEXT($B132,"@"))*(PrvSty[Row]=$E132)*(PrvSty[Column]=UPPER(S$114)),0)))</f>
        <v>0</v>
      </c>
      <c r="U132" s="157" cm="1">
        <f t="array" aca="1" ref="U132" ca="1">IF(OR($E132="X",$E132="",$E132=0,$B132="X",$B132="",$B132=0),0,SUM(_xlfn._xlws.FILTER(PrvSty[DsvValue:SERRA],(PrvSty[Project]=TEXT($B132,"@"))*(PrvSty[Row]=$E132)*(PrvSty[Column]=UPPER(U$114)),0)))</f>
        <v>0</v>
      </c>
      <c r="V132" s="157" cm="1">
        <f t="array" aca="1" ref="V132" ca="1">IF(OR($E132="X",$E132="",$E132=0,$B132="X",$B132="",$B132=0),0,SUM(_xlfn._xlws.FILTER(PrvSty[DsvValue:EXT.],(PrvSty[Project]=TEXT($B132,"@"))*(PrvSty[Row]=$E132)*(PrvSty[Column]=UPPER(U$114)),0)))</f>
        <v>0</v>
      </c>
      <c r="W132" s="157" cm="1">
        <f t="array" aca="1" ref="W132" ca="1">IF(OR($E132="X",$E132="",$E132=0,$B132="X",$B132="",$B132=0),0,SUM(_xlfn._xlws.FILTER(PrvSty[DsvValue:SERRA],(PrvSty[Project]=TEXT($B132,"@"))*(PrvSty[Row]=$E132)*(PrvSty[Column]=UPPER(W$114)),0)))</f>
        <v>0</v>
      </c>
      <c r="X132" s="157" cm="1">
        <f t="array" aca="1" ref="X132" ca="1">IF(OR($E132="X",$E132="",$E132=0,$B132="X",$B132="",$B132=0),0,SUM(_xlfn._xlws.FILTER(PrvSty[DsvValue:EXT.],(PrvSty[Project]=TEXT($B132,"@"))*(PrvSty[Row]=$E132)*(PrvSty[Column]=UPPER(W$114)),0)))</f>
        <v>0</v>
      </c>
      <c r="Y132" s="157" cm="1">
        <f t="array" aca="1" ref="Y132" ca="1">IF(OR($E132="X",$E132="",$E132=0,$B132="X",$B132="",$B132=0),0,SUM(_xlfn._xlws.FILTER(PrvSty[DsvValue:SERRA],(PrvSty[Project]=TEXT($B132,"@"))*(PrvSty[Row]=$E132)*(PrvSty[Column]=UPPER(Y$114)),0)))</f>
        <v>0</v>
      </c>
      <c r="Z132" s="157" cm="1">
        <f t="array" aca="1" ref="Z132" ca="1">IF(OR($E132="X",$E132="",$E132=0,$B132="X",$B132="",$B132=0),0,SUM(_xlfn._xlws.FILTER(PrvSty[DsvValue:EXT.],(PrvSty[Project]=TEXT($B132,"@"))*(PrvSty[Row]=$E132)*(PrvSty[Column]=UPPER(Y$114)),0)))</f>
        <v>0</v>
      </c>
      <c r="AA132" s="157" cm="1">
        <f t="array" aca="1" ref="AA132" ca="1">IF(OR($E132="X",$E132="",$E132=0,$B132="X",$B132="",$B132=0),0,SUM(_xlfn._xlws.FILTER(PrvSty[DsvValue:SERRA],(PrvSty[Project]=TEXT($B132,"@"))*(PrvSty[Row]=$E132)*(PrvSty[Column]=UPPER(AA$114)),0)))</f>
        <v>0</v>
      </c>
      <c r="AB132" s="157" cm="1">
        <f t="array" aca="1" ref="AB132" ca="1">IF(OR($E132="X",$E132="",$E132=0,$B132="X",$B132="",$B132=0),0,SUM(_xlfn._xlws.FILTER(PrvSty[DsvValue:EXT.],(PrvSty[Project]=TEXT($B132,"@"))*(PrvSty[Row]=$E132)*(PrvSty[Column]=UPPER(AA$114)),0)))</f>
        <v>0</v>
      </c>
      <c r="AC132" s="157" cm="1">
        <f t="array" aca="1" ref="AC132" ca="1">IF(OR($E132="X",$E132="",$E132=0,$B132="X",$B132="",$B132=0),0,SUM(_xlfn._xlws.FILTER(PrvSty[DsvValue:SERRA],(PrvSty[Project]=TEXT($B132,"@"))*(PrvSty[Row]=$E132)*(PrvSty[Column]=UPPER(AC$114)),0)))</f>
        <v>0</v>
      </c>
      <c r="AD132" s="157" cm="1">
        <f t="array" aca="1" ref="AD132" ca="1">IF(OR($E132="X",$E132="",$E132=0,$B132="X",$B132="",$B132=0),0,SUM(_xlfn._xlws.FILTER(PrvSty[DsvValue:EXT.],(PrvSty[Project]=TEXT($B132,"@"))*(PrvSty[Row]=$E132)*(PrvSty[Column]=UPPER(AC$114)),0)))</f>
        <v>0</v>
      </c>
      <c r="AE132" s="157" cm="1">
        <f t="array" aca="1" ref="AE132" ca="1">IF(OR($E132="X",$E132="",$E132=0,$B132="X",$B132="",$B132=0),0,SUM(_xlfn._xlws.FILTER(PrvSty[DsvValue:SERRA],(PrvSty[Project]=TEXT($B132,"@"))*(PrvSty[Row]=$E132)*(PrvSty[Column]=UPPER(AE$114)),0)))</f>
        <v>0</v>
      </c>
      <c r="AF132" s="157" cm="1">
        <f t="array" aca="1" ref="AF132" ca="1">IF(OR($E132="X",$E132="",$E132=0,$B132="X",$B132="",$B132=0),0,SUM(_xlfn._xlws.FILTER(PrvSty[DsvValue:EXT.],(PrvSty[Project]=TEXT($B132,"@"))*(PrvSty[Row]=$E132)*(PrvSty[Column]=UPPER(AE$114)),0)))</f>
        <v>0</v>
      </c>
      <c r="AG132" s="157" cm="1">
        <f t="array" aca="1" ref="AG132" ca="1">IF(OR($E132="X",$E132="",$E132=0,$B132="X",$B132="",$B132=0),0,SUM(_xlfn._xlws.FILTER(PrvSty[DsvValue:SERRA],(PrvSty[Project]=TEXT($B132,"@"))*(PrvSty[Row]=$E132)*(PrvSty[Column]=UPPER(AG$114)),0)))</f>
        <v>0</v>
      </c>
      <c r="AH132" s="157" cm="1">
        <f t="array" aca="1" ref="AH132" ca="1">IF(OR($E132="X",$E132="",$E132=0,$B132="X",$B132="",$B132=0),0,SUM(_xlfn._xlws.FILTER(PrvSty[DsvValue:EXT.],(PrvSty[Project]=TEXT($B132,"@"))*(PrvSty[Row]=$E132)*(PrvSty[Column]=UPPER(AG$114)),0)))</f>
        <v>0</v>
      </c>
      <c r="AI132" s="157" cm="1">
        <f t="array" aca="1" ref="AI132" ca="1">IF(OR($E132="X",$E132="",$E132=0,$B132="X",$B132="",$B132=0),0,SUM(_xlfn._xlws.FILTER(PrvSty[DsvValue:SERRA],(PrvSty[Project]=TEXT($B132,"@"))*(PrvSty[Row]=$E132)*(PrvSty[Column]=UPPER(AI$114)),0)))</f>
        <v>0</v>
      </c>
      <c r="AJ132" s="157" cm="1">
        <f t="array" aca="1" ref="AJ132" ca="1">IF(OR($E132="X",$E132="",$E132=0,$B132="X",$B132="",$B132=0),0,SUM(_xlfn._xlws.FILTER(PrvSty[DsvValue:EXT.],(PrvSty[Project]=TEXT($B132,"@"))*(PrvSty[Row]=$E132)*(PrvSty[Column]=UPPER(AI$114)),0)))</f>
        <v>0</v>
      </c>
      <c r="AK132" s="157" cm="1">
        <f t="array" aca="1" ref="AK132" ca="1">IF(OR($E132="X",$E132="",$E132=0,$B132="X",$B132="",$B132=0),0,SUM(_xlfn._xlws.FILTER(PrvSty[DsvValue:SERRA],(PrvSty[Project]=TEXT($B132,"@"))*(PrvSty[Row]=$E132)*(PrvSty[Column]=UPPER(AK$114)),0)))</f>
        <v>0</v>
      </c>
      <c r="AL132" s="157" cm="1">
        <f t="array" aca="1" ref="AL132" ca="1">IF(OR($E132="X",$E132="",$E132=0,$B132="X",$B132="",$B132=0),0,SUM(_xlfn._xlws.FILTER(PrvSty[DsvValue:EXT.],(PrvSty[Project]=TEXT($B132,"@"))*(PrvSty[Row]=$E132)*(PrvSty[Column]=UPPER(AK$114)),0)))</f>
        <v>0</v>
      </c>
      <c r="AM132" s="157" cm="1">
        <f t="array" aca="1" ref="AM132" ca="1">IF(OR($E132="X",$E132="",$E132=0,$B132="X",$B132="",$B132=0),0,SUM(_xlfn._xlws.FILTER(PrvSty[DsvValue:SERRA],(PrvSty[Project]=TEXT($B132,"@"))*(PrvSty[Row]=$E132)*(PrvSty[Column]=UPPER(AM$114)),0)))</f>
        <v>0</v>
      </c>
      <c r="AN132" s="157" cm="1">
        <f t="array" aca="1" ref="AN132" ca="1">IF(OR($E132="X",$E132="",$E132=0,$B132="X",$B132="",$B132=0),0,SUM(_xlfn._xlws.FILTER(PrvSty[DsvValue:EXT.],(PrvSty[Project]=TEXT($B132,"@"))*(PrvSty[Row]=$E132)*(PrvSty[Column]=UPPER(AM$114)),0)))</f>
        <v>0</v>
      </c>
      <c r="AO132" s="157" cm="1">
        <f t="array" aca="1" ref="AO132" ca="1">IF(OR($E132="X",$E132="",$E132=0,$B132="X",$B132="",$B132=0),0,SUM(_xlfn._xlws.FILTER(PrvSty[DsvValue:SERRA],(PrvSty[Project]=TEXT($B132,"@"))*(PrvSty[Row]=$E132)*(PrvSty[Column]=UPPER(AO$114)),0)))</f>
        <v>0</v>
      </c>
      <c r="AP132" s="157" cm="1">
        <f t="array" aca="1" ref="AP132" ca="1">IF(OR($E132="X",$E132="",$E132=0,$B132="X",$B132="",$B132=0),0,SUM(_xlfn._xlws.FILTER(PrvSty[DsvValue:EXT.],(PrvSty[Project]=TEXT($B132,"@"))*(PrvSty[Row]=$E132)*(PrvSty[Column]=UPPER(AO$114)),0)))</f>
        <v>0</v>
      </c>
      <c r="AQ132" s="157" cm="1">
        <f t="array" aca="1" ref="AQ132" ca="1">SUM(IF(INDIRECT($AS$115)=AQ$115,INDIRECT($AS132)))</f>
        <v>0</v>
      </c>
      <c r="AR132" s="157" cm="1">
        <f t="array" aca="1" ref="AR132" ca="1">SUM(IF(INDIRECT($AS$115)=AR$115,INDIRECT($AS132)))</f>
        <v>0</v>
      </c>
      <c r="AS132" s="286" t="str">
        <f t="shared" ca="1" si="13"/>
        <v>G132:AP132</v>
      </c>
      <c r="AT132" s="403">
        <f t="shared" ca="1" si="14"/>
        <v>0</v>
      </c>
      <c r="AV132" s="142" cm="1">
        <f t="array" aca="1" ref="AV132" ca="1">IF(AND(_xlfn.LET(_xlpm.x,SUM(ROW()),OR(AND(MATCH("SOT",$A:$A,0)&lt;_xlpm.x,MATCH("EOT",$A:$A,0)&gt;_xlpm.x),AND(MATCH("SOS",$A:$A,0)&lt;_xlpm.x,MATCH("EOS",$A:$A,0)&gt;_xlpm.x),AND(MATCH("SOR",$A:$A,0)&lt;_xlpm.x,MATCH("EOR",$A:$A,0)&gt;_xlpm.x))),INDIRECT("rc"&amp;MATCH("SCD",$1:$1,0),FALSE)="PPTO"),1,0)</f>
        <v>0</v>
      </c>
      <c r="AW132" s="142" cm="1">
        <f t="array" aca="1" ref="AW13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33" spans="2:49" outlineLevel="1">
      <c r="B133" s="156" t="str" cm="1">
        <f t="array" aca="1" ref="B133:E133" ca="1">_xlfn.LET(_xlpm.x,SUM(ROW()-MATCH("SOR",$A:$A,0)),_xlpm.y,IFERROR(_xlfn.TAKE(INDEX(_xlfn._xlws.FILTER(TbAssign[],ISNUMBER(FIND(TbAssign[Project],$C$4)),"X"),1+QUOTIENT(_xlpm.x,3),0),1,4),0),IF(MOD(_xlpm.x-1,3)=0,IF(_xlpm.y=0,"X",_xlpm.y),INDIRECT("r[-1]c#",FALSE)))</f>
        <v>31200</v>
      </c>
      <c r="C133" s="156" t="str">
        <f ca="1"/>
        <v>XD01</v>
      </c>
      <c r="D133" s="148" t="str">
        <f ca="1"/>
        <v>IMCS</v>
      </c>
      <c r="E133" s="352" t="str">
        <f ca="1"/>
        <v>DESMONTAJE</v>
      </c>
      <c r="F133" s="148" t="s">
        <v>1383</v>
      </c>
      <c r="G133" s="158" cm="1">
        <f t="array" aca="1" ref="G133" ca="1">IF(OR($E133="X",$E133="",$E133=0,$B133="X",$B133="",$B133=0),0,SUM(_xlfn._xlws.FILTER(FrmBB1[Cur],(FrmBB1[PrjId]=TEXT($B133,"@"))*(FrmBB1[Row]=$E133)*(FrmBB1[Column]=UPPER(_xlfn.LET(_xlpm.x,_xlfn.TEXTBEFORE(G$114," ("),IFERROR(_xlpm.x,G$114)))&amp;" "&amp;G$115),0)))</f>
        <v>0</v>
      </c>
      <c r="H133" s="157" cm="1">
        <f t="array" aca="1" ref="H133" ca="1">IF(OR($E133="X",$E133="",$E133=0,$B133="X",$B133="",$B133=0),0,SUM(_xlfn._xlws.FILTER(FrmBB1[Cur],(FrmBB1[PrjId]=TEXT($B133,"@"))*(FrmBB1[Row]=$E133)*(FrmBB1[Column]=UPPER(_xlfn.LET(_xlpm.x,_xlfn.TEXTBEFORE(G$114," ("),IFERROR(_xlpm.x,G$114)))&amp;" "&amp;H$115),0)))</f>
        <v>0</v>
      </c>
      <c r="I133" s="158" cm="1">
        <f t="array" aca="1" ref="I133" ca="1">IF(OR($E133="X",$E133="",$E133=0,$B133="X",$B133="",$B133=0),0,SUM(_xlfn._xlws.FILTER(FrmBB1[Cur],(FrmBB1[PrjId]=TEXT($B133,"@"))*(FrmBB1[Row]=$E133)*(FrmBB1[Column]=UPPER(_xlfn.LET(_xlpm.x,_xlfn.TEXTBEFORE(I$114," ("),IFERROR(_xlpm.x,I$114)))&amp;" "&amp;I$115),0)))</f>
        <v>0</v>
      </c>
      <c r="J133" s="157" cm="1">
        <f t="array" aca="1" ref="J133" ca="1">IF(OR($E133="X",$E133="",$E133=0,$B133="X",$B133="",$B133=0),0,SUM(_xlfn._xlws.FILTER(FrmBB1[Cur],(FrmBB1[PrjId]=TEXT($B133,"@"))*(FrmBB1[Row]=$E133)*(FrmBB1[Column]=UPPER(_xlfn.LET(_xlpm.x,_xlfn.TEXTBEFORE(I$114," ("),IFERROR(_xlpm.x,I$114)))&amp;" "&amp;J$115),0)))</f>
        <v>0</v>
      </c>
      <c r="K133" s="158" cm="1">
        <f t="array" aca="1" ref="K133" ca="1">IF(OR($E133="X",$E133="",$E133=0,$B133="X",$B133="",$B133=0),0,SUM(_xlfn._xlws.FILTER(FrmBB1[Cur],(FrmBB1[PrjId]=TEXT($B133,"@"))*(FrmBB1[Row]=$E133)*(FrmBB1[Column]=UPPER(_xlfn.LET(_xlpm.x,_xlfn.TEXTBEFORE(K$114," ("),IFERROR(_xlpm.x,K$114)))&amp;" "&amp;K$115),0)))</f>
        <v>0</v>
      </c>
      <c r="L133" s="157" cm="1">
        <f t="array" aca="1" ref="L133" ca="1">IF(OR($E133="X",$E133="",$E133=0,$B133="X",$B133="",$B133=0),0,SUM(_xlfn._xlws.FILTER(FrmBB1[Cur],(FrmBB1[PrjId]=TEXT($B133,"@"))*(FrmBB1[Row]=$E133)*(FrmBB1[Column]=UPPER(_xlfn.LET(_xlpm.x,_xlfn.TEXTBEFORE(K$114," ("),IFERROR(_xlpm.x,K$114)))&amp;" "&amp;L$115),0)))</f>
        <v>0</v>
      </c>
      <c r="M133" s="158" cm="1">
        <f t="array" aca="1" ref="M133" ca="1">IF(OR($E133="X",$E133="",$E133=0,$B133="X",$B133="",$B133=0),0,SUM(_xlfn._xlws.FILTER(FrmBB1[Cur],(FrmBB1[PrjId]=TEXT($B133,"@"))*(FrmBB1[Row]=$E133)*(FrmBB1[Column]=UPPER(_xlfn.LET(_xlpm.x,_xlfn.TEXTBEFORE(M$114," ("),IFERROR(_xlpm.x,M$114)))&amp;" "&amp;M$115),0)))</f>
        <v>0</v>
      </c>
      <c r="N133" s="157" cm="1">
        <f t="array" aca="1" ref="N133" ca="1">IF(OR($E133="X",$E133="",$E133=0,$B133="X",$B133="",$B133=0),0,SUM(_xlfn._xlws.FILTER(FrmBB1[Cur],(FrmBB1[PrjId]=TEXT($B133,"@"))*(FrmBB1[Row]=$E133)*(FrmBB1[Column]=UPPER(_xlfn.LET(_xlpm.x,_xlfn.TEXTBEFORE(M$114," ("),IFERROR(_xlpm.x,M$114)))&amp;" "&amp;N$115),0)))</f>
        <v>0</v>
      </c>
      <c r="O133" s="158" cm="1">
        <f t="array" aca="1" ref="O133" ca="1">IF(OR($E133="X",$E133="",$E133=0,$B133="X",$B133="",$B133=0),0,SUM(_xlfn._xlws.FILTER(FrmBB1[Cur],(FrmBB1[PrjId]=TEXT($B133,"@"))*(FrmBB1[Row]=$E133)*(FrmBB1[Column]=UPPER(_xlfn.LET(_xlpm.x,_xlfn.TEXTBEFORE(O$114," ("),IFERROR(_xlpm.x,O$114)))&amp;" "&amp;O$115),0)))</f>
        <v>0</v>
      </c>
      <c r="P133" s="157" cm="1">
        <f t="array" aca="1" ref="P133" ca="1">IF(OR($E133="X",$E133="",$E133=0,$B133="X",$B133="",$B133=0),0,SUM(_xlfn._xlws.FILTER(FrmBB1[Cur],(FrmBB1[PrjId]=TEXT($B133,"@"))*(FrmBB1[Row]=$E133)*(FrmBB1[Column]=UPPER(_xlfn.LET(_xlpm.x,_xlfn.TEXTBEFORE(O$114," ("),IFERROR(_xlpm.x,O$114)))&amp;" "&amp;P$115),0)))</f>
        <v>0</v>
      </c>
      <c r="Q133" s="158" cm="1">
        <f t="array" aca="1" ref="Q133" ca="1">IF(OR($E133="X",$E133="",$E133=0,$B133="X",$B133="",$B133=0),0,SUM(_xlfn._xlws.FILTER(FrmBB1[Cur],(FrmBB1[PrjId]=TEXT($B133,"@"))*(FrmBB1[Row]=$E133)*(FrmBB1[Column]=UPPER(_xlfn.LET(_xlpm.x,_xlfn.TEXTBEFORE(Q$114," ("),IFERROR(_xlpm.x,Q$114)))&amp;" "&amp;Q$115),0)))</f>
        <v>0</v>
      </c>
      <c r="R133" s="157" cm="1">
        <f t="array" aca="1" ref="R133" ca="1">IF(OR($E133="X",$E133="",$E133=0,$B133="X",$B133="",$B133=0),0,SUM(_xlfn._xlws.FILTER(FrmBB1[Cur],(FrmBB1[PrjId]=TEXT($B133,"@"))*(FrmBB1[Row]=$E133)*(FrmBB1[Column]=UPPER(_xlfn.LET(_xlpm.x,_xlfn.TEXTBEFORE(Q$114," ("),IFERROR(_xlpm.x,Q$114)))&amp;" "&amp;R$115),0)))</f>
        <v>0</v>
      </c>
      <c r="S133" s="158" cm="1">
        <f t="array" aca="1" ref="S133" ca="1">IF(OR($E133="X",$E133="",$E133=0,$B133="X",$B133="",$B133=0),0,SUM(_xlfn._xlws.FILTER(FrmBB1[Cur],(FrmBB1[PrjId]=TEXT($B133,"@"))*(FrmBB1[Row]=$E133)*(FrmBB1[Column]=UPPER(_xlfn.LET(_xlpm.x,_xlfn.TEXTBEFORE(S$114," ("),IFERROR(_xlpm.x,S$114)))&amp;" "&amp;S$115),0)))</f>
        <v>0</v>
      </c>
      <c r="T133" s="157" cm="1">
        <f t="array" aca="1" ref="T133" ca="1">IF(OR($E133="X",$E133="",$E133=0,$B133="X",$B133="",$B133=0),0,SUM(_xlfn._xlws.FILTER(FrmBB1[Cur],(FrmBB1[PrjId]=TEXT($B133,"@"))*(FrmBB1[Row]=$E133)*(FrmBB1[Column]=UPPER(_xlfn.LET(_xlpm.x,_xlfn.TEXTBEFORE(S$114," ("),IFERROR(_xlpm.x,S$114)))&amp;" "&amp;T$115),0)))</f>
        <v>0</v>
      </c>
      <c r="U133" s="158" cm="1">
        <f t="array" aca="1" ref="U133" ca="1">IF(OR($E133="X",$E133="",$E133=0,$B133="X",$B133="",$B133=0),0,SUM(_xlfn._xlws.FILTER(FrmBB1[Cur],(FrmBB1[PrjId]=TEXT($B133,"@"))*(FrmBB1[Row]=$E133)*(FrmBB1[Column]=UPPER(_xlfn.LET(_xlpm.x,_xlfn.TEXTBEFORE(U$114," ("),IFERROR(_xlpm.x,U$114)))&amp;" "&amp;U$115),0)))</f>
        <v>0</v>
      </c>
      <c r="V133" s="157" cm="1">
        <f t="array" aca="1" ref="V133" ca="1">IF(OR($E133="X",$E133="",$E133=0,$B133="X",$B133="",$B133=0),0,SUM(_xlfn._xlws.FILTER(FrmBB1[Cur],(FrmBB1[PrjId]=TEXT($B133,"@"))*(FrmBB1[Row]=$E133)*(FrmBB1[Column]=UPPER(_xlfn.LET(_xlpm.x,_xlfn.TEXTBEFORE(U$114," ("),IFERROR(_xlpm.x,U$114)))&amp;" "&amp;V$115),0)))</f>
        <v>0</v>
      </c>
      <c r="W133" s="158" cm="1">
        <f t="array" aca="1" ref="W133" ca="1">IF(OR($E133="X",$E133="",$E133=0,$B133="X",$B133="",$B133=0),0,SUM(_xlfn._xlws.FILTER(FrmBB1[Cur],(FrmBB1[PrjId]=TEXT($B133,"@"))*(FrmBB1[Row]=$E133)*(FrmBB1[Column]=UPPER(_xlfn.LET(_xlpm.x,_xlfn.TEXTBEFORE(W$114," ("),IFERROR(_xlpm.x,W$114)))&amp;" "&amp;W$115),0)))</f>
        <v>0</v>
      </c>
      <c r="X133" s="157" cm="1">
        <f t="array" aca="1" ref="X133" ca="1">IF(OR($E133="X",$E133="",$E133=0,$B133="X",$B133="",$B133=0),0,SUM(_xlfn._xlws.FILTER(FrmBB1[Cur],(FrmBB1[PrjId]=TEXT($B133,"@"))*(FrmBB1[Row]=$E133)*(FrmBB1[Column]=UPPER(_xlfn.LET(_xlpm.x,_xlfn.TEXTBEFORE(W$114," ("),IFERROR(_xlpm.x,W$114)))&amp;" "&amp;X$115),0)))</f>
        <v>10548</v>
      </c>
      <c r="Y133" s="158" cm="1">
        <f t="array" aca="1" ref="Y133" ca="1">IF(OR($E133="X",$E133="",$E133=0,$B133="X",$B133="",$B133=0),0,SUM(_xlfn._xlws.FILTER(FrmBB1[Cur],(FrmBB1[PrjId]=TEXT($B133,"@"))*(FrmBB1[Row]=$E133)*(FrmBB1[Column]=UPPER(_xlfn.LET(_xlpm.x,_xlfn.TEXTBEFORE(Y$114," ("),IFERROR(_xlpm.x,Y$114)))&amp;" "&amp;Y$115),0)))</f>
        <v>0</v>
      </c>
      <c r="Z133" s="157" cm="1">
        <f t="array" aca="1" ref="Z133" ca="1">IF(OR($E133="X",$E133="",$E133=0,$B133="X",$B133="",$B133=0),0,SUM(_xlfn._xlws.FILTER(FrmBB1[Cur],(FrmBB1[PrjId]=TEXT($B133,"@"))*(FrmBB1[Row]=$E133)*(FrmBB1[Column]=UPPER(_xlfn.LET(_xlpm.x,_xlfn.TEXTBEFORE(Y$114," ("),IFERROR(_xlpm.x,Y$114)))&amp;" "&amp;Z$115),0)))</f>
        <v>0</v>
      </c>
      <c r="AA133" s="158" cm="1">
        <f t="array" aca="1" ref="AA133" ca="1">IF(OR($E133="X",$E133="",$E133=0,$B133="X",$B133="",$B133=0),0,SUM(_xlfn._xlws.FILTER(FrmBB1[Cur],(FrmBB1[PrjId]=TEXT($B133,"@"))*(FrmBB1[Row]=$E133)*(FrmBB1[Column]=UPPER(_xlfn.LET(_xlpm.x,_xlfn.TEXTBEFORE(AA$114," ("),IFERROR(_xlpm.x,AA$114)))&amp;" "&amp;AA$115),0)))</f>
        <v>0</v>
      </c>
      <c r="AB133" s="157" cm="1">
        <f t="array" aca="1" ref="AB133" ca="1">IF(OR($E133="X",$E133="",$E133=0,$B133="X",$B133="",$B133=0),0,SUM(_xlfn._xlws.FILTER(FrmBB1[Cur],(FrmBB1[PrjId]=TEXT($B133,"@"))*(FrmBB1[Row]=$E133)*(FrmBB1[Column]=UPPER(_xlfn.LET(_xlpm.x,_xlfn.TEXTBEFORE(AA$114," ("),IFERROR(_xlpm.x,AA$114)))&amp;" "&amp;AB$115),0)))</f>
        <v>0</v>
      </c>
      <c r="AC133" s="158" cm="1">
        <f t="array" aca="1" ref="AC133" ca="1">IF(OR($E133="X",$E133="",$E133=0,$B133="X",$B133="",$B133=0),0,SUM(_xlfn._xlws.FILTER(FrmBB1[Cur],(FrmBB1[PrjId]=TEXT($B133,"@"))*(FrmBB1[Row]=$E133)*(FrmBB1[Column]=UPPER(_xlfn.LET(_xlpm.x,_xlfn.TEXTBEFORE(AC$114," ("),IFERROR(_xlpm.x,AC$114)))&amp;" "&amp;AC$115),0)))</f>
        <v>0</v>
      </c>
      <c r="AD133" s="157" cm="1">
        <f t="array" aca="1" ref="AD133" ca="1">IF(OR($E133="X",$E133="",$E133=0,$B133="X",$B133="",$B133=0),0,SUM(_xlfn._xlws.FILTER(FrmBB1[Cur],(FrmBB1[PrjId]=TEXT($B133,"@"))*(FrmBB1[Row]=$E133)*(FrmBB1[Column]=UPPER(_xlfn.LET(_xlpm.x,_xlfn.TEXTBEFORE(AC$114," ("),IFERROR(_xlpm.x,AC$114)))&amp;" "&amp;AD$115),0)))</f>
        <v>0</v>
      </c>
      <c r="AE133" s="158" cm="1">
        <f t="array" aca="1" ref="AE133" ca="1">IF(OR($E133="X",$E133="",$E133=0,$B133="X",$B133="",$B133=0),0,SUM(_xlfn._xlws.FILTER(FrmBB1[Cur],(FrmBB1[PrjId]=TEXT($B133,"@"))*(FrmBB1[Row]=$E133)*(FrmBB1[Column]=UPPER(_xlfn.LET(_xlpm.x,_xlfn.TEXTBEFORE(AE$114," ("),IFERROR(_xlpm.x,AE$114)))&amp;" "&amp;AE$115),0)))</f>
        <v>1985.44</v>
      </c>
      <c r="AF133" s="157" cm="1">
        <f t="array" aca="1" ref="AF133" ca="1">IF(OR($E133="X",$E133="",$E133=0,$B133="X",$B133="",$B133=0),0,SUM(_xlfn._xlws.FILTER(FrmBB1[Cur],(FrmBB1[PrjId]=TEXT($B133,"@"))*(FrmBB1[Row]=$E133)*(FrmBB1[Column]=UPPER(_xlfn.LET(_xlpm.x,_xlfn.TEXTBEFORE(AE$114," ("),IFERROR(_xlpm.x,AE$114)))&amp;" "&amp;AF$115),0)))</f>
        <v>0</v>
      </c>
      <c r="AG133" s="158" cm="1">
        <f t="array" aca="1" ref="AG133" ca="1">IF(OR($E133="X",$E133="",$E133=0,$B133="X",$B133="",$B133=0),0,SUM(_xlfn._xlws.FILTER(FrmBB1[Cur],(FrmBB1[PrjId]=TEXT($B133,"@"))*(FrmBB1[Row]=$E133)*(FrmBB1[Column]=UPPER(_xlfn.LET(_xlpm.x,_xlfn.TEXTBEFORE(AG$114," ("),IFERROR(_xlpm.x,AG$114)))&amp;" "&amp;AG$115),0)))</f>
        <v>0</v>
      </c>
      <c r="AH133" s="157" cm="1">
        <f t="array" aca="1" ref="AH133" ca="1">IF(OR($E133="X",$E133="",$E133=0,$B133="X",$B133="",$B133=0),0,SUM(_xlfn._xlws.FILTER(FrmBB1[Cur],(FrmBB1[PrjId]=TEXT($B133,"@"))*(FrmBB1[Row]=$E133)*(FrmBB1[Column]=UPPER(_xlfn.LET(_xlpm.x,_xlfn.TEXTBEFORE(AG$114," ("),IFERROR(_xlpm.x,AG$114)))&amp;" "&amp;AH$115),0)))</f>
        <v>0</v>
      </c>
      <c r="AI133" s="158" cm="1">
        <f t="array" aca="1" ref="AI133" ca="1">IF(OR($E133="X",$E133="",$E133=0,$B133="X",$B133="",$B133=0),0,SUM(_xlfn._xlws.FILTER(FrmBB1[Cur],(FrmBB1[PrjId]=TEXT($B133,"@"))*(FrmBB1[Row]=$E133)*(FrmBB1[Column]=UPPER(_xlfn.LET(_xlpm.x,_xlfn.TEXTBEFORE(AI$114," ("),IFERROR(_xlpm.x,AI$114)))&amp;" "&amp;AI$115),0)))</f>
        <v>0</v>
      </c>
      <c r="AJ133" s="157" cm="1">
        <f t="array" aca="1" ref="AJ133" ca="1">IF(OR($E133="X",$E133="",$E133=0,$B133="X",$B133="",$B133=0),0,SUM(_xlfn._xlws.FILTER(FrmBB1[Cur],(FrmBB1[PrjId]=TEXT($B133,"@"))*(FrmBB1[Row]=$E133)*(FrmBB1[Column]=UPPER(_xlfn.LET(_xlpm.x,_xlfn.TEXTBEFORE(AI$114," ("),IFERROR(_xlpm.x,AI$114)))&amp;" "&amp;AJ$115),0)))</f>
        <v>0</v>
      </c>
      <c r="AK133" s="158" cm="1">
        <f t="array" aca="1" ref="AK133" ca="1">IF(OR($E133="X",$E133="",$E133=0,$B133="X",$B133="",$B133=0),0,SUM(_xlfn._xlws.FILTER(FrmBB1[Cur],(FrmBB1[PrjId]=TEXT($B133,"@"))*(FrmBB1[Row]=$E133)*(FrmBB1[Column]=UPPER(_xlfn.LET(_xlpm.x,_xlfn.TEXTBEFORE(AK$114," ("),IFERROR(_xlpm.x,AK$114)))&amp;" "&amp;AK$115),0)))</f>
        <v>0</v>
      </c>
      <c r="AL133" s="157" cm="1">
        <f t="array" aca="1" ref="AL133" ca="1">IF(OR($E133="X",$E133="",$E133=0,$B133="X",$B133="",$B133=0),0,SUM(_xlfn._xlws.FILTER(FrmBB1[Cur],(FrmBB1[PrjId]=TEXT($B133,"@"))*(FrmBB1[Row]=$E133)*(FrmBB1[Column]=UPPER(_xlfn.LET(_xlpm.x,_xlfn.TEXTBEFORE(AK$114," ("),IFERROR(_xlpm.x,AK$114)))&amp;" "&amp;AL$115),0)))</f>
        <v>0</v>
      </c>
      <c r="AM133" s="158" cm="1">
        <f t="array" aca="1" ref="AM133" ca="1">IF(OR($E133="X",$E133="",$E133=0,$B133="X",$B133="",$B133=0),0,SUM(_xlfn._xlws.FILTER(FrmBB1[Cur],(FrmBB1[PrjId]=TEXT($B133,"@"))*(FrmBB1[Row]=$E133)*(FrmBB1[Column]=UPPER(_xlfn.LET(_xlpm.x,_xlfn.TEXTBEFORE(AM$114," ("),IFERROR(_xlpm.x,AM$114)))&amp;" "&amp;AM$115),0)))</f>
        <v>0</v>
      </c>
      <c r="AN133" s="157" cm="1">
        <f t="array" aca="1" ref="AN133" ca="1">IF(OR($E133="X",$E133="",$E133=0,$B133="X",$B133="",$B133=0),0,SUM(_xlfn._xlws.FILTER(FrmBB1[Cur],(FrmBB1[PrjId]=TEXT($B133,"@"))*(FrmBB1[Row]=$E133)*(FrmBB1[Column]=UPPER(_xlfn.LET(_xlpm.x,_xlfn.TEXTBEFORE(AM$114," ("),IFERROR(_xlpm.x,AM$114)))&amp;" "&amp;AN$115),0)))</f>
        <v>0</v>
      </c>
      <c r="AO133" s="158" cm="1">
        <f t="array" aca="1" ref="AO133" ca="1">IF(OR($E133="X",$E133="",$E133=0,$B133="X",$B133="",$B133=0),0,SUM(_xlfn._xlws.FILTER(FrmBB1[Cur],(FrmBB1[PrjId]=TEXT($B133,"@"))*(FrmBB1[Row]=$E133)*(FrmBB1[Column]=UPPER(_xlfn.LET(_xlpm.x,_xlfn.TEXTBEFORE(AO$114," ("),IFERROR(_xlpm.x,AO$114)))&amp;" "&amp;AO$115),0)))</f>
        <v>0</v>
      </c>
      <c r="AP133" s="157" cm="1">
        <f t="array" aca="1" ref="AP133" ca="1">IF(OR($E133="X",$E133="",$E133=0,$B133="X",$B133="",$B133=0),0,SUM(_xlfn._xlws.FILTER(FrmBB1[Cur],(FrmBB1[PrjId]=TEXT($B133,"@"))*(FrmBB1[Row]=$E133)*(FrmBB1[Column]=UPPER(_xlfn.LET(_xlpm.x,_xlfn.TEXTBEFORE(AO$114," ("),IFERROR(_xlpm.x,AO$114)))&amp;" "&amp;AP$115),0)))</f>
        <v>0</v>
      </c>
      <c r="AQ133" s="157" cm="1">
        <f t="array" aca="1" ref="AQ133" ca="1">SUM(IF(INDIRECT($AS$115)=AQ$115,INDIRECT($AS133)))</f>
        <v>1985.44</v>
      </c>
      <c r="AR133" s="157" cm="1">
        <f t="array" aca="1" ref="AR133" ca="1">SUM(IF(INDIRECT($AS$115)=AR$115,INDIRECT($AS133)))</f>
        <v>10548</v>
      </c>
      <c r="AS133" s="286" t="str">
        <f t="shared" ca="1" si="13"/>
        <v>G133:AP133</v>
      </c>
      <c r="AT133" s="355">
        <f t="shared" ca="1" si="14"/>
        <v>12533.44</v>
      </c>
      <c r="AV133" s="142" cm="1">
        <f t="array" aca="1" ref="AV133" ca="1">IF(AND(_xlfn.LET(_xlpm.x,SUM(ROW()),OR(AND(MATCH("SOT",$A:$A,0)&lt;_xlpm.x,MATCH("EOT",$A:$A,0)&gt;_xlpm.x),AND(MATCH("SOS",$A:$A,0)&lt;_xlpm.x,MATCH("EOS",$A:$A,0)&gt;_xlpm.x),AND(MATCH("SOR",$A:$A,0)&lt;_xlpm.x,MATCH("EOR",$A:$A,0)&gt;_xlpm.x))),INDIRECT("rc"&amp;MATCH("SCD",$1:$1,0),FALSE)="PPTO"),1,0)</f>
        <v>0</v>
      </c>
      <c r="AW133" s="142" cm="1">
        <f t="array" aca="1" ref="AW13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34" spans="2:49" outlineLevel="1">
      <c r="B134" s="156" t="str" cm="1">
        <f t="array" aca="1" ref="B134:E134" ca="1">_xlfn.LET(_xlpm.x,SUM(ROW()-MATCH("SOR",$A:$A,0)),_xlpm.y,IFERROR(_xlfn.TAKE(INDEX(_xlfn._xlws.FILTER(TbAssign[],ISNUMBER(FIND(TbAssign[Project],$C$4)),"X"),1+QUOTIENT(_xlpm.x,3),0),1,4),0),IF(MOD(_xlpm.x-1,3)=0,IF(_xlpm.y=0,"X",_xlpm.y),INDIRECT("r[-1]c#",FALSE)))</f>
        <v>31200</v>
      </c>
      <c r="C134" s="156" t="str">
        <f ca="1"/>
        <v>XE01</v>
      </c>
      <c r="D134" s="148" t="str">
        <f ca="1"/>
        <v>PMXP</v>
      </c>
      <c r="E134" s="352" t="str">
        <f ca="1"/>
        <v>PUESTA EN MARCHA EN PLANTA</v>
      </c>
      <c r="F134" s="148" t="s">
        <v>397</v>
      </c>
      <c r="G134" s="157" cm="1">
        <f t="array" aca="1" ref="G134" ca="1">IF(OR($E134="X",$E134="",$E134=0,$B134="X",$B134="",$B134=0),0,SUM(_xlfn._xlws.FILTER(IF($E$4="Ppto",PptoSty[CurPpto],PptoSty[CurInt]),(IF($E$4="Ppto",PptoSty[POvsCT]=G$113,TRUE))*(PptoSty[Project]=TEXT($B134,"@"))*(PptoSty[PptoVsRow]=$E134)*(PptoSty[PptoVsColumn]=UPPER(G$114)),0)))</f>
        <v>20577.269987999996</v>
      </c>
      <c r="H134" s="157" cm="1">
        <f t="array" aca="1" ref="H134" ca="1">IF(OR($E134="X",$E134="",$E134=0,$B134="X",$B134="",$B134=0),0,SUM(_xlfn._xlws.FILTER(IF($E$4="Ppto",PptoSty[CurPpto],PptoSty[CurExt]),(IF($E$4="Ppto",PptoSty[POvsCT]=H$113,TRUE))*(PptoSty[Project]=TEXT($B134,"@"))*(PptoSty[PptoVsRow]=$E134)*(PptoSty[PptoVsColumn]=UPPER(G$114)),0)))</f>
        <v>0</v>
      </c>
      <c r="I134" s="157" cm="1">
        <f t="array" aca="1" ref="I134" ca="1">IF(OR($E134="X",$E134="",$E134=0,$B134="X",$B134="",$B134=0),0,SUM(_xlfn._xlws.FILTER(IF($E$4="Ppto",PptoSty[CurPpto],PptoSty[CurInt]),(IF($E$4="Ppto",PptoSty[POvsCT]=I$113,TRUE))*(PptoSty[Project]=TEXT($B134,"@"))*(PptoSty[PptoVsRow]=$E134)*(PptoSty[PptoVsColumn]=UPPER(I$114)),0)))</f>
        <v>0</v>
      </c>
      <c r="J134" s="157" cm="1">
        <f t="array" aca="1" ref="J134" ca="1">IF(OR($E134="X",$E134="",$E134=0,$B134="X",$B134="",$B134=0),0,SUM(_xlfn._xlws.FILTER(IF($E$4="Ppto",PptoSty[CurPpto],PptoSty[CurExt]),(IF($E$4="Ppto",PptoSty[POvsCT]=J$113,TRUE))*(PptoSty[Project]=TEXT($B134,"@"))*(PptoSty[PptoVsRow]=$E134)*(PptoSty[PptoVsColumn]=UPPER(I$114)),0)))</f>
        <v>0</v>
      </c>
      <c r="K134" s="157" cm="1">
        <f t="array" aca="1" ref="K134" ca="1">IF(OR($E134="X",$E134="",$E134=0,$B134="X",$B134="",$B134=0),0,SUM(_xlfn._xlws.FILTER(IF($E$4="Ppto",PptoSty[CurPpto],PptoSty[CurInt]),(IF($E$4="Ppto",PptoSty[POvsCT]=K$113,TRUE))*(PptoSty[Project]=TEXT($B134,"@"))*(PptoSty[PptoVsRow]=$E134)*(PptoSty[PptoVsColumn]=UPPER(K$114)),0)))</f>
        <v>0</v>
      </c>
      <c r="L134" s="157" cm="1">
        <f t="array" aca="1" ref="L134" ca="1">IF(OR($E134="X",$E134="",$E134=0,$B134="X",$B134="",$B134=0),0,SUM(_xlfn._xlws.FILTER(IF($E$4="Ppto",PptoSty[CurPpto],PptoSty[CurExt]),(IF($E$4="Ppto",PptoSty[POvsCT]=L$113,TRUE))*(PptoSty[Project]=TEXT($B134,"@"))*(PptoSty[PptoVsRow]=$E134)*(PptoSty[PptoVsColumn]=UPPER(K$114)),0)))</f>
        <v>0</v>
      </c>
      <c r="M134" s="157" cm="1">
        <f t="array" aca="1" ref="M134" ca="1">IF(OR($E134="X",$E134="",$E134=0,$B134="X",$B134="",$B134=0),0,SUM(_xlfn._xlws.FILTER(IF($E$4="Ppto",PptoSty[CurPpto],PptoSty[CurInt]),(IF($E$4="Ppto",PptoSty[POvsCT]=M$113,TRUE))*(PptoSty[Project]=TEXT($B134,"@"))*(PptoSty[PptoVsRow]=$E134)*(PptoSty[PptoVsColumn]=UPPER(M$114)),0)))</f>
        <v>0</v>
      </c>
      <c r="N134" s="157" cm="1">
        <f t="array" aca="1" ref="N134" ca="1">IF(OR($E134="X",$E134="",$E134=0,$B134="X",$B134="",$B134=0),0,SUM(_xlfn._xlws.FILTER(IF($E$4="Ppto",PptoSty[CurPpto],PptoSty[CurExt]),(IF($E$4="Ppto",PptoSty[POvsCT]=N$113,TRUE))*(PptoSty[Project]=TEXT($B134,"@"))*(PptoSty[PptoVsRow]=$E134)*(PptoSty[PptoVsColumn]=UPPER(M$114)),0)))</f>
        <v>0</v>
      </c>
      <c r="O134" s="157" cm="1">
        <f t="array" aca="1" ref="O134" ca="1">IF(OR($E134="X",$E134="",$E134=0,$B134="X",$B134="",$B134=0),0,SUM(_xlfn._xlws.FILTER(IF($E$4="Ppto",PptoSty[CurPpto],PptoSty[CurInt]),(IF($E$4="Ppto",PptoSty[POvsCT]=O$113,TRUE))*(PptoSty[Project]=TEXT($B134,"@"))*(PptoSty[PptoVsRow]=$E134)*(PptoSty[PptoVsColumn]=UPPER(O$114)),0)))</f>
        <v>39223.037369999998</v>
      </c>
      <c r="P134" s="157" cm="1">
        <f t="array" aca="1" ref="P134" ca="1">IF(OR($E134="X",$E134="",$E134=0,$B134="X",$B134="",$B134=0),0,SUM(_xlfn._xlws.FILTER(IF($E$4="Ppto",PptoSty[CurPpto],PptoSty[CurExt]),(IF($E$4="Ppto",PptoSty[POvsCT]=P$113,TRUE))*(PptoSty[Project]=TEXT($B134,"@"))*(PptoSty[PptoVsRow]=$E134)*(PptoSty[PptoVsColumn]=UPPER(O$114)),0)))</f>
        <v>42777.881729999994</v>
      </c>
      <c r="Q134" s="157" cm="1">
        <f t="array" aca="1" ref="Q134" ca="1">IF(OR($E134="X",$E134="",$E134=0,$B134="X",$B134="",$B134=0),0,SUM(_xlfn._xlws.FILTER(IF($E$4="Ppto",PptoSty[CurPpto],PptoSty[CurInt]),(IF($E$4="Ppto",PptoSty[POvsCT]=Q$113,TRUE))*(PptoSty[Project]=TEXT($B134,"@"))*(PptoSty[PptoVsRow]=$E134)*(PptoSty[PptoVsColumn]=UPPER(Q$114)),0)))</f>
        <v>0</v>
      </c>
      <c r="R134" s="157" cm="1">
        <f t="array" aca="1" ref="R134" ca="1">IF(OR($E134="X",$E134="",$E134=0,$B134="X",$B134="",$B134=0),0,SUM(_xlfn._xlws.FILTER(IF($E$4="Ppto",PptoSty[CurPpto],PptoSty[CurExt]),(IF($E$4="Ppto",PptoSty[POvsCT]=R$113,TRUE))*(PptoSty[Project]=TEXT($B134,"@"))*(PptoSty[PptoVsRow]=$E134)*(PptoSty[PptoVsColumn]=UPPER(Q$114)),0)))</f>
        <v>0</v>
      </c>
      <c r="S134" s="157" cm="1">
        <f t="array" aca="1" ref="S134" ca="1">IF(OR($E134="X",$E134="",$E134=0,$B134="X",$B134="",$B134=0),0,SUM(_xlfn._xlws.FILTER(IF($E$4="Ppto",PptoSty[CurPpto],PptoSty[CurInt]),(IF($E$4="Ppto",PptoSty[POvsCT]=S$113,TRUE))*(PptoSty[Project]=TEXT($B134,"@"))*(PptoSty[PptoVsRow]=$E134)*(PptoSty[PptoVsColumn]=UPPER(S$114)),0)))</f>
        <v>67327.769740800009</v>
      </c>
      <c r="T134" s="157" cm="1">
        <f t="array" aca="1" ref="T134" ca="1">IF(OR($E134="X",$E134="",$E134=0,$B134="X",$B134="",$B134=0),0,SUM(_xlfn._xlws.FILTER(IF($E$4="Ppto",PptoSty[CurPpto],PptoSty[CurExt]),(IF($E$4="Ppto",PptoSty[POvsCT]=T$113,TRUE))*(PptoSty[Project]=TEXT($B134,"@"))*(PptoSty[PptoVsRow]=$E134)*(PptoSty[PptoVsColumn]=UPPER(S$114)),0)))</f>
        <v>118061.58715919999</v>
      </c>
      <c r="U134" s="157" cm="1">
        <f t="array" aca="1" ref="U134" ca="1">IF(OR($E134="X",$E134="",$E134=0,$B134="X",$B134="",$B134=0),0,SUM(_xlfn._xlws.FILTER(IF($E$4="Ppto",PptoSty[CurPpto],PptoSty[CurInt]),(IF($E$4="Ppto",PptoSty[POvsCT]=U$113,TRUE))*(PptoSty[Project]=TEXT($B134,"@"))*(PptoSty[PptoVsRow]=$E134)*(PptoSty[PptoVsColumn]=UPPER(U$114)),0)))</f>
        <v>0</v>
      </c>
      <c r="V134" s="157" cm="1">
        <f t="array" aca="1" ref="V134" ca="1">IF(OR($E134="X",$E134="",$E134=0,$B134="X",$B134="",$B134=0),0,SUM(_xlfn._xlws.FILTER(IF($E$4="Ppto",PptoSty[CurPpto],PptoSty[CurExt]),(IF($E$4="Ppto",PptoSty[POvsCT]=V$113,TRUE))*(PptoSty[Project]=TEXT($B134,"@"))*(PptoSty[PptoVsRow]=$E134)*(PptoSty[PptoVsColumn]=UPPER(U$114)),0)))</f>
        <v>0</v>
      </c>
      <c r="W134" s="157" cm="1">
        <f t="array" aca="1" ref="W134" ca="1">IF(OR($E134="X",$E134="",$E134=0,$B134="X",$B134="",$B134=0),0,SUM(_xlfn._xlws.FILTER(IF($E$4="Ppto",PptoSty[CurPpto],PptoSty[CurInt]),(IF($E$4="Ppto",PptoSty[POvsCT]=W$113,TRUE))*(PptoSty[Project]=TEXT($B134,"@"))*(PptoSty[PptoVsRow]=$E134)*(PptoSty[PptoVsColumn]=UPPER(W$114)),0)))</f>
        <v>16628.393294999998</v>
      </c>
      <c r="X134" s="157" cm="1">
        <f t="array" aca="1" ref="X134" ca="1">IF(OR($E134="X",$E134="",$E134=0,$B134="X",$B134="",$B134=0),0,SUM(_xlfn._xlws.FILTER(IF($E$4="Ppto",PptoSty[CurPpto],PptoSty[CurExt]),(IF($E$4="Ppto",PptoSty[POvsCT]=X$113,TRUE))*(PptoSty[Project]=TEXT($B134,"@"))*(PptoSty[PptoVsRow]=$E134)*(PptoSty[PptoVsColumn]=UPPER(W$114)),0)))</f>
        <v>36895.040280000001</v>
      </c>
      <c r="Y134" s="157" cm="1">
        <f t="array" aca="1" ref="Y134" ca="1">IF(OR($E134="X",$E134="",$E134=0,$B134="X",$B134="",$B134=0),0,SUM(_xlfn._xlws.FILTER(IF($E$4="Ppto",PptoSty[CurPpto],PptoSty[CurInt]),(IF($E$4="Ppto",PptoSty[POvsCT]=Y$113,TRUE))*(PptoSty[Project]=TEXT($B134,"@"))*(PptoSty[PptoVsRow]=$E134)*(PptoSty[PptoVsColumn]=UPPER(Y$114)),0)))</f>
        <v>0</v>
      </c>
      <c r="Z134" s="157" cm="1">
        <f t="array" aca="1" ref="Z134" ca="1">IF(OR($E134="X",$E134="",$E134=0,$B134="X",$B134="",$B134=0),0,SUM(_xlfn._xlws.FILTER(IF($E$4="Ppto",PptoSty[CurPpto],PptoSty[CurExt]),(IF($E$4="Ppto",PptoSty[POvsCT]=Z$113,TRUE))*(PptoSty[Project]=TEXT($B134,"@"))*(PptoSty[PptoVsRow]=$E134)*(PptoSty[PptoVsColumn]=UPPER(Y$114)),0)))</f>
        <v>0</v>
      </c>
      <c r="AA134" s="157" cm="1">
        <f t="array" aca="1" ref="AA134" ca="1">IF(OR($E134="X",$E134="",$E134=0,$B134="X",$B134="",$B134=0),0,SUM(_xlfn._xlws.FILTER(IF($E$4="Ppto",PptoSty[CurPpto],PptoSty[CurInt]),(IF($E$4="Ppto",PptoSty[POvsCT]=AA$113,TRUE))*(PptoSty[Project]=TEXT($B134,"@"))*(PptoSty[PptoVsRow]=$E134)*(PptoSty[PptoVsColumn]=UPPER(AA$114)),0)))</f>
        <v>0</v>
      </c>
      <c r="AB134" s="157" cm="1">
        <f t="array" aca="1" ref="AB134" ca="1">IF(OR($E134="X",$E134="",$E134=0,$B134="X",$B134="",$B134=0),0,SUM(_xlfn._xlws.FILTER(IF($E$4="Ppto",PptoSty[CurPpto],PptoSty[CurExt]),(IF($E$4="Ppto",PptoSty[POvsCT]=AB$113,TRUE))*(PptoSty[Project]=TEXT($B134,"@"))*(PptoSty[PptoVsRow]=$E134)*(PptoSty[PptoVsColumn]=UPPER(AA$114)),0)))</f>
        <v>0</v>
      </c>
      <c r="AC134" s="157" cm="1">
        <f t="array" aca="1" ref="AC134" ca="1">IF(OR($E134="X",$E134="",$E134=0,$B134="X",$B134="",$B134=0),0,SUM(_xlfn._xlws.FILTER(IF($E$4="Ppto",PptoSty[CurPpto],PptoSty[CurInt]),(IF($E$4="Ppto",PptoSty[POvsCT]=AC$113,TRUE))*(PptoSty[Project]=TEXT($B134,"@"))*(PptoSty[PptoVsRow]=$E134)*(PptoSty[PptoVsColumn]=UPPER(AC$114)),0)))</f>
        <v>0</v>
      </c>
      <c r="AD134" s="157" cm="1">
        <f t="array" aca="1" ref="AD134" ca="1">IF(OR($E134="X",$E134="",$E134=0,$B134="X",$B134="",$B134=0),0,SUM(_xlfn._xlws.FILTER(IF($E$4="Ppto",PptoSty[CurPpto],PptoSty[CurExt]),(IF($E$4="Ppto",PptoSty[POvsCT]=AD$113,TRUE))*(PptoSty[Project]=TEXT($B134,"@"))*(PptoSty[PptoVsRow]=$E134)*(PptoSty[PptoVsColumn]=UPPER(AC$114)),0)))</f>
        <v>0</v>
      </c>
      <c r="AE134" s="157" cm="1">
        <f t="array" aca="1" ref="AE134" ca="1">IF(OR($E134="X",$E134="",$E134=0,$B134="X",$B134="",$B134=0),0,SUM(_xlfn._xlws.FILTER(IF($E$4="Ppto",PptoSty[CurPpto],PptoSty[CurInt]),(IF($E$4="Ppto",PptoSty[POvsCT]=AE$113,TRUE))*(PptoSty[Project]=TEXT($B134,"@"))*(PptoSty[PptoVsRow]=$E134)*(PptoSty[PptoVsColumn]=UPPER(AE$114)),0)))</f>
        <v>0</v>
      </c>
      <c r="AF134" s="157" cm="1">
        <f t="array" aca="1" ref="AF134" ca="1">IF(OR($E134="X",$E134="",$E134=0,$B134="X",$B134="",$B134=0),0,SUM(_xlfn._xlws.FILTER(IF($E$4="Ppto",PptoSty[CurPpto],PptoSty[CurExt]),(IF($E$4="Ppto",PptoSty[POvsCT]=AF$113,TRUE))*(PptoSty[Project]=TEXT($B134,"@"))*(PptoSty[PptoVsRow]=$E134)*(PptoSty[PptoVsColumn]=UPPER(AE$114)),0)))</f>
        <v>0</v>
      </c>
      <c r="AG134" s="157" cm="1">
        <f t="array" aca="1" ref="AG134" ca="1">IF(OR($E134="X",$E134="",$E134=0,$B134="X",$B134="",$B134=0),0,SUM(_xlfn._xlws.FILTER(IF($E$4="Ppto",PptoSty[CurPpto],PptoSty[CurInt]),(IF($E$4="Ppto",PptoSty[POvsCT]=AG$113,TRUE))*(PptoSty[Project]=TEXT($B134,"@"))*(PptoSty[PptoVsRow]=$E134)*(PptoSty[PptoVsColumn]=UPPER(AG$114)),0)))</f>
        <v>0</v>
      </c>
      <c r="AH134" s="157" cm="1">
        <f t="array" aca="1" ref="AH134" ca="1">IF(OR($E134="X",$E134="",$E134=0,$B134="X",$B134="",$B134=0),0,SUM(_xlfn._xlws.FILTER(IF($E$4="Ppto",PptoSty[CurPpto],PptoSty[CurExt]),(IF($E$4="Ppto",PptoSty[POvsCT]=AH$113,TRUE))*(PptoSty[Project]=TEXT($B134,"@"))*(PptoSty[PptoVsRow]=$E134)*(PptoSty[PptoVsColumn]=UPPER(AG$114)),0)))</f>
        <v>0</v>
      </c>
      <c r="AI134" s="157" cm="1">
        <f t="array" aca="1" ref="AI134" ca="1">IF(OR($E134="X",$E134="",$E134=0,$B134="X",$B134="",$B134=0),0,SUM(_xlfn._xlws.FILTER(IF($E$4="Ppto",PptoSty[CurPpto],PptoSty[CurInt]),(IF($E$4="Ppto",PptoSty[POvsCT]=AI$113,TRUE))*(PptoSty[Project]=TEXT($B134,"@"))*(PptoSty[PptoVsRow]=$E134)*(PptoSty[PptoVsColumn]=UPPER(AI$114)),0)))</f>
        <v>0</v>
      </c>
      <c r="AJ134" s="157" cm="1">
        <f t="array" aca="1" ref="AJ134" ca="1">IF(OR($E134="X",$E134="",$E134=0,$B134="X",$B134="",$B134=0),0,SUM(_xlfn._xlws.FILTER(IF($E$4="Ppto",PptoSty[CurPpto],PptoSty[CurExt]),(IF($E$4="Ppto",PptoSty[POvsCT]=AJ$113,TRUE))*(PptoSty[Project]=TEXT($B134,"@"))*(PptoSty[PptoVsRow]=$E134)*(PptoSty[PptoVsColumn]=UPPER(AI$114)),0)))</f>
        <v>0</v>
      </c>
      <c r="AK134" s="157" cm="1">
        <f t="array" aca="1" ref="AK134" ca="1">IF(OR($E134="X",$E134="",$E134=0,$B134="X",$B134="",$B134=0),0,SUM(_xlfn._xlws.FILTER(IF($E$4="Ppto",PptoSty[CurPpto],PptoSty[CurInt]),(IF($E$4="Ppto",PptoSty[POvsCT]=AK$113,TRUE))*(PptoSty[Project]=TEXT($B134,"@"))*(PptoSty[PptoVsRow]=$E134)*(PptoSty[PptoVsColumn]=UPPER(AK$114)),0)))</f>
        <v>0</v>
      </c>
      <c r="AL134" s="157" cm="1">
        <f t="array" aca="1" ref="AL134" ca="1">IF(OR($E134="X",$E134="",$E134=0,$B134="X",$B134="",$B134=0),0,SUM(_xlfn._xlws.FILTER(IF($E$4="Ppto",PptoSty[CurPpto],PptoSty[CurExt]),(IF($E$4="Ppto",PptoSty[POvsCT]=AL$113,TRUE))*(PptoSty[Project]=TEXT($B134,"@"))*(PptoSty[PptoVsRow]=$E134)*(PptoSty[PptoVsColumn]=UPPER(AK$114)),0)))</f>
        <v>0</v>
      </c>
      <c r="AM134" s="157" cm="1">
        <f t="array" aca="1" ref="AM134" ca="1">IF(OR($E134="X",$E134="",$E134=0,$B134="X",$B134="",$B134=0),0,SUM(_xlfn._xlws.FILTER(IF($E$4="Ppto",PptoSty[CurPpto],PptoSty[CurInt]),(IF($E$4="Ppto",PptoSty[POvsCT]=AM$113,TRUE))*(PptoSty[Project]=TEXT($B134,"@"))*(PptoSty[PptoVsRow]=$E134)*(PptoSty[PptoVsColumn]=UPPER(AM$114)),0)))</f>
        <v>0</v>
      </c>
      <c r="AN134" s="157" cm="1">
        <f t="array" aca="1" ref="AN134" ca="1">IF(OR($E134="X",$E134="",$E134=0,$B134="X",$B134="",$B134=0),0,SUM(_xlfn._xlws.FILTER(IF($E$4="Ppto",PptoSty[CurPpto],PptoSty[CurExt]),(IF($E$4="Ppto",PptoSty[POvsCT]=AN$113,TRUE))*(PptoSty[Project]=TEXT($B134,"@"))*(PptoSty[PptoVsRow]=$E134)*(PptoSty[PptoVsColumn]=UPPER(AM$114)),0)))</f>
        <v>0</v>
      </c>
      <c r="AO134" s="157" cm="1">
        <f t="array" aca="1" ref="AO134" ca="1">IF(OR($E134="X",$E134="",$E134=0,$B134="X",$B134="",$B134=0),0,SUM(_xlfn._xlws.FILTER(IF($E$4="Ppto",PptoSty[CurPpto],PptoSty[CurInt]),(IF($E$4="Ppto",PptoSty[POvsCT]=AO$113,TRUE))*(PptoSty[Project]=TEXT($B134,"@"))*(PptoSty[PptoVsRow]=$E134)*(PptoSty[PptoVsColumn]=UPPER(AO$114)),0)))</f>
        <v>0</v>
      </c>
      <c r="AP134" s="157" cm="1">
        <f t="array" aca="1" ref="AP134" ca="1">IF(OR($E134="X",$E134="",$E134=0,$B134="X",$B134="",$B134=0),0,SUM(_xlfn._xlws.FILTER(IF($E$4="Ppto",PptoSty[CurPpto],PptoSty[CurExt]),(IF($E$4="Ppto",PptoSty[POvsCT]=AP$113,TRUE))*(PptoSty[Project]=TEXT($B134,"@"))*(PptoSty[PptoVsRow]=$E134)*(PptoSty[PptoVsColumn]=UPPER(AO$114)),0)))</f>
        <v>0</v>
      </c>
      <c r="AQ134" s="157" cm="1">
        <f t="array" aca="1" ref="AQ134" ca="1">SUM(IF(INDIRECT($AS$115)=AQ$115,INDIRECT($AS134)))</f>
        <v>143756.4703938</v>
      </c>
      <c r="AR134" s="157" cm="1">
        <f t="array" aca="1" ref="AR134" ca="1">SUM(IF(INDIRECT($AS$115)=AR$115,INDIRECT($AS134)))</f>
        <v>197734.50916919997</v>
      </c>
      <c r="AS134" s="286" t="str">
        <f t="shared" ca="1" si="13"/>
        <v>G134:AP134</v>
      </c>
      <c r="AT134" s="403">
        <f t="shared" ca="1" si="14"/>
        <v>341490.97956299997</v>
      </c>
      <c r="AV134" s="142" cm="1">
        <f t="array" aca="1" ref="AV134" ca="1">IF(AND(_xlfn.LET(_xlpm.x,SUM(ROW()),OR(AND(MATCH("SOT",$A:$A,0)&lt;_xlpm.x,MATCH("EOT",$A:$A,0)&gt;_xlpm.x),AND(MATCH("SOS",$A:$A,0)&lt;_xlpm.x,MATCH("EOS",$A:$A,0)&gt;_xlpm.x),AND(MATCH("SOR",$A:$A,0)&lt;_xlpm.x,MATCH("EOR",$A:$A,0)&gt;_xlpm.x))),INDIRECT("rc"&amp;MATCH("SCD",$1:$1,0),FALSE)="PPTO"),1,0)</f>
        <v>1</v>
      </c>
      <c r="AW134" s="142" cm="1">
        <f t="array" aca="1" ref="AW13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35" spans="2:49" outlineLevel="1">
      <c r="B135" s="156" t="str" cm="1">
        <f t="array" aca="1" ref="B135:E135" ca="1">_xlfn.LET(_xlpm.x,SUM(ROW()-MATCH("SOR",$A:$A,0)),_xlpm.y,IFERROR(_xlfn.TAKE(INDEX(_xlfn._xlws.FILTER(TbAssign[],ISNUMBER(FIND(TbAssign[Project],$C$4)),"X"),1+QUOTIENT(_xlpm.x,3),0),1,4),0),IF(MOD(_xlpm.x-1,3)=0,IF(_xlpm.y=0,"X",_xlpm.y),INDIRECT("r[-1]c#",FALSE)))</f>
        <v>31200</v>
      </c>
      <c r="C135" s="156" t="str">
        <f ca="1"/>
        <v>XE01</v>
      </c>
      <c r="D135" s="148" t="str">
        <f ca="1"/>
        <v>PMXP</v>
      </c>
      <c r="E135" s="352" t="str">
        <f ca="1"/>
        <v>PUESTA EN MARCHA EN PLANTA</v>
      </c>
      <c r="F135" s="148" t="s">
        <v>1382</v>
      </c>
      <c r="G135" s="157" cm="1">
        <f t="array" aca="1" ref="G135" ca="1">IF(OR($E135="X",$E135="",$E135=0,$B135="X",$B135="",$B135=0),0,SUM(_xlfn._xlws.FILTER(PrvSty[DsvValue:SERRA],(PrvSty[Project]=TEXT($B135,"@"))*(PrvSty[Row]=$E135)*(PrvSty[Column]=UPPER(G$114)),0)))</f>
        <v>15000</v>
      </c>
      <c r="H135" s="157" cm="1">
        <f t="array" aca="1" ref="H135" ca="1">IF(OR($E135="X",$E135="",$E135=0,$B135="X",$B135="",$B135=0),0,SUM(_xlfn._xlws.FILTER(PrvSty[DsvValue:EXT.],(PrvSty[Project]=TEXT($B135,"@"))*(PrvSty[Row]=$E135)*(PrvSty[Column]=UPPER(G$114)),0)))</f>
        <v>0</v>
      </c>
      <c r="I135" s="157" cm="1">
        <f t="array" aca="1" ref="I135" ca="1">IF(OR($E135="X",$E135="",$E135=0,$B135="X",$B135="",$B135=0),0,SUM(_xlfn._xlws.FILTER(PrvSty[DsvValue:SERRA],(PrvSty[Project]=TEXT($B135,"@"))*(PrvSty[Row]=$E135)*(PrvSty[Column]=UPPER(I$114)),0)))</f>
        <v>0</v>
      </c>
      <c r="J135" s="157" cm="1">
        <f t="array" aca="1" ref="J135" ca="1">IF(OR($E135="X",$E135="",$E135=0,$B135="X",$B135="",$B135=0),0,SUM(_xlfn._xlws.FILTER(PrvSty[DsvValue:EXT.],(PrvSty[Project]=TEXT($B135,"@"))*(PrvSty[Row]=$E135)*(PrvSty[Column]=UPPER(I$114)),0)))</f>
        <v>0</v>
      </c>
      <c r="K135" s="157" cm="1">
        <f t="array" aca="1" ref="K135" ca="1">IF(OR($E135="X",$E135="",$E135=0,$B135="X",$B135="",$B135=0),0,SUM(_xlfn._xlws.FILTER(PrvSty[DsvValue:SERRA],(PrvSty[Project]=TEXT($B135,"@"))*(PrvSty[Row]=$E135)*(PrvSty[Column]=UPPER(K$114)),0)))</f>
        <v>0</v>
      </c>
      <c r="L135" s="157" cm="1">
        <f t="array" aca="1" ref="L135" ca="1">IF(OR($E135="X",$E135="",$E135=0,$B135="X",$B135="",$B135=0),0,SUM(_xlfn._xlws.FILTER(PrvSty[DsvValue:EXT.],(PrvSty[Project]=TEXT($B135,"@"))*(PrvSty[Row]=$E135)*(PrvSty[Column]=UPPER(K$114)),0)))</f>
        <v>0</v>
      </c>
      <c r="M135" s="157" cm="1">
        <f t="array" aca="1" ref="M135" ca="1">IF(OR($E135="X",$E135="",$E135=0,$B135="X",$B135="",$B135=0),0,SUM(_xlfn._xlws.FILTER(PrvSty[DsvValue:SERRA],(PrvSty[Project]=TEXT($B135,"@"))*(PrvSty[Row]=$E135)*(PrvSty[Column]=UPPER(M$114)),0)))</f>
        <v>0</v>
      </c>
      <c r="N135" s="157" cm="1">
        <f t="array" aca="1" ref="N135" ca="1">IF(OR($E135="X",$E135="",$E135=0,$B135="X",$B135="",$B135=0),0,SUM(_xlfn._xlws.FILTER(PrvSty[DsvValue:EXT.],(PrvSty[Project]=TEXT($B135,"@"))*(PrvSty[Row]=$E135)*(PrvSty[Column]=UPPER(M$114)),0)))</f>
        <v>0</v>
      </c>
      <c r="O135" s="157" cm="1">
        <f t="array" aca="1" ref="O135" ca="1">IF(OR($E135="X",$E135="",$E135=0,$B135="X",$B135="",$B135=0),0,SUM(_xlfn._xlws.FILTER(PrvSty[DsvValue:SERRA],(PrvSty[Project]=TEXT($B135,"@"))*(PrvSty[Row]=$E135)*(PrvSty[Column]=UPPER(O$114)),0)))</f>
        <v>20000</v>
      </c>
      <c r="P135" s="157" cm="1">
        <f t="array" aca="1" ref="P135" ca="1">IF(OR($E135="X",$E135="",$E135=0,$B135="X",$B135="",$B135=0),0,SUM(_xlfn._xlws.FILTER(PrvSty[DsvValue:EXT.],(PrvSty[Project]=TEXT($B135,"@"))*(PrvSty[Row]=$E135)*(PrvSty[Column]=UPPER(O$114)),0)))</f>
        <v>0</v>
      </c>
      <c r="Q135" s="157" cm="1">
        <f t="array" aca="1" ref="Q135" ca="1">IF(OR($E135="X",$E135="",$E135=0,$B135="X",$B135="",$B135=0),0,SUM(_xlfn._xlws.FILTER(PrvSty[DsvValue:SERRA],(PrvSty[Project]=TEXT($B135,"@"))*(PrvSty[Row]=$E135)*(PrvSty[Column]=UPPER(Q$114)),0)))</f>
        <v>0</v>
      </c>
      <c r="R135" s="157" cm="1">
        <f t="array" aca="1" ref="R135" ca="1">IF(OR($E135="X",$E135="",$E135=0,$B135="X",$B135="",$B135=0),0,SUM(_xlfn._xlws.FILTER(PrvSty[DsvValue:EXT.],(PrvSty[Project]=TEXT($B135,"@"))*(PrvSty[Row]=$E135)*(PrvSty[Column]=UPPER(Q$114)),0)))</f>
        <v>0</v>
      </c>
      <c r="S135" s="157" cm="1">
        <f t="array" aca="1" ref="S135" ca="1">IF(OR($E135="X",$E135="",$E135=0,$B135="X",$B135="",$B135=0),0,SUM(_xlfn._xlws.FILTER(PrvSty[DsvValue:SERRA],(PrvSty[Project]=TEXT($B135,"@"))*(PrvSty[Row]=$E135)*(PrvSty[Column]=UPPER(S$114)),0)))</f>
        <v>-20000</v>
      </c>
      <c r="T135" s="157" cm="1">
        <f t="array" aca="1" ref="T135" ca="1">IF(OR($E135="X",$E135="",$E135=0,$B135="X",$B135="",$B135=0),0,SUM(_xlfn._xlws.FILTER(PrvSty[DsvValue:EXT.],(PrvSty[Project]=TEXT($B135,"@"))*(PrvSty[Row]=$E135)*(PrvSty[Column]=UPPER(S$114)),0)))</f>
        <v>0</v>
      </c>
      <c r="U135" s="157" cm="1">
        <f t="array" aca="1" ref="U135" ca="1">IF(OR($E135="X",$E135="",$E135=0,$B135="X",$B135="",$B135=0),0,SUM(_xlfn._xlws.FILTER(PrvSty[DsvValue:SERRA],(PrvSty[Project]=TEXT($B135,"@"))*(PrvSty[Row]=$E135)*(PrvSty[Column]=UPPER(U$114)),0)))</f>
        <v>0</v>
      </c>
      <c r="V135" s="157" cm="1">
        <f t="array" aca="1" ref="V135" ca="1">IF(OR($E135="X",$E135="",$E135=0,$B135="X",$B135="",$B135=0),0,SUM(_xlfn._xlws.FILTER(PrvSty[DsvValue:EXT.],(PrvSty[Project]=TEXT($B135,"@"))*(PrvSty[Row]=$E135)*(PrvSty[Column]=UPPER(U$114)),0)))</f>
        <v>0</v>
      </c>
      <c r="W135" s="157" cm="1">
        <f t="array" aca="1" ref="W135" ca="1">IF(OR($E135="X",$E135="",$E135=0,$B135="X",$B135="",$B135=0),0,SUM(_xlfn._xlws.FILTER(PrvSty[DsvValue:SERRA],(PrvSty[Project]=TEXT($B135,"@"))*(PrvSty[Row]=$E135)*(PrvSty[Column]=UPPER(W$114)),0)))</f>
        <v>0</v>
      </c>
      <c r="X135" s="157" cm="1">
        <f t="array" aca="1" ref="X135" ca="1">IF(OR($E135="X",$E135="",$E135=0,$B135="X",$B135="",$B135=0),0,SUM(_xlfn._xlws.FILTER(PrvSty[DsvValue:EXT.],(PrvSty[Project]=TEXT($B135,"@"))*(PrvSty[Row]=$E135)*(PrvSty[Column]=UPPER(W$114)),0)))</f>
        <v>0</v>
      </c>
      <c r="Y135" s="157" cm="1">
        <f t="array" aca="1" ref="Y135" ca="1">IF(OR($E135="X",$E135="",$E135=0,$B135="X",$B135="",$B135=0),0,SUM(_xlfn._xlws.FILTER(PrvSty[DsvValue:SERRA],(PrvSty[Project]=TEXT($B135,"@"))*(PrvSty[Row]=$E135)*(PrvSty[Column]=UPPER(Y$114)),0)))</f>
        <v>0</v>
      </c>
      <c r="Z135" s="157" cm="1">
        <f t="array" aca="1" ref="Z135" ca="1">IF(OR($E135="X",$E135="",$E135=0,$B135="X",$B135="",$B135=0),0,SUM(_xlfn._xlws.FILTER(PrvSty[DsvValue:EXT.],(PrvSty[Project]=TEXT($B135,"@"))*(PrvSty[Row]=$E135)*(PrvSty[Column]=UPPER(Y$114)),0)))</f>
        <v>0</v>
      </c>
      <c r="AA135" s="157" cm="1">
        <f t="array" aca="1" ref="AA135" ca="1">IF(OR($E135="X",$E135="",$E135=0,$B135="X",$B135="",$B135=0),0,SUM(_xlfn._xlws.FILTER(PrvSty[DsvValue:SERRA],(PrvSty[Project]=TEXT($B135,"@"))*(PrvSty[Row]=$E135)*(PrvSty[Column]=UPPER(AA$114)),0)))</f>
        <v>0</v>
      </c>
      <c r="AB135" s="157" cm="1">
        <f t="array" aca="1" ref="AB135" ca="1">IF(OR($E135="X",$E135="",$E135=0,$B135="X",$B135="",$B135=0),0,SUM(_xlfn._xlws.FILTER(PrvSty[DsvValue:EXT.],(PrvSty[Project]=TEXT($B135,"@"))*(PrvSty[Row]=$E135)*(PrvSty[Column]=UPPER(AA$114)),0)))</f>
        <v>0</v>
      </c>
      <c r="AC135" s="157" cm="1">
        <f t="array" aca="1" ref="AC135" ca="1">IF(OR($E135="X",$E135="",$E135=0,$B135="X",$B135="",$B135=0),0,SUM(_xlfn._xlws.FILTER(PrvSty[DsvValue:SERRA],(PrvSty[Project]=TEXT($B135,"@"))*(PrvSty[Row]=$E135)*(PrvSty[Column]=UPPER(AC$114)),0)))</f>
        <v>0</v>
      </c>
      <c r="AD135" s="157" cm="1">
        <f t="array" aca="1" ref="AD135" ca="1">IF(OR($E135="X",$E135="",$E135=0,$B135="X",$B135="",$B135=0),0,SUM(_xlfn._xlws.FILTER(PrvSty[DsvValue:EXT.],(PrvSty[Project]=TEXT($B135,"@"))*(PrvSty[Row]=$E135)*(PrvSty[Column]=UPPER(AC$114)),0)))</f>
        <v>0</v>
      </c>
      <c r="AE135" s="157" cm="1">
        <f t="array" aca="1" ref="AE135" ca="1">IF(OR($E135="X",$E135="",$E135=0,$B135="X",$B135="",$B135=0),0,SUM(_xlfn._xlws.FILTER(PrvSty[DsvValue:SERRA],(PrvSty[Project]=TEXT($B135,"@"))*(PrvSty[Row]=$E135)*(PrvSty[Column]=UPPER(AE$114)),0)))</f>
        <v>437.16</v>
      </c>
      <c r="AF135" s="157" cm="1">
        <f t="array" aca="1" ref="AF135" ca="1">IF(OR($E135="X",$E135="",$E135=0,$B135="X",$B135="",$B135=0),0,SUM(_xlfn._xlws.FILTER(PrvSty[DsvValue:EXT.],(PrvSty[Project]=TEXT($B135,"@"))*(PrvSty[Row]=$E135)*(PrvSty[Column]=UPPER(AE$114)),0)))</f>
        <v>10394.799999999999</v>
      </c>
      <c r="AG135" s="157" cm="1">
        <f t="array" aca="1" ref="AG135" ca="1">IF(OR($E135="X",$E135="",$E135=0,$B135="X",$B135="",$B135=0),0,SUM(_xlfn._xlws.FILTER(PrvSty[DsvValue:SERRA],(PrvSty[Project]=TEXT($B135,"@"))*(PrvSty[Row]=$E135)*(PrvSty[Column]=UPPER(AG$114)),0)))</f>
        <v>0</v>
      </c>
      <c r="AH135" s="157" cm="1">
        <f t="array" aca="1" ref="AH135" ca="1">IF(OR($E135="X",$E135="",$E135=0,$B135="X",$B135="",$B135=0),0,SUM(_xlfn._xlws.FILTER(PrvSty[DsvValue:EXT.],(PrvSty[Project]=TEXT($B135,"@"))*(PrvSty[Row]=$E135)*(PrvSty[Column]=UPPER(AG$114)),0)))</f>
        <v>0</v>
      </c>
      <c r="AI135" s="157" cm="1">
        <f t="array" aca="1" ref="AI135" ca="1">IF(OR($E135="X",$E135="",$E135=0,$B135="X",$B135="",$B135=0),0,SUM(_xlfn._xlws.FILTER(PrvSty[DsvValue:SERRA],(PrvSty[Project]=TEXT($B135,"@"))*(PrvSty[Row]=$E135)*(PrvSty[Column]=UPPER(AI$114)),0)))</f>
        <v>0</v>
      </c>
      <c r="AJ135" s="157" cm="1">
        <f t="array" aca="1" ref="AJ135" ca="1">IF(OR($E135="X",$E135="",$E135=0,$B135="X",$B135="",$B135=0),0,SUM(_xlfn._xlws.FILTER(PrvSty[DsvValue:EXT.],(PrvSty[Project]=TEXT($B135,"@"))*(PrvSty[Row]=$E135)*(PrvSty[Column]=UPPER(AI$114)),0)))</f>
        <v>0</v>
      </c>
      <c r="AK135" s="157" cm="1">
        <f t="array" aca="1" ref="AK135" ca="1">IF(OR($E135="X",$E135="",$E135=0,$B135="X",$B135="",$B135=0),0,SUM(_xlfn._xlws.FILTER(PrvSty[DsvValue:SERRA],(PrvSty[Project]=TEXT($B135,"@"))*(PrvSty[Row]=$E135)*(PrvSty[Column]=UPPER(AK$114)),0)))</f>
        <v>0</v>
      </c>
      <c r="AL135" s="157" cm="1">
        <f t="array" aca="1" ref="AL135" ca="1">IF(OR($E135="X",$E135="",$E135=0,$B135="X",$B135="",$B135=0),0,SUM(_xlfn._xlws.FILTER(PrvSty[DsvValue:EXT.],(PrvSty[Project]=TEXT($B135,"@"))*(PrvSty[Row]=$E135)*(PrvSty[Column]=UPPER(AK$114)),0)))</f>
        <v>0</v>
      </c>
      <c r="AM135" s="157" cm="1">
        <f t="array" aca="1" ref="AM135" ca="1">IF(OR($E135="X",$E135="",$E135=0,$B135="X",$B135="",$B135=0),0,SUM(_xlfn._xlws.FILTER(PrvSty[DsvValue:SERRA],(PrvSty[Project]=TEXT($B135,"@"))*(PrvSty[Row]=$E135)*(PrvSty[Column]=UPPER(AM$114)),0)))</f>
        <v>0</v>
      </c>
      <c r="AN135" s="157" cm="1">
        <f t="array" aca="1" ref="AN135" ca="1">IF(OR($E135="X",$E135="",$E135=0,$B135="X",$B135="",$B135=0),0,SUM(_xlfn._xlws.FILTER(PrvSty[DsvValue:EXT.],(PrvSty[Project]=TEXT($B135,"@"))*(PrvSty[Row]=$E135)*(PrvSty[Column]=UPPER(AM$114)),0)))</f>
        <v>0</v>
      </c>
      <c r="AO135" s="157" cm="1">
        <f t="array" aca="1" ref="AO135" ca="1">IF(OR($E135="X",$E135="",$E135=0,$B135="X",$B135="",$B135=0),0,SUM(_xlfn._xlws.FILTER(PrvSty[DsvValue:SERRA],(PrvSty[Project]=TEXT($B135,"@"))*(PrvSty[Row]=$E135)*(PrvSty[Column]=UPPER(AO$114)),0)))</f>
        <v>0</v>
      </c>
      <c r="AP135" s="157" cm="1">
        <f t="array" aca="1" ref="AP135" ca="1">IF(OR($E135="X",$E135="",$E135=0,$B135="X",$B135="",$B135=0),0,SUM(_xlfn._xlws.FILTER(PrvSty[DsvValue:EXT.],(PrvSty[Project]=TEXT($B135,"@"))*(PrvSty[Row]=$E135)*(PrvSty[Column]=UPPER(AO$114)),0)))</f>
        <v>0</v>
      </c>
      <c r="AQ135" s="157" cm="1">
        <f t="array" aca="1" ref="AQ135" ca="1">SUM(IF(INDIRECT($AS$115)=AQ$115,INDIRECT($AS135)))</f>
        <v>15437.16</v>
      </c>
      <c r="AR135" s="157" cm="1">
        <f t="array" aca="1" ref="AR135" ca="1">SUM(IF(INDIRECT($AS$115)=AR$115,INDIRECT($AS135)))</f>
        <v>10394.799999999999</v>
      </c>
      <c r="AS135" s="286" t="str">
        <f t="shared" ca="1" si="13"/>
        <v>G135:AP135</v>
      </c>
      <c r="AT135" s="403">
        <f t="shared" ca="1" si="14"/>
        <v>25831.96</v>
      </c>
      <c r="AV135" s="142" cm="1">
        <f t="array" aca="1" ref="AV135" ca="1">IF(AND(_xlfn.LET(_xlpm.x,SUM(ROW()),OR(AND(MATCH("SOT",$A:$A,0)&lt;_xlpm.x,MATCH("EOT",$A:$A,0)&gt;_xlpm.x),AND(MATCH("SOS",$A:$A,0)&lt;_xlpm.x,MATCH("EOS",$A:$A,0)&gt;_xlpm.x),AND(MATCH("SOR",$A:$A,0)&lt;_xlpm.x,MATCH("EOR",$A:$A,0)&gt;_xlpm.x))),INDIRECT("rc"&amp;MATCH("SCD",$1:$1,0),FALSE)="PPTO"),1,0)</f>
        <v>0</v>
      </c>
      <c r="AW135" s="142" cm="1">
        <f t="array" aca="1" ref="AW13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36" spans="2:49" outlineLevel="1">
      <c r="B136" s="156" t="str" cm="1">
        <f t="array" aca="1" ref="B136:E136" ca="1">_xlfn.LET(_xlpm.x,SUM(ROW()-MATCH("SOR",$A:$A,0)),_xlpm.y,IFERROR(_xlfn.TAKE(INDEX(_xlfn._xlws.FILTER(TbAssign[],ISNUMBER(FIND(TbAssign[Project],$C$4)),"X"),1+QUOTIENT(_xlpm.x,3),0),1,4),0),IF(MOD(_xlpm.x-1,3)=0,IF(_xlpm.y=0,"X",_xlpm.y),INDIRECT("r[-1]c#",FALSE)))</f>
        <v>31200</v>
      </c>
      <c r="C136" s="156" t="str">
        <f ca="1"/>
        <v>XE01</v>
      </c>
      <c r="D136" s="148" t="str">
        <f ca="1"/>
        <v>PMXP</v>
      </c>
      <c r="E136" s="352" t="str">
        <f ca="1"/>
        <v>PUESTA EN MARCHA EN PLANTA</v>
      </c>
      <c r="F136" s="148" t="s">
        <v>1383</v>
      </c>
      <c r="G136" s="158" cm="1">
        <f t="array" aca="1" ref="G136" ca="1">IF(OR($E136="X",$E136="",$E136=0,$B136="X",$B136="",$B136=0),0,SUM(_xlfn._xlws.FILTER(FrmBB1[Cur],(FrmBB1[PrjId]=TEXT($B136,"@"))*(FrmBB1[Row]=$E136)*(FrmBB1[Column]=UPPER(_xlfn.LET(_xlpm.x,_xlfn.TEXTBEFORE(G$114," ("),IFERROR(_xlpm.x,G$114)))&amp;" "&amp;G$115),0)))</f>
        <v>0</v>
      </c>
      <c r="H136" s="157" cm="1">
        <f t="array" aca="1" ref="H136" ca="1">IF(OR($E136="X",$E136="",$E136=0,$B136="X",$B136="",$B136=0),0,SUM(_xlfn._xlws.FILTER(FrmBB1[Cur],(FrmBB1[PrjId]=TEXT($B136,"@"))*(FrmBB1[Row]=$E136)*(FrmBB1[Column]=UPPER(_xlfn.LET(_xlpm.x,_xlfn.TEXTBEFORE(G$114," ("),IFERROR(_xlpm.x,G$114)))&amp;" "&amp;H$115),0)))</f>
        <v>0</v>
      </c>
      <c r="I136" s="158" cm="1">
        <f t="array" aca="1" ref="I136" ca="1">IF(OR($E136="X",$E136="",$E136=0,$B136="X",$B136="",$B136=0),0,SUM(_xlfn._xlws.FILTER(FrmBB1[Cur],(FrmBB1[PrjId]=TEXT($B136,"@"))*(FrmBB1[Row]=$E136)*(FrmBB1[Column]=UPPER(_xlfn.LET(_xlpm.x,_xlfn.TEXTBEFORE(I$114," ("),IFERROR(_xlpm.x,I$114)))&amp;" "&amp;I$115),0)))</f>
        <v>0</v>
      </c>
      <c r="J136" s="157" cm="1">
        <f t="array" aca="1" ref="J136" ca="1">IF(OR($E136="X",$E136="",$E136=0,$B136="X",$B136="",$B136=0),0,SUM(_xlfn._xlws.FILTER(FrmBB1[Cur],(FrmBB1[PrjId]=TEXT($B136,"@"))*(FrmBB1[Row]=$E136)*(FrmBB1[Column]=UPPER(_xlfn.LET(_xlpm.x,_xlfn.TEXTBEFORE(I$114," ("),IFERROR(_xlpm.x,I$114)))&amp;" "&amp;J$115),0)))</f>
        <v>0</v>
      </c>
      <c r="K136" s="158" cm="1">
        <f t="array" aca="1" ref="K136" ca="1">IF(OR($E136="X",$E136="",$E136=0,$B136="X",$B136="",$B136=0),0,SUM(_xlfn._xlws.FILTER(FrmBB1[Cur],(FrmBB1[PrjId]=TEXT($B136,"@"))*(FrmBB1[Row]=$E136)*(FrmBB1[Column]=UPPER(_xlfn.LET(_xlpm.x,_xlfn.TEXTBEFORE(K$114," ("),IFERROR(_xlpm.x,K$114)))&amp;" "&amp;K$115),0)))</f>
        <v>0</v>
      </c>
      <c r="L136" s="157" cm="1">
        <f t="array" aca="1" ref="L136" ca="1">IF(OR($E136="X",$E136="",$E136=0,$B136="X",$B136="",$B136=0),0,SUM(_xlfn._xlws.FILTER(FrmBB1[Cur],(FrmBB1[PrjId]=TEXT($B136,"@"))*(FrmBB1[Row]=$E136)*(FrmBB1[Column]=UPPER(_xlfn.LET(_xlpm.x,_xlfn.TEXTBEFORE(K$114," ("),IFERROR(_xlpm.x,K$114)))&amp;" "&amp;L$115),0)))</f>
        <v>0</v>
      </c>
      <c r="M136" s="158" cm="1">
        <f t="array" aca="1" ref="M136" ca="1">IF(OR($E136="X",$E136="",$E136=0,$B136="X",$B136="",$B136=0),0,SUM(_xlfn._xlws.FILTER(FrmBB1[Cur],(FrmBB1[PrjId]=TEXT($B136,"@"))*(FrmBB1[Row]=$E136)*(FrmBB1[Column]=UPPER(_xlfn.LET(_xlpm.x,_xlfn.TEXTBEFORE(M$114," ("),IFERROR(_xlpm.x,M$114)))&amp;" "&amp;M$115),0)))</f>
        <v>0</v>
      </c>
      <c r="N136" s="157" cm="1">
        <f t="array" aca="1" ref="N136" ca="1">IF(OR($E136="X",$E136="",$E136=0,$B136="X",$B136="",$B136=0),0,SUM(_xlfn._xlws.FILTER(FrmBB1[Cur],(FrmBB1[PrjId]=TEXT($B136,"@"))*(FrmBB1[Row]=$E136)*(FrmBB1[Column]=UPPER(_xlfn.LET(_xlpm.x,_xlfn.TEXTBEFORE(M$114," ("),IFERROR(_xlpm.x,M$114)))&amp;" "&amp;N$115),0)))</f>
        <v>0</v>
      </c>
      <c r="O136" s="158" cm="1">
        <f t="array" aca="1" ref="O136" ca="1">IF(OR($E136="X",$E136="",$E136=0,$B136="X",$B136="",$B136=0),0,SUM(_xlfn._xlws.FILTER(FrmBB1[Cur],(FrmBB1[PrjId]=TEXT($B136,"@"))*(FrmBB1[Row]=$E136)*(FrmBB1[Column]=UPPER(_xlfn.LET(_xlpm.x,_xlfn.TEXTBEFORE(O$114," ("),IFERROR(_xlpm.x,O$114)))&amp;" "&amp;O$115),0)))</f>
        <v>219.72</v>
      </c>
      <c r="P136" s="157" cm="1">
        <f t="array" aca="1" ref="P136" ca="1">IF(OR($E136="X",$E136="",$E136=0,$B136="X",$B136="",$B136=0),0,SUM(_xlfn._xlws.FILTER(FrmBB1[Cur],(FrmBB1[PrjId]=TEXT($B136,"@"))*(FrmBB1[Row]=$E136)*(FrmBB1[Column]=UPPER(_xlfn.LET(_xlpm.x,_xlfn.TEXTBEFORE(O$114," ("),IFERROR(_xlpm.x,O$114)))&amp;" "&amp;P$115),0)))</f>
        <v>0</v>
      </c>
      <c r="Q136" s="158" cm="1">
        <f t="array" aca="1" ref="Q136" ca="1">IF(OR($E136="X",$E136="",$E136=0,$B136="X",$B136="",$B136=0),0,SUM(_xlfn._xlws.FILTER(FrmBB1[Cur],(FrmBB1[PrjId]=TEXT($B136,"@"))*(FrmBB1[Row]=$E136)*(FrmBB1[Column]=UPPER(_xlfn.LET(_xlpm.x,_xlfn.TEXTBEFORE(Q$114," ("),IFERROR(_xlpm.x,Q$114)))&amp;" "&amp;Q$115),0)))</f>
        <v>0</v>
      </c>
      <c r="R136" s="157" cm="1">
        <f t="array" aca="1" ref="R136" ca="1">IF(OR($E136="X",$E136="",$E136=0,$B136="X",$B136="",$B136=0),0,SUM(_xlfn._xlws.FILTER(FrmBB1[Cur],(FrmBB1[PrjId]=TEXT($B136,"@"))*(FrmBB1[Row]=$E136)*(FrmBB1[Column]=UPPER(_xlfn.LET(_xlpm.x,_xlfn.TEXTBEFORE(Q$114," ("),IFERROR(_xlpm.x,Q$114)))&amp;" "&amp;R$115),0)))</f>
        <v>0</v>
      </c>
      <c r="S136" s="158" cm="1">
        <f t="array" aca="1" ref="S136" ca="1">IF(OR($E136="X",$E136="",$E136=0,$B136="X",$B136="",$B136=0),0,SUM(_xlfn._xlws.FILTER(FrmBB1[Cur],(FrmBB1[PrjId]=TEXT($B136,"@"))*(FrmBB1[Row]=$E136)*(FrmBB1[Column]=UPPER(_xlfn.LET(_xlpm.x,_xlfn.TEXTBEFORE(S$114," ("),IFERROR(_xlpm.x,S$114)))&amp;" "&amp;S$115),0)))</f>
        <v>575.74</v>
      </c>
      <c r="T136" s="157" cm="1">
        <f t="array" aca="1" ref="T136" ca="1">IF(OR($E136="X",$E136="",$E136=0,$B136="X",$B136="",$B136=0),0,SUM(_xlfn._xlws.FILTER(FrmBB1[Cur],(FrmBB1[PrjId]=TEXT($B136,"@"))*(FrmBB1[Row]=$E136)*(FrmBB1[Column]=UPPER(_xlfn.LET(_xlpm.x,_xlfn.TEXTBEFORE(S$114," ("),IFERROR(_xlpm.x,S$114)))&amp;" "&amp;T$115),0)))</f>
        <v>0</v>
      </c>
      <c r="U136" s="158" cm="1">
        <f t="array" aca="1" ref="U136" ca="1">IF(OR($E136="X",$E136="",$E136=0,$B136="X",$B136="",$B136=0),0,SUM(_xlfn._xlws.FILTER(FrmBB1[Cur],(FrmBB1[PrjId]=TEXT($B136,"@"))*(FrmBB1[Row]=$E136)*(FrmBB1[Column]=UPPER(_xlfn.LET(_xlpm.x,_xlfn.TEXTBEFORE(U$114," ("),IFERROR(_xlpm.x,U$114)))&amp;" "&amp;U$115),0)))</f>
        <v>0</v>
      </c>
      <c r="V136" s="157" cm="1">
        <f t="array" aca="1" ref="V136" ca="1">IF(OR($E136="X",$E136="",$E136=0,$B136="X",$B136="",$B136=0),0,SUM(_xlfn._xlws.FILTER(FrmBB1[Cur],(FrmBB1[PrjId]=TEXT($B136,"@"))*(FrmBB1[Row]=$E136)*(FrmBB1[Column]=UPPER(_xlfn.LET(_xlpm.x,_xlfn.TEXTBEFORE(U$114," ("),IFERROR(_xlpm.x,U$114)))&amp;" "&amp;V$115),0)))</f>
        <v>0</v>
      </c>
      <c r="W136" s="158" cm="1">
        <f t="array" aca="1" ref="W136" ca="1">IF(OR($E136="X",$E136="",$E136=0,$B136="X",$B136="",$B136=0),0,SUM(_xlfn._xlws.FILTER(FrmBB1[Cur],(FrmBB1[PrjId]=TEXT($B136,"@"))*(FrmBB1[Row]=$E136)*(FrmBB1[Column]=UPPER(_xlfn.LET(_xlpm.x,_xlfn.TEXTBEFORE(W$114," ("),IFERROR(_xlpm.x,W$114)))&amp;" "&amp;W$115),0)))</f>
        <v>0</v>
      </c>
      <c r="X136" s="157" cm="1">
        <f t="array" aca="1" ref="X136" ca="1">IF(OR($E136="X",$E136="",$E136=0,$B136="X",$B136="",$B136=0),0,SUM(_xlfn._xlws.FILTER(FrmBB1[Cur],(FrmBB1[PrjId]=TEXT($B136,"@"))*(FrmBB1[Row]=$E136)*(FrmBB1[Column]=UPPER(_xlfn.LET(_xlpm.x,_xlfn.TEXTBEFORE(W$114," ("),IFERROR(_xlpm.x,W$114)))&amp;" "&amp;X$115),0)))</f>
        <v>0</v>
      </c>
      <c r="Y136" s="158" cm="1">
        <f t="array" aca="1" ref="Y136" ca="1">IF(OR($E136="X",$E136="",$E136=0,$B136="X",$B136="",$B136=0),0,SUM(_xlfn._xlws.FILTER(FrmBB1[Cur],(FrmBB1[PrjId]=TEXT($B136,"@"))*(FrmBB1[Row]=$E136)*(FrmBB1[Column]=UPPER(_xlfn.LET(_xlpm.x,_xlfn.TEXTBEFORE(Y$114," ("),IFERROR(_xlpm.x,Y$114)))&amp;" "&amp;Y$115),0)))</f>
        <v>0</v>
      </c>
      <c r="Z136" s="157" cm="1">
        <f t="array" aca="1" ref="Z136" ca="1">IF(OR($E136="X",$E136="",$E136=0,$B136="X",$B136="",$B136=0),0,SUM(_xlfn._xlws.FILTER(FrmBB1[Cur],(FrmBB1[PrjId]=TEXT($B136,"@"))*(FrmBB1[Row]=$E136)*(FrmBB1[Column]=UPPER(_xlfn.LET(_xlpm.x,_xlfn.TEXTBEFORE(Y$114," ("),IFERROR(_xlpm.x,Y$114)))&amp;" "&amp;Z$115),0)))</f>
        <v>0</v>
      </c>
      <c r="AA136" s="158" cm="1">
        <f t="array" aca="1" ref="AA136" ca="1">IF(OR($E136="X",$E136="",$E136=0,$B136="X",$B136="",$B136=0),0,SUM(_xlfn._xlws.FILTER(FrmBB1[Cur],(FrmBB1[PrjId]=TEXT($B136,"@"))*(FrmBB1[Row]=$E136)*(FrmBB1[Column]=UPPER(_xlfn.LET(_xlpm.x,_xlfn.TEXTBEFORE(AA$114," ("),IFERROR(_xlpm.x,AA$114)))&amp;" "&amp;AA$115),0)))</f>
        <v>0</v>
      </c>
      <c r="AB136" s="157" cm="1">
        <f t="array" aca="1" ref="AB136" ca="1">IF(OR($E136="X",$E136="",$E136=0,$B136="X",$B136="",$B136=0),0,SUM(_xlfn._xlws.FILTER(FrmBB1[Cur],(FrmBB1[PrjId]=TEXT($B136,"@"))*(FrmBB1[Row]=$E136)*(FrmBB1[Column]=UPPER(_xlfn.LET(_xlpm.x,_xlfn.TEXTBEFORE(AA$114," ("),IFERROR(_xlpm.x,AA$114)))&amp;" "&amp;AB$115),0)))</f>
        <v>0</v>
      </c>
      <c r="AC136" s="158" cm="1">
        <f t="array" aca="1" ref="AC136" ca="1">IF(OR($E136="X",$E136="",$E136=0,$B136="X",$B136="",$B136=0),0,SUM(_xlfn._xlws.FILTER(FrmBB1[Cur],(FrmBB1[PrjId]=TEXT($B136,"@"))*(FrmBB1[Row]=$E136)*(FrmBB1[Column]=UPPER(_xlfn.LET(_xlpm.x,_xlfn.TEXTBEFORE(AC$114," ("),IFERROR(_xlpm.x,AC$114)))&amp;" "&amp;AC$115),0)))</f>
        <v>0</v>
      </c>
      <c r="AD136" s="157" cm="1">
        <f t="array" aca="1" ref="AD136" ca="1">IF(OR($E136="X",$E136="",$E136=0,$B136="X",$B136="",$B136=0),0,SUM(_xlfn._xlws.FILTER(FrmBB1[Cur],(FrmBB1[PrjId]=TEXT($B136,"@"))*(FrmBB1[Row]=$E136)*(FrmBB1[Column]=UPPER(_xlfn.LET(_xlpm.x,_xlfn.TEXTBEFORE(AC$114," ("),IFERROR(_xlpm.x,AC$114)))&amp;" "&amp;AD$115),0)))</f>
        <v>0</v>
      </c>
      <c r="AE136" s="158" cm="1">
        <f t="array" aca="1" ref="AE136" ca="1">IF(OR($E136="X",$E136="",$E136=0,$B136="X",$B136="",$B136=0),0,SUM(_xlfn._xlws.FILTER(FrmBB1[Cur],(FrmBB1[PrjId]=TEXT($B136,"@"))*(FrmBB1[Row]=$E136)*(FrmBB1[Column]=UPPER(_xlfn.LET(_xlpm.x,_xlfn.TEXTBEFORE(AE$114," ("),IFERROR(_xlpm.x,AE$114)))&amp;" "&amp;AE$115),0)))</f>
        <v>437.16</v>
      </c>
      <c r="AF136" s="157" cm="1">
        <f t="array" aca="1" ref="AF136" ca="1">IF(OR($E136="X",$E136="",$E136=0,$B136="X",$B136="",$B136=0),0,SUM(_xlfn._xlws.FILTER(FrmBB1[Cur],(FrmBB1[PrjId]=TEXT($B136,"@"))*(FrmBB1[Row]=$E136)*(FrmBB1[Column]=UPPER(_xlfn.LET(_xlpm.x,_xlfn.TEXTBEFORE(AE$114," ("),IFERROR(_xlpm.x,AE$114)))&amp;" "&amp;AF$115),0)))</f>
        <v>10394.799999999999</v>
      </c>
      <c r="AG136" s="158" cm="1">
        <f t="array" aca="1" ref="AG136" ca="1">IF(OR($E136="X",$E136="",$E136=0,$B136="X",$B136="",$B136=0),0,SUM(_xlfn._xlws.FILTER(FrmBB1[Cur],(FrmBB1[PrjId]=TEXT($B136,"@"))*(FrmBB1[Row]=$E136)*(FrmBB1[Column]=UPPER(_xlfn.LET(_xlpm.x,_xlfn.TEXTBEFORE(AG$114," ("),IFERROR(_xlpm.x,AG$114)))&amp;" "&amp;AG$115),0)))</f>
        <v>0</v>
      </c>
      <c r="AH136" s="157" cm="1">
        <f t="array" aca="1" ref="AH136" ca="1">IF(OR($E136="X",$E136="",$E136=0,$B136="X",$B136="",$B136=0),0,SUM(_xlfn._xlws.FILTER(FrmBB1[Cur],(FrmBB1[PrjId]=TEXT($B136,"@"))*(FrmBB1[Row]=$E136)*(FrmBB1[Column]=UPPER(_xlfn.LET(_xlpm.x,_xlfn.TEXTBEFORE(AG$114," ("),IFERROR(_xlpm.x,AG$114)))&amp;" "&amp;AH$115),0)))</f>
        <v>0</v>
      </c>
      <c r="AI136" s="158" cm="1">
        <f t="array" aca="1" ref="AI136" ca="1">IF(OR($E136="X",$E136="",$E136=0,$B136="X",$B136="",$B136=0),0,SUM(_xlfn._xlws.FILTER(FrmBB1[Cur],(FrmBB1[PrjId]=TEXT($B136,"@"))*(FrmBB1[Row]=$E136)*(FrmBB1[Column]=UPPER(_xlfn.LET(_xlpm.x,_xlfn.TEXTBEFORE(AI$114," ("),IFERROR(_xlpm.x,AI$114)))&amp;" "&amp;AI$115),0)))</f>
        <v>0</v>
      </c>
      <c r="AJ136" s="157" cm="1">
        <f t="array" aca="1" ref="AJ136" ca="1">IF(OR($E136="X",$E136="",$E136=0,$B136="X",$B136="",$B136=0),0,SUM(_xlfn._xlws.FILTER(FrmBB1[Cur],(FrmBB1[PrjId]=TEXT($B136,"@"))*(FrmBB1[Row]=$E136)*(FrmBB1[Column]=UPPER(_xlfn.LET(_xlpm.x,_xlfn.TEXTBEFORE(AI$114," ("),IFERROR(_xlpm.x,AI$114)))&amp;" "&amp;AJ$115),0)))</f>
        <v>0</v>
      </c>
      <c r="AK136" s="158" cm="1">
        <f t="array" aca="1" ref="AK136" ca="1">IF(OR($E136="X",$E136="",$E136=0,$B136="X",$B136="",$B136=0),0,SUM(_xlfn._xlws.FILTER(FrmBB1[Cur],(FrmBB1[PrjId]=TEXT($B136,"@"))*(FrmBB1[Row]=$E136)*(FrmBB1[Column]=UPPER(_xlfn.LET(_xlpm.x,_xlfn.TEXTBEFORE(AK$114," ("),IFERROR(_xlpm.x,AK$114)))&amp;" "&amp;AK$115),0)))</f>
        <v>0</v>
      </c>
      <c r="AL136" s="157" cm="1">
        <f t="array" aca="1" ref="AL136" ca="1">IF(OR($E136="X",$E136="",$E136=0,$B136="X",$B136="",$B136=0),0,SUM(_xlfn._xlws.FILTER(FrmBB1[Cur],(FrmBB1[PrjId]=TEXT($B136,"@"))*(FrmBB1[Row]=$E136)*(FrmBB1[Column]=UPPER(_xlfn.LET(_xlpm.x,_xlfn.TEXTBEFORE(AK$114," ("),IFERROR(_xlpm.x,AK$114)))&amp;" "&amp;AL$115),0)))</f>
        <v>0</v>
      </c>
      <c r="AM136" s="158" cm="1">
        <f t="array" aca="1" ref="AM136" ca="1">IF(OR($E136="X",$E136="",$E136=0,$B136="X",$B136="",$B136=0),0,SUM(_xlfn._xlws.FILTER(FrmBB1[Cur],(FrmBB1[PrjId]=TEXT($B136,"@"))*(FrmBB1[Row]=$E136)*(FrmBB1[Column]=UPPER(_xlfn.LET(_xlpm.x,_xlfn.TEXTBEFORE(AM$114," ("),IFERROR(_xlpm.x,AM$114)))&amp;" "&amp;AM$115),0)))</f>
        <v>0</v>
      </c>
      <c r="AN136" s="157" cm="1">
        <f t="array" aca="1" ref="AN136" ca="1">IF(OR($E136="X",$E136="",$E136=0,$B136="X",$B136="",$B136=0),0,SUM(_xlfn._xlws.FILTER(FrmBB1[Cur],(FrmBB1[PrjId]=TEXT($B136,"@"))*(FrmBB1[Row]=$E136)*(FrmBB1[Column]=UPPER(_xlfn.LET(_xlpm.x,_xlfn.TEXTBEFORE(AM$114," ("),IFERROR(_xlpm.x,AM$114)))&amp;" "&amp;AN$115),0)))</f>
        <v>0</v>
      </c>
      <c r="AO136" s="158" cm="1">
        <f t="array" aca="1" ref="AO136" ca="1">IF(OR($E136="X",$E136="",$E136=0,$B136="X",$B136="",$B136=0),0,SUM(_xlfn._xlws.FILTER(FrmBB1[Cur],(FrmBB1[PrjId]=TEXT($B136,"@"))*(FrmBB1[Row]=$E136)*(FrmBB1[Column]=UPPER(_xlfn.LET(_xlpm.x,_xlfn.TEXTBEFORE(AO$114," ("),IFERROR(_xlpm.x,AO$114)))&amp;" "&amp;AO$115),0)))</f>
        <v>0</v>
      </c>
      <c r="AP136" s="157" cm="1">
        <f t="array" aca="1" ref="AP136" ca="1">IF(OR($E136="X",$E136="",$E136=0,$B136="X",$B136="",$B136=0),0,SUM(_xlfn._xlws.FILTER(FrmBB1[Cur],(FrmBB1[PrjId]=TEXT($B136,"@"))*(FrmBB1[Row]=$E136)*(FrmBB1[Column]=UPPER(_xlfn.LET(_xlpm.x,_xlfn.TEXTBEFORE(AO$114," ("),IFERROR(_xlpm.x,AO$114)))&amp;" "&amp;AP$115),0)))</f>
        <v>0</v>
      </c>
      <c r="AQ136" s="157" cm="1">
        <f t="array" aca="1" ref="AQ136" ca="1">SUM(IF(INDIRECT($AS$115)=AQ$115,INDIRECT($AS136)))</f>
        <v>1232.6200000000001</v>
      </c>
      <c r="AR136" s="157" cm="1">
        <f t="array" aca="1" ref="AR136" ca="1">SUM(IF(INDIRECT($AS$115)=AR$115,INDIRECT($AS136)))</f>
        <v>10394.799999999999</v>
      </c>
      <c r="AS136" s="286" t="str">
        <f t="shared" ca="1" si="13"/>
        <v>G136:AP136</v>
      </c>
      <c r="AT136" s="355">
        <f t="shared" ca="1" si="14"/>
        <v>11627.42</v>
      </c>
      <c r="AV136" s="142" cm="1">
        <f t="array" aca="1" ref="AV136" ca="1">IF(AND(_xlfn.LET(_xlpm.x,SUM(ROW()),OR(AND(MATCH("SOT",$A:$A,0)&lt;_xlpm.x,MATCH("EOT",$A:$A,0)&gt;_xlpm.x),AND(MATCH("SOS",$A:$A,0)&lt;_xlpm.x,MATCH("EOS",$A:$A,0)&gt;_xlpm.x),AND(MATCH("SOR",$A:$A,0)&lt;_xlpm.x,MATCH("EOR",$A:$A,0)&gt;_xlpm.x))),INDIRECT("rc"&amp;MATCH("SCD",$1:$1,0),FALSE)="PPTO"),1,0)</f>
        <v>0</v>
      </c>
      <c r="AW136" s="142" cm="1">
        <f t="array" aca="1" ref="AW13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37" spans="2:49" outlineLevel="1">
      <c r="B137" s="156" t="str" cm="1">
        <f t="array" aca="1" ref="B137:E137" ca="1">_xlfn.LET(_xlpm.x,SUM(ROW()-MATCH("SOR",$A:$A,0)),_xlpm.y,IFERROR(_xlfn.TAKE(INDEX(_xlfn._xlws.FILTER(TbAssign[],ISNUMBER(FIND(TbAssign[Project],$C$4)),"X"),1+QUOTIENT(_xlpm.x,3),0),1,4),0),IF(MOD(_xlpm.x-1,3)=0,IF(_xlpm.y=0,"X",_xlpm.y),INDIRECT("r[-1]c#",FALSE)))</f>
        <v>31200</v>
      </c>
      <c r="C137" s="156" t="str">
        <f ca="1"/>
        <v>XB02</v>
      </c>
      <c r="D137" s="148" t="str">
        <f ca="1"/>
        <v>DIST</v>
      </c>
      <c r="E137" s="352" t="str">
        <f ca="1"/>
        <v>DISEÑO UTILES/GARRAS</v>
      </c>
      <c r="F137" s="148" t="s">
        <v>397</v>
      </c>
      <c r="G137" s="157" cm="1">
        <f t="array" aca="1" ref="G137" ca="1">IF(OR($E137="X",$E137="",$E137=0,$B137="X",$B137="",$B137=0),0,SUM(_xlfn._xlws.FILTER(IF($E$4="Ppto",PptoSty[CurPpto],PptoSty[CurInt]),(IF($E$4="Ppto",PptoSty[POvsCT]=G$113,TRUE))*(PptoSty[Project]=TEXT($B137,"@"))*(PptoSty[PptoVsRow]=$E137)*(PptoSty[PptoVsColumn]=UPPER(G$114)),0)))</f>
        <v>0</v>
      </c>
      <c r="H137" s="157" cm="1">
        <f t="array" aca="1" ref="H137" ca="1">IF(OR($E137="X",$E137="",$E137=0,$B137="X",$B137="",$B137=0),0,SUM(_xlfn._xlws.FILTER(IF($E$4="Ppto",PptoSty[CurPpto],PptoSty[CurExt]),(IF($E$4="Ppto",PptoSty[POvsCT]=H$113,TRUE))*(PptoSty[Project]=TEXT($B137,"@"))*(PptoSty[PptoVsRow]=$E137)*(PptoSty[PptoVsColumn]=UPPER(G$114)),0)))</f>
        <v>0</v>
      </c>
      <c r="I137" s="157" cm="1">
        <f t="array" aca="1" ref="I137" ca="1">IF(OR($E137="X",$E137="",$E137=0,$B137="X",$B137="",$B137=0),0,SUM(_xlfn._xlws.FILTER(IF($E$4="Ppto",PptoSty[CurPpto],PptoSty[CurInt]),(IF($E$4="Ppto",PptoSty[POvsCT]=I$113,TRUE))*(PptoSty[Project]=TEXT($B137,"@"))*(PptoSty[PptoVsRow]=$E137)*(PptoSty[PptoVsColumn]=UPPER(I$114)),0)))</f>
        <v>0</v>
      </c>
      <c r="J137" s="157" cm="1">
        <f t="array" aca="1" ref="J137" ca="1">IF(OR($E137="X",$E137="",$E137=0,$B137="X",$B137="",$B137=0),0,SUM(_xlfn._xlws.FILTER(IF($E$4="Ppto",PptoSty[CurPpto],PptoSty[CurExt]),(IF($E$4="Ppto",PptoSty[POvsCT]=J$113,TRUE))*(PptoSty[Project]=TEXT($B137,"@"))*(PptoSty[PptoVsRow]=$E137)*(PptoSty[PptoVsColumn]=UPPER(I$114)),0)))</f>
        <v>0</v>
      </c>
      <c r="K137" s="157" cm="1">
        <f t="array" aca="1" ref="K137" ca="1">IF(OR($E137="X",$E137="",$E137=0,$B137="X",$B137="",$B137=0),0,SUM(_xlfn._xlws.FILTER(IF($E$4="Ppto",PptoSty[CurPpto],PptoSty[CurInt]),(IF($E$4="Ppto",PptoSty[POvsCT]=K$113,TRUE))*(PptoSty[Project]=TEXT($B137,"@"))*(PptoSty[PptoVsRow]=$E137)*(PptoSty[PptoVsColumn]=UPPER(K$114)),0)))</f>
        <v>387976.86833482503</v>
      </c>
      <c r="L137" s="157" cm="1">
        <f t="array" aca="1" ref="L137" ca="1">IF(OR($E137="X",$E137="",$E137=0,$B137="X",$B137="",$B137=0),0,SUM(_xlfn._xlws.FILTER(IF($E$4="Ppto",PptoSty[CurPpto],PptoSty[CurExt]),(IF($E$4="Ppto",PptoSty[POvsCT]=L$113,TRUE))*(PptoSty[Project]=TEXT($B137,"@"))*(PptoSty[PptoVsRow]=$E137)*(PptoSty[PptoVsColumn]=UPPER(K$114)),0)))</f>
        <v>65790.619797949999</v>
      </c>
      <c r="M137" s="157" cm="1">
        <f t="array" aca="1" ref="M137" ca="1">IF(OR($E137="X",$E137="",$E137=0,$B137="X",$B137="",$B137=0),0,SUM(_xlfn._xlws.FILTER(IF($E$4="Ppto",PptoSty[CurPpto],PptoSty[CurInt]),(IF($E$4="Ppto",PptoSty[POvsCT]=M$113,TRUE))*(PptoSty[Project]=TEXT($B137,"@"))*(PptoSty[PptoVsRow]=$E137)*(PptoSty[PptoVsColumn]=UPPER(M$114)),0)))</f>
        <v>0</v>
      </c>
      <c r="N137" s="157" cm="1">
        <f t="array" aca="1" ref="N137" ca="1">IF(OR($E137="X",$E137="",$E137=0,$B137="X",$B137="",$B137=0),0,SUM(_xlfn._xlws.FILTER(IF($E$4="Ppto",PptoSty[CurPpto],PptoSty[CurExt]),(IF($E$4="Ppto",PptoSty[POvsCT]=N$113,TRUE))*(PptoSty[Project]=TEXT($B137,"@"))*(PptoSty[PptoVsRow]=$E137)*(PptoSty[PptoVsColumn]=UPPER(M$114)),0)))</f>
        <v>0</v>
      </c>
      <c r="O137" s="157" cm="1">
        <f t="array" aca="1" ref="O137" ca="1">IF(OR($E137="X",$E137="",$E137=0,$B137="X",$B137="",$B137=0),0,SUM(_xlfn._xlws.FILTER(IF($E$4="Ppto",PptoSty[CurPpto],PptoSty[CurInt]),(IF($E$4="Ppto",PptoSty[POvsCT]=O$113,TRUE))*(PptoSty[Project]=TEXT($B137,"@"))*(PptoSty[PptoVsRow]=$E137)*(PptoSty[PptoVsColumn]=UPPER(O$114)),0)))</f>
        <v>0</v>
      </c>
      <c r="P137" s="157" cm="1">
        <f t="array" aca="1" ref="P137" ca="1">IF(OR($E137="X",$E137="",$E137=0,$B137="X",$B137="",$B137=0),0,SUM(_xlfn._xlws.FILTER(IF($E$4="Ppto",PptoSty[CurPpto],PptoSty[CurExt]),(IF($E$4="Ppto",PptoSty[POvsCT]=P$113,TRUE))*(PptoSty[Project]=TEXT($B137,"@"))*(PptoSty[PptoVsRow]=$E137)*(PptoSty[PptoVsColumn]=UPPER(O$114)),0)))</f>
        <v>0</v>
      </c>
      <c r="Q137" s="157" cm="1">
        <f t="array" aca="1" ref="Q137" ca="1">IF(OR($E137="X",$E137="",$E137=0,$B137="X",$B137="",$B137=0),0,SUM(_xlfn._xlws.FILTER(IF($E$4="Ppto",PptoSty[CurPpto],PptoSty[CurInt]),(IF($E$4="Ppto",PptoSty[POvsCT]=Q$113,TRUE))*(PptoSty[Project]=TEXT($B137,"@"))*(PptoSty[PptoVsRow]=$E137)*(PptoSty[PptoVsColumn]=UPPER(Q$114)),0)))</f>
        <v>0</v>
      </c>
      <c r="R137" s="157" cm="1">
        <f t="array" aca="1" ref="R137" ca="1">IF(OR($E137="X",$E137="",$E137=0,$B137="X",$B137="",$B137=0),0,SUM(_xlfn._xlws.FILTER(IF($E$4="Ppto",PptoSty[CurPpto],PptoSty[CurExt]),(IF($E$4="Ppto",PptoSty[POvsCT]=R$113,TRUE))*(PptoSty[Project]=TEXT($B137,"@"))*(PptoSty[PptoVsRow]=$E137)*(PptoSty[PptoVsColumn]=UPPER(Q$114)),0)))</f>
        <v>0</v>
      </c>
      <c r="S137" s="157" cm="1">
        <f t="array" aca="1" ref="S137" ca="1">IF(OR($E137="X",$E137="",$E137=0,$B137="X",$B137="",$B137=0),0,SUM(_xlfn._xlws.FILTER(IF($E$4="Ppto",PptoSty[CurPpto],PptoSty[CurInt]),(IF($E$4="Ppto",PptoSty[POvsCT]=S$113,TRUE))*(PptoSty[Project]=TEXT($B137,"@"))*(PptoSty[PptoVsRow]=$E137)*(PptoSty[PptoVsColumn]=UPPER(S$114)),0)))</f>
        <v>0</v>
      </c>
      <c r="T137" s="157" cm="1">
        <f t="array" aca="1" ref="T137" ca="1">IF(OR($E137="X",$E137="",$E137=0,$B137="X",$B137="",$B137=0),0,SUM(_xlfn._xlws.FILTER(IF($E$4="Ppto",PptoSty[CurPpto],PptoSty[CurExt]),(IF($E$4="Ppto",PptoSty[POvsCT]=T$113,TRUE))*(PptoSty[Project]=TEXT($B137,"@"))*(PptoSty[PptoVsRow]=$E137)*(PptoSty[PptoVsColumn]=UPPER(S$114)),0)))</f>
        <v>0</v>
      </c>
      <c r="U137" s="157" cm="1">
        <f t="array" aca="1" ref="U137" ca="1">IF(OR($E137="X",$E137="",$E137=0,$B137="X",$B137="",$B137=0),0,SUM(_xlfn._xlws.FILTER(IF($E$4="Ppto",PptoSty[CurPpto],PptoSty[CurInt]),(IF($E$4="Ppto",PptoSty[POvsCT]=U$113,TRUE))*(PptoSty[Project]=TEXT($B137,"@"))*(PptoSty[PptoVsRow]=$E137)*(PptoSty[PptoVsColumn]=UPPER(U$114)),0)))</f>
        <v>0</v>
      </c>
      <c r="V137" s="157" cm="1">
        <f t="array" aca="1" ref="V137" ca="1">IF(OR($E137="X",$E137="",$E137=0,$B137="X",$B137="",$B137=0),0,SUM(_xlfn._xlws.FILTER(IF($E$4="Ppto",PptoSty[CurPpto],PptoSty[CurExt]),(IF($E$4="Ppto",PptoSty[POvsCT]=V$113,TRUE))*(PptoSty[Project]=TEXT($B137,"@"))*(PptoSty[PptoVsRow]=$E137)*(PptoSty[PptoVsColumn]=UPPER(U$114)),0)))</f>
        <v>0</v>
      </c>
      <c r="W137" s="157" cm="1">
        <f t="array" aca="1" ref="W137" ca="1">IF(OR($E137="X",$E137="",$E137=0,$B137="X",$B137="",$B137=0),0,SUM(_xlfn._xlws.FILTER(IF($E$4="Ppto",PptoSty[CurPpto],PptoSty[CurInt]),(IF($E$4="Ppto",PptoSty[POvsCT]=W$113,TRUE))*(PptoSty[Project]=TEXT($B137,"@"))*(PptoSty[PptoVsRow]=$E137)*(PptoSty[PptoVsColumn]=UPPER(W$114)),0)))</f>
        <v>0</v>
      </c>
      <c r="X137" s="157" cm="1">
        <f t="array" aca="1" ref="X137" ca="1">IF(OR($E137="X",$E137="",$E137=0,$B137="X",$B137="",$B137=0),0,SUM(_xlfn._xlws.FILTER(IF($E$4="Ppto",PptoSty[CurPpto],PptoSty[CurExt]),(IF($E$4="Ppto",PptoSty[POvsCT]=X$113,TRUE))*(PptoSty[Project]=TEXT($B137,"@"))*(PptoSty[PptoVsRow]=$E137)*(PptoSty[PptoVsColumn]=UPPER(W$114)),0)))</f>
        <v>0</v>
      </c>
      <c r="Y137" s="157" cm="1">
        <f t="array" aca="1" ref="Y137" ca="1">IF(OR($E137="X",$E137="",$E137=0,$B137="X",$B137="",$B137=0),0,SUM(_xlfn._xlws.FILTER(IF($E$4="Ppto",PptoSty[CurPpto],PptoSty[CurInt]),(IF($E$4="Ppto",PptoSty[POvsCT]=Y$113,TRUE))*(PptoSty[Project]=TEXT($B137,"@"))*(PptoSty[PptoVsRow]=$E137)*(PptoSty[PptoVsColumn]=UPPER(Y$114)),0)))</f>
        <v>0</v>
      </c>
      <c r="Z137" s="157" cm="1">
        <f t="array" aca="1" ref="Z137" ca="1">IF(OR($E137="X",$E137="",$E137=0,$B137="X",$B137="",$B137=0),0,SUM(_xlfn._xlws.FILTER(IF($E$4="Ppto",PptoSty[CurPpto],PptoSty[CurExt]),(IF($E$4="Ppto",PptoSty[POvsCT]=Z$113,TRUE))*(PptoSty[Project]=TEXT($B137,"@"))*(PptoSty[PptoVsRow]=$E137)*(PptoSty[PptoVsColumn]=UPPER(Y$114)),0)))</f>
        <v>0</v>
      </c>
      <c r="AA137" s="157" cm="1">
        <f t="array" aca="1" ref="AA137" ca="1">IF(OR($E137="X",$E137="",$E137=0,$B137="X",$B137="",$B137=0),0,SUM(_xlfn._xlws.FILTER(IF($E$4="Ppto",PptoSty[CurPpto],PptoSty[CurInt]),(IF($E$4="Ppto",PptoSty[POvsCT]=AA$113,TRUE))*(PptoSty[Project]=TEXT($B137,"@"))*(PptoSty[PptoVsRow]=$E137)*(PptoSty[PptoVsColumn]=UPPER(AA$114)),0)))</f>
        <v>0</v>
      </c>
      <c r="AB137" s="157" cm="1">
        <f t="array" aca="1" ref="AB137" ca="1">IF(OR($E137="X",$E137="",$E137=0,$B137="X",$B137="",$B137=0),0,SUM(_xlfn._xlws.FILTER(IF($E$4="Ppto",PptoSty[CurPpto],PptoSty[CurExt]),(IF($E$4="Ppto",PptoSty[POvsCT]=AB$113,TRUE))*(PptoSty[Project]=TEXT($B137,"@"))*(PptoSty[PptoVsRow]=$E137)*(PptoSty[PptoVsColumn]=UPPER(AA$114)),0)))</f>
        <v>0</v>
      </c>
      <c r="AC137" s="157">
        <v>982.56999999999971</v>
      </c>
      <c r="AD137" s="157" cm="1">
        <f t="array" aca="1" ref="AD137" ca="1">IF(OR($E137="X",$E137="",$E137=0,$B137="X",$B137="",$B137=0),0,SUM(_xlfn._xlws.FILTER(IF($E$4="Ppto",PptoSty[CurPpto],PptoSty[CurExt]),(IF($E$4="Ppto",PptoSty[POvsCT]=AD$113,TRUE))*(PptoSty[Project]=TEXT($B137,"@"))*(PptoSty[PptoVsRow]=$E137)*(PptoSty[PptoVsColumn]=UPPER(AC$114)),0)))</f>
        <v>0</v>
      </c>
      <c r="AE137" s="157" cm="1">
        <f t="array" aca="1" ref="AE137" ca="1">IF(OR($E137="X",$E137="",$E137=0,$B137="X",$B137="",$B137=0),0,SUM(_xlfn._xlws.FILTER(IF($E$4="Ppto",PptoSty[CurPpto],PptoSty[CurInt]),(IF($E$4="Ppto",PptoSty[POvsCT]=AE$113,TRUE))*(PptoSty[Project]=TEXT($B137,"@"))*(PptoSty[PptoVsRow]=$E137)*(PptoSty[PptoVsColumn]=UPPER(AE$114)),0)))</f>
        <v>0</v>
      </c>
      <c r="AF137" s="157" cm="1">
        <f t="array" aca="1" ref="AF137" ca="1">IF(OR($E137="X",$E137="",$E137=0,$B137="X",$B137="",$B137=0),0,SUM(_xlfn._xlws.FILTER(IF($E$4="Ppto",PptoSty[CurPpto],PptoSty[CurExt]),(IF($E$4="Ppto",PptoSty[POvsCT]=AF$113,TRUE))*(PptoSty[Project]=TEXT($B137,"@"))*(PptoSty[PptoVsRow]=$E137)*(PptoSty[PptoVsColumn]=UPPER(AE$114)),0)))</f>
        <v>0</v>
      </c>
      <c r="AG137" s="157" cm="1">
        <f t="array" aca="1" ref="AG137" ca="1">IF(OR($E137="X",$E137="",$E137=0,$B137="X",$B137="",$B137=0),0,SUM(_xlfn._xlws.FILTER(IF($E$4="Ppto",PptoSty[CurPpto],PptoSty[CurInt]),(IF($E$4="Ppto",PptoSty[POvsCT]=AG$113,TRUE))*(PptoSty[Project]=TEXT($B137,"@"))*(PptoSty[PptoVsRow]=$E137)*(PptoSty[PptoVsColumn]=UPPER(AG$114)),0)))</f>
        <v>0</v>
      </c>
      <c r="AH137" s="157" cm="1">
        <f t="array" aca="1" ref="AH137" ca="1">IF(OR($E137="X",$E137="",$E137=0,$B137="X",$B137="",$B137=0),0,SUM(_xlfn._xlws.FILTER(IF($E$4="Ppto",PptoSty[CurPpto],PptoSty[CurExt]),(IF($E$4="Ppto",PptoSty[POvsCT]=AH$113,TRUE))*(PptoSty[Project]=TEXT($B137,"@"))*(PptoSty[PptoVsRow]=$E137)*(PptoSty[PptoVsColumn]=UPPER(AG$114)),0)))</f>
        <v>0</v>
      </c>
      <c r="AI137" s="157" cm="1">
        <f t="array" aca="1" ref="AI137" ca="1">IF(OR($E137="X",$E137="",$E137=0,$B137="X",$B137="",$B137=0),0,SUM(_xlfn._xlws.FILTER(IF($E$4="Ppto",PptoSty[CurPpto],PptoSty[CurInt]),(IF($E$4="Ppto",PptoSty[POvsCT]=AI$113,TRUE))*(PptoSty[Project]=TEXT($B137,"@"))*(PptoSty[PptoVsRow]=$E137)*(PptoSty[PptoVsColumn]=UPPER(AI$114)),0)))</f>
        <v>0</v>
      </c>
      <c r="AJ137" s="157" cm="1">
        <f t="array" aca="1" ref="AJ137" ca="1">IF(OR($E137="X",$E137="",$E137=0,$B137="X",$B137="",$B137=0),0,SUM(_xlfn._xlws.FILTER(IF($E$4="Ppto",PptoSty[CurPpto],PptoSty[CurExt]),(IF($E$4="Ppto",PptoSty[POvsCT]=AJ$113,TRUE))*(PptoSty[Project]=TEXT($B137,"@"))*(PptoSty[PptoVsRow]=$E137)*(PptoSty[PptoVsColumn]=UPPER(AI$114)),0)))</f>
        <v>0</v>
      </c>
      <c r="AK137" s="157" cm="1">
        <f t="array" aca="1" ref="AK137" ca="1">IF(OR($E137="X",$E137="",$E137=0,$B137="X",$B137="",$B137=0),0,SUM(_xlfn._xlws.FILTER(IF($E$4="Ppto",PptoSty[CurPpto],PptoSty[CurInt]),(IF($E$4="Ppto",PptoSty[POvsCT]=AK$113,TRUE))*(PptoSty[Project]=TEXT($B137,"@"))*(PptoSty[PptoVsRow]=$E137)*(PptoSty[PptoVsColumn]=UPPER(AK$114)),0)))</f>
        <v>0</v>
      </c>
      <c r="AL137" s="157" cm="1">
        <f t="array" aca="1" ref="AL137" ca="1">IF(OR($E137="X",$E137="",$E137=0,$B137="X",$B137="",$B137=0),0,SUM(_xlfn._xlws.FILTER(IF($E$4="Ppto",PptoSty[CurPpto],PptoSty[CurExt]),(IF($E$4="Ppto",PptoSty[POvsCT]=AL$113,TRUE))*(PptoSty[Project]=TEXT($B137,"@"))*(PptoSty[PptoVsRow]=$E137)*(PptoSty[PptoVsColumn]=UPPER(AK$114)),0)))</f>
        <v>0</v>
      </c>
      <c r="AM137" s="157" cm="1">
        <f t="array" aca="1" ref="AM137" ca="1">IF(OR($E137="X",$E137="",$E137=0,$B137="X",$B137="",$B137=0),0,SUM(_xlfn._xlws.FILTER(IF($E$4="Ppto",PptoSty[CurPpto],PptoSty[CurInt]),(IF($E$4="Ppto",PptoSty[POvsCT]=AM$113,TRUE))*(PptoSty[Project]=TEXT($B137,"@"))*(PptoSty[PptoVsRow]=$E137)*(PptoSty[PptoVsColumn]=UPPER(AM$114)),0)))</f>
        <v>0</v>
      </c>
      <c r="AN137" s="157" cm="1">
        <f t="array" aca="1" ref="AN137" ca="1">IF(OR($E137="X",$E137="",$E137=0,$B137="X",$B137="",$B137=0),0,SUM(_xlfn._xlws.FILTER(IF($E$4="Ppto",PptoSty[CurPpto],PptoSty[CurExt]),(IF($E$4="Ppto",PptoSty[POvsCT]=AN$113,TRUE))*(PptoSty[Project]=TEXT($B137,"@"))*(PptoSty[PptoVsRow]=$E137)*(PptoSty[PptoVsColumn]=UPPER(AM$114)),0)))</f>
        <v>0</v>
      </c>
      <c r="AO137" s="157" cm="1">
        <f t="array" aca="1" ref="AO137" ca="1">IF(OR($E137="X",$E137="",$E137=0,$B137="X",$B137="",$B137=0),0,SUM(_xlfn._xlws.FILTER(IF($E$4="Ppto",PptoSty[CurPpto],PptoSty[CurInt]),(IF($E$4="Ppto",PptoSty[POvsCT]=AO$113,TRUE))*(PptoSty[Project]=TEXT($B137,"@"))*(PptoSty[PptoVsRow]=$E137)*(PptoSty[PptoVsColumn]=UPPER(AO$114)),0)))</f>
        <v>0</v>
      </c>
      <c r="AP137" s="157" cm="1">
        <f t="array" aca="1" ref="AP137" ca="1">IF(OR($E137="X",$E137="",$E137=0,$B137="X",$B137="",$B137=0),0,SUM(_xlfn._xlws.FILTER(IF($E$4="Ppto",PptoSty[CurPpto],PptoSty[CurExt]),(IF($E$4="Ppto",PptoSty[POvsCT]=AP$113,TRUE))*(PptoSty[Project]=TEXT($B137,"@"))*(PptoSty[PptoVsRow]=$E137)*(PptoSty[PptoVsColumn]=UPPER(AO$114)),0)))</f>
        <v>0</v>
      </c>
      <c r="AQ137" s="157" cm="1">
        <f t="array" aca="1" ref="AQ137" ca="1">SUM(IF(INDIRECT($AS$115)=AQ$115,INDIRECT($AS137)))</f>
        <v>388959.43833482504</v>
      </c>
      <c r="AR137" s="157" cm="1">
        <f t="array" aca="1" ref="AR137" ca="1">SUM(IF(INDIRECT($AS$115)=AR$115,INDIRECT($AS137)))</f>
        <v>65790.619797949999</v>
      </c>
      <c r="AS137" s="286" t="str">
        <f t="shared" ca="1" si="13"/>
        <v>G137:AP137</v>
      </c>
      <c r="AT137" s="403">
        <f t="shared" ca="1" si="14"/>
        <v>454750.05813277501</v>
      </c>
      <c r="AV137" s="142" cm="1">
        <f t="array" aca="1" ref="AV137" ca="1">IF(AND(_xlfn.LET(_xlpm.x,SUM(ROW()),OR(AND(MATCH("SOT",$A:$A,0)&lt;_xlpm.x,MATCH("EOT",$A:$A,0)&gt;_xlpm.x),AND(MATCH("SOS",$A:$A,0)&lt;_xlpm.x,MATCH("EOS",$A:$A,0)&gt;_xlpm.x),AND(MATCH("SOR",$A:$A,0)&lt;_xlpm.x,MATCH("EOR",$A:$A,0)&gt;_xlpm.x))),INDIRECT("rc"&amp;MATCH("SCD",$1:$1,0),FALSE)="PPTO"),1,0)</f>
        <v>1</v>
      </c>
      <c r="AW137" s="142" cm="1">
        <f t="array" aca="1" ref="AW13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38" spans="2:49" outlineLevel="1">
      <c r="B138" s="156" t="str" cm="1">
        <f t="array" aca="1" ref="B138:E138" ca="1">_xlfn.LET(_xlpm.x,SUM(ROW()-MATCH("SOR",$A:$A,0)),_xlpm.y,IFERROR(_xlfn.TAKE(INDEX(_xlfn._xlws.FILTER(TbAssign[],ISNUMBER(FIND(TbAssign[Project],$C$4)),"X"),1+QUOTIENT(_xlpm.x,3),0),1,4),0),IF(MOD(_xlpm.x-1,3)=0,IF(_xlpm.y=0,"X",_xlpm.y),INDIRECT("r[-1]c#",FALSE)))</f>
        <v>31200</v>
      </c>
      <c r="C138" s="156" t="str">
        <f ca="1"/>
        <v>XB02</v>
      </c>
      <c r="D138" s="148" t="str">
        <f ca="1"/>
        <v>DIST</v>
      </c>
      <c r="E138" s="352" t="str">
        <f ca="1"/>
        <v>DISEÑO UTILES/GARRAS</v>
      </c>
      <c r="F138" s="148" t="s">
        <v>1382</v>
      </c>
      <c r="G138" s="157" cm="1">
        <f t="array" aca="1" ref="G138" ca="1">IF(OR($E138="X",$E138="",$E138=0,$B138="X",$B138="",$B138=0),0,SUM(_xlfn._xlws.FILTER(PrvSty[DsvValue:SERRA],(PrvSty[Project]=TEXT($B138,"@"))*(PrvSty[Row]=$E138)*(PrvSty[Column]=UPPER(G$114)),0)))</f>
        <v>0</v>
      </c>
      <c r="H138" s="157" cm="1">
        <f t="array" aca="1" ref="H138" ca="1">IF(OR($E138="X",$E138="",$E138=0,$B138="X",$B138="",$B138=0),0,SUM(_xlfn._xlws.FILTER(PrvSty[DsvValue:EXT.],(PrvSty[Project]=TEXT($B138,"@"))*(PrvSty[Row]=$E138)*(PrvSty[Column]=UPPER(G$114)),0)))</f>
        <v>0</v>
      </c>
      <c r="I138" s="157" cm="1">
        <f t="array" aca="1" ref="I138" ca="1">IF(OR($E138="X",$E138="",$E138=0,$B138="X",$B138="",$B138=0),0,SUM(_xlfn._xlws.FILTER(PrvSty[DsvValue:SERRA],(PrvSty[Project]=TEXT($B138,"@"))*(PrvSty[Row]=$E138)*(PrvSty[Column]=UPPER(I$114)),0)))</f>
        <v>0</v>
      </c>
      <c r="J138" s="157" cm="1">
        <f t="array" aca="1" ref="J138" ca="1">IF(OR($E138="X",$E138="",$E138=0,$B138="X",$B138="",$B138=0),0,SUM(_xlfn._xlws.FILTER(PrvSty[DsvValue:EXT.],(PrvSty[Project]=TEXT($B138,"@"))*(PrvSty[Row]=$E138)*(PrvSty[Column]=UPPER(I$114)),0)))</f>
        <v>0</v>
      </c>
      <c r="K138" s="157" cm="1">
        <f t="array" aca="1" ref="K138" ca="1">IF(OR($E138="X",$E138="",$E138=0,$B138="X",$B138="",$B138=0),0,SUM(_xlfn._xlws.FILTER(PrvSty[DsvValue:SERRA],(PrvSty[Project]=TEXT($B138,"@"))*(PrvSty[Row]=$E138)*(PrvSty[Column]=UPPER(K$114)),0)))</f>
        <v>-180000</v>
      </c>
      <c r="L138" s="157" cm="1">
        <f t="array" aca="1" ref="L138" ca="1">IF(OR($E138="X",$E138="",$E138=0,$B138="X",$B138="",$B138=0),0,SUM(_xlfn._xlws.FILTER(PrvSty[DsvValue:EXT.],(PrvSty[Project]=TEXT($B138,"@"))*(PrvSty[Row]=$E138)*(PrvSty[Column]=UPPER(K$114)),0)))</f>
        <v>0</v>
      </c>
      <c r="M138" s="157" cm="1">
        <f t="array" aca="1" ref="M138" ca="1">IF(OR($E138="X",$E138="",$E138=0,$B138="X",$B138="",$B138=0),0,SUM(_xlfn._xlws.FILTER(PrvSty[DsvValue:SERRA],(PrvSty[Project]=TEXT($B138,"@"))*(PrvSty[Row]=$E138)*(PrvSty[Column]=UPPER(M$114)),0)))</f>
        <v>0</v>
      </c>
      <c r="N138" s="157" cm="1">
        <f t="array" aca="1" ref="N138" ca="1">IF(OR($E138="X",$E138="",$E138=0,$B138="X",$B138="",$B138=0),0,SUM(_xlfn._xlws.FILTER(PrvSty[DsvValue:EXT.],(PrvSty[Project]=TEXT($B138,"@"))*(PrvSty[Row]=$E138)*(PrvSty[Column]=UPPER(M$114)),0)))</f>
        <v>0</v>
      </c>
      <c r="O138" s="157" cm="1">
        <f t="array" aca="1" ref="O138" ca="1">IF(OR($E138="X",$E138="",$E138=0,$B138="X",$B138="",$B138=0),0,SUM(_xlfn._xlws.FILTER(PrvSty[DsvValue:SERRA],(PrvSty[Project]=TEXT($B138,"@"))*(PrvSty[Row]=$E138)*(PrvSty[Column]=UPPER(O$114)),0)))</f>
        <v>0</v>
      </c>
      <c r="P138" s="157" cm="1">
        <f t="array" aca="1" ref="P138" ca="1">IF(OR($E138="X",$E138="",$E138=0,$B138="X",$B138="",$B138=0),0,SUM(_xlfn._xlws.FILTER(PrvSty[DsvValue:EXT.],(PrvSty[Project]=TEXT($B138,"@"))*(PrvSty[Row]=$E138)*(PrvSty[Column]=UPPER(O$114)),0)))</f>
        <v>0</v>
      </c>
      <c r="Q138" s="157" cm="1">
        <f t="array" aca="1" ref="Q138" ca="1">IF(OR($E138="X",$E138="",$E138=0,$B138="X",$B138="",$B138=0),0,SUM(_xlfn._xlws.FILTER(PrvSty[DsvValue:SERRA],(PrvSty[Project]=TEXT($B138,"@"))*(PrvSty[Row]=$E138)*(PrvSty[Column]=UPPER(Q$114)),0)))</f>
        <v>0</v>
      </c>
      <c r="R138" s="157" cm="1">
        <f t="array" aca="1" ref="R138" ca="1">IF(OR($E138="X",$E138="",$E138=0,$B138="X",$B138="",$B138=0),0,SUM(_xlfn._xlws.FILTER(PrvSty[DsvValue:EXT.],(PrvSty[Project]=TEXT($B138,"@"))*(PrvSty[Row]=$E138)*(PrvSty[Column]=UPPER(Q$114)),0)))</f>
        <v>0</v>
      </c>
      <c r="S138" s="157" cm="1">
        <f t="array" aca="1" ref="S138" ca="1">IF(OR($E138="X",$E138="",$E138=0,$B138="X",$B138="",$B138=0),0,SUM(_xlfn._xlws.FILTER(PrvSty[DsvValue:SERRA],(PrvSty[Project]=TEXT($B138,"@"))*(PrvSty[Row]=$E138)*(PrvSty[Column]=UPPER(S$114)),0)))</f>
        <v>0</v>
      </c>
      <c r="T138" s="157" cm="1">
        <f t="array" aca="1" ref="T138" ca="1">IF(OR($E138="X",$E138="",$E138=0,$B138="X",$B138="",$B138=0),0,SUM(_xlfn._xlws.FILTER(PrvSty[DsvValue:EXT.],(PrvSty[Project]=TEXT($B138,"@"))*(PrvSty[Row]=$E138)*(PrvSty[Column]=UPPER(S$114)),0)))</f>
        <v>0</v>
      </c>
      <c r="U138" s="157" cm="1">
        <f t="array" aca="1" ref="U138" ca="1">IF(OR($E138="X",$E138="",$E138=0,$B138="X",$B138="",$B138=0),0,SUM(_xlfn._xlws.FILTER(PrvSty[DsvValue:SERRA],(PrvSty[Project]=TEXT($B138,"@"))*(PrvSty[Row]=$E138)*(PrvSty[Column]=UPPER(U$114)),0)))</f>
        <v>0</v>
      </c>
      <c r="V138" s="157" cm="1">
        <f t="array" aca="1" ref="V138" ca="1">IF(OR($E138="X",$E138="",$E138=0,$B138="X",$B138="",$B138=0),0,SUM(_xlfn._xlws.FILTER(PrvSty[DsvValue:EXT.],(PrvSty[Project]=TEXT($B138,"@"))*(PrvSty[Row]=$E138)*(PrvSty[Column]=UPPER(U$114)),0)))</f>
        <v>25</v>
      </c>
      <c r="W138" s="157" cm="1">
        <f t="array" aca="1" ref="W138" ca="1">IF(OR($E138="X",$E138="",$E138=0,$B138="X",$B138="",$B138=0),0,SUM(_xlfn._xlws.FILTER(PrvSty[DsvValue:SERRA],(PrvSty[Project]=TEXT($B138,"@"))*(PrvSty[Row]=$E138)*(PrvSty[Column]=UPPER(W$114)),0)))</f>
        <v>0</v>
      </c>
      <c r="X138" s="157" cm="1">
        <f t="array" aca="1" ref="X138" ca="1">IF(OR($E138="X",$E138="",$E138=0,$B138="X",$B138="",$B138=0),0,SUM(_xlfn._xlws.FILTER(PrvSty[DsvValue:EXT.],(PrvSty[Project]=TEXT($B138,"@"))*(PrvSty[Row]=$E138)*(PrvSty[Column]=UPPER(W$114)),0)))</f>
        <v>0</v>
      </c>
      <c r="Y138" s="157" cm="1">
        <f t="array" aca="1" ref="Y138" ca="1">IF(OR($E138="X",$E138="",$E138=0,$B138="X",$B138="",$B138=0),0,SUM(_xlfn._xlws.FILTER(PrvSty[DsvValue:SERRA],(PrvSty[Project]=TEXT($B138,"@"))*(PrvSty[Row]=$E138)*(PrvSty[Column]=UPPER(Y$114)),0)))</f>
        <v>0</v>
      </c>
      <c r="Z138" s="157" cm="1">
        <f t="array" aca="1" ref="Z138" ca="1">IF(OR($E138="X",$E138="",$E138=0,$B138="X",$B138="",$B138=0),0,SUM(_xlfn._xlws.FILTER(PrvSty[DsvValue:EXT.],(PrvSty[Project]=TEXT($B138,"@"))*(PrvSty[Row]=$E138)*(PrvSty[Column]=UPPER(Y$114)),0)))</f>
        <v>0</v>
      </c>
      <c r="AA138" s="157" cm="1">
        <f t="array" aca="1" ref="AA138" ca="1">IF(OR($E138="X",$E138="",$E138=0,$B138="X",$B138="",$B138=0),0,SUM(_xlfn._xlws.FILTER(PrvSty[DsvValue:SERRA],(PrvSty[Project]=TEXT($B138,"@"))*(PrvSty[Row]=$E138)*(PrvSty[Column]=UPPER(AA$114)),0)))</f>
        <v>0</v>
      </c>
      <c r="AB138" s="157" cm="1">
        <f t="array" aca="1" ref="AB138" ca="1">IF(OR($E138="X",$E138="",$E138=0,$B138="X",$B138="",$B138=0),0,SUM(_xlfn._xlws.FILTER(PrvSty[DsvValue:EXT.],(PrvSty[Project]=TEXT($B138,"@"))*(PrvSty[Row]=$E138)*(PrvSty[Column]=UPPER(AA$114)),0)))</f>
        <v>0</v>
      </c>
      <c r="AC138" s="157" cm="1">
        <f t="array" aca="1" ref="AC138" ca="1">IF(OR($E138="X",$E138="",$E138=0,$B138="X",$B138="",$B138=0),0,SUM(_xlfn._xlws.FILTER(PrvSty[DsvValue:SERRA],(PrvSty[Project]=TEXT($B138,"@"))*(PrvSty[Row]=$E138)*(PrvSty[Column]=UPPER(AC$114)),0)))</f>
        <v>0</v>
      </c>
      <c r="AD138" s="157" cm="1">
        <f t="array" aca="1" ref="AD138" ca="1">IF(OR($E138="X",$E138="",$E138=0,$B138="X",$B138="",$B138=0),0,SUM(_xlfn._xlws.FILTER(PrvSty[DsvValue:EXT.],(PrvSty[Project]=TEXT($B138,"@"))*(PrvSty[Row]=$E138)*(PrvSty[Column]=UPPER(AC$114)),0)))</f>
        <v>0</v>
      </c>
      <c r="AE138" s="157" cm="1">
        <f t="array" aca="1" ref="AE138" ca="1">IF(OR($E138="X",$E138="",$E138=0,$B138="X",$B138="",$B138=0),0,SUM(_xlfn._xlws.FILTER(PrvSty[DsvValue:SERRA],(PrvSty[Project]=TEXT($B138,"@"))*(PrvSty[Row]=$E138)*(PrvSty[Column]=UPPER(AE$114)),0)))</f>
        <v>0</v>
      </c>
      <c r="AF138" s="157" cm="1">
        <f t="array" aca="1" ref="AF138" ca="1">IF(OR($E138="X",$E138="",$E138=0,$B138="X",$B138="",$B138=0),0,SUM(_xlfn._xlws.FILTER(PrvSty[DsvValue:EXT.],(PrvSty[Project]=TEXT($B138,"@"))*(PrvSty[Row]=$E138)*(PrvSty[Column]=UPPER(AE$114)),0)))</f>
        <v>0</v>
      </c>
      <c r="AG138" s="157" cm="1">
        <f t="array" aca="1" ref="AG138" ca="1">IF(OR($E138="X",$E138="",$E138=0,$B138="X",$B138="",$B138=0),0,SUM(_xlfn._xlws.FILTER(PrvSty[DsvValue:SERRA],(PrvSty[Project]=TEXT($B138,"@"))*(PrvSty[Row]=$E138)*(PrvSty[Column]=UPPER(AG$114)),0)))</f>
        <v>0</v>
      </c>
      <c r="AH138" s="157" cm="1">
        <f t="array" aca="1" ref="AH138" ca="1">IF(OR($E138="X",$E138="",$E138=0,$B138="X",$B138="",$B138=0),0,SUM(_xlfn._xlws.FILTER(PrvSty[DsvValue:EXT.],(PrvSty[Project]=TEXT($B138,"@"))*(PrvSty[Row]=$E138)*(PrvSty[Column]=UPPER(AG$114)),0)))</f>
        <v>0</v>
      </c>
      <c r="AI138" s="157" cm="1">
        <f t="array" aca="1" ref="AI138" ca="1">IF(OR($E138="X",$E138="",$E138=0,$B138="X",$B138="",$B138=0),0,SUM(_xlfn._xlws.FILTER(PrvSty[DsvValue:SERRA],(PrvSty[Project]=TEXT($B138,"@"))*(PrvSty[Row]=$E138)*(PrvSty[Column]=UPPER(AI$114)),0)))</f>
        <v>0</v>
      </c>
      <c r="AJ138" s="157" cm="1">
        <f t="array" aca="1" ref="AJ138" ca="1">IF(OR($E138="X",$E138="",$E138=0,$B138="X",$B138="",$B138=0),0,SUM(_xlfn._xlws.FILTER(PrvSty[DsvValue:EXT.],(PrvSty[Project]=TEXT($B138,"@"))*(PrvSty[Row]=$E138)*(PrvSty[Column]=UPPER(AI$114)),0)))</f>
        <v>0</v>
      </c>
      <c r="AK138" s="157" cm="1">
        <f t="array" aca="1" ref="AK138" ca="1">IF(OR($E138="X",$E138="",$E138=0,$B138="X",$B138="",$B138=0),0,SUM(_xlfn._xlws.FILTER(PrvSty[DsvValue:SERRA],(PrvSty[Project]=TEXT($B138,"@"))*(PrvSty[Row]=$E138)*(PrvSty[Column]=UPPER(AK$114)),0)))</f>
        <v>0</v>
      </c>
      <c r="AL138" s="157" cm="1">
        <f t="array" aca="1" ref="AL138" ca="1">IF(OR($E138="X",$E138="",$E138=0,$B138="X",$B138="",$B138=0),0,SUM(_xlfn._xlws.FILTER(PrvSty[DsvValue:EXT.],(PrvSty[Project]=TEXT($B138,"@"))*(PrvSty[Row]=$E138)*(PrvSty[Column]=UPPER(AK$114)),0)))</f>
        <v>86.78</v>
      </c>
      <c r="AM138" s="157" cm="1">
        <f t="array" aca="1" ref="AM138" ca="1">IF(OR($E138="X",$E138="",$E138=0,$B138="X",$B138="",$B138=0),0,SUM(_xlfn._xlws.FILTER(PrvSty[DsvValue:SERRA],(PrvSty[Project]=TEXT($B138,"@"))*(PrvSty[Row]=$E138)*(PrvSty[Column]=UPPER(AM$114)),0)))</f>
        <v>0</v>
      </c>
      <c r="AN138" s="157" cm="1">
        <f t="array" aca="1" ref="AN138" ca="1">IF(OR($E138="X",$E138="",$E138=0,$B138="X",$B138="",$B138=0),0,SUM(_xlfn._xlws.FILTER(PrvSty[DsvValue:EXT.],(PrvSty[Project]=TEXT($B138,"@"))*(PrvSty[Row]=$E138)*(PrvSty[Column]=UPPER(AM$114)),0)))</f>
        <v>0</v>
      </c>
      <c r="AO138" s="157" cm="1">
        <f t="array" aca="1" ref="AO138" ca="1">IF(OR($E138="X",$E138="",$E138=0,$B138="X",$B138="",$B138=0),0,SUM(_xlfn._xlws.FILTER(PrvSty[DsvValue:SERRA],(PrvSty[Project]=TEXT($B138,"@"))*(PrvSty[Row]=$E138)*(PrvSty[Column]=UPPER(AO$114)),0)))</f>
        <v>0</v>
      </c>
      <c r="AP138" s="157" cm="1">
        <f t="array" aca="1" ref="AP138" ca="1">IF(OR($E138="X",$E138="",$E138=0,$B138="X",$B138="",$B138=0),0,SUM(_xlfn._xlws.FILTER(PrvSty[DsvValue:EXT.],(PrvSty[Project]=TEXT($B138,"@"))*(PrvSty[Row]=$E138)*(PrvSty[Column]=UPPER(AO$114)),0)))</f>
        <v>0</v>
      </c>
      <c r="AQ138" s="157" cm="1">
        <f t="array" aca="1" ref="AQ138" ca="1">SUM(IF(INDIRECT($AS$115)=AQ$115,INDIRECT($AS138)))</f>
        <v>-180000</v>
      </c>
      <c r="AR138" s="157" cm="1">
        <f t="array" aca="1" ref="AR138" ca="1">SUM(IF(INDIRECT($AS$115)=AR$115,INDIRECT($AS138)))</f>
        <v>111.78</v>
      </c>
      <c r="AS138" s="286" t="str">
        <f t="shared" ca="1" si="13"/>
        <v>G138:AP138</v>
      </c>
      <c r="AT138" s="403">
        <f t="shared" ca="1" si="14"/>
        <v>-179888.22</v>
      </c>
      <c r="AV138" s="142" cm="1">
        <f t="array" aca="1" ref="AV138" ca="1">IF(AND(_xlfn.LET(_xlpm.x,SUM(ROW()),OR(AND(MATCH("SOT",$A:$A,0)&lt;_xlpm.x,MATCH("EOT",$A:$A,0)&gt;_xlpm.x),AND(MATCH("SOS",$A:$A,0)&lt;_xlpm.x,MATCH("EOS",$A:$A,0)&gt;_xlpm.x),AND(MATCH("SOR",$A:$A,0)&lt;_xlpm.x,MATCH("EOR",$A:$A,0)&gt;_xlpm.x))),INDIRECT("rc"&amp;MATCH("SCD",$1:$1,0),FALSE)="PPTO"),1,0)</f>
        <v>0</v>
      </c>
      <c r="AW138" s="142" cm="1">
        <f t="array" aca="1" ref="AW13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39" spans="2:49" outlineLevel="1">
      <c r="B139" s="156" t="str" cm="1">
        <f t="array" aca="1" ref="B139:E139" ca="1">_xlfn.LET(_xlpm.x,SUM(ROW()-MATCH("SOR",$A:$A,0)),_xlpm.y,IFERROR(_xlfn.TAKE(INDEX(_xlfn._xlws.FILTER(TbAssign[],ISNUMBER(FIND(TbAssign[Project],$C$4)),"X"),1+QUOTIENT(_xlpm.x,3),0),1,4),0),IF(MOD(_xlpm.x-1,3)=0,IF(_xlpm.y=0,"X",_xlpm.y),INDIRECT("r[-1]c#",FALSE)))</f>
        <v>31200</v>
      </c>
      <c r="C139" s="156" t="str">
        <f ca="1"/>
        <v>XB02</v>
      </c>
      <c r="D139" s="148" t="str">
        <f ca="1"/>
        <v>DIST</v>
      </c>
      <c r="E139" s="352" t="str">
        <f ca="1"/>
        <v>DISEÑO UTILES/GARRAS</v>
      </c>
      <c r="F139" s="148" t="s">
        <v>1383</v>
      </c>
      <c r="G139" s="158" cm="1">
        <f t="array" aca="1" ref="G139" ca="1">IF(OR($E139="X",$E139="",$E139=0,$B139="X",$B139="",$B139=0),0,SUM(_xlfn._xlws.FILTER(FrmBB1[Cur],(FrmBB1[PrjId]=TEXT($B139,"@"))*(FrmBB1[Row]=$E139)*(FrmBB1[Column]=UPPER(_xlfn.LET(_xlpm.x,_xlfn.TEXTBEFORE(G$114," ("),IFERROR(_xlpm.x,G$114)))&amp;" "&amp;G$115),0)))</f>
        <v>0</v>
      </c>
      <c r="H139" s="157" cm="1">
        <f t="array" aca="1" ref="H139" ca="1">IF(OR($E139="X",$E139="",$E139=0,$B139="X",$B139="",$B139=0),0,SUM(_xlfn._xlws.FILTER(FrmBB1[Cur],(FrmBB1[PrjId]=TEXT($B139,"@"))*(FrmBB1[Row]=$E139)*(FrmBB1[Column]=UPPER(_xlfn.LET(_xlpm.x,_xlfn.TEXTBEFORE(G$114," ("),IFERROR(_xlpm.x,G$114)))&amp;" "&amp;H$115),0)))</f>
        <v>0</v>
      </c>
      <c r="I139" s="158" cm="1">
        <f t="array" aca="1" ref="I139" ca="1">IF(OR($E139="X",$E139="",$E139=0,$B139="X",$B139="",$B139=0),0,SUM(_xlfn._xlws.FILTER(FrmBB1[Cur],(FrmBB1[PrjId]=TEXT($B139,"@"))*(FrmBB1[Row]=$E139)*(FrmBB1[Column]=UPPER(_xlfn.LET(_xlpm.x,_xlfn.TEXTBEFORE(I$114," ("),IFERROR(_xlpm.x,I$114)))&amp;" "&amp;I$115),0)))</f>
        <v>0</v>
      </c>
      <c r="J139" s="157" cm="1">
        <f t="array" aca="1" ref="J139" ca="1">IF(OR($E139="X",$E139="",$E139=0,$B139="X",$B139="",$B139=0),0,SUM(_xlfn._xlws.FILTER(FrmBB1[Cur],(FrmBB1[PrjId]=TEXT($B139,"@"))*(FrmBB1[Row]=$E139)*(FrmBB1[Column]=UPPER(_xlfn.LET(_xlpm.x,_xlfn.TEXTBEFORE(I$114," ("),IFERROR(_xlpm.x,I$114)))&amp;" "&amp;J$115),0)))</f>
        <v>0</v>
      </c>
      <c r="K139" s="158" cm="1">
        <f t="array" aca="1" ref="K139" ca="1">IF(OR($E139="X",$E139="",$E139=0,$B139="X",$B139="",$B139=0),0,SUM(_xlfn._xlws.FILTER(FrmBB1[Cur],(FrmBB1[PrjId]=TEXT($B139,"@"))*(FrmBB1[Row]=$E139)*(FrmBB1[Column]=UPPER(_xlfn.LET(_xlpm.x,_xlfn.TEXTBEFORE(K$114," ("),IFERROR(_xlpm.x,K$114)))&amp;" "&amp;K$115),0)))</f>
        <v>209051.59</v>
      </c>
      <c r="L139" s="157" cm="1">
        <f t="array" aca="1" ref="L139" ca="1">IF(OR($E139="X",$E139="",$E139=0,$B139="X",$B139="",$B139=0),0,SUM(_xlfn._xlws.FILTER(FrmBB1[Cur],(FrmBB1[PrjId]=TEXT($B139,"@"))*(FrmBB1[Row]=$E139)*(FrmBB1[Column]=UPPER(_xlfn.LET(_xlpm.x,_xlfn.TEXTBEFORE(K$114," ("),IFERROR(_xlpm.x,K$114)))&amp;" "&amp;L$115),0)))</f>
        <v>29023.5</v>
      </c>
      <c r="M139" s="158" cm="1">
        <f t="array" aca="1" ref="M139" ca="1">IF(OR($E139="X",$E139="",$E139=0,$B139="X",$B139="",$B139=0),0,SUM(_xlfn._xlws.FILTER(FrmBB1[Cur],(FrmBB1[PrjId]=TEXT($B139,"@"))*(FrmBB1[Row]=$E139)*(FrmBB1[Column]=UPPER(_xlfn.LET(_xlpm.x,_xlfn.TEXTBEFORE(M$114," ("),IFERROR(_xlpm.x,M$114)))&amp;" "&amp;M$115),0)))</f>
        <v>0</v>
      </c>
      <c r="N139" s="157" cm="1">
        <f t="array" aca="1" ref="N139" ca="1">IF(OR($E139="X",$E139="",$E139=0,$B139="X",$B139="",$B139=0),0,SUM(_xlfn._xlws.FILTER(FrmBB1[Cur],(FrmBB1[PrjId]=TEXT($B139,"@"))*(FrmBB1[Row]=$E139)*(FrmBB1[Column]=UPPER(_xlfn.LET(_xlpm.x,_xlfn.TEXTBEFORE(M$114," ("),IFERROR(_xlpm.x,M$114)))&amp;" "&amp;N$115),0)))</f>
        <v>0</v>
      </c>
      <c r="O139" s="158" cm="1">
        <f t="array" aca="1" ref="O139" ca="1">IF(OR($E139="X",$E139="",$E139=0,$B139="X",$B139="",$B139=0),0,SUM(_xlfn._xlws.FILTER(FrmBB1[Cur],(FrmBB1[PrjId]=TEXT($B139,"@"))*(FrmBB1[Row]=$E139)*(FrmBB1[Column]=UPPER(_xlfn.LET(_xlpm.x,_xlfn.TEXTBEFORE(O$114," ("),IFERROR(_xlpm.x,O$114)))&amp;" "&amp;O$115),0)))</f>
        <v>0</v>
      </c>
      <c r="P139" s="157" cm="1">
        <f t="array" aca="1" ref="P139" ca="1">IF(OR($E139="X",$E139="",$E139=0,$B139="X",$B139="",$B139=0),0,SUM(_xlfn._xlws.FILTER(FrmBB1[Cur],(FrmBB1[PrjId]=TEXT($B139,"@"))*(FrmBB1[Row]=$E139)*(FrmBB1[Column]=UPPER(_xlfn.LET(_xlpm.x,_xlfn.TEXTBEFORE(O$114," ("),IFERROR(_xlpm.x,O$114)))&amp;" "&amp;P$115),0)))</f>
        <v>0</v>
      </c>
      <c r="Q139" s="158" cm="1">
        <f t="array" aca="1" ref="Q139" ca="1">IF(OR($E139="X",$E139="",$E139=0,$B139="X",$B139="",$B139=0),0,SUM(_xlfn._xlws.FILTER(FrmBB1[Cur],(FrmBB1[PrjId]=TEXT($B139,"@"))*(FrmBB1[Row]=$E139)*(FrmBB1[Column]=UPPER(_xlfn.LET(_xlpm.x,_xlfn.TEXTBEFORE(Q$114," ("),IFERROR(_xlpm.x,Q$114)))&amp;" "&amp;Q$115),0)))</f>
        <v>0</v>
      </c>
      <c r="R139" s="157" cm="1">
        <f t="array" aca="1" ref="R139" ca="1">IF(OR($E139="X",$E139="",$E139=0,$B139="X",$B139="",$B139=0),0,SUM(_xlfn._xlws.FILTER(FrmBB1[Cur],(FrmBB1[PrjId]=TEXT($B139,"@"))*(FrmBB1[Row]=$E139)*(FrmBB1[Column]=UPPER(_xlfn.LET(_xlpm.x,_xlfn.TEXTBEFORE(Q$114," ("),IFERROR(_xlpm.x,Q$114)))&amp;" "&amp;R$115),0)))</f>
        <v>0</v>
      </c>
      <c r="S139" s="158" cm="1">
        <f t="array" aca="1" ref="S139" ca="1">IF(OR($E139="X",$E139="",$E139=0,$B139="X",$B139="",$B139=0),0,SUM(_xlfn._xlws.FILTER(FrmBB1[Cur],(FrmBB1[PrjId]=TEXT($B139,"@"))*(FrmBB1[Row]=$E139)*(FrmBB1[Column]=UPPER(_xlfn.LET(_xlpm.x,_xlfn.TEXTBEFORE(S$114," ("),IFERROR(_xlpm.x,S$114)))&amp;" "&amp;S$115),0)))</f>
        <v>0</v>
      </c>
      <c r="T139" s="157" cm="1">
        <f t="array" aca="1" ref="T139" ca="1">IF(OR($E139="X",$E139="",$E139=0,$B139="X",$B139="",$B139=0),0,SUM(_xlfn._xlws.FILTER(FrmBB1[Cur],(FrmBB1[PrjId]=TEXT($B139,"@"))*(FrmBB1[Row]=$E139)*(FrmBB1[Column]=UPPER(_xlfn.LET(_xlpm.x,_xlfn.TEXTBEFORE(S$114," ("),IFERROR(_xlpm.x,S$114)))&amp;" "&amp;T$115),0)))</f>
        <v>0</v>
      </c>
      <c r="U139" s="158" cm="1">
        <f t="array" aca="1" ref="U139" ca="1">IF(OR($E139="X",$E139="",$E139=0,$B139="X",$B139="",$B139=0),0,SUM(_xlfn._xlws.FILTER(FrmBB1[Cur],(FrmBB1[PrjId]=TEXT($B139,"@"))*(FrmBB1[Row]=$E139)*(FrmBB1[Column]=UPPER(_xlfn.LET(_xlpm.x,_xlfn.TEXTBEFORE(U$114," ("),IFERROR(_xlpm.x,U$114)))&amp;" "&amp;U$115),0)))</f>
        <v>0</v>
      </c>
      <c r="V139" s="157" cm="1">
        <f t="array" aca="1" ref="V139" ca="1">IF(OR($E139="X",$E139="",$E139=0,$B139="X",$B139="",$B139=0),0,SUM(_xlfn._xlws.FILTER(FrmBB1[Cur],(FrmBB1[PrjId]=TEXT($B139,"@"))*(FrmBB1[Row]=$E139)*(FrmBB1[Column]=UPPER(_xlfn.LET(_xlpm.x,_xlfn.TEXTBEFORE(U$114," ("),IFERROR(_xlpm.x,U$114)))&amp;" "&amp;V$115),0)))</f>
        <v>25</v>
      </c>
      <c r="W139" s="158" cm="1">
        <f t="array" aca="1" ref="W139" ca="1">IF(OR($E139="X",$E139="",$E139=0,$B139="X",$B139="",$B139=0),0,SUM(_xlfn._xlws.FILTER(FrmBB1[Cur],(FrmBB1[PrjId]=TEXT($B139,"@"))*(FrmBB1[Row]=$E139)*(FrmBB1[Column]=UPPER(_xlfn.LET(_xlpm.x,_xlfn.TEXTBEFORE(W$114," ("),IFERROR(_xlpm.x,W$114)))&amp;" "&amp;W$115),0)))</f>
        <v>0</v>
      </c>
      <c r="X139" s="157" cm="1">
        <f t="array" aca="1" ref="X139" ca="1">IF(OR($E139="X",$E139="",$E139=0,$B139="X",$B139="",$B139=0),0,SUM(_xlfn._xlws.FILTER(FrmBB1[Cur],(FrmBB1[PrjId]=TEXT($B139,"@"))*(FrmBB1[Row]=$E139)*(FrmBB1[Column]=UPPER(_xlfn.LET(_xlpm.x,_xlfn.TEXTBEFORE(W$114," ("),IFERROR(_xlpm.x,W$114)))&amp;" "&amp;X$115),0)))</f>
        <v>0</v>
      </c>
      <c r="Y139" s="158" cm="1">
        <f t="array" aca="1" ref="Y139" ca="1">IF(OR($E139="X",$E139="",$E139=0,$B139="X",$B139="",$B139=0),0,SUM(_xlfn._xlws.FILTER(FrmBB1[Cur],(FrmBB1[PrjId]=TEXT($B139,"@"))*(FrmBB1[Row]=$E139)*(FrmBB1[Column]=UPPER(_xlfn.LET(_xlpm.x,_xlfn.TEXTBEFORE(Y$114," ("),IFERROR(_xlpm.x,Y$114)))&amp;" "&amp;Y$115),0)))</f>
        <v>0</v>
      </c>
      <c r="Z139" s="157" cm="1">
        <f t="array" aca="1" ref="Z139" ca="1">IF(OR($E139="X",$E139="",$E139=0,$B139="X",$B139="",$B139=0),0,SUM(_xlfn._xlws.FILTER(FrmBB1[Cur],(FrmBB1[PrjId]=TEXT($B139,"@"))*(FrmBB1[Row]=$E139)*(FrmBB1[Column]=UPPER(_xlfn.LET(_xlpm.x,_xlfn.TEXTBEFORE(Y$114," ("),IFERROR(_xlpm.x,Y$114)))&amp;" "&amp;Z$115),0)))</f>
        <v>0</v>
      </c>
      <c r="AA139" s="158" cm="1">
        <f t="array" aca="1" ref="AA139" ca="1">IF(OR($E139="X",$E139="",$E139=0,$B139="X",$B139="",$B139=0),0,SUM(_xlfn._xlws.FILTER(FrmBB1[Cur],(FrmBB1[PrjId]=TEXT($B139,"@"))*(FrmBB1[Row]=$E139)*(FrmBB1[Column]=UPPER(_xlfn.LET(_xlpm.x,_xlfn.TEXTBEFORE(AA$114," ("),IFERROR(_xlpm.x,AA$114)))&amp;" "&amp;AA$115),0)))</f>
        <v>0</v>
      </c>
      <c r="AB139" s="157" cm="1">
        <f t="array" aca="1" ref="AB139" ca="1">IF(OR($E139="X",$E139="",$E139=0,$B139="X",$B139="",$B139=0),0,SUM(_xlfn._xlws.FILTER(FrmBB1[Cur],(FrmBB1[PrjId]=TEXT($B139,"@"))*(FrmBB1[Row]=$E139)*(FrmBB1[Column]=UPPER(_xlfn.LET(_xlpm.x,_xlfn.TEXTBEFORE(AA$114," ("),IFERROR(_xlpm.x,AA$114)))&amp;" "&amp;AB$115),0)))</f>
        <v>0</v>
      </c>
      <c r="AC139" s="158" cm="1">
        <f t="array" aca="1" ref="AC139" ca="1">IF(OR($E139="X",$E139="",$E139=0,$B139="X",$B139="",$B139=0),0,SUM(_xlfn._xlws.FILTER(FrmBB1[Cur],(FrmBB1[PrjId]=TEXT($B139,"@"))*(FrmBB1[Row]=$E139)*(FrmBB1[Column]=UPPER(_xlfn.LET(_xlpm.x,_xlfn.TEXTBEFORE(AC$114," ("),IFERROR(_xlpm.x,AC$114)))&amp;" "&amp;AC$115),0)))</f>
        <v>0</v>
      </c>
      <c r="AD139" s="157" cm="1">
        <f t="array" aca="1" ref="AD139" ca="1">IF(OR($E139="X",$E139="",$E139=0,$B139="X",$B139="",$B139=0),0,SUM(_xlfn._xlws.FILTER(FrmBB1[Cur],(FrmBB1[PrjId]=TEXT($B139,"@"))*(FrmBB1[Row]=$E139)*(FrmBB1[Column]=UPPER(_xlfn.LET(_xlpm.x,_xlfn.TEXTBEFORE(AC$114," ("),IFERROR(_xlpm.x,AC$114)))&amp;" "&amp;AD$115),0)))</f>
        <v>0</v>
      </c>
      <c r="AE139" s="158" cm="1">
        <f t="array" aca="1" ref="AE139" ca="1">IF(OR($E139="X",$E139="",$E139=0,$B139="X",$B139="",$B139=0),0,SUM(_xlfn._xlws.FILTER(FrmBB1[Cur],(FrmBB1[PrjId]=TEXT($B139,"@"))*(FrmBB1[Row]=$E139)*(FrmBB1[Column]=UPPER(_xlfn.LET(_xlpm.x,_xlfn.TEXTBEFORE(AE$114," ("),IFERROR(_xlpm.x,AE$114)))&amp;" "&amp;AE$115),0)))</f>
        <v>0</v>
      </c>
      <c r="AF139" s="157" cm="1">
        <f t="array" aca="1" ref="AF139" ca="1">IF(OR($E139="X",$E139="",$E139=0,$B139="X",$B139="",$B139=0),0,SUM(_xlfn._xlws.FILTER(FrmBB1[Cur],(FrmBB1[PrjId]=TEXT($B139,"@"))*(FrmBB1[Row]=$E139)*(FrmBB1[Column]=UPPER(_xlfn.LET(_xlpm.x,_xlfn.TEXTBEFORE(AE$114," ("),IFERROR(_xlpm.x,AE$114)))&amp;" "&amp;AF$115),0)))</f>
        <v>0</v>
      </c>
      <c r="AG139" s="158" cm="1">
        <f t="array" aca="1" ref="AG139" ca="1">IF(OR($E139="X",$E139="",$E139=0,$B139="X",$B139="",$B139=0),0,SUM(_xlfn._xlws.FILTER(FrmBB1[Cur],(FrmBB1[PrjId]=TEXT($B139,"@"))*(FrmBB1[Row]=$E139)*(FrmBB1[Column]=UPPER(_xlfn.LET(_xlpm.x,_xlfn.TEXTBEFORE(AG$114," ("),IFERROR(_xlpm.x,AG$114)))&amp;" "&amp;AG$115),0)))</f>
        <v>0</v>
      </c>
      <c r="AH139" s="157" cm="1">
        <f t="array" aca="1" ref="AH139" ca="1">IF(OR($E139="X",$E139="",$E139=0,$B139="X",$B139="",$B139=0),0,SUM(_xlfn._xlws.FILTER(FrmBB1[Cur],(FrmBB1[PrjId]=TEXT($B139,"@"))*(FrmBB1[Row]=$E139)*(FrmBB1[Column]=UPPER(_xlfn.LET(_xlpm.x,_xlfn.TEXTBEFORE(AG$114," ("),IFERROR(_xlpm.x,AG$114)))&amp;" "&amp;AH$115),0)))</f>
        <v>0</v>
      </c>
      <c r="AI139" s="158" cm="1">
        <f t="array" aca="1" ref="AI139" ca="1">IF(OR($E139="X",$E139="",$E139=0,$B139="X",$B139="",$B139=0),0,SUM(_xlfn._xlws.FILTER(FrmBB1[Cur],(FrmBB1[PrjId]=TEXT($B139,"@"))*(FrmBB1[Row]=$E139)*(FrmBB1[Column]=UPPER(_xlfn.LET(_xlpm.x,_xlfn.TEXTBEFORE(AI$114," ("),IFERROR(_xlpm.x,AI$114)))&amp;" "&amp;AI$115),0)))</f>
        <v>0</v>
      </c>
      <c r="AJ139" s="157" cm="1">
        <f t="array" aca="1" ref="AJ139" ca="1">IF(OR($E139="X",$E139="",$E139=0,$B139="X",$B139="",$B139=0),0,SUM(_xlfn._xlws.FILTER(FrmBB1[Cur],(FrmBB1[PrjId]=TEXT($B139,"@"))*(FrmBB1[Row]=$E139)*(FrmBB1[Column]=UPPER(_xlfn.LET(_xlpm.x,_xlfn.TEXTBEFORE(AI$114," ("),IFERROR(_xlpm.x,AI$114)))&amp;" "&amp;AJ$115),0)))</f>
        <v>0</v>
      </c>
      <c r="AK139" s="158" cm="1">
        <f t="array" aca="1" ref="AK139" ca="1">IF(OR($E139="X",$E139="",$E139=0,$B139="X",$B139="",$B139=0),0,SUM(_xlfn._xlws.FILTER(FrmBB1[Cur],(FrmBB1[PrjId]=TEXT($B139,"@"))*(FrmBB1[Row]=$E139)*(FrmBB1[Column]=UPPER(_xlfn.LET(_xlpm.x,_xlfn.TEXTBEFORE(AK$114," ("),IFERROR(_xlpm.x,AK$114)))&amp;" "&amp;AK$115),0)))</f>
        <v>0</v>
      </c>
      <c r="AL139" s="157" cm="1">
        <f t="array" aca="1" ref="AL139" ca="1">IF(OR($E139="X",$E139="",$E139=0,$B139="X",$B139="",$B139=0),0,SUM(_xlfn._xlws.FILTER(FrmBB1[Cur],(FrmBB1[PrjId]=TEXT($B139,"@"))*(FrmBB1[Row]=$E139)*(FrmBB1[Column]=UPPER(_xlfn.LET(_xlpm.x,_xlfn.TEXTBEFORE(AK$114," ("),IFERROR(_xlpm.x,AK$114)))&amp;" "&amp;AL$115),0)))</f>
        <v>86.78</v>
      </c>
      <c r="AM139" s="158" cm="1">
        <f t="array" aca="1" ref="AM139" ca="1">IF(OR($E139="X",$E139="",$E139=0,$B139="X",$B139="",$B139=0),0,SUM(_xlfn._xlws.FILTER(FrmBB1[Cur],(FrmBB1[PrjId]=TEXT($B139,"@"))*(FrmBB1[Row]=$E139)*(FrmBB1[Column]=UPPER(_xlfn.LET(_xlpm.x,_xlfn.TEXTBEFORE(AM$114," ("),IFERROR(_xlpm.x,AM$114)))&amp;" "&amp;AM$115),0)))</f>
        <v>0</v>
      </c>
      <c r="AN139" s="157" cm="1">
        <f t="array" aca="1" ref="AN139" ca="1">IF(OR($E139="X",$E139="",$E139=0,$B139="X",$B139="",$B139=0),0,SUM(_xlfn._xlws.FILTER(FrmBB1[Cur],(FrmBB1[PrjId]=TEXT($B139,"@"))*(FrmBB1[Row]=$E139)*(FrmBB1[Column]=UPPER(_xlfn.LET(_xlpm.x,_xlfn.TEXTBEFORE(AM$114," ("),IFERROR(_xlpm.x,AM$114)))&amp;" "&amp;AN$115),0)))</f>
        <v>0</v>
      </c>
      <c r="AO139" s="158" cm="1">
        <f t="array" aca="1" ref="AO139" ca="1">IF(OR($E139="X",$E139="",$E139=0,$B139="X",$B139="",$B139=0),0,SUM(_xlfn._xlws.FILTER(FrmBB1[Cur],(FrmBB1[PrjId]=TEXT($B139,"@"))*(FrmBB1[Row]=$E139)*(FrmBB1[Column]=UPPER(_xlfn.LET(_xlpm.x,_xlfn.TEXTBEFORE(AO$114," ("),IFERROR(_xlpm.x,AO$114)))&amp;" "&amp;AO$115),0)))</f>
        <v>0</v>
      </c>
      <c r="AP139" s="157" cm="1">
        <f t="array" aca="1" ref="AP139" ca="1">IF(OR($E139="X",$E139="",$E139=0,$B139="X",$B139="",$B139=0),0,SUM(_xlfn._xlws.FILTER(FrmBB1[Cur],(FrmBB1[PrjId]=TEXT($B139,"@"))*(FrmBB1[Row]=$E139)*(FrmBB1[Column]=UPPER(_xlfn.LET(_xlpm.x,_xlfn.TEXTBEFORE(AO$114," ("),IFERROR(_xlpm.x,AO$114)))&amp;" "&amp;AP$115),0)))</f>
        <v>0</v>
      </c>
      <c r="AQ139" s="157" cm="1">
        <f t="array" aca="1" ref="AQ139" ca="1">SUM(IF(INDIRECT($AS$115)=AQ$115,INDIRECT($AS139)))</f>
        <v>209051.59</v>
      </c>
      <c r="AR139" s="157" cm="1">
        <f t="array" aca="1" ref="AR139" ca="1">SUM(IF(INDIRECT($AS$115)=AR$115,INDIRECT($AS139)))</f>
        <v>29135.279999999999</v>
      </c>
      <c r="AS139" s="286" t="str">
        <f t="shared" ca="1" si="13"/>
        <v>G139:AP139</v>
      </c>
      <c r="AT139" s="355">
        <f t="shared" ca="1" si="14"/>
        <v>238186.87</v>
      </c>
      <c r="AV139" s="142" cm="1">
        <f t="array" aca="1" ref="AV139" ca="1">IF(AND(_xlfn.LET(_xlpm.x,SUM(ROW()),OR(AND(MATCH("SOT",$A:$A,0)&lt;_xlpm.x,MATCH("EOT",$A:$A,0)&gt;_xlpm.x),AND(MATCH("SOS",$A:$A,0)&lt;_xlpm.x,MATCH("EOS",$A:$A,0)&gt;_xlpm.x),AND(MATCH("SOR",$A:$A,0)&lt;_xlpm.x,MATCH("EOR",$A:$A,0)&gt;_xlpm.x))),INDIRECT("rc"&amp;MATCH("SCD",$1:$1,0),FALSE)="PPTO"),1,0)</f>
        <v>0</v>
      </c>
      <c r="AW139" s="142" cm="1">
        <f t="array" aca="1" ref="AW13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40" spans="2:49" outlineLevel="1">
      <c r="B140" s="156" t="str" cm="1">
        <f t="array" aca="1" ref="B140:E140" ca="1">_xlfn.LET(_xlpm.x,SUM(ROW()-MATCH("SOR",$A:$A,0)),_xlpm.y,IFERROR(_xlfn.TAKE(INDEX(_xlfn._xlws.FILTER(TbAssign[],ISNUMBER(FIND(TbAssign[Project],$C$4)),"X"),1+QUOTIENT(_xlpm.x,3),0),1,4),0),IF(MOD(_xlpm.x-1,3)=0,IF(_xlpm.y=0,"X",_xlpm.y),INDIRECT("r[-1]c#",FALSE)))</f>
        <v>31200</v>
      </c>
      <c r="C140" s="156" t="str">
        <f ca="1"/>
        <v>XB03</v>
      </c>
      <c r="D140" s="148" t="str">
        <f ca="1"/>
        <v>DISC</v>
      </c>
      <c r="E140" s="352" t="str">
        <f ca="1"/>
        <v>DISEÑO ELEMENTOS IMPLANTACION</v>
      </c>
      <c r="F140" s="148" t="s">
        <v>397</v>
      </c>
      <c r="G140" s="157" cm="1">
        <f t="array" aca="1" ref="G140" ca="1">IF(OR($E140="X",$E140="",$E140=0,$B140="X",$B140="",$B140=0),0,SUM(_xlfn._xlws.FILTER(IF($E$4="Ppto",PptoSty[CurPpto],PptoSty[CurInt]),(IF($E$4="Ppto",PptoSty[POvsCT]=G$113,TRUE))*(PptoSty[Project]=TEXT($B140,"@"))*(PptoSty[PptoVsRow]=$E140)*(PptoSty[PptoVsColumn]=UPPER(G$114)),0)))</f>
        <v>0</v>
      </c>
      <c r="H140" s="157" cm="1">
        <f t="array" aca="1" ref="H140" ca="1">IF(OR($E140="X",$E140="",$E140=0,$B140="X",$B140="",$B140=0),0,SUM(_xlfn._xlws.FILTER(IF($E$4="Ppto",PptoSty[CurPpto],PptoSty[CurExt]),(IF($E$4="Ppto",PptoSty[POvsCT]=H$113,TRUE))*(PptoSty[Project]=TEXT($B140,"@"))*(PptoSty[PptoVsRow]=$E140)*(PptoSty[PptoVsColumn]=UPPER(G$114)),0)))</f>
        <v>0</v>
      </c>
      <c r="I140" s="157" cm="1">
        <f t="array" aca="1" ref="I140" ca="1">IF(OR($E140="X",$E140="",$E140=0,$B140="X",$B140="",$B140=0),0,SUM(_xlfn._xlws.FILTER(IF($E$4="Ppto",PptoSty[CurPpto],PptoSty[CurInt]),(IF($E$4="Ppto",PptoSty[POvsCT]=I$113,TRUE))*(PptoSty[Project]=TEXT($B140,"@"))*(PptoSty[PptoVsRow]=$E140)*(PptoSty[PptoVsColumn]=UPPER(I$114)),0)))</f>
        <v>0</v>
      </c>
      <c r="J140" s="157" cm="1">
        <f t="array" aca="1" ref="J140" ca="1">IF(OR($E140="X",$E140="",$E140=0,$B140="X",$B140="",$B140=0),0,SUM(_xlfn._xlws.FILTER(IF($E$4="Ppto",PptoSty[CurPpto],PptoSty[CurExt]),(IF($E$4="Ppto",PptoSty[POvsCT]=J$113,TRUE))*(PptoSty[Project]=TEXT($B140,"@"))*(PptoSty[PptoVsRow]=$E140)*(PptoSty[PptoVsColumn]=UPPER(I$114)),0)))</f>
        <v>0</v>
      </c>
      <c r="K140" s="157" cm="1">
        <f t="array" aca="1" ref="K140" ca="1">IF(OR($E140="X",$E140="",$E140=0,$B140="X",$B140="",$B140=0),0,SUM(_xlfn._xlws.FILTER(IF($E$4="Ppto",PptoSty[CurPpto],PptoSty[CurInt]),(IF($E$4="Ppto",PptoSty[POvsCT]=K$113,TRUE))*(PptoSty[Project]=TEXT($B140,"@"))*(PptoSty[PptoVsRow]=$E140)*(PptoSty[PptoVsColumn]=UPPER(K$114)),0)))</f>
        <v>68332.961799506258</v>
      </c>
      <c r="L140" s="157" cm="1">
        <f t="array" aca="1" ref="L140" ca="1">IF(OR($E140="X",$E140="",$E140=0,$B140="X",$B140="",$B140=0),0,SUM(_xlfn._xlws.FILTER(IF($E$4="Ppto",PptoSty[CurPpto],PptoSty[CurExt]),(IF($E$4="Ppto",PptoSty[POvsCT]=L$113,TRUE))*(PptoSty[Project]=TEXT($B140,"@"))*(PptoSty[PptoVsRow]=$E140)*(PptoSty[PptoVsColumn]=UPPER(K$114)),0)))</f>
        <v>11587.4637802875</v>
      </c>
      <c r="M140" s="157" cm="1">
        <f t="array" aca="1" ref="M140" ca="1">IF(OR($E140="X",$E140="",$E140=0,$B140="X",$B140="",$B140=0),0,SUM(_xlfn._xlws.FILTER(IF($E$4="Ppto",PptoSty[CurPpto],PptoSty[CurInt]),(IF($E$4="Ppto",PptoSty[POvsCT]=M$113,TRUE))*(PptoSty[Project]=TEXT($B140,"@"))*(PptoSty[PptoVsRow]=$E140)*(PptoSty[PptoVsColumn]=UPPER(M$114)),0)))</f>
        <v>0</v>
      </c>
      <c r="N140" s="157" cm="1">
        <f t="array" aca="1" ref="N140" ca="1">IF(OR($E140="X",$E140="",$E140=0,$B140="X",$B140="",$B140=0),0,SUM(_xlfn._xlws.FILTER(IF($E$4="Ppto",PptoSty[CurPpto],PptoSty[CurExt]),(IF($E$4="Ppto",PptoSty[POvsCT]=N$113,TRUE))*(PptoSty[Project]=TEXT($B140,"@"))*(PptoSty[PptoVsRow]=$E140)*(PptoSty[PptoVsColumn]=UPPER(M$114)),0)))</f>
        <v>0</v>
      </c>
      <c r="O140" s="157" cm="1">
        <f t="array" aca="1" ref="O140" ca="1">IF(OR($E140="X",$E140="",$E140=0,$B140="X",$B140="",$B140=0),0,SUM(_xlfn._xlws.FILTER(IF($E$4="Ppto",PptoSty[CurPpto],PptoSty[CurInt]),(IF($E$4="Ppto",PptoSty[POvsCT]=O$113,TRUE))*(PptoSty[Project]=TEXT($B140,"@"))*(PptoSty[PptoVsRow]=$E140)*(PptoSty[PptoVsColumn]=UPPER(O$114)),0)))</f>
        <v>0</v>
      </c>
      <c r="P140" s="157" cm="1">
        <f t="array" aca="1" ref="P140" ca="1">IF(OR($E140="X",$E140="",$E140=0,$B140="X",$B140="",$B140=0),0,SUM(_xlfn._xlws.FILTER(IF($E$4="Ppto",PptoSty[CurPpto],PptoSty[CurExt]),(IF($E$4="Ppto",PptoSty[POvsCT]=P$113,TRUE))*(PptoSty[Project]=TEXT($B140,"@"))*(PptoSty[PptoVsRow]=$E140)*(PptoSty[PptoVsColumn]=UPPER(O$114)),0)))</f>
        <v>0</v>
      </c>
      <c r="Q140" s="157" cm="1">
        <f t="array" aca="1" ref="Q140" ca="1">IF(OR($E140="X",$E140="",$E140=0,$B140="X",$B140="",$B140=0),0,SUM(_xlfn._xlws.FILTER(IF($E$4="Ppto",PptoSty[CurPpto],PptoSty[CurInt]),(IF($E$4="Ppto",PptoSty[POvsCT]=Q$113,TRUE))*(PptoSty[Project]=TEXT($B140,"@"))*(PptoSty[PptoVsRow]=$E140)*(PptoSty[PptoVsColumn]=UPPER(Q$114)),0)))</f>
        <v>0</v>
      </c>
      <c r="R140" s="157" cm="1">
        <f t="array" aca="1" ref="R140" ca="1">IF(OR($E140="X",$E140="",$E140=0,$B140="X",$B140="",$B140=0),0,SUM(_xlfn._xlws.FILTER(IF($E$4="Ppto",PptoSty[CurPpto],PptoSty[CurExt]),(IF($E$4="Ppto",PptoSty[POvsCT]=R$113,TRUE))*(PptoSty[Project]=TEXT($B140,"@"))*(PptoSty[PptoVsRow]=$E140)*(PptoSty[PptoVsColumn]=UPPER(Q$114)),0)))</f>
        <v>0</v>
      </c>
      <c r="S140" s="157" cm="1">
        <f t="array" aca="1" ref="S140" ca="1">IF(OR($E140="X",$E140="",$E140=0,$B140="X",$B140="",$B140=0),0,SUM(_xlfn._xlws.FILTER(IF($E$4="Ppto",PptoSty[CurPpto],PptoSty[CurInt]),(IF($E$4="Ppto",PptoSty[POvsCT]=S$113,TRUE))*(PptoSty[Project]=TEXT($B140,"@"))*(PptoSty[PptoVsRow]=$E140)*(PptoSty[PptoVsColumn]=UPPER(S$114)),0)))</f>
        <v>0</v>
      </c>
      <c r="T140" s="157" cm="1">
        <f t="array" aca="1" ref="T140" ca="1">IF(OR($E140="X",$E140="",$E140=0,$B140="X",$B140="",$B140=0),0,SUM(_xlfn._xlws.FILTER(IF($E$4="Ppto",PptoSty[CurPpto],PptoSty[CurExt]),(IF($E$4="Ppto",PptoSty[POvsCT]=T$113,TRUE))*(PptoSty[Project]=TEXT($B140,"@"))*(PptoSty[PptoVsRow]=$E140)*(PptoSty[PptoVsColumn]=UPPER(S$114)),0)))</f>
        <v>0</v>
      </c>
      <c r="U140" s="157" cm="1">
        <f t="array" aca="1" ref="U140" ca="1">IF(OR($E140="X",$E140="",$E140=0,$B140="X",$B140="",$B140=0),0,SUM(_xlfn._xlws.FILTER(IF($E$4="Ppto",PptoSty[CurPpto],PptoSty[CurInt]),(IF($E$4="Ppto",PptoSty[POvsCT]=U$113,TRUE))*(PptoSty[Project]=TEXT($B140,"@"))*(PptoSty[PptoVsRow]=$E140)*(PptoSty[PptoVsColumn]=UPPER(U$114)),0)))</f>
        <v>0</v>
      </c>
      <c r="V140" s="157" cm="1">
        <f t="array" aca="1" ref="V140" ca="1">IF(OR($E140="X",$E140="",$E140=0,$B140="X",$B140="",$B140=0),0,SUM(_xlfn._xlws.FILTER(IF($E$4="Ppto",PptoSty[CurPpto],PptoSty[CurExt]),(IF($E$4="Ppto",PptoSty[POvsCT]=V$113,TRUE))*(PptoSty[Project]=TEXT($B140,"@"))*(PptoSty[PptoVsRow]=$E140)*(PptoSty[PptoVsColumn]=UPPER(U$114)),0)))</f>
        <v>0</v>
      </c>
      <c r="W140" s="157" cm="1">
        <f t="array" aca="1" ref="W140" ca="1">IF(OR($E140="X",$E140="",$E140=0,$B140="X",$B140="",$B140=0),0,SUM(_xlfn._xlws.FILTER(IF($E$4="Ppto",PptoSty[CurPpto],PptoSty[CurInt]),(IF($E$4="Ppto",PptoSty[POvsCT]=W$113,TRUE))*(PptoSty[Project]=TEXT($B140,"@"))*(PptoSty[PptoVsRow]=$E140)*(PptoSty[PptoVsColumn]=UPPER(W$114)),0)))</f>
        <v>0</v>
      </c>
      <c r="X140" s="157" cm="1">
        <f t="array" aca="1" ref="X140" ca="1">IF(OR($E140="X",$E140="",$E140=0,$B140="X",$B140="",$B140=0),0,SUM(_xlfn._xlws.FILTER(IF($E$4="Ppto",PptoSty[CurPpto],PptoSty[CurExt]),(IF($E$4="Ppto",PptoSty[POvsCT]=X$113,TRUE))*(PptoSty[Project]=TEXT($B140,"@"))*(PptoSty[PptoVsRow]=$E140)*(PptoSty[PptoVsColumn]=UPPER(W$114)),0)))</f>
        <v>0</v>
      </c>
      <c r="Y140" s="157" cm="1">
        <f t="array" aca="1" ref="Y140" ca="1">IF(OR($E140="X",$E140="",$E140=0,$B140="X",$B140="",$B140=0),0,SUM(_xlfn._xlws.FILTER(IF($E$4="Ppto",PptoSty[CurPpto],PptoSty[CurInt]),(IF($E$4="Ppto",PptoSty[POvsCT]=Y$113,TRUE))*(PptoSty[Project]=TEXT($B140,"@"))*(PptoSty[PptoVsRow]=$E140)*(PptoSty[PptoVsColumn]=UPPER(Y$114)),0)))</f>
        <v>0</v>
      </c>
      <c r="Z140" s="157" cm="1">
        <f t="array" aca="1" ref="Z140" ca="1">IF(OR($E140="X",$E140="",$E140=0,$B140="X",$B140="",$B140=0),0,SUM(_xlfn._xlws.FILTER(IF($E$4="Ppto",PptoSty[CurPpto],PptoSty[CurExt]),(IF($E$4="Ppto",PptoSty[POvsCT]=Z$113,TRUE))*(PptoSty[Project]=TEXT($B140,"@"))*(PptoSty[PptoVsRow]=$E140)*(PptoSty[PptoVsColumn]=UPPER(Y$114)),0)))</f>
        <v>0</v>
      </c>
      <c r="AA140" s="157" cm="1">
        <f t="array" aca="1" ref="AA140" ca="1">IF(OR($E140="X",$E140="",$E140=0,$B140="X",$B140="",$B140=0),0,SUM(_xlfn._xlws.FILTER(IF($E$4="Ppto",PptoSty[CurPpto],PptoSty[CurInt]),(IF($E$4="Ppto",PptoSty[POvsCT]=AA$113,TRUE))*(PptoSty[Project]=TEXT($B140,"@"))*(PptoSty[PptoVsRow]=$E140)*(PptoSty[PptoVsColumn]=UPPER(AA$114)),0)))</f>
        <v>0</v>
      </c>
      <c r="AB140" s="157" cm="1">
        <f t="array" aca="1" ref="AB140" ca="1">IF(OR($E140="X",$E140="",$E140=0,$B140="X",$B140="",$B140=0),0,SUM(_xlfn._xlws.FILTER(IF($E$4="Ppto",PptoSty[CurPpto],PptoSty[CurExt]),(IF($E$4="Ppto",PptoSty[POvsCT]=AB$113,TRUE))*(PptoSty[Project]=TEXT($B140,"@"))*(PptoSty[PptoVsRow]=$E140)*(PptoSty[PptoVsColumn]=UPPER(AA$114)),0)))</f>
        <v>0</v>
      </c>
      <c r="AC140" s="157" cm="1">
        <f t="array" aca="1" ref="AC140" ca="1">IF(OR($E140="X",$E140="",$E140=0,$B140="X",$B140="",$B140=0),0,SUM(_xlfn._xlws.FILTER(IF($E$4="Ppto",PptoSty[CurPpto],PptoSty[CurInt]),(IF($E$4="Ppto",PptoSty[POvsCT]=AC$113,TRUE))*(PptoSty[Project]=TEXT($B140,"@"))*(PptoSty[PptoVsRow]=$E140)*(PptoSty[PptoVsColumn]=UPPER(AC$114)),0)))</f>
        <v>0</v>
      </c>
      <c r="AD140" s="157" cm="1">
        <f t="array" aca="1" ref="AD140" ca="1">IF(OR($E140="X",$E140="",$E140=0,$B140="X",$B140="",$B140=0),0,SUM(_xlfn._xlws.FILTER(IF($E$4="Ppto",PptoSty[CurPpto],PptoSty[CurExt]),(IF($E$4="Ppto",PptoSty[POvsCT]=AD$113,TRUE))*(PptoSty[Project]=TEXT($B140,"@"))*(PptoSty[PptoVsRow]=$E140)*(PptoSty[PptoVsColumn]=UPPER(AC$114)),0)))</f>
        <v>0</v>
      </c>
      <c r="AE140" s="157" cm="1">
        <f t="array" aca="1" ref="AE140" ca="1">IF(OR($E140="X",$E140="",$E140=0,$B140="X",$B140="",$B140=0),0,SUM(_xlfn._xlws.FILTER(IF($E$4="Ppto",PptoSty[CurPpto],PptoSty[CurInt]),(IF($E$4="Ppto",PptoSty[POvsCT]=AE$113,TRUE))*(PptoSty[Project]=TEXT($B140,"@"))*(PptoSty[PptoVsRow]=$E140)*(PptoSty[PptoVsColumn]=UPPER(AE$114)),0)))</f>
        <v>0</v>
      </c>
      <c r="AF140" s="157" cm="1">
        <f t="array" aca="1" ref="AF140" ca="1">IF(OR($E140="X",$E140="",$E140=0,$B140="X",$B140="",$B140=0),0,SUM(_xlfn._xlws.FILTER(IF($E$4="Ppto",PptoSty[CurPpto],PptoSty[CurExt]),(IF($E$4="Ppto",PptoSty[POvsCT]=AF$113,TRUE))*(PptoSty[Project]=TEXT($B140,"@"))*(PptoSty[PptoVsRow]=$E140)*(PptoSty[PptoVsColumn]=UPPER(AE$114)),0)))</f>
        <v>0</v>
      </c>
      <c r="AG140" s="157" cm="1">
        <f t="array" aca="1" ref="AG140" ca="1">IF(OR($E140="X",$E140="",$E140=0,$B140="X",$B140="",$B140=0),0,SUM(_xlfn._xlws.FILTER(IF($E$4="Ppto",PptoSty[CurPpto],PptoSty[CurInt]),(IF($E$4="Ppto",PptoSty[POvsCT]=AG$113,TRUE))*(PptoSty[Project]=TEXT($B140,"@"))*(PptoSty[PptoVsRow]=$E140)*(PptoSty[PptoVsColumn]=UPPER(AG$114)),0)))</f>
        <v>0</v>
      </c>
      <c r="AH140" s="157" cm="1">
        <f t="array" aca="1" ref="AH140" ca="1">IF(OR($E140="X",$E140="",$E140=0,$B140="X",$B140="",$B140=0),0,SUM(_xlfn._xlws.FILTER(IF($E$4="Ppto",PptoSty[CurPpto],PptoSty[CurExt]),(IF($E$4="Ppto",PptoSty[POvsCT]=AH$113,TRUE))*(PptoSty[Project]=TEXT($B140,"@"))*(PptoSty[PptoVsRow]=$E140)*(PptoSty[PptoVsColumn]=UPPER(AG$114)),0)))</f>
        <v>0</v>
      </c>
      <c r="AI140" s="157" cm="1">
        <f t="array" aca="1" ref="AI140" ca="1">IF(OR($E140="X",$E140="",$E140=0,$B140="X",$B140="",$B140=0),0,SUM(_xlfn._xlws.FILTER(IF($E$4="Ppto",PptoSty[CurPpto],PptoSty[CurInt]),(IF($E$4="Ppto",PptoSty[POvsCT]=AI$113,TRUE))*(PptoSty[Project]=TEXT($B140,"@"))*(PptoSty[PptoVsRow]=$E140)*(PptoSty[PptoVsColumn]=UPPER(AI$114)),0)))</f>
        <v>0</v>
      </c>
      <c r="AJ140" s="157" cm="1">
        <f t="array" aca="1" ref="AJ140" ca="1">IF(OR($E140="X",$E140="",$E140=0,$B140="X",$B140="",$B140=0),0,SUM(_xlfn._xlws.FILTER(IF($E$4="Ppto",PptoSty[CurPpto],PptoSty[CurExt]),(IF($E$4="Ppto",PptoSty[POvsCT]=AJ$113,TRUE))*(PptoSty[Project]=TEXT($B140,"@"))*(PptoSty[PptoVsRow]=$E140)*(PptoSty[PptoVsColumn]=UPPER(AI$114)),0)))</f>
        <v>0</v>
      </c>
      <c r="AK140" s="157" cm="1">
        <f t="array" aca="1" ref="AK140" ca="1">IF(OR($E140="X",$E140="",$E140=0,$B140="X",$B140="",$B140=0),0,SUM(_xlfn._xlws.FILTER(IF($E$4="Ppto",PptoSty[CurPpto],PptoSty[CurInt]),(IF($E$4="Ppto",PptoSty[POvsCT]=AK$113,TRUE))*(PptoSty[Project]=TEXT($B140,"@"))*(PptoSty[PptoVsRow]=$E140)*(PptoSty[PptoVsColumn]=UPPER(AK$114)),0)))</f>
        <v>0</v>
      </c>
      <c r="AL140" s="157" cm="1">
        <f t="array" aca="1" ref="AL140" ca="1">IF(OR($E140="X",$E140="",$E140=0,$B140="X",$B140="",$B140=0),0,SUM(_xlfn._xlws.FILTER(IF($E$4="Ppto",PptoSty[CurPpto],PptoSty[CurExt]),(IF($E$4="Ppto",PptoSty[POvsCT]=AL$113,TRUE))*(PptoSty[Project]=TEXT($B140,"@"))*(PptoSty[PptoVsRow]=$E140)*(PptoSty[PptoVsColumn]=UPPER(AK$114)),0)))</f>
        <v>0</v>
      </c>
      <c r="AM140" s="157" cm="1">
        <f t="array" aca="1" ref="AM140" ca="1">IF(OR($E140="X",$E140="",$E140=0,$B140="X",$B140="",$B140=0),0,SUM(_xlfn._xlws.FILTER(IF($E$4="Ppto",PptoSty[CurPpto],PptoSty[CurInt]),(IF($E$4="Ppto",PptoSty[POvsCT]=AM$113,TRUE))*(PptoSty[Project]=TEXT($B140,"@"))*(PptoSty[PptoVsRow]=$E140)*(PptoSty[PptoVsColumn]=UPPER(AM$114)),0)))</f>
        <v>0</v>
      </c>
      <c r="AN140" s="157" cm="1">
        <f t="array" aca="1" ref="AN140" ca="1">IF(OR($E140="X",$E140="",$E140=0,$B140="X",$B140="",$B140=0),0,SUM(_xlfn._xlws.FILTER(IF($E$4="Ppto",PptoSty[CurPpto],PptoSty[CurExt]),(IF($E$4="Ppto",PptoSty[POvsCT]=AN$113,TRUE))*(PptoSty[Project]=TEXT($B140,"@"))*(PptoSty[PptoVsRow]=$E140)*(PptoSty[PptoVsColumn]=UPPER(AM$114)),0)))</f>
        <v>0</v>
      </c>
      <c r="AO140" s="157" cm="1">
        <f t="array" aca="1" ref="AO140" ca="1">IF(OR($E140="X",$E140="",$E140=0,$B140="X",$B140="",$B140=0),0,SUM(_xlfn._xlws.FILTER(IF($E$4="Ppto",PptoSty[CurPpto],PptoSty[CurInt]),(IF($E$4="Ppto",PptoSty[POvsCT]=AO$113,TRUE))*(PptoSty[Project]=TEXT($B140,"@"))*(PptoSty[PptoVsRow]=$E140)*(PptoSty[PptoVsColumn]=UPPER(AO$114)),0)))</f>
        <v>0</v>
      </c>
      <c r="AP140" s="157" cm="1">
        <f t="array" aca="1" ref="AP140" ca="1">IF(OR($E140="X",$E140="",$E140=0,$B140="X",$B140="",$B140=0),0,SUM(_xlfn._xlws.FILTER(IF($E$4="Ppto",PptoSty[CurPpto],PptoSty[CurExt]),(IF($E$4="Ppto",PptoSty[POvsCT]=AP$113,TRUE))*(PptoSty[Project]=TEXT($B140,"@"))*(PptoSty[PptoVsRow]=$E140)*(PptoSty[PptoVsColumn]=UPPER(AO$114)),0)))</f>
        <v>0</v>
      </c>
      <c r="AQ140" s="157" cm="1">
        <f t="array" aca="1" ref="AQ140" ca="1">SUM(IF(INDIRECT($AS$115)=AQ$115,INDIRECT($AS140)))</f>
        <v>68332.961799506258</v>
      </c>
      <c r="AR140" s="157" cm="1">
        <f t="array" aca="1" ref="AR140" ca="1">SUM(IF(INDIRECT($AS$115)=AR$115,INDIRECT($AS140)))</f>
        <v>11587.4637802875</v>
      </c>
      <c r="AS140" s="286" t="str">
        <f t="shared" ca="1" si="13"/>
        <v>G140:AP140</v>
      </c>
      <c r="AT140" s="403">
        <f t="shared" ca="1" si="14"/>
        <v>79920.425579793751</v>
      </c>
      <c r="AV140" s="142" cm="1">
        <f t="array" aca="1" ref="AV140" ca="1">IF(AND(_xlfn.LET(_xlpm.x,SUM(ROW()),OR(AND(MATCH("SOT",$A:$A,0)&lt;_xlpm.x,MATCH("EOT",$A:$A,0)&gt;_xlpm.x),AND(MATCH("SOS",$A:$A,0)&lt;_xlpm.x,MATCH("EOS",$A:$A,0)&gt;_xlpm.x),AND(MATCH("SOR",$A:$A,0)&lt;_xlpm.x,MATCH("EOR",$A:$A,0)&gt;_xlpm.x))),INDIRECT("rc"&amp;MATCH("SCD",$1:$1,0),FALSE)="PPTO"),1,0)</f>
        <v>1</v>
      </c>
      <c r="AW140" s="142" cm="1">
        <f t="array" aca="1" ref="AW14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41" spans="2:49" outlineLevel="1">
      <c r="B141" s="156" t="str" cm="1">
        <f t="array" aca="1" ref="B141:E141" ca="1">_xlfn.LET(_xlpm.x,SUM(ROW()-MATCH("SOR",$A:$A,0)),_xlpm.y,IFERROR(_xlfn.TAKE(INDEX(_xlfn._xlws.FILTER(TbAssign[],ISNUMBER(FIND(TbAssign[Project],$C$4)),"X"),1+QUOTIENT(_xlpm.x,3),0),1,4),0),IF(MOD(_xlpm.x-1,3)=0,IF(_xlpm.y=0,"X",_xlpm.y),INDIRECT("r[-1]c#",FALSE)))</f>
        <v>31200</v>
      </c>
      <c r="C141" s="156" t="str">
        <f ca="1"/>
        <v>XB03</v>
      </c>
      <c r="D141" s="148" t="str">
        <f ca="1"/>
        <v>DISC</v>
      </c>
      <c r="E141" s="352" t="str">
        <f ca="1"/>
        <v>DISEÑO ELEMENTOS IMPLANTACION</v>
      </c>
      <c r="F141" s="148" t="s">
        <v>1382</v>
      </c>
      <c r="G141" s="157" cm="1">
        <f t="array" aca="1" ref="G141" ca="1">IF(OR($E141="X",$E141="",$E141=0,$B141="X",$B141="",$B141=0),0,SUM(_xlfn._xlws.FILTER(PrvSty[DsvValue:SERRA],(PrvSty[Project]=TEXT($B141,"@"))*(PrvSty[Row]=$E141)*(PrvSty[Column]=UPPER(G$114)),0)))</f>
        <v>0</v>
      </c>
      <c r="H141" s="157" cm="1">
        <f t="array" aca="1" ref="H141" ca="1">IF(OR($E141="X",$E141="",$E141=0,$B141="X",$B141="",$B141=0),0,SUM(_xlfn._xlws.FILTER(PrvSty[DsvValue:EXT.],(PrvSty[Project]=TEXT($B141,"@"))*(PrvSty[Row]=$E141)*(PrvSty[Column]=UPPER(G$114)),0)))</f>
        <v>0</v>
      </c>
      <c r="I141" s="157" cm="1">
        <f t="array" aca="1" ref="I141" ca="1">IF(OR($E141="X",$E141="",$E141=0,$B141="X",$B141="",$B141=0),0,SUM(_xlfn._xlws.FILTER(PrvSty[DsvValue:SERRA],(PrvSty[Project]=TEXT($B141,"@"))*(PrvSty[Row]=$E141)*(PrvSty[Column]=UPPER(I$114)),0)))</f>
        <v>0</v>
      </c>
      <c r="J141" s="157" cm="1">
        <f t="array" aca="1" ref="J141" ca="1">IF(OR($E141="X",$E141="",$E141=0,$B141="X",$B141="",$B141=0),0,SUM(_xlfn._xlws.FILTER(PrvSty[DsvValue:EXT.],(PrvSty[Project]=TEXT($B141,"@"))*(PrvSty[Row]=$E141)*(PrvSty[Column]=UPPER(I$114)),0)))</f>
        <v>0</v>
      </c>
      <c r="K141" s="157" cm="1">
        <f t="array" aca="1" ref="K141" ca="1">IF(OR($E141="X",$E141="",$E141=0,$B141="X",$B141="",$B141=0),0,SUM(_xlfn._xlws.FILTER(PrvSty[DsvValue:SERRA],(PrvSty[Project]=TEXT($B141,"@"))*(PrvSty[Row]=$E141)*(PrvSty[Column]=UPPER(K$114)),0)))</f>
        <v>-55000</v>
      </c>
      <c r="L141" s="157" cm="1">
        <f t="array" aca="1" ref="L141" ca="1">IF(OR($E141="X",$E141="",$E141=0,$B141="X",$B141="",$B141=0),0,SUM(_xlfn._xlws.FILTER(PrvSty[DsvValue:EXT.],(PrvSty[Project]=TEXT($B141,"@"))*(PrvSty[Row]=$E141)*(PrvSty[Column]=UPPER(K$114)),0)))</f>
        <v>0</v>
      </c>
      <c r="M141" s="157" cm="1">
        <f t="array" aca="1" ref="M141" ca="1">IF(OR($E141="X",$E141="",$E141=0,$B141="X",$B141="",$B141=0),0,SUM(_xlfn._xlws.FILTER(PrvSty[DsvValue:SERRA],(PrvSty[Project]=TEXT($B141,"@"))*(PrvSty[Row]=$E141)*(PrvSty[Column]=UPPER(M$114)),0)))</f>
        <v>0</v>
      </c>
      <c r="N141" s="157" cm="1">
        <f t="array" aca="1" ref="N141" ca="1">IF(OR($E141="X",$E141="",$E141=0,$B141="X",$B141="",$B141=0),0,SUM(_xlfn._xlws.FILTER(PrvSty[DsvValue:EXT.],(PrvSty[Project]=TEXT($B141,"@"))*(PrvSty[Row]=$E141)*(PrvSty[Column]=UPPER(M$114)),0)))</f>
        <v>0</v>
      </c>
      <c r="O141" s="157" cm="1">
        <f t="array" aca="1" ref="O141" ca="1">IF(OR($E141="X",$E141="",$E141=0,$B141="X",$B141="",$B141=0),0,SUM(_xlfn._xlws.FILTER(PrvSty[DsvValue:SERRA],(PrvSty[Project]=TEXT($B141,"@"))*(PrvSty[Row]=$E141)*(PrvSty[Column]=UPPER(O$114)),0)))</f>
        <v>0</v>
      </c>
      <c r="P141" s="157" cm="1">
        <f t="array" aca="1" ref="P141" ca="1">IF(OR($E141="X",$E141="",$E141=0,$B141="X",$B141="",$B141=0),0,SUM(_xlfn._xlws.FILTER(PrvSty[DsvValue:EXT.],(PrvSty[Project]=TEXT($B141,"@"))*(PrvSty[Row]=$E141)*(PrvSty[Column]=UPPER(O$114)),0)))</f>
        <v>0</v>
      </c>
      <c r="Q141" s="157" cm="1">
        <f t="array" aca="1" ref="Q141" ca="1">IF(OR($E141="X",$E141="",$E141=0,$B141="X",$B141="",$B141=0),0,SUM(_xlfn._xlws.FILTER(PrvSty[DsvValue:SERRA],(PrvSty[Project]=TEXT($B141,"@"))*(PrvSty[Row]=$E141)*(PrvSty[Column]=UPPER(Q$114)),0)))</f>
        <v>0</v>
      </c>
      <c r="R141" s="157" cm="1">
        <f t="array" aca="1" ref="R141" ca="1">IF(OR($E141="X",$E141="",$E141=0,$B141="X",$B141="",$B141=0),0,SUM(_xlfn._xlws.FILTER(PrvSty[DsvValue:EXT.],(PrvSty[Project]=TEXT($B141,"@"))*(PrvSty[Row]=$E141)*(PrvSty[Column]=UPPER(Q$114)),0)))</f>
        <v>0</v>
      </c>
      <c r="S141" s="157" cm="1">
        <f t="array" aca="1" ref="S141" ca="1">IF(OR($E141="X",$E141="",$E141=0,$B141="X",$B141="",$B141=0),0,SUM(_xlfn._xlws.FILTER(PrvSty[DsvValue:SERRA],(PrvSty[Project]=TEXT($B141,"@"))*(PrvSty[Row]=$E141)*(PrvSty[Column]=UPPER(S$114)),0)))</f>
        <v>0</v>
      </c>
      <c r="T141" s="157" cm="1">
        <f t="array" aca="1" ref="T141" ca="1">IF(OR($E141="X",$E141="",$E141=0,$B141="X",$B141="",$B141=0),0,SUM(_xlfn._xlws.FILTER(PrvSty[DsvValue:EXT.],(PrvSty[Project]=TEXT($B141,"@"))*(PrvSty[Row]=$E141)*(PrvSty[Column]=UPPER(S$114)),0)))</f>
        <v>0</v>
      </c>
      <c r="U141" s="157" cm="1">
        <f t="array" aca="1" ref="U141" ca="1">IF(OR($E141="X",$E141="",$E141=0,$B141="X",$B141="",$B141=0),0,SUM(_xlfn._xlws.FILTER(PrvSty[DsvValue:SERRA],(PrvSty[Project]=TEXT($B141,"@"))*(PrvSty[Row]=$E141)*(PrvSty[Column]=UPPER(U$114)),0)))</f>
        <v>0</v>
      </c>
      <c r="V141" s="157" cm="1">
        <f t="array" aca="1" ref="V141" ca="1">IF(OR($E141="X",$E141="",$E141=0,$B141="X",$B141="",$B141=0),0,SUM(_xlfn._xlws.FILTER(PrvSty[DsvValue:EXT.],(PrvSty[Project]=TEXT($B141,"@"))*(PrvSty[Row]=$E141)*(PrvSty[Column]=UPPER(U$114)),0)))</f>
        <v>0</v>
      </c>
      <c r="W141" s="157" cm="1">
        <f t="array" aca="1" ref="W141" ca="1">IF(OR($E141="X",$E141="",$E141=0,$B141="X",$B141="",$B141=0),0,SUM(_xlfn._xlws.FILTER(PrvSty[DsvValue:SERRA],(PrvSty[Project]=TEXT($B141,"@"))*(PrvSty[Row]=$E141)*(PrvSty[Column]=UPPER(W$114)),0)))</f>
        <v>0</v>
      </c>
      <c r="X141" s="157" cm="1">
        <f t="array" aca="1" ref="X141" ca="1">IF(OR($E141="X",$E141="",$E141=0,$B141="X",$B141="",$B141=0),0,SUM(_xlfn._xlws.FILTER(PrvSty[DsvValue:EXT.],(PrvSty[Project]=TEXT($B141,"@"))*(PrvSty[Row]=$E141)*(PrvSty[Column]=UPPER(W$114)),0)))</f>
        <v>0</v>
      </c>
      <c r="Y141" s="157" cm="1">
        <f t="array" aca="1" ref="Y141" ca="1">IF(OR($E141="X",$E141="",$E141=0,$B141="X",$B141="",$B141=0),0,SUM(_xlfn._xlws.FILTER(PrvSty[DsvValue:SERRA],(PrvSty[Project]=TEXT($B141,"@"))*(PrvSty[Row]=$E141)*(PrvSty[Column]=UPPER(Y$114)),0)))</f>
        <v>0</v>
      </c>
      <c r="Z141" s="157" cm="1">
        <f t="array" aca="1" ref="Z141" ca="1">IF(OR($E141="X",$E141="",$E141=0,$B141="X",$B141="",$B141=0),0,SUM(_xlfn._xlws.FILTER(PrvSty[DsvValue:EXT.],(PrvSty[Project]=TEXT($B141,"@"))*(PrvSty[Row]=$E141)*(PrvSty[Column]=UPPER(Y$114)),0)))</f>
        <v>0</v>
      </c>
      <c r="AA141" s="157" cm="1">
        <f t="array" aca="1" ref="AA141" ca="1">IF(OR($E141="X",$E141="",$E141=0,$B141="X",$B141="",$B141=0),0,SUM(_xlfn._xlws.FILTER(PrvSty[DsvValue:SERRA],(PrvSty[Project]=TEXT($B141,"@"))*(PrvSty[Row]=$E141)*(PrvSty[Column]=UPPER(AA$114)),0)))</f>
        <v>0</v>
      </c>
      <c r="AB141" s="157" cm="1">
        <f t="array" aca="1" ref="AB141" ca="1">IF(OR($E141="X",$E141="",$E141=0,$B141="X",$B141="",$B141=0),0,SUM(_xlfn._xlws.FILTER(PrvSty[DsvValue:EXT.],(PrvSty[Project]=TEXT($B141,"@"))*(PrvSty[Row]=$E141)*(PrvSty[Column]=UPPER(AA$114)),0)))</f>
        <v>0</v>
      </c>
      <c r="AC141" s="157" cm="1">
        <f t="array" aca="1" ref="AC141" ca="1">IF(OR($E141="X",$E141="",$E141=0,$B141="X",$B141="",$B141=0),0,SUM(_xlfn._xlws.FILTER(PrvSty[DsvValue:SERRA],(PrvSty[Project]=TEXT($B141,"@"))*(PrvSty[Row]=$E141)*(PrvSty[Column]=UPPER(AC$114)),0)))</f>
        <v>0</v>
      </c>
      <c r="AD141" s="157" cm="1">
        <f t="array" aca="1" ref="AD141" ca="1">IF(OR($E141="X",$E141="",$E141=0,$B141="X",$B141="",$B141=0),0,SUM(_xlfn._xlws.FILTER(PrvSty[DsvValue:EXT.],(PrvSty[Project]=TEXT($B141,"@"))*(PrvSty[Row]=$E141)*(PrvSty[Column]=UPPER(AC$114)),0)))</f>
        <v>0</v>
      </c>
      <c r="AE141" s="157" cm="1">
        <f t="array" aca="1" ref="AE141" ca="1">IF(OR($E141="X",$E141="",$E141=0,$B141="X",$B141="",$B141=0),0,SUM(_xlfn._xlws.FILTER(PrvSty[DsvValue:SERRA],(PrvSty[Project]=TEXT($B141,"@"))*(PrvSty[Row]=$E141)*(PrvSty[Column]=UPPER(AE$114)),0)))</f>
        <v>0</v>
      </c>
      <c r="AF141" s="157" cm="1">
        <f t="array" aca="1" ref="AF141" ca="1">IF(OR($E141="X",$E141="",$E141=0,$B141="X",$B141="",$B141=0),0,SUM(_xlfn._xlws.FILTER(PrvSty[DsvValue:EXT.],(PrvSty[Project]=TEXT($B141,"@"))*(PrvSty[Row]=$E141)*(PrvSty[Column]=UPPER(AE$114)),0)))</f>
        <v>0</v>
      </c>
      <c r="AG141" s="157" cm="1">
        <f t="array" aca="1" ref="AG141" ca="1">IF(OR($E141="X",$E141="",$E141=0,$B141="X",$B141="",$B141=0),0,SUM(_xlfn._xlws.FILTER(PrvSty[DsvValue:SERRA],(PrvSty[Project]=TEXT($B141,"@"))*(PrvSty[Row]=$E141)*(PrvSty[Column]=UPPER(AG$114)),0)))</f>
        <v>0</v>
      </c>
      <c r="AH141" s="157" cm="1">
        <f t="array" aca="1" ref="AH141" ca="1">IF(OR($E141="X",$E141="",$E141=0,$B141="X",$B141="",$B141=0),0,SUM(_xlfn._xlws.FILTER(PrvSty[DsvValue:EXT.],(PrvSty[Project]=TEXT($B141,"@"))*(PrvSty[Row]=$E141)*(PrvSty[Column]=UPPER(AG$114)),0)))</f>
        <v>0</v>
      </c>
      <c r="AI141" s="157" cm="1">
        <f t="array" aca="1" ref="AI141" ca="1">IF(OR($E141="X",$E141="",$E141=0,$B141="X",$B141="",$B141=0),0,SUM(_xlfn._xlws.FILTER(PrvSty[DsvValue:SERRA],(PrvSty[Project]=TEXT($B141,"@"))*(PrvSty[Row]=$E141)*(PrvSty[Column]=UPPER(AI$114)),0)))</f>
        <v>0</v>
      </c>
      <c r="AJ141" s="157" cm="1">
        <f t="array" aca="1" ref="AJ141" ca="1">IF(OR($E141="X",$E141="",$E141=0,$B141="X",$B141="",$B141=0),0,SUM(_xlfn._xlws.FILTER(PrvSty[DsvValue:EXT.],(PrvSty[Project]=TEXT($B141,"@"))*(PrvSty[Row]=$E141)*(PrvSty[Column]=UPPER(AI$114)),0)))</f>
        <v>0</v>
      </c>
      <c r="AK141" s="157" cm="1">
        <f t="array" aca="1" ref="AK141" ca="1">IF(OR($E141="X",$E141="",$E141=0,$B141="X",$B141="",$B141=0),0,SUM(_xlfn._xlws.FILTER(PrvSty[DsvValue:SERRA],(PrvSty[Project]=TEXT($B141,"@"))*(PrvSty[Row]=$E141)*(PrvSty[Column]=UPPER(AK$114)),0)))</f>
        <v>0</v>
      </c>
      <c r="AL141" s="157" cm="1">
        <f t="array" aca="1" ref="AL141" ca="1">IF(OR($E141="X",$E141="",$E141=0,$B141="X",$B141="",$B141=0),0,SUM(_xlfn._xlws.FILTER(PrvSty[DsvValue:EXT.],(PrvSty[Project]=TEXT($B141,"@"))*(PrvSty[Row]=$E141)*(PrvSty[Column]=UPPER(AK$114)),0)))</f>
        <v>0</v>
      </c>
      <c r="AM141" s="157" cm="1">
        <f t="array" aca="1" ref="AM141" ca="1">IF(OR($E141="X",$E141="",$E141=0,$B141="X",$B141="",$B141=0),0,SUM(_xlfn._xlws.FILTER(PrvSty[DsvValue:SERRA],(PrvSty[Project]=TEXT($B141,"@"))*(PrvSty[Row]=$E141)*(PrvSty[Column]=UPPER(AM$114)),0)))</f>
        <v>0</v>
      </c>
      <c r="AN141" s="157" cm="1">
        <f t="array" aca="1" ref="AN141" ca="1">IF(OR($E141="X",$E141="",$E141=0,$B141="X",$B141="",$B141=0),0,SUM(_xlfn._xlws.FILTER(PrvSty[DsvValue:EXT.],(PrvSty[Project]=TEXT($B141,"@"))*(PrvSty[Row]=$E141)*(PrvSty[Column]=UPPER(AM$114)),0)))</f>
        <v>0</v>
      </c>
      <c r="AO141" s="157" cm="1">
        <f t="array" aca="1" ref="AO141" ca="1">IF(OR($E141="X",$E141="",$E141=0,$B141="X",$B141="",$B141=0),0,SUM(_xlfn._xlws.FILTER(PrvSty[DsvValue:SERRA],(PrvSty[Project]=TEXT($B141,"@"))*(PrvSty[Row]=$E141)*(PrvSty[Column]=UPPER(AO$114)),0)))</f>
        <v>0</v>
      </c>
      <c r="AP141" s="157" cm="1">
        <f t="array" aca="1" ref="AP141" ca="1">IF(OR($E141="X",$E141="",$E141=0,$B141="X",$B141="",$B141=0),0,SUM(_xlfn._xlws.FILTER(PrvSty[DsvValue:EXT.],(PrvSty[Project]=TEXT($B141,"@"))*(PrvSty[Row]=$E141)*(PrvSty[Column]=UPPER(AO$114)),0)))</f>
        <v>0</v>
      </c>
      <c r="AQ141" s="157" cm="1">
        <f t="array" aca="1" ref="AQ141" ca="1">SUM(IF(INDIRECT($AS$115)=AQ$115,INDIRECT($AS141)))</f>
        <v>-55000</v>
      </c>
      <c r="AR141" s="157" cm="1">
        <f t="array" aca="1" ref="AR141" ca="1">SUM(IF(INDIRECT($AS$115)=AR$115,INDIRECT($AS141)))</f>
        <v>0</v>
      </c>
      <c r="AS141" s="286" t="str">
        <f t="shared" ca="1" si="13"/>
        <v>G141:AP141</v>
      </c>
      <c r="AT141" s="403">
        <f t="shared" ca="1" si="14"/>
        <v>-55000</v>
      </c>
      <c r="AV141" s="142" cm="1">
        <f t="array" aca="1" ref="AV141" ca="1">IF(AND(_xlfn.LET(_xlpm.x,SUM(ROW()),OR(AND(MATCH("SOT",$A:$A,0)&lt;_xlpm.x,MATCH("EOT",$A:$A,0)&gt;_xlpm.x),AND(MATCH("SOS",$A:$A,0)&lt;_xlpm.x,MATCH("EOS",$A:$A,0)&gt;_xlpm.x),AND(MATCH("SOR",$A:$A,0)&lt;_xlpm.x,MATCH("EOR",$A:$A,0)&gt;_xlpm.x))),INDIRECT("rc"&amp;MATCH("SCD",$1:$1,0),FALSE)="PPTO"),1,0)</f>
        <v>0</v>
      </c>
      <c r="AW141" s="142" cm="1">
        <f t="array" aca="1" ref="AW14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42" spans="2:49" outlineLevel="1">
      <c r="B142" s="156" t="str" cm="1">
        <f t="array" aca="1" ref="B142:E142" ca="1">_xlfn.LET(_xlpm.x,SUM(ROW()-MATCH("SOR",$A:$A,0)),_xlpm.y,IFERROR(_xlfn.TAKE(INDEX(_xlfn._xlws.FILTER(TbAssign[],ISNUMBER(FIND(TbAssign[Project],$C$4)),"X"),1+QUOTIENT(_xlpm.x,3),0),1,4),0),IF(MOD(_xlpm.x-1,3)=0,IF(_xlpm.y=0,"X",_xlpm.y),INDIRECT("r[-1]c#",FALSE)))</f>
        <v>31200</v>
      </c>
      <c r="C142" s="156" t="str">
        <f ca="1"/>
        <v>XB03</v>
      </c>
      <c r="D142" s="148" t="str">
        <f ca="1"/>
        <v>DISC</v>
      </c>
      <c r="E142" s="352" t="str">
        <f ca="1"/>
        <v>DISEÑO ELEMENTOS IMPLANTACION</v>
      </c>
      <c r="F142" s="148" t="s">
        <v>1383</v>
      </c>
      <c r="G142" s="158" cm="1">
        <f t="array" aca="1" ref="G142" ca="1">IF(OR($E142="X",$E142="",$E142=0,$B142="X",$B142="",$B142=0),0,SUM(_xlfn._xlws.FILTER(FrmBB1[Cur],(FrmBB1[PrjId]=TEXT($B142,"@"))*(FrmBB1[Row]=$E142)*(FrmBB1[Column]=UPPER(_xlfn.LET(_xlpm.x,_xlfn.TEXTBEFORE(G$114," ("),IFERROR(_xlpm.x,G$114)))&amp;" "&amp;G$115),0)))</f>
        <v>0</v>
      </c>
      <c r="H142" s="157" cm="1">
        <f t="array" aca="1" ref="H142" ca="1">IF(OR($E142="X",$E142="",$E142=0,$B142="X",$B142="",$B142=0),0,SUM(_xlfn._xlws.FILTER(FrmBB1[Cur],(FrmBB1[PrjId]=TEXT($B142,"@"))*(FrmBB1[Row]=$E142)*(FrmBB1[Column]=UPPER(_xlfn.LET(_xlpm.x,_xlfn.TEXTBEFORE(G$114," ("),IFERROR(_xlpm.x,G$114)))&amp;" "&amp;H$115),0)))</f>
        <v>0</v>
      </c>
      <c r="I142" s="158" cm="1">
        <f t="array" aca="1" ref="I142" ca="1">IF(OR($E142="X",$E142="",$E142=0,$B142="X",$B142="",$B142=0),0,SUM(_xlfn._xlws.FILTER(FrmBB1[Cur],(FrmBB1[PrjId]=TEXT($B142,"@"))*(FrmBB1[Row]=$E142)*(FrmBB1[Column]=UPPER(_xlfn.LET(_xlpm.x,_xlfn.TEXTBEFORE(I$114," ("),IFERROR(_xlpm.x,I$114)))&amp;" "&amp;I$115),0)))</f>
        <v>0</v>
      </c>
      <c r="J142" s="157" cm="1">
        <f t="array" aca="1" ref="J142" ca="1">IF(OR($E142="X",$E142="",$E142=0,$B142="X",$B142="",$B142=0),0,SUM(_xlfn._xlws.FILTER(FrmBB1[Cur],(FrmBB1[PrjId]=TEXT($B142,"@"))*(FrmBB1[Row]=$E142)*(FrmBB1[Column]=UPPER(_xlfn.LET(_xlpm.x,_xlfn.TEXTBEFORE(I$114," ("),IFERROR(_xlpm.x,I$114)))&amp;" "&amp;J$115),0)))</f>
        <v>0</v>
      </c>
      <c r="K142" s="158" cm="1">
        <f t="array" aca="1" ref="K142" ca="1">IF(OR($E142="X",$E142="",$E142=0,$B142="X",$B142="",$B142=0),0,SUM(_xlfn._xlws.FILTER(FrmBB1[Cur],(FrmBB1[PrjId]=TEXT($B142,"@"))*(FrmBB1[Row]=$E142)*(FrmBB1[Column]=UPPER(_xlfn.LET(_xlpm.x,_xlfn.TEXTBEFORE(K$114," ("),IFERROR(_xlpm.x,K$114)))&amp;" "&amp;K$115),0)))</f>
        <v>18005.599999999999</v>
      </c>
      <c r="L142" s="157" cm="1">
        <f t="array" aca="1" ref="L142" ca="1">IF(OR($E142="X",$E142="",$E142=0,$B142="X",$B142="",$B142=0),0,SUM(_xlfn._xlws.FILTER(FrmBB1[Cur],(FrmBB1[PrjId]=TEXT($B142,"@"))*(FrmBB1[Row]=$E142)*(FrmBB1[Column]=UPPER(_xlfn.LET(_xlpm.x,_xlfn.TEXTBEFORE(K$114," ("),IFERROR(_xlpm.x,K$114)))&amp;" "&amp;L$115),0)))</f>
        <v>3694.55</v>
      </c>
      <c r="M142" s="158" cm="1">
        <f t="array" aca="1" ref="M142" ca="1">IF(OR($E142="X",$E142="",$E142=0,$B142="X",$B142="",$B142=0),0,SUM(_xlfn._xlws.FILTER(FrmBB1[Cur],(FrmBB1[PrjId]=TEXT($B142,"@"))*(FrmBB1[Row]=$E142)*(FrmBB1[Column]=UPPER(_xlfn.LET(_xlpm.x,_xlfn.TEXTBEFORE(M$114," ("),IFERROR(_xlpm.x,M$114)))&amp;" "&amp;M$115),0)))</f>
        <v>0</v>
      </c>
      <c r="N142" s="157" cm="1">
        <f t="array" aca="1" ref="N142" ca="1">IF(OR($E142="X",$E142="",$E142=0,$B142="X",$B142="",$B142=0),0,SUM(_xlfn._xlws.FILTER(FrmBB1[Cur],(FrmBB1[PrjId]=TEXT($B142,"@"))*(FrmBB1[Row]=$E142)*(FrmBB1[Column]=UPPER(_xlfn.LET(_xlpm.x,_xlfn.TEXTBEFORE(M$114," ("),IFERROR(_xlpm.x,M$114)))&amp;" "&amp;N$115),0)))</f>
        <v>0</v>
      </c>
      <c r="O142" s="158" cm="1">
        <f t="array" aca="1" ref="O142" ca="1">IF(OR($E142="X",$E142="",$E142=0,$B142="X",$B142="",$B142=0),0,SUM(_xlfn._xlws.FILTER(FrmBB1[Cur],(FrmBB1[PrjId]=TEXT($B142,"@"))*(FrmBB1[Row]=$E142)*(FrmBB1[Column]=UPPER(_xlfn.LET(_xlpm.x,_xlfn.TEXTBEFORE(O$114," ("),IFERROR(_xlpm.x,O$114)))&amp;" "&amp;O$115),0)))</f>
        <v>0</v>
      </c>
      <c r="P142" s="157" cm="1">
        <f t="array" aca="1" ref="P142" ca="1">IF(OR($E142="X",$E142="",$E142=0,$B142="X",$B142="",$B142=0),0,SUM(_xlfn._xlws.FILTER(FrmBB1[Cur],(FrmBB1[PrjId]=TEXT($B142,"@"))*(FrmBB1[Row]=$E142)*(FrmBB1[Column]=UPPER(_xlfn.LET(_xlpm.x,_xlfn.TEXTBEFORE(O$114," ("),IFERROR(_xlpm.x,O$114)))&amp;" "&amp;P$115),0)))</f>
        <v>0</v>
      </c>
      <c r="Q142" s="158" cm="1">
        <f t="array" aca="1" ref="Q142" ca="1">IF(OR($E142="X",$E142="",$E142=0,$B142="X",$B142="",$B142=0),0,SUM(_xlfn._xlws.FILTER(FrmBB1[Cur],(FrmBB1[PrjId]=TEXT($B142,"@"))*(FrmBB1[Row]=$E142)*(FrmBB1[Column]=UPPER(_xlfn.LET(_xlpm.x,_xlfn.TEXTBEFORE(Q$114," ("),IFERROR(_xlpm.x,Q$114)))&amp;" "&amp;Q$115),0)))</f>
        <v>0</v>
      </c>
      <c r="R142" s="157" cm="1">
        <f t="array" aca="1" ref="R142" ca="1">IF(OR($E142="X",$E142="",$E142=0,$B142="X",$B142="",$B142=0),0,SUM(_xlfn._xlws.FILTER(FrmBB1[Cur],(FrmBB1[PrjId]=TEXT($B142,"@"))*(FrmBB1[Row]=$E142)*(FrmBB1[Column]=UPPER(_xlfn.LET(_xlpm.x,_xlfn.TEXTBEFORE(Q$114," ("),IFERROR(_xlpm.x,Q$114)))&amp;" "&amp;R$115),0)))</f>
        <v>0</v>
      </c>
      <c r="S142" s="158" cm="1">
        <f t="array" aca="1" ref="S142" ca="1">IF(OR($E142="X",$E142="",$E142=0,$B142="X",$B142="",$B142=0),0,SUM(_xlfn._xlws.FILTER(FrmBB1[Cur],(FrmBB1[PrjId]=TEXT($B142,"@"))*(FrmBB1[Row]=$E142)*(FrmBB1[Column]=UPPER(_xlfn.LET(_xlpm.x,_xlfn.TEXTBEFORE(S$114," ("),IFERROR(_xlpm.x,S$114)))&amp;" "&amp;S$115),0)))</f>
        <v>0</v>
      </c>
      <c r="T142" s="157" cm="1">
        <f t="array" aca="1" ref="T142" ca="1">IF(OR($E142="X",$E142="",$E142=0,$B142="X",$B142="",$B142=0),0,SUM(_xlfn._xlws.FILTER(FrmBB1[Cur],(FrmBB1[PrjId]=TEXT($B142,"@"))*(FrmBB1[Row]=$E142)*(FrmBB1[Column]=UPPER(_xlfn.LET(_xlpm.x,_xlfn.TEXTBEFORE(S$114," ("),IFERROR(_xlpm.x,S$114)))&amp;" "&amp;T$115),0)))</f>
        <v>0</v>
      </c>
      <c r="U142" s="158" cm="1">
        <f t="array" aca="1" ref="U142" ca="1">IF(OR($E142="X",$E142="",$E142=0,$B142="X",$B142="",$B142=0),0,SUM(_xlfn._xlws.FILTER(FrmBB1[Cur],(FrmBB1[PrjId]=TEXT($B142,"@"))*(FrmBB1[Row]=$E142)*(FrmBB1[Column]=UPPER(_xlfn.LET(_xlpm.x,_xlfn.TEXTBEFORE(U$114," ("),IFERROR(_xlpm.x,U$114)))&amp;" "&amp;U$115),0)))</f>
        <v>0</v>
      </c>
      <c r="V142" s="157" cm="1">
        <f t="array" aca="1" ref="V142" ca="1">IF(OR($E142="X",$E142="",$E142=0,$B142="X",$B142="",$B142=0),0,SUM(_xlfn._xlws.FILTER(FrmBB1[Cur],(FrmBB1[PrjId]=TEXT($B142,"@"))*(FrmBB1[Row]=$E142)*(FrmBB1[Column]=UPPER(_xlfn.LET(_xlpm.x,_xlfn.TEXTBEFORE(U$114," ("),IFERROR(_xlpm.x,U$114)))&amp;" "&amp;V$115),0)))</f>
        <v>0</v>
      </c>
      <c r="W142" s="158" cm="1">
        <f t="array" aca="1" ref="W142" ca="1">IF(OR($E142="X",$E142="",$E142=0,$B142="X",$B142="",$B142=0),0,SUM(_xlfn._xlws.FILTER(FrmBB1[Cur],(FrmBB1[PrjId]=TEXT($B142,"@"))*(FrmBB1[Row]=$E142)*(FrmBB1[Column]=UPPER(_xlfn.LET(_xlpm.x,_xlfn.TEXTBEFORE(W$114," ("),IFERROR(_xlpm.x,W$114)))&amp;" "&amp;W$115),0)))</f>
        <v>0</v>
      </c>
      <c r="X142" s="157" cm="1">
        <f t="array" aca="1" ref="X142" ca="1">IF(OR($E142="X",$E142="",$E142=0,$B142="X",$B142="",$B142=0),0,SUM(_xlfn._xlws.FILTER(FrmBB1[Cur],(FrmBB1[PrjId]=TEXT($B142,"@"))*(FrmBB1[Row]=$E142)*(FrmBB1[Column]=UPPER(_xlfn.LET(_xlpm.x,_xlfn.TEXTBEFORE(W$114," ("),IFERROR(_xlpm.x,W$114)))&amp;" "&amp;X$115),0)))</f>
        <v>0</v>
      </c>
      <c r="Y142" s="158" cm="1">
        <f t="array" aca="1" ref="Y142" ca="1">IF(OR($E142="X",$E142="",$E142=0,$B142="X",$B142="",$B142=0),0,SUM(_xlfn._xlws.FILTER(FrmBB1[Cur],(FrmBB1[PrjId]=TEXT($B142,"@"))*(FrmBB1[Row]=$E142)*(FrmBB1[Column]=UPPER(_xlfn.LET(_xlpm.x,_xlfn.TEXTBEFORE(Y$114," ("),IFERROR(_xlpm.x,Y$114)))&amp;" "&amp;Y$115),0)))</f>
        <v>0</v>
      </c>
      <c r="Z142" s="157" cm="1">
        <f t="array" aca="1" ref="Z142" ca="1">IF(OR($E142="X",$E142="",$E142=0,$B142="X",$B142="",$B142=0),0,SUM(_xlfn._xlws.FILTER(FrmBB1[Cur],(FrmBB1[PrjId]=TEXT($B142,"@"))*(FrmBB1[Row]=$E142)*(FrmBB1[Column]=UPPER(_xlfn.LET(_xlpm.x,_xlfn.TEXTBEFORE(Y$114," ("),IFERROR(_xlpm.x,Y$114)))&amp;" "&amp;Z$115),0)))</f>
        <v>0</v>
      </c>
      <c r="AA142" s="158" cm="1">
        <f t="array" aca="1" ref="AA142" ca="1">IF(OR($E142="X",$E142="",$E142=0,$B142="X",$B142="",$B142=0),0,SUM(_xlfn._xlws.FILTER(FrmBB1[Cur],(FrmBB1[PrjId]=TEXT($B142,"@"))*(FrmBB1[Row]=$E142)*(FrmBB1[Column]=UPPER(_xlfn.LET(_xlpm.x,_xlfn.TEXTBEFORE(AA$114," ("),IFERROR(_xlpm.x,AA$114)))&amp;" "&amp;AA$115),0)))</f>
        <v>0</v>
      </c>
      <c r="AB142" s="157" cm="1">
        <f t="array" aca="1" ref="AB142" ca="1">IF(OR($E142="X",$E142="",$E142=0,$B142="X",$B142="",$B142=0),0,SUM(_xlfn._xlws.FILTER(FrmBB1[Cur],(FrmBB1[PrjId]=TEXT($B142,"@"))*(FrmBB1[Row]=$E142)*(FrmBB1[Column]=UPPER(_xlfn.LET(_xlpm.x,_xlfn.TEXTBEFORE(AA$114," ("),IFERROR(_xlpm.x,AA$114)))&amp;" "&amp;AB$115),0)))</f>
        <v>0</v>
      </c>
      <c r="AC142" s="158" cm="1">
        <f t="array" aca="1" ref="AC142" ca="1">IF(OR($E142="X",$E142="",$E142=0,$B142="X",$B142="",$B142=0),0,SUM(_xlfn._xlws.FILTER(FrmBB1[Cur],(FrmBB1[PrjId]=TEXT($B142,"@"))*(FrmBB1[Row]=$E142)*(FrmBB1[Column]=UPPER(_xlfn.LET(_xlpm.x,_xlfn.TEXTBEFORE(AC$114," ("),IFERROR(_xlpm.x,AC$114)))&amp;" "&amp;AC$115),0)))</f>
        <v>0</v>
      </c>
      <c r="AD142" s="157" cm="1">
        <f t="array" aca="1" ref="AD142" ca="1">IF(OR($E142="X",$E142="",$E142=0,$B142="X",$B142="",$B142=0),0,SUM(_xlfn._xlws.FILTER(FrmBB1[Cur],(FrmBB1[PrjId]=TEXT($B142,"@"))*(FrmBB1[Row]=$E142)*(FrmBB1[Column]=UPPER(_xlfn.LET(_xlpm.x,_xlfn.TEXTBEFORE(AC$114," ("),IFERROR(_xlpm.x,AC$114)))&amp;" "&amp;AD$115),0)))</f>
        <v>0</v>
      </c>
      <c r="AE142" s="158" cm="1">
        <f t="array" aca="1" ref="AE142" ca="1">IF(OR($E142="X",$E142="",$E142=0,$B142="X",$B142="",$B142=0),0,SUM(_xlfn._xlws.FILTER(FrmBB1[Cur],(FrmBB1[PrjId]=TEXT($B142,"@"))*(FrmBB1[Row]=$E142)*(FrmBB1[Column]=UPPER(_xlfn.LET(_xlpm.x,_xlfn.TEXTBEFORE(AE$114," ("),IFERROR(_xlpm.x,AE$114)))&amp;" "&amp;AE$115),0)))</f>
        <v>0</v>
      </c>
      <c r="AF142" s="157" cm="1">
        <f t="array" aca="1" ref="AF142" ca="1">IF(OR($E142="X",$E142="",$E142=0,$B142="X",$B142="",$B142=0),0,SUM(_xlfn._xlws.FILTER(FrmBB1[Cur],(FrmBB1[PrjId]=TEXT($B142,"@"))*(FrmBB1[Row]=$E142)*(FrmBB1[Column]=UPPER(_xlfn.LET(_xlpm.x,_xlfn.TEXTBEFORE(AE$114," ("),IFERROR(_xlpm.x,AE$114)))&amp;" "&amp;AF$115),0)))</f>
        <v>0</v>
      </c>
      <c r="AG142" s="158" cm="1">
        <f t="array" aca="1" ref="AG142" ca="1">IF(OR($E142="X",$E142="",$E142=0,$B142="X",$B142="",$B142=0),0,SUM(_xlfn._xlws.FILTER(FrmBB1[Cur],(FrmBB1[PrjId]=TEXT($B142,"@"))*(FrmBB1[Row]=$E142)*(FrmBB1[Column]=UPPER(_xlfn.LET(_xlpm.x,_xlfn.TEXTBEFORE(AG$114," ("),IFERROR(_xlpm.x,AG$114)))&amp;" "&amp;AG$115),0)))</f>
        <v>0</v>
      </c>
      <c r="AH142" s="157" cm="1">
        <f t="array" aca="1" ref="AH142" ca="1">IF(OR($E142="X",$E142="",$E142=0,$B142="X",$B142="",$B142=0),0,SUM(_xlfn._xlws.FILTER(FrmBB1[Cur],(FrmBB1[PrjId]=TEXT($B142,"@"))*(FrmBB1[Row]=$E142)*(FrmBB1[Column]=UPPER(_xlfn.LET(_xlpm.x,_xlfn.TEXTBEFORE(AG$114," ("),IFERROR(_xlpm.x,AG$114)))&amp;" "&amp;AH$115),0)))</f>
        <v>0</v>
      </c>
      <c r="AI142" s="158" cm="1">
        <f t="array" aca="1" ref="AI142" ca="1">IF(OR($E142="X",$E142="",$E142=0,$B142="X",$B142="",$B142=0),0,SUM(_xlfn._xlws.FILTER(FrmBB1[Cur],(FrmBB1[PrjId]=TEXT($B142,"@"))*(FrmBB1[Row]=$E142)*(FrmBB1[Column]=UPPER(_xlfn.LET(_xlpm.x,_xlfn.TEXTBEFORE(AI$114," ("),IFERROR(_xlpm.x,AI$114)))&amp;" "&amp;AI$115),0)))</f>
        <v>0</v>
      </c>
      <c r="AJ142" s="157" cm="1">
        <f t="array" aca="1" ref="AJ142" ca="1">IF(OR($E142="X",$E142="",$E142=0,$B142="X",$B142="",$B142=0),0,SUM(_xlfn._xlws.FILTER(FrmBB1[Cur],(FrmBB1[PrjId]=TEXT($B142,"@"))*(FrmBB1[Row]=$E142)*(FrmBB1[Column]=UPPER(_xlfn.LET(_xlpm.x,_xlfn.TEXTBEFORE(AI$114," ("),IFERROR(_xlpm.x,AI$114)))&amp;" "&amp;AJ$115),0)))</f>
        <v>0</v>
      </c>
      <c r="AK142" s="158" cm="1">
        <f t="array" aca="1" ref="AK142" ca="1">IF(OR($E142="X",$E142="",$E142=0,$B142="X",$B142="",$B142=0),0,SUM(_xlfn._xlws.FILTER(FrmBB1[Cur],(FrmBB1[PrjId]=TEXT($B142,"@"))*(FrmBB1[Row]=$E142)*(FrmBB1[Column]=UPPER(_xlfn.LET(_xlpm.x,_xlfn.TEXTBEFORE(AK$114," ("),IFERROR(_xlpm.x,AK$114)))&amp;" "&amp;AK$115),0)))</f>
        <v>0</v>
      </c>
      <c r="AL142" s="157" cm="1">
        <f t="array" aca="1" ref="AL142" ca="1">IF(OR($E142="X",$E142="",$E142=0,$B142="X",$B142="",$B142=0),0,SUM(_xlfn._xlws.FILTER(FrmBB1[Cur],(FrmBB1[PrjId]=TEXT($B142,"@"))*(FrmBB1[Row]=$E142)*(FrmBB1[Column]=UPPER(_xlfn.LET(_xlpm.x,_xlfn.TEXTBEFORE(AK$114," ("),IFERROR(_xlpm.x,AK$114)))&amp;" "&amp;AL$115),0)))</f>
        <v>0</v>
      </c>
      <c r="AM142" s="158" cm="1">
        <f t="array" aca="1" ref="AM142" ca="1">IF(OR($E142="X",$E142="",$E142=0,$B142="X",$B142="",$B142=0),0,SUM(_xlfn._xlws.FILTER(FrmBB1[Cur],(FrmBB1[PrjId]=TEXT($B142,"@"))*(FrmBB1[Row]=$E142)*(FrmBB1[Column]=UPPER(_xlfn.LET(_xlpm.x,_xlfn.TEXTBEFORE(AM$114," ("),IFERROR(_xlpm.x,AM$114)))&amp;" "&amp;AM$115),0)))</f>
        <v>0</v>
      </c>
      <c r="AN142" s="157" cm="1">
        <f t="array" aca="1" ref="AN142" ca="1">IF(OR($E142="X",$E142="",$E142=0,$B142="X",$B142="",$B142=0),0,SUM(_xlfn._xlws.FILTER(FrmBB1[Cur],(FrmBB1[PrjId]=TEXT($B142,"@"))*(FrmBB1[Row]=$E142)*(FrmBB1[Column]=UPPER(_xlfn.LET(_xlpm.x,_xlfn.TEXTBEFORE(AM$114," ("),IFERROR(_xlpm.x,AM$114)))&amp;" "&amp;AN$115),0)))</f>
        <v>0</v>
      </c>
      <c r="AO142" s="158" cm="1">
        <f t="array" aca="1" ref="AO142" ca="1">IF(OR($E142="X",$E142="",$E142=0,$B142="X",$B142="",$B142=0),0,SUM(_xlfn._xlws.FILTER(FrmBB1[Cur],(FrmBB1[PrjId]=TEXT($B142,"@"))*(FrmBB1[Row]=$E142)*(FrmBB1[Column]=UPPER(_xlfn.LET(_xlpm.x,_xlfn.TEXTBEFORE(AO$114," ("),IFERROR(_xlpm.x,AO$114)))&amp;" "&amp;AO$115),0)))</f>
        <v>0</v>
      </c>
      <c r="AP142" s="157" cm="1">
        <f t="array" aca="1" ref="AP142" ca="1">IF(OR($E142="X",$E142="",$E142=0,$B142="X",$B142="",$B142=0),0,SUM(_xlfn._xlws.FILTER(FrmBB1[Cur],(FrmBB1[PrjId]=TEXT($B142,"@"))*(FrmBB1[Row]=$E142)*(FrmBB1[Column]=UPPER(_xlfn.LET(_xlpm.x,_xlfn.TEXTBEFORE(AO$114," ("),IFERROR(_xlpm.x,AO$114)))&amp;" "&amp;AP$115),0)))</f>
        <v>0</v>
      </c>
      <c r="AQ142" s="157" cm="1">
        <f t="array" aca="1" ref="AQ142" ca="1">SUM(IF(INDIRECT($AS$115)=AQ$115,INDIRECT($AS142)))</f>
        <v>18005.599999999999</v>
      </c>
      <c r="AR142" s="157" cm="1">
        <f t="array" aca="1" ref="AR142" ca="1">SUM(IF(INDIRECT($AS$115)=AR$115,INDIRECT($AS142)))</f>
        <v>3694.55</v>
      </c>
      <c r="AS142" s="286" t="str">
        <f t="shared" ca="1" si="13"/>
        <v>G142:AP142</v>
      </c>
      <c r="AT142" s="355">
        <f t="shared" ca="1" si="14"/>
        <v>21700.149999999998</v>
      </c>
      <c r="AV142" s="142" cm="1">
        <f t="array" aca="1" ref="AV142" ca="1">IF(AND(_xlfn.LET(_xlpm.x,SUM(ROW()),OR(AND(MATCH("SOT",$A:$A,0)&lt;_xlpm.x,MATCH("EOT",$A:$A,0)&gt;_xlpm.x),AND(MATCH("SOS",$A:$A,0)&lt;_xlpm.x,MATCH("EOS",$A:$A,0)&gt;_xlpm.x),AND(MATCH("SOR",$A:$A,0)&lt;_xlpm.x,MATCH("EOR",$A:$A,0)&gt;_xlpm.x))),INDIRECT("rc"&amp;MATCH("SCD",$1:$1,0),FALSE)="PPTO"),1,0)</f>
        <v>0</v>
      </c>
      <c r="AW142" s="142" cm="1">
        <f t="array" aca="1" ref="AW14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43" spans="2:49" outlineLevel="1">
      <c r="B143" s="156" t="str" cm="1">
        <f t="array" aca="1" ref="B143:E143" ca="1">_xlfn.LET(_xlpm.x,SUM(ROW()-MATCH("SOR",$A:$A,0)),_xlpm.y,IFERROR(_xlfn.TAKE(INDEX(_xlfn._xlws.FILTER(TbAssign[],ISNUMBER(FIND(TbAssign[Project],$C$4)),"X"),1+QUOTIENT(_xlpm.x,3),0),1,4),0),IF(MOD(_xlpm.x-1,3)=0,IF(_xlpm.y=0,"X",_xlpm.y),INDIRECT("r[-1]c#",FALSE)))</f>
        <v>31200</v>
      </c>
      <c r="C143" s="156" t="str">
        <f ca="1"/>
        <v>XE01</v>
      </c>
      <c r="D143" s="148" t="str">
        <f ca="1"/>
        <v>PMTS</v>
      </c>
      <c r="E143" s="352" t="str">
        <f ca="1"/>
        <v>RECEPCION UTILES</v>
      </c>
      <c r="F143" s="148" t="s">
        <v>397</v>
      </c>
      <c r="G143" s="157" cm="1">
        <f t="array" aca="1" ref="G143" ca="1">IF(OR($E143="X",$E143="",$E143=0,$B143="X",$B143="",$B143=0),0,SUM(_xlfn._xlws.FILTER(IF($E$4="Ppto",PptoSty[CurPpto],PptoSty[CurInt]),(IF($E$4="Ppto",PptoSty[POvsCT]=G$113,TRUE))*(PptoSty[Project]=TEXT($B143,"@"))*(PptoSty[PptoVsRow]=$E143)*(PptoSty[PptoVsColumn]=UPPER(G$114)),0)))</f>
        <v>0</v>
      </c>
      <c r="H143" s="157" cm="1">
        <f t="array" aca="1" ref="H143" ca="1">IF(OR($E143="X",$E143="",$E143=0,$B143="X",$B143="",$B143=0),0,SUM(_xlfn._xlws.FILTER(IF($E$4="Ppto",PptoSty[CurPpto],PptoSty[CurExt]),(IF($E$4="Ppto",PptoSty[POvsCT]=H$113,TRUE))*(PptoSty[Project]=TEXT($B143,"@"))*(PptoSty[PptoVsRow]=$E143)*(PptoSty[PptoVsColumn]=UPPER(G$114)),0)))</f>
        <v>0</v>
      </c>
      <c r="I143" s="157" cm="1">
        <f t="array" aca="1" ref="I143" ca="1">IF(OR($E143="X",$E143="",$E143=0,$B143="X",$B143="",$B143=0),0,SUM(_xlfn._xlws.FILTER(IF($E$4="Ppto",PptoSty[CurPpto],PptoSty[CurInt]),(IF($E$4="Ppto",PptoSty[POvsCT]=I$113,TRUE))*(PptoSty[Project]=TEXT($B143,"@"))*(PptoSty[PptoVsRow]=$E143)*(PptoSty[PptoVsColumn]=UPPER(I$114)),0)))</f>
        <v>0</v>
      </c>
      <c r="J143" s="157" cm="1">
        <f t="array" aca="1" ref="J143" ca="1">IF(OR($E143="X",$E143="",$E143=0,$B143="X",$B143="",$B143=0),0,SUM(_xlfn._xlws.FILTER(IF($E$4="Ppto",PptoSty[CurPpto],PptoSty[CurExt]),(IF($E$4="Ppto",PptoSty[POvsCT]=J$113,TRUE))*(PptoSty[Project]=TEXT($B143,"@"))*(PptoSty[PptoVsRow]=$E143)*(PptoSty[PptoVsColumn]=UPPER(I$114)),0)))</f>
        <v>0</v>
      </c>
      <c r="K143" s="157" cm="1">
        <f t="array" aca="1" ref="K143" ca="1">IF(OR($E143="X",$E143="",$E143=0,$B143="X",$B143="",$B143=0),0,SUM(_xlfn._xlws.FILTER(IF($E$4="Ppto",PptoSty[CurPpto],PptoSty[CurInt]),(IF($E$4="Ppto",PptoSty[POvsCT]=K$113,TRUE))*(PptoSty[Project]=TEXT($B143,"@"))*(PptoSty[PptoVsRow]=$E143)*(PptoSty[PptoVsColumn]=UPPER(K$114)),0)))</f>
        <v>0</v>
      </c>
      <c r="L143" s="157" cm="1">
        <f t="array" aca="1" ref="L143" ca="1">IF(OR($E143="X",$E143="",$E143=0,$B143="X",$B143="",$B143=0),0,SUM(_xlfn._xlws.FILTER(IF($E$4="Ppto",PptoSty[CurPpto],PptoSty[CurExt]),(IF($E$4="Ppto",PptoSty[POvsCT]=L$113,TRUE))*(PptoSty[Project]=TEXT($B143,"@"))*(PptoSty[PptoVsRow]=$E143)*(PptoSty[PptoVsColumn]=UPPER(K$114)),0)))</f>
        <v>0</v>
      </c>
      <c r="M143" s="157" cm="1">
        <f t="array" aca="1" ref="M143" ca="1">IF(OR($E143="X",$E143="",$E143=0,$B143="X",$B143="",$B143=0),0,SUM(_xlfn._xlws.FILTER(IF($E$4="Ppto",PptoSty[CurPpto],PptoSty[CurInt]),(IF($E$4="Ppto",PptoSty[POvsCT]=M$113,TRUE))*(PptoSty[Project]=TEXT($B143,"@"))*(PptoSty[PptoVsRow]=$E143)*(PptoSty[PptoVsColumn]=UPPER(M$114)),0)))</f>
        <v>0</v>
      </c>
      <c r="N143" s="157" cm="1">
        <f t="array" aca="1" ref="N143" ca="1">IF(OR($E143="X",$E143="",$E143=0,$B143="X",$B143="",$B143=0),0,SUM(_xlfn._xlws.FILTER(IF($E$4="Ppto",PptoSty[CurPpto],PptoSty[CurExt]),(IF($E$4="Ppto",PptoSty[POvsCT]=N$113,TRUE))*(PptoSty[Project]=TEXT($B143,"@"))*(PptoSty[PptoVsRow]=$E143)*(PptoSty[PptoVsColumn]=UPPER(M$114)),0)))</f>
        <v>0</v>
      </c>
      <c r="O143" s="157" cm="1">
        <f t="array" aca="1" ref="O143" ca="1">IF(OR($E143="X",$E143="",$E143=0,$B143="X",$B143="",$B143=0),0,SUM(_xlfn._xlws.FILTER(IF($E$4="Ppto",PptoSty[CurPpto],PptoSty[CurInt]),(IF($E$4="Ppto",PptoSty[POvsCT]=O$113,TRUE))*(PptoSty[Project]=TEXT($B143,"@"))*(PptoSty[PptoVsRow]=$E143)*(PptoSty[PptoVsColumn]=UPPER(O$114)),0)))</f>
        <v>0</v>
      </c>
      <c r="P143" s="157" cm="1">
        <f t="array" aca="1" ref="P143" ca="1">IF(OR($E143="X",$E143="",$E143=0,$B143="X",$B143="",$B143=0),0,SUM(_xlfn._xlws.FILTER(IF($E$4="Ppto",PptoSty[CurPpto],PptoSty[CurExt]),(IF($E$4="Ppto",PptoSty[POvsCT]=P$113,TRUE))*(PptoSty[Project]=TEXT($B143,"@"))*(PptoSty[PptoVsRow]=$E143)*(PptoSty[PptoVsColumn]=UPPER(O$114)),0)))</f>
        <v>0</v>
      </c>
      <c r="Q143" s="157" cm="1">
        <f t="array" aca="1" ref="Q143" ca="1">IF(OR($E143="X",$E143="",$E143=0,$B143="X",$B143="",$B143=0),0,SUM(_xlfn._xlws.FILTER(IF($E$4="Ppto",PptoSty[CurPpto],PptoSty[CurInt]),(IF($E$4="Ppto",PptoSty[POvsCT]=Q$113,TRUE))*(PptoSty[Project]=TEXT($B143,"@"))*(PptoSty[PptoVsRow]=$E143)*(PptoSty[PptoVsColumn]=UPPER(Q$114)),0)))</f>
        <v>0</v>
      </c>
      <c r="R143" s="157" cm="1">
        <f t="array" aca="1" ref="R143" ca="1">IF(OR($E143="X",$E143="",$E143=0,$B143="X",$B143="",$B143=0),0,SUM(_xlfn._xlws.FILTER(IF($E$4="Ppto",PptoSty[CurPpto],PptoSty[CurExt]),(IF($E$4="Ppto",PptoSty[POvsCT]=R$113,TRUE))*(PptoSty[Project]=TEXT($B143,"@"))*(PptoSty[PptoVsRow]=$E143)*(PptoSty[PptoVsColumn]=UPPER(Q$114)),0)))</f>
        <v>0</v>
      </c>
      <c r="S143" s="157" cm="1">
        <f t="array" aca="1" ref="S143" ca="1">IF(OR($E143="X",$E143="",$E143=0,$B143="X",$B143="",$B143=0),0,SUM(_xlfn._xlws.FILTER(IF($E$4="Ppto",PptoSty[CurPpto],PptoSty[CurInt]),(IF($E$4="Ppto",PptoSty[POvsCT]=S$113,TRUE))*(PptoSty[Project]=TEXT($B143,"@"))*(PptoSty[PptoVsRow]=$E143)*(PptoSty[PptoVsColumn]=UPPER(S$114)),0)))</f>
        <v>0</v>
      </c>
      <c r="T143" s="157" cm="1">
        <f t="array" aca="1" ref="T143" ca="1">IF(OR($E143="X",$E143="",$E143=0,$B143="X",$B143="",$B143=0),0,SUM(_xlfn._xlws.FILTER(IF($E$4="Ppto",PptoSty[CurPpto],PptoSty[CurExt]),(IF($E$4="Ppto",PptoSty[POvsCT]=T$113,TRUE))*(PptoSty[Project]=TEXT($B143,"@"))*(PptoSty[PptoVsRow]=$E143)*(PptoSty[PptoVsColumn]=UPPER(S$114)),0)))</f>
        <v>0</v>
      </c>
      <c r="U143" s="157" cm="1">
        <f t="array" aca="1" ref="U143" ca="1">IF(OR($E143="X",$E143="",$E143=0,$B143="X",$B143="",$B143=0),0,SUM(_xlfn._xlws.FILTER(IF($E$4="Ppto",PptoSty[CurPpto],PptoSty[CurInt]),(IF($E$4="Ppto",PptoSty[POvsCT]=U$113,TRUE))*(PptoSty[Project]=TEXT($B143,"@"))*(PptoSty[PptoVsRow]=$E143)*(PptoSty[PptoVsColumn]=UPPER(U$114)),0)))</f>
        <v>185.79286879999998</v>
      </c>
      <c r="V143" s="157" cm="1">
        <f t="array" aca="1" ref="V143" ca="1">IF(OR($E143="X",$E143="",$E143=0,$B143="X",$B143="",$B143=0),0,SUM(_xlfn._xlws.FILTER(IF($E$4="Ppto",PptoSty[CurPpto],PptoSty[CurExt]),(IF($E$4="Ppto",PptoSty[POvsCT]=V$113,TRUE))*(PptoSty[Project]=TEXT($B143,"@"))*(PptoSty[PptoVsRow]=$E143)*(PptoSty[PptoVsColumn]=UPPER(U$114)),0)))</f>
        <v>1877.7322079999999</v>
      </c>
      <c r="W143" s="157" cm="1">
        <f t="array" aca="1" ref="W143" ca="1">IF(OR($E143="X",$E143="",$E143=0,$B143="X",$B143="",$B143=0),0,SUM(_xlfn._xlws.FILTER(IF($E$4="Ppto",PptoSty[CurPpto],PptoSty[CurInt]),(IF($E$4="Ppto",PptoSty[POvsCT]=W$113,TRUE))*(PptoSty[Project]=TEXT($B143,"@"))*(PptoSty[PptoVsRow]=$E143)*(PptoSty[PptoVsColumn]=UPPER(W$114)),0)))</f>
        <v>13651.18304648</v>
      </c>
      <c r="X143" s="157" cm="1">
        <f t="array" aca="1" ref="X143" ca="1">IF(OR($E143="X",$E143="",$E143=0,$B143="X",$B143="",$B143=0),0,SUM(_xlfn._xlws.FILTER(IF($E$4="Ppto",PptoSty[CurPpto],PptoSty[CurExt]),(IF($E$4="Ppto",PptoSty[POvsCT]=X$113,TRUE))*(PptoSty[Project]=TEXT($B143,"@"))*(PptoSty[PptoVsRow]=$E143)*(PptoSty[PptoVsColumn]=UPPER(W$114)),0)))</f>
        <v>23937.824515394997</v>
      </c>
      <c r="Y143" s="157" cm="1">
        <f t="array" aca="1" ref="Y143" ca="1">IF(OR($E143="X",$E143="",$E143=0,$B143="X",$B143="",$B143=0),0,SUM(_xlfn._xlws.FILTER(IF($E$4="Ppto",PptoSty[CurPpto],PptoSty[CurInt]),(IF($E$4="Ppto",PptoSty[POvsCT]=Y$113,TRUE))*(PptoSty[Project]=TEXT($B143,"@"))*(PptoSty[PptoVsRow]=$E143)*(PptoSty[PptoVsColumn]=UPPER(Y$114)),0)))</f>
        <v>0</v>
      </c>
      <c r="Z143" s="157" cm="1">
        <f t="array" aca="1" ref="Z143" ca="1">IF(OR($E143="X",$E143="",$E143=0,$B143="X",$B143="",$B143=0),0,SUM(_xlfn._xlws.FILTER(IF($E$4="Ppto",PptoSty[CurPpto],PptoSty[CurExt]),(IF($E$4="Ppto",PptoSty[POvsCT]=Z$113,TRUE))*(PptoSty[Project]=TEXT($B143,"@"))*(PptoSty[PptoVsRow]=$E143)*(PptoSty[PptoVsColumn]=UPPER(Y$114)),0)))</f>
        <v>0</v>
      </c>
      <c r="AA143" s="157" cm="1">
        <f t="array" aca="1" ref="AA143" ca="1">IF(OR($E143="X",$E143="",$E143=0,$B143="X",$B143="",$B143=0),0,SUM(_xlfn._xlws.FILTER(IF($E$4="Ppto",PptoSty[CurPpto],PptoSty[CurInt]),(IF($E$4="Ppto",PptoSty[POvsCT]=AA$113,TRUE))*(PptoSty[Project]=TEXT($B143,"@"))*(PptoSty[PptoVsRow]=$E143)*(PptoSty[PptoVsColumn]=UPPER(AA$114)),0)))</f>
        <v>0</v>
      </c>
      <c r="AB143" s="157" cm="1">
        <f t="array" aca="1" ref="AB143" ca="1">IF(OR($E143="X",$E143="",$E143=0,$B143="X",$B143="",$B143=0),0,SUM(_xlfn._xlws.FILTER(IF($E$4="Ppto",PptoSty[CurPpto],PptoSty[CurExt]),(IF($E$4="Ppto",PptoSty[POvsCT]=AB$113,TRUE))*(PptoSty[Project]=TEXT($B143,"@"))*(PptoSty[PptoVsRow]=$E143)*(PptoSty[PptoVsColumn]=UPPER(AA$114)),0)))</f>
        <v>0</v>
      </c>
      <c r="AC143" s="157" cm="1">
        <f t="array" aca="1" ref="AC143" ca="1">IF(OR($E143="X",$E143="",$E143=0,$B143="X",$B143="",$B143=0),0,SUM(_xlfn._xlws.FILTER(IF($E$4="Ppto",PptoSty[CurPpto],PptoSty[CurInt]),(IF($E$4="Ppto",PptoSty[POvsCT]=AC$113,TRUE))*(PptoSty[Project]=TEXT($B143,"@"))*(PptoSty[PptoVsRow]=$E143)*(PptoSty[PptoVsColumn]=UPPER(AC$114)),0)))</f>
        <v>0</v>
      </c>
      <c r="AD143" s="157" cm="1">
        <f t="array" aca="1" ref="AD143" ca="1">IF(OR($E143="X",$E143="",$E143=0,$B143="X",$B143="",$B143=0),0,SUM(_xlfn._xlws.FILTER(IF($E$4="Ppto",PptoSty[CurPpto],PptoSty[CurExt]),(IF($E$4="Ppto",PptoSty[POvsCT]=AD$113,TRUE))*(PptoSty[Project]=TEXT($B143,"@"))*(PptoSty[PptoVsRow]=$E143)*(PptoSty[PptoVsColumn]=UPPER(AC$114)),0)))</f>
        <v>0</v>
      </c>
      <c r="AE143" s="157" cm="1">
        <f t="array" aca="1" ref="AE143" ca="1">IF(OR($E143="X",$E143="",$E143=0,$B143="X",$B143="",$B143=0),0,SUM(_xlfn._xlws.FILTER(IF($E$4="Ppto",PptoSty[CurPpto],PptoSty[CurInt]),(IF($E$4="Ppto",PptoSty[POvsCT]=AE$113,TRUE))*(PptoSty[Project]=TEXT($B143,"@"))*(PptoSty[PptoVsRow]=$E143)*(PptoSty[PptoVsColumn]=UPPER(AE$114)),0)))</f>
        <v>0</v>
      </c>
      <c r="AF143" s="157" cm="1">
        <f t="array" aca="1" ref="AF143" ca="1">IF(OR($E143="X",$E143="",$E143=0,$B143="X",$B143="",$B143=0),0,SUM(_xlfn._xlws.FILTER(IF($E$4="Ppto",PptoSty[CurPpto],PptoSty[CurExt]),(IF($E$4="Ppto",PptoSty[POvsCT]=AF$113,TRUE))*(PptoSty[Project]=TEXT($B143,"@"))*(PptoSty[PptoVsRow]=$E143)*(PptoSty[PptoVsColumn]=UPPER(AE$114)),0)))</f>
        <v>0</v>
      </c>
      <c r="AG143" s="157" cm="1">
        <f t="array" aca="1" ref="AG143" ca="1">IF(OR($E143="X",$E143="",$E143=0,$B143="X",$B143="",$B143=0),0,SUM(_xlfn._xlws.FILTER(IF($E$4="Ppto",PptoSty[CurPpto],PptoSty[CurInt]),(IF($E$4="Ppto",PptoSty[POvsCT]=AG$113,TRUE))*(PptoSty[Project]=TEXT($B143,"@"))*(PptoSty[PptoVsRow]=$E143)*(PptoSty[PptoVsColumn]=UPPER(AG$114)),0)))</f>
        <v>0</v>
      </c>
      <c r="AH143" s="157" cm="1">
        <f t="array" aca="1" ref="AH143" ca="1">IF(OR($E143="X",$E143="",$E143=0,$B143="X",$B143="",$B143=0),0,SUM(_xlfn._xlws.FILTER(IF($E$4="Ppto",PptoSty[CurPpto],PptoSty[CurExt]),(IF($E$4="Ppto",PptoSty[POvsCT]=AH$113,TRUE))*(PptoSty[Project]=TEXT($B143,"@"))*(PptoSty[PptoVsRow]=$E143)*(PptoSty[PptoVsColumn]=UPPER(AG$114)),0)))</f>
        <v>0</v>
      </c>
      <c r="AI143" s="157" cm="1">
        <f t="array" aca="1" ref="AI143" ca="1">IF(OR($E143="X",$E143="",$E143=0,$B143="X",$B143="",$B143=0),0,SUM(_xlfn._xlws.FILTER(IF($E$4="Ppto",PptoSty[CurPpto],PptoSty[CurInt]),(IF($E$4="Ppto",PptoSty[POvsCT]=AI$113,TRUE))*(PptoSty[Project]=TEXT($B143,"@"))*(PptoSty[PptoVsRow]=$E143)*(PptoSty[PptoVsColumn]=UPPER(AI$114)),0)))</f>
        <v>0</v>
      </c>
      <c r="AJ143" s="157" cm="1">
        <f t="array" aca="1" ref="AJ143" ca="1">IF(OR($E143="X",$E143="",$E143=0,$B143="X",$B143="",$B143=0),0,SUM(_xlfn._xlws.FILTER(IF($E$4="Ppto",PptoSty[CurPpto],PptoSty[CurExt]),(IF($E$4="Ppto",PptoSty[POvsCT]=AJ$113,TRUE))*(PptoSty[Project]=TEXT($B143,"@"))*(PptoSty[PptoVsRow]=$E143)*(PptoSty[PptoVsColumn]=UPPER(AI$114)),0)))</f>
        <v>0</v>
      </c>
      <c r="AK143" s="157" cm="1">
        <f t="array" aca="1" ref="AK143" ca="1">IF(OR($E143="X",$E143="",$E143=0,$B143="X",$B143="",$B143=0),0,SUM(_xlfn._xlws.FILTER(IF($E$4="Ppto",PptoSty[CurPpto],PptoSty[CurInt]),(IF($E$4="Ppto",PptoSty[POvsCT]=AK$113,TRUE))*(PptoSty[Project]=TEXT($B143,"@"))*(PptoSty[PptoVsRow]=$E143)*(PptoSty[PptoVsColumn]=UPPER(AK$114)),0)))</f>
        <v>0</v>
      </c>
      <c r="AL143" s="157" cm="1">
        <f t="array" aca="1" ref="AL143" ca="1">IF(OR($E143="X",$E143="",$E143=0,$B143="X",$B143="",$B143=0),0,SUM(_xlfn._xlws.FILTER(IF($E$4="Ppto",PptoSty[CurPpto],PptoSty[CurExt]),(IF($E$4="Ppto",PptoSty[POvsCT]=AL$113,TRUE))*(PptoSty[Project]=TEXT($B143,"@"))*(PptoSty[PptoVsRow]=$E143)*(PptoSty[PptoVsColumn]=UPPER(AK$114)),0)))</f>
        <v>0</v>
      </c>
      <c r="AM143" s="157" cm="1">
        <f t="array" aca="1" ref="AM143" ca="1">IF(OR($E143="X",$E143="",$E143=0,$B143="X",$B143="",$B143=0),0,SUM(_xlfn._xlws.FILTER(IF($E$4="Ppto",PptoSty[CurPpto],PptoSty[CurInt]),(IF($E$4="Ppto",PptoSty[POvsCT]=AM$113,TRUE))*(PptoSty[Project]=TEXT($B143,"@"))*(PptoSty[PptoVsRow]=$E143)*(PptoSty[PptoVsColumn]=UPPER(AM$114)),0)))</f>
        <v>0</v>
      </c>
      <c r="AN143" s="157" cm="1">
        <f t="array" aca="1" ref="AN143" ca="1">IF(OR($E143="X",$E143="",$E143=0,$B143="X",$B143="",$B143=0),0,SUM(_xlfn._xlws.FILTER(IF($E$4="Ppto",PptoSty[CurPpto],PptoSty[CurExt]),(IF($E$4="Ppto",PptoSty[POvsCT]=AN$113,TRUE))*(PptoSty[Project]=TEXT($B143,"@"))*(PptoSty[PptoVsRow]=$E143)*(PptoSty[PptoVsColumn]=UPPER(AM$114)),0)))</f>
        <v>0</v>
      </c>
      <c r="AO143" s="157" cm="1">
        <f t="array" aca="1" ref="AO143" ca="1">IF(OR($E143="X",$E143="",$E143=0,$B143="X",$B143="",$B143=0),0,SUM(_xlfn._xlws.FILTER(IF($E$4="Ppto",PptoSty[CurPpto],PptoSty[CurInt]),(IF($E$4="Ppto",PptoSty[POvsCT]=AO$113,TRUE))*(PptoSty[Project]=TEXT($B143,"@"))*(PptoSty[PptoVsRow]=$E143)*(PptoSty[PptoVsColumn]=UPPER(AO$114)),0)))</f>
        <v>0</v>
      </c>
      <c r="AP143" s="157" cm="1">
        <f t="array" aca="1" ref="AP143" ca="1">IF(OR($E143="X",$E143="",$E143=0,$B143="X",$B143="",$B143=0),0,SUM(_xlfn._xlws.FILTER(IF($E$4="Ppto",PptoSty[CurPpto],PptoSty[CurExt]),(IF($E$4="Ppto",PptoSty[POvsCT]=AP$113,TRUE))*(PptoSty[Project]=TEXT($B143,"@"))*(PptoSty[PptoVsRow]=$E143)*(PptoSty[PptoVsColumn]=UPPER(AO$114)),0)))</f>
        <v>0</v>
      </c>
      <c r="AQ143" s="157" cm="1">
        <f t="array" aca="1" ref="AQ143" ca="1">SUM(IF(INDIRECT($AS$115)=AQ$115,INDIRECT($AS143)))</f>
        <v>13836.97591528</v>
      </c>
      <c r="AR143" s="157" cm="1">
        <f t="array" aca="1" ref="AR143" ca="1">SUM(IF(INDIRECT($AS$115)=AR$115,INDIRECT($AS143)))</f>
        <v>25815.556723394999</v>
      </c>
      <c r="AS143" s="286" t="str">
        <f t="shared" ca="1" si="13"/>
        <v>G143:AP143</v>
      </c>
      <c r="AT143" s="403">
        <f t="shared" ca="1" si="14"/>
        <v>39652.532638674995</v>
      </c>
      <c r="AV143" s="142" cm="1">
        <f t="array" aca="1" ref="AV143" ca="1">IF(AND(_xlfn.LET(_xlpm.x,SUM(ROW()),OR(AND(MATCH("SOT",$A:$A,0)&lt;_xlpm.x,MATCH("EOT",$A:$A,0)&gt;_xlpm.x),AND(MATCH("SOS",$A:$A,0)&lt;_xlpm.x,MATCH("EOS",$A:$A,0)&gt;_xlpm.x),AND(MATCH("SOR",$A:$A,0)&lt;_xlpm.x,MATCH("EOR",$A:$A,0)&gt;_xlpm.x))),INDIRECT("rc"&amp;MATCH("SCD",$1:$1,0),FALSE)="PPTO"),1,0)</f>
        <v>1</v>
      </c>
      <c r="AW143" s="142" cm="1">
        <f t="array" aca="1" ref="AW14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44" spans="2:49" outlineLevel="1">
      <c r="B144" s="156" t="str" cm="1">
        <f t="array" aca="1" ref="B144:E144" ca="1">_xlfn.LET(_xlpm.x,SUM(ROW()-MATCH("SOR",$A:$A,0)),_xlpm.y,IFERROR(_xlfn.TAKE(INDEX(_xlfn._xlws.FILTER(TbAssign[],ISNUMBER(FIND(TbAssign[Project],$C$4)),"X"),1+QUOTIENT(_xlpm.x,3),0),1,4),0),IF(MOD(_xlpm.x-1,3)=0,IF(_xlpm.y=0,"X",_xlpm.y),INDIRECT("r[-1]c#",FALSE)))</f>
        <v>31200</v>
      </c>
      <c r="C144" s="156" t="str">
        <f ca="1"/>
        <v>XE01</v>
      </c>
      <c r="D144" s="148" t="str">
        <f ca="1"/>
        <v>PMTS</v>
      </c>
      <c r="E144" s="352" t="str">
        <f ca="1"/>
        <v>RECEPCION UTILES</v>
      </c>
      <c r="F144" s="148" t="s">
        <v>1382</v>
      </c>
      <c r="G144" s="157" cm="1">
        <f t="array" aca="1" ref="G144" ca="1">IF(OR($E144="X",$E144="",$E144=0,$B144="X",$B144="",$B144=0),0,SUM(_xlfn._xlws.FILTER(PrvSty[DsvValue:SERRA],(PrvSty[Project]=TEXT($B144,"@"))*(PrvSty[Row]=$E144)*(PrvSty[Column]=UPPER(G$114)),0)))</f>
        <v>0</v>
      </c>
      <c r="H144" s="157" cm="1">
        <f t="array" aca="1" ref="H144" ca="1">IF(OR($E144="X",$E144="",$E144=0,$B144="X",$B144="",$B144=0),0,SUM(_xlfn._xlws.FILTER(PrvSty[DsvValue:EXT.],(PrvSty[Project]=TEXT($B144,"@"))*(PrvSty[Row]=$E144)*(PrvSty[Column]=UPPER(G$114)),0)))</f>
        <v>0</v>
      </c>
      <c r="I144" s="157" cm="1">
        <f t="array" aca="1" ref="I144" ca="1">IF(OR($E144="X",$E144="",$E144=0,$B144="X",$B144="",$B144=0),0,SUM(_xlfn._xlws.FILTER(PrvSty[DsvValue:SERRA],(PrvSty[Project]=TEXT($B144,"@"))*(PrvSty[Row]=$E144)*(PrvSty[Column]=UPPER(I$114)),0)))</f>
        <v>0</v>
      </c>
      <c r="J144" s="157" cm="1">
        <f t="array" aca="1" ref="J144" ca="1">IF(OR($E144="X",$E144="",$E144=0,$B144="X",$B144="",$B144=0),0,SUM(_xlfn._xlws.FILTER(PrvSty[DsvValue:EXT.],(PrvSty[Project]=TEXT($B144,"@"))*(PrvSty[Row]=$E144)*(PrvSty[Column]=UPPER(I$114)),0)))</f>
        <v>0</v>
      </c>
      <c r="K144" s="157" cm="1">
        <f t="array" aca="1" ref="K144" ca="1">IF(OR($E144="X",$E144="",$E144=0,$B144="X",$B144="",$B144=0),0,SUM(_xlfn._xlws.FILTER(PrvSty[DsvValue:SERRA],(PrvSty[Project]=TEXT($B144,"@"))*(PrvSty[Row]=$E144)*(PrvSty[Column]=UPPER(K$114)),0)))</f>
        <v>0</v>
      </c>
      <c r="L144" s="157" cm="1">
        <f t="array" aca="1" ref="L144" ca="1">IF(OR($E144="X",$E144="",$E144=0,$B144="X",$B144="",$B144=0),0,SUM(_xlfn._xlws.FILTER(PrvSty[DsvValue:EXT.],(PrvSty[Project]=TEXT($B144,"@"))*(PrvSty[Row]=$E144)*(PrvSty[Column]=UPPER(K$114)),0)))</f>
        <v>0</v>
      </c>
      <c r="M144" s="157" cm="1">
        <f t="array" aca="1" ref="M144" ca="1">IF(OR($E144="X",$E144="",$E144=0,$B144="X",$B144="",$B144=0),0,SUM(_xlfn._xlws.FILTER(PrvSty[DsvValue:SERRA],(PrvSty[Project]=TEXT($B144,"@"))*(PrvSty[Row]=$E144)*(PrvSty[Column]=UPPER(M$114)),0)))</f>
        <v>0</v>
      </c>
      <c r="N144" s="157" cm="1">
        <f t="array" aca="1" ref="N144" ca="1">IF(OR($E144="X",$E144="",$E144=0,$B144="X",$B144="",$B144=0),0,SUM(_xlfn._xlws.FILTER(PrvSty[DsvValue:EXT.],(PrvSty[Project]=TEXT($B144,"@"))*(PrvSty[Row]=$E144)*(PrvSty[Column]=UPPER(M$114)),0)))</f>
        <v>0</v>
      </c>
      <c r="O144" s="157" cm="1">
        <f t="array" aca="1" ref="O144" ca="1">IF(OR($E144="X",$E144="",$E144=0,$B144="X",$B144="",$B144=0),0,SUM(_xlfn._xlws.FILTER(PrvSty[DsvValue:SERRA],(PrvSty[Project]=TEXT($B144,"@"))*(PrvSty[Row]=$E144)*(PrvSty[Column]=UPPER(O$114)),0)))</f>
        <v>0</v>
      </c>
      <c r="P144" s="157" cm="1">
        <f t="array" aca="1" ref="P144" ca="1">IF(OR($E144="X",$E144="",$E144=0,$B144="X",$B144="",$B144=0),0,SUM(_xlfn._xlws.FILTER(PrvSty[DsvValue:EXT.],(PrvSty[Project]=TEXT($B144,"@"))*(PrvSty[Row]=$E144)*(PrvSty[Column]=UPPER(O$114)),0)))</f>
        <v>0</v>
      </c>
      <c r="Q144" s="157" cm="1">
        <f t="array" aca="1" ref="Q144" ca="1">IF(OR($E144="X",$E144="",$E144=0,$B144="X",$B144="",$B144=0),0,SUM(_xlfn._xlws.FILTER(PrvSty[DsvValue:SERRA],(PrvSty[Project]=TEXT($B144,"@"))*(PrvSty[Row]=$E144)*(PrvSty[Column]=UPPER(Q$114)),0)))</f>
        <v>0</v>
      </c>
      <c r="R144" s="157" cm="1">
        <f t="array" aca="1" ref="R144" ca="1">IF(OR($E144="X",$E144="",$E144=0,$B144="X",$B144="",$B144=0),0,SUM(_xlfn._xlws.FILTER(PrvSty[DsvValue:EXT.],(PrvSty[Project]=TEXT($B144,"@"))*(PrvSty[Row]=$E144)*(PrvSty[Column]=UPPER(Q$114)),0)))</f>
        <v>0</v>
      </c>
      <c r="S144" s="157" cm="1">
        <f t="array" aca="1" ref="S144" ca="1">IF(OR($E144="X",$E144="",$E144=0,$B144="X",$B144="",$B144=0),0,SUM(_xlfn._xlws.FILTER(PrvSty[DsvValue:SERRA],(PrvSty[Project]=TEXT($B144,"@"))*(PrvSty[Row]=$E144)*(PrvSty[Column]=UPPER(S$114)),0)))</f>
        <v>0</v>
      </c>
      <c r="T144" s="157" cm="1">
        <f t="array" aca="1" ref="T144" ca="1">IF(OR($E144="X",$E144="",$E144=0,$B144="X",$B144="",$B144=0),0,SUM(_xlfn._xlws.FILTER(PrvSty[DsvValue:EXT.],(PrvSty[Project]=TEXT($B144,"@"))*(PrvSty[Row]=$E144)*(PrvSty[Column]=UPPER(S$114)),0)))</f>
        <v>0</v>
      </c>
      <c r="U144" s="157" cm="1">
        <f t="array" aca="1" ref="U144" ca="1">IF(OR($E144="X",$E144="",$E144=0,$B144="X",$B144="",$B144=0),0,SUM(_xlfn._xlws.FILTER(PrvSty[DsvValue:SERRA],(PrvSty[Project]=TEXT($B144,"@"))*(PrvSty[Row]=$E144)*(PrvSty[Column]=UPPER(U$114)),0)))</f>
        <v>0</v>
      </c>
      <c r="V144" s="157" cm="1">
        <f t="array" aca="1" ref="V144" ca="1">IF(OR($E144="X",$E144="",$E144=0,$B144="X",$B144="",$B144=0),0,SUM(_xlfn._xlws.FILTER(PrvSty[DsvValue:EXT.],(PrvSty[Project]=TEXT($B144,"@"))*(PrvSty[Row]=$E144)*(PrvSty[Column]=UPPER(U$114)),0)))</f>
        <v>0</v>
      </c>
      <c r="W144" s="157" cm="1">
        <f t="array" aca="1" ref="W144" ca="1">IF(OR($E144="X",$E144="",$E144=0,$B144="X",$B144="",$B144=0),0,SUM(_xlfn._xlws.FILTER(PrvSty[DsvValue:SERRA],(PrvSty[Project]=TEXT($B144,"@"))*(PrvSty[Row]=$E144)*(PrvSty[Column]=UPPER(W$114)),0)))</f>
        <v>0</v>
      </c>
      <c r="X144" s="157" cm="1">
        <f t="array" aca="1" ref="X144" ca="1">IF(OR($E144="X",$E144="",$E144=0,$B144="X",$B144="",$B144=0),0,SUM(_xlfn._xlws.FILTER(PrvSty[DsvValue:EXT.],(PrvSty[Project]=TEXT($B144,"@"))*(PrvSty[Row]=$E144)*(PrvSty[Column]=UPPER(W$114)),0)))</f>
        <v>0</v>
      </c>
      <c r="Y144" s="157" cm="1">
        <f t="array" aca="1" ref="Y144" ca="1">IF(OR($E144="X",$E144="",$E144=0,$B144="X",$B144="",$B144=0),0,SUM(_xlfn._xlws.FILTER(PrvSty[DsvValue:SERRA],(PrvSty[Project]=TEXT($B144,"@"))*(PrvSty[Row]=$E144)*(PrvSty[Column]=UPPER(Y$114)),0)))</f>
        <v>0</v>
      </c>
      <c r="Z144" s="157" cm="1">
        <f t="array" aca="1" ref="Z144" ca="1">IF(OR($E144="X",$E144="",$E144=0,$B144="X",$B144="",$B144=0),0,SUM(_xlfn._xlws.FILTER(PrvSty[DsvValue:EXT.],(PrvSty[Project]=TEXT($B144,"@"))*(PrvSty[Row]=$E144)*(PrvSty[Column]=UPPER(Y$114)),0)))</f>
        <v>0</v>
      </c>
      <c r="AA144" s="157" cm="1">
        <f t="array" aca="1" ref="AA144" ca="1">IF(OR($E144="X",$E144="",$E144=0,$B144="X",$B144="",$B144=0),0,SUM(_xlfn._xlws.FILTER(PrvSty[DsvValue:SERRA],(PrvSty[Project]=TEXT($B144,"@"))*(PrvSty[Row]=$E144)*(PrvSty[Column]=UPPER(AA$114)),0)))</f>
        <v>0</v>
      </c>
      <c r="AB144" s="157" cm="1">
        <f t="array" aca="1" ref="AB144" ca="1">IF(OR($E144="X",$E144="",$E144=0,$B144="X",$B144="",$B144=0),0,SUM(_xlfn._xlws.FILTER(PrvSty[DsvValue:EXT.],(PrvSty[Project]=TEXT($B144,"@"))*(PrvSty[Row]=$E144)*(PrvSty[Column]=UPPER(AA$114)),0)))</f>
        <v>0</v>
      </c>
      <c r="AC144" s="157" cm="1">
        <f t="array" aca="1" ref="AC144" ca="1">IF(OR($E144="X",$E144="",$E144=0,$B144="X",$B144="",$B144=0),0,SUM(_xlfn._xlws.FILTER(PrvSty[DsvValue:SERRA],(PrvSty[Project]=TEXT($B144,"@"))*(PrvSty[Row]=$E144)*(PrvSty[Column]=UPPER(AC$114)),0)))</f>
        <v>0</v>
      </c>
      <c r="AD144" s="157" cm="1">
        <f t="array" aca="1" ref="AD144" ca="1">IF(OR($E144="X",$E144="",$E144=0,$B144="X",$B144="",$B144=0),0,SUM(_xlfn._xlws.FILTER(PrvSty[DsvValue:EXT.],(PrvSty[Project]=TEXT($B144,"@"))*(PrvSty[Row]=$E144)*(PrvSty[Column]=UPPER(AC$114)),0)))</f>
        <v>0</v>
      </c>
      <c r="AE144" s="157" cm="1">
        <f t="array" aca="1" ref="AE144" ca="1">IF(OR($E144="X",$E144="",$E144=0,$B144="X",$B144="",$B144=0),0,SUM(_xlfn._xlws.FILTER(PrvSty[DsvValue:SERRA],(PrvSty[Project]=TEXT($B144,"@"))*(PrvSty[Row]=$E144)*(PrvSty[Column]=UPPER(AE$114)),0)))</f>
        <v>0</v>
      </c>
      <c r="AF144" s="157" cm="1">
        <f t="array" aca="1" ref="AF144" ca="1">IF(OR($E144="X",$E144="",$E144=0,$B144="X",$B144="",$B144=0),0,SUM(_xlfn._xlws.FILTER(PrvSty[DsvValue:EXT.],(PrvSty[Project]=TEXT($B144,"@"))*(PrvSty[Row]=$E144)*(PrvSty[Column]=UPPER(AE$114)),0)))</f>
        <v>0</v>
      </c>
      <c r="AG144" s="157" cm="1">
        <f t="array" aca="1" ref="AG144" ca="1">IF(OR($E144="X",$E144="",$E144=0,$B144="X",$B144="",$B144=0),0,SUM(_xlfn._xlws.FILTER(PrvSty[DsvValue:SERRA],(PrvSty[Project]=TEXT($B144,"@"))*(PrvSty[Row]=$E144)*(PrvSty[Column]=UPPER(AG$114)),0)))</f>
        <v>0</v>
      </c>
      <c r="AH144" s="157" cm="1">
        <f t="array" aca="1" ref="AH144" ca="1">IF(OR($E144="X",$E144="",$E144=0,$B144="X",$B144="",$B144=0),0,SUM(_xlfn._xlws.FILTER(PrvSty[DsvValue:EXT.],(PrvSty[Project]=TEXT($B144,"@"))*(PrvSty[Row]=$E144)*(PrvSty[Column]=UPPER(AG$114)),0)))</f>
        <v>0</v>
      </c>
      <c r="AI144" s="157" cm="1">
        <f t="array" aca="1" ref="AI144" ca="1">IF(OR($E144="X",$E144="",$E144=0,$B144="X",$B144="",$B144=0),0,SUM(_xlfn._xlws.FILTER(PrvSty[DsvValue:SERRA],(PrvSty[Project]=TEXT($B144,"@"))*(PrvSty[Row]=$E144)*(PrvSty[Column]=UPPER(AI$114)),0)))</f>
        <v>0</v>
      </c>
      <c r="AJ144" s="157" cm="1">
        <f t="array" aca="1" ref="AJ144" ca="1">IF(OR($E144="X",$E144="",$E144=0,$B144="X",$B144="",$B144=0),0,SUM(_xlfn._xlws.FILTER(PrvSty[DsvValue:EXT.],(PrvSty[Project]=TEXT($B144,"@"))*(PrvSty[Row]=$E144)*(PrvSty[Column]=UPPER(AI$114)),0)))</f>
        <v>3207.94</v>
      </c>
      <c r="AK144" s="157" cm="1">
        <f t="array" aca="1" ref="AK144" ca="1">IF(OR($E144="X",$E144="",$E144=0,$B144="X",$B144="",$B144=0),0,SUM(_xlfn._xlws.FILTER(PrvSty[DsvValue:SERRA],(PrvSty[Project]=TEXT($B144,"@"))*(PrvSty[Row]=$E144)*(PrvSty[Column]=UPPER(AK$114)),0)))</f>
        <v>0</v>
      </c>
      <c r="AL144" s="157" cm="1">
        <f t="array" aca="1" ref="AL144" ca="1">IF(OR($E144="X",$E144="",$E144=0,$B144="X",$B144="",$B144=0),0,SUM(_xlfn._xlws.FILTER(PrvSty[DsvValue:EXT.],(PrvSty[Project]=TEXT($B144,"@"))*(PrvSty[Row]=$E144)*(PrvSty[Column]=UPPER(AK$114)),0)))</f>
        <v>0</v>
      </c>
      <c r="AM144" s="157" cm="1">
        <f t="array" aca="1" ref="AM144" ca="1">IF(OR($E144="X",$E144="",$E144=0,$B144="X",$B144="",$B144=0),0,SUM(_xlfn._xlws.FILTER(PrvSty[DsvValue:SERRA],(PrvSty[Project]=TEXT($B144,"@"))*(PrvSty[Row]=$E144)*(PrvSty[Column]=UPPER(AM$114)),0)))</f>
        <v>0</v>
      </c>
      <c r="AN144" s="157" cm="1">
        <f t="array" aca="1" ref="AN144" ca="1">IF(OR($E144="X",$E144="",$E144=0,$B144="X",$B144="",$B144=0),0,SUM(_xlfn._xlws.FILTER(PrvSty[DsvValue:EXT.],(PrvSty[Project]=TEXT($B144,"@"))*(PrvSty[Row]=$E144)*(PrvSty[Column]=UPPER(AM$114)),0)))</f>
        <v>141.6</v>
      </c>
      <c r="AO144" s="157" cm="1">
        <f t="array" aca="1" ref="AO144" ca="1">IF(OR($E144="X",$E144="",$E144=0,$B144="X",$B144="",$B144=0),0,SUM(_xlfn._xlws.FILTER(PrvSty[DsvValue:SERRA],(PrvSty[Project]=TEXT($B144,"@"))*(PrvSty[Row]=$E144)*(PrvSty[Column]=UPPER(AO$114)),0)))</f>
        <v>0</v>
      </c>
      <c r="AP144" s="157" cm="1">
        <f t="array" aca="1" ref="AP144" ca="1">IF(OR($E144="X",$E144="",$E144=0,$B144="X",$B144="",$B144=0),0,SUM(_xlfn._xlws.FILTER(PrvSty[DsvValue:EXT.],(PrvSty[Project]=TEXT($B144,"@"))*(PrvSty[Row]=$E144)*(PrvSty[Column]=UPPER(AO$114)),0)))</f>
        <v>0</v>
      </c>
      <c r="AQ144" s="157" cm="1">
        <f t="array" aca="1" ref="AQ144" ca="1">SUM(IF(INDIRECT($AS$115)=AQ$115,INDIRECT($AS144)))</f>
        <v>0</v>
      </c>
      <c r="AR144" s="157" cm="1">
        <f t="array" aca="1" ref="AR144" ca="1">SUM(IF(INDIRECT($AS$115)=AR$115,INDIRECT($AS144)))</f>
        <v>3349.54</v>
      </c>
      <c r="AS144" s="286" t="str">
        <f t="shared" ca="1" si="13"/>
        <v>G144:AP144</v>
      </c>
      <c r="AT144" s="403">
        <f t="shared" ca="1" si="14"/>
        <v>3349.54</v>
      </c>
      <c r="AV144" s="142" cm="1">
        <f t="array" aca="1" ref="AV144" ca="1">IF(AND(_xlfn.LET(_xlpm.x,SUM(ROW()),OR(AND(MATCH("SOT",$A:$A,0)&lt;_xlpm.x,MATCH("EOT",$A:$A,0)&gt;_xlpm.x),AND(MATCH("SOS",$A:$A,0)&lt;_xlpm.x,MATCH("EOS",$A:$A,0)&gt;_xlpm.x),AND(MATCH("SOR",$A:$A,0)&lt;_xlpm.x,MATCH("EOR",$A:$A,0)&gt;_xlpm.x))),INDIRECT("rc"&amp;MATCH("SCD",$1:$1,0),FALSE)="PPTO"),1,0)</f>
        <v>0</v>
      </c>
      <c r="AW144" s="142" cm="1">
        <f t="array" aca="1" ref="AW14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45" spans="2:49" outlineLevel="1">
      <c r="B145" s="156" t="str" cm="1">
        <f t="array" aca="1" ref="B145:E145" ca="1">_xlfn.LET(_xlpm.x,SUM(ROW()-MATCH("SOR",$A:$A,0)),_xlpm.y,IFERROR(_xlfn.TAKE(INDEX(_xlfn._xlws.FILTER(TbAssign[],ISNUMBER(FIND(TbAssign[Project],$C$4)),"X"),1+QUOTIENT(_xlpm.x,3),0),1,4),0),IF(MOD(_xlpm.x-1,3)=0,IF(_xlpm.y=0,"X",_xlpm.y),INDIRECT("r[-1]c#",FALSE)))</f>
        <v>31200</v>
      </c>
      <c r="C145" s="156" t="str">
        <f ca="1"/>
        <v>XE01</v>
      </c>
      <c r="D145" s="148" t="str">
        <f ca="1"/>
        <v>PMTS</v>
      </c>
      <c r="E145" s="352" t="str">
        <f ca="1"/>
        <v>RECEPCION UTILES</v>
      </c>
      <c r="F145" s="148" t="s">
        <v>1383</v>
      </c>
      <c r="G145" s="158" cm="1">
        <f t="array" aca="1" ref="G145" ca="1">IF(OR($E145="X",$E145="",$E145=0,$B145="X",$B145="",$B145=0),0,SUM(_xlfn._xlws.FILTER(FrmBB1[Cur],(FrmBB1[PrjId]=TEXT($B145,"@"))*(FrmBB1[Row]=$E145)*(FrmBB1[Column]=UPPER(_xlfn.LET(_xlpm.x,_xlfn.TEXTBEFORE(G$114," ("),IFERROR(_xlpm.x,G$114)))&amp;" "&amp;G$115),0)))</f>
        <v>0</v>
      </c>
      <c r="H145" s="157" cm="1">
        <f t="array" aca="1" ref="H145" ca="1">IF(OR($E145="X",$E145="",$E145=0,$B145="X",$B145="",$B145=0),0,SUM(_xlfn._xlws.FILTER(FrmBB1[Cur],(FrmBB1[PrjId]=TEXT($B145,"@"))*(FrmBB1[Row]=$E145)*(FrmBB1[Column]=UPPER(_xlfn.LET(_xlpm.x,_xlfn.TEXTBEFORE(G$114," ("),IFERROR(_xlpm.x,G$114)))&amp;" "&amp;H$115),0)))</f>
        <v>0</v>
      </c>
      <c r="I145" s="158" cm="1">
        <f t="array" aca="1" ref="I145" ca="1">IF(OR($E145="X",$E145="",$E145=0,$B145="X",$B145="",$B145=0),0,SUM(_xlfn._xlws.FILTER(FrmBB1[Cur],(FrmBB1[PrjId]=TEXT($B145,"@"))*(FrmBB1[Row]=$E145)*(FrmBB1[Column]=UPPER(_xlfn.LET(_xlpm.x,_xlfn.TEXTBEFORE(I$114," ("),IFERROR(_xlpm.x,I$114)))&amp;" "&amp;I$115),0)))</f>
        <v>0</v>
      </c>
      <c r="J145" s="157" cm="1">
        <f t="array" aca="1" ref="J145" ca="1">IF(OR($E145="X",$E145="",$E145=0,$B145="X",$B145="",$B145=0),0,SUM(_xlfn._xlws.FILTER(FrmBB1[Cur],(FrmBB1[PrjId]=TEXT($B145,"@"))*(FrmBB1[Row]=$E145)*(FrmBB1[Column]=UPPER(_xlfn.LET(_xlpm.x,_xlfn.TEXTBEFORE(I$114," ("),IFERROR(_xlpm.x,I$114)))&amp;" "&amp;J$115),0)))</f>
        <v>0</v>
      </c>
      <c r="K145" s="158" cm="1">
        <f t="array" aca="1" ref="K145" ca="1">IF(OR($E145="X",$E145="",$E145=0,$B145="X",$B145="",$B145=0),0,SUM(_xlfn._xlws.FILTER(FrmBB1[Cur],(FrmBB1[PrjId]=TEXT($B145,"@"))*(FrmBB1[Row]=$E145)*(FrmBB1[Column]=UPPER(_xlfn.LET(_xlpm.x,_xlfn.TEXTBEFORE(K$114," ("),IFERROR(_xlpm.x,K$114)))&amp;" "&amp;K$115),0)))</f>
        <v>0</v>
      </c>
      <c r="L145" s="157" cm="1">
        <f t="array" aca="1" ref="L145" ca="1">IF(OR($E145="X",$E145="",$E145=0,$B145="X",$B145="",$B145=0),0,SUM(_xlfn._xlws.FILTER(FrmBB1[Cur],(FrmBB1[PrjId]=TEXT($B145,"@"))*(FrmBB1[Row]=$E145)*(FrmBB1[Column]=UPPER(_xlfn.LET(_xlpm.x,_xlfn.TEXTBEFORE(K$114," ("),IFERROR(_xlpm.x,K$114)))&amp;" "&amp;L$115),0)))</f>
        <v>0</v>
      </c>
      <c r="M145" s="158" cm="1">
        <f t="array" aca="1" ref="M145" ca="1">IF(OR($E145="X",$E145="",$E145=0,$B145="X",$B145="",$B145=0),0,SUM(_xlfn._xlws.FILTER(FrmBB1[Cur],(FrmBB1[PrjId]=TEXT($B145,"@"))*(FrmBB1[Row]=$E145)*(FrmBB1[Column]=UPPER(_xlfn.LET(_xlpm.x,_xlfn.TEXTBEFORE(M$114," ("),IFERROR(_xlpm.x,M$114)))&amp;" "&amp;M$115),0)))</f>
        <v>0</v>
      </c>
      <c r="N145" s="157" cm="1">
        <f t="array" aca="1" ref="N145" ca="1">IF(OR($E145="X",$E145="",$E145=0,$B145="X",$B145="",$B145=0),0,SUM(_xlfn._xlws.FILTER(FrmBB1[Cur],(FrmBB1[PrjId]=TEXT($B145,"@"))*(FrmBB1[Row]=$E145)*(FrmBB1[Column]=UPPER(_xlfn.LET(_xlpm.x,_xlfn.TEXTBEFORE(M$114," ("),IFERROR(_xlpm.x,M$114)))&amp;" "&amp;N$115),0)))</f>
        <v>0</v>
      </c>
      <c r="O145" s="158" cm="1">
        <f t="array" aca="1" ref="O145" ca="1">IF(OR($E145="X",$E145="",$E145=0,$B145="X",$B145="",$B145=0),0,SUM(_xlfn._xlws.FILTER(FrmBB1[Cur],(FrmBB1[PrjId]=TEXT($B145,"@"))*(FrmBB1[Row]=$E145)*(FrmBB1[Column]=UPPER(_xlfn.LET(_xlpm.x,_xlfn.TEXTBEFORE(O$114," ("),IFERROR(_xlpm.x,O$114)))&amp;" "&amp;O$115),0)))</f>
        <v>0</v>
      </c>
      <c r="P145" s="157" cm="1">
        <f t="array" aca="1" ref="P145" ca="1">IF(OR($E145="X",$E145="",$E145=0,$B145="X",$B145="",$B145=0),0,SUM(_xlfn._xlws.FILTER(FrmBB1[Cur],(FrmBB1[PrjId]=TEXT($B145,"@"))*(FrmBB1[Row]=$E145)*(FrmBB1[Column]=UPPER(_xlfn.LET(_xlpm.x,_xlfn.TEXTBEFORE(O$114," ("),IFERROR(_xlpm.x,O$114)))&amp;" "&amp;P$115),0)))</f>
        <v>0</v>
      </c>
      <c r="Q145" s="158" cm="1">
        <f t="array" aca="1" ref="Q145" ca="1">IF(OR($E145="X",$E145="",$E145=0,$B145="X",$B145="",$B145=0),0,SUM(_xlfn._xlws.FILTER(FrmBB1[Cur],(FrmBB1[PrjId]=TEXT($B145,"@"))*(FrmBB1[Row]=$E145)*(FrmBB1[Column]=UPPER(_xlfn.LET(_xlpm.x,_xlfn.TEXTBEFORE(Q$114," ("),IFERROR(_xlpm.x,Q$114)))&amp;" "&amp;Q$115),0)))</f>
        <v>0</v>
      </c>
      <c r="R145" s="157" cm="1">
        <f t="array" aca="1" ref="R145" ca="1">IF(OR($E145="X",$E145="",$E145=0,$B145="X",$B145="",$B145=0),0,SUM(_xlfn._xlws.FILTER(FrmBB1[Cur],(FrmBB1[PrjId]=TEXT($B145,"@"))*(FrmBB1[Row]=$E145)*(FrmBB1[Column]=UPPER(_xlfn.LET(_xlpm.x,_xlfn.TEXTBEFORE(Q$114," ("),IFERROR(_xlpm.x,Q$114)))&amp;" "&amp;R$115),0)))</f>
        <v>0</v>
      </c>
      <c r="S145" s="158" cm="1">
        <f t="array" aca="1" ref="S145" ca="1">IF(OR($E145="X",$E145="",$E145=0,$B145="X",$B145="",$B145=0),0,SUM(_xlfn._xlws.FILTER(FrmBB1[Cur],(FrmBB1[PrjId]=TEXT($B145,"@"))*(FrmBB1[Row]=$E145)*(FrmBB1[Column]=UPPER(_xlfn.LET(_xlpm.x,_xlfn.TEXTBEFORE(S$114," ("),IFERROR(_xlpm.x,S$114)))&amp;" "&amp;S$115),0)))</f>
        <v>0</v>
      </c>
      <c r="T145" s="157" cm="1">
        <f t="array" aca="1" ref="T145" ca="1">IF(OR($E145="X",$E145="",$E145=0,$B145="X",$B145="",$B145=0),0,SUM(_xlfn._xlws.FILTER(FrmBB1[Cur],(FrmBB1[PrjId]=TEXT($B145,"@"))*(FrmBB1[Row]=$E145)*(FrmBB1[Column]=UPPER(_xlfn.LET(_xlpm.x,_xlfn.TEXTBEFORE(S$114," ("),IFERROR(_xlpm.x,S$114)))&amp;" "&amp;T$115),0)))</f>
        <v>0</v>
      </c>
      <c r="U145" s="158" cm="1">
        <f t="array" aca="1" ref="U145" ca="1">IF(OR($E145="X",$E145="",$E145=0,$B145="X",$B145="",$B145=0),0,SUM(_xlfn._xlws.FILTER(FrmBB1[Cur],(FrmBB1[PrjId]=TEXT($B145,"@"))*(FrmBB1[Row]=$E145)*(FrmBB1[Column]=UPPER(_xlfn.LET(_xlpm.x,_xlfn.TEXTBEFORE(U$114," ("),IFERROR(_xlpm.x,U$114)))&amp;" "&amp;U$115),0)))</f>
        <v>0</v>
      </c>
      <c r="V145" s="157" cm="1">
        <f t="array" aca="1" ref="V145" ca="1">IF(OR($E145="X",$E145="",$E145=0,$B145="X",$B145="",$B145=0),0,SUM(_xlfn._xlws.FILTER(FrmBB1[Cur],(FrmBB1[PrjId]=TEXT($B145,"@"))*(FrmBB1[Row]=$E145)*(FrmBB1[Column]=UPPER(_xlfn.LET(_xlpm.x,_xlfn.TEXTBEFORE(U$114," ("),IFERROR(_xlpm.x,U$114)))&amp;" "&amp;V$115),0)))</f>
        <v>19.75</v>
      </c>
      <c r="W145" s="158" cm="1">
        <f t="array" aca="1" ref="W145" ca="1">IF(OR($E145="X",$E145="",$E145=0,$B145="X",$B145="",$B145=0),0,SUM(_xlfn._xlws.FILTER(FrmBB1[Cur],(FrmBB1[PrjId]=TEXT($B145,"@"))*(FrmBB1[Row]=$E145)*(FrmBB1[Column]=UPPER(_xlfn.LET(_xlpm.x,_xlfn.TEXTBEFORE(W$114," ("),IFERROR(_xlpm.x,W$114)))&amp;" "&amp;W$115),0)))</f>
        <v>38079.120000000003</v>
      </c>
      <c r="X145" s="157" cm="1">
        <f t="array" aca="1" ref="X145" ca="1">IF(OR($E145="X",$E145="",$E145=0,$B145="X",$B145="",$B145=0),0,SUM(_xlfn._xlws.FILTER(FrmBB1[Cur],(FrmBB1[PrjId]=TEXT($B145,"@"))*(FrmBB1[Row]=$E145)*(FrmBB1[Column]=UPPER(_xlfn.LET(_xlpm.x,_xlfn.TEXTBEFORE(W$114," ("),IFERROR(_xlpm.x,W$114)))&amp;" "&amp;X$115),0)))</f>
        <v>0</v>
      </c>
      <c r="Y145" s="158" cm="1">
        <f t="array" aca="1" ref="Y145" ca="1">IF(OR($E145="X",$E145="",$E145=0,$B145="X",$B145="",$B145=0),0,SUM(_xlfn._xlws.FILTER(FrmBB1[Cur],(FrmBB1[PrjId]=TEXT($B145,"@"))*(FrmBB1[Row]=$E145)*(FrmBB1[Column]=UPPER(_xlfn.LET(_xlpm.x,_xlfn.TEXTBEFORE(Y$114," ("),IFERROR(_xlpm.x,Y$114)))&amp;" "&amp;Y$115),0)))</f>
        <v>238.48</v>
      </c>
      <c r="Z145" s="157" cm="1">
        <f t="array" aca="1" ref="Z145" ca="1">IF(OR($E145="X",$E145="",$E145=0,$B145="X",$B145="",$B145=0),0,SUM(_xlfn._xlws.FILTER(FrmBB1[Cur],(FrmBB1[PrjId]=TEXT($B145,"@"))*(FrmBB1[Row]=$E145)*(FrmBB1[Column]=UPPER(_xlfn.LET(_xlpm.x,_xlfn.TEXTBEFORE(Y$114," ("),IFERROR(_xlpm.x,Y$114)))&amp;" "&amp;Z$115),0)))</f>
        <v>0</v>
      </c>
      <c r="AA145" s="158" cm="1">
        <f t="array" aca="1" ref="AA145" ca="1">IF(OR($E145="X",$E145="",$E145=0,$B145="X",$B145="",$B145=0),0,SUM(_xlfn._xlws.FILTER(FrmBB1[Cur],(FrmBB1[PrjId]=TEXT($B145,"@"))*(FrmBB1[Row]=$E145)*(FrmBB1[Column]=UPPER(_xlfn.LET(_xlpm.x,_xlfn.TEXTBEFORE(AA$114," ("),IFERROR(_xlpm.x,AA$114)))&amp;" "&amp;AA$115),0)))</f>
        <v>0</v>
      </c>
      <c r="AB145" s="157" cm="1">
        <f t="array" aca="1" ref="AB145" ca="1">IF(OR($E145="X",$E145="",$E145=0,$B145="X",$B145="",$B145=0),0,SUM(_xlfn._xlws.FILTER(FrmBB1[Cur],(FrmBB1[PrjId]=TEXT($B145,"@"))*(FrmBB1[Row]=$E145)*(FrmBB1[Column]=UPPER(_xlfn.LET(_xlpm.x,_xlfn.TEXTBEFORE(AA$114," ("),IFERROR(_xlpm.x,AA$114)))&amp;" "&amp;AB$115),0)))</f>
        <v>0</v>
      </c>
      <c r="AC145" s="158" cm="1">
        <f t="array" aca="1" ref="AC145" ca="1">IF(OR($E145="X",$E145="",$E145=0,$B145="X",$B145="",$B145=0),0,SUM(_xlfn._xlws.FILTER(FrmBB1[Cur],(FrmBB1[PrjId]=TEXT($B145,"@"))*(FrmBB1[Row]=$E145)*(FrmBB1[Column]=UPPER(_xlfn.LET(_xlpm.x,_xlfn.TEXTBEFORE(AC$114," ("),IFERROR(_xlpm.x,AC$114)))&amp;" "&amp;AC$115),0)))</f>
        <v>0</v>
      </c>
      <c r="AD145" s="157" cm="1">
        <f t="array" aca="1" ref="AD145" ca="1">IF(OR($E145="X",$E145="",$E145=0,$B145="X",$B145="",$B145=0),0,SUM(_xlfn._xlws.FILTER(FrmBB1[Cur],(FrmBB1[PrjId]=TEXT($B145,"@"))*(FrmBB1[Row]=$E145)*(FrmBB1[Column]=UPPER(_xlfn.LET(_xlpm.x,_xlfn.TEXTBEFORE(AC$114," ("),IFERROR(_xlpm.x,AC$114)))&amp;" "&amp;AD$115),0)))</f>
        <v>0</v>
      </c>
      <c r="AE145" s="158" cm="1">
        <f t="array" aca="1" ref="AE145" ca="1">IF(OR($E145="X",$E145="",$E145=0,$B145="X",$B145="",$B145=0),0,SUM(_xlfn._xlws.FILTER(FrmBB1[Cur],(FrmBB1[PrjId]=TEXT($B145,"@"))*(FrmBB1[Row]=$E145)*(FrmBB1[Column]=UPPER(_xlfn.LET(_xlpm.x,_xlfn.TEXTBEFORE(AE$114," ("),IFERROR(_xlpm.x,AE$114)))&amp;" "&amp;AE$115),0)))</f>
        <v>0</v>
      </c>
      <c r="AF145" s="157" cm="1">
        <f t="array" aca="1" ref="AF145" ca="1">IF(OR($E145="X",$E145="",$E145=0,$B145="X",$B145="",$B145=0),0,SUM(_xlfn._xlws.FILTER(FrmBB1[Cur],(FrmBB1[PrjId]=TEXT($B145,"@"))*(FrmBB1[Row]=$E145)*(FrmBB1[Column]=UPPER(_xlfn.LET(_xlpm.x,_xlfn.TEXTBEFORE(AE$114," ("),IFERROR(_xlpm.x,AE$114)))&amp;" "&amp;AF$115),0)))</f>
        <v>0</v>
      </c>
      <c r="AG145" s="158" cm="1">
        <f t="array" aca="1" ref="AG145" ca="1">IF(OR($E145="X",$E145="",$E145=0,$B145="X",$B145="",$B145=0),0,SUM(_xlfn._xlws.FILTER(FrmBB1[Cur],(FrmBB1[PrjId]=TEXT($B145,"@"))*(FrmBB1[Row]=$E145)*(FrmBB1[Column]=UPPER(_xlfn.LET(_xlpm.x,_xlfn.TEXTBEFORE(AG$114," ("),IFERROR(_xlpm.x,AG$114)))&amp;" "&amp;AG$115),0)))</f>
        <v>0</v>
      </c>
      <c r="AH145" s="157" cm="1">
        <f t="array" aca="1" ref="AH145" ca="1">IF(OR($E145="X",$E145="",$E145=0,$B145="X",$B145="",$B145=0),0,SUM(_xlfn._xlws.FILTER(FrmBB1[Cur],(FrmBB1[PrjId]=TEXT($B145,"@"))*(FrmBB1[Row]=$E145)*(FrmBB1[Column]=UPPER(_xlfn.LET(_xlpm.x,_xlfn.TEXTBEFORE(AG$114," ("),IFERROR(_xlpm.x,AG$114)))&amp;" "&amp;AH$115),0)))</f>
        <v>0</v>
      </c>
      <c r="AI145" s="158" cm="1">
        <f t="array" aca="1" ref="AI145" ca="1">IF(OR($E145="X",$E145="",$E145=0,$B145="X",$B145="",$B145=0),0,SUM(_xlfn._xlws.FILTER(FrmBB1[Cur],(FrmBB1[PrjId]=TEXT($B145,"@"))*(FrmBB1[Row]=$E145)*(FrmBB1[Column]=UPPER(_xlfn.LET(_xlpm.x,_xlfn.TEXTBEFORE(AI$114," ("),IFERROR(_xlpm.x,AI$114)))&amp;" "&amp;AI$115),0)))</f>
        <v>0</v>
      </c>
      <c r="AJ145" s="157" cm="1">
        <f t="array" aca="1" ref="AJ145" ca="1">IF(OR($E145="X",$E145="",$E145=0,$B145="X",$B145="",$B145=0),0,SUM(_xlfn._xlws.FILTER(FrmBB1[Cur],(FrmBB1[PrjId]=TEXT($B145,"@"))*(FrmBB1[Row]=$E145)*(FrmBB1[Column]=UPPER(_xlfn.LET(_xlpm.x,_xlfn.TEXTBEFORE(AI$114," ("),IFERROR(_xlpm.x,AI$114)))&amp;" "&amp;AJ$115),0)))</f>
        <v>3285.71</v>
      </c>
      <c r="AK145" s="158" cm="1">
        <f t="array" aca="1" ref="AK145" ca="1">IF(OR($E145="X",$E145="",$E145=0,$B145="X",$B145="",$B145=0),0,SUM(_xlfn._xlws.FILTER(FrmBB1[Cur],(FrmBB1[PrjId]=TEXT($B145,"@"))*(FrmBB1[Row]=$E145)*(FrmBB1[Column]=UPPER(_xlfn.LET(_xlpm.x,_xlfn.TEXTBEFORE(AK$114," ("),IFERROR(_xlpm.x,AK$114)))&amp;" "&amp;AK$115),0)))</f>
        <v>0</v>
      </c>
      <c r="AL145" s="157" cm="1">
        <f t="array" aca="1" ref="AL145" ca="1">IF(OR($E145="X",$E145="",$E145=0,$B145="X",$B145="",$B145=0),0,SUM(_xlfn._xlws.FILTER(FrmBB1[Cur],(FrmBB1[PrjId]=TEXT($B145,"@"))*(FrmBB1[Row]=$E145)*(FrmBB1[Column]=UPPER(_xlfn.LET(_xlpm.x,_xlfn.TEXTBEFORE(AK$114," ("),IFERROR(_xlpm.x,AK$114)))&amp;" "&amp;AL$115),0)))</f>
        <v>12</v>
      </c>
      <c r="AM145" s="158" cm="1">
        <f t="array" aca="1" ref="AM145" ca="1">IF(OR($E145="X",$E145="",$E145=0,$B145="X",$B145="",$B145=0),0,SUM(_xlfn._xlws.FILTER(FrmBB1[Cur],(FrmBB1[PrjId]=TEXT($B145,"@"))*(FrmBB1[Row]=$E145)*(FrmBB1[Column]=UPPER(_xlfn.LET(_xlpm.x,_xlfn.TEXTBEFORE(AM$114," ("),IFERROR(_xlpm.x,AM$114)))&amp;" "&amp;AM$115),0)))</f>
        <v>0</v>
      </c>
      <c r="AN145" s="157" cm="1">
        <f t="array" aca="1" ref="AN145" ca="1">IF(OR($E145="X",$E145="",$E145=0,$B145="X",$B145="",$B145=0),0,SUM(_xlfn._xlws.FILTER(FrmBB1[Cur],(FrmBB1[PrjId]=TEXT($B145,"@"))*(FrmBB1[Row]=$E145)*(FrmBB1[Column]=UPPER(_xlfn.LET(_xlpm.x,_xlfn.TEXTBEFORE(AM$114," ("),IFERROR(_xlpm.x,AM$114)))&amp;" "&amp;AN$115),0)))</f>
        <v>146.47</v>
      </c>
      <c r="AO145" s="158" cm="1">
        <f t="array" aca="1" ref="AO145" ca="1">IF(OR($E145="X",$E145="",$E145=0,$B145="X",$B145="",$B145=0),0,SUM(_xlfn._xlws.FILTER(FrmBB1[Cur],(FrmBB1[PrjId]=TEXT($B145,"@"))*(FrmBB1[Row]=$E145)*(FrmBB1[Column]=UPPER(_xlfn.LET(_xlpm.x,_xlfn.TEXTBEFORE(AO$114," ("),IFERROR(_xlpm.x,AO$114)))&amp;" "&amp;AO$115),0)))</f>
        <v>0</v>
      </c>
      <c r="AP145" s="157" cm="1">
        <f t="array" aca="1" ref="AP145" ca="1">IF(OR($E145="X",$E145="",$E145=0,$B145="X",$B145="",$B145=0),0,SUM(_xlfn._xlws.FILTER(FrmBB1[Cur],(FrmBB1[PrjId]=TEXT($B145,"@"))*(FrmBB1[Row]=$E145)*(FrmBB1[Column]=UPPER(_xlfn.LET(_xlpm.x,_xlfn.TEXTBEFORE(AO$114," ("),IFERROR(_xlpm.x,AO$114)))&amp;" "&amp;AP$115),0)))</f>
        <v>0</v>
      </c>
      <c r="AQ145" s="157" cm="1">
        <f t="array" aca="1" ref="AQ145" ca="1">SUM(IF(INDIRECT($AS$115)=AQ$115,INDIRECT($AS145)))</f>
        <v>38317.600000000006</v>
      </c>
      <c r="AR145" s="157" cm="1">
        <f t="array" aca="1" ref="AR145" ca="1">SUM(IF(INDIRECT($AS$115)=AR$115,INDIRECT($AS145)))</f>
        <v>3463.93</v>
      </c>
      <c r="AS145" s="286" t="str">
        <f t="shared" ref="AS145:AS176" ca="1" si="15">IF($B145="","X",ADDRESS(SUM(ROW()),MATCH("SCD",$1:$1,0)+1,4)&amp;":"&amp;ADDRESS(SUM(ROW()),MATCH("ECD",$1:$1,0)-1,4))</f>
        <v>G145:AP145</v>
      </c>
      <c r="AT145" s="355">
        <f t="shared" ca="1" si="14"/>
        <v>41781.530000000006</v>
      </c>
      <c r="AV145" s="142" cm="1">
        <f t="array" aca="1" ref="AV145" ca="1">IF(AND(_xlfn.LET(_xlpm.x,SUM(ROW()),OR(AND(MATCH("SOT",$A:$A,0)&lt;_xlpm.x,MATCH("EOT",$A:$A,0)&gt;_xlpm.x),AND(MATCH("SOS",$A:$A,0)&lt;_xlpm.x,MATCH("EOS",$A:$A,0)&gt;_xlpm.x),AND(MATCH("SOR",$A:$A,0)&lt;_xlpm.x,MATCH("EOR",$A:$A,0)&gt;_xlpm.x))),INDIRECT("rc"&amp;MATCH("SCD",$1:$1,0),FALSE)="PPTO"),1,0)</f>
        <v>0</v>
      </c>
      <c r="AW145" s="142" cm="1">
        <f t="array" aca="1" ref="AW14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46" spans="2:49" outlineLevel="1">
      <c r="B146" s="156" t="str" cm="1">
        <f t="array" aca="1" ref="B146:E146" ca="1">_xlfn.LET(_xlpm.x,SUM(ROW()-MATCH("SOR",$A:$A,0)),_xlpm.y,IFERROR(_xlfn.TAKE(INDEX(_xlfn._xlws.FILTER(TbAssign[],ISNUMBER(FIND(TbAssign[Project],$C$4)),"X"),1+QUOTIENT(_xlpm.x,3),0),1,4),0),IF(MOD(_xlpm.x-1,3)=0,IF(_xlpm.y=0,"X",_xlpm.y),INDIRECT("r[-1]c#",FALSE)))</f>
        <v>31200</v>
      </c>
      <c r="C146" s="156" t="str">
        <f ca="1"/>
        <v>XC01</v>
      </c>
      <c r="D146" s="148" t="str">
        <f ca="1"/>
        <v>FABC</v>
      </c>
      <c r="E146" s="352" t="str">
        <f ca="1"/>
        <v>ARMARIOS ELECTRICOS</v>
      </c>
      <c r="F146" s="148" t="s">
        <v>397</v>
      </c>
      <c r="G146" s="157" cm="1">
        <f t="array" aca="1" ref="G146" ca="1">IF(OR($E146="X",$E146="",$E146=0,$B146="X",$B146="",$B146=0),0,SUM(_xlfn._xlws.FILTER(IF($E$4="Ppto",PptoSty[CurPpto],PptoSty[CurInt]),(IF($E$4="Ppto",PptoSty[POvsCT]=G$113,TRUE))*(PptoSty[Project]=TEXT($B146,"@"))*(PptoSty[PptoVsRow]=$E146)*(PptoSty[PptoVsColumn]=UPPER(G$114)),0)))</f>
        <v>0</v>
      </c>
      <c r="H146" s="157" cm="1">
        <f t="array" aca="1" ref="H146" ca="1">IF(OR($E146="X",$E146="",$E146=0,$B146="X",$B146="",$B146=0),0,SUM(_xlfn._xlws.FILTER(IF($E$4="Ppto",PptoSty[CurPpto],PptoSty[CurExt]),(IF($E$4="Ppto",PptoSty[POvsCT]=H$113,TRUE))*(PptoSty[Project]=TEXT($B146,"@"))*(PptoSty[PptoVsRow]=$E146)*(PptoSty[PptoVsColumn]=UPPER(G$114)),0)))</f>
        <v>0</v>
      </c>
      <c r="I146" s="157" cm="1">
        <f t="array" aca="1" ref="I146" ca="1">IF(OR($E146="X",$E146="",$E146=0,$B146="X",$B146="",$B146=0),0,SUM(_xlfn._xlws.FILTER(IF($E$4="Ppto",PptoSty[CurPpto],PptoSty[CurInt]),(IF($E$4="Ppto",PptoSty[POvsCT]=I$113,TRUE))*(PptoSty[Project]=TEXT($B146,"@"))*(PptoSty[PptoVsRow]=$E146)*(PptoSty[PptoVsColumn]=UPPER(I$114)),0)))</f>
        <v>0</v>
      </c>
      <c r="J146" s="157" cm="1">
        <f t="array" aca="1" ref="J146" ca="1">IF(OR($E146="X",$E146="",$E146=0,$B146="X",$B146="",$B146=0),0,SUM(_xlfn._xlws.FILTER(IF($E$4="Ppto",PptoSty[CurPpto],PptoSty[CurExt]),(IF($E$4="Ppto",PptoSty[POvsCT]=J$113,TRUE))*(PptoSty[Project]=TEXT($B146,"@"))*(PptoSty[PptoVsRow]=$E146)*(PptoSty[PptoVsColumn]=UPPER(I$114)),0)))</f>
        <v>0</v>
      </c>
      <c r="K146" s="157" cm="1">
        <f t="array" aca="1" ref="K146" ca="1">IF(OR($E146="X",$E146="",$E146=0,$B146="X",$B146="",$B146=0),0,SUM(_xlfn._xlws.FILTER(IF($E$4="Ppto",PptoSty[CurPpto],PptoSty[CurInt]),(IF($E$4="Ppto",PptoSty[POvsCT]=K$113,TRUE))*(PptoSty[Project]=TEXT($B146,"@"))*(PptoSty[PptoVsRow]=$E146)*(PptoSty[PptoVsColumn]=UPPER(K$114)),0)))</f>
        <v>0</v>
      </c>
      <c r="L146" s="157" cm="1">
        <f t="array" aca="1" ref="L146" ca="1">IF(OR($E146="X",$E146="",$E146=0,$B146="X",$B146="",$B146=0),0,SUM(_xlfn._xlws.FILTER(IF($E$4="Ppto",PptoSty[CurPpto],PptoSty[CurExt]),(IF($E$4="Ppto",PptoSty[POvsCT]=L$113,TRUE))*(PptoSty[Project]=TEXT($B146,"@"))*(PptoSty[PptoVsRow]=$E146)*(PptoSty[PptoVsColumn]=UPPER(K$114)),0)))</f>
        <v>0</v>
      </c>
      <c r="M146" s="157" cm="1">
        <f t="array" aca="1" ref="M146" ca="1">IF(OR($E146="X",$E146="",$E146=0,$B146="X",$B146="",$B146=0),0,SUM(_xlfn._xlws.FILTER(IF($E$4="Ppto",PptoSty[CurPpto],PptoSty[CurInt]),(IF($E$4="Ppto",PptoSty[POvsCT]=M$113,TRUE))*(PptoSty[Project]=TEXT($B146,"@"))*(PptoSty[PptoVsRow]=$E146)*(PptoSty[PptoVsColumn]=UPPER(M$114)),0)))</f>
        <v>0</v>
      </c>
      <c r="N146" s="157" cm="1">
        <f t="array" aca="1" ref="N146" ca="1">IF(OR($E146="X",$E146="",$E146=0,$B146="X",$B146="",$B146=0),0,SUM(_xlfn._xlws.FILTER(IF($E$4="Ppto",PptoSty[CurPpto],PptoSty[CurExt]),(IF($E$4="Ppto",PptoSty[POvsCT]=N$113,TRUE))*(PptoSty[Project]=TEXT($B146,"@"))*(PptoSty[PptoVsRow]=$E146)*(PptoSty[PptoVsColumn]=UPPER(M$114)),0)))</f>
        <v>0</v>
      </c>
      <c r="O146" s="157" cm="1">
        <f t="array" aca="1" ref="O146" ca="1">IF(OR($E146="X",$E146="",$E146=0,$B146="X",$B146="",$B146=0),0,SUM(_xlfn._xlws.FILTER(IF($E$4="Ppto",PptoSty[CurPpto],PptoSty[CurInt]),(IF($E$4="Ppto",PptoSty[POvsCT]=O$113,TRUE))*(PptoSty[Project]=TEXT($B146,"@"))*(PptoSty[PptoVsRow]=$E146)*(PptoSty[PptoVsColumn]=UPPER(O$114)),0)))</f>
        <v>0</v>
      </c>
      <c r="P146" s="157" cm="1">
        <f t="array" aca="1" ref="P146" ca="1">IF(OR($E146="X",$E146="",$E146=0,$B146="X",$B146="",$B146=0),0,SUM(_xlfn._xlws.FILTER(IF($E$4="Ppto",PptoSty[CurPpto],PptoSty[CurExt]),(IF($E$4="Ppto",PptoSty[POvsCT]=P$113,TRUE))*(PptoSty[Project]=TEXT($B146,"@"))*(PptoSty[PptoVsRow]=$E146)*(PptoSty[PptoVsColumn]=UPPER(O$114)),0)))</f>
        <v>0</v>
      </c>
      <c r="Q146" s="157" cm="1">
        <f t="array" aca="1" ref="Q146" ca="1">IF(OR($E146="X",$E146="",$E146=0,$B146="X",$B146="",$B146=0),0,SUM(_xlfn._xlws.FILTER(IF($E$4="Ppto",PptoSty[CurPpto],PptoSty[CurInt]),(IF($E$4="Ppto",PptoSty[POvsCT]=Q$113,TRUE))*(PptoSty[Project]=TEXT($B146,"@"))*(PptoSty[PptoVsRow]=$E146)*(PptoSty[PptoVsColumn]=UPPER(Q$114)),0)))</f>
        <v>0</v>
      </c>
      <c r="R146" s="157" cm="1">
        <f t="array" aca="1" ref="R146" ca="1">IF(OR($E146="X",$E146="",$E146=0,$B146="X",$B146="",$B146=0),0,SUM(_xlfn._xlws.FILTER(IF($E$4="Ppto",PptoSty[CurPpto],PptoSty[CurExt]),(IF($E$4="Ppto",PptoSty[POvsCT]=R$113,TRUE))*(PptoSty[Project]=TEXT($B146,"@"))*(PptoSty[PptoVsRow]=$E146)*(PptoSty[PptoVsColumn]=UPPER(Q$114)),0)))</f>
        <v>0</v>
      </c>
      <c r="S146" s="157" cm="1">
        <f t="array" aca="1" ref="S146" ca="1">IF(OR($E146="X",$E146="",$E146=0,$B146="X",$B146="",$B146=0),0,SUM(_xlfn._xlws.FILTER(IF($E$4="Ppto",PptoSty[CurPpto],PptoSty[CurInt]),(IF($E$4="Ppto",PptoSty[POvsCT]=S$113,TRUE))*(PptoSty[Project]=TEXT($B146,"@"))*(PptoSty[PptoVsRow]=$E146)*(PptoSty[PptoVsColumn]=UPPER(S$114)),0)))</f>
        <v>0</v>
      </c>
      <c r="T146" s="157" cm="1">
        <f t="array" aca="1" ref="T146" ca="1">IF(OR($E146="X",$E146="",$E146=0,$B146="X",$B146="",$B146=0),0,SUM(_xlfn._xlws.FILTER(IF($E$4="Ppto",PptoSty[CurPpto],PptoSty[CurExt]),(IF($E$4="Ppto",PptoSty[POvsCT]=T$113,TRUE))*(PptoSty[Project]=TEXT($B146,"@"))*(PptoSty[PptoVsRow]=$E146)*(PptoSty[PptoVsColumn]=UPPER(S$114)),0)))</f>
        <v>0</v>
      </c>
      <c r="U146" s="157" cm="1">
        <f t="array" aca="1" ref="U146" ca="1">IF(OR($E146="X",$E146="",$E146=0,$B146="X",$B146="",$B146=0),0,SUM(_xlfn._xlws.FILTER(IF($E$4="Ppto",PptoSty[CurPpto],PptoSty[CurInt]),(IF($E$4="Ppto",PptoSty[POvsCT]=U$113,TRUE))*(PptoSty[Project]=TEXT($B146,"@"))*(PptoSty[PptoVsRow]=$E146)*(PptoSty[PptoVsColumn]=UPPER(U$114)),0)))</f>
        <v>0</v>
      </c>
      <c r="V146" s="157" cm="1">
        <f t="array" aca="1" ref="V146" ca="1">IF(OR($E146="X",$E146="",$E146=0,$B146="X",$B146="",$B146=0),0,SUM(_xlfn._xlws.FILTER(IF($E$4="Ppto",PptoSty[CurPpto],PptoSty[CurExt]),(IF($E$4="Ppto",PptoSty[POvsCT]=V$113,TRUE))*(PptoSty[Project]=TEXT($B146,"@"))*(PptoSty[PptoVsRow]=$E146)*(PptoSty[PptoVsColumn]=UPPER(U$114)),0)))</f>
        <v>0</v>
      </c>
      <c r="W146" s="157" cm="1">
        <f t="array" aca="1" ref="W146" ca="1">IF(OR($E146="X",$E146="",$E146=0,$B146="X",$B146="",$B146=0),0,SUM(_xlfn._xlws.FILTER(IF($E$4="Ppto",PptoSty[CurPpto],PptoSty[CurInt]),(IF($E$4="Ppto",PptoSty[POvsCT]=W$113,TRUE))*(PptoSty[Project]=TEXT($B146,"@"))*(PptoSty[PptoVsRow]=$E146)*(PptoSty[PptoVsColumn]=UPPER(W$114)),0)))</f>
        <v>0</v>
      </c>
      <c r="X146" s="157" cm="1">
        <f t="array" aca="1" ref="X146" ca="1">IF(OR($E146="X",$E146="",$E146=0,$B146="X",$B146="",$B146=0),0,SUM(_xlfn._xlws.FILTER(IF($E$4="Ppto",PptoSty[CurPpto],PptoSty[CurExt]),(IF($E$4="Ppto",PptoSty[POvsCT]=X$113,TRUE))*(PptoSty[Project]=TEXT($B146,"@"))*(PptoSty[PptoVsRow]=$E146)*(PptoSty[PptoVsColumn]=UPPER(W$114)),0)))</f>
        <v>0</v>
      </c>
      <c r="Y146" s="157" cm="1">
        <f t="array" aca="1" ref="Y146" ca="1">IF(OR($E146="X",$E146="",$E146=0,$B146="X",$B146="",$B146=0),0,SUM(_xlfn._xlws.FILTER(IF($E$4="Ppto",PptoSty[CurPpto],PptoSty[CurInt]),(IF($E$4="Ppto",PptoSty[POvsCT]=Y$113,TRUE))*(PptoSty[Project]=TEXT($B146,"@"))*(PptoSty[PptoVsRow]=$E146)*(PptoSty[PptoVsColumn]=UPPER(Y$114)),0)))</f>
        <v>0</v>
      </c>
      <c r="Z146" s="157" cm="1">
        <f t="array" aca="1" ref="Z146" ca="1">IF(OR($E146="X",$E146="",$E146=0,$B146="X",$B146="",$B146=0),0,SUM(_xlfn._xlws.FILTER(IF($E$4="Ppto",PptoSty[CurPpto],PptoSty[CurExt]),(IF($E$4="Ppto",PptoSty[POvsCT]=Z$113,TRUE))*(PptoSty[Project]=TEXT($B146,"@"))*(PptoSty[PptoVsRow]=$E146)*(PptoSty[PptoVsColumn]=UPPER(Y$114)),0)))</f>
        <v>0</v>
      </c>
      <c r="AA146" s="157" cm="1">
        <f t="array" aca="1" ref="AA146" ca="1">IF(OR($E146="X",$E146="",$E146=0,$B146="X",$B146="",$B146=0),0,SUM(_xlfn._xlws.FILTER(IF($E$4="Ppto",PptoSty[CurPpto],PptoSty[CurInt]),(IF($E$4="Ppto",PptoSty[POvsCT]=AA$113,TRUE))*(PptoSty[Project]=TEXT($B146,"@"))*(PptoSty[PptoVsRow]=$E146)*(PptoSty[PptoVsColumn]=UPPER(AA$114)),0)))</f>
        <v>0</v>
      </c>
      <c r="AB146" s="157" cm="1">
        <f t="array" aca="1" ref="AB146" ca="1">IF(OR($E146="X",$E146="",$E146=0,$B146="X",$B146="",$B146=0),0,SUM(_xlfn._xlws.FILTER(IF($E$4="Ppto",PptoSty[CurPpto],PptoSty[CurExt]),(IF($E$4="Ppto",PptoSty[POvsCT]=AB$113,TRUE))*(PptoSty[Project]=TEXT($B146,"@"))*(PptoSty[PptoVsRow]=$E146)*(PptoSty[PptoVsColumn]=UPPER(AA$114)),0)))</f>
        <v>0</v>
      </c>
      <c r="AC146" s="157" cm="1">
        <f t="array" aca="1" ref="AC146" ca="1">IF(OR($E146="X",$E146="",$E146=0,$B146="X",$B146="",$B146=0),0,SUM(_xlfn._xlws.FILTER(IF($E$4="Ppto",PptoSty[CurPpto],PptoSty[CurInt]),(IF($E$4="Ppto",PptoSty[POvsCT]=AC$113,TRUE))*(PptoSty[Project]=TEXT($B146,"@"))*(PptoSty[PptoVsRow]=$E146)*(PptoSty[PptoVsColumn]=UPPER(AC$114)),0)))</f>
        <v>6034.5820189139995</v>
      </c>
      <c r="AD146" s="157" cm="1">
        <f t="array" aca="1" ref="AD146" ca="1">IF(OR($E146="X",$E146="",$E146=0,$B146="X",$B146="",$B146=0),0,SUM(_xlfn._xlws.FILTER(IF($E$4="Ppto",PptoSty[CurPpto],PptoSty[CurExt]),(IF($E$4="Ppto",PptoSty[POvsCT]=AD$113,TRUE))*(PptoSty[Project]=TEXT($B146,"@"))*(PptoSty[PptoVsRow]=$E146)*(PptoSty[PptoVsColumn]=UPPER(AC$114)),0)))</f>
        <v>38632.765862033993</v>
      </c>
      <c r="AE146" s="157" cm="1">
        <f t="array" aca="1" ref="AE146" ca="1">IF(OR($E146="X",$E146="",$E146=0,$B146="X",$B146="",$B146=0),0,SUM(_xlfn._xlws.FILTER(IF($E$4="Ppto",PptoSty[CurPpto],PptoSty[CurInt]),(IF($E$4="Ppto",PptoSty[POvsCT]=AE$113,TRUE))*(PptoSty[Project]=TEXT($B146,"@"))*(PptoSty[PptoVsRow]=$E146)*(PptoSty[PptoVsColumn]=UPPER(AE$114)),0)))</f>
        <v>0</v>
      </c>
      <c r="AF146" s="157" cm="1">
        <f t="array" aca="1" ref="AF146" ca="1">IF(OR($E146="X",$E146="",$E146=0,$B146="X",$B146="",$B146=0),0,SUM(_xlfn._xlws.FILTER(IF($E$4="Ppto",PptoSty[CurPpto],PptoSty[CurExt]),(IF($E$4="Ppto",PptoSty[POvsCT]=AF$113,TRUE))*(PptoSty[Project]=TEXT($B146,"@"))*(PptoSty[PptoVsRow]=$E146)*(PptoSty[PptoVsColumn]=UPPER(AE$114)),0)))</f>
        <v>0</v>
      </c>
      <c r="AG146" s="157" cm="1">
        <f t="array" aca="1" ref="AG146" ca="1">IF(OR($E146="X",$E146="",$E146=0,$B146="X",$B146="",$B146=0),0,SUM(_xlfn._xlws.FILTER(IF($E$4="Ppto",PptoSty[CurPpto],PptoSty[CurInt]),(IF($E$4="Ppto",PptoSty[POvsCT]=AG$113,TRUE))*(PptoSty[Project]=TEXT($B146,"@"))*(PptoSty[PptoVsRow]=$E146)*(PptoSty[PptoVsColumn]=UPPER(AG$114)),0)))</f>
        <v>0</v>
      </c>
      <c r="AH146" s="157" cm="1">
        <f t="array" aca="1" ref="AH146" ca="1">IF(OR($E146="X",$E146="",$E146=0,$B146="X",$B146="",$B146=0),0,SUM(_xlfn._xlws.FILTER(IF($E$4="Ppto",PptoSty[CurPpto],PptoSty[CurExt]),(IF($E$4="Ppto",PptoSty[POvsCT]=AH$113,TRUE))*(PptoSty[Project]=TEXT($B146,"@"))*(PptoSty[PptoVsRow]=$E146)*(PptoSty[PptoVsColumn]=UPPER(AG$114)),0)))</f>
        <v>0</v>
      </c>
      <c r="AI146" s="157" cm="1">
        <f t="array" aca="1" ref="AI146" ca="1">IF(OR($E146="X",$E146="",$E146=0,$B146="X",$B146="",$B146=0),0,SUM(_xlfn._xlws.FILTER(IF($E$4="Ppto",PptoSty[CurPpto],PptoSty[CurInt]),(IF($E$4="Ppto",PptoSty[POvsCT]=AI$113,TRUE))*(PptoSty[Project]=TEXT($B146,"@"))*(PptoSty[PptoVsRow]=$E146)*(PptoSty[PptoVsColumn]=UPPER(AI$114)),0)))</f>
        <v>0</v>
      </c>
      <c r="AJ146" s="157" cm="1">
        <f t="array" aca="1" ref="AJ146" ca="1">IF(OR($E146="X",$E146="",$E146=0,$B146="X",$B146="",$B146=0),0,SUM(_xlfn._xlws.FILTER(IF($E$4="Ppto",PptoSty[CurPpto],PptoSty[CurExt]),(IF($E$4="Ppto",PptoSty[POvsCT]=AJ$113,TRUE))*(PptoSty[Project]=TEXT($B146,"@"))*(PptoSty[PptoVsRow]=$E146)*(PptoSty[PptoVsColumn]=UPPER(AI$114)),0)))</f>
        <v>0</v>
      </c>
      <c r="AK146" s="157" cm="1">
        <f t="array" aca="1" ref="AK146" ca="1">IF(OR($E146="X",$E146="",$E146=0,$B146="X",$B146="",$B146=0),0,SUM(_xlfn._xlws.FILTER(IF($E$4="Ppto",PptoSty[CurPpto],PptoSty[CurInt]),(IF($E$4="Ppto",PptoSty[POvsCT]=AK$113,TRUE))*(PptoSty[Project]=TEXT($B146,"@"))*(PptoSty[PptoVsRow]=$E146)*(PptoSty[PptoVsColumn]=UPPER(AK$114)),0)))</f>
        <v>0</v>
      </c>
      <c r="AL146" s="157" cm="1">
        <f t="array" aca="1" ref="AL146" ca="1">IF(OR($E146="X",$E146="",$E146=0,$B146="X",$B146="",$B146=0),0,SUM(_xlfn._xlws.FILTER(IF($E$4="Ppto",PptoSty[CurPpto],PptoSty[CurExt]),(IF($E$4="Ppto",PptoSty[POvsCT]=AL$113,TRUE))*(PptoSty[Project]=TEXT($B146,"@"))*(PptoSty[PptoVsRow]=$E146)*(PptoSty[PptoVsColumn]=UPPER(AK$114)),0)))</f>
        <v>242006.39</v>
      </c>
      <c r="AM146" s="157" cm="1">
        <f t="array" aca="1" ref="AM146" ca="1">IF(OR($E146="X",$E146="",$E146=0,$B146="X",$B146="",$B146=0),0,SUM(_xlfn._xlws.FILTER(IF($E$4="Ppto",PptoSty[CurPpto],PptoSty[CurInt]),(IF($E$4="Ppto",PptoSty[POvsCT]=AM$113,TRUE))*(PptoSty[Project]=TEXT($B146,"@"))*(PptoSty[PptoVsRow]=$E146)*(PptoSty[PptoVsColumn]=UPPER(AM$114)),0)))</f>
        <v>0</v>
      </c>
      <c r="AN146" s="157" cm="1">
        <f t="array" aca="1" ref="AN146" ca="1">IF(OR($E146="X",$E146="",$E146=0,$B146="X",$B146="",$B146=0),0,SUM(_xlfn._xlws.FILTER(IF($E$4="Ppto",PptoSty[CurPpto],PptoSty[CurExt]),(IF($E$4="Ppto",PptoSty[POvsCT]=AN$113,TRUE))*(PptoSty[Project]=TEXT($B146,"@"))*(PptoSty[PptoVsRow]=$E146)*(PptoSty[PptoVsColumn]=UPPER(AM$114)),0)))</f>
        <v>0</v>
      </c>
      <c r="AO146" s="157" cm="1">
        <f t="array" aca="1" ref="AO146" ca="1">IF(OR($E146="X",$E146="",$E146=0,$B146="X",$B146="",$B146=0),0,SUM(_xlfn._xlws.FILTER(IF($E$4="Ppto",PptoSty[CurPpto],PptoSty[CurInt]),(IF($E$4="Ppto",PptoSty[POvsCT]=AO$113,TRUE))*(PptoSty[Project]=TEXT($B146,"@"))*(PptoSty[PptoVsRow]=$E146)*(PptoSty[PptoVsColumn]=UPPER(AO$114)),0)))</f>
        <v>0</v>
      </c>
      <c r="AP146" s="157" cm="1">
        <f t="array" aca="1" ref="AP146" ca="1">IF(OR($E146="X",$E146="",$E146=0,$B146="X",$B146="",$B146=0),0,SUM(_xlfn._xlws.FILTER(IF($E$4="Ppto",PptoSty[CurPpto],PptoSty[CurExt]),(IF($E$4="Ppto",PptoSty[POvsCT]=AP$113,TRUE))*(PptoSty[Project]=TEXT($B146,"@"))*(PptoSty[PptoVsRow]=$E146)*(PptoSty[PptoVsColumn]=UPPER(AO$114)),0)))</f>
        <v>0</v>
      </c>
      <c r="AQ146" s="157" cm="1">
        <f t="array" aca="1" ref="AQ146" ca="1">SUM(IF(INDIRECT($AS$115)=AQ$115,INDIRECT($AS146)))</f>
        <v>6034.5820189139995</v>
      </c>
      <c r="AR146" s="157" cm="1">
        <f t="array" aca="1" ref="AR146" ca="1">SUM(IF(INDIRECT($AS$115)=AR$115,INDIRECT($AS146)))</f>
        <v>280639.15586203401</v>
      </c>
      <c r="AS146" s="286" t="str">
        <f t="shared" ca="1" si="15"/>
        <v>G146:AP146</v>
      </c>
      <c r="AT146" s="403">
        <f t="shared" ca="1" si="14"/>
        <v>286673.737880948</v>
      </c>
      <c r="AV146" s="142" cm="1">
        <f t="array" aca="1" ref="AV146" ca="1">IF(AND(_xlfn.LET(_xlpm.x,SUM(ROW()),OR(AND(MATCH("SOT",$A:$A,0)&lt;_xlpm.x,MATCH("EOT",$A:$A,0)&gt;_xlpm.x),AND(MATCH("SOS",$A:$A,0)&lt;_xlpm.x,MATCH("EOS",$A:$A,0)&gt;_xlpm.x),AND(MATCH("SOR",$A:$A,0)&lt;_xlpm.x,MATCH("EOR",$A:$A,0)&gt;_xlpm.x))),INDIRECT("rc"&amp;MATCH("SCD",$1:$1,0),FALSE)="PPTO"),1,0)</f>
        <v>1</v>
      </c>
      <c r="AW146" s="142" cm="1">
        <f t="array" aca="1" ref="AW14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47" spans="2:49" outlineLevel="1">
      <c r="B147" s="156" t="str" cm="1">
        <f t="array" aca="1" ref="B147:E147" ca="1">_xlfn.LET(_xlpm.x,SUM(ROW()-MATCH("SOR",$A:$A,0)),_xlpm.y,IFERROR(_xlfn.TAKE(INDEX(_xlfn._xlws.FILTER(TbAssign[],ISNUMBER(FIND(TbAssign[Project],$C$4)),"X"),1+QUOTIENT(_xlpm.x,3),0),1,4),0),IF(MOD(_xlpm.x-1,3)=0,IF(_xlpm.y=0,"X",_xlpm.y),INDIRECT("r[-1]c#",FALSE)))</f>
        <v>31200</v>
      </c>
      <c r="C147" s="156" t="str">
        <f ca="1"/>
        <v>XC01</v>
      </c>
      <c r="D147" s="148" t="str">
        <f ca="1"/>
        <v>FABC</v>
      </c>
      <c r="E147" s="352" t="str">
        <f ca="1"/>
        <v>ARMARIOS ELECTRICOS</v>
      </c>
      <c r="F147" s="148" t="s">
        <v>1382</v>
      </c>
      <c r="G147" s="157" cm="1">
        <f t="array" aca="1" ref="G147" ca="1">IF(OR($E147="X",$E147="",$E147=0,$B147="X",$B147="",$B147=0),0,SUM(_xlfn._xlws.FILTER(PrvSty[DsvValue:SERRA],(PrvSty[Project]=TEXT($B147,"@"))*(PrvSty[Row]=$E147)*(PrvSty[Column]=UPPER(G$114)),0)))</f>
        <v>0</v>
      </c>
      <c r="H147" s="157" cm="1">
        <f t="array" aca="1" ref="H147" ca="1">IF(OR($E147="X",$E147="",$E147=0,$B147="X",$B147="",$B147=0),0,SUM(_xlfn._xlws.FILTER(PrvSty[DsvValue:EXT.],(PrvSty[Project]=TEXT($B147,"@"))*(PrvSty[Row]=$E147)*(PrvSty[Column]=UPPER(G$114)),0)))</f>
        <v>0</v>
      </c>
      <c r="I147" s="157" cm="1">
        <f t="array" aca="1" ref="I147" ca="1">IF(OR($E147="X",$E147="",$E147=0,$B147="X",$B147="",$B147=0),0,SUM(_xlfn._xlws.FILTER(PrvSty[DsvValue:SERRA],(PrvSty[Project]=TEXT($B147,"@"))*(PrvSty[Row]=$E147)*(PrvSty[Column]=UPPER(I$114)),0)))</f>
        <v>0</v>
      </c>
      <c r="J147" s="157" cm="1">
        <f t="array" aca="1" ref="J147" ca="1">IF(OR($E147="X",$E147="",$E147=0,$B147="X",$B147="",$B147=0),0,SUM(_xlfn._xlws.FILTER(PrvSty[DsvValue:EXT.],(PrvSty[Project]=TEXT($B147,"@"))*(PrvSty[Row]=$E147)*(PrvSty[Column]=UPPER(I$114)),0)))</f>
        <v>0</v>
      </c>
      <c r="K147" s="157" cm="1">
        <f t="array" aca="1" ref="K147" ca="1">IF(OR($E147="X",$E147="",$E147=0,$B147="X",$B147="",$B147=0),0,SUM(_xlfn._xlws.FILTER(PrvSty[DsvValue:SERRA],(PrvSty[Project]=TEXT($B147,"@"))*(PrvSty[Row]=$E147)*(PrvSty[Column]=UPPER(K$114)),0)))</f>
        <v>0</v>
      </c>
      <c r="L147" s="157" cm="1">
        <f t="array" aca="1" ref="L147" ca="1">IF(OR($E147="X",$E147="",$E147=0,$B147="X",$B147="",$B147=0),0,SUM(_xlfn._xlws.FILTER(PrvSty[DsvValue:EXT.],(PrvSty[Project]=TEXT($B147,"@"))*(PrvSty[Row]=$E147)*(PrvSty[Column]=UPPER(K$114)),0)))</f>
        <v>0</v>
      </c>
      <c r="M147" s="157" cm="1">
        <f t="array" aca="1" ref="M147" ca="1">IF(OR($E147="X",$E147="",$E147=0,$B147="X",$B147="",$B147=0),0,SUM(_xlfn._xlws.FILTER(PrvSty[DsvValue:SERRA],(PrvSty[Project]=TEXT($B147,"@"))*(PrvSty[Row]=$E147)*(PrvSty[Column]=UPPER(M$114)),0)))</f>
        <v>0</v>
      </c>
      <c r="N147" s="157" cm="1">
        <f t="array" aca="1" ref="N147" ca="1">IF(OR($E147="X",$E147="",$E147=0,$B147="X",$B147="",$B147=0),0,SUM(_xlfn._xlws.FILTER(PrvSty[DsvValue:EXT.],(PrvSty[Project]=TEXT($B147,"@"))*(PrvSty[Row]=$E147)*(PrvSty[Column]=UPPER(M$114)),0)))</f>
        <v>0</v>
      </c>
      <c r="O147" s="157" cm="1">
        <f t="array" aca="1" ref="O147" ca="1">IF(OR($E147="X",$E147="",$E147=0,$B147="X",$B147="",$B147=0),0,SUM(_xlfn._xlws.FILTER(PrvSty[DsvValue:SERRA],(PrvSty[Project]=TEXT($B147,"@"))*(PrvSty[Row]=$E147)*(PrvSty[Column]=UPPER(O$114)),0)))</f>
        <v>0</v>
      </c>
      <c r="P147" s="157" cm="1">
        <f t="array" aca="1" ref="P147" ca="1">IF(OR($E147="X",$E147="",$E147=0,$B147="X",$B147="",$B147=0),0,SUM(_xlfn._xlws.FILTER(PrvSty[DsvValue:EXT.],(PrvSty[Project]=TEXT($B147,"@"))*(PrvSty[Row]=$E147)*(PrvSty[Column]=UPPER(O$114)),0)))</f>
        <v>0</v>
      </c>
      <c r="Q147" s="157" cm="1">
        <f t="array" aca="1" ref="Q147" ca="1">IF(OR($E147="X",$E147="",$E147=0,$B147="X",$B147="",$B147=0),0,SUM(_xlfn._xlws.FILTER(PrvSty[DsvValue:SERRA],(PrvSty[Project]=TEXT($B147,"@"))*(PrvSty[Row]=$E147)*(PrvSty[Column]=UPPER(Q$114)),0)))</f>
        <v>0</v>
      </c>
      <c r="R147" s="157" cm="1">
        <f t="array" aca="1" ref="R147" ca="1">IF(OR($E147="X",$E147="",$E147=0,$B147="X",$B147="",$B147=0),0,SUM(_xlfn._xlws.FILTER(PrvSty[DsvValue:EXT.],(PrvSty[Project]=TEXT($B147,"@"))*(PrvSty[Row]=$E147)*(PrvSty[Column]=UPPER(Q$114)),0)))</f>
        <v>0</v>
      </c>
      <c r="S147" s="157" cm="1">
        <f t="array" aca="1" ref="S147" ca="1">IF(OR($E147="X",$E147="",$E147=0,$B147="X",$B147="",$B147=0),0,SUM(_xlfn._xlws.FILTER(PrvSty[DsvValue:SERRA],(PrvSty[Project]=TEXT($B147,"@"))*(PrvSty[Row]=$E147)*(PrvSty[Column]=UPPER(S$114)),0)))</f>
        <v>0</v>
      </c>
      <c r="T147" s="157" cm="1">
        <f t="array" aca="1" ref="T147" ca="1">IF(OR($E147="X",$E147="",$E147=0,$B147="X",$B147="",$B147=0),0,SUM(_xlfn._xlws.FILTER(PrvSty[DsvValue:EXT.],(PrvSty[Project]=TEXT($B147,"@"))*(PrvSty[Row]=$E147)*(PrvSty[Column]=UPPER(S$114)),0)))</f>
        <v>0</v>
      </c>
      <c r="U147" s="157" cm="1">
        <f t="array" aca="1" ref="U147" ca="1">IF(OR($E147="X",$E147="",$E147=0,$B147="X",$B147="",$B147=0),0,SUM(_xlfn._xlws.FILTER(PrvSty[DsvValue:SERRA],(PrvSty[Project]=TEXT($B147,"@"))*(PrvSty[Row]=$E147)*(PrvSty[Column]=UPPER(U$114)),0)))</f>
        <v>0</v>
      </c>
      <c r="V147" s="157" cm="1">
        <f t="array" aca="1" ref="V147" ca="1">IF(OR($E147="X",$E147="",$E147=0,$B147="X",$B147="",$B147=0),0,SUM(_xlfn._xlws.FILTER(PrvSty[DsvValue:EXT.],(PrvSty[Project]=TEXT($B147,"@"))*(PrvSty[Row]=$E147)*(PrvSty[Column]=UPPER(U$114)),0)))</f>
        <v>21.88</v>
      </c>
      <c r="W147" s="157" cm="1">
        <f t="array" aca="1" ref="W147" ca="1">IF(OR($E147="X",$E147="",$E147=0,$B147="X",$B147="",$B147=0),0,SUM(_xlfn._xlws.FILTER(PrvSty[DsvValue:SERRA],(PrvSty[Project]=TEXT($B147,"@"))*(PrvSty[Row]=$E147)*(PrvSty[Column]=UPPER(W$114)),0)))</f>
        <v>0</v>
      </c>
      <c r="X147" s="157" cm="1">
        <f t="array" aca="1" ref="X147" ca="1">IF(OR($E147="X",$E147="",$E147=0,$B147="X",$B147="",$B147=0),0,SUM(_xlfn._xlws.FILTER(PrvSty[DsvValue:EXT.],(PrvSty[Project]=TEXT($B147,"@"))*(PrvSty[Row]=$E147)*(PrvSty[Column]=UPPER(W$114)),0)))</f>
        <v>0</v>
      </c>
      <c r="Y147" s="157" cm="1">
        <f t="array" aca="1" ref="Y147" ca="1">IF(OR($E147="X",$E147="",$E147=0,$B147="X",$B147="",$B147=0),0,SUM(_xlfn._xlws.FILTER(PrvSty[DsvValue:SERRA],(PrvSty[Project]=TEXT($B147,"@"))*(PrvSty[Row]=$E147)*(PrvSty[Column]=UPPER(Y$114)),0)))</f>
        <v>0</v>
      </c>
      <c r="Z147" s="157" cm="1">
        <f t="array" aca="1" ref="Z147" ca="1">IF(OR($E147="X",$E147="",$E147=0,$B147="X",$B147="",$B147=0),0,SUM(_xlfn._xlws.FILTER(PrvSty[DsvValue:EXT.],(PrvSty[Project]=TEXT($B147,"@"))*(PrvSty[Row]=$E147)*(PrvSty[Column]=UPPER(Y$114)),0)))</f>
        <v>0</v>
      </c>
      <c r="AA147" s="157" cm="1">
        <f t="array" aca="1" ref="AA147" ca="1">IF(OR($E147="X",$E147="",$E147=0,$B147="X",$B147="",$B147=0),0,SUM(_xlfn._xlws.FILTER(PrvSty[DsvValue:SERRA],(PrvSty[Project]=TEXT($B147,"@"))*(PrvSty[Row]=$E147)*(PrvSty[Column]=UPPER(AA$114)),0)))</f>
        <v>0</v>
      </c>
      <c r="AB147" s="157" cm="1">
        <f t="array" aca="1" ref="AB147" ca="1">IF(OR($E147="X",$E147="",$E147=0,$B147="X",$B147="",$B147=0),0,SUM(_xlfn._xlws.FILTER(PrvSty[DsvValue:EXT.],(PrvSty[Project]=TEXT($B147,"@"))*(PrvSty[Row]=$E147)*(PrvSty[Column]=UPPER(AA$114)),0)))</f>
        <v>0</v>
      </c>
      <c r="AC147" s="157" cm="1">
        <f t="array" aca="1" ref="AC147" ca="1">IF(OR($E147="X",$E147="",$E147=0,$B147="X",$B147="",$B147=0),0,SUM(_xlfn._xlws.FILTER(PrvSty[DsvValue:SERRA],(PrvSty[Project]=TEXT($B147,"@"))*(PrvSty[Row]=$E147)*(PrvSty[Column]=UPPER(AC$114)),0)))</f>
        <v>0</v>
      </c>
      <c r="AD147" s="157" cm="1">
        <f t="array" aca="1" ref="AD147" ca="1">IF(OR($E147="X",$E147="",$E147=0,$B147="X",$B147="",$B147=0),0,SUM(_xlfn._xlws.FILTER(PrvSty[DsvValue:EXT.],(PrvSty[Project]=TEXT($B147,"@"))*(PrvSty[Row]=$E147)*(PrvSty[Column]=UPPER(AC$114)),0)))</f>
        <v>-7500</v>
      </c>
      <c r="AE147" s="157" cm="1">
        <f t="array" aca="1" ref="AE147" ca="1">IF(OR($E147="X",$E147="",$E147=0,$B147="X",$B147="",$B147=0),0,SUM(_xlfn._xlws.FILTER(PrvSty[DsvValue:SERRA],(PrvSty[Project]=TEXT($B147,"@"))*(PrvSty[Row]=$E147)*(PrvSty[Column]=UPPER(AE$114)),0)))</f>
        <v>2649.84</v>
      </c>
      <c r="AF147" s="157" cm="1">
        <f t="array" aca="1" ref="AF147" ca="1">IF(OR($E147="X",$E147="",$E147=0,$B147="X",$B147="",$B147=0),0,SUM(_xlfn._xlws.FILTER(PrvSty[DsvValue:EXT.],(PrvSty[Project]=TEXT($B147,"@"))*(PrvSty[Row]=$E147)*(PrvSty[Column]=UPPER(AE$114)),0)))</f>
        <v>0</v>
      </c>
      <c r="AG147" s="157" cm="1">
        <f t="array" aca="1" ref="AG147" ca="1">IF(OR($E147="X",$E147="",$E147=0,$B147="X",$B147="",$B147=0),0,SUM(_xlfn._xlws.FILTER(PrvSty[DsvValue:SERRA],(PrvSty[Project]=TEXT($B147,"@"))*(PrvSty[Row]=$E147)*(PrvSty[Column]=UPPER(AG$114)),0)))</f>
        <v>0</v>
      </c>
      <c r="AH147" s="157" cm="1">
        <f t="array" aca="1" ref="AH147" ca="1">IF(OR($E147="X",$E147="",$E147=0,$B147="X",$B147="",$B147=0),0,SUM(_xlfn._xlws.FILTER(PrvSty[DsvValue:EXT.],(PrvSty[Project]=TEXT($B147,"@"))*(PrvSty[Row]=$E147)*(PrvSty[Column]=UPPER(AG$114)),0)))</f>
        <v>0</v>
      </c>
      <c r="AI147" s="157" cm="1">
        <f t="array" aca="1" ref="AI147" ca="1">IF(OR($E147="X",$E147="",$E147=0,$B147="X",$B147="",$B147=0),0,SUM(_xlfn._xlws.FILTER(PrvSty[DsvValue:SERRA],(PrvSty[Project]=TEXT($B147,"@"))*(PrvSty[Row]=$E147)*(PrvSty[Column]=UPPER(AI$114)),0)))</f>
        <v>0</v>
      </c>
      <c r="AJ147" s="157" cm="1">
        <f t="array" aca="1" ref="AJ147" ca="1">IF(OR($E147="X",$E147="",$E147=0,$B147="X",$B147="",$B147=0),0,SUM(_xlfn._xlws.FILTER(PrvSty[DsvValue:EXT.],(PrvSty[Project]=TEXT($B147,"@"))*(PrvSty[Row]=$E147)*(PrvSty[Column]=UPPER(AI$114)),0)))</f>
        <v>7190.85</v>
      </c>
      <c r="AK147" s="157" cm="1">
        <f t="array" aca="1" ref="AK147" ca="1">IF(OR($E147="X",$E147="",$E147=0,$B147="X",$B147="",$B147=0),0,SUM(_xlfn._xlws.FILTER(PrvSty[DsvValue:SERRA],(PrvSty[Project]=TEXT($B147,"@"))*(PrvSty[Row]=$E147)*(PrvSty[Column]=UPPER(AK$114)),0)))</f>
        <v>0</v>
      </c>
      <c r="AL147" s="157" cm="1">
        <f t="array" aca="1" ref="AL147" ca="1">IF(OR($E147="X",$E147="",$E147=0,$B147="X",$B147="",$B147=0),0,SUM(_xlfn._xlws.FILTER(PrvSty[DsvValue:EXT.],(PrvSty[Project]=TEXT($B147,"@"))*(PrvSty[Row]=$E147)*(PrvSty[Column]=UPPER(AK$114)),0)))</f>
        <v>-7181.97</v>
      </c>
      <c r="AM147" s="157" cm="1">
        <f t="array" aca="1" ref="AM147" ca="1">IF(OR($E147="X",$E147="",$E147=0,$B147="X",$B147="",$B147=0),0,SUM(_xlfn._xlws.FILTER(PrvSty[DsvValue:SERRA],(PrvSty[Project]=TEXT($B147,"@"))*(PrvSty[Row]=$E147)*(PrvSty[Column]=UPPER(AM$114)),0)))</f>
        <v>0</v>
      </c>
      <c r="AN147" s="157" cm="1">
        <f t="array" aca="1" ref="AN147" ca="1">IF(OR($E147="X",$E147="",$E147=0,$B147="X",$B147="",$B147=0),0,SUM(_xlfn._xlws.FILTER(PrvSty[DsvValue:EXT.],(PrvSty[Project]=TEXT($B147,"@"))*(PrvSty[Row]=$E147)*(PrvSty[Column]=UPPER(AM$114)),0)))</f>
        <v>11.1</v>
      </c>
      <c r="AO147" s="157" cm="1">
        <f t="array" aca="1" ref="AO147" ca="1">IF(OR($E147="X",$E147="",$E147=0,$B147="X",$B147="",$B147=0),0,SUM(_xlfn._xlws.FILTER(PrvSty[DsvValue:SERRA],(PrvSty[Project]=TEXT($B147,"@"))*(PrvSty[Row]=$E147)*(PrvSty[Column]=UPPER(AO$114)),0)))</f>
        <v>0</v>
      </c>
      <c r="AP147" s="157" cm="1">
        <f t="array" aca="1" ref="AP147" ca="1">IF(OR($E147="X",$E147="",$E147=0,$B147="X",$B147="",$B147=0),0,SUM(_xlfn._xlws.FILTER(PrvSty[DsvValue:EXT.],(PrvSty[Project]=TEXT($B147,"@"))*(PrvSty[Row]=$E147)*(PrvSty[Column]=UPPER(AO$114)),0)))</f>
        <v>0</v>
      </c>
      <c r="AQ147" s="157" cm="1">
        <f t="array" aca="1" ref="AQ147" ca="1">SUM(IF(INDIRECT($AS$115)=AQ$115,INDIRECT($AS147)))</f>
        <v>2649.84</v>
      </c>
      <c r="AR147" s="157" cm="1">
        <f t="array" aca="1" ref="AR147" ca="1">SUM(IF(INDIRECT($AS$115)=AR$115,INDIRECT($AS147)))</f>
        <v>-7458.1399999999994</v>
      </c>
      <c r="AS147" s="286" t="str">
        <f t="shared" ca="1" si="15"/>
        <v>G147:AP147</v>
      </c>
      <c r="AT147" s="403">
        <f t="shared" ca="1" si="14"/>
        <v>-4808.2999999999993</v>
      </c>
      <c r="AV147" s="142" cm="1">
        <f t="array" aca="1" ref="AV147" ca="1">IF(AND(_xlfn.LET(_xlpm.x,SUM(ROW()),OR(AND(MATCH("SOT",$A:$A,0)&lt;_xlpm.x,MATCH("EOT",$A:$A,0)&gt;_xlpm.x),AND(MATCH("SOS",$A:$A,0)&lt;_xlpm.x,MATCH("EOS",$A:$A,0)&gt;_xlpm.x),AND(MATCH("SOR",$A:$A,0)&lt;_xlpm.x,MATCH("EOR",$A:$A,0)&gt;_xlpm.x))),INDIRECT("rc"&amp;MATCH("SCD",$1:$1,0),FALSE)="PPTO"),1,0)</f>
        <v>0</v>
      </c>
      <c r="AW147" s="142" cm="1">
        <f t="array" aca="1" ref="AW14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48" spans="2:49" outlineLevel="1">
      <c r="B148" s="156" t="str" cm="1">
        <f t="array" aca="1" ref="B148:E148" ca="1">_xlfn.LET(_xlpm.x,SUM(ROW()-MATCH("SOR",$A:$A,0)),_xlpm.y,IFERROR(_xlfn.TAKE(INDEX(_xlfn._xlws.FILTER(TbAssign[],ISNUMBER(FIND(TbAssign[Project],$C$4)),"X"),1+QUOTIENT(_xlpm.x,3),0),1,4),0),IF(MOD(_xlpm.x-1,3)=0,IF(_xlpm.y=0,"X",_xlpm.y),INDIRECT("r[-1]c#",FALSE)))</f>
        <v>31200</v>
      </c>
      <c r="C148" s="156" t="str">
        <f ca="1"/>
        <v>XC01</v>
      </c>
      <c r="D148" s="148" t="str">
        <f ca="1"/>
        <v>FABC</v>
      </c>
      <c r="E148" s="352" t="str">
        <f ca="1"/>
        <v>ARMARIOS ELECTRICOS</v>
      </c>
      <c r="F148" s="148" t="s">
        <v>1383</v>
      </c>
      <c r="G148" s="158" cm="1">
        <f t="array" aca="1" ref="G148" ca="1">IF(OR($E148="X",$E148="",$E148=0,$B148="X",$B148="",$B148=0),0,SUM(_xlfn._xlws.FILTER(FrmBB1[Cur],(FrmBB1[PrjId]=TEXT($B148,"@"))*(FrmBB1[Row]=$E148)*(FrmBB1[Column]=UPPER(_xlfn.LET(_xlpm.x,_xlfn.TEXTBEFORE(G$114," ("),IFERROR(_xlpm.x,G$114)))&amp;" "&amp;G$115),0)))</f>
        <v>0</v>
      </c>
      <c r="H148" s="157" cm="1">
        <f t="array" aca="1" ref="H148" ca="1">IF(OR($E148="X",$E148="",$E148=0,$B148="X",$B148="",$B148=0),0,SUM(_xlfn._xlws.FILTER(FrmBB1[Cur],(FrmBB1[PrjId]=TEXT($B148,"@"))*(FrmBB1[Row]=$E148)*(FrmBB1[Column]=UPPER(_xlfn.LET(_xlpm.x,_xlfn.TEXTBEFORE(G$114," ("),IFERROR(_xlpm.x,G$114)))&amp;" "&amp;H$115),0)))</f>
        <v>0</v>
      </c>
      <c r="I148" s="158" cm="1">
        <f t="array" aca="1" ref="I148" ca="1">IF(OR($E148="X",$E148="",$E148=0,$B148="X",$B148="",$B148=0),0,SUM(_xlfn._xlws.FILTER(FrmBB1[Cur],(FrmBB1[PrjId]=TEXT($B148,"@"))*(FrmBB1[Row]=$E148)*(FrmBB1[Column]=UPPER(_xlfn.LET(_xlpm.x,_xlfn.TEXTBEFORE(I$114," ("),IFERROR(_xlpm.x,I$114)))&amp;" "&amp;I$115),0)))</f>
        <v>0</v>
      </c>
      <c r="J148" s="157" cm="1">
        <f t="array" aca="1" ref="J148" ca="1">IF(OR($E148="X",$E148="",$E148=0,$B148="X",$B148="",$B148=0),0,SUM(_xlfn._xlws.FILTER(FrmBB1[Cur],(FrmBB1[PrjId]=TEXT($B148,"@"))*(FrmBB1[Row]=$E148)*(FrmBB1[Column]=UPPER(_xlfn.LET(_xlpm.x,_xlfn.TEXTBEFORE(I$114," ("),IFERROR(_xlpm.x,I$114)))&amp;" "&amp;J$115),0)))</f>
        <v>0</v>
      </c>
      <c r="K148" s="158" cm="1">
        <f t="array" aca="1" ref="K148" ca="1">IF(OR($E148="X",$E148="",$E148=0,$B148="X",$B148="",$B148=0),0,SUM(_xlfn._xlws.FILTER(FrmBB1[Cur],(FrmBB1[PrjId]=TEXT($B148,"@"))*(FrmBB1[Row]=$E148)*(FrmBB1[Column]=UPPER(_xlfn.LET(_xlpm.x,_xlfn.TEXTBEFORE(K$114," ("),IFERROR(_xlpm.x,K$114)))&amp;" "&amp;K$115),0)))</f>
        <v>0</v>
      </c>
      <c r="L148" s="157" cm="1">
        <f t="array" aca="1" ref="L148" ca="1">IF(OR($E148="X",$E148="",$E148=0,$B148="X",$B148="",$B148=0),0,SUM(_xlfn._xlws.FILTER(FrmBB1[Cur],(FrmBB1[PrjId]=TEXT($B148,"@"))*(FrmBB1[Row]=$E148)*(FrmBB1[Column]=UPPER(_xlfn.LET(_xlpm.x,_xlfn.TEXTBEFORE(K$114," ("),IFERROR(_xlpm.x,K$114)))&amp;" "&amp;L$115),0)))</f>
        <v>0</v>
      </c>
      <c r="M148" s="158" cm="1">
        <f t="array" aca="1" ref="M148" ca="1">IF(OR($E148="X",$E148="",$E148=0,$B148="X",$B148="",$B148=0),0,SUM(_xlfn._xlws.FILTER(FrmBB1[Cur],(FrmBB1[PrjId]=TEXT($B148,"@"))*(FrmBB1[Row]=$E148)*(FrmBB1[Column]=UPPER(_xlfn.LET(_xlpm.x,_xlfn.TEXTBEFORE(M$114," ("),IFERROR(_xlpm.x,M$114)))&amp;" "&amp;M$115),0)))</f>
        <v>0</v>
      </c>
      <c r="N148" s="157" cm="1">
        <f t="array" aca="1" ref="N148" ca="1">IF(OR($E148="X",$E148="",$E148=0,$B148="X",$B148="",$B148=0),0,SUM(_xlfn._xlws.FILTER(FrmBB1[Cur],(FrmBB1[PrjId]=TEXT($B148,"@"))*(FrmBB1[Row]=$E148)*(FrmBB1[Column]=UPPER(_xlfn.LET(_xlpm.x,_xlfn.TEXTBEFORE(M$114," ("),IFERROR(_xlpm.x,M$114)))&amp;" "&amp;N$115),0)))</f>
        <v>0</v>
      </c>
      <c r="O148" s="158" cm="1">
        <f t="array" aca="1" ref="O148" ca="1">IF(OR($E148="X",$E148="",$E148=0,$B148="X",$B148="",$B148=0),0,SUM(_xlfn._xlws.FILTER(FrmBB1[Cur],(FrmBB1[PrjId]=TEXT($B148,"@"))*(FrmBB1[Row]=$E148)*(FrmBB1[Column]=UPPER(_xlfn.LET(_xlpm.x,_xlfn.TEXTBEFORE(O$114," ("),IFERROR(_xlpm.x,O$114)))&amp;" "&amp;O$115),0)))</f>
        <v>0</v>
      </c>
      <c r="P148" s="157" cm="1">
        <f t="array" aca="1" ref="P148" ca="1">IF(OR($E148="X",$E148="",$E148=0,$B148="X",$B148="",$B148=0),0,SUM(_xlfn._xlws.FILTER(FrmBB1[Cur],(FrmBB1[PrjId]=TEXT($B148,"@"))*(FrmBB1[Row]=$E148)*(FrmBB1[Column]=UPPER(_xlfn.LET(_xlpm.x,_xlfn.TEXTBEFORE(O$114," ("),IFERROR(_xlpm.x,O$114)))&amp;" "&amp;P$115),0)))</f>
        <v>0</v>
      </c>
      <c r="Q148" s="158" cm="1">
        <f t="array" aca="1" ref="Q148" ca="1">IF(OR($E148="X",$E148="",$E148=0,$B148="X",$B148="",$B148=0),0,SUM(_xlfn._xlws.FILTER(FrmBB1[Cur],(FrmBB1[PrjId]=TEXT($B148,"@"))*(FrmBB1[Row]=$E148)*(FrmBB1[Column]=UPPER(_xlfn.LET(_xlpm.x,_xlfn.TEXTBEFORE(Q$114," ("),IFERROR(_xlpm.x,Q$114)))&amp;" "&amp;Q$115),0)))</f>
        <v>0</v>
      </c>
      <c r="R148" s="157" cm="1">
        <f t="array" aca="1" ref="R148" ca="1">IF(OR($E148="X",$E148="",$E148=0,$B148="X",$B148="",$B148=0),0,SUM(_xlfn._xlws.FILTER(FrmBB1[Cur],(FrmBB1[PrjId]=TEXT($B148,"@"))*(FrmBB1[Row]=$E148)*(FrmBB1[Column]=UPPER(_xlfn.LET(_xlpm.x,_xlfn.TEXTBEFORE(Q$114," ("),IFERROR(_xlpm.x,Q$114)))&amp;" "&amp;R$115),0)))</f>
        <v>0</v>
      </c>
      <c r="S148" s="158" cm="1">
        <f t="array" aca="1" ref="S148" ca="1">IF(OR($E148="X",$E148="",$E148=0,$B148="X",$B148="",$B148=0),0,SUM(_xlfn._xlws.FILTER(FrmBB1[Cur],(FrmBB1[PrjId]=TEXT($B148,"@"))*(FrmBB1[Row]=$E148)*(FrmBB1[Column]=UPPER(_xlfn.LET(_xlpm.x,_xlfn.TEXTBEFORE(S$114," ("),IFERROR(_xlpm.x,S$114)))&amp;" "&amp;S$115),0)))</f>
        <v>0</v>
      </c>
      <c r="T148" s="157" cm="1">
        <f t="array" aca="1" ref="T148" ca="1">IF(OR($E148="X",$E148="",$E148=0,$B148="X",$B148="",$B148=0),0,SUM(_xlfn._xlws.FILTER(FrmBB1[Cur],(FrmBB1[PrjId]=TEXT($B148,"@"))*(FrmBB1[Row]=$E148)*(FrmBB1[Column]=UPPER(_xlfn.LET(_xlpm.x,_xlfn.TEXTBEFORE(S$114," ("),IFERROR(_xlpm.x,S$114)))&amp;" "&amp;T$115),0)))</f>
        <v>0</v>
      </c>
      <c r="U148" s="158" cm="1">
        <f t="array" aca="1" ref="U148" ca="1">IF(OR($E148="X",$E148="",$E148=0,$B148="X",$B148="",$B148=0),0,SUM(_xlfn._xlws.FILTER(FrmBB1[Cur],(FrmBB1[PrjId]=TEXT($B148,"@"))*(FrmBB1[Row]=$E148)*(FrmBB1[Column]=UPPER(_xlfn.LET(_xlpm.x,_xlfn.TEXTBEFORE(U$114," ("),IFERROR(_xlpm.x,U$114)))&amp;" "&amp;U$115),0)))</f>
        <v>0</v>
      </c>
      <c r="V148" s="157" cm="1">
        <f t="array" aca="1" ref="V148" ca="1">IF(OR($E148="X",$E148="",$E148=0,$B148="X",$B148="",$B148=0),0,SUM(_xlfn._xlws.FILTER(FrmBB1[Cur],(FrmBB1[PrjId]=TEXT($B148,"@"))*(FrmBB1[Row]=$E148)*(FrmBB1[Column]=UPPER(_xlfn.LET(_xlpm.x,_xlfn.TEXTBEFORE(U$114," ("),IFERROR(_xlpm.x,U$114)))&amp;" "&amp;V$115),0)))</f>
        <v>57.23</v>
      </c>
      <c r="W148" s="158" cm="1">
        <f t="array" aca="1" ref="W148" ca="1">IF(OR($E148="X",$E148="",$E148=0,$B148="X",$B148="",$B148=0),0,SUM(_xlfn._xlws.FILTER(FrmBB1[Cur],(FrmBB1[PrjId]=TEXT($B148,"@"))*(FrmBB1[Row]=$E148)*(FrmBB1[Column]=UPPER(_xlfn.LET(_xlpm.x,_xlfn.TEXTBEFORE(W$114," ("),IFERROR(_xlpm.x,W$114)))&amp;" "&amp;W$115),0)))</f>
        <v>0</v>
      </c>
      <c r="X148" s="157" cm="1">
        <f t="array" aca="1" ref="X148" ca="1">IF(OR($E148="X",$E148="",$E148=0,$B148="X",$B148="",$B148=0),0,SUM(_xlfn._xlws.FILTER(FrmBB1[Cur],(FrmBB1[PrjId]=TEXT($B148,"@"))*(FrmBB1[Row]=$E148)*(FrmBB1[Column]=UPPER(_xlfn.LET(_xlpm.x,_xlfn.TEXTBEFORE(W$114," ("),IFERROR(_xlpm.x,W$114)))&amp;" "&amp;X$115),0)))</f>
        <v>0</v>
      </c>
      <c r="Y148" s="158" cm="1">
        <f t="array" aca="1" ref="Y148" ca="1">IF(OR($E148="X",$E148="",$E148=0,$B148="X",$B148="",$B148=0),0,SUM(_xlfn._xlws.FILTER(FrmBB1[Cur],(FrmBB1[PrjId]=TEXT($B148,"@"))*(FrmBB1[Row]=$E148)*(FrmBB1[Column]=UPPER(_xlfn.LET(_xlpm.x,_xlfn.TEXTBEFORE(Y$114," ("),IFERROR(_xlpm.x,Y$114)))&amp;" "&amp;Y$115),0)))</f>
        <v>0</v>
      </c>
      <c r="Z148" s="157" cm="1">
        <f t="array" aca="1" ref="Z148" ca="1">IF(OR($E148="X",$E148="",$E148=0,$B148="X",$B148="",$B148=0),0,SUM(_xlfn._xlws.FILTER(FrmBB1[Cur],(FrmBB1[PrjId]=TEXT($B148,"@"))*(FrmBB1[Row]=$E148)*(FrmBB1[Column]=UPPER(_xlfn.LET(_xlpm.x,_xlfn.TEXTBEFORE(Y$114," ("),IFERROR(_xlpm.x,Y$114)))&amp;" "&amp;Z$115),0)))</f>
        <v>0</v>
      </c>
      <c r="AA148" s="158" cm="1">
        <f t="array" aca="1" ref="AA148" ca="1">IF(OR($E148="X",$E148="",$E148=0,$B148="X",$B148="",$B148=0),0,SUM(_xlfn._xlws.FILTER(FrmBB1[Cur],(FrmBB1[PrjId]=TEXT($B148,"@"))*(FrmBB1[Row]=$E148)*(FrmBB1[Column]=UPPER(_xlfn.LET(_xlpm.x,_xlfn.TEXTBEFORE(AA$114," ("),IFERROR(_xlpm.x,AA$114)))&amp;" "&amp;AA$115),0)))</f>
        <v>0</v>
      </c>
      <c r="AB148" s="157" cm="1">
        <f t="array" aca="1" ref="AB148" ca="1">IF(OR($E148="X",$E148="",$E148=0,$B148="X",$B148="",$B148=0),0,SUM(_xlfn._xlws.FILTER(FrmBB1[Cur],(FrmBB1[PrjId]=TEXT($B148,"@"))*(FrmBB1[Row]=$E148)*(FrmBB1[Column]=UPPER(_xlfn.LET(_xlpm.x,_xlfn.TEXTBEFORE(AA$114," ("),IFERROR(_xlpm.x,AA$114)))&amp;" "&amp;AB$115),0)))</f>
        <v>0</v>
      </c>
      <c r="AC148" s="158" cm="1">
        <f t="array" aca="1" ref="AC148" ca="1">IF(OR($E148="X",$E148="",$E148=0,$B148="X",$B148="",$B148=0),0,SUM(_xlfn._xlws.FILTER(FrmBB1[Cur],(FrmBB1[PrjId]=TEXT($B148,"@"))*(FrmBB1[Row]=$E148)*(FrmBB1[Column]=UPPER(_xlfn.LET(_xlpm.x,_xlfn.TEXTBEFORE(AC$114," ("),IFERROR(_xlpm.x,AC$114)))&amp;" "&amp;AC$115),0)))</f>
        <v>8210.24</v>
      </c>
      <c r="AD148" s="157" cm="1">
        <f t="array" aca="1" ref="AD148" ca="1">IF(OR($E148="X",$E148="",$E148=0,$B148="X",$B148="",$B148=0),0,SUM(_xlfn._xlws.FILTER(FrmBB1[Cur],(FrmBB1[PrjId]=TEXT($B148,"@"))*(FrmBB1[Row]=$E148)*(FrmBB1[Column]=UPPER(_xlfn.LET(_xlpm.x,_xlfn.TEXTBEFORE(AC$114," ("),IFERROR(_xlpm.x,AC$114)))&amp;" "&amp;AD$115),0)))</f>
        <v>20693.560000000001</v>
      </c>
      <c r="AE148" s="158" cm="1">
        <f t="array" aca="1" ref="AE148" ca="1">IF(OR($E148="X",$E148="",$E148=0,$B148="X",$B148="",$B148=0),0,SUM(_xlfn._xlws.FILTER(FrmBB1[Cur],(FrmBB1[PrjId]=TEXT($B148,"@"))*(FrmBB1[Row]=$E148)*(FrmBB1[Column]=UPPER(_xlfn.LET(_xlpm.x,_xlfn.TEXTBEFORE(AE$114," ("),IFERROR(_xlpm.x,AE$114)))&amp;" "&amp;AE$115),0)))</f>
        <v>0</v>
      </c>
      <c r="AF148" s="157" cm="1">
        <f t="array" aca="1" ref="AF148" ca="1">IF(OR($E148="X",$E148="",$E148=0,$B148="X",$B148="",$B148=0),0,SUM(_xlfn._xlws.FILTER(FrmBB1[Cur],(FrmBB1[PrjId]=TEXT($B148,"@"))*(FrmBB1[Row]=$E148)*(FrmBB1[Column]=UPPER(_xlfn.LET(_xlpm.x,_xlfn.TEXTBEFORE(AE$114," ("),IFERROR(_xlpm.x,AE$114)))&amp;" "&amp;AF$115),0)))</f>
        <v>2649.84</v>
      </c>
      <c r="AG148" s="158" cm="1">
        <f t="array" aca="1" ref="AG148" ca="1">IF(OR($E148="X",$E148="",$E148=0,$B148="X",$B148="",$B148=0),0,SUM(_xlfn._xlws.FILTER(FrmBB1[Cur],(FrmBB1[PrjId]=TEXT($B148,"@"))*(FrmBB1[Row]=$E148)*(FrmBB1[Column]=UPPER(_xlfn.LET(_xlpm.x,_xlfn.TEXTBEFORE(AG$114," ("),IFERROR(_xlpm.x,AG$114)))&amp;" "&amp;AG$115),0)))</f>
        <v>0</v>
      </c>
      <c r="AH148" s="157" cm="1">
        <f t="array" aca="1" ref="AH148" ca="1">IF(OR($E148="X",$E148="",$E148=0,$B148="X",$B148="",$B148=0),0,SUM(_xlfn._xlws.FILTER(FrmBB1[Cur],(FrmBB1[PrjId]=TEXT($B148,"@"))*(FrmBB1[Row]=$E148)*(FrmBB1[Column]=UPPER(_xlfn.LET(_xlpm.x,_xlfn.TEXTBEFORE(AG$114," ("),IFERROR(_xlpm.x,AG$114)))&amp;" "&amp;AH$115),0)))</f>
        <v>0</v>
      </c>
      <c r="AI148" s="158" cm="1">
        <f t="array" aca="1" ref="AI148" ca="1">IF(OR($E148="X",$E148="",$E148=0,$B148="X",$B148="",$B148=0),0,SUM(_xlfn._xlws.FILTER(FrmBB1[Cur],(FrmBB1[PrjId]=TEXT($B148,"@"))*(FrmBB1[Row]=$E148)*(FrmBB1[Column]=UPPER(_xlfn.LET(_xlpm.x,_xlfn.TEXTBEFORE(AI$114," ("),IFERROR(_xlpm.x,AI$114)))&amp;" "&amp;AI$115),0)))</f>
        <v>0</v>
      </c>
      <c r="AJ148" s="157" cm="1">
        <f t="array" aca="1" ref="AJ148" ca="1">IF(OR($E148="X",$E148="",$E148=0,$B148="X",$B148="",$B148=0),0,SUM(_xlfn._xlws.FILTER(FrmBB1[Cur],(FrmBB1[PrjId]=TEXT($B148,"@"))*(FrmBB1[Row]=$E148)*(FrmBB1[Column]=UPPER(_xlfn.LET(_xlpm.x,_xlfn.TEXTBEFORE(AI$114," ("),IFERROR(_xlpm.x,AI$114)))&amp;" "&amp;AJ$115),0)))</f>
        <v>7328.7699999999995</v>
      </c>
      <c r="AK148" s="158" cm="1">
        <f t="array" aca="1" ref="AK148" ca="1">IF(OR($E148="X",$E148="",$E148=0,$B148="X",$B148="",$B148=0),0,SUM(_xlfn._xlws.FILTER(FrmBB1[Cur],(FrmBB1[PrjId]=TEXT($B148,"@"))*(FrmBB1[Row]=$E148)*(FrmBB1[Column]=UPPER(_xlfn.LET(_xlpm.x,_xlfn.TEXTBEFORE(AK$114," ("),IFERROR(_xlpm.x,AK$114)))&amp;" "&amp;AK$115),0)))</f>
        <v>0</v>
      </c>
      <c r="AL148" s="157" cm="1">
        <f t="array" aca="1" ref="AL148" ca="1">IF(OR($E148="X",$E148="",$E148=0,$B148="X",$B148="",$B148=0),0,SUM(_xlfn._xlws.FILTER(FrmBB1[Cur],(FrmBB1[PrjId]=TEXT($B148,"@"))*(FrmBB1[Row]=$E148)*(FrmBB1[Column]=UPPER(_xlfn.LET(_xlpm.x,_xlfn.TEXTBEFORE(AK$114," ("),IFERROR(_xlpm.x,AK$114)))&amp;" "&amp;AL$115),0)))</f>
        <v>97967.27</v>
      </c>
      <c r="AM148" s="158" cm="1">
        <f t="array" aca="1" ref="AM148" ca="1">IF(OR($E148="X",$E148="",$E148=0,$B148="X",$B148="",$B148=0),0,SUM(_xlfn._xlws.FILTER(FrmBB1[Cur],(FrmBB1[PrjId]=TEXT($B148,"@"))*(FrmBB1[Row]=$E148)*(FrmBB1[Column]=UPPER(_xlfn.LET(_xlpm.x,_xlfn.TEXTBEFORE(AM$114," ("),IFERROR(_xlpm.x,AM$114)))&amp;" "&amp;AM$115),0)))</f>
        <v>0</v>
      </c>
      <c r="AN148" s="157" cm="1">
        <f t="array" aca="1" ref="AN148" ca="1">IF(OR($E148="X",$E148="",$E148=0,$B148="X",$B148="",$B148=0),0,SUM(_xlfn._xlws.FILTER(FrmBB1[Cur],(FrmBB1[PrjId]=TEXT($B148,"@"))*(FrmBB1[Row]=$E148)*(FrmBB1[Column]=UPPER(_xlfn.LET(_xlpm.x,_xlfn.TEXTBEFORE(AM$114," ("),IFERROR(_xlpm.x,AM$114)))&amp;" "&amp;AN$115),0)))</f>
        <v>305.83</v>
      </c>
      <c r="AO148" s="158" cm="1">
        <f t="array" aca="1" ref="AO148" ca="1">IF(OR($E148="X",$E148="",$E148=0,$B148="X",$B148="",$B148=0),0,SUM(_xlfn._xlws.FILTER(FrmBB1[Cur],(FrmBB1[PrjId]=TEXT($B148,"@"))*(FrmBB1[Row]=$E148)*(FrmBB1[Column]=UPPER(_xlfn.LET(_xlpm.x,_xlfn.TEXTBEFORE(AO$114," ("),IFERROR(_xlpm.x,AO$114)))&amp;" "&amp;AO$115),0)))</f>
        <v>0</v>
      </c>
      <c r="AP148" s="157" cm="1">
        <f t="array" aca="1" ref="AP148" ca="1">IF(OR($E148="X",$E148="",$E148=0,$B148="X",$B148="",$B148=0),0,SUM(_xlfn._xlws.FILTER(FrmBB1[Cur],(FrmBB1[PrjId]=TEXT($B148,"@"))*(FrmBB1[Row]=$E148)*(FrmBB1[Column]=UPPER(_xlfn.LET(_xlpm.x,_xlfn.TEXTBEFORE(AO$114," ("),IFERROR(_xlpm.x,AO$114)))&amp;" "&amp;AP$115),0)))</f>
        <v>0</v>
      </c>
      <c r="AQ148" s="157" cm="1">
        <f t="array" aca="1" ref="AQ148" ca="1">SUM(IF(INDIRECT($AS$115)=AQ$115,INDIRECT($AS148)))</f>
        <v>8210.24</v>
      </c>
      <c r="AR148" s="157" cm="1">
        <f t="array" aca="1" ref="AR148" ca="1">SUM(IF(INDIRECT($AS$115)=AR$115,INDIRECT($AS148)))</f>
        <v>129002.50000000001</v>
      </c>
      <c r="AS148" s="286" t="str">
        <f t="shared" ca="1" si="15"/>
        <v>G148:AP148</v>
      </c>
      <c r="AT148" s="355">
        <f t="shared" ca="1" si="14"/>
        <v>137212.74000000002</v>
      </c>
      <c r="AV148" s="142" cm="1">
        <f t="array" aca="1" ref="AV148" ca="1">IF(AND(_xlfn.LET(_xlpm.x,SUM(ROW()),OR(AND(MATCH("SOT",$A:$A,0)&lt;_xlpm.x,MATCH("EOT",$A:$A,0)&gt;_xlpm.x),AND(MATCH("SOS",$A:$A,0)&lt;_xlpm.x,MATCH("EOS",$A:$A,0)&gt;_xlpm.x),AND(MATCH("SOR",$A:$A,0)&lt;_xlpm.x,MATCH("EOR",$A:$A,0)&gt;_xlpm.x))),INDIRECT("rc"&amp;MATCH("SCD",$1:$1,0),FALSE)="PPTO"),1,0)</f>
        <v>0</v>
      </c>
      <c r="AW148" s="142" cm="1">
        <f t="array" aca="1" ref="AW14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49" spans="2:49" outlineLevel="1">
      <c r="B149" s="156" t="str" cm="1">
        <f t="array" aca="1" ref="B149:E149" ca="1">_xlfn.LET(_xlpm.x,SUM(ROW()-MATCH("SOR",$A:$A,0)),_xlpm.y,IFERROR(_xlfn.TAKE(INDEX(_xlfn._xlws.FILTER(TbAssign[],ISNUMBER(FIND(TbAssign[Project],$C$4)),"X"),1+QUOTIENT(_xlpm.x,3),0),1,4),0),IF(MOD(_xlpm.x-1,3)=0,IF(_xlpm.y=0,"X",_xlpm.y),INDIRECT("r[-1]c#",FALSE)))</f>
        <v>31200</v>
      </c>
      <c r="C149" s="156" t="str">
        <f ca="1"/>
        <v>XC02</v>
      </c>
      <c r="D149" s="148" t="str">
        <f ca="1"/>
        <v>FABC</v>
      </c>
      <c r="E149" s="352" t="str">
        <f ca="1"/>
        <v>FABRICACION ELEMENTOS IMPLANTA</v>
      </c>
      <c r="F149" s="148" t="s">
        <v>397</v>
      </c>
      <c r="G149" s="157" cm="1">
        <f t="array" aca="1" ref="G149" ca="1">IF(OR($E149="X",$E149="",$E149=0,$B149="X",$B149="",$B149=0),0,SUM(_xlfn._xlws.FILTER(IF($E$4="Ppto",PptoSty[CurPpto],PptoSty[CurInt]),(IF($E$4="Ppto",PptoSty[POvsCT]=G$113,TRUE))*(PptoSty[Project]=TEXT($B149,"@"))*(PptoSty[PptoVsRow]=$E149)*(PptoSty[PptoVsColumn]=UPPER(G$114)),0)))</f>
        <v>0</v>
      </c>
      <c r="H149" s="157" cm="1">
        <f t="array" aca="1" ref="H149" ca="1">IF(OR($E149="X",$E149="",$E149=0,$B149="X",$B149="",$B149=0),0,SUM(_xlfn._xlws.FILTER(IF($E$4="Ppto",PptoSty[CurPpto],PptoSty[CurExt]),(IF($E$4="Ppto",PptoSty[POvsCT]=H$113,TRUE))*(PptoSty[Project]=TEXT($B149,"@"))*(PptoSty[PptoVsRow]=$E149)*(PptoSty[PptoVsColumn]=UPPER(G$114)),0)))</f>
        <v>0</v>
      </c>
      <c r="I149" s="157" cm="1">
        <f t="array" aca="1" ref="I149" ca="1">IF(OR($E149="X",$E149="",$E149=0,$B149="X",$B149="",$B149=0),0,SUM(_xlfn._xlws.FILTER(IF($E$4="Ppto",PptoSty[CurPpto],PptoSty[CurInt]),(IF($E$4="Ppto",PptoSty[POvsCT]=I$113,TRUE))*(PptoSty[Project]=TEXT($B149,"@"))*(PptoSty[PptoVsRow]=$E149)*(PptoSty[PptoVsColumn]=UPPER(I$114)),0)))</f>
        <v>0</v>
      </c>
      <c r="J149" s="157" cm="1">
        <f t="array" aca="1" ref="J149" ca="1">IF(OR($E149="X",$E149="",$E149=0,$B149="X",$B149="",$B149=0),0,SUM(_xlfn._xlws.FILTER(IF($E$4="Ppto",PptoSty[CurPpto],PptoSty[CurExt]),(IF($E$4="Ppto",PptoSty[POvsCT]=J$113,TRUE))*(PptoSty[Project]=TEXT($B149,"@"))*(PptoSty[PptoVsRow]=$E149)*(PptoSty[PptoVsColumn]=UPPER(I$114)),0)))</f>
        <v>0</v>
      </c>
      <c r="K149" s="157" cm="1">
        <f t="array" aca="1" ref="K149" ca="1">IF(OR($E149="X",$E149="",$E149=0,$B149="X",$B149="",$B149=0),0,SUM(_xlfn._xlws.FILTER(IF($E$4="Ppto",PptoSty[CurPpto],PptoSty[CurInt]),(IF($E$4="Ppto",PptoSty[POvsCT]=K$113,TRUE))*(PptoSty[Project]=TEXT($B149,"@"))*(PptoSty[PptoVsRow]=$E149)*(PptoSty[PptoVsColumn]=UPPER(K$114)),0)))</f>
        <v>0</v>
      </c>
      <c r="L149" s="157" cm="1">
        <f t="array" aca="1" ref="L149" ca="1">IF(OR($E149="X",$E149="",$E149=0,$B149="X",$B149="",$B149=0),0,SUM(_xlfn._xlws.FILTER(IF($E$4="Ppto",PptoSty[CurPpto],PptoSty[CurExt]),(IF($E$4="Ppto",PptoSty[POvsCT]=L$113,TRUE))*(PptoSty[Project]=TEXT($B149,"@"))*(PptoSty[PptoVsRow]=$E149)*(PptoSty[PptoVsColumn]=UPPER(K$114)),0)))</f>
        <v>0</v>
      </c>
      <c r="M149" s="157" cm="1">
        <f t="array" aca="1" ref="M149" ca="1">IF(OR($E149="X",$E149="",$E149=0,$B149="X",$B149="",$B149=0),0,SUM(_xlfn._xlws.FILTER(IF($E$4="Ppto",PptoSty[CurPpto],PptoSty[CurInt]),(IF($E$4="Ppto",PptoSty[POvsCT]=M$113,TRUE))*(PptoSty[Project]=TEXT($B149,"@"))*(PptoSty[PptoVsRow]=$E149)*(PptoSty[PptoVsColumn]=UPPER(M$114)),0)))</f>
        <v>0</v>
      </c>
      <c r="N149" s="157" cm="1">
        <f t="array" aca="1" ref="N149" ca="1">IF(OR($E149="X",$E149="",$E149=0,$B149="X",$B149="",$B149=0),0,SUM(_xlfn._xlws.FILTER(IF($E$4="Ppto",PptoSty[CurPpto],PptoSty[CurExt]),(IF($E$4="Ppto",PptoSty[POvsCT]=N$113,TRUE))*(PptoSty[Project]=TEXT($B149,"@"))*(PptoSty[PptoVsRow]=$E149)*(PptoSty[PptoVsColumn]=UPPER(M$114)),0)))</f>
        <v>0</v>
      </c>
      <c r="O149" s="157" cm="1">
        <f t="array" aca="1" ref="O149" ca="1">IF(OR($E149="X",$E149="",$E149=0,$B149="X",$B149="",$B149=0),0,SUM(_xlfn._xlws.FILTER(IF($E$4="Ppto",PptoSty[CurPpto],PptoSty[CurInt]),(IF($E$4="Ppto",PptoSty[POvsCT]=O$113,TRUE))*(PptoSty[Project]=TEXT($B149,"@"))*(PptoSty[PptoVsRow]=$E149)*(PptoSty[PptoVsColumn]=UPPER(O$114)),0)))</f>
        <v>0</v>
      </c>
      <c r="P149" s="157" cm="1">
        <f t="array" aca="1" ref="P149" ca="1">IF(OR($E149="X",$E149="",$E149=0,$B149="X",$B149="",$B149=0),0,SUM(_xlfn._xlws.FILTER(IF($E$4="Ppto",PptoSty[CurPpto],PptoSty[CurExt]),(IF($E$4="Ppto",PptoSty[POvsCT]=P$113,TRUE))*(PptoSty[Project]=TEXT($B149,"@"))*(PptoSty[PptoVsRow]=$E149)*(PptoSty[PptoVsColumn]=UPPER(O$114)),0)))</f>
        <v>0</v>
      </c>
      <c r="Q149" s="157" cm="1">
        <f t="array" aca="1" ref="Q149" ca="1">IF(OR($E149="X",$E149="",$E149=0,$B149="X",$B149="",$B149=0),0,SUM(_xlfn._xlws.FILTER(IF($E$4="Ppto",PptoSty[CurPpto],PptoSty[CurInt]),(IF($E$4="Ppto",PptoSty[POvsCT]=Q$113,TRUE))*(PptoSty[Project]=TEXT($B149,"@"))*(PptoSty[PptoVsRow]=$E149)*(PptoSty[PptoVsColumn]=UPPER(Q$114)),0)))</f>
        <v>0</v>
      </c>
      <c r="R149" s="157" cm="1">
        <f t="array" aca="1" ref="R149" ca="1">IF(OR($E149="X",$E149="",$E149=0,$B149="X",$B149="",$B149=0),0,SUM(_xlfn._xlws.FILTER(IF($E$4="Ppto",PptoSty[CurPpto],PptoSty[CurExt]),(IF($E$4="Ppto",PptoSty[POvsCT]=R$113,TRUE))*(PptoSty[Project]=TEXT($B149,"@"))*(PptoSty[PptoVsRow]=$E149)*(PptoSty[PptoVsColumn]=UPPER(Q$114)),0)))</f>
        <v>0</v>
      </c>
      <c r="S149" s="157" cm="1">
        <f t="array" aca="1" ref="S149" ca="1">IF(OR($E149="X",$E149="",$E149=0,$B149="X",$B149="",$B149=0),0,SUM(_xlfn._xlws.FILTER(IF($E$4="Ppto",PptoSty[CurPpto],PptoSty[CurInt]),(IF($E$4="Ppto",PptoSty[POvsCT]=S$113,TRUE))*(PptoSty[Project]=TEXT($B149,"@"))*(PptoSty[PptoVsRow]=$E149)*(PptoSty[PptoVsColumn]=UPPER(S$114)),0)))</f>
        <v>0</v>
      </c>
      <c r="T149" s="157" cm="1">
        <f t="array" aca="1" ref="T149" ca="1">IF(OR($E149="X",$E149="",$E149=0,$B149="X",$B149="",$B149=0),0,SUM(_xlfn._xlws.FILTER(IF($E$4="Ppto",PptoSty[CurPpto],PptoSty[CurExt]),(IF($E$4="Ppto",PptoSty[POvsCT]=T$113,TRUE))*(PptoSty[Project]=TEXT($B149,"@"))*(PptoSty[PptoVsRow]=$E149)*(PptoSty[PptoVsColumn]=UPPER(S$114)),0)))</f>
        <v>0</v>
      </c>
      <c r="U149" s="157" cm="1">
        <f t="array" aca="1" ref="U149" ca="1">IF(OR($E149="X",$E149="",$E149=0,$B149="X",$B149="",$B149=0),0,SUM(_xlfn._xlws.FILTER(IF($E$4="Ppto",PptoSty[CurPpto],PptoSty[CurInt]),(IF($E$4="Ppto",PptoSty[POvsCT]=U$113,TRUE))*(PptoSty[Project]=TEXT($B149,"@"))*(PptoSty[PptoVsRow]=$E149)*(PptoSty[PptoVsColumn]=UPPER(U$114)),0)))</f>
        <v>19009.700878386426</v>
      </c>
      <c r="V149" s="157" cm="1">
        <f t="array" aca="1" ref="V149" ca="1">IF(OR($E149="X",$E149="",$E149=0,$B149="X",$B149="",$B149=0),0,SUM(_xlfn._xlws.FILTER(IF($E$4="Ppto",PptoSty[CurPpto],PptoSty[CurExt]),(IF($E$4="Ppto",PptoSty[POvsCT]=V$113,TRUE))*(PptoSty[Project]=TEXT($B149,"@"))*(PptoSty[PptoVsRow]=$E149)*(PptoSty[PptoVsColumn]=UPPER(U$114)),0)))</f>
        <v>366767.63781129551</v>
      </c>
      <c r="W149" s="157" cm="1">
        <f t="array" aca="1" ref="W149" ca="1">IF(OR($E149="X",$E149="",$E149=0,$B149="X",$B149="",$B149=0),0,SUM(_xlfn._xlws.FILTER(IF($E$4="Ppto",PptoSty[CurPpto],PptoSty[CurInt]),(IF($E$4="Ppto",PptoSty[POvsCT]=W$113,TRUE))*(PptoSty[Project]=TEXT($B149,"@"))*(PptoSty[PptoVsRow]=$E149)*(PptoSty[PptoVsColumn]=UPPER(W$114)),0)))</f>
        <v>0</v>
      </c>
      <c r="X149" s="157" cm="1">
        <f t="array" aca="1" ref="X149" ca="1">IF(OR($E149="X",$E149="",$E149=0,$B149="X",$B149="",$B149=0),0,SUM(_xlfn._xlws.FILTER(IF($E$4="Ppto",PptoSty[CurPpto],PptoSty[CurExt]),(IF($E$4="Ppto",PptoSty[POvsCT]=X$113,TRUE))*(PptoSty[Project]=TEXT($B149,"@"))*(PptoSty[PptoVsRow]=$E149)*(PptoSty[PptoVsColumn]=UPPER(W$114)),0)))</f>
        <v>0</v>
      </c>
      <c r="Y149" s="157" cm="1">
        <f t="array" aca="1" ref="Y149" ca="1">IF(OR($E149="X",$E149="",$E149=0,$B149="X",$B149="",$B149=0),0,SUM(_xlfn._xlws.FILTER(IF($E$4="Ppto",PptoSty[CurPpto],PptoSty[CurInt]),(IF($E$4="Ppto",PptoSty[POvsCT]=Y$113,TRUE))*(PptoSty[Project]=TEXT($B149,"@"))*(PptoSty[PptoVsRow]=$E149)*(PptoSty[PptoVsColumn]=UPPER(Y$114)),0)))</f>
        <v>0</v>
      </c>
      <c r="Z149" s="157" cm="1">
        <f t="array" aca="1" ref="Z149" ca="1">IF(OR($E149="X",$E149="",$E149=0,$B149="X",$B149="",$B149=0),0,SUM(_xlfn._xlws.FILTER(IF($E$4="Ppto",PptoSty[CurPpto],PptoSty[CurExt]),(IF($E$4="Ppto",PptoSty[POvsCT]=Z$113,TRUE))*(PptoSty[Project]=TEXT($B149,"@"))*(PptoSty[PptoVsRow]=$E149)*(PptoSty[PptoVsColumn]=UPPER(Y$114)),0)))</f>
        <v>0</v>
      </c>
      <c r="AA149" s="157" cm="1">
        <f t="array" aca="1" ref="AA149" ca="1">IF(OR($E149="X",$E149="",$E149=0,$B149="X",$B149="",$B149=0),0,SUM(_xlfn._xlws.FILTER(IF($E$4="Ppto",PptoSty[CurPpto],PptoSty[CurInt]),(IF($E$4="Ppto",PptoSty[POvsCT]=AA$113,TRUE))*(PptoSty[Project]=TEXT($B149,"@"))*(PptoSty[PptoVsRow]=$E149)*(PptoSty[PptoVsColumn]=UPPER(AA$114)),0)))</f>
        <v>0</v>
      </c>
      <c r="AB149" s="157" cm="1">
        <f t="array" aca="1" ref="AB149" ca="1">IF(OR($E149="X",$E149="",$E149=0,$B149="X",$B149="",$B149=0),0,SUM(_xlfn._xlws.FILTER(IF($E$4="Ppto",PptoSty[CurPpto],PptoSty[CurExt]),(IF($E$4="Ppto",PptoSty[POvsCT]=AB$113,TRUE))*(PptoSty[Project]=TEXT($B149,"@"))*(PptoSty[PptoVsRow]=$E149)*(PptoSty[PptoVsColumn]=UPPER(AA$114)),0)))</f>
        <v>0</v>
      </c>
      <c r="AC149" s="157" cm="1">
        <f t="array" aca="1" ref="AC149" ca="1">IF(OR($E149="X",$E149="",$E149=0,$B149="X",$B149="",$B149=0),0,SUM(_xlfn._xlws.FILTER(IF($E$4="Ppto",PptoSty[CurPpto],PptoSty[CurInt]),(IF($E$4="Ppto",PptoSty[POvsCT]=AC$113,TRUE))*(PptoSty[Project]=TEXT($B149,"@"))*(PptoSty[PptoVsRow]=$E149)*(PptoSty[PptoVsColumn]=UPPER(AC$114)),0)))</f>
        <v>0</v>
      </c>
      <c r="AD149" s="157" cm="1">
        <f t="array" aca="1" ref="AD149" ca="1">IF(OR($E149="X",$E149="",$E149=0,$B149="X",$B149="",$B149=0),0,SUM(_xlfn._xlws.FILTER(IF($E$4="Ppto",PptoSty[CurPpto],PptoSty[CurExt]),(IF($E$4="Ppto",PptoSty[POvsCT]=AD$113,TRUE))*(PptoSty[Project]=TEXT($B149,"@"))*(PptoSty[PptoVsRow]=$E149)*(PptoSty[PptoVsColumn]=UPPER(AC$114)),0)))</f>
        <v>0</v>
      </c>
      <c r="AE149" s="157" cm="1">
        <f t="array" aca="1" ref="AE149" ca="1">IF(OR($E149="X",$E149="",$E149=0,$B149="X",$B149="",$B149=0),0,SUM(_xlfn._xlws.FILTER(IF($E$4="Ppto",PptoSty[CurPpto],PptoSty[CurInt]),(IF($E$4="Ppto",PptoSty[POvsCT]=AE$113,TRUE))*(PptoSty[Project]=TEXT($B149,"@"))*(PptoSty[PptoVsRow]=$E149)*(PptoSty[PptoVsColumn]=UPPER(AE$114)),0)))</f>
        <v>0</v>
      </c>
      <c r="AF149" s="157" cm="1">
        <f t="array" aca="1" ref="AF149" ca="1">IF(OR($E149="X",$E149="",$E149=0,$B149="X",$B149="",$B149=0),0,SUM(_xlfn._xlws.FILTER(IF($E$4="Ppto",PptoSty[CurPpto],PptoSty[CurExt]),(IF($E$4="Ppto",PptoSty[POvsCT]=AF$113,TRUE))*(PptoSty[Project]=TEXT($B149,"@"))*(PptoSty[PptoVsRow]=$E149)*(PptoSty[PptoVsColumn]=UPPER(AE$114)),0)))</f>
        <v>0</v>
      </c>
      <c r="AG149" s="157" cm="1">
        <f t="array" aca="1" ref="AG149" ca="1">IF(OR($E149="X",$E149="",$E149=0,$B149="X",$B149="",$B149=0),0,SUM(_xlfn._xlws.FILTER(IF($E$4="Ppto",PptoSty[CurPpto],PptoSty[CurInt]),(IF($E$4="Ppto",PptoSty[POvsCT]=AG$113,TRUE))*(PptoSty[Project]=TEXT($B149,"@"))*(PptoSty[PptoVsRow]=$E149)*(PptoSty[PptoVsColumn]=UPPER(AG$114)),0)))</f>
        <v>0</v>
      </c>
      <c r="AH149" s="157" cm="1">
        <f t="array" aca="1" ref="AH149" ca="1">IF(OR($E149="X",$E149="",$E149=0,$B149="X",$B149="",$B149=0),0,SUM(_xlfn._xlws.FILTER(IF($E$4="Ppto",PptoSty[CurPpto],PptoSty[CurExt]),(IF($E$4="Ppto",PptoSty[POvsCT]=AH$113,TRUE))*(PptoSty[Project]=TEXT($B149,"@"))*(PptoSty[PptoVsRow]=$E149)*(PptoSty[PptoVsColumn]=UPPER(AG$114)),0)))</f>
        <v>0</v>
      </c>
      <c r="AI149" s="157" cm="1">
        <f t="array" aca="1" ref="AI149" ca="1">IF(OR($E149="X",$E149="",$E149=0,$B149="X",$B149="",$B149=0),0,SUM(_xlfn._xlws.FILTER(IF($E$4="Ppto",PptoSty[CurPpto],PptoSty[CurInt]),(IF($E$4="Ppto",PptoSty[POvsCT]=AI$113,TRUE))*(PptoSty[Project]=TEXT($B149,"@"))*(PptoSty[PptoVsRow]=$E149)*(PptoSty[PptoVsColumn]=UPPER(AI$114)),0)))</f>
        <v>0</v>
      </c>
      <c r="AJ149" s="157" cm="1">
        <f t="array" aca="1" ref="AJ149" ca="1">IF(OR($E149="X",$E149="",$E149=0,$B149="X",$B149="",$B149=0),0,SUM(_xlfn._xlws.FILTER(IF($E$4="Ppto",PptoSty[CurPpto],PptoSty[CurExt]),(IF($E$4="Ppto",PptoSty[POvsCT]=AJ$113,TRUE))*(PptoSty[Project]=TEXT($B149,"@"))*(PptoSty[PptoVsRow]=$E149)*(PptoSty[PptoVsColumn]=UPPER(AI$114)),0)))</f>
        <v>316535.35949999985</v>
      </c>
      <c r="AK149" s="157" cm="1">
        <f t="array" aca="1" ref="AK149" ca="1">IF(OR($E149="X",$E149="",$E149=0,$B149="X",$B149="",$B149=0),0,SUM(_xlfn._xlws.FILTER(IF($E$4="Ppto",PptoSty[CurPpto],PptoSty[CurInt]),(IF($E$4="Ppto",PptoSty[POvsCT]=AK$113,TRUE))*(PptoSty[Project]=TEXT($B149,"@"))*(PptoSty[PptoVsRow]=$E149)*(PptoSty[PptoVsColumn]=UPPER(AK$114)),0)))</f>
        <v>0</v>
      </c>
      <c r="AL149" s="157" cm="1">
        <f t="array" aca="1" ref="AL149" ca="1">IF(OR($E149="X",$E149="",$E149=0,$B149="X",$B149="",$B149=0),0,SUM(_xlfn._xlws.FILTER(IF($E$4="Ppto",PptoSty[CurPpto],PptoSty[CurExt]),(IF($E$4="Ppto",PptoSty[POvsCT]=AL$113,TRUE))*(PptoSty[Project]=TEXT($B149,"@"))*(PptoSty[PptoVsRow]=$E149)*(PptoSty[PptoVsColumn]=UPPER(AK$114)),0)))</f>
        <v>0</v>
      </c>
      <c r="AM149" s="157" cm="1">
        <f t="array" aca="1" ref="AM149" ca="1">IF(OR($E149="X",$E149="",$E149=0,$B149="X",$B149="",$B149=0),0,SUM(_xlfn._xlws.FILTER(IF($E$4="Ppto",PptoSty[CurPpto],PptoSty[CurInt]),(IF($E$4="Ppto",PptoSty[POvsCT]=AM$113,TRUE))*(PptoSty[Project]=TEXT($B149,"@"))*(PptoSty[PptoVsRow]=$E149)*(PptoSty[PptoVsColumn]=UPPER(AM$114)),0)))</f>
        <v>0</v>
      </c>
      <c r="AN149" s="157" cm="1">
        <f t="array" aca="1" ref="AN149" ca="1">IF(OR($E149="X",$E149="",$E149=0,$B149="X",$B149="",$B149=0),0,SUM(_xlfn._xlws.FILTER(IF($E$4="Ppto",PptoSty[CurPpto],PptoSty[CurExt]),(IF($E$4="Ppto",PptoSty[POvsCT]=AN$113,TRUE))*(PptoSty[Project]=TEXT($B149,"@"))*(PptoSty[PptoVsRow]=$E149)*(PptoSty[PptoVsColumn]=UPPER(AM$114)),0)))</f>
        <v>0</v>
      </c>
      <c r="AO149" s="157" cm="1">
        <f t="array" aca="1" ref="AO149" ca="1">IF(OR($E149="X",$E149="",$E149=0,$B149="X",$B149="",$B149=0),0,SUM(_xlfn._xlws.FILTER(IF($E$4="Ppto",PptoSty[CurPpto],PptoSty[CurInt]),(IF($E$4="Ppto",PptoSty[POvsCT]=AO$113,TRUE))*(PptoSty[Project]=TEXT($B149,"@"))*(PptoSty[PptoVsRow]=$E149)*(PptoSty[PptoVsColumn]=UPPER(AO$114)),0)))</f>
        <v>0</v>
      </c>
      <c r="AP149" s="157" cm="1">
        <f t="array" aca="1" ref="AP149" ca="1">IF(OR($E149="X",$E149="",$E149=0,$B149="X",$B149="",$B149=0),0,SUM(_xlfn._xlws.FILTER(IF($E$4="Ppto",PptoSty[CurPpto],PptoSty[CurExt]),(IF($E$4="Ppto",PptoSty[POvsCT]=AP$113,TRUE))*(PptoSty[Project]=TEXT($B149,"@"))*(PptoSty[PptoVsRow]=$E149)*(PptoSty[PptoVsColumn]=UPPER(AO$114)),0)))</f>
        <v>0</v>
      </c>
      <c r="AQ149" s="157" cm="1">
        <f t="array" aca="1" ref="AQ149" ca="1">SUM(IF(INDIRECT($AS$115)=AQ$115,INDIRECT($AS149)))</f>
        <v>19009.700878386426</v>
      </c>
      <c r="AR149" s="157" cm="1">
        <f t="array" aca="1" ref="AR149" ca="1">SUM(IF(INDIRECT($AS$115)=AR$115,INDIRECT($AS149)))</f>
        <v>683302.99731129536</v>
      </c>
      <c r="AS149" s="286" t="str">
        <f t="shared" ca="1" si="15"/>
        <v>G149:AP149</v>
      </c>
      <c r="AT149" s="403">
        <f t="shared" ca="1" si="14"/>
        <v>702312.69818968175</v>
      </c>
      <c r="AV149" s="142" cm="1">
        <f t="array" aca="1" ref="AV149" ca="1">IF(AND(_xlfn.LET(_xlpm.x,SUM(ROW()),OR(AND(MATCH("SOT",$A:$A,0)&lt;_xlpm.x,MATCH("EOT",$A:$A,0)&gt;_xlpm.x),AND(MATCH("SOS",$A:$A,0)&lt;_xlpm.x,MATCH("EOS",$A:$A,0)&gt;_xlpm.x),AND(MATCH("SOR",$A:$A,0)&lt;_xlpm.x,MATCH("EOR",$A:$A,0)&gt;_xlpm.x))),INDIRECT("rc"&amp;MATCH("SCD",$1:$1,0),FALSE)="PPTO"),1,0)</f>
        <v>1</v>
      </c>
      <c r="AW149" s="142" cm="1">
        <f t="array" aca="1" ref="AW14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50" spans="2:49" outlineLevel="1">
      <c r="B150" s="156" t="str" cm="1">
        <f t="array" aca="1" ref="B150:E150" ca="1">_xlfn.LET(_xlpm.x,SUM(ROW()-MATCH("SOR",$A:$A,0)),_xlpm.y,IFERROR(_xlfn.TAKE(INDEX(_xlfn._xlws.FILTER(TbAssign[],ISNUMBER(FIND(TbAssign[Project],$C$4)),"X"),1+QUOTIENT(_xlpm.x,3),0),1,4),0),IF(MOD(_xlpm.x-1,3)=0,IF(_xlpm.y=0,"X",_xlpm.y),INDIRECT("r[-1]c#",FALSE)))</f>
        <v>31200</v>
      </c>
      <c r="C150" s="156" t="str">
        <f ca="1"/>
        <v>XC02</v>
      </c>
      <c r="D150" s="148" t="str">
        <f ca="1"/>
        <v>FABC</v>
      </c>
      <c r="E150" s="352" t="str">
        <f ca="1"/>
        <v>FABRICACION ELEMENTOS IMPLANTA</v>
      </c>
      <c r="F150" s="148" t="s">
        <v>1382</v>
      </c>
      <c r="G150" s="157" cm="1">
        <f t="array" aca="1" ref="G150" ca="1">IF(OR($E150="X",$E150="",$E150=0,$B150="X",$B150="",$B150=0),0,SUM(_xlfn._xlws.FILTER(PrvSty[DsvValue:SERRA],(PrvSty[Project]=TEXT($B150,"@"))*(PrvSty[Row]=$E150)*(PrvSty[Column]=UPPER(G$114)),0)))</f>
        <v>0</v>
      </c>
      <c r="H150" s="157" cm="1">
        <f t="array" aca="1" ref="H150" ca="1">IF(OR($E150="X",$E150="",$E150=0,$B150="X",$B150="",$B150=0),0,SUM(_xlfn._xlws.FILTER(PrvSty[DsvValue:EXT.],(PrvSty[Project]=TEXT($B150,"@"))*(PrvSty[Row]=$E150)*(PrvSty[Column]=UPPER(G$114)),0)))</f>
        <v>0</v>
      </c>
      <c r="I150" s="157" cm="1">
        <f t="array" aca="1" ref="I150" ca="1">IF(OR($E150="X",$E150="",$E150=0,$B150="X",$B150="",$B150=0),0,SUM(_xlfn._xlws.FILTER(PrvSty[DsvValue:SERRA],(PrvSty[Project]=TEXT($B150,"@"))*(PrvSty[Row]=$E150)*(PrvSty[Column]=UPPER(I$114)),0)))</f>
        <v>0</v>
      </c>
      <c r="J150" s="157" cm="1">
        <f t="array" aca="1" ref="J150" ca="1">IF(OR($E150="X",$E150="",$E150=0,$B150="X",$B150="",$B150=0),0,SUM(_xlfn._xlws.FILTER(PrvSty[DsvValue:EXT.],(PrvSty[Project]=TEXT($B150,"@"))*(PrvSty[Row]=$E150)*(PrvSty[Column]=UPPER(I$114)),0)))</f>
        <v>0</v>
      </c>
      <c r="K150" s="157" cm="1">
        <f t="array" aca="1" ref="K150" ca="1">IF(OR($E150="X",$E150="",$E150=0,$B150="X",$B150="",$B150=0),0,SUM(_xlfn._xlws.FILTER(PrvSty[DsvValue:SERRA],(PrvSty[Project]=TEXT($B150,"@"))*(PrvSty[Row]=$E150)*(PrvSty[Column]=UPPER(K$114)),0)))</f>
        <v>0</v>
      </c>
      <c r="L150" s="157" cm="1">
        <f t="array" aca="1" ref="L150" ca="1">IF(OR($E150="X",$E150="",$E150=0,$B150="X",$B150="",$B150=0),0,SUM(_xlfn._xlws.FILTER(PrvSty[DsvValue:EXT.],(PrvSty[Project]=TEXT($B150,"@"))*(PrvSty[Row]=$E150)*(PrvSty[Column]=UPPER(K$114)),0)))</f>
        <v>0</v>
      </c>
      <c r="M150" s="157" cm="1">
        <f t="array" aca="1" ref="M150" ca="1">IF(OR($E150="X",$E150="",$E150=0,$B150="X",$B150="",$B150=0),0,SUM(_xlfn._xlws.FILTER(PrvSty[DsvValue:SERRA],(PrvSty[Project]=TEXT($B150,"@"))*(PrvSty[Row]=$E150)*(PrvSty[Column]=UPPER(M$114)),0)))</f>
        <v>0</v>
      </c>
      <c r="N150" s="157" cm="1">
        <f t="array" aca="1" ref="N150" ca="1">IF(OR($E150="X",$E150="",$E150=0,$B150="X",$B150="",$B150=0),0,SUM(_xlfn._xlws.FILTER(PrvSty[DsvValue:EXT.],(PrvSty[Project]=TEXT($B150,"@"))*(PrvSty[Row]=$E150)*(PrvSty[Column]=UPPER(M$114)),0)))</f>
        <v>0</v>
      </c>
      <c r="O150" s="157" cm="1">
        <f t="array" aca="1" ref="O150" ca="1">IF(OR($E150="X",$E150="",$E150=0,$B150="X",$B150="",$B150=0),0,SUM(_xlfn._xlws.FILTER(PrvSty[DsvValue:SERRA],(PrvSty[Project]=TEXT($B150,"@"))*(PrvSty[Row]=$E150)*(PrvSty[Column]=UPPER(O$114)),0)))</f>
        <v>0</v>
      </c>
      <c r="P150" s="157" cm="1">
        <f t="array" aca="1" ref="P150" ca="1">IF(OR($E150="X",$E150="",$E150=0,$B150="X",$B150="",$B150=0),0,SUM(_xlfn._xlws.FILTER(PrvSty[DsvValue:EXT.],(PrvSty[Project]=TEXT($B150,"@"))*(PrvSty[Row]=$E150)*(PrvSty[Column]=UPPER(O$114)),0)))</f>
        <v>0</v>
      </c>
      <c r="Q150" s="157" cm="1">
        <f t="array" aca="1" ref="Q150" ca="1">IF(OR($E150="X",$E150="",$E150=0,$B150="X",$B150="",$B150=0),0,SUM(_xlfn._xlws.FILTER(PrvSty[DsvValue:SERRA],(PrvSty[Project]=TEXT($B150,"@"))*(PrvSty[Row]=$E150)*(PrvSty[Column]=UPPER(Q$114)),0)))</f>
        <v>0</v>
      </c>
      <c r="R150" s="157" cm="1">
        <f t="array" aca="1" ref="R150" ca="1">IF(OR($E150="X",$E150="",$E150=0,$B150="X",$B150="",$B150=0),0,SUM(_xlfn._xlws.FILTER(PrvSty[DsvValue:EXT.],(PrvSty[Project]=TEXT($B150,"@"))*(PrvSty[Row]=$E150)*(PrvSty[Column]=UPPER(Q$114)),0)))</f>
        <v>0</v>
      </c>
      <c r="S150" s="157" cm="1">
        <f t="array" aca="1" ref="S150" ca="1">IF(OR($E150="X",$E150="",$E150=0,$B150="X",$B150="",$B150=0),0,SUM(_xlfn._xlws.FILTER(PrvSty[DsvValue:SERRA],(PrvSty[Project]=TEXT($B150,"@"))*(PrvSty[Row]=$E150)*(PrvSty[Column]=UPPER(S$114)),0)))</f>
        <v>0</v>
      </c>
      <c r="T150" s="157" cm="1">
        <f t="array" aca="1" ref="T150" ca="1">IF(OR($E150="X",$E150="",$E150=0,$B150="X",$B150="",$B150=0),0,SUM(_xlfn._xlws.FILTER(PrvSty[DsvValue:EXT.],(PrvSty[Project]=TEXT($B150,"@"))*(PrvSty[Row]=$E150)*(PrvSty[Column]=UPPER(S$114)),0)))</f>
        <v>0</v>
      </c>
      <c r="U150" s="157" cm="1">
        <f t="array" aca="1" ref="U150" ca="1">IF(OR($E150="X",$E150="",$E150=0,$B150="X",$B150="",$B150=0),0,SUM(_xlfn._xlws.FILTER(PrvSty[DsvValue:SERRA],(PrvSty[Project]=TEXT($B150,"@"))*(PrvSty[Row]=$E150)*(PrvSty[Column]=UPPER(U$114)),0)))</f>
        <v>0</v>
      </c>
      <c r="V150" s="157" cm="1">
        <f t="array" aca="1" ref="V150" ca="1">IF(OR($E150="X",$E150="",$E150=0,$B150="X",$B150="",$B150=0),0,SUM(_xlfn._xlws.FILTER(PrvSty[DsvValue:EXT.],(PrvSty[Project]=TEXT($B150,"@"))*(PrvSty[Row]=$E150)*(PrvSty[Column]=UPPER(U$114)),0)))</f>
        <v>50000</v>
      </c>
      <c r="W150" s="157" cm="1">
        <f t="array" aca="1" ref="W150" ca="1">IF(OR($E150="X",$E150="",$E150=0,$B150="X",$B150="",$B150=0),0,SUM(_xlfn._xlws.FILTER(PrvSty[DsvValue:SERRA],(PrvSty[Project]=TEXT($B150,"@"))*(PrvSty[Row]=$E150)*(PrvSty[Column]=UPPER(W$114)),0)))</f>
        <v>0</v>
      </c>
      <c r="X150" s="157" cm="1">
        <f t="array" aca="1" ref="X150" ca="1">IF(OR($E150="X",$E150="",$E150=0,$B150="X",$B150="",$B150=0),0,SUM(_xlfn._xlws.FILTER(PrvSty[DsvValue:EXT.],(PrvSty[Project]=TEXT($B150,"@"))*(PrvSty[Row]=$E150)*(PrvSty[Column]=UPPER(W$114)),0)))</f>
        <v>0</v>
      </c>
      <c r="Y150" s="157" cm="1">
        <f t="array" aca="1" ref="Y150" ca="1">IF(OR($E150="X",$E150="",$E150=0,$B150="X",$B150="",$B150=0),0,SUM(_xlfn._xlws.FILTER(PrvSty[DsvValue:SERRA],(PrvSty[Project]=TEXT($B150,"@"))*(PrvSty[Row]=$E150)*(PrvSty[Column]=UPPER(Y$114)),0)))</f>
        <v>0</v>
      </c>
      <c r="Z150" s="157" cm="1">
        <f t="array" aca="1" ref="Z150" ca="1">IF(OR($E150="X",$E150="",$E150=0,$B150="X",$B150="",$B150=0),0,SUM(_xlfn._xlws.FILTER(PrvSty[DsvValue:EXT.],(PrvSty[Project]=TEXT($B150,"@"))*(PrvSty[Row]=$E150)*(PrvSty[Column]=UPPER(Y$114)),0)))</f>
        <v>0</v>
      </c>
      <c r="AA150" s="157" cm="1">
        <f t="array" aca="1" ref="AA150" ca="1">IF(OR($E150="X",$E150="",$E150=0,$B150="X",$B150="",$B150=0),0,SUM(_xlfn._xlws.FILTER(PrvSty[DsvValue:SERRA],(PrvSty[Project]=TEXT($B150,"@"))*(PrvSty[Row]=$E150)*(PrvSty[Column]=UPPER(AA$114)),0)))</f>
        <v>0</v>
      </c>
      <c r="AB150" s="157" cm="1">
        <f t="array" aca="1" ref="AB150" ca="1">IF(OR($E150="X",$E150="",$E150=0,$B150="X",$B150="",$B150=0),0,SUM(_xlfn._xlws.FILTER(PrvSty[DsvValue:EXT.],(PrvSty[Project]=TEXT($B150,"@"))*(PrvSty[Row]=$E150)*(PrvSty[Column]=UPPER(AA$114)),0)))</f>
        <v>0</v>
      </c>
      <c r="AC150" s="157" cm="1">
        <f t="array" aca="1" ref="AC150" ca="1">IF(OR($E150="X",$E150="",$E150=0,$B150="X",$B150="",$B150=0),0,SUM(_xlfn._xlws.FILTER(PrvSty[DsvValue:SERRA],(PrvSty[Project]=TEXT($B150,"@"))*(PrvSty[Row]=$E150)*(PrvSty[Column]=UPPER(AC$114)),0)))</f>
        <v>0</v>
      </c>
      <c r="AD150" s="157" cm="1">
        <f t="array" aca="1" ref="AD150" ca="1">IF(OR($E150="X",$E150="",$E150=0,$B150="X",$B150="",$B150=0),0,SUM(_xlfn._xlws.FILTER(PrvSty[DsvValue:EXT.],(PrvSty[Project]=TEXT($B150,"@"))*(PrvSty[Row]=$E150)*(PrvSty[Column]=UPPER(AC$114)),0)))</f>
        <v>0</v>
      </c>
      <c r="AE150" s="157" cm="1">
        <f t="array" aca="1" ref="AE150" ca="1">IF(OR($E150="X",$E150="",$E150=0,$B150="X",$B150="",$B150=0),0,SUM(_xlfn._xlws.FILTER(PrvSty[DsvValue:SERRA],(PrvSty[Project]=TEXT($B150,"@"))*(PrvSty[Row]=$E150)*(PrvSty[Column]=UPPER(AE$114)),0)))</f>
        <v>0</v>
      </c>
      <c r="AF150" s="157" cm="1">
        <f t="array" aca="1" ref="AF150" ca="1">IF(OR($E150="X",$E150="",$E150=0,$B150="X",$B150="",$B150=0),0,SUM(_xlfn._xlws.FILTER(PrvSty[DsvValue:EXT.],(PrvSty[Project]=TEXT($B150,"@"))*(PrvSty[Row]=$E150)*(PrvSty[Column]=UPPER(AE$114)),0)))</f>
        <v>0</v>
      </c>
      <c r="AG150" s="157" cm="1">
        <f t="array" aca="1" ref="AG150" ca="1">IF(OR($E150="X",$E150="",$E150=0,$B150="X",$B150="",$B150=0),0,SUM(_xlfn._xlws.FILTER(PrvSty[DsvValue:SERRA],(PrvSty[Project]=TEXT($B150,"@"))*(PrvSty[Row]=$E150)*(PrvSty[Column]=UPPER(AG$114)),0)))</f>
        <v>0</v>
      </c>
      <c r="AH150" s="157" cm="1">
        <f t="array" aca="1" ref="AH150" ca="1">IF(OR($E150="X",$E150="",$E150=0,$B150="X",$B150="",$B150=0),0,SUM(_xlfn._xlws.FILTER(PrvSty[DsvValue:EXT.],(PrvSty[Project]=TEXT($B150,"@"))*(PrvSty[Row]=$E150)*(PrvSty[Column]=UPPER(AG$114)),0)))</f>
        <v>0</v>
      </c>
      <c r="AI150" s="157" cm="1">
        <f t="array" aca="1" ref="AI150" ca="1">IF(OR($E150="X",$E150="",$E150=0,$B150="X",$B150="",$B150=0),0,SUM(_xlfn._xlws.FILTER(PrvSty[DsvValue:SERRA],(PrvSty[Project]=TEXT($B150,"@"))*(PrvSty[Row]=$E150)*(PrvSty[Column]=UPPER(AI$114)),0)))</f>
        <v>0</v>
      </c>
      <c r="AJ150" s="157" cm="1">
        <f t="array" aca="1" ref="AJ150" ca="1">IF(OR($E150="X",$E150="",$E150=0,$B150="X",$B150="",$B150=0),0,SUM(_xlfn._xlws.FILTER(PrvSty[DsvValue:EXT.],(PrvSty[Project]=TEXT($B150,"@"))*(PrvSty[Row]=$E150)*(PrvSty[Column]=UPPER(AI$114)),0)))</f>
        <v>-218106.22999999998</v>
      </c>
      <c r="AK150" s="157" cm="1">
        <f t="array" aca="1" ref="AK150" ca="1">IF(OR($E150="X",$E150="",$E150=0,$B150="X",$B150="",$B150=0),0,SUM(_xlfn._xlws.FILTER(PrvSty[DsvValue:SERRA],(PrvSty[Project]=TEXT($B150,"@"))*(PrvSty[Row]=$E150)*(PrvSty[Column]=UPPER(AK$114)),0)))</f>
        <v>0</v>
      </c>
      <c r="AL150" s="157" cm="1">
        <f t="array" aca="1" ref="AL150" ca="1">IF(OR($E150="X",$E150="",$E150=0,$B150="X",$B150="",$B150=0),0,SUM(_xlfn._xlws.FILTER(PrvSty[DsvValue:EXT.],(PrvSty[Project]=TEXT($B150,"@"))*(PrvSty[Row]=$E150)*(PrvSty[Column]=UPPER(AK$114)),0)))</f>
        <v>36132.57</v>
      </c>
      <c r="AM150" s="157" cm="1">
        <f t="array" aca="1" ref="AM150" ca="1">IF(OR($E150="X",$E150="",$E150=0,$B150="X",$B150="",$B150=0),0,SUM(_xlfn._xlws.FILTER(PrvSty[DsvValue:SERRA],(PrvSty[Project]=TEXT($B150,"@"))*(PrvSty[Row]=$E150)*(PrvSty[Column]=UPPER(AM$114)),0)))</f>
        <v>0</v>
      </c>
      <c r="AN150" s="157" cm="1">
        <f t="array" aca="1" ref="AN150" ca="1">IF(OR($E150="X",$E150="",$E150=0,$B150="X",$B150="",$B150=0),0,SUM(_xlfn._xlws.FILTER(PrvSty[DsvValue:EXT.],(PrvSty[Project]=TEXT($B150,"@"))*(PrvSty[Row]=$E150)*(PrvSty[Column]=UPPER(AM$114)),0)))</f>
        <v>201.29</v>
      </c>
      <c r="AO150" s="157" cm="1">
        <f t="array" aca="1" ref="AO150" ca="1">IF(OR($E150="X",$E150="",$E150=0,$B150="X",$B150="",$B150=0),0,SUM(_xlfn._xlws.FILTER(PrvSty[DsvValue:SERRA],(PrvSty[Project]=TEXT($B150,"@"))*(PrvSty[Row]=$E150)*(PrvSty[Column]=UPPER(AO$114)),0)))</f>
        <v>0</v>
      </c>
      <c r="AP150" s="157" cm="1">
        <f t="array" aca="1" ref="AP150" ca="1">IF(OR($E150="X",$E150="",$E150=0,$B150="X",$B150="",$B150=0),0,SUM(_xlfn._xlws.FILTER(PrvSty[DsvValue:EXT.],(PrvSty[Project]=TEXT($B150,"@"))*(PrvSty[Row]=$E150)*(PrvSty[Column]=UPPER(AO$114)),0)))</f>
        <v>0</v>
      </c>
      <c r="AQ150" s="157" cm="1">
        <f t="array" aca="1" ref="AQ150" ca="1">SUM(IF(INDIRECT($AS$115)=AQ$115,INDIRECT($AS150)))</f>
        <v>0</v>
      </c>
      <c r="AR150" s="157" cm="1">
        <f t="array" aca="1" ref="AR150" ca="1">SUM(IF(INDIRECT($AS$115)=AR$115,INDIRECT($AS150)))</f>
        <v>-131772.36999999997</v>
      </c>
      <c r="AS150" s="286" t="str">
        <f t="shared" ca="1" si="15"/>
        <v>G150:AP150</v>
      </c>
      <c r="AT150" s="403">
        <f t="shared" ca="1" si="14"/>
        <v>-131772.36999999997</v>
      </c>
      <c r="AV150" s="142" cm="1">
        <f t="array" aca="1" ref="AV150" ca="1">IF(AND(_xlfn.LET(_xlpm.x,SUM(ROW()),OR(AND(MATCH("SOT",$A:$A,0)&lt;_xlpm.x,MATCH("EOT",$A:$A,0)&gt;_xlpm.x),AND(MATCH("SOS",$A:$A,0)&lt;_xlpm.x,MATCH("EOS",$A:$A,0)&gt;_xlpm.x),AND(MATCH("SOR",$A:$A,0)&lt;_xlpm.x,MATCH("EOR",$A:$A,0)&gt;_xlpm.x))),INDIRECT("rc"&amp;MATCH("SCD",$1:$1,0),FALSE)="PPTO"),1,0)</f>
        <v>0</v>
      </c>
      <c r="AW150" s="142" cm="1">
        <f t="array" aca="1" ref="AW15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51" spans="2:49" outlineLevel="1">
      <c r="B151" s="156" t="str" cm="1">
        <f t="array" aca="1" ref="B151:E151" ca="1">_xlfn.LET(_xlpm.x,SUM(ROW()-MATCH("SOR",$A:$A,0)),_xlpm.y,IFERROR(_xlfn.TAKE(INDEX(_xlfn._xlws.FILTER(TbAssign[],ISNUMBER(FIND(TbAssign[Project],$C$4)),"X"),1+QUOTIENT(_xlpm.x,3),0),1,4),0),IF(MOD(_xlpm.x-1,3)=0,IF(_xlpm.y=0,"X",_xlpm.y),INDIRECT("r[-1]c#",FALSE)))</f>
        <v>31200</v>
      </c>
      <c r="C151" s="156" t="str">
        <f ca="1"/>
        <v>XC02</v>
      </c>
      <c r="D151" s="148" t="str">
        <f ca="1"/>
        <v>FABC</v>
      </c>
      <c r="E151" s="352" t="str">
        <f ca="1"/>
        <v>FABRICACION ELEMENTOS IMPLANTA</v>
      </c>
      <c r="F151" s="148" t="s">
        <v>1383</v>
      </c>
      <c r="G151" s="158" cm="1">
        <f t="array" aca="1" ref="G151" ca="1">IF(OR($E151="X",$E151="",$E151=0,$B151="X",$B151="",$B151=0),0,SUM(_xlfn._xlws.FILTER(FrmBB1[Cur],(FrmBB1[PrjId]=TEXT($B151,"@"))*(FrmBB1[Row]=$E151)*(FrmBB1[Column]=UPPER(_xlfn.LET(_xlpm.x,_xlfn.TEXTBEFORE(G$114," ("),IFERROR(_xlpm.x,G$114)))&amp;" "&amp;G$115),0)))</f>
        <v>0</v>
      </c>
      <c r="H151" s="157" cm="1">
        <f t="array" aca="1" ref="H151" ca="1">IF(OR($E151="X",$E151="",$E151=0,$B151="X",$B151="",$B151=0),0,SUM(_xlfn._xlws.FILTER(FrmBB1[Cur],(FrmBB1[PrjId]=TEXT($B151,"@"))*(FrmBB1[Row]=$E151)*(FrmBB1[Column]=UPPER(_xlfn.LET(_xlpm.x,_xlfn.TEXTBEFORE(G$114," ("),IFERROR(_xlpm.x,G$114)))&amp;" "&amp;H$115),0)))</f>
        <v>0</v>
      </c>
      <c r="I151" s="158" cm="1">
        <f t="array" aca="1" ref="I151" ca="1">IF(OR($E151="X",$E151="",$E151=0,$B151="X",$B151="",$B151=0),0,SUM(_xlfn._xlws.FILTER(FrmBB1[Cur],(FrmBB1[PrjId]=TEXT($B151,"@"))*(FrmBB1[Row]=$E151)*(FrmBB1[Column]=UPPER(_xlfn.LET(_xlpm.x,_xlfn.TEXTBEFORE(I$114," ("),IFERROR(_xlpm.x,I$114)))&amp;" "&amp;I$115),0)))</f>
        <v>0</v>
      </c>
      <c r="J151" s="157" cm="1">
        <f t="array" aca="1" ref="J151" ca="1">IF(OR($E151="X",$E151="",$E151=0,$B151="X",$B151="",$B151=0),0,SUM(_xlfn._xlws.FILTER(FrmBB1[Cur],(FrmBB1[PrjId]=TEXT($B151,"@"))*(FrmBB1[Row]=$E151)*(FrmBB1[Column]=UPPER(_xlfn.LET(_xlpm.x,_xlfn.TEXTBEFORE(I$114," ("),IFERROR(_xlpm.x,I$114)))&amp;" "&amp;J$115),0)))</f>
        <v>0</v>
      </c>
      <c r="K151" s="158" cm="1">
        <f t="array" aca="1" ref="K151" ca="1">IF(OR($E151="X",$E151="",$E151=0,$B151="X",$B151="",$B151=0),0,SUM(_xlfn._xlws.FILTER(FrmBB1[Cur],(FrmBB1[PrjId]=TEXT($B151,"@"))*(FrmBB1[Row]=$E151)*(FrmBB1[Column]=UPPER(_xlfn.LET(_xlpm.x,_xlfn.TEXTBEFORE(K$114," ("),IFERROR(_xlpm.x,K$114)))&amp;" "&amp;K$115),0)))</f>
        <v>0</v>
      </c>
      <c r="L151" s="157" cm="1">
        <f t="array" aca="1" ref="L151" ca="1">IF(OR($E151="X",$E151="",$E151=0,$B151="X",$B151="",$B151=0),0,SUM(_xlfn._xlws.FILTER(FrmBB1[Cur],(FrmBB1[PrjId]=TEXT($B151,"@"))*(FrmBB1[Row]=$E151)*(FrmBB1[Column]=UPPER(_xlfn.LET(_xlpm.x,_xlfn.TEXTBEFORE(K$114," ("),IFERROR(_xlpm.x,K$114)))&amp;" "&amp;L$115),0)))</f>
        <v>0</v>
      </c>
      <c r="M151" s="158" cm="1">
        <f t="array" aca="1" ref="M151" ca="1">IF(OR($E151="X",$E151="",$E151=0,$B151="X",$B151="",$B151=0),0,SUM(_xlfn._xlws.FILTER(FrmBB1[Cur],(FrmBB1[PrjId]=TEXT($B151,"@"))*(FrmBB1[Row]=$E151)*(FrmBB1[Column]=UPPER(_xlfn.LET(_xlpm.x,_xlfn.TEXTBEFORE(M$114," ("),IFERROR(_xlpm.x,M$114)))&amp;" "&amp;M$115),0)))</f>
        <v>0</v>
      </c>
      <c r="N151" s="157" cm="1">
        <f t="array" aca="1" ref="N151" ca="1">IF(OR($E151="X",$E151="",$E151=0,$B151="X",$B151="",$B151=0),0,SUM(_xlfn._xlws.FILTER(FrmBB1[Cur],(FrmBB1[PrjId]=TEXT($B151,"@"))*(FrmBB1[Row]=$E151)*(FrmBB1[Column]=UPPER(_xlfn.LET(_xlpm.x,_xlfn.TEXTBEFORE(M$114," ("),IFERROR(_xlpm.x,M$114)))&amp;" "&amp;N$115),0)))</f>
        <v>0</v>
      </c>
      <c r="O151" s="158" cm="1">
        <f t="array" aca="1" ref="O151" ca="1">IF(OR($E151="X",$E151="",$E151=0,$B151="X",$B151="",$B151=0),0,SUM(_xlfn._xlws.FILTER(FrmBB1[Cur],(FrmBB1[PrjId]=TEXT($B151,"@"))*(FrmBB1[Row]=$E151)*(FrmBB1[Column]=UPPER(_xlfn.LET(_xlpm.x,_xlfn.TEXTBEFORE(O$114," ("),IFERROR(_xlpm.x,O$114)))&amp;" "&amp;O$115),0)))</f>
        <v>0</v>
      </c>
      <c r="P151" s="157" cm="1">
        <f t="array" aca="1" ref="P151" ca="1">IF(OR($E151="X",$E151="",$E151=0,$B151="X",$B151="",$B151=0),0,SUM(_xlfn._xlws.FILTER(FrmBB1[Cur],(FrmBB1[PrjId]=TEXT($B151,"@"))*(FrmBB1[Row]=$E151)*(FrmBB1[Column]=UPPER(_xlfn.LET(_xlpm.x,_xlfn.TEXTBEFORE(O$114," ("),IFERROR(_xlpm.x,O$114)))&amp;" "&amp;P$115),0)))</f>
        <v>0</v>
      </c>
      <c r="Q151" s="158" cm="1">
        <f t="array" aca="1" ref="Q151" ca="1">IF(OR($E151="X",$E151="",$E151=0,$B151="X",$B151="",$B151=0),0,SUM(_xlfn._xlws.FILTER(FrmBB1[Cur],(FrmBB1[PrjId]=TEXT($B151,"@"))*(FrmBB1[Row]=$E151)*(FrmBB1[Column]=UPPER(_xlfn.LET(_xlpm.x,_xlfn.TEXTBEFORE(Q$114," ("),IFERROR(_xlpm.x,Q$114)))&amp;" "&amp;Q$115),0)))</f>
        <v>0</v>
      </c>
      <c r="R151" s="157" cm="1">
        <f t="array" aca="1" ref="R151" ca="1">IF(OR($E151="X",$E151="",$E151=0,$B151="X",$B151="",$B151=0),0,SUM(_xlfn._xlws.FILTER(FrmBB1[Cur],(FrmBB1[PrjId]=TEXT($B151,"@"))*(FrmBB1[Row]=$E151)*(FrmBB1[Column]=UPPER(_xlfn.LET(_xlpm.x,_xlfn.TEXTBEFORE(Q$114," ("),IFERROR(_xlpm.x,Q$114)))&amp;" "&amp;R$115),0)))</f>
        <v>0</v>
      </c>
      <c r="S151" s="158" cm="1">
        <f t="array" aca="1" ref="S151" ca="1">IF(OR($E151="X",$E151="",$E151=0,$B151="X",$B151="",$B151=0),0,SUM(_xlfn._xlws.FILTER(FrmBB1[Cur],(FrmBB1[PrjId]=TEXT($B151,"@"))*(FrmBB1[Row]=$E151)*(FrmBB1[Column]=UPPER(_xlfn.LET(_xlpm.x,_xlfn.TEXTBEFORE(S$114," ("),IFERROR(_xlpm.x,S$114)))&amp;" "&amp;S$115),0)))</f>
        <v>0</v>
      </c>
      <c r="T151" s="157" cm="1">
        <f t="array" aca="1" ref="T151" ca="1">IF(OR($E151="X",$E151="",$E151=0,$B151="X",$B151="",$B151=0),0,SUM(_xlfn._xlws.FILTER(FrmBB1[Cur],(FrmBB1[PrjId]=TEXT($B151,"@"))*(FrmBB1[Row]=$E151)*(FrmBB1[Column]=UPPER(_xlfn.LET(_xlpm.x,_xlfn.TEXTBEFORE(S$114," ("),IFERROR(_xlpm.x,S$114)))&amp;" "&amp;T$115),0)))</f>
        <v>0</v>
      </c>
      <c r="U151" s="158" cm="1">
        <f t="array" aca="1" ref="U151" ca="1">IF(OR($E151="X",$E151="",$E151=0,$B151="X",$B151="",$B151=0),0,SUM(_xlfn._xlws.FILTER(FrmBB1[Cur],(FrmBB1[PrjId]=TEXT($B151,"@"))*(FrmBB1[Row]=$E151)*(FrmBB1[Column]=UPPER(_xlfn.LET(_xlpm.x,_xlfn.TEXTBEFORE(U$114," ("),IFERROR(_xlpm.x,U$114)))&amp;" "&amp;U$115),0)))</f>
        <v>0</v>
      </c>
      <c r="V151" s="157" cm="1">
        <f t="array" aca="1" ref="V151" ca="1">IF(OR($E151="X",$E151="",$E151=0,$B151="X",$B151="",$B151=0),0,SUM(_xlfn._xlws.FILTER(FrmBB1[Cur],(FrmBB1[PrjId]=TEXT($B151,"@"))*(FrmBB1[Row]=$E151)*(FrmBB1[Column]=UPPER(_xlfn.LET(_xlpm.x,_xlfn.TEXTBEFORE(U$114," ("),IFERROR(_xlpm.x,U$114)))&amp;" "&amp;V$115),0)))</f>
        <v>442406</v>
      </c>
      <c r="W151" s="158" cm="1">
        <f t="array" aca="1" ref="W151" ca="1">IF(OR($E151="X",$E151="",$E151=0,$B151="X",$B151="",$B151=0),0,SUM(_xlfn._xlws.FILTER(FrmBB1[Cur],(FrmBB1[PrjId]=TEXT($B151,"@"))*(FrmBB1[Row]=$E151)*(FrmBB1[Column]=UPPER(_xlfn.LET(_xlpm.x,_xlfn.TEXTBEFORE(W$114," ("),IFERROR(_xlpm.x,W$114)))&amp;" "&amp;W$115),0)))</f>
        <v>0</v>
      </c>
      <c r="X151" s="157" cm="1">
        <f t="array" aca="1" ref="X151" ca="1">IF(OR($E151="X",$E151="",$E151=0,$B151="X",$B151="",$B151=0),0,SUM(_xlfn._xlws.FILTER(FrmBB1[Cur],(FrmBB1[PrjId]=TEXT($B151,"@"))*(FrmBB1[Row]=$E151)*(FrmBB1[Column]=UPPER(_xlfn.LET(_xlpm.x,_xlfn.TEXTBEFORE(W$114," ("),IFERROR(_xlpm.x,W$114)))&amp;" "&amp;X$115),0)))</f>
        <v>0</v>
      </c>
      <c r="Y151" s="158" cm="1">
        <f t="array" aca="1" ref="Y151" ca="1">IF(OR($E151="X",$E151="",$E151=0,$B151="X",$B151="",$B151=0),0,SUM(_xlfn._xlws.FILTER(FrmBB1[Cur],(FrmBB1[PrjId]=TEXT($B151,"@"))*(FrmBB1[Row]=$E151)*(FrmBB1[Column]=UPPER(_xlfn.LET(_xlpm.x,_xlfn.TEXTBEFORE(Y$114," ("),IFERROR(_xlpm.x,Y$114)))&amp;" "&amp;Y$115),0)))</f>
        <v>0</v>
      </c>
      <c r="Z151" s="157" cm="1">
        <f t="array" aca="1" ref="Z151" ca="1">IF(OR($E151="X",$E151="",$E151=0,$B151="X",$B151="",$B151=0),0,SUM(_xlfn._xlws.FILTER(FrmBB1[Cur],(FrmBB1[PrjId]=TEXT($B151,"@"))*(FrmBB1[Row]=$E151)*(FrmBB1[Column]=UPPER(_xlfn.LET(_xlpm.x,_xlfn.TEXTBEFORE(Y$114," ("),IFERROR(_xlpm.x,Y$114)))&amp;" "&amp;Z$115),0)))</f>
        <v>0</v>
      </c>
      <c r="AA151" s="158" cm="1">
        <f t="array" aca="1" ref="AA151" ca="1">IF(OR($E151="X",$E151="",$E151=0,$B151="X",$B151="",$B151=0),0,SUM(_xlfn._xlws.FILTER(FrmBB1[Cur],(FrmBB1[PrjId]=TEXT($B151,"@"))*(FrmBB1[Row]=$E151)*(FrmBB1[Column]=UPPER(_xlfn.LET(_xlpm.x,_xlfn.TEXTBEFORE(AA$114," ("),IFERROR(_xlpm.x,AA$114)))&amp;" "&amp;AA$115),0)))</f>
        <v>0</v>
      </c>
      <c r="AB151" s="157" cm="1">
        <f t="array" aca="1" ref="AB151" ca="1">IF(OR($E151="X",$E151="",$E151=0,$B151="X",$B151="",$B151=0),0,SUM(_xlfn._xlws.FILTER(FrmBB1[Cur],(FrmBB1[PrjId]=TEXT($B151,"@"))*(FrmBB1[Row]=$E151)*(FrmBB1[Column]=UPPER(_xlfn.LET(_xlpm.x,_xlfn.TEXTBEFORE(AA$114," ("),IFERROR(_xlpm.x,AA$114)))&amp;" "&amp;AB$115),0)))</f>
        <v>0</v>
      </c>
      <c r="AC151" s="158" cm="1">
        <f t="array" aca="1" ref="AC151" ca="1">IF(OR($E151="X",$E151="",$E151=0,$B151="X",$B151="",$B151=0),0,SUM(_xlfn._xlws.FILTER(FrmBB1[Cur],(FrmBB1[PrjId]=TEXT($B151,"@"))*(FrmBB1[Row]=$E151)*(FrmBB1[Column]=UPPER(_xlfn.LET(_xlpm.x,_xlfn.TEXTBEFORE(AC$114," ("),IFERROR(_xlpm.x,AC$114)))&amp;" "&amp;AC$115),0)))</f>
        <v>0</v>
      </c>
      <c r="AD151" s="157" cm="1">
        <f t="array" aca="1" ref="AD151" ca="1">IF(OR($E151="X",$E151="",$E151=0,$B151="X",$B151="",$B151=0),0,SUM(_xlfn._xlws.FILTER(FrmBB1[Cur],(FrmBB1[PrjId]=TEXT($B151,"@"))*(FrmBB1[Row]=$E151)*(FrmBB1[Column]=UPPER(_xlfn.LET(_xlpm.x,_xlfn.TEXTBEFORE(AC$114," ("),IFERROR(_xlpm.x,AC$114)))&amp;" "&amp;AD$115),0)))</f>
        <v>0</v>
      </c>
      <c r="AE151" s="158" cm="1">
        <f t="array" aca="1" ref="AE151" ca="1">IF(OR($E151="X",$E151="",$E151=0,$B151="X",$B151="",$B151=0),0,SUM(_xlfn._xlws.FILTER(FrmBB1[Cur],(FrmBB1[PrjId]=TEXT($B151,"@"))*(FrmBB1[Row]=$E151)*(FrmBB1[Column]=UPPER(_xlfn.LET(_xlpm.x,_xlfn.TEXTBEFORE(AE$114," ("),IFERROR(_xlpm.x,AE$114)))&amp;" "&amp;AE$115),0)))</f>
        <v>0</v>
      </c>
      <c r="AF151" s="157" cm="1">
        <f t="array" aca="1" ref="AF151" ca="1">IF(OR($E151="X",$E151="",$E151=0,$B151="X",$B151="",$B151=0),0,SUM(_xlfn._xlws.FILTER(FrmBB1[Cur],(FrmBB1[PrjId]=TEXT($B151,"@"))*(FrmBB1[Row]=$E151)*(FrmBB1[Column]=UPPER(_xlfn.LET(_xlpm.x,_xlfn.TEXTBEFORE(AE$114," ("),IFERROR(_xlpm.x,AE$114)))&amp;" "&amp;AF$115),0)))</f>
        <v>0</v>
      </c>
      <c r="AG151" s="158" cm="1">
        <f t="array" aca="1" ref="AG151" ca="1">IF(OR($E151="X",$E151="",$E151=0,$B151="X",$B151="",$B151=0),0,SUM(_xlfn._xlws.FILTER(FrmBB1[Cur],(FrmBB1[PrjId]=TEXT($B151,"@"))*(FrmBB1[Row]=$E151)*(FrmBB1[Column]=UPPER(_xlfn.LET(_xlpm.x,_xlfn.TEXTBEFORE(AG$114," ("),IFERROR(_xlpm.x,AG$114)))&amp;" "&amp;AG$115),0)))</f>
        <v>0</v>
      </c>
      <c r="AH151" s="157" cm="1">
        <f t="array" aca="1" ref="AH151" ca="1">IF(OR($E151="X",$E151="",$E151=0,$B151="X",$B151="",$B151=0),0,SUM(_xlfn._xlws.FILTER(FrmBB1[Cur],(FrmBB1[PrjId]=TEXT($B151,"@"))*(FrmBB1[Row]=$E151)*(FrmBB1[Column]=UPPER(_xlfn.LET(_xlpm.x,_xlfn.TEXTBEFORE(AG$114," ("),IFERROR(_xlpm.x,AG$114)))&amp;" "&amp;AH$115),0)))</f>
        <v>0</v>
      </c>
      <c r="AI151" s="158" cm="1">
        <f t="array" aca="1" ref="AI151" ca="1">IF(OR($E151="X",$E151="",$E151=0,$B151="X",$B151="",$B151=0),0,SUM(_xlfn._xlws.FILTER(FrmBB1[Cur],(FrmBB1[PrjId]=TEXT($B151,"@"))*(FrmBB1[Row]=$E151)*(FrmBB1[Column]=UPPER(_xlfn.LET(_xlpm.x,_xlfn.TEXTBEFORE(AI$114," ("),IFERROR(_xlpm.x,AI$114)))&amp;" "&amp;AI$115),0)))</f>
        <v>0</v>
      </c>
      <c r="AJ151" s="157" cm="1">
        <f t="array" aca="1" ref="AJ151" ca="1">IF(OR($E151="X",$E151="",$E151=0,$B151="X",$B151="",$B151=0),0,SUM(_xlfn._xlws.FILTER(FrmBB1[Cur],(FrmBB1[PrjId]=TEXT($B151,"@"))*(FrmBB1[Row]=$E151)*(FrmBB1[Column]=UPPER(_xlfn.LET(_xlpm.x,_xlfn.TEXTBEFORE(AI$114," ("),IFERROR(_xlpm.x,AI$114)))&amp;" "&amp;AJ$115),0)))</f>
        <v>53281.54</v>
      </c>
      <c r="AK151" s="158" cm="1">
        <f t="array" aca="1" ref="AK151" ca="1">IF(OR($E151="X",$E151="",$E151=0,$B151="X",$B151="",$B151=0),0,SUM(_xlfn._xlws.FILTER(FrmBB1[Cur],(FrmBB1[PrjId]=TEXT($B151,"@"))*(FrmBB1[Row]=$E151)*(FrmBB1[Column]=UPPER(_xlfn.LET(_xlpm.x,_xlfn.TEXTBEFORE(AK$114," ("),IFERROR(_xlpm.x,AK$114)))&amp;" "&amp;AK$115),0)))</f>
        <v>0</v>
      </c>
      <c r="AL151" s="157" cm="1">
        <f t="array" aca="1" ref="AL151" ca="1">IF(OR($E151="X",$E151="",$E151=0,$B151="X",$B151="",$B151=0),0,SUM(_xlfn._xlws.FILTER(FrmBB1[Cur],(FrmBB1[PrjId]=TEXT($B151,"@"))*(FrmBB1[Row]=$E151)*(FrmBB1[Column]=UPPER(_xlfn.LET(_xlpm.x,_xlfn.TEXTBEFORE(AK$114," ("),IFERROR(_xlpm.x,AK$114)))&amp;" "&amp;AL$115),0)))</f>
        <v>36132.57</v>
      </c>
      <c r="AM151" s="158" cm="1">
        <f t="array" aca="1" ref="AM151" ca="1">IF(OR($E151="X",$E151="",$E151=0,$B151="X",$B151="",$B151=0),0,SUM(_xlfn._xlws.FILTER(FrmBB1[Cur],(FrmBB1[PrjId]=TEXT($B151,"@"))*(FrmBB1[Row]=$E151)*(FrmBB1[Column]=UPPER(_xlfn.LET(_xlpm.x,_xlfn.TEXTBEFORE(AM$114," ("),IFERROR(_xlpm.x,AM$114)))&amp;" "&amp;AM$115),0)))</f>
        <v>0</v>
      </c>
      <c r="AN151" s="157" cm="1">
        <f t="array" aca="1" ref="AN151" ca="1">IF(OR($E151="X",$E151="",$E151=0,$B151="X",$B151="",$B151=0),0,SUM(_xlfn._xlws.FILTER(FrmBB1[Cur],(FrmBB1[PrjId]=TEXT($B151,"@"))*(FrmBB1[Row]=$E151)*(FrmBB1[Column]=UPPER(_xlfn.LET(_xlpm.x,_xlfn.TEXTBEFORE(AM$114," ("),IFERROR(_xlpm.x,AM$114)))&amp;" "&amp;AN$115),0)))</f>
        <v>201.29</v>
      </c>
      <c r="AO151" s="158" cm="1">
        <f t="array" aca="1" ref="AO151" ca="1">IF(OR($E151="X",$E151="",$E151=0,$B151="X",$B151="",$B151=0),0,SUM(_xlfn._xlws.FILTER(FrmBB1[Cur],(FrmBB1[PrjId]=TEXT($B151,"@"))*(FrmBB1[Row]=$E151)*(FrmBB1[Column]=UPPER(_xlfn.LET(_xlpm.x,_xlfn.TEXTBEFORE(AO$114," ("),IFERROR(_xlpm.x,AO$114)))&amp;" "&amp;AO$115),0)))</f>
        <v>0</v>
      </c>
      <c r="AP151" s="157" cm="1">
        <f t="array" aca="1" ref="AP151" ca="1">IF(OR($E151="X",$E151="",$E151=0,$B151="X",$B151="",$B151=0),0,SUM(_xlfn._xlws.FILTER(FrmBB1[Cur],(FrmBB1[PrjId]=TEXT($B151,"@"))*(FrmBB1[Row]=$E151)*(FrmBB1[Column]=UPPER(_xlfn.LET(_xlpm.x,_xlfn.TEXTBEFORE(AO$114," ("),IFERROR(_xlpm.x,AO$114)))&amp;" "&amp;AP$115),0)))</f>
        <v>0</v>
      </c>
      <c r="AQ151" s="157" cm="1">
        <f t="array" aca="1" ref="AQ151" ca="1">SUM(IF(INDIRECT($AS$115)=AQ$115,INDIRECT($AS151)))</f>
        <v>0</v>
      </c>
      <c r="AR151" s="157" cm="1">
        <f t="array" aca="1" ref="AR151" ca="1">SUM(IF(INDIRECT($AS$115)=AR$115,INDIRECT($AS151)))</f>
        <v>532021.4</v>
      </c>
      <c r="AS151" s="286" t="str">
        <f t="shared" ca="1" si="15"/>
        <v>G151:AP151</v>
      </c>
      <c r="AT151" s="403">
        <f t="shared" ca="1" si="14"/>
        <v>532021.4</v>
      </c>
      <c r="AV151" s="142" cm="1">
        <f t="array" aca="1" ref="AV151" ca="1">IF(AND(_xlfn.LET(_xlpm.x,SUM(ROW()),OR(AND(MATCH("SOT",$A:$A,0)&lt;_xlpm.x,MATCH("EOT",$A:$A,0)&gt;_xlpm.x),AND(MATCH("SOS",$A:$A,0)&lt;_xlpm.x,MATCH("EOS",$A:$A,0)&gt;_xlpm.x),AND(MATCH("SOR",$A:$A,0)&lt;_xlpm.x,MATCH("EOR",$A:$A,0)&gt;_xlpm.x))),INDIRECT("rc"&amp;MATCH("SCD",$1:$1,0),FALSE)="PPTO"),1,0)</f>
        <v>0</v>
      </c>
      <c r="AW151" s="142" cm="1">
        <f t="array" aca="1" ref="AW15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52" spans="2:49" outlineLevel="1">
      <c r="B152" s="156" t="str" cm="1">
        <f t="array" aca="1" ref="B152:E152" ca="1">_xlfn.LET(_xlpm.x,SUM(ROW()-MATCH("SOR",$A:$A,0)),_xlpm.y,IFERROR(_xlfn.TAKE(INDEX(_xlfn._xlws.FILTER(TbAssign[],ISNUMBER(FIND(TbAssign[Project],$C$4)),"X"),1+QUOTIENT(_xlpm.x,3),0),1,4),0),IF(MOD(_xlpm.x-1,3)=0,IF(_xlpm.y=0,"X",_xlpm.y),INDIRECT("r[-1]c#",FALSE)))</f>
        <v>31200</v>
      </c>
      <c r="C152" s="156" t="str">
        <f ca="1"/>
        <v>XD02</v>
      </c>
      <c r="D152" s="148" t="str">
        <f ca="1"/>
        <v>IMCS</v>
      </c>
      <c r="E152" s="352" t="str">
        <f ca="1"/>
        <v>MONTAJE EN SERRA</v>
      </c>
      <c r="F152" s="148" t="s">
        <v>397</v>
      </c>
      <c r="G152" s="157" cm="1">
        <f t="array" aca="1" ref="G152" ca="1">IF(OR($E152="X",$E152="",$E152=0,$B152="X",$B152="",$B152=0),0,SUM(_xlfn._xlws.FILTER(IF($E$4="Ppto",PptoSty[CurPpto],PptoSty[CurInt]),(IF($E$4="Ppto",PptoSty[POvsCT]=G$113,TRUE))*(PptoSty[Project]=TEXT($B152,"@"))*(PptoSty[PptoVsRow]=$E152)*(PptoSty[PptoVsColumn]=UPPER(G$114)),0)))</f>
        <v>0</v>
      </c>
      <c r="H152" s="157" cm="1">
        <f t="array" aca="1" ref="H152" ca="1">IF(OR($E152="X",$E152="",$E152=0,$B152="X",$B152="",$B152=0),0,SUM(_xlfn._xlws.FILTER(IF($E$4="Ppto",PptoSty[CurPpto],PptoSty[CurExt]),(IF($E$4="Ppto",PptoSty[POvsCT]=H$113,TRUE))*(PptoSty[Project]=TEXT($B152,"@"))*(PptoSty[PptoVsRow]=$E152)*(PptoSty[PptoVsColumn]=UPPER(G$114)),0)))</f>
        <v>0</v>
      </c>
      <c r="I152" s="157" cm="1">
        <f t="array" aca="1" ref="I152" ca="1">IF(OR($E152="X",$E152="",$E152=0,$B152="X",$B152="",$B152=0),0,SUM(_xlfn._xlws.FILTER(IF($E$4="Ppto",PptoSty[CurPpto],PptoSty[CurInt]),(IF($E$4="Ppto",PptoSty[POvsCT]=I$113,TRUE))*(PptoSty[Project]=TEXT($B152,"@"))*(PptoSty[PptoVsRow]=$E152)*(PptoSty[PptoVsColumn]=UPPER(I$114)),0)))</f>
        <v>0</v>
      </c>
      <c r="J152" s="157" cm="1">
        <f t="array" aca="1" ref="J152" ca="1">IF(OR($E152="X",$E152="",$E152=0,$B152="X",$B152="",$B152=0),0,SUM(_xlfn._xlws.FILTER(IF($E$4="Ppto",PptoSty[CurPpto],PptoSty[CurExt]),(IF($E$4="Ppto",PptoSty[POvsCT]=J$113,TRUE))*(PptoSty[Project]=TEXT($B152,"@"))*(PptoSty[PptoVsRow]=$E152)*(PptoSty[PptoVsColumn]=UPPER(I$114)),0)))</f>
        <v>0</v>
      </c>
      <c r="K152" s="157" cm="1">
        <f t="array" aca="1" ref="K152" ca="1">IF(OR($E152="X",$E152="",$E152=0,$B152="X",$B152="",$B152=0),0,SUM(_xlfn._xlws.FILTER(IF($E$4="Ppto",PptoSty[CurPpto],PptoSty[CurInt]),(IF($E$4="Ppto",PptoSty[POvsCT]=K$113,TRUE))*(PptoSty[Project]=TEXT($B152,"@"))*(PptoSty[PptoVsRow]=$E152)*(PptoSty[PptoVsColumn]=UPPER(K$114)),0)))</f>
        <v>0</v>
      </c>
      <c r="L152" s="157" cm="1">
        <f t="array" aca="1" ref="L152" ca="1">IF(OR($E152="X",$E152="",$E152=0,$B152="X",$B152="",$B152=0),0,SUM(_xlfn._xlws.FILTER(IF($E$4="Ppto",PptoSty[CurPpto],PptoSty[CurExt]),(IF($E$4="Ppto",PptoSty[POvsCT]=L$113,TRUE))*(PptoSty[Project]=TEXT($B152,"@"))*(PptoSty[PptoVsRow]=$E152)*(PptoSty[PptoVsColumn]=UPPER(K$114)),0)))</f>
        <v>0</v>
      </c>
      <c r="M152" s="157" cm="1">
        <f t="array" aca="1" ref="M152" ca="1">IF(OR($E152="X",$E152="",$E152=0,$B152="X",$B152="",$B152=0),0,SUM(_xlfn._xlws.FILTER(IF($E$4="Ppto",PptoSty[CurPpto],PptoSty[CurInt]),(IF($E$4="Ppto",PptoSty[POvsCT]=M$113,TRUE))*(PptoSty[Project]=TEXT($B152,"@"))*(PptoSty[PptoVsRow]=$E152)*(PptoSty[PptoVsColumn]=UPPER(M$114)),0)))</f>
        <v>0</v>
      </c>
      <c r="N152" s="157" cm="1">
        <f t="array" aca="1" ref="N152" ca="1">IF(OR($E152="X",$E152="",$E152=0,$B152="X",$B152="",$B152=0),0,SUM(_xlfn._xlws.FILTER(IF($E$4="Ppto",PptoSty[CurPpto],PptoSty[CurExt]),(IF($E$4="Ppto",PptoSty[POvsCT]=N$113,TRUE))*(PptoSty[Project]=TEXT($B152,"@"))*(PptoSty[PptoVsRow]=$E152)*(PptoSty[PptoVsColumn]=UPPER(M$114)),0)))</f>
        <v>0</v>
      </c>
      <c r="O152" s="157" cm="1">
        <f t="array" aca="1" ref="O152" ca="1">IF(OR($E152="X",$E152="",$E152=0,$B152="X",$B152="",$B152=0),0,SUM(_xlfn._xlws.FILTER(IF($E$4="Ppto",PptoSty[CurPpto],PptoSty[CurInt]),(IF($E$4="Ppto",PptoSty[POvsCT]=O$113,TRUE))*(PptoSty[Project]=TEXT($B152,"@"))*(PptoSty[PptoVsRow]=$E152)*(PptoSty[PptoVsColumn]=UPPER(O$114)),0)))</f>
        <v>0</v>
      </c>
      <c r="P152" s="157" cm="1">
        <f t="array" aca="1" ref="P152" ca="1">IF(OR($E152="X",$E152="",$E152=0,$B152="X",$B152="",$B152=0),0,SUM(_xlfn._xlws.FILTER(IF($E$4="Ppto",PptoSty[CurPpto],PptoSty[CurExt]),(IF($E$4="Ppto",PptoSty[POvsCT]=P$113,TRUE))*(PptoSty[Project]=TEXT($B152,"@"))*(PptoSty[PptoVsRow]=$E152)*(PptoSty[PptoVsColumn]=UPPER(O$114)),0)))</f>
        <v>0</v>
      </c>
      <c r="Q152" s="157" cm="1">
        <f t="array" aca="1" ref="Q152" ca="1">IF(OR($E152="X",$E152="",$E152=0,$B152="X",$B152="",$B152=0),0,SUM(_xlfn._xlws.FILTER(IF($E$4="Ppto",PptoSty[CurPpto],PptoSty[CurInt]),(IF($E$4="Ppto",PptoSty[POvsCT]=Q$113,TRUE))*(PptoSty[Project]=TEXT($B152,"@"))*(PptoSty[PptoVsRow]=$E152)*(PptoSty[PptoVsColumn]=UPPER(Q$114)),0)))</f>
        <v>0</v>
      </c>
      <c r="R152" s="157" cm="1">
        <f t="array" aca="1" ref="R152" ca="1">IF(OR($E152="X",$E152="",$E152=0,$B152="X",$B152="",$B152=0),0,SUM(_xlfn._xlws.FILTER(IF($E$4="Ppto",PptoSty[CurPpto],PptoSty[CurExt]),(IF($E$4="Ppto",PptoSty[POvsCT]=R$113,TRUE))*(PptoSty[Project]=TEXT($B152,"@"))*(PptoSty[PptoVsRow]=$E152)*(PptoSty[PptoVsColumn]=UPPER(Q$114)),0)))</f>
        <v>0</v>
      </c>
      <c r="S152" s="157" cm="1">
        <f t="array" aca="1" ref="S152" ca="1">IF(OR($E152="X",$E152="",$E152=0,$B152="X",$B152="",$B152=0),0,SUM(_xlfn._xlws.FILTER(IF($E$4="Ppto",PptoSty[CurPpto],PptoSty[CurInt]),(IF($E$4="Ppto",PptoSty[POvsCT]=S$113,TRUE))*(PptoSty[Project]=TEXT($B152,"@"))*(PptoSty[PptoVsRow]=$E152)*(PptoSty[PptoVsColumn]=UPPER(S$114)),0)))</f>
        <v>0</v>
      </c>
      <c r="T152" s="157" cm="1">
        <f t="array" aca="1" ref="T152" ca="1">IF(OR($E152="X",$E152="",$E152=0,$B152="X",$B152="",$B152=0),0,SUM(_xlfn._xlws.FILTER(IF($E$4="Ppto",PptoSty[CurPpto],PptoSty[CurExt]),(IF($E$4="Ppto",PptoSty[POvsCT]=T$113,TRUE))*(PptoSty[Project]=TEXT($B152,"@"))*(PptoSty[PptoVsRow]=$E152)*(PptoSty[PptoVsColumn]=UPPER(S$114)),0)))</f>
        <v>0</v>
      </c>
      <c r="U152" s="157" cm="1">
        <f t="array" aca="1" ref="U152" ca="1">IF(OR($E152="X",$E152="",$E152=0,$B152="X",$B152="",$B152=0),0,SUM(_xlfn._xlws.FILTER(IF($E$4="Ppto",PptoSty[CurPpto],PptoSty[CurInt]),(IF($E$4="Ppto",PptoSty[POvsCT]=U$113,TRUE))*(PptoSty[Project]=TEXT($B152,"@"))*(PptoSty[PptoVsRow]=$E152)*(PptoSty[PptoVsColumn]=UPPER(U$114)),0)))</f>
        <v>0</v>
      </c>
      <c r="V152" s="157" cm="1">
        <f t="array" aca="1" ref="V152" ca="1">IF(OR($E152="X",$E152="",$E152=0,$B152="X",$B152="",$B152=0),0,SUM(_xlfn._xlws.FILTER(IF($E$4="Ppto",PptoSty[CurPpto],PptoSty[CurExt]),(IF($E$4="Ppto",PptoSty[POvsCT]=V$113,TRUE))*(PptoSty[Project]=TEXT($B152,"@"))*(PptoSty[PptoVsRow]=$E152)*(PptoSty[PptoVsColumn]=UPPER(U$114)),0)))</f>
        <v>0</v>
      </c>
      <c r="W152" s="157" cm="1">
        <f t="array" aca="1" ref="W152" ca="1">IF(OR($E152="X",$E152="",$E152=0,$B152="X",$B152="",$B152=0),0,SUM(_xlfn._xlws.FILTER(IF($E$4="Ppto",PptoSty[CurPpto],PptoSty[CurInt]),(IF($E$4="Ppto",PptoSty[POvsCT]=W$113,TRUE))*(PptoSty[Project]=TEXT($B152,"@"))*(PptoSty[PptoVsRow]=$E152)*(PptoSty[PptoVsColumn]=UPPER(W$114)),0)))</f>
        <v>49633.96838629499</v>
      </c>
      <c r="X152" s="157" cm="1">
        <f t="array" aca="1" ref="X152" ca="1">IF(OR($E152="X",$E152="",$E152=0,$B152="X",$B152="",$B152=0),0,SUM(_xlfn._xlws.FILTER(IF($E$4="Ppto",PptoSty[CurPpto],PptoSty[CurExt]),(IF($E$4="Ppto",PptoSty[POvsCT]=X$113,TRUE))*(PptoSty[Project]=TEXT($B152,"@"))*(PptoSty[PptoVsRow]=$E152)*(PptoSty[PptoVsColumn]=UPPER(W$114)),0)))</f>
        <v>110127.73335227999</v>
      </c>
      <c r="Y152" s="157" cm="1">
        <f t="array" aca="1" ref="Y152" ca="1">IF(OR($E152="X",$E152="",$E152=0,$B152="X",$B152="",$B152=0),0,SUM(_xlfn._xlws.FILTER(IF($E$4="Ppto",PptoSty[CurPpto],PptoSty[CurInt]),(IF($E$4="Ppto",PptoSty[POvsCT]=Y$113,TRUE))*(PptoSty[Project]=TEXT($B152,"@"))*(PptoSty[PptoVsRow]=$E152)*(PptoSty[PptoVsColumn]=UPPER(Y$114)),0)))</f>
        <v>0</v>
      </c>
      <c r="Z152" s="157" cm="1">
        <f t="array" aca="1" ref="Z152" ca="1">IF(OR($E152="X",$E152="",$E152=0,$B152="X",$B152="",$B152=0),0,SUM(_xlfn._xlws.FILTER(IF($E$4="Ppto",PptoSty[CurPpto],PptoSty[CurExt]),(IF($E$4="Ppto",PptoSty[POvsCT]=Z$113,TRUE))*(PptoSty[Project]=TEXT($B152,"@"))*(PptoSty[PptoVsRow]=$E152)*(PptoSty[PptoVsColumn]=UPPER(Y$114)),0)))</f>
        <v>0</v>
      </c>
      <c r="AA152" s="157" cm="1">
        <f t="array" aca="1" ref="AA152" ca="1">IF(OR($E152="X",$E152="",$E152=0,$B152="X",$B152="",$B152=0),0,SUM(_xlfn._xlws.FILTER(IF($E$4="Ppto",PptoSty[CurPpto],PptoSty[CurInt]),(IF($E$4="Ppto",PptoSty[POvsCT]=AA$113,TRUE))*(PptoSty[Project]=TEXT($B152,"@"))*(PptoSty[PptoVsRow]=$E152)*(PptoSty[PptoVsColumn]=UPPER(AA$114)),0)))</f>
        <v>0</v>
      </c>
      <c r="AB152" s="157" cm="1">
        <f t="array" aca="1" ref="AB152" ca="1">IF(OR($E152="X",$E152="",$E152=0,$B152="X",$B152="",$B152=0),0,SUM(_xlfn._xlws.FILTER(IF($E$4="Ppto",PptoSty[CurPpto],PptoSty[CurExt]),(IF($E$4="Ppto",PptoSty[POvsCT]=AB$113,TRUE))*(PptoSty[Project]=TEXT($B152,"@"))*(PptoSty[PptoVsRow]=$E152)*(PptoSty[PptoVsColumn]=UPPER(AA$114)),0)))</f>
        <v>0</v>
      </c>
      <c r="AC152" s="157" cm="1">
        <f t="array" aca="1" ref="AC152" ca="1">IF(OR($E152="X",$E152="",$E152=0,$B152="X",$B152="",$B152=0),0,SUM(_xlfn._xlws.FILTER(IF($E$4="Ppto",PptoSty[CurPpto],PptoSty[CurInt]),(IF($E$4="Ppto",PptoSty[POvsCT]=AC$113,TRUE))*(PptoSty[Project]=TEXT($B152,"@"))*(PptoSty[PptoVsRow]=$E152)*(PptoSty[PptoVsColumn]=UPPER(AC$114)),0)))</f>
        <v>1.177877790000025</v>
      </c>
      <c r="AD152" s="157" cm="1">
        <f t="array" aca="1" ref="AD152" ca="1">IF(OR($E152="X",$E152="",$E152=0,$B152="X",$B152="",$B152=0),0,SUM(_xlfn._xlws.FILTER(IF($E$4="Ppto",PptoSty[CurPpto],PptoSty[CurExt]),(IF($E$4="Ppto",PptoSty[POvsCT]=AD$113,TRUE))*(PptoSty[Project]=TEXT($B152,"@"))*(PptoSty[PptoVsRow]=$E152)*(PptoSty[PptoVsColumn]=UPPER(AC$114)),0)))</f>
        <v>-691.33934901000009</v>
      </c>
      <c r="AE152" s="157" cm="1">
        <f t="array" aca="1" ref="AE152" ca="1">IF(OR($E152="X",$E152="",$E152=0,$B152="X",$B152="",$B152=0),0,SUM(_xlfn._xlws.FILTER(IF($E$4="Ppto",PptoSty[CurPpto],PptoSty[CurInt]),(IF($E$4="Ppto",PptoSty[POvsCT]=AE$113,TRUE))*(PptoSty[Project]=TEXT($B152,"@"))*(PptoSty[PptoVsRow]=$E152)*(PptoSty[PptoVsColumn]=UPPER(AE$114)),0)))</f>
        <v>15735.151608831004</v>
      </c>
      <c r="AF152" s="157" cm="1">
        <f t="array" aca="1" ref="AF152" ca="1">IF(OR($E152="X",$E152="",$E152=0,$B152="X",$B152="",$B152=0),0,SUM(_xlfn._xlws.FILTER(IF($E$4="Ppto",PptoSty[CurPpto],PptoSty[CurExt]),(IF($E$4="Ppto",PptoSty[POvsCT]=AF$113,TRUE))*(PptoSty[Project]=TEXT($B152,"@"))*(PptoSty[PptoVsRow]=$E152)*(PptoSty[PptoVsColumn]=UPPER(AE$114)),0)))</f>
        <v>100734.80251031101</v>
      </c>
      <c r="AG152" s="157" cm="1">
        <f t="array" aca="1" ref="AG152" ca="1">IF(OR($E152="X",$E152="",$E152=0,$B152="X",$B152="",$B152=0),0,SUM(_xlfn._xlws.FILTER(IF($E$4="Ppto",PptoSty[CurPpto],PptoSty[CurInt]),(IF($E$4="Ppto",PptoSty[POvsCT]=AG$113,TRUE))*(PptoSty[Project]=TEXT($B152,"@"))*(PptoSty[PptoVsRow]=$E152)*(PptoSty[PptoVsColumn]=UPPER(AG$114)),0)))</f>
        <v>0</v>
      </c>
      <c r="AH152" s="157" cm="1">
        <f t="array" aca="1" ref="AH152" ca="1">IF(OR($E152="X",$E152="",$E152=0,$B152="X",$B152="",$B152=0),0,SUM(_xlfn._xlws.FILTER(IF($E$4="Ppto",PptoSty[CurPpto],PptoSty[CurExt]),(IF($E$4="Ppto",PptoSty[POvsCT]=AH$113,TRUE))*(PptoSty[Project]=TEXT($B152,"@"))*(PptoSty[PptoVsRow]=$E152)*(PptoSty[PptoVsColumn]=UPPER(AG$114)),0)))</f>
        <v>0</v>
      </c>
      <c r="AI152" s="157" cm="1">
        <f t="array" aca="1" ref="AI152" ca="1">IF(OR($E152="X",$E152="",$E152=0,$B152="X",$B152="",$B152=0),0,SUM(_xlfn._xlws.FILTER(IF($E$4="Ppto",PptoSty[CurPpto],PptoSty[CurInt]),(IF($E$4="Ppto",PptoSty[POvsCT]=AI$113,TRUE))*(PptoSty[Project]=TEXT($B152,"@"))*(PptoSty[PptoVsRow]=$E152)*(PptoSty[PptoVsColumn]=UPPER(AI$114)),0)))</f>
        <v>0</v>
      </c>
      <c r="AJ152" s="157" cm="1">
        <f t="array" aca="1" ref="AJ152" ca="1">IF(OR($E152="X",$E152="",$E152=0,$B152="X",$B152="",$B152=0),0,SUM(_xlfn._xlws.FILTER(IF($E$4="Ppto",PptoSty[CurPpto],PptoSty[CurExt]),(IF($E$4="Ppto",PptoSty[POvsCT]=AJ$113,TRUE))*(PptoSty[Project]=TEXT($B152,"@"))*(PptoSty[PptoVsRow]=$E152)*(PptoSty[PptoVsColumn]=UPPER(AI$114)),0)))</f>
        <v>0</v>
      </c>
      <c r="AK152" s="157" cm="1">
        <f t="array" aca="1" ref="AK152" ca="1">IF(OR($E152="X",$E152="",$E152=0,$B152="X",$B152="",$B152=0),0,SUM(_xlfn._xlws.FILTER(IF($E$4="Ppto",PptoSty[CurPpto],PptoSty[CurInt]),(IF($E$4="Ppto",PptoSty[POvsCT]=AK$113,TRUE))*(PptoSty[Project]=TEXT($B152,"@"))*(PptoSty[PptoVsRow]=$E152)*(PptoSty[PptoVsColumn]=UPPER(AK$114)),0)))</f>
        <v>0</v>
      </c>
      <c r="AL152" s="157" cm="1">
        <f t="array" aca="1" ref="AL152" ca="1">IF(OR($E152="X",$E152="",$E152=0,$B152="X",$B152="",$B152=0),0,SUM(_xlfn._xlws.FILTER(IF($E$4="Ppto",PptoSty[CurPpto],PptoSty[CurExt]),(IF($E$4="Ppto",PptoSty[POvsCT]=AL$113,TRUE))*(PptoSty[Project]=TEXT($B152,"@"))*(PptoSty[PptoVsRow]=$E152)*(PptoSty[PptoVsColumn]=UPPER(AK$114)),0)))</f>
        <v>244708.51</v>
      </c>
      <c r="AM152" s="157" cm="1">
        <f t="array" aca="1" ref="AM152" ca="1">IF(OR($E152="X",$E152="",$E152=0,$B152="X",$B152="",$B152=0),0,SUM(_xlfn._xlws.FILTER(IF($E$4="Ppto",PptoSty[CurPpto],PptoSty[CurInt]),(IF($E$4="Ppto",PptoSty[POvsCT]=AM$113,TRUE))*(PptoSty[Project]=TEXT($B152,"@"))*(PptoSty[PptoVsRow]=$E152)*(PptoSty[PptoVsColumn]=UPPER(AM$114)),0)))</f>
        <v>0</v>
      </c>
      <c r="AN152" s="157" cm="1">
        <f t="array" aca="1" ref="AN152" ca="1">IF(OR($E152="X",$E152="",$E152=0,$B152="X",$B152="",$B152=0),0,SUM(_xlfn._xlws.FILTER(IF($E$4="Ppto",PptoSty[CurPpto],PptoSty[CurExt]),(IF($E$4="Ppto",PptoSty[POvsCT]=AN$113,TRUE))*(PptoSty[Project]=TEXT($B152,"@"))*(PptoSty[PptoVsRow]=$E152)*(PptoSty[PptoVsColumn]=UPPER(AM$114)),0)))</f>
        <v>54211.939999999995</v>
      </c>
      <c r="AO152" s="157" cm="1">
        <f t="array" aca="1" ref="AO152" ca="1">IF(OR($E152="X",$E152="",$E152=0,$B152="X",$B152="",$B152=0),0,SUM(_xlfn._xlws.FILTER(IF($E$4="Ppto",PptoSty[CurPpto],PptoSty[CurInt]),(IF($E$4="Ppto",PptoSty[POvsCT]=AO$113,TRUE))*(PptoSty[Project]=TEXT($B152,"@"))*(PptoSty[PptoVsRow]=$E152)*(PptoSty[PptoVsColumn]=UPPER(AO$114)),0)))</f>
        <v>0</v>
      </c>
      <c r="AP152" s="157" cm="1">
        <f t="array" aca="1" ref="AP152" ca="1">IF(OR($E152="X",$E152="",$E152=0,$B152="X",$B152="",$B152=0),0,SUM(_xlfn._xlws.FILTER(IF($E$4="Ppto",PptoSty[CurPpto],PptoSty[CurExt]),(IF($E$4="Ppto",PptoSty[POvsCT]=AP$113,TRUE))*(PptoSty[Project]=TEXT($B152,"@"))*(PptoSty[PptoVsRow]=$E152)*(PptoSty[PptoVsColumn]=UPPER(AO$114)),0)))</f>
        <v>0</v>
      </c>
      <c r="AQ152" s="157" cm="1">
        <f t="array" aca="1" ref="AQ152" ca="1">SUM(IF(INDIRECT($AS$115)=AQ$115,INDIRECT($AS152)))</f>
        <v>65370.297872915995</v>
      </c>
      <c r="AR152" s="157" cm="1">
        <f t="array" aca="1" ref="AR152" ca="1">SUM(IF(INDIRECT($AS$115)=AR$115,INDIRECT($AS152)))</f>
        <v>509091.64651358098</v>
      </c>
      <c r="AS152" s="286" t="str">
        <f t="shared" ca="1" si="15"/>
        <v>G152:AP152</v>
      </c>
      <c r="AT152" s="403">
        <f t="shared" ca="1" si="14"/>
        <v>574461.94438649702</v>
      </c>
      <c r="AV152" s="142" cm="1">
        <f t="array" aca="1" ref="AV152" ca="1">IF(AND(_xlfn.LET(_xlpm.x,SUM(ROW()),OR(AND(MATCH("SOT",$A:$A,0)&lt;_xlpm.x,MATCH("EOT",$A:$A,0)&gt;_xlpm.x),AND(MATCH("SOS",$A:$A,0)&lt;_xlpm.x,MATCH("EOS",$A:$A,0)&gt;_xlpm.x),AND(MATCH("SOR",$A:$A,0)&lt;_xlpm.x,MATCH("EOR",$A:$A,0)&gt;_xlpm.x))),INDIRECT("rc"&amp;MATCH("SCD",$1:$1,0),FALSE)="PPTO"),1,0)</f>
        <v>1</v>
      </c>
      <c r="AW152" s="142" cm="1">
        <f t="array" aca="1" ref="AW15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53" spans="2:49" outlineLevel="1">
      <c r="B153" s="156" t="str" cm="1">
        <f t="array" aca="1" ref="B153:E153" ca="1">_xlfn.LET(_xlpm.x,SUM(ROW()-MATCH("SOR",$A:$A,0)),_xlpm.y,IFERROR(_xlfn.TAKE(INDEX(_xlfn._xlws.FILTER(TbAssign[],ISNUMBER(FIND(TbAssign[Project],$C$4)),"X"),1+QUOTIENT(_xlpm.x,3),0),1,4),0),IF(MOD(_xlpm.x-1,3)=0,IF(_xlpm.y=0,"X",_xlpm.y),INDIRECT("r[-1]c#",FALSE)))</f>
        <v>31200</v>
      </c>
      <c r="C153" s="156" t="str">
        <f ca="1"/>
        <v>XD02</v>
      </c>
      <c r="D153" s="148" t="str">
        <f ca="1"/>
        <v>IMCS</v>
      </c>
      <c r="E153" s="352" t="str">
        <f ca="1"/>
        <v>MONTAJE EN SERRA</v>
      </c>
      <c r="F153" s="148" t="s">
        <v>1382</v>
      </c>
      <c r="G153" s="157" cm="1">
        <f t="array" aca="1" ref="G153" ca="1">IF(OR($E153="X",$E153="",$E153=0,$B153="X",$B153="",$B153=0),0,SUM(_xlfn._xlws.FILTER(PrvSty[DsvValue:SERRA],(PrvSty[Project]=TEXT($B153,"@"))*(PrvSty[Row]=$E153)*(PrvSty[Column]=UPPER(G$114)),0)))</f>
        <v>0</v>
      </c>
      <c r="H153" s="157" cm="1">
        <f t="array" aca="1" ref="H153" ca="1">IF(OR($E153="X",$E153="",$E153=0,$B153="X",$B153="",$B153=0),0,SUM(_xlfn._xlws.FILTER(PrvSty[DsvValue:EXT.],(PrvSty[Project]=TEXT($B153,"@"))*(PrvSty[Row]=$E153)*(PrvSty[Column]=UPPER(G$114)),0)))</f>
        <v>0</v>
      </c>
      <c r="I153" s="157" cm="1">
        <f t="array" aca="1" ref="I153" ca="1">IF(OR($E153="X",$E153="",$E153=0,$B153="X",$B153="",$B153=0),0,SUM(_xlfn._xlws.FILTER(PrvSty[DsvValue:SERRA],(PrvSty[Project]=TEXT($B153,"@"))*(PrvSty[Row]=$E153)*(PrvSty[Column]=UPPER(I$114)),0)))</f>
        <v>0</v>
      </c>
      <c r="J153" s="157" cm="1">
        <f t="array" aca="1" ref="J153" ca="1">IF(OR($E153="X",$E153="",$E153=0,$B153="X",$B153="",$B153=0),0,SUM(_xlfn._xlws.FILTER(PrvSty[DsvValue:EXT.],(PrvSty[Project]=TEXT($B153,"@"))*(PrvSty[Row]=$E153)*(PrvSty[Column]=UPPER(I$114)),0)))</f>
        <v>0</v>
      </c>
      <c r="K153" s="157" cm="1">
        <f t="array" aca="1" ref="K153" ca="1">IF(OR($E153="X",$E153="",$E153=0,$B153="X",$B153="",$B153=0),0,SUM(_xlfn._xlws.FILTER(PrvSty[DsvValue:SERRA],(PrvSty[Project]=TEXT($B153,"@"))*(PrvSty[Row]=$E153)*(PrvSty[Column]=UPPER(K$114)),0)))</f>
        <v>0</v>
      </c>
      <c r="L153" s="157" cm="1">
        <f t="array" aca="1" ref="L153" ca="1">IF(OR($E153="X",$E153="",$E153=0,$B153="X",$B153="",$B153=0),0,SUM(_xlfn._xlws.FILTER(PrvSty[DsvValue:EXT.],(PrvSty[Project]=TEXT($B153,"@"))*(PrvSty[Row]=$E153)*(PrvSty[Column]=UPPER(K$114)),0)))</f>
        <v>0</v>
      </c>
      <c r="M153" s="157" cm="1">
        <f t="array" aca="1" ref="M153" ca="1">IF(OR($E153="X",$E153="",$E153=0,$B153="X",$B153="",$B153=0),0,SUM(_xlfn._xlws.FILTER(PrvSty[DsvValue:SERRA],(PrvSty[Project]=TEXT($B153,"@"))*(PrvSty[Row]=$E153)*(PrvSty[Column]=UPPER(M$114)),0)))</f>
        <v>0</v>
      </c>
      <c r="N153" s="157" cm="1">
        <f t="array" aca="1" ref="N153" ca="1">IF(OR($E153="X",$E153="",$E153=0,$B153="X",$B153="",$B153=0),0,SUM(_xlfn._xlws.FILTER(PrvSty[DsvValue:EXT.],(PrvSty[Project]=TEXT($B153,"@"))*(PrvSty[Row]=$E153)*(PrvSty[Column]=UPPER(M$114)),0)))</f>
        <v>0</v>
      </c>
      <c r="O153" s="157" cm="1">
        <f t="array" aca="1" ref="O153" ca="1">IF(OR($E153="X",$E153="",$E153=0,$B153="X",$B153="",$B153=0),0,SUM(_xlfn._xlws.FILTER(PrvSty[DsvValue:SERRA],(PrvSty[Project]=TEXT($B153,"@"))*(PrvSty[Row]=$E153)*(PrvSty[Column]=UPPER(O$114)),0)))</f>
        <v>0</v>
      </c>
      <c r="P153" s="157" cm="1">
        <f t="array" aca="1" ref="P153" ca="1">IF(OR($E153="X",$E153="",$E153=0,$B153="X",$B153="",$B153=0),0,SUM(_xlfn._xlws.FILTER(PrvSty[DsvValue:EXT.],(PrvSty[Project]=TEXT($B153,"@"))*(PrvSty[Row]=$E153)*(PrvSty[Column]=UPPER(O$114)),0)))</f>
        <v>0</v>
      </c>
      <c r="Q153" s="157" cm="1">
        <f t="array" aca="1" ref="Q153" ca="1">IF(OR($E153="X",$E153="",$E153=0,$B153="X",$B153="",$B153=0),0,SUM(_xlfn._xlws.FILTER(PrvSty[DsvValue:SERRA],(PrvSty[Project]=TEXT($B153,"@"))*(PrvSty[Row]=$E153)*(PrvSty[Column]=UPPER(Q$114)),0)))</f>
        <v>0</v>
      </c>
      <c r="R153" s="157" cm="1">
        <f t="array" aca="1" ref="R153" ca="1">IF(OR($E153="X",$E153="",$E153=0,$B153="X",$B153="",$B153=0),0,SUM(_xlfn._xlws.FILTER(PrvSty[DsvValue:EXT.],(PrvSty[Project]=TEXT($B153,"@"))*(PrvSty[Row]=$E153)*(PrvSty[Column]=UPPER(Q$114)),0)))</f>
        <v>0</v>
      </c>
      <c r="S153" s="157" cm="1">
        <f t="array" aca="1" ref="S153" ca="1">IF(OR($E153="X",$E153="",$E153=0,$B153="X",$B153="",$B153=0),0,SUM(_xlfn._xlws.FILTER(PrvSty[DsvValue:SERRA],(PrvSty[Project]=TEXT($B153,"@"))*(PrvSty[Row]=$E153)*(PrvSty[Column]=UPPER(S$114)),0)))</f>
        <v>0</v>
      </c>
      <c r="T153" s="157" cm="1">
        <f t="array" aca="1" ref="T153" ca="1">IF(OR($E153="X",$E153="",$E153=0,$B153="X",$B153="",$B153=0),0,SUM(_xlfn._xlws.FILTER(PrvSty[DsvValue:EXT.],(PrvSty[Project]=TEXT($B153,"@"))*(PrvSty[Row]=$E153)*(PrvSty[Column]=UPPER(S$114)),0)))</f>
        <v>0</v>
      </c>
      <c r="U153" s="157" cm="1">
        <f t="array" aca="1" ref="U153" ca="1">IF(OR($E153="X",$E153="",$E153=0,$B153="X",$B153="",$B153=0),0,SUM(_xlfn._xlws.FILTER(PrvSty[DsvValue:SERRA],(PrvSty[Project]=TEXT($B153,"@"))*(PrvSty[Row]=$E153)*(PrvSty[Column]=UPPER(U$114)),0)))</f>
        <v>0</v>
      </c>
      <c r="V153" s="157" cm="1">
        <f t="array" aca="1" ref="V153" ca="1">IF(OR($E153="X",$E153="",$E153=0,$B153="X",$B153="",$B153=0),0,SUM(_xlfn._xlws.FILTER(PrvSty[DsvValue:EXT.],(PrvSty[Project]=TEXT($B153,"@"))*(PrvSty[Row]=$E153)*(PrvSty[Column]=UPPER(U$114)),0)))</f>
        <v>208.9</v>
      </c>
      <c r="W153" s="157" cm="1">
        <f t="array" aca="1" ref="W153" ca="1">IF(OR($E153="X",$E153="",$E153=0,$B153="X",$B153="",$B153=0),0,SUM(_xlfn._xlws.FILTER(PrvSty[DsvValue:SERRA],(PrvSty[Project]=TEXT($B153,"@"))*(PrvSty[Row]=$E153)*(PrvSty[Column]=UPPER(W$114)),0)))</f>
        <v>4796.9336393131252</v>
      </c>
      <c r="X153" s="157" cm="1">
        <f t="array" aca="1" ref="X153" ca="1">IF(OR($E153="X",$E153="",$E153=0,$B153="X",$B153="",$B153=0),0,SUM(_xlfn._xlws.FILTER(PrvSty[DsvValue:EXT.],(PrvSty[Project]=TEXT($B153,"@"))*(PrvSty[Row]=$E153)*(PrvSty[Column]=UPPER(W$114)),0)))</f>
        <v>10000</v>
      </c>
      <c r="Y153" s="157" cm="1">
        <f t="array" aca="1" ref="Y153" ca="1">IF(OR($E153="X",$E153="",$E153=0,$B153="X",$B153="",$B153=0),0,SUM(_xlfn._xlws.FILTER(PrvSty[DsvValue:SERRA],(PrvSty[Project]=TEXT($B153,"@"))*(PrvSty[Row]=$E153)*(PrvSty[Column]=UPPER(Y$114)),0)))</f>
        <v>0</v>
      </c>
      <c r="Z153" s="157" cm="1">
        <f t="array" aca="1" ref="Z153" ca="1">IF(OR($E153="X",$E153="",$E153=0,$B153="X",$B153="",$B153=0),0,SUM(_xlfn._xlws.FILTER(PrvSty[DsvValue:EXT.],(PrvSty[Project]=TEXT($B153,"@"))*(PrvSty[Row]=$E153)*(PrvSty[Column]=UPPER(Y$114)),0)))</f>
        <v>0</v>
      </c>
      <c r="AA153" s="157" cm="1">
        <f t="array" aca="1" ref="AA153" ca="1">IF(OR($E153="X",$E153="",$E153=0,$B153="X",$B153="",$B153=0),0,SUM(_xlfn._xlws.FILTER(PrvSty[DsvValue:SERRA],(PrvSty[Project]=TEXT($B153,"@"))*(PrvSty[Row]=$E153)*(PrvSty[Column]=UPPER(AA$114)),0)))</f>
        <v>0</v>
      </c>
      <c r="AB153" s="157" cm="1">
        <f t="array" aca="1" ref="AB153" ca="1">IF(OR($E153="X",$E153="",$E153=0,$B153="X",$B153="",$B153=0),0,SUM(_xlfn._xlws.FILTER(PrvSty[DsvValue:EXT.],(PrvSty[Project]=TEXT($B153,"@"))*(PrvSty[Row]=$E153)*(PrvSty[Column]=UPPER(AA$114)),0)))</f>
        <v>0</v>
      </c>
      <c r="AC153" s="157" cm="1">
        <f t="array" aca="1" ref="AC153" ca="1">IF(OR($E153="X",$E153="",$E153=0,$B153="X",$B153="",$B153=0),0,SUM(_xlfn._xlws.FILTER(PrvSty[DsvValue:SERRA],(PrvSty[Project]=TEXT($B153,"@"))*(PrvSty[Row]=$E153)*(PrvSty[Column]=UPPER(AC$114)),0)))</f>
        <v>690.16147121999973</v>
      </c>
      <c r="AD153" s="157" cm="1">
        <f t="array" aca="1" ref="AD153" ca="1">IF(OR($E153="X",$E153="",$E153=0,$B153="X",$B153="",$B153=0),0,SUM(_xlfn._xlws.FILTER(PrvSty[DsvValue:EXT.],(PrvSty[Project]=TEXT($B153,"@"))*(PrvSty[Row]=$E153)*(PrvSty[Column]=UPPER(AC$114)),0)))</f>
        <v>0</v>
      </c>
      <c r="AE153" s="157" cm="1">
        <f t="array" aca="1" ref="AE153" ca="1">IF(OR($E153="X",$E153="",$E153=0,$B153="X",$B153="",$B153=0),0,SUM(_xlfn._xlws.FILTER(PrvSty[DsvValue:SERRA],(PrvSty[Project]=TEXT($B153,"@"))*(PrvSty[Row]=$E153)*(PrvSty[Column]=UPPER(AE$114)),0)))</f>
        <v>10000</v>
      </c>
      <c r="AF153" s="157" cm="1">
        <f t="array" aca="1" ref="AF153" ca="1">IF(OR($E153="X",$E153="",$E153=0,$B153="X",$B153="",$B153=0),0,SUM(_xlfn._xlws.FILTER(PrvSty[DsvValue:EXT.],(PrvSty[Project]=TEXT($B153,"@"))*(PrvSty[Row]=$E153)*(PrvSty[Column]=UPPER(AE$114)),0)))</f>
        <v>0</v>
      </c>
      <c r="AG153" s="157" cm="1">
        <f t="array" aca="1" ref="AG153" ca="1">IF(OR($E153="X",$E153="",$E153=0,$B153="X",$B153="",$B153=0),0,SUM(_xlfn._xlws.FILTER(PrvSty[DsvValue:SERRA],(PrvSty[Project]=TEXT($B153,"@"))*(PrvSty[Row]=$E153)*(PrvSty[Column]=UPPER(AG$114)),0)))</f>
        <v>0</v>
      </c>
      <c r="AH153" s="157" cm="1">
        <f t="array" aca="1" ref="AH153" ca="1">IF(OR($E153="X",$E153="",$E153=0,$B153="X",$B153="",$B153=0),0,SUM(_xlfn._xlws.FILTER(PrvSty[DsvValue:EXT.],(PrvSty[Project]=TEXT($B153,"@"))*(PrvSty[Row]=$E153)*(PrvSty[Column]=UPPER(AG$114)),0)))</f>
        <v>0</v>
      </c>
      <c r="AI153" s="157" cm="1">
        <f t="array" aca="1" ref="AI153" ca="1">IF(OR($E153="X",$E153="",$E153=0,$B153="X",$B153="",$B153=0),0,SUM(_xlfn._xlws.FILTER(PrvSty[DsvValue:SERRA],(PrvSty[Project]=TEXT($B153,"@"))*(PrvSty[Row]=$E153)*(PrvSty[Column]=UPPER(AI$114)),0)))</f>
        <v>0</v>
      </c>
      <c r="AJ153" s="157" cm="1">
        <f t="array" aca="1" ref="AJ153" ca="1">IF(OR($E153="X",$E153="",$E153=0,$B153="X",$B153="",$B153=0),0,SUM(_xlfn._xlws.FILTER(PrvSty[DsvValue:EXT.],(PrvSty[Project]=TEXT($B153,"@"))*(PrvSty[Row]=$E153)*(PrvSty[Column]=UPPER(AI$114)),0)))</f>
        <v>122311.72</v>
      </c>
      <c r="AK153" s="157" cm="1">
        <f t="array" aca="1" ref="AK153" ca="1">IF(OR($E153="X",$E153="",$E153=0,$B153="X",$B153="",$B153=0),0,SUM(_xlfn._xlws.FILTER(PrvSty[DsvValue:SERRA],(PrvSty[Project]=TEXT($B153,"@"))*(PrvSty[Row]=$E153)*(PrvSty[Column]=UPPER(AK$114)),0)))</f>
        <v>0</v>
      </c>
      <c r="AL153" s="157" cm="1">
        <f t="array" aca="1" ref="AL153" ca="1">IF(OR($E153="X",$E153="",$E153=0,$B153="X",$B153="",$B153=0),0,SUM(_xlfn._xlws.FILTER(PrvSty[DsvValue:EXT.],(PrvSty[Project]=TEXT($B153,"@"))*(PrvSty[Row]=$E153)*(PrvSty[Column]=UPPER(AK$114)),0)))</f>
        <v>-135150</v>
      </c>
      <c r="AM153" s="157" cm="1">
        <f t="array" aca="1" ref="AM153" ca="1">IF(OR($E153="X",$E153="",$E153=0,$B153="X",$B153="",$B153=0),0,SUM(_xlfn._xlws.FILTER(PrvSty[DsvValue:SERRA],(PrvSty[Project]=TEXT($B153,"@"))*(PrvSty[Row]=$E153)*(PrvSty[Column]=UPPER(AM$114)),0)))</f>
        <v>0</v>
      </c>
      <c r="AN153" s="157" cm="1">
        <f t="array" aca="1" ref="AN153" ca="1">IF(OR($E153="X",$E153="",$E153=0,$B153="X",$B153="",$B153=0),0,SUM(_xlfn._xlws.FILTER(PrvSty[DsvValue:EXT.],(PrvSty[Project]=TEXT($B153,"@"))*(PrvSty[Row]=$E153)*(PrvSty[Column]=UPPER(AM$114)),0)))</f>
        <v>-201.29</v>
      </c>
      <c r="AO153" s="157" cm="1">
        <f t="array" aca="1" ref="AO153" ca="1">IF(OR($E153="X",$E153="",$E153=0,$B153="X",$B153="",$B153=0),0,SUM(_xlfn._xlws.FILTER(PrvSty[DsvValue:SERRA],(PrvSty[Project]=TEXT($B153,"@"))*(PrvSty[Row]=$E153)*(PrvSty[Column]=UPPER(AO$114)),0)))</f>
        <v>0</v>
      </c>
      <c r="AP153" s="157" cm="1">
        <f t="array" aca="1" ref="AP153" ca="1">IF(OR($E153="X",$E153="",$E153=0,$B153="X",$B153="",$B153=0),0,SUM(_xlfn._xlws.FILTER(PrvSty[DsvValue:EXT.],(PrvSty[Project]=TEXT($B153,"@"))*(PrvSty[Row]=$E153)*(PrvSty[Column]=UPPER(AO$114)),0)))</f>
        <v>0</v>
      </c>
      <c r="AQ153" s="157" cm="1">
        <f t="array" aca="1" ref="AQ153" ca="1">SUM(IF(INDIRECT($AS$115)=AQ$115,INDIRECT($AS153)))</f>
        <v>15487.095110533126</v>
      </c>
      <c r="AR153" s="157" cm="1">
        <f t="array" aca="1" ref="AR153" ca="1">SUM(IF(INDIRECT($AS$115)=AR$115,INDIRECT($AS153)))</f>
        <v>-2830.6700000000046</v>
      </c>
      <c r="AS153" s="286" t="str">
        <f t="shared" ca="1" si="15"/>
        <v>G153:AP153</v>
      </c>
      <c r="AT153" s="403">
        <f t="shared" ca="1" si="14"/>
        <v>12656.42511053312</v>
      </c>
      <c r="AV153" s="142" cm="1">
        <f t="array" aca="1" ref="AV153" ca="1">IF(AND(_xlfn.LET(_xlpm.x,SUM(ROW()),OR(AND(MATCH("SOT",$A:$A,0)&lt;_xlpm.x,MATCH("EOT",$A:$A,0)&gt;_xlpm.x),AND(MATCH("SOS",$A:$A,0)&lt;_xlpm.x,MATCH("EOS",$A:$A,0)&gt;_xlpm.x),AND(MATCH("SOR",$A:$A,0)&lt;_xlpm.x,MATCH("EOR",$A:$A,0)&gt;_xlpm.x))),INDIRECT("rc"&amp;MATCH("SCD",$1:$1,0),FALSE)="PPTO"),1,0)</f>
        <v>0</v>
      </c>
      <c r="AW153" s="142" cm="1">
        <f t="array" aca="1" ref="AW15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54" spans="2:49" outlineLevel="1">
      <c r="B154" s="156" t="str" cm="1">
        <f t="array" aca="1" ref="B154:E154" ca="1">_xlfn.LET(_xlpm.x,SUM(ROW()-MATCH("SOR",$A:$A,0)),_xlpm.y,IFERROR(_xlfn.TAKE(INDEX(_xlfn._xlws.FILTER(TbAssign[],ISNUMBER(FIND(TbAssign[Project],$C$4)),"X"),1+QUOTIENT(_xlpm.x,3),0),1,4),0),IF(MOD(_xlpm.x-1,3)=0,IF(_xlpm.y=0,"X",_xlpm.y),INDIRECT("r[-1]c#",FALSE)))</f>
        <v>31200</v>
      </c>
      <c r="C154" s="156" t="str">
        <f ca="1"/>
        <v>XD02</v>
      </c>
      <c r="D154" s="148" t="str">
        <f ca="1"/>
        <v>IMCS</v>
      </c>
      <c r="E154" s="352" t="str">
        <f ca="1"/>
        <v>MONTAJE EN SERRA</v>
      </c>
      <c r="F154" s="148" t="s">
        <v>1383</v>
      </c>
      <c r="G154" s="158" cm="1">
        <f t="array" aca="1" ref="G154" ca="1">IF(OR($E154="X",$E154="",$E154=0,$B154="X",$B154="",$B154=0),0,SUM(_xlfn._xlws.FILTER(FrmBB1[Cur],(FrmBB1[PrjId]=TEXT($B154,"@"))*(FrmBB1[Row]=$E154)*(FrmBB1[Column]=UPPER(_xlfn.LET(_xlpm.x,_xlfn.TEXTBEFORE(G$114," ("),IFERROR(_xlpm.x,G$114)))&amp;" "&amp;G$115),0)))</f>
        <v>0</v>
      </c>
      <c r="H154" s="157" cm="1">
        <f t="array" aca="1" ref="H154" ca="1">IF(OR($E154="X",$E154="",$E154=0,$B154="X",$B154="",$B154=0),0,SUM(_xlfn._xlws.FILTER(FrmBB1[Cur],(FrmBB1[PrjId]=TEXT($B154,"@"))*(FrmBB1[Row]=$E154)*(FrmBB1[Column]=UPPER(_xlfn.LET(_xlpm.x,_xlfn.TEXTBEFORE(G$114," ("),IFERROR(_xlpm.x,G$114)))&amp;" "&amp;H$115),0)))</f>
        <v>0</v>
      </c>
      <c r="I154" s="158" cm="1">
        <f t="array" aca="1" ref="I154" ca="1">IF(OR($E154="X",$E154="",$E154=0,$B154="X",$B154="",$B154=0),0,SUM(_xlfn._xlws.FILTER(FrmBB1[Cur],(FrmBB1[PrjId]=TEXT($B154,"@"))*(FrmBB1[Row]=$E154)*(FrmBB1[Column]=UPPER(_xlfn.LET(_xlpm.x,_xlfn.TEXTBEFORE(I$114," ("),IFERROR(_xlpm.x,I$114)))&amp;" "&amp;I$115),0)))</f>
        <v>0</v>
      </c>
      <c r="J154" s="157" cm="1">
        <f t="array" aca="1" ref="J154" ca="1">IF(OR($E154="X",$E154="",$E154=0,$B154="X",$B154="",$B154=0),0,SUM(_xlfn._xlws.FILTER(FrmBB1[Cur],(FrmBB1[PrjId]=TEXT($B154,"@"))*(FrmBB1[Row]=$E154)*(FrmBB1[Column]=UPPER(_xlfn.LET(_xlpm.x,_xlfn.TEXTBEFORE(I$114," ("),IFERROR(_xlpm.x,I$114)))&amp;" "&amp;J$115),0)))</f>
        <v>0</v>
      </c>
      <c r="K154" s="158" cm="1">
        <f t="array" aca="1" ref="K154" ca="1">IF(OR($E154="X",$E154="",$E154=0,$B154="X",$B154="",$B154=0),0,SUM(_xlfn._xlws.FILTER(FrmBB1[Cur],(FrmBB1[PrjId]=TEXT($B154,"@"))*(FrmBB1[Row]=$E154)*(FrmBB1[Column]=UPPER(_xlfn.LET(_xlpm.x,_xlfn.TEXTBEFORE(K$114," ("),IFERROR(_xlpm.x,K$114)))&amp;" "&amp;K$115),0)))</f>
        <v>0</v>
      </c>
      <c r="L154" s="157" cm="1">
        <f t="array" aca="1" ref="L154" ca="1">IF(OR($E154="X",$E154="",$E154=0,$B154="X",$B154="",$B154=0),0,SUM(_xlfn._xlws.FILTER(FrmBB1[Cur],(FrmBB1[PrjId]=TEXT($B154,"@"))*(FrmBB1[Row]=$E154)*(FrmBB1[Column]=UPPER(_xlfn.LET(_xlpm.x,_xlfn.TEXTBEFORE(K$114," ("),IFERROR(_xlpm.x,K$114)))&amp;" "&amp;L$115),0)))</f>
        <v>0</v>
      </c>
      <c r="M154" s="158" cm="1">
        <f t="array" aca="1" ref="M154" ca="1">IF(OR($E154="X",$E154="",$E154=0,$B154="X",$B154="",$B154=0),0,SUM(_xlfn._xlws.FILTER(FrmBB1[Cur],(FrmBB1[PrjId]=TEXT($B154,"@"))*(FrmBB1[Row]=$E154)*(FrmBB1[Column]=UPPER(_xlfn.LET(_xlpm.x,_xlfn.TEXTBEFORE(M$114," ("),IFERROR(_xlpm.x,M$114)))&amp;" "&amp;M$115),0)))</f>
        <v>0</v>
      </c>
      <c r="N154" s="157" cm="1">
        <f t="array" aca="1" ref="N154" ca="1">IF(OR($E154="X",$E154="",$E154=0,$B154="X",$B154="",$B154=0),0,SUM(_xlfn._xlws.FILTER(FrmBB1[Cur],(FrmBB1[PrjId]=TEXT($B154,"@"))*(FrmBB1[Row]=$E154)*(FrmBB1[Column]=UPPER(_xlfn.LET(_xlpm.x,_xlfn.TEXTBEFORE(M$114," ("),IFERROR(_xlpm.x,M$114)))&amp;" "&amp;N$115),0)))</f>
        <v>0</v>
      </c>
      <c r="O154" s="158" cm="1">
        <f t="array" aca="1" ref="O154" ca="1">IF(OR($E154="X",$E154="",$E154=0,$B154="X",$B154="",$B154=0),0,SUM(_xlfn._xlws.FILTER(FrmBB1[Cur],(FrmBB1[PrjId]=TEXT($B154,"@"))*(FrmBB1[Row]=$E154)*(FrmBB1[Column]=UPPER(_xlfn.LET(_xlpm.x,_xlfn.TEXTBEFORE(O$114," ("),IFERROR(_xlpm.x,O$114)))&amp;" "&amp;O$115),0)))</f>
        <v>0</v>
      </c>
      <c r="P154" s="157" cm="1">
        <f t="array" aca="1" ref="P154" ca="1">IF(OR($E154="X",$E154="",$E154=0,$B154="X",$B154="",$B154=0),0,SUM(_xlfn._xlws.FILTER(FrmBB1[Cur],(FrmBB1[PrjId]=TEXT($B154,"@"))*(FrmBB1[Row]=$E154)*(FrmBB1[Column]=UPPER(_xlfn.LET(_xlpm.x,_xlfn.TEXTBEFORE(O$114," ("),IFERROR(_xlpm.x,O$114)))&amp;" "&amp;P$115),0)))</f>
        <v>0</v>
      </c>
      <c r="Q154" s="158" cm="1">
        <f t="array" aca="1" ref="Q154" ca="1">IF(OR($E154="X",$E154="",$E154=0,$B154="X",$B154="",$B154=0),0,SUM(_xlfn._xlws.FILTER(FrmBB1[Cur],(FrmBB1[PrjId]=TEXT($B154,"@"))*(FrmBB1[Row]=$E154)*(FrmBB1[Column]=UPPER(_xlfn.LET(_xlpm.x,_xlfn.TEXTBEFORE(Q$114," ("),IFERROR(_xlpm.x,Q$114)))&amp;" "&amp;Q$115),0)))</f>
        <v>0</v>
      </c>
      <c r="R154" s="157" cm="1">
        <f t="array" aca="1" ref="R154" ca="1">IF(OR($E154="X",$E154="",$E154=0,$B154="X",$B154="",$B154=0),0,SUM(_xlfn._xlws.FILTER(FrmBB1[Cur],(FrmBB1[PrjId]=TEXT($B154,"@"))*(FrmBB1[Row]=$E154)*(FrmBB1[Column]=UPPER(_xlfn.LET(_xlpm.x,_xlfn.TEXTBEFORE(Q$114," ("),IFERROR(_xlpm.x,Q$114)))&amp;" "&amp;R$115),0)))</f>
        <v>0</v>
      </c>
      <c r="S154" s="158" cm="1">
        <f t="array" aca="1" ref="S154" ca="1">IF(OR($E154="X",$E154="",$E154=0,$B154="X",$B154="",$B154=0),0,SUM(_xlfn._xlws.FILTER(FrmBB1[Cur],(FrmBB1[PrjId]=TEXT($B154,"@"))*(FrmBB1[Row]=$E154)*(FrmBB1[Column]=UPPER(_xlfn.LET(_xlpm.x,_xlfn.TEXTBEFORE(S$114," ("),IFERROR(_xlpm.x,S$114)))&amp;" "&amp;S$115),0)))</f>
        <v>0</v>
      </c>
      <c r="T154" s="157" cm="1">
        <f t="array" aca="1" ref="T154" ca="1">IF(OR($E154="X",$E154="",$E154=0,$B154="X",$B154="",$B154=0),0,SUM(_xlfn._xlws.FILTER(FrmBB1[Cur],(FrmBB1[PrjId]=TEXT($B154,"@"))*(FrmBB1[Row]=$E154)*(FrmBB1[Column]=UPPER(_xlfn.LET(_xlpm.x,_xlfn.TEXTBEFORE(S$114," ("),IFERROR(_xlpm.x,S$114)))&amp;" "&amp;T$115),0)))</f>
        <v>0</v>
      </c>
      <c r="U154" s="158" cm="1">
        <f t="array" aca="1" ref="U154" ca="1">IF(OR($E154="X",$E154="",$E154=0,$B154="X",$B154="",$B154=0),0,SUM(_xlfn._xlws.FILTER(FrmBB1[Cur],(FrmBB1[PrjId]=TEXT($B154,"@"))*(FrmBB1[Row]=$E154)*(FrmBB1[Column]=UPPER(_xlfn.LET(_xlpm.x,_xlfn.TEXTBEFORE(U$114," ("),IFERROR(_xlpm.x,U$114)))&amp;" "&amp;U$115),0)))</f>
        <v>0</v>
      </c>
      <c r="V154" s="157" cm="1">
        <f t="array" aca="1" ref="V154" ca="1">IF(OR($E154="X",$E154="",$E154=0,$B154="X",$B154="",$B154=0),0,SUM(_xlfn._xlws.FILTER(FrmBB1[Cur],(FrmBB1[PrjId]=TEXT($B154,"@"))*(FrmBB1[Row]=$E154)*(FrmBB1[Column]=UPPER(_xlfn.LET(_xlpm.x,_xlfn.TEXTBEFORE(U$114," ("),IFERROR(_xlpm.x,U$114)))&amp;" "&amp;V$115),0)))</f>
        <v>302.83000000000004</v>
      </c>
      <c r="W154" s="158" cm="1">
        <f t="array" aca="1" ref="W154" ca="1">IF(OR($E154="X",$E154="",$E154=0,$B154="X",$B154="",$B154=0),0,SUM(_xlfn._xlws.FILTER(FrmBB1[Cur],(FrmBB1[PrjId]=TEXT($B154,"@"))*(FrmBB1[Row]=$E154)*(FrmBB1[Column]=UPPER(_xlfn.LET(_xlpm.x,_xlfn.TEXTBEFORE(W$114," ("),IFERROR(_xlpm.x,W$114)))&amp;" "&amp;W$115),0)))</f>
        <v>35888.959999999999</v>
      </c>
      <c r="X154" s="157" cm="1">
        <f t="array" aca="1" ref="X154" ca="1">IF(OR($E154="X",$E154="",$E154=0,$B154="X",$B154="",$B154=0),0,SUM(_xlfn._xlws.FILTER(FrmBB1[Cur],(FrmBB1[PrjId]=TEXT($B154,"@"))*(FrmBB1[Row]=$E154)*(FrmBB1[Column]=UPPER(_xlfn.LET(_xlpm.x,_xlfn.TEXTBEFORE(W$114," ("),IFERROR(_xlpm.x,W$114)))&amp;" "&amp;X$115),0)))</f>
        <v>55138</v>
      </c>
      <c r="Y154" s="158" cm="1">
        <f t="array" aca="1" ref="Y154" ca="1">IF(OR($E154="X",$E154="",$E154=0,$B154="X",$B154="",$B154=0),0,SUM(_xlfn._xlws.FILTER(FrmBB1[Cur],(FrmBB1[PrjId]=TEXT($B154,"@"))*(FrmBB1[Row]=$E154)*(FrmBB1[Column]=UPPER(_xlfn.LET(_xlpm.x,_xlfn.TEXTBEFORE(Y$114," ("),IFERROR(_xlpm.x,Y$114)))&amp;" "&amp;Y$115),0)))</f>
        <v>0</v>
      </c>
      <c r="Z154" s="157" cm="1">
        <f t="array" aca="1" ref="Z154" ca="1">IF(OR($E154="X",$E154="",$E154=0,$B154="X",$B154="",$B154=0),0,SUM(_xlfn._xlws.FILTER(FrmBB1[Cur],(FrmBB1[PrjId]=TEXT($B154,"@"))*(FrmBB1[Row]=$E154)*(FrmBB1[Column]=UPPER(_xlfn.LET(_xlpm.x,_xlfn.TEXTBEFORE(Y$114," ("),IFERROR(_xlpm.x,Y$114)))&amp;" "&amp;Z$115),0)))</f>
        <v>0</v>
      </c>
      <c r="AA154" s="158" cm="1">
        <f t="array" aca="1" ref="AA154" ca="1">IF(OR($E154="X",$E154="",$E154=0,$B154="X",$B154="",$B154=0),0,SUM(_xlfn._xlws.FILTER(FrmBB1[Cur],(FrmBB1[PrjId]=TEXT($B154,"@"))*(FrmBB1[Row]=$E154)*(FrmBB1[Column]=UPPER(_xlfn.LET(_xlpm.x,_xlfn.TEXTBEFORE(AA$114," ("),IFERROR(_xlpm.x,AA$114)))&amp;" "&amp;AA$115),0)))</f>
        <v>0</v>
      </c>
      <c r="AB154" s="157" cm="1">
        <f t="array" aca="1" ref="AB154" ca="1">IF(OR($E154="X",$E154="",$E154=0,$B154="X",$B154="",$B154=0),0,SUM(_xlfn._xlws.FILTER(FrmBB1[Cur],(FrmBB1[PrjId]=TEXT($B154,"@"))*(FrmBB1[Row]=$E154)*(FrmBB1[Column]=UPPER(_xlfn.LET(_xlpm.x,_xlfn.TEXTBEFORE(AA$114," ("),IFERROR(_xlpm.x,AA$114)))&amp;" "&amp;AB$115),0)))</f>
        <v>0</v>
      </c>
      <c r="AC154" s="158" cm="1">
        <f t="array" aca="1" ref="AC154" ca="1">IF(OR($E154="X",$E154="",$E154=0,$B154="X",$B154="",$B154=0),0,SUM(_xlfn._xlws.FILTER(FrmBB1[Cur],(FrmBB1[PrjId]=TEXT($B154,"@"))*(FrmBB1[Row]=$E154)*(FrmBB1[Column]=UPPER(_xlfn.LET(_xlpm.x,_xlfn.TEXTBEFORE(AC$114," ("),IFERROR(_xlpm.x,AC$114)))&amp;" "&amp;AC$115),0)))</f>
        <v>0</v>
      </c>
      <c r="AD154" s="157" cm="1">
        <f t="array" aca="1" ref="AD154" ca="1">IF(OR($E154="X",$E154="",$E154=0,$B154="X",$B154="",$B154=0),0,SUM(_xlfn._xlws.FILTER(FrmBB1[Cur],(FrmBB1[PrjId]=TEXT($B154,"@"))*(FrmBB1[Row]=$E154)*(FrmBB1[Column]=UPPER(_xlfn.LET(_xlpm.x,_xlfn.TEXTBEFORE(AC$114," ("),IFERROR(_xlpm.x,AC$114)))&amp;" "&amp;AD$115),0)))</f>
        <v>0</v>
      </c>
      <c r="AE154" s="158" cm="1">
        <f t="array" aca="1" ref="AE154" ca="1">IF(OR($E154="X",$E154="",$E154=0,$B154="X",$B154="",$B154=0),0,SUM(_xlfn._xlws.FILTER(FrmBB1[Cur],(FrmBB1[PrjId]=TEXT($B154,"@"))*(FrmBB1[Row]=$E154)*(FrmBB1[Column]=UPPER(_xlfn.LET(_xlpm.x,_xlfn.TEXTBEFORE(AE$114," ("),IFERROR(_xlpm.x,AE$114)))&amp;" "&amp;AE$115),0)))</f>
        <v>15828.73</v>
      </c>
      <c r="AF154" s="157" cm="1">
        <f t="array" aca="1" ref="AF154" ca="1">IF(OR($E154="X",$E154="",$E154=0,$B154="X",$B154="",$B154=0),0,SUM(_xlfn._xlws.FILTER(FrmBB1[Cur],(FrmBB1[PrjId]=TEXT($B154,"@"))*(FrmBB1[Row]=$E154)*(FrmBB1[Column]=UPPER(_xlfn.LET(_xlpm.x,_xlfn.TEXTBEFORE(AE$114," ("),IFERROR(_xlpm.x,AE$114)))&amp;" "&amp;AF$115),0)))</f>
        <v>107160.56</v>
      </c>
      <c r="AG154" s="158" cm="1">
        <f t="array" aca="1" ref="AG154" ca="1">IF(OR($E154="X",$E154="",$E154=0,$B154="X",$B154="",$B154=0),0,SUM(_xlfn._xlws.FILTER(FrmBB1[Cur],(FrmBB1[PrjId]=TEXT($B154,"@"))*(FrmBB1[Row]=$E154)*(FrmBB1[Column]=UPPER(_xlfn.LET(_xlpm.x,_xlfn.TEXTBEFORE(AG$114," ("),IFERROR(_xlpm.x,AG$114)))&amp;" "&amp;AG$115),0)))</f>
        <v>0</v>
      </c>
      <c r="AH154" s="157" cm="1">
        <f t="array" aca="1" ref="AH154" ca="1">IF(OR($E154="X",$E154="",$E154=0,$B154="X",$B154="",$B154=0),0,SUM(_xlfn._xlws.FILTER(FrmBB1[Cur],(FrmBB1[PrjId]=TEXT($B154,"@"))*(FrmBB1[Row]=$E154)*(FrmBB1[Column]=UPPER(_xlfn.LET(_xlpm.x,_xlfn.TEXTBEFORE(AG$114," ("),IFERROR(_xlpm.x,AG$114)))&amp;" "&amp;AH$115),0)))</f>
        <v>0</v>
      </c>
      <c r="AI154" s="158" cm="1">
        <f t="array" aca="1" ref="AI154" ca="1">IF(OR($E154="X",$E154="",$E154=0,$B154="X",$B154="",$B154=0),0,SUM(_xlfn._xlws.FILTER(FrmBB1[Cur],(FrmBB1[PrjId]=TEXT($B154,"@"))*(FrmBB1[Row]=$E154)*(FrmBB1[Column]=UPPER(_xlfn.LET(_xlpm.x,_xlfn.TEXTBEFORE(AI$114," ("),IFERROR(_xlpm.x,AI$114)))&amp;" "&amp;AI$115),0)))</f>
        <v>0</v>
      </c>
      <c r="AJ154" s="157" cm="1">
        <f t="array" aca="1" ref="AJ154" ca="1">IF(OR($E154="X",$E154="",$E154=0,$B154="X",$B154="",$B154=0),0,SUM(_xlfn._xlws.FILTER(FrmBB1[Cur],(FrmBB1[PrjId]=TEXT($B154,"@"))*(FrmBB1[Row]=$E154)*(FrmBB1[Column]=UPPER(_xlfn.LET(_xlpm.x,_xlfn.TEXTBEFORE(AI$114," ("),IFERROR(_xlpm.x,AI$114)))&amp;" "&amp;AJ$115),0)))</f>
        <v>122915.94</v>
      </c>
      <c r="AK154" s="158" cm="1">
        <f t="array" aca="1" ref="AK154" ca="1">IF(OR($E154="X",$E154="",$E154=0,$B154="X",$B154="",$B154=0),0,SUM(_xlfn._xlws.FILTER(FrmBB1[Cur],(FrmBB1[PrjId]=TEXT($B154,"@"))*(FrmBB1[Row]=$E154)*(FrmBB1[Column]=UPPER(_xlfn.LET(_xlpm.x,_xlfn.TEXTBEFORE(AK$114," ("),IFERROR(_xlpm.x,AK$114)))&amp;" "&amp;AK$115),0)))</f>
        <v>0</v>
      </c>
      <c r="AL154" s="157" cm="1">
        <f t="array" aca="1" ref="AL154" ca="1">IF(OR($E154="X",$E154="",$E154=0,$B154="X",$B154="",$B154=0),0,SUM(_xlfn._xlws.FILTER(FrmBB1[Cur],(FrmBB1[PrjId]=TEXT($B154,"@"))*(FrmBB1[Row]=$E154)*(FrmBB1[Column]=UPPER(_xlfn.LET(_xlpm.x,_xlfn.TEXTBEFORE(AK$114," ("),IFERROR(_xlpm.x,AK$114)))&amp;" "&amp;AL$115),0)))</f>
        <v>105681.19</v>
      </c>
      <c r="AM154" s="158" cm="1">
        <f t="array" aca="1" ref="AM154" ca="1">IF(OR($E154="X",$E154="",$E154=0,$B154="X",$B154="",$B154=0),0,SUM(_xlfn._xlws.FILTER(FrmBB1[Cur],(FrmBB1[PrjId]=TEXT($B154,"@"))*(FrmBB1[Row]=$E154)*(FrmBB1[Column]=UPPER(_xlfn.LET(_xlpm.x,_xlfn.TEXTBEFORE(AM$114," ("),IFERROR(_xlpm.x,AM$114)))&amp;" "&amp;AM$115),0)))</f>
        <v>0</v>
      </c>
      <c r="AN154" s="157" cm="1">
        <f t="array" aca="1" ref="AN154" ca="1">IF(OR($E154="X",$E154="",$E154=0,$B154="X",$B154="",$B154=0),0,SUM(_xlfn._xlws.FILTER(FrmBB1[Cur],(FrmBB1[PrjId]=TEXT($B154,"@"))*(FrmBB1[Row]=$E154)*(FrmBB1[Column]=UPPER(_xlfn.LET(_xlpm.x,_xlfn.TEXTBEFORE(AM$114," ("),IFERROR(_xlpm.x,AM$114)))&amp;" "&amp;AN$115),0)))</f>
        <v>3744.35</v>
      </c>
      <c r="AO154" s="158" cm="1">
        <f t="array" aca="1" ref="AO154" ca="1">IF(OR($E154="X",$E154="",$E154=0,$B154="X",$B154="",$B154=0),0,SUM(_xlfn._xlws.FILTER(FrmBB1[Cur],(FrmBB1[PrjId]=TEXT($B154,"@"))*(FrmBB1[Row]=$E154)*(FrmBB1[Column]=UPPER(_xlfn.LET(_xlpm.x,_xlfn.TEXTBEFORE(AO$114," ("),IFERROR(_xlpm.x,AO$114)))&amp;" "&amp;AO$115),0)))</f>
        <v>0</v>
      </c>
      <c r="AP154" s="157" cm="1">
        <f t="array" aca="1" ref="AP154" ca="1">IF(OR($E154="X",$E154="",$E154=0,$B154="X",$B154="",$B154=0),0,SUM(_xlfn._xlws.FILTER(FrmBB1[Cur],(FrmBB1[PrjId]=TEXT($B154,"@"))*(FrmBB1[Row]=$E154)*(FrmBB1[Column]=UPPER(_xlfn.LET(_xlpm.x,_xlfn.TEXTBEFORE(AO$114," ("),IFERROR(_xlpm.x,AO$114)))&amp;" "&amp;AP$115),0)))</f>
        <v>0</v>
      </c>
      <c r="AQ154" s="157" cm="1">
        <f t="array" aca="1" ref="AQ154" ca="1">SUM(IF(INDIRECT($AS$115)=AQ$115,INDIRECT($AS154)))</f>
        <v>51717.69</v>
      </c>
      <c r="AR154" s="157" cm="1">
        <f t="array" aca="1" ref="AR154" ca="1">SUM(IF(INDIRECT($AS$115)=AR$115,INDIRECT($AS154)))</f>
        <v>394942.87</v>
      </c>
      <c r="AS154" s="286" t="str">
        <f t="shared" ca="1" si="15"/>
        <v>G154:AP154</v>
      </c>
      <c r="AT154" s="403">
        <f t="shared" ca="1" si="14"/>
        <v>446660.56</v>
      </c>
      <c r="AV154" s="142" cm="1">
        <f t="array" aca="1" ref="AV154" ca="1">IF(AND(_xlfn.LET(_xlpm.x,SUM(ROW()),OR(AND(MATCH("SOT",$A:$A,0)&lt;_xlpm.x,MATCH("EOT",$A:$A,0)&gt;_xlpm.x),AND(MATCH("SOS",$A:$A,0)&lt;_xlpm.x,MATCH("EOS",$A:$A,0)&gt;_xlpm.x),AND(MATCH("SOR",$A:$A,0)&lt;_xlpm.x,MATCH("EOR",$A:$A,0)&gt;_xlpm.x))),INDIRECT("rc"&amp;MATCH("SCD",$1:$1,0),FALSE)="PPTO"),1,0)</f>
        <v>0</v>
      </c>
      <c r="AW154" s="142" cm="1">
        <f t="array" aca="1" ref="AW15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55" spans="2:49" outlineLevel="1">
      <c r="B155" s="156" t="str" cm="1">
        <f t="array" aca="1" ref="B155:E155" ca="1">_xlfn.LET(_xlpm.x,SUM(ROW()-MATCH("SOR",$A:$A,0)),_xlpm.y,IFERROR(_xlfn.TAKE(INDEX(_xlfn._xlws.FILTER(TbAssign[],ISNUMBER(FIND(TbAssign[Project],$C$4)),"X"),1+QUOTIENT(_xlpm.x,3),0),1,4),0),IF(MOD(_xlpm.x-1,3)=0,IF(_xlpm.y=0,"X",_xlpm.y),INDIRECT("r[-1]c#",FALSE)))</f>
        <v>31200</v>
      </c>
      <c r="C155" s="156" t="str">
        <f ca="1"/>
        <v>XH01</v>
      </c>
      <c r="D155" s="148" t="str">
        <f ca="1"/>
        <v>CTCT</v>
      </c>
      <c r="E155" s="352" t="str">
        <f ca="1"/>
        <v>COSTES EVITABLES</v>
      </c>
      <c r="F155" s="148" t="s">
        <v>397</v>
      </c>
      <c r="G155" s="157" cm="1">
        <f t="array" aca="1" ref="G155" ca="1">IF(OR($E155="X",$E155="",$E155=0,$B155="X",$B155="",$B155=0),0,SUM(_xlfn._xlws.FILTER(IF($E$4="Ppto",PptoSty[CurPpto],PptoSty[CurInt]),(IF($E$4="Ppto",PptoSty[POvsCT]=G$113,TRUE))*(PptoSty[Project]=TEXT($B155,"@"))*(PptoSty[PptoVsRow]=$E155)*(PptoSty[PptoVsColumn]=UPPER(G$114)),0)))</f>
        <v>0</v>
      </c>
      <c r="H155" s="157" cm="1">
        <f t="array" aca="1" ref="H155" ca="1">IF(OR($E155="X",$E155="",$E155=0,$B155="X",$B155="",$B155=0),0,SUM(_xlfn._xlws.FILTER(IF($E$4="Ppto",PptoSty[CurPpto],PptoSty[CurExt]),(IF($E$4="Ppto",PptoSty[POvsCT]=H$113,TRUE))*(PptoSty[Project]=TEXT($B155,"@"))*(PptoSty[PptoVsRow]=$E155)*(PptoSty[PptoVsColumn]=UPPER(G$114)),0)))</f>
        <v>0</v>
      </c>
      <c r="I155" s="157" cm="1">
        <f t="array" aca="1" ref="I155" ca="1">IF(OR($E155="X",$E155="",$E155=0,$B155="X",$B155="",$B155=0),0,SUM(_xlfn._xlws.FILTER(IF($E$4="Ppto",PptoSty[CurPpto],PptoSty[CurInt]),(IF($E$4="Ppto",PptoSty[POvsCT]=I$113,TRUE))*(PptoSty[Project]=TEXT($B155,"@"))*(PptoSty[PptoVsRow]=$E155)*(PptoSty[PptoVsColumn]=UPPER(I$114)),0)))</f>
        <v>0</v>
      </c>
      <c r="J155" s="157" cm="1">
        <f t="array" aca="1" ref="J155" ca="1">IF(OR($E155="X",$E155="",$E155=0,$B155="X",$B155="",$B155=0),0,SUM(_xlfn._xlws.FILTER(IF($E$4="Ppto",PptoSty[CurPpto],PptoSty[CurExt]),(IF($E$4="Ppto",PptoSty[POvsCT]=J$113,TRUE))*(PptoSty[Project]=TEXT($B155,"@"))*(PptoSty[PptoVsRow]=$E155)*(PptoSty[PptoVsColumn]=UPPER(I$114)),0)))</f>
        <v>0</v>
      </c>
      <c r="K155" s="157" cm="1">
        <f t="array" aca="1" ref="K155" ca="1">IF(OR($E155="X",$E155="",$E155=0,$B155="X",$B155="",$B155=0),0,SUM(_xlfn._xlws.FILTER(IF($E$4="Ppto",PptoSty[CurPpto],PptoSty[CurInt]),(IF($E$4="Ppto",PptoSty[POvsCT]=K$113,TRUE))*(PptoSty[Project]=TEXT($B155,"@"))*(PptoSty[PptoVsRow]=$E155)*(PptoSty[PptoVsColumn]=UPPER(K$114)),0)))</f>
        <v>0</v>
      </c>
      <c r="L155" s="157" cm="1">
        <f t="array" aca="1" ref="L155" ca="1">IF(OR($E155="X",$E155="",$E155=0,$B155="X",$B155="",$B155=0),0,SUM(_xlfn._xlws.FILTER(IF($E$4="Ppto",PptoSty[CurPpto],PptoSty[CurExt]),(IF($E$4="Ppto",PptoSty[POvsCT]=L$113,TRUE))*(PptoSty[Project]=TEXT($B155,"@"))*(PptoSty[PptoVsRow]=$E155)*(PptoSty[PptoVsColumn]=UPPER(K$114)),0)))</f>
        <v>0</v>
      </c>
      <c r="M155" s="157" cm="1">
        <f t="array" aca="1" ref="M155" ca="1">IF(OR($E155="X",$E155="",$E155=0,$B155="X",$B155="",$B155=0),0,SUM(_xlfn._xlws.FILTER(IF($E$4="Ppto",PptoSty[CurPpto],PptoSty[CurInt]),(IF($E$4="Ppto",PptoSty[POvsCT]=M$113,TRUE))*(PptoSty[Project]=TEXT($B155,"@"))*(PptoSty[PptoVsRow]=$E155)*(PptoSty[PptoVsColumn]=UPPER(M$114)),0)))</f>
        <v>0</v>
      </c>
      <c r="N155" s="157" cm="1">
        <f t="array" aca="1" ref="N155" ca="1">IF(OR($E155="X",$E155="",$E155=0,$B155="X",$B155="",$B155=0),0,SUM(_xlfn._xlws.FILTER(IF($E$4="Ppto",PptoSty[CurPpto],PptoSty[CurExt]),(IF($E$4="Ppto",PptoSty[POvsCT]=N$113,TRUE))*(PptoSty[Project]=TEXT($B155,"@"))*(PptoSty[PptoVsRow]=$E155)*(PptoSty[PptoVsColumn]=UPPER(M$114)),0)))</f>
        <v>0</v>
      </c>
      <c r="O155" s="157" cm="1">
        <f t="array" aca="1" ref="O155" ca="1">IF(OR($E155="X",$E155="",$E155=0,$B155="X",$B155="",$B155=0),0,SUM(_xlfn._xlws.FILTER(IF($E$4="Ppto",PptoSty[CurPpto],PptoSty[CurInt]),(IF($E$4="Ppto",PptoSty[POvsCT]=O$113,TRUE))*(PptoSty[Project]=TEXT($B155,"@"))*(PptoSty[PptoVsRow]=$E155)*(PptoSty[PptoVsColumn]=UPPER(O$114)),0)))</f>
        <v>0</v>
      </c>
      <c r="P155" s="157" cm="1">
        <f t="array" aca="1" ref="P155" ca="1">IF(OR($E155="X",$E155="",$E155=0,$B155="X",$B155="",$B155=0),0,SUM(_xlfn._xlws.FILTER(IF($E$4="Ppto",PptoSty[CurPpto],PptoSty[CurExt]),(IF($E$4="Ppto",PptoSty[POvsCT]=P$113,TRUE))*(PptoSty[Project]=TEXT($B155,"@"))*(PptoSty[PptoVsRow]=$E155)*(PptoSty[PptoVsColumn]=UPPER(O$114)),0)))</f>
        <v>0</v>
      </c>
      <c r="Q155" s="157" cm="1">
        <f t="array" aca="1" ref="Q155" ca="1">IF(OR($E155="X",$E155="",$E155=0,$B155="X",$B155="",$B155=0),0,SUM(_xlfn._xlws.FILTER(IF($E$4="Ppto",PptoSty[CurPpto],PptoSty[CurInt]),(IF($E$4="Ppto",PptoSty[POvsCT]=Q$113,TRUE))*(PptoSty[Project]=TEXT($B155,"@"))*(PptoSty[PptoVsRow]=$E155)*(PptoSty[PptoVsColumn]=UPPER(Q$114)),0)))</f>
        <v>0</v>
      </c>
      <c r="R155" s="157" cm="1">
        <f t="array" aca="1" ref="R155" ca="1">IF(OR($E155="X",$E155="",$E155=0,$B155="X",$B155="",$B155=0),0,SUM(_xlfn._xlws.FILTER(IF($E$4="Ppto",PptoSty[CurPpto],PptoSty[CurExt]),(IF($E$4="Ppto",PptoSty[POvsCT]=R$113,TRUE))*(PptoSty[Project]=TEXT($B155,"@"))*(PptoSty[PptoVsRow]=$E155)*(PptoSty[PptoVsColumn]=UPPER(Q$114)),0)))</f>
        <v>0</v>
      </c>
      <c r="S155" s="157" cm="1">
        <f t="array" aca="1" ref="S155" ca="1">IF(OR($E155="X",$E155="",$E155=0,$B155="X",$B155="",$B155=0),0,SUM(_xlfn._xlws.FILTER(IF($E$4="Ppto",PptoSty[CurPpto],PptoSty[CurInt]),(IF($E$4="Ppto",PptoSty[POvsCT]=S$113,TRUE))*(PptoSty[Project]=TEXT($B155,"@"))*(PptoSty[PptoVsRow]=$E155)*(PptoSty[PptoVsColumn]=UPPER(S$114)),0)))</f>
        <v>0</v>
      </c>
      <c r="T155" s="157" cm="1">
        <f t="array" aca="1" ref="T155" ca="1">IF(OR($E155="X",$E155="",$E155=0,$B155="X",$B155="",$B155=0),0,SUM(_xlfn._xlws.FILTER(IF($E$4="Ppto",PptoSty[CurPpto],PptoSty[CurExt]),(IF($E$4="Ppto",PptoSty[POvsCT]=T$113,TRUE))*(PptoSty[Project]=TEXT($B155,"@"))*(PptoSty[PptoVsRow]=$E155)*(PptoSty[PptoVsColumn]=UPPER(S$114)),0)))</f>
        <v>0</v>
      </c>
      <c r="U155" s="157" cm="1">
        <f t="array" aca="1" ref="U155" ca="1">IF(OR($E155="X",$E155="",$E155=0,$B155="X",$B155="",$B155=0),0,SUM(_xlfn._xlws.FILTER(IF($E$4="Ppto",PptoSty[CurPpto],PptoSty[CurInt]),(IF($E$4="Ppto",PptoSty[POvsCT]=U$113,TRUE))*(PptoSty[Project]=TEXT($B155,"@"))*(PptoSty[PptoVsRow]=$E155)*(PptoSty[PptoVsColumn]=UPPER(U$114)),0)))</f>
        <v>0</v>
      </c>
      <c r="V155" s="157" cm="1">
        <f t="array" aca="1" ref="V155" ca="1">IF(OR($E155="X",$E155="",$E155=0,$B155="X",$B155="",$B155=0),0,SUM(_xlfn._xlws.FILTER(IF($E$4="Ppto",PptoSty[CurPpto],PptoSty[CurExt]),(IF($E$4="Ppto",PptoSty[POvsCT]=V$113,TRUE))*(PptoSty[Project]=TEXT($B155,"@"))*(PptoSty[PptoVsRow]=$E155)*(PptoSty[PptoVsColumn]=UPPER(U$114)),0)))</f>
        <v>0</v>
      </c>
      <c r="W155" s="157" cm="1">
        <f t="array" aca="1" ref="W155" ca="1">IF(OR($E155="X",$E155="",$E155=0,$B155="X",$B155="",$B155=0),0,SUM(_xlfn._xlws.FILTER(IF($E$4="Ppto",PptoSty[CurPpto],PptoSty[CurInt]),(IF($E$4="Ppto",PptoSty[POvsCT]=W$113,TRUE))*(PptoSty[Project]=TEXT($B155,"@"))*(PptoSty[PptoVsRow]=$E155)*(PptoSty[PptoVsColumn]=UPPER(W$114)),0)))</f>
        <v>0</v>
      </c>
      <c r="X155" s="157" cm="1">
        <f t="array" aca="1" ref="X155" ca="1">IF(OR($E155="X",$E155="",$E155=0,$B155="X",$B155="",$B155=0),0,SUM(_xlfn._xlws.FILTER(IF($E$4="Ppto",PptoSty[CurPpto],PptoSty[CurExt]),(IF($E$4="Ppto",PptoSty[POvsCT]=X$113,TRUE))*(PptoSty[Project]=TEXT($B155,"@"))*(PptoSty[PptoVsRow]=$E155)*(PptoSty[PptoVsColumn]=UPPER(W$114)),0)))</f>
        <v>0</v>
      </c>
      <c r="Y155" s="157" cm="1">
        <f t="array" aca="1" ref="Y155" ca="1">IF(OR($E155="X",$E155="",$E155=0,$B155="X",$B155="",$B155=0),0,SUM(_xlfn._xlws.FILTER(IF($E$4="Ppto",PptoSty[CurPpto],PptoSty[CurInt]),(IF($E$4="Ppto",PptoSty[POvsCT]=Y$113,TRUE))*(PptoSty[Project]=TEXT($B155,"@"))*(PptoSty[PptoVsRow]=$E155)*(PptoSty[PptoVsColumn]=UPPER(Y$114)),0)))</f>
        <v>0</v>
      </c>
      <c r="Z155" s="157" cm="1">
        <f t="array" aca="1" ref="Z155" ca="1">IF(OR($E155="X",$E155="",$E155=0,$B155="X",$B155="",$B155=0),0,SUM(_xlfn._xlws.FILTER(IF($E$4="Ppto",PptoSty[CurPpto],PptoSty[CurExt]),(IF($E$4="Ppto",PptoSty[POvsCT]=Z$113,TRUE))*(PptoSty[Project]=TEXT($B155,"@"))*(PptoSty[PptoVsRow]=$E155)*(PptoSty[PptoVsColumn]=UPPER(Y$114)),0)))</f>
        <v>0</v>
      </c>
      <c r="AA155" s="157" cm="1">
        <f t="array" aca="1" ref="AA155" ca="1">IF(OR($E155="X",$E155="",$E155=0,$B155="X",$B155="",$B155=0),0,SUM(_xlfn._xlws.FILTER(IF($E$4="Ppto",PptoSty[CurPpto],PptoSty[CurInt]),(IF($E$4="Ppto",PptoSty[POvsCT]=AA$113,TRUE))*(PptoSty[Project]=TEXT($B155,"@"))*(PptoSty[PptoVsRow]=$E155)*(PptoSty[PptoVsColumn]=UPPER(AA$114)),0)))</f>
        <v>0</v>
      </c>
      <c r="AB155" s="157" cm="1">
        <f t="array" aca="1" ref="AB155" ca="1">IF(OR($E155="X",$E155="",$E155=0,$B155="X",$B155="",$B155=0),0,SUM(_xlfn._xlws.FILTER(IF($E$4="Ppto",PptoSty[CurPpto],PptoSty[CurExt]),(IF($E$4="Ppto",PptoSty[POvsCT]=AB$113,TRUE))*(PptoSty[Project]=TEXT($B155,"@"))*(PptoSty[PptoVsRow]=$E155)*(PptoSty[PptoVsColumn]=UPPER(AA$114)),0)))</f>
        <v>0</v>
      </c>
      <c r="AC155" s="157" cm="1">
        <f t="array" aca="1" ref="AC155" ca="1">IF(OR($E155="X",$E155="",$E155=0,$B155="X",$B155="",$B155=0),0,SUM(_xlfn._xlws.FILTER(IF($E$4="Ppto",PptoSty[CurPpto],PptoSty[CurInt]),(IF($E$4="Ppto",PptoSty[POvsCT]=AC$113,TRUE))*(PptoSty[Project]=TEXT($B155,"@"))*(PptoSty[PptoVsRow]=$E155)*(PptoSty[PptoVsColumn]=UPPER(AC$114)),0)))</f>
        <v>0</v>
      </c>
      <c r="AD155" s="157" cm="1">
        <f t="array" aca="1" ref="AD155" ca="1">IF(OR($E155="X",$E155="",$E155=0,$B155="X",$B155="",$B155=0),0,SUM(_xlfn._xlws.FILTER(IF($E$4="Ppto",PptoSty[CurPpto],PptoSty[CurExt]),(IF($E$4="Ppto",PptoSty[POvsCT]=AD$113,TRUE))*(PptoSty[Project]=TEXT($B155,"@"))*(PptoSty[PptoVsRow]=$E155)*(PptoSty[PptoVsColumn]=UPPER(AC$114)),0)))</f>
        <v>0</v>
      </c>
      <c r="AE155" s="157" cm="1">
        <f t="array" aca="1" ref="AE155" ca="1">IF(OR($E155="X",$E155="",$E155=0,$B155="X",$B155="",$B155=0),0,SUM(_xlfn._xlws.FILTER(IF($E$4="Ppto",PptoSty[CurPpto],PptoSty[CurInt]),(IF($E$4="Ppto",PptoSty[POvsCT]=AE$113,TRUE))*(PptoSty[Project]=TEXT($B155,"@"))*(PptoSty[PptoVsRow]=$E155)*(PptoSty[PptoVsColumn]=UPPER(AE$114)),0)))</f>
        <v>0</v>
      </c>
      <c r="AF155" s="157" cm="1">
        <f t="array" aca="1" ref="AF155" ca="1">IF(OR($E155="X",$E155="",$E155=0,$B155="X",$B155="",$B155=0),0,SUM(_xlfn._xlws.FILTER(IF($E$4="Ppto",PptoSty[CurPpto],PptoSty[CurExt]),(IF($E$4="Ppto",PptoSty[POvsCT]=AF$113,TRUE))*(PptoSty[Project]=TEXT($B155,"@"))*(PptoSty[PptoVsRow]=$E155)*(PptoSty[PptoVsColumn]=UPPER(AE$114)),0)))</f>
        <v>0</v>
      </c>
      <c r="AG155" s="157" cm="1">
        <f t="array" aca="1" ref="AG155" ca="1">IF(OR($E155="X",$E155="",$E155=0,$B155="X",$B155="",$B155=0),0,SUM(_xlfn._xlws.FILTER(IF($E$4="Ppto",PptoSty[CurPpto],PptoSty[CurInt]),(IF($E$4="Ppto",PptoSty[POvsCT]=AG$113,TRUE))*(PptoSty[Project]=TEXT($B155,"@"))*(PptoSty[PptoVsRow]=$E155)*(PptoSty[PptoVsColumn]=UPPER(AG$114)),0)))</f>
        <v>0</v>
      </c>
      <c r="AH155" s="157" cm="1">
        <f t="array" aca="1" ref="AH155" ca="1">IF(OR($E155="X",$E155="",$E155=0,$B155="X",$B155="",$B155=0),0,SUM(_xlfn._xlws.FILTER(IF($E$4="Ppto",PptoSty[CurPpto],PptoSty[CurExt]),(IF($E$4="Ppto",PptoSty[POvsCT]=AH$113,TRUE))*(PptoSty[Project]=TEXT($B155,"@"))*(PptoSty[PptoVsRow]=$E155)*(PptoSty[PptoVsColumn]=UPPER(AG$114)),0)))</f>
        <v>0</v>
      </c>
      <c r="AI155" s="157" cm="1">
        <f t="array" aca="1" ref="AI155" ca="1">IF(OR($E155="X",$E155="",$E155=0,$B155="X",$B155="",$B155=0),0,SUM(_xlfn._xlws.FILTER(IF($E$4="Ppto",PptoSty[CurPpto],PptoSty[CurInt]),(IF($E$4="Ppto",PptoSty[POvsCT]=AI$113,TRUE))*(PptoSty[Project]=TEXT($B155,"@"))*(PptoSty[PptoVsRow]=$E155)*(PptoSty[PptoVsColumn]=UPPER(AI$114)),0)))</f>
        <v>0</v>
      </c>
      <c r="AJ155" s="157" cm="1">
        <f t="array" aca="1" ref="AJ155" ca="1">IF(OR($E155="X",$E155="",$E155=0,$B155="X",$B155="",$B155=0),0,SUM(_xlfn._xlws.FILTER(IF($E$4="Ppto",PptoSty[CurPpto],PptoSty[CurExt]),(IF($E$4="Ppto",PptoSty[POvsCT]=AJ$113,TRUE))*(PptoSty[Project]=TEXT($B155,"@"))*(PptoSty[PptoVsRow]=$E155)*(PptoSty[PptoVsColumn]=UPPER(AI$114)),0)))</f>
        <v>0</v>
      </c>
      <c r="AK155" s="157" cm="1">
        <f t="array" aca="1" ref="AK155" ca="1">IF(OR($E155="X",$E155="",$E155=0,$B155="X",$B155="",$B155=0),0,SUM(_xlfn._xlws.FILTER(IF($E$4="Ppto",PptoSty[CurPpto],PptoSty[CurInt]),(IF($E$4="Ppto",PptoSty[POvsCT]=AK$113,TRUE))*(PptoSty[Project]=TEXT($B155,"@"))*(PptoSty[PptoVsRow]=$E155)*(PptoSty[PptoVsColumn]=UPPER(AK$114)),0)))</f>
        <v>0</v>
      </c>
      <c r="AL155" s="157" cm="1">
        <f t="array" aca="1" ref="AL155" ca="1">IF(OR($E155="X",$E155="",$E155=0,$B155="X",$B155="",$B155=0),0,SUM(_xlfn._xlws.FILTER(IF($E$4="Ppto",PptoSty[CurPpto],PptoSty[CurExt]),(IF($E$4="Ppto",PptoSty[POvsCT]=AL$113,TRUE))*(PptoSty[Project]=TEXT($B155,"@"))*(PptoSty[PptoVsRow]=$E155)*(PptoSty[PptoVsColumn]=UPPER(AK$114)),0)))</f>
        <v>0</v>
      </c>
      <c r="AM155" s="157" cm="1">
        <f t="array" aca="1" ref="AM155" ca="1">IF(OR($E155="X",$E155="",$E155=0,$B155="X",$B155="",$B155=0),0,SUM(_xlfn._xlws.FILTER(IF($E$4="Ppto",PptoSty[CurPpto],PptoSty[CurInt]),(IF($E$4="Ppto",PptoSty[POvsCT]=AM$113,TRUE))*(PptoSty[Project]=TEXT($B155,"@"))*(PptoSty[PptoVsRow]=$E155)*(PptoSty[PptoVsColumn]=UPPER(AM$114)),0)))</f>
        <v>0</v>
      </c>
      <c r="AN155" s="157" cm="1">
        <f t="array" aca="1" ref="AN155" ca="1">IF(OR($E155="X",$E155="",$E155=0,$B155="X",$B155="",$B155=0),0,SUM(_xlfn._xlws.FILTER(IF($E$4="Ppto",PptoSty[CurPpto],PptoSty[CurExt]),(IF($E$4="Ppto",PptoSty[POvsCT]=AN$113,TRUE))*(PptoSty[Project]=TEXT($B155,"@"))*(PptoSty[PptoVsRow]=$E155)*(PptoSty[PptoVsColumn]=UPPER(AM$114)),0)))</f>
        <v>0</v>
      </c>
      <c r="AO155" s="157" cm="1">
        <f t="array" aca="1" ref="AO155" ca="1">IF(OR($E155="X",$E155="",$E155=0,$B155="X",$B155="",$B155=0),0,SUM(_xlfn._xlws.FILTER(IF($E$4="Ppto",PptoSty[CurPpto],PptoSty[CurInt]),(IF($E$4="Ppto",PptoSty[POvsCT]=AO$113,TRUE))*(PptoSty[Project]=TEXT($B155,"@"))*(PptoSty[PptoVsRow]=$E155)*(PptoSty[PptoVsColumn]=UPPER(AO$114)),0)))</f>
        <v>0</v>
      </c>
      <c r="AP155" s="157" cm="1">
        <f t="array" aca="1" ref="AP155" ca="1">IF(OR($E155="X",$E155="",$E155=0,$B155="X",$B155="",$B155=0),0,SUM(_xlfn._xlws.FILTER(IF($E$4="Ppto",PptoSty[CurPpto],PptoSty[CurExt]),(IF($E$4="Ppto",PptoSty[POvsCT]=AP$113,TRUE))*(PptoSty[Project]=TEXT($B155,"@"))*(PptoSty[PptoVsRow]=$E155)*(PptoSty[PptoVsColumn]=UPPER(AO$114)),0)))</f>
        <v>0</v>
      </c>
      <c r="AQ155" s="157" cm="1">
        <f t="array" aca="1" ref="AQ155" ca="1">SUM(IF(INDIRECT($AS$115)=AQ$115,INDIRECT($AS155)))</f>
        <v>0</v>
      </c>
      <c r="AR155" s="157" cm="1">
        <f t="array" aca="1" ref="AR155" ca="1">SUM(IF(INDIRECT($AS$115)=AR$115,INDIRECT($AS155)))</f>
        <v>0</v>
      </c>
      <c r="AS155" s="286" t="str">
        <f t="shared" ca="1" si="15"/>
        <v>G155:AP155</v>
      </c>
      <c r="AT155" s="403">
        <f t="shared" ca="1" si="14"/>
        <v>0</v>
      </c>
      <c r="AV155" s="142" cm="1">
        <f t="array" aca="1" ref="AV155" ca="1">IF(AND(_xlfn.LET(_xlpm.x,SUM(ROW()),OR(AND(MATCH("SOT",$A:$A,0)&lt;_xlpm.x,MATCH("EOT",$A:$A,0)&gt;_xlpm.x),AND(MATCH("SOS",$A:$A,0)&lt;_xlpm.x,MATCH("EOS",$A:$A,0)&gt;_xlpm.x),AND(MATCH("SOR",$A:$A,0)&lt;_xlpm.x,MATCH("EOR",$A:$A,0)&gt;_xlpm.x))),INDIRECT("rc"&amp;MATCH("SCD",$1:$1,0),FALSE)="PPTO"),1,0)</f>
        <v>1</v>
      </c>
      <c r="AW155" s="142" cm="1">
        <f t="array" aca="1" ref="AW15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56" spans="2:49" outlineLevel="1">
      <c r="B156" s="156" t="str" cm="1">
        <f t="array" aca="1" ref="B156:E156" ca="1">_xlfn.LET(_xlpm.x,SUM(ROW()-MATCH("SOR",$A:$A,0)),_xlpm.y,IFERROR(_xlfn.TAKE(INDEX(_xlfn._xlws.FILTER(TbAssign[],ISNUMBER(FIND(TbAssign[Project],$C$4)),"X"),1+QUOTIENT(_xlpm.x,3),0),1,4),0),IF(MOD(_xlpm.x-1,3)=0,IF(_xlpm.y=0,"X",_xlpm.y),INDIRECT("r[-1]c#",FALSE)))</f>
        <v>31200</v>
      </c>
      <c r="C156" s="156" t="str">
        <f ca="1"/>
        <v>XH01</v>
      </c>
      <c r="D156" s="148" t="str">
        <f ca="1"/>
        <v>CTCT</v>
      </c>
      <c r="E156" s="352" t="str">
        <f ca="1"/>
        <v>COSTES EVITABLES</v>
      </c>
      <c r="F156" s="148" t="s">
        <v>1382</v>
      </c>
      <c r="G156" s="157" cm="1">
        <f t="array" aca="1" ref="G156" ca="1">IF(OR($E156="X",$E156="",$E156=0,$B156="X",$B156="",$B156=0),0,SUM(_xlfn._xlws.FILTER(PrvSty[DsvValue:SERRA],(PrvSty[Project]=TEXT($B156,"@"))*(PrvSty[Row]=$E156)*(PrvSty[Column]=UPPER(G$114)),0)))</f>
        <v>0</v>
      </c>
      <c r="H156" s="157" cm="1">
        <f t="array" aca="1" ref="H156" ca="1">IF(OR($E156="X",$E156="",$E156=0,$B156="X",$B156="",$B156=0),0,SUM(_xlfn._xlws.FILTER(PrvSty[DsvValue:EXT.],(PrvSty[Project]=TEXT($B156,"@"))*(PrvSty[Row]=$E156)*(PrvSty[Column]=UPPER(G$114)),0)))</f>
        <v>0</v>
      </c>
      <c r="I156" s="157" cm="1">
        <f t="array" aca="1" ref="I156" ca="1">IF(OR($E156="X",$E156="",$E156=0,$B156="X",$B156="",$B156=0),0,SUM(_xlfn._xlws.FILTER(PrvSty[DsvValue:SERRA],(PrvSty[Project]=TEXT($B156,"@"))*(PrvSty[Row]=$E156)*(PrvSty[Column]=UPPER(I$114)),0)))</f>
        <v>0</v>
      </c>
      <c r="J156" s="157" cm="1">
        <f t="array" aca="1" ref="J156" ca="1">IF(OR($E156="X",$E156="",$E156=0,$B156="X",$B156="",$B156=0),0,SUM(_xlfn._xlws.FILTER(PrvSty[DsvValue:EXT.],(PrvSty[Project]=TEXT($B156,"@"))*(PrvSty[Row]=$E156)*(PrvSty[Column]=UPPER(I$114)),0)))</f>
        <v>0</v>
      </c>
      <c r="K156" s="157" cm="1">
        <f t="array" aca="1" ref="K156" ca="1">IF(OR($E156="X",$E156="",$E156=0,$B156="X",$B156="",$B156=0),0,SUM(_xlfn._xlws.FILTER(PrvSty[DsvValue:SERRA],(PrvSty[Project]=TEXT($B156,"@"))*(PrvSty[Row]=$E156)*(PrvSty[Column]=UPPER(K$114)),0)))</f>
        <v>0</v>
      </c>
      <c r="L156" s="157" cm="1">
        <f t="array" aca="1" ref="L156" ca="1">IF(OR($E156="X",$E156="",$E156=0,$B156="X",$B156="",$B156=0),0,SUM(_xlfn._xlws.FILTER(PrvSty[DsvValue:EXT.],(PrvSty[Project]=TEXT($B156,"@"))*(PrvSty[Row]=$E156)*(PrvSty[Column]=UPPER(K$114)),0)))</f>
        <v>0</v>
      </c>
      <c r="M156" s="157" cm="1">
        <f t="array" aca="1" ref="M156" ca="1">IF(OR($E156="X",$E156="",$E156=0,$B156="X",$B156="",$B156=0),0,SUM(_xlfn._xlws.FILTER(PrvSty[DsvValue:SERRA],(PrvSty[Project]=TEXT($B156,"@"))*(PrvSty[Row]=$E156)*(PrvSty[Column]=UPPER(M$114)),0)))</f>
        <v>0</v>
      </c>
      <c r="N156" s="157" cm="1">
        <f t="array" aca="1" ref="N156" ca="1">IF(OR($E156="X",$E156="",$E156=0,$B156="X",$B156="",$B156=0),0,SUM(_xlfn._xlws.FILTER(PrvSty[DsvValue:EXT.],(PrvSty[Project]=TEXT($B156,"@"))*(PrvSty[Row]=$E156)*(PrvSty[Column]=UPPER(M$114)),0)))</f>
        <v>0</v>
      </c>
      <c r="O156" s="157" cm="1">
        <f t="array" aca="1" ref="O156" ca="1">IF(OR($E156="X",$E156="",$E156=0,$B156="X",$B156="",$B156=0),0,SUM(_xlfn._xlws.FILTER(PrvSty[DsvValue:SERRA],(PrvSty[Project]=TEXT($B156,"@"))*(PrvSty[Row]=$E156)*(PrvSty[Column]=UPPER(O$114)),0)))</f>
        <v>0</v>
      </c>
      <c r="P156" s="157" cm="1">
        <f t="array" aca="1" ref="P156" ca="1">IF(OR($E156="X",$E156="",$E156=0,$B156="X",$B156="",$B156=0),0,SUM(_xlfn._xlws.FILTER(PrvSty[DsvValue:EXT.],(PrvSty[Project]=TEXT($B156,"@"))*(PrvSty[Row]=$E156)*(PrvSty[Column]=UPPER(O$114)),0)))</f>
        <v>0</v>
      </c>
      <c r="Q156" s="157" cm="1">
        <f t="array" aca="1" ref="Q156" ca="1">IF(OR($E156="X",$E156="",$E156=0,$B156="X",$B156="",$B156=0),0,SUM(_xlfn._xlws.FILTER(PrvSty[DsvValue:SERRA],(PrvSty[Project]=TEXT($B156,"@"))*(PrvSty[Row]=$E156)*(PrvSty[Column]=UPPER(Q$114)),0)))</f>
        <v>0</v>
      </c>
      <c r="R156" s="157" cm="1">
        <f t="array" aca="1" ref="R156" ca="1">IF(OR($E156="X",$E156="",$E156=0,$B156="X",$B156="",$B156=0),0,SUM(_xlfn._xlws.FILTER(PrvSty[DsvValue:EXT.],(PrvSty[Project]=TEXT($B156,"@"))*(PrvSty[Row]=$E156)*(PrvSty[Column]=UPPER(Q$114)),0)))</f>
        <v>0</v>
      </c>
      <c r="S156" s="157" cm="1">
        <f t="array" aca="1" ref="S156" ca="1">IF(OR($E156="X",$E156="",$E156=0,$B156="X",$B156="",$B156=0),0,SUM(_xlfn._xlws.FILTER(PrvSty[DsvValue:SERRA],(PrvSty[Project]=TEXT($B156,"@"))*(PrvSty[Row]=$E156)*(PrvSty[Column]=UPPER(S$114)),0)))</f>
        <v>0</v>
      </c>
      <c r="T156" s="157" cm="1">
        <f t="array" aca="1" ref="T156" ca="1">IF(OR($E156="X",$E156="",$E156=0,$B156="X",$B156="",$B156=0),0,SUM(_xlfn._xlws.FILTER(PrvSty[DsvValue:EXT.],(PrvSty[Project]=TEXT($B156,"@"))*(PrvSty[Row]=$E156)*(PrvSty[Column]=UPPER(S$114)),0)))</f>
        <v>0</v>
      </c>
      <c r="U156" s="157" cm="1">
        <f t="array" aca="1" ref="U156" ca="1">IF(OR($E156="X",$E156="",$E156=0,$B156="X",$B156="",$B156=0),0,SUM(_xlfn._xlws.FILTER(PrvSty[DsvValue:SERRA],(PrvSty[Project]=TEXT($B156,"@"))*(PrvSty[Row]=$E156)*(PrvSty[Column]=UPPER(U$114)),0)))</f>
        <v>0</v>
      </c>
      <c r="V156" s="157" cm="1">
        <f t="array" aca="1" ref="V156" ca="1">IF(OR($E156="X",$E156="",$E156=0,$B156="X",$B156="",$B156=0),0,SUM(_xlfn._xlws.FILTER(PrvSty[DsvValue:EXT.],(PrvSty[Project]=TEXT($B156,"@"))*(PrvSty[Row]=$E156)*(PrvSty[Column]=UPPER(U$114)),0)))</f>
        <v>3872</v>
      </c>
      <c r="W156" s="157" cm="1">
        <f t="array" aca="1" ref="W156" ca="1">IF(OR($E156="X",$E156="",$E156=0,$B156="X",$B156="",$B156=0),0,SUM(_xlfn._xlws.FILTER(PrvSty[DsvValue:SERRA],(PrvSty[Project]=TEXT($B156,"@"))*(PrvSty[Row]=$E156)*(PrvSty[Column]=UPPER(W$114)),0)))</f>
        <v>686</v>
      </c>
      <c r="X156" s="157" cm="1">
        <f t="array" aca="1" ref="X156" ca="1">IF(OR($E156="X",$E156="",$E156=0,$B156="X",$B156="",$B156=0),0,SUM(_xlfn._xlws.FILTER(PrvSty[DsvValue:EXT.],(PrvSty[Project]=TEXT($B156,"@"))*(PrvSty[Row]=$E156)*(PrvSty[Column]=UPPER(W$114)),0)))</f>
        <v>1097.5999999999999</v>
      </c>
      <c r="Y156" s="157" cm="1">
        <f t="array" aca="1" ref="Y156" ca="1">IF(OR($E156="X",$E156="",$E156=0,$B156="X",$B156="",$B156=0),0,SUM(_xlfn._xlws.FILTER(PrvSty[DsvValue:SERRA],(PrvSty[Project]=TEXT($B156,"@"))*(PrvSty[Row]=$E156)*(PrvSty[Column]=UPPER(Y$114)),0)))</f>
        <v>0</v>
      </c>
      <c r="Z156" s="157" cm="1">
        <f t="array" aca="1" ref="Z156" ca="1">IF(OR($E156="X",$E156="",$E156=0,$B156="X",$B156="",$B156=0),0,SUM(_xlfn._xlws.FILTER(PrvSty[DsvValue:EXT.],(PrvSty[Project]=TEXT($B156,"@"))*(PrvSty[Row]=$E156)*(PrvSty[Column]=UPPER(Y$114)),0)))</f>
        <v>0</v>
      </c>
      <c r="AA156" s="157" cm="1">
        <f t="array" aca="1" ref="AA156" ca="1">IF(OR($E156="X",$E156="",$E156=0,$B156="X",$B156="",$B156=0),0,SUM(_xlfn._xlws.FILTER(PrvSty[DsvValue:SERRA],(PrvSty[Project]=TEXT($B156,"@"))*(PrvSty[Row]=$E156)*(PrvSty[Column]=UPPER(AA$114)),0)))</f>
        <v>0</v>
      </c>
      <c r="AB156" s="157" cm="1">
        <f t="array" aca="1" ref="AB156" ca="1">IF(OR($E156="X",$E156="",$E156=0,$B156="X",$B156="",$B156=0),0,SUM(_xlfn._xlws.FILTER(PrvSty[DsvValue:EXT.],(PrvSty[Project]=TEXT($B156,"@"))*(PrvSty[Row]=$E156)*(PrvSty[Column]=UPPER(AA$114)),0)))</f>
        <v>0</v>
      </c>
      <c r="AC156" s="157" cm="1">
        <f t="array" aca="1" ref="AC156" ca="1">IF(OR($E156="X",$E156="",$E156=0,$B156="X",$B156="",$B156=0),0,SUM(_xlfn._xlws.FILTER(PrvSty[DsvValue:SERRA],(PrvSty[Project]=TEXT($B156,"@"))*(PrvSty[Row]=$E156)*(PrvSty[Column]=UPPER(AC$114)),0)))</f>
        <v>0</v>
      </c>
      <c r="AD156" s="157" cm="1">
        <f t="array" aca="1" ref="AD156" ca="1">IF(OR($E156="X",$E156="",$E156=0,$B156="X",$B156="",$B156=0),0,SUM(_xlfn._xlws.FILTER(PrvSty[DsvValue:EXT.],(PrvSty[Project]=TEXT($B156,"@"))*(PrvSty[Row]=$E156)*(PrvSty[Column]=UPPER(AC$114)),0)))</f>
        <v>0</v>
      </c>
      <c r="AE156" s="157" cm="1">
        <f t="array" aca="1" ref="AE156" ca="1">IF(OR($E156="X",$E156="",$E156=0,$B156="X",$B156="",$B156=0),0,SUM(_xlfn._xlws.FILTER(PrvSty[DsvValue:SERRA],(PrvSty[Project]=TEXT($B156,"@"))*(PrvSty[Row]=$E156)*(PrvSty[Column]=UPPER(AE$114)),0)))</f>
        <v>582.88</v>
      </c>
      <c r="AF156" s="157" cm="1">
        <f t="array" aca="1" ref="AF156" ca="1">IF(OR($E156="X",$E156="",$E156=0,$B156="X",$B156="",$B156=0),0,SUM(_xlfn._xlws.FILTER(PrvSty[DsvValue:EXT.],(PrvSty[Project]=TEXT($B156,"@"))*(PrvSty[Row]=$E156)*(PrvSty[Column]=UPPER(AE$114)),0)))</f>
        <v>0</v>
      </c>
      <c r="AG156" s="157" cm="1">
        <f t="array" aca="1" ref="AG156" ca="1">IF(OR($E156="X",$E156="",$E156=0,$B156="X",$B156="",$B156=0),0,SUM(_xlfn._xlws.FILTER(PrvSty[DsvValue:SERRA],(PrvSty[Project]=TEXT($B156,"@"))*(PrvSty[Row]=$E156)*(PrvSty[Column]=UPPER(AG$114)),0)))</f>
        <v>0</v>
      </c>
      <c r="AH156" s="157" cm="1">
        <f t="array" aca="1" ref="AH156" ca="1">IF(OR($E156="X",$E156="",$E156=0,$B156="X",$B156="",$B156=0),0,SUM(_xlfn._xlws.FILTER(PrvSty[DsvValue:EXT.],(PrvSty[Project]=TEXT($B156,"@"))*(PrvSty[Row]=$E156)*(PrvSty[Column]=UPPER(AG$114)),0)))</f>
        <v>0</v>
      </c>
      <c r="AI156" s="157" cm="1">
        <f t="array" aca="1" ref="AI156" ca="1">IF(OR($E156="X",$E156="",$E156=0,$B156="X",$B156="",$B156=0),0,SUM(_xlfn._xlws.FILTER(PrvSty[DsvValue:SERRA],(PrvSty[Project]=TEXT($B156,"@"))*(PrvSty[Row]=$E156)*(PrvSty[Column]=UPPER(AI$114)),0)))</f>
        <v>0</v>
      </c>
      <c r="AJ156" s="157" cm="1">
        <f t="array" aca="1" ref="AJ156" ca="1">IF(OR($E156="X",$E156="",$E156=0,$B156="X",$B156="",$B156=0),0,SUM(_xlfn._xlws.FILTER(PrvSty[DsvValue:EXT.],(PrvSty[Project]=TEXT($B156,"@"))*(PrvSty[Row]=$E156)*(PrvSty[Column]=UPPER(AI$114)),0)))</f>
        <v>0</v>
      </c>
      <c r="AK156" s="157" cm="1">
        <f t="array" aca="1" ref="AK156" ca="1">IF(OR($E156="X",$E156="",$E156=0,$B156="X",$B156="",$B156=0),0,SUM(_xlfn._xlws.FILTER(PrvSty[DsvValue:SERRA],(PrvSty[Project]=TEXT($B156,"@"))*(PrvSty[Row]=$E156)*(PrvSty[Column]=UPPER(AK$114)),0)))</f>
        <v>0</v>
      </c>
      <c r="AL156" s="157" cm="1">
        <f t="array" aca="1" ref="AL156" ca="1">IF(OR($E156="X",$E156="",$E156=0,$B156="X",$B156="",$B156=0),0,SUM(_xlfn._xlws.FILTER(PrvSty[DsvValue:EXT.],(PrvSty[Project]=TEXT($B156,"@"))*(PrvSty[Row]=$E156)*(PrvSty[Column]=UPPER(AK$114)),0)))</f>
        <v>0</v>
      </c>
      <c r="AM156" s="157" cm="1">
        <f t="array" aca="1" ref="AM156" ca="1">IF(OR($E156="X",$E156="",$E156=0,$B156="X",$B156="",$B156=0),0,SUM(_xlfn._xlws.FILTER(PrvSty[DsvValue:SERRA],(PrvSty[Project]=TEXT($B156,"@"))*(PrvSty[Row]=$E156)*(PrvSty[Column]=UPPER(AM$114)),0)))</f>
        <v>0</v>
      </c>
      <c r="AN156" s="157" cm="1">
        <f t="array" aca="1" ref="AN156" ca="1">IF(OR($E156="X",$E156="",$E156=0,$B156="X",$B156="",$B156=0),0,SUM(_xlfn._xlws.FILTER(PrvSty[DsvValue:EXT.],(PrvSty[Project]=TEXT($B156,"@"))*(PrvSty[Row]=$E156)*(PrvSty[Column]=UPPER(AM$114)),0)))</f>
        <v>0</v>
      </c>
      <c r="AO156" s="157" cm="1">
        <f t="array" aca="1" ref="AO156" ca="1">IF(OR($E156="X",$E156="",$E156=0,$B156="X",$B156="",$B156=0),0,SUM(_xlfn._xlws.FILTER(PrvSty[DsvValue:SERRA],(PrvSty[Project]=TEXT($B156,"@"))*(PrvSty[Row]=$E156)*(PrvSty[Column]=UPPER(AO$114)),0)))</f>
        <v>0</v>
      </c>
      <c r="AP156" s="157" cm="1">
        <f t="array" aca="1" ref="AP156" ca="1">IF(OR($E156="X",$E156="",$E156=0,$B156="X",$B156="",$B156=0),0,SUM(_xlfn._xlws.FILTER(PrvSty[DsvValue:EXT.],(PrvSty[Project]=TEXT($B156,"@"))*(PrvSty[Row]=$E156)*(PrvSty[Column]=UPPER(AO$114)),0)))</f>
        <v>0</v>
      </c>
      <c r="AQ156" s="157" cm="1">
        <f t="array" aca="1" ref="AQ156" ca="1">SUM(IF(INDIRECT($AS$115)=AQ$115,INDIRECT($AS156)))</f>
        <v>1268.8800000000001</v>
      </c>
      <c r="AR156" s="157" cm="1">
        <f t="array" aca="1" ref="AR156" ca="1">SUM(IF(INDIRECT($AS$115)=AR$115,INDIRECT($AS156)))</f>
        <v>4969.6000000000004</v>
      </c>
      <c r="AS156" s="286" t="str">
        <f t="shared" ca="1" si="15"/>
        <v>G156:AP156</v>
      </c>
      <c r="AT156" s="403">
        <f t="shared" ca="1" si="14"/>
        <v>6238.4800000000005</v>
      </c>
      <c r="AV156" s="142" cm="1">
        <f t="array" aca="1" ref="AV156" ca="1">IF(AND(_xlfn.LET(_xlpm.x,SUM(ROW()),OR(AND(MATCH("SOT",$A:$A,0)&lt;_xlpm.x,MATCH("EOT",$A:$A,0)&gt;_xlpm.x),AND(MATCH("SOS",$A:$A,0)&lt;_xlpm.x,MATCH("EOS",$A:$A,0)&gt;_xlpm.x),AND(MATCH("SOR",$A:$A,0)&lt;_xlpm.x,MATCH("EOR",$A:$A,0)&gt;_xlpm.x))),INDIRECT("rc"&amp;MATCH("SCD",$1:$1,0),FALSE)="PPTO"),1,0)</f>
        <v>0</v>
      </c>
      <c r="AW156" s="142" cm="1">
        <f t="array" aca="1" ref="AW15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57" spans="2:49" outlineLevel="1">
      <c r="B157" s="156" t="str" cm="1">
        <f t="array" aca="1" ref="B157:E157" ca="1">_xlfn.LET(_xlpm.x,SUM(ROW()-MATCH("SOR",$A:$A,0)),_xlpm.y,IFERROR(_xlfn.TAKE(INDEX(_xlfn._xlws.FILTER(TbAssign[],ISNUMBER(FIND(TbAssign[Project],$C$4)),"X"),1+QUOTIENT(_xlpm.x,3),0),1,4),0),IF(MOD(_xlpm.x-1,3)=0,IF(_xlpm.y=0,"X",_xlpm.y),INDIRECT("r[-1]c#",FALSE)))</f>
        <v>31200</v>
      </c>
      <c r="C157" s="156" t="str">
        <f ca="1"/>
        <v>XH01</v>
      </c>
      <c r="D157" s="148" t="str">
        <f ca="1"/>
        <v>CTCT</v>
      </c>
      <c r="E157" s="352" t="str">
        <f ca="1"/>
        <v>COSTES EVITABLES</v>
      </c>
      <c r="F157" s="148" t="s">
        <v>1383</v>
      </c>
      <c r="G157" s="158" cm="1">
        <f t="array" aca="1" ref="G157" ca="1">IF(OR($E157="X",$E157="",$E157=0,$B157="X",$B157="",$B157=0),0,SUM(_xlfn._xlws.FILTER(FrmBB1[Cur],(FrmBB1[PrjId]=TEXT($B157,"@"))*(FrmBB1[Row]=$E157)*(FrmBB1[Column]=UPPER(_xlfn.LET(_xlpm.x,_xlfn.TEXTBEFORE(G$114," ("),IFERROR(_xlpm.x,G$114)))&amp;" "&amp;G$115),0)))</f>
        <v>0</v>
      </c>
      <c r="H157" s="157" cm="1">
        <f t="array" aca="1" ref="H157" ca="1">IF(OR($E157="X",$E157="",$E157=0,$B157="X",$B157="",$B157=0),0,SUM(_xlfn._xlws.FILTER(FrmBB1[Cur],(FrmBB1[PrjId]=TEXT($B157,"@"))*(FrmBB1[Row]=$E157)*(FrmBB1[Column]=UPPER(_xlfn.LET(_xlpm.x,_xlfn.TEXTBEFORE(G$114," ("),IFERROR(_xlpm.x,G$114)))&amp;" "&amp;H$115),0)))</f>
        <v>0</v>
      </c>
      <c r="I157" s="158" cm="1">
        <f t="array" aca="1" ref="I157" ca="1">IF(OR($E157="X",$E157="",$E157=0,$B157="X",$B157="",$B157=0),0,SUM(_xlfn._xlws.FILTER(FrmBB1[Cur],(FrmBB1[PrjId]=TEXT($B157,"@"))*(FrmBB1[Row]=$E157)*(FrmBB1[Column]=UPPER(_xlfn.LET(_xlpm.x,_xlfn.TEXTBEFORE(I$114," ("),IFERROR(_xlpm.x,I$114)))&amp;" "&amp;I$115),0)))</f>
        <v>0</v>
      </c>
      <c r="J157" s="157" cm="1">
        <f t="array" aca="1" ref="J157" ca="1">IF(OR($E157="X",$E157="",$E157=0,$B157="X",$B157="",$B157=0),0,SUM(_xlfn._xlws.FILTER(FrmBB1[Cur],(FrmBB1[PrjId]=TEXT($B157,"@"))*(FrmBB1[Row]=$E157)*(FrmBB1[Column]=UPPER(_xlfn.LET(_xlpm.x,_xlfn.TEXTBEFORE(I$114," ("),IFERROR(_xlpm.x,I$114)))&amp;" "&amp;J$115),0)))</f>
        <v>0</v>
      </c>
      <c r="K157" s="158" cm="1">
        <f t="array" aca="1" ref="K157" ca="1">IF(OR($E157="X",$E157="",$E157=0,$B157="X",$B157="",$B157=0),0,SUM(_xlfn._xlws.FILTER(FrmBB1[Cur],(FrmBB1[PrjId]=TEXT($B157,"@"))*(FrmBB1[Row]=$E157)*(FrmBB1[Column]=UPPER(_xlfn.LET(_xlpm.x,_xlfn.TEXTBEFORE(K$114," ("),IFERROR(_xlpm.x,K$114)))&amp;" "&amp;K$115),0)))</f>
        <v>0</v>
      </c>
      <c r="L157" s="157" cm="1">
        <f t="array" aca="1" ref="L157" ca="1">IF(OR($E157="X",$E157="",$E157=0,$B157="X",$B157="",$B157=0),0,SUM(_xlfn._xlws.FILTER(FrmBB1[Cur],(FrmBB1[PrjId]=TEXT($B157,"@"))*(FrmBB1[Row]=$E157)*(FrmBB1[Column]=UPPER(_xlfn.LET(_xlpm.x,_xlfn.TEXTBEFORE(K$114," ("),IFERROR(_xlpm.x,K$114)))&amp;" "&amp;L$115),0)))</f>
        <v>0</v>
      </c>
      <c r="M157" s="158" cm="1">
        <f t="array" aca="1" ref="M157" ca="1">IF(OR($E157="X",$E157="",$E157=0,$B157="X",$B157="",$B157=0),0,SUM(_xlfn._xlws.FILTER(FrmBB1[Cur],(FrmBB1[PrjId]=TEXT($B157,"@"))*(FrmBB1[Row]=$E157)*(FrmBB1[Column]=UPPER(_xlfn.LET(_xlpm.x,_xlfn.TEXTBEFORE(M$114," ("),IFERROR(_xlpm.x,M$114)))&amp;" "&amp;M$115),0)))</f>
        <v>0</v>
      </c>
      <c r="N157" s="157" cm="1">
        <f t="array" aca="1" ref="N157" ca="1">IF(OR($E157="X",$E157="",$E157=0,$B157="X",$B157="",$B157=0),0,SUM(_xlfn._xlws.FILTER(FrmBB1[Cur],(FrmBB1[PrjId]=TEXT($B157,"@"))*(FrmBB1[Row]=$E157)*(FrmBB1[Column]=UPPER(_xlfn.LET(_xlpm.x,_xlfn.TEXTBEFORE(M$114," ("),IFERROR(_xlpm.x,M$114)))&amp;" "&amp;N$115),0)))</f>
        <v>0</v>
      </c>
      <c r="O157" s="158" cm="1">
        <f t="array" aca="1" ref="O157" ca="1">IF(OR($E157="X",$E157="",$E157=0,$B157="X",$B157="",$B157=0),0,SUM(_xlfn._xlws.FILTER(FrmBB1[Cur],(FrmBB1[PrjId]=TEXT($B157,"@"))*(FrmBB1[Row]=$E157)*(FrmBB1[Column]=UPPER(_xlfn.LET(_xlpm.x,_xlfn.TEXTBEFORE(O$114," ("),IFERROR(_xlpm.x,O$114)))&amp;" "&amp;O$115),0)))</f>
        <v>0</v>
      </c>
      <c r="P157" s="157" cm="1">
        <f t="array" aca="1" ref="P157" ca="1">IF(OR($E157="X",$E157="",$E157=0,$B157="X",$B157="",$B157=0),0,SUM(_xlfn._xlws.FILTER(FrmBB1[Cur],(FrmBB1[PrjId]=TEXT($B157,"@"))*(FrmBB1[Row]=$E157)*(FrmBB1[Column]=UPPER(_xlfn.LET(_xlpm.x,_xlfn.TEXTBEFORE(O$114," ("),IFERROR(_xlpm.x,O$114)))&amp;" "&amp;P$115),0)))</f>
        <v>0</v>
      </c>
      <c r="Q157" s="158" cm="1">
        <f t="array" aca="1" ref="Q157" ca="1">IF(OR($E157="X",$E157="",$E157=0,$B157="X",$B157="",$B157=0),0,SUM(_xlfn._xlws.FILTER(FrmBB1[Cur],(FrmBB1[PrjId]=TEXT($B157,"@"))*(FrmBB1[Row]=$E157)*(FrmBB1[Column]=UPPER(_xlfn.LET(_xlpm.x,_xlfn.TEXTBEFORE(Q$114," ("),IFERROR(_xlpm.x,Q$114)))&amp;" "&amp;Q$115),0)))</f>
        <v>0</v>
      </c>
      <c r="R157" s="157" cm="1">
        <f t="array" aca="1" ref="R157" ca="1">IF(OR($E157="X",$E157="",$E157=0,$B157="X",$B157="",$B157=0),0,SUM(_xlfn._xlws.FILTER(FrmBB1[Cur],(FrmBB1[PrjId]=TEXT($B157,"@"))*(FrmBB1[Row]=$E157)*(FrmBB1[Column]=UPPER(_xlfn.LET(_xlpm.x,_xlfn.TEXTBEFORE(Q$114," ("),IFERROR(_xlpm.x,Q$114)))&amp;" "&amp;R$115),0)))</f>
        <v>0</v>
      </c>
      <c r="S157" s="158" cm="1">
        <f t="array" aca="1" ref="S157" ca="1">IF(OR($E157="X",$E157="",$E157=0,$B157="X",$B157="",$B157=0),0,SUM(_xlfn._xlws.FILTER(FrmBB1[Cur],(FrmBB1[PrjId]=TEXT($B157,"@"))*(FrmBB1[Row]=$E157)*(FrmBB1[Column]=UPPER(_xlfn.LET(_xlpm.x,_xlfn.TEXTBEFORE(S$114," ("),IFERROR(_xlpm.x,S$114)))&amp;" "&amp;S$115),0)))</f>
        <v>0</v>
      </c>
      <c r="T157" s="157" cm="1">
        <f t="array" aca="1" ref="T157" ca="1">IF(OR($E157="X",$E157="",$E157=0,$B157="X",$B157="",$B157=0),0,SUM(_xlfn._xlws.FILTER(FrmBB1[Cur],(FrmBB1[PrjId]=TEXT($B157,"@"))*(FrmBB1[Row]=$E157)*(FrmBB1[Column]=UPPER(_xlfn.LET(_xlpm.x,_xlfn.TEXTBEFORE(S$114," ("),IFERROR(_xlpm.x,S$114)))&amp;" "&amp;T$115),0)))</f>
        <v>0</v>
      </c>
      <c r="U157" s="158" cm="1">
        <f t="array" aca="1" ref="U157" ca="1">IF(OR($E157="X",$E157="",$E157=0,$B157="X",$B157="",$B157=0),0,SUM(_xlfn._xlws.FILTER(FrmBB1[Cur],(FrmBB1[PrjId]=TEXT($B157,"@"))*(FrmBB1[Row]=$E157)*(FrmBB1[Column]=UPPER(_xlfn.LET(_xlpm.x,_xlfn.TEXTBEFORE(U$114," ("),IFERROR(_xlpm.x,U$114)))&amp;" "&amp;U$115),0)))</f>
        <v>0</v>
      </c>
      <c r="V157" s="157" cm="1">
        <f t="array" aca="1" ref="V157" ca="1">IF(OR($E157="X",$E157="",$E157=0,$B157="X",$B157="",$B157=0),0,SUM(_xlfn._xlws.FILTER(FrmBB1[Cur],(FrmBB1[PrjId]=TEXT($B157,"@"))*(FrmBB1[Row]=$E157)*(FrmBB1[Column]=UPPER(_xlfn.LET(_xlpm.x,_xlfn.TEXTBEFORE(U$114," ("),IFERROR(_xlpm.x,U$114)))&amp;" "&amp;V$115),0)))</f>
        <v>4406</v>
      </c>
      <c r="W157" s="158" cm="1">
        <f t="array" aca="1" ref="W157" ca="1">IF(OR($E157="X",$E157="",$E157=0,$B157="X",$B157="",$B157=0),0,SUM(_xlfn._xlws.FILTER(FrmBB1[Cur],(FrmBB1[PrjId]=TEXT($B157,"@"))*(FrmBB1[Row]=$E157)*(FrmBB1[Column]=UPPER(_xlfn.LET(_xlpm.x,_xlfn.TEXTBEFORE(W$114," ("),IFERROR(_xlpm.x,W$114)))&amp;" "&amp;W$115),0)))</f>
        <v>1895.8</v>
      </c>
      <c r="X157" s="157" cm="1">
        <f t="array" aca="1" ref="X157" ca="1">IF(OR($E157="X",$E157="",$E157=0,$B157="X",$B157="",$B157=0),0,SUM(_xlfn._xlws.FILTER(FrmBB1[Cur],(FrmBB1[PrjId]=TEXT($B157,"@"))*(FrmBB1[Row]=$E157)*(FrmBB1[Column]=UPPER(_xlfn.LET(_xlpm.x,_xlfn.TEXTBEFORE(W$114," ("),IFERROR(_xlpm.x,W$114)))&amp;" "&amp;X$115),0)))</f>
        <v>400</v>
      </c>
      <c r="Y157" s="158" cm="1">
        <f t="array" aca="1" ref="Y157" ca="1">IF(OR($E157="X",$E157="",$E157=0,$B157="X",$B157="",$B157=0),0,SUM(_xlfn._xlws.FILTER(FrmBB1[Cur],(FrmBB1[PrjId]=TEXT($B157,"@"))*(FrmBB1[Row]=$E157)*(FrmBB1[Column]=UPPER(_xlfn.LET(_xlpm.x,_xlfn.TEXTBEFORE(Y$114," ("),IFERROR(_xlpm.x,Y$114)))&amp;" "&amp;Y$115),0)))</f>
        <v>69.099999999999994</v>
      </c>
      <c r="Z157" s="157" cm="1">
        <f t="array" aca="1" ref="Z157" ca="1">IF(OR($E157="X",$E157="",$E157=0,$B157="X",$B157="",$B157=0),0,SUM(_xlfn._xlws.FILTER(FrmBB1[Cur],(FrmBB1[PrjId]=TEXT($B157,"@"))*(FrmBB1[Row]=$E157)*(FrmBB1[Column]=UPPER(_xlfn.LET(_xlpm.x,_xlfn.TEXTBEFORE(Y$114," ("),IFERROR(_xlpm.x,Y$114)))&amp;" "&amp;Z$115),0)))</f>
        <v>0</v>
      </c>
      <c r="AA157" s="158" cm="1">
        <f t="array" aca="1" ref="AA157" ca="1">IF(OR($E157="X",$E157="",$E157=0,$B157="X",$B157="",$B157=0),0,SUM(_xlfn._xlws.FILTER(FrmBB1[Cur],(FrmBB1[PrjId]=TEXT($B157,"@"))*(FrmBB1[Row]=$E157)*(FrmBB1[Column]=UPPER(_xlfn.LET(_xlpm.x,_xlfn.TEXTBEFORE(AA$114," ("),IFERROR(_xlpm.x,AA$114)))&amp;" "&amp;AA$115),0)))</f>
        <v>0</v>
      </c>
      <c r="AB157" s="157" cm="1">
        <f t="array" aca="1" ref="AB157" ca="1">IF(OR($E157="X",$E157="",$E157=0,$B157="X",$B157="",$B157=0),0,SUM(_xlfn._xlws.FILTER(FrmBB1[Cur],(FrmBB1[PrjId]=TEXT($B157,"@"))*(FrmBB1[Row]=$E157)*(FrmBB1[Column]=UPPER(_xlfn.LET(_xlpm.x,_xlfn.TEXTBEFORE(AA$114," ("),IFERROR(_xlpm.x,AA$114)))&amp;" "&amp;AB$115),0)))</f>
        <v>0</v>
      </c>
      <c r="AC157" s="158" cm="1">
        <f t="array" aca="1" ref="AC157" ca="1">IF(OR($E157="X",$E157="",$E157=0,$B157="X",$B157="",$B157=0),0,SUM(_xlfn._xlws.FILTER(FrmBB1[Cur],(FrmBB1[PrjId]=TEXT($B157,"@"))*(FrmBB1[Row]=$E157)*(FrmBB1[Column]=UPPER(_xlfn.LET(_xlpm.x,_xlfn.TEXTBEFORE(AC$114," ("),IFERROR(_xlpm.x,AC$114)))&amp;" "&amp;AC$115),0)))</f>
        <v>0</v>
      </c>
      <c r="AD157" s="157" cm="1">
        <f t="array" aca="1" ref="AD157" ca="1">IF(OR($E157="X",$E157="",$E157=0,$B157="X",$B157="",$B157=0),0,SUM(_xlfn._xlws.FILTER(FrmBB1[Cur],(FrmBB1[PrjId]=TEXT($B157,"@"))*(FrmBB1[Row]=$E157)*(FrmBB1[Column]=UPPER(_xlfn.LET(_xlpm.x,_xlfn.TEXTBEFORE(AC$114," ("),IFERROR(_xlpm.x,AC$114)))&amp;" "&amp;AD$115),0)))</f>
        <v>0</v>
      </c>
      <c r="AE157" s="158" cm="1">
        <f t="array" aca="1" ref="AE157" ca="1">IF(OR($E157="X",$E157="",$E157=0,$B157="X",$B157="",$B157=0),0,SUM(_xlfn._xlws.FILTER(FrmBB1[Cur],(FrmBB1[PrjId]=TEXT($B157,"@"))*(FrmBB1[Row]=$E157)*(FrmBB1[Column]=UPPER(_xlfn.LET(_xlpm.x,_xlfn.TEXTBEFORE(AE$114," ("),IFERROR(_xlpm.x,AE$114)))&amp;" "&amp;AE$115),0)))</f>
        <v>2222.23</v>
      </c>
      <c r="AF157" s="157" cm="1">
        <f t="array" aca="1" ref="AF157" ca="1">IF(OR($E157="X",$E157="",$E157=0,$B157="X",$B157="",$B157=0),0,SUM(_xlfn._xlws.FILTER(FrmBB1[Cur],(FrmBB1[PrjId]=TEXT($B157,"@"))*(FrmBB1[Row]=$E157)*(FrmBB1[Column]=UPPER(_xlfn.LET(_xlpm.x,_xlfn.TEXTBEFORE(AE$114," ("),IFERROR(_xlpm.x,AE$114)))&amp;" "&amp;AF$115),0)))</f>
        <v>0</v>
      </c>
      <c r="AG157" s="158" cm="1">
        <f t="array" aca="1" ref="AG157" ca="1">IF(OR($E157="X",$E157="",$E157=0,$B157="X",$B157="",$B157=0),0,SUM(_xlfn._xlws.FILTER(FrmBB1[Cur],(FrmBB1[PrjId]=TEXT($B157,"@"))*(FrmBB1[Row]=$E157)*(FrmBB1[Column]=UPPER(_xlfn.LET(_xlpm.x,_xlfn.TEXTBEFORE(AG$114," ("),IFERROR(_xlpm.x,AG$114)))&amp;" "&amp;AG$115),0)))</f>
        <v>0</v>
      </c>
      <c r="AH157" s="157" cm="1">
        <f t="array" aca="1" ref="AH157" ca="1">IF(OR($E157="X",$E157="",$E157=0,$B157="X",$B157="",$B157=0),0,SUM(_xlfn._xlws.FILTER(FrmBB1[Cur],(FrmBB1[PrjId]=TEXT($B157,"@"))*(FrmBB1[Row]=$E157)*(FrmBB1[Column]=UPPER(_xlfn.LET(_xlpm.x,_xlfn.TEXTBEFORE(AG$114," ("),IFERROR(_xlpm.x,AG$114)))&amp;" "&amp;AH$115),0)))</f>
        <v>0</v>
      </c>
      <c r="AI157" s="158" cm="1">
        <f t="array" aca="1" ref="AI157" ca="1">IF(OR($E157="X",$E157="",$E157=0,$B157="X",$B157="",$B157=0),0,SUM(_xlfn._xlws.FILTER(FrmBB1[Cur],(FrmBB1[PrjId]=TEXT($B157,"@"))*(FrmBB1[Row]=$E157)*(FrmBB1[Column]=UPPER(_xlfn.LET(_xlpm.x,_xlfn.TEXTBEFORE(AI$114," ("),IFERROR(_xlpm.x,AI$114)))&amp;" "&amp;AI$115),0)))</f>
        <v>0</v>
      </c>
      <c r="AJ157" s="157" cm="1">
        <f t="array" aca="1" ref="AJ157" ca="1">IF(OR($E157="X",$E157="",$E157=0,$B157="X",$B157="",$B157=0),0,SUM(_xlfn._xlws.FILTER(FrmBB1[Cur],(FrmBB1[PrjId]=TEXT($B157,"@"))*(FrmBB1[Row]=$E157)*(FrmBB1[Column]=UPPER(_xlfn.LET(_xlpm.x,_xlfn.TEXTBEFORE(AI$114," ("),IFERROR(_xlpm.x,AI$114)))&amp;" "&amp;AJ$115),0)))</f>
        <v>157.80000000000001</v>
      </c>
      <c r="AK157" s="158" cm="1">
        <f t="array" aca="1" ref="AK157" ca="1">IF(OR($E157="X",$E157="",$E157=0,$B157="X",$B157="",$B157=0),0,SUM(_xlfn._xlws.FILTER(FrmBB1[Cur],(FrmBB1[PrjId]=TEXT($B157,"@"))*(FrmBB1[Row]=$E157)*(FrmBB1[Column]=UPPER(_xlfn.LET(_xlpm.x,_xlfn.TEXTBEFORE(AK$114," ("),IFERROR(_xlpm.x,AK$114)))&amp;" "&amp;AK$115),0)))</f>
        <v>0</v>
      </c>
      <c r="AL157" s="157" cm="1">
        <f t="array" aca="1" ref="AL157" ca="1">IF(OR($E157="X",$E157="",$E157=0,$B157="X",$B157="",$B157=0),0,SUM(_xlfn._xlws.FILTER(FrmBB1[Cur],(FrmBB1[PrjId]=TEXT($B157,"@"))*(FrmBB1[Row]=$E157)*(FrmBB1[Column]=UPPER(_xlfn.LET(_xlpm.x,_xlfn.TEXTBEFORE(AK$114," ("),IFERROR(_xlpm.x,AK$114)))&amp;" "&amp;AL$115),0)))</f>
        <v>0</v>
      </c>
      <c r="AM157" s="158" cm="1">
        <f t="array" aca="1" ref="AM157" ca="1">IF(OR($E157="X",$E157="",$E157=0,$B157="X",$B157="",$B157=0),0,SUM(_xlfn._xlws.FILTER(FrmBB1[Cur],(FrmBB1[PrjId]=TEXT($B157,"@"))*(FrmBB1[Row]=$E157)*(FrmBB1[Column]=UPPER(_xlfn.LET(_xlpm.x,_xlfn.TEXTBEFORE(AM$114," ("),IFERROR(_xlpm.x,AM$114)))&amp;" "&amp;AM$115),0)))</f>
        <v>0</v>
      </c>
      <c r="AN157" s="157" cm="1">
        <f t="array" aca="1" ref="AN157" ca="1">IF(OR($E157="X",$E157="",$E157=0,$B157="X",$B157="",$B157=0),0,SUM(_xlfn._xlws.FILTER(FrmBB1[Cur],(FrmBB1[PrjId]=TEXT($B157,"@"))*(FrmBB1[Row]=$E157)*(FrmBB1[Column]=UPPER(_xlfn.LET(_xlpm.x,_xlfn.TEXTBEFORE(AM$114," ("),IFERROR(_xlpm.x,AM$114)))&amp;" "&amp;AN$115),0)))</f>
        <v>0</v>
      </c>
      <c r="AO157" s="158" cm="1">
        <f t="array" aca="1" ref="AO157" ca="1">IF(OR($E157="X",$E157="",$E157=0,$B157="X",$B157="",$B157=0),0,SUM(_xlfn._xlws.FILTER(FrmBB1[Cur],(FrmBB1[PrjId]=TEXT($B157,"@"))*(FrmBB1[Row]=$E157)*(FrmBB1[Column]=UPPER(_xlfn.LET(_xlpm.x,_xlfn.TEXTBEFORE(AO$114," ("),IFERROR(_xlpm.x,AO$114)))&amp;" "&amp;AO$115),0)))</f>
        <v>0</v>
      </c>
      <c r="AP157" s="157" cm="1">
        <f t="array" aca="1" ref="AP157" ca="1">IF(OR($E157="X",$E157="",$E157=0,$B157="X",$B157="",$B157=0),0,SUM(_xlfn._xlws.FILTER(FrmBB1[Cur],(FrmBB1[PrjId]=TEXT($B157,"@"))*(FrmBB1[Row]=$E157)*(FrmBB1[Column]=UPPER(_xlfn.LET(_xlpm.x,_xlfn.TEXTBEFORE(AO$114," ("),IFERROR(_xlpm.x,AO$114)))&amp;" "&amp;AP$115),0)))</f>
        <v>0</v>
      </c>
      <c r="AQ157" s="157" cm="1">
        <f t="array" aca="1" ref="AQ157" ca="1">SUM(IF(INDIRECT($AS$115)=AQ$115,INDIRECT($AS157)))</f>
        <v>4187.13</v>
      </c>
      <c r="AR157" s="157" cm="1">
        <f t="array" aca="1" ref="AR157" ca="1">SUM(IF(INDIRECT($AS$115)=AR$115,INDIRECT($AS157)))</f>
        <v>4963.8</v>
      </c>
      <c r="AS157" s="286" t="str">
        <f t="shared" ca="1" si="15"/>
        <v>G157:AP157</v>
      </c>
      <c r="AT157" s="355">
        <f t="shared" ca="1" si="14"/>
        <v>9150.93</v>
      </c>
      <c r="AV157" s="142" cm="1">
        <f t="array" aca="1" ref="AV157" ca="1">IF(AND(_xlfn.LET(_xlpm.x,SUM(ROW()),OR(AND(MATCH("SOT",$A:$A,0)&lt;_xlpm.x,MATCH("EOT",$A:$A,0)&gt;_xlpm.x),AND(MATCH("SOS",$A:$A,0)&lt;_xlpm.x,MATCH("EOS",$A:$A,0)&gt;_xlpm.x),AND(MATCH("SOR",$A:$A,0)&lt;_xlpm.x,MATCH("EOR",$A:$A,0)&gt;_xlpm.x))),INDIRECT("rc"&amp;MATCH("SCD",$1:$1,0),FALSE)="PPTO"),1,0)</f>
        <v>0</v>
      </c>
      <c r="AW157" s="142" cm="1">
        <f t="array" aca="1" ref="AW15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58" spans="2:49" outlineLevel="1">
      <c r="B158" s="156" t="str" cm="1">
        <f t="array" aca="1" ref="B158:E158" ca="1">_xlfn.LET(_xlpm.x,SUM(ROW()-MATCH("SOR",$A:$A,0)),_xlpm.y,IFERROR(_xlfn.TAKE(INDEX(_xlfn._xlws.FILTER(TbAssign[],ISNUMBER(FIND(TbAssign[Project],$C$4)),"X"),1+QUOTIENT(_xlpm.x,3),0),1,4),0),IF(MOD(_xlpm.x-1,3)=0,IF(_xlpm.y=0,"X",_xlpm.y),INDIRECT("r[-1]c#",FALSE)))</f>
        <v>31200</v>
      </c>
      <c r="C158" s="156" t="str">
        <f ca="1"/>
        <v>XH02</v>
      </c>
      <c r="D158" s="148" t="str">
        <f ca="1"/>
        <v>CTCT</v>
      </c>
      <c r="E158" s="352" t="str">
        <f ca="1"/>
        <v>COSTES EVITABLES PROVEEDORES</v>
      </c>
      <c r="F158" s="148" t="s">
        <v>397</v>
      </c>
      <c r="G158" s="157" cm="1">
        <f t="array" aca="1" ref="G158" ca="1">IF(OR($E158="X",$E158="",$E158=0,$B158="X",$B158="",$B158=0),0,SUM(_xlfn._xlws.FILTER(IF($E$4="Ppto",PptoSty[CurPpto],PptoSty[CurInt]),(IF($E$4="Ppto",PptoSty[POvsCT]=G$113,TRUE))*(PptoSty[Project]=TEXT($B158,"@"))*(PptoSty[PptoVsRow]=$E158)*(PptoSty[PptoVsColumn]=UPPER(G$114)),0)))</f>
        <v>0</v>
      </c>
      <c r="H158" s="157" cm="1">
        <f t="array" aca="1" ref="H158" ca="1">IF(OR($E158="X",$E158="",$E158=0,$B158="X",$B158="",$B158=0),0,SUM(_xlfn._xlws.FILTER(IF($E$4="Ppto",PptoSty[CurPpto],PptoSty[CurExt]),(IF($E$4="Ppto",PptoSty[POvsCT]=H$113,TRUE))*(PptoSty[Project]=TEXT($B158,"@"))*(PptoSty[PptoVsRow]=$E158)*(PptoSty[PptoVsColumn]=UPPER(G$114)),0)))</f>
        <v>0</v>
      </c>
      <c r="I158" s="157" cm="1">
        <f t="array" aca="1" ref="I158" ca="1">IF(OR($E158="X",$E158="",$E158=0,$B158="X",$B158="",$B158=0),0,SUM(_xlfn._xlws.FILTER(IF($E$4="Ppto",PptoSty[CurPpto],PptoSty[CurInt]),(IF($E$4="Ppto",PptoSty[POvsCT]=I$113,TRUE))*(PptoSty[Project]=TEXT($B158,"@"))*(PptoSty[PptoVsRow]=$E158)*(PptoSty[PptoVsColumn]=UPPER(I$114)),0)))</f>
        <v>0</v>
      </c>
      <c r="J158" s="157" cm="1">
        <f t="array" aca="1" ref="J158" ca="1">IF(OR($E158="X",$E158="",$E158=0,$B158="X",$B158="",$B158=0),0,SUM(_xlfn._xlws.FILTER(IF($E$4="Ppto",PptoSty[CurPpto],PptoSty[CurExt]),(IF($E$4="Ppto",PptoSty[POvsCT]=J$113,TRUE))*(PptoSty[Project]=TEXT($B158,"@"))*(PptoSty[PptoVsRow]=$E158)*(PptoSty[PptoVsColumn]=UPPER(I$114)),0)))</f>
        <v>0</v>
      </c>
      <c r="K158" s="157" cm="1">
        <f t="array" aca="1" ref="K158" ca="1">IF(OR($E158="X",$E158="",$E158=0,$B158="X",$B158="",$B158=0),0,SUM(_xlfn._xlws.FILTER(IF($E$4="Ppto",PptoSty[CurPpto],PptoSty[CurInt]),(IF($E$4="Ppto",PptoSty[POvsCT]=K$113,TRUE))*(PptoSty[Project]=TEXT($B158,"@"))*(PptoSty[PptoVsRow]=$E158)*(PptoSty[PptoVsColumn]=UPPER(K$114)),0)))</f>
        <v>0</v>
      </c>
      <c r="L158" s="157" cm="1">
        <f t="array" aca="1" ref="L158" ca="1">IF(OR($E158="X",$E158="",$E158=0,$B158="X",$B158="",$B158=0),0,SUM(_xlfn._xlws.FILTER(IF($E$4="Ppto",PptoSty[CurPpto],PptoSty[CurExt]),(IF($E$4="Ppto",PptoSty[POvsCT]=L$113,TRUE))*(PptoSty[Project]=TEXT($B158,"@"))*(PptoSty[PptoVsRow]=$E158)*(PptoSty[PptoVsColumn]=UPPER(K$114)),0)))</f>
        <v>0</v>
      </c>
      <c r="M158" s="157" cm="1">
        <f t="array" aca="1" ref="M158" ca="1">IF(OR($E158="X",$E158="",$E158=0,$B158="X",$B158="",$B158=0),0,SUM(_xlfn._xlws.FILTER(IF($E$4="Ppto",PptoSty[CurPpto],PptoSty[CurInt]),(IF($E$4="Ppto",PptoSty[POvsCT]=M$113,TRUE))*(PptoSty[Project]=TEXT($B158,"@"))*(PptoSty[PptoVsRow]=$E158)*(PptoSty[PptoVsColumn]=UPPER(M$114)),0)))</f>
        <v>0</v>
      </c>
      <c r="N158" s="157" cm="1">
        <f t="array" aca="1" ref="N158" ca="1">IF(OR($E158="X",$E158="",$E158=0,$B158="X",$B158="",$B158=0),0,SUM(_xlfn._xlws.FILTER(IF($E$4="Ppto",PptoSty[CurPpto],PptoSty[CurExt]),(IF($E$4="Ppto",PptoSty[POvsCT]=N$113,TRUE))*(PptoSty[Project]=TEXT($B158,"@"))*(PptoSty[PptoVsRow]=$E158)*(PptoSty[PptoVsColumn]=UPPER(M$114)),0)))</f>
        <v>0</v>
      </c>
      <c r="O158" s="157" cm="1">
        <f t="array" aca="1" ref="O158" ca="1">IF(OR($E158="X",$E158="",$E158=0,$B158="X",$B158="",$B158=0),0,SUM(_xlfn._xlws.FILTER(IF($E$4="Ppto",PptoSty[CurPpto],PptoSty[CurInt]),(IF($E$4="Ppto",PptoSty[POvsCT]=O$113,TRUE))*(PptoSty[Project]=TEXT($B158,"@"))*(PptoSty[PptoVsRow]=$E158)*(PptoSty[PptoVsColumn]=UPPER(O$114)),0)))</f>
        <v>0</v>
      </c>
      <c r="P158" s="157" cm="1">
        <f t="array" aca="1" ref="P158" ca="1">IF(OR($E158="X",$E158="",$E158=0,$B158="X",$B158="",$B158=0),0,SUM(_xlfn._xlws.FILTER(IF($E$4="Ppto",PptoSty[CurPpto],PptoSty[CurExt]),(IF($E$4="Ppto",PptoSty[POvsCT]=P$113,TRUE))*(PptoSty[Project]=TEXT($B158,"@"))*(PptoSty[PptoVsRow]=$E158)*(PptoSty[PptoVsColumn]=UPPER(O$114)),0)))</f>
        <v>0</v>
      </c>
      <c r="Q158" s="157" cm="1">
        <f t="array" aca="1" ref="Q158" ca="1">IF(OR($E158="X",$E158="",$E158=0,$B158="X",$B158="",$B158=0),0,SUM(_xlfn._xlws.FILTER(IF($E$4="Ppto",PptoSty[CurPpto],PptoSty[CurInt]),(IF($E$4="Ppto",PptoSty[POvsCT]=Q$113,TRUE))*(PptoSty[Project]=TEXT($B158,"@"))*(PptoSty[PptoVsRow]=$E158)*(PptoSty[PptoVsColumn]=UPPER(Q$114)),0)))</f>
        <v>0</v>
      </c>
      <c r="R158" s="157" cm="1">
        <f t="array" aca="1" ref="R158" ca="1">IF(OR($E158="X",$E158="",$E158=0,$B158="X",$B158="",$B158=0),0,SUM(_xlfn._xlws.FILTER(IF($E$4="Ppto",PptoSty[CurPpto],PptoSty[CurExt]),(IF($E$4="Ppto",PptoSty[POvsCT]=R$113,TRUE))*(PptoSty[Project]=TEXT($B158,"@"))*(PptoSty[PptoVsRow]=$E158)*(PptoSty[PptoVsColumn]=UPPER(Q$114)),0)))</f>
        <v>0</v>
      </c>
      <c r="S158" s="157" cm="1">
        <f t="array" aca="1" ref="S158" ca="1">IF(OR($E158="X",$E158="",$E158=0,$B158="X",$B158="",$B158=0),0,SUM(_xlfn._xlws.FILTER(IF($E$4="Ppto",PptoSty[CurPpto],PptoSty[CurInt]),(IF($E$4="Ppto",PptoSty[POvsCT]=S$113,TRUE))*(PptoSty[Project]=TEXT($B158,"@"))*(PptoSty[PptoVsRow]=$E158)*(PptoSty[PptoVsColumn]=UPPER(S$114)),0)))</f>
        <v>0</v>
      </c>
      <c r="T158" s="157" cm="1">
        <f t="array" aca="1" ref="T158" ca="1">IF(OR($E158="X",$E158="",$E158=0,$B158="X",$B158="",$B158=0),0,SUM(_xlfn._xlws.FILTER(IF($E$4="Ppto",PptoSty[CurPpto],PptoSty[CurExt]),(IF($E$4="Ppto",PptoSty[POvsCT]=T$113,TRUE))*(PptoSty[Project]=TEXT($B158,"@"))*(PptoSty[PptoVsRow]=$E158)*(PptoSty[PptoVsColumn]=UPPER(S$114)),0)))</f>
        <v>0</v>
      </c>
      <c r="U158" s="157" cm="1">
        <f t="array" aca="1" ref="U158" ca="1">IF(OR($E158="X",$E158="",$E158=0,$B158="X",$B158="",$B158=0),0,SUM(_xlfn._xlws.FILTER(IF($E$4="Ppto",PptoSty[CurPpto],PptoSty[CurInt]),(IF($E$4="Ppto",PptoSty[POvsCT]=U$113,TRUE))*(PptoSty[Project]=TEXT($B158,"@"))*(PptoSty[PptoVsRow]=$E158)*(PptoSty[PptoVsColumn]=UPPER(U$114)),0)))</f>
        <v>0</v>
      </c>
      <c r="V158" s="157" cm="1">
        <f t="array" aca="1" ref="V158" ca="1">IF(OR($E158="X",$E158="",$E158=0,$B158="X",$B158="",$B158=0),0,SUM(_xlfn._xlws.FILTER(IF($E$4="Ppto",PptoSty[CurPpto],PptoSty[CurExt]),(IF($E$4="Ppto",PptoSty[POvsCT]=V$113,TRUE))*(PptoSty[Project]=TEXT($B158,"@"))*(PptoSty[PptoVsRow]=$E158)*(PptoSty[PptoVsColumn]=UPPER(U$114)),0)))</f>
        <v>0</v>
      </c>
      <c r="W158" s="157" cm="1">
        <f t="array" aca="1" ref="W158" ca="1">IF(OR($E158="X",$E158="",$E158=0,$B158="X",$B158="",$B158=0),0,SUM(_xlfn._xlws.FILTER(IF($E$4="Ppto",PptoSty[CurPpto],PptoSty[CurInt]),(IF($E$4="Ppto",PptoSty[POvsCT]=W$113,TRUE))*(PptoSty[Project]=TEXT($B158,"@"))*(PptoSty[PptoVsRow]=$E158)*(PptoSty[PptoVsColumn]=UPPER(W$114)),0)))</f>
        <v>0</v>
      </c>
      <c r="X158" s="157" cm="1">
        <f t="array" aca="1" ref="X158" ca="1">IF(OR($E158="X",$E158="",$E158=0,$B158="X",$B158="",$B158=0),0,SUM(_xlfn._xlws.FILTER(IF($E$4="Ppto",PptoSty[CurPpto],PptoSty[CurExt]),(IF($E$4="Ppto",PptoSty[POvsCT]=X$113,TRUE))*(PptoSty[Project]=TEXT($B158,"@"))*(PptoSty[PptoVsRow]=$E158)*(PptoSty[PptoVsColumn]=UPPER(W$114)),0)))</f>
        <v>0</v>
      </c>
      <c r="Y158" s="157" cm="1">
        <f t="array" aca="1" ref="Y158" ca="1">IF(OR($E158="X",$E158="",$E158=0,$B158="X",$B158="",$B158=0),0,SUM(_xlfn._xlws.FILTER(IF($E$4="Ppto",PptoSty[CurPpto],PptoSty[CurInt]),(IF($E$4="Ppto",PptoSty[POvsCT]=Y$113,TRUE))*(PptoSty[Project]=TEXT($B158,"@"))*(PptoSty[PptoVsRow]=$E158)*(PptoSty[PptoVsColumn]=UPPER(Y$114)),0)))</f>
        <v>0</v>
      </c>
      <c r="Z158" s="157" cm="1">
        <f t="array" aca="1" ref="Z158" ca="1">IF(OR($E158="X",$E158="",$E158=0,$B158="X",$B158="",$B158=0),0,SUM(_xlfn._xlws.FILTER(IF($E$4="Ppto",PptoSty[CurPpto],PptoSty[CurExt]),(IF($E$4="Ppto",PptoSty[POvsCT]=Z$113,TRUE))*(PptoSty[Project]=TEXT($B158,"@"))*(PptoSty[PptoVsRow]=$E158)*(PptoSty[PptoVsColumn]=UPPER(Y$114)),0)))</f>
        <v>0</v>
      </c>
      <c r="AA158" s="157" cm="1">
        <f t="array" aca="1" ref="AA158" ca="1">IF(OR($E158="X",$E158="",$E158=0,$B158="X",$B158="",$B158=0),0,SUM(_xlfn._xlws.FILTER(IF($E$4="Ppto",PptoSty[CurPpto],PptoSty[CurInt]),(IF($E$4="Ppto",PptoSty[POvsCT]=AA$113,TRUE))*(PptoSty[Project]=TEXT($B158,"@"))*(PptoSty[PptoVsRow]=$E158)*(PptoSty[PptoVsColumn]=UPPER(AA$114)),0)))</f>
        <v>0</v>
      </c>
      <c r="AB158" s="157" cm="1">
        <f t="array" aca="1" ref="AB158" ca="1">IF(OR($E158="X",$E158="",$E158=0,$B158="X",$B158="",$B158=0),0,SUM(_xlfn._xlws.FILTER(IF($E$4="Ppto",PptoSty[CurPpto],PptoSty[CurExt]),(IF($E$4="Ppto",PptoSty[POvsCT]=AB$113,TRUE))*(PptoSty[Project]=TEXT($B158,"@"))*(PptoSty[PptoVsRow]=$E158)*(PptoSty[PptoVsColumn]=UPPER(AA$114)),0)))</f>
        <v>0</v>
      </c>
      <c r="AC158" s="157" cm="1">
        <f t="array" aca="1" ref="AC158" ca="1">IF(OR($E158="X",$E158="",$E158=0,$B158="X",$B158="",$B158=0),0,SUM(_xlfn._xlws.FILTER(IF($E$4="Ppto",PptoSty[CurPpto],PptoSty[CurInt]),(IF($E$4="Ppto",PptoSty[POvsCT]=AC$113,TRUE))*(PptoSty[Project]=TEXT($B158,"@"))*(PptoSty[PptoVsRow]=$E158)*(PptoSty[PptoVsColumn]=UPPER(AC$114)),0)))</f>
        <v>0</v>
      </c>
      <c r="AD158" s="157" cm="1">
        <f t="array" aca="1" ref="AD158" ca="1">IF(OR($E158="X",$E158="",$E158=0,$B158="X",$B158="",$B158=0),0,SUM(_xlfn._xlws.FILTER(IF($E$4="Ppto",PptoSty[CurPpto],PptoSty[CurExt]),(IF($E$4="Ppto",PptoSty[POvsCT]=AD$113,TRUE))*(PptoSty[Project]=TEXT($B158,"@"))*(PptoSty[PptoVsRow]=$E158)*(PptoSty[PptoVsColumn]=UPPER(AC$114)),0)))</f>
        <v>0</v>
      </c>
      <c r="AE158" s="157" cm="1">
        <f t="array" aca="1" ref="AE158" ca="1">IF(OR($E158="X",$E158="",$E158=0,$B158="X",$B158="",$B158=0),0,SUM(_xlfn._xlws.FILTER(IF($E$4="Ppto",PptoSty[CurPpto],PptoSty[CurInt]),(IF($E$4="Ppto",PptoSty[POvsCT]=AE$113,TRUE))*(PptoSty[Project]=TEXT($B158,"@"))*(PptoSty[PptoVsRow]=$E158)*(PptoSty[PptoVsColumn]=UPPER(AE$114)),0)))</f>
        <v>0</v>
      </c>
      <c r="AF158" s="157" cm="1">
        <f t="array" aca="1" ref="AF158" ca="1">IF(OR($E158="X",$E158="",$E158=0,$B158="X",$B158="",$B158=0),0,SUM(_xlfn._xlws.FILTER(IF($E$4="Ppto",PptoSty[CurPpto],PptoSty[CurExt]),(IF($E$4="Ppto",PptoSty[POvsCT]=AF$113,TRUE))*(PptoSty[Project]=TEXT($B158,"@"))*(PptoSty[PptoVsRow]=$E158)*(PptoSty[PptoVsColumn]=UPPER(AE$114)),0)))</f>
        <v>0</v>
      </c>
      <c r="AG158" s="157" cm="1">
        <f t="array" aca="1" ref="AG158" ca="1">IF(OR($E158="X",$E158="",$E158=0,$B158="X",$B158="",$B158=0),0,SUM(_xlfn._xlws.FILTER(IF($E$4="Ppto",PptoSty[CurPpto],PptoSty[CurInt]),(IF($E$4="Ppto",PptoSty[POvsCT]=AG$113,TRUE))*(PptoSty[Project]=TEXT($B158,"@"))*(PptoSty[PptoVsRow]=$E158)*(PptoSty[PptoVsColumn]=UPPER(AG$114)),0)))</f>
        <v>0</v>
      </c>
      <c r="AH158" s="157" cm="1">
        <f t="array" aca="1" ref="AH158" ca="1">IF(OR($E158="X",$E158="",$E158=0,$B158="X",$B158="",$B158=0),0,SUM(_xlfn._xlws.FILTER(IF($E$4="Ppto",PptoSty[CurPpto],PptoSty[CurExt]),(IF($E$4="Ppto",PptoSty[POvsCT]=AH$113,TRUE))*(PptoSty[Project]=TEXT($B158,"@"))*(PptoSty[PptoVsRow]=$E158)*(PptoSty[PptoVsColumn]=UPPER(AG$114)),0)))</f>
        <v>0</v>
      </c>
      <c r="AI158" s="157" cm="1">
        <f t="array" aca="1" ref="AI158" ca="1">IF(OR($E158="X",$E158="",$E158=0,$B158="X",$B158="",$B158=0),0,SUM(_xlfn._xlws.FILTER(IF($E$4="Ppto",PptoSty[CurPpto],PptoSty[CurInt]),(IF($E$4="Ppto",PptoSty[POvsCT]=AI$113,TRUE))*(PptoSty[Project]=TEXT($B158,"@"))*(PptoSty[PptoVsRow]=$E158)*(PptoSty[PptoVsColumn]=UPPER(AI$114)),0)))</f>
        <v>0</v>
      </c>
      <c r="AJ158" s="157" cm="1">
        <f t="array" aca="1" ref="AJ158" ca="1">IF(OR($E158="X",$E158="",$E158=0,$B158="X",$B158="",$B158=0),0,SUM(_xlfn._xlws.FILTER(IF($E$4="Ppto",PptoSty[CurPpto],PptoSty[CurExt]),(IF($E$4="Ppto",PptoSty[POvsCT]=AJ$113,TRUE))*(PptoSty[Project]=TEXT($B158,"@"))*(PptoSty[PptoVsRow]=$E158)*(PptoSty[PptoVsColumn]=UPPER(AI$114)),0)))</f>
        <v>0</v>
      </c>
      <c r="AK158" s="157" cm="1">
        <f t="array" aca="1" ref="AK158" ca="1">IF(OR($E158="X",$E158="",$E158=0,$B158="X",$B158="",$B158=0),0,SUM(_xlfn._xlws.FILTER(IF($E$4="Ppto",PptoSty[CurPpto],PptoSty[CurInt]),(IF($E$4="Ppto",PptoSty[POvsCT]=AK$113,TRUE))*(PptoSty[Project]=TEXT($B158,"@"))*(PptoSty[PptoVsRow]=$E158)*(PptoSty[PptoVsColumn]=UPPER(AK$114)),0)))</f>
        <v>0</v>
      </c>
      <c r="AL158" s="157" cm="1">
        <f t="array" aca="1" ref="AL158" ca="1">IF(OR($E158="X",$E158="",$E158=0,$B158="X",$B158="",$B158=0),0,SUM(_xlfn._xlws.FILTER(IF($E$4="Ppto",PptoSty[CurPpto],PptoSty[CurExt]),(IF($E$4="Ppto",PptoSty[POvsCT]=AL$113,TRUE))*(PptoSty[Project]=TEXT($B158,"@"))*(PptoSty[PptoVsRow]=$E158)*(PptoSty[PptoVsColumn]=UPPER(AK$114)),0)))</f>
        <v>0</v>
      </c>
      <c r="AM158" s="157" cm="1">
        <f t="array" aca="1" ref="AM158" ca="1">IF(OR($E158="X",$E158="",$E158=0,$B158="X",$B158="",$B158=0),0,SUM(_xlfn._xlws.FILTER(IF($E$4="Ppto",PptoSty[CurPpto],PptoSty[CurInt]),(IF($E$4="Ppto",PptoSty[POvsCT]=AM$113,TRUE))*(PptoSty[Project]=TEXT($B158,"@"))*(PptoSty[PptoVsRow]=$E158)*(PptoSty[PptoVsColumn]=UPPER(AM$114)),0)))</f>
        <v>0</v>
      </c>
      <c r="AN158" s="157" cm="1">
        <f t="array" aca="1" ref="AN158" ca="1">IF(OR($E158="X",$E158="",$E158=0,$B158="X",$B158="",$B158=0),0,SUM(_xlfn._xlws.FILTER(IF($E$4="Ppto",PptoSty[CurPpto],PptoSty[CurExt]),(IF($E$4="Ppto",PptoSty[POvsCT]=AN$113,TRUE))*(PptoSty[Project]=TEXT($B158,"@"))*(PptoSty[PptoVsRow]=$E158)*(PptoSty[PptoVsColumn]=UPPER(AM$114)),0)))</f>
        <v>0</v>
      </c>
      <c r="AO158" s="157" cm="1">
        <f t="array" aca="1" ref="AO158" ca="1">IF(OR($E158="X",$E158="",$E158=0,$B158="X",$B158="",$B158=0),0,SUM(_xlfn._xlws.FILTER(IF($E$4="Ppto",PptoSty[CurPpto],PptoSty[CurInt]),(IF($E$4="Ppto",PptoSty[POvsCT]=AO$113,TRUE))*(PptoSty[Project]=TEXT($B158,"@"))*(PptoSty[PptoVsRow]=$E158)*(PptoSty[PptoVsColumn]=UPPER(AO$114)),0)))</f>
        <v>0</v>
      </c>
      <c r="AP158" s="157" cm="1">
        <f t="array" aca="1" ref="AP158" ca="1">IF(OR($E158="X",$E158="",$E158=0,$B158="X",$B158="",$B158=0),0,SUM(_xlfn._xlws.FILTER(IF($E$4="Ppto",PptoSty[CurPpto],PptoSty[CurExt]),(IF($E$4="Ppto",PptoSty[POvsCT]=AP$113,TRUE))*(PptoSty[Project]=TEXT($B158,"@"))*(PptoSty[PptoVsRow]=$E158)*(PptoSty[PptoVsColumn]=UPPER(AO$114)),0)))</f>
        <v>0</v>
      </c>
      <c r="AQ158" s="157" cm="1">
        <f t="array" aca="1" ref="AQ158" ca="1">SUM(IF(INDIRECT($AS$115)=AQ$115,INDIRECT($AS158)))</f>
        <v>0</v>
      </c>
      <c r="AR158" s="157" cm="1">
        <f t="array" aca="1" ref="AR158" ca="1">SUM(IF(INDIRECT($AS$115)=AR$115,INDIRECT($AS158)))</f>
        <v>0</v>
      </c>
      <c r="AS158" s="286" t="str">
        <f t="shared" ca="1" si="15"/>
        <v>G158:AP158</v>
      </c>
      <c r="AT158" s="403">
        <f t="shared" ca="1" si="14"/>
        <v>0</v>
      </c>
      <c r="AV158" s="142" cm="1">
        <f t="array" aca="1" ref="AV158" ca="1">IF(AND(_xlfn.LET(_xlpm.x,SUM(ROW()),OR(AND(MATCH("SOT",$A:$A,0)&lt;_xlpm.x,MATCH("EOT",$A:$A,0)&gt;_xlpm.x),AND(MATCH("SOS",$A:$A,0)&lt;_xlpm.x,MATCH("EOS",$A:$A,0)&gt;_xlpm.x),AND(MATCH("SOR",$A:$A,0)&lt;_xlpm.x,MATCH("EOR",$A:$A,0)&gt;_xlpm.x))),INDIRECT("rc"&amp;MATCH("SCD",$1:$1,0),FALSE)="PPTO"),1,0)</f>
        <v>1</v>
      </c>
      <c r="AW158" s="142" cm="1">
        <f t="array" aca="1" ref="AW15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59" spans="2:49" outlineLevel="1">
      <c r="B159" s="156" t="str" cm="1">
        <f t="array" aca="1" ref="B159:E159" ca="1">_xlfn.LET(_xlpm.x,SUM(ROW()-MATCH("SOR",$A:$A,0)),_xlpm.y,IFERROR(_xlfn.TAKE(INDEX(_xlfn._xlws.FILTER(TbAssign[],ISNUMBER(FIND(TbAssign[Project],$C$4)),"X"),1+QUOTIENT(_xlpm.x,3),0),1,4),0),IF(MOD(_xlpm.x-1,3)=0,IF(_xlpm.y=0,"X",_xlpm.y),INDIRECT("r[-1]c#",FALSE)))</f>
        <v>31200</v>
      </c>
      <c r="C159" s="156" t="str">
        <f ca="1"/>
        <v>XH02</v>
      </c>
      <c r="D159" s="148" t="str">
        <f ca="1"/>
        <v>CTCT</v>
      </c>
      <c r="E159" s="352" t="str">
        <f ca="1"/>
        <v>COSTES EVITABLES PROVEEDORES</v>
      </c>
      <c r="F159" s="148" t="s">
        <v>1382</v>
      </c>
      <c r="G159" s="157" cm="1">
        <f t="array" aca="1" ref="G159" ca="1">IF(OR($E159="X",$E159="",$E159=0,$B159="X",$B159="",$B159=0),0,SUM(_xlfn._xlws.FILTER(PrvSty[DsvValue:SERRA],(PrvSty[Project]=TEXT($B159,"@"))*(PrvSty[Row]=$E159)*(PrvSty[Column]=UPPER(G$114)),0)))</f>
        <v>0</v>
      </c>
      <c r="H159" s="157" cm="1">
        <f t="array" aca="1" ref="H159" ca="1">IF(OR($E159="X",$E159="",$E159=0,$B159="X",$B159="",$B159=0),0,SUM(_xlfn._xlws.FILTER(PrvSty[DsvValue:EXT.],(PrvSty[Project]=TEXT($B159,"@"))*(PrvSty[Row]=$E159)*(PrvSty[Column]=UPPER(G$114)),0)))</f>
        <v>0</v>
      </c>
      <c r="I159" s="157" cm="1">
        <f t="array" aca="1" ref="I159" ca="1">IF(OR($E159="X",$E159="",$E159=0,$B159="X",$B159="",$B159=0),0,SUM(_xlfn._xlws.FILTER(PrvSty[DsvValue:SERRA],(PrvSty[Project]=TEXT($B159,"@"))*(PrvSty[Row]=$E159)*(PrvSty[Column]=UPPER(I$114)),0)))</f>
        <v>0</v>
      </c>
      <c r="J159" s="157" cm="1">
        <f t="array" aca="1" ref="J159" ca="1">IF(OR($E159="X",$E159="",$E159=0,$B159="X",$B159="",$B159=0),0,SUM(_xlfn._xlws.FILTER(PrvSty[DsvValue:EXT.],(PrvSty[Project]=TEXT($B159,"@"))*(PrvSty[Row]=$E159)*(PrvSty[Column]=UPPER(I$114)),0)))</f>
        <v>0</v>
      </c>
      <c r="K159" s="157" cm="1">
        <f t="array" aca="1" ref="K159" ca="1">IF(OR($E159="X",$E159="",$E159=0,$B159="X",$B159="",$B159=0),0,SUM(_xlfn._xlws.FILTER(PrvSty[DsvValue:SERRA],(PrvSty[Project]=TEXT($B159,"@"))*(PrvSty[Row]=$E159)*(PrvSty[Column]=UPPER(K$114)),0)))</f>
        <v>0</v>
      </c>
      <c r="L159" s="157" cm="1">
        <f t="array" aca="1" ref="L159" ca="1">IF(OR($E159="X",$E159="",$E159=0,$B159="X",$B159="",$B159=0),0,SUM(_xlfn._xlws.FILTER(PrvSty[DsvValue:EXT.],(PrvSty[Project]=TEXT($B159,"@"))*(PrvSty[Row]=$E159)*(PrvSty[Column]=UPPER(K$114)),0)))</f>
        <v>0</v>
      </c>
      <c r="M159" s="157" cm="1">
        <f t="array" aca="1" ref="M159" ca="1">IF(OR($E159="X",$E159="",$E159=0,$B159="X",$B159="",$B159=0),0,SUM(_xlfn._xlws.FILTER(PrvSty[DsvValue:SERRA],(PrvSty[Project]=TEXT($B159,"@"))*(PrvSty[Row]=$E159)*(PrvSty[Column]=UPPER(M$114)),0)))</f>
        <v>0</v>
      </c>
      <c r="N159" s="157" cm="1">
        <f t="array" aca="1" ref="N159" ca="1">IF(OR($E159="X",$E159="",$E159=0,$B159="X",$B159="",$B159=0),0,SUM(_xlfn._xlws.FILTER(PrvSty[DsvValue:EXT.],(PrvSty[Project]=TEXT($B159,"@"))*(PrvSty[Row]=$E159)*(PrvSty[Column]=UPPER(M$114)),0)))</f>
        <v>0</v>
      </c>
      <c r="O159" s="157" cm="1">
        <f t="array" aca="1" ref="O159" ca="1">IF(OR($E159="X",$E159="",$E159=0,$B159="X",$B159="",$B159=0),0,SUM(_xlfn._xlws.FILTER(PrvSty[DsvValue:SERRA],(PrvSty[Project]=TEXT($B159,"@"))*(PrvSty[Row]=$E159)*(PrvSty[Column]=UPPER(O$114)),0)))</f>
        <v>0</v>
      </c>
      <c r="P159" s="157" cm="1">
        <f t="array" aca="1" ref="P159" ca="1">IF(OR($E159="X",$E159="",$E159=0,$B159="X",$B159="",$B159=0),0,SUM(_xlfn._xlws.FILTER(PrvSty[DsvValue:EXT.],(PrvSty[Project]=TEXT($B159,"@"))*(PrvSty[Row]=$E159)*(PrvSty[Column]=UPPER(O$114)),0)))</f>
        <v>0</v>
      </c>
      <c r="Q159" s="157" cm="1">
        <f t="array" aca="1" ref="Q159" ca="1">IF(OR($E159="X",$E159="",$E159=0,$B159="X",$B159="",$B159=0),0,SUM(_xlfn._xlws.FILTER(PrvSty[DsvValue:SERRA],(PrvSty[Project]=TEXT($B159,"@"))*(PrvSty[Row]=$E159)*(PrvSty[Column]=UPPER(Q$114)),0)))</f>
        <v>0</v>
      </c>
      <c r="R159" s="157" cm="1">
        <f t="array" aca="1" ref="R159" ca="1">IF(OR($E159="X",$E159="",$E159=0,$B159="X",$B159="",$B159=0),0,SUM(_xlfn._xlws.FILTER(PrvSty[DsvValue:EXT.],(PrvSty[Project]=TEXT($B159,"@"))*(PrvSty[Row]=$E159)*(PrvSty[Column]=UPPER(Q$114)),0)))</f>
        <v>0</v>
      </c>
      <c r="S159" s="157" cm="1">
        <f t="array" aca="1" ref="S159" ca="1">IF(OR($E159="X",$E159="",$E159=0,$B159="X",$B159="",$B159=0),0,SUM(_xlfn._xlws.FILTER(PrvSty[DsvValue:SERRA],(PrvSty[Project]=TEXT($B159,"@"))*(PrvSty[Row]=$E159)*(PrvSty[Column]=UPPER(S$114)),0)))</f>
        <v>0</v>
      </c>
      <c r="T159" s="157" cm="1">
        <f t="array" aca="1" ref="T159" ca="1">IF(OR($E159="X",$E159="",$E159=0,$B159="X",$B159="",$B159=0),0,SUM(_xlfn._xlws.FILTER(PrvSty[DsvValue:EXT.],(PrvSty[Project]=TEXT($B159,"@"))*(PrvSty[Row]=$E159)*(PrvSty[Column]=UPPER(S$114)),0)))</f>
        <v>0</v>
      </c>
      <c r="U159" s="157" cm="1">
        <f t="array" aca="1" ref="U159" ca="1">IF(OR($E159="X",$E159="",$E159=0,$B159="X",$B159="",$B159=0),0,SUM(_xlfn._xlws.FILTER(PrvSty[DsvValue:SERRA],(PrvSty[Project]=TEXT($B159,"@"))*(PrvSty[Row]=$E159)*(PrvSty[Column]=UPPER(U$114)),0)))</f>
        <v>0</v>
      </c>
      <c r="V159" s="157" cm="1">
        <f t="array" aca="1" ref="V159" ca="1">IF(OR($E159="X",$E159="",$E159=0,$B159="X",$B159="",$B159=0),0,SUM(_xlfn._xlws.FILTER(PrvSty[DsvValue:EXT.],(PrvSty[Project]=TEXT($B159,"@"))*(PrvSty[Row]=$E159)*(PrvSty[Column]=UPPER(U$114)),0)))</f>
        <v>0</v>
      </c>
      <c r="W159" s="157" cm="1">
        <f t="array" aca="1" ref="W159" ca="1">IF(OR($E159="X",$E159="",$E159=0,$B159="X",$B159="",$B159=0),0,SUM(_xlfn._xlws.FILTER(PrvSty[DsvValue:SERRA],(PrvSty[Project]=TEXT($B159,"@"))*(PrvSty[Row]=$E159)*(PrvSty[Column]=UPPER(W$114)),0)))</f>
        <v>0</v>
      </c>
      <c r="X159" s="157" cm="1">
        <f t="array" aca="1" ref="X159" ca="1">IF(OR($E159="X",$E159="",$E159=0,$B159="X",$B159="",$B159=0),0,SUM(_xlfn._xlws.FILTER(PrvSty[DsvValue:EXT.],(PrvSty[Project]=TEXT($B159,"@"))*(PrvSty[Row]=$E159)*(PrvSty[Column]=UPPER(W$114)),0)))</f>
        <v>1029</v>
      </c>
      <c r="Y159" s="157" cm="1">
        <f t="array" aca="1" ref="Y159" ca="1">IF(OR($E159="X",$E159="",$E159=0,$B159="X",$B159="",$B159=0),0,SUM(_xlfn._xlws.FILTER(PrvSty[DsvValue:SERRA],(PrvSty[Project]=TEXT($B159,"@"))*(PrvSty[Row]=$E159)*(PrvSty[Column]=UPPER(Y$114)),0)))</f>
        <v>0</v>
      </c>
      <c r="Z159" s="157" cm="1">
        <f t="array" aca="1" ref="Z159" ca="1">IF(OR($E159="X",$E159="",$E159=0,$B159="X",$B159="",$B159=0),0,SUM(_xlfn._xlws.FILTER(PrvSty[DsvValue:EXT.],(PrvSty[Project]=TEXT($B159,"@"))*(PrvSty[Row]=$E159)*(PrvSty[Column]=UPPER(Y$114)),0)))</f>
        <v>78.55</v>
      </c>
      <c r="AA159" s="157" cm="1">
        <f t="array" aca="1" ref="AA159" ca="1">IF(OR($E159="X",$E159="",$E159=0,$B159="X",$B159="",$B159=0),0,SUM(_xlfn._xlws.FILTER(PrvSty[DsvValue:SERRA],(PrvSty[Project]=TEXT($B159,"@"))*(PrvSty[Row]=$E159)*(PrvSty[Column]=UPPER(AA$114)),0)))</f>
        <v>0</v>
      </c>
      <c r="AB159" s="157" cm="1">
        <f t="array" aca="1" ref="AB159" ca="1">IF(OR($E159="X",$E159="",$E159=0,$B159="X",$B159="",$B159=0),0,SUM(_xlfn._xlws.FILTER(PrvSty[DsvValue:EXT.],(PrvSty[Project]=TEXT($B159,"@"))*(PrvSty[Row]=$E159)*(PrvSty[Column]=UPPER(AA$114)),0)))</f>
        <v>0</v>
      </c>
      <c r="AC159" s="157" cm="1">
        <f t="array" aca="1" ref="AC159" ca="1">IF(OR($E159="X",$E159="",$E159=0,$B159="X",$B159="",$B159=0),0,SUM(_xlfn._xlws.FILTER(PrvSty[DsvValue:SERRA],(PrvSty[Project]=TEXT($B159,"@"))*(PrvSty[Row]=$E159)*(PrvSty[Column]=UPPER(AC$114)),0)))</f>
        <v>0</v>
      </c>
      <c r="AD159" s="157" cm="1">
        <f t="array" aca="1" ref="AD159" ca="1">IF(OR($E159="X",$E159="",$E159=0,$B159="X",$B159="",$B159=0),0,SUM(_xlfn._xlws.FILTER(PrvSty[DsvValue:EXT.],(PrvSty[Project]=TEXT($B159,"@"))*(PrvSty[Row]=$E159)*(PrvSty[Column]=UPPER(AC$114)),0)))</f>
        <v>0</v>
      </c>
      <c r="AE159" s="157" cm="1">
        <f t="array" aca="1" ref="AE159" ca="1">IF(OR($E159="X",$E159="",$E159=0,$B159="X",$B159="",$B159=0),0,SUM(_xlfn._xlws.FILTER(PrvSty[DsvValue:SERRA],(PrvSty[Project]=TEXT($B159,"@"))*(PrvSty[Row]=$E159)*(PrvSty[Column]=UPPER(AE$114)),0)))</f>
        <v>1020.04</v>
      </c>
      <c r="AF159" s="157" cm="1">
        <f t="array" aca="1" ref="AF159" ca="1">IF(OR($E159="X",$E159="",$E159=0,$B159="X",$B159="",$B159=0),0,SUM(_xlfn._xlws.FILTER(PrvSty[DsvValue:EXT.],(PrvSty[Project]=TEXT($B159,"@"))*(PrvSty[Row]=$E159)*(PrvSty[Column]=UPPER(AE$114)),0)))</f>
        <v>0</v>
      </c>
      <c r="AG159" s="157" cm="1">
        <f t="array" aca="1" ref="AG159" ca="1">IF(OR($E159="X",$E159="",$E159=0,$B159="X",$B159="",$B159=0),0,SUM(_xlfn._xlws.FILTER(PrvSty[DsvValue:SERRA],(PrvSty[Project]=TEXT($B159,"@"))*(PrvSty[Row]=$E159)*(PrvSty[Column]=UPPER(AG$114)),0)))</f>
        <v>0</v>
      </c>
      <c r="AH159" s="157" cm="1">
        <f t="array" aca="1" ref="AH159" ca="1">IF(OR($E159="X",$E159="",$E159=0,$B159="X",$B159="",$B159=0),0,SUM(_xlfn._xlws.FILTER(PrvSty[DsvValue:EXT.],(PrvSty[Project]=TEXT($B159,"@"))*(PrvSty[Row]=$E159)*(PrvSty[Column]=UPPER(AG$114)),0)))</f>
        <v>0</v>
      </c>
      <c r="AI159" s="157" cm="1">
        <f t="array" aca="1" ref="AI159" ca="1">IF(OR($E159="X",$E159="",$E159=0,$B159="X",$B159="",$B159=0),0,SUM(_xlfn._xlws.FILTER(PrvSty[DsvValue:SERRA],(PrvSty[Project]=TEXT($B159,"@"))*(PrvSty[Row]=$E159)*(PrvSty[Column]=UPPER(AI$114)),0)))</f>
        <v>0</v>
      </c>
      <c r="AJ159" s="157" cm="1">
        <f t="array" aca="1" ref="AJ159" ca="1">IF(OR($E159="X",$E159="",$E159=0,$B159="X",$B159="",$B159=0),0,SUM(_xlfn._xlws.FILTER(PrvSty[DsvValue:EXT.],(PrvSty[Project]=TEXT($B159,"@"))*(PrvSty[Row]=$E159)*(PrvSty[Column]=UPPER(AI$114)),0)))</f>
        <v>0</v>
      </c>
      <c r="AK159" s="157" cm="1">
        <f t="array" aca="1" ref="AK159" ca="1">IF(OR($E159="X",$E159="",$E159=0,$B159="X",$B159="",$B159=0),0,SUM(_xlfn._xlws.FILTER(PrvSty[DsvValue:SERRA],(PrvSty[Project]=TEXT($B159,"@"))*(PrvSty[Row]=$E159)*(PrvSty[Column]=UPPER(AK$114)),0)))</f>
        <v>0</v>
      </c>
      <c r="AL159" s="157" cm="1">
        <f t="array" aca="1" ref="AL159" ca="1">IF(OR($E159="X",$E159="",$E159=0,$B159="X",$B159="",$B159=0),0,SUM(_xlfn._xlws.FILTER(PrvSty[DsvValue:EXT.],(PrvSty[Project]=TEXT($B159,"@"))*(PrvSty[Row]=$E159)*(PrvSty[Column]=UPPER(AK$114)),0)))</f>
        <v>0</v>
      </c>
      <c r="AM159" s="157" cm="1">
        <f t="array" aca="1" ref="AM159" ca="1">IF(OR($E159="X",$E159="",$E159=0,$B159="X",$B159="",$B159=0),0,SUM(_xlfn._xlws.FILTER(PrvSty[DsvValue:SERRA],(PrvSty[Project]=TEXT($B159,"@"))*(PrvSty[Row]=$E159)*(PrvSty[Column]=UPPER(AM$114)),0)))</f>
        <v>0</v>
      </c>
      <c r="AN159" s="157" cm="1">
        <f t="array" aca="1" ref="AN159" ca="1">IF(OR($E159="X",$E159="",$E159=0,$B159="X",$B159="",$B159=0),0,SUM(_xlfn._xlws.FILTER(PrvSty[DsvValue:EXT.],(PrvSty[Project]=TEXT($B159,"@"))*(PrvSty[Row]=$E159)*(PrvSty[Column]=UPPER(AM$114)),0)))</f>
        <v>0</v>
      </c>
      <c r="AO159" s="157" cm="1">
        <f t="array" aca="1" ref="AO159" ca="1">IF(OR($E159="X",$E159="",$E159=0,$B159="X",$B159="",$B159=0),0,SUM(_xlfn._xlws.FILTER(PrvSty[DsvValue:SERRA],(PrvSty[Project]=TEXT($B159,"@"))*(PrvSty[Row]=$E159)*(PrvSty[Column]=UPPER(AO$114)),0)))</f>
        <v>0</v>
      </c>
      <c r="AP159" s="157" cm="1">
        <f t="array" aca="1" ref="AP159" ca="1">IF(OR($E159="X",$E159="",$E159=0,$B159="X",$B159="",$B159=0),0,SUM(_xlfn._xlws.FILTER(PrvSty[DsvValue:EXT.],(PrvSty[Project]=TEXT($B159,"@"))*(PrvSty[Row]=$E159)*(PrvSty[Column]=UPPER(AO$114)),0)))</f>
        <v>0</v>
      </c>
      <c r="AQ159" s="157" cm="1">
        <f t="array" aca="1" ref="AQ159" ca="1">SUM(IF(INDIRECT($AS$115)=AQ$115,INDIRECT($AS159)))</f>
        <v>1020.04</v>
      </c>
      <c r="AR159" s="157" cm="1">
        <f t="array" aca="1" ref="AR159" ca="1">SUM(IF(INDIRECT($AS$115)=AR$115,INDIRECT($AS159)))</f>
        <v>1107.55</v>
      </c>
      <c r="AS159" s="286" t="str">
        <f t="shared" ca="1" si="15"/>
        <v>G159:AP159</v>
      </c>
      <c r="AT159" s="403">
        <f t="shared" ca="1" si="14"/>
        <v>2127.59</v>
      </c>
      <c r="AV159" s="142" cm="1">
        <f t="array" aca="1" ref="AV159" ca="1">IF(AND(_xlfn.LET(_xlpm.x,SUM(ROW()),OR(AND(MATCH("SOT",$A:$A,0)&lt;_xlpm.x,MATCH("EOT",$A:$A,0)&gt;_xlpm.x),AND(MATCH("SOS",$A:$A,0)&lt;_xlpm.x,MATCH("EOS",$A:$A,0)&gt;_xlpm.x),AND(MATCH("SOR",$A:$A,0)&lt;_xlpm.x,MATCH("EOR",$A:$A,0)&gt;_xlpm.x))),INDIRECT("rc"&amp;MATCH("SCD",$1:$1,0),FALSE)="PPTO"),1,0)</f>
        <v>0</v>
      </c>
      <c r="AW159" s="142" cm="1">
        <f t="array" aca="1" ref="AW15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60" spans="2:49" outlineLevel="1">
      <c r="B160" s="156" t="str" cm="1">
        <f t="array" aca="1" ref="B160:E160" ca="1">_xlfn.LET(_xlpm.x,SUM(ROW()-MATCH("SOR",$A:$A,0)),_xlpm.y,IFERROR(_xlfn.TAKE(INDEX(_xlfn._xlws.FILTER(TbAssign[],ISNUMBER(FIND(TbAssign[Project],$C$4)),"X"),1+QUOTIENT(_xlpm.x,3),0),1,4),0),IF(MOD(_xlpm.x-1,3)=0,IF(_xlpm.y=0,"X",_xlpm.y),INDIRECT("r[-1]c#",FALSE)))</f>
        <v>31200</v>
      </c>
      <c r="C160" s="156" t="str">
        <f ca="1"/>
        <v>XH02</v>
      </c>
      <c r="D160" s="148" t="str">
        <f ca="1"/>
        <v>CTCT</v>
      </c>
      <c r="E160" s="352" t="str">
        <f ca="1"/>
        <v>COSTES EVITABLES PROVEEDORES</v>
      </c>
      <c r="F160" s="148" t="s">
        <v>1383</v>
      </c>
      <c r="G160" s="158" cm="1">
        <f t="array" aca="1" ref="G160" ca="1">IF(OR($E160="X",$E160="",$E160=0,$B160="X",$B160="",$B160=0),0,SUM(_xlfn._xlws.FILTER(FrmBB1[Cur],(FrmBB1[PrjId]=TEXT($B160,"@"))*(FrmBB1[Row]=$E160)*(FrmBB1[Column]=UPPER(_xlfn.LET(_xlpm.x,_xlfn.TEXTBEFORE(G$114," ("),IFERROR(_xlpm.x,G$114)))&amp;" "&amp;G$115),0)))</f>
        <v>0</v>
      </c>
      <c r="H160" s="157" cm="1">
        <f t="array" aca="1" ref="H160" ca="1">IF(OR($E160="X",$E160="",$E160=0,$B160="X",$B160="",$B160=0),0,SUM(_xlfn._xlws.FILTER(FrmBB1[Cur],(FrmBB1[PrjId]=TEXT($B160,"@"))*(FrmBB1[Row]=$E160)*(FrmBB1[Column]=UPPER(_xlfn.LET(_xlpm.x,_xlfn.TEXTBEFORE(G$114," ("),IFERROR(_xlpm.x,G$114)))&amp;" "&amp;H$115),0)))</f>
        <v>0</v>
      </c>
      <c r="I160" s="158" cm="1">
        <f t="array" aca="1" ref="I160" ca="1">IF(OR($E160="X",$E160="",$E160=0,$B160="X",$B160="",$B160=0),0,SUM(_xlfn._xlws.FILTER(FrmBB1[Cur],(FrmBB1[PrjId]=TEXT($B160,"@"))*(FrmBB1[Row]=$E160)*(FrmBB1[Column]=UPPER(_xlfn.LET(_xlpm.x,_xlfn.TEXTBEFORE(I$114," ("),IFERROR(_xlpm.x,I$114)))&amp;" "&amp;I$115),0)))</f>
        <v>0</v>
      </c>
      <c r="J160" s="157" cm="1">
        <f t="array" aca="1" ref="J160" ca="1">IF(OR($E160="X",$E160="",$E160=0,$B160="X",$B160="",$B160=0),0,SUM(_xlfn._xlws.FILTER(FrmBB1[Cur],(FrmBB1[PrjId]=TEXT($B160,"@"))*(FrmBB1[Row]=$E160)*(FrmBB1[Column]=UPPER(_xlfn.LET(_xlpm.x,_xlfn.TEXTBEFORE(I$114," ("),IFERROR(_xlpm.x,I$114)))&amp;" "&amp;J$115),0)))</f>
        <v>0</v>
      </c>
      <c r="K160" s="158" cm="1">
        <f t="array" aca="1" ref="K160" ca="1">IF(OR($E160="X",$E160="",$E160=0,$B160="X",$B160="",$B160=0),0,SUM(_xlfn._xlws.FILTER(FrmBB1[Cur],(FrmBB1[PrjId]=TEXT($B160,"@"))*(FrmBB1[Row]=$E160)*(FrmBB1[Column]=UPPER(_xlfn.LET(_xlpm.x,_xlfn.TEXTBEFORE(K$114," ("),IFERROR(_xlpm.x,K$114)))&amp;" "&amp;K$115),0)))</f>
        <v>98.49</v>
      </c>
      <c r="L160" s="157" cm="1">
        <f t="array" aca="1" ref="L160" ca="1">IF(OR($E160="X",$E160="",$E160=0,$B160="X",$B160="",$B160=0),0,SUM(_xlfn._xlws.FILTER(FrmBB1[Cur],(FrmBB1[PrjId]=TEXT($B160,"@"))*(FrmBB1[Row]=$E160)*(FrmBB1[Column]=UPPER(_xlfn.LET(_xlpm.x,_xlfn.TEXTBEFORE(K$114," ("),IFERROR(_xlpm.x,K$114)))&amp;" "&amp;L$115),0)))</f>
        <v>0</v>
      </c>
      <c r="M160" s="158" cm="1">
        <f t="array" aca="1" ref="M160" ca="1">IF(OR($E160="X",$E160="",$E160=0,$B160="X",$B160="",$B160=0),0,SUM(_xlfn._xlws.FILTER(FrmBB1[Cur],(FrmBB1[PrjId]=TEXT($B160,"@"))*(FrmBB1[Row]=$E160)*(FrmBB1[Column]=UPPER(_xlfn.LET(_xlpm.x,_xlfn.TEXTBEFORE(M$114," ("),IFERROR(_xlpm.x,M$114)))&amp;" "&amp;M$115),0)))</f>
        <v>0</v>
      </c>
      <c r="N160" s="157" cm="1">
        <f t="array" aca="1" ref="N160" ca="1">IF(OR($E160="X",$E160="",$E160=0,$B160="X",$B160="",$B160=0),0,SUM(_xlfn._xlws.FILTER(FrmBB1[Cur],(FrmBB1[PrjId]=TEXT($B160,"@"))*(FrmBB1[Row]=$E160)*(FrmBB1[Column]=UPPER(_xlfn.LET(_xlpm.x,_xlfn.TEXTBEFORE(M$114," ("),IFERROR(_xlpm.x,M$114)))&amp;" "&amp;N$115),0)))</f>
        <v>0</v>
      </c>
      <c r="O160" s="158" cm="1">
        <f t="array" aca="1" ref="O160" ca="1">IF(OR($E160="X",$E160="",$E160=0,$B160="X",$B160="",$B160=0),0,SUM(_xlfn._xlws.FILTER(FrmBB1[Cur],(FrmBB1[PrjId]=TEXT($B160,"@"))*(FrmBB1[Row]=$E160)*(FrmBB1[Column]=UPPER(_xlfn.LET(_xlpm.x,_xlfn.TEXTBEFORE(O$114," ("),IFERROR(_xlpm.x,O$114)))&amp;" "&amp;O$115),0)))</f>
        <v>0</v>
      </c>
      <c r="P160" s="157" cm="1">
        <f t="array" aca="1" ref="P160" ca="1">IF(OR($E160="X",$E160="",$E160=0,$B160="X",$B160="",$B160=0),0,SUM(_xlfn._xlws.FILTER(FrmBB1[Cur],(FrmBB1[PrjId]=TEXT($B160,"@"))*(FrmBB1[Row]=$E160)*(FrmBB1[Column]=UPPER(_xlfn.LET(_xlpm.x,_xlfn.TEXTBEFORE(O$114," ("),IFERROR(_xlpm.x,O$114)))&amp;" "&amp;P$115),0)))</f>
        <v>0</v>
      </c>
      <c r="Q160" s="158" cm="1">
        <f t="array" aca="1" ref="Q160" ca="1">IF(OR($E160="X",$E160="",$E160=0,$B160="X",$B160="",$B160=0),0,SUM(_xlfn._xlws.FILTER(FrmBB1[Cur],(FrmBB1[PrjId]=TEXT($B160,"@"))*(FrmBB1[Row]=$E160)*(FrmBB1[Column]=UPPER(_xlfn.LET(_xlpm.x,_xlfn.TEXTBEFORE(Q$114," ("),IFERROR(_xlpm.x,Q$114)))&amp;" "&amp;Q$115),0)))</f>
        <v>0</v>
      </c>
      <c r="R160" s="157" cm="1">
        <f t="array" aca="1" ref="R160" ca="1">IF(OR($E160="X",$E160="",$E160=0,$B160="X",$B160="",$B160=0),0,SUM(_xlfn._xlws.FILTER(FrmBB1[Cur],(FrmBB1[PrjId]=TEXT($B160,"@"))*(FrmBB1[Row]=$E160)*(FrmBB1[Column]=UPPER(_xlfn.LET(_xlpm.x,_xlfn.TEXTBEFORE(Q$114," ("),IFERROR(_xlpm.x,Q$114)))&amp;" "&amp;R$115),0)))</f>
        <v>0</v>
      </c>
      <c r="S160" s="158" cm="1">
        <f t="array" aca="1" ref="S160" ca="1">IF(OR($E160="X",$E160="",$E160=0,$B160="X",$B160="",$B160=0),0,SUM(_xlfn._xlws.FILTER(FrmBB1[Cur],(FrmBB1[PrjId]=TEXT($B160,"@"))*(FrmBB1[Row]=$E160)*(FrmBB1[Column]=UPPER(_xlfn.LET(_xlpm.x,_xlfn.TEXTBEFORE(S$114," ("),IFERROR(_xlpm.x,S$114)))&amp;" "&amp;S$115),0)))</f>
        <v>0</v>
      </c>
      <c r="T160" s="157" cm="1">
        <f t="array" aca="1" ref="T160" ca="1">IF(OR($E160="X",$E160="",$E160=0,$B160="X",$B160="",$B160=0),0,SUM(_xlfn._xlws.FILTER(FrmBB1[Cur],(FrmBB1[PrjId]=TEXT($B160,"@"))*(FrmBB1[Row]=$E160)*(FrmBB1[Column]=UPPER(_xlfn.LET(_xlpm.x,_xlfn.TEXTBEFORE(S$114," ("),IFERROR(_xlpm.x,S$114)))&amp;" "&amp;T$115),0)))</f>
        <v>0</v>
      </c>
      <c r="U160" s="158" cm="1">
        <f t="array" aca="1" ref="U160" ca="1">IF(OR($E160="X",$E160="",$E160=0,$B160="X",$B160="",$B160=0),0,SUM(_xlfn._xlws.FILTER(FrmBB1[Cur],(FrmBB1[PrjId]=TEXT($B160,"@"))*(FrmBB1[Row]=$E160)*(FrmBB1[Column]=UPPER(_xlfn.LET(_xlpm.x,_xlfn.TEXTBEFORE(U$114," ("),IFERROR(_xlpm.x,U$114)))&amp;" "&amp;U$115),0)))</f>
        <v>0</v>
      </c>
      <c r="V160" s="157" cm="1">
        <f t="array" aca="1" ref="V160" ca="1">IF(OR($E160="X",$E160="",$E160=0,$B160="X",$B160="",$B160=0),0,SUM(_xlfn._xlws.FILTER(FrmBB1[Cur],(FrmBB1[PrjId]=TEXT($B160,"@"))*(FrmBB1[Row]=$E160)*(FrmBB1[Column]=UPPER(_xlfn.LET(_xlpm.x,_xlfn.TEXTBEFORE(U$114," ("),IFERROR(_xlpm.x,U$114)))&amp;" "&amp;V$115),0)))</f>
        <v>580</v>
      </c>
      <c r="W160" s="158" cm="1">
        <f t="array" aca="1" ref="W160" ca="1">IF(OR($E160="X",$E160="",$E160=0,$B160="X",$B160="",$B160=0),0,SUM(_xlfn._xlws.FILTER(FrmBB1[Cur],(FrmBB1[PrjId]=TEXT($B160,"@"))*(FrmBB1[Row]=$E160)*(FrmBB1[Column]=UPPER(_xlfn.LET(_xlpm.x,_xlfn.TEXTBEFORE(W$114," ("),IFERROR(_xlpm.x,W$114)))&amp;" "&amp;W$115),0)))</f>
        <v>1781.95</v>
      </c>
      <c r="X160" s="157" cm="1">
        <f t="array" aca="1" ref="X160" ca="1">IF(OR($E160="X",$E160="",$E160=0,$B160="X",$B160="",$B160=0),0,SUM(_xlfn._xlws.FILTER(FrmBB1[Cur],(FrmBB1[PrjId]=TEXT($B160,"@"))*(FrmBB1[Row]=$E160)*(FrmBB1[Column]=UPPER(_xlfn.LET(_xlpm.x,_xlfn.TEXTBEFORE(W$114," ("),IFERROR(_xlpm.x,W$114)))&amp;" "&amp;X$115),0)))</f>
        <v>0</v>
      </c>
      <c r="Y160" s="158" cm="1">
        <f t="array" aca="1" ref="Y160" ca="1">IF(OR($E160="X",$E160="",$E160=0,$B160="X",$B160="",$B160=0),0,SUM(_xlfn._xlws.FILTER(FrmBB1[Cur],(FrmBB1[PrjId]=TEXT($B160,"@"))*(FrmBB1[Row]=$E160)*(FrmBB1[Column]=UPPER(_xlfn.LET(_xlpm.x,_xlfn.TEXTBEFORE(Y$114," ("),IFERROR(_xlpm.x,Y$114)))&amp;" "&amp;Y$115),0)))</f>
        <v>78.55</v>
      </c>
      <c r="Z160" s="157" cm="1">
        <f t="array" aca="1" ref="Z160" ca="1">IF(OR($E160="X",$E160="",$E160=0,$B160="X",$B160="",$B160=0),0,SUM(_xlfn._xlws.FILTER(FrmBB1[Cur],(FrmBB1[PrjId]=TEXT($B160,"@"))*(FrmBB1[Row]=$E160)*(FrmBB1[Column]=UPPER(_xlfn.LET(_xlpm.x,_xlfn.TEXTBEFORE(Y$114," ("),IFERROR(_xlpm.x,Y$114)))&amp;" "&amp;Z$115),0)))</f>
        <v>0</v>
      </c>
      <c r="AA160" s="158" cm="1">
        <f t="array" aca="1" ref="AA160" ca="1">IF(OR($E160="X",$E160="",$E160=0,$B160="X",$B160="",$B160=0),0,SUM(_xlfn._xlws.FILTER(FrmBB1[Cur],(FrmBB1[PrjId]=TEXT($B160,"@"))*(FrmBB1[Row]=$E160)*(FrmBB1[Column]=UPPER(_xlfn.LET(_xlpm.x,_xlfn.TEXTBEFORE(AA$114," ("),IFERROR(_xlpm.x,AA$114)))&amp;" "&amp;AA$115),0)))</f>
        <v>0</v>
      </c>
      <c r="AB160" s="157" cm="1">
        <f t="array" aca="1" ref="AB160" ca="1">IF(OR($E160="X",$E160="",$E160=0,$B160="X",$B160="",$B160=0),0,SUM(_xlfn._xlws.FILTER(FrmBB1[Cur],(FrmBB1[PrjId]=TEXT($B160,"@"))*(FrmBB1[Row]=$E160)*(FrmBB1[Column]=UPPER(_xlfn.LET(_xlpm.x,_xlfn.TEXTBEFORE(AA$114," ("),IFERROR(_xlpm.x,AA$114)))&amp;" "&amp;AB$115),0)))</f>
        <v>0</v>
      </c>
      <c r="AC160" s="158" cm="1">
        <f t="array" aca="1" ref="AC160" ca="1">IF(OR($E160="X",$E160="",$E160=0,$B160="X",$B160="",$B160=0),0,SUM(_xlfn._xlws.FILTER(FrmBB1[Cur],(FrmBB1[PrjId]=TEXT($B160,"@"))*(FrmBB1[Row]=$E160)*(FrmBB1[Column]=UPPER(_xlfn.LET(_xlpm.x,_xlfn.TEXTBEFORE(AC$114," ("),IFERROR(_xlpm.x,AC$114)))&amp;" "&amp;AC$115),0)))</f>
        <v>0</v>
      </c>
      <c r="AD160" s="157" cm="1">
        <f t="array" aca="1" ref="AD160" ca="1">IF(OR($E160="X",$E160="",$E160=0,$B160="X",$B160="",$B160=0),0,SUM(_xlfn._xlws.FILTER(FrmBB1[Cur],(FrmBB1[PrjId]=TEXT($B160,"@"))*(FrmBB1[Row]=$E160)*(FrmBB1[Column]=UPPER(_xlfn.LET(_xlpm.x,_xlfn.TEXTBEFORE(AC$114," ("),IFERROR(_xlpm.x,AC$114)))&amp;" "&amp;AD$115),0)))</f>
        <v>0</v>
      </c>
      <c r="AE160" s="158" cm="1">
        <f t="array" aca="1" ref="AE160" ca="1">IF(OR($E160="X",$E160="",$E160=0,$B160="X",$B160="",$B160=0),0,SUM(_xlfn._xlws.FILTER(FrmBB1[Cur],(FrmBB1[PrjId]=TEXT($B160,"@"))*(FrmBB1[Row]=$E160)*(FrmBB1[Column]=UPPER(_xlfn.LET(_xlpm.x,_xlfn.TEXTBEFORE(AE$114," ("),IFERROR(_xlpm.x,AE$114)))&amp;" "&amp;AE$115),0)))</f>
        <v>1020.4</v>
      </c>
      <c r="AF160" s="157" cm="1">
        <f t="array" aca="1" ref="AF160" ca="1">IF(OR($E160="X",$E160="",$E160=0,$B160="X",$B160="",$B160=0),0,SUM(_xlfn._xlws.FILTER(FrmBB1[Cur],(FrmBB1[PrjId]=TEXT($B160,"@"))*(FrmBB1[Row]=$E160)*(FrmBB1[Column]=UPPER(_xlfn.LET(_xlpm.x,_xlfn.TEXTBEFORE(AE$114," ("),IFERROR(_xlpm.x,AE$114)))&amp;" "&amp;AF$115),0)))</f>
        <v>0</v>
      </c>
      <c r="AG160" s="158" cm="1">
        <f t="array" aca="1" ref="AG160" ca="1">IF(OR($E160="X",$E160="",$E160=0,$B160="X",$B160="",$B160=0),0,SUM(_xlfn._xlws.FILTER(FrmBB1[Cur],(FrmBB1[PrjId]=TEXT($B160,"@"))*(FrmBB1[Row]=$E160)*(FrmBB1[Column]=UPPER(_xlfn.LET(_xlpm.x,_xlfn.TEXTBEFORE(AG$114," ("),IFERROR(_xlpm.x,AG$114)))&amp;" "&amp;AG$115),0)))</f>
        <v>0</v>
      </c>
      <c r="AH160" s="157" cm="1">
        <f t="array" aca="1" ref="AH160" ca="1">IF(OR($E160="X",$E160="",$E160=0,$B160="X",$B160="",$B160=0),0,SUM(_xlfn._xlws.FILTER(FrmBB1[Cur],(FrmBB1[PrjId]=TEXT($B160,"@"))*(FrmBB1[Row]=$E160)*(FrmBB1[Column]=UPPER(_xlfn.LET(_xlpm.x,_xlfn.TEXTBEFORE(AG$114," ("),IFERROR(_xlpm.x,AG$114)))&amp;" "&amp;AH$115),0)))</f>
        <v>0</v>
      </c>
      <c r="AI160" s="158" cm="1">
        <f t="array" aca="1" ref="AI160" ca="1">IF(OR($E160="X",$E160="",$E160=0,$B160="X",$B160="",$B160=0),0,SUM(_xlfn._xlws.FILTER(FrmBB1[Cur],(FrmBB1[PrjId]=TEXT($B160,"@"))*(FrmBB1[Row]=$E160)*(FrmBB1[Column]=UPPER(_xlfn.LET(_xlpm.x,_xlfn.TEXTBEFORE(AI$114," ("),IFERROR(_xlpm.x,AI$114)))&amp;" "&amp;AI$115),0)))</f>
        <v>0</v>
      </c>
      <c r="AJ160" s="157" cm="1">
        <f t="array" aca="1" ref="AJ160" ca="1">IF(OR($E160="X",$E160="",$E160=0,$B160="X",$B160="",$B160=0),0,SUM(_xlfn._xlws.FILTER(FrmBB1[Cur],(FrmBB1[PrjId]=TEXT($B160,"@"))*(FrmBB1[Row]=$E160)*(FrmBB1[Column]=UPPER(_xlfn.LET(_xlpm.x,_xlfn.TEXTBEFORE(AI$114," ("),IFERROR(_xlpm.x,AI$114)))&amp;" "&amp;AJ$115),0)))</f>
        <v>0</v>
      </c>
      <c r="AK160" s="158" cm="1">
        <f t="array" aca="1" ref="AK160" ca="1">IF(OR($E160="X",$E160="",$E160=0,$B160="X",$B160="",$B160=0),0,SUM(_xlfn._xlws.FILTER(FrmBB1[Cur],(FrmBB1[PrjId]=TEXT($B160,"@"))*(FrmBB1[Row]=$E160)*(FrmBB1[Column]=UPPER(_xlfn.LET(_xlpm.x,_xlfn.TEXTBEFORE(AK$114," ("),IFERROR(_xlpm.x,AK$114)))&amp;" "&amp;AK$115),0)))</f>
        <v>0</v>
      </c>
      <c r="AL160" s="157" cm="1">
        <f t="array" aca="1" ref="AL160" ca="1">IF(OR($E160="X",$E160="",$E160=0,$B160="X",$B160="",$B160=0),0,SUM(_xlfn._xlws.FILTER(FrmBB1[Cur],(FrmBB1[PrjId]=TEXT($B160,"@"))*(FrmBB1[Row]=$E160)*(FrmBB1[Column]=UPPER(_xlfn.LET(_xlpm.x,_xlfn.TEXTBEFORE(AK$114," ("),IFERROR(_xlpm.x,AK$114)))&amp;" "&amp;AL$115),0)))</f>
        <v>0</v>
      </c>
      <c r="AM160" s="158" cm="1">
        <f t="array" aca="1" ref="AM160" ca="1">IF(OR($E160="X",$E160="",$E160=0,$B160="X",$B160="",$B160=0),0,SUM(_xlfn._xlws.FILTER(FrmBB1[Cur],(FrmBB1[PrjId]=TEXT($B160,"@"))*(FrmBB1[Row]=$E160)*(FrmBB1[Column]=UPPER(_xlfn.LET(_xlpm.x,_xlfn.TEXTBEFORE(AM$114," ("),IFERROR(_xlpm.x,AM$114)))&amp;" "&amp;AM$115),0)))</f>
        <v>0</v>
      </c>
      <c r="AN160" s="157" cm="1">
        <f t="array" aca="1" ref="AN160" ca="1">IF(OR($E160="X",$E160="",$E160=0,$B160="X",$B160="",$B160=0),0,SUM(_xlfn._xlws.FILTER(FrmBB1[Cur],(FrmBB1[PrjId]=TEXT($B160,"@"))*(FrmBB1[Row]=$E160)*(FrmBB1[Column]=UPPER(_xlfn.LET(_xlpm.x,_xlfn.TEXTBEFORE(AM$114," ("),IFERROR(_xlpm.x,AM$114)))&amp;" "&amp;AN$115),0)))</f>
        <v>0</v>
      </c>
      <c r="AO160" s="158" cm="1">
        <f t="array" aca="1" ref="AO160" ca="1">IF(OR($E160="X",$E160="",$E160=0,$B160="X",$B160="",$B160=0),0,SUM(_xlfn._xlws.FILTER(FrmBB1[Cur],(FrmBB1[PrjId]=TEXT($B160,"@"))*(FrmBB1[Row]=$E160)*(FrmBB1[Column]=UPPER(_xlfn.LET(_xlpm.x,_xlfn.TEXTBEFORE(AO$114," ("),IFERROR(_xlpm.x,AO$114)))&amp;" "&amp;AO$115),0)))</f>
        <v>0</v>
      </c>
      <c r="AP160" s="157" cm="1">
        <f t="array" aca="1" ref="AP160" ca="1">IF(OR($E160="X",$E160="",$E160=0,$B160="X",$B160="",$B160=0),0,SUM(_xlfn._xlws.FILTER(FrmBB1[Cur],(FrmBB1[PrjId]=TEXT($B160,"@"))*(FrmBB1[Row]=$E160)*(FrmBB1[Column]=UPPER(_xlfn.LET(_xlpm.x,_xlfn.TEXTBEFORE(AO$114," ("),IFERROR(_xlpm.x,AO$114)))&amp;" "&amp;AP$115),0)))</f>
        <v>0</v>
      </c>
      <c r="AQ160" s="157" cm="1">
        <f t="array" aca="1" ref="AQ160" ca="1">SUM(IF(INDIRECT($AS$115)=AQ$115,INDIRECT($AS160)))</f>
        <v>2979.39</v>
      </c>
      <c r="AR160" s="157" cm="1">
        <f t="array" aca="1" ref="AR160" ca="1">SUM(IF(INDIRECT($AS$115)=AR$115,INDIRECT($AS160)))</f>
        <v>580</v>
      </c>
      <c r="AS160" s="286" t="str">
        <f t="shared" ca="1" si="15"/>
        <v>G160:AP160</v>
      </c>
      <c r="AT160" s="355">
        <f t="shared" ca="1" si="14"/>
        <v>3559.39</v>
      </c>
      <c r="AV160" s="142" cm="1">
        <f t="array" aca="1" ref="AV160" ca="1">IF(AND(_xlfn.LET(_xlpm.x,SUM(ROW()),OR(AND(MATCH("SOT",$A:$A,0)&lt;_xlpm.x,MATCH("EOT",$A:$A,0)&gt;_xlpm.x),AND(MATCH("SOS",$A:$A,0)&lt;_xlpm.x,MATCH("EOS",$A:$A,0)&gt;_xlpm.x),AND(MATCH("SOR",$A:$A,0)&lt;_xlpm.x,MATCH("EOR",$A:$A,0)&gt;_xlpm.x))),INDIRECT("rc"&amp;MATCH("SCD",$1:$1,0),FALSE)="PPTO"),1,0)</f>
        <v>0</v>
      </c>
      <c r="AW160" s="142" cm="1">
        <f t="array" aca="1" ref="AW16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61" spans="2:49" outlineLevel="1">
      <c r="B161" s="156" t="str" cm="1">
        <f t="array" aca="1" ref="B161:E161" ca="1">_xlfn.LET(_xlpm.x,SUM(ROW()-MATCH("SOR",$A:$A,0)),_xlpm.y,IFERROR(_xlfn.TAKE(INDEX(_xlfn._xlws.FILTER(TbAssign[],ISNUMBER(FIND(TbAssign[Project],$C$4)),"X"),1+QUOTIENT(_xlpm.x,3),0),1,4),0),IF(MOD(_xlpm.x-1,3)=0,IF(_xlpm.y=0,"X",_xlpm.y),INDIRECT("r[-1]c#",FALSE)))</f>
        <v>31200</v>
      </c>
      <c r="C161" s="156" t="str">
        <f ca="1"/>
        <v>XC01</v>
      </c>
      <c r="D161" s="148" t="str">
        <f ca="1"/>
        <v>FABT</v>
      </c>
      <c r="E161" s="352" t="str">
        <f ca="1"/>
        <v>FABRICACION UTILES/GARRAS</v>
      </c>
      <c r="F161" s="148" t="s">
        <v>397</v>
      </c>
      <c r="G161" s="157" cm="1">
        <f t="array" aca="1" ref="G161" ca="1">IF(OR($E161="X",$E161="",$E161=0,$B161="X",$B161="",$B161=0),0,SUM(_xlfn._xlws.FILTER(IF($E$4="Ppto",PptoSty[CurPpto],PptoSty[CurInt]),(IF($E$4="Ppto",PptoSty[POvsCT]=G$113,TRUE))*(PptoSty[Project]=TEXT($B161,"@"))*(PptoSty[PptoVsRow]=$E161)*(PptoSty[PptoVsColumn]=UPPER(G$114)),0)))</f>
        <v>0</v>
      </c>
      <c r="H161" s="157" cm="1">
        <f t="array" aca="1" ref="H161" ca="1">IF(OR($E161="X",$E161="",$E161=0,$B161="X",$B161="",$B161=0),0,SUM(_xlfn._xlws.FILTER(IF($E$4="Ppto",PptoSty[CurPpto],PptoSty[CurExt]),(IF($E$4="Ppto",PptoSty[POvsCT]=H$113,TRUE))*(PptoSty[Project]=TEXT($B161,"@"))*(PptoSty[PptoVsRow]=$E161)*(PptoSty[PptoVsColumn]=UPPER(G$114)),0)))</f>
        <v>0</v>
      </c>
      <c r="I161" s="157" cm="1">
        <f t="array" aca="1" ref="I161" ca="1">IF(OR($E161="X",$E161="",$E161=0,$B161="X",$B161="",$B161=0),0,SUM(_xlfn._xlws.FILTER(IF($E$4="Ppto",PptoSty[CurPpto],PptoSty[CurInt]),(IF($E$4="Ppto",PptoSty[POvsCT]=I$113,TRUE))*(PptoSty[Project]=TEXT($B161,"@"))*(PptoSty[PptoVsRow]=$E161)*(PptoSty[PptoVsColumn]=UPPER(I$114)),0)))</f>
        <v>0</v>
      </c>
      <c r="J161" s="157" cm="1">
        <f t="array" aca="1" ref="J161" ca="1">IF(OR($E161="X",$E161="",$E161=0,$B161="X",$B161="",$B161=0),0,SUM(_xlfn._xlws.FILTER(IF($E$4="Ppto",PptoSty[CurPpto],PptoSty[CurExt]),(IF($E$4="Ppto",PptoSty[POvsCT]=J$113,TRUE))*(PptoSty[Project]=TEXT($B161,"@"))*(PptoSty[PptoVsRow]=$E161)*(PptoSty[PptoVsColumn]=UPPER(I$114)),0)))</f>
        <v>0</v>
      </c>
      <c r="K161" s="157" cm="1">
        <f t="array" aca="1" ref="K161" ca="1">IF(OR($E161="X",$E161="",$E161=0,$B161="X",$B161="",$B161=0),0,SUM(_xlfn._xlws.FILTER(IF($E$4="Ppto",PptoSty[CurPpto],PptoSty[CurInt]),(IF($E$4="Ppto",PptoSty[POvsCT]=K$113,TRUE))*(PptoSty[Project]=TEXT($B161,"@"))*(PptoSty[PptoVsRow]=$E161)*(PptoSty[PptoVsColumn]=UPPER(K$114)),0)))</f>
        <v>0</v>
      </c>
      <c r="L161" s="157" cm="1">
        <f t="array" aca="1" ref="L161" ca="1">IF(OR($E161="X",$E161="",$E161=0,$B161="X",$B161="",$B161=0),0,SUM(_xlfn._xlws.FILTER(IF($E$4="Ppto",PptoSty[CurPpto],PptoSty[CurExt]),(IF($E$4="Ppto",PptoSty[POvsCT]=L$113,TRUE))*(PptoSty[Project]=TEXT($B161,"@"))*(PptoSty[PptoVsRow]=$E161)*(PptoSty[PptoVsColumn]=UPPER(K$114)),0)))</f>
        <v>0</v>
      </c>
      <c r="M161" s="157" cm="1">
        <f t="array" aca="1" ref="M161" ca="1">IF(OR($E161="X",$E161="",$E161=0,$B161="X",$B161="",$B161=0),0,SUM(_xlfn._xlws.FILTER(IF($E$4="Ppto",PptoSty[CurPpto],PptoSty[CurInt]),(IF($E$4="Ppto",PptoSty[POvsCT]=M$113,TRUE))*(PptoSty[Project]=TEXT($B161,"@"))*(PptoSty[PptoVsRow]=$E161)*(PptoSty[PptoVsColumn]=UPPER(M$114)),0)))</f>
        <v>0</v>
      </c>
      <c r="N161" s="157" cm="1">
        <f t="array" aca="1" ref="N161" ca="1">IF(OR($E161="X",$E161="",$E161=0,$B161="X",$B161="",$B161=0),0,SUM(_xlfn._xlws.FILTER(IF($E$4="Ppto",PptoSty[CurPpto],PptoSty[CurExt]),(IF($E$4="Ppto",PptoSty[POvsCT]=N$113,TRUE))*(PptoSty[Project]=TEXT($B161,"@"))*(PptoSty[PptoVsRow]=$E161)*(PptoSty[PptoVsColumn]=UPPER(M$114)),0)))</f>
        <v>0</v>
      </c>
      <c r="O161" s="157" cm="1">
        <f t="array" aca="1" ref="O161" ca="1">IF(OR($E161="X",$E161="",$E161=0,$B161="X",$B161="",$B161=0),0,SUM(_xlfn._xlws.FILTER(IF($E$4="Ppto",PptoSty[CurPpto],PptoSty[CurInt]),(IF($E$4="Ppto",PptoSty[POvsCT]=O$113,TRUE))*(PptoSty[Project]=TEXT($B161,"@"))*(PptoSty[PptoVsRow]=$E161)*(PptoSty[PptoVsColumn]=UPPER(O$114)),0)))</f>
        <v>0</v>
      </c>
      <c r="P161" s="157" cm="1">
        <f t="array" aca="1" ref="P161" ca="1">IF(OR($E161="X",$E161="",$E161=0,$B161="X",$B161="",$B161=0),0,SUM(_xlfn._xlws.FILTER(IF($E$4="Ppto",PptoSty[CurPpto],PptoSty[CurExt]),(IF($E$4="Ppto",PptoSty[POvsCT]=P$113,TRUE))*(PptoSty[Project]=TEXT($B161,"@"))*(PptoSty[PptoVsRow]=$E161)*(PptoSty[PptoVsColumn]=UPPER(O$114)),0)))</f>
        <v>0</v>
      </c>
      <c r="Q161" s="157" cm="1">
        <f t="array" aca="1" ref="Q161" ca="1">IF(OR($E161="X",$E161="",$E161=0,$B161="X",$B161="",$B161=0),0,SUM(_xlfn._xlws.FILTER(IF($E$4="Ppto",PptoSty[CurPpto],PptoSty[CurInt]),(IF($E$4="Ppto",PptoSty[POvsCT]=Q$113,TRUE))*(PptoSty[Project]=TEXT($B161,"@"))*(PptoSty[PptoVsRow]=$E161)*(PptoSty[PptoVsColumn]=UPPER(Q$114)),0)))</f>
        <v>0</v>
      </c>
      <c r="R161" s="157" cm="1">
        <f t="array" aca="1" ref="R161" ca="1">IF(OR($E161="X",$E161="",$E161=0,$B161="X",$B161="",$B161=0),0,SUM(_xlfn._xlws.FILTER(IF($E$4="Ppto",PptoSty[CurPpto],PptoSty[CurExt]),(IF($E$4="Ppto",PptoSty[POvsCT]=R$113,TRUE))*(PptoSty[Project]=TEXT($B161,"@"))*(PptoSty[PptoVsRow]=$E161)*(PptoSty[PptoVsColumn]=UPPER(Q$114)),0)))</f>
        <v>0</v>
      </c>
      <c r="S161" s="157" cm="1">
        <f t="array" aca="1" ref="S161" ca="1">IF(OR($E161="X",$E161="",$E161=0,$B161="X",$B161="",$B161=0),0,SUM(_xlfn._xlws.FILTER(IF($E$4="Ppto",PptoSty[CurPpto],PptoSty[CurInt]),(IF($E$4="Ppto",PptoSty[POvsCT]=S$113,TRUE))*(PptoSty[Project]=TEXT($B161,"@"))*(PptoSty[PptoVsRow]=$E161)*(PptoSty[PptoVsColumn]=UPPER(S$114)),0)))</f>
        <v>0</v>
      </c>
      <c r="T161" s="157" cm="1">
        <f t="array" aca="1" ref="T161" ca="1">IF(OR($E161="X",$E161="",$E161=0,$B161="X",$B161="",$B161=0),0,SUM(_xlfn._xlws.FILTER(IF($E$4="Ppto",PptoSty[CurPpto],PptoSty[CurExt]),(IF($E$4="Ppto",PptoSty[POvsCT]=T$113,TRUE))*(PptoSty[Project]=TEXT($B161,"@"))*(PptoSty[PptoVsRow]=$E161)*(PptoSty[PptoVsColumn]=UPPER(S$114)),0)))</f>
        <v>0</v>
      </c>
      <c r="U161" s="157" cm="1">
        <f t="array" aca="1" ref="U161" ca="1">IF(OR($E161="X",$E161="",$E161=0,$B161="X",$B161="",$B161=0),0,SUM(_xlfn._xlws.FILTER(IF($E$4="Ppto",PptoSty[CurPpto],PptoSty[CurInt]),(IF($E$4="Ppto",PptoSty[POvsCT]=U$113,TRUE))*(PptoSty[Project]=TEXT($B161,"@"))*(PptoSty[PptoVsRow]=$E161)*(PptoSty[PptoVsColumn]=UPPER(U$114)),0)))</f>
        <v>133378.03425583258</v>
      </c>
      <c r="V161" s="157" cm="1">
        <f t="array" aca="1" ref="V161" ca="1">IF(OR($E161="X",$E161="",$E161=0,$B161="X",$B161="",$B161=0),0,SUM(_xlfn._xlws.FILTER(IF($E$4="Ppto",PptoSty[CurPpto],PptoSty[CurExt]),(IF($E$4="Ppto",PptoSty[POvsCT]=V$113,TRUE))*(PptoSty[Project]=TEXT($B161,"@"))*(PptoSty[PptoVsRow]=$E161)*(PptoSty[PptoVsColumn]=UPPER(U$114)),0)))</f>
        <v>725155.8942974743</v>
      </c>
      <c r="W161" s="157" cm="1">
        <f t="array" aca="1" ref="W161" ca="1">IF(OR($E161="X",$E161="",$E161=0,$B161="X",$B161="",$B161=0),0,SUM(_xlfn._xlws.FILTER(IF($E$4="Ppto",PptoSty[CurPpto],PptoSty[CurInt]),(IF($E$4="Ppto",PptoSty[POvsCT]=W$113,TRUE))*(PptoSty[Project]=TEXT($B161,"@"))*(PptoSty[PptoVsRow]=$E161)*(PptoSty[PptoVsColumn]=UPPER(W$114)),0)))</f>
        <v>0</v>
      </c>
      <c r="X161" s="157" cm="1">
        <f t="array" aca="1" ref="X161" ca="1">IF(OR($E161="X",$E161="",$E161=0,$B161="X",$B161="",$B161=0),0,SUM(_xlfn._xlws.FILTER(IF($E$4="Ppto",PptoSty[CurPpto],PptoSty[CurExt]),(IF($E$4="Ppto",PptoSty[POvsCT]=X$113,TRUE))*(PptoSty[Project]=TEXT($B161,"@"))*(PptoSty[PptoVsRow]=$E161)*(PptoSty[PptoVsColumn]=UPPER(W$114)),0)))</f>
        <v>0</v>
      </c>
      <c r="Y161" s="157" cm="1">
        <f t="array" aca="1" ref="Y161" ca="1">IF(OR($E161="X",$E161="",$E161=0,$B161="X",$B161="",$B161=0),0,SUM(_xlfn._xlws.FILTER(IF($E$4="Ppto",PptoSty[CurPpto],PptoSty[CurInt]),(IF($E$4="Ppto",PptoSty[POvsCT]=Y$113,TRUE))*(PptoSty[Project]=TEXT($B161,"@"))*(PptoSty[PptoVsRow]=$E161)*(PptoSty[PptoVsColumn]=UPPER(Y$114)),0)))</f>
        <v>0</v>
      </c>
      <c r="Z161" s="157" cm="1">
        <f t="array" aca="1" ref="Z161" ca="1">IF(OR($E161="X",$E161="",$E161=0,$B161="X",$B161="",$B161=0),0,SUM(_xlfn._xlws.FILTER(IF($E$4="Ppto",PptoSty[CurPpto],PptoSty[CurExt]),(IF($E$4="Ppto",PptoSty[POvsCT]=Z$113,TRUE))*(PptoSty[Project]=TEXT($B161,"@"))*(PptoSty[PptoVsRow]=$E161)*(PptoSty[PptoVsColumn]=UPPER(Y$114)),0)))</f>
        <v>0</v>
      </c>
      <c r="AA161" s="157" cm="1">
        <f t="array" aca="1" ref="AA161" ca="1">IF(OR($E161="X",$E161="",$E161=0,$B161="X",$B161="",$B161=0),0,SUM(_xlfn._xlws.FILTER(IF($E$4="Ppto",PptoSty[CurPpto],PptoSty[CurInt]),(IF($E$4="Ppto",PptoSty[POvsCT]=AA$113,TRUE))*(PptoSty[Project]=TEXT($B161,"@"))*(PptoSty[PptoVsRow]=$E161)*(PptoSty[PptoVsColumn]=UPPER(AA$114)),0)))</f>
        <v>0</v>
      </c>
      <c r="AB161" s="157" cm="1">
        <f t="array" aca="1" ref="AB161" ca="1">IF(OR($E161="X",$E161="",$E161=0,$B161="X",$B161="",$B161=0),0,SUM(_xlfn._xlws.FILTER(IF($E$4="Ppto",PptoSty[CurPpto],PptoSty[CurExt]),(IF($E$4="Ppto",PptoSty[POvsCT]=AB$113,TRUE))*(PptoSty[Project]=TEXT($B161,"@"))*(PptoSty[PptoVsRow]=$E161)*(PptoSty[PptoVsColumn]=UPPER(AA$114)),0)))</f>
        <v>0</v>
      </c>
      <c r="AC161" s="157" cm="1">
        <f t="array" aca="1" ref="AC161" ca="1">IF(OR($E161="X",$E161="",$E161=0,$B161="X",$B161="",$B161=0),0,SUM(_xlfn._xlws.FILTER(IF($E$4="Ppto",PptoSty[CurPpto],PptoSty[CurInt]),(IF($E$4="Ppto",PptoSty[POvsCT]=AC$113,TRUE))*(PptoSty[Project]=TEXT($B161,"@"))*(PptoSty[PptoVsRow]=$E161)*(PptoSty[PptoVsColumn]=UPPER(AC$114)),0)))</f>
        <v>0</v>
      </c>
      <c r="AD161" s="157" cm="1">
        <f t="array" aca="1" ref="AD161" ca="1">IF(OR($E161="X",$E161="",$E161=0,$B161="X",$B161="",$B161=0),0,SUM(_xlfn._xlws.FILTER(IF($E$4="Ppto",PptoSty[CurPpto],PptoSty[CurExt]),(IF($E$4="Ppto",PptoSty[POvsCT]=AD$113,TRUE))*(PptoSty[Project]=TEXT($B161,"@"))*(PptoSty[PptoVsRow]=$E161)*(PptoSty[PptoVsColumn]=UPPER(AC$114)),0)))</f>
        <v>0</v>
      </c>
      <c r="AE161" s="157" cm="1">
        <f t="array" aca="1" ref="AE161" ca="1">IF(OR($E161="X",$E161="",$E161=0,$B161="X",$B161="",$B161=0),0,SUM(_xlfn._xlws.FILTER(IF($E$4="Ppto",PptoSty[CurPpto],PptoSty[CurInt]),(IF($E$4="Ppto",PptoSty[POvsCT]=AE$113,TRUE))*(PptoSty[Project]=TEXT($B161,"@"))*(PptoSty[PptoVsRow]=$E161)*(PptoSty[PptoVsColumn]=UPPER(AE$114)),0)))</f>
        <v>0</v>
      </c>
      <c r="AF161" s="157" cm="1">
        <f t="array" aca="1" ref="AF161" ca="1">IF(OR($E161="X",$E161="",$E161=0,$B161="X",$B161="",$B161=0),0,SUM(_xlfn._xlws.FILTER(IF($E$4="Ppto",PptoSty[CurPpto],PptoSty[CurExt]),(IF($E$4="Ppto",PptoSty[POvsCT]=AF$113,TRUE))*(PptoSty[Project]=TEXT($B161,"@"))*(PptoSty[PptoVsRow]=$E161)*(PptoSty[PptoVsColumn]=UPPER(AE$114)),0)))</f>
        <v>0</v>
      </c>
      <c r="AG161" s="157" cm="1">
        <f t="array" aca="1" ref="AG161" ca="1">IF(OR($E161="X",$E161="",$E161=0,$B161="X",$B161="",$B161=0),0,SUM(_xlfn._xlws.FILTER(IF($E$4="Ppto",PptoSty[CurPpto],PptoSty[CurInt]),(IF($E$4="Ppto",PptoSty[POvsCT]=AG$113,TRUE))*(PptoSty[Project]=TEXT($B161,"@"))*(PptoSty[PptoVsRow]=$E161)*(PptoSty[PptoVsColumn]=UPPER(AG$114)),0)))</f>
        <v>0</v>
      </c>
      <c r="AH161" s="157" cm="1">
        <f t="array" aca="1" ref="AH161" ca="1">IF(OR($E161="X",$E161="",$E161=0,$B161="X",$B161="",$B161=0),0,SUM(_xlfn._xlws.FILTER(IF($E$4="Ppto",PptoSty[CurPpto],PptoSty[CurExt]),(IF($E$4="Ppto",PptoSty[POvsCT]=AH$113,TRUE))*(PptoSty[Project]=TEXT($B161,"@"))*(PptoSty[PptoVsRow]=$E161)*(PptoSty[PptoVsColumn]=UPPER(AG$114)),0)))</f>
        <v>0</v>
      </c>
      <c r="AI161" s="157" cm="1">
        <f t="array" aca="1" ref="AI161" ca="1">IF(OR($E161="X",$E161="",$E161=0,$B161="X",$B161="",$B161=0),0,SUM(_xlfn._xlws.FILTER(IF($E$4="Ppto",PptoSty[CurPpto],PptoSty[CurInt]),(IF($E$4="Ppto",PptoSty[POvsCT]=AI$113,TRUE))*(PptoSty[Project]=TEXT($B161,"@"))*(PptoSty[PptoVsRow]=$E161)*(PptoSty[PptoVsColumn]=UPPER(AI$114)),0)))</f>
        <v>0</v>
      </c>
      <c r="AJ161" s="157" cm="1">
        <f t="array" aca="1" ref="AJ161" ca="1">IF(OR($E161="X",$E161="",$E161=0,$B161="X",$B161="",$B161=0),0,SUM(_xlfn._xlws.FILTER(IF($E$4="Ppto",PptoSty[CurPpto],PptoSty[CurExt]),(IF($E$4="Ppto",PptoSty[POvsCT]=AJ$113,TRUE))*(PptoSty[Project]=TEXT($B161,"@"))*(PptoSty[PptoVsRow]=$E161)*(PptoSty[PptoVsColumn]=UPPER(AI$114)),0)))</f>
        <v>215028.45490000001</v>
      </c>
      <c r="AK161" s="157" cm="1">
        <f t="array" aca="1" ref="AK161" ca="1">IF(OR($E161="X",$E161="",$E161=0,$B161="X",$B161="",$B161=0),0,SUM(_xlfn._xlws.FILTER(IF($E$4="Ppto",PptoSty[CurPpto],PptoSty[CurInt]),(IF($E$4="Ppto",PptoSty[POvsCT]=AK$113,TRUE))*(PptoSty[Project]=TEXT($B161,"@"))*(PptoSty[PptoVsRow]=$E161)*(PptoSty[PptoVsColumn]=UPPER(AK$114)),0)))</f>
        <v>0</v>
      </c>
      <c r="AL161" s="157" cm="1">
        <f t="array" aca="1" ref="AL161" ca="1">IF(OR($E161="X",$E161="",$E161=0,$B161="X",$B161="",$B161=0),0,SUM(_xlfn._xlws.FILTER(IF($E$4="Ppto",PptoSty[CurPpto],PptoSty[CurExt]),(IF($E$4="Ppto",PptoSty[POvsCT]=AL$113,TRUE))*(PptoSty[Project]=TEXT($B161,"@"))*(PptoSty[PptoVsRow]=$E161)*(PptoSty[PptoVsColumn]=UPPER(AK$114)),0)))</f>
        <v>0</v>
      </c>
      <c r="AM161" s="157" cm="1">
        <f t="array" aca="1" ref="AM161" ca="1">IF(OR($E161="X",$E161="",$E161=0,$B161="X",$B161="",$B161=0),0,SUM(_xlfn._xlws.FILTER(IF($E$4="Ppto",PptoSty[CurPpto],PptoSty[CurInt]),(IF($E$4="Ppto",PptoSty[POvsCT]=AM$113,TRUE))*(PptoSty[Project]=TEXT($B161,"@"))*(PptoSty[PptoVsRow]=$E161)*(PptoSty[PptoVsColumn]=UPPER(AM$114)),0)))</f>
        <v>0</v>
      </c>
      <c r="AN161" s="157" cm="1">
        <f t="array" aca="1" ref="AN161" ca="1">IF(OR($E161="X",$E161="",$E161=0,$B161="X",$B161="",$B161=0),0,SUM(_xlfn._xlws.FILTER(IF($E$4="Ppto",PptoSty[CurPpto],PptoSty[CurExt]),(IF($E$4="Ppto",PptoSty[POvsCT]=AN$113,TRUE))*(PptoSty[Project]=TEXT($B161,"@"))*(PptoSty[PptoVsRow]=$E161)*(PptoSty[PptoVsColumn]=UPPER(AM$114)),0)))</f>
        <v>0</v>
      </c>
      <c r="AO161" s="157" cm="1">
        <f t="array" aca="1" ref="AO161" ca="1">IF(OR($E161="X",$E161="",$E161=0,$B161="X",$B161="",$B161=0),0,SUM(_xlfn._xlws.FILTER(IF($E$4="Ppto",PptoSty[CurPpto],PptoSty[CurInt]),(IF($E$4="Ppto",PptoSty[POvsCT]=AO$113,TRUE))*(PptoSty[Project]=TEXT($B161,"@"))*(PptoSty[PptoVsRow]=$E161)*(PptoSty[PptoVsColumn]=UPPER(AO$114)),0)))</f>
        <v>0</v>
      </c>
      <c r="AP161" s="157" cm="1">
        <f t="array" aca="1" ref="AP161" ca="1">IF(OR($E161="X",$E161="",$E161=0,$B161="X",$B161="",$B161=0),0,SUM(_xlfn._xlws.FILTER(IF($E$4="Ppto",PptoSty[CurPpto],PptoSty[CurExt]),(IF($E$4="Ppto",PptoSty[POvsCT]=AP$113,TRUE))*(PptoSty[Project]=TEXT($B161,"@"))*(PptoSty[PptoVsRow]=$E161)*(PptoSty[PptoVsColumn]=UPPER(AO$114)),0)))</f>
        <v>0</v>
      </c>
      <c r="AQ161" s="157" cm="1">
        <f t="array" aca="1" ref="AQ161" ca="1">SUM(IF(INDIRECT($AS$115)=AQ$115,INDIRECT($AS161)))</f>
        <v>133378.03425583258</v>
      </c>
      <c r="AR161" s="157" cm="1">
        <f t="array" aca="1" ref="AR161" ca="1">SUM(IF(INDIRECT($AS$115)=AR$115,INDIRECT($AS161)))</f>
        <v>940184.34919747431</v>
      </c>
      <c r="AS161" s="286" t="str">
        <f t="shared" ca="1" si="15"/>
        <v>G161:AP161</v>
      </c>
      <c r="AT161" s="403">
        <f t="shared" ca="1" si="14"/>
        <v>1073562.383453307</v>
      </c>
      <c r="AV161" s="142" cm="1">
        <f t="array" aca="1" ref="AV161" ca="1">IF(AND(_xlfn.LET(_xlpm.x,SUM(ROW()),OR(AND(MATCH("SOT",$A:$A,0)&lt;_xlpm.x,MATCH("EOT",$A:$A,0)&gt;_xlpm.x),AND(MATCH("SOS",$A:$A,0)&lt;_xlpm.x,MATCH("EOS",$A:$A,0)&gt;_xlpm.x),AND(MATCH("SOR",$A:$A,0)&lt;_xlpm.x,MATCH("EOR",$A:$A,0)&gt;_xlpm.x))),INDIRECT("rc"&amp;MATCH("SCD",$1:$1,0),FALSE)="PPTO"),1,0)</f>
        <v>1</v>
      </c>
      <c r="AW161" s="142" cm="1">
        <f t="array" aca="1" ref="AW16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62" spans="2:49" outlineLevel="1">
      <c r="B162" s="156" t="str" cm="1">
        <f t="array" aca="1" ref="B162:E162" ca="1">_xlfn.LET(_xlpm.x,SUM(ROW()-MATCH("SOR",$A:$A,0)),_xlpm.y,IFERROR(_xlfn.TAKE(INDEX(_xlfn._xlws.FILTER(TbAssign[],ISNUMBER(FIND(TbAssign[Project],$C$4)),"X"),1+QUOTIENT(_xlpm.x,3),0),1,4),0),IF(MOD(_xlpm.x-1,3)=0,IF(_xlpm.y=0,"X",_xlpm.y),INDIRECT("r[-1]c#",FALSE)))</f>
        <v>31200</v>
      </c>
      <c r="C162" s="156" t="str">
        <f ca="1"/>
        <v>XC01</v>
      </c>
      <c r="D162" s="148" t="str">
        <f ca="1"/>
        <v>FABT</v>
      </c>
      <c r="E162" s="352" t="str">
        <f ca="1"/>
        <v>FABRICACION UTILES/GARRAS</v>
      </c>
      <c r="F162" s="148" t="s">
        <v>1382</v>
      </c>
      <c r="G162" s="157" cm="1">
        <f t="array" aca="1" ref="G162" ca="1">IF(OR($E162="X",$E162="",$E162=0,$B162="X",$B162="",$B162=0),0,SUM(_xlfn._xlws.FILTER(PrvSty[DsvValue:SERRA],(PrvSty[Project]=TEXT($B162,"@"))*(PrvSty[Row]=$E162)*(PrvSty[Column]=UPPER(G$114)),0)))</f>
        <v>0</v>
      </c>
      <c r="H162" s="157" cm="1">
        <f t="array" aca="1" ref="H162" ca="1">IF(OR($E162="X",$E162="",$E162=0,$B162="X",$B162="",$B162=0),0,SUM(_xlfn._xlws.FILTER(PrvSty[DsvValue:EXT.],(PrvSty[Project]=TEXT($B162,"@"))*(PrvSty[Row]=$E162)*(PrvSty[Column]=UPPER(G$114)),0)))</f>
        <v>0</v>
      </c>
      <c r="I162" s="157" cm="1">
        <f t="array" aca="1" ref="I162" ca="1">IF(OR($E162="X",$E162="",$E162=0,$B162="X",$B162="",$B162=0),0,SUM(_xlfn._xlws.FILTER(PrvSty[DsvValue:SERRA],(PrvSty[Project]=TEXT($B162,"@"))*(PrvSty[Row]=$E162)*(PrvSty[Column]=UPPER(I$114)),0)))</f>
        <v>0</v>
      </c>
      <c r="J162" s="157" cm="1">
        <f t="array" aca="1" ref="J162" ca="1">IF(OR($E162="X",$E162="",$E162=0,$B162="X",$B162="",$B162=0),0,SUM(_xlfn._xlws.FILTER(PrvSty[DsvValue:EXT.],(PrvSty[Project]=TEXT($B162,"@"))*(PrvSty[Row]=$E162)*(PrvSty[Column]=UPPER(I$114)),0)))</f>
        <v>0</v>
      </c>
      <c r="K162" s="157" cm="1">
        <f t="array" aca="1" ref="K162" ca="1">IF(OR($E162="X",$E162="",$E162=0,$B162="X",$B162="",$B162=0),0,SUM(_xlfn._xlws.FILTER(PrvSty[DsvValue:SERRA],(PrvSty[Project]=TEXT($B162,"@"))*(PrvSty[Row]=$E162)*(PrvSty[Column]=UPPER(K$114)),0)))</f>
        <v>0</v>
      </c>
      <c r="L162" s="157" cm="1">
        <f t="array" aca="1" ref="L162" ca="1">IF(OR($E162="X",$E162="",$E162=0,$B162="X",$B162="",$B162=0),0,SUM(_xlfn._xlws.FILTER(PrvSty[DsvValue:EXT.],(PrvSty[Project]=TEXT($B162,"@"))*(PrvSty[Row]=$E162)*(PrvSty[Column]=UPPER(K$114)),0)))</f>
        <v>0</v>
      </c>
      <c r="M162" s="157" cm="1">
        <f t="array" aca="1" ref="M162" ca="1">IF(OR($E162="X",$E162="",$E162=0,$B162="X",$B162="",$B162=0),0,SUM(_xlfn._xlws.FILTER(PrvSty[DsvValue:SERRA],(PrvSty[Project]=TEXT($B162,"@"))*(PrvSty[Row]=$E162)*(PrvSty[Column]=UPPER(M$114)),0)))</f>
        <v>0</v>
      </c>
      <c r="N162" s="157" cm="1">
        <f t="array" aca="1" ref="N162" ca="1">IF(OR($E162="X",$E162="",$E162=0,$B162="X",$B162="",$B162=0),0,SUM(_xlfn._xlws.FILTER(PrvSty[DsvValue:EXT.],(PrvSty[Project]=TEXT($B162,"@"))*(PrvSty[Row]=$E162)*(PrvSty[Column]=UPPER(M$114)),0)))</f>
        <v>0</v>
      </c>
      <c r="O162" s="157" cm="1">
        <f t="array" aca="1" ref="O162" ca="1">IF(OR($E162="X",$E162="",$E162=0,$B162="X",$B162="",$B162=0),0,SUM(_xlfn._xlws.FILTER(PrvSty[DsvValue:SERRA],(PrvSty[Project]=TEXT($B162,"@"))*(PrvSty[Row]=$E162)*(PrvSty[Column]=UPPER(O$114)),0)))</f>
        <v>0</v>
      </c>
      <c r="P162" s="157" cm="1">
        <f t="array" aca="1" ref="P162" ca="1">IF(OR($E162="X",$E162="",$E162=0,$B162="X",$B162="",$B162=0),0,SUM(_xlfn._xlws.FILTER(PrvSty[DsvValue:EXT.],(PrvSty[Project]=TEXT($B162,"@"))*(PrvSty[Row]=$E162)*(PrvSty[Column]=UPPER(O$114)),0)))</f>
        <v>0</v>
      </c>
      <c r="Q162" s="157" cm="1">
        <f t="array" aca="1" ref="Q162" ca="1">IF(OR($E162="X",$E162="",$E162=0,$B162="X",$B162="",$B162=0),0,SUM(_xlfn._xlws.FILTER(PrvSty[DsvValue:SERRA],(PrvSty[Project]=TEXT($B162,"@"))*(PrvSty[Row]=$E162)*(PrvSty[Column]=UPPER(Q$114)),0)))</f>
        <v>0</v>
      </c>
      <c r="R162" s="157" cm="1">
        <f t="array" aca="1" ref="R162" ca="1">IF(OR($E162="X",$E162="",$E162=0,$B162="X",$B162="",$B162=0),0,SUM(_xlfn._xlws.FILTER(PrvSty[DsvValue:EXT.],(PrvSty[Project]=TEXT($B162,"@"))*(PrvSty[Row]=$E162)*(PrvSty[Column]=UPPER(Q$114)),0)))</f>
        <v>0</v>
      </c>
      <c r="S162" s="157" cm="1">
        <f t="array" aca="1" ref="S162" ca="1">IF(OR($E162="X",$E162="",$E162=0,$B162="X",$B162="",$B162=0),0,SUM(_xlfn._xlws.FILTER(PrvSty[DsvValue:SERRA],(PrvSty[Project]=TEXT($B162,"@"))*(PrvSty[Row]=$E162)*(PrvSty[Column]=UPPER(S$114)),0)))</f>
        <v>0</v>
      </c>
      <c r="T162" s="157" cm="1">
        <f t="array" aca="1" ref="T162" ca="1">IF(OR($E162="X",$E162="",$E162=0,$B162="X",$B162="",$B162=0),0,SUM(_xlfn._xlws.FILTER(PrvSty[DsvValue:EXT.],(PrvSty[Project]=TEXT($B162,"@"))*(PrvSty[Row]=$E162)*(PrvSty[Column]=UPPER(S$114)),0)))</f>
        <v>0</v>
      </c>
      <c r="U162" s="157" cm="1">
        <f t="array" aca="1" ref="U162" ca="1">IF(OR($E162="X",$E162="",$E162=0,$B162="X",$B162="",$B162=0),0,SUM(_xlfn._xlws.FILTER(PrvSty[DsvValue:SERRA],(PrvSty[Project]=TEXT($B162,"@"))*(PrvSty[Row]=$E162)*(PrvSty[Column]=UPPER(U$114)),0)))</f>
        <v>-10756.07</v>
      </c>
      <c r="V162" s="157" cm="1">
        <f t="array" aca="1" ref="V162" ca="1">IF(OR($E162="X",$E162="",$E162=0,$B162="X",$B162="",$B162=0),0,SUM(_xlfn._xlws.FILTER(PrvSty[DsvValue:EXT.],(PrvSty[Project]=TEXT($B162,"@"))*(PrvSty[Row]=$E162)*(PrvSty[Column]=UPPER(U$114)),0)))</f>
        <v>-168076.17855330685</v>
      </c>
      <c r="W162" s="157" cm="1">
        <f t="array" aca="1" ref="W162" ca="1">IF(OR($E162="X",$E162="",$E162=0,$B162="X",$B162="",$B162=0),0,SUM(_xlfn._xlws.FILTER(PrvSty[DsvValue:SERRA],(PrvSty[Project]=TEXT($B162,"@"))*(PrvSty[Row]=$E162)*(PrvSty[Column]=UPPER(W$114)),0)))</f>
        <v>4676.79</v>
      </c>
      <c r="X162" s="157" cm="1">
        <f t="array" aca="1" ref="X162" ca="1">IF(OR($E162="X",$E162="",$E162=0,$B162="X",$B162="",$B162=0),0,SUM(_xlfn._xlws.FILTER(PrvSty[DsvValue:EXT.],(PrvSty[Project]=TEXT($B162,"@"))*(PrvSty[Row]=$E162)*(PrvSty[Column]=UPPER(W$114)),0)))</f>
        <v>0</v>
      </c>
      <c r="Y162" s="157" cm="1">
        <f t="array" aca="1" ref="Y162" ca="1">IF(OR($E162="X",$E162="",$E162=0,$B162="X",$B162="",$B162=0),0,SUM(_xlfn._xlws.FILTER(PrvSty[DsvValue:SERRA],(PrvSty[Project]=TEXT($B162,"@"))*(PrvSty[Row]=$E162)*(PrvSty[Column]=UPPER(Y$114)),0)))</f>
        <v>13037.16</v>
      </c>
      <c r="Z162" s="157" cm="1">
        <f t="array" aca="1" ref="Z162" ca="1">IF(OR($E162="X",$E162="",$E162=0,$B162="X",$B162="",$B162=0),0,SUM(_xlfn._xlws.FILTER(PrvSty[DsvValue:EXT.],(PrvSty[Project]=TEXT($B162,"@"))*(PrvSty[Row]=$E162)*(PrvSty[Column]=UPPER(Y$114)),0)))</f>
        <v>0</v>
      </c>
      <c r="AA162" s="157" cm="1">
        <f t="array" aca="1" ref="AA162" ca="1">IF(OR($E162="X",$E162="",$E162=0,$B162="X",$B162="",$B162=0),0,SUM(_xlfn._xlws.FILTER(PrvSty[DsvValue:SERRA],(PrvSty[Project]=TEXT($B162,"@"))*(PrvSty[Row]=$E162)*(PrvSty[Column]=UPPER(AA$114)),0)))</f>
        <v>0</v>
      </c>
      <c r="AB162" s="157" cm="1">
        <f t="array" aca="1" ref="AB162" ca="1">IF(OR($E162="X",$E162="",$E162=0,$B162="X",$B162="",$B162=0),0,SUM(_xlfn._xlws.FILTER(PrvSty[DsvValue:EXT.],(PrvSty[Project]=TEXT($B162,"@"))*(PrvSty[Row]=$E162)*(PrvSty[Column]=UPPER(AA$114)),0)))</f>
        <v>0</v>
      </c>
      <c r="AC162" s="157" cm="1">
        <f t="array" aca="1" ref="AC162" ca="1">IF(OR($E162="X",$E162="",$E162=0,$B162="X",$B162="",$B162=0),0,SUM(_xlfn._xlws.FILTER(PrvSty[DsvValue:SERRA],(PrvSty[Project]=TEXT($B162,"@"))*(PrvSty[Row]=$E162)*(PrvSty[Column]=UPPER(AC$114)),0)))</f>
        <v>0</v>
      </c>
      <c r="AD162" s="157" cm="1">
        <f t="array" aca="1" ref="AD162" ca="1">IF(OR($E162="X",$E162="",$E162=0,$B162="X",$B162="",$B162=0),0,SUM(_xlfn._xlws.FILTER(PrvSty[DsvValue:EXT.],(PrvSty[Project]=TEXT($B162,"@"))*(PrvSty[Row]=$E162)*(PrvSty[Column]=UPPER(AC$114)),0)))</f>
        <v>0</v>
      </c>
      <c r="AE162" s="157" cm="1">
        <f t="array" aca="1" ref="AE162" ca="1">IF(OR($E162="X",$E162="",$E162=0,$B162="X",$B162="",$B162=0),0,SUM(_xlfn._xlws.FILTER(PrvSty[DsvValue:SERRA],(PrvSty[Project]=TEXT($B162,"@"))*(PrvSty[Row]=$E162)*(PrvSty[Column]=UPPER(AE$114)),0)))</f>
        <v>0</v>
      </c>
      <c r="AF162" s="157" cm="1">
        <f t="array" aca="1" ref="AF162" ca="1">IF(OR($E162="X",$E162="",$E162=0,$B162="X",$B162="",$B162=0),0,SUM(_xlfn._xlws.FILTER(PrvSty[DsvValue:EXT.],(PrvSty[Project]=TEXT($B162,"@"))*(PrvSty[Row]=$E162)*(PrvSty[Column]=UPPER(AE$114)),0)))</f>
        <v>0</v>
      </c>
      <c r="AG162" s="157" cm="1">
        <f t="array" aca="1" ref="AG162" ca="1">IF(OR($E162="X",$E162="",$E162=0,$B162="X",$B162="",$B162=0),0,SUM(_xlfn._xlws.FILTER(PrvSty[DsvValue:SERRA],(PrvSty[Project]=TEXT($B162,"@"))*(PrvSty[Row]=$E162)*(PrvSty[Column]=UPPER(AG$114)),0)))</f>
        <v>0</v>
      </c>
      <c r="AH162" s="157" cm="1">
        <f t="array" aca="1" ref="AH162" ca="1">IF(OR($E162="X",$E162="",$E162=0,$B162="X",$B162="",$B162=0),0,SUM(_xlfn._xlws.FILTER(PrvSty[DsvValue:EXT.],(PrvSty[Project]=TEXT($B162,"@"))*(PrvSty[Row]=$E162)*(PrvSty[Column]=UPPER(AG$114)),0)))</f>
        <v>0</v>
      </c>
      <c r="AI162" s="157" cm="1">
        <f t="array" aca="1" ref="AI162" ca="1">IF(OR($E162="X",$E162="",$E162=0,$B162="X",$B162="",$B162=0),0,SUM(_xlfn._xlws.FILTER(PrvSty[DsvValue:SERRA],(PrvSty[Project]=TEXT($B162,"@"))*(PrvSty[Row]=$E162)*(PrvSty[Column]=UPPER(AI$114)),0)))</f>
        <v>0</v>
      </c>
      <c r="AJ162" s="157" cm="1">
        <f t="array" aca="1" ref="AJ162" ca="1">IF(OR($E162="X",$E162="",$E162=0,$B162="X",$B162="",$B162=0),0,SUM(_xlfn._xlws.FILTER(PrvSty[DsvValue:EXT.],(PrvSty[Project]=TEXT($B162,"@"))*(PrvSty[Row]=$E162)*(PrvSty[Column]=UPPER(AI$114)),0)))</f>
        <v>-70000</v>
      </c>
      <c r="AK162" s="157" cm="1">
        <f t="array" aca="1" ref="AK162" ca="1">IF(OR($E162="X",$E162="",$E162=0,$B162="X",$B162="",$B162=0),0,SUM(_xlfn._xlws.FILTER(PrvSty[DsvValue:SERRA],(PrvSty[Project]=TEXT($B162,"@"))*(PrvSty[Row]=$E162)*(PrvSty[Column]=UPPER(AK$114)),0)))</f>
        <v>0</v>
      </c>
      <c r="AL162" s="157" cm="1">
        <f t="array" aca="1" ref="AL162" ca="1">IF(OR($E162="X",$E162="",$E162=0,$B162="X",$B162="",$B162=0),0,SUM(_xlfn._xlws.FILTER(PrvSty[DsvValue:EXT.],(PrvSty[Project]=TEXT($B162,"@"))*(PrvSty[Row]=$E162)*(PrvSty[Column]=UPPER(AK$114)),0)))</f>
        <v>48.56</v>
      </c>
      <c r="AM162" s="157" cm="1">
        <f t="array" aca="1" ref="AM162" ca="1">IF(OR($E162="X",$E162="",$E162=0,$B162="X",$B162="",$B162=0),0,SUM(_xlfn._xlws.FILTER(PrvSty[DsvValue:SERRA],(PrvSty[Project]=TEXT($B162,"@"))*(PrvSty[Row]=$E162)*(PrvSty[Column]=UPPER(AM$114)),0)))</f>
        <v>0</v>
      </c>
      <c r="AN162" s="157" cm="1">
        <f t="array" aca="1" ref="AN162" ca="1">IF(OR($E162="X",$E162="",$E162=0,$B162="X",$B162="",$B162=0),0,SUM(_xlfn._xlws.FILTER(PrvSty[DsvValue:EXT.],(PrvSty[Project]=TEXT($B162,"@"))*(PrvSty[Row]=$E162)*(PrvSty[Column]=UPPER(AM$114)),0)))</f>
        <v>809.14</v>
      </c>
      <c r="AO162" s="157" cm="1">
        <f t="array" aca="1" ref="AO162" ca="1">IF(OR($E162="X",$E162="",$E162=0,$B162="X",$B162="",$B162=0),0,SUM(_xlfn._xlws.FILTER(PrvSty[DsvValue:SERRA],(PrvSty[Project]=TEXT($B162,"@"))*(PrvSty[Row]=$E162)*(PrvSty[Column]=UPPER(AO$114)),0)))</f>
        <v>0</v>
      </c>
      <c r="AP162" s="157" cm="1">
        <f t="array" aca="1" ref="AP162" ca="1">IF(OR($E162="X",$E162="",$E162=0,$B162="X",$B162="",$B162=0),0,SUM(_xlfn._xlws.FILTER(PrvSty[DsvValue:EXT.],(PrvSty[Project]=TEXT($B162,"@"))*(PrvSty[Row]=$E162)*(PrvSty[Column]=UPPER(AO$114)),0)))</f>
        <v>0</v>
      </c>
      <c r="AQ162" s="157" cm="1">
        <f t="array" aca="1" ref="AQ162" ca="1">SUM(IF(INDIRECT($AS$115)=AQ$115,INDIRECT($AS162)))</f>
        <v>6957.88</v>
      </c>
      <c r="AR162" s="157" cm="1">
        <f t="array" aca="1" ref="AR162" ca="1">SUM(IF(INDIRECT($AS$115)=AR$115,INDIRECT($AS162)))</f>
        <v>-237218.47855330684</v>
      </c>
      <c r="AS162" s="286" t="str">
        <f t="shared" ca="1" si="15"/>
        <v>G162:AP162</v>
      </c>
      <c r="AT162" s="403">
        <f t="shared" ca="1" si="14"/>
        <v>-230260.59855330683</v>
      </c>
      <c r="AV162" s="142" cm="1">
        <f t="array" aca="1" ref="AV162" ca="1">IF(AND(_xlfn.LET(_xlpm.x,SUM(ROW()),OR(AND(MATCH("SOT",$A:$A,0)&lt;_xlpm.x,MATCH("EOT",$A:$A,0)&gt;_xlpm.x),AND(MATCH("SOS",$A:$A,0)&lt;_xlpm.x,MATCH("EOS",$A:$A,0)&gt;_xlpm.x),AND(MATCH("SOR",$A:$A,0)&lt;_xlpm.x,MATCH("EOR",$A:$A,0)&gt;_xlpm.x))),INDIRECT("rc"&amp;MATCH("SCD",$1:$1,0),FALSE)="PPTO"),1,0)</f>
        <v>0</v>
      </c>
      <c r="AW162" s="142" cm="1">
        <f t="array" aca="1" ref="AW16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63" spans="2:49" outlineLevel="1">
      <c r="B163" s="156" t="str" cm="1">
        <f t="array" aca="1" ref="B163:E163" ca="1">_xlfn.LET(_xlpm.x,SUM(ROW()-MATCH("SOR",$A:$A,0)),_xlpm.y,IFERROR(_xlfn.TAKE(INDEX(_xlfn._xlws.FILTER(TbAssign[],ISNUMBER(FIND(TbAssign[Project],$C$4)),"X"),1+QUOTIENT(_xlpm.x,3),0),1,4),0),IF(MOD(_xlpm.x-1,3)=0,IF(_xlpm.y=0,"X",_xlpm.y),INDIRECT("r[-1]c#",FALSE)))</f>
        <v>31200</v>
      </c>
      <c r="C163" s="156" t="str">
        <f ca="1"/>
        <v>XC01</v>
      </c>
      <c r="D163" s="148" t="str">
        <f ca="1"/>
        <v>FABT</v>
      </c>
      <c r="E163" s="352" t="str">
        <f ca="1"/>
        <v>FABRICACION UTILES/GARRAS</v>
      </c>
      <c r="F163" s="148" t="s">
        <v>1383</v>
      </c>
      <c r="G163" s="158" cm="1">
        <f t="array" aca="1" ref="G163" ca="1">IF(OR($E163="X",$E163="",$E163=0,$B163="X",$B163="",$B163=0),0,SUM(_xlfn._xlws.FILTER(FrmBB1[Cur],(FrmBB1[PrjId]=TEXT($B163,"@"))*(FrmBB1[Row]=$E163)*(FrmBB1[Column]=UPPER(_xlfn.LET(_xlpm.x,_xlfn.TEXTBEFORE(G$114," ("),IFERROR(_xlpm.x,G$114)))&amp;" "&amp;G$115),0)))</f>
        <v>0</v>
      </c>
      <c r="H163" s="157" cm="1">
        <f t="array" aca="1" ref="H163" ca="1">IF(OR($E163="X",$E163="",$E163=0,$B163="X",$B163="",$B163=0),0,SUM(_xlfn._xlws.FILTER(FrmBB1[Cur],(FrmBB1[PrjId]=TEXT($B163,"@"))*(FrmBB1[Row]=$E163)*(FrmBB1[Column]=UPPER(_xlfn.LET(_xlpm.x,_xlfn.TEXTBEFORE(G$114," ("),IFERROR(_xlpm.x,G$114)))&amp;" "&amp;H$115),0)))</f>
        <v>0</v>
      </c>
      <c r="I163" s="158" cm="1">
        <f t="array" aca="1" ref="I163" ca="1">IF(OR($E163="X",$E163="",$E163=0,$B163="X",$B163="",$B163=0),0,SUM(_xlfn._xlws.FILTER(FrmBB1[Cur],(FrmBB1[PrjId]=TEXT($B163,"@"))*(FrmBB1[Row]=$E163)*(FrmBB1[Column]=UPPER(_xlfn.LET(_xlpm.x,_xlfn.TEXTBEFORE(I$114," ("),IFERROR(_xlpm.x,I$114)))&amp;" "&amp;I$115),0)))</f>
        <v>0</v>
      </c>
      <c r="J163" s="157" cm="1">
        <f t="array" aca="1" ref="J163" ca="1">IF(OR($E163="X",$E163="",$E163=0,$B163="X",$B163="",$B163=0),0,SUM(_xlfn._xlws.FILTER(FrmBB1[Cur],(FrmBB1[PrjId]=TEXT($B163,"@"))*(FrmBB1[Row]=$E163)*(FrmBB1[Column]=UPPER(_xlfn.LET(_xlpm.x,_xlfn.TEXTBEFORE(I$114," ("),IFERROR(_xlpm.x,I$114)))&amp;" "&amp;J$115),0)))</f>
        <v>0</v>
      </c>
      <c r="K163" s="158" cm="1">
        <f t="array" aca="1" ref="K163" ca="1">IF(OR($E163="X",$E163="",$E163=0,$B163="X",$B163="",$B163=0),0,SUM(_xlfn._xlws.FILTER(FrmBB1[Cur],(FrmBB1[PrjId]=TEXT($B163,"@"))*(FrmBB1[Row]=$E163)*(FrmBB1[Column]=UPPER(_xlfn.LET(_xlpm.x,_xlfn.TEXTBEFORE(K$114," ("),IFERROR(_xlpm.x,K$114)))&amp;" "&amp;K$115),0)))</f>
        <v>0</v>
      </c>
      <c r="L163" s="157" cm="1">
        <f t="array" aca="1" ref="L163" ca="1">IF(OR($E163="X",$E163="",$E163=0,$B163="X",$B163="",$B163=0),0,SUM(_xlfn._xlws.FILTER(FrmBB1[Cur],(FrmBB1[PrjId]=TEXT($B163,"@"))*(FrmBB1[Row]=$E163)*(FrmBB1[Column]=UPPER(_xlfn.LET(_xlpm.x,_xlfn.TEXTBEFORE(K$114," ("),IFERROR(_xlpm.x,K$114)))&amp;" "&amp;L$115),0)))</f>
        <v>0</v>
      </c>
      <c r="M163" s="158" cm="1">
        <f t="array" aca="1" ref="M163" ca="1">IF(OR($E163="X",$E163="",$E163=0,$B163="X",$B163="",$B163=0),0,SUM(_xlfn._xlws.FILTER(FrmBB1[Cur],(FrmBB1[PrjId]=TEXT($B163,"@"))*(FrmBB1[Row]=$E163)*(FrmBB1[Column]=UPPER(_xlfn.LET(_xlpm.x,_xlfn.TEXTBEFORE(M$114," ("),IFERROR(_xlpm.x,M$114)))&amp;" "&amp;M$115),0)))</f>
        <v>0</v>
      </c>
      <c r="N163" s="157" cm="1">
        <f t="array" aca="1" ref="N163" ca="1">IF(OR($E163="X",$E163="",$E163=0,$B163="X",$B163="",$B163=0),0,SUM(_xlfn._xlws.FILTER(FrmBB1[Cur],(FrmBB1[PrjId]=TEXT($B163,"@"))*(FrmBB1[Row]=$E163)*(FrmBB1[Column]=UPPER(_xlfn.LET(_xlpm.x,_xlfn.TEXTBEFORE(M$114," ("),IFERROR(_xlpm.x,M$114)))&amp;" "&amp;N$115),0)))</f>
        <v>0</v>
      </c>
      <c r="O163" s="158" cm="1">
        <f t="array" aca="1" ref="O163" ca="1">IF(OR($E163="X",$E163="",$E163=0,$B163="X",$B163="",$B163=0),0,SUM(_xlfn._xlws.FILTER(FrmBB1[Cur],(FrmBB1[PrjId]=TEXT($B163,"@"))*(FrmBB1[Row]=$E163)*(FrmBB1[Column]=UPPER(_xlfn.LET(_xlpm.x,_xlfn.TEXTBEFORE(O$114," ("),IFERROR(_xlpm.x,O$114)))&amp;" "&amp;O$115),0)))</f>
        <v>0</v>
      </c>
      <c r="P163" s="157" cm="1">
        <f t="array" aca="1" ref="P163" ca="1">IF(OR($E163="X",$E163="",$E163=0,$B163="X",$B163="",$B163=0),0,SUM(_xlfn._xlws.FILTER(FrmBB1[Cur],(FrmBB1[PrjId]=TEXT($B163,"@"))*(FrmBB1[Row]=$E163)*(FrmBB1[Column]=UPPER(_xlfn.LET(_xlpm.x,_xlfn.TEXTBEFORE(O$114," ("),IFERROR(_xlpm.x,O$114)))&amp;" "&amp;P$115),0)))</f>
        <v>0</v>
      </c>
      <c r="Q163" s="158" cm="1">
        <f t="array" aca="1" ref="Q163" ca="1">IF(OR($E163="X",$E163="",$E163=0,$B163="X",$B163="",$B163=0),0,SUM(_xlfn._xlws.FILTER(FrmBB1[Cur],(FrmBB1[PrjId]=TEXT($B163,"@"))*(FrmBB1[Row]=$E163)*(FrmBB1[Column]=UPPER(_xlfn.LET(_xlpm.x,_xlfn.TEXTBEFORE(Q$114," ("),IFERROR(_xlpm.x,Q$114)))&amp;" "&amp;Q$115),0)))</f>
        <v>0</v>
      </c>
      <c r="R163" s="157" cm="1">
        <f t="array" aca="1" ref="R163" ca="1">IF(OR($E163="X",$E163="",$E163=0,$B163="X",$B163="",$B163=0),0,SUM(_xlfn._xlws.FILTER(FrmBB1[Cur],(FrmBB1[PrjId]=TEXT($B163,"@"))*(FrmBB1[Row]=$E163)*(FrmBB1[Column]=UPPER(_xlfn.LET(_xlpm.x,_xlfn.TEXTBEFORE(Q$114," ("),IFERROR(_xlpm.x,Q$114)))&amp;" "&amp;R$115),0)))</f>
        <v>0</v>
      </c>
      <c r="S163" s="158" cm="1">
        <f t="array" aca="1" ref="S163" ca="1">IF(OR($E163="X",$E163="",$E163=0,$B163="X",$B163="",$B163=0),0,SUM(_xlfn._xlws.FILTER(FrmBB1[Cur],(FrmBB1[PrjId]=TEXT($B163,"@"))*(FrmBB1[Row]=$E163)*(FrmBB1[Column]=UPPER(_xlfn.LET(_xlpm.x,_xlfn.TEXTBEFORE(S$114," ("),IFERROR(_xlpm.x,S$114)))&amp;" "&amp;S$115),0)))</f>
        <v>0</v>
      </c>
      <c r="T163" s="157" cm="1">
        <f t="array" aca="1" ref="T163" ca="1">IF(OR($E163="X",$E163="",$E163=0,$B163="X",$B163="",$B163=0),0,SUM(_xlfn._xlws.FILTER(FrmBB1[Cur],(FrmBB1[PrjId]=TEXT($B163,"@"))*(FrmBB1[Row]=$E163)*(FrmBB1[Column]=UPPER(_xlfn.LET(_xlpm.x,_xlfn.TEXTBEFORE(S$114," ("),IFERROR(_xlpm.x,S$114)))&amp;" "&amp;T$115),0)))</f>
        <v>0</v>
      </c>
      <c r="U163" s="158" cm="1">
        <f t="array" aca="1" ref="U163" ca="1">IF(OR($E163="X",$E163="",$E163=0,$B163="X",$B163="",$B163=0),0,SUM(_xlfn._xlws.FILTER(FrmBB1[Cur],(FrmBB1[PrjId]=TEXT($B163,"@"))*(FrmBB1[Row]=$E163)*(FrmBB1[Column]=UPPER(_xlfn.LET(_xlpm.x,_xlfn.TEXTBEFORE(U$114," ("),IFERROR(_xlpm.x,U$114)))&amp;" "&amp;U$115),0)))</f>
        <v>0</v>
      </c>
      <c r="V163" s="157" cm="1">
        <f t="array" aca="1" ref="V163" ca="1">IF(OR($E163="X",$E163="",$E163=0,$B163="X",$B163="",$B163=0),0,SUM(_xlfn._xlws.FILTER(FrmBB1[Cur],(FrmBB1[PrjId]=TEXT($B163,"@"))*(FrmBB1[Row]=$E163)*(FrmBB1[Column]=UPPER(_xlfn.LET(_xlpm.x,_xlfn.TEXTBEFORE(U$114," ("),IFERROR(_xlpm.x,U$114)))&amp;" "&amp;V$115),0)))</f>
        <v>530457.75</v>
      </c>
      <c r="W163" s="158" cm="1">
        <f t="array" aca="1" ref="W163" ca="1">IF(OR($E163="X",$E163="",$E163=0,$B163="X",$B163="",$B163=0),0,SUM(_xlfn._xlws.FILTER(FrmBB1[Cur],(FrmBB1[PrjId]=TEXT($B163,"@"))*(FrmBB1[Row]=$E163)*(FrmBB1[Column]=UPPER(_xlfn.LET(_xlpm.x,_xlfn.TEXTBEFORE(W$114," ("),IFERROR(_xlpm.x,W$114)))&amp;" "&amp;W$115),0)))</f>
        <v>7207.43</v>
      </c>
      <c r="X163" s="157" cm="1">
        <f t="array" aca="1" ref="X163" ca="1">IF(OR($E163="X",$E163="",$E163=0,$B163="X",$B163="",$B163=0),0,SUM(_xlfn._xlws.FILTER(FrmBB1[Cur],(FrmBB1[PrjId]=TEXT($B163,"@"))*(FrmBB1[Row]=$E163)*(FrmBB1[Column]=UPPER(_xlfn.LET(_xlpm.x,_xlfn.TEXTBEFORE(W$114," ("),IFERROR(_xlpm.x,W$114)))&amp;" "&amp;X$115),0)))</f>
        <v>0</v>
      </c>
      <c r="Y163" s="158" cm="1">
        <f t="array" aca="1" ref="Y163" ca="1">IF(OR($E163="X",$E163="",$E163=0,$B163="X",$B163="",$B163=0),0,SUM(_xlfn._xlws.FILTER(FrmBB1[Cur],(FrmBB1[PrjId]=TEXT($B163,"@"))*(FrmBB1[Row]=$E163)*(FrmBB1[Column]=UPPER(_xlfn.LET(_xlpm.x,_xlfn.TEXTBEFORE(Y$114," ("),IFERROR(_xlpm.x,Y$114)))&amp;" "&amp;Y$115),0)))</f>
        <v>16514.439999999999</v>
      </c>
      <c r="Z163" s="157" cm="1">
        <f t="array" aca="1" ref="Z163" ca="1">IF(OR($E163="X",$E163="",$E163=0,$B163="X",$B163="",$B163=0),0,SUM(_xlfn._xlws.FILTER(FrmBB1[Cur],(FrmBB1[PrjId]=TEXT($B163,"@"))*(FrmBB1[Row]=$E163)*(FrmBB1[Column]=UPPER(_xlfn.LET(_xlpm.x,_xlfn.TEXTBEFORE(Y$114," ("),IFERROR(_xlpm.x,Y$114)))&amp;" "&amp;Z$115),0)))</f>
        <v>0</v>
      </c>
      <c r="AA163" s="158" cm="1">
        <f t="array" aca="1" ref="AA163" ca="1">IF(OR($E163="X",$E163="",$E163=0,$B163="X",$B163="",$B163=0),0,SUM(_xlfn._xlws.FILTER(FrmBB1[Cur],(FrmBB1[PrjId]=TEXT($B163,"@"))*(FrmBB1[Row]=$E163)*(FrmBB1[Column]=UPPER(_xlfn.LET(_xlpm.x,_xlfn.TEXTBEFORE(AA$114," ("),IFERROR(_xlpm.x,AA$114)))&amp;" "&amp;AA$115),0)))</f>
        <v>0</v>
      </c>
      <c r="AB163" s="157" cm="1">
        <f t="array" aca="1" ref="AB163" ca="1">IF(OR($E163="X",$E163="",$E163=0,$B163="X",$B163="",$B163=0),0,SUM(_xlfn._xlws.FILTER(FrmBB1[Cur],(FrmBB1[PrjId]=TEXT($B163,"@"))*(FrmBB1[Row]=$E163)*(FrmBB1[Column]=UPPER(_xlfn.LET(_xlpm.x,_xlfn.TEXTBEFORE(AA$114," ("),IFERROR(_xlpm.x,AA$114)))&amp;" "&amp;AB$115),0)))</f>
        <v>0</v>
      </c>
      <c r="AC163" s="158" cm="1">
        <f t="array" aca="1" ref="AC163" ca="1">IF(OR($E163="X",$E163="",$E163=0,$B163="X",$B163="",$B163=0),0,SUM(_xlfn._xlws.FILTER(FrmBB1[Cur],(FrmBB1[PrjId]=TEXT($B163,"@"))*(FrmBB1[Row]=$E163)*(FrmBB1[Column]=UPPER(_xlfn.LET(_xlpm.x,_xlfn.TEXTBEFORE(AC$114," ("),IFERROR(_xlpm.x,AC$114)))&amp;" "&amp;AC$115),0)))</f>
        <v>0</v>
      </c>
      <c r="AD163" s="157" cm="1">
        <f t="array" aca="1" ref="AD163" ca="1">IF(OR($E163="X",$E163="",$E163=0,$B163="X",$B163="",$B163=0),0,SUM(_xlfn._xlws.FILTER(FrmBB1[Cur],(FrmBB1[PrjId]=TEXT($B163,"@"))*(FrmBB1[Row]=$E163)*(FrmBB1[Column]=UPPER(_xlfn.LET(_xlpm.x,_xlfn.TEXTBEFORE(AC$114," ("),IFERROR(_xlpm.x,AC$114)))&amp;" "&amp;AD$115),0)))</f>
        <v>0</v>
      </c>
      <c r="AE163" s="158" cm="1">
        <f t="array" aca="1" ref="AE163" ca="1">IF(OR($E163="X",$E163="",$E163=0,$B163="X",$B163="",$B163=0),0,SUM(_xlfn._xlws.FILTER(FrmBB1[Cur],(FrmBB1[PrjId]=TEXT($B163,"@"))*(FrmBB1[Row]=$E163)*(FrmBB1[Column]=UPPER(_xlfn.LET(_xlpm.x,_xlfn.TEXTBEFORE(AE$114," ("),IFERROR(_xlpm.x,AE$114)))&amp;" "&amp;AE$115),0)))</f>
        <v>0</v>
      </c>
      <c r="AF163" s="157" cm="1">
        <f t="array" aca="1" ref="AF163" ca="1">IF(OR($E163="X",$E163="",$E163=0,$B163="X",$B163="",$B163=0),0,SUM(_xlfn._xlws.FILTER(FrmBB1[Cur],(FrmBB1[PrjId]=TEXT($B163,"@"))*(FrmBB1[Row]=$E163)*(FrmBB1[Column]=UPPER(_xlfn.LET(_xlpm.x,_xlfn.TEXTBEFORE(AE$114," ("),IFERROR(_xlpm.x,AE$114)))&amp;" "&amp;AF$115),0)))</f>
        <v>0</v>
      </c>
      <c r="AG163" s="158" cm="1">
        <f t="array" aca="1" ref="AG163" ca="1">IF(OR($E163="X",$E163="",$E163=0,$B163="X",$B163="",$B163=0),0,SUM(_xlfn._xlws.FILTER(FrmBB1[Cur],(FrmBB1[PrjId]=TEXT($B163,"@"))*(FrmBB1[Row]=$E163)*(FrmBB1[Column]=UPPER(_xlfn.LET(_xlpm.x,_xlfn.TEXTBEFORE(AG$114," ("),IFERROR(_xlpm.x,AG$114)))&amp;" "&amp;AG$115),0)))</f>
        <v>0</v>
      </c>
      <c r="AH163" s="157" cm="1">
        <f t="array" aca="1" ref="AH163" ca="1">IF(OR($E163="X",$E163="",$E163=0,$B163="X",$B163="",$B163=0),0,SUM(_xlfn._xlws.FILTER(FrmBB1[Cur],(FrmBB1[PrjId]=TEXT($B163,"@"))*(FrmBB1[Row]=$E163)*(FrmBB1[Column]=UPPER(_xlfn.LET(_xlpm.x,_xlfn.TEXTBEFORE(AG$114," ("),IFERROR(_xlpm.x,AG$114)))&amp;" "&amp;AH$115),0)))</f>
        <v>0</v>
      </c>
      <c r="AI163" s="158" cm="1">
        <f t="array" aca="1" ref="AI163" ca="1">IF(OR($E163="X",$E163="",$E163=0,$B163="X",$B163="",$B163=0),0,SUM(_xlfn._xlws.FILTER(FrmBB1[Cur],(FrmBB1[PrjId]=TEXT($B163,"@"))*(FrmBB1[Row]=$E163)*(FrmBB1[Column]=UPPER(_xlfn.LET(_xlpm.x,_xlfn.TEXTBEFORE(AI$114," ("),IFERROR(_xlpm.x,AI$114)))&amp;" "&amp;AI$115),0)))</f>
        <v>0</v>
      </c>
      <c r="AJ163" s="157" cm="1">
        <f t="array" aca="1" ref="AJ163" ca="1">IF(OR($E163="X",$E163="",$E163=0,$B163="X",$B163="",$B163=0),0,SUM(_xlfn._xlws.FILTER(FrmBB1[Cur],(FrmBB1[PrjId]=TEXT($B163,"@"))*(FrmBB1[Row]=$E163)*(FrmBB1[Column]=UPPER(_xlfn.LET(_xlpm.x,_xlfn.TEXTBEFORE(AI$114," ("),IFERROR(_xlpm.x,AI$114)))&amp;" "&amp;AJ$115),0)))</f>
        <v>126308.17</v>
      </c>
      <c r="AK163" s="158" cm="1">
        <f t="array" aca="1" ref="AK163" ca="1">IF(OR($E163="X",$E163="",$E163=0,$B163="X",$B163="",$B163=0),0,SUM(_xlfn._xlws.FILTER(FrmBB1[Cur],(FrmBB1[PrjId]=TEXT($B163,"@"))*(FrmBB1[Row]=$E163)*(FrmBB1[Column]=UPPER(_xlfn.LET(_xlpm.x,_xlfn.TEXTBEFORE(AK$114," ("),IFERROR(_xlpm.x,AK$114)))&amp;" "&amp;AK$115),0)))</f>
        <v>0</v>
      </c>
      <c r="AL163" s="157" cm="1">
        <f t="array" aca="1" ref="AL163" ca="1">IF(OR($E163="X",$E163="",$E163=0,$B163="X",$B163="",$B163=0),0,SUM(_xlfn._xlws.FILTER(FrmBB1[Cur],(FrmBB1[PrjId]=TEXT($B163,"@"))*(FrmBB1[Row]=$E163)*(FrmBB1[Column]=UPPER(_xlfn.LET(_xlpm.x,_xlfn.TEXTBEFORE(AK$114," ("),IFERROR(_xlpm.x,AK$114)))&amp;" "&amp;AL$115),0)))</f>
        <v>48.56</v>
      </c>
      <c r="AM163" s="158" cm="1">
        <f t="array" aca="1" ref="AM163" ca="1">IF(OR($E163="X",$E163="",$E163=0,$B163="X",$B163="",$B163=0),0,SUM(_xlfn._xlws.FILTER(FrmBB1[Cur],(FrmBB1[PrjId]=TEXT($B163,"@"))*(FrmBB1[Row]=$E163)*(FrmBB1[Column]=UPPER(_xlfn.LET(_xlpm.x,_xlfn.TEXTBEFORE(AM$114," ("),IFERROR(_xlpm.x,AM$114)))&amp;" "&amp;AM$115),0)))</f>
        <v>0</v>
      </c>
      <c r="AN163" s="157" cm="1">
        <f t="array" aca="1" ref="AN163" ca="1">IF(OR($E163="X",$E163="",$E163=0,$B163="X",$B163="",$B163=0),0,SUM(_xlfn._xlws.FILTER(FrmBB1[Cur],(FrmBB1[PrjId]=TEXT($B163,"@"))*(FrmBB1[Row]=$E163)*(FrmBB1[Column]=UPPER(_xlfn.LET(_xlpm.x,_xlfn.TEXTBEFORE(AM$114," ("),IFERROR(_xlpm.x,AM$114)))&amp;" "&amp;AN$115),0)))</f>
        <v>809.14</v>
      </c>
      <c r="AO163" s="158" cm="1">
        <f t="array" aca="1" ref="AO163" ca="1">IF(OR($E163="X",$E163="",$E163=0,$B163="X",$B163="",$B163=0),0,SUM(_xlfn._xlws.FILTER(FrmBB1[Cur],(FrmBB1[PrjId]=TEXT($B163,"@"))*(FrmBB1[Row]=$E163)*(FrmBB1[Column]=UPPER(_xlfn.LET(_xlpm.x,_xlfn.TEXTBEFORE(AO$114," ("),IFERROR(_xlpm.x,AO$114)))&amp;" "&amp;AO$115),0)))</f>
        <v>0</v>
      </c>
      <c r="AP163" s="157" cm="1">
        <f t="array" aca="1" ref="AP163" ca="1">IF(OR($E163="X",$E163="",$E163=0,$B163="X",$B163="",$B163=0),0,SUM(_xlfn._xlws.FILTER(FrmBB1[Cur],(FrmBB1[PrjId]=TEXT($B163,"@"))*(FrmBB1[Row]=$E163)*(FrmBB1[Column]=UPPER(_xlfn.LET(_xlpm.x,_xlfn.TEXTBEFORE(AO$114," ("),IFERROR(_xlpm.x,AO$114)))&amp;" "&amp;AP$115),0)))</f>
        <v>0</v>
      </c>
      <c r="AQ163" s="157" cm="1">
        <f t="array" aca="1" ref="AQ163" ca="1">SUM(IF(INDIRECT($AS$115)=AQ$115,INDIRECT($AS163)))</f>
        <v>23721.87</v>
      </c>
      <c r="AR163" s="157" cm="1">
        <f t="array" aca="1" ref="AR163" ca="1">SUM(IF(INDIRECT($AS$115)=AR$115,INDIRECT($AS163)))</f>
        <v>657623.62000000011</v>
      </c>
      <c r="AS163" s="286" t="str">
        <f t="shared" ca="1" si="15"/>
        <v>G163:AP163</v>
      </c>
      <c r="AT163" s="403">
        <f t="shared" ca="1" si="14"/>
        <v>681345.49000000011</v>
      </c>
      <c r="AV163" s="142" cm="1">
        <f t="array" aca="1" ref="AV163" ca="1">IF(AND(_xlfn.LET(_xlpm.x,SUM(ROW()),OR(AND(MATCH("SOT",$A:$A,0)&lt;_xlpm.x,MATCH("EOT",$A:$A,0)&gt;_xlpm.x),AND(MATCH("SOS",$A:$A,0)&lt;_xlpm.x,MATCH("EOS",$A:$A,0)&gt;_xlpm.x),AND(MATCH("SOR",$A:$A,0)&lt;_xlpm.x,MATCH("EOR",$A:$A,0)&gt;_xlpm.x))),INDIRECT("rc"&amp;MATCH("SCD",$1:$1,0),FALSE)="PPTO"),1,0)</f>
        <v>0</v>
      </c>
      <c r="AW163" s="142" cm="1">
        <f t="array" aca="1" ref="AW16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64" spans="2:49" outlineLevel="1">
      <c r="B164" s="156" t="str" cm="1">
        <f t="array" aca="1" ref="B164:E164" ca="1">_xlfn.LET(_xlpm.x,SUM(ROW()-MATCH("SOR",$A:$A,0)),_xlpm.y,IFERROR(_xlfn.TAKE(INDEX(_xlfn._xlws.FILTER(TbAssign[],ISNUMBER(FIND(TbAssign[Project],$C$4)),"X"),1+QUOTIENT(_xlpm.x,3),0),1,4),0),IF(MOD(_xlpm.x-1,3)=0,IF(_xlpm.y=0,"X",_xlpm.y),INDIRECT("r[-1]c#",FALSE)))</f>
        <v>31200</v>
      </c>
      <c r="C164" s="156" t="str">
        <f ca="1"/>
        <v>XD01</v>
      </c>
      <c r="D164" s="148" t="str">
        <f ca="1"/>
        <v>IMTS</v>
      </c>
      <c r="E164" s="352" t="str">
        <f ca="1"/>
        <v>ENR. UTILES/GARRAS</v>
      </c>
      <c r="F164" s="148" t="s">
        <v>397</v>
      </c>
      <c r="G164" s="157" cm="1">
        <f t="array" aca="1" ref="G164" ca="1">IF(OR($E164="X",$E164="",$E164=0,$B164="X",$B164="",$B164=0),0,SUM(_xlfn._xlws.FILTER(IF($E$4="Ppto",PptoSty[CurPpto],PptoSty[CurInt]),(IF($E$4="Ppto",PptoSty[POvsCT]=G$113,TRUE))*(PptoSty[Project]=TEXT($B164,"@"))*(PptoSty[PptoVsRow]=$E164)*(PptoSty[PptoVsColumn]=UPPER(G$114)),0)))</f>
        <v>0</v>
      </c>
      <c r="H164" s="157" cm="1">
        <f t="array" aca="1" ref="H164" ca="1">IF(OR($E164="X",$E164="",$E164=0,$B164="X",$B164="",$B164=0),0,SUM(_xlfn._xlws.FILTER(IF($E$4="Ppto",PptoSty[CurPpto],PptoSty[CurExt]),(IF($E$4="Ppto",PptoSty[POvsCT]=H$113,TRUE))*(PptoSty[Project]=TEXT($B164,"@"))*(PptoSty[PptoVsRow]=$E164)*(PptoSty[PptoVsColumn]=UPPER(G$114)),0)))</f>
        <v>0</v>
      </c>
      <c r="I164" s="157" cm="1">
        <f t="array" aca="1" ref="I164" ca="1">IF(OR($E164="X",$E164="",$E164=0,$B164="X",$B164="",$B164=0),0,SUM(_xlfn._xlws.FILTER(IF($E$4="Ppto",PptoSty[CurPpto],PptoSty[CurInt]),(IF($E$4="Ppto",PptoSty[POvsCT]=I$113,TRUE))*(PptoSty[Project]=TEXT($B164,"@"))*(PptoSty[PptoVsRow]=$E164)*(PptoSty[PptoVsColumn]=UPPER(I$114)),0)))</f>
        <v>0</v>
      </c>
      <c r="J164" s="157" cm="1">
        <f t="array" aca="1" ref="J164" ca="1">IF(OR($E164="X",$E164="",$E164=0,$B164="X",$B164="",$B164=0),0,SUM(_xlfn._xlws.FILTER(IF($E$4="Ppto",PptoSty[CurPpto],PptoSty[CurExt]),(IF($E$4="Ppto",PptoSty[POvsCT]=J$113,TRUE))*(PptoSty[Project]=TEXT($B164,"@"))*(PptoSty[PptoVsRow]=$E164)*(PptoSty[PptoVsColumn]=UPPER(I$114)),0)))</f>
        <v>0</v>
      </c>
      <c r="K164" s="157" cm="1">
        <f t="array" aca="1" ref="K164" ca="1">IF(OR($E164="X",$E164="",$E164=0,$B164="X",$B164="",$B164=0),0,SUM(_xlfn._xlws.FILTER(IF($E$4="Ppto",PptoSty[CurPpto],PptoSty[CurInt]),(IF($E$4="Ppto",PptoSty[POvsCT]=K$113,TRUE))*(PptoSty[Project]=TEXT($B164,"@"))*(PptoSty[PptoVsRow]=$E164)*(PptoSty[PptoVsColumn]=UPPER(K$114)),0)))</f>
        <v>0</v>
      </c>
      <c r="L164" s="157" cm="1">
        <f t="array" aca="1" ref="L164" ca="1">IF(OR($E164="X",$E164="",$E164=0,$B164="X",$B164="",$B164=0),0,SUM(_xlfn._xlws.FILTER(IF($E$4="Ppto",PptoSty[CurPpto],PptoSty[CurExt]),(IF($E$4="Ppto",PptoSty[POvsCT]=L$113,TRUE))*(PptoSty[Project]=TEXT($B164,"@"))*(PptoSty[PptoVsRow]=$E164)*(PptoSty[PptoVsColumn]=UPPER(K$114)),0)))</f>
        <v>0</v>
      </c>
      <c r="M164" s="157" cm="1">
        <f t="array" aca="1" ref="M164" ca="1">IF(OR($E164="X",$E164="",$E164=0,$B164="X",$B164="",$B164=0),0,SUM(_xlfn._xlws.FILTER(IF($E$4="Ppto",PptoSty[CurPpto],PptoSty[CurInt]),(IF($E$4="Ppto",PptoSty[POvsCT]=M$113,TRUE))*(PptoSty[Project]=TEXT($B164,"@"))*(PptoSty[PptoVsRow]=$E164)*(PptoSty[PptoVsColumn]=UPPER(M$114)),0)))</f>
        <v>0</v>
      </c>
      <c r="N164" s="157" cm="1">
        <f t="array" aca="1" ref="N164" ca="1">IF(OR($E164="X",$E164="",$E164=0,$B164="X",$B164="",$B164=0),0,SUM(_xlfn._xlws.FILTER(IF($E$4="Ppto",PptoSty[CurPpto],PptoSty[CurExt]),(IF($E$4="Ppto",PptoSty[POvsCT]=N$113,TRUE))*(PptoSty[Project]=TEXT($B164,"@"))*(PptoSty[PptoVsRow]=$E164)*(PptoSty[PptoVsColumn]=UPPER(M$114)),0)))</f>
        <v>0</v>
      </c>
      <c r="O164" s="157" cm="1">
        <f t="array" aca="1" ref="O164" ca="1">IF(OR($E164="X",$E164="",$E164=0,$B164="X",$B164="",$B164=0),0,SUM(_xlfn._xlws.FILTER(IF($E$4="Ppto",PptoSty[CurPpto],PptoSty[CurInt]),(IF($E$4="Ppto",PptoSty[POvsCT]=O$113,TRUE))*(PptoSty[Project]=TEXT($B164,"@"))*(PptoSty[PptoVsRow]=$E164)*(PptoSty[PptoVsColumn]=UPPER(O$114)),0)))</f>
        <v>0</v>
      </c>
      <c r="P164" s="157" cm="1">
        <f t="array" aca="1" ref="P164" ca="1">IF(OR($E164="X",$E164="",$E164=0,$B164="X",$B164="",$B164=0),0,SUM(_xlfn._xlws.FILTER(IF($E$4="Ppto",PptoSty[CurPpto],PptoSty[CurExt]),(IF($E$4="Ppto",PptoSty[POvsCT]=P$113,TRUE))*(PptoSty[Project]=TEXT($B164,"@"))*(PptoSty[PptoVsRow]=$E164)*(PptoSty[PptoVsColumn]=UPPER(O$114)),0)))</f>
        <v>0</v>
      </c>
      <c r="Q164" s="157" cm="1">
        <f t="array" aca="1" ref="Q164" ca="1">IF(OR($E164="X",$E164="",$E164=0,$B164="X",$B164="",$B164=0),0,SUM(_xlfn._xlws.FILTER(IF($E$4="Ppto",PptoSty[CurPpto],PptoSty[CurInt]),(IF($E$4="Ppto",PptoSty[POvsCT]=Q$113,TRUE))*(PptoSty[Project]=TEXT($B164,"@"))*(PptoSty[PptoVsRow]=$E164)*(PptoSty[PptoVsColumn]=UPPER(Q$114)),0)))</f>
        <v>0</v>
      </c>
      <c r="R164" s="157" cm="1">
        <f t="array" aca="1" ref="R164" ca="1">IF(OR($E164="X",$E164="",$E164=0,$B164="X",$B164="",$B164=0),0,SUM(_xlfn._xlws.FILTER(IF($E$4="Ppto",PptoSty[CurPpto],PptoSty[CurExt]),(IF($E$4="Ppto",PptoSty[POvsCT]=R$113,TRUE))*(PptoSty[Project]=TEXT($B164,"@"))*(PptoSty[PptoVsRow]=$E164)*(PptoSty[PptoVsColumn]=UPPER(Q$114)),0)))</f>
        <v>0</v>
      </c>
      <c r="S164" s="157" cm="1">
        <f t="array" aca="1" ref="S164" ca="1">IF(OR($E164="X",$E164="",$E164=0,$B164="X",$B164="",$B164=0),0,SUM(_xlfn._xlws.FILTER(IF($E$4="Ppto",PptoSty[CurPpto],PptoSty[CurInt]),(IF($E$4="Ppto",PptoSty[POvsCT]=S$113,TRUE))*(PptoSty[Project]=TEXT($B164,"@"))*(PptoSty[PptoVsRow]=$E164)*(PptoSty[PptoVsColumn]=UPPER(S$114)),0)))</f>
        <v>0</v>
      </c>
      <c r="T164" s="157" cm="1">
        <f t="array" aca="1" ref="T164" ca="1">IF(OR($E164="X",$E164="",$E164=0,$B164="X",$B164="",$B164=0),0,SUM(_xlfn._xlws.FILTER(IF($E$4="Ppto",PptoSty[CurPpto],PptoSty[CurExt]),(IF($E$4="Ppto",PptoSty[POvsCT]=T$113,TRUE))*(PptoSty[Project]=TEXT($B164,"@"))*(PptoSty[PptoVsRow]=$E164)*(PptoSty[PptoVsColumn]=UPPER(S$114)),0)))</f>
        <v>0</v>
      </c>
      <c r="U164" s="157" cm="1">
        <f t="array" aca="1" ref="U164" ca="1">IF(OR($E164="X",$E164="",$E164=0,$B164="X",$B164="",$B164=0),0,SUM(_xlfn._xlws.FILTER(IF($E$4="Ppto",PptoSty[CurPpto],PptoSty[CurInt]),(IF($E$4="Ppto",PptoSty[POvsCT]=U$113,TRUE))*(PptoSty[Project]=TEXT($B164,"@"))*(PptoSty[PptoVsRow]=$E164)*(PptoSty[PptoVsColumn]=UPPER(U$114)),0)))</f>
        <v>0</v>
      </c>
      <c r="V164" s="157" cm="1">
        <f t="array" aca="1" ref="V164" ca="1">IF(OR($E164="X",$E164="",$E164=0,$B164="X",$B164="",$B164=0),0,SUM(_xlfn._xlws.FILTER(IF($E$4="Ppto",PptoSty[CurPpto],PptoSty[CurExt]),(IF($E$4="Ppto",PptoSty[POvsCT]=V$113,TRUE))*(PptoSty[Project]=TEXT($B164,"@"))*(PptoSty[PptoVsRow]=$E164)*(PptoSty[PptoVsColumn]=UPPER(U$114)),0)))</f>
        <v>0</v>
      </c>
      <c r="W164" s="157" cm="1">
        <f t="array" aca="1" ref="W164" ca="1">IF(OR($E164="X",$E164="",$E164=0,$B164="X",$B164="",$B164=0),0,SUM(_xlfn._xlws.FILTER(IF($E$4="Ppto",PptoSty[CurPpto],PptoSty[CurInt]),(IF($E$4="Ppto",PptoSty[POvsCT]=W$113,TRUE))*(PptoSty[Project]=TEXT($B164,"@"))*(PptoSty[PptoVsRow]=$E164)*(PptoSty[PptoVsColumn]=UPPER(W$114)),0)))</f>
        <v>0</v>
      </c>
      <c r="X164" s="157" cm="1">
        <f t="array" aca="1" ref="X164" ca="1">IF(OR($E164="X",$E164="",$E164=0,$B164="X",$B164="",$B164=0),0,SUM(_xlfn._xlws.FILTER(IF($E$4="Ppto",PptoSty[CurPpto],PptoSty[CurExt]),(IF($E$4="Ppto",PptoSty[POvsCT]=X$113,TRUE))*(PptoSty[Project]=TEXT($B164,"@"))*(PptoSty[PptoVsRow]=$E164)*(PptoSty[PptoVsColumn]=UPPER(W$114)),0)))</f>
        <v>0</v>
      </c>
      <c r="Y164" s="157" cm="1">
        <f t="array" aca="1" ref="Y164" ca="1">IF(OR($E164="X",$E164="",$E164=0,$B164="X",$B164="",$B164=0),0,SUM(_xlfn._xlws.FILTER(IF($E$4="Ppto",PptoSty[CurPpto],PptoSty[CurInt]),(IF($E$4="Ppto",PptoSty[POvsCT]=Y$113,TRUE))*(PptoSty[Project]=TEXT($B164,"@"))*(PptoSty[PptoVsRow]=$E164)*(PptoSty[PptoVsColumn]=UPPER(Y$114)),0)))</f>
        <v>0</v>
      </c>
      <c r="Z164" s="157" cm="1">
        <f t="array" aca="1" ref="Z164" ca="1">IF(OR($E164="X",$E164="",$E164=0,$B164="X",$B164="",$B164=0),0,SUM(_xlfn._xlws.FILTER(IF($E$4="Ppto",PptoSty[CurPpto],PptoSty[CurExt]),(IF($E$4="Ppto",PptoSty[POvsCT]=Z$113,TRUE))*(PptoSty[Project]=TEXT($B164,"@"))*(PptoSty[PptoVsRow]=$E164)*(PptoSty[PptoVsColumn]=UPPER(Y$114)),0)))</f>
        <v>0</v>
      </c>
      <c r="AA164" s="157" cm="1">
        <f t="array" aca="1" ref="AA164" ca="1">IF(OR($E164="X",$E164="",$E164=0,$B164="X",$B164="",$B164=0),0,SUM(_xlfn._xlws.FILTER(IF($E$4="Ppto",PptoSty[CurPpto],PptoSty[CurInt]),(IF($E$4="Ppto",PptoSty[POvsCT]=AA$113,TRUE))*(PptoSty[Project]=TEXT($B164,"@"))*(PptoSty[PptoVsRow]=$E164)*(PptoSty[PptoVsColumn]=UPPER(AA$114)),0)))</f>
        <v>0</v>
      </c>
      <c r="AB164" s="157" cm="1">
        <f t="array" aca="1" ref="AB164" ca="1">IF(OR($E164="X",$E164="",$E164=0,$B164="X",$B164="",$B164=0),0,SUM(_xlfn._xlws.FILTER(IF($E$4="Ppto",PptoSty[CurPpto],PptoSty[CurExt]),(IF($E$4="Ppto",PptoSty[POvsCT]=AB$113,TRUE))*(PptoSty[Project]=TEXT($B164,"@"))*(PptoSty[PptoVsRow]=$E164)*(PptoSty[PptoVsColumn]=UPPER(AA$114)),0)))</f>
        <v>0</v>
      </c>
      <c r="AC164" s="157" cm="1">
        <f t="array" aca="1" ref="AC164" ca="1">IF(OR($E164="X",$E164="",$E164=0,$B164="X",$B164="",$B164=0),0,SUM(_xlfn._xlws.FILTER(IF($E$4="Ppto",PptoSty[CurPpto],PptoSty[CurInt]),(IF($E$4="Ppto",PptoSty[POvsCT]=AC$113,TRUE))*(PptoSty[Project]=TEXT($B164,"@"))*(PptoSty[PptoVsRow]=$E164)*(PptoSty[PptoVsColumn]=UPPER(AC$114)),0)))</f>
        <v>0</v>
      </c>
      <c r="AD164" s="157" cm="1">
        <f t="array" aca="1" ref="AD164" ca="1">IF(OR($E164="X",$E164="",$E164=0,$B164="X",$B164="",$B164=0),0,SUM(_xlfn._xlws.FILTER(IF($E$4="Ppto",PptoSty[CurPpto],PptoSty[CurExt]),(IF($E$4="Ppto",PptoSty[POvsCT]=AD$113,TRUE))*(PptoSty[Project]=TEXT($B164,"@"))*(PptoSty[PptoVsRow]=$E164)*(PptoSty[PptoVsColumn]=UPPER(AC$114)),0)))</f>
        <v>0</v>
      </c>
      <c r="AE164" s="157" cm="1">
        <f t="array" aca="1" ref="AE164" ca="1">IF(OR($E164="X",$E164="",$E164=0,$B164="X",$B164="",$B164=0),0,SUM(_xlfn._xlws.FILTER(IF($E$4="Ppto",PptoSty[CurPpto],PptoSty[CurInt]),(IF($E$4="Ppto",PptoSty[POvsCT]=AE$113,TRUE))*(PptoSty[Project]=TEXT($B164,"@"))*(PptoSty[PptoVsRow]=$E164)*(PptoSty[PptoVsColumn]=UPPER(AE$114)),0)))</f>
        <v>11694.795213573001</v>
      </c>
      <c r="AF164" s="157" cm="1">
        <f t="array" aca="1" ref="AF164" ca="1">IF(OR($E164="X",$E164="",$E164=0,$B164="X",$B164="",$B164=0),0,SUM(_xlfn._xlws.FILTER(IF($E$4="Ppto",PptoSty[CurPpto],PptoSty[CurExt]),(IF($E$4="Ppto",PptoSty[POvsCT]=AF$113,TRUE))*(PptoSty[Project]=TEXT($B164,"@"))*(PptoSty[PptoVsRow]=$E164)*(PptoSty[PptoVsColumn]=UPPER(AE$114)),0)))</f>
        <v>74868.861484413006</v>
      </c>
      <c r="AG164" s="157" cm="1">
        <f t="array" aca="1" ref="AG164" ca="1">IF(OR($E164="X",$E164="",$E164=0,$B164="X",$B164="",$B164=0),0,SUM(_xlfn._xlws.FILTER(IF($E$4="Ppto",PptoSty[CurPpto],PptoSty[CurInt]),(IF($E$4="Ppto",PptoSty[POvsCT]=AG$113,TRUE))*(PptoSty[Project]=TEXT($B164,"@"))*(PptoSty[PptoVsRow]=$E164)*(PptoSty[PptoVsColumn]=UPPER(AG$114)),0)))</f>
        <v>0</v>
      </c>
      <c r="AH164" s="157" cm="1">
        <f t="array" aca="1" ref="AH164" ca="1">IF(OR($E164="X",$E164="",$E164=0,$B164="X",$B164="",$B164=0),0,SUM(_xlfn._xlws.FILTER(IF($E$4="Ppto",PptoSty[CurPpto],PptoSty[CurExt]),(IF($E$4="Ppto",PptoSty[POvsCT]=AH$113,TRUE))*(PptoSty[Project]=TEXT($B164,"@"))*(PptoSty[PptoVsRow]=$E164)*(PptoSty[PptoVsColumn]=UPPER(AG$114)),0)))</f>
        <v>0</v>
      </c>
      <c r="AI164" s="157" cm="1">
        <f t="array" aca="1" ref="AI164" ca="1">IF(OR($E164="X",$E164="",$E164=0,$B164="X",$B164="",$B164=0),0,SUM(_xlfn._xlws.FILTER(IF($E$4="Ppto",PptoSty[CurPpto],PptoSty[CurInt]),(IF($E$4="Ppto",PptoSty[POvsCT]=AI$113,TRUE))*(PptoSty[Project]=TEXT($B164,"@"))*(PptoSty[PptoVsRow]=$E164)*(PptoSty[PptoVsColumn]=UPPER(AI$114)),0)))</f>
        <v>0</v>
      </c>
      <c r="AJ164" s="157" cm="1">
        <f t="array" aca="1" ref="AJ164" ca="1">IF(OR($E164="X",$E164="",$E164=0,$B164="X",$B164="",$B164=0),0,SUM(_xlfn._xlws.FILTER(IF($E$4="Ppto",PptoSty[CurPpto],PptoSty[CurExt]),(IF($E$4="Ppto",PptoSty[POvsCT]=AJ$113,TRUE))*(PptoSty[Project]=TEXT($B164,"@"))*(PptoSty[PptoVsRow]=$E164)*(PptoSty[PptoVsColumn]=UPPER(AI$114)),0)))</f>
        <v>0</v>
      </c>
      <c r="AK164" s="157" cm="1">
        <f t="array" aca="1" ref="AK164" ca="1">IF(OR($E164="X",$E164="",$E164=0,$B164="X",$B164="",$B164=0),0,SUM(_xlfn._xlws.FILTER(IF($E$4="Ppto",PptoSty[CurPpto],PptoSty[CurInt]),(IF($E$4="Ppto",PptoSty[POvsCT]=AK$113,TRUE))*(PptoSty[Project]=TEXT($B164,"@"))*(PptoSty[PptoVsRow]=$E164)*(PptoSty[PptoVsColumn]=UPPER(AK$114)),0)))</f>
        <v>0</v>
      </c>
      <c r="AL164" s="157" cm="1">
        <f t="array" aca="1" ref="AL164" ca="1">IF(OR($E164="X",$E164="",$E164=0,$B164="X",$B164="",$B164=0),0,SUM(_xlfn._xlws.FILTER(IF($E$4="Ppto",PptoSty[CurPpto],PptoSty[CurExt]),(IF($E$4="Ppto",PptoSty[POvsCT]=AL$113,TRUE))*(PptoSty[Project]=TEXT($B164,"@"))*(PptoSty[PptoVsRow]=$E164)*(PptoSty[PptoVsColumn]=UPPER(AK$114)),0)))</f>
        <v>110165.53000000001</v>
      </c>
      <c r="AM164" s="157" cm="1">
        <f t="array" aca="1" ref="AM164" ca="1">IF(OR($E164="X",$E164="",$E164=0,$B164="X",$B164="",$B164=0),0,SUM(_xlfn._xlws.FILTER(IF($E$4="Ppto",PptoSty[CurPpto],PptoSty[CurInt]),(IF($E$4="Ppto",PptoSty[POvsCT]=AM$113,TRUE))*(PptoSty[Project]=TEXT($B164,"@"))*(PptoSty[PptoVsRow]=$E164)*(PptoSty[PptoVsColumn]=UPPER(AM$114)),0)))</f>
        <v>0</v>
      </c>
      <c r="AN164" s="157" cm="1">
        <f t="array" aca="1" ref="AN164" ca="1">IF(OR($E164="X",$E164="",$E164=0,$B164="X",$B164="",$B164=0),0,SUM(_xlfn._xlws.FILTER(IF($E$4="Ppto",PptoSty[CurPpto],PptoSty[CurExt]),(IF($E$4="Ppto",PptoSty[POvsCT]=AN$113,TRUE))*(PptoSty[Project]=TEXT($B164,"@"))*(PptoSty[PptoVsRow]=$E164)*(PptoSty[PptoVsColumn]=UPPER(AM$114)),0)))</f>
        <v>109931.56999999999</v>
      </c>
      <c r="AO164" s="157" cm="1">
        <f t="array" aca="1" ref="AO164" ca="1">IF(OR($E164="X",$E164="",$E164=0,$B164="X",$B164="",$B164=0),0,SUM(_xlfn._xlws.FILTER(IF($E$4="Ppto",PptoSty[CurPpto],PptoSty[CurInt]),(IF($E$4="Ppto",PptoSty[POvsCT]=AO$113,TRUE))*(PptoSty[Project]=TEXT($B164,"@"))*(PptoSty[PptoVsRow]=$E164)*(PptoSty[PptoVsColumn]=UPPER(AO$114)),0)))</f>
        <v>0</v>
      </c>
      <c r="AP164" s="157" cm="1">
        <f t="array" aca="1" ref="AP164" ca="1">IF(OR($E164="X",$E164="",$E164=0,$B164="X",$B164="",$B164=0),0,SUM(_xlfn._xlws.FILTER(IF($E$4="Ppto",PptoSty[CurPpto],PptoSty[CurExt]),(IF($E$4="Ppto",PptoSty[POvsCT]=AP$113,TRUE))*(PptoSty[Project]=TEXT($B164,"@"))*(PptoSty[PptoVsRow]=$E164)*(PptoSty[PptoVsColumn]=UPPER(AO$114)),0)))</f>
        <v>0</v>
      </c>
      <c r="AQ164" s="157" cm="1">
        <f t="array" aca="1" ref="AQ164" ca="1">SUM(IF(INDIRECT($AS$115)=AQ$115,INDIRECT($AS164)))</f>
        <v>11694.795213573001</v>
      </c>
      <c r="AR164" s="157" cm="1">
        <f t="array" aca="1" ref="AR164" ca="1">SUM(IF(INDIRECT($AS$115)=AR$115,INDIRECT($AS164)))</f>
        <v>294965.96148441301</v>
      </c>
      <c r="AS164" s="286" t="str">
        <f t="shared" ca="1" si="15"/>
        <v>G164:AP164</v>
      </c>
      <c r="AT164" s="403">
        <f t="shared" ca="1" si="14"/>
        <v>306660.75669798604</v>
      </c>
      <c r="AV164" s="142" cm="1">
        <f t="array" aca="1" ref="AV164" ca="1">IF(AND(_xlfn.LET(_xlpm.x,SUM(ROW()),OR(AND(MATCH("SOT",$A:$A,0)&lt;_xlpm.x,MATCH("EOT",$A:$A,0)&gt;_xlpm.x),AND(MATCH("SOS",$A:$A,0)&lt;_xlpm.x,MATCH("EOS",$A:$A,0)&gt;_xlpm.x),AND(MATCH("SOR",$A:$A,0)&lt;_xlpm.x,MATCH("EOR",$A:$A,0)&gt;_xlpm.x))),INDIRECT("rc"&amp;MATCH("SCD",$1:$1,0),FALSE)="PPTO"),1,0)</f>
        <v>1</v>
      </c>
      <c r="AW164" s="142" cm="1">
        <f t="array" aca="1" ref="AW16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65" spans="2:49" outlineLevel="1">
      <c r="B165" s="156" t="str" cm="1">
        <f t="array" aca="1" ref="B165:E165" ca="1">_xlfn.LET(_xlpm.x,SUM(ROW()-MATCH("SOR",$A:$A,0)),_xlpm.y,IFERROR(_xlfn.TAKE(INDEX(_xlfn._xlws.FILTER(TbAssign[],ISNUMBER(FIND(TbAssign[Project],$C$4)),"X"),1+QUOTIENT(_xlpm.x,3),0),1,4),0),IF(MOD(_xlpm.x-1,3)=0,IF(_xlpm.y=0,"X",_xlpm.y),INDIRECT("r[-1]c#",FALSE)))</f>
        <v>31200</v>
      </c>
      <c r="C165" s="156" t="str">
        <f ca="1"/>
        <v>XD01</v>
      </c>
      <c r="D165" s="148" t="str">
        <f ca="1"/>
        <v>IMTS</v>
      </c>
      <c r="E165" s="352" t="str">
        <f ca="1"/>
        <v>ENR. UTILES/GARRAS</v>
      </c>
      <c r="F165" s="148" t="s">
        <v>1382</v>
      </c>
      <c r="G165" s="157" cm="1">
        <f t="array" aca="1" ref="G165" ca="1">IF(OR($E165="X",$E165="",$E165=0,$B165="X",$B165="",$B165=0),0,SUM(_xlfn._xlws.FILTER(PrvSty[DsvValue:SERRA],(PrvSty[Project]=TEXT($B165,"@"))*(PrvSty[Row]=$E165)*(PrvSty[Column]=UPPER(G$114)),0)))</f>
        <v>0</v>
      </c>
      <c r="H165" s="157" cm="1">
        <f t="array" aca="1" ref="H165" ca="1">IF(OR($E165="X",$E165="",$E165=0,$B165="X",$B165="",$B165=0),0,SUM(_xlfn._xlws.FILTER(PrvSty[DsvValue:EXT.],(PrvSty[Project]=TEXT($B165,"@"))*(PrvSty[Row]=$E165)*(PrvSty[Column]=UPPER(G$114)),0)))</f>
        <v>0</v>
      </c>
      <c r="I165" s="157" cm="1">
        <f t="array" aca="1" ref="I165" ca="1">IF(OR($E165="X",$E165="",$E165=0,$B165="X",$B165="",$B165=0),0,SUM(_xlfn._xlws.FILTER(PrvSty[DsvValue:SERRA],(PrvSty[Project]=TEXT($B165,"@"))*(PrvSty[Row]=$E165)*(PrvSty[Column]=UPPER(I$114)),0)))</f>
        <v>0</v>
      </c>
      <c r="J165" s="157" cm="1">
        <f t="array" aca="1" ref="J165" ca="1">IF(OR($E165="X",$E165="",$E165=0,$B165="X",$B165="",$B165=0),0,SUM(_xlfn._xlws.FILTER(PrvSty[DsvValue:EXT.],(PrvSty[Project]=TEXT($B165,"@"))*(PrvSty[Row]=$E165)*(PrvSty[Column]=UPPER(I$114)),0)))</f>
        <v>0</v>
      </c>
      <c r="K165" s="157" cm="1">
        <f t="array" aca="1" ref="K165" ca="1">IF(OR($E165="X",$E165="",$E165=0,$B165="X",$B165="",$B165=0),0,SUM(_xlfn._xlws.FILTER(PrvSty[DsvValue:SERRA],(PrvSty[Project]=TEXT($B165,"@"))*(PrvSty[Row]=$E165)*(PrvSty[Column]=UPPER(K$114)),0)))</f>
        <v>0</v>
      </c>
      <c r="L165" s="157" cm="1">
        <f t="array" aca="1" ref="L165" ca="1">IF(OR($E165="X",$E165="",$E165=0,$B165="X",$B165="",$B165=0),0,SUM(_xlfn._xlws.FILTER(PrvSty[DsvValue:EXT.],(PrvSty[Project]=TEXT($B165,"@"))*(PrvSty[Row]=$E165)*(PrvSty[Column]=UPPER(K$114)),0)))</f>
        <v>0</v>
      </c>
      <c r="M165" s="157" cm="1">
        <f t="array" aca="1" ref="M165" ca="1">IF(OR($E165="X",$E165="",$E165=0,$B165="X",$B165="",$B165=0),0,SUM(_xlfn._xlws.FILTER(PrvSty[DsvValue:SERRA],(PrvSty[Project]=TEXT($B165,"@"))*(PrvSty[Row]=$E165)*(PrvSty[Column]=UPPER(M$114)),0)))</f>
        <v>0</v>
      </c>
      <c r="N165" s="157" cm="1">
        <f t="array" aca="1" ref="N165" ca="1">IF(OR($E165="X",$E165="",$E165=0,$B165="X",$B165="",$B165=0),0,SUM(_xlfn._xlws.FILTER(PrvSty[DsvValue:EXT.],(PrvSty[Project]=TEXT($B165,"@"))*(PrvSty[Row]=$E165)*(PrvSty[Column]=UPPER(M$114)),0)))</f>
        <v>0</v>
      </c>
      <c r="O165" s="157" cm="1">
        <f t="array" aca="1" ref="O165" ca="1">IF(OR($E165="X",$E165="",$E165=0,$B165="X",$B165="",$B165=0),0,SUM(_xlfn._xlws.FILTER(PrvSty[DsvValue:SERRA],(PrvSty[Project]=TEXT($B165,"@"))*(PrvSty[Row]=$E165)*(PrvSty[Column]=UPPER(O$114)),0)))</f>
        <v>0</v>
      </c>
      <c r="P165" s="157" cm="1">
        <f t="array" aca="1" ref="P165" ca="1">IF(OR($E165="X",$E165="",$E165=0,$B165="X",$B165="",$B165=0),0,SUM(_xlfn._xlws.FILTER(PrvSty[DsvValue:EXT.],(PrvSty[Project]=TEXT($B165,"@"))*(PrvSty[Row]=$E165)*(PrvSty[Column]=UPPER(O$114)),0)))</f>
        <v>0</v>
      </c>
      <c r="Q165" s="157" cm="1">
        <f t="array" aca="1" ref="Q165" ca="1">IF(OR($E165="X",$E165="",$E165=0,$B165="X",$B165="",$B165=0),0,SUM(_xlfn._xlws.FILTER(PrvSty[DsvValue:SERRA],(PrvSty[Project]=TEXT($B165,"@"))*(PrvSty[Row]=$E165)*(PrvSty[Column]=UPPER(Q$114)),0)))</f>
        <v>0</v>
      </c>
      <c r="R165" s="157" cm="1">
        <f t="array" aca="1" ref="R165" ca="1">IF(OR($E165="X",$E165="",$E165=0,$B165="X",$B165="",$B165=0),0,SUM(_xlfn._xlws.FILTER(PrvSty[DsvValue:EXT.],(PrvSty[Project]=TEXT($B165,"@"))*(PrvSty[Row]=$E165)*(PrvSty[Column]=UPPER(Q$114)),0)))</f>
        <v>0</v>
      </c>
      <c r="S165" s="157" cm="1">
        <f t="array" aca="1" ref="S165" ca="1">IF(OR($E165="X",$E165="",$E165=0,$B165="X",$B165="",$B165=0),0,SUM(_xlfn._xlws.FILTER(PrvSty[DsvValue:SERRA],(PrvSty[Project]=TEXT($B165,"@"))*(PrvSty[Row]=$E165)*(PrvSty[Column]=UPPER(S$114)),0)))</f>
        <v>0</v>
      </c>
      <c r="T165" s="157" cm="1">
        <f t="array" aca="1" ref="T165" ca="1">IF(OR($E165="X",$E165="",$E165=0,$B165="X",$B165="",$B165=0),0,SUM(_xlfn._xlws.FILTER(PrvSty[DsvValue:EXT.],(PrvSty[Project]=TEXT($B165,"@"))*(PrvSty[Row]=$E165)*(PrvSty[Column]=UPPER(S$114)),0)))</f>
        <v>0</v>
      </c>
      <c r="U165" s="157" cm="1">
        <f t="array" aca="1" ref="U165" ca="1">IF(OR($E165="X",$E165="",$E165=0,$B165="X",$B165="",$B165=0),0,SUM(_xlfn._xlws.FILTER(PrvSty[DsvValue:SERRA],(PrvSty[Project]=TEXT($B165,"@"))*(PrvSty[Row]=$E165)*(PrvSty[Column]=UPPER(U$114)),0)))</f>
        <v>0</v>
      </c>
      <c r="V165" s="157" cm="1">
        <f t="array" aca="1" ref="V165" ca="1">IF(OR($E165="X",$E165="",$E165=0,$B165="X",$B165="",$B165=0),0,SUM(_xlfn._xlws.FILTER(PrvSty[DsvValue:EXT.],(PrvSty[Project]=TEXT($B165,"@"))*(PrvSty[Row]=$E165)*(PrvSty[Column]=UPPER(U$114)),0)))</f>
        <v>5874.8</v>
      </c>
      <c r="W165" s="157" cm="1">
        <f t="array" aca="1" ref="W165" ca="1">IF(OR($E165="X",$E165="",$E165=0,$B165="X",$B165="",$B165=0),0,SUM(_xlfn._xlws.FILTER(PrvSty[DsvValue:SERRA],(PrvSty[Project]=TEXT($B165,"@"))*(PrvSty[Row]=$E165)*(PrvSty[Column]=UPPER(W$114)),0)))</f>
        <v>0</v>
      </c>
      <c r="X165" s="157" cm="1">
        <f t="array" aca="1" ref="X165" ca="1">IF(OR($E165="X",$E165="",$E165=0,$B165="X",$B165="",$B165=0),0,SUM(_xlfn._xlws.FILTER(PrvSty[DsvValue:EXT.],(PrvSty[Project]=TEXT($B165,"@"))*(PrvSty[Row]=$E165)*(PrvSty[Column]=UPPER(W$114)),0)))</f>
        <v>0</v>
      </c>
      <c r="Y165" s="157" cm="1">
        <f t="array" aca="1" ref="Y165" ca="1">IF(OR($E165="X",$E165="",$E165=0,$B165="X",$B165="",$B165=0),0,SUM(_xlfn._xlws.FILTER(PrvSty[DsvValue:SERRA],(PrvSty[Project]=TEXT($B165,"@"))*(PrvSty[Row]=$E165)*(PrvSty[Column]=UPPER(Y$114)),0)))</f>
        <v>0</v>
      </c>
      <c r="Z165" s="157" cm="1">
        <f t="array" aca="1" ref="Z165" ca="1">IF(OR($E165="X",$E165="",$E165=0,$B165="X",$B165="",$B165=0),0,SUM(_xlfn._xlws.FILTER(PrvSty[DsvValue:EXT.],(PrvSty[Project]=TEXT($B165,"@"))*(PrvSty[Row]=$E165)*(PrvSty[Column]=UPPER(Y$114)),0)))</f>
        <v>0</v>
      </c>
      <c r="AA165" s="157" cm="1">
        <f t="array" aca="1" ref="AA165" ca="1">IF(OR($E165="X",$E165="",$E165=0,$B165="X",$B165="",$B165=0),0,SUM(_xlfn._xlws.FILTER(PrvSty[DsvValue:SERRA],(PrvSty[Project]=TEXT($B165,"@"))*(PrvSty[Row]=$E165)*(PrvSty[Column]=UPPER(AA$114)),0)))</f>
        <v>0</v>
      </c>
      <c r="AB165" s="157" cm="1">
        <f t="array" aca="1" ref="AB165" ca="1">IF(OR($E165="X",$E165="",$E165=0,$B165="X",$B165="",$B165=0),0,SUM(_xlfn._xlws.FILTER(PrvSty[DsvValue:EXT.],(PrvSty[Project]=TEXT($B165,"@"))*(PrvSty[Row]=$E165)*(PrvSty[Column]=UPPER(AA$114)),0)))</f>
        <v>0</v>
      </c>
      <c r="AC165" s="157" cm="1">
        <f t="array" aca="1" ref="AC165" ca="1">IF(OR($E165="X",$E165="",$E165=0,$B165="X",$B165="",$B165=0),0,SUM(_xlfn._xlws.FILTER(PrvSty[DsvValue:SERRA],(PrvSty[Project]=TEXT($B165,"@"))*(PrvSty[Row]=$E165)*(PrvSty[Column]=UPPER(AC$114)),0)))</f>
        <v>0</v>
      </c>
      <c r="AD165" s="157" cm="1">
        <f t="array" aca="1" ref="AD165" ca="1">IF(OR($E165="X",$E165="",$E165=0,$B165="X",$B165="",$B165=0),0,SUM(_xlfn._xlws.FILTER(PrvSty[DsvValue:EXT.],(PrvSty[Project]=TEXT($B165,"@"))*(PrvSty[Row]=$E165)*(PrvSty[Column]=UPPER(AC$114)),0)))</f>
        <v>0</v>
      </c>
      <c r="AE165" s="157" cm="1">
        <f t="array" aca="1" ref="AE165" ca="1">IF(OR($E165="X",$E165="",$E165=0,$B165="X",$B165="",$B165=0),0,SUM(_xlfn._xlws.FILTER(PrvSty[DsvValue:SERRA],(PrvSty[Project]=TEXT($B165,"@"))*(PrvSty[Row]=$E165)*(PrvSty[Column]=UPPER(AE$114)),0)))</f>
        <v>0</v>
      </c>
      <c r="AF165" s="157" cm="1">
        <f t="array" aca="1" ref="AF165" ca="1">IF(OR($E165="X",$E165="",$E165=0,$B165="X",$B165="",$B165=0),0,SUM(_xlfn._xlws.FILTER(PrvSty[DsvValue:EXT.],(PrvSty[Project]=TEXT($B165,"@"))*(PrvSty[Row]=$E165)*(PrvSty[Column]=UPPER(AE$114)),0)))</f>
        <v>-20000</v>
      </c>
      <c r="AG165" s="157" cm="1">
        <f t="array" aca="1" ref="AG165" ca="1">IF(OR($E165="X",$E165="",$E165=0,$B165="X",$B165="",$B165=0),0,SUM(_xlfn._xlws.FILTER(PrvSty[DsvValue:SERRA],(PrvSty[Project]=TEXT($B165,"@"))*(PrvSty[Row]=$E165)*(PrvSty[Column]=UPPER(AG$114)),0)))</f>
        <v>0</v>
      </c>
      <c r="AH165" s="157" cm="1">
        <f t="array" aca="1" ref="AH165" ca="1">IF(OR($E165="X",$E165="",$E165=0,$B165="X",$B165="",$B165=0),0,SUM(_xlfn._xlws.FILTER(PrvSty[DsvValue:EXT.],(PrvSty[Project]=TEXT($B165,"@"))*(PrvSty[Row]=$E165)*(PrvSty[Column]=UPPER(AG$114)),0)))</f>
        <v>0</v>
      </c>
      <c r="AI165" s="157" cm="1">
        <f t="array" aca="1" ref="AI165" ca="1">IF(OR($E165="X",$E165="",$E165=0,$B165="X",$B165="",$B165=0),0,SUM(_xlfn._xlws.FILTER(PrvSty[DsvValue:SERRA],(PrvSty[Project]=TEXT($B165,"@"))*(PrvSty[Row]=$E165)*(PrvSty[Column]=UPPER(AI$114)),0)))</f>
        <v>0</v>
      </c>
      <c r="AJ165" s="157" cm="1">
        <f t="array" aca="1" ref="AJ165" ca="1">IF(OR($E165="X",$E165="",$E165=0,$B165="X",$B165="",$B165=0),0,SUM(_xlfn._xlws.FILTER(PrvSty[DsvValue:EXT.],(PrvSty[Project]=TEXT($B165,"@"))*(PrvSty[Row]=$E165)*(PrvSty[Column]=UPPER(AI$114)),0)))</f>
        <v>9656.65</v>
      </c>
      <c r="AK165" s="157" cm="1">
        <f t="array" aca="1" ref="AK165" ca="1">IF(OR($E165="X",$E165="",$E165=0,$B165="X",$B165="",$B165=0),0,SUM(_xlfn._xlws.FILTER(PrvSty[DsvValue:SERRA],(PrvSty[Project]=TEXT($B165,"@"))*(PrvSty[Row]=$E165)*(PrvSty[Column]=UPPER(AK$114)),0)))</f>
        <v>0</v>
      </c>
      <c r="AL165" s="157" cm="1">
        <f t="array" aca="1" ref="AL165" ca="1">IF(OR($E165="X",$E165="",$E165=0,$B165="X",$B165="",$B165=0),0,SUM(_xlfn._xlws.FILTER(PrvSty[DsvValue:EXT.],(PrvSty[Project]=TEXT($B165,"@"))*(PrvSty[Row]=$E165)*(PrvSty[Column]=UPPER(AK$114)),0)))</f>
        <v>99.349999999991269</v>
      </c>
      <c r="AM165" s="157" cm="1">
        <f t="array" aca="1" ref="AM165" ca="1">IF(OR($E165="X",$E165="",$E165=0,$B165="X",$B165="",$B165=0),0,SUM(_xlfn._xlws.FILTER(PrvSty[DsvValue:SERRA],(PrvSty[Project]=TEXT($B165,"@"))*(PrvSty[Row]=$E165)*(PrvSty[Column]=UPPER(AM$114)),0)))</f>
        <v>0</v>
      </c>
      <c r="AN165" s="157" cm="1">
        <f t="array" aca="1" ref="AN165" ca="1">IF(OR($E165="X",$E165="",$E165=0,$B165="X",$B165="",$B165=0),0,SUM(_xlfn._xlws.FILTER(PrvSty[DsvValue:EXT.],(PrvSty[Project]=TEXT($B165,"@"))*(PrvSty[Row]=$E165)*(PrvSty[Column]=UPPER(AM$114)),0)))</f>
        <v>0</v>
      </c>
      <c r="AO165" s="157" cm="1">
        <f t="array" aca="1" ref="AO165" ca="1">IF(OR($E165="X",$E165="",$E165=0,$B165="X",$B165="",$B165=0),0,SUM(_xlfn._xlws.FILTER(PrvSty[DsvValue:SERRA],(PrvSty[Project]=TEXT($B165,"@"))*(PrvSty[Row]=$E165)*(PrvSty[Column]=UPPER(AO$114)),0)))</f>
        <v>0</v>
      </c>
      <c r="AP165" s="157" cm="1">
        <f t="array" aca="1" ref="AP165" ca="1">IF(OR($E165="X",$E165="",$E165=0,$B165="X",$B165="",$B165=0),0,SUM(_xlfn._xlws.FILTER(PrvSty[DsvValue:EXT.],(PrvSty[Project]=TEXT($B165,"@"))*(PrvSty[Row]=$E165)*(PrvSty[Column]=UPPER(AO$114)),0)))</f>
        <v>0</v>
      </c>
      <c r="AQ165" s="157" cm="1">
        <f t="array" aca="1" ref="AQ165" ca="1">SUM(IF(INDIRECT($AS$115)=AQ$115,INDIRECT($AS165)))</f>
        <v>0</v>
      </c>
      <c r="AR165" s="157" cm="1">
        <f t="array" aca="1" ref="AR165" ca="1">SUM(IF(INDIRECT($AS$115)=AR$115,INDIRECT($AS165)))</f>
        <v>-4369.2000000000098</v>
      </c>
      <c r="AS165" s="286" t="str">
        <f t="shared" ca="1" si="15"/>
        <v>G165:AP165</v>
      </c>
      <c r="AT165" s="403">
        <f t="shared" ca="1" si="14"/>
        <v>-4369.2000000000098</v>
      </c>
      <c r="AV165" s="142" cm="1">
        <f t="array" aca="1" ref="AV165" ca="1">IF(AND(_xlfn.LET(_xlpm.x,SUM(ROW()),OR(AND(MATCH("SOT",$A:$A,0)&lt;_xlpm.x,MATCH("EOT",$A:$A,0)&gt;_xlpm.x),AND(MATCH("SOS",$A:$A,0)&lt;_xlpm.x,MATCH("EOS",$A:$A,0)&gt;_xlpm.x),AND(MATCH("SOR",$A:$A,0)&lt;_xlpm.x,MATCH("EOR",$A:$A,0)&gt;_xlpm.x))),INDIRECT("rc"&amp;MATCH("SCD",$1:$1,0),FALSE)="PPTO"),1,0)</f>
        <v>0</v>
      </c>
      <c r="AW165" s="142" cm="1">
        <f t="array" aca="1" ref="AW16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66" spans="2:49" outlineLevel="1">
      <c r="B166" s="156" t="str" cm="1">
        <f t="array" aca="1" ref="B166:E166" ca="1">_xlfn.LET(_xlpm.x,SUM(ROW()-MATCH("SOR",$A:$A,0)),_xlpm.y,IFERROR(_xlfn.TAKE(INDEX(_xlfn._xlws.FILTER(TbAssign[],ISNUMBER(FIND(TbAssign[Project],$C$4)),"X"),1+QUOTIENT(_xlpm.x,3),0),1,4),0),IF(MOD(_xlpm.x-1,3)=0,IF(_xlpm.y=0,"X",_xlpm.y),INDIRECT("r[-1]c#",FALSE)))</f>
        <v>31200</v>
      </c>
      <c r="C166" s="156" t="str">
        <f ca="1"/>
        <v>XD01</v>
      </c>
      <c r="D166" s="148" t="str">
        <f ca="1"/>
        <v>IMTS</v>
      </c>
      <c r="E166" s="352" t="str">
        <f ca="1"/>
        <v>ENR. UTILES/GARRAS</v>
      </c>
      <c r="F166" s="148" t="s">
        <v>1383</v>
      </c>
      <c r="G166" s="158" cm="1">
        <f t="array" aca="1" ref="G166" ca="1">IF(OR($E166="X",$E166="",$E166=0,$B166="X",$B166="",$B166=0),0,SUM(_xlfn._xlws.FILTER(FrmBB1[Cur],(FrmBB1[PrjId]=TEXT($B166,"@"))*(FrmBB1[Row]=$E166)*(FrmBB1[Column]=UPPER(_xlfn.LET(_xlpm.x,_xlfn.TEXTBEFORE(G$114," ("),IFERROR(_xlpm.x,G$114)))&amp;" "&amp;G$115),0)))</f>
        <v>0</v>
      </c>
      <c r="H166" s="157" cm="1">
        <f t="array" aca="1" ref="H166" ca="1">IF(OR($E166="X",$E166="",$E166=0,$B166="X",$B166="",$B166=0),0,SUM(_xlfn._xlws.FILTER(FrmBB1[Cur],(FrmBB1[PrjId]=TEXT($B166,"@"))*(FrmBB1[Row]=$E166)*(FrmBB1[Column]=UPPER(_xlfn.LET(_xlpm.x,_xlfn.TEXTBEFORE(G$114," ("),IFERROR(_xlpm.x,G$114)))&amp;" "&amp;H$115),0)))</f>
        <v>0</v>
      </c>
      <c r="I166" s="158" cm="1">
        <f t="array" aca="1" ref="I166" ca="1">IF(OR($E166="X",$E166="",$E166=0,$B166="X",$B166="",$B166=0),0,SUM(_xlfn._xlws.FILTER(FrmBB1[Cur],(FrmBB1[PrjId]=TEXT($B166,"@"))*(FrmBB1[Row]=$E166)*(FrmBB1[Column]=UPPER(_xlfn.LET(_xlpm.x,_xlfn.TEXTBEFORE(I$114," ("),IFERROR(_xlpm.x,I$114)))&amp;" "&amp;I$115),0)))</f>
        <v>0</v>
      </c>
      <c r="J166" s="157" cm="1">
        <f t="array" aca="1" ref="J166" ca="1">IF(OR($E166="X",$E166="",$E166=0,$B166="X",$B166="",$B166=0),0,SUM(_xlfn._xlws.FILTER(FrmBB1[Cur],(FrmBB1[PrjId]=TEXT($B166,"@"))*(FrmBB1[Row]=$E166)*(FrmBB1[Column]=UPPER(_xlfn.LET(_xlpm.x,_xlfn.TEXTBEFORE(I$114," ("),IFERROR(_xlpm.x,I$114)))&amp;" "&amp;J$115),0)))</f>
        <v>0</v>
      </c>
      <c r="K166" s="158" cm="1">
        <f t="array" aca="1" ref="K166" ca="1">IF(OR($E166="X",$E166="",$E166=0,$B166="X",$B166="",$B166=0),0,SUM(_xlfn._xlws.FILTER(FrmBB1[Cur],(FrmBB1[PrjId]=TEXT($B166,"@"))*(FrmBB1[Row]=$E166)*(FrmBB1[Column]=UPPER(_xlfn.LET(_xlpm.x,_xlfn.TEXTBEFORE(K$114," ("),IFERROR(_xlpm.x,K$114)))&amp;" "&amp;K$115),0)))</f>
        <v>0</v>
      </c>
      <c r="L166" s="157" cm="1">
        <f t="array" aca="1" ref="L166" ca="1">IF(OR($E166="X",$E166="",$E166=0,$B166="X",$B166="",$B166=0),0,SUM(_xlfn._xlws.FILTER(FrmBB1[Cur],(FrmBB1[PrjId]=TEXT($B166,"@"))*(FrmBB1[Row]=$E166)*(FrmBB1[Column]=UPPER(_xlfn.LET(_xlpm.x,_xlfn.TEXTBEFORE(K$114," ("),IFERROR(_xlpm.x,K$114)))&amp;" "&amp;L$115),0)))</f>
        <v>0</v>
      </c>
      <c r="M166" s="158" cm="1">
        <f t="array" aca="1" ref="M166" ca="1">IF(OR($E166="X",$E166="",$E166=0,$B166="X",$B166="",$B166=0),0,SUM(_xlfn._xlws.FILTER(FrmBB1[Cur],(FrmBB1[PrjId]=TEXT($B166,"@"))*(FrmBB1[Row]=$E166)*(FrmBB1[Column]=UPPER(_xlfn.LET(_xlpm.x,_xlfn.TEXTBEFORE(M$114," ("),IFERROR(_xlpm.x,M$114)))&amp;" "&amp;M$115),0)))</f>
        <v>0</v>
      </c>
      <c r="N166" s="157" cm="1">
        <f t="array" aca="1" ref="N166" ca="1">IF(OR($E166="X",$E166="",$E166=0,$B166="X",$B166="",$B166=0),0,SUM(_xlfn._xlws.FILTER(FrmBB1[Cur],(FrmBB1[PrjId]=TEXT($B166,"@"))*(FrmBB1[Row]=$E166)*(FrmBB1[Column]=UPPER(_xlfn.LET(_xlpm.x,_xlfn.TEXTBEFORE(M$114," ("),IFERROR(_xlpm.x,M$114)))&amp;" "&amp;N$115),0)))</f>
        <v>0</v>
      </c>
      <c r="O166" s="158" cm="1">
        <f t="array" aca="1" ref="O166" ca="1">IF(OR($E166="X",$E166="",$E166=0,$B166="X",$B166="",$B166=0),0,SUM(_xlfn._xlws.FILTER(FrmBB1[Cur],(FrmBB1[PrjId]=TEXT($B166,"@"))*(FrmBB1[Row]=$E166)*(FrmBB1[Column]=UPPER(_xlfn.LET(_xlpm.x,_xlfn.TEXTBEFORE(O$114," ("),IFERROR(_xlpm.x,O$114)))&amp;" "&amp;O$115),0)))</f>
        <v>0</v>
      </c>
      <c r="P166" s="157" cm="1">
        <f t="array" aca="1" ref="P166" ca="1">IF(OR($E166="X",$E166="",$E166=0,$B166="X",$B166="",$B166=0),0,SUM(_xlfn._xlws.FILTER(FrmBB1[Cur],(FrmBB1[PrjId]=TEXT($B166,"@"))*(FrmBB1[Row]=$E166)*(FrmBB1[Column]=UPPER(_xlfn.LET(_xlpm.x,_xlfn.TEXTBEFORE(O$114," ("),IFERROR(_xlpm.x,O$114)))&amp;" "&amp;P$115),0)))</f>
        <v>0</v>
      </c>
      <c r="Q166" s="158" cm="1">
        <f t="array" aca="1" ref="Q166" ca="1">IF(OR($E166="X",$E166="",$E166=0,$B166="X",$B166="",$B166=0),0,SUM(_xlfn._xlws.FILTER(FrmBB1[Cur],(FrmBB1[PrjId]=TEXT($B166,"@"))*(FrmBB1[Row]=$E166)*(FrmBB1[Column]=UPPER(_xlfn.LET(_xlpm.x,_xlfn.TEXTBEFORE(Q$114," ("),IFERROR(_xlpm.x,Q$114)))&amp;" "&amp;Q$115),0)))</f>
        <v>0</v>
      </c>
      <c r="R166" s="157" cm="1">
        <f t="array" aca="1" ref="R166" ca="1">IF(OR($E166="X",$E166="",$E166=0,$B166="X",$B166="",$B166=0),0,SUM(_xlfn._xlws.FILTER(FrmBB1[Cur],(FrmBB1[PrjId]=TEXT($B166,"@"))*(FrmBB1[Row]=$E166)*(FrmBB1[Column]=UPPER(_xlfn.LET(_xlpm.x,_xlfn.TEXTBEFORE(Q$114," ("),IFERROR(_xlpm.x,Q$114)))&amp;" "&amp;R$115),0)))</f>
        <v>0</v>
      </c>
      <c r="S166" s="158" cm="1">
        <f t="array" aca="1" ref="S166" ca="1">IF(OR($E166="X",$E166="",$E166=0,$B166="X",$B166="",$B166=0),0,SUM(_xlfn._xlws.FILTER(FrmBB1[Cur],(FrmBB1[PrjId]=TEXT($B166,"@"))*(FrmBB1[Row]=$E166)*(FrmBB1[Column]=UPPER(_xlfn.LET(_xlpm.x,_xlfn.TEXTBEFORE(S$114," ("),IFERROR(_xlpm.x,S$114)))&amp;" "&amp;S$115),0)))</f>
        <v>0</v>
      </c>
      <c r="T166" s="157" cm="1">
        <f t="array" aca="1" ref="T166" ca="1">IF(OR($E166="X",$E166="",$E166=0,$B166="X",$B166="",$B166=0),0,SUM(_xlfn._xlws.FILTER(FrmBB1[Cur],(FrmBB1[PrjId]=TEXT($B166,"@"))*(FrmBB1[Row]=$E166)*(FrmBB1[Column]=UPPER(_xlfn.LET(_xlpm.x,_xlfn.TEXTBEFORE(S$114," ("),IFERROR(_xlpm.x,S$114)))&amp;" "&amp;T$115),0)))</f>
        <v>0</v>
      </c>
      <c r="U166" s="158" cm="1">
        <f t="array" aca="1" ref="U166" ca="1">IF(OR($E166="X",$E166="",$E166=0,$B166="X",$B166="",$B166=0),0,SUM(_xlfn._xlws.FILTER(FrmBB1[Cur],(FrmBB1[PrjId]=TEXT($B166,"@"))*(FrmBB1[Row]=$E166)*(FrmBB1[Column]=UPPER(_xlfn.LET(_xlpm.x,_xlfn.TEXTBEFORE(U$114," ("),IFERROR(_xlpm.x,U$114)))&amp;" "&amp;U$115),0)))</f>
        <v>0</v>
      </c>
      <c r="V166" s="157" cm="1">
        <f t="array" aca="1" ref="V166" ca="1">IF(OR($E166="X",$E166="",$E166=0,$B166="X",$B166="",$B166=0),0,SUM(_xlfn._xlws.FILTER(FrmBB1[Cur],(FrmBB1[PrjId]=TEXT($B166,"@"))*(FrmBB1[Row]=$E166)*(FrmBB1[Column]=UPPER(_xlfn.LET(_xlpm.x,_xlfn.TEXTBEFORE(U$114," ("),IFERROR(_xlpm.x,U$114)))&amp;" "&amp;V$115),0)))</f>
        <v>6498.8</v>
      </c>
      <c r="W166" s="158" cm="1">
        <f t="array" aca="1" ref="W166" ca="1">IF(OR($E166="X",$E166="",$E166=0,$B166="X",$B166="",$B166=0),0,SUM(_xlfn._xlws.FILTER(FrmBB1[Cur],(FrmBB1[PrjId]=TEXT($B166,"@"))*(FrmBB1[Row]=$E166)*(FrmBB1[Column]=UPPER(_xlfn.LET(_xlpm.x,_xlfn.TEXTBEFORE(W$114," ("),IFERROR(_xlpm.x,W$114)))&amp;" "&amp;W$115),0)))</f>
        <v>0</v>
      </c>
      <c r="X166" s="157" cm="1">
        <f t="array" aca="1" ref="X166" ca="1">IF(OR($E166="X",$E166="",$E166=0,$B166="X",$B166="",$B166=0),0,SUM(_xlfn._xlws.FILTER(FrmBB1[Cur],(FrmBB1[PrjId]=TEXT($B166,"@"))*(FrmBB1[Row]=$E166)*(FrmBB1[Column]=UPPER(_xlfn.LET(_xlpm.x,_xlfn.TEXTBEFORE(W$114," ("),IFERROR(_xlpm.x,W$114)))&amp;" "&amp;X$115),0)))</f>
        <v>0</v>
      </c>
      <c r="Y166" s="158" cm="1">
        <f t="array" aca="1" ref="Y166" ca="1">IF(OR($E166="X",$E166="",$E166=0,$B166="X",$B166="",$B166=0),0,SUM(_xlfn._xlws.FILTER(FrmBB1[Cur],(FrmBB1[PrjId]=TEXT($B166,"@"))*(FrmBB1[Row]=$E166)*(FrmBB1[Column]=UPPER(_xlfn.LET(_xlpm.x,_xlfn.TEXTBEFORE(Y$114," ("),IFERROR(_xlpm.x,Y$114)))&amp;" "&amp;Y$115),0)))</f>
        <v>0</v>
      </c>
      <c r="Z166" s="157" cm="1">
        <f t="array" aca="1" ref="Z166" ca="1">IF(OR($E166="X",$E166="",$E166=0,$B166="X",$B166="",$B166=0),0,SUM(_xlfn._xlws.FILTER(FrmBB1[Cur],(FrmBB1[PrjId]=TEXT($B166,"@"))*(FrmBB1[Row]=$E166)*(FrmBB1[Column]=UPPER(_xlfn.LET(_xlpm.x,_xlfn.TEXTBEFORE(Y$114," ("),IFERROR(_xlpm.x,Y$114)))&amp;" "&amp;Z$115),0)))</f>
        <v>0</v>
      </c>
      <c r="AA166" s="158" cm="1">
        <f t="array" aca="1" ref="AA166" ca="1">IF(OR($E166="X",$E166="",$E166=0,$B166="X",$B166="",$B166=0),0,SUM(_xlfn._xlws.FILTER(FrmBB1[Cur],(FrmBB1[PrjId]=TEXT($B166,"@"))*(FrmBB1[Row]=$E166)*(FrmBB1[Column]=UPPER(_xlfn.LET(_xlpm.x,_xlfn.TEXTBEFORE(AA$114," ("),IFERROR(_xlpm.x,AA$114)))&amp;" "&amp;AA$115),0)))</f>
        <v>0</v>
      </c>
      <c r="AB166" s="157" cm="1">
        <f t="array" aca="1" ref="AB166" ca="1">IF(OR($E166="X",$E166="",$E166=0,$B166="X",$B166="",$B166=0),0,SUM(_xlfn._xlws.FILTER(FrmBB1[Cur],(FrmBB1[PrjId]=TEXT($B166,"@"))*(FrmBB1[Row]=$E166)*(FrmBB1[Column]=UPPER(_xlfn.LET(_xlpm.x,_xlfn.TEXTBEFORE(AA$114," ("),IFERROR(_xlpm.x,AA$114)))&amp;" "&amp;AB$115),0)))</f>
        <v>0</v>
      </c>
      <c r="AC166" s="158" cm="1">
        <f t="array" aca="1" ref="AC166" ca="1">IF(OR($E166="X",$E166="",$E166=0,$B166="X",$B166="",$B166=0),0,SUM(_xlfn._xlws.FILTER(FrmBB1[Cur],(FrmBB1[PrjId]=TEXT($B166,"@"))*(FrmBB1[Row]=$E166)*(FrmBB1[Column]=UPPER(_xlfn.LET(_xlpm.x,_xlfn.TEXTBEFORE(AC$114," ("),IFERROR(_xlpm.x,AC$114)))&amp;" "&amp;AC$115),0)))</f>
        <v>0</v>
      </c>
      <c r="AD166" s="157" cm="1">
        <f t="array" aca="1" ref="AD166" ca="1">IF(OR($E166="X",$E166="",$E166=0,$B166="X",$B166="",$B166=0),0,SUM(_xlfn._xlws.FILTER(FrmBB1[Cur],(FrmBB1[PrjId]=TEXT($B166,"@"))*(FrmBB1[Row]=$E166)*(FrmBB1[Column]=UPPER(_xlfn.LET(_xlpm.x,_xlfn.TEXTBEFORE(AC$114," ("),IFERROR(_xlpm.x,AC$114)))&amp;" "&amp;AD$115),0)))</f>
        <v>0</v>
      </c>
      <c r="AE166" s="158" cm="1">
        <f t="array" aca="1" ref="AE166" ca="1">IF(OR($E166="X",$E166="",$E166=0,$B166="X",$B166="",$B166=0),0,SUM(_xlfn._xlws.FILTER(FrmBB1[Cur],(FrmBB1[PrjId]=TEXT($B166,"@"))*(FrmBB1[Row]=$E166)*(FrmBB1[Column]=UPPER(_xlfn.LET(_xlpm.x,_xlfn.TEXTBEFORE(AE$114," ("),IFERROR(_xlpm.x,AE$114)))&amp;" "&amp;AE$115),0)))</f>
        <v>7604.76</v>
      </c>
      <c r="AF166" s="157" cm="1">
        <f t="array" aca="1" ref="AF166" ca="1">IF(OR($E166="X",$E166="",$E166=0,$B166="X",$B166="",$B166=0),0,SUM(_xlfn._xlws.FILTER(FrmBB1[Cur],(FrmBB1[PrjId]=TEXT($B166,"@"))*(FrmBB1[Row]=$E166)*(FrmBB1[Column]=UPPER(_xlfn.LET(_xlpm.x,_xlfn.TEXTBEFORE(AE$114," ("),IFERROR(_xlpm.x,AE$114)))&amp;" "&amp;AF$115),0)))</f>
        <v>52355</v>
      </c>
      <c r="AG166" s="158" cm="1">
        <f t="array" aca="1" ref="AG166" ca="1">IF(OR($E166="X",$E166="",$E166=0,$B166="X",$B166="",$B166=0),0,SUM(_xlfn._xlws.FILTER(FrmBB1[Cur],(FrmBB1[PrjId]=TEXT($B166,"@"))*(FrmBB1[Row]=$E166)*(FrmBB1[Column]=UPPER(_xlfn.LET(_xlpm.x,_xlfn.TEXTBEFORE(AG$114," ("),IFERROR(_xlpm.x,AG$114)))&amp;" "&amp;AG$115),0)))</f>
        <v>0</v>
      </c>
      <c r="AH166" s="157" cm="1">
        <f t="array" aca="1" ref="AH166" ca="1">IF(OR($E166="X",$E166="",$E166=0,$B166="X",$B166="",$B166=0),0,SUM(_xlfn._xlws.FILTER(FrmBB1[Cur],(FrmBB1[PrjId]=TEXT($B166,"@"))*(FrmBB1[Row]=$E166)*(FrmBB1[Column]=UPPER(_xlfn.LET(_xlpm.x,_xlfn.TEXTBEFORE(AG$114," ("),IFERROR(_xlpm.x,AG$114)))&amp;" "&amp;AH$115),0)))</f>
        <v>0</v>
      </c>
      <c r="AI166" s="158" cm="1">
        <f t="array" aca="1" ref="AI166" ca="1">IF(OR($E166="X",$E166="",$E166=0,$B166="X",$B166="",$B166=0),0,SUM(_xlfn._xlws.FILTER(FrmBB1[Cur],(FrmBB1[PrjId]=TEXT($B166,"@"))*(FrmBB1[Row]=$E166)*(FrmBB1[Column]=UPPER(_xlfn.LET(_xlpm.x,_xlfn.TEXTBEFORE(AI$114," ("),IFERROR(_xlpm.x,AI$114)))&amp;" "&amp;AI$115),0)))</f>
        <v>0</v>
      </c>
      <c r="AJ166" s="157" cm="1">
        <f t="array" aca="1" ref="AJ166" ca="1">IF(OR($E166="X",$E166="",$E166=0,$B166="X",$B166="",$B166=0),0,SUM(_xlfn._xlws.FILTER(FrmBB1[Cur],(FrmBB1[PrjId]=TEXT($B166,"@"))*(FrmBB1[Row]=$E166)*(FrmBB1[Column]=UPPER(_xlfn.LET(_xlpm.x,_xlfn.TEXTBEFORE(AI$114," ("),IFERROR(_xlpm.x,AI$114)))&amp;" "&amp;AJ$115),0)))</f>
        <v>10452.9</v>
      </c>
      <c r="AK166" s="158" cm="1">
        <f t="array" aca="1" ref="AK166" ca="1">IF(OR($E166="X",$E166="",$E166=0,$B166="X",$B166="",$B166=0),0,SUM(_xlfn._xlws.FILTER(FrmBB1[Cur],(FrmBB1[PrjId]=TEXT($B166,"@"))*(FrmBB1[Row]=$E166)*(FrmBB1[Column]=UPPER(_xlfn.LET(_xlpm.x,_xlfn.TEXTBEFORE(AK$114," ("),IFERROR(_xlpm.x,AK$114)))&amp;" "&amp;AK$115),0)))</f>
        <v>0</v>
      </c>
      <c r="AL166" s="157" cm="1">
        <f t="array" aca="1" ref="AL166" ca="1">IF(OR($E166="X",$E166="",$E166=0,$B166="X",$B166="",$B166=0),0,SUM(_xlfn._xlws.FILTER(FrmBB1[Cur],(FrmBB1[PrjId]=TEXT($B166,"@"))*(FrmBB1[Row]=$E166)*(FrmBB1[Column]=UPPER(_xlfn.LET(_xlpm.x,_xlfn.TEXTBEFORE(AK$114," ("),IFERROR(_xlpm.x,AK$114)))&amp;" "&amp;AL$115),0)))</f>
        <v>110462.9</v>
      </c>
      <c r="AM166" s="158" cm="1">
        <f t="array" aca="1" ref="AM166" ca="1">IF(OR($E166="X",$E166="",$E166=0,$B166="X",$B166="",$B166=0),0,SUM(_xlfn._xlws.FILTER(FrmBB1[Cur],(FrmBB1[PrjId]=TEXT($B166,"@"))*(FrmBB1[Row]=$E166)*(FrmBB1[Column]=UPPER(_xlfn.LET(_xlpm.x,_xlfn.TEXTBEFORE(AM$114," ("),IFERROR(_xlpm.x,AM$114)))&amp;" "&amp;AM$115),0)))</f>
        <v>0</v>
      </c>
      <c r="AN166" s="157" cm="1">
        <f t="array" aca="1" ref="AN166" ca="1">IF(OR($E166="X",$E166="",$E166=0,$B166="X",$B166="",$B166=0),0,SUM(_xlfn._xlws.FILTER(FrmBB1[Cur],(FrmBB1[PrjId]=TEXT($B166,"@"))*(FrmBB1[Row]=$E166)*(FrmBB1[Column]=UPPER(_xlfn.LET(_xlpm.x,_xlfn.TEXTBEFORE(AM$114," ("),IFERROR(_xlpm.x,AM$114)))&amp;" "&amp;AN$115),0)))</f>
        <v>99610.74</v>
      </c>
      <c r="AO166" s="158" cm="1">
        <f t="array" aca="1" ref="AO166" ca="1">IF(OR($E166="X",$E166="",$E166=0,$B166="X",$B166="",$B166=0),0,SUM(_xlfn._xlws.FILTER(FrmBB1[Cur],(FrmBB1[PrjId]=TEXT($B166,"@"))*(FrmBB1[Row]=$E166)*(FrmBB1[Column]=UPPER(_xlfn.LET(_xlpm.x,_xlfn.TEXTBEFORE(AO$114," ("),IFERROR(_xlpm.x,AO$114)))&amp;" "&amp;AO$115),0)))</f>
        <v>0</v>
      </c>
      <c r="AP166" s="157" cm="1">
        <f t="array" aca="1" ref="AP166" ca="1">IF(OR($E166="X",$E166="",$E166=0,$B166="X",$B166="",$B166=0),0,SUM(_xlfn._xlws.FILTER(FrmBB1[Cur],(FrmBB1[PrjId]=TEXT($B166,"@"))*(FrmBB1[Row]=$E166)*(FrmBB1[Column]=UPPER(_xlfn.LET(_xlpm.x,_xlfn.TEXTBEFORE(AO$114," ("),IFERROR(_xlpm.x,AO$114)))&amp;" "&amp;AP$115),0)))</f>
        <v>0</v>
      </c>
      <c r="AQ166" s="157" cm="1">
        <f t="array" aca="1" ref="AQ166" ca="1">SUM(IF(INDIRECT($AS$115)=AQ$115,INDIRECT($AS166)))</f>
        <v>7604.76</v>
      </c>
      <c r="AR166" s="157" cm="1">
        <f t="array" aca="1" ref="AR166" ca="1">SUM(IF(INDIRECT($AS$115)=AR$115,INDIRECT($AS166)))</f>
        <v>279380.33999999997</v>
      </c>
      <c r="AS166" s="286" t="str">
        <f t="shared" ca="1" si="15"/>
        <v>G166:AP166</v>
      </c>
      <c r="AT166" s="355">
        <f t="shared" ca="1" si="14"/>
        <v>286985.09999999998</v>
      </c>
      <c r="AV166" s="142" cm="1">
        <f t="array" aca="1" ref="AV166" ca="1">IF(AND(_xlfn.LET(_xlpm.x,SUM(ROW()),OR(AND(MATCH("SOT",$A:$A,0)&lt;_xlpm.x,MATCH("EOT",$A:$A,0)&gt;_xlpm.x),AND(MATCH("SOS",$A:$A,0)&lt;_xlpm.x,MATCH("EOS",$A:$A,0)&gt;_xlpm.x),AND(MATCH("SOR",$A:$A,0)&lt;_xlpm.x,MATCH("EOR",$A:$A,0)&gt;_xlpm.x))),INDIRECT("rc"&amp;MATCH("SCD",$1:$1,0),FALSE)="PPTO"),1,0)</f>
        <v>0</v>
      </c>
      <c r="AW166" s="142" cm="1">
        <f t="array" aca="1" ref="AW16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67" spans="2:49" outlineLevel="1">
      <c r="B167" s="156" t="str" cm="1">
        <f t="array" aca="1" ref="B167:E167" ca="1">_xlfn.LET(_xlpm.x,SUM(ROW()-MATCH("SOR",$A:$A,0)),_xlpm.y,IFERROR(_xlfn.TAKE(INDEX(_xlfn._xlws.FILTER(TbAssign[],ISNUMBER(FIND(TbAssign[Project],$C$4)),"X"),1+QUOTIENT(_xlpm.x,3),0),1,4),0),IF(MOD(_xlpm.x-1,3)=0,IF(_xlpm.y=0,"X",_xlpm.y),INDIRECT("r[-1]c#",FALSE)))</f>
        <v>31200</v>
      </c>
      <c r="C167" s="156" t="str">
        <f ca="1"/>
        <v>XA01</v>
      </c>
      <c r="D167" s="148" t="str">
        <f ca="1"/>
        <v>GSMT</v>
      </c>
      <c r="E167" s="352" t="str">
        <f ca="1"/>
        <v>GRANDES COMPRAS</v>
      </c>
      <c r="F167" s="148" t="s">
        <v>397</v>
      </c>
      <c r="G167" s="157" cm="1">
        <f t="array" aca="1" ref="G167" ca="1">IF(OR($E167="X",$E167="",$E167=0,$B167="X",$B167="",$B167=0),0,SUM(_xlfn._xlws.FILTER(IF($E$4="Ppto",PptoSty[CurPpto],PptoSty[CurInt]),(IF($E$4="Ppto",PptoSty[POvsCT]=G$113,TRUE))*(PptoSty[Project]=TEXT($B167,"@"))*(PptoSty[PptoVsRow]=$E167)*(PptoSty[PptoVsColumn]=UPPER(G$114)),0)))</f>
        <v>0</v>
      </c>
      <c r="H167" s="157" cm="1">
        <f t="array" aca="1" ref="H167" ca="1">IF(OR($E167="X",$E167="",$E167=0,$B167="X",$B167="",$B167=0),0,SUM(_xlfn._xlws.FILTER(IF($E$4="Ppto",PptoSty[CurPpto],PptoSty[CurExt]),(IF($E$4="Ppto",PptoSty[POvsCT]=H$113,TRUE))*(PptoSty[Project]=TEXT($B167,"@"))*(PptoSty[PptoVsRow]=$E167)*(PptoSty[PptoVsColumn]=UPPER(G$114)),0)))</f>
        <v>0</v>
      </c>
      <c r="I167" s="157" cm="1">
        <f t="array" aca="1" ref="I167" ca="1">IF(OR($E167="X",$E167="",$E167=0,$B167="X",$B167="",$B167=0),0,SUM(_xlfn._xlws.FILTER(IF($E$4="Ppto",PptoSty[CurPpto],PptoSty[CurInt]),(IF($E$4="Ppto",PptoSty[POvsCT]=I$113,TRUE))*(PptoSty[Project]=TEXT($B167,"@"))*(PptoSty[PptoVsRow]=$E167)*(PptoSty[PptoVsColumn]=UPPER(I$114)),0)))</f>
        <v>0</v>
      </c>
      <c r="J167" s="157" cm="1">
        <f t="array" aca="1" ref="J167" ca="1">IF(OR($E167="X",$E167="",$E167=0,$B167="X",$B167="",$B167=0),0,SUM(_xlfn._xlws.FILTER(IF($E$4="Ppto",PptoSty[CurPpto],PptoSty[CurExt]),(IF($E$4="Ppto",PptoSty[POvsCT]=J$113,TRUE))*(PptoSty[Project]=TEXT($B167,"@"))*(PptoSty[PptoVsRow]=$E167)*(PptoSty[PptoVsColumn]=UPPER(I$114)),0)))</f>
        <v>0</v>
      </c>
      <c r="K167" s="157" cm="1">
        <f t="array" aca="1" ref="K167" ca="1">IF(OR($E167="X",$E167="",$E167=0,$B167="X",$B167="",$B167=0),0,SUM(_xlfn._xlws.FILTER(IF($E$4="Ppto",PptoSty[CurPpto],PptoSty[CurInt]),(IF($E$4="Ppto",PptoSty[POvsCT]=K$113,TRUE))*(PptoSty[Project]=TEXT($B167,"@"))*(PptoSty[PptoVsRow]=$E167)*(PptoSty[PptoVsColumn]=UPPER(K$114)),0)))</f>
        <v>0</v>
      </c>
      <c r="L167" s="157" cm="1">
        <f t="array" aca="1" ref="L167" ca="1">IF(OR($E167="X",$E167="",$E167=0,$B167="X",$B167="",$B167=0),0,SUM(_xlfn._xlws.FILTER(IF($E$4="Ppto",PptoSty[CurPpto],PptoSty[CurExt]),(IF($E$4="Ppto",PptoSty[POvsCT]=L$113,TRUE))*(PptoSty[Project]=TEXT($B167,"@"))*(PptoSty[PptoVsRow]=$E167)*(PptoSty[PptoVsColumn]=UPPER(K$114)),0)))</f>
        <v>0</v>
      </c>
      <c r="M167" s="157" cm="1">
        <f t="array" aca="1" ref="M167" ca="1">IF(OR($E167="X",$E167="",$E167=0,$B167="X",$B167="",$B167=0),0,SUM(_xlfn._xlws.FILTER(IF($E$4="Ppto",PptoSty[CurPpto],PptoSty[CurInt]),(IF($E$4="Ppto",PptoSty[POvsCT]=M$113,TRUE))*(PptoSty[Project]=TEXT($B167,"@"))*(PptoSty[PptoVsRow]=$E167)*(PptoSty[PptoVsColumn]=UPPER(M$114)),0)))</f>
        <v>0</v>
      </c>
      <c r="N167" s="157" cm="1">
        <f t="array" aca="1" ref="N167" ca="1">IF(OR($E167="X",$E167="",$E167=0,$B167="X",$B167="",$B167=0),0,SUM(_xlfn._xlws.FILTER(IF($E$4="Ppto",PptoSty[CurPpto],PptoSty[CurExt]),(IF($E$4="Ppto",PptoSty[POvsCT]=N$113,TRUE))*(PptoSty[Project]=TEXT($B167,"@"))*(PptoSty[PptoVsRow]=$E167)*(PptoSty[PptoVsColumn]=UPPER(M$114)),0)))</f>
        <v>0</v>
      </c>
      <c r="O167" s="157" cm="1">
        <f t="array" aca="1" ref="O167" ca="1">IF(OR($E167="X",$E167="",$E167=0,$B167="X",$B167="",$B167=0),0,SUM(_xlfn._xlws.FILTER(IF($E$4="Ppto",PptoSty[CurPpto],PptoSty[CurInt]),(IF($E$4="Ppto",PptoSty[POvsCT]=O$113,TRUE))*(PptoSty[Project]=TEXT($B167,"@"))*(PptoSty[PptoVsRow]=$E167)*(PptoSty[PptoVsColumn]=UPPER(O$114)),0)))</f>
        <v>0</v>
      </c>
      <c r="P167" s="157" cm="1">
        <f t="array" aca="1" ref="P167" ca="1">IF(OR($E167="X",$E167="",$E167=0,$B167="X",$B167="",$B167=0),0,SUM(_xlfn._xlws.FILTER(IF($E$4="Ppto",PptoSty[CurPpto],PptoSty[CurExt]),(IF($E$4="Ppto",PptoSty[POvsCT]=P$113,TRUE))*(PptoSty[Project]=TEXT($B167,"@"))*(PptoSty[PptoVsRow]=$E167)*(PptoSty[PptoVsColumn]=UPPER(O$114)),0)))</f>
        <v>0</v>
      </c>
      <c r="Q167" s="157" cm="1">
        <f t="array" aca="1" ref="Q167" ca="1">IF(OR($E167="X",$E167="",$E167=0,$B167="X",$B167="",$B167=0),0,SUM(_xlfn._xlws.FILTER(IF($E$4="Ppto",PptoSty[CurPpto],PptoSty[CurInt]),(IF($E$4="Ppto",PptoSty[POvsCT]=Q$113,TRUE))*(PptoSty[Project]=TEXT($B167,"@"))*(PptoSty[PptoVsRow]=$E167)*(PptoSty[PptoVsColumn]=UPPER(Q$114)),0)))</f>
        <v>0</v>
      </c>
      <c r="R167" s="157" cm="1">
        <f t="array" aca="1" ref="R167" ca="1">IF(OR($E167="X",$E167="",$E167=0,$B167="X",$B167="",$B167=0),0,SUM(_xlfn._xlws.FILTER(IF($E$4="Ppto",PptoSty[CurPpto],PptoSty[CurExt]),(IF($E$4="Ppto",PptoSty[POvsCT]=R$113,TRUE))*(PptoSty[Project]=TEXT($B167,"@"))*(PptoSty[PptoVsRow]=$E167)*(PptoSty[PptoVsColumn]=UPPER(Q$114)),0)))</f>
        <v>0</v>
      </c>
      <c r="S167" s="157" cm="1">
        <f t="array" aca="1" ref="S167" ca="1">IF(OR($E167="X",$E167="",$E167=0,$B167="X",$B167="",$B167=0),0,SUM(_xlfn._xlws.FILTER(IF($E$4="Ppto",PptoSty[CurPpto],PptoSty[CurInt]),(IF($E$4="Ppto",PptoSty[POvsCT]=S$113,TRUE))*(PptoSty[Project]=TEXT($B167,"@"))*(PptoSty[PptoVsRow]=$E167)*(PptoSty[PptoVsColumn]=UPPER(S$114)),0)))</f>
        <v>0</v>
      </c>
      <c r="T167" s="157" cm="1">
        <f t="array" aca="1" ref="T167" ca="1">IF(OR($E167="X",$E167="",$E167=0,$B167="X",$B167="",$B167=0),0,SUM(_xlfn._xlws.FILTER(IF($E$4="Ppto",PptoSty[CurPpto],PptoSty[CurExt]),(IF($E$4="Ppto",PptoSty[POvsCT]=T$113,TRUE))*(PptoSty[Project]=TEXT($B167,"@"))*(PptoSty[PptoVsRow]=$E167)*(PptoSty[PptoVsColumn]=UPPER(S$114)),0)))</f>
        <v>0</v>
      </c>
      <c r="U167" s="157" cm="1">
        <f t="array" aca="1" ref="U167" ca="1">IF(OR($E167="X",$E167="",$E167=0,$B167="X",$B167="",$B167=0),0,SUM(_xlfn._xlws.FILTER(IF($E$4="Ppto",PptoSty[CurPpto],PptoSty[CurInt]),(IF($E$4="Ppto",PptoSty[POvsCT]=U$113,TRUE))*(PptoSty[Project]=TEXT($B167,"@"))*(PptoSty[PptoVsRow]=$E167)*(PptoSty[PptoVsColumn]=UPPER(U$114)),0)))</f>
        <v>0</v>
      </c>
      <c r="V167" s="157" cm="1">
        <f t="array" aca="1" ref="V167" ca="1">IF(OR($E167="X",$E167="",$E167=0,$B167="X",$B167="",$B167=0),0,SUM(_xlfn._xlws.FILTER(IF($E$4="Ppto",PptoSty[CurPpto],PptoSty[CurExt]),(IF($E$4="Ppto",PptoSty[POvsCT]=V$113,TRUE))*(PptoSty[Project]=TEXT($B167,"@"))*(PptoSty[PptoVsRow]=$E167)*(PptoSty[PptoVsColumn]=UPPER(U$114)),0)))</f>
        <v>0</v>
      </c>
      <c r="W167" s="157" cm="1">
        <f t="array" aca="1" ref="W167" ca="1">IF(OR($E167="X",$E167="",$E167=0,$B167="X",$B167="",$B167=0),0,SUM(_xlfn._xlws.FILTER(IF($E$4="Ppto",PptoSty[CurPpto],PptoSty[CurInt]),(IF($E$4="Ppto",PptoSty[POvsCT]=W$113,TRUE))*(PptoSty[Project]=TEXT($B167,"@"))*(PptoSty[PptoVsRow]=$E167)*(PptoSty[PptoVsColumn]=UPPER(W$114)),0)))</f>
        <v>0</v>
      </c>
      <c r="X167" s="157" cm="1">
        <f t="array" aca="1" ref="X167" ca="1">IF(OR($E167="X",$E167="",$E167=0,$B167="X",$B167="",$B167=0),0,SUM(_xlfn._xlws.FILTER(IF($E$4="Ppto",PptoSty[CurPpto],PptoSty[CurExt]),(IF($E$4="Ppto",PptoSty[POvsCT]=X$113,TRUE))*(PptoSty[Project]=TEXT($B167,"@"))*(PptoSty[PptoVsRow]=$E167)*(PptoSty[PptoVsColumn]=UPPER(W$114)),0)))</f>
        <v>0</v>
      </c>
      <c r="Y167" s="157" cm="1">
        <f t="array" aca="1" ref="Y167" ca="1">IF(OR($E167="X",$E167="",$E167=0,$B167="X",$B167="",$B167=0),0,SUM(_xlfn._xlws.FILTER(IF($E$4="Ppto",PptoSty[CurPpto],PptoSty[CurInt]),(IF($E$4="Ppto",PptoSty[POvsCT]=Y$113,TRUE))*(PptoSty[Project]=TEXT($B167,"@"))*(PptoSty[PptoVsRow]=$E167)*(PptoSty[PptoVsColumn]=UPPER(Y$114)),0)))</f>
        <v>0</v>
      </c>
      <c r="Z167" s="157" cm="1">
        <f t="array" aca="1" ref="Z167" ca="1">IF(OR($E167="X",$E167="",$E167=0,$B167="X",$B167="",$B167=0),0,SUM(_xlfn._xlws.FILTER(IF($E$4="Ppto",PptoSty[CurPpto],PptoSty[CurExt]),(IF($E$4="Ppto",PptoSty[POvsCT]=Z$113,TRUE))*(PptoSty[Project]=TEXT($B167,"@"))*(PptoSty[PptoVsRow]=$E167)*(PptoSty[PptoVsColumn]=UPPER(Y$114)),0)))</f>
        <v>0</v>
      </c>
      <c r="AA167" s="157" cm="1">
        <f t="array" aca="1" ref="AA167" ca="1">IF(OR($E167="X",$E167="",$E167=0,$B167="X",$B167="",$B167=0),0,SUM(_xlfn._xlws.FILTER(IF($E$4="Ppto",PptoSty[CurPpto],PptoSty[CurInt]),(IF($E$4="Ppto",PptoSty[POvsCT]=AA$113,TRUE))*(PptoSty[Project]=TEXT($B167,"@"))*(PptoSty[PptoVsRow]=$E167)*(PptoSty[PptoVsColumn]=UPPER(AA$114)),0)))</f>
        <v>0</v>
      </c>
      <c r="AB167" s="157" cm="1">
        <f t="array" aca="1" ref="AB167" ca="1">IF(OR($E167="X",$E167="",$E167=0,$B167="X",$B167="",$B167=0),0,SUM(_xlfn._xlws.FILTER(IF($E$4="Ppto",PptoSty[CurPpto],PptoSty[CurExt]),(IF($E$4="Ppto",PptoSty[POvsCT]=AB$113,TRUE))*(PptoSty[Project]=TEXT($B167,"@"))*(PptoSty[PptoVsRow]=$E167)*(PptoSty[PptoVsColumn]=UPPER(AA$114)),0)))</f>
        <v>0</v>
      </c>
      <c r="AC167" s="157" cm="1">
        <f t="array" aca="1" ref="AC167" ca="1">IF(OR($E167="X",$E167="",$E167=0,$B167="X",$B167="",$B167=0),0,SUM(_xlfn._xlws.FILTER(IF($E$4="Ppto",PptoSty[CurPpto],PptoSty[CurInt]),(IF($E$4="Ppto",PptoSty[POvsCT]=AC$113,TRUE))*(PptoSty[Project]=TEXT($B167,"@"))*(PptoSty[PptoVsRow]=$E167)*(PptoSty[PptoVsColumn]=UPPER(AC$114)),0)))</f>
        <v>0</v>
      </c>
      <c r="AD167" s="157" cm="1">
        <f t="array" aca="1" ref="AD167" ca="1">IF(OR($E167="X",$E167="",$E167=0,$B167="X",$B167="",$B167=0),0,SUM(_xlfn._xlws.FILTER(IF($E$4="Ppto",PptoSty[CurPpto],PptoSty[CurExt]),(IF($E$4="Ppto",PptoSty[POvsCT]=AD$113,TRUE))*(PptoSty[Project]=TEXT($B167,"@"))*(PptoSty[PptoVsRow]=$E167)*(PptoSty[PptoVsColumn]=UPPER(AC$114)),0)))</f>
        <v>0</v>
      </c>
      <c r="AE167" s="157" cm="1">
        <f t="array" aca="1" ref="AE167" ca="1">IF(OR($E167="X",$E167="",$E167=0,$B167="X",$B167="",$B167=0),0,SUM(_xlfn._xlws.FILTER(IF($E$4="Ppto",PptoSty[CurPpto],PptoSty[CurInt]),(IF($E$4="Ppto",PptoSty[POvsCT]=AE$113,TRUE))*(PptoSty[Project]=TEXT($B167,"@"))*(PptoSty[PptoVsRow]=$E167)*(PptoSty[PptoVsColumn]=UPPER(AE$114)),0)))</f>
        <v>0</v>
      </c>
      <c r="AF167" s="157" cm="1">
        <f t="array" aca="1" ref="AF167" ca="1">IF(OR($E167="X",$E167="",$E167=0,$B167="X",$B167="",$B167=0),0,SUM(_xlfn._xlws.FILTER(IF($E$4="Ppto",PptoSty[CurPpto],PptoSty[CurExt]),(IF($E$4="Ppto",PptoSty[POvsCT]=AF$113,TRUE))*(PptoSty[Project]=TEXT($B167,"@"))*(PptoSty[PptoVsRow]=$E167)*(PptoSty[PptoVsColumn]=UPPER(AE$114)),0)))</f>
        <v>0</v>
      </c>
      <c r="AG167" s="157" cm="1">
        <f t="array" aca="1" ref="AG167" ca="1">IF(OR($E167="X",$E167="",$E167=0,$B167="X",$B167="",$B167=0),0,SUM(_xlfn._xlws.FILTER(IF($E$4="Ppto",PptoSty[CurPpto],PptoSty[CurInt]),(IF($E$4="Ppto",PptoSty[POvsCT]=AG$113,TRUE))*(PptoSty[Project]=TEXT($B167,"@"))*(PptoSty[PptoVsRow]=$E167)*(PptoSty[PptoVsColumn]=UPPER(AG$114)),0)))</f>
        <v>0</v>
      </c>
      <c r="AH167" s="157" cm="1">
        <f t="array" aca="1" ref="AH167" ca="1">IF(OR($E167="X",$E167="",$E167=0,$B167="X",$B167="",$B167=0),0,SUM(_xlfn._xlws.FILTER(IF($E$4="Ppto",PptoSty[CurPpto],PptoSty[CurExt]),(IF($E$4="Ppto",PptoSty[POvsCT]=AH$113,TRUE))*(PptoSty[Project]=TEXT($B167,"@"))*(PptoSty[PptoVsRow]=$E167)*(PptoSty[PptoVsColumn]=UPPER(AG$114)),0)))</f>
        <v>0</v>
      </c>
      <c r="AI167" s="157" cm="1">
        <f t="array" aca="1" ref="AI167" ca="1">IF(OR($E167="X",$E167="",$E167=0,$B167="X",$B167="",$B167=0),0,SUM(_xlfn._xlws.FILTER(IF($E$4="Ppto",PptoSty[CurPpto],PptoSty[CurInt]),(IF($E$4="Ppto",PptoSty[POvsCT]=AI$113,TRUE))*(PptoSty[Project]=TEXT($B167,"@"))*(PptoSty[PptoVsRow]=$E167)*(PptoSty[PptoVsColumn]=UPPER(AI$114)),0)))</f>
        <v>0</v>
      </c>
      <c r="AJ167" s="157" cm="1">
        <f t="array" aca="1" ref="AJ167" ca="1">IF(OR($E167="X",$E167="",$E167=0,$B167="X",$B167="",$B167=0),0,SUM(_xlfn._xlws.FILTER(IF($E$4="Ppto",PptoSty[CurPpto],PptoSty[CurExt]),(IF($E$4="Ppto",PptoSty[POvsCT]=AJ$113,TRUE))*(PptoSty[Project]=TEXT($B167,"@"))*(PptoSty[PptoVsRow]=$E167)*(PptoSty[PptoVsColumn]=UPPER(AI$114)),0)))</f>
        <v>601239.14559999993</v>
      </c>
      <c r="AK167" s="157" cm="1">
        <f t="array" aca="1" ref="AK167" ca="1">IF(OR($E167="X",$E167="",$E167=0,$B167="X",$B167="",$B167=0),0,SUM(_xlfn._xlws.FILTER(IF($E$4="Ppto",PptoSty[CurPpto],PptoSty[CurInt]),(IF($E$4="Ppto",PptoSty[POvsCT]=AK$113,TRUE))*(PptoSty[Project]=TEXT($B167,"@"))*(PptoSty[PptoVsRow]=$E167)*(PptoSty[PptoVsColumn]=UPPER(AK$114)),0)))</f>
        <v>0</v>
      </c>
      <c r="AL167" s="157" cm="1">
        <f t="array" aca="1" ref="AL167" ca="1">IF(OR($E167="X",$E167="",$E167=0,$B167="X",$B167="",$B167=0),0,SUM(_xlfn._xlws.FILTER(IF($E$4="Ppto",PptoSty[CurPpto],PptoSty[CurExt]),(IF($E$4="Ppto",PptoSty[POvsCT]=AL$113,TRUE))*(PptoSty[Project]=TEXT($B167,"@"))*(PptoSty[PptoVsRow]=$E167)*(PptoSty[PptoVsColumn]=UPPER(AK$114)),0)))</f>
        <v>0</v>
      </c>
      <c r="AM167" s="157" cm="1">
        <f t="array" aca="1" ref="AM167" ca="1">IF(OR($E167="X",$E167="",$E167=0,$B167="X",$B167="",$B167=0),0,SUM(_xlfn._xlws.FILTER(IF($E$4="Ppto",PptoSty[CurPpto],PptoSty[CurInt]),(IF($E$4="Ppto",PptoSty[POvsCT]=AM$113,TRUE))*(PptoSty[Project]=TEXT($B167,"@"))*(PptoSty[PptoVsRow]=$E167)*(PptoSty[PptoVsColumn]=UPPER(AM$114)),0)))</f>
        <v>0</v>
      </c>
      <c r="AN167" s="157" cm="1">
        <f t="array" aca="1" ref="AN167" ca="1">IF(OR($E167="X",$E167="",$E167=0,$B167="X",$B167="",$B167=0),0,SUM(_xlfn._xlws.FILTER(IF($E$4="Ppto",PptoSty[CurPpto],PptoSty[CurExt]),(IF($E$4="Ppto",PptoSty[POvsCT]=AN$113,TRUE))*(PptoSty[Project]=TEXT($B167,"@"))*(PptoSty[PptoVsRow]=$E167)*(PptoSty[PptoVsColumn]=UPPER(AM$114)),0)))</f>
        <v>0</v>
      </c>
      <c r="AO167" s="157" cm="1">
        <f t="array" aca="1" ref="AO167" ca="1">IF(OR($E167="X",$E167="",$E167=0,$B167="X",$B167="",$B167=0),0,SUM(_xlfn._xlws.FILTER(IF($E$4="Ppto",PptoSty[CurPpto],PptoSty[CurInt]),(IF($E$4="Ppto",PptoSty[POvsCT]=AO$113,TRUE))*(PptoSty[Project]=TEXT($B167,"@"))*(PptoSty[PptoVsRow]=$E167)*(PptoSty[PptoVsColumn]=UPPER(AO$114)),0)))</f>
        <v>0</v>
      </c>
      <c r="AP167" s="157" cm="1">
        <f t="array" aca="1" ref="AP167" ca="1">IF(OR($E167="X",$E167="",$E167=0,$B167="X",$B167="",$B167=0),0,SUM(_xlfn._xlws.FILTER(IF($E$4="Ppto",PptoSty[CurPpto],PptoSty[CurExt]),(IF($E$4="Ppto",PptoSty[POvsCT]=AP$113,TRUE))*(PptoSty[Project]=TEXT($B167,"@"))*(PptoSty[PptoVsRow]=$E167)*(PptoSty[PptoVsColumn]=UPPER(AO$114)),0)))</f>
        <v>0</v>
      </c>
      <c r="AQ167" s="157" cm="1">
        <f t="array" aca="1" ref="AQ167" ca="1">SUM(IF(INDIRECT($AS$115)=AQ$115,INDIRECT($AS167)))</f>
        <v>0</v>
      </c>
      <c r="AR167" s="157" cm="1">
        <f t="array" aca="1" ref="AR167" ca="1">SUM(IF(INDIRECT($AS$115)=AR$115,INDIRECT($AS167)))</f>
        <v>601239.14559999993</v>
      </c>
      <c r="AS167" s="286" t="str">
        <f t="shared" ca="1" si="15"/>
        <v>G167:AP167</v>
      </c>
      <c r="AT167" s="403">
        <f t="shared" ca="1" si="14"/>
        <v>601239.14559999993</v>
      </c>
      <c r="AV167" s="142" cm="1">
        <f t="array" aca="1" ref="AV167" ca="1">IF(AND(_xlfn.LET(_xlpm.x,SUM(ROW()),OR(AND(MATCH("SOT",$A:$A,0)&lt;_xlpm.x,MATCH("EOT",$A:$A,0)&gt;_xlpm.x),AND(MATCH("SOS",$A:$A,0)&lt;_xlpm.x,MATCH("EOS",$A:$A,0)&gt;_xlpm.x),AND(MATCH("SOR",$A:$A,0)&lt;_xlpm.x,MATCH("EOR",$A:$A,0)&gt;_xlpm.x))),INDIRECT("rc"&amp;MATCH("SCD",$1:$1,0),FALSE)="PPTO"),1,0)</f>
        <v>1</v>
      </c>
      <c r="AW167" s="142" cm="1">
        <f t="array" aca="1" ref="AW16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68" spans="2:49" outlineLevel="1">
      <c r="B168" s="156" t="str" cm="1">
        <f t="array" aca="1" ref="B168:E168" ca="1">_xlfn.LET(_xlpm.x,SUM(ROW()-MATCH("SOR",$A:$A,0)),_xlpm.y,IFERROR(_xlfn.TAKE(INDEX(_xlfn._xlws.FILTER(TbAssign[],ISNUMBER(FIND(TbAssign[Project],$C$4)),"X"),1+QUOTIENT(_xlpm.x,3),0),1,4),0),IF(MOD(_xlpm.x-1,3)=0,IF(_xlpm.y=0,"X",_xlpm.y),INDIRECT("r[-1]c#",FALSE)))</f>
        <v>31200</v>
      </c>
      <c r="C168" s="156" t="str">
        <f ca="1"/>
        <v>XA01</v>
      </c>
      <c r="D168" s="148" t="str">
        <f ca="1"/>
        <v>GSMT</v>
      </c>
      <c r="E168" s="352" t="str">
        <f ca="1"/>
        <v>GRANDES COMPRAS</v>
      </c>
      <c r="F168" s="148" t="s">
        <v>1382</v>
      </c>
      <c r="G168" s="157" cm="1">
        <f t="array" aca="1" ref="G168" ca="1">IF(OR($E168="X",$E168="",$E168=0,$B168="X",$B168="",$B168=0),0,SUM(_xlfn._xlws.FILTER(PrvSty[DsvValue:SERRA],(PrvSty[Project]=TEXT($B168,"@"))*(PrvSty[Row]=$E168)*(PrvSty[Column]=UPPER(G$114)),0)))</f>
        <v>0</v>
      </c>
      <c r="H168" s="157" cm="1">
        <f t="array" aca="1" ref="H168" ca="1">IF(OR($E168="X",$E168="",$E168=0,$B168="X",$B168="",$B168=0),0,SUM(_xlfn._xlws.FILTER(PrvSty[DsvValue:EXT.],(PrvSty[Project]=TEXT($B168,"@"))*(PrvSty[Row]=$E168)*(PrvSty[Column]=UPPER(G$114)),0)))</f>
        <v>0</v>
      </c>
      <c r="I168" s="157" cm="1">
        <f t="array" aca="1" ref="I168" ca="1">IF(OR($E168="X",$E168="",$E168=0,$B168="X",$B168="",$B168=0),0,SUM(_xlfn._xlws.FILTER(PrvSty[DsvValue:SERRA],(PrvSty[Project]=TEXT($B168,"@"))*(PrvSty[Row]=$E168)*(PrvSty[Column]=UPPER(I$114)),0)))</f>
        <v>0</v>
      </c>
      <c r="J168" s="157" cm="1">
        <f t="array" aca="1" ref="J168" ca="1">IF(OR($E168="X",$E168="",$E168=0,$B168="X",$B168="",$B168=0),0,SUM(_xlfn._xlws.FILTER(PrvSty[DsvValue:EXT.],(PrvSty[Project]=TEXT($B168,"@"))*(PrvSty[Row]=$E168)*(PrvSty[Column]=UPPER(I$114)),0)))</f>
        <v>0</v>
      </c>
      <c r="K168" s="157" cm="1">
        <f t="array" aca="1" ref="K168" ca="1">IF(OR($E168="X",$E168="",$E168=0,$B168="X",$B168="",$B168=0),0,SUM(_xlfn._xlws.FILTER(PrvSty[DsvValue:SERRA],(PrvSty[Project]=TEXT($B168,"@"))*(PrvSty[Row]=$E168)*(PrvSty[Column]=UPPER(K$114)),0)))</f>
        <v>0</v>
      </c>
      <c r="L168" s="157" cm="1">
        <f t="array" aca="1" ref="L168" ca="1">IF(OR($E168="X",$E168="",$E168=0,$B168="X",$B168="",$B168=0),0,SUM(_xlfn._xlws.FILTER(PrvSty[DsvValue:EXT.],(PrvSty[Project]=TEXT($B168,"@"))*(PrvSty[Row]=$E168)*(PrvSty[Column]=UPPER(K$114)),0)))</f>
        <v>0</v>
      </c>
      <c r="M168" s="157" cm="1">
        <f t="array" aca="1" ref="M168" ca="1">IF(OR($E168="X",$E168="",$E168=0,$B168="X",$B168="",$B168=0),0,SUM(_xlfn._xlws.FILTER(PrvSty[DsvValue:SERRA],(PrvSty[Project]=TEXT($B168,"@"))*(PrvSty[Row]=$E168)*(PrvSty[Column]=UPPER(M$114)),0)))</f>
        <v>0</v>
      </c>
      <c r="N168" s="157" cm="1">
        <f t="array" aca="1" ref="N168" ca="1">IF(OR($E168="X",$E168="",$E168=0,$B168="X",$B168="",$B168=0),0,SUM(_xlfn._xlws.FILTER(PrvSty[DsvValue:EXT.],(PrvSty[Project]=TEXT($B168,"@"))*(PrvSty[Row]=$E168)*(PrvSty[Column]=UPPER(M$114)),0)))</f>
        <v>0</v>
      </c>
      <c r="O168" s="157" cm="1">
        <f t="array" aca="1" ref="O168" ca="1">IF(OR($E168="X",$E168="",$E168=0,$B168="X",$B168="",$B168=0),0,SUM(_xlfn._xlws.FILTER(PrvSty[DsvValue:SERRA],(PrvSty[Project]=TEXT($B168,"@"))*(PrvSty[Row]=$E168)*(PrvSty[Column]=UPPER(O$114)),0)))</f>
        <v>0</v>
      </c>
      <c r="P168" s="157" cm="1">
        <f t="array" aca="1" ref="P168" ca="1">IF(OR($E168="X",$E168="",$E168=0,$B168="X",$B168="",$B168=0),0,SUM(_xlfn._xlws.FILTER(PrvSty[DsvValue:EXT.],(PrvSty[Project]=TEXT($B168,"@"))*(PrvSty[Row]=$E168)*(PrvSty[Column]=UPPER(O$114)),0)))</f>
        <v>0</v>
      </c>
      <c r="Q168" s="157" cm="1">
        <f t="array" aca="1" ref="Q168" ca="1">IF(OR($E168="X",$E168="",$E168=0,$B168="X",$B168="",$B168=0),0,SUM(_xlfn._xlws.FILTER(PrvSty[DsvValue:SERRA],(PrvSty[Project]=TEXT($B168,"@"))*(PrvSty[Row]=$E168)*(PrvSty[Column]=UPPER(Q$114)),0)))</f>
        <v>0</v>
      </c>
      <c r="R168" s="157" cm="1">
        <f t="array" aca="1" ref="R168" ca="1">IF(OR($E168="X",$E168="",$E168=0,$B168="X",$B168="",$B168=0),0,SUM(_xlfn._xlws.FILTER(PrvSty[DsvValue:EXT.],(PrvSty[Project]=TEXT($B168,"@"))*(PrvSty[Row]=$E168)*(PrvSty[Column]=UPPER(Q$114)),0)))</f>
        <v>0</v>
      </c>
      <c r="S168" s="157" cm="1">
        <f t="array" aca="1" ref="S168" ca="1">IF(OR($E168="X",$E168="",$E168=0,$B168="X",$B168="",$B168=0),0,SUM(_xlfn._xlws.FILTER(PrvSty[DsvValue:SERRA],(PrvSty[Project]=TEXT($B168,"@"))*(PrvSty[Row]=$E168)*(PrvSty[Column]=UPPER(S$114)),0)))</f>
        <v>0</v>
      </c>
      <c r="T168" s="157" cm="1">
        <f t="array" aca="1" ref="T168" ca="1">IF(OR($E168="X",$E168="",$E168=0,$B168="X",$B168="",$B168=0),0,SUM(_xlfn._xlws.FILTER(PrvSty[DsvValue:EXT.],(PrvSty[Project]=TEXT($B168,"@"))*(PrvSty[Row]=$E168)*(PrvSty[Column]=UPPER(S$114)),0)))</f>
        <v>0</v>
      </c>
      <c r="U168" s="157" cm="1">
        <f t="array" aca="1" ref="U168" ca="1">IF(OR($E168="X",$E168="",$E168=0,$B168="X",$B168="",$B168=0),0,SUM(_xlfn._xlws.FILTER(PrvSty[DsvValue:SERRA],(PrvSty[Project]=TEXT($B168,"@"))*(PrvSty[Row]=$E168)*(PrvSty[Column]=UPPER(U$114)),0)))</f>
        <v>0</v>
      </c>
      <c r="V168" s="157" cm="1">
        <f t="array" aca="1" ref="V168" ca="1">IF(OR($E168="X",$E168="",$E168=0,$B168="X",$B168="",$B168=0),0,SUM(_xlfn._xlws.FILTER(PrvSty[DsvValue:EXT.],(PrvSty[Project]=TEXT($B168,"@"))*(PrvSty[Row]=$E168)*(PrvSty[Column]=UPPER(U$114)),0)))</f>
        <v>0</v>
      </c>
      <c r="W168" s="157" cm="1">
        <f t="array" aca="1" ref="W168" ca="1">IF(OR($E168="X",$E168="",$E168=0,$B168="X",$B168="",$B168=0),0,SUM(_xlfn._xlws.FILTER(PrvSty[DsvValue:SERRA],(PrvSty[Project]=TEXT($B168,"@"))*(PrvSty[Row]=$E168)*(PrvSty[Column]=UPPER(W$114)),0)))</f>
        <v>0</v>
      </c>
      <c r="X168" s="157" cm="1">
        <f t="array" aca="1" ref="X168" ca="1">IF(OR($E168="X",$E168="",$E168=0,$B168="X",$B168="",$B168=0),0,SUM(_xlfn._xlws.FILTER(PrvSty[DsvValue:EXT.],(PrvSty[Project]=TEXT($B168,"@"))*(PrvSty[Row]=$E168)*(PrvSty[Column]=UPPER(W$114)),0)))</f>
        <v>0</v>
      </c>
      <c r="Y168" s="157" cm="1">
        <f t="array" aca="1" ref="Y168" ca="1">IF(OR($E168="X",$E168="",$E168=0,$B168="X",$B168="",$B168=0),0,SUM(_xlfn._xlws.FILTER(PrvSty[DsvValue:SERRA],(PrvSty[Project]=TEXT($B168,"@"))*(PrvSty[Row]=$E168)*(PrvSty[Column]=UPPER(Y$114)),0)))</f>
        <v>0</v>
      </c>
      <c r="Z168" s="157" cm="1">
        <f t="array" aca="1" ref="Z168" ca="1">IF(OR($E168="X",$E168="",$E168=0,$B168="X",$B168="",$B168=0),0,SUM(_xlfn._xlws.FILTER(PrvSty[DsvValue:EXT.],(PrvSty[Project]=TEXT($B168,"@"))*(PrvSty[Row]=$E168)*(PrvSty[Column]=UPPER(Y$114)),0)))</f>
        <v>0</v>
      </c>
      <c r="AA168" s="157" cm="1">
        <f t="array" aca="1" ref="AA168" ca="1">IF(OR($E168="X",$E168="",$E168=0,$B168="X",$B168="",$B168=0),0,SUM(_xlfn._xlws.FILTER(PrvSty[DsvValue:SERRA],(PrvSty[Project]=TEXT($B168,"@"))*(PrvSty[Row]=$E168)*(PrvSty[Column]=UPPER(AA$114)),0)))</f>
        <v>0</v>
      </c>
      <c r="AB168" s="157" cm="1">
        <f t="array" aca="1" ref="AB168" ca="1">IF(OR($E168="X",$E168="",$E168=0,$B168="X",$B168="",$B168=0),0,SUM(_xlfn._xlws.FILTER(PrvSty[DsvValue:EXT.],(PrvSty[Project]=TEXT($B168,"@"))*(PrvSty[Row]=$E168)*(PrvSty[Column]=UPPER(AA$114)),0)))</f>
        <v>0</v>
      </c>
      <c r="AC168" s="157" cm="1">
        <f t="array" aca="1" ref="AC168" ca="1">IF(OR($E168="X",$E168="",$E168=0,$B168="X",$B168="",$B168=0),0,SUM(_xlfn._xlws.FILTER(PrvSty[DsvValue:SERRA],(PrvSty[Project]=TEXT($B168,"@"))*(PrvSty[Row]=$E168)*(PrvSty[Column]=UPPER(AC$114)),0)))</f>
        <v>0</v>
      </c>
      <c r="AD168" s="157" cm="1">
        <f t="array" aca="1" ref="AD168" ca="1">IF(OR($E168="X",$E168="",$E168=0,$B168="X",$B168="",$B168=0),0,SUM(_xlfn._xlws.FILTER(PrvSty[DsvValue:EXT.],(PrvSty[Project]=TEXT($B168,"@"))*(PrvSty[Row]=$E168)*(PrvSty[Column]=UPPER(AC$114)),0)))</f>
        <v>0</v>
      </c>
      <c r="AE168" s="157" cm="1">
        <f t="array" aca="1" ref="AE168" ca="1">IF(OR($E168="X",$E168="",$E168=0,$B168="X",$B168="",$B168=0),0,SUM(_xlfn._xlws.FILTER(PrvSty[DsvValue:SERRA],(PrvSty[Project]=TEXT($B168,"@"))*(PrvSty[Row]=$E168)*(PrvSty[Column]=UPPER(AE$114)),0)))</f>
        <v>0</v>
      </c>
      <c r="AF168" s="157" cm="1">
        <f t="array" aca="1" ref="AF168" ca="1">IF(OR($E168="X",$E168="",$E168=0,$B168="X",$B168="",$B168=0),0,SUM(_xlfn._xlws.FILTER(PrvSty[DsvValue:EXT.],(PrvSty[Project]=TEXT($B168,"@"))*(PrvSty[Row]=$E168)*(PrvSty[Column]=UPPER(AE$114)),0)))</f>
        <v>0</v>
      </c>
      <c r="AG168" s="157" cm="1">
        <f t="array" aca="1" ref="AG168" ca="1">IF(OR($E168="X",$E168="",$E168=0,$B168="X",$B168="",$B168=0),0,SUM(_xlfn._xlws.FILTER(PrvSty[DsvValue:SERRA],(PrvSty[Project]=TEXT($B168,"@"))*(PrvSty[Row]=$E168)*(PrvSty[Column]=UPPER(AG$114)),0)))</f>
        <v>0</v>
      </c>
      <c r="AH168" s="157" cm="1">
        <f t="array" aca="1" ref="AH168" ca="1">IF(OR($E168="X",$E168="",$E168=0,$B168="X",$B168="",$B168=0),0,SUM(_xlfn._xlws.FILTER(PrvSty[DsvValue:EXT.],(PrvSty[Project]=TEXT($B168,"@"))*(PrvSty[Row]=$E168)*(PrvSty[Column]=UPPER(AG$114)),0)))</f>
        <v>0</v>
      </c>
      <c r="AI168" s="157" cm="1">
        <f t="array" aca="1" ref="AI168" ca="1">IF(OR($E168="X",$E168="",$E168=0,$B168="X",$B168="",$B168=0),0,SUM(_xlfn._xlws.FILTER(PrvSty[DsvValue:SERRA],(PrvSty[Project]=TEXT($B168,"@"))*(PrvSty[Row]=$E168)*(PrvSty[Column]=UPPER(AI$114)),0)))</f>
        <v>0</v>
      </c>
      <c r="AJ168" s="157" cm="1">
        <f t="array" aca="1" ref="AJ168" ca="1">IF(OR($E168="X",$E168="",$E168=0,$B168="X",$B168="",$B168=0),0,SUM(_xlfn._xlws.FILTER(PrvSty[DsvValue:EXT.],(PrvSty[Project]=TEXT($B168,"@"))*(PrvSty[Row]=$E168)*(PrvSty[Column]=UPPER(AI$114)),0)))</f>
        <v>-100000</v>
      </c>
      <c r="AK168" s="157" cm="1">
        <f t="array" aca="1" ref="AK168" ca="1">IF(OR($E168="X",$E168="",$E168=0,$B168="X",$B168="",$B168=0),0,SUM(_xlfn._xlws.FILTER(PrvSty[DsvValue:SERRA],(PrvSty[Project]=TEXT($B168,"@"))*(PrvSty[Row]=$E168)*(PrvSty[Column]=UPPER(AK$114)),0)))</f>
        <v>0</v>
      </c>
      <c r="AL168" s="157" cm="1">
        <f t="array" aca="1" ref="AL168" ca="1">IF(OR($E168="X",$E168="",$E168=0,$B168="X",$B168="",$B168=0),0,SUM(_xlfn._xlws.FILTER(PrvSty[DsvValue:EXT.],(PrvSty[Project]=TEXT($B168,"@"))*(PrvSty[Row]=$E168)*(PrvSty[Column]=UPPER(AK$114)),0)))</f>
        <v>0</v>
      </c>
      <c r="AM168" s="157" cm="1">
        <f t="array" aca="1" ref="AM168" ca="1">IF(OR($E168="X",$E168="",$E168=0,$B168="X",$B168="",$B168=0),0,SUM(_xlfn._xlws.FILTER(PrvSty[DsvValue:SERRA],(PrvSty[Project]=TEXT($B168,"@"))*(PrvSty[Row]=$E168)*(PrvSty[Column]=UPPER(AM$114)),0)))</f>
        <v>0</v>
      </c>
      <c r="AN168" s="157" cm="1">
        <f t="array" aca="1" ref="AN168" ca="1">IF(OR($E168="X",$E168="",$E168=0,$B168="X",$B168="",$B168=0),0,SUM(_xlfn._xlws.FILTER(PrvSty[DsvValue:EXT.],(PrvSty[Project]=TEXT($B168,"@"))*(PrvSty[Row]=$E168)*(PrvSty[Column]=UPPER(AM$114)),0)))</f>
        <v>0</v>
      </c>
      <c r="AO168" s="157" cm="1">
        <f t="array" aca="1" ref="AO168" ca="1">IF(OR($E168="X",$E168="",$E168=0,$B168="X",$B168="",$B168=0),0,SUM(_xlfn._xlws.FILTER(PrvSty[DsvValue:SERRA],(PrvSty[Project]=TEXT($B168,"@"))*(PrvSty[Row]=$E168)*(PrvSty[Column]=UPPER(AO$114)),0)))</f>
        <v>0</v>
      </c>
      <c r="AP168" s="157" cm="1">
        <f t="array" aca="1" ref="AP168" ca="1">IF(OR($E168="X",$E168="",$E168=0,$B168="X",$B168="",$B168=0),0,SUM(_xlfn._xlws.FILTER(PrvSty[DsvValue:EXT.],(PrvSty[Project]=TEXT($B168,"@"))*(PrvSty[Row]=$E168)*(PrvSty[Column]=UPPER(AO$114)),0)))</f>
        <v>0</v>
      </c>
      <c r="AQ168" s="157" cm="1">
        <f t="array" aca="1" ref="AQ168" ca="1">SUM(IF(INDIRECT($AS$115)=AQ$115,INDIRECT($AS168)))</f>
        <v>0</v>
      </c>
      <c r="AR168" s="157" cm="1">
        <f t="array" aca="1" ref="AR168" ca="1">SUM(IF(INDIRECT($AS$115)=AR$115,INDIRECT($AS168)))</f>
        <v>-100000</v>
      </c>
      <c r="AS168" s="286" t="str">
        <f t="shared" ca="1" si="15"/>
        <v>G168:AP168</v>
      </c>
      <c r="AT168" s="403">
        <f t="shared" ca="1" si="14"/>
        <v>-100000</v>
      </c>
      <c r="AV168" s="142" cm="1">
        <f t="array" aca="1" ref="AV168" ca="1">IF(AND(_xlfn.LET(_xlpm.x,SUM(ROW()),OR(AND(MATCH("SOT",$A:$A,0)&lt;_xlpm.x,MATCH("EOT",$A:$A,0)&gt;_xlpm.x),AND(MATCH("SOS",$A:$A,0)&lt;_xlpm.x,MATCH("EOS",$A:$A,0)&gt;_xlpm.x),AND(MATCH("SOR",$A:$A,0)&lt;_xlpm.x,MATCH("EOR",$A:$A,0)&gt;_xlpm.x))),INDIRECT("rc"&amp;MATCH("SCD",$1:$1,0),FALSE)="PPTO"),1,0)</f>
        <v>0</v>
      </c>
      <c r="AW168" s="142" cm="1">
        <f t="array" aca="1" ref="AW16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69" spans="2:49" outlineLevel="1">
      <c r="B169" s="156" t="str" cm="1">
        <f t="array" aca="1" ref="B169:E169" ca="1">_xlfn.LET(_xlpm.x,SUM(ROW()-MATCH("SOR",$A:$A,0)),_xlpm.y,IFERROR(_xlfn.TAKE(INDEX(_xlfn._xlws.FILTER(TbAssign[],ISNUMBER(FIND(TbAssign[Project],$C$4)),"X"),1+QUOTIENT(_xlpm.x,3),0),1,4),0),IF(MOD(_xlpm.x-1,3)=0,IF(_xlpm.y=0,"X",_xlpm.y),INDIRECT("r[-1]c#",FALSE)))</f>
        <v>31200</v>
      </c>
      <c r="C169" s="156" t="str">
        <f ca="1"/>
        <v>XA01</v>
      </c>
      <c r="D169" s="148" t="str">
        <f ca="1"/>
        <v>GSMT</v>
      </c>
      <c r="E169" s="352" t="str">
        <f ca="1"/>
        <v>GRANDES COMPRAS</v>
      </c>
      <c r="F169" s="148" t="s">
        <v>1383</v>
      </c>
      <c r="G169" s="158" cm="1">
        <f t="array" aca="1" ref="G169" ca="1">IF(OR($E169="X",$E169="",$E169=0,$B169="X",$B169="",$B169=0),0,SUM(_xlfn._xlws.FILTER(FrmBB1[Cur],(FrmBB1[PrjId]=TEXT($B169,"@"))*(FrmBB1[Row]=$E169)*(FrmBB1[Column]=UPPER(_xlfn.LET(_xlpm.x,_xlfn.TEXTBEFORE(G$114," ("),IFERROR(_xlpm.x,G$114)))&amp;" "&amp;G$115),0)))</f>
        <v>0</v>
      </c>
      <c r="H169" s="157" cm="1">
        <f t="array" aca="1" ref="H169" ca="1">IF(OR($E169="X",$E169="",$E169=0,$B169="X",$B169="",$B169=0),0,SUM(_xlfn._xlws.FILTER(FrmBB1[Cur],(FrmBB1[PrjId]=TEXT($B169,"@"))*(FrmBB1[Row]=$E169)*(FrmBB1[Column]=UPPER(_xlfn.LET(_xlpm.x,_xlfn.TEXTBEFORE(G$114," ("),IFERROR(_xlpm.x,G$114)))&amp;" "&amp;H$115),0)))</f>
        <v>0</v>
      </c>
      <c r="I169" s="158" cm="1">
        <f t="array" aca="1" ref="I169" ca="1">IF(OR($E169="X",$E169="",$E169=0,$B169="X",$B169="",$B169=0),0,SUM(_xlfn._xlws.FILTER(FrmBB1[Cur],(FrmBB1[PrjId]=TEXT($B169,"@"))*(FrmBB1[Row]=$E169)*(FrmBB1[Column]=UPPER(_xlfn.LET(_xlpm.x,_xlfn.TEXTBEFORE(I$114," ("),IFERROR(_xlpm.x,I$114)))&amp;" "&amp;I$115),0)))</f>
        <v>0</v>
      </c>
      <c r="J169" s="157" cm="1">
        <f t="array" aca="1" ref="J169" ca="1">IF(OR($E169="X",$E169="",$E169=0,$B169="X",$B169="",$B169=0),0,SUM(_xlfn._xlws.FILTER(FrmBB1[Cur],(FrmBB1[PrjId]=TEXT($B169,"@"))*(FrmBB1[Row]=$E169)*(FrmBB1[Column]=UPPER(_xlfn.LET(_xlpm.x,_xlfn.TEXTBEFORE(I$114," ("),IFERROR(_xlpm.x,I$114)))&amp;" "&amp;J$115),0)))</f>
        <v>0</v>
      </c>
      <c r="K169" s="158" cm="1">
        <f t="array" aca="1" ref="K169" ca="1">IF(OR($E169="X",$E169="",$E169=0,$B169="X",$B169="",$B169=0),0,SUM(_xlfn._xlws.FILTER(FrmBB1[Cur],(FrmBB1[PrjId]=TEXT($B169,"@"))*(FrmBB1[Row]=$E169)*(FrmBB1[Column]=UPPER(_xlfn.LET(_xlpm.x,_xlfn.TEXTBEFORE(K$114," ("),IFERROR(_xlpm.x,K$114)))&amp;" "&amp;K$115),0)))</f>
        <v>0</v>
      </c>
      <c r="L169" s="157" cm="1">
        <f t="array" aca="1" ref="L169" ca="1">IF(OR($E169="X",$E169="",$E169=0,$B169="X",$B169="",$B169=0),0,SUM(_xlfn._xlws.FILTER(FrmBB1[Cur],(FrmBB1[PrjId]=TEXT($B169,"@"))*(FrmBB1[Row]=$E169)*(FrmBB1[Column]=UPPER(_xlfn.LET(_xlpm.x,_xlfn.TEXTBEFORE(K$114," ("),IFERROR(_xlpm.x,K$114)))&amp;" "&amp;L$115),0)))</f>
        <v>0</v>
      </c>
      <c r="M169" s="158" cm="1">
        <f t="array" aca="1" ref="M169" ca="1">IF(OR($E169="X",$E169="",$E169=0,$B169="X",$B169="",$B169=0),0,SUM(_xlfn._xlws.FILTER(FrmBB1[Cur],(FrmBB1[PrjId]=TEXT($B169,"@"))*(FrmBB1[Row]=$E169)*(FrmBB1[Column]=UPPER(_xlfn.LET(_xlpm.x,_xlfn.TEXTBEFORE(M$114," ("),IFERROR(_xlpm.x,M$114)))&amp;" "&amp;M$115),0)))</f>
        <v>0</v>
      </c>
      <c r="N169" s="157" cm="1">
        <f t="array" aca="1" ref="N169" ca="1">IF(OR($E169="X",$E169="",$E169=0,$B169="X",$B169="",$B169=0),0,SUM(_xlfn._xlws.FILTER(FrmBB1[Cur],(FrmBB1[PrjId]=TEXT($B169,"@"))*(FrmBB1[Row]=$E169)*(FrmBB1[Column]=UPPER(_xlfn.LET(_xlpm.x,_xlfn.TEXTBEFORE(M$114," ("),IFERROR(_xlpm.x,M$114)))&amp;" "&amp;N$115),0)))</f>
        <v>0</v>
      </c>
      <c r="O169" s="158" cm="1">
        <f t="array" aca="1" ref="O169" ca="1">IF(OR($E169="X",$E169="",$E169=0,$B169="X",$B169="",$B169=0),0,SUM(_xlfn._xlws.FILTER(FrmBB1[Cur],(FrmBB1[PrjId]=TEXT($B169,"@"))*(FrmBB1[Row]=$E169)*(FrmBB1[Column]=UPPER(_xlfn.LET(_xlpm.x,_xlfn.TEXTBEFORE(O$114," ("),IFERROR(_xlpm.x,O$114)))&amp;" "&amp;O$115),0)))</f>
        <v>0</v>
      </c>
      <c r="P169" s="157" cm="1">
        <f t="array" aca="1" ref="P169" ca="1">IF(OR($E169="X",$E169="",$E169=0,$B169="X",$B169="",$B169=0),0,SUM(_xlfn._xlws.FILTER(FrmBB1[Cur],(FrmBB1[PrjId]=TEXT($B169,"@"))*(FrmBB1[Row]=$E169)*(FrmBB1[Column]=UPPER(_xlfn.LET(_xlpm.x,_xlfn.TEXTBEFORE(O$114," ("),IFERROR(_xlpm.x,O$114)))&amp;" "&amp;P$115),0)))</f>
        <v>0</v>
      </c>
      <c r="Q169" s="158" cm="1">
        <f t="array" aca="1" ref="Q169" ca="1">IF(OR($E169="X",$E169="",$E169=0,$B169="X",$B169="",$B169=0),0,SUM(_xlfn._xlws.FILTER(FrmBB1[Cur],(FrmBB1[PrjId]=TEXT($B169,"@"))*(FrmBB1[Row]=$E169)*(FrmBB1[Column]=UPPER(_xlfn.LET(_xlpm.x,_xlfn.TEXTBEFORE(Q$114," ("),IFERROR(_xlpm.x,Q$114)))&amp;" "&amp;Q$115),0)))</f>
        <v>0</v>
      </c>
      <c r="R169" s="157" cm="1">
        <f t="array" aca="1" ref="R169" ca="1">IF(OR($E169="X",$E169="",$E169=0,$B169="X",$B169="",$B169=0),0,SUM(_xlfn._xlws.FILTER(FrmBB1[Cur],(FrmBB1[PrjId]=TEXT($B169,"@"))*(FrmBB1[Row]=$E169)*(FrmBB1[Column]=UPPER(_xlfn.LET(_xlpm.x,_xlfn.TEXTBEFORE(Q$114," ("),IFERROR(_xlpm.x,Q$114)))&amp;" "&amp;R$115),0)))</f>
        <v>0</v>
      </c>
      <c r="S169" s="158" cm="1">
        <f t="array" aca="1" ref="S169" ca="1">IF(OR($E169="X",$E169="",$E169=0,$B169="X",$B169="",$B169=0),0,SUM(_xlfn._xlws.FILTER(FrmBB1[Cur],(FrmBB1[PrjId]=TEXT($B169,"@"))*(FrmBB1[Row]=$E169)*(FrmBB1[Column]=UPPER(_xlfn.LET(_xlpm.x,_xlfn.TEXTBEFORE(S$114," ("),IFERROR(_xlpm.x,S$114)))&amp;" "&amp;S$115),0)))</f>
        <v>0</v>
      </c>
      <c r="T169" s="157" cm="1">
        <f t="array" aca="1" ref="T169" ca="1">IF(OR($E169="X",$E169="",$E169=0,$B169="X",$B169="",$B169=0),0,SUM(_xlfn._xlws.FILTER(FrmBB1[Cur],(FrmBB1[PrjId]=TEXT($B169,"@"))*(FrmBB1[Row]=$E169)*(FrmBB1[Column]=UPPER(_xlfn.LET(_xlpm.x,_xlfn.TEXTBEFORE(S$114," ("),IFERROR(_xlpm.x,S$114)))&amp;" "&amp;T$115),0)))</f>
        <v>0</v>
      </c>
      <c r="U169" s="158" cm="1">
        <f t="array" aca="1" ref="U169" ca="1">IF(OR($E169="X",$E169="",$E169=0,$B169="X",$B169="",$B169=0),0,SUM(_xlfn._xlws.FILTER(FrmBB1[Cur],(FrmBB1[PrjId]=TEXT($B169,"@"))*(FrmBB1[Row]=$E169)*(FrmBB1[Column]=UPPER(_xlfn.LET(_xlpm.x,_xlfn.TEXTBEFORE(U$114," ("),IFERROR(_xlpm.x,U$114)))&amp;" "&amp;U$115),0)))</f>
        <v>0</v>
      </c>
      <c r="V169" s="157" cm="1">
        <f t="array" aca="1" ref="V169" ca="1">IF(OR($E169="X",$E169="",$E169=0,$B169="X",$B169="",$B169=0),0,SUM(_xlfn._xlws.FILTER(FrmBB1[Cur],(FrmBB1[PrjId]=TEXT($B169,"@"))*(FrmBB1[Row]=$E169)*(FrmBB1[Column]=UPPER(_xlfn.LET(_xlpm.x,_xlfn.TEXTBEFORE(U$114," ("),IFERROR(_xlpm.x,U$114)))&amp;" "&amp;V$115),0)))</f>
        <v>0</v>
      </c>
      <c r="W169" s="158" cm="1">
        <f t="array" aca="1" ref="W169" ca="1">IF(OR($E169="X",$E169="",$E169=0,$B169="X",$B169="",$B169=0),0,SUM(_xlfn._xlws.FILTER(FrmBB1[Cur],(FrmBB1[PrjId]=TEXT($B169,"@"))*(FrmBB1[Row]=$E169)*(FrmBB1[Column]=UPPER(_xlfn.LET(_xlpm.x,_xlfn.TEXTBEFORE(W$114," ("),IFERROR(_xlpm.x,W$114)))&amp;" "&amp;W$115),0)))</f>
        <v>0</v>
      </c>
      <c r="X169" s="157" cm="1">
        <f t="array" aca="1" ref="X169" ca="1">IF(OR($E169="X",$E169="",$E169=0,$B169="X",$B169="",$B169=0),0,SUM(_xlfn._xlws.FILTER(FrmBB1[Cur],(FrmBB1[PrjId]=TEXT($B169,"@"))*(FrmBB1[Row]=$E169)*(FrmBB1[Column]=UPPER(_xlfn.LET(_xlpm.x,_xlfn.TEXTBEFORE(W$114," ("),IFERROR(_xlpm.x,W$114)))&amp;" "&amp;X$115),0)))</f>
        <v>0</v>
      </c>
      <c r="Y169" s="158" cm="1">
        <f t="array" aca="1" ref="Y169" ca="1">IF(OR($E169="X",$E169="",$E169=0,$B169="X",$B169="",$B169=0),0,SUM(_xlfn._xlws.FILTER(FrmBB1[Cur],(FrmBB1[PrjId]=TEXT($B169,"@"))*(FrmBB1[Row]=$E169)*(FrmBB1[Column]=UPPER(_xlfn.LET(_xlpm.x,_xlfn.TEXTBEFORE(Y$114," ("),IFERROR(_xlpm.x,Y$114)))&amp;" "&amp;Y$115),0)))</f>
        <v>0</v>
      </c>
      <c r="Z169" s="157" cm="1">
        <f t="array" aca="1" ref="Z169" ca="1">IF(OR($E169="X",$E169="",$E169=0,$B169="X",$B169="",$B169=0),0,SUM(_xlfn._xlws.FILTER(FrmBB1[Cur],(FrmBB1[PrjId]=TEXT($B169,"@"))*(FrmBB1[Row]=$E169)*(FrmBB1[Column]=UPPER(_xlfn.LET(_xlpm.x,_xlfn.TEXTBEFORE(Y$114," ("),IFERROR(_xlpm.x,Y$114)))&amp;" "&amp;Z$115),0)))</f>
        <v>0</v>
      </c>
      <c r="AA169" s="158" cm="1">
        <f t="array" aca="1" ref="AA169" ca="1">IF(OR($E169="X",$E169="",$E169=0,$B169="X",$B169="",$B169=0),0,SUM(_xlfn._xlws.FILTER(FrmBB1[Cur],(FrmBB1[PrjId]=TEXT($B169,"@"))*(FrmBB1[Row]=$E169)*(FrmBB1[Column]=UPPER(_xlfn.LET(_xlpm.x,_xlfn.TEXTBEFORE(AA$114," ("),IFERROR(_xlpm.x,AA$114)))&amp;" "&amp;AA$115),0)))</f>
        <v>0</v>
      </c>
      <c r="AB169" s="157" cm="1">
        <f t="array" aca="1" ref="AB169" ca="1">IF(OR($E169="X",$E169="",$E169=0,$B169="X",$B169="",$B169=0),0,SUM(_xlfn._xlws.FILTER(FrmBB1[Cur],(FrmBB1[PrjId]=TEXT($B169,"@"))*(FrmBB1[Row]=$E169)*(FrmBB1[Column]=UPPER(_xlfn.LET(_xlpm.x,_xlfn.TEXTBEFORE(AA$114," ("),IFERROR(_xlpm.x,AA$114)))&amp;" "&amp;AB$115),0)))</f>
        <v>0</v>
      </c>
      <c r="AC169" s="158" cm="1">
        <f t="array" aca="1" ref="AC169" ca="1">IF(OR($E169="X",$E169="",$E169=0,$B169="X",$B169="",$B169=0),0,SUM(_xlfn._xlws.FILTER(FrmBB1[Cur],(FrmBB1[PrjId]=TEXT($B169,"@"))*(FrmBB1[Row]=$E169)*(FrmBB1[Column]=UPPER(_xlfn.LET(_xlpm.x,_xlfn.TEXTBEFORE(AC$114," ("),IFERROR(_xlpm.x,AC$114)))&amp;" "&amp;AC$115),0)))</f>
        <v>0</v>
      </c>
      <c r="AD169" s="157" cm="1">
        <f t="array" aca="1" ref="AD169" ca="1">IF(OR($E169="X",$E169="",$E169=0,$B169="X",$B169="",$B169=0),0,SUM(_xlfn._xlws.FILTER(FrmBB1[Cur],(FrmBB1[PrjId]=TEXT($B169,"@"))*(FrmBB1[Row]=$E169)*(FrmBB1[Column]=UPPER(_xlfn.LET(_xlpm.x,_xlfn.TEXTBEFORE(AC$114," ("),IFERROR(_xlpm.x,AC$114)))&amp;" "&amp;AD$115),0)))</f>
        <v>0</v>
      </c>
      <c r="AE169" s="158" cm="1">
        <f t="array" aca="1" ref="AE169" ca="1">IF(OR($E169="X",$E169="",$E169=0,$B169="X",$B169="",$B169=0),0,SUM(_xlfn._xlws.FILTER(FrmBB1[Cur],(FrmBB1[PrjId]=TEXT($B169,"@"))*(FrmBB1[Row]=$E169)*(FrmBB1[Column]=UPPER(_xlfn.LET(_xlpm.x,_xlfn.TEXTBEFORE(AE$114," ("),IFERROR(_xlpm.x,AE$114)))&amp;" "&amp;AE$115),0)))</f>
        <v>0</v>
      </c>
      <c r="AF169" s="157" cm="1">
        <f t="array" aca="1" ref="AF169" ca="1">IF(OR($E169="X",$E169="",$E169=0,$B169="X",$B169="",$B169=0),0,SUM(_xlfn._xlws.FILTER(FrmBB1[Cur],(FrmBB1[PrjId]=TEXT($B169,"@"))*(FrmBB1[Row]=$E169)*(FrmBB1[Column]=UPPER(_xlfn.LET(_xlpm.x,_xlfn.TEXTBEFORE(AE$114," ("),IFERROR(_xlpm.x,AE$114)))&amp;" "&amp;AF$115),0)))</f>
        <v>0</v>
      </c>
      <c r="AG169" s="158" cm="1">
        <f t="array" aca="1" ref="AG169" ca="1">IF(OR($E169="X",$E169="",$E169=0,$B169="X",$B169="",$B169=0),0,SUM(_xlfn._xlws.FILTER(FrmBB1[Cur],(FrmBB1[PrjId]=TEXT($B169,"@"))*(FrmBB1[Row]=$E169)*(FrmBB1[Column]=UPPER(_xlfn.LET(_xlpm.x,_xlfn.TEXTBEFORE(AG$114," ("),IFERROR(_xlpm.x,AG$114)))&amp;" "&amp;AG$115),0)))</f>
        <v>0</v>
      </c>
      <c r="AH169" s="157" cm="1">
        <f t="array" aca="1" ref="AH169" ca="1">IF(OR($E169="X",$E169="",$E169=0,$B169="X",$B169="",$B169=0),0,SUM(_xlfn._xlws.FILTER(FrmBB1[Cur],(FrmBB1[PrjId]=TEXT($B169,"@"))*(FrmBB1[Row]=$E169)*(FrmBB1[Column]=UPPER(_xlfn.LET(_xlpm.x,_xlfn.TEXTBEFORE(AG$114," ("),IFERROR(_xlpm.x,AG$114)))&amp;" "&amp;AH$115),0)))</f>
        <v>0</v>
      </c>
      <c r="AI169" s="158" cm="1">
        <f t="array" aca="1" ref="AI169" ca="1">IF(OR($E169="X",$E169="",$E169=0,$B169="X",$B169="",$B169=0),0,SUM(_xlfn._xlws.FILTER(FrmBB1[Cur],(FrmBB1[PrjId]=TEXT($B169,"@"))*(FrmBB1[Row]=$E169)*(FrmBB1[Column]=UPPER(_xlfn.LET(_xlpm.x,_xlfn.TEXTBEFORE(AI$114," ("),IFERROR(_xlpm.x,AI$114)))&amp;" "&amp;AI$115),0)))</f>
        <v>0</v>
      </c>
      <c r="AJ169" s="157" cm="1">
        <f t="array" aca="1" ref="AJ169" ca="1">IF(OR($E169="X",$E169="",$E169=0,$B169="X",$B169="",$B169=0),0,SUM(_xlfn._xlws.FILTER(FrmBB1[Cur],(FrmBB1[PrjId]=TEXT($B169,"@"))*(FrmBB1[Row]=$E169)*(FrmBB1[Column]=UPPER(_xlfn.LET(_xlpm.x,_xlfn.TEXTBEFORE(AI$114," ("),IFERROR(_xlpm.x,AI$114)))&amp;" "&amp;AJ$115),0)))</f>
        <v>420612.8</v>
      </c>
      <c r="AK169" s="158" cm="1">
        <f t="array" aca="1" ref="AK169" ca="1">IF(OR($E169="X",$E169="",$E169=0,$B169="X",$B169="",$B169=0),0,SUM(_xlfn._xlws.FILTER(FrmBB1[Cur],(FrmBB1[PrjId]=TEXT($B169,"@"))*(FrmBB1[Row]=$E169)*(FrmBB1[Column]=UPPER(_xlfn.LET(_xlpm.x,_xlfn.TEXTBEFORE(AK$114," ("),IFERROR(_xlpm.x,AK$114)))&amp;" "&amp;AK$115),0)))</f>
        <v>0</v>
      </c>
      <c r="AL169" s="157" cm="1">
        <f t="array" aca="1" ref="AL169" ca="1">IF(OR($E169="X",$E169="",$E169=0,$B169="X",$B169="",$B169=0),0,SUM(_xlfn._xlws.FILTER(FrmBB1[Cur],(FrmBB1[PrjId]=TEXT($B169,"@"))*(FrmBB1[Row]=$E169)*(FrmBB1[Column]=UPPER(_xlfn.LET(_xlpm.x,_xlfn.TEXTBEFORE(AK$114," ("),IFERROR(_xlpm.x,AK$114)))&amp;" "&amp;AL$115),0)))</f>
        <v>0</v>
      </c>
      <c r="AM169" s="158" cm="1">
        <f t="array" aca="1" ref="AM169" ca="1">IF(OR($E169="X",$E169="",$E169=0,$B169="X",$B169="",$B169=0),0,SUM(_xlfn._xlws.FILTER(FrmBB1[Cur],(FrmBB1[PrjId]=TEXT($B169,"@"))*(FrmBB1[Row]=$E169)*(FrmBB1[Column]=UPPER(_xlfn.LET(_xlpm.x,_xlfn.TEXTBEFORE(AM$114," ("),IFERROR(_xlpm.x,AM$114)))&amp;" "&amp;AM$115),0)))</f>
        <v>0</v>
      </c>
      <c r="AN169" s="157" cm="1">
        <f t="array" aca="1" ref="AN169" ca="1">IF(OR($E169="X",$E169="",$E169=0,$B169="X",$B169="",$B169=0),0,SUM(_xlfn._xlws.FILTER(FrmBB1[Cur],(FrmBB1[PrjId]=TEXT($B169,"@"))*(FrmBB1[Row]=$E169)*(FrmBB1[Column]=UPPER(_xlfn.LET(_xlpm.x,_xlfn.TEXTBEFORE(AM$114," ("),IFERROR(_xlpm.x,AM$114)))&amp;" "&amp;AN$115),0)))</f>
        <v>0</v>
      </c>
      <c r="AO169" s="158" cm="1">
        <f t="array" aca="1" ref="AO169" ca="1">IF(OR($E169="X",$E169="",$E169=0,$B169="X",$B169="",$B169=0),0,SUM(_xlfn._xlws.FILTER(FrmBB1[Cur],(FrmBB1[PrjId]=TEXT($B169,"@"))*(FrmBB1[Row]=$E169)*(FrmBB1[Column]=UPPER(_xlfn.LET(_xlpm.x,_xlfn.TEXTBEFORE(AO$114," ("),IFERROR(_xlpm.x,AO$114)))&amp;" "&amp;AO$115),0)))</f>
        <v>0</v>
      </c>
      <c r="AP169" s="157" cm="1">
        <f t="array" aca="1" ref="AP169" ca="1">IF(OR($E169="X",$E169="",$E169=0,$B169="X",$B169="",$B169=0),0,SUM(_xlfn._xlws.FILTER(FrmBB1[Cur],(FrmBB1[PrjId]=TEXT($B169,"@"))*(FrmBB1[Row]=$E169)*(FrmBB1[Column]=UPPER(_xlfn.LET(_xlpm.x,_xlfn.TEXTBEFORE(AO$114," ("),IFERROR(_xlpm.x,AO$114)))&amp;" "&amp;AP$115),0)))</f>
        <v>0</v>
      </c>
      <c r="AQ169" s="157" cm="1">
        <f t="array" aca="1" ref="AQ169" ca="1">SUM(IF(INDIRECT($AS$115)=AQ$115,INDIRECT($AS169)))</f>
        <v>0</v>
      </c>
      <c r="AR169" s="157" cm="1">
        <f t="array" aca="1" ref="AR169" ca="1">SUM(IF(INDIRECT($AS$115)=AR$115,INDIRECT($AS169)))</f>
        <v>420612.8</v>
      </c>
      <c r="AS169" s="286" t="str">
        <f t="shared" ca="1" si="15"/>
        <v>G169:AP169</v>
      </c>
      <c r="AT169" s="403">
        <f t="shared" ca="1" si="14"/>
        <v>420612.8</v>
      </c>
      <c r="AV169" s="142" cm="1">
        <f t="array" aca="1" ref="AV169" ca="1">IF(AND(_xlfn.LET(_xlpm.x,SUM(ROW()),OR(AND(MATCH("SOT",$A:$A,0)&lt;_xlpm.x,MATCH("EOT",$A:$A,0)&gt;_xlpm.x),AND(MATCH("SOS",$A:$A,0)&lt;_xlpm.x,MATCH("EOS",$A:$A,0)&gt;_xlpm.x),AND(MATCH("SOR",$A:$A,0)&lt;_xlpm.x,MATCH("EOR",$A:$A,0)&gt;_xlpm.x))),INDIRECT("rc"&amp;MATCH("SCD",$1:$1,0),FALSE)="PPTO"),1,0)</f>
        <v>0</v>
      </c>
      <c r="AW169" s="142" cm="1">
        <f t="array" aca="1" ref="AW16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70" spans="2:49" outlineLevel="1">
      <c r="B170" s="156" t="str" cm="1">
        <f t="array" aca="1" ref="B170:E170" ca="1">_xlfn.LET(_xlpm.x,SUM(ROW()-MATCH("SOR",$A:$A,0)),_xlpm.y,IFERROR(_xlfn.TAKE(INDEX(_xlfn._xlws.FILTER(TbAssign[],ISNUMBER(FIND(TbAssign[Project],$C$4)),"X"),1+QUOTIENT(_xlpm.x,3),0),1,4),0),IF(MOD(_xlpm.x-1,3)=0,IF(_xlpm.y=0,"X",_xlpm.y),INDIRECT("r[-1]c#",FALSE)))</f>
        <v>31200</v>
      </c>
      <c r="C170" s="156" t="str">
        <f ca="1"/>
        <v>XA02</v>
      </c>
      <c r="D170" s="148" t="str">
        <f ca="1"/>
        <v>GSMT</v>
      </c>
      <c r="E170" s="352" t="str">
        <f ca="1"/>
        <v>MATERIAL SERRA UNP</v>
      </c>
      <c r="F170" s="148" t="s">
        <v>397</v>
      </c>
      <c r="G170" s="157" cm="1">
        <f t="array" aca="1" ref="G170" ca="1">IF(OR($E170="X",$E170="",$E170=0,$B170="X",$B170="",$B170=0),0,SUM(_xlfn._xlws.FILTER(IF($E$4="Ppto",PptoSty[CurPpto],PptoSty[CurInt]),(IF($E$4="Ppto",PptoSty[POvsCT]=G$113,TRUE))*(PptoSty[Project]=TEXT($B170,"@"))*(PptoSty[PptoVsRow]=$E170)*(PptoSty[PptoVsColumn]=UPPER(G$114)),0)))</f>
        <v>0</v>
      </c>
      <c r="H170" s="157" cm="1">
        <f t="array" aca="1" ref="H170" ca="1">IF(OR($E170="X",$E170="",$E170=0,$B170="X",$B170="",$B170=0),0,SUM(_xlfn._xlws.FILTER(IF($E$4="Ppto",PptoSty[CurPpto],PptoSty[CurExt]),(IF($E$4="Ppto",PptoSty[POvsCT]=H$113,TRUE))*(PptoSty[Project]=TEXT($B170,"@"))*(PptoSty[PptoVsRow]=$E170)*(PptoSty[PptoVsColumn]=UPPER(G$114)),0)))</f>
        <v>0</v>
      </c>
      <c r="I170" s="157" cm="1">
        <f t="array" aca="1" ref="I170" ca="1">IF(OR($E170="X",$E170="",$E170=0,$B170="X",$B170="",$B170=0),0,SUM(_xlfn._xlws.FILTER(IF($E$4="Ppto",PptoSty[CurPpto],PptoSty[CurInt]),(IF($E$4="Ppto",PptoSty[POvsCT]=I$113,TRUE))*(PptoSty[Project]=TEXT($B170,"@"))*(PptoSty[PptoVsRow]=$E170)*(PptoSty[PptoVsColumn]=UPPER(I$114)),0)))</f>
        <v>0</v>
      </c>
      <c r="J170" s="157" cm="1">
        <f t="array" aca="1" ref="J170" ca="1">IF(OR($E170="X",$E170="",$E170=0,$B170="X",$B170="",$B170=0),0,SUM(_xlfn._xlws.FILTER(IF($E$4="Ppto",PptoSty[CurPpto],PptoSty[CurExt]),(IF($E$4="Ppto",PptoSty[POvsCT]=J$113,TRUE))*(PptoSty[Project]=TEXT($B170,"@"))*(PptoSty[PptoVsRow]=$E170)*(PptoSty[PptoVsColumn]=UPPER(I$114)),0)))</f>
        <v>0</v>
      </c>
      <c r="K170" s="157" cm="1">
        <f t="array" aca="1" ref="K170" ca="1">IF(OR($E170="X",$E170="",$E170=0,$B170="X",$B170="",$B170=0),0,SUM(_xlfn._xlws.FILTER(IF($E$4="Ppto",PptoSty[CurPpto],PptoSty[CurInt]),(IF($E$4="Ppto",PptoSty[POvsCT]=K$113,TRUE))*(PptoSty[Project]=TEXT($B170,"@"))*(PptoSty[PptoVsRow]=$E170)*(PptoSty[PptoVsColumn]=UPPER(K$114)),0)))</f>
        <v>0</v>
      </c>
      <c r="L170" s="157" cm="1">
        <f t="array" aca="1" ref="L170" ca="1">IF(OR($E170="X",$E170="",$E170=0,$B170="X",$B170="",$B170=0),0,SUM(_xlfn._xlws.FILTER(IF($E$4="Ppto",PptoSty[CurPpto],PptoSty[CurExt]),(IF($E$4="Ppto",PptoSty[POvsCT]=L$113,TRUE))*(PptoSty[Project]=TEXT($B170,"@"))*(PptoSty[PptoVsRow]=$E170)*(PptoSty[PptoVsColumn]=UPPER(K$114)),0)))</f>
        <v>0</v>
      </c>
      <c r="M170" s="157" cm="1">
        <f t="array" aca="1" ref="M170" ca="1">IF(OR($E170="X",$E170="",$E170=0,$B170="X",$B170="",$B170=0),0,SUM(_xlfn._xlws.FILTER(IF($E$4="Ppto",PptoSty[CurPpto],PptoSty[CurInt]),(IF($E$4="Ppto",PptoSty[POvsCT]=M$113,TRUE))*(PptoSty[Project]=TEXT($B170,"@"))*(PptoSty[PptoVsRow]=$E170)*(PptoSty[PptoVsColumn]=UPPER(M$114)),0)))</f>
        <v>0</v>
      </c>
      <c r="N170" s="157" cm="1">
        <f t="array" aca="1" ref="N170" ca="1">IF(OR($E170="X",$E170="",$E170=0,$B170="X",$B170="",$B170=0),0,SUM(_xlfn._xlws.FILTER(IF($E$4="Ppto",PptoSty[CurPpto],PptoSty[CurExt]),(IF($E$4="Ppto",PptoSty[POvsCT]=N$113,TRUE))*(PptoSty[Project]=TEXT($B170,"@"))*(PptoSty[PptoVsRow]=$E170)*(PptoSty[PptoVsColumn]=UPPER(M$114)),0)))</f>
        <v>0</v>
      </c>
      <c r="O170" s="157" cm="1">
        <f t="array" aca="1" ref="O170" ca="1">IF(OR($E170="X",$E170="",$E170=0,$B170="X",$B170="",$B170=0),0,SUM(_xlfn._xlws.FILTER(IF($E$4="Ppto",PptoSty[CurPpto],PptoSty[CurInt]),(IF($E$4="Ppto",PptoSty[POvsCT]=O$113,TRUE))*(PptoSty[Project]=TEXT($B170,"@"))*(PptoSty[PptoVsRow]=$E170)*(PptoSty[PptoVsColumn]=UPPER(O$114)),0)))</f>
        <v>0</v>
      </c>
      <c r="P170" s="157" cm="1">
        <f t="array" aca="1" ref="P170" ca="1">IF(OR($E170="X",$E170="",$E170=0,$B170="X",$B170="",$B170=0),0,SUM(_xlfn._xlws.FILTER(IF($E$4="Ppto",PptoSty[CurPpto],PptoSty[CurExt]),(IF($E$4="Ppto",PptoSty[POvsCT]=P$113,TRUE))*(PptoSty[Project]=TEXT($B170,"@"))*(PptoSty[PptoVsRow]=$E170)*(PptoSty[PptoVsColumn]=UPPER(O$114)),0)))</f>
        <v>0</v>
      </c>
      <c r="Q170" s="157" cm="1">
        <f t="array" aca="1" ref="Q170" ca="1">IF(OR($E170="X",$E170="",$E170=0,$B170="X",$B170="",$B170=0),0,SUM(_xlfn._xlws.FILTER(IF($E$4="Ppto",PptoSty[CurPpto],PptoSty[CurInt]),(IF($E$4="Ppto",PptoSty[POvsCT]=Q$113,TRUE))*(PptoSty[Project]=TEXT($B170,"@"))*(PptoSty[PptoVsRow]=$E170)*(PptoSty[PptoVsColumn]=UPPER(Q$114)),0)))</f>
        <v>0</v>
      </c>
      <c r="R170" s="157" cm="1">
        <f t="array" aca="1" ref="R170" ca="1">IF(OR($E170="X",$E170="",$E170=0,$B170="X",$B170="",$B170=0),0,SUM(_xlfn._xlws.FILTER(IF($E$4="Ppto",PptoSty[CurPpto],PptoSty[CurExt]),(IF($E$4="Ppto",PptoSty[POvsCT]=R$113,TRUE))*(PptoSty[Project]=TEXT($B170,"@"))*(PptoSty[PptoVsRow]=$E170)*(PptoSty[PptoVsColumn]=UPPER(Q$114)),0)))</f>
        <v>0</v>
      </c>
      <c r="S170" s="157" cm="1">
        <f t="array" aca="1" ref="S170" ca="1">IF(OR($E170="X",$E170="",$E170=0,$B170="X",$B170="",$B170=0),0,SUM(_xlfn._xlws.FILTER(IF($E$4="Ppto",PptoSty[CurPpto],PptoSty[CurInt]),(IF($E$4="Ppto",PptoSty[POvsCT]=S$113,TRUE))*(PptoSty[Project]=TEXT($B170,"@"))*(PptoSty[PptoVsRow]=$E170)*(PptoSty[PptoVsColumn]=UPPER(S$114)),0)))</f>
        <v>0</v>
      </c>
      <c r="T170" s="157" cm="1">
        <f t="array" aca="1" ref="T170" ca="1">IF(OR($E170="X",$E170="",$E170=0,$B170="X",$B170="",$B170=0),0,SUM(_xlfn._xlws.FILTER(IF($E$4="Ppto",PptoSty[CurPpto],PptoSty[CurExt]),(IF($E$4="Ppto",PptoSty[POvsCT]=T$113,TRUE))*(PptoSty[Project]=TEXT($B170,"@"))*(PptoSty[PptoVsRow]=$E170)*(PptoSty[PptoVsColumn]=UPPER(S$114)),0)))</f>
        <v>0</v>
      </c>
      <c r="U170" s="157" cm="1">
        <f t="array" aca="1" ref="U170" ca="1">IF(OR($E170="X",$E170="",$E170=0,$B170="X",$B170="",$B170=0),0,SUM(_xlfn._xlws.FILTER(IF($E$4="Ppto",PptoSty[CurPpto],PptoSty[CurInt]),(IF($E$4="Ppto",PptoSty[POvsCT]=U$113,TRUE))*(PptoSty[Project]=TEXT($B170,"@"))*(PptoSty[PptoVsRow]=$E170)*(PptoSty[PptoVsColumn]=UPPER(U$114)),0)))</f>
        <v>0</v>
      </c>
      <c r="V170" s="157" cm="1">
        <f t="array" aca="1" ref="V170" ca="1">IF(OR($E170="X",$E170="",$E170=0,$B170="X",$B170="",$B170=0),0,SUM(_xlfn._xlws.FILTER(IF($E$4="Ppto",PptoSty[CurPpto],PptoSty[CurExt]),(IF($E$4="Ppto",PptoSty[POvsCT]=V$113,TRUE))*(PptoSty[Project]=TEXT($B170,"@"))*(PptoSty[PptoVsRow]=$E170)*(PptoSty[PptoVsColumn]=UPPER(U$114)),0)))</f>
        <v>0</v>
      </c>
      <c r="W170" s="157" cm="1">
        <f t="array" aca="1" ref="W170" ca="1">IF(OR($E170="X",$E170="",$E170=0,$B170="X",$B170="",$B170=0),0,SUM(_xlfn._xlws.FILTER(IF($E$4="Ppto",PptoSty[CurPpto],PptoSty[CurInt]),(IF($E$4="Ppto",PptoSty[POvsCT]=W$113,TRUE))*(PptoSty[Project]=TEXT($B170,"@"))*(PptoSty[PptoVsRow]=$E170)*(PptoSty[PptoVsColumn]=UPPER(W$114)),0)))</f>
        <v>0</v>
      </c>
      <c r="X170" s="157" cm="1">
        <f t="array" aca="1" ref="X170" ca="1">IF(OR($E170="X",$E170="",$E170=0,$B170="X",$B170="",$B170=0),0,SUM(_xlfn._xlws.FILTER(IF($E$4="Ppto",PptoSty[CurPpto],PptoSty[CurExt]),(IF($E$4="Ppto",PptoSty[POvsCT]=X$113,TRUE))*(PptoSty[Project]=TEXT($B170,"@"))*(PptoSty[PptoVsRow]=$E170)*(PptoSty[PptoVsColumn]=UPPER(W$114)),0)))</f>
        <v>0</v>
      </c>
      <c r="Y170" s="157" cm="1">
        <f t="array" aca="1" ref="Y170" ca="1">IF(OR($E170="X",$E170="",$E170=0,$B170="X",$B170="",$B170=0),0,SUM(_xlfn._xlws.FILTER(IF($E$4="Ppto",PptoSty[CurPpto],PptoSty[CurInt]),(IF($E$4="Ppto",PptoSty[POvsCT]=Y$113,TRUE))*(PptoSty[Project]=TEXT($B170,"@"))*(PptoSty[PptoVsRow]=$E170)*(PptoSty[PptoVsColumn]=UPPER(Y$114)),0)))</f>
        <v>0</v>
      </c>
      <c r="Z170" s="157" cm="1">
        <f t="array" aca="1" ref="Z170" ca="1">IF(OR($E170="X",$E170="",$E170=0,$B170="X",$B170="",$B170=0),0,SUM(_xlfn._xlws.FILTER(IF($E$4="Ppto",PptoSty[CurPpto],PptoSty[CurExt]),(IF($E$4="Ppto",PptoSty[POvsCT]=Z$113,TRUE))*(PptoSty[Project]=TEXT($B170,"@"))*(PptoSty[PptoVsRow]=$E170)*(PptoSty[PptoVsColumn]=UPPER(Y$114)),0)))</f>
        <v>0</v>
      </c>
      <c r="AA170" s="157" cm="1">
        <f t="array" aca="1" ref="AA170" ca="1">IF(OR($E170="X",$E170="",$E170=0,$B170="X",$B170="",$B170=0),0,SUM(_xlfn._xlws.FILTER(IF($E$4="Ppto",PptoSty[CurPpto],PptoSty[CurInt]),(IF($E$4="Ppto",PptoSty[POvsCT]=AA$113,TRUE))*(PptoSty[Project]=TEXT($B170,"@"))*(PptoSty[PptoVsRow]=$E170)*(PptoSty[PptoVsColumn]=UPPER(AA$114)),0)))</f>
        <v>0</v>
      </c>
      <c r="AB170" s="157" cm="1">
        <f t="array" aca="1" ref="AB170" ca="1">IF(OR($E170="X",$E170="",$E170=0,$B170="X",$B170="",$B170=0),0,SUM(_xlfn._xlws.FILTER(IF($E$4="Ppto",PptoSty[CurPpto],PptoSty[CurExt]),(IF($E$4="Ppto",PptoSty[POvsCT]=AB$113,TRUE))*(PptoSty[Project]=TEXT($B170,"@"))*(PptoSty[PptoVsRow]=$E170)*(PptoSty[PptoVsColumn]=UPPER(AA$114)),0)))</f>
        <v>0</v>
      </c>
      <c r="AC170" s="157" cm="1">
        <f t="array" aca="1" ref="AC170" ca="1">IF(OR($E170="X",$E170="",$E170=0,$B170="X",$B170="",$B170=0),0,SUM(_xlfn._xlws.FILTER(IF($E$4="Ppto",PptoSty[CurPpto],PptoSty[CurInt]),(IF($E$4="Ppto",PptoSty[POvsCT]=AC$113,TRUE))*(PptoSty[Project]=TEXT($B170,"@"))*(PptoSty[PptoVsRow]=$E170)*(PptoSty[PptoVsColumn]=UPPER(AC$114)),0)))</f>
        <v>0</v>
      </c>
      <c r="AD170" s="157" cm="1">
        <f t="array" aca="1" ref="AD170" ca="1">IF(OR($E170="X",$E170="",$E170=0,$B170="X",$B170="",$B170=0),0,SUM(_xlfn._xlws.FILTER(IF($E$4="Ppto",PptoSty[CurPpto],PptoSty[CurExt]),(IF($E$4="Ppto",PptoSty[POvsCT]=AD$113,TRUE))*(PptoSty[Project]=TEXT($B170,"@"))*(PptoSty[PptoVsRow]=$E170)*(PptoSty[PptoVsColumn]=UPPER(AC$114)),0)))</f>
        <v>0</v>
      </c>
      <c r="AE170" s="157" cm="1">
        <f t="array" aca="1" ref="AE170" ca="1">IF(OR($E170="X",$E170="",$E170=0,$B170="X",$B170="",$B170=0),0,SUM(_xlfn._xlws.FILTER(IF($E$4="Ppto",PptoSty[CurPpto],PptoSty[CurInt]),(IF($E$4="Ppto",PptoSty[POvsCT]=AE$113,TRUE))*(PptoSty[Project]=TEXT($B170,"@"))*(PptoSty[PptoVsRow]=$E170)*(PptoSty[PptoVsColumn]=UPPER(AE$114)),0)))</f>
        <v>0</v>
      </c>
      <c r="AF170" s="157" cm="1">
        <f t="array" aca="1" ref="AF170" ca="1">IF(OR($E170="X",$E170="",$E170=0,$B170="X",$B170="",$B170=0),0,SUM(_xlfn._xlws.FILTER(IF($E$4="Ppto",PptoSty[CurPpto],PptoSty[CurExt]),(IF($E$4="Ppto",PptoSty[POvsCT]=AF$113,TRUE))*(PptoSty[Project]=TEXT($B170,"@"))*(PptoSty[PptoVsRow]=$E170)*(PptoSty[PptoVsColumn]=UPPER(AE$114)),0)))</f>
        <v>0</v>
      </c>
      <c r="AG170" s="157" cm="1">
        <f t="array" aca="1" ref="AG170" ca="1">IF(OR($E170="X",$E170="",$E170=0,$B170="X",$B170="",$B170=0),0,SUM(_xlfn._xlws.FILTER(IF($E$4="Ppto",PptoSty[CurPpto],PptoSty[CurInt]),(IF($E$4="Ppto",PptoSty[POvsCT]=AG$113,TRUE))*(PptoSty[Project]=TEXT($B170,"@"))*(PptoSty[PptoVsRow]=$E170)*(PptoSty[PptoVsColumn]=UPPER(AG$114)),0)))</f>
        <v>0</v>
      </c>
      <c r="AH170" s="157" cm="1">
        <f t="array" aca="1" ref="AH170" ca="1">IF(OR($E170="X",$E170="",$E170=0,$B170="X",$B170="",$B170=0),0,SUM(_xlfn._xlws.FILTER(IF($E$4="Ppto",PptoSty[CurPpto],PptoSty[CurExt]),(IF($E$4="Ppto",PptoSty[POvsCT]=AH$113,TRUE))*(PptoSty[Project]=TEXT($B170,"@"))*(PptoSty[PptoVsRow]=$E170)*(PptoSty[PptoVsColumn]=UPPER(AG$114)),0)))</f>
        <v>0</v>
      </c>
      <c r="AI170" s="157" cm="1">
        <f t="array" aca="1" ref="AI170" ca="1">IF(OR($E170="X",$E170="",$E170=0,$B170="X",$B170="",$B170=0),0,SUM(_xlfn._xlws.FILTER(IF($E$4="Ppto",PptoSty[CurPpto],PptoSty[CurInt]),(IF($E$4="Ppto",PptoSty[POvsCT]=AI$113,TRUE))*(PptoSty[Project]=TEXT($B170,"@"))*(PptoSty[PptoVsRow]=$E170)*(PptoSty[PptoVsColumn]=UPPER(AI$114)),0)))</f>
        <v>0</v>
      </c>
      <c r="AJ170" s="157" cm="1">
        <f t="array" aca="1" ref="AJ170" ca="1">IF(OR($E170="X",$E170="",$E170=0,$B170="X",$B170="",$B170=0),0,SUM(_xlfn._xlws.FILTER(IF($E$4="Ppto",PptoSty[CurPpto],PptoSty[CurExt]),(IF($E$4="Ppto",PptoSty[POvsCT]=AJ$113,TRUE))*(PptoSty[Project]=TEXT($B170,"@"))*(PptoSty[PptoVsRow]=$E170)*(PptoSty[PptoVsColumn]=UPPER(AI$114)),0)))</f>
        <v>482632</v>
      </c>
      <c r="AK170" s="157" cm="1">
        <f t="array" aca="1" ref="AK170" ca="1">IF(OR($E170="X",$E170="",$E170=0,$B170="X",$B170="",$B170=0),0,SUM(_xlfn._xlws.FILTER(IF($E$4="Ppto",PptoSty[CurPpto],PptoSty[CurInt]),(IF($E$4="Ppto",PptoSty[POvsCT]=AK$113,TRUE))*(PptoSty[Project]=TEXT($B170,"@"))*(PptoSty[PptoVsRow]=$E170)*(PptoSty[PptoVsColumn]=UPPER(AK$114)),0)))</f>
        <v>0</v>
      </c>
      <c r="AL170" s="157" cm="1">
        <f t="array" aca="1" ref="AL170" ca="1">IF(OR($E170="X",$E170="",$E170=0,$B170="X",$B170="",$B170=0),0,SUM(_xlfn._xlws.FILTER(IF($E$4="Ppto",PptoSty[CurPpto],PptoSty[CurExt]),(IF($E$4="Ppto",PptoSty[POvsCT]=AL$113,TRUE))*(PptoSty[Project]=TEXT($B170,"@"))*(PptoSty[PptoVsRow]=$E170)*(PptoSty[PptoVsColumn]=UPPER(AK$114)),0)))</f>
        <v>0</v>
      </c>
      <c r="AM170" s="157" cm="1">
        <f t="array" aca="1" ref="AM170" ca="1">IF(OR($E170="X",$E170="",$E170=0,$B170="X",$B170="",$B170=0),0,SUM(_xlfn._xlws.FILTER(IF($E$4="Ppto",PptoSty[CurPpto],PptoSty[CurInt]),(IF($E$4="Ppto",PptoSty[POvsCT]=AM$113,TRUE))*(PptoSty[Project]=TEXT($B170,"@"))*(PptoSty[PptoVsRow]=$E170)*(PptoSty[PptoVsColumn]=UPPER(AM$114)),0)))</f>
        <v>0</v>
      </c>
      <c r="AN170" s="157" cm="1">
        <f t="array" aca="1" ref="AN170" ca="1">IF(OR($E170="X",$E170="",$E170=0,$B170="X",$B170="",$B170=0),0,SUM(_xlfn._xlws.FILTER(IF($E$4="Ppto",PptoSty[CurPpto],PptoSty[CurExt]),(IF($E$4="Ppto",PptoSty[POvsCT]=AN$113,TRUE))*(PptoSty[Project]=TEXT($B170,"@"))*(PptoSty[PptoVsRow]=$E170)*(PptoSty[PptoVsColumn]=UPPER(AM$114)),0)))</f>
        <v>0</v>
      </c>
      <c r="AO170" s="157" cm="1">
        <f t="array" aca="1" ref="AO170" ca="1">IF(OR($E170="X",$E170="",$E170=0,$B170="X",$B170="",$B170=0),0,SUM(_xlfn._xlws.FILTER(IF($E$4="Ppto",PptoSty[CurPpto],PptoSty[CurInt]),(IF($E$4="Ppto",PptoSty[POvsCT]=AO$113,TRUE))*(PptoSty[Project]=TEXT($B170,"@"))*(PptoSty[PptoVsRow]=$E170)*(PptoSty[PptoVsColumn]=UPPER(AO$114)),0)))</f>
        <v>0</v>
      </c>
      <c r="AP170" s="157" cm="1">
        <f t="array" aca="1" ref="AP170" ca="1">IF(OR($E170="X",$E170="",$E170=0,$B170="X",$B170="",$B170=0),0,SUM(_xlfn._xlws.FILTER(IF($E$4="Ppto",PptoSty[CurPpto],PptoSty[CurExt]),(IF($E$4="Ppto",PptoSty[POvsCT]=AP$113,TRUE))*(PptoSty[Project]=TEXT($B170,"@"))*(PptoSty[PptoVsRow]=$E170)*(PptoSty[PptoVsColumn]=UPPER(AO$114)),0)))</f>
        <v>0</v>
      </c>
      <c r="AQ170" s="157" cm="1">
        <f t="array" aca="1" ref="AQ170" ca="1">SUM(IF(INDIRECT($AS$115)=AQ$115,INDIRECT($AS170)))</f>
        <v>0</v>
      </c>
      <c r="AR170" s="157" cm="1">
        <f t="array" aca="1" ref="AR170" ca="1">SUM(IF(INDIRECT($AS$115)=AR$115,INDIRECT($AS170)))</f>
        <v>482632</v>
      </c>
      <c r="AS170" s="286" t="str">
        <f t="shared" ca="1" si="15"/>
        <v>G170:AP170</v>
      </c>
      <c r="AT170" s="403">
        <f t="shared" ca="1" si="14"/>
        <v>482632</v>
      </c>
      <c r="AV170" s="142" cm="1">
        <f t="array" aca="1" ref="AV170" ca="1">IF(AND(_xlfn.LET(_xlpm.x,SUM(ROW()),OR(AND(MATCH("SOT",$A:$A,0)&lt;_xlpm.x,MATCH("EOT",$A:$A,0)&gt;_xlpm.x),AND(MATCH("SOS",$A:$A,0)&lt;_xlpm.x,MATCH("EOS",$A:$A,0)&gt;_xlpm.x),AND(MATCH("SOR",$A:$A,0)&lt;_xlpm.x,MATCH("EOR",$A:$A,0)&gt;_xlpm.x))),INDIRECT("rc"&amp;MATCH("SCD",$1:$1,0),FALSE)="PPTO"),1,0)</f>
        <v>1</v>
      </c>
      <c r="AW170" s="142" cm="1">
        <f t="array" aca="1" ref="AW17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71" spans="2:49" outlineLevel="1">
      <c r="B171" s="156" t="str" cm="1">
        <f t="array" aca="1" ref="B171:E171" ca="1">_xlfn.LET(_xlpm.x,SUM(ROW()-MATCH("SOR",$A:$A,0)),_xlpm.y,IFERROR(_xlfn.TAKE(INDEX(_xlfn._xlws.FILTER(TbAssign[],ISNUMBER(FIND(TbAssign[Project],$C$4)),"X"),1+QUOTIENT(_xlpm.x,3),0),1,4),0),IF(MOD(_xlpm.x-1,3)=0,IF(_xlpm.y=0,"X",_xlpm.y),INDIRECT("r[-1]c#",FALSE)))</f>
        <v>31200</v>
      </c>
      <c r="C171" s="156" t="str">
        <f ca="1"/>
        <v>XA02</v>
      </c>
      <c r="D171" s="148" t="str">
        <f ca="1"/>
        <v>GSMT</v>
      </c>
      <c r="E171" s="352" t="str">
        <f ca="1"/>
        <v>MATERIAL SERRA UNP</v>
      </c>
      <c r="F171" s="148" t="s">
        <v>1382</v>
      </c>
      <c r="G171" s="157" cm="1">
        <f t="array" aca="1" ref="G171" ca="1">IF(OR($E171="X",$E171="",$E171=0,$B171="X",$B171="",$B171=0),0,SUM(_xlfn._xlws.FILTER(PrvSty[DsvValue:SERRA],(PrvSty[Project]=TEXT($B171,"@"))*(PrvSty[Row]=$E171)*(PrvSty[Column]=UPPER(G$114)),0)))</f>
        <v>0</v>
      </c>
      <c r="H171" s="157" cm="1">
        <f t="array" aca="1" ref="H171" ca="1">IF(OR($E171="X",$E171="",$E171=0,$B171="X",$B171="",$B171=0),0,SUM(_xlfn._xlws.FILTER(PrvSty[DsvValue:EXT.],(PrvSty[Project]=TEXT($B171,"@"))*(PrvSty[Row]=$E171)*(PrvSty[Column]=UPPER(G$114)),0)))</f>
        <v>0</v>
      </c>
      <c r="I171" s="157" cm="1">
        <f t="array" aca="1" ref="I171" ca="1">IF(OR($E171="X",$E171="",$E171=0,$B171="X",$B171="",$B171=0),0,SUM(_xlfn._xlws.FILTER(PrvSty[DsvValue:SERRA],(PrvSty[Project]=TEXT($B171,"@"))*(PrvSty[Row]=$E171)*(PrvSty[Column]=UPPER(I$114)),0)))</f>
        <v>0</v>
      </c>
      <c r="J171" s="157" cm="1">
        <f t="array" aca="1" ref="J171" ca="1">IF(OR($E171="X",$E171="",$E171=0,$B171="X",$B171="",$B171=0),0,SUM(_xlfn._xlws.FILTER(PrvSty[DsvValue:EXT.],(PrvSty[Project]=TEXT($B171,"@"))*(PrvSty[Row]=$E171)*(PrvSty[Column]=UPPER(I$114)),0)))</f>
        <v>0</v>
      </c>
      <c r="K171" s="157" cm="1">
        <f t="array" aca="1" ref="K171" ca="1">IF(OR($E171="X",$E171="",$E171=0,$B171="X",$B171="",$B171=0),0,SUM(_xlfn._xlws.FILTER(PrvSty[DsvValue:SERRA],(PrvSty[Project]=TEXT($B171,"@"))*(PrvSty[Row]=$E171)*(PrvSty[Column]=UPPER(K$114)),0)))</f>
        <v>0</v>
      </c>
      <c r="L171" s="157" cm="1">
        <f t="array" aca="1" ref="L171" ca="1">IF(OR($E171="X",$E171="",$E171=0,$B171="X",$B171="",$B171=0),0,SUM(_xlfn._xlws.FILTER(PrvSty[DsvValue:EXT.],(PrvSty[Project]=TEXT($B171,"@"))*(PrvSty[Row]=$E171)*(PrvSty[Column]=UPPER(K$114)),0)))</f>
        <v>0</v>
      </c>
      <c r="M171" s="157" cm="1">
        <f t="array" aca="1" ref="M171" ca="1">IF(OR($E171="X",$E171="",$E171=0,$B171="X",$B171="",$B171=0),0,SUM(_xlfn._xlws.FILTER(PrvSty[DsvValue:SERRA],(PrvSty[Project]=TEXT($B171,"@"))*(PrvSty[Row]=$E171)*(PrvSty[Column]=UPPER(M$114)),0)))</f>
        <v>0</v>
      </c>
      <c r="N171" s="157" cm="1">
        <f t="array" aca="1" ref="N171" ca="1">IF(OR($E171="X",$E171="",$E171=0,$B171="X",$B171="",$B171=0),0,SUM(_xlfn._xlws.FILTER(PrvSty[DsvValue:EXT.],(PrvSty[Project]=TEXT($B171,"@"))*(PrvSty[Row]=$E171)*(PrvSty[Column]=UPPER(M$114)),0)))</f>
        <v>0</v>
      </c>
      <c r="O171" s="157" cm="1">
        <f t="array" aca="1" ref="O171" ca="1">IF(OR($E171="X",$E171="",$E171=0,$B171="X",$B171="",$B171=0),0,SUM(_xlfn._xlws.FILTER(PrvSty[DsvValue:SERRA],(PrvSty[Project]=TEXT($B171,"@"))*(PrvSty[Row]=$E171)*(PrvSty[Column]=UPPER(O$114)),0)))</f>
        <v>0</v>
      </c>
      <c r="P171" s="157" cm="1">
        <f t="array" aca="1" ref="P171" ca="1">IF(OR($E171="X",$E171="",$E171=0,$B171="X",$B171="",$B171=0),0,SUM(_xlfn._xlws.FILTER(PrvSty[DsvValue:EXT.],(PrvSty[Project]=TEXT($B171,"@"))*(PrvSty[Row]=$E171)*(PrvSty[Column]=UPPER(O$114)),0)))</f>
        <v>0</v>
      </c>
      <c r="Q171" s="157" cm="1">
        <f t="array" aca="1" ref="Q171" ca="1">IF(OR($E171="X",$E171="",$E171=0,$B171="X",$B171="",$B171=0),0,SUM(_xlfn._xlws.FILTER(PrvSty[DsvValue:SERRA],(PrvSty[Project]=TEXT($B171,"@"))*(PrvSty[Row]=$E171)*(PrvSty[Column]=UPPER(Q$114)),0)))</f>
        <v>0</v>
      </c>
      <c r="R171" s="157" cm="1">
        <f t="array" aca="1" ref="R171" ca="1">IF(OR($E171="X",$E171="",$E171=0,$B171="X",$B171="",$B171=0),0,SUM(_xlfn._xlws.FILTER(PrvSty[DsvValue:EXT.],(PrvSty[Project]=TEXT($B171,"@"))*(PrvSty[Row]=$E171)*(PrvSty[Column]=UPPER(Q$114)),0)))</f>
        <v>0</v>
      </c>
      <c r="S171" s="157" cm="1">
        <f t="array" aca="1" ref="S171" ca="1">IF(OR($E171="X",$E171="",$E171=0,$B171="X",$B171="",$B171=0),0,SUM(_xlfn._xlws.FILTER(PrvSty[DsvValue:SERRA],(PrvSty[Project]=TEXT($B171,"@"))*(PrvSty[Row]=$E171)*(PrvSty[Column]=UPPER(S$114)),0)))</f>
        <v>0</v>
      </c>
      <c r="T171" s="157" cm="1">
        <f t="array" aca="1" ref="T171" ca="1">IF(OR($E171="X",$E171="",$E171=0,$B171="X",$B171="",$B171=0),0,SUM(_xlfn._xlws.FILTER(PrvSty[DsvValue:EXT.],(PrvSty[Project]=TEXT($B171,"@"))*(PrvSty[Row]=$E171)*(PrvSty[Column]=UPPER(S$114)),0)))</f>
        <v>0</v>
      </c>
      <c r="U171" s="157" cm="1">
        <f t="array" aca="1" ref="U171" ca="1">IF(OR($E171="X",$E171="",$E171=0,$B171="X",$B171="",$B171=0),0,SUM(_xlfn._xlws.FILTER(PrvSty[DsvValue:SERRA],(PrvSty[Project]=TEXT($B171,"@"))*(PrvSty[Row]=$E171)*(PrvSty[Column]=UPPER(U$114)),0)))</f>
        <v>0</v>
      </c>
      <c r="V171" s="157" cm="1">
        <f t="array" aca="1" ref="V171" ca="1">IF(OR($E171="X",$E171="",$E171=0,$B171="X",$B171="",$B171=0),0,SUM(_xlfn._xlws.FILTER(PrvSty[DsvValue:EXT.],(PrvSty[Project]=TEXT($B171,"@"))*(PrvSty[Row]=$E171)*(PrvSty[Column]=UPPER(U$114)),0)))</f>
        <v>0</v>
      </c>
      <c r="W171" s="157" cm="1">
        <f t="array" aca="1" ref="W171" ca="1">IF(OR($E171="X",$E171="",$E171=0,$B171="X",$B171="",$B171=0),0,SUM(_xlfn._xlws.FILTER(PrvSty[DsvValue:SERRA],(PrvSty[Project]=TEXT($B171,"@"))*(PrvSty[Row]=$E171)*(PrvSty[Column]=UPPER(W$114)),0)))</f>
        <v>0</v>
      </c>
      <c r="X171" s="157" cm="1">
        <f t="array" aca="1" ref="X171" ca="1">IF(OR($E171="X",$E171="",$E171=0,$B171="X",$B171="",$B171=0),0,SUM(_xlfn._xlws.FILTER(PrvSty[DsvValue:EXT.],(PrvSty[Project]=TEXT($B171,"@"))*(PrvSty[Row]=$E171)*(PrvSty[Column]=UPPER(W$114)),0)))</f>
        <v>0</v>
      </c>
      <c r="Y171" s="157" cm="1">
        <f t="array" aca="1" ref="Y171" ca="1">IF(OR($E171="X",$E171="",$E171=0,$B171="X",$B171="",$B171=0),0,SUM(_xlfn._xlws.FILTER(PrvSty[DsvValue:SERRA],(PrvSty[Project]=TEXT($B171,"@"))*(PrvSty[Row]=$E171)*(PrvSty[Column]=UPPER(Y$114)),0)))</f>
        <v>0</v>
      </c>
      <c r="Z171" s="157" cm="1">
        <f t="array" aca="1" ref="Z171" ca="1">IF(OR($E171="X",$E171="",$E171=0,$B171="X",$B171="",$B171=0),0,SUM(_xlfn._xlws.FILTER(PrvSty[DsvValue:EXT.],(PrvSty[Project]=TEXT($B171,"@"))*(PrvSty[Row]=$E171)*(PrvSty[Column]=UPPER(Y$114)),0)))</f>
        <v>0</v>
      </c>
      <c r="AA171" s="157" cm="1">
        <f t="array" aca="1" ref="AA171" ca="1">IF(OR($E171="X",$E171="",$E171=0,$B171="X",$B171="",$B171=0),0,SUM(_xlfn._xlws.FILTER(PrvSty[DsvValue:SERRA],(PrvSty[Project]=TEXT($B171,"@"))*(PrvSty[Row]=$E171)*(PrvSty[Column]=UPPER(AA$114)),0)))</f>
        <v>0</v>
      </c>
      <c r="AB171" s="157" cm="1">
        <f t="array" aca="1" ref="AB171" ca="1">IF(OR($E171="X",$E171="",$E171=0,$B171="X",$B171="",$B171=0),0,SUM(_xlfn._xlws.FILTER(PrvSty[DsvValue:EXT.],(PrvSty[Project]=TEXT($B171,"@"))*(PrvSty[Row]=$E171)*(PrvSty[Column]=UPPER(AA$114)),0)))</f>
        <v>0</v>
      </c>
      <c r="AC171" s="157" cm="1">
        <f t="array" aca="1" ref="AC171" ca="1">IF(OR($E171="X",$E171="",$E171=0,$B171="X",$B171="",$B171=0),0,SUM(_xlfn._xlws.FILTER(PrvSty[DsvValue:SERRA],(PrvSty[Project]=TEXT($B171,"@"))*(PrvSty[Row]=$E171)*(PrvSty[Column]=UPPER(AC$114)),0)))</f>
        <v>0</v>
      </c>
      <c r="AD171" s="157" cm="1">
        <f t="array" aca="1" ref="AD171" ca="1">IF(OR($E171="X",$E171="",$E171=0,$B171="X",$B171="",$B171=0),0,SUM(_xlfn._xlws.FILTER(PrvSty[DsvValue:EXT.],(PrvSty[Project]=TEXT($B171,"@"))*(PrvSty[Row]=$E171)*(PrvSty[Column]=UPPER(AC$114)),0)))</f>
        <v>0</v>
      </c>
      <c r="AE171" s="157" cm="1">
        <f t="array" aca="1" ref="AE171" ca="1">IF(OR($E171="X",$E171="",$E171=0,$B171="X",$B171="",$B171=0),0,SUM(_xlfn._xlws.FILTER(PrvSty[DsvValue:SERRA],(PrvSty[Project]=TEXT($B171,"@"))*(PrvSty[Row]=$E171)*(PrvSty[Column]=UPPER(AE$114)),0)))</f>
        <v>0</v>
      </c>
      <c r="AF171" s="157" cm="1">
        <f t="array" aca="1" ref="AF171" ca="1">IF(OR($E171="X",$E171="",$E171=0,$B171="X",$B171="",$B171=0),0,SUM(_xlfn._xlws.FILTER(PrvSty[DsvValue:EXT.],(PrvSty[Project]=TEXT($B171,"@"))*(PrvSty[Row]=$E171)*(PrvSty[Column]=UPPER(AE$114)),0)))</f>
        <v>0</v>
      </c>
      <c r="AG171" s="157" cm="1">
        <f t="array" aca="1" ref="AG171" ca="1">IF(OR($E171="X",$E171="",$E171=0,$B171="X",$B171="",$B171=0),0,SUM(_xlfn._xlws.FILTER(PrvSty[DsvValue:SERRA],(PrvSty[Project]=TEXT($B171,"@"))*(PrvSty[Row]=$E171)*(PrvSty[Column]=UPPER(AG$114)),0)))</f>
        <v>0</v>
      </c>
      <c r="AH171" s="157" cm="1">
        <f t="array" aca="1" ref="AH171" ca="1">IF(OR($E171="X",$E171="",$E171=0,$B171="X",$B171="",$B171=0),0,SUM(_xlfn._xlws.FILTER(PrvSty[DsvValue:EXT.],(PrvSty[Project]=TEXT($B171,"@"))*(PrvSty[Row]=$E171)*(PrvSty[Column]=UPPER(AG$114)),0)))</f>
        <v>0</v>
      </c>
      <c r="AI171" s="157" cm="1">
        <f t="array" aca="1" ref="AI171" ca="1">IF(OR($E171="X",$E171="",$E171=0,$B171="X",$B171="",$B171=0),0,SUM(_xlfn._xlws.FILTER(PrvSty[DsvValue:SERRA],(PrvSty[Project]=TEXT($B171,"@"))*(PrvSty[Row]=$E171)*(PrvSty[Column]=UPPER(AI$114)),0)))</f>
        <v>0</v>
      </c>
      <c r="AJ171" s="157" cm="1">
        <f t="array" aca="1" ref="AJ171" ca="1">IF(OR($E171="X",$E171="",$E171=0,$B171="X",$B171="",$B171=0),0,SUM(_xlfn._xlws.FILTER(PrvSty[DsvValue:EXT.],(PrvSty[Project]=TEXT($B171,"@"))*(PrvSty[Row]=$E171)*(PrvSty[Column]=UPPER(AI$114)),0)))</f>
        <v>32943.239999999991</v>
      </c>
      <c r="AK171" s="157" cm="1">
        <f t="array" aca="1" ref="AK171" ca="1">IF(OR($E171="X",$E171="",$E171=0,$B171="X",$B171="",$B171=0),0,SUM(_xlfn._xlws.FILTER(PrvSty[DsvValue:SERRA],(PrvSty[Project]=TEXT($B171,"@"))*(PrvSty[Row]=$E171)*(PrvSty[Column]=UPPER(AK$114)),0)))</f>
        <v>0</v>
      </c>
      <c r="AL171" s="157" cm="1">
        <f t="array" aca="1" ref="AL171" ca="1">IF(OR($E171="X",$E171="",$E171=0,$B171="X",$B171="",$B171=0),0,SUM(_xlfn._xlws.FILTER(PrvSty[DsvValue:EXT.],(PrvSty[Project]=TEXT($B171,"@"))*(PrvSty[Row]=$E171)*(PrvSty[Column]=UPPER(AK$114)),0)))</f>
        <v>0</v>
      </c>
      <c r="AM171" s="157" cm="1">
        <f t="array" aca="1" ref="AM171" ca="1">IF(OR($E171="X",$E171="",$E171=0,$B171="X",$B171="",$B171=0),0,SUM(_xlfn._xlws.FILTER(PrvSty[DsvValue:SERRA],(PrvSty[Project]=TEXT($B171,"@"))*(PrvSty[Row]=$E171)*(PrvSty[Column]=UPPER(AM$114)),0)))</f>
        <v>0</v>
      </c>
      <c r="AN171" s="157" cm="1">
        <f t="array" aca="1" ref="AN171" ca="1">IF(OR($E171="X",$E171="",$E171=0,$B171="X",$B171="",$B171=0),0,SUM(_xlfn._xlws.FILTER(PrvSty[DsvValue:EXT.],(PrvSty[Project]=TEXT($B171,"@"))*(PrvSty[Row]=$E171)*(PrvSty[Column]=UPPER(AM$114)),0)))</f>
        <v>0</v>
      </c>
      <c r="AO171" s="157" cm="1">
        <f t="array" aca="1" ref="AO171" ca="1">IF(OR($E171="X",$E171="",$E171=0,$B171="X",$B171="",$B171=0),0,SUM(_xlfn._xlws.FILTER(PrvSty[DsvValue:SERRA],(PrvSty[Project]=TEXT($B171,"@"))*(PrvSty[Row]=$E171)*(PrvSty[Column]=UPPER(AO$114)),0)))</f>
        <v>0</v>
      </c>
      <c r="AP171" s="157" cm="1">
        <f t="array" aca="1" ref="AP171" ca="1">IF(OR($E171="X",$E171="",$E171=0,$B171="X",$B171="",$B171=0),0,SUM(_xlfn._xlws.FILTER(PrvSty[DsvValue:EXT.],(PrvSty[Project]=TEXT($B171,"@"))*(PrvSty[Row]=$E171)*(PrvSty[Column]=UPPER(AO$114)),0)))</f>
        <v>0</v>
      </c>
      <c r="AQ171" s="157" cm="1">
        <f t="array" aca="1" ref="AQ171" ca="1">SUM(IF(INDIRECT($AS$115)=AQ$115,INDIRECT($AS171)))</f>
        <v>0</v>
      </c>
      <c r="AR171" s="157" cm="1">
        <f t="array" aca="1" ref="AR171" ca="1">SUM(IF(INDIRECT($AS$115)=AR$115,INDIRECT($AS171)))</f>
        <v>32943.239999999991</v>
      </c>
      <c r="AS171" s="286" t="str">
        <f t="shared" ca="1" si="15"/>
        <v>G171:AP171</v>
      </c>
      <c r="AT171" s="403">
        <f t="shared" ca="1" si="14"/>
        <v>32943.239999999991</v>
      </c>
      <c r="AV171" s="142" cm="1">
        <f t="array" aca="1" ref="AV171" ca="1">IF(AND(_xlfn.LET(_xlpm.x,SUM(ROW()),OR(AND(MATCH("SOT",$A:$A,0)&lt;_xlpm.x,MATCH("EOT",$A:$A,0)&gt;_xlpm.x),AND(MATCH("SOS",$A:$A,0)&lt;_xlpm.x,MATCH("EOS",$A:$A,0)&gt;_xlpm.x),AND(MATCH("SOR",$A:$A,0)&lt;_xlpm.x,MATCH("EOR",$A:$A,0)&gt;_xlpm.x))),INDIRECT("rc"&amp;MATCH("SCD",$1:$1,0),FALSE)="PPTO"),1,0)</f>
        <v>0</v>
      </c>
      <c r="AW171" s="142" cm="1">
        <f t="array" aca="1" ref="AW17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72" spans="2:49" outlineLevel="1">
      <c r="B172" s="156" t="str" cm="1">
        <f t="array" aca="1" ref="B172:E172" ca="1">_xlfn.LET(_xlpm.x,SUM(ROW()-MATCH("SOR",$A:$A,0)),_xlpm.y,IFERROR(_xlfn.TAKE(INDEX(_xlfn._xlws.FILTER(TbAssign[],ISNUMBER(FIND(TbAssign[Project],$C$4)),"X"),1+QUOTIENT(_xlpm.x,3),0),1,4),0),IF(MOD(_xlpm.x-1,3)=0,IF(_xlpm.y=0,"X",_xlpm.y),INDIRECT("r[-1]c#",FALSE)))</f>
        <v>31200</v>
      </c>
      <c r="C172" s="156" t="str">
        <f ca="1"/>
        <v>XA02</v>
      </c>
      <c r="D172" s="148" t="str">
        <f ca="1"/>
        <v>GSMT</v>
      </c>
      <c r="E172" s="352" t="str">
        <f ca="1"/>
        <v>MATERIAL SERRA UNP</v>
      </c>
      <c r="F172" s="148" t="s">
        <v>1383</v>
      </c>
      <c r="G172" s="158" cm="1">
        <f t="array" aca="1" ref="G172" ca="1">IF(OR($E172="X",$E172="",$E172=0,$B172="X",$B172="",$B172=0),0,SUM(_xlfn._xlws.FILTER(FrmBB1[Cur],(FrmBB1[PrjId]=TEXT($B172,"@"))*(FrmBB1[Row]=$E172)*(FrmBB1[Column]=UPPER(_xlfn.LET(_xlpm.x,_xlfn.TEXTBEFORE(G$114," ("),IFERROR(_xlpm.x,G$114)))&amp;" "&amp;G$115),0)))</f>
        <v>0</v>
      </c>
      <c r="H172" s="157" cm="1">
        <f t="array" aca="1" ref="H172" ca="1">IF(OR($E172="X",$E172="",$E172=0,$B172="X",$B172="",$B172=0),0,SUM(_xlfn._xlws.FILTER(FrmBB1[Cur],(FrmBB1[PrjId]=TEXT($B172,"@"))*(FrmBB1[Row]=$E172)*(FrmBB1[Column]=UPPER(_xlfn.LET(_xlpm.x,_xlfn.TEXTBEFORE(G$114," ("),IFERROR(_xlpm.x,G$114)))&amp;" "&amp;H$115),0)))</f>
        <v>0</v>
      </c>
      <c r="I172" s="158" cm="1">
        <f t="array" aca="1" ref="I172" ca="1">IF(OR($E172="X",$E172="",$E172=0,$B172="X",$B172="",$B172=0),0,SUM(_xlfn._xlws.FILTER(FrmBB1[Cur],(FrmBB1[PrjId]=TEXT($B172,"@"))*(FrmBB1[Row]=$E172)*(FrmBB1[Column]=UPPER(_xlfn.LET(_xlpm.x,_xlfn.TEXTBEFORE(I$114," ("),IFERROR(_xlpm.x,I$114)))&amp;" "&amp;I$115),0)))</f>
        <v>0</v>
      </c>
      <c r="J172" s="157" cm="1">
        <f t="array" aca="1" ref="J172" ca="1">IF(OR($E172="X",$E172="",$E172=0,$B172="X",$B172="",$B172=0),0,SUM(_xlfn._xlws.FILTER(FrmBB1[Cur],(FrmBB1[PrjId]=TEXT($B172,"@"))*(FrmBB1[Row]=$E172)*(FrmBB1[Column]=UPPER(_xlfn.LET(_xlpm.x,_xlfn.TEXTBEFORE(I$114," ("),IFERROR(_xlpm.x,I$114)))&amp;" "&amp;J$115),0)))</f>
        <v>0</v>
      </c>
      <c r="K172" s="158" cm="1">
        <f t="array" aca="1" ref="K172" ca="1">IF(OR($E172="X",$E172="",$E172=0,$B172="X",$B172="",$B172=0),0,SUM(_xlfn._xlws.FILTER(FrmBB1[Cur],(FrmBB1[PrjId]=TEXT($B172,"@"))*(FrmBB1[Row]=$E172)*(FrmBB1[Column]=UPPER(_xlfn.LET(_xlpm.x,_xlfn.TEXTBEFORE(K$114," ("),IFERROR(_xlpm.x,K$114)))&amp;" "&amp;K$115),0)))</f>
        <v>0</v>
      </c>
      <c r="L172" s="157" cm="1">
        <f t="array" aca="1" ref="L172" ca="1">IF(OR($E172="X",$E172="",$E172=0,$B172="X",$B172="",$B172=0),0,SUM(_xlfn._xlws.FILTER(FrmBB1[Cur],(FrmBB1[PrjId]=TEXT($B172,"@"))*(FrmBB1[Row]=$E172)*(FrmBB1[Column]=UPPER(_xlfn.LET(_xlpm.x,_xlfn.TEXTBEFORE(K$114," ("),IFERROR(_xlpm.x,K$114)))&amp;" "&amp;L$115),0)))</f>
        <v>0</v>
      </c>
      <c r="M172" s="158" cm="1">
        <f t="array" aca="1" ref="M172" ca="1">IF(OR($E172="X",$E172="",$E172=0,$B172="X",$B172="",$B172=0),0,SUM(_xlfn._xlws.FILTER(FrmBB1[Cur],(FrmBB1[PrjId]=TEXT($B172,"@"))*(FrmBB1[Row]=$E172)*(FrmBB1[Column]=UPPER(_xlfn.LET(_xlpm.x,_xlfn.TEXTBEFORE(M$114," ("),IFERROR(_xlpm.x,M$114)))&amp;" "&amp;M$115),0)))</f>
        <v>0</v>
      </c>
      <c r="N172" s="157" cm="1">
        <f t="array" aca="1" ref="N172" ca="1">IF(OR($E172="X",$E172="",$E172=0,$B172="X",$B172="",$B172=0),0,SUM(_xlfn._xlws.FILTER(FrmBB1[Cur],(FrmBB1[PrjId]=TEXT($B172,"@"))*(FrmBB1[Row]=$E172)*(FrmBB1[Column]=UPPER(_xlfn.LET(_xlpm.x,_xlfn.TEXTBEFORE(M$114," ("),IFERROR(_xlpm.x,M$114)))&amp;" "&amp;N$115),0)))</f>
        <v>0</v>
      </c>
      <c r="O172" s="158" cm="1">
        <f t="array" aca="1" ref="O172" ca="1">IF(OR($E172="X",$E172="",$E172=0,$B172="X",$B172="",$B172=0),0,SUM(_xlfn._xlws.FILTER(FrmBB1[Cur],(FrmBB1[PrjId]=TEXT($B172,"@"))*(FrmBB1[Row]=$E172)*(FrmBB1[Column]=UPPER(_xlfn.LET(_xlpm.x,_xlfn.TEXTBEFORE(O$114," ("),IFERROR(_xlpm.x,O$114)))&amp;" "&amp;O$115),0)))</f>
        <v>0</v>
      </c>
      <c r="P172" s="157" cm="1">
        <f t="array" aca="1" ref="P172" ca="1">IF(OR($E172="X",$E172="",$E172=0,$B172="X",$B172="",$B172=0),0,SUM(_xlfn._xlws.FILTER(FrmBB1[Cur],(FrmBB1[PrjId]=TEXT($B172,"@"))*(FrmBB1[Row]=$E172)*(FrmBB1[Column]=UPPER(_xlfn.LET(_xlpm.x,_xlfn.TEXTBEFORE(O$114," ("),IFERROR(_xlpm.x,O$114)))&amp;" "&amp;P$115),0)))</f>
        <v>0</v>
      </c>
      <c r="Q172" s="158" cm="1">
        <f t="array" aca="1" ref="Q172" ca="1">IF(OR($E172="X",$E172="",$E172=0,$B172="X",$B172="",$B172=0),0,SUM(_xlfn._xlws.FILTER(FrmBB1[Cur],(FrmBB1[PrjId]=TEXT($B172,"@"))*(FrmBB1[Row]=$E172)*(FrmBB1[Column]=UPPER(_xlfn.LET(_xlpm.x,_xlfn.TEXTBEFORE(Q$114," ("),IFERROR(_xlpm.x,Q$114)))&amp;" "&amp;Q$115),0)))</f>
        <v>0</v>
      </c>
      <c r="R172" s="157" cm="1">
        <f t="array" aca="1" ref="R172" ca="1">IF(OR($E172="X",$E172="",$E172=0,$B172="X",$B172="",$B172=0),0,SUM(_xlfn._xlws.FILTER(FrmBB1[Cur],(FrmBB1[PrjId]=TEXT($B172,"@"))*(FrmBB1[Row]=$E172)*(FrmBB1[Column]=UPPER(_xlfn.LET(_xlpm.x,_xlfn.TEXTBEFORE(Q$114," ("),IFERROR(_xlpm.x,Q$114)))&amp;" "&amp;R$115),0)))</f>
        <v>0</v>
      </c>
      <c r="S172" s="158" cm="1">
        <f t="array" aca="1" ref="S172" ca="1">IF(OR($E172="X",$E172="",$E172=0,$B172="X",$B172="",$B172=0),0,SUM(_xlfn._xlws.FILTER(FrmBB1[Cur],(FrmBB1[PrjId]=TEXT($B172,"@"))*(FrmBB1[Row]=$E172)*(FrmBB1[Column]=UPPER(_xlfn.LET(_xlpm.x,_xlfn.TEXTBEFORE(S$114," ("),IFERROR(_xlpm.x,S$114)))&amp;" "&amp;S$115),0)))</f>
        <v>0</v>
      </c>
      <c r="T172" s="157" cm="1">
        <f t="array" aca="1" ref="T172" ca="1">IF(OR($E172="X",$E172="",$E172=0,$B172="X",$B172="",$B172=0),0,SUM(_xlfn._xlws.FILTER(FrmBB1[Cur],(FrmBB1[PrjId]=TEXT($B172,"@"))*(FrmBB1[Row]=$E172)*(FrmBB1[Column]=UPPER(_xlfn.LET(_xlpm.x,_xlfn.TEXTBEFORE(S$114," ("),IFERROR(_xlpm.x,S$114)))&amp;" "&amp;T$115),0)))</f>
        <v>0</v>
      </c>
      <c r="U172" s="158" cm="1">
        <f t="array" aca="1" ref="U172" ca="1">IF(OR($E172="X",$E172="",$E172=0,$B172="X",$B172="",$B172=0),0,SUM(_xlfn._xlws.FILTER(FrmBB1[Cur],(FrmBB1[PrjId]=TEXT($B172,"@"))*(FrmBB1[Row]=$E172)*(FrmBB1[Column]=UPPER(_xlfn.LET(_xlpm.x,_xlfn.TEXTBEFORE(U$114," ("),IFERROR(_xlpm.x,U$114)))&amp;" "&amp;U$115),0)))</f>
        <v>0</v>
      </c>
      <c r="V172" s="157" cm="1">
        <f t="array" aca="1" ref="V172" ca="1">IF(OR($E172="X",$E172="",$E172=0,$B172="X",$B172="",$B172=0),0,SUM(_xlfn._xlws.FILTER(FrmBB1[Cur],(FrmBB1[PrjId]=TEXT($B172,"@"))*(FrmBB1[Row]=$E172)*(FrmBB1[Column]=UPPER(_xlfn.LET(_xlpm.x,_xlfn.TEXTBEFORE(U$114," ("),IFERROR(_xlpm.x,U$114)))&amp;" "&amp;V$115),0)))</f>
        <v>0</v>
      </c>
      <c r="W172" s="158" cm="1">
        <f t="array" aca="1" ref="W172" ca="1">IF(OR($E172="X",$E172="",$E172=0,$B172="X",$B172="",$B172=0),0,SUM(_xlfn._xlws.FILTER(FrmBB1[Cur],(FrmBB1[PrjId]=TEXT($B172,"@"))*(FrmBB1[Row]=$E172)*(FrmBB1[Column]=UPPER(_xlfn.LET(_xlpm.x,_xlfn.TEXTBEFORE(W$114," ("),IFERROR(_xlpm.x,W$114)))&amp;" "&amp;W$115),0)))</f>
        <v>0</v>
      </c>
      <c r="X172" s="157" cm="1">
        <f t="array" aca="1" ref="X172" ca="1">IF(OR($E172="X",$E172="",$E172=0,$B172="X",$B172="",$B172=0),0,SUM(_xlfn._xlws.FILTER(FrmBB1[Cur],(FrmBB1[PrjId]=TEXT($B172,"@"))*(FrmBB1[Row]=$E172)*(FrmBB1[Column]=UPPER(_xlfn.LET(_xlpm.x,_xlfn.TEXTBEFORE(W$114," ("),IFERROR(_xlpm.x,W$114)))&amp;" "&amp;X$115),0)))</f>
        <v>0</v>
      </c>
      <c r="Y172" s="158" cm="1">
        <f t="array" aca="1" ref="Y172" ca="1">IF(OR($E172="X",$E172="",$E172=0,$B172="X",$B172="",$B172=0),0,SUM(_xlfn._xlws.FILTER(FrmBB1[Cur],(FrmBB1[PrjId]=TEXT($B172,"@"))*(FrmBB1[Row]=$E172)*(FrmBB1[Column]=UPPER(_xlfn.LET(_xlpm.x,_xlfn.TEXTBEFORE(Y$114," ("),IFERROR(_xlpm.x,Y$114)))&amp;" "&amp;Y$115),0)))</f>
        <v>0</v>
      </c>
      <c r="Z172" s="157" cm="1">
        <f t="array" aca="1" ref="Z172" ca="1">IF(OR($E172="X",$E172="",$E172=0,$B172="X",$B172="",$B172=0),0,SUM(_xlfn._xlws.FILTER(FrmBB1[Cur],(FrmBB1[PrjId]=TEXT($B172,"@"))*(FrmBB1[Row]=$E172)*(FrmBB1[Column]=UPPER(_xlfn.LET(_xlpm.x,_xlfn.TEXTBEFORE(Y$114," ("),IFERROR(_xlpm.x,Y$114)))&amp;" "&amp;Z$115),0)))</f>
        <v>0</v>
      </c>
      <c r="AA172" s="158" cm="1">
        <f t="array" aca="1" ref="AA172" ca="1">IF(OR($E172="X",$E172="",$E172=0,$B172="X",$B172="",$B172=0),0,SUM(_xlfn._xlws.FILTER(FrmBB1[Cur],(FrmBB1[PrjId]=TEXT($B172,"@"))*(FrmBB1[Row]=$E172)*(FrmBB1[Column]=UPPER(_xlfn.LET(_xlpm.x,_xlfn.TEXTBEFORE(AA$114," ("),IFERROR(_xlpm.x,AA$114)))&amp;" "&amp;AA$115),0)))</f>
        <v>0</v>
      </c>
      <c r="AB172" s="157" cm="1">
        <f t="array" aca="1" ref="AB172" ca="1">IF(OR($E172="X",$E172="",$E172=0,$B172="X",$B172="",$B172=0),0,SUM(_xlfn._xlws.FILTER(FrmBB1[Cur],(FrmBB1[PrjId]=TEXT($B172,"@"))*(FrmBB1[Row]=$E172)*(FrmBB1[Column]=UPPER(_xlfn.LET(_xlpm.x,_xlfn.TEXTBEFORE(AA$114," ("),IFERROR(_xlpm.x,AA$114)))&amp;" "&amp;AB$115),0)))</f>
        <v>0</v>
      </c>
      <c r="AC172" s="158" cm="1">
        <f t="array" aca="1" ref="AC172" ca="1">IF(OR($E172="X",$E172="",$E172=0,$B172="X",$B172="",$B172=0),0,SUM(_xlfn._xlws.FILTER(FrmBB1[Cur],(FrmBB1[PrjId]=TEXT($B172,"@"))*(FrmBB1[Row]=$E172)*(FrmBB1[Column]=UPPER(_xlfn.LET(_xlpm.x,_xlfn.TEXTBEFORE(AC$114," ("),IFERROR(_xlpm.x,AC$114)))&amp;" "&amp;AC$115),0)))</f>
        <v>0</v>
      </c>
      <c r="AD172" s="157" cm="1">
        <f t="array" aca="1" ref="AD172" ca="1">IF(OR($E172="X",$E172="",$E172=0,$B172="X",$B172="",$B172=0),0,SUM(_xlfn._xlws.FILTER(FrmBB1[Cur],(FrmBB1[PrjId]=TEXT($B172,"@"))*(FrmBB1[Row]=$E172)*(FrmBB1[Column]=UPPER(_xlfn.LET(_xlpm.x,_xlfn.TEXTBEFORE(AC$114," ("),IFERROR(_xlpm.x,AC$114)))&amp;" "&amp;AD$115),0)))</f>
        <v>0</v>
      </c>
      <c r="AE172" s="158" cm="1">
        <f t="array" aca="1" ref="AE172" ca="1">IF(OR($E172="X",$E172="",$E172=0,$B172="X",$B172="",$B172=0),0,SUM(_xlfn._xlws.FILTER(FrmBB1[Cur],(FrmBB1[PrjId]=TEXT($B172,"@"))*(FrmBB1[Row]=$E172)*(FrmBB1[Column]=UPPER(_xlfn.LET(_xlpm.x,_xlfn.TEXTBEFORE(AE$114," ("),IFERROR(_xlpm.x,AE$114)))&amp;" "&amp;AE$115),0)))</f>
        <v>0</v>
      </c>
      <c r="AF172" s="157" cm="1">
        <f t="array" aca="1" ref="AF172" ca="1">IF(OR($E172="X",$E172="",$E172=0,$B172="X",$B172="",$B172=0),0,SUM(_xlfn._xlws.FILTER(FrmBB1[Cur],(FrmBB1[PrjId]=TEXT($B172,"@"))*(FrmBB1[Row]=$E172)*(FrmBB1[Column]=UPPER(_xlfn.LET(_xlpm.x,_xlfn.TEXTBEFORE(AE$114," ("),IFERROR(_xlpm.x,AE$114)))&amp;" "&amp;AF$115),0)))</f>
        <v>0</v>
      </c>
      <c r="AG172" s="158" cm="1">
        <f t="array" aca="1" ref="AG172" ca="1">IF(OR($E172="X",$E172="",$E172=0,$B172="X",$B172="",$B172=0),0,SUM(_xlfn._xlws.FILTER(FrmBB1[Cur],(FrmBB1[PrjId]=TEXT($B172,"@"))*(FrmBB1[Row]=$E172)*(FrmBB1[Column]=UPPER(_xlfn.LET(_xlpm.x,_xlfn.TEXTBEFORE(AG$114," ("),IFERROR(_xlpm.x,AG$114)))&amp;" "&amp;AG$115),0)))</f>
        <v>0</v>
      </c>
      <c r="AH172" s="157" cm="1">
        <f t="array" aca="1" ref="AH172" ca="1">IF(OR($E172="X",$E172="",$E172=0,$B172="X",$B172="",$B172=0),0,SUM(_xlfn._xlws.FILTER(FrmBB1[Cur],(FrmBB1[PrjId]=TEXT($B172,"@"))*(FrmBB1[Row]=$E172)*(FrmBB1[Column]=UPPER(_xlfn.LET(_xlpm.x,_xlfn.TEXTBEFORE(AG$114," ("),IFERROR(_xlpm.x,AG$114)))&amp;" "&amp;AH$115),0)))</f>
        <v>0</v>
      </c>
      <c r="AI172" s="158" cm="1">
        <f t="array" aca="1" ref="AI172" ca="1">IF(OR($E172="X",$E172="",$E172=0,$B172="X",$B172="",$B172=0),0,SUM(_xlfn._xlws.FILTER(FrmBB1[Cur],(FrmBB1[PrjId]=TEXT($B172,"@"))*(FrmBB1[Row]=$E172)*(FrmBB1[Column]=UPPER(_xlfn.LET(_xlpm.x,_xlfn.TEXTBEFORE(AI$114," ("),IFERROR(_xlpm.x,AI$114)))&amp;" "&amp;AI$115),0)))</f>
        <v>0</v>
      </c>
      <c r="AJ172" s="157" cm="1">
        <f t="array" aca="1" ref="AJ172" ca="1">IF(OR($E172="X",$E172="",$E172=0,$B172="X",$B172="",$B172=0),0,SUM(_xlfn._xlws.FILTER(FrmBB1[Cur],(FrmBB1[PrjId]=TEXT($B172,"@"))*(FrmBB1[Row]=$E172)*(FrmBB1[Column]=UPPER(_xlfn.LET(_xlpm.x,_xlfn.TEXTBEFORE(AI$114," ("),IFERROR(_xlpm.x,AI$114)))&amp;" "&amp;AJ$115),0)))</f>
        <v>499104.92</v>
      </c>
      <c r="AK172" s="158" cm="1">
        <f t="array" aca="1" ref="AK172" ca="1">IF(OR($E172="X",$E172="",$E172=0,$B172="X",$B172="",$B172=0),0,SUM(_xlfn._xlws.FILTER(FrmBB1[Cur],(FrmBB1[PrjId]=TEXT($B172,"@"))*(FrmBB1[Row]=$E172)*(FrmBB1[Column]=UPPER(_xlfn.LET(_xlpm.x,_xlfn.TEXTBEFORE(AK$114," ("),IFERROR(_xlpm.x,AK$114)))&amp;" "&amp;AK$115),0)))</f>
        <v>0</v>
      </c>
      <c r="AL172" s="157" cm="1">
        <f t="array" aca="1" ref="AL172" ca="1">IF(OR($E172="X",$E172="",$E172=0,$B172="X",$B172="",$B172=0),0,SUM(_xlfn._xlws.FILTER(FrmBB1[Cur],(FrmBB1[PrjId]=TEXT($B172,"@"))*(FrmBB1[Row]=$E172)*(FrmBB1[Column]=UPPER(_xlfn.LET(_xlpm.x,_xlfn.TEXTBEFORE(AK$114," ("),IFERROR(_xlpm.x,AK$114)))&amp;" "&amp;AL$115),0)))</f>
        <v>0</v>
      </c>
      <c r="AM172" s="158" cm="1">
        <f t="array" aca="1" ref="AM172" ca="1">IF(OR($E172="X",$E172="",$E172=0,$B172="X",$B172="",$B172=0),0,SUM(_xlfn._xlws.FILTER(FrmBB1[Cur],(FrmBB1[PrjId]=TEXT($B172,"@"))*(FrmBB1[Row]=$E172)*(FrmBB1[Column]=UPPER(_xlfn.LET(_xlpm.x,_xlfn.TEXTBEFORE(AM$114," ("),IFERROR(_xlpm.x,AM$114)))&amp;" "&amp;AM$115),0)))</f>
        <v>0</v>
      </c>
      <c r="AN172" s="157" cm="1">
        <f t="array" aca="1" ref="AN172" ca="1">IF(OR($E172="X",$E172="",$E172=0,$B172="X",$B172="",$B172=0),0,SUM(_xlfn._xlws.FILTER(FrmBB1[Cur],(FrmBB1[PrjId]=TEXT($B172,"@"))*(FrmBB1[Row]=$E172)*(FrmBB1[Column]=UPPER(_xlfn.LET(_xlpm.x,_xlfn.TEXTBEFORE(AM$114," ("),IFERROR(_xlpm.x,AM$114)))&amp;" "&amp;AN$115),0)))</f>
        <v>0</v>
      </c>
      <c r="AO172" s="158" cm="1">
        <f t="array" aca="1" ref="AO172" ca="1">IF(OR($E172="X",$E172="",$E172=0,$B172="X",$B172="",$B172=0),0,SUM(_xlfn._xlws.FILTER(FrmBB1[Cur],(FrmBB1[PrjId]=TEXT($B172,"@"))*(FrmBB1[Row]=$E172)*(FrmBB1[Column]=UPPER(_xlfn.LET(_xlpm.x,_xlfn.TEXTBEFORE(AO$114," ("),IFERROR(_xlpm.x,AO$114)))&amp;" "&amp;AO$115),0)))</f>
        <v>0</v>
      </c>
      <c r="AP172" s="157" cm="1">
        <f t="array" aca="1" ref="AP172" ca="1">IF(OR($E172="X",$E172="",$E172=0,$B172="X",$B172="",$B172=0),0,SUM(_xlfn._xlws.FILTER(FrmBB1[Cur],(FrmBB1[PrjId]=TEXT($B172,"@"))*(FrmBB1[Row]=$E172)*(FrmBB1[Column]=UPPER(_xlfn.LET(_xlpm.x,_xlfn.TEXTBEFORE(AO$114," ("),IFERROR(_xlpm.x,AO$114)))&amp;" "&amp;AP$115),0)))</f>
        <v>0</v>
      </c>
      <c r="AQ172" s="157" cm="1">
        <f t="array" aca="1" ref="AQ172" ca="1">SUM(IF(INDIRECT($AS$115)=AQ$115,INDIRECT($AS172)))</f>
        <v>0</v>
      </c>
      <c r="AR172" s="157" cm="1">
        <f t="array" aca="1" ref="AR172" ca="1">SUM(IF(INDIRECT($AS$115)=AR$115,INDIRECT($AS172)))</f>
        <v>499104.92</v>
      </c>
      <c r="AS172" s="286" t="str">
        <f t="shared" ca="1" si="15"/>
        <v>G172:AP172</v>
      </c>
      <c r="AT172" s="403">
        <f t="shared" ca="1" si="14"/>
        <v>499104.92</v>
      </c>
      <c r="AV172" s="142" cm="1">
        <f t="array" aca="1" ref="AV172" ca="1">IF(AND(_xlfn.LET(_xlpm.x,SUM(ROW()),OR(AND(MATCH("SOT",$A:$A,0)&lt;_xlpm.x,MATCH("EOT",$A:$A,0)&gt;_xlpm.x),AND(MATCH("SOS",$A:$A,0)&lt;_xlpm.x,MATCH("EOS",$A:$A,0)&gt;_xlpm.x),AND(MATCH("SOR",$A:$A,0)&lt;_xlpm.x,MATCH("EOR",$A:$A,0)&gt;_xlpm.x))),INDIRECT("rc"&amp;MATCH("SCD",$1:$1,0),FALSE)="PPTO"),1,0)</f>
        <v>0</v>
      </c>
      <c r="AW172" s="142" cm="1">
        <f t="array" aca="1" ref="AW17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73" spans="2:49" outlineLevel="1">
      <c r="B173" s="156" t="str" cm="1">
        <f t="array" aca="1" ref="B173:E173" ca="1">_xlfn.LET(_xlpm.x,SUM(ROW()-MATCH("SOR",$A:$A,0)),_xlpm.y,IFERROR(_xlfn.TAKE(INDEX(_xlfn._xlws.FILTER(TbAssign[],ISNUMBER(FIND(TbAssign[Project],$C$4)),"X"),1+QUOTIENT(_xlpm.x,3),0),1,4),0),IF(MOD(_xlpm.x-1,3)=0,IF(_xlpm.y=0,"X",_xlpm.y),INDIRECT("r[-1]c#",FALSE)))</f>
        <v>31200</v>
      </c>
      <c r="C173" s="156" t="str">
        <f ca="1"/>
        <v>XB04</v>
      </c>
      <c r="D173" s="148" t="str">
        <f ca="1"/>
        <v>DISC</v>
      </c>
      <c r="E173" s="352" t="str">
        <f ca="1"/>
        <v>PROGRAMA STD PLC SIEMENS</v>
      </c>
      <c r="F173" s="148" t="s">
        <v>397</v>
      </c>
      <c r="G173" s="157" cm="1">
        <f t="array" aca="1" ref="G173" ca="1">IF(OR($E173="X",$E173="",$E173=0,$B173="X",$B173="",$B173=0),0,SUM(_xlfn._xlws.FILTER(IF($E$4="Ppto",PptoSty[CurPpto],PptoSty[CurInt]),(IF($E$4="Ppto",PptoSty[POvsCT]=G$113,TRUE))*(PptoSty[Project]=TEXT($B173,"@"))*(PptoSty[PptoVsRow]=$E173)*(PptoSty[PptoVsColumn]=UPPER(G$114)),0)))</f>
        <v>0</v>
      </c>
      <c r="H173" s="157" cm="1">
        <f t="array" aca="1" ref="H173" ca="1">IF(OR($E173="X",$E173="",$E173=0,$B173="X",$B173="",$B173=0),0,SUM(_xlfn._xlws.FILTER(IF($E$4="Ppto",PptoSty[CurPpto],PptoSty[CurExt]),(IF($E$4="Ppto",PptoSty[POvsCT]=H$113,TRUE))*(PptoSty[Project]=TEXT($B173,"@"))*(PptoSty[PptoVsRow]=$E173)*(PptoSty[PptoVsColumn]=UPPER(G$114)),0)))</f>
        <v>0</v>
      </c>
      <c r="I173" s="157" cm="1">
        <f t="array" aca="1" ref="I173" ca="1">IF(OR($E173="X",$E173="",$E173=0,$B173="X",$B173="",$B173=0),0,SUM(_xlfn._xlws.FILTER(IF($E$4="Ppto",PptoSty[CurPpto],PptoSty[CurInt]),(IF($E$4="Ppto",PptoSty[POvsCT]=I$113,TRUE))*(PptoSty[Project]=TEXT($B173,"@"))*(PptoSty[PptoVsRow]=$E173)*(PptoSty[PptoVsColumn]=UPPER(I$114)),0)))</f>
        <v>0</v>
      </c>
      <c r="J173" s="157" cm="1">
        <f t="array" aca="1" ref="J173" ca="1">IF(OR($E173="X",$E173="",$E173=0,$B173="X",$B173="",$B173=0),0,SUM(_xlfn._xlws.FILTER(IF($E$4="Ppto",PptoSty[CurPpto],PptoSty[CurExt]),(IF($E$4="Ppto",PptoSty[POvsCT]=J$113,TRUE))*(PptoSty[Project]=TEXT($B173,"@"))*(PptoSty[PptoVsRow]=$E173)*(PptoSty[PptoVsColumn]=UPPER(I$114)),0)))</f>
        <v>0</v>
      </c>
      <c r="K173" s="157" cm="1">
        <f t="array" aca="1" ref="K173" ca="1">IF(OR($E173="X",$E173="",$E173=0,$B173="X",$B173="",$B173=0),0,SUM(_xlfn._xlws.FILTER(IF($E$4="Ppto",PptoSty[CurPpto],PptoSty[CurInt]),(IF($E$4="Ppto",PptoSty[POvsCT]=K$113,TRUE))*(PptoSty[Project]=TEXT($B173,"@"))*(PptoSty[PptoVsRow]=$E173)*(PptoSty[PptoVsColumn]=UPPER(K$114)),0)))</f>
        <v>0</v>
      </c>
      <c r="L173" s="157" cm="1">
        <f t="array" aca="1" ref="L173" ca="1">IF(OR($E173="X",$E173="",$E173=0,$B173="X",$B173="",$B173=0),0,SUM(_xlfn._xlws.FILTER(IF($E$4="Ppto",PptoSty[CurPpto],PptoSty[CurExt]),(IF($E$4="Ppto",PptoSty[POvsCT]=L$113,TRUE))*(PptoSty[Project]=TEXT($B173,"@"))*(PptoSty[PptoVsRow]=$E173)*(PptoSty[PptoVsColumn]=UPPER(K$114)),0)))</f>
        <v>0</v>
      </c>
      <c r="M173" s="157" cm="1">
        <f t="array" aca="1" ref="M173" ca="1">IF(OR($E173="X",$E173="",$E173=0,$B173="X",$B173="",$B173=0),0,SUM(_xlfn._xlws.FILTER(IF($E$4="Ppto",PptoSty[CurPpto],PptoSty[CurInt]),(IF($E$4="Ppto",PptoSty[POvsCT]=M$113,TRUE))*(PptoSty[Project]=TEXT($B173,"@"))*(PptoSty[PptoVsRow]=$E173)*(PptoSty[PptoVsColumn]=UPPER(M$114)),0)))</f>
        <v>0</v>
      </c>
      <c r="N173" s="157" cm="1">
        <f t="array" aca="1" ref="N173" ca="1">IF(OR($E173="X",$E173="",$E173=0,$B173="X",$B173="",$B173=0),0,SUM(_xlfn._xlws.FILTER(IF($E$4="Ppto",PptoSty[CurPpto],PptoSty[CurExt]),(IF($E$4="Ppto",PptoSty[POvsCT]=N$113,TRUE))*(PptoSty[Project]=TEXT($B173,"@"))*(PptoSty[PptoVsRow]=$E173)*(PptoSty[PptoVsColumn]=UPPER(M$114)),0)))</f>
        <v>0</v>
      </c>
      <c r="O173" s="157" cm="1">
        <f t="array" aca="1" ref="O173" ca="1">IF(OR($E173="X",$E173="",$E173=0,$B173="X",$B173="",$B173=0),0,SUM(_xlfn._xlws.FILTER(IF($E$4="Ppto",PptoSty[CurPpto],PptoSty[CurInt]),(IF($E$4="Ppto",PptoSty[POvsCT]=O$113,TRUE))*(PptoSty[Project]=TEXT($B173,"@"))*(PptoSty[PptoVsRow]=$E173)*(PptoSty[PptoVsColumn]=UPPER(O$114)),0)))</f>
        <v>0</v>
      </c>
      <c r="P173" s="157" cm="1">
        <f t="array" aca="1" ref="P173" ca="1">IF(OR($E173="X",$E173="",$E173=0,$B173="X",$B173="",$B173=0),0,SUM(_xlfn._xlws.FILTER(IF($E$4="Ppto",PptoSty[CurPpto],PptoSty[CurExt]),(IF($E$4="Ppto",PptoSty[POvsCT]=P$113,TRUE))*(PptoSty[Project]=TEXT($B173,"@"))*(PptoSty[PptoVsRow]=$E173)*(PptoSty[PptoVsColumn]=UPPER(O$114)),0)))</f>
        <v>0</v>
      </c>
      <c r="Q173" s="157" cm="1">
        <f t="array" aca="1" ref="Q173" ca="1">IF(OR($E173="X",$E173="",$E173=0,$B173="X",$B173="",$B173=0),0,SUM(_xlfn._xlws.FILTER(IF($E$4="Ppto",PptoSty[CurPpto],PptoSty[CurInt]),(IF($E$4="Ppto",PptoSty[POvsCT]=Q$113,TRUE))*(PptoSty[Project]=TEXT($B173,"@"))*(PptoSty[PptoVsRow]=$E173)*(PptoSty[PptoVsColumn]=UPPER(Q$114)),0)))</f>
        <v>0</v>
      </c>
      <c r="R173" s="157" cm="1">
        <f t="array" aca="1" ref="R173" ca="1">IF(OR($E173="X",$E173="",$E173=0,$B173="X",$B173="",$B173=0),0,SUM(_xlfn._xlws.FILTER(IF($E$4="Ppto",PptoSty[CurPpto],PptoSty[CurExt]),(IF($E$4="Ppto",PptoSty[POvsCT]=R$113,TRUE))*(PptoSty[Project]=TEXT($B173,"@"))*(PptoSty[PptoVsRow]=$E173)*(PptoSty[PptoVsColumn]=UPPER(Q$114)),0)))</f>
        <v>0</v>
      </c>
      <c r="S173" s="157" cm="1">
        <f t="array" aca="1" ref="S173" ca="1">IF(OR($E173="X",$E173="",$E173=0,$B173="X",$B173="",$B173=0),0,SUM(_xlfn._xlws.FILTER(IF($E$4="Ppto",PptoSty[CurPpto],PptoSty[CurInt]),(IF($E$4="Ppto",PptoSty[POvsCT]=S$113,TRUE))*(PptoSty[Project]=TEXT($B173,"@"))*(PptoSty[PptoVsRow]=$E173)*(PptoSty[PptoVsColumn]=UPPER(S$114)),0)))</f>
        <v>0</v>
      </c>
      <c r="T173" s="157" cm="1">
        <f t="array" aca="1" ref="T173" ca="1">IF(OR($E173="X",$E173="",$E173=0,$B173="X",$B173="",$B173=0),0,SUM(_xlfn._xlws.FILTER(IF($E$4="Ppto",PptoSty[CurPpto],PptoSty[CurExt]),(IF($E$4="Ppto",PptoSty[POvsCT]=T$113,TRUE))*(PptoSty[Project]=TEXT($B173,"@"))*(PptoSty[PptoVsRow]=$E173)*(PptoSty[PptoVsColumn]=UPPER(S$114)),0)))</f>
        <v>0</v>
      </c>
      <c r="U173" s="157" cm="1">
        <f t="array" aca="1" ref="U173" ca="1">IF(OR($E173="X",$E173="",$E173=0,$B173="X",$B173="",$B173=0),0,SUM(_xlfn._xlws.FILTER(IF($E$4="Ppto",PptoSty[CurPpto],PptoSty[CurInt]),(IF($E$4="Ppto",PptoSty[POvsCT]=U$113,TRUE))*(PptoSty[Project]=TEXT($B173,"@"))*(PptoSty[PptoVsRow]=$E173)*(PptoSty[PptoVsColumn]=UPPER(U$114)),0)))</f>
        <v>0</v>
      </c>
      <c r="V173" s="157" cm="1">
        <f t="array" aca="1" ref="V173" ca="1">IF(OR($E173="X",$E173="",$E173=0,$B173="X",$B173="",$B173=0),0,SUM(_xlfn._xlws.FILTER(IF($E$4="Ppto",PptoSty[CurPpto],PptoSty[CurExt]),(IF($E$4="Ppto",PptoSty[POvsCT]=V$113,TRUE))*(PptoSty[Project]=TEXT($B173,"@"))*(PptoSty[PptoVsRow]=$E173)*(PptoSty[PptoVsColumn]=UPPER(U$114)),0)))</f>
        <v>0</v>
      </c>
      <c r="W173" s="157" cm="1">
        <f t="array" aca="1" ref="W173" ca="1">IF(OR($E173="X",$E173="",$E173=0,$B173="X",$B173="",$B173=0),0,SUM(_xlfn._xlws.FILTER(IF($E$4="Ppto",PptoSty[CurPpto],PptoSty[CurInt]),(IF($E$4="Ppto",PptoSty[POvsCT]=W$113,TRUE))*(PptoSty[Project]=TEXT($B173,"@"))*(PptoSty[PptoVsRow]=$E173)*(PptoSty[PptoVsColumn]=UPPER(W$114)),0)))</f>
        <v>0</v>
      </c>
      <c r="X173" s="157" cm="1">
        <f t="array" aca="1" ref="X173" ca="1">IF(OR($E173="X",$E173="",$E173=0,$B173="X",$B173="",$B173=0),0,SUM(_xlfn._xlws.FILTER(IF($E$4="Ppto",PptoSty[CurPpto],PptoSty[CurExt]),(IF($E$4="Ppto",PptoSty[POvsCT]=X$113,TRUE))*(PptoSty[Project]=TEXT($B173,"@"))*(PptoSty[PptoVsRow]=$E173)*(PptoSty[PptoVsColumn]=UPPER(W$114)),0)))</f>
        <v>0</v>
      </c>
      <c r="Y173" s="157" cm="1">
        <f t="array" aca="1" ref="Y173" ca="1">IF(OR($E173="X",$E173="",$E173=0,$B173="X",$B173="",$B173=0),0,SUM(_xlfn._xlws.FILTER(IF($E$4="Ppto",PptoSty[CurPpto],PptoSty[CurInt]),(IF($E$4="Ppto",PptoSty[POvsCT]=Y$113,TRUE))*(PptoSty[Project]=TEXT($B173,"@"))*(PptoSty[PptoVsRow]=$E173)*(PptoSty[PptoVsColumn]=UPPER(Y$114)),0)))</f>
        <v>0</v>
      </c>
      <c r="Z173" s="157" cm="1">
        <f t="array" aca="1" ref="Z173" ca="1">IF(OR($E173="X",$E173="",$E173=0,$B173="X",$B173="",$B173=0),0,SUM(_xlfn._xlws.FILTER(IF($E$4="Ppto",PptoSty[CurPpto],PptoSty[CurExt]),(IF($E$4="Ppto",PptoSty[POvsCT]=Z$113,TRUE))*(PptoSty[Project]=TEXT($B173,"@"))*(PptoSty[PptoVsRow]=$E173)*(PptoSty[PptoVsColumn]=UPPER(Y$114)),0)))</f>
        <v>0</v>
      </c>
      <c r="AA173" s="157" cm="1">
        <f t="array" aca="1" ref="AA173" ca="1">IF(OR($E173="X",$E173="",$E173=0,$B173="X",$B173="",$B173=0),0,SUM(_xlfn._xlws.FILTER(IF($E$4="Ppto",PptoSty[CurPpto],PptoSty[CurInt]),(IF($E$4="Ppto",PptoSty[POvsCT]=AA$113,TRUE))*(PptoSty[Project]=TEXT($B173,"@"))*(PptoSty[PptoVsRow]=$E173)*(PptoSty[PptoVsColumn]=UPPER(AA$114)),0)))</f>
        <v>0</v>
      </c>
      <c r="AB173" s="157" cm="1">
        <f t="array" aca="1" ref="AB173" ca="1">IF(OR($E173="X",$E173="",$E173=0,$B173="X",$B173="",$B173=0),0,SUM(_xlfn._xlws.FILTER(IF($E$4="Ppto",PptoSty[CurPpto],PptoSty[CurExt]),(IF($E$4="Ppto",PptoSty[POvsCT]=AB$113,TRUE))*(PptoSty[Project]=TEXT($B173,"@"))*(PptoSty[PptoVsRow]=$E173)*(PptoSty[PptoVsColumn]=UPPER(AA$114)),0)))</f>
        <v>0</v>
      </c>
      <c r="AC173" s="157" cm="1">
        <f t="array" aca="1" ref="AC173" ca="1">IF(OR($E173="X",$E173="",$E173=0,$B173="X",$B173="",$B173=0),0,SUM(_xlfn._xlws.FILTER(IF($E$4="Ppto",PptoSty[CurPpto],PptoSty[CurInt]),(IF($E$4="Ppto",PptoSty[POvsCT]=AC$113,TRUE))*(PptoSty[Project]=TEXT($B173,"@"))*(PptoSty[PptoVsRow]=$E173)*(PptoSty[PptoVsColumn]=UPPER(AC$114)),0)))</f>
        <v>0</v>
      </c>
      <c r="AD173" s="157" cm="1">
        <f t="array" aca="1" ref="AD173" ca="1">IF(OR($E173="X",$E173="",$E173=0,$B173="X",$B173="",$B173=0),0,SUM(_xlfn._xlws.FILTER(IF($E$4="Ppto",PptoSty[CurPpto],PptoSty[CurExt]),(IF($E$4="Ppto",PptoSty[POvsCT]=AD$113,TRUE))*(PptoSty[Project]=TEXT($B173,"@"))*(PptoSty[PptoVsRow]=$E173)*(PptoSty[PptoVsColumn]=UPPER(AC$114)),0)))</f>
        <v>0</v>
      </c>
      <c r="AE173" s="157" cm="1">
        <f t="array" aca="1" ref="AE173" ca="1">IF(OR($E173="X",$E173="",$E173=0,$B173="X",$B173="",$B173=0),0,SUM(_xlfn._xlws.FILTER(IF($E$4="Ppto",PptoSty[CurPpto],PptoSty[CurInt]),(IF($E$4="Ppto",PptoSty[POvsCT]=AE$113,TRUE))*(PptoSty[Project]=TEXT($B173,"@"))*(PptoSty[PptoVsRow]=$E173)*(PptoSty[PptoVsColumn]=UPPER(AE$114)),0)))</f>
        <v>0</v>
      </c>
      <c r="AF173" s="157" cm="1">
        <f t="array" aca="1" ref="AF173" ca="1">IF(OR($E173="X",$E173="",$E173=0,$B173="X",$B173="",$B173=0),0,SUM(_xlfn._xlws.FILTER(IF($E$4="Ppto",PptoSty[CurPpto],PptoSty[CurExt]),(IF($E$4="Ppto",PptoSty[POvsCT]=AF$113,TRUE))*(PptoSty[Project]=TEXT($B173,"@"))*(PptoSty[PptoVsRow]=$E173)*(PptoSty[PptoVsColumn]=UPPER(AE$114)),0)))</f>
        <v>0</v>
      </c>
      <c r="AG173" s="157" cm="1">
        <f t="array" aca="1" ref="AG173" ca="1">IF(OR($E173="X",$E173="",$E173=0,$B173="X",$B173="",$B173=0),0,SUM(_xlfn._xlws.FILTER(IF($E$4="Ppto",PptoSty[CurPpto],PptoSty[CurInt]),(IF($E$4="Ppto",PptoSty[POvsCT]=AG$113,TRUE))*(PptoSty[Project]=TEXT($B173,"@"))*(PptoSty[PptoVsRow]=$E173)*(PptoSty[PptoVsColumn]=UPPER(AG$114)),0)))</f>
        <v>0</v>
      </c>
      <c r="AH173" s="157" cm="1">
        <f t="array" aca="1" ref="AH173" ca="1">IF(OR($E173="X",$E173="",$E173=0,$B173="X",$B173="",$B173=0),0,SUM(_xlfn._xlws.FILTER(IF($E$4="Ppto",PptoSty[CurPpto],PptoSty[CurExt]),(IF($E$4="Ppto",PptoSty[POvsCT]=AH$113,TRUE))*(PptoSty[Project]=TEXT($B173,"@"))*(PptoSty[PptoVsRow]=$E173)*(PptoSty[PptoVsColumn]=UPPER(AG$114)),0)))</f>
        <v>0</v>
      </c>
      <c r="AI173" s="157" cm="1">
        <f t="array" aca="1" ref="AI173" ca="1">IF(OR($E173="X",$E173="",$E173=0,$B173="X",$B173="",$B173=0),0,SUM(_xlfn._xlws.FILTER(IF($E$4="Ppto",PptoSty[CurPpto],PptoSty[CurInt]),(IF($E$4="Ppto",PptoSty[POvsCT]=AI$113,TRUE))*(PptoSty[Project]=TEXT($B173,"@"))*(PptoSty[PptoVsRow]=$E173)*(PptoSty[PptoVsColumn]=UPPER(AI$114)),0)))</f>
        <v>0</v>
      </c>
      <c r="AJ173" s="157" cm="1">
        <f t="array" aca="1" ref="AJ173" ca="1">IF(OR($E173="X",$E173="",$E173=0,$B173="X",$B173="",$B173=0),0,SUM(_xlfn._xlws.FILTER(IF($E$4="Ppto",PptoSty[CurPpto],PptoSty[CurExt]),(IF($E$4="Ppto",PptoSty[POvsCT]=AJ$113,TRUE))*(PptoSty[Project]=TEXT($B173,"@"))*(PptoSty[PptoVsRow]=$E173)*(PptoSty[PptoVsColumn]=UPPER(AI$114)),0)))</f>
        <v>0</v>
      </c>
      <c r="AK173" s="157" cm="1">
        <f t="array" aca="1" ref="AK173" ca="1">IF(OR($E173="X",$E173="",$E173=0,$B173="X",$B173="",$B173=0),0,SUM(_xlfn._xlws.FILTER(IF($E$4="Ppto",PptoSty[CurPpto],PptoSty[CurInt]),(IF($E$4="Ppto",PptoSty[POvsCT]=AK$113,TRUE))*(PptoSty[Project]=TEXT($B173,"@"))*(PptoSty[PptoVsRow]=$E173)*(PptoSty[PptoVsColumn]=UPPER(AK$114)),0)))</f>
        <v>0</v>
      </c>
      <c r="AL173" s="157" cm="1">
        <f t="array" aca="1" ref="AL173" ca="1">IF(OR($E173="X",$E173="",$E173=0,$B173="X",$B173="",$B173=0),0,SUM(_xlfn._xlws.FILTER(IF($E$4="Ppto",PptoSty[CurPpto],PptoSty[CurExt]),(IF($E$4="Ppto",PptoSty[POvsCT]=AL$113,TRUE))*(PptoSty[Project]=TEXT($B173,"@"))*(PptoSty[PptoVsRow]=$E173)*(PptoSty[PptoVsColumn]=UPPER(AK$114)),0)))</f>
        <v>0</v>
      </c>
      <c r="AM173" s="157" cm="1">
        <f t="array" aca="1" ref="AM173" ca="1">IF(OR($E173="X",$E173="",$E173=0,$B173="X",$B173="",$B173=0),0,SUM(_xlfn._xlws.FILTER(IF($E$4="Ppto",PptoSty[CurPpto],PptoSty[CurInt]),(IF($E$4="Ppto",PptoSty[POvsCT]=AM$113,TRUE))*(PptoSty[Project]=TEXT($B173,"@"))*(PptoSty[PptoVsRow]=$E173)*(PptoSty[PptoVsColumn]=UPPER(AM$114)),0)))</f>
        <v>0</v>
      </c>
      <c r="AN173" s="157" cm="1">
        <f t="array" aca="1" ref="AN173" ca="1">IF(OR($E173="X",$E173="",$E173=0,$B173="X",$B173="",$B173=0),0,SUM(_xlfn._xlws.FILTER(IF($E$4="Ppto",PptoSty[CurPpto],PptoSty[CurExt]),(IF($E$4="Ppto",PptoSty[POvsCT]=AN$113,TRUE))*(PptoSty[Project]=TEXT($B173,"@"))*(PptoSty[PptoVsRow]=$E173)*(PptoSty[PptoVsColumn]=UPPER(AM$114)),0)))</f>
        <v>0</v>
      </c>
      <c r="AO173" s="157" cm="1">
        <f t="array" aca="1" ref="AO173" ca="1">IF(OR($E173="X",$E173="",$E173=0,$B173="X",$B173="",$B173=0),0,SUM(_xlfn._xlws.FILTER(IF($E$4="Ppto",PptoSty[CurPpto],PptoSty[CurInt]),(IF($E$4="Ppto",PptoSty[POvsCT]=AO$113,TRUE))*(PptoSty[Project]=TEXT($B173,"@"))*(PptoSty[PptoVsRow]=$E173)*(PptoSty[PptoVsColumn]=UPPER(AO$114)),0)))</f>
        <v>0</v>
      </c>
      <c r="AP173" s="157" cm="1">
        <f t="array" aca="1" ref="AP173" ca="1">IF(OR($E173="X",$E173="",$E173=0,$B173="X",$B173="",$B173=0),0,SUM(_xlfn._xlws.FILTER(IF($E$4="Ppto",PptoSty[CurPpto],PptoSty[CurExt]),(IF($E$4="Ppto",PptoSty[POvsCT]=AP$113,TRUE))*(PptoSty[Project]=TEXT($B173,"@"))*(PptoSty[PptoVsRow]=$E173)*(PptoSty[PptoVsColumn]=UPPER(AO$114)),0)))</f>
        <v>0</v>
      </c>
      <c r="AQ173" s="157" cm="1">
        <f t="array" aca="1" ref="AQ173" ca="1">SUM(IF(INDIRECT($AS$115)=AQ$115,INDIRECT($AS173)))</f>
        <v>0</v>
      </c>
      <c r="AR173" s="157" cm="1">
        <f t="array" aca="1" ref="AR173" ca="1">SUM(IF(INDIRECT($AS$115)=AR$115,INDIRECT($AS173)))</f>
        <v>0</v>
      </c>
      <c r="AS173" s="286" t="str">
        <f t="shared" ca="1" si="15"/>
        <v>G173:AP173</v>
      </c>
      <c r="AT173" s="403">
        <f t="shared" ca="1" si="14"/>
        <v>0</v>
      </c>
      <c r="AV173" s="142" cm="1">
        <f t="array" aca="1" ref="AV173" ca="1">IF(AND(_xlfn.LET(_xlpm.x,SUM(ROW()),OR(AND(MATCH("SOT",$A:$A,0)&lt;_xlpm.x,MATCH("EOT",$A:$A,0)&gt;_xlpm.x),AND(MATCH("SOS",$A:$A,0)&lt;_xlpm.x,MATCH("EOS",$A:$A,0)&gt;_xlpm.x),AND(MATCH("SOR",$A:$A,0)&lt;_xlpm.x,MATCH("EOR",$A:$A,0)&gt;_xlpm.x))),INDIRECT("rc"&amp;MATCH("SCD",$1:$1,0),FALSE)="PPTO"),1,0)</f>
        <v>1</v>
      </c>
      <c r="AW173" s="142" cm="1">
        <f t="array" aca="1" ref="AW17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74" spans="2:49" outlineLevel="1">
      <c r="B174" s="156" t="str" cm="1">
        <f t="array" aca="1" ref="B174:E174" ca="1">_xlfn.LET(_xlpm.x,SUM(ROW()-MATCH("SOR",$A:$A,0)),_xlpm.y,IFERROR(_xlfn.TAKE(INDEX(_xlfn._xlws.FILTER(TbAssign[],ISNUMBER(FIND(TbAssign[Project],$C$4)),"X"),1+QUOTIENT(_xlpm.x,3),0),1,4),0),IF(MOD(_xlpm.x-1,3)=0,IF(_xlpm.y=0,"X",_xlpm.y),INDIRECT("r[-1]c#",FALSE)))</f>
        <v>31200</v>
      </c>
      <c r="C174" s="156" t="str">
        <f ca="1"/>
        <v>XB04</v>
      </c>
      <c r="D174" s="148" t="str">
        <f ca="1"/>
        <v>DISC</v>
      </c>
      <c r="E174" s="352" t="str">
        <f ca="1"/>
        <v>PROGRAMA STD PLC SIEMENS</v>
      </c>
      <c r="F174" s="148" t="s">
        <v>1382</v>
      </c>
      <c r="G174" s="157" cm="1">
        <f t="array" aca="1" ref="G174" ca="1">IF(OR($E174="X",$E174="",$E174=0,$B174="X",$B174="",$B174=0),0,SUM(_xlfn._xlws.FILTER(PrvSty[DsvValue:SERRA],(PrvSty[Project]=TEXT($B174,"@"))*(PrvSty[Row]=$E174)*(PrvSty[Column]=UPPER(G$114)),0)))</f>
        <v>0</v>
      </c>
      <c r="H174" s="157" cm="1">
        <f t="array" aca="1" ref="H174" ca="1">IF(OR($E174="X",$E174="",$E174=0,$B174="X",$B174="",$B174=0),0,SUM(_xlfn._xlws.FILTER(PrvSty[DsvValue:EXT.],(PrvSty[Project]=TEXT($B174,"@"))*(PrvSty[Row]=$E174)*(PrvSty[Column]=UPPER(G$114)),0)))</f>
        <v>0</v>
      </c>
      <c r="I174" s="157" cm="1">
        <f t="array" aca="1" ref="I174" ca="1">IF(OR($E174="X",$E174="",$E174=0,$B174="X",$B174="",$B174=0),0,SUM(_xlfn._xlws.FILTER(PrvSty[DsvValue:SERRA],(PrvSty[Project]=TEXT($B174,"@"))*(PrvSty[Row]=$E174)*(PrvSty[Column]=UPPER(I$114)),0)))</f>
        <v>0</v>
      </c>
      <c r="J174" s="157" cm="1">
        <f t="array" aca="1" ref="J174" ca="1">IF(OR($E174="X",$E174="",$E174=0,$B174="X",$B174="",$B174=0),0,SUM(_xlfn._xlws.FILTER(PrvSty[DsvValue:EXT.],(PrvSty[Project]=TEXT($B174,"@"))*(PrvSty[Row]=$E174)*(PrvSty[Column]=UPPER(I$114)),0)))</f>
        <v>0</v>
      </c>
      <c r="K174" s="157" cm="1">
        <f t="array" aca="1" ref="K174" ca="1">IF(OR($E174="X",$E174="",$E174=0,$B174="X",$B174="",$B174=0),0,SUM(_xlfn._xlws.FILTER(PrvSty[DsvValue:SERRA],(PrvSty[Project]=TEXT($B174,"@"))*(PrvSty[Row]=$E174)*(PrvSty[Column]=UPPER(K$114)),0)))</f>
        <v>0</v>
      </c>
      <c r="L174" s="157" cm="1">
        <f t="array" aca="1" ref="L174" ca="1">IF(OR($E174="X",$E174="",$E174=0,$B174="X",$B174="",$B174=0),0,SUM(_xlfn._xlws.FILTER(PrvSty[DsvValue:EXT.],(PrvSty[Project]=TEXT($B174,"@"))*(PrvSty[Row]=$E174)*(PrvSty[Column]=UPPER(K$114)),0)))</f>
        <v>0</v>
      </c>
      <c r="M174" s="157" cm="1">
        <f t="array" aca="1" ref="M174" ca="1">IF(OR($E174="X",$E174="",$E174=0,$B174="X",$B174="",$B174=0),0,SUM(_xlfn._xlws.FILTER(PrvSty[DsvValue:SERRA],(PrvSty[Project]=TEXT($B174,"@"))*(PrvSty[Row]=$E174)*(PrvSty[Column]=UPPER(M$114)),0)))</f>
        <v>0</v>
      </c>
      <c r="N174" s="157" cm="1">
        <f t="array" aca="1" ref="N174" ca="1">IF(OR($E174="X",$E174="",$E174=0,$B174="X",$B174="",$B174=0),0,SUM(_xlfn._xlws.FILTER(PrvSty[DsvValue:EXT.],(PrvSty[Project]=TEXT($B174,"@"))*(PrvSty[Row]=$E174)*(PrvSty[Column]=UPPER(M$114)),0)))</f>
        <v>0</v>
      </c>
      <c r="O174" s="157" cm="1">
        <f t="array" aca="1" ref="O174" ca="1">IF(OR($E174="X",$E174="",$E174=0,$B174="X",$B174="",$B174=0),0,SUM(_xlfn._xlws.FILTER(PrvSty[DsvValue:SERRA],(PrvSty[Project]=TEXT($B174,"@"))*(PrvSty[Row]=$E174)*(PrvSty[Column]=UPPER(O$114)),0)))</f>
        <v>13613.880000000001</v>
      </c>
      <c r="P174" s="157" cm="1">
        <f t="array" aca="1" ref="P174" ca="1">IF(OR($E174="X",$E174="",$E174=0,$B174="X",$B174="",$B174=0),0,SUM(_xlfn._xlws.FILTER(PrvSty[DsvValue:EXT.],(PrvSty[Project]=TEXT($B174,"@"))*(PrvSty[Row]=$E174)*(PrvSty[Column]=UPPER(O$114)),0)))</f>
        <v>0</v>
      </c>
      <c r="Q174" s="157" cm="1">
        <f t="array" aca="1" ref="Q174" ca="1">IF(OR($E174="X",$E174="",$E174=0,$B174="X",$B174="",$B174=0),0,SUM(_xlfn._xlws.FILTER(PrvSty[DsvValue:SERRA],(PrvSty[Project]=TEXT($B174,"@"))*(PrvSty[Row]=$E174)*(PrvSty[Column]=UPPER(Q$114)),0)))</f>
        <v>0</v>
      </c>
      <c r="R174" s="157" cm="1">
        <f t="array" aca="1" ref="R174" ca="1">IF(OR($E174="X",$E174="",$E174=0,$B174="X",$B174="",$B174=0),0,SUM(_xlfn._xlws.FILTER(PrvSty[DsvValue:EXT.],(PrvSty[Project]=TEXT($B174,"@"))*(PrvSty[Row]=$E174)*(PrvSty[Column]=UPPER(Q$114)),0)))</f>
        <v>0</v>
      </c>
      <c r="S174" s="157" cm="1">
        <f t="array" aca="1" ref="S174" ca="1">IF(OR($E174="X",$E174="",$E174=0,$B174="X",$B174="",$B174=0),0,SUM(_xlfn._xlws.FILTER(PrvSty[DsvValue:SERRA],(PrvSty[Project]=TEXT($B174,"@"))*(PrvSty[Row]=$E174)*(PrvSty[Column]=UPPER(S$114)),0)))</f>
        <v>0</v>
      </c>
      <c r="T174" s="157" cm="1">
        <f t="array" aca="1" ref="T174" ca="1">IF(OR($E174="X",$E174="",$E174=0,$B174="X",$B174="",$B174=0),0,SUM(_xlfn._xlws.FILTER(PrvSty[DsvValue:EXT.],(PrvSty[Project]=TEXT($B174,"@"))*(PrvSty[Row]=$E174)*(PrvSty[Column]=UPPER(S$114)),0)))</f>
        <v>0</v>
      </c>
      <c r="U174" s="157" cm="1">
        <f t="array" aca="1" ref="U174" ca="1">IF(OR($E174="X",$E174="",$E174=0,$B174="X",$B174="",$B174=0),0,SUM(_xlfn._xlws.FILTER(PrvSty[DsvValue:SERRA],(PrvSty[Project]=TEXT($B174,"@"))*(PrvSty[Row]=$E174)*(PrvSty[Column]=UPPER(U$114)),0)))</f>
        <v>0</v>
      </c>
      <c r="V174" s="157" cm="1">
        <f t="array" aca="1" ref="V174" ca="1">IF(OR($E174="X",$E174="",$E174=0,$B174="X",$B174="",$B174=0),0,SUM(_xlfn._xlws.FILTER(PrvSty[DsvValue:EXT.],(PrvSty[Project]=TEXT($B174,"@"))*(PrvSty[Row]=$E174)*(PrvSty[Column]=UPPER(U$114)),0)))</f>
        <v>0</v>
      </c>
      <c r="W174" s="157" cm="1">
        <f t="array" aca="1" ref="W174" ca="1">IF(OR($E174="X",$E174="",$E174=0,$B174="X",$B174="",$B174=0),0,SUM(_xlfn._xlws.FILTER(PrvSty[DsvValue:SERRA],(PrvSty[Project]=TEXT($B174,"@"))*(PrvSty[Row]=$E174)*(PrvSty[Column]=UPPER(W$114)),0)))</f>
        <v>0</v>
      </c>
      <c r="X174" s="157" cm="1">
        <f t="array" aca="1" ref="X174" ca="1">IF(OR($E174="X",$E174="",$E174=0,$B174="X",$B174="",$B174=0),0,SUM(_xlfn._xlws.FILTER(PrvSty[DsvValue:EXT.],(PrvSty[Project]=TEXT($B174,"@"))*(PrvSty[Row]=$E174)*(PrvSty[Column]=UPPER(W$114)),0)))</f>
        <v>0</v>
      </c>
      <c r="Y174" s="157" cm="1">
        <f t="array" aca="1" ref="Y174" ca="1">IF(OR($E174="X",$E174="",$E174=0,$B174="X",$B174="",$B174=0),0,SUM(_xlfn._xlws.FILTER(PrvSty[DsvValue:SERRA],(PrvSty[Project]=TEXT($B174,"@"))*(PrvSty[Row]=$E174)*(PrvSty[Column]=UPPER(Y$114)),0)))</f>
        <v>0</v>
      </c>
      <c r="Z174" s="157" cm="1">
        <f t="array" aca="1" ref="Z174" ca="1">IF(OR($E174="X",$E174="",$E174=0,$B174="X",$B174="",$B174=0),0,SUM(_xlfn._xlws.FILTER(PrvSty[DsvValue:EXT.],(PrvSty[Project]=TEXT($B174,"@"))*(PrvSty[Row]=$E174)*(PrvSty[Column]=UPPER(Y$114)),0)))</f>
        <v>0</v>
      </c>
      <c r="AA174" s="157" cm="1">
        <f t="array" aca="1" ref="AA174" ca="1">IF(OR($E174="X",$E174="",$E174=0,$B174="X",$B174="",$B174=0),0,SUM(_xlfn._xlws.FILTER(PrvSty[DsvValue:SERRA],(PrvSty[Project]=TEXT($B174,"@"))*(PrvSty[Row]=$E174)*(PrvSty[Column]=UPPER(AA$114)),0)))</f>
        <v>0</v>
      </c>
      <c r="AB174" s="157" cm="1">
        <f t="array" aca="1" ref="AB174" ca="1">IF(OR($E174="X",$E174="",$E174=0,$B174="X",$B174="",$B174=0),0,SUM(_xlfn._xlws.FILTER(PrvSty[DsvValue:EXT.],(PrvSty[Project]=TEXT($B174,"@"))*(PrvSty[Row]=$E174)*(PrvSty[Column]=UPPER(AA$114)),0)))</f>
        <v>0</v>
      </c>
      <c r="AC174" s="157" cm="1">
        <f t="array" aca="1" ref="AC174" ca="1">IF(OR($E174="X",$E174="",$E174=0,$B174="X",$B174="",$B174=0),0,SUM(_xlfn._xlws.FILTER(PrvSty[DsvValue:SERRA],(PrvSty[Project]=TEXT($B174,"@"))*(PrvSty[Row]=$E174)*(PrvSty[Column]=UPPER(AC$114)),0)))</f>
        <v>0</v>
      </c>
      <c r="AD174" s="157" cm="1">
        <f t="array" aca="1" ref="AD174" ca="1">IF(OR($E174="X",$E174="",$E174=0,$B174="X",$B174="",$B174=0),0,SUM(_xlfn._xlws.FILTER(PrvSty[DsvValue:EXT.],(PrvSty[Project]=TEXT($B174,"@"))*(PrvSty[Row]=$E174)*(PrvSty[Column]=UPPER(AC$114)),0)))</f>
        <v>0</v>
      </c>
      <c r="AE174" s="157" cm="1">
        <f t="array" aca="1" ref="AE174" ca="1">IF(OR($E174="X",$E174="",$E174=0,$B174="X",$B174="",$B174=0),0,SUM(_xlfn._xlws.FILTER(PrvSty[DsvValue:SERRA],(PrvSty[Project]=TEXT($B174,"@"))*(PrvSty[Row]=$E174)*(PrvSty[Column]=UPPER(AE$114)),0)))</f>
        <v>0</v>
      </c>
      <c r="AF174" s="157" cm="1">
        <f t="array" aca="1" ref="AF174" ca="1">IF(OR($E174="X",$E174="",$E174=0,$B174="X",$B174="",$B174=0),0,SUM(_xlfn._xlws.FILTER(PrvSty[DsvValue:EXT.],(PrvSty[Project]=TEXT($B174,"@"))*(PrvSty[Row]=$E174)*(PrvSty[Column]=UPPER(AE$114)),0)))</f>
        <v>0</v>
      </c>
      <c r="AG174" s="157" cm="1">
        <f t="array" aca="1" ref="AG174" ca="1">IF(OR($E174="X",$E174="",$E174=0,$B174="X",$B174="",$B174=0),0,SUM(_xlfn._xlws.FILTER(PrvSty[DsvValue:SERRA],(PrvSty[Project]=TEXT($B174,"@"))*(PrvSty[Row]=$E174)*(PrvSty[Column]=UPPER(AG$114)),0)))</f>
        <v>0</v>
      </c>
      <c r="AH174" s="157" cm="1">
        <f t="array" aca="1" ref="AH174" ca="1">IF(OR($E174="X",$E174="",$E174=0,$B174="X",$B174="",$B174=0),0,SUM(_xlfn._xlws.FILTER(PrvSty[DsvValue:EXT.],(PrvSty[Project]=TEXT($B174,"@"))*(PrvSty[Row]=$E174)*(PrvSty[Column]=UPPER(AG$114)),0)))</f>
        <v>0</v>
      </c>
      <c r="AI174" s="157" cm="1">
        <f t="array" aca="1" ref="AI174" ca="1">IF(OR($E174="X",$E174="",$E174=0,$B174="X",$B174="",$B174=0),0,SUM(_xlfn._xlws.FILTER(PrvSty[DsvValue:SERRA],(PrvSty[Project]=TEXT($B174,"@"))*(PrvSty[Row]=$E174)*(PrvSty[Column]=UPPER(AI$114)),0)))</f>
        <v>0</v>
      </c>
      <c r="AJ174" s="157" cm="1">
        <f t="array" aca="1" ref="AJ174" ca="1">IF(OR($E174="X",$E174="",$E174=0,$B174="X",$B174="",$B174=0),0,SUM(_xlfn._xlws.FILTER(PrvSty[DsvValue:EXT.],(PrvSty[Project]=TEXT($B174,"@"))*(PrvSty[Row]=$E174)*(PrvSty[Column]=UPPER(AI$114)),0)))</f>
        <v>0</v>
      </c>
      <c r="AK174" s="157" cm="1">
        <f t="array" aca="1" ref="AK174" ca="1">IF(OR($E174="X",$E174="",$E174=0,$B174="X",$B174="",$B174=0),0,SUM(_xlfn._xlws.FILTER(PrvSty[DsvValue:SERRA],(PrvSty[Project]=TEXT($B174,"@"))*(PrvSty[Row]=$E174)*(PrvSty[Column]=UPPER(AK$114)),0)))</f>
        <v>0</v>
      </c>
      <c r="AL174" s="157" cm="1">
        <f t="array" aca="1" ref="AL174" ca="1">IF(OR($E174="X",$E174="",$E174=0,$B174="X",$B174="",$B174=0),0,SUM(_xlfn._xlws.FILTER(PrvSty[DsvValue:EXT.],(PrvSty[Project]=TEXT($B174,"@"))*(PrvSty[Row]=$E174)*(PrvSty[Column]=UPPER(AK$114)),0)))</f>
        <v>0</v>
      </c>
      <c r="AM174" s="157" cm="1">
        <f t="array" aca="1" ref="AM174" ca="1">IF(OR($E174="X",$E174="",$E174=0,$B174="X",$B174="",$B174=0),0,SUM(_xlfn._xlws.FILTER(PrvSty[DsvValue:SERRA],(PrvSty[Project]=TEXT($B174,"@"))*(PrvSty[Row]=$E174)*(PrvSty[Column]=UPPER(AM$114)),0)))</f>
        <v>0</v>
      </c>
      <c r="AN174" s="157" cm="1">
        <f t="array" aca="1" ref="AN174" ca="1">IF(OR($E174="X",$E174="",$E174=0,$B174="X",$B174="",$B174=0),0,SUM(_xlfn._xlws.FILTER(PrvSty[DsvValue:EXT.],(PrvSty[Project]=TEXT($B174,"@"))*(PrvSty[Row]=$E174)*(PrvSty[Column]=UPPER(AM$114)),0)))</f>
        <v>0</v>
      </c>
      <c r="AO174" s="157" cm="1">
        <f t="array" aca="1" ref="AO174" ca="1">IF(OR($E174="X",$E174="",$E174=0,$B174="X",$B174="",$B174=0),0,SUM(_xlfn._xlws.FILTER(PrvSty[DsvValue:SERRA],(PrvSty[Project]=TEXT($B174,"@"))*(PrvSty[Row]=$E174)*(PrvSty[Column]=UPPER(AO$114)),0)))</f>
        <v>0</v>
      </c>
      <c r="AP174" s="157" cm="1">
        <f t="array" aca="1" ref="AP174" ca="1">IF(OR($E174="X",$E174="",$E174=0,$B174="X",$B174="",$B174=0),0,SUM(_xlfn._xlws.FILTER(PrvSty[DsvValue:EXT.],(PrvSty[Project]=TEXT($B174,"@"))*(PrvSty[Row]=$E174)*(PrvSty[Column]=UPPER(AO$114)),0)))</f>
        <v>0</v>
      </c>
      <c r="AQ174" s="157" cm="1">
        <f t="array" aca="1" ref="AQ174" ca="1">SUM(IF(INDIRECT($AS$115)=AQ$115,INDIRECT($AS174)))</f>
        <v>13613.880000000001</v>
      </c>
      <c r="AR174" s="157" cm="1">
        <f t="array" aca="1" ref="AR174" ca="1">SUM(IF(INDIRECT($AS$115)=AR$115,INDIRECT($AS174)))</f>
        <v>0</v>
      </c>
      <c r="AS174" s="286" t="str">
        <f t="shared" ca="1" si="15"/>
        <v>G174:AP174</v>
      </c>
      <c r="AT174" s="403">
        <f t="shared" ca="1" si="14"/>
        <v>13613.880000000001</v>
      </c>
      <c r="AV174" s="142" cm="1">
        <f t="array" aca="1" ref="AV174" ca="1">IF(AND(_xlfn.LET(_xlpm.x,SUM(ROW()),OR(AND(MATCH("SOT",$A:$A,0)&lt;_xlpm.x,MATCH("EOT",$A:$A,0)&gt;_xlpm.x),AND(MATCH("SOS",$A:$A,0)&lt;_xlpm.x,MATCH("EOS",$A:$A,0)&gt;_xlpm.x),AND(MATCH("SOR",$A:$A,0)&lt;_xlpm.x,MATCH("EOR",$A:$A,0)&gt;_xlpm.x))),INDIRECT("rc"&amp;MATCH("SCD",$1:$1,0),FALSE)="PPTO"),1,0)</f>
        <v>0</v>
      </c>
      <c r="AW174" s="142" cm="1">
        <f t="array" aca="1" ref="AW17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75" spans="2:49" outlineLevel="1">
      <c r="B175" s="156" t="str" cm="1">
        <f t="array" aca="1" ref="B175:E175" ca="1">_xlfn.LET(_xlpm.x,SUM(ROW()-MATCH("SOR",$A:$A,0)),_xlpm.y,IFERROR(_xlfn.TAKE(INDEX(_xlfn._xlws.FILTER(TbAssign[],ISNUMBER(FIND(TbAssign[Project],$C$4)),"X"),1+QUOTIENT(_xlpm.x,3),0),1,4),0),IF(MOD(_xlpm.x-1,3)=0,IF(_xlpm.y=0,"X",_xlpm.y),INDIRECT("r[-1]c#",FALSE)))</f>
        <v>31200</v>
      </c>
      <c r="C175" s="156" t="str">
        <f ca="1"/>
        <v>XB04</v>
      </c>
      <c r="D175" s="148" t="str">
        <f ca="1"/>
        <v>DISC</v>
      </c>
      <c r="E175" s="352" t="str">
        <f ca="1"/>
        <v>PROGRAMA STD PLC SIEMENS</v>
      </c>
      <c r="F175" s="148" t="s">
        <v>1383</v>
      </c>
      <c r="G175" s="158" cm="1">
        <f t="array" aca="1" ref="G175" ca="1">IF(OR($E175="X",$E175="",$E175=0,$B175="X",$B175="",$B175=0),0,SUM(_xlfn._xlws.FILTER(FrmBB1[Cur],(FrmBB1[PrjId]=TEXT($B175,"@"))*(FrmBB1[Row]=$E175)*(FrmBB1[Column]=UPPER(_xlfn.LET(_xlpm.x,_xlfn.TEXTBEFORE(G$114," ("),IFERROR(_xlpm.x,G$114)))&amp;" "&amp;G$115),0)))</f>
        <v>0</v>
      </c>
      <c r="H175" s="157" cm="1">
        <f t="array" aca="1" ref="H175" ca="1">IF(OR($E175="X",$E175="",$E175=0,$B175="X",$B175="",$B175=0),0,SUM(_xlfn._xlws.FILTER(FrmBB1[Cur],(FrmBB1[PrjId]=TEXT($B175,"@"))*(FrmBB1[Row]=$E175)*(FrmBB1[Column]=UPPER(_xlfn.LET(_xlpm.x,_xlfn.TEXTBEFORE(G$114," ("),IFERROR(_xlpm.x,G$114)))&amp;" "&amp;H$115),0)))</f>
        <v>0</v>
      </c>
      <c r="I175" s="158" cm="1">
        <f t="array" aca="1" ref="I175" ca="1">IF(OR($E175="X",$E175="",$E175=0,$B175="X",$B175="",$B175=0),0,SUM(_xlfn._xlws.FILTER(FrmBB1[Cur],(FrmBB1[PrjId]=TEXT($B175,"@"))*(FrmBB1[Row]=$E175)*(FrmBB1[Column]=UPPER(_xlfn.LET(_xlpm.x,_xlfn.TEXTBEFORE(I$114," ("),IFERROR(_xlpm.x,I$114)))&amp;" "&amp;I$115),0)))</f>
        <v>0</v>
      </c>
      <c r="J175" s="157" cm="1">
        <f t="array" aca="1" ref="J175" ca="1">IF(OR($E175="X",$E175="",$E175=0,$B175="X",$B175="",$B175=0),0,SUM(_xlfn._xlws.FILTER(FrmBB1[Cur],(FrmBB1[PrjId]=TEXT($B175,"@"))*(FrmBB1[Row]=$E175)*(FrmBB1[Column]=UPPER(_xlfn.LET(_xlpm.x,_xlfn.TEXTBEFORE(I$114," ("),IFERROR(_xlpm.x,I$114)))&amp;" "&amp;J$115),0)))</f>
        <v>0</v>
      </c>
      <c r="K175" s="158" cm="1">
        <f t="array" aca="1" ref="K175" ca="1">IF(OR($E175="X",$E175="",$E175=0,$B175="X",$B175="",$B175=0),0,SUM(_xlfn._xlws.FILTER(FrmBB1[Cur],(FrmBB1[PrjId]=TEXT($B175,"@"))*(FrmBB1[Row]=$E175)*(FrmBB1[Column]=UPPER(_xlfn.LET(_xlpm.x,_xlfn.TEXTBEFORE(K$114," ("),IFERROR(_xlpm.x,K$114)))&amp;" "&amp;K$115),0)))</f>
        <v>0</v>
      </c>
      <c r="L175" s="157" cm="1">
        <f t="array" aca="1" ref="L175" ca="1">IF(OR($E175="X",$E175="",$E175=0,$B175="X",$B175="",$B175=0),0,SUM(_xlfn._xlws.FILTER(FrmBB1[Cur],(FrmBB1[PrjId]=TEXT($B175,"@"))*(FrmBB1[Row]=$E175)*(FrmBB1[Column]=UPPER(_xlfn.LET(_xlpm.x,_xlfn.TEXTBEFORE(K$114," ("),IFERROR(_xlpm.x,K$114)))&amp;" "&amp;L$115),0)))</f>
        <v>0</v>
      </c>
      <c r="M175" s="158" cm="1">
        <f t="array" aca="1" ref="M175" ca="1">IF(OR($E175="X",$E175="",$E175=0,$B175="X",$B175="",$B175=0),0,SUM(_xlfn._xlws.FILTER(FrmBB1[Cur],(FrmBB1[PrjId]=TEXT($B175,"@"))*(FrmBB1[Row]=$E175)*(FrmBB1[Column]=UPPER(_xlfn.LET(_xlpm.x,_xlfn.TEXTBEFORE(M$114," ("),IFERROR(_xlpm.x,M$114)))&amp;" "&amp;M$115),0)))</f>
        <v>0</v>
      </c>
      <c r="N175" s="157" cm="1">
        <f t="array" aca="1" ref="N175" ca="1">IF(OR($E175="X",$E175="",$E175=0,$B175="X",$B175="",$B175=0),0,SUM(_xlfn._xlws.FILTER(FrmBB1[Cur],(FrmBB1[PrjId]=TEXT($B175,"@"))*(FrmBB1[Row]=$E175)*(FrmBB1[Column]=UPPER(_xlfn.LET(_xlpm.x,_xlfn.TEXTBEFORE(M$114," ("),IFERROR(_xlpm.x,M$114)))&amp;" "&amp;N$115),0)))</f>
        <v>0</v>
      </c>
      <c r="O175" s="158" cm="1">
        <f t="array" aca="1" ref="O175" ca="1">IF(OR($E175="X",$E175="",$E175=0,$B175="X",$B175="",$B175=0),0,SUM(_xlfn._xlws.FILTER(FrmBB1[Cur],(FrmBB1[PrjId]=TEXT($B175,"@"))*(FrmBB1[Row]=$E175)*(FrmBB1[Column]=UPPER(_xlfn.LET(_xlpm.x,_xlfn.TEXTBEFORE(O$114," ("),IFERROR(_xlpm.x,O$114)))&amp;" "&amp;O$115),0)))</f>
        <v>13613.880000000001</v>
      </c>
      <c r="P175" s="157" cm="1">
        <f t="array" aca="1" ref="P175" ca="1">IF(OR($E175="X",$E175="",$E175=0,$B175="X",$B175="",$B175=0),0,SUM(_xlfn._xlws.FILTER(FrmBB1[Cur],(FrmBB1[PrjId]=TEXT($B175,"@"))*(FrmBB1[Row]=$E175)*(FrmBB1[Column]=UPPER(_xlfn.LET(_xlpm.x,_xlfn.TEXTBEFORE(O$114," ("),IFERROR(_xlpm.x,O$114)))&amp;" "&amp;P$115),0)))</f>
        <v>0</v>
      </c>
      <c r="Q175" s="158" cm="1">
        <f t="array" aca="1" ref="Q175" ca="1">IF(OR($E175="X",$E175="",$E175=0,$B175="X",$B175="",$B175=0),0,SUM(_xlfn._xlws.FILTER(FrmBB1[Cur],(FrmBB1[PrjId]=TEXT($B175,"@"))*(FrmBB1[Row]=$E175)*(FrmBB1[Column]=UPPER(_xlfn.LET(_xlpm.x,_xlfn.TEXTBEFORE(Q$114," ("),IFERROR(_xlpm.x,Q$114)))&amp;" "&amp;Q$115),0)))</f>
        <v>0</v>
      </c>
      <c r="R175" s="157" cm="1">
        <f t="array" aca="1" ref="R175" ca="1">IF(OR($E175="X",$E175="",$E175=0,$B175="X",$B175="",$B175=0),0,SUM(_xlfn._xlws.FILTER(FrmBB1[Cur],(FrmBB1[PrjId]=TEXT($B175,"@"))*(FrmBB1[Row]=$E175)*(FrmBB1[Column]=UPPER(_xlfn.LET(_xlpm.x,_xlfn.TEXTBEFORE(Q$114," ("),IFERROR(_xlpm.x,Q$114)))&amp;" "&amp;R$115),0)))</f>
        <v>0</v>
      </c>
      <c r="S175" s="158" cm="1">
        <f t="array" aca="1" ref="S175" ca="1">IF(OR($E175="X",$E175="",$E175=0,$B175="X",$B175="",$B175=0),0,SUM(_xlfn._xlws.FILTER(FrmBB1[Cur],(FrmBB1[PrjId]=TEXT($B175,"@"))*(FrmBB1[Row]=$E175)*(FrmBB1[Column]=UPPER(_xlfn.LET(_xlpm.x,_xlfn.TEXTBEFORE(S$114," ("),IFERROR(_xlpm.x,S$114)))&amp;" "&amp;S$115),0)))</f>
        <v>0</v>
      </c>
      <c r="T175" s="157" cm="1">
        <f t="array" aca="1" ref="T175" ca="1">IF(OR($E175="X",$E175="",$E175=0,$B175="X",$B175="",$B175=0),0,SUM(_xlfn._xlws.FILTER(FrmBB1[Cur],(FrmBB1[PrjId]=TEXT($B175,"@"))*(FrmBB1[Row]=$E175)*(FrmBB1[Column]=UPPER(_xlfn.LET(_xlpm.x,_xlfn.TEXTBEFORE(S$114," ("),IFERROR(_xlpm.x,S$114)))&amp;" "&amp;T$115),0)))</f>
        <v>0</v>
      </c>
      <c r="U175" s="158" cm="1">
        <f t="array" aca="1" ref="U175" ca="1">IF(OR($E175="X",$E175="",$E175=0,$B175="X",$B175="",$B175=0),0,SUM(_xlfn._xlws.FILTER(FrmBB1[Cur],(FrmBB1[PrjId]=TEXT($B175,"@"))*(FrmBB1[Row]=$E175)*(FrmBB1[Column]=UPPER(_xlfn.LET(_xlpm.x,_xlfn.TEXTBEFORE(U$114," ("),IFERROR(_xlpm.x,U$114)))&amp;" "&amp;U$115),0)))</f>
        <v>0</v>
      </c>
      <c r="V175" s="157" cm="1">
        <f t="array" aca="1" ref="V175" ca="1">IF(OR($E175="X",$E175="",$E175=0,$B175="X",$B175="",$B175=0),0,SUM(_xlfn._xlws.FILTER(FrmBB1[Cur],(FrmBB1[PrjId]=TEXT($B175,"@"))*(FrmBB1[Row]=$E175)*(FrmBB1[Column]=UPPER(_xlfn.LET(_xlpm.x,_xlfn.TEXTBEFORE(U$114," ("),IFERROR(_xlpm.x,U$114)))&amp;" "&amp;V$115),0)))</f>
        <v>0</v>
      </c>
      <c r="W175" s="158" cm="1">
        <f t="array" aca="1" ref="W175" ca="1">IF(OR($E175="X",$E175="",$E175=0,$B175="X",$B175="",$B175=0),0,SUM(_xlfn._xlws.FILTER(FrmBB1[Cur],(FrmBB1[PrjId]=TEXT($B175,"@"))*(FrmBB1[Row]=$E175)*(FrmBB1[Column]=UPPER(_xlfn.LET(_xlpm.x,_xlfn.TEXTBEFORE(W$114," ("),IFERROR(_xlpm.x,W$114)))&amp;" "&amp;W$115),0)))</f>
        <v>0</v>
      </c>
      <c r="X175" s="157" cm="1">
        <f t="array" aca="1" ref="X175" ca="1">IF(OR($E175="X",$E175="",$E175=0,$B175="X",$B175="",$B175=0),0,SUM(_xlfn._xlws.FILTER(FrmBB1[Cur],(FrmBB1[PrjId]=TEXT($B175,"@"))*(FrmBB1[Row]=$E175)*(FrmBB1[Column]=UPPER(_xlfn.LET(_xlpm.x,_xlfn.TEXTBEFORE(W$114," ("),IFERROR(_xlpm.x,W$114)))&amp;" "&amp;X$115),0)))</f>
        <v>0</v>
      </c>
      <c r="Y175" s="158" cm="1">
        <f t="array" aca="1" ref="Y175" ca="1">IF(OR($E175="X",$E175="",$E175=0,$B175="X",$B175="",$B175=0),0,SUM(_xlfn._xlws.FILTER(FrmBB1[Cur],(FrmBB1[PrjId]=TEXT($B175,"@"))*(FrmBB1[Row]=$E175)*(FrmBB1[Column]=UPPER(_xlfn.LET(_xlpm.x,_xlfn.TEXTBEFORE(Y$114," ("),IFERROR(_xlpm.x,Y$114)))&amp;" "&amp;Y$115),0)))</f>
        <v>0</v>
      </c>
      <c r="Z175" s="157" cm="1">
        <f t="array" aca="1" ref="Z175" ca="1">IF(OR($E175="X",$E175="",$E175=0,$B175="X",$B175="",$B175=0),0,SUM(_xlfn._xlws.FILTER(FrmBB1[Cur],(FrmBB1[PrjId]=TEXT($B175,"@"))*(FrmBB1[Row]=$E175)*(FrmBB1[Column]=UPPER(_xlfn.LET(_xlpm.x,_xlfn.TEXTBEFORE(Y$114," ("),IFERROR(_xlpm.x,Y$114)))&amp;" "&amp;Z$115),0)))</f>
        <v>0</v>
      </c>
      <c r="AA175" s="158" cm="1">
        <f t="array" aca="1" ref="AA175" ca="1">IF(OR($E175="X",$E175="",$E175=0,$B175="X",$B175="",$B175=0),0,SUM(_xlfn._xlws.FILTER(FrmBB1[Cur],(FrmBB1[PrjId]=TEXT($B175,"@"))*(FrmBB1[Row]=$E175)*(FrmBB1[Column]=UPPER(_xlfn.LET(_xlpm.x,_xlfn.TEXTBEFORE(AA$114," ("),IFERROR(_xlpm.x,AA$114)))&amp;" "&amp;AA$115),0)))</f>
        <v>0</v>
      </c>
      <c r="AB175" s="157" cm="1">
        <f t="array" aca="1" ref="AB175" ca="1">IF(OR($E175="X",$E175="",$E175=0,$B175="X",$B175="",$B175=0),0,SUM(_xlfn._xlws.FILTER(FrmBB1[Cur],(FrmBB1[PrjId]=TEXT($B175,"@"))*(FrmBB1[Row]=$E175)*(FrmBB1[Column]=UPPER(_xlfn.LET(_xlpm.x,_xlfn.TEXTBEFORE(AA$114," ("),IFERROR(_xlpm.x,AA$114)))&amp;" "&amp;AB$115),0)))</f>
        <v>0</v>
      </c>
      <c r="AC175" s="158" cm="1">
        <f t="array" aca="1" ref="AC175" ca="1">IF(OR($E175="X",$E175="",$E175=0,$B175="X",$B175="",$B175=0),0,SUM(_xlfn._xlws.FILTER(FrmBB1[Cur],(FrmBB1[PrjId]=TEXT($B175,"@"))*(FrmBB1[Row]=$E175)*(FrmBB1[Column]=UPPER(_xlfn.LET(_xlpm.x,_xlfn.TEXTBEFORE(AC$114," ("),IFERROR(_xlpm.x,AC$114)))&amp;" "&amp;AC$115),0)))</f>
        <v>0</v>
      </c>
      <c r="AD175" s="157" cm="1">
        <f t="array" aca="1" ref="AD175" ca="1">IF(OR($E175="X",$E175="",$E175=0,$B175="X",$B175="",$B175=0),0,SUM(_xlfn._xlws.FILTER(FrmBB1[Cur],(FrmBB1[PrjId]=TEXT($B175,"@"))*(FrmBB1[Row]=$E175)*(FrmBB1[Column]=UPPER(_xlfn.LET(_xlpm.x,_xlfn.TEXTBEFORE(AC$114," ("),IFERROR(_xlpm.x,AC$114)))&amp;" "&amp;AD$115),0)))</f>
        <v>0</v>
      </c>
      <c r="AE175" s="158" cm="1">
        <f t="array" aca="1" ref="AE175" ca="1">IF(OR($E175="X",$E175="",$E175=0,$B175="X",$B175="",$B175=0),0,SUM(_xlfn._xlws.FILTER(FrmBB1[Cur],(FrmBB1[PrjId]=TEXT($B175,"@"))*(FrmBB1[Row]=$E175)*(FrmBB1[Column]=UPPER(_xlfn.LET(_xlpm.x,_xlfn.TEXTBEFORE(AE$114," ("),IFERROR(_xlpm.x,AE$114)))&amp;" "&amp;AE$115),0)))</f>
        <v>0</v>
      </c>
      <c r="AF175" s="157" cm="1">
        <f t="array" aca="1" ref="AF175" ca="1">IF(OR($E175="X",$E175="",$E175=0,$B175="X",$B175="",$B175=0),0,SUM(_xlfn._xlws.FILTER(FrmBB1[Cur],(FrmBB1[PrjId]=TEXT($B175,"@"))*(FrmBB1[Row]=$E175)*(FrmBB1[Column]=UPPER(_xlfn.LET(_xlpm.x,_xlfn.TEXTBEFORE(AE$114," ("),IFERROR(_xlpm.x,AE$114)))&amp;" "&amp;AF$115),0)))</f>
        <v>0</v>
      </c>
      <c r="AG175" s="158" cm="1">
        <f t="array" aca="1" ref="AG175" ca="1">IF(OR($E175="X",$E175="",$E175=0,$B175="X",$B175="",$B175=0),0,SUM(_xlfn._xlws.FILTER(FrmBB1[Cur],(FrmBB1[PrjId]=TEXT($B175,"@"))*(FrmBB1[Row]=$E175)*(FrmBB1[Column]=UPPER(_xlfn.LET(_xlpm.x,_xlfn.TEXTBEFORE(AG$114," ("),IFERROR(_xlpm.x,AG$114)))&amp;" "&amp;AG$115),0)))</f>
        <v>0</v>
      </c>
      <c r="AH175" s="157" cm="1">
        <f t="array" aca="1" ref="AH175" ca="1">IF(OR($E175="X",$E175="",$E175=0,$B175="X",$B175="",$B175=0),0,SUM(_xlfn._xlws.FILTER(FrmBB1[Cur],(FrmBB1[PrjId]=TEXT($B175,"@"))*(FrmBB1[Row]=$E175)*(FrmBB1[Column]=UPPER(_xlfn.LET(_xlpm.x,_xlfn.TEXTBEFORE(AG$114," ("),IFERROR(_xlpm.x,AG$114)))&amp;" "&amp;AH$115),0)))</f>
        <v>0</v>
      </c>
      <c r="AI175" s="158" cm="1">
        <f t="array" aca="1" ref="AI175" ca="1">IF(OR($E175="X",$E175="",$E175=0,$B175="X",$B175="",$B175=0),0,SUM(_xlfn._xlws.FILTER(FrmBB1[Cur],(FrmBB1[PrjId]=TEXT($B175,"@"))*(FrmBB1[Row]=$E175)*(FrmBB1[Column]=UPPER(_xlfn.LET(_xlpm.x,_xlfn.TEXTBEFORE(AI$114," ("),IFERROR(_xlpm.x,AI$114)))&amp;" "&amp;AI$115),0)))</f>
        <v>0</v>
      </c>
      <c r="AJ175" s="157" cm="1">
        <f t="array" aca="1" ref="AJ175" ca="1">IF(OR($E175="X",$E175="",$E175=0,$B175="X",$B175="",$B175=0),0,SUM(_xlfn._xlws.FILTER(FrmBB1[Cur],(FrmBB1[PrjId]=TEXT($B175,"@"))*(FrmBB1[Row]=$E175)*(FrmBB1[Column]=UPPER(_xlfn.LET(_xlpm.x,_xlfn.TEXTBEFORE(AI$114," ("),IFERROR(_xlpm.x,AI$114)))&amp;" "&amp;AJ$115),0)))</f>
        <v>0</v>
      </c>
      <c r="AK175" s="158" cm="1">
        <f t="array" aca="1" ref="AK175" ca="1">IF(OR($E175="X",$E175="",$E175=0,$B175="X",$B175="",$B175=0),0,SUM(_xlfn._xlws.FILTER(FrmBB1[Cur],(FrmBB1[PrjId]=TEXT($B175,"@"))*(FrmBB1[Row]=$E175)*(FrmBB1[Column]=UPPER(_xlfn.LET(_xlpm.x,_xlfn.TEXTBEFORE(AK$114," ("),IFERROR(_xlpm.x,AK$114)))&amp;" "&amp;AK$115),0)))</f>
        <v>0</v>
      </c>
      <c r="AL175" s="157" cm="1">
        <f t="array" aca="1" ref="AL175" ca="1">IF(OR($E175="X",$E175="",$E175=0,$B175="X",$B175="",$B175=0),0,SUM(_xlfn._xlws.FILTER(FrmBB1[Cur],(FrmBB1[PrjId]=TEXT($B175,"@"))*(FrmBB1[Row]=$E175)*(FrmBB1[Column]=UPPER(_xlfn.LET(_xlpm.x,_xlfn.TEXTBEFORE(AK$114," ("),IFERROR(_xlpm.x,AK$114)))&amp;" "&amp;AL$115),0)))</f>
        <v>0</v>
      </c>
      <c r="AM175" s="158" cm="1">
        <f t="array" aca="1" ref="AM175" ca="1">IF(OR($E175="X",$E175="",$E175=0,$B175="X",$B175="",$B175=0),0,SUM(_xlfn._xlws.FILTER(FrmBB1[Cur],(FrmBB1[PrjId]=TEXT($B175,"@"))*(FrmBB1[Row]=$E175)*(FrmBB1[Column]=UPPER(_xlfn.LET(_xlpm.x,_xlfn.TEXTBEFORE(AM$114," ("),IFERROR(_xlpm.x,AM$114)))&amp;" "&amp;AM$115),0)))</f>
        <v>0</v>
      </c>
      <c r="AN175" s="157" cm="1">
        <f t="array" aca="1" ref="AN175" ca="1">IF(OR($E175="X",$E175="",$E175=0,$B175="X",$B175="",$B175=0),0,SUM(_xlfn._xlws.FILTER(FrmBB1[Cur],(FrmBB1[PrjId]=TEXT($B175,"@"))*(FrmBB1[Row]=$E175)*(FrmBB1[Column]=UPPER(_xlfn.LET(_xlpm.x,_xlfn.TEXTBEFORE(AM$114," ("),IFERROR(_xlpm.x,AM$114)))&amp;" "&amp;AN$115),0)))</f>
        <v>0</v>
      </c>
      <c r="AO175" s="158" cm="1">
        <f t="array" aca="1" ref="AO175" ca="1">IF(OR($E175="X",$E175="",$E175=0,$B175="X",$B175="",$B175=0),0,SUM(_xlfn._xlws.FILTER(FrmBB1[Cur],(FrmBB1[PrjId]=TEXT($B175,"@"))*(FrmBB1[Row]=$E175)*(FrmBB1[Column]=UPPER(_xlfn.LET(_xlpm.x,_xlfn.TEXTBEFORE(AO$114," ("),IFERROR(_xlpm.x,AO$114)))&amp;" "&amp;AO$115),0)))</f>
        <v>0</v>
      </c>
      <c r="AP175" s="157" cm="1">
        <f t="array" aca="1" ref="AP175" ca="1">IF(OR($E175="X",$E175="",$E175=0,$B175="X",$B175="",$B175=0),0,SUM(_xlfn._xlws.FILTER(FrmBB1[Cur],(FrmBB1[PrjId]=TEXT($B175,"@"))*(FrmBB1[Row]=$E175)*(FrmBB1[Column]=UPPER(_xlfn.LET(_xlpm.x,_xlfn.TEXTBEFORE(AO$114," ("),IFERROR(_xlpm.x,AO$114)))&amp;" "&amp;AP$115),0)))</f>
        <v>0</v>
      </c>
      <c r="AQ175" s="157" cm="1">
        <f t="array" aca="1" ref="AQ175" ca="1">SUM(IF(INDIRECT($AS$115)=AQ$115,INDIRECT($AS175)))</f>
        <v>13613.880000000001</v>
      </c>
      <c r="AR175" s="157" cm="1">
        <f t="array" aca="1" ref="AR175" ca="1">SUM(IF(INDIRECT($AS$115)=AR$115,INDIRECT($AS175)))</f>
        <v>0</v>
      </c>
      <c r="AS175" s="286" t="str">
        <f t="shared" ca="1" si="15"/>
        <v>G175:AP175</v>
      </c>
      <c r="AT175" s="403">
        <f t="shared" ca="1" si="14"/>
        <v>13613.880000000001</v>
      </c>
      <c r="AV175" s="142" cm="1">
        <f t="array" aca="1" ref="AV175" ca="1">IF(AND(_xlfn.LET(_xlpm.x,SUM(ROW()),OR(AND(MATCH("SOT",$A:$A,0)&lt;_xlpm.x,MATCH("EOT",$A:$A,0)&gt;_xlpm.x),AND(MATCH("SOS",$A:$A,0)&lt;_xlpm.x,MATCH("EOS",$A:$A,0)&gt;_xlpm.x),AND(MATCH("SOR",$A:$A,0)&lt;_xlpm.x,MATCH("EOR",$A:$A,0)&gt;_xlpm.x))),INDIRECT("rc"&amp;MATCH("SCD",$1:$1,0),FALSE)="PPTO"),1,0)</f>
        <v>0</v>
      </c>
      <c r="AW175" s="142" cm="1">
        <f t="array" aca="1" ref="AW17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76" spans="2:49" outlineLevel="1">
      <c r="B176" s="156" t="str" cm="1">
        <f t="array" aca="1" ref="B176:E176" ca="1">_xlfn.LET(_xlpm.x,SUM(ROW()-MATCH("SOR",$A:$A,0)),_xlpm.y,IFERROR(_xlfn.TAKE(INDEX(_xlfn._xlws.FILTER(TbAssign[],ISNUMBER(FIND(TbAssign[Project],$C$4)),"X"),1+QUOTIENT(_xlpm.x,3),0),1,4),0),IF(MOD(_xlpm.x-1,3)=0,IF(_xlpm.y=0,"X",_xlpm.y),INDIRECT("r[-1]c#",FALSE)))</f>
        <v>31200</v>
      </c>
      <c r="C176" s="156" t="str">
        <f ca="1"/>
        <v>XA01</v>
      </c>
      <c r="D176" s="148" t="str">
        <f ca="1"/>
        <v>GSGT</v>
      </c>
      <c r="E176" s="352" t="str">
        <f ca="1"/>
        <v>GASTOS GENERALES</v>
      </c>
      <c r="F176" s="148" t="s">
        <v>397</v>
      </c>
      <c r="G176" s="157" cm="1">
        <f t="array" aca="1" ref="G176" ca="1">IF(OR($E176="X",$E176="",$E176=0,$B176="X",$B176="",$B176=0),0,SUM(_xlfn._xlws.FILTER(IF($E$4="Ppto",PptoSty[CurPpto],PptoSty[CurInt]),(IF($E$4="Ppto",PptoSty[POvsCT]=G$113,TRUE))*(PptoSty[Project]=TEXT($B176,"@"))*(PptoSty[PptoVsRow]=$E176)*(PptoSty[PptoVsColumn]=UPPER(G$114)),0)))</f>
        <v>0</v>
      </c>
      <c r="H176" s="157" cm="1">
        <f t="array" aca="1" ref="H176" ca="1">IF(OR($E176="X",$E176="",$E176=0,$B176="X",$B176="",$B176=0),0,SUM(_xlfn._xlws.FILTER(IF($E$4="Ppto",PptoSty[CurPpto],PptoSty[CurExt]),(IF($E$4="Ppto",PptoSty[POvsCT]=H$113,TRUE))*(PptoSty[Project]=TEXT($B176,"@"))*(PptoSty[PptoVsRow]=$E176)*(PptoSty[PptoVsColumn]=UPPER(G$114)),0)))</f>
        <v>0</v>
      </c>
      <c r="I176" s="157" cm="1">
        <f t="array" aca="1" ref="I176" ca="1">IF(OR($E176="X",$E176="",$E176=0,$B176="X",$B176="",$B176=0),0,SUM(_xlfn._xlws.FILTER(IF($E$4="Ppto",PptoSty[CurPpto],PptoSty[CurInt]),(IF($E$4="Ppto",PptoSty[POvsCT]=I$113,TRUE))*(PptoSty[Project]=TEXT($B176,"@"))*(PptoSty[PptoVsRow]=$E176)*(PptoSty[PptoVsColumn]=UPPER(I$114)),0)))</f>
        <v>0</v>
      </c>
      <c r="J176" s="157" cm="1">
        <f t="array" aca="1" ref="J176" ca="1">IF(OR($E176="X",$E176="",$E176=0,$B176="X",$B176="",$B176=0),0,SUM(_xlfn._xlws.FILTER(IF($E$4="Ppto",PptoSty[CurPpto],PptoSty[CurExt]),(IF($E$4="Ppto",PptoSty[POvsCT]=J$113,TRUE))*(PptoSty[Project]=TEXT($B176,"@"))*(PptoSty[PptoVsRow]=$E176)*(PptoSty[PptoVsColumn]=UPPER(I$114)),0)))</f>
        <v>0</v>
      </c>
      <c r="K176" s="157" cm="1">
        <f t="array" aca="1" ref="K176" ca="1">IF(OR($E176="X",$E176="",$E176=0,$B176="X",$B176="",$B176=0),0,SUM(_xlfn._xlws.FILTER(IF($E$4="Ppto",PptoSty[CurPpto],PptoSty[CurInt]),(IF($E$4="Ppto",PptoSty[POvsCT]=K$113,TRUE))*(PptoSty[Project]=TEXT($B176,"@"))*(PptoSty[PptoVsRow]=$E176)*(PptoSty[PptoVsColumn]=UPPER(K$114)),0)))</f>
        <v>0</v>
      </c>
      <c r="L176" s="157" cm="1">
        <f t="array" aca="1" ref="L176" ca="1">IF(OR($E176="X",$E176="",$E176=0,$B176="X",$B176="",$B176=0),0,SUM(_xlfn._xlws.FILTER(IF($E$4="Ppto",PptoSty[CurPpto],PptoSty[CurExt]),(IF($E$4="Ppto",PptoSty[POvsCT]=L$113,TRUE))*(PptoSty[Project]=TEXT($B176,"@"))*(PptoSty[PptoVsRow]=$E176)*(PptoSty[PptoVsColumn]=UPPER(K$114)),0)))</f>
        <v>0</v>
      </c>
      <c r="M176" s="157" cm="1">
        <f t="array" aca="1" ref="M176" ca="1">IF(OR($E176="X",$E176="",$E176=0,$B176="X",$B176="",$B176=0),0,SUM(_xlfn._xlws.FILTER(IF($E$4="Ppto",PptoSty[CurPpto],PptoSty[CurInt]),(IF($E$4="Ppto",PptoSty[POvsCT]=M$113,TRUE))*(PptoSty[Project]=TEXT($B176,"@"))*(PptoSty[PptoVsRow]=$E176)*(PptoSty[PptoVsColumn]=UPPER(M$114)),0)))</f>
        <v>0</v>
      </c>
      <c r="N176" s="157" cm="1">
        <f t="array" aca="1" ref="N176" ca="1">IF(OR($E176="X",$E176="",$E176=0,$B176="X",$B176="",$B176=0),0,SUM(_xlfn._xlws.FILTER(IF($E$4="Ppto",PptoSty[CurPpto],PptoSty[CurExt]),(IF($E$4="Ppto",PptoSty[POvsCT]=N$113,TRUE))*(PptoSty[Project]=TEXT($B176,"@"))*(PptoSty[PptoVsRow]=$E176)*(PptoSty[PptoVsColumn]=UPPER(M$114)),0)))</f>
        <v>0</v>
      </c>
      <c r="O176" s="157" cm="1">
        <f t="array" aca="1" ref="O176" ca="1">IF(OR($E176="X",$E176="",$E176=0,$B176="X",$B176="",$B176=0),0,SUM(_xlfn._xlws.FILTER(IF($E$4="Ppto",PptoSty[CurPpto],PptoSty[CurInt]),(IF($E$4="Ppto",PptoSty[POvsCT]=O$113,TRUE))*(PptoSty[Project]=TEXT($B176,"@"))*(PptoSty[PptoVsRow]=$E176)*(PptoSty[PptoVsColumn]=UPPER(O$114)),0)))</f>
        <v>0</v>
      </c>
      <c r="P176" s="157" cm="1">
        <f t="array" aca="1" ref="P176" ca="1">IF(OR($E176="X",$E176="",$E176=0,$B176="X",$B176="",$B176=0),0,SUM(_xlfn._xlws.FILTER(IF($E$4="Ppto",PptoSty[CurPpto],PptoSty[CurExt]),(IF($E$4="Ppto",PptoSty[POvsCT]=P$113,TRUE))*(PptoSty[Project]=TEXT($B176,"@"))*(PptoSty[PptoVsRow]=$E176)*(PptoSty[PptoVsColumn]=UPPER(O$114)),0)))</f>
        <v>0</v>
      </c>
      <c r="Q176" s="157" cm="1">
        <f t="array" aca="1" ref="Q176" ca="1">IF(OR($E176="X",$E176="",$E176=0,$B176="X",$B176="",$B176=0),0,SUM(_xlfn._xlws.FILTER(IF($E$4="Ppto",PptoSty[CurPpto],PptoSty[CurInt]),(IF($E$4="Ppto",PptoSty[POvsCT]=Q$113,TRUE))*(PptoSty[Project]=TEXT($B176,"@"))*(PptoSty[PptoVsRow]=$E176)*(PptoSty[PptoVsColumn]=UPPER(Q$114)),0)))</f>
        <v>0</v>
      </c>
      <c r="R176" s="157" cm="1">
        <f t="array" aca="1" ref="R176" ca="1">IF(OR($E176="X",$E176="",$E176=0,$B176="X",$B176="",$B176=0),0,SUM(_xlfn._xlws.FILTER(IF($E$4="Ppto",PptoSty[CurPpto],PptoSty[CurExt]),(IF($E$4="Ppto",PptoSty[POvsCT]=R$113,TRUE))*(PptoSty[Project]=TEXT($B176,"@"))*(PptoSty[PptoVsRow]=$E176)*(PptoSty[PptoVsColumn]=UPPER(Q$114)),0)))</f>
        <v>0</v>
      </c>
      <c r="S176" s="157" cm="1">
        <f t="array" aca="1" ref="S176" ca="1">IF(OR($E176="X",$E176="",$E176=0,$B176="X",$B176="",$B176=0),0,SUM(_xlfn._xlws.FILTER(IF($E$4="Ppto",PptoSty[CurPpto],PptoSty[CurInt]),(IF($E$4="Ppto",PptoSty[POvsCT]=S$113,TRUE))*(PptoSty[Project]=TEXT($B176,"@"))*(PptoSty[PptoVsRow]=$E176)*(PptoSty[PptoVsColumn]=UPPER(S$114)),0)))</f>
        <v>0</v>
      </c>
      <c r="T176" s="157" cm="1">
        <f t="array" aca="1" ref="T176" ca="1">IF(OR($E176="X",$E176="",$E176=0,$B176="X",$B176="",$B176=0),0,SUM(_xlfn._xlws.FILTER(IF($E$4="Ppto",PptoSty[CurPpto],PptoSty[CurExt]),(IF($E$4="Ppto",PptoSty[POvsCT]=T$113,TRUE))*(PptoSty[Project]=TEXT($B176,"@"))*(PptoSty[PptoVsRow]=$E176)*(PptoSty[PptoVsColumn]=UPPER(S$114)),0)))</f>
        <v>0</v>
      </c>
      <c r="U176" s="157" cm="1">
        <f t="array" aca="1" ref="U176" ca="1">IF(OR($E176="X",$E176="",$E176=0,$B176="X",$B176="",$B176=0),0,SUM(_xlfn._xlws.FILTER(IF($E$4="Ppto",PptoSty[CurPpto],PptoSty[CurInt]),(IF($E$4="Ppto",PptoSty[POvsCT]=U$113,TRUE))*(PptoSty[Project]=TEXT($B176,"@"))*(PptoSty[PptoVsRow]=$E176)*(PptoSty[PptoVsColumn]=UPPER(U$114)),0)))</f>
        <v>0</v>
      </c>
      <c r="V176" s="157" cm="1">
        <f t="array" aca="1" ref="V176" ca="1">IF(OR($E176="X",$E176="",$E176=0,$B176="X",$B176="",$B176=0),0,SUM(_xlfn._xlws.FILTER(IF($E$4="Ppto",PptoSty[CurPpto],PptoSty[CurExt]),(IF($E$4="Ppto",PptoSty[POvsCT]=V$113,TRUE))*(PptoSty[Project]=TEXT($B176,"@"))*(PptoSty[PptoVsRow]=$E176)*(PptoSty[PptoVsColumn]=UPPER(U$114)),0)))</f>
        <v>0</v>
      </c>
      <c r="W176" s="157" cm="1">
        <f t="array" aca="1" ref="W176" ca="1">IF(OR($E176="X",$E176="",$E176=0,$B176="X",$B176="",$B176=0),0,SUM(_xlfn._xlws.FILTER(IF($E$4="Ppto",PptoSty[CurPpto],PptoSty[CurInt]),(IF($E$4="Ppto",PptoSty[POvsCT]=W$113,TRUE))*(PptoSty[Project]=TEXT($B176,"@"))*(PptoSty[PptoVsRow]=$E176)*(PptoSty[PptoVsColumn]=UPPER(W$114)),0)))</f>
        <v>0</v>
      </c>
      <c r="X176" s="157" cm="1">
        <f t="array" aca="1" ref="X176" ca="1">IF(OR($E176="X",$E176="",$E176=0,$B176="X",$B176="",$B176=0),0,SUM(_xlfn._xlws.FILTER(IF($E$4="Ppto",PptoSty[CurPpto],PptoSty[CurExt]),(IF($E$4="Ppto",PptoSty[POvsCT]=X$113,TRUE))*(PptoSty[Project]=TEXT($B176,"@"))*(PptoSty[PptoVsRow]=$E176)*(PptoSty[PptoVsColumn]=UPPER(W$114)),0)))</f>
        <v>0</v>
      </c>
      <c r="Y176" s="157" cm="1">
        <f t="array" aca="1" ref="Y176" ca="1">IF(OR($E176="X",$E176="",$E176=0,$B176="X",$B176="",$B176=0),0,SUM(_xlfn._xlws.FILTER(IF($E$4="Ppto",PptoSty[CurPpto],PptoSty[CurInt]),(IF($E$4="Ppto",PptoSty[POvsCT]=Y$113,TRUE))*(PptoSty[Project]=TEXT($B176,"@"))*(PptoSty[PptoVsRow]=$E176)*(PptoSty[PptoVsColumn]=UPPER(Y$114)),0)))</f>
        <v>0</v>
      </c>
      <c r="Z176" s="157" cm="1">
        <f t="array" aca="1" ref="Z176" ca="1">IF(OR($E176="X",$E176="",$E176=0,$B176="X",$B176="",$B176=0),0,SUM(_xlfn._xlws.FILTER(IF($E$4="Ppto",PptoSty[CurPpto],PptoSty[CurExt]),(IF($E$4="Ppto",PptoSty[POvsCT]=Z$113,TRUE))*(PptoSty[Project]=TEXT($B176,"@"))*(PptoSty[PptoVsRow]=$E176)*(PptoSty[PptoVsColumn]=UPPER(Y$114)),0)))</f>
        <v>0</v>
      </c>
      <c r="AA176" s="157" cm="1">
        <f t="array" aca="1" ref="AA176" ca="1">IF(OR($E176="X",$E176="",$E176=0,$B176="X",$B176="",$B176=0),0,SUM(_xlfn._xlws.FILTER(IF($E$4="Ppto",PptoSty[CurPpto],PptoSty[CurInt]),(IF($E$4="Ppto",PptoSty[POvsCT]=AA$113,TRUE))*(PptoSty[Project]=TEXT($B176,"@"))*(PptoSty[PptoVsRow]=$E176)*(PptoSty[PptoVsColumn]=UPPER(AA$114)),0)))</f>
        <v>0</v>
      </c>
      <c r="AB176" s="157" cm="1">
        <f t="array" aca="1" ref="AB176" ca="1">IF(OR($E176="X",$E176="",$E176=0,$B176="X",$B176="",$B176=0),0,SUM(_xlfn._xlws.FILTER(IF($E$4="Ppto",PptoSty[CurPpto],PptoSty[CurExt]),(IF($E$4="Ppto",PptoSty[POvsCT]=AB$113,TRUE))*(PptoSty[Project]=TEXT($B176,"@"))*(PptoSty[PptoVsRow]=$E176)*(PptoSty[PptoVsColumn]=UPPER(AA$114)),0)))</f>
        <v>0</v>
      </c>
      <c r="AC176" s="157" cm="1">
        <f t="array" aca="1" ref="AC176" ca="1">IF(OR($E176="X",$E176="",$E176=0,$B176="X",$B176="",$B176=0),0,SUM(_xlfn._xlws.FILTER(IF($E$4="Ppto",PptoSty[CurPpto],PptoSty[CurInt]),(IF($E$4="Ppto",PptoSty[POvsCT]=AC$113,TRUE))*(PptoSty[Project]=TEXT($B176,"@"))*(PptoSty[PptoVsRow]=$E176)*(PptoSty[PptoVsColumn]=UPPER(AC$114)),0)))</f>
        <v>0</v>
      </c>
      <c r="AD176" s="157" cm="1">
        <f t="array" aca="1" ref="AD176" ca="1">IF(OR($E176="X",$E176="",$E176=0,$B176="X",$B176="",$B176=0),0,SUM(_xlfn._xlws.FILTER(IF($E$4="Ppto",PptoSty[CurPpto],PptoSty[CurExt]),(IF($E$4="Ppto",PptoSty[POvsCT]=AD$113,TRUE))*(PptoSty[Project]=TEXT($B176,"@"))*(PptoSty[PptoVsRow]=$E176)*(PptoSty[PptoVsColumn]=UPPER(AC$114)),0)))</f>
        <v>0</v>
      </c>
      <c r="AE176" s="157" cm="1">
        <f t="array" aca="1" ref="AE176" ca="1">IF(OR($E176="X",$E176="",$E176=0,$B176="X",$B176="",$B176=0),0,SUM(_xlfn._xlws.FILTER(IF($E$4="Ppto",PptoSty[CurPpto],PptoSty[CurInt]),(IF($E$4="Ppto",PptoSty[POvsCT]=AE$113,TRUE))*(PptoSty[Project]=TEXT($B176,"@"))*(PptoSty[PptoVsRow]=$E176)*(PptoSty[PptoVsColumn]=UPPER(AE$114)),0)))</f>
        <v>0</v>
      </c>
      <c r="AF176" s="157" cm="1">
        <f t="array" aca="1" ref="AF176" ca="1">IF(OR($E176="X",$E176="",$E176=0,$B176="X",$B176="",$B176=0),0,SUM(_xlfn._xlws.FILTER(IF($E$4="Ppto",PptoSty[CurPpto],PptoSty[CurExt]),(IF($E$4="Ppto",PptoSty[POvsCT]=AF$113,TRUE))*(PptoSty[Project]=TEXT($B176,"@"))*(PptoSty[PptoVsRow]=$E176)*(PptoSty[PptoVsColumn]=UPPER(AE$114)),0)))</f>
        <v>0</v>
      </c>
      <c r="AG176" s="157" cm="1">
        <f t="array" aca="1" ref="AG176" ca="1">IF(OR($E176="X",$E176="",$E176=0,$B176="X",$B176="",$B176=0),0,SUM(_xlfn._xlws.FILTER(IF($E$4="Ppto",PptoSty[CurPpto],PptoSty[CurInt]),(IF($E$4="Ppto",PptoSty[POvsCT]=AG$113,TRUE))*(PptoSty[Project]=TEXT($B176,"@"))*(PptoSty[PptoVsRow]=$E176)*(PptoSty[PptoVsColumn]=UPPER(AG$114)),0)))</f>
        <v>0</v>
      </c>
      <c r="AH176" s="157" cm="1">
        <f t="array" aca="1" ref="AH176" ca="1">IF(OR($E176="X",$E176="",$E176=0,$B176="X",$B176="",$B176=0),0,SUM(_xlfn._xlws.FILTER(IF($E$4="Ppto",PptoSty[CurPpto],PptoSty[CurExt]),(IF($E$4="Ppto",PptoSty[POvsCT]=AH$113,TRUE))*(PptoSty[Project]=TEXT($B176,"@"))*(PptoSty[PptoVsRow]=$E176)*(PptoSty[PptoVsColumn]=UPPER(AG$114)),0)))</f>
        <v>0</v>
      </c>
      <c r="AI176" s="157" cm="1">
        <f t="array" aca="1" ref="AI176" ca="1">IF(OR($E176="X",$E176="",$E176=0,$B176="X",$B176="",$B176=0),0,SUM(_xlfn._xlws.FILTER(IF($E$4="Ppto",PptoSty[CurPpto],PptoSty[CurInt]),(IF($E$4="Ppto",PptoSty[POvsCT]=AI$113,TRUE))*(PptoSty[Project]=TEXT($B176,"@"))*(PptoSty[PptoVsRow]=$E176)*(PptoSty[PptoVsColumn]=UPPER(AI$114)),0)))</f>
        <v>0</v>
      </c>
      <c r="AJ176" s="157" cm="1">
        <f t="array" aca="1" ref="AJ176" ca="1">IF(OR($E176="X",$E176="",$E176=0,$B176="X",$B176="",$B176=0),0,SUM(_xlfn._xlws.FILTER(IF($E$4="Ppto",PptoSty[CurPpto],PptoSty[CurExt]),(IF($E$4="Ppto",PptoSty[POvsCT]=AJ$113,TRUE))*(PptoSty[Project]=TEXT($B176,"@"))*(PptoSty[PptoVsRow]=$E176)*(PptoSty[PptoVsColumn]=UPPER(AI$114)),0)))</f>
        <v>0</v>
      </c>
      <c r="AK176" s="157" cm="1">
        <f t="array" aca="1" ref="AK176" ca="1">IF(OR($E176="X",$E176="",$E176=0,$B176="X",$B176="",$B176=0),0,SUM(_xlfn._xlws.FILTER(IF($E$4="Ppto",PptoSty[CurPpto],PptoSty[CurInt]),(IF($E$4="Ppto",PptoSty[POvsCT]=AK$113,TRUE))*(PptoSty[Project]=TEXT($B176,"@"))*(PptoSty[PptoVsRow]=$E176)*(PptoSty[PptoVsColumn]=UPPER(AK$114)),0)))</f>
        <v>0</v>
      </c>
      <c r="AL176" s="157" cm="1">
        <f t="array" aca="1" ref="AL176" ca="1">IF(OR($E176="X",$E176="",$E176=0,$B176="X",$B176="",$B176=0),0,SUM(_xlfn._xlws.FILTER(IF($E$4="Ppto",PptoSty[CurPpto],PptoSty[CurExt]),(IF($E$4="Ppto",PptoSty[POvsCT]=AL$113,TRUE))*(PptoSty[Project]=TEXT($B176,"@"))*(PptoSty[PptoVsRow]=$E176)*(PptoSty[PptoVsColumn]=UPPER(AK$114)),0)))</f>
        <v>0</v>
      </c>
      <c r="AM176" s="157" cm="1">
        <f t="array" aca="1" ref="AM176" ca="1">IF(OR($E176="X",$E176="",$E176=0,$B176="X",$B176="",$B176=0),0,SUM(_xlfn._xlws.FILTER(IF($E$4="Ppto",PptoSty[CurPpto],PptoSty[CurInt]),(IF($E$4="Ppto",PptoSty[POvsCT]=AM$113,TRUE))*(PptoSty[Project]=TEXT($B176,"@"))*(PptoSty[PptoVsRow]=$E176)*(PptoSty[PptoVsColumn]=UPPER(AM$114)),0)))</f>
        <v>0</v>
      </c>
      <c r="AN176" s="157" cm="1">
        <f t="array" aca="1" ref="AN176" ca="1">IF(OR($E176="X",$E176="",$E176=0,$B176="X",$B176="",$B176=0),0,SUM(_xlfn._xlws.FILTER(IF($E$4="Ppto",PptoSty[CurPpto],PptoSty[CurExt]),(IF($E$4="Ppto",PptoSty[POvsCT]=AN$113,TRUE))*(PptoSty[Project]=TEXT($B176,"@"))*(PptoSty[PptoVsRow]=$E176)*(PptoSty[PptoVsColumn]=UPPER(AM$114)),0)))</f>
        <v>0</v>
      </c>
      <c r="AO176" s="157" cm="1">
        <f t="array" aca="1" ref="AO176" ca="1">IF(OR($E176="X",$E176="",$E176=0,$B176="X",$B176="",$B176=0),0,SUM(_xlfn._xlws.FILTER(IF($E$4="Ppto",PptoSty[CurPpto],PptoSty[CurInt]),(IF($E$4="Ppto",PptoSty[POvsCT]=AO$113,TRUE))*(PptoSty[Project]=TEXT($B176,"@"))*(PptoSty[PptoVsRow]=$E176)*(PptoSty[PptoVsColumn]=UPPER(AO$114)),0)))</f>
        <v>0</v>
      </c>
      <c r="AP176" s="157" cm="1">
        <f t="array" aca="1" ref="AP176" ca="1">IF(OR($E176="X",$E176="",$E176=0,$B176="X",$B176="",$B176=0),0,SUM(_xlfn._xlws.FILTER(IF($E$4="Ppto",PptoSty[CurPpto],PptoSty[CurExt]),(IF($E$4="Ppto",PptoSty[POvsCT]=AP$113,TRUE))*(PptoSty[Project]=TEXT($B176,"@"))*(PptoSty[PptoVsRow]=$E176)*(PptoSty[PptoVsColumn]=UPPER(AO$114)),0)))</f>
        <v>0</v>
      </c>
      <c r="AQ176" s="157" cm="1">
        <f t="array" aca="1" ref="AQ176" ca="1">SUM(IF(INDIRECT($AS$115)=AQ$115,INDIRECT($AS176)))</f>
        <v>0</v>
      </c>
      <c r="AR176" s="157" cm="1">
        <f t="array" aca="1" ref="AR176" ca="1">SUM(IF(INDIRECT($AS$115)=AR$115,INDIRECT($AS176)))</f>
        <v>0</v>
      </c>
      <c r="AS176" s="286" t="str">
        <f t="shared" ca="1" si="15"/>
        <v>G176:AP176</v>
      </c>
      <c r="AT176" s="403">
        <f t="shared" ca="1" si="14"/>
        <v>0</v>
      </c>
      <c r="AV176" s="142" cm="1">
        <f t="array" aca="1" ref="AV176" ca="1">IF(AND(_xlfn.LET(_xlpm.x,SUM(ROW()),OR(AND(MATCH("SOT",$A:$A,0)&lt;_xlpm.x,MATCH("EOT",$A:$A,0)&gt;_xlpm.x),AND(MATCH("SOS",$A:$A,0)&lt;_xlpm.x,MATCH("EOS",$A:$A,0)&gt;_xlpm.x),AND(MATCH("SOR",$A:$A,0)&lt;_xlpm.x,MATCH("EOR",$A:$A,0)&gt;_xlpm.x))),INDIRECT("rc"&amp;MATCH("SCD",$1:$1,0),FALSE)="PPTO"),1,0)</f>
        <v>1</v>
      </c>
      <c r="AW176" s="142" cm="1">
        <f t="array" aca="1" ref="AW17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77" spans="2:49" outlineLevel="1">
      <c r="B177" s="156" t="str" cm="1">
        <f t="array" aca="1" ref="B177:E177" ca="1">_xlfn.LET(_xlpm.x,SUM(ROW()-MATCH("SOR",$A:$A,0)),_xlpm.y,IFERROR(_xlfn.TAKE(INDEX(_xlfn._xlws.FILTER(TbAssign[],ISNUMBER(FIND(TbAssign[Project],$C$4)),"X"),1+QUOTIENT(_xlpm.x,3),0),1,4),0),IF(MOD(_xlpm.x-1,3)=0,IF(_xlpm.y=0,"X",_xlpm.y),INDIRECT("r[-1]c#",FALSE)))</f>
        <v>31200</v>
      </c>
      <c r="C177" s="156" t="str">
        <f ca="1"/>
        <v>XA01</v>
      </c>
      <c r="D177" s="148" t="str">
        <f ca="1"/>
        <v>GSGT</v>
      </c>
      <c r="E177" s="352" t="str">
        <f ca="1"/>
        <v>GASTOS GENERALES</v>
      </c>
      <c r="F177" s="148" t="s">
        <v>1382</v>
      </c>
      <c r="G177" s="157" cm="1">
        <f t="array" aca="1" ref="G177" ca="1">IF(OR($E177="X",$E177="",$E177=0,$B177="X",$B177="",$B177=0),0,SUM(_xlfn._xlws.FILTER(PrvSty[DsvValue:SERRA],(PrvSty[Project]=TEXT($B177,"@"))*(PrvSty[Row]=$E177)*(PrvSty[Column]=UPPER(G$114)),0)))</f>
        <v>0</v>
      </c>
      <c r="H177" s="157" cm="1">
        <f t="array" aca="1" ref="H177" ca="1">IF(OR($E177="X",$E177="",$E177=0,$B177="X",$B177="",$B177=0),0,SUM(_xlfn._xlws.FILTER(PrvSty[DsvValue:EXT.],(PrvSty[Project]=TEXT($B177,"@"))*(PrvSty[Row]=$E177)*(PrvSty[Column]=UPPER(G$114)),0)))</f>
        <v>0</v>
      </c>
      <c r="I177" s="157" cm="1">
        <f t="array" aca="1" ref="I177" ca="1">IF(OR($E177="X",$E177="",$E177=0,$B177="X",$B177="",$B177=0),0,SUM(_xlfn._xlws.FILTER(PrvSty[DsvValue:SERRA],(PrvSty[Project]=TEXT($B177,"@"))*(PrvSty[Row]=$E177)*(PrvSty[Column]=UPPER(I$114)),0)))</f>
        <v>0</v>
      </c>
      <c r="J177" s="157" cm="1">
        <f t="array" aca="1" ref="J177" ca="1">IF(OR($E177="X",$E177="",$E177=0,$B177="X",$B177="",$B177=0),0,SUM(_xlfn._xlws.FILTER(PrvSty[DsvValue:EXT.],(PrvSty[Project]=TEXT($B177,"@"))*(PrvSty[Row]=$E177)*(PrvSty[Column]=UPPER(I$114)),0)))</f>
        <v>0</v>
      </c>
      <c r="K177" s="157" cm="1">
        <f t="array" aca="1" ref="K177" ca="1">IF(OR($E177="X",$E177="",$E177=0,$B177="X",$B177="",$B177=0),0,SUM(_xlfn._xlws.FILTER(PrvSty[DsvValue:SERRA],(PrvSty[Project]=TEXT($B177,"@"))*(PrvSty[Row]=$E177)*(PrvSty[Column]=UPPER(K$114)),0)))</f>
        <v>0</v>
      </c>
      <c r="L177" s="157" cm="1">
        <f t="array" aca="1" ref="L177" ca="1">IF(OR($E177="X",$E177="",$E177=0,$B177="X",$B177="",$B177=0),0,SUM(_xlfn._xlws.FILTER(PrvSty[DsvValue:EXT.],(PrvSty[Project]=TEXT($B177,"@"))*(PrvSty[Row]=$E177)*(PrvSty[Column]=UPPER(K$114)),0)))</f>
        <v>0</v>
      </c>
      <c r="M177" s="157" cm="1">
        <f t="array" aca="1" ref="M177" ca="1">IF(OR($E177="X",$E177="",$E177=0,$B177="X",$B177="",$B177=0),0,SUM(_xlfn._xlws.FILTER(PrvSty[DsvValue:SERRA],(PrvSty[Project]=TEXT($B177,"@"))*(PrvSty[Row]=$E177)*(PrvSty[Column]=UPPER(M$114)),0)))</f>
        <v>0</v>
      </c>
      <c r="N177" s="157" cm="1">
        <f t="array" aca="1" ref="N177" ca="1">IF(OR($E177="X",$E177="",$E177=0,$B177="X",$B177="",$B177=0),0,SUM(_xlfn._xlws.FILTER(PrvSty[DsvValue:EXT.],(PrvSty[Project]=TEXT($B177,"@"))*(PrvSty[Row]=$E177)*(PrvSty[Column]=UPPER(M$114)),0)))</f>
        <v>0</v>
      </c>
      <c r="O177" s="157" cm="1">
        <f t="array" aca="1" ref="O177" ca="1">IF(OR($E177="X",$E177="",$E177=0,$B177="X",$B177="",$B177=0),0,SUM(_xlfn._xlws.FILTER(PrvSty[DsvValue:SERRA],(PrvSty[Project]=TEXT($B177,"@"))*(PrvSty[Row]=$E177)*(PrvSty[Column]=UPPER(O$114)),0)))</f>
        <v>0</v>
      </c>
      <c r="P177" s="157" cm="1">
        <f t="array" aca="1" ref="P177" ca="1">IF(OR($E177="X",$E177="",$E177=0,$B177="X",$B177="",$B177=0),0,SUM(_xlfn._xlws.FILTER(PrvSty[DsvValue:EXT.],(PrvSty[Project]=TEXT($B177,"@"))*(PrvSty[Row]=$E177)*(PrvSty[Column]=UPPER(O$114)),0)))</f>
        <v>0</v>
      </c>
      <c r="Q177" s="157" cm="1">
        <f t="array" aca="1" ref="Q177" ca="1">IF(OR($E177="X",$E177="",$E177=0,$B177="X",$B177="",$B177=0),0,SUM(_xlfn._xlws.FILTER(PrvSty[DsvValue:SERRA],(PrvSty[Project]=TEXT($B177,"@"))*(PrvSty[Row]=$E177)*(PrvSty[Column]=UPPER(Q$114)),0)))</f>
        <v>0</v>
      </c>
      <c r="R177" s="157" cm="1">
        <f t="array" aca="1" ref="R177" ca="1">IF(OR($E177="X",$E177="",$E177=0,$B177="X",$B177="",$B177=0),0,SUM(_xlfn._xlws.FILTER(PrvSty[DsvValue:EXT.],(PrvSty[Project]=TEXT($B177,"@"))*(PrvSty[Row]=$E177)*(PrvSty[Column]=UPPER(Q$114)),0)))</f>
        <v>0</v>
      </c>
      <c r="S177" s="157" cm="1">
        <f t="array" aca="1" ref="S177" ca="1">IF(OR($E177="X",$E177="",$E177=0,$B177="X",$B177="",$B177=0),0,SUM(_xlfn._xlws.FILTER(PrvSty[DsvValue:SERRA],(PrvSty[Project]=TEXT($B177,"@"))*(PrvSty[Row]=$E177)*(PrvSty[Column]=UPPER(S$114)),0)))</f>
        <v>0</v>
      </c>
      <c r="T177" s="157" cm="1">
        <f t="array" aca="1" ref="T177" ca="1">IF(OR($E177="X",$E177="",$E177=0,$B177="X",$B177="",$B177=0),0,SUM(_xlfn._xlws.FILTER(PrvSty[DsvValue:EXT.],(PrvSty[Project]=TEXT($B177,"@"))*(PrvSty[Row]=$E177)*(PrvSty[Column]=UPPER(S$114)),0)))</f>
        <v>0</v>
      </c>
      <c r="U177" s="157" cm="1">
        <f t="array" aca="1" ref="U177" ca="1">IF(OR($E177="X",$E177="",$E177=0,$B177="X",$B177="",$B177=0),0,SUM(_xlfn._xlws.FILTER(PrvSty[DsvValue:SERRA],(PrvSty[Project]=TEXT($B177,"@"))*(PrvSty[Row]=$E177)*(PrvSty[Column]=UPPER(U$114)),0)))</f>
        <v>0</v>
      </c>
      <c r="V177" s="157" cm="1">
        <f t="array" aca="1" ref="V177" ca="1">IF(OR($E177="X",$E177="",$E177=0,$B177="X",$B177="",$B177=0),0,SUM(_xlfn._xlws.FILTER(PrvSty[DsvValue:EXT.],(PrvSty[Project]=TEXT($B177,"@"))*(PrvSty[Row]=$E177)*(PrvSty[Column]=UPPER(U$114)),0)))</f>
        <v>0</v>
      </c>
      <c r="W177" s="157" cm="1">
        <f t="array" aca="1" ref="W177" ca="1">IF(OR($E177="X",$E177="",$E177=0,$B177="X",$B177="",$B177=0),0,SUM(_xlfn._xlws.FILTER(PrvSty[DsvValue:SERRA],(PrvSty[Project]=TEXT($B177,"@"))*(PrvSty[Row]=$E177)*(PrvSty[Column]=UPPER(W$114)),0)))</f>
        <v>0</v>
      </c>
      <c r="X177" s="157" cm="1">
        <f t="array" aca="1" ref="X177" ca="1">IF(OR($E177="X",$E177="",$E177=0,$B177="X",$B177="",$B177=0),0,SUM(_xlfn._xlws.FILTER(PrvSty[DsvValue:EXT.],(PrvSty[Project]=TEXT($B177,"@"))*(PrvSty[Row]=$E177)*(PrvSty[Column]=UPPER(W$114)),0)))</f>
        <v>0</v>
      </c>
      <c r="Y177" s="157" cm="1">
        <f t="array" aca="1" ref="Y177" ca="1">IF(OR($E177="X",$E177="",$E177=0,$B177="X",$B177="",$B177=0),0,SUM(_xlfn._xlws.FILTER(PrvSty[DsvValue:SERRA],(PrvSty[Project]=TEXT($B177,"@"))*(PrvSty[Row]=$E177)*(PrvSty[Column]=UPPER(Y$114)),0)))</f>
        <v>0</v>
      </c>
      <c r="Z177" s="157" cm="1">
        <f t="array" aca="1" ref="Z177" ca="1">IF(OR($E177="X",$E177="",$E177=0,$B177="X",$B177="",$B177=0),0,SUM(_xlfn._xlws.FILTER(PrvSty[DsvValue:EXT.],(PrvSty[Project]=TEXT($B177,"@"))*(PrvSty[Row]=$E177)*(PrvSty[Column]=UPPER(Y$114)),0)))</f>
        <v>0</v>
      </c>
      <c r="AA177" s="157" cm="1">
        <f t="array" aca="1" ref="AA177" ca="1">IF(OR($E177="X",$E177="",$E177=0,$B177="X",$B177="",$B177=0),0,SUM(_xlfn._xlws.FILTER(PrvSty[DsvValue:SERRA],(PrvSty[Project]=TEXT($B177,"@"))*(PrvSty[Row]=$E177)*(PrvSty[Column]=UPPER(AA$114)),0)))</f>
        <v>0</v>
      </c>
      <c r="AB177" s="157" cm="1">
        <f t="array" aca="1" ref="AB177" ca="1">IF(OR($E177="X",$E177="",$E177=0,$B177="X",$B177="",$B177=0),0,SUM(_xlfn._xlws.FILTER(PrvSty[DsvValue:EXT.],(PrvSty[Project]=TEXT($B177,"@"))*(PrvSty[Row]=$E177)*(PrvSty[Column]=UPPER(AA$114)),0)))</f>
        <v>0</v>
      </c>
      <c r="AC177" s="157" cm="1">
        <f t="array" aca="1" ref="AC177" ca="1">IF(OR($E177="X",$E177="",$E177=0,$B177="X",$B177="",$B177=0),0,SUM(_xlfn._xlws.FILTER(PrvSty[DsvValue:SERRA],(PrvSty[Project]=TEXT($B177,"@"))*(PrvSty[Row]=$E177)*(PrvSty[Column]=UPPER(AC$114)),0)))</f>
        <v>0</v>
      </c>
      <c r="AD177" s="157" cm="1">
        <f t="array" aca="1" ref="AD177" ca="1">IF(OR($E177="X",$E177="",$E177=0,$B177="X",$B177="",$B177=0),0,SUM(_xlfn._xlws.FILTER(PrvSty[DsvValue:EXT.],(PrvSty[Project]=TEXT($B177,"@"))*(PrvSty[Row]=$E177)*(PrvSty[Column]=UPPER(AC$114)),0)))</f>
        <v>0</v>
      </c>
      <c r="AE177" s="157" cm="1">
        <f t="array" aca="1" ref="AE177" ca="1">IF(OR($E177="X",$E177="",$E177=0,$B177="X",$B177="",$B177=0),0,SUM(_xlfn._xlws.FILTER(PrvSty[DsvValue:SERRA],(PrvSty[Project]=TEXT($B177,"@"))*(PrvSty[Row]=$E177)*(PrvSty[Column]=UPPER(AE$114)),0)))</f>
        <v>0</v>
      </c>
      <c r="AF177" s="157" cm="1">
        <f t="array" aca="1" ref="AF177" ca="1">IF(OR($E177="X",$E177="",$E177=0,$B177="X",$B177="",$B177=0),0,SUM(_xlfn._xlws.FILTER(PrvSty[DsvValue:EXT.],(PrvSty[Project]=TEXT($B177,"@"))*(PrvSty[Row]=$E177)*(PrvSty[Column]=UPPER(AE$114)),0)))</f>
        <v>0</v>
      </c>
      <c r="AG177" s="157" cm="1">
        <f t="array" aca="1" ref="AG177" ca="1">IF(OR($E177="X",$E177="",$E177=0,$B177="X",$B177="",$B177=0),0,SUM(_xlfn._xlws.FILTER(PrvSty[DsvValue:SERRA],(PrvSty[Project]=TEXT($B177,"@"))*(PrvSty[Row]=$E177)*(PrvSty[Column]=UPPER(AG$114)),0)))</f>
        <v>0</v>
      </c>
      <c r="AH177" s="157" cm="1">
        <f t="array" aca="1" ref="AH177" ca="1">IF(OR($E177="X",$E177="",$E177=0,$B177="X",$B177="",$B177=0),0,SUM(_xlfn._xlws.FILTER(PrvSty[DsvValue:EXT.],(PrvSty[Project]=TEXT($B177,"@"))*(PrvSty[Row]=$E177)*(PrvSty[Column]=UPPER(AG$114)),0)))</f>
        <v>0</v>
      </c>
      <c r="AI177" s="157" cm="1">
        <f t="array" aca="1" ref="AI177" ca="1">IF(OR($E177="X",$E177="",$E177=0,$B177="X",$B177="",$B177=0),0,SUM(_xlfn._xlws.FILTER(PrvSty[DsvValue:SERRA],(PrvSty[Project]=TEXT($B177,"@"))*(PrvSty[Row]=$E177)*(PrvSty[Column]=UPPER(AI$114)),0)))</f>
        <v>0</v>
      </c>
      <c r="AJ177" s="157" cm="1">
        <f t="array" aca="1" ref="AJ177" ca="1">IF(OR($E177="X",$E177="",$E177=0,$B177="X",$B177="",$B177=0),0,SUM(_xlfn._xlws.FILTER(PrvSty[DsvValue:EXT.],(PrvSty[Project]=TEXT($B177,"@"))*(PrvSty[Row]=$E177)*(PrvSty[Column]=UPPER(AI$114)),0)))</f>
        <v>0</v>
      </c>
      <c r="AK177" s="157" cm="1">
        <f t="array" aca="1" ref="AK177" ca="1">IF(OR($E177="X",$E177="",$E177=0,$B177="X",$B177="",$B177=0),0,SUM(_xlfn._xlws.FILTER(PrvSty[DsvValue:SERRA],(PrvSty[Project]=TEXT($B177,"@"))*(PrvSty[Row]=$E177)*(PrvSty[Column]=UPPER(AK$114)),0)))</f>
        <v>0</v>
      </c>
      <c r="AL177" s="157" cm="1">
        <f t="array" aca="1" ref="AL177" ca="1">IF(OR($E177="X",$E177="",$E177=0,$B177="X",$B177="",$B177=0),0,SUM(_xlfn._xlws.FILTER(PrvSty[DsvValue:EXT.],(PrvSty[Project]=TEXT($B177,"@"))*(PrvSty[Row]=$E177)*(PrvSty[Column]=UPPER(AK$114)),0)))</f>
        <v>0</v>
      </c>
      <c r="AM177" s="157" cm="1">
        <f t="array" aca="1" ref="AM177" ca="1">IF(OR($E177="X",$E177="",$E177=0,$B177="X",$B177="",$B177=0),0,SUM(_xlfn._xlws.FILTER(PrvSty[DsvValue:SERRA],(PrvSty[Project]=TEXT($B177,"@"))*(PrvSty[Row]=$E177)*(PrvSty[Column]=UPPER(AM$114)),0)))</f>
        <v>0</v>
      </c>
      <c r="AN177" s="157" cm="1">
        <f t="array" aca="1" ref="AN177" ca="1">IF(OR($E177="X",$E177="",$E177=0,$B177="X",$B177="",$B177=0),0,SUM(_xlfn._xlws.FILTER(PrvSty[DsvValue:EXT.],(PrvSty[Project]=TEXT($B177,"@"))*(PrvSty[Row]=$E177)*(PrvSty[Column]=UPPER(AM$114)),0)))</f>
        <v>0</v>
      </c>
      <c r="AO177" s="157" cm="1">
        <f t="array" aca="1" ref="AO177" ca="1">IF(OR($E177="X",$E177="",$E177=0,$B177="X",$B177="",$B177=0),0,SUM(_xlfn._xlws.FILTER(PrvSty[DsvValue:SERRA],(PrvSty[Project]=TEXT($B177,"@"))*(PrvSty[Row]=$E177)*(PrvSty[Column]=UPPER(AO$114)),0)))</f>
        <v>-17232.310000000009</v>
      </c>
      <c r="AP177" s="157" cm="1">
        <f t="array" aca="1" ref="AP177" ca="1">IF(OR($E177="X",$E177="",$E177=0,$B177="X",$B177="",$B177=0),0,SUM(_xlfn._xlws.FILTER(PrvSty[DsvValue:EXT.],(PrvSty[Project]=TEXT($B177,"@"))*(PrvSty[Row]=$E177)*(PrvSty[Column]=UPPER(AO$114)),0)))</f>
        <v>0</v>
      </c>
      <c r="AQ177" s="157" cm="1">
        <f t="array" aca="1" ref="AQ177" ca="1">SUM(IF(INDIRECT($AS$115)=AQ$115,INDIRECT($AS177)))</f>
        <v>-17232.310000000009</v>
      </c>
      <c r="AR177" s="157" cm="1">
        <f t="array" aca="1" ref="AR177" ca="1">SUM(IF(INDIRECT($AS$115)=AR$115,INDIRECT($AS177)))</f>
        <v>0</v>
      </c>
      <c r="AS177" s="286" t="str">
        <f t="shared" ref="AS177:AS208" ca="1" si="16">IF($B177="","X",ADDRESS(SUM(ROW()),MATCH("SCD",$1:$1,0)+1,4)&amp;":"&amp;ADDRESS(SUM(ROW()),MATCH("ECD",$1:$1,0)-1,4))</f>
        <v>G177:AP177</v>
      </c>
      <c r="AT177" s="403">
        <f t="shared" ca="1" si="14"/>
        <v>-17232.310000000009</v>
      </c>
      <c r="AV177" s="142" cm="1">
        <f t="array" aca="1" ref="AV177" ca="1">IF(AND(_xlfn.LET(_xlpm.x,SUM(ROW()),OR(AND(MATCH("SOT",$A:$A,0)&lt;_xlpm.x,MATCH("EOT",$A:$A,0)&gt;_xlpm.x),AND(MATCH("SOS",$A:$A,0)&lt;_xlpm.x,MATCH("EOS",$A:$A,0)&gt;_xlpm.x),AND(MATCH("SOR",$A:$A,0)&lt;_xlpm.x,MATCH("EOR",$A:$A,0)&gt;_xlpm.x))),INDIRECT("rc"&amp;MATCH("SCD",$1:$1,0),FALSE)="PPTO"),1,0)</f>
        <v>0</v>
      </c>
      <c r="AW177" s="142" cm="1">
        <f t="array" aca="1" ref="AW17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78" spans="2:49" outlineLevel="1">
      <c r="B178" s="156" t="str" cm="1">
        <f t="array" aca="1" ref="B178:E178" ca="1">_xlfn.LET(_xlpm.x,SUM(ROW()-MATCH("SOR",$A:$A,0)),_xlpm.y,IFERROR(_xlfn.TAKE(INDEX(_xlfn._xlws.FILTER(TbAssign[],ISNUMBER(FIND(TbAssign[Project],$C$4)),"X"),1+QUOTIENT(_xlpm.x,3),0),1,4),0),IF(MOD(_xlpm.x-1,3)=0,IF(_xlpm.y=0,"X",_xlpm.y),INDIRECT("r[-1]c#",FALSE)))</f>
        <v>31200</v>
      </c>
      <c r="C178" s="156" t="str">
        <f ca="1"/>
        <v>XA01</v>
      </c>
      <c r="D178" s="148" t="str">
        <f ca="1"/>
        <v>GSGT</v>
      </c>
      <c r="E178" s="352" t="str">
        <f ca="1"/>
        <v>GASTOS GENERALES</v>
      </c>
      <c r="F178" s="148" t="s">
        <v>1383</v>
      </c>
      <c r="G178" s="158" cm="1">
        <f t="array" aca="1" ref="G178" ca="1">IF(OR($E178="X",$E178="",$E178=0,$B178="X",$B178="",$B178=0),0,SUM(_xlfn._xlws.FILTER(FrmBB1[Cur],(FrmBB1[PrjId]=TEXT($B178,"@"))*(FrmBB1[Row]=$E178)*(FrmBB1[Column]=UPPER(_xlfn.LET(_xlpm.x,_xlfn.TEXTBEFORE(G$114," ("),IFERROR(_xlpm.x,G$114)))&amp;" "&amp;G$115),0)))</f>
        <v>0</v>
      </c>
      <c r="H178" s="157" cm="1">
        <f t="array" aca="1" ref="H178" ca="1">IF(OR($E178="X",$E178="",$E178=0,$B178="X",$B178="",$B178=0),0,SUM(_xlfn._xlws.FILTER(FrmBB1[Cur],(FrmBB1[PrjId]=TEXT($B178,"@"))*(FrmBB1[Row]=$E178)*(FrmBB1[Column]=UPPER(_xlfn.LET(_xlpm.x,_xlfn.TEXTBEFORE(G$114," ("),IFERROR(_xlpm.x,G$114)))&amp;" "&amp;H$115),0)))</f>
        <v>0</v>
      </c>
      <c r="I178" s="158" cm="1">
        <f t="array" aca="1" ref="I178" ca="1">IF(OR($E178="X",$E178="",$E178=0,$B178="X",$B178="",$B178=0),0,SUM(_xlfn._xlws.FILTER(FrmBB1[Cur],(FrmBB1[PrjId]=TEXT($B178,"@"))*(FrmBB1[Row]=$E178)*(FrmBB1[Column]=UPPER(_xlfn.LET(_xlpm.x,_xlfn.TEXTBEFORE(I$114," ("),IFERROR(_xlpm.x,I$114)))&amp;" "&amp;I$115),0)))</f>
        <v>0</v>
      </c>
      <c r="J178" s="157" cm="1">
        <f t="array" aca="1" ref="J178" ca="1">IF(OR($E178="X",$E178="",$E178=0,$B178="X",$B178="",$B178=0),0,SUM(_xlfn._xlws.FILTER(FrmBB1[Cur],(FrmBB1[PrjId]=TEXT($B178,"@"))*(FrmBB1[Row]=$E178)*(FrmBB1[Column]=UPPER(_xlfn.LET(_xlpm.x,_xlfn.TEXTBEFORE(I$114," ("),IFERROR(_xlpm.x,I$114)))&amp;" "&amp;J$115),0)))</f>
        <v>0</v>
      </c>
      <c r="K178" s="158" cm="1">
        <f t="array" aca="1" ref="K178" ca="1">IF(OR($E178="X",$E178="",$E178=0,$B178="X",$B178="",$B178=0),0,SUM(_xlfn._xlws.FILTER(FrmBB1[Cur],(FrmBB1[PrjId]=TEXT($B178,"@"))*(FrmBB1[Row]=$E178)*(FrmBB1[Column]=UPPER(_xlfn.LET(_xlpm.x,_xlfn.TEXTBEFORE(K$114," ("),IFERROR(_xlpm.x,K$114)))&amp;" "&amp;K$115),0)))</f>
        <v>0</v>
      </c>
      <c r="L178" s="157" cm="1">
        <f t="array" aca="1" ref="L178" ca="1">IF(OR($E178="X",$E178="",$E178=0,$B178="X",$B178="",$B178=0),0,SUM(_xlfn._xlws.FILTER(FrmBB1[Cur],(FrmBB1[PrjId]=TEXT($B178,"@"))*(FrmBB1[Row]=$E178)*(FrmBB1[Column]=UPPER(_xlfn.LET(_xlpm.x,_xlfn.TEXTBEFORE(K$114," ("),IFERROR(_xlpm.x,K$114)))&amp;" "&amp;L$115),0)))</f>
        <v>0</v>
      </c>
      <c r="M178" s="158" cm="1">
        <f t="array" aca="1" ref="M178" ca="1">IF(OR($E178="X",$E178="",$E178=0,$B178="X",$B178="",$B178=0),0,SUM(_xlfn._xlws.FILTER(FrmBB1[Cur],(FrmBB1[PrjId]=TEXT($B178,"@"))*(FrmBB1[Row]=$E178)*(FrmBB1[Column]=UPPER(_xlfn.LET(_xlpm.x,_xlfn.TEXTBEFORE(M$114," ("),IFERROR(_xlpm.x,M$114)))&amp;" "&amp;M$115),0)))</f>
        <v>0</v>
      </c>
      <c r="N178" s="157" cm="1">
        <f t="array" aca="1" ref="N178" ca="1">IF(OR($E178="X",$E178="",$E178=0,$B178="X",$B178="",$B178=0),0,SUM(_xlfn._xlws.FILTER(FrmBB1[Cur],(FrmBB1[PrjId]=TEXT($B178,"@"))*(FrmBB1[Row]=$E178)*(FrmBB1[Column]=UPPER(_xlfn.LET(_xlpm.x,_xlfn.TEXTBEFORE(M$114," ("),IFERROR(_xlpm.x,M$114)))&amp;" "&amp;N$115),0)))</f>
        <v>0</v>
      </c>
      <c r="O178" s="158" cm="1">
        <f t="array" aca="1" ref="O178" ca="1">IF(OR($E178="X",$E178="",$E178=0,$B178="X",$B178="",$B178=0),0,SUM(_xlfn._xlws.FILTER(FrmBB1[Cur],(FrmBB1[PrjId]=TEXT($B178,"@"))*(FrmBB1[Row]=$E178)*(FrmBB1[Column]=UPPER(_xlfn.LET(_xlpm.x,_xlfn.TEXTBEFORE(O$114," ("),IFERROR(_xlpm.x,O$114)))&amp;" "&amp;O$115),0)))</f>
        <v>0</v>
      </c>
      <c r="P178" s="157" cm="1">
        <f t="array" aca="1" ref="P178" ca="1">IF(OR($E178="X",$E178="",$E178=0,$B178="X",$B178="",$B178=0),0,SUM(_xlfn._xlws.FILTER(FrmBB1[Cur],(FrmBB1[PrjId]=TEXT($B178,"@"))*(FrmBB1[Row]=$E178)*(FrmBB1[Column]=UPPER(_xlfn.LET(_xlpm.x,_xlfn.TEXTBEFORE(O$114," ("),IFERROR(_xlpm.x,O$114)))&amp;" "&amp;P$115),0)))</f>
        <v>0</v>
      </c>
      <c r="Q178" s="158" cm="1">
        <f t="array" aca="1" ref="Q178" ca="1">IF(OR($E178="X",$E178="",$E178=0,$B178="X",$B178="",$B178=0),0,SUM(_xlfn._xlws.FILTER(FrmBB1[Cur],(FrmBB1[PrjId]=TEXT($B178,"@"))*(FrmBB1[Row]=$E178)*(FrmBB1[Column]=UPPER(_xlfn.LET(_xlpm.x,_xlfn.TEXTBEFORE(Q$114," ("),IFERROR(_xlpm.x,Q$114)))&amp;" "&amp;Q$115),0)))</f>
        <v>0</v>
      </c>
      <c r="R178" s="157" cm="1">
        <f t="array" aca="1" ref="R178" ca="1">IF(OR($E178="X",$E178="",$E178=0,$B178="X",$B178="",$B178=0),0,SUM(_xlfn._xlws.FILTER(FrmBB1[Cur],(FrmBB1[PrjId]=TEXT($B178,"@"))*(FrmBB1[Row]=$E178)*(FrmBB1[Column]=UPPER(_xlfn.LET(_xlpm.x,_xlfn.TEXTBEFORE(Q$114," ("),IFERROR(_xlpm.x,Q$114)))&amp;" "&amp;R$115),0)))</f>
        <v>0</v>
      </c>
      <c r="S178" s="158" cm="1">
        <f t="array" aca="1" ref="S178" ca="1">IF(OR($E178="X",$E178="",$E178=0,$B178="X",$B178="",$B178=0),0,SUM(_xlfn._xlws.FILTER(FrmBB1[Cur],(FrmBB1[PrjId]=TEXT($B178,"@"))*(FrmBB1[Row]=$E178)*(FrmBB1[Column]=UPPER(_xlfn.LET(_xlpm.x,_xlfn.TEXTBEFORE(S$114," ("),IFERROR(_xlpm.x,S$114)))&amp;" "&amp;S$115),0)))</f>
        <v>0</v>
      </c>
      <c r="T178" s="157" cm="1">
        <f t="array" aca="1" ref="T178" ca="1">IF(OR($E178="X",$E178="",$E178=0,$B178="X",$B178="",$B178=0),0,SUM(_xlfn._xlws.FILTER(FrmBB1[Cur],(FrmBB1[PrjId]=TEXT($B178,"@"))*(FrmBB1[Row]=$E178)*(FrmBB1[Column]=UPPER(_xlfn.LET(_xlpm.x,_xlfn.TEXTBEFORE(S$114," ("),IFERROR(_xlpm.x,S$114)))&amp;" "&amp;T$115),0)))</f>
        <v>0</v>
      </c>
      <c r="U178" s="158" cm="1">
        <f t="array" aca="1" ref="U178" ca="1">IF(OR($E178="X",$E178="",$E178=0,$B178="X",$B178="",$B178=0),0,SUM(_xlfn._xlws.FILTER(FrmBB1[Cur],(FrmBB1[PrjId]=TEXT($B178,"@"))*(FrmBB1[Row]=$E178)*(FrmBB1[Column]=UPPER(_xlfn.LET(_xlpm.x,_xlfn.TEXTBEFORE(U$114," ("),IFERROR(_xlpm.x,U$114)))&amp;" "&amp;U$115),0)))</f>
        <v>0</v>
      </c>
      <c r="V178" s="157" cm="1">
        <f t="array" aca="1" ref="V178" ca="1">IF(OR($E178="X",$E178="",$E178=0,$B178="X",$B178="",$B178=0),0,SUM(_xlfn._xlws.FILTER(FrmBB1[Cur],(FrmBB1[PrjId]=TEXT($B178,"@"))*(FrmBB1[Row]=$E178)*(FrmBB1[Column]=UPPER(_xlfn.LET(_xlpm.x,_xlfn.TEXTBEFORE(U$114," ("),IFERROR(_xlpm.x,U$114)))&amp;" "&amp;V$115),0)))</f>
        <v>0</v>
      </c>
      <c r="W178" s="158" cm="1">
        <f t="array" aca="1" ref="W178" ca="1">IF(OR($E178="X",$E178="",$E178=0,$B178="X",$B178="",$B178=0),0,SUM(_xlfn._xlws.FILTER(FrmBB1[Cur],(FrmBB1[PrjId]=TEXT($B178,"@"))*(FrmBB1[Row]=$E178)*(FrmBB1[Column]=UPPER(_xlfn.LET(_xlpm.x,_xlfn.TEXTBEFORE(W$114," ("),IFERROR(_xlpm.x,W$114)))&amp;" "&amp;W$115),0)))</f>
        <v>0</v>
      </c>
      <c r="X178" s="157" cm="1">
        <f t="array" aca="1" ref="X178" ca="1">IF(OR($E178="X",$E178="",$E178=0,$B178="X",$B178="",$B178=0),0,SUM(_xlfn._xlws.FILTER(FrmBB1[Cur],(FrmBB1[PrjId]=TEXT($B178,"@"))*(FrmBB1[Row]=$E178)*(FrmBB1[Column]=UPPER(_xlfn.LET(_xlpm.x,_xlfn.TEXTBEFORE(W$114," ("),IFERROR(_xlpm.x,W$114)))&amp;" "&amp;X$115),0)))</f>
        <v>0</v>
      </c>
      <c r="Y178" s="158" cm="1">
        <f t="array" aca="1" ref="Y178" ca="1">IF(OR($E178="X",$E178="",$E178=0,$B178="X",$B178="",$B178=0),0,SUM(_xlfn._xlws.FILTER(FrmBB1[Cur],(FrmBB1[PrjId]=TEXT($B178,"@"))*(FrmBB1[Row]=$E178)*(FrmBB1[Column]=UPPER(_xlfn.LET(_xlpm.x,_xlfn.TEXTBEFORE(Y$114," ("),IFERROR(_xlpm.x,Y$114)))&amp;" "&amp;Y$115),0)))</f>
        <v>0</v>
      </c>
      <c r="Z178" s="157" cm="1">
        <f t="array" aca="1" ref="Z178" ca="1">IF(OR($E178="X",$E178="",$E178=0,$B178="X",$B178="",$B178=0),0,SUM(_xlfn._xlws.FILTER(FrmBB1[Cur],(FrmBB1[PrjId]=TEXT($B178,"@"))*(FrmBB1[Row]=$E178)*(FrmBB1[Column]=UPPER(_xlfn.LET(_xlpm.x,_xlfn.TEXTBEFORE(Y$114," ("),IFERROR(_xlpm.x,Y$114)))&amp;" "&amp;Z$115),0)))</f>
        <v>0</v>
      </c>
      <c r="AA178" s="158" cm="1">
        <f t="array" aca="1" ref="AA178" ca="1">IF(OR($E178="X",$E178="",$E178=0,$B178="X",$B178="",$B178=0),0,SUM(_xlfn._xlws.FILTER(FrmBB1[Cur],(FrmBB1[PrjId]=TEXT($B178,"@"))*(FrmBB1[Row]=$E178)*(FrmBB1[Column]=UPPER(_xlfn.LET(_xlpm.x,_xlfn.TEXTBEFORE(AA$114," ("),IFERROR(_xlpm.x,AA$114)))&amp;" "&amp;AA$115),0)))</f>
        <v>0</v>
      </c>
      <c r="AB178" s="157" cm="1">
        <f t="array" aca="1" ref="AB178" ca="1">IF(OR($E178="X",$E178="",$E178=0,$B178="X",$B178="",$B178=0),0,SUM(_xlfn._xlws.FILTER(FrmBB1[Cur],(FrmBB1[PrjId]=TEXT($B178,"@"))*(FrmBB1[Row]=$E178)*(FrmBB1[Column]=UPPER(_xlfn.LET(_xlpm.x,_xlfn.TEXTBEFORE(AA$114," ("),IFERROR(_xlpm.x,AA$114)))&amp;" "&amp;AB$115),0)))</f>
        <v>0</v>
      </c>
      <c r="AC178" s="158" cm="1">
        <f t="array" aca="1" ref="AC178" ca="1">IF(OR($E178="X",$E178="",$E178=0,$B178="X",$B178="",$B178=0),0,SUM(_xlfn._xlws.FILTER(FrmBB1[Cur],(FrmBB1[PrjId]=TEXT($B178,"@"))*(FrmBB1[Row]=$E178)*(FrmBB1[Column]=UPPER(_xlfn.LET(_xlpm.x,_xlfn.TEXTBEFORE(AC$114," ("),IFERROR(_xlpm.x,AC$114)))&amp;" "&amp;AC$115),0)))</f>
        <v>0</v>
      </c>
      <c r="AD178" s="157" cm="1">
        <f t="array" aca="1" ref="AD178" ca="1">IF(OR($E178="X",$E178="",$E178=0,$B178="X",$B178="",$B178=0),0,SUM(_xlfn._xlws.FILTER(FrmBB1[Cur],(FrmBB1[PrjId]=TEXT($B178,"@"))*(FrmBB1[Row]=$E178)*(FrmBB1[Column]=UPPER(_xlfn.LET(_xlpm.x,_xlfn.TEXTBEFORE(AC$114," ("),IFERROR(_xlpm.x,AC$114)))&amp;" "&amp;AD$115),0)))</f>
        <v>0</v>
      </c>
      <c r="AE178" s="158" cm="1">
        <f t="array" aca="1" ref="AE178" ca="1">IF(OR($E178="X",$E178="",$E178=0,$B178="X",$B178="",$B178=0),0,SUM(_xlfn._xlws.FILTER(FrmBB1[Cur],(FrmBB1[PrjId]=TEXT($B178,"@"))*(FrmBB1[Row]=$E178)*(FrmBB1[Column]=UPPER(_xlfn.LET(_xlpm.x,_xlfn.TEXTBEFORE(AE$114," ("),IFERROR(_xlpm.x,AE$114)))&amp;" "&amp;AE$115),0)))</f>
        <v>0</v>
      </c>
      <c r="AF178" s="157" cm="1">
        <f t="array" aca="1" ref="AF178" ca="1">IF(OR($E178="X",$E178="",$E178=0,$B178="X",$B178="",$B178=0),0,SUM(_xlfn._xlws.FILTER(FrmBB1[Cur],(FrmBB1[PrjId]=TEXT($B178,"@"))*(FrmBB1[Row]=$E178)*(FrmBB1[Column]=UPPER(_xlfn.LET(_xlpm.x,_xlfn.TEXTBEFORE(AE$114," ("),IFERROR(_xlpm.x,AE$114)))&amp;" "&amp;AF$115),0)))</f>
        <v>0</v>
      </c>
      <c r="AG178" s="158" cm="1">
        <f t="array" aca="1" ref="AG178" ca="1">IF(OR($E178="X",$E178="",$E178=0,$B178="X",$B178="",$B178=0),0,SUM(_xlfn._xlws.FILTER(FrmBB1[Cur],(FrmBB1[PrjId]=TEXT($B178,"@"))*(FrmBB1[Row]=$E178)*(FrmBB1[Column]=UPPER(_xlfn.LET(_xlpm.x,_xlfn.TEXTBEFORE(AG$114," ("),IFERROR(_xlpm.x,AG$114)))&amp;" "&amp;AG$115),0)))</f>
        <v>0</v>
      </c>
      <c r="AH178" s="157" cm="1">
        <f t="array" aca="1" ref="AH178" ca="1">IF(OR($E178="X",$E178="",$E178=0,$B178="X",$B178="",$B178=0),0,SUM(_xlfn._xlws.FILTER(FrmBB1[Cur],(FrmBB1[PrjId]=TEXT($B178,"@"))*(FrmBB1[Row]=$E178)*(FrmBB1[Column]=UPPER(_xlfn.LET(_xlpm.x,_xlfn.TEXTBEFORE(AG$114," ("),IFERROR(_xlpm.x,AG$114)))&amp;" "&amp;AH$115),0)))</f>
        <v>0</v>
      </c>
      <c r="AI178" s="158" cm="1">
        <f t="array" aca="1" ref="AI178" ca="1">IF(OR($E178="X",$E178="",$E178=0,$B178="X",$B178="",$B178=0),0,SUM(_xlfn._xlws.FILTER(FrmBB1[Cur],(FrmBB1[PrjId]=TEXT($B178,"@"))*(FrmBB1[Row]=$E178)*(FrmBB1[Column]=UPPER(_xlfn.LET(_xlpm.x,_xlfn.TEXTBEFORE(AI$114," ("),IFERROR(_xlpm.x,AI$114)))&amp;" "&amp;AI$115),0)))</f>
        <v>0</v>
      </c>
      <c r="AJ178" s="157" cm="1">
        <f t="array" aca="1" ref="AJ178" ca="1">IF(OR($E178="X",$E178="",$E178=0,$B178="X",$B178="",$B178=0),0,SUM(_xlfn._xlws.FILTER(FrmBB1[Cur],(FrmBB1[PrjId]=TEXT($B178,"@"))*(FrmBB1[Row]=$E178)*(FrmBB1[Column]=UPPER(_xlfn.LET(_xlpm.x,_xlfn.TEXTBEFORE(AI$114," ("),IFERROR(_xlpm.x,AI$114)))&amp;" "&amp;AJ$115),0)))</f>
        <v>0</v>
      </c>
      <c r="AK178" s="158" cm="1">
        <f t="array" aca="1" ref="AK178" ca="1">IF(OR($E178="X",$E178="",$E178=0,$B178="X",$B178="",$B178=0),0,SUM(_xlfn._xlws.FILTER(FrmBB1[Cur],(FrmBB1[PrjId]=TEXT($B178,"@"))*(FrmBB1[Row]=$E178)*(FrmBB1[Column]=UPPER(_xlfn.LET(_xlpm.x,_xlfn.TEXTBEFORE(AK$114," ("),IFERROR(_xlpm.x,AK$114)))&amp;" "&amp;AK$115),0)))</f>
        <v>0</v>
      </c>
      <c r="AL178" s="157" cm="1">
        <f t="array" aca="1" ref="AL178" ca="1">IF(OR($E178="X",$E178="",$E178=0,$B178="X",$B178="",$B178=0),0,SUM(_xlfn._xlws.FILTER(FrmBB1[Cur],(FrmBB1[PrjId]=TEXT($B178,"@"))*(FrmBB1[Row]=$E178)*(FrmBB1[Column]=UPPER(_xlfn.LET(_xlpm.x,_xlfn.TEXTBEFORE(AK$114," ("),IFERROR(_xlpm.x,AK$114)))&amp;" "&amp;AL$115),0)))</f>
        <v>0</v>
      </c>
      <c r="AM178" s="158" cm="1">
        <f t="array" aca="1" ref="AM178" ca="1">IF(OR($E178="X",$E178="",$E178=0,$B178="X",$B178="",$B178=0),0,SUM(_xlfn._xlws.FILTER(FrmBB1[Cur],(FrmBB1[PrjId]=TEXT($B178,"@"))*(FrmBB1[Row]=$E178)*(FrmBB1[Column]=UPPER(_xlfn.LET(_xlpm.x,_xlfn.TEXTBEFORE(AM$114," ("),IFERROR(_xlpm.x,AM$114)))&amp;" "&amp;AM$115),0)))</f>
        <v>0</v>
      </c>
      <c r="AN178" s="157" cm="1">
        <f t="array" aca="1" ref="AN178" ca="1">IF(OR($E178="X",$E178="",$E178=0,$B178="X",$B178="",$B178=0),0,SUM(_xlfn._xlws.FILTER(FrmBB1[Cur],(FrmBB1[PrjId]=TEXT($B178,"@"))*(FrmBB1[Row]=$E178)*(FrmBB1[Column]=UPPER(_xlfn.LET(_xlpm.x,_xlfn.TEXTBEFORE(AM$114," ("),IFERROR(_xlpm.x,AM$114)))&amp;" "&amp;AN$115),0)))</f>
        <v>0</v>
      </c>
      <c r="AO178" s="158" cm="1">
        <f t="array" aca="1" ref="AO178" ca="1">IF(OR($E178="X",$E178="",$E178=0,$B178="X",$B178="",$B178=0),0,SUM(_xlfn._xlws.FILTER(FrmBB1[Cur],(FrmBB1[PrjId]=TEXT($B178,"@"))*(FrmBB1[Row]=$E178)*(FrmBB1[Column]=UPPER(_xlfn.LET(_xlpm.x,_xlfn.TEXTBEFORE(AO$114," ("),IFERROR(_xlpm.x,AO$114)))&amp;" "&amp;AO$115),0)))</f>
        <v>-15368.310000000009</v>
      </c>
      <c r="AP178" s="157" cm="1">
        <f t="array" aca="1" ref="AP178" ca="1">IF(OR($E178="X",$E178="",$E178=0,$B178="X",$B178="",$B178=0),0,SUM(_xlfn._xlws.FILTER(FrmBB1[Cur],(FrmBB1[PrjId]=TEXT($B178,"@"))*(FrmBB1[Row]=$E178)*(FrmBB1[Column]=UPPER(_xlfn.LET(_xlpm.x,_xlfn.TEXTBEFORE(AO$114," ("),IFERROR(_xlpm.x,AO$114)))&amp;" "&amp;AP$115),0)))</f>
        <v>0</v>
      </c>
      <c r="AQ178" s="157" cm="1">
        <f t="array" aca="1" ref="AQ178" ca="1">SUM(IF(INDIRECT($AS$115)=AQ$115,INDIRECT($AS178)))</f>
        <v>-15368.310000000009</v>
      </c>
      <c r="AR178" s="157" cm="1">
        <f t="array" aca="1" ref="AR178" ca="1">SUM(IF(INDIRECT($AS$115)=AR$115,INDIRECT($AS178)))</f>
        <v>0</v>
      </c>
      <c r="AS178" s="286" t="str">
        <f t="shared" ca="1" si="16"/>
        <v>G178:AP178</v>
      </c>
      <c r="AT178" s="403">
        <f t="shared" ca="1" si="14"/>
        <v>-15368.310000000009</v>
      </c>
      <c r="AV178" s="142" cm="1">
        <f t="array" aca="1" ref="AV178" ca="1">IF(AND(_xlfn.LET(_xlpm.x,SUM(ROW()),OR(AND(MATCH("SOT",$A:$A,0)&lt;_xlpm.x,MATCH("EOT",$A:$A,0)&gt;_xlpm.x),AND(MATCH("SOS",$A:$A,0)&lt;_xlpm.x,MATCH("EOS",$A:$A,0)&gt;_xlpm.x),AND(MATCH("SOR",$A:$A,0)&lt;_xlpm.x,MATCH("EOR",$A:$A,0)&gt;_xlpm.x))),INDIRECT("rc"&amp;MATCH("SCD",$1:$1,0),FALSE)="PPTO"),1,0)</f>
        <v>0</v>
      </c>
      <c r="AW178" s="142" cm="1">
        <f t="array" aca="1" ref="AW17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79" spans="2:49" outlineLevel="1">
      <c r="B179" s="156" t="str" cm="1">
        <f t="array" aca="1" ref="B179:E179" ca="1">_xlfn.LET(_xlpm.x,SUM(ROW()-MATCH("SOR",$A:$A,0)),_xlpm.y,IFERROR(_xlfn.TAKE(INDEX(_xlfn._xlws.FILTER(TbAssign[],ISNUMBER(FIND(TbAssign[Project],$C$4)),"X"),1+QUOTIENT(_xlpm.x,3),0),1,4),0),IF(MOD(_xlpm.x-1,3)=0,IF(_xlpm.y=0,"X",_xlpm.y),INDIRECT("r[-1]c#",FALSE)))</f>
        <v>31200</v>
      </c>
      <c r="C179" s="156" t="str">
        <f ca="1"/>
        <v>XF01</v>
      </c>
      <c r="D179" s="148" t="str">
        <f ca="1"/>
        <v>TRMT</v>
      </c>
      <c r="E179" s="352" t="str">
        <f ca="1"/>
        <v>TRANSPORTES Y EMBALAJES</v>
      </c>
      <c r="F179" s="148" t="s">
        <v>397</v>
      </c>
      <c r="G179" s="157" cm="1">
        <f t="array" aca="1" ref="G179" ca="1">IF(OR($E179="X",$E179="",$E179=0,$B179="X",$B179="",$B179=0),0,SUM(_xlfn._xlws.FILTER(IF($E$4="Ppto",PptoSty[CurPpto],PptoSty[CurInt]),(IF($E$4="Ppto",PptoSty[POvsCT]=G$113,TRUE))*(PptoSty[Project]=TEXT($B179,"@"))*(PptoSty[PptoVsRow]=$E179)*(PptoSty[PptoVsColumn]=UPPER(G$114)),0)))</f>
        <v>0</v>
      </c>
      <c r="H179" s="157" cm="1">
        <f t="array" aca="1" ref="H179" ca="1">IF(OR($E179="X",$E179="",$E179=0,$B179="X",$B179="",$B179=0),0,SUM(_xlfn._xlws.FILTER(IF($E$4="Ppto",PptoSty[CurPpto],PptoSty[CurExt]),(IF($E$4="Ppto",PptoSty[POvsCT]=H$113,TRUE))*(PptoSty[Project]=TEXT($B179,"@"))*(PptoSty[PptoVsRow]=$E179)*(PptoSty[PptoVsColumn]=UPPER(G$114)),0)))</f>
        <v>0</v>
      </c>
      <c r="I179" s="157" cm="1">
        <f t="array" aca="1" ref="I179" ca="1">IF(OR($E179="X",$E179="",$E179=0,$B179="X",$B179="",$B179=0),0,SUM(_xlfn._xlws.FILTER(IF($E$4="Ppto",PptoSty[CurPpto],PptoSty[CurInt]),(IF($E$4="Ppto",PptoSty[POvsCT]=I$113,TRUE))*(PptoSty[Project]=TEXT($B179,"@"))*(PptoSty[PptoVsRow]=$E179)*(PptoSty[PptoVsColumn]=UPPER(I$114)),0)))</f>
        <v>0</v>
      </c>
      <c r="J179" s="157" cm="1">
        <f t="array" aca="1" ref="J179" ca="1">IF(OR($E179="X",$E179="",$E179=0,$B179="X",$B179="",$B179=0),0,SUM(_xlfn._xlws.FILTER(IF($E$4="Ppto",PptoSty[CurPpto],PptoSty[CurExt]),(IF($E$4="Ppto",PptoSty[POvsCT]=J$113,TRUE))*(PptoSty[Project]=TEXT($B179,"@"))*(PptoSty[PptoVsRow]=$E179)*(PptoSty[PptoVsColumn]=UPPER(I$114)),0)))</f>
        <v>0</v>
      </c>
      <c r="K179" s="157" cm="1">
        <f t="array" aca="1" ref="K179" ca="1">IF(OR($E179="X",$E179="",$E179=0,$B179="X",$B179="",$B179=0),0,SUM(_xlfn._xlws.FILTER(IF($E$4="Ppto",PptoSty[CurPpto],PptoSty[CurInt]),(IF($E$4="Ppto",PptoSty[POvsCT]=K$113,TRUE))*(PptoSty[Project]=TEXT($B179,"@"))*(PptoSty[PptoVsRow]=$E179)*(PptoSty[PptoVsColumn]=UPPER(K$114)),0)))</f>
        <v>0</v>
      </c>
      <c r="L179" s="157" cm="1">
        <f t="array" aca="1" ref="L179" ca="1">IF(OR($E179="X",$E179="",$E179=0,$B179="X",$B179="",$B179=0),0,SUM(_xlfn._xlws.FILTER(IF($E$4="Ppto",PptoSty[CurPpto],PptoSty[CurExt]),(IF($E$4="Ppto",PptoSty[POvsCT]=L$113,TRUE))*(PptoSty[Project]=TEXT($B179,"@"))*(PptoSty[PptoVsRow]=$E179)*(PptoSty[PptoVsColumn]=UPPER(K$114)),0)))</f>
        <v>0</v>
      </c>
      <c r="M179" s="157" cm="1">
        <f t="array" aca="1" ref="M179" ca="1">IF(OR($E179="X",$E179="",$E179=0,$B179="X",$B179="",$B179=0),0,SUM(_xlfn._xlws.FILTER(IF($E$4="Ppto",PptoSty[CurPpto],PptoSty[CurInt]),(IF($E$4="Ppto",PptoSty[POvsCT]=M$113,TRUE))*(PptoSty[Project]=TEXT($B179,"@"))*(PptoSty[PptoVsRow]=$E179)*(PptoSty[PptoVsColumn]=UPPER(M$114)),0)))</f>
        <v>0</v>
      </c>
      <c r="N179" s="157" cm="1">
        <f t="array" aca="1" ref="N179" ca="1">IF(OR($E179="X",$E179="",$E179=0,$B179="X",$B179="",$B179=0),0,SUM(_xlfn._xlws.FILTER(IF($E$4="Ppto",PptoSty[CurPpto],PptoSty[CurExt]),(IF($E$4="Ppto",PptoSty[POvsCT]=N$113,TRUE))*(PptoSty[Project]=TEXT($B179,"@"))*(PptoSty[PptoVsRow]=$E179)*(PptoSty[PptoVsColumn]=UPPER(M$114)),0)))</f>
        <v>0</v>
      </c>
      <c r="O179" s="157" cm="1">
        <f t="array" aca="1" ref="O179" ca="1">IF(OR($E179="X",$E179="",$E179=0,$B179="X",$B179="",$B179=0),0,SUM(_xlfn._xlws.FILTER(IF($E$4="Ppto",PptoSty[CurPpto],PptoSty[CurInt]),(IF($E$4="Ppto",PptoSty[POvsCT]=O$113,TRUE))*(PptoSty[Project]=TEXT($B179,"@"))*(PptoSty[PptoVsRow]=$E179)*(PptoSty[PptoVsColumn]=UPPER(O$114)),0)))</f>
        <v>0</v>
      </c>
      <c r="P179" s="157" cm="1">
        <f t="array" aca="1" ref="P179" ca="1">IF(OR($E179="X",$E179="",$E179=0,$B179="X",$B179="",$B179=0),0,SUM(_xlfn._xlws.FILTER(IF($E$4="Ppto",PptoSty[CurPpto],PptoSty[CurExt]),(IF($E$4="Ppto",PptoSty[POvsCT]=P$113,TRUE))*(PptoSty[Project]=TEXT($B179,"@"))*(PptoSty[PptoVsRow]=$E179)*(PptoSty[PptoVsColumn]=UPPER(O$114)),0)))</f>
        <v>0</v>
      </c>
      <c r="Q179" s="157" cm="1">
        <f t="array" aca="1" ref="Q179" ca="1">IF(OR($E179="X",$E179="",$E179=0,$B179="X",$B179="",$B179=0),0,SUM(_xlfn._xlws.FILTER(IF($E$4="Ppto",PptoSty[CurPpto],PptoSty[CurInt]),(IF($E$4="Ppto",PptoSty[POvsCT]=Q$113,TRUE))*(PptoSty[Project]=TEXT($B179,"@"))*(PptoSty[PptoVsRow]=$E179)*(PptoSty[PptoVsColumn]=UPPER(Q$114)),0)))</f>
        <v>0</v>
      </c>
      <c r="R179" s="157" cm="1">
        <f t="array" aca="1" ref="R179" ca="1">IF(OR($E179="X",$E179="",$E179=0,$B179="X",$B179="",$B179=0),0,SUM(_xlfn._xlws.FILTER(IF($E$4="Ppto",PptoSty[CurPpto],PptoSty[CurExt]),(IF($E$4="Ppto",PptoSty[POvsCT]=R$113,TRUE))*(PptoSty[Project]=TEXT($B179,"@"))*(PptoSty[PptoVsRow]=$E179)*(PptoSty[PptoVsColumn]=UPPER(Q$114)),0)))</f>
        <v>0</v>
      </c>
      <c r="S179" s="157" cm="1">
        <f t="array" aca="1" ref="S179" ca="1">IF(OR($E179="X",$E179="",$E179=0,$B179="X",$B179="",$B179=0),0,SUM(_xlfn._xlws.FILTER(IF($E$4="Ppto",PptoSty[CurPpto],PptoSty[CurInt]),(IF($E$4="Ppto",PptoSty[POvsCT]=S$113,TRUE))*(PptoSty[Project]=TEXT($B179,"@"))*(PptoSty[PptoVsRow]=$E179)*(PptoSty[PptoVsColumn]=UPPER(S$114)),0)))</f>
        <v>0</v>
      </c>
      <c r="T179" s="157" cm="1">
        <f t="array" aca="1" ref="T179" ca="1">IF(OR($E179="X",$E179="",$E179=0,$B179="X",$B179="",$B179=0),0,SUM(_xlfn._xlws.FILTER(IF($E$4="Ppto",PptoSty[CurPpto],PptoSty[CurExt]),(IF($E$4="Ppto",PptoSty[POvsCT]=T$113,TRUE))*(PptoSty[Project]=TEXT($B179,"@"))*(PptoSty[PptoVsRow]=$E179)*(PptoSty[PptoVsColumn]=UPPER(S$114)),0)))</f>
        <v>0</v>
      </c>
      <c r="U179" s="157" cm="1">
        <f t="array" aca="1" ref="U179" ca="1">IF(OR($E179="X",$E179="",$E179=0,$B179="X",$B179="",$B179=0),0,SUM(_xlfn._xlws.FILTER(IF($E$4="Ppto",PptoSty[CurPpto],PptoSty[CurInt]),(IF($E$4="Ppto",PptoSty[POvsCT]=U$113,TRUE))*(PptoSty[Project]=TEXT($B179,"@"))*(PptoSty[PptoVsRow]=$E179)*(PptoSty[PptoVsColumn]=UPPER(U$114)),0)))</f>
        <v>0</v>
      </c>
      <c r="V179" s="157" cm="1">
        <f t="array" aca="1" ref="V179" ca="1">IF(OR($E179="X",$E179="",$E179=0,$B179="X",$B179="",$B179=0),0,SUM(_xlfn._xlws.FILTER(IF($E$4="Ppto",PptoSty[CurPpto],PptoSty[CurExt]),(IF($E$4="Ppto",PptoSty[POvsCT]=V$113,TRUE))*(PptoSty[Project]=TEXT($B179,"@"))*(PptoSty[PptoVsRow]=$E179)*(PptoSty[PptoVsColumn]=UPPER(U$114)),0)))</f>
        <v>0</v>
      </c>
      <c r="W179" s="157" cm="1">
        <f t="array" aca="1" ref="W179" ca="1">IF(OR($E179="X",$E179="",$E179=0,$B179="X",$B179="",$B179=0),0,SUM(_xlfn._xlws.FILTER(IF($E$4="Ppto",PptoSty[CurPpto],PptoSty[CurInt]),(IF($E$4="Ppto",PptoSty[POvsCT]=W$113,TRUE))*(PptoSty[Project]=TEXT($B179,"@"))*(PptoSty[PptoVsRow]=$E179)*(PptoSty[PptoVsColumn]=UPPER(W$114)),0)))</f>
        <v>0</v>
      </c>
      <c r="X179" s="157" cm="1">
        <f t="array" aca="1" ref="X179" ca="1">IF(OR($E179="X",$E179="",$E179=0,$B179="X",$B179="",$B179=0),0,SUM(_xlfn._xlws.FILTER(IF($E$4="Ppto",PptoSty[CurPpto],PptoSty[CurExt]),(IF($E$4="Ppto",PptoSty[POvsCT]=X$113,TRUE))*(PptoSty[Project]=TEXT($B179,"@"))*(PptoSty[PptoVsRow]=$E179)*(PptoSty[PptoVsColumn]=UPPER(W$114)),0)))</f>
        <v>0</v>
      </c>
      <c r="Y179" s="157" cm="1">
        <f t="array" aca="1" ref="Y179" ca="1">IF(OR($E179="X",$E179="",$E179=0,$B179="X",$B179="",$B179=0),0,SUM(_xlfn._xlws.FILTER(IF($E$4="Ppto",PptoSty[CurPpto],PptoSty[CurInt]),(IF($E$4="Ppto",PptoSty[POvsCT]=Y$113,TRUE))*(PptoSty[Project]=TEXT($B179,"@"))*(PptoSty[PptoVsRow]=$E179)*(PptoSty[PptoVsColumn]=UPPER(Y$114)),0)))</f>
        <v>0</v>
      </c>
      <c r="Z179" s="157" cm="1">
        <f t="array" aca="1" ref="Z179" ca="1">IF(OR($E179="X",$E179="",$E179=0,$B179="X",$B179="",$B179=0),0,SUM(_xlfn._xlws.FILTER(IF($E$4="Ppto",PptoSty[CurPpto],PptoSty[CurExt]),(IF($E$4="Ppto",PptoSty[POvsCT]=Z$113,TRUE))*(PptoSty[Project]=TEXT($B179,"@"))*(PptoSty[PptoVsRow]=$E179)*(PptoSty[PptoVsColumn]=UPPER(Y$114)),0)))</f>
        <v>0</v>
      </c>
      <c r="AA179" s="157" cm="1">
        <f t="array" aca="1" ref="AA179" ca="1">IF(OR($E179="X",$E179="",$E179=0,$B179="X",$B179="",$B179=0),0,SUM(_xlfn._xlws.FILTER(IF($E$4="Ppto",PptoSty[CurPpto],PptoSty[CurInt]),(IF($E$4="Ppto",PptoSty[POvsCT]=AA$113,TRUE))*(PptoSty[Project]=TEXT($B179,"@"))*(PptoSty[PptoVsRow]=$E179)*(PptoSty[PptoVsColumn]=UPPER(AA$114)),0)))</f>
        <v>0</v>
      </c>
      <c r="AB179" s="157" cm="1">
        <f t="array" aca="1" ref="AB179" ca="1">IF(OR($E179="X",$E179="",$E179=0,$B179="X",$B179="",$B179=0),0,SUM(_xlfn._xlws.FILTER(IF($E$4="Ppto",PptoSty[CurPpto],PptoSty[CurExt]),(IF($E$4="Ppto",PptoSty[POvsCT]=AB$113,TRUE))*(PptoSty[Project]=TEXT($B179,"@"))*(PptoSty[PptoVsRow]=$E179)*(PptoSty[PptoVsColumn]=UPPER(AA$114)),0)))</f>
        <v>0</v>
      </c>
      <c r="AC179" s="157" cm="1">
        <f t="array" aca="1" ref="AC179" ca="1">IF(OR($E179="X",$E179="",$E179=0,$B179="X",$B179="",$B179=0),0,SUM(_xlfn._xlws.FILTER(IF($E$4="Ppto",PptoSty[CurPpto],PptoSty[CurInt]),(IF($E$4="Ppto",PptoSty[POvsCT]=AC$113,TRUE))*(PptoSty[Project]=TEXT($B179,"@"))*(PptoSty[PptoVsRow]=$E179)*(PptoSty[PptoVsColumn]=UPPER(AC$114)),0)))</f>
        <v>0</v>
      </c>
      <c r="AD179" s="157" cm="1">
        <f t="array" aca="1" ref="AD179" ca="1">IF(OR($E179="X",$E179="",$E179=0,$B179="X",$B179="",$B179=0),0,SUM(_xlfn._xlws.FILTER(IF($E$4="Ppto",PptoSty[CurPpto],PptoSty[CurExt]),(IF($E$4="Ppto",PptoSty[POvsCT]=AD$113,TRUE))*(PptoSty[Project]=TEXT($B179,"@"))*(PptoSty[PptoVsRow]=$E179)*(PptoSty[PptoVsColumn]=UPPER(AC$114)),0)))</f>
        <v>0</v>
      </c>
      <c r="AE179" s="157" cm="1">
        <f t="array" aca="1" ref="AE179" ca="1">IF(OR($E179="X",$E179="",$E179=0,$B179="X",$B179="",$B179=0),0,SUM(_xlfn._xlws.FILTER(IF($E$4="Ppto",PptoSty[CurPpto],PptoSty[CurInt]),(IF($E$4="Ppto",PptoSty[POvsCT]=AE$113,TRUE))*(PptoSty[Project]=TEXT($B179,"@"))*(PptoSty[PptoVsRow]=$E179)*(PptoSty[PptoVsColumn]=UPPER(AE$114)),0)))</f>
        <v>0</v>
      </c>
      <c r="AF179" s="157" cm="1">
        <f t="array" aca="1" ref="AF179" ca="1">IF(OR($E179="X",$E179="",$E179=0,$B179="X",$B179="",$B179=0),0,SUM(_xlfn._xlws.FILTER(IF($E$4="Ppto",PptoSty[CurPpto],PptoSty[CurExt]),(IF($E$4="Ppto",PptoSty[POvsCT]=AF$113,TRUE))*(PptoSty[Project]=TEXT($B179,"@"))*(PptoSty[PptoVsRow]=$E179)*(PptoSty[PptoVsColumn]=UPPER(AE$114)),0)))</f>
        <v>0</v>
      </c>
      <c r="AG179" s="157" cm="1">
        <f t="array" aca="1" ref="AG179" ca="1">IF(OR($E179="X",$E179="",$E179=0,$B179="X",$B179="",$B179=0),0,SUM(_xlfn._xlws.FILTER(IF($E$4="Ppto",PptoSty[CurPpto],PptoSty[CurInt]),(IF($E$4="Ppto",PptoSty[POvsCT]=AG$113,TRUE))*(PptoSty[Project]=TEXT($B179,"@"))*(PptoSty[PptoVsRow]=$E179)*(PptoSty[PptoVsColumn]=UPPER(AG$114)),0)))</f>
        <v>0</v>
      </c>
      <c r="AH179" s="157" cm="1">
        <f t="array" aca="1" ref="AH179" ca="1">IF(OR($E179="X",$E179="",$E179=0,$B179="X",$B179="",$B179=0),0,SUM(_xlfn._xlws.FILTER(IF($E$4="Ppto",PptoSty[CurPpto],PptoSty[CurExt]),(IF($E$4="Ppto",PptoSty[POvsCT]=AH$113,TRUE))*(PptoSty[Project]=TEXT($B179,"@"))*(PptoSty[PptoVsRow]=$E179)*(PptoSty[PptoVsColumn]=UPPER(AG$114)),0)))</f>
        <v>0</v>
      </c>
      <c r="AI179" s="157" cm="1">
        <f t="array" aca="1" ref="AI179" ca="1">IF(OR($E179="X",$E179="",$E179=0,$B179="X",$B179="",$B179=0),0,SUM(_xlfn._xlws.FILTER(IF($E$4="Ppto",PptoSty[CurPpto],PptoSty[CurInt]),(IF($E$4="Ppto",PptoSty[POvsCT]=AI$113,TRUE))*(PptoSty[Project]=TEXT($B179,"@"))*(PptoSty[PptoVsRow]=$E179)*(PptoSty[PptoVsColumn]=UPPER(AI$114)),0)))</f>
        <v>0</v>
      </c>
      <c r="AJ179" s="157" cm="1">
        <f t="array" aca="1" ref="AJ179" ca="1">IF(OR($E179="X",$E179="",$E179=0,$B179="X",$B179="",$B179=0),0,SUM(_xlfn._xlws.FILTER(IF($E$4="Ppto",PptoSty[CurPpto],PptoSty[CurExt]),(IF($E$4="Ppto",PptoSty[POvsCT]=AJ$113,TRUE))*(PptoSty[Project]=TEXT($B179,"@"))*(PptoSty[PptoVsRow]=$E179)*(PptoSty[PptoVsColumn]=UPPER(AI$114)),0)))</f>
        <v>0</v>
      </c>
      <c r="AK179" s="157" cm="1">
        <f t="array" aca="1" ref="AK179" ca="1">IF(OR($E179="X",$E179="",$E179=0,$B179="X",$B179="",$B179=0),0,SUM(_xlfn._xlws.FILTER(IF($E$4="Ppto",PptoSty[CurPpto],PptoSty[CurInt]),(IF($E$4="Ppto",PptoSty[POvsCT]=AK$113,TRUE))*(PptoSty[Project]=TEXT($B179,"@"))*(PptoSty[PptoVsRow]=$E179)*(PptoSty[PptoVsColumn]=UPPER(AK$114)),0)))</f>
        <v>0</v>
      </c>
      <c r="AL179" s="157" cm="1">
        <f t="array" aca="1" ref="AL179" ca="1">IF(OR($E179="X",$E179="",$E179=0,$B179="X",$B179="",$B179=0),0,SUM(_xlfn._xlws.FILTER(IF($E$4="Ppto",PptoSty[CurPpto],PptoSty[CurExt]),(IF($E$4="Ppto",PptoSty[POvsCT]=AL$113,TRUE))*(PptoSty[Project]=TEXT($B179,"@"))*(PptoSty[PptoVsRow]=$E179)*(PptoSty[PptoVsColumn]=UPPER(AK$114)),0)))</f>
        <v>0</v>
      </c>
      <c r="AM179" s="157" cm="1">
        <f t="array" aca="1" ref="AM179" ca="1">IF(OR($E179="X",$E179="",$E179=0,$B179="X",$B179="",$B179=0),0,SUM(_xlfn._xlws.FILTER(IF($E$4="Ppto",PptoSty[CurPpto],PptoSty[CurInt]),(IF($E$4="Ppto",PptoSty[POvsCT]=AM$113,TRUE))*(PptoSty[Project]=TEXT($B179,"@"))*(PptoSty[PptoVsRow]=$E179)*(PptoSty[PptoVsColumn]=UPPER(AM$114)),0)))</f>
        <v>0</v>
      </c>
      <c r="AN179" s="157" cm="1">
        <f t="array" aca="1" ref="AN179" ca="1">IF(OR($E179="X",$E179="",$E179=0,$B179="X",$B179="",$B179=0),0,SUM(_xlfn._xlws.FILTER(IF($E$4="Ppto",PptoSty[CurPpto],PptoSty[CurExt]),(IF($E$4="Ppto",PptoSty[POvsCT]=AN$113,TRUE))*(PptoSty[Project]=TEXT($B179,"@"))*(PptoSty[PptoVsRow]=$E179)*(PptoSty[PptoVsColumn]=UPPER(AM$114)),0)))</f>
        <v>0</v>
      </c>
      <c r="AO179" s="157" cm="1">
        <f t="array" aca="1" ref="AO179" ca="1">IF(OR($E179="X",$E179="",$E179=0,$B179="X",$B179="",$B179=0),0,SUM(_xlfn._xlws.FILTER(IF($E$4="Ppto",PptoSty[CurPpto],PptoSty[CurInt]),(IF($E$4="Ppto",PptoSty[POvsCT]=AO$113,TRUE))*(PptoSty[Project]=TEXT($B179,"@"))*(PptoSty[PptoVsRow]=$E179)*(PptoSty[PptoVsColumn]=UPPER(AO$114)),0)))</f>
        <v>0</v>
      </c>
      <c r="AP179" s="157" cm="1">
        <f t="array" aca="1" ref="AP179" ca="1">IF(OR($E179="X",$E179="",$E179=0,$B179="X",$B179="",$B179=0),0,SUM(_xlfn._xlws.FILTER(IF($E$4="Ppto",PptoSty[CurPpto],PptoSty[CurExt]),(IF($E$4="Ppto",PptoSty[POvsCT]=AP$113,TRUE))*(PptoSty[Project]=TEXT($B179,"@"))*(PptoSty[PptoVsRow]=$E179)*(PptoSty[PptoVsColumn]=UPPER(AO$114)),0)))</f>
        <v>117376.5405</v>
      </c>
      <c r="AQ179" s="157" cm="1">
        <f t="array" aca="1" ref="AQ179" ca="1">SUM(IF(INDIRECT($AS$115)=AQ$115,INDIRECT($AS179)))</f>
        <v>0</v>
      </c>
      <c r="AR179" s="157" cm="1">
        <f t="array" aca="1" ref="AR179" ca="1">SUM(IF(INDIRECT($AS$115)=AR$115,INDIRECT($AS179)))</f>
        <v>117376.5405</v>
      </c>
      <c r="AS179" s="286" t="str">
        <f t="shared" ca="1" si="16"/>
        <v>G179:AP179</v>
      </c>
      <c r="AT179" s="403">
        <f t="shared" ca="1" si="14"/>
        <v>117376.5405</v>
      </c>
      <c r="AV179" s="142" cm="1">
        <f t="array" aca="1" ref="AV179" ca="1">IF(AND(_xlfn.LET(_xlpm.x,SUM(ROW()),OR(AND(MATCH("SOT",$A:$A,0)&lt;_xlpm.x,MATCH("EOT",$A:$A,0)&gt;_xlpm.x),AND(MATCH("SOS",$A:$A,0)&lt;_xlpm.x,MATCH("EOS",$A:$A,0)&gt;_xlpm.x),AND(MATCH("SOR",$A:$A,0)&lt;_xlpm.x,MATCH("EOR",$A:$A,0)&gt;_xlpm.x))),INDIRECT("rc"&amp;MATCH("SCD",$1:$1,0),FALSE)="PPTO"),1,0)</f>
        <v>1</v>
      </c>
      <c r="AW179" s="142" cm="1">
        <f t="array" aca="1" ref="AW17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80" spans="2:49" outlineLevel="1">
      <c r="B180" s="156" t="str" cm="1">
        <f t="array" aca="1" ref="B180:E180" ca="1">_xlfn.LET(_xlpm.x,SUM(ROW()-MATCH("SOR",$A:$A,0)),_xlpm.y,IFERROR(_xlfn.TAKE(INDEX(_xlfn._xlws.FILTER(TbAssign[],ISNUMBER(FIND(TbAssign[Project],$C$4)),"X"),1+QUOTIENT(_xlpm.x,3),0),1,4),0),IF(MOD(_xlpm.x-1,3)=0,IF(_xlpm.y=0,"X",_xlpm.y),INDIRECT("r[-1]c#",FALSE)))</f>
        <v>31200</v>
      </c>
      <c r="C180" s="156" t="str">
        <f ca="1"/>
        <v>XF01</v>
      </c>
      <c r="D180" s="148" t="str">
        <f ca="1"/>
        <v>TRMT</v>
      </c>
      <c r="E180" s="352" t="str">
        <f ca="1"/>
        <v>TRANSPORTES Y EMBALAJES</v>
      </c>
      <c r="F180" s="148" t="s">
        <v>1382</v>
      </c>
      <c r="G180" s="157" cm="1">
        <f t="array" aca="1" ref="G180" ca="1">IF(OR($E180="X",$E180="",$E180=0,$B180="X",$B180="",$B180=0),0,SUM(_xlfn._xlws.FILTER(PrvSty[DsvValue:SERRA],(PrvSty[Project]=TEXT($B180,"@"))*(PrvSty[Row]=$E180)*(PrvSty[Column]=UPPER(G$114)),0)))</f>
        <v>0</v>
      </c>
      <c r="H180" s="157" cm="1">
        <f t="array" aca="1" ref="H180" ca="1">IF(OR($E180="X",$E180="",$E180=0,$B180="X",$B180="",$B180=0),0,SUM(_xlfn._xlws.FILTER(PrvSty[DsvValue:EXT.],(PrvSty[Project]=TEXT($B180,"@"))*(PrvSty[Row]=$E180)*(PrvSty[Column]=UPPER(G$114)),0)))</f>
        <v>0</v>
      </c>
      <c r="I180" s="157" cm="1">
        <f t="array" aca="1" ref="I180" ca="1">IF(OR($E180="X",$E180="",$E180=0,$B180="X",$B180="",$B180=0),0,SUM(_xlfn._xlws.FILTER(PrvSty[DsvValue:SERRA],(PrvSty[Project]=TEXT($B180,"@"))*(PrvSty[Row]=$E180)*(PrvSty[Column]=UPPER(I$114)),0)))</f>
        <v>0</v>
      </c>
      <c r="J180" s="157" cm="1">
        <f t="array" aca="1" ref="J180" ca="1">IF(OR($E180="X",$E180="",$E180=0,$B180="X",$B180="",$B180=0),0,SUM(_xlfn._xlws.FILTER(PrvSty[DsvValue:EXT.],(PrvSty[Project]=TEXT($B180,"@"))*(PrvSty[Row]=$E180)*(PrvSty[Column]=UPPER(I$114)),0)))</f>
        <v>0</v>
      </c>
      <c r="K180" s="157" cm="1">
        <f t="array" aca="1" ref="K180" ca="1">IF(OR($E180="X",$E180="",$E180=0,$B180="X",$B180="",$B180=0),0,SUM(_xlfn._xlws.FILTER(PrvSty[DsvValue:SERRA],(PrvSty[Project]=TEXT($B180,"@"))*(PrvSty[Row]=$E180)*(PrvSty[Column]=UPPER(K$114)),0)))</f>
        <v>0</v>
      </c>
      <c r="L180" s="157" cm="1">
        <f t="array" aca="1" ref="L180" ca="1">IF(OR($E180="X",$E180="",$E180=0,$B180="X",$B180="",$B180=0),0,SUM(_xlfn._xlws.FILTER(PrvSty[DsvValue:EXT.],(PrvSty[Project]=TEXT($B180,"@"))*(PrvSty[Row]=$E180)*(PrvSty[Column]=UPPER(K$114)),0)))</f>
        <v>0</v>
      </c>
      <c r="M180" s="157" cm="1">
        <f t="array" aca="1" ref="M180" ca="1">IF(OR($E180="X",$E180="",$E180=0,$B180="X",$B180="",$B180=0),0,SUM(_xlfn._xlws.FILTER(PrvSty[DsvValue:SERRA],(PrvSty[Project]=TEXT($B180,"@"))*(PrvSty[Row]=$E180)*(PrvSty[Column]=UPPER(M$114)),0)))</f>
        <v>0</v>
      </c>
      <c r="N180" s="157" cm="1">
        <f t="array" aca="1" ref="N180" ca="1">IF(OR($E180="X",$E180="",$E180=0,$B180="X",$B180="",$B180=0),0,SUM(_xlfn._xlws.FILTER(PrvSty[DsvValue:EXT.],(PrvSty[Project]=TEXT($B180,"@"))*(PrvSty[Row]=$E180)*(PrvSty[Column]=UPPER(M$114)),0)))</f>
        <v>0</v>
      </c>
      <c r="O180" s="157" cm="1">
        <f t="array" aca="1" ref="O180" ca="1">IF(OR($E180="X",$E180="",$E180=0,$B180="X",$B180="",$B180=0),0,SUM(_xlfn._xlws.FILTER(PrvSty[DsvValue:SERRA],(PrvSty[Project]=TEXT($B180,"@"))*(PrvSty[Row]=$E180)*(PrvSty[Column]=UPPER(O$114)),0)))</f>
        <v>0</v>
      </c>
      <c r="P180" s="157" cm="1">
        <f t="array" aca="1" ref="P180" ca="1">IF(OR($E180="X",$E180="",$E180=0,$B180="X",$B180="",$B180=0),0,SUM(_xlfn._xlws.FILTER(PrvSty[DsvValue:EXT.],(PrvSty[Project]=TEXT($B180,"@"))*(PrvSty[Row]=$E180)*(PrvSty[Column]=UPPER(O$114)),0)))</f>
        <v>0</v>
      </c>
      <c r="Q180" s="157" cm="1">
        <f t="array" aca="1" ref="Q180" ca="1">IF(OR($E180="X",$E180="",$E180=0,$B180="X",$B180="",$B180=0),0,SUM(_xlfn._xlws.FILTER(PrvSty[DsvValue:SERRA],(PrvSty[Project]=TEXT($B180,"@"))*(PrvSty[Row]=$E180)*(PrvSty[Column]=UPPER(Q$114)),0)))</f>
        <v>0</v>
      </c>
      <c r="R180" s="157" cm="1">
        <f t="array" aca="1" ref="R180" ca="1">IF(OR($E180="X",$E180="",$E180=0,$B180="X",$B180="",$B180=0),0,SUM(_xlfn._xlws.FILTER(PrvSty[DsvValue:EXT.],(PrvSty[Project]=TEXT($B180,"@"))*(PrvSty[Row]=$E180)*(PrvSty[Column]=UPPER(Q$114)),0)))</f>
        <v>0</v>
      </c>
      <c r="S180" s="157" cm="1">
        <f t="array" aca="1" ref="S180" ca="1">IF(OR($E180="X",$E180="",$E180=0,$B180="X",$B180="",$B180=0),0,SUM(_xlfn._xlws.FILTER(PrvSty[DsvValue:SERRA],(PrvSty[Project]=TEXT($B180,"@"))*(PrvSty[Row]=$E180)*(PrvSty[Column]=UPPER(S$114)),0)))</f>
        <v>0</v>
      </c>
      <c r="T180" s="157" cm="1">
        <f t="array" aca="1" ref="T180" ca="1">IF(OR($E180="X",$E180="",$E180=0,$B180="X",$B180="",$B180=0),0,SUM(_xlfn._xlws.FILTER(PrvSty[DsvValue:EXT.],(PrvSty[Project]=TEXT($B180,"@"))*(PrvSty[Row]=$E180)*(PrvSty[Column]=UPPER(S$114)),0)))</f>
        <v>0</v>
      </c>
      <c r="U180" s="157" cm="1">
        <f t="array" aca="1" ref="U180" ca="1">IF(OR($E180="X",$E180="",$E180=0,$B180="X",$B180="",$B180=0),0,SUM(_xlfn._xlws.FILTER(PrvSty[DsvValue:SERRA],(PrvSty[Project]=TEXT($B180,"@"))*(PrvSty[Row]=$E180)*(PrvSty[Column]=UPPER(U$114)),0)))</f>
        <v>0</v>
      </c>
      <c r="V180" s="157" cm="1">
        <f t="array" aca="1" ref="V180" ca="1">IF(OR($E180="X",$E180="",$E180=0,$B180="X",$B180="",$B180=0),0,SUM(_xlfn._xlws.FILTER(PrvSty[DsvValue:EXT.],(PrvSty[Project]=TEXT($B180,"@"))*(PrvSty[Row]=$E180)*(PrvSty[Column]=UPPER(U$114)),0)))</f>
        <v>0</v>
      </c>
      <c r="W180" s="157" cm="1">
        <f t="array" aca="1" ref="W180" ca="1">IF(OR($E180="X",$E180="",$E180=0,$B180="X",$B180="",$B180=0),0,SUM(_xlfn._xlws.FILTER(PrvSty[DsvValue:SERRA],(PrvSty[Project]=TEXT($B180,"@"))*(PrvSty[Row]=$E180)*(PrvSty[Column]=UPPER(W$114)),0)))</f>
        <v>0</v>
      </c>
      <c r="X180" s="157" cm="1">
        <f t="array" aca="1" ref="X180" ca="1">IF(OR($E180="X",$E180="",$E180=0,$B180="X",$B180="",$B180=0),0,SUM(_xlfn._xlws.FILTER(PrvSty[DsvValue:EXT.],(PrvSty[Project]=TEXT($B180,"@"))*(PrvSty[Row]=$E180)*(PrvSty[Column]=UPPER(W$114)),0)))</f>
        <v>0</v>
      </c>
      <c r="Y180" s="157" cm="1">
        <f t="array" aca="1" ref="Y180" ca="1">IF(OR($E180="X",$E180="",$E180=0,$B180="X",$B180="",$B180=0),0,SUM(_xlfn._xlws.FILTER(PrvSty[DsvValue:SERRA],(PrvSty[Project]=TEXT($B180,"@"))*(PrvSty[Row]=$E180)*(PrvSty[Column]=UPPER(Y$114)),0)))</f>
        <v>0</v>
      </c>
      <c r="Z180" s="157" cm="1">
        <f t="array" aca="1" ref="Z180" ca="1">IF(OR($E180="X",$E180="",$E180=0,$B180="X",$B180="",$B180=0),0,SUM(_xlfn._xlws.FILTER(PrvSty[DsvValue:EXT.],(PrvSty[Project]=TEXT($B180,"@"))*(PrvSty[Row]=$E180)*(PrvSty[Column]=UPPER(Y$114)),0)))</f>
        <v>0</v>
      </c>
      <c r="AA180" s="157" cm="1">
        <f t="array" aca="1" ref="AA180" ca="1">IF(OR($E180="X",$E180="",$E180=0,$B180="X",$B180="",$B180=0),0,SUM(_xlfn._xlws.FILTER(PrvSty[DsvValue:SERRA],(PrvSty[Project]=TEXT($B180,"@"))*(PrvSty[Row]=$E180)*(PrvSty[Column]=UPPER(AA$114)),0)))</f>
        <v>0</v>
      </c>
      <c r="AB180" s="157" cm="1">
        <f t="array" aca="1" ref="AB180" ca="1">IF(OR($E180="X",$E180="",$E180=0,$B180="X",$B180="",$B180=0),0,SUM(_xlfn._xlws.FILTER(PrvSty[DsvValue:EXT.],(PrvSty[Project]=TEXT($B180,"@"))*(PrvSty[Row]=$E180)*(PrvSty[Column]=UPPER(AA$114)),0)))</f>
        <v>0</v>
      </c>
      <c r="AC180" s="157" cm="1">
        <f t="array" aca="1" ref="AC180" ca="1">IF(OR($E180="X",$E180="",$E180=0,$B180="X",$B180="",$B180=0),0,SUM(_xlfn._xlws.FILTER(PrvSty[DsvValue:SERRA],(PrvSty[Project]=TEXT($B180,"@"))*(PrvSty[Row]=$E180)*(PrvSty[Column]=UPPER(AC$114)),0)))</f>
        <v>0</v>
      </c>
      <c r="AD180" s="157" cm="1">
        <f t="array" aca="1" ref="AD180" ca="1">IF(OR($E180="X",$E180="",$E180=0,$B180="X",$B180="",$B180=0),0,SUM(_xlfn._xlws.FILTER(PrvSty[DsvValue:EXT.],(PrvSty[Project]=TEXT($B180,"@"))*(PrvSty[Row]=$E180)*(PrvSty[Column]=UPPER(AC$114)),0)))</f>
        <v>0</v>
      </c>
      <c r="AE180" s="157" cm="1">
        <f t="array" aca="1" ref="AE180" ca="1">IF(OR($E180="X",$E180="",$E180=0,$B180="X",$B180="",$B180=0),0,SUM(_xlfn._xlws.FILTER(PrvSty[DsvValue:SERRA],(PrvSty[Project]=TEXT($B180,"@"))*(PrvSty[Row]=$E180)*(PrvSty[Column]=UPPER(AE$114)),0)))</f>
        <v>0</v>
      </c>
      <c r="AF180" s="157" cm="1">
        <f t="array" aca="1" ref="AF180" ca="1">IF(OR($E180="X",$E180="",$E180=0,$B180="X",$B180="",$B180=0),0,SUM(_xlfn._xlws.FILTER(PrvSty[DsvValue:EXT.],(PrvSty[Project]=TEXT($B180,"@"))*(PrvSty[Row]=$E180)*(PrvSty[Column]=UPPER(AE$114)),0)))</f>
        <v>0</v>
      </c>
      <c r="AG180" s="157" cm="1">
        <f t="array" aca="1" ref="AG180" ca="1">IF(OR($E180="X",$E180="",$E180=0,$B180="X",$B180="",$B180=0),0,SUM(_xlfn._xlws.FILTER(PrvSty[DsvValue:SERRA],(PrvSty[Project]=TEXT($B180,"@"))*(PrvSty[Row]=$E180)*(PrvSty[Column]=UPPER(AG$114)),0)))</f>
        <v>0</v>
      </c>
      <c r="AH180" s="157" cm="1">
        <f t="array" aca="1" ref="AH180" ca="1">IF(OR($E180="X",$E180="",$E180=0,$B180="X",$B180="",$B180=0),0,SUM(_xlfn._xlws.FILTER(PrvSty[DsvValue:EXT.],(PrvSty[Project]=TEXT($B180,"@"))*(PrvSty[Row]=$E180)*(PrvSty[Column]=UPPER(AG$114)),0)))</f>
        <v>0</v>
      </c>
      <c r="AI180" s="157" cm="1">
        <f t="array" aca="1" ref="AI180" ca="1">IF(OR($E180="X",$E180="",$E180=0,$B180="X",$B180="",$B180=0),0,SUM(_xlfn._xlws.FILTER(PrvSty[DsvValue:SERRA],(PrvSty[Project]=TEXT($B180,"@"))*(PrvSty[Row]=$E180)*(PrvSty[Column]=UPPER(AI$114)),0)))</f>
        <v>0</v>
      </c>
      <c r="AJ180" s="157" cm="1">
        <f t="array" aca="1" ref="AJ180" ca="1">IF(OR($E180="X",$E180="",$E180=0,$B180="X",$B180="",$B180=0),0,SUM(_xlfn._xlws.FILTER(PrvSty[DsvValue:EXT.],(PrvSty[Project]=TEXT($B180,"@"))*(PrvSty[Row]=$E180)*(PrvSty[Column]=UPPER(AI$114)),0)))</f>
        <v>0</v>
      </c>
      <c r="AK180" s="157" cm="1">
        <f t="array" aca="1" ref="AK180" ca="1">IF(OR($E180="X",$E180="",$E180=0,$B180="X",$B180="",$B180=0),0,SUM(_xlfn._xlws.FILTER(PrvSty[DsvValue:SERRA],(PrvSty[Project]=TEXT($B180,"@"))*(PrvSty[Row]=$E180)*(PrvSty[Column]=UPPER(AK$114)),0)))</f>
        <v>0</v>
      </c>
      <c r="AL180" s="157" cm="1">
        <f t="array" aca="1" ref="AL180" ca="1">IF(OR($E180="X",$E180="",$E180=0,$B180="X",$B180="",$B180=0),0,SUM(_xlfn._xlws.FILTER(PrvSty[DsvValue:EXT.],(PrvSty[Project]=TEXT($B180,"@"))*(PrvSty[Row]=$E180)*(PrvSty[Column]=UPPER(AK$114)),0)))</f>
        <v>0</v>
      </c>
      <c r="AM180" s="157" cm="1">
        <f t="array" aca="1" ref="AM180" ca="1">IF(OR($E180="X",$E180="",$E180=0,$B180="X",$B180="",$B180=0),0,SUM(_xlfn._xlws.FILTER(PrvSty[DsvValue:SERRA],(PrvSty[Project]=TEXT($B180,"@"))*(PrvSty[Row]=$E180)*(PrvSty[Column]=UPPER(AM$114)),0)))</f>
        <v>0</v>
      </c>
      <c r="AN180" s="157" cm="1">
        <f t="array" aca="1" ref="AN180" ca="1">IF(OR($E180="X",$E180="",$E180=0,$B180="X",$B180="",$B180=0),0,SUM(_xlfn._xlws.FILTER(PrvSty[DsvValue:EXT.],(PrvSty[Project]=TEXT($B180,"@"))*(PrvSty[Row]=$E180)*(PrvSty[Column]=UPPER(AM$114)),0)))</f>
        <v>0</v>
      </c>
      <c r="AO180" s="157" cm="1">
        <f t="array" aca="1" ref="AO180" ca="1">IF(OR($E180="X",$E180="",$E180=0,$B180="X",$B180="",$B180=0),0,SUM(_xlfn._xlws.FILTER(PrvSty[DsvValue:SERRA],(PrvSty[Project]=TEXT($B180,"@"))*(PrvSty[Row]=$E180)*(PrvSty[Column]=UPPER(AO$114)),0)))</f>
        <v>0</v>
      </c>
      <c r="AP180" s="157" cm="1">
        <f t="array" aca="1" ref="AP180" ca="1">IF(OR($E180="X",$E180="",$E180=0,$B180="X",$B180="",$B180=0),0,SUM(_xlfn._xlws.FILTER(PrvSty[DsvValue:EXT.],(PrvSty[Project]=TEXT($B180,"@"))*(PrvSty[Row]=$E180)*(PrvSty[Column]=UPPER(AO$114)),0)))</f>
        <v>70000</v>
      </c>
      <c r="AQ180" s="157" cm="1">
        <f t="array" aca="1" ref="AQ180" ca="1">SUM(IF(INDIRECT($AS$115)=AQ$115,INDIRECT($AS180)))</f>
        <v>0</v>
      </c>
      <c r="AR180" s="157" cm="1">
        <f t="array" aca="1" ref="AR180" ca="1">SUM(IF(INDIRECT($AS$115)=AR$115,INDIRECT($AS180)))</f>
        <v>70000</v>
      </c>
      <c r="AS180" s="286" t="str">
        <f t="shared" ca="1" si="16"/>
        <v>G180:AP180</v>
      </c>
      <c r="AT180" s="403">
        <f t="shared" ref="AT180:AT243" ca="1" si="17">SUM(INDIRECT("rc"&amp;MATCH("ECD",$1:$1,0)&amp;":rc"&amp;(MATCH("EOC",$1:$1,0)-1),FALSE))</f>
        <v>70000</v>
      </c>
      <c r="AV180" s="142" cm="1">
        <f t="array" aca="1" ref="AV180" ca="1">IF(AND(_xlfn.LET(_xlpm.x,SUM(ROW()),OR(AND(MATCH("SOT",$A:$A,0)&lt;_xlpm.x,MATCH("EOT",$A:$A,0)&gt;_xlpm.x),AND(MATCH("SOS",$A:$A,0)&lt;_xlpm.x,MATCH("EOS",$A:$A,0)&gt;_xlpm.x),AND(MATCH("SOR",$A:$A,0)&lt;_xlpm.x,MATCH("EOR",$A:$A,0)&gt;_xlpm.x))),INDIRECT("rc"&amp;MATCH("SCD",$1:$1,0),FALSE)="PPTO"),1,0)</f>
        <v>0</v>
      </c>
      <c r="AW180" s="142" cm="1">
        <f t="array" aca="1" ref="AW18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81" spans="2:49" outlineLevel="1">
      <c r="B181" s="156" t="str" cm="1">
        <f t="array" aca="1" ref="B181:E181" ca="1">_xlfn.LET(_xlpm.x,SUM(ROW()-MATCH("SOR",$A:$A,0)),_xlpm.y,IFERROR(_xlfn.TAKE(INDEX(_xlfn._xlws.FILTER(TbAssign[],ISNUMBER(FIND(TbAssign[Project],$C$4)),"X"),1+QUOTIENT(_xlpm.x,3),0),1,4),0),IF(MOD(_xlpm.x-1,3)=0,IF(_xlpm.y=0,"X",_xlpm.y),INDIRECT("r[-1]c#",FALSE)))</f>
        <v>31200</v>
      </c>
      <c r="C181" s="156" t="str">
        <f ca="1"/>
        <v>XF01</v>
      </c>
      <c r="D181" s="148" t="str">
        <f ca="1"/>
        <v>TRMT</v>
      </c>
      <c r="E181" s="352" t="str">
        <f ca="1"/>
        <v>TRANSPORTES Y EMBALAJES</v>
      </c>
      <c r="F181" s="148" t="s">
        <v>1383</v>
      </c>
      <c r="G181" s="158" cm="1">
        <f t="array" aca="1" ref="G181" ca="1">IF(OR($E181="X",$E181="",$E181=0,$B181="X",$B181="",$B181=0),0,SUM(_xlfn._xlws.FILTER(FrmBB1[Cur],(FrmBB1[PrjId]=TEXT($B181,"@"))*(FrmBB1[Row]=$E181)*(FrmBB1[Column]=UPPER(_xlfn.LET(_xlpm.x,_xlfn.TEXTBEFORE(G$114," ("),IFERROR(_xlpm.x,G$114)))&amp;" "&amp;G$115),0)))</f>
        <v>0</v>
      </c>
      <c r="H181" s="157" cm="1">
        <f t="array" aca="1" ref="H181" ca="1">IF(OR($E181="X",$E181="",$E181=0,$B181="X",$B181="",$B181=0),0,SUM(_xlfn._xlws.FILTER(FrmBB1[Cur],(FrmBB1[PrjId]=TEXT($B181,"@"))*(FrmBB1[Row]=$E181)*(FrmBB1[Column]=UPPER(_xlfn.LET(_xlpm.x,_xlfn.TEXTBEFORE(G$114," ("),IFERROR(_xlpm.x,G$114)))&amp;" "&amp;H$115),0)))</f>
        <v>0</v>
      </c>
      <c r="I181" s="158" cm="1">
        <f t="array" aca="1" ref="I181" ca="1">IF(OR($E181="X",$E181="",$E181=0,$B181="X",$B181="",$B181=0),0,SUM(_xlfn._xlws.FILTER(FrmBB1[Cur],(FrmBB1[PrjId]=TEXT($B181,"@"))*(FrmBB1[Row]=$E181)*(FrmBB1[Column]=UPPER(_xlfn.LET(_xlpm.x,_xlfn.TEXTBEFORE(I$114," ("),IFERROR(_xlpm.x,I$114)))&amp;" "&amp;I$115),0)))</f>
        <v>0</v>
      </c>
      <c r="J181" s="157" cm="1">
        <f t="array" aca="1" ref="J181" ca="1">IF(OR($E181="X",$E181="",$E181=0,$B181="X",$B181="",$B181=0),0,SUM(_xlfn._xlws.FILTER(FrmBB1[Cur],(FrmBB1[PrjId]=TEXT($B181,"@"))*(FrmBB1[Row]=$E181)*(FrmBB1[Column]=UPPER(_xlfn.LET(_xlpm.x,_xlfn.TEXTBEFORE(I$114," ("),IFERROR(_xlpm.x,I$114)))&amp;" "&amp;J$115),0)))</f>
        <v>0</v>
      </c>
      <c r="K181" s="158" cm="1">
        <f t="array" aca="1" ref="K181" ca="1">IF(OR($E181="X",$E181="",$E181=0,$B181="X",$B181="",$B181=0),0,SUM(_xlfn._xlws.FILTER(FrmBB1[Cur],(FrmBB1[PrjId]=TEXT($B181,"@"))*(FrmBB1[Row]=$E181)*(FrmBB1[Column]=UPPER(_xlfn.LET(_xlpm.x,_xlfn.TEXTBEFORE(K$114," ("),IFERROR(_xlpm.x,K$114)))&amp;" "&amp;K$115),0)))</f>
        <v>0</v>
      </c>
      <c r="L181" s="157" cm="1">
        <f t="array" aca="1" ref="L181" ca="1">IF(OR($E181="X",$E181="",$E181=0,$B181="X",$B181="",$B181=0),0,SUM(_xlfn._xlws.FILTER(FrmBB1[Cur],(FrmBB1[PrjId]=TEXT($B181,"@"))*(FrmBB1[Row]=$E181)*(FrmBB1[Column]=UPPER(_xlfn.LET(_xlpm.x,_xlfn.TEXTBEFORE(K$114," ("),IFERROR(_xlpm.x,K$114)))&amp;" "&amp;L$115),0)))</f>
        <v>0</v>
      </c>
      <c r="M181" s="158" cm="1">
        <f t="array" aca="1" ref="M181" ca="1">IF(OR($E181="X",$E181="",$E181=0,$B181="X",$B181="",$B181=0),0,SUM(_xlfn._xlws.FILTER(FrmBB1[Cur],(FrmBB1[PrjId]=TEXT($B181,"@"))*(FrmBB1[Row]=$E181)*(FrmBB1[Column]=UPPER(_xlfn.LET(_xlpm.x,_xlfn.TEXTBEFORE(M$114," ("),IFERROR(_xlpm.x,M$114)))&amp;" "&amp;M$115),0)))</f>
        <v>0</v>
      </c>
      <c r="N181" s="157" cm="1">
        <f t="array" aca="1" ref="N181" ca="1">IF(OR($E181="X",$E181="",$E181=0,$B181="X",$B181="",$B181=0),0,SUM(_xlfn._xlws.FILTER(FrmBB1[Cur],(FrmBB1[PrjId]=TEXT($B181,"@"))*(FrmBB1[Row]=$E181)*(FrmBB1[Column]=UPPER(_xlfn.LET(_xlpm.x,_xlfn.TEXTBEFORE(M$114," ("),IFERROR(_xlpm.x,M$114)))&amp;" "&amp;N$115),0)))</f>
        <v>0</v>
      </c>
      <c r="O181" s="158" cm="1">
        <f t="array" aca="1" ref="O181" ca="1">IF(OR($E181="X",$E181="",$E181=0,$B181="X",$B181="",$B181=0),0,SUM(_xlfn._xlws.FILTER(FrmBB1[Cur],(FrmBB1[PrjId]=TEXT($B181,"@"))*(FrmBB1[Row]=$E181)*(FrmBB1[Column]=UPPER(_xlfn.LET(_xlpm.x,_xlfn.TEXTBEFORE(O$114," ("),IFERROR(_xlpm.x,O$114)))&amp;" "&amp;O$115),0)))</f>
        <v>0</v>
      </c>
      <c r="P181" s="157" cm="1">
        <f t="array" aca="1" ref="P181" ca="1">IF(OR($E181="X",$E181="",$E181=0,$B181="X",$B181="",$B181=0),0,SUM(_xlfn._xlws.FILTER(FrmBB1[Cur],(FrmBB1[PrjId]=TEXT($B181,"@"))*(FrmBB1[Row]=$E181)*(FrmBB1[Column]=UPPER(_xlfn.LET(_xlpm.x,_xlfn.TEXTBEFORE(O$114," ("),IFERROR(_xlpm.x,O$114)))&amp;" "&amp;P$115),0)))</f>
        <v>0</v>
      </c>
      <c r="Q181" s="158" cm="1">
        <f t="array" aca="1" ref="Q181" ca="1">IF(OR($E181="X",$E181="",$E181=0,$B181="X",$B181="",$B181=0),0,SUM(_xlfn._xlws.FILTER(FrmBB1[Cur],(FrmBB1[PrjId]=TEXT($B181,"@"))*(FrmBB1[Row]=$E181)*(FrmBB1[Column]=UPPER(_xlfn.LET(_xlpm.x,_xlfn.TEXTBEFORE(Q$114," ("),IFERROR(_xlpm.x,Q$114)))&amp;" "&amp;Q$115),0)))</f>
        <v>0</v>
      </c>
      <c r="R181" s="157" cm="1">
        <f t="array" aca="1" ref="R181" ca="1">IF(OR($E181="X",$E181="",$E181=0,$B181="X",$B181="",$B181=0),0,SUM(_xlfn._xlws.FILTER(FrmBB1[Cur],(FrmBB1[PrjId]=TEXT($B181,"@"))*(FrmBB1[Row]=$E181)*(FrmBB1[Column]=UPPER(_xlfn.LET(_xlpm.x,_xlfn.TEXTBEFORE(Q$114," ("),IFERROR(_xlpm.x,Q$114)))&amp;" "&amp;R$115),0)))</f>
        <v>0</v>
      </c>
      <c r="S181" s="158" cm="1">
        <f t="array" aca="1" ref="S181" ca="1">IF(OR($E181="X",$E181="",$E181=0,$B181="X",$B181="",$B181=0),0,SUM(_xlfn._xlws.FILTER(FrmBB1[Cur],(FrmBB1[PrjId]=TEXT($B181,"@"))*(FrmBB1[Row]=$E181)*(FrmBB1[Column]=UPPER(_xlfn.LET(_xlpm.x,_xlfn.TEXTBEFORE(S$114," ("),IFERROR(_xlpm.x,S$114)))&amp;" "&amp;S$115),0)))</f>
        <v>0</v>
      </c>
      <c r="T181" s="157" cm="1">
        <f t="array" aca="1" ref="T181" ca="1">IF(OR($E181="X",$E181="",$E181=0,$B181="X",$B181="",$B181=0),0,SUM(_xlfn._xlws.FILTER(FrmBB1[Cur],(FrmBB1[PrjId]=TEXT($B181,"@"))*(FrmBB1[Row]=$E181)*(FrmBB1[Column]=UPPER(_xlfn.LET(_xlpm.x,_xlfn.TEXTBEFORE(S$114," ("),IFERROR(_xlpm.x,S$114)))&amp;" "&amp;T$115),0)))</f>
        <v>0</v>
      </c>
      <c r="U181" s="158" cm="1">
        <f t="array" aca="1" ref="U181" ca="1">IF(OR($E181="X",$E181="",$E181=0,$B181="X",$B181="",$B181=0),0,SUM(_xlfn._xlws.FILTER(FrmBB1[Cur],(FrmBB1[PrjId]=TEXT($B181,"@"))*(FrmBB1[Row]=$E181)*(FrmBB1[Column]=UPPER(_xlfn.LET(_xlpm.x,_xlfn.TEXTBEFORE(U$114," ("),IFERROR(_xlpm.x,U$114)))&amp;" "&amp;U$115),0)))</f>
        <v>0</v>
      </c>
      <c r="V181" s="157" cm="1">
        <f t="array" aca="1" ref="V181" ca="1">IF(OR($E181="X",$E181="",$E181=0,$B181="X",$B181="",$B181=0),0,SUM(_xlfn._xlws.FILTER(FrmBB1[Cur],(FrmBB1[PrjId]=TEXT($B181,"@"))*(FrmBB1[Row]=$E181)*(FrmBB1[Column]=UPPER(_xlfn.LET(_xlpm.x,_xlfn.TEXTBEFORE(U$114," ("),IFERROR(_xlpm.x,U$114)))&amp;" "&amp;V$115),0)))</f>
        <v>0</v>
      </c>
      <c r="W181" s="158" cm="1">
        <f t="array" aca="1" ref="W181" ca="1">IF(OR($E181="X",$E181="",$E181=0,$B181="X",$B181="",$B181=0),0,SUM(_xlfn._xlws.FILTER(FrmBB1[Cur],(FrmBB1[PrjId]=TEXT($B181,"@"))*(FrmBB1[Row]=$E181)*(FrmBB1[Column]=UPPER(_xlfn.LET(_xlpm.x,_xlfn.TEXTBEFORE(W$114," ("),IFERROR(_xlpm.x,W$114)))&amp;" "&amp;W$115),0)))</f>
        <v>0</v>
      </c>
      <c r="X181" s="157" cm="1">
        <f t="array" aca="1" ref="X181" ca="1">IF(OR($E181="X",$E181="",$E181=0,$B181="X",$B181="",$B181=0),0,SUM(_xlfn._xlws.FILTER(FrmBB1[Cur],(FrmBB1[PrjId]=TEXT($B181,"@"))*(FrmBB1[Row]=$E181)*(FrmBB1[Column]=UPPER(_xlfn.LET(_xlpm.x,_xlfn.TEXTBEFORE(W$114," ("),IFERROR(_xlpm.x,W$114)))&amp;" "&amp;X$115),0)))</f>
        <v>0</v>
      </c>
      <c r="Y181" s="158" cm="1">
        <f t="array" aca="1" ref="Y181" ca="1">IF(OR($E181="X",$E181="",$E181=0,$B181="X",$B181="",$B181=0),0,SUM(_xlfn._xlws.FILTER(FrmBB1[Cur],(FrmBB1[PrjId]=TEXT($B181,"@"))*(FrmBB1[Row]=$E181)*(FrmBB1[Column]=UPPER(_xlfn.LET(_xlpm.x,_xlfn.TEXTBEFORE(Y$114," ("),IFERROR(_xlpm.x,Y$114)))&amp;" "&amp;Y$115),0)))</f>
        <v>0</v>
      </c>
      <c r="Z181" s="157" cm="1">
        <f t="array" aca="1" ref="Z181" ca="1">IF(OR($E181="X",$E181="",$E181=0,$B181="X",$B181="",$B181=0),0,SUM(_xlfn._xlws.FILTER(FrmBB1[Cur],(FrmBB1[PrjId]=TEXT($B181,"@"))*(FrmBB1[Row]=$E181)*(FrmBB1[Column]=UPPER(_xlfn.LET(_xlpm.x,_xlfn.TEXTBEFORE(Y$114," ("),IFERROR(_xlpm.x,Y$114)))&amp;" "&amp;Z$115),0)))</f>
        <v>0</v>
      </c>
      <c r="AA181" s="158" cm="1">
        <f t="array" aca="1" ref="AA181" ca="1">IF(OR($E181="X",$E181="",$E181=0,$B181="X",$B181="",$B181=0),0,SUM(_xlfn._xlws.FILTER(FrmBB1[Cur],(FrmBB1[PrjId]=TEXT($B181,"@"))*(FrmBB1[Row]=$E181)*(FrmBB1[Column]=UPPER(_xlfn.LET(_xlpm.x,_xlfn.TEXTBEFORE(AA$114," ("),IFERROR(_xlpm.x,AA$114)))&amp;" "&amp;AA$115),0)))</f>
        <v>0</v>
      </c>
      <c r="AB181" s="157" cm="1">
        <f t="array" aca="1" ref="AB181" ca="1">IF(OR($E181="X",$E181="",$E181=0,$B181="X",$B181="",$B181=0),0,SUM(_xlfn._xlws.FILTER(FrmBB1[Cur],(FrmBB1[PrjId]=TEXT($B181,"@"))*(FrmBB1[Row]=$E181)*(FrmBB1[Column]=UPPER(_xlfn.LET(_xlpm.x,_xlfn.TEXTBEFORE(AA$114," ("),IFERROR(_xlpm.x,AA$114)))&amp;" "&amp;AB$115),0)))</f>
        <v>0</v>
      </c>
      <c r="AC181" s="158" cm="1">
        <f t="array" aca="1" ref="AC181" ca="1">IF(OR($E181="X",$E181="",$E181=0,$B181="X",$B181="",$B181=0),0,SUM(_xlfn._xlws.FILTER(FrmBB1[Cur],(FrmBB1[PrjId]=TEXT($B181,"@"))*(FrmBB1[Row]=$E181)*(FrmBB1[Column]=UPPER(_xlfn.LET(_xlpm.x,_xlfn.TEXTBEFORE(AC$114," ("),IFERROR(_xlpm.x,AC$114)))&amp;" "&amp;AC$115),0)))</f>
        <v>0</v>
      </c>
      <c r="AD181" s="157" cm="1">
        <f t="array" aca="1" ref="AD181" ca="1">IF(OR($E181="X",$E181="",$E181=0,$B181="X",$B181="",$B181=0),0,SUM(_xlfn._xlws.FILTER(FrmBB1[Cur],(FrmBB1[PrjId]=TEXT($B181,"@"))*(FrmBB1[Row]=$E181)*(FrmBB1[Column]=UPPER(_xlfn.LET(_xlpm.x,_xlfn.TEXTBEFORE(AC$114," ("),IFERROR(_xlpm.x,AC$114)))&amp;" "&amp;AD$115),0)))</f>
        <v>0</v>
      </c>
      <c r="AE181" s="158" cm="1">
        <f t="array" aca="1" ref="AE181" ca="1">IF(OR($E181="X",$E181="",$E181=0,$B181="X",$B181="",$B181=0),0,SUM(_xlfn._xlws.FILTER(FrmBB1[Cur],(FrmBB1[PrjId]=TEXT($B181,"@"))*(FrmBB1[Row]=$E181)*(FrmBB1[Column]=UPPER(_xlfn.LET(_xlpm.x,_xlfn.TEXTBEFORE(AE$114," ("),IFERROR(_xlpm.x,AE$114)))&amp;" "&amp;AE$115),0)))</f>
        <v>0</v>
      </c>
      <c r="AF181" s="157" cm="1">
        <f t="array" aca="1" ref="AF181" ca="1">IF(OR($E181="X",$E181="",$E181=0,$B181="X",$B181="",$B181=0),0,SUM(_xlfn._xlws.FILTER(FrmBB1[Cur],(FrmBB1[PrjId]=TEXT($B181,"@"))*(FrmBB1[Row]=$E181)*(FrmBB1[Column]=UPPER(_xlfn.LET(_xlpm.x,_xlfn.TEXTBEFORE(AE$114," ("),IFERROR(_xlpm.x,AE$114)))&amp;" "&amp;AF$115),0)))</f>
        <v>0</v>
      </c>
      <c r="AG181" s="158" cm="1">
        <f t="array" aca="1" ref="AG181" ca="1">IF(OR($E181="X",$E181="",$E181=0,$B181="X",$B181="",$B181=0),0,SUM(_xlfn._xlws.FILTER(FrmBB1[Cur],(FrmBB1[PrjId]=TEXT($B181,"@"))*(FrmBB1[Row]=$E181)*(FrmBB1[Column]=UPPER(_xlfn.LET(_xlpm.x,_xlfn.TEXTBEFORE(AG$114," ("),IFERROR(_xlpm.x,AG$114)))&amp;" "&amp;AG$115),0)))</f>
        <v>0</v>
      </c>
      <c r="AH181" s="157" cm="1">
        <f t="array" aca="1" ref="AH181" ca="1">IF(OR($E181="X",$E181="",$E181=0,$B181="X",$B181="",$B181=0),0,SUM(_xlfn._xlws.FILTER(FrmBB1[Cur],(FrmBB1[PrjId]=TEXT($B181,"@"))*(FrmBB1[Row]=$E181)*(FrmBB1[Column]=UPPER(_xlfn.LET(_xlpm.x,_xlfn.TEXTBEFORE(AG$114," ("),IFERROR(_xlpm.x,AG$114)))&amp;" "&amp;AH$115),0)))</f>
        <v>0</v>
      </c>
      <c r="AI181" s="158" cm="1">
        <f t="array" aca="1" ref="AI181" ca="1">IF(OR($E181="X",$E181="",$E181=0,$B181="X",$B181="",$B181=0),0,SUM(_xlfn._xlws.FILTER(FrmBB1[Cur],(FrmBB1[PrjId]=TEXT($B181,"@"))*(FrmBB1[Row]=$E181)*(FrmBB1[Column]=UPPER(_xlfn.LET(_xlpm.x,_xlfn.TEXTBEFORE(AI$114," ("),IFERROR(_xlpm.x,AI$114)))&amp;" "&amp;AI$115),0)))</f>
        <v>0</v>
      </c>
      <c r="AJ181" s="157" cm="1">
        <f t="array" aca="1" ref="AJ181" ca="1">IF(OR($E181="X",$E181="",$E181=0,$B181="X",$B181="",$B181=0),0,SUM(_xlfn._xlws.FILTER(FrmBB1[Cur],(FrmBB1[PrjId]=TEXT($B181,"@"))*(FrmBB1[Row]=$E181)*(FrmBB1[Column]=UPPER(_xlfn.LET(_xlpm.x,_xlfn.TEXTBEFORE(AI$114," ("),IFERROR(_xlpm.x,AI$114)))&amp;" "&amp;AJ$115),0)))</f>
        <v>0</v>
      </c>
      <c r="AK181" s="158" cm="1">
        <f t="array" aca="1" ref="AK181" ca="1">IF(OR($E181="X",$E181="",$E181=0,$B181="X",$B181="",$B181=0),0,SUM(_xlfn._xlws.FILTER(FrmBB1[Cur],(FrmBB1[PrjId]=TEXT($B181,"@"))*(FrmBB1[Row]=$E181)*(FrmBB1[Column]=UPPER(_xlfn.LET(_xlpm.x,_xlfn.TEXTBEFORE(AK$114," ("),IFERROR(_xlpm.x,AK$114)))&amp;" "&amp;AK$115),0)))</f>
        <v>0</v>
      </c>
      <c r="AL181" s="157" cm="1">
        <f t="array" aca="1" ref="AL181" ca="1">IF(OR($E181="X",$E181="",$E181=0,$B181="X",$B181="",$B181=0),0,SUM(_xlfn._xlws.FILTER(FrmBB1[Cur],(FrmBB1[PrjId]=TEXT($B181,"@"))*(FrmBB1[Row]=$E181)*(FrmBB1[Column]=UPPER(_xlfn.LET(_xlpm.x,_xlfn.TEXTBEFORE(AK$114," ("),IFERROR(_xlpm.x,AK$114)))&amp;" "&amp;AL$115),0)))</f>
        <v>0</v>
      </c>
      <c r="AM181" s="158" cm="1">
        <f t="array" aca="1" ref="AM181" ca="1">IF(OR($E181="X",$E181="",$E181=0,$B181="X",$B181="",$B181=0),0,SUM(_xlfn._xlws.FILTER(FrmBB1[Cur],(FrmBB1[PrjId]=TEXT($B181,"@"))*(FrmBB1[Row]=$E181)*(FrmBB1[Column]=UPPER(_xlfn.LET(_xlpm.x,_xlfn.TEXTBEFORE(AM$114," ("),IFERROR(_xlpm.x,AM$114)))&amp;" "&amp;AM$115),0)))</f>
        <v>0</v>
      </c>
      <c r="AN181" s="157" cm="1">
        <f t="array" aca="1" ref="AN181" ca="1">IF(OR($E181="X",$E181="",$E181=0,$B181="X",$B181="",$B181=0),0,SUM(_xlfn._xlws.FILTER(FrmBB1[Cur],(FrmBB1[PrjId]=TEXT($B181,"@"))*(FrmBB1[Row]=$E181)*(FrmBB1[Column]=UPPER(_xlfn.LET(_xlpm.x,_xlfn.TEXTBEFORE(AM$114," ("),IFERROR(_xlpm.x,AM$114)))&amp;" "&amp;AN$115),0)))</f>
        <v>0</v>
      </c>
      <c r="AO181" s="158" cm="1">
        <f t="array" aca="1" ref="AO181" ca="1">IF(OR($E181="X",$E181="",$E181=0,$B181="X",$B181="",$B181=0),0,SUM(_xlfn._xlws.FILTER(FrmBB1[Cur],(FrmBB1[PrjId]=TEXT($B181,"@"))*(FrmBB1[Row]=$E181)*(FrmBB1[Column]=UPPER(_xlfn.LET(_xlpm.x,_xlfn.TEXTBEFORE(AO$114," ("),IFERROR(_xlpm.x,AO$114)))&amp;" "&amp;AO$115),0)))</f>
        <v>0</v>
      </c>
      <c r="AP181" s="157" cm="1">
        <f t="array" aca="1" ref="AP181" ca="1">IF(OR($E181="X",$E181="",$E181=0,$B181="X",$B181="",$B181=0),0,SUM(_xlfn._xlws.FILTER(FrmBB1[Cur],(FrmBB1[PrjId]=TEXT($B181,"@"))*(FrmBB1[Row]=$E181)*(FrmBB1[Column]=UPPER(_xlfn.LET(_xlpm.x,_xlfn.TEXTBEFORE(AO$114," ("),IFERROR(_xlpm.x,AO$114)))&amp;" "&amp;AP$115),0)))</f>
        <v>14594.760000000002</v>
      </c>
      <c r="AQ181" s="157" cm="1">
        <f t="array" aca="1" ref="AQ181" ca="1">SUM(IF(INDIRECT($AS$115)=AQ$115,INDIRECT($AS181)))</f>
        <v>0</v>
      </c>
      <c r="AR181" s="157" cm="1">
        <f t="array" aca="1" ref="AR181" ca="1">SUM(IF(INDIRECT($AS$115)=AR$115,INDIRECT($AS181)))</f>
        <v>14594.760000000002</v>
      </c>
      <c r="AS181" s="286" t="str">
        <f t="shared" ca="1" si="16"/>
        <v>G181:AP181</v>
      </c>
      <c r="AT181" s="403">
        <f t="shared" ca="1" si="17"/>
        <v>14594.760000000002</v>
      </c>
      <c r="AV181" s="142" cm="1">
        <f t="array" aca="1" ref="AV181" ca="1">IF(AND(_xlfn.LET(_xlpm.x,SUM(ROW()),OR(AND(MATCH("SOT",$A:$A,0)&lt;_xlpm.x,MATCH("EOT",$A:$A,0)&gt;_xlpm.x),AND(MATCH("SOS",$A:$A,0)&lt;_xlpm.x,MATCH("EOS",$A:$A,0)&gt;_xlpm.x),AND(MATCH("SOR",$A:$A,0)&lt;_xlpm.x,MATCH("EOR",$A:$A,0)&gt;_xlpm.x))),INDIRECT("rc"&amp;MATCH("SCD",$1:$1,0),FALSE)="PPTO"),1,0)</f>
        <v>0</v>
      </c>
      <c r="AW181" s="142" cm="1">
        <f t="array" aca="1" ref="AW18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82" spans="2:49" outlineLevel="1">
      <c r="B182" s="156" t="str" cm="1">
        <f t="array" aca="1" ref="B182:E182" ca="1">_xlfn.LET(_xlpm.x,SUM(ROW()-MATCH("SOR",$A:$A,0)),_xlpm.y,IFERROR(_xlfn.TAKE(INDEX(_xlfn._xlws.FILTER(TbAssign[],ISNUMBER(FIND(TbAssign[Project],$C$4)),"X"),1+QUOTIENT(_xlpm.x,3),0),1,4),0),IF(MOD(_xlpm.x-1,3)=0,IF(_xlpm.y=0,"X",_xlpm.y),INDIRECT("r[-1]c#",FALSE)))</f>
        <v>31200</v>
      </c>
      <c r="C182" s="156" t="str">
        <f ca="1"/>
        <v>XF01</v>
      </c>
      <c r="D182" s="148" t="str">
        <f ca="1"/>
        <v>TRHR</v>
      </c>
      <c r="E182" s="352" t="str">
        <f ca="1"/>
        <v>GASTOS DE DESPLAZAMIENTO</v>
      </c>
      <c r="F182" s="148" t="s">
        <v>397</v>
      </c>
      <c r="G182" s="157" cm="1">
        <f t="array" aca="1" ref="G182" ca="1">IF(OR($E182="X",$E182="",$E182=0,$B182="X",$B182="",$B182=0),0,SUM(_xlfn._xlws.FILTER(IF($E$4="Ppto",PptoSty[CurPpto],PptoSty[CurInt]),(IF($E$4="Ppto",PptoSty[POvsCT]=G$113,TRUE))*(PptoSty[Project]=TEXT($B182,"@"))*(PptoSty[PptoVsRow]=$E182)*(PptoSty[PptoVsColumn]=UPPER(G$114)),0)))</f>
        <v>0</v>
      </c>
      <c r="H182" s="157" cm="1">
        <f t="array" aca="1" ref="H182" ca="1">IF(OR($E182="X",$E182="",$E182=0,$B182="X",$B182="",$B182=0),0,SUM(_xlfn._xlws.FILTER(IF($E$4="Ppto",PptoSty[CurPpto],PptoSty[CurExt]),(IF($E$4="Ppto",PptoSty[POvsCT]=H$113,TRUE))*(PptoSty[Project]=TEXT($B182,"@"))*(PptoSty[PptoVsRow]=$E182)*(PptoSty[PptoVsColumn]=UPPER(G$114)),0)))</f>
        <v>0</v>
      </c>
      <c r="I182" s="157" cm="1">
        <f t="array" aca="1" ref="I182" ca="1">IF(OR($E182="X",$E182="",$E182=0,$B182="X",$B182="",$B182=0),0,SUM(_xlfn._xlws.FILTER(IF($E$4="Ppto",PptoSty[CurPpto],PptoSty[CurInt]),(IF($E$4="Ppto",PptoSty[POvsCT]=I$113,TRUE))*(PptoSty[Project]=TEXT($B182,"@"))*(PptoSty[PptoVsRow]=$E182)*(PptoSty[PptoVsColumn]=UPPER(I$114)),0)))</f>
        <v>0</v>
      </c>
      <c r="J182" s="157" cm="1">
        <f t="array" aca="1" ref="J182" ca="1">IF(OR($E182="X",$E182="",$E182=0,$B182="X",$B182="",$B182=0),0,SUM(_xlfn._xlws.FILTER(IF($E$4="Ppto",PptoSty[CurPpto],PptoSty[CurExt]),(IF($E$4="Ppto",PptoSty[POvsCT]=J$113,TRUE))*(PptoSty[Project]=TEXT($B182,"@"))*(PptoSty[PptoVsRow]=$E182)*(PptoSty[PptoVsColumn]=UPPER(I$114)),0)))</f>
        <v>0</v>
      </c>
      <c r="K182" s="157" cm="1">
        <f t="array" aca="1" ref="K182" ca="1">IF(OR($E182="X",$E182="",$E182=0,$B182="X",$B182="",$B182=0),0,SUM(_xlfn._xlws.FILTER(IF($E$4="Ppto",PptoSty[CurPpto],PptoSty[CurInt]),(IF($E$4="Ppto",PptoSty[POvsCT]=K$113,TRUE))*(PptoSty[Project]=TEXT($B182,"@"))*(PptoSty[PptoVsRow]=$E182)*(PptoSty[PptoVsColumn]=UPPER(K$114)),0)))</f>
        <v>0</v>
      </c>
      <c r="L182" s="157" cm="1">
        <f t="array" aca="1" ref="L182" ca="1">IF(OR($E182="X",$E182="",$E182=0,$B182="X",$B182="",$B182=0),0,SUM(_xlfn._xlws.FILTER(IF($E$4="Ppto",PptoSty[CurPpto],PptoSty[CurExt]),(IF($E$4="Ppto",PptoSty[POvsCT]=L$113,TRUE))*(PptoSty[Project]=TEXT($B182,"@"))*(PptoSty[PptoVsRow]=$E182)*(PptoSty[PptoVsColumn]=UPPER(K$114)),0)))</f>
        <v>0</v>
      </c>
      <c r="M182" s="157" cm="1">
        <f t="array" aca="1" ref="M182" ca="1">IF(OR($E182="X",$E182="",$E182=0,$B182="X",$B182="",$B182=0),0,SUM(_xlfn._xlws.FILTER(IF($E$4="Ppto",PptoSty[CurPpto],PptoSty[CurInt]),(IF($E$4="Ppto",PptoSty[POvsCT]=M$113,TRUE))*(PptoSty[Project]=TEXT($B182,"@"))*(PptoSty[PptoVsRow]=$E182)*(PptoSty[PptoVsColumn]=UPPER(M$114)),0)))</f>
        <v>0</v>
      </c>
      <c r="N182" s="157" cm="1">
        <f t="array" aca="1" ref="N182" ca="1">IF(OR($E182="X",$E182="",$E182=0,$B182="X",$B182="",$B182=0),0,SUM(_xlfn._xlws.FILTER(IF($E$4="Ppto",PptoSty[CurPpto],PptoSty[CurExt]),(IF($E$4="Ppto",PptoSty[POvsCT]=N$113,TRUE))*(PptoSty[Project]=TEXT($B182,"@"))*(PptoSty[PptoVsRow]=$E182)*(PptoSty[PptoVsColumn]=UPPER(M$114)),0)))</f>
        <v>0</v>
      </c>
      <c r="O182" s="157" cm="1">
        <f t="array" aca="1" ref="O182" ca="1">IF(OR($E182="X",$E182="",$E182=0,$B182="X",$B182="",$B182=0),0,SUM(_xlfn._xlws.FILTER(IF($E$4="Ppto",PptoSty[CurPpto],PptoSty[CurInt]),(IF($E$4="Ppto",PptoSty[POvsCT]=O$113,TRUE))*(PptoSty[Project]=TEXT($B182,"@"))*(PptoSty[PptoVsRow]=$E182)*(PptoSty[PptoVsColumn]=UPPER(O$114)),0)))</f>
        <v>0</v>
      </c>
      <c r="P182" s="157" cm="1">
        <f t="array" aca="1" ref="P182" ca="1">IF(OR($E182="X",$E182="",$E182=0,$B182="X",$B182="",$B182=0),0,SUM(_xlfn._xlws.FILTER(IF($E$4="Ppto",PptoSty[CurPpto],PptoSty[CurExt]),(IF($E$4="Ppto",PptoSty[POvsCT]=P$113,TRUE))*(PptoSty[Project]=TEXT($B182,"@"))*(PptoSty[PptoVsRow]=$E182)*(PptoSty[PptoVsColumn]=UPPER(O$114)),0)))</f>
        <v>0</v>
      </c>
      <c r="Q182" s="157" cm="1">
        <f t="array" aca="1" ref="Q182" ca="1">IF(OR($E182="X",$E182="",$E182=0,$B182="X",$B182="",$B182=0),0,SUM(_xlfn._xlws.FILTER(IF($E$4="Ppto",PptoSty[CurPpto],PptoSty[CurInt]),(IF($E$4="Ppto",PptoSty[POvsCT]=Q$113,TRUE))*(PptoSty[Project]=TEXT($B182,"@"))*(PptoSty[PptoVsRow]=$E182)*(PptoSty[PptoVsColumn]=UPPER(Q$114)),0)))</f>
        <v>0</v>
      </c>
      <c r="R182" s="157" cm="1">
        <f t="array" aca="1" ref="R182" ca="1">IF(OR($E182="X",$E182="",$E182=0,$B182="X",$B182="",$B182=0),0,SUM(_xlfn._xlws.FILTER(IF($E$4="Ppto",PptoSty[CurPpto],PptoSty[CurExt]),(IF($E$4="Ppto",PptoSty[POvsCT]=R$113,TRUE))*(PptoSty[Project]=TEXT($B182,"@"))*(PptoSty[PptoVsRow]=$E182)*(PptoSty[PptoVsColumn]=UPPER(Q$114)),0)))</f>
        <v>0</v>
      </c>
      <c r="S182" s="157" cm="1">
        <f t="array" aca="1" ref="S182" ca="1">IF(OR($E182="X",$E182="",$E182=0,$B182="X",$B182="",$B182=0),0,SUM(_xlfn._xlws.FILTER(IF($E$4="Ppto",PptoSty[CurPpto],PptoSty[CurInt]),(IF($E$4="Ppto",PptoSty[POvsCT]=S$113,TRUE))*(PptoSty[Project]=TEXT($B182,"@"))*(PptoSty[PptoVsRow]=$E182)*(PptoSty[PptoVsColumn]=UPPER(S$114)),0)))</f>
        <v>0</v>
      </c>
      <c r="T182" s="157" cm="1">
        <f t="array" aca="1" ref="T182" ca="1">IF(OR($E182="X",$E182="",$E182=0,$B182="X",$B182="",$B182=0),0,SUM(_xlfn._xlws.FILTER(IF($E$4="Ppto",PptoSty[CurPpto],PptoSty[CurExt]),(IF($E$4="Ppto",PptoSty[POvsCT]=T$113,TRUE))*(PptoSty[Project]=TEXT($B182,"@"))*(PptoSty[PptoVsRow]=$E182)*(PptoSty[PptoVsColumn]=UPPER(S$114)),0)))</f>
        <v>0</v>
      </c>
      <c r="U182" s="157" cm="1">
        <f t="array" aca="1" ref="U182" ca="1">IF(OR($E182="X",$E182="",$E182=0,$B182="X",$B182="",$B182=0),0,SUM(_xlfn._xlws.FILTER(IF($E$4="Ppto",PptoSty[CurPpto],PptoSty[CurInt]),(IF($E$4="Ppto",PptoSty[POvsCT]=U$113,TRUE))*(PptoSty[Project]=TEXT($B182,"@"))*(PptoSty[PptoVsRow]=$E182)*(PptoSty[PptoVsColumn]=UPPER(U$114)),0)))</f>
        <v>0</v>
      </c>
      <c r="V182" s="157" cm="1">
        <f t="array" aca="1" ref="V182" ca="1">IF(OR($E182="X",$E182="",$E182=0,$B182="X",$B182="",$B182=0),0,SUM(_xlfn._xlws.FILTER(IF($E$4="Ppto",PptoSty[CurPpto],PptoSty[CurExt]),(IF($E$4="Ppto",PptoSty[POvsCT]=V$113,TRUE))*(PptoSty[Project]=TEXT($B182,"@"))*(PptoSty[PptoVsRow]=$E182)*(PptoSty[PptoVsColumn]=UPPER(U$114)),0)))</f>
        <v>0</v>
      </c>
      <c r="W182" s="157" cm="1">
        <f t="array" aca="1" ref="W182" ca="1">IF(OR($E182="X",$E182="",$E182=0,$B182="X",$B182="",$B182=0),0,SUM(_xlfn._xlws.FILTER(IF($E$4="Ppto",PptoSty[CurPpto],PptoSty[CurInt]),(IF($E$4="Ppto",PptoSty[POvsCT]=W$113,TRUE))*(PptoSty[Project]=TEXT($B182,"@"))*(PptoSty[PptoVsRow]=$E182)*(PptoSty[PptoVsColumn]=UPPER(W$114)),0)))</f>
        <v>0</v>
      </c>
      <c r="X182" s="157" cm="1">
        <f t="array" aca="1" ref="X182" ca="1">IF(OR($E182="X",$E182="",$E182=0,$B182="X",$B182="",$B182=0),0,SUM(_xlfn._xlws.FILTER(IF($E$4="Ppto",PptoSty[CurPpto],PptoSty[CurExt]),(IF($E$4="Ppto",PptoSty[POvsCT]=X$113,TRUE))*(PptoSty[Project]=TEXT($B182,"@"))*(PptoSty[PptoVsRow]=$E182)*(PptoSty[PptoVsColumn]=UPPER(W$114)),0)))</f>
        <v>0</v>
      </c>
      <c r="Y182" s="157" cm="1">
        <f t="array" aca="1" ref="Y182" ca="1">IF(OR($E182="X",$E182="",$E182=0,$B182="X",$B182="",$B182=0),0,SUM(_xlfn._xlws.FILTER(IF($E$4="Ppto",PptoSty[CurPpto],PptoSty[CurInt]),(IF($E$4="Ppto",PptoSty[POvsCT]=Y$113,TRUE))*(PptoSty[Project]=TEXT($B182,"@"))*(PptoSty[PptoVsRow]=$E182)*(PptoSty[PptoVsColumn]=UPPER(Y$114)),0)))</f>
        <v>0</v>
      </c>
      <c r="Z182" s="157" cm="1">
        <f t="array" aca="1" ref="Z182" ca="1">IF(OR($E182="X",$E182="",$E182=0,$B182="X",$B182="",$B182=0),0,SUM(_xlfn._xlws.FILTER(IF($E$4="Ppto",PptoSty[CurPpto],PptoSty[CurExt]),(IF($E$4="Ppto",PptoSty[POvsCT]=Z$113,TRUE))*(PptoSty[Project]=TEXT($B182,"@"))*(PptoSty[PptoVsRow]=$E182)*(PptoSty[PptoVsColumn]=UPPER(Y$114)),0)))</f>
        <v>0</v>
      </c>
      <c r="AA182" s="157" cm="1">
        <f t="array" aca="1" ref="AA182" ca="1">IF(OR($E182="X",$E182="",$E182=0,$B182="X",$B182="",$B182=0),0,SUM(_xlfn._xlws.FILTER(IF($E$4="Ppto",PptoSty[CurPpto],PptoSty[CurInt]),(IF($E$4="Ppto",PptoSty[POvsCT]=AA$113,TRUE))*(PptoSty[Project]=TEXT($B182,"@"))*(PptoSty[PptoVsRow]=$E182)*(PptoSty[PptoVsColumn]=UPPER(AA$114)),0)))</f>
        <v>0</v>
      </c>
      <c r="AB182" s="157" cm="1">
        <f t="array" aca="1" ref="AB182" ca="1">IF(OR($E182="X",$E182="",$E182=0,$B182="X",$B182="",$B182=0),0,SUM(_xlfn._xlws.FILTER(IF($E$4="Ppto",PptoSty[CurPpto],PptoSty[CurExt]),(IF($E$4="Ppto",PptoSty[POvsCT]=AB$113,TRUE))*(PptoSty[Project]=TEXT($B182,"@"))*(PptoSty[PptoVsRow]=$E182)*(PptoSty[PptoVsColumn]=UPPER(AA$114)),0)))</f>
        <v>0</v>
      </c>
      <c r="AC182" s="157" cm="1">
        <f t="array" aca="1" ref="AC182" ca="1">IF(OR($E182="X",$E182="",$E182=0,$B182="X",$B182="",$B182=0),0,SUM(_xlfn._xlws.FILTER(IF($E$4="Ppto",PptoSty[CurPpto],PptoSty[CurInt]),(IF($E$4="Ppto",PptoSty[POvsCT]=AC$113,TRUE))*(PptoSty[Project]=TEXT($B182,"@"))*(PptoSty[PptoVsRow]=$E182)*(PptoSty[PptoVsColumn]=UPPER(AC$114)),0)))</f>
        <v>0</v>
      </c>
      <c r="AD182" s="157" cm="1">
        <f t="array" aca="1" ref="AD182" ca="1">IF(OR($E182="X",$E182="",$E182=0,$B182="X",$B182="",$B182=0),0,SUM(_xlfn._xlws.FILTER(IF($E$4="Ppto",PptoSty[CurPpto],PptoSty[CurExt]),(IF($E$4="Ppto",PptoSty[POvsCT]=AD$113,TRUE))*(PptoSty[Project]=TEXT($B182,"@"))*(PptoSty[PptoVsRow]=$E182)*(PptoSty[PptoVsColumn]=UPPER(AC$114)),0)))</f>
        <v>0</v>
      </c>
      <c r="AE182" s="157" cm="1">
        <f t="array" aca="1" ref="AE182" ca="1">IF(OR($E182="X",$E182="",$E182=0,$B182="X",$B182="",$B182=0),0,SUM(_xlfn._xlws.FILTER(IF($E$4="Ppto",PptoSty[CurPpto],PptoSty[CurInt]),(IF($E$4="Ppto",PptoSty[POvsCT]=AE$113,TRUE))*(PptoSty[Project]=TEXT($B182,"@"))*(PptoSty[PptoVsRow]=$E182)*(PptoSty[PptoVsColumn]=UPPER(AE$114)),0)))</f>
        <v>0</v>
      </c>
      <c r="AF182" s="157" cm="1">
        <f t="array" aca="1" ref="AF182" ca="1">IF(OR($E182="X",$E182="",$E182=0,$B182="X",$B182="",$B182=0),0,SUM(_xlfn._xlws.FILTER(IF($E$4="Ppto",PptoSty[CurPpto],PptoSty[CurExt]),(IF($E$4="Ppto",PptoSty[POvsCT]=AF$113,TRUE))*(PptoSty[Project]=TEXT($B182,"@"))*(PptoSty[PptoVsRow]=$E182)*(PptoSty[PptoVsColumn]=UPPER(AE$114)),0)))</f>
        <v>0</v>
      </c>
      <c r="AG182" s="157" cm="1">
        <f t="array" aca="1" ref="AG182" ca="1">IF(OR($E182="X",$E182="",$E182=0,$B182="X",$B182="",$B182=0),0,SUM(_xlfn._xlws.FILTER(IF($E$4="Ppto",PptoSty[CurPpto],PptoSty[CurInt]),(IF($E$4="Ppto",PptoSty[POvsCT]=AG$113,TRUE))*(PptoSty[Project]=TEXT($B182,"@"))*(PptoSty[PptoVsRow]=$E182)*(PptoSty[PptoVsColumn]=UPPER(AG$114)),0)))</f>
        <v>0</v>
      </c>
      <c r="AH182" s="157" cm="1">
        <f t="array" aca="1" ref="AH182" ca="1">IF(OR($E182="X",$E182="",$E182=0,$B182="X",$B182="",$B182=0),0,SUM(_xlfn._xlws.FILTER(IF($E$4="Ppto",PptoSty[CurPpto],PptoSty[CurExt]),(IF($E$4="Ppto",PptoSty[POvsCT]=AH$113,TRUE))*(PptoSty[Project]=TEXT($B182,"@"))*(PptoSty[PptoVsRow]=$E182)*(PptoSty[PptoVsColumn]=UPPER(AG$114)),0)))</f>
        <v>0</v>
      </c>
      <c r="AI182" s="157" cm="1">
        <f t="array" aca="1" ref="AI182" ca="1">IF(OR($E182="X",$E182="",$E182=0,$B182="X",$B182="",$B182=0),0,SUM(_xlfn._xlws.FILTER(IF($E$4="Ppto",PptoSty[CurPpto],PptoSty[CurInt]),(IF($E$4="Ppto",PptoSty[POvsCT]=AI$113,TRUE))*(PptoSty[Project]=TEXT($B182,"@"))*(PptoSty[PptoVsRow]=$E182)*(PptoSty[PptoVsColumn]=UPPER(AI$114)),0)))</f>
        <v>0</v>
      </c>
      <c r="AJ182" s="157" cm="1">
        <f t="array" aca="1" ref="AJ182" ca="1">IF(OR($E182="X",$E182="",$E182=0,$B182="X",$B182="",$B182=0),0,SUM(_xlfn._xlws.FILTER(IF($E$4="Ppto",PptoSty[CurPpto],PptoSty[CurExt]),(IF($E$4="Ppto",PptoSty[POvsCT]=AJ$113,TRUE))*(PptoSty[Project]=TEXT($B182,"@"))*(PptoSty[PptoVsRow]=$E182)*(PptoSty[PptoVsColumn]=UPPER(AI$114)),0)))</f>
        <v>0</v>
      </c>
      <c r="AK182" s="157" cm="1">
        <f t="array" aca="1" ref="AK182" ca="1">IF(OR($E182="X",$E182="",$E182=0,$B182="X",$B182="",$B182=0),0,SUM(_xlfn._xlws.FILTER(IF($E$4="Ppto",PptoSty[CurPpto],PptoSty[CurInt]),(IF($E$4="Ppto",PptoSty[POvsCT]=AK$113,TRUE))*(PptoSty[Project]=TEXT($B182,"@"))*(PptoSty[PptoVsRow]=$E182)*(PptoSty[PptoVsColumn]=UPPER(AK$114)),0)))</f>
        <v>0</v>
      </c>
      <c r="AL182" s="157" cm="1">
        <f t="array" aca="1" ref="AL182" ca="1">IF(OR($E182="X",$E182="",$E182=0,$B182="X",$B182="",$B182=0),0,SUM(_xlfn._xlws.FILTER(IF($E$4="Ppto",PptoSty[CurPpto],PptoSty[CurExt]),(IF($E$4="Ppto",PptoSty[POvsCT]=AL$113,TRUE))*(PptoSty[Project]=TEXT($B182,"@"))*(PptoSty[PptoVsRow]=$E182)*(PptoSty[PptoVsColumn]=UPPER(AK$114)),0)))</f>
        <v>0</v>
      </c>
      <c r="AM182" s="157" cm="1">
        <f t="array" aca="1" ref="AM182" ca="1">IF(OR($E182="X",$E182="",$E182=0,$B182="X",$B182="",$B182=0),0,SUM(_xlfn._xlws.FILTER(IF($E$4="Ppto",PptoSty[CurPpto],PptoSty[CurInt]),(IF($E$4="Ppto",PptoSty[POvsCT]=AM$113,TRUE))*(PptoSty[Project]=TEXT($B182,"@"))*(PptoSty[PptoVsRow]=$E182)*(PptoSty[PptoVsColumn]=UPPER(AM$114)),0)))</f>
        <v>0</v>
      </c>
      <c r="AN182" s="157" cm="1">
        <f t="array" aca="1" ref="AN182" ca="1">IF(OR($E182="X",$E182="",$E182=0,$B182="X",$B182="",$B182=0),0,SUM(_xlfn._xlws.FILTER(IF($E$4="Ppto",PptoSty[CurPpto],PptoSty[CurExt]),(IF($E$4="Ppto",PptoSty[POvsCT]=AN$113,TRUE))*(PptoSty[Project]=TEXT($B182,"@"))*(PptoSty[PptoVsRow]=$E182)*(PptoSty[PptoVsColumn]=UPPER(AM$114)),0)))</f>
        <v>0</v>
      </c>
      <c r="AO182" s="157" cm="1">
        <f t="array" aca="1" ref="AO182" ca="1">IF(OR($E182="X",$E182="",$E182=0,$B182="X",$B182="",$B182=0),0,SUM(_xlfn._xlws.FILTER(IF($E$4="Ppto",PptoSty[CurPpto],PptoSty[CurInt]),(IF($E$4="Ppto",PptoSty[POvsCT]=AO$113,TRUE))*(PptoSty[Project]=TEXT($B182,"@"))*(PptoSty[PptoVsRow]=$E182)*(PptoSty[PptoVsColumn]=UPPER(AO$114)),0)))</f>
        <v>0</v>
      </c>
      <c r="AP182" s="157" cm="1">
        <f t="array" aca="1" ref="AP182" ca="1">IF(OR($E182="X",$E182="",$E182=0,$B182="X",$B182="",$B182=0),0,SUM(_xlfn._xlws.FILTER(IF($E$4="Ppto",PptoSty[CurPpto],PptoSty[CurExt]),(IF($E$4="Ppto",PptoSty[POvsCT]=AP$113,TRUE))*(PptoSty[Project]=TEXT($B182,"@"))*(PptoSty[PptoVsRow]=$E182)*(PptoSty[PptoVsColumn]=UPPER(AO$114)),0)))</f>
        <v>233207.6263</v>
      </c>
      <c r="AQ182" s="157" cm="1">
        <f t="array" aca="1" ref="AQ182" ca="1">SUM(IF(INDIRECT($AS$115)=AQ$115,INDIRECT($AS182)))</f>
        <v>0</v>
      </c>
      <c r="AR182" s="157" cm="1">
        <f t="array" aca="1" ref="AR182" ca="1">SUM(IF(INDIRECT($AS$115)=AR$115,INDIRECT($AS182)))</f>
        <v>233207.6263</v>
      </c>
      <c r="AS182" s="286" t="str">
        <f t="shared" ca="1" si="16"/>
        <v>G182:AP182</v>
      </c>
      <c r="AT182" s="403">
        <f t="shared" ca="1" si="17"/>
        <v>233207.6263</v>
      </c>
      <c r="AV182" s="142" cm="1">
        <f t="array" aca="1" ref="AV182" ca="1">IF(AND(_xlfn.LET(_xlpm.x,SUM(ROW()),OR(AND(MATCH("SOT",$A:$A,0)&lt;_xlpm.x,MATCH("EOT",$A:$A,0)&gt;_xlpm.x),AND(MATCH("SOS",$A:$A,0)&lt;_xlpm.x,MATCH("EOS",$A:$A,0)&gt;_xlpm.x),AND(MATCH("SOR",$A:$A,0)&lt;_xlpm.x,MATCH("EOR",$A:$A,0)&gt;_xlpm.x))),INDIRECT("rc"&amp;MATCH("SCD",$1:$1,0),FALSE)="PPTO"),1,0)</f>
        <v>1</v>
      </c>
      <c r="AW182" s="142" cm="1">
        <f t="array" aca="1" ref="AW18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83" spans="2:49" outlineLevel="1">
      <c r="B183" s="156" t="str" cm="1">
        <f t="array" aca="1" ref="B183:E183" ca="1">_xlfn.LET(_xlpm.x,SUM(ROW()-MATCH("SOR",$A:$A,0)),_xlpm.y,IFERROR(_xlfn.TAKE(INDEX(_xlfn._xlws.FILTER(TbAssign[],ISNUMBER(FIND(TbAssign[Project],$C$4)),"X"),1+QUOTIENT(_xlpm.x,3),0),1,4),0),IF(MOD(_xlpm.x-1,3)=0,IF(_xlpm.y=0,"X",_xlpm.y),INDIRECT("r[-1]c#",FALSE)))</f>
        <v>31200</v>
      </c>
      <c r="C183" s="156" t="str">
        <f ca="1"/>
        <v>XF01</v>
      </c>
      <c r="D183" s="148" t="str">
        <f ca="1"/>
        <v>TRHR</v>
      </c>
      <c r="E183" s="352" t="str">
        <f ca="1"/>
        <v>GASTOS DE DESPLAZAMIENTO</v>
      </c>
      <c r="F183" s="148" t="s">
        <v>1382</v>
      </c>
      <c r="G183" s="157" cm="1">
        <f t="array" aca="1" ref="G183" ca="1">IF(OR($E183="X",$E183="",$E183=0,$B183="X",$B183="",$B183=0),0,SUM(_xlfn._xlws.FILTER(PrvSty[DsvValue:SERRA],(PrvSty[Project]=TEXT($B183,"@"))*(PrvSty[Row]=$E183)*(PrvSty[Column]=UPPER(G$114)),0)))</f>
        <v>0</v>
      </c>
      <c r="H183" s="157" cm="1">
        <f t="array" aca="1" ref="H183" ca="1">IF(OR($E183="X",$E183="",$E183=0,$B183="X",$B183="",$B183=0),0,SUM(_xlfn._xlws.FILTER(PrvSty[DsvValue:EXT.],(PrvSty[Project]=TEXT($B183,"@"))*(PrvSty[Row]=$E183)*(PrvSty[Column]=UPPER(G$114)),0)))</f>
        <v>0</v>
      </c>
      <c r="I183" s="157" cm="1">
        <f t="array" aca="1" ref="I183" ca="1">IF(OR($E183="X",$E183="",$E183=0,$B183="X",$B183="",$B183=0),0,SUM(_xlfn._xlws.FILTER(PrvSty[DsvValue:SERRA],(PrvSty[Project]=TEXT($B183,"@"))*(PrvSty[Row]=$E183)*(PrvSty[Column]=UPPER(I$114)),0)))</f>
        <v>0</v>
      </c>
      <c r="J183" s="157" cm="1">
        <f t="array" aca="1" ref="J183" ca="1">IF(OR($E183="X",$E183="",$E183=0,$B183="X",$B183="",$B183=0),0,SUM(_xlfn._xlws.FILTER(PrvSty[DsvValue:EXT.],(PrvSty[Project]=TEXT($B183,"@"))*(PrvSty[Row]=$E183)*(PrvSty[Column]=UPPER(I$114)),0)))</f>
        <v>0</v>
      </c>
      <c r="K183" s="157" cm="1">
        <f t="array" aca="1" ref="K183" ca="1">IF(OR($E183="X",$E183="",$E183=0,$B183="X",$B183="",$B183=0),0,SUM(_xlfn._xlws.FILTER(PrvSty[DsvValue:SERRA],(PrvSty[Project]=TEXT($B183,"@"))*(PrvSty[Row]=$E183)*(PrvSty[Column]=UPPER(K$114)),0)))</f>
        <v>0</v>
      </c>
      <c r="L183" s="157" cm="1">
        <f t="array" aca="1" ref="L183" ca="1">IF(OR($E183="X",$E183="",$E183=0,$B183="X",$B183="",$B183=0),0,SUM(_xlfn._xlws.FILTER(PrvSty[DsvValue:EXT.],(PrvSty[Project]=TEXT($B183,"@"))*(PrvSty[Row]=$E183)*(PrvSty[Column]=UPPER(K$114)),0)))</f>
        <v>0</v>
      </c>
      <c r="M183" s="157" cm="1">
        <f t="array" aca="1" ref="M183" ca="1">IF(OR($E183="X",$E183="",$E183=0,$B183="X",$B183="",$B183=0),0,SUM(_xlfn._xlws.FILTER(PrvSty[DsvValue:SERRA],(PrvSty[Project]=TEXT($B183,"@"))*(PrvSty[Row]=$E183)*(PrvSty[Column]=UPPER(M$114)),0)))</f>
        <v>0</v>
      </c>
      <c r="N183" s="157" cm="1">
        <f t="array" aca="1" ref="N183" ca="1">IF(OR($E183="X",$E183="",$E183=0,$B183="X",$B183="",$B183=0),0,SUM(_xlfn._xlws.FILTER(PrvSty[DsvValue:EXT.],(PrvSty[Project]=TEXT($B183,"@"))*(PrvSty[Row]=$E183)*(PrvSty[Column]=UPPER(M$114)),0)))</f>
        <v>0</v>
      </c>
      <c r="O183" s="157" cm="1">
        <f t="array" aca="1" ref="O183" ca="1">IF(OR($E183="X",$E183="",$E183=0,$B183="X",$B183="",$B183=0),0,SUM(_xlfn._xlws.FILTER(PrvSty[DsvValue:SERRA],(PrvSty[Project]=TEXT($B183,"@"))*(PrvSty[Row]=$E183)*(PrvSty[Column]=UPPER(O$114)),0)))</f>
        <v>0</v>
      </c>
      <c r="P183" s="157" cm="1">
        <f t="array" aca="1" ref="P183" ca="1">IF(OR($E183="X",$E183="",$E183=0,$B183="X",$B183="",$B183=0),0,SUM(_xlfn._xlws.FILTER(PrvSty[DsvValue:EXT.],(PrvSty[Project]=TEXT($B183,"@"))*(PrvSty[Row]=$E183)*(PrvSty[Column]=UPPER(O$114)),0)))</f>
        <v>0</v>
      </c>
      <c r="Q183" s="157" cm="1">
        <f t="array" aca="1" ref="Q183" ca="1">IF(OR($E183="X",$E183="",$E183=0,$B183="X",$B183="",$B183=0),0,SUM(_xlfn._xlws.FILTER(PrvSty[DsvValue:SERRA],(PrvSty[Project]=TEXT($B183,"@"))*(PrvSty[Row]=$E183)*(PrvSty[Column]=UPPER(Q$114)),0)))</f>
        <v>0</v>
      </c>
      <c r="R183" s="157" cm="1">
        <f t="array" aca="1" ref="R183" ca="1">IF(OR($E183="X",$E183="",$E183=0,$B183="X",$B183="",$B183=0),0,SUM(_xlfn._xlws.FILTER(PrvSty[DsvValue:EXT.],(PrvSty[Project]=TEXT($B183,"@"))*(PrvSty[Row]=$E183)*(PrvSty[Column]=UPPER(Q$114)),0)))</f>
        <v>0</v>
      </c>
      <c r="S183" s="157" cm="1">
        <f t="array" aca="1" ref="S183" ca="1">IF(OR($E183="X",$E183="",$E183=0,$B183="X",$B183="",$B183=0),0,SUM(_xlfn._xlws.FILTER(PrvSty[DsvValue:SERRA],(PrvSty[Project]=TEXT($B183,"@"))*(PrvSty[Row]=$E183)*(PrvSty[Column]=UPPER(S$114)),0)))</f>
        <v>0</v>
      </c>
      <c r="T183" s="157" cm="1">
        <f t="array" aca="1" ref="T183" ca="1">IF(OR($E183="X",$E183="",$E183=0,$B183="X",$B183="",$B183=0),0,SUM(_xlfn._xlws.FILTER(PrvSty[DsvValue:EXT.],(PrvSty[Project]=TEXT($B183,"@"))*(PrvSty[Row]=$E183)*(PrvSty[Column]=UPPER(S$114)),0)))</f>
        <v>0</v>
      </c>
      <c r="U183" s="157" cm="1">
        <f t="array" aca="1" ref="U183" ca="1">IF(OR($E183="X",$E183="",$E183=0,$B183="X",$B183="",$B183=0),0,SUM(_xlfn._xlws.FILTER(PrvSty[DsvValue:SERRA],(PrvSty[Project]=TEXT($B183,"@"))*(PrvSty[Row]=$E183)*(PrvSty[Column]=UPPER(U$114)),0)))</f>
        <v>0</v>
      </c>
      <c r="V183" s="157" cm="1">
        <f t="array" aca="1" ref="V183" ca="1">IF(OR($E183="X",$E183="",$E183=0,$B183="X",$B183="",$B183=0),0,SUM(_xlfn._xlws.FILTER(PrvSty[DsvValue:EXT.],(PrvSty[Project]=TEXT($B183,"@"))*(PrvSty[Row]=$E183)*(PrvSty[Column]=UPPER(U$114)),0)))</f>
        <v>0</v>
      </c>
      <c r="W183" s="157" cm="1">
        <f t="array" aca="1" ref="W183" ca="1">IF(OR($E183="X",$E183="",$E183=0,$B183="X",$B183="",$B183=0),0,SUM(_xlfn._xlws.FILTER(PrvSty[DsvValue:SERRA],(PrvSty[Project]=TEXT($B183,"@"))*(PrvSty[Row]=$E183)*(PrvSty[Column]=UPPER(W$114)),0)))</f>
        <v>0</v>
      </c>
      <c r="X183" s="157" cm="1">
        <f t="array" aca="1" ref="X183" ca="1">IF(OR($E183="X",$E183="",$E183=0,$B183="X",$B183="",$B183=0),0,SUM(_xlfn._xlws.FILTER(PrvSty[DsvValue:EXT.],(PrvSty[Project]=TEXT($B183,"@"))*(PrvSty[Row]=$E183)*(PrvSty[Column]=UPPER(W$114)),0)))</f>
        <v>0</v>
      </c>
      <c r="Y183" s="157" cm="1">
        <f t="array" aca="1" ref="Y183" ca="1">IF(OR($E183="X",$E183="",$E183=0,$B183="X",$B183="",$B183=0),0,SUM(_xlfn._xlws.FILTER(PrvSty[DsvValue:SERRA],(PrvSty[Project]=TEXT($B183,"@"))*(PrvSty[Row]=$E183)*(PrvSty[Column]=UPPER(Y$114)),0)))</f>
        <v>0</v>
      </c>
      <c r="Z183" s="157" cm="1">
        <f t="array" aca="1" ref="Z183" ca="1">IF(OR($E183="X",$E183="",$E183=0,$B183="X",$B183="",$B183=0),0,SUM(_xlfn._xlws.FILTER(PrvSty[DsvValue:EXT.],(PrvSty[Project]=TEXT($B183,"@"))*(PrvSty[Row]=$E183)*(PrvSty[Column]=UPPER(Y$114)),0)))</f>
        <v>0</v>
      </c>
      <c r="AA183" s="157" cm="1">
        <f t="array" aca="1" ref="AA183" ca="1">IF(OR($E183="X",$E183="",$E183=0,$B183="X",$B183="",$B183=0),0,SUM(_xlfn._xlws.FILTER(PrvSty[DsvValue:SERRA],(PrvSty[Project]=TEXT($B183,"@"))*(PrvSty[Row]=$E183)*(PrvSty[Column]=UPPER(AA$114)),0)))</f>
        <v>0</v>
      </c>
      <c r="AB183" s="157" cm="1">
        <f t="array" aca="1" ref="AB183" ca="1">IF(OR($E183="X",$E183="",$E183=0,$B183="X",$B183="",$B183=0),0,SUM(_xlfn._xlws.FILTER(PrvSty[DsvValue:EXT.],(PrvSty[Project]=TEXT($B183,"@"))*(PrvSty[Row]=$E183)*(PrvSty[Column]=UPPER(AA$114)),0)))</f>
        <v>0</v>
      </c>
      <c r="AC183" s="157" cm="1">
        <f t="array" aca="1" ref="AC183" ca="1">IF(OR($E183="X",$E183="",$E183=0,$B183="X",$B183="",$B183=0),0,SUM(_xlfn._xlws.FILTER(PrvSty[DsvValue:SERRA],(PrvSty[Project]=TEXT($B183,"@"))*(PrvSty[Row]=$E183)*(PrvSty[Column]=UPPER(AC$114)),0)))</f>
        <v>0</v>
      </c>
      <c r="AD183" s="157" cm="1">
        <f t="array" aca="1" ref="AD183" ca="1">IF(OR($E183="X",$E183="",$E183=0,$B183="X",$B183="",$B183=0),0,SUM(_xlfn._xlws.FILTER(PrvSty[DsvValue:EXT.],(PrvSty[Project]=TEXT($B183,"@"))*(PrvSty[Row]=$E183)*(PrvSty[Column]=UPPER(AC$114)),0)))</f>
        <v>0</v>
      </c>
      <c r="AE183" s="157" cm="1">
        <f t="array" aca="1" ref="AE183" ca="1">IF(OR($E183="X",$E183="",$E183=0,$B183="X",$B183="",$B183=0),0,SUM(_xlfn._xlws.FILTER(PrvSty[DsvValue:SERRA],(PrvSty[Project]=TEXT($B183,"@"))*(PrvSty[Row]=$E183)*(PrvSty[Column]=UPPER(AE$114)),0)))</f>
        <v>0</v>
      </c>
      <c r="AF183" s="157" cm="1">
        <f t="array" aca="1" ref="AF183" ca="1">IF(OR($E183="X",$E183="",$E183=0,$B183="X",$B183="",$B183=0),0,SUM(_xlfn._xlws.FILTER(PrvSty[DsvValue:EXT.],(PrvSty[Project]=TEXT($B183,"@"))*(PrvSty[Row]=$E183)*(PrvSty[Column]=UPPER(AE$114)),0)))</f>
        <v>0</v>
      </c>
      <c r="AG183" s="157" cm="1">
        <f t="array" aca="1" ref="AG183" ca="1">IF(OR($E183="X",$E183="",$E183=0,$B183="X",$B183="",$B183=0),0,SUM(_xlfn._xlws.FILTER(PrvSty[DsvValue:SERRA],(PrvSty[Project]=TEXT($B183,"@"))*(PrvSty[Row]=$E183)*(PrvSty[Column]=UPPER(AG$114)),0)))</f>
        <v>0</v>
      </c>
      <c r="AH183" s="157" cm="1">
        <f t="array" aca="1" ref="AH183" ca="1">IF(OR($E183="X",$E183="",$E183=0,$B183="X",$B183="",$B183=0),0,SUM(_xlfn._xlws.FILTER(PrvSty[DsvValue:EXT.],(PrvSty[Project]=TEXT($B183,"@"))*(PrvSty[Row]=$E183)*(PrvSty[Column]=UPPER(AG$114)),0)))</f>
        <v>0</v>
      </c>
      <c r="AI183" s="157" cm="1">
        <f t="array" aca="1" ref="AI183" ca="1">IF(OR($E183="X",$E183="",$E183=0,$B183="X",$B183="",$B183=0),0,SUM(_xlfn._xlws.FILTER(PrvSty[DsvValue:SERRA],(PrvSty[Project]=TEXT($B183,"@"))*(PrvSty[Row]=$E183)*(PrvSty[Column]=UPPER(AI$114)),0)))</f>
        <v>0</v>
      </c>
      <c r="AJ183" s="157" cm="1">
        <f t="array" aca="1" ref="AJ183" ca="1">IF(OR($E183="X",$E183="",$E183=0,$B183="X",$B183="",$B183=0),0,SUM(_xlfn._xlws.FILTER(PrvSty[DsvValue:EXT.],(PrvSty[Project]=TEXT($B183,"@"))*(PrvSty[Row]=$E183)*(PrvSty[Column]=UPPER(AI$114)),0)))</f>
        <v>0</v>
      </c>
      <c r="AK183" s="157" cm="1">
        <f t="array" aca="1" ref="AK183" ca="1">IF(OR($E183="X",$E183="",$E183=0,$B183="X",$B183="",$B183=0),0,SUM(_xlfn._xlws.FILTER(PrvSty[DsvValue:SERRA],(PrvSty[Project]=TEXT($B183,"@"))*(PrvSty[Row]=$E183)*(PrvSty[Column]=UPPER(AK$114)),0)))</f>
        <v>0</v>
      </c>
      <c r="AL183" s="157" cm="1">
        <f t="array" aca="1" ref="AL183" ca="1">IF(OR($E183="X",$E183="",$E183=0,$B183="X",$B183="",$B183=0),0,SUM(_xlfn._xlws.FILTER(PrvSty[DsvValue:EXT.],(PrvSty[Project]=TEXT($B183,"@"))*(PrvSty[Row]=$E183)*(PrvSty[Column]=UPPER(AK$114)),0)))</f>
        <v>0</v>
      </c>
      <c r="AM183" s="157" cm="1">
        <f t="array" aca="1" ref="AM183" ca="1">IF(OR($E183="X",$E183="",$E183=0,$B183="X",$B183="",$B183=0),0,SUM(_xlfn._xlws.FILTER(PrvSty[DsvValue:SERRA],(PrvSty[Project]=TEXT($B183,"@"))*(PrvSty[Row]=$E183)*(PrvSty[Column]=UPPER(AM$114)),0)))</f>
        <v>0</v>
      </c>
      <c r="AN183" s="157" cm="1">
        <f t="array" aca="1" ref="AN183" ca="1">IF(OR($E183="X",$E183="",$E183=0,$B183="X",$B183="",$B183=0),0,SUM(_xlfn._xlws.FILTER(PrvSty[DsvValue:EXT.],(PrvSty[Project]=TEXT($B183,"@"))*(PrvSty[Row]=$E183)*(PrvSty[Column]=UPPER(AM$114)),0)))</f>
        <v>0</v>
      </c>
      <c r="AO183" s="157" cm="1">
        <f t="array" aca="1" ref="AO183" ca="1">IF(OR($E183="X",$E183="",$E183=0,$B183="X",$B183="",$B183=0),0,SUM(_xlfn._xlws.FILTER(PrvSty[DsvValue:SERRA],(PrvSty[Project]=TEXT($B183,"@"))*(PrvSty[Row]=$E183)*(PrvSty[Column]=UPPER(AO$114)),0)))</f>
        <v>0</v>
      </c>
      <c r="AP183" s="157" cm="1">
        <f t="array" aca="1" ref="AP183" ca="1">IF(OR($E183="X",$E183="",$E183=0,$B183="X",$B183="",$B183=0),0,SUM(_xlfn._xlws.FILTER(PrvSty[DsvValue:EXT.],(PrvSty[Project]=TEXT($B183,"@"))*(PrvSty[Row]=$E183)*(PrvSty[Column]=UPPER(AO$114)),0)))</f>
        <v>50000</v>
      </c>
      <c r="AQ183" s="157" cm="1">
        <f t="array" aca="1" ref="AQ183" ca="1">SUM(IF(INDIRECT($AS$115)=AQ$115,INDIRECT($AS183)))</f>
        <v>0</v>
      </c>
      <c r="AR183" s="157" cm="1">
        <f t="array" aca="1" ref="AR183" ca="1">SUM(IF(INDIRECT($AS$115)=AR$115,INDIRECT($AS183)))</f>
        <v>50000</v>
      </c>
      <c r="AS183" s="286" t="str">
        <f t="shared" ca="1" si="16"/>
        <v>G183:AP183</v>
      </c>
      <c r="AT183" s="403">
        <f t="shared" ca="1" si="17"/>
        <v>50000</v>
      </c>
      <c r="AV183" s="142" cm="1">
        <f t="array" aca="1" ref="AV183" ca="1">IF(AND(_xlfn.LET(_xlpm.x,SUM(ROW()),OR(AND(MATCH("SOT",$A:$A,0)&lt;_xlpm.x,MATCH("EOT",$A:$A,0)&gt;_xlpm.x),AND(MATCH("SOS",$A:$A,0)&lt;_xlpm.x,MATCH("EOS",$A:$A,0)&gt;_xlpm.x),AND(MATCH("SOR",$A:$A,0)&lt;_xlpm.x,MATCH("EOR",$A:$A,0)&gt;_xlpm.x))),INDIRECT("rc"&amp;MATCH("SCD",$1:$1,0),FALSE)="PPTO"),1,0)</f>
        <v>0</v>
      </c>
      <c r="AW183" s="142" cm="1">
        <f t="array" aca="1" ref="AW18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84" spans="2:49" outlineLevel="1">
      <c r="B184" s="156" t="str" cm="1">
        <f t="array" aca="1" ref="B184:E184" ca="1">_xlfn.LET(_xlpm.x,SUM(ROW()-MATCH("SOR",$A:$A,0)),_xlpm.y,IFERROR(_xlfn.TAKE(INDEX(_xlfn._xlws.FILTER(TbAssign[],ISNUMBER(FIND(TbAssign[Project],$C$4)),"X"),1+QUOTIENT(_xlpm.x,3),0),1,4),0),IF(MOD(_xlpm.x-1,3)=0,IF(_xlpm.y=0,"X",_xlpm.y),INDIRECT("r[-1]c#",FALSE)))</f>
        <v>31200</v>
      </c>
      <c r="C184" s="156" t="str">
        <f ca="1"/>
        <v>XF01</v>
      </c>
      <c r="D184" s="148" t="str">
        <f ca="1"/>
        <v>TRHR</v>
      </c>
      <c r="E184" s="352" t="str">
        <f ca="1"/>
        <v>GASTOS DE DESPLAZAMIENTO</v>
      </c>
      <c r="F184" s="148" t="s">
        <v>1383</v>
      </c>
      <c r="G184" s="158" cm="1">
        <f t="array" aca="1" ref="G184" ca="1">IF(OR($E184="X",$E184="",$E184=0,$B184="X",$B184="",$B184=0),0,SUM(_xlfn._xlws.FILTER(FrmBB1[Cur],(FrmBB1[PrjId]=TEXT($B184,"@"))*(FrmBB1[Row]=$E184)*(FrmBB1[Column]=UPPER(_xlfn.LET(_xlpm.x,_xlfn.TEXTBEFORE(G$114," ("),IFERROR(_xlpm.x,G$114)))&amp;" "&amp;G$115),0)))</f>
        <v>0</v>
      </c>
      <c r="H184" s="157" cm="1">
        <f t="array" aca="1" ref="H184" ca="1">IF(OR($E184="X",$E184="",$E184=0,$B184="X",$B184="",$B184=0),0,SUM(_xlfn._xlws.FILTER(FrmBB1[Cur],(FrmBB1[PrjId]=TEXT($B184,"@"))*(FrmBB1[Row]=$E184)*(FrmBB1[Column]=UPPER(_xlfn.LET(_xlpm.x,_xlfn.TEXTBEFORE(G$114," ("),IFERROR(_xlpm.x,G$114)))&amp;" "&amp;H$115),0)))</f>
        <v>0</v>
      </c>
      <c r="I184" s="158" cm="1">
        <f t="array" aca="1" ref="I184" ca="1">IF(OR($E184="X",$E184="",$E184=0,$B184="X",$B184="",$B184=0),0,SUM(_xlfn._xlws.FILTER(FrmBB1[Cur],(FrmBB1[PrjId]=TEXT($B184,"@"))*(FrmBB1[Row]=$E184)*(FrmBB1[Column]=UPPER(_xlfn.LET(_xlpm.x,_xlfn.TEXTBEFORE(I$114," ("),IFERROR(_xlpm.x,I$114)))&amp;" "&amp;I$115),0)))</f>
        <v>0</v>
      </c>
      <c r="J184" s="157" cm="1">
        <f t="array" aca="1" ref="J184" ca="1">IF(OR($E184="X",$E184="",$E184=0,$B184="X",$B184="",$B184=0),0,SUM(_xlfn._xlws.FILTER(FrmBB1[Cur],(FrmBB1[PrjId]=TEXT($B184,"@"))*(FrmBB1[Row]=$E184)*(FrmBB1[Column]=UPPER(_xlfn.LET(_xlpm.x,_xlfn.TEXTBEFORE(I$114," ("),IFERROR(_xlpm.x,I$114)))&amp;" "&amp;J$115),0)))</f>
        <v>0</v>
      </c>
      <c r="K184" s="158" cm="1">
        <f t="array" aca="1" ref="K184" ca="1">IF(OR($E184="X",$E184="",$E184=0,$B184="X",$B184="",$B184=0),0,SUM(_xlfn._xlws.FILTER(FrmBB1[Cur],(FrmBB1[PrjId]=TEXT($B184,"@"))*(FrmBB1[Row]=$E184)*(FrmBB1[Column]=UPPER(_xlfn.LET(_xlpm.x,_xlfn.TEXTBEFORE(K$114," ("),IFERROR(_xlpm.x,K$114)))&amp;" "&amp;K$115),0)))</f>
        <v>0</v>
      </c>
      <c r="L184" s="157" cm="1">
        <f t="array" aca="1" ref="L184" ca="1">IF(OR($E184="X",$E184="",$E184=0,$B184="X",$B184="",$B184=0),0,SUM(_xlfn._xlws.FILTER(FrmBB1[Cur],(FrmBB1[PrjId]=TEXT($B184,"@"))*(FrmBB1[Row]=$E184)*(FrmBB1[Column]=UPPER(_xlfn.LET(_xlpm.x,_xlfn.TEXTBEFORE(K$114," ("),IFERROR(_xlpm.x,K$114)))&amp;" "&amp;L$115),0)))</f>
        <v>0</v>
      </c>
      <c r="M184" s="158" cm="1">
        <f t="array" aca="1" ref="M184" ca="1">IF(OR($E184="X",$E184="",$E184=0,$B184="X",$B184="",$B184=0),0,SUM(_xlfn._xlws.FILTER(FrmBB1[Cur],(FrmBB1[PrjId]=TEXT($B184,"@"))*(FrmBB1[Row]=$E184)*(FrmBB1[Column]=UPPER(_xlfn.LET(_xlpm.x,_xlfn.TEXTBEFORE(M$114," ("),IFERROR(_xlpm.x,M$114)))&amp;" "&amp;M$115),0)))</f>
        <v>0</v>
      </c>
      <c r="N184" s="157" cm="1">
        <f t="array" aca="1" ref="N184" ca="1">IF(OR($E184="X",$E184="",$E184=0,$B184="X",$B184="",$B184=0),0,SUM(_xlfn._xlws.FILTER(FrmBB1[Cur],(FrmBB1[PrjId]=TEXT($B184,"@"))*(FrmBB1[Row]=$E184)*(FrmBB1[Column]=UPPER(_xlfn.LET(_xlpm.x,_xlfn.TEXTBEFORE(M$114," ("),IFERROR(_xlpm.x,M$114)))&amp;" "&amp;N$115),0)))</f>
        <v>0</v>
      </c>
      <c r="O184" s="158" cm="1">
        <f t="array" aca="1" ref="O184" ca="1">IF(OR($E184="X",$E184="",$E184=0,$B184="X",$B184="",$B184=0),0,SUM(_xlfn._xlws.FILTER(FrmBB1[Cur],(FrmBB1[PrjId]=TEXT($B184,"@"))*(FrmBB1[Row]=$E184)*(FrmBB1[Column]=UPPER(_xlfn.LET(_xlpm.x,_xlfn.TEXTBEFORE(O$114," ("),IFERROR(_xlpm.x,O$114)))&amp;" "&amp;O$115),0)))</f>
        <v>0</v>
      </c>
      <c r="P184" s="157" cm="1">
        <f t="array" aca="1" ref="P184" ca="1">IF(OR($E184="X",$E184="",$E184=0,$B184="X",$B184="",$B184=0),0,SUM(_xlfn._xlws.FILTER(FrmBB1[Cur],(FrmBB1[PrjId]=TEXT($B184,"@"))*(FrmBB1[Row]=$E184)*(FrmBB1[Column]=UPPER(_xlfn.LET(_xlpm.x,_xlfn.TEXTBEFORE(O$114," ("),IFERROR(_xlpm.x,O$114)))&amp;" "&amp;P$115),0)))</f>
        <v>0</v>
      </c>
      <c r="Q184" s="158" cm="1">
        <f t="array" aca="1" ref="Q184" ca="1">IF(OR($E184="X",$E184="",$E184=0,$B184="X",$B184="",$B184=0),0,SUM(_xlfn._xlws.FILTER(FrmBB1[Cur],(FrmBB1[PrjId]=TEXT($B184,"@"))*(FrmBB1[Row]=$E184)*(FrmBB1[Column]=UPPER(_xlfn.LET(_xlpm.x,_xlfn.TEXTBEFORE(Q$114," ("),IFERROR(_xlpm.x,Q$114)))&amp;" "&amp;Q$115),0)))</f>
        <v>0</v>
      </c>
      <c r="R184" s="157" cm="1">
        <f t="array" aca="1" ref="R184" ca="1">IF(OR($E184="X",$E184="",$E184=0,$B184="X",$B184="",$B184=0),0,SUM(_xlfn._xlws.FILTER(FrmBB1[Cur],(FrmBB1[PrjId]=TEXT($B184,"@"))*(FrmBB1[Row]=$E184)*(FrmBB1[Column]=UPPER(_xlfn.LET(_xlpm.x,_xlfn.TEXTBEFORE(Q$114," ("),IFERROR(_xlpm.x,Q$114)))&amp;" "&amp;R$115),0)))</f>
        <v>0</v>
      </c>
      <c r="S184" s="158" cm="1">
        <f t="array" aca="1" ref="S184" ca="1">IF(OR($E184="X",$E184="",$E184=0,$B184="X",$B184="",$B184=0),0,SUM(_xlfn._xlws.FILTER(FrmBB1[Cur],(FrmBB1[PrjId]=TEXT($B184,"@"))*(FrmBB1[Row]=$E184)*(FrmBB1[Column]=UPPER(_xlfn.LET(_xlpm.x,_xlfn.TEXTBEFORE(S$114," ("),IFERROR(_xlpm.x,S$114)))&amp;" "&amp;S$115),0)))</f>
        <v>0</v>
      </c>
      <c r="T184" s="157" cm="1">
        <f t="array" aca="1" ref="T184" ca="1">IF(OR($E184="X",$E184="",$E184=0,$B184="X",$B184="",$B184=0),0,SUM(_xlfn._xlws.FILTER(FrmBB1[Cur],(FrmBB1[PrjId]=TEXT($B184,"@"))*(FrmBB1[Row]=$E184)*(FrmBB1[Column]=UPPER(_xlfn.LET(_xlpm.x,_xlfn.TEXTBEFORE(S$114," ("),IFERROR(_xlpm.x,S$114)))&amp;" "&amp;T$115),0)))</f>
        <v>0</v>
      </c>
      <c r="U184" s="158" cm="1">
        <f t="array" aca="1" ref="U184" ca="1">IF(OR($E184="X",$E184="",$E184=0,$B184="X",$B184="",$B184=0),0,SUM(_xlfn._xlws.FILTER(FrmBB1[Cur],(FrmBB1[PrjId]=TEXT($B184,"@"))*(FrmBB1[Row]=$E184)*(FrmBB1[Column]=UPPER(_xlfn.LET(_xlpm.x,_xlfn.TEXTBEFORE(U$114," ("),IFERROR(_xlpm.x,U$114)))&amp;" "&amp;U$115),0)))</f>
        <v>0</v>
      </c>
      <c r="V184" s="157" cm="1">
        <f t="array" aca="1" ref="V184" ca="1">IF(OR($E184="X",$E184="",$E184=0,$B184="X",$B184="",$B184=0),0,SUM(_xlfn._xlws.FILTER(FrmBB1[Cur],(FrmBB1[PrjId]=TEXT($B184,"@"))*(FrmBB1[Row]=$E184)*(FrmBB1[Column]=UPPER(_xlfn.LET(_xlpm.x,_xlfn.TEXTBEFORE(U$114," ("),IFERROR(_xlpm.x,U$114)))&amp;" "&amp;V$115),0)))</f>
        <v>0</v>
      </c>
      <c r="W184" s="158" cm="1">
        <f t="array" aca="1" ref="W184" ca="1">IF(OR($E184="X",$E184="",$E184=0,$B184="X",$B184="",$B184=0),0,SUM(_xlfn._xlws.FILTER(FrmBB1[Cur],(FrmBB1[PrjId]=TEXT($B184,"@"))*(FrmBB1[Row]=$E184)*(FrmBB1[Column]=UPPER(_xlfn.LET(_xlpm.x,_xlfn.TEXTBEFORE(W$114," ("),IFERROR(_xlpm.x,W$114)))&amp;" "&amp;W$115),0)))</f>
        <v>0</v>
      </c>
      <c r="X184" s="157" cm="1">
        <f t="array" aca="1" ref="X184" ca="1">IF(OR($E184="X",$E184="",$E184=0,$B184="X",$B184="",$B184=0),0,SUM(_xlfn._xlws.FILTER(FrmBB1[Cur],(FrmBB1[PrjId]=TEXT($B184,"@"))*(FrmBB1[Row]=$E184)*(FrmBB1[Column]=UPPER(_xlfn.LET(_xlpm.x,_xlfn.TEXTBEFORE(W$114," ("),IFERROR(_xlpm.x,W$114)))&amp;" "&amp;X$115),0)))</f>
        <v>0</v>
      </c>
      <c r="Y184" s="158" cm="1">
        <f t="array" aca="1" ref="Y184" ca="1">IF(OR($E184="X",$E184="",$E184=0,$B184="X",$B184="",$B184=0),0,SUM(_xlfn._xlws.FILTER(FrmBB1[Cur],(FrmBB1[PrjId]=TEXT($B184,"@"))*(FrmBB1[Row]=$E184)*(FrmBB1[Column]=UPPER(_xlfn.LET(_xlpm.x,_xlfn.TEXTBEFORE(Y$114," ("),IFERROR(_xlpm.x,Y$114)))&amp;" "&amp;Y$115),0)))</f>
        <v>0</v>
      </c>
      <c r="Z184" s="157" cm="1">
        <f t="array" aca="1" ref="Z184" ca="1">IF(OR($E184="X",$E184="",$E184=0,$B184="X",$B184="",$B184=0),0,SUM(_xlfn._xlws.FILTER(FrmBB1[Cur],(FrmBB1[PrjId]=TEXT($B184,"@"))*(FrmBB1[Row]=$E184)*(FrmBB1[Column]=UPPER(_xlfn.LET(_xlpm.x,_xlfn.TEXTBEFORE(Y$114," ("),IFERROR(_xlpm.x,Y$114)))&amp;" "&amp;Z$115),0)))</f>
        <v>0</v>
      </c>
      <c r="AA184" s="158" cm="1">
        <f t="array" aca="1" ref="AA184" ca="1">IF(OR($E184="X",$E184="",$E184=0,$B184="X",$B184="",$B184=0),0,SUM(_xlfn._xlws.FILTER(FrmBB1[Cur],(FrmBB1[PrjId]=TEXT($B184,"@"))*(FrmBB1[Row]=$E184)*(FrmBB1[Column]=UPPER(_xlfn.LET(_xlpm.x,_xlfn.TEXTBEFORE(AA$114," ("),IFERROR(_xlpm.x,AA$114)))&amp;" "&amp;AA$115),0)))</f>
        <v>0</v>
      </c>
      <c r="AB184" s="157" cm="1">
        <f t="array" aca="1" ref="AB184" ca="1">IF(OR($E184="X",$E184="",$E184=0,$B184="X",$B184="",$B184=0),0,SUM(_xlfn._xlws.FILTER(FrmBB1[Cur],(FrmBB1[PrjId]=TEXT($B184,"@"))*(FrmBB1[Row]=$E184)*(FrmBB1[Column]=UPPER(_xlfn.LET(_xlpm.x,_xlfn.TEXTBEFORE(AA$114," ("),IFERROR(_xlpm.x,AA$114)))&amp;" "&amp;AB$115),0)))</f>
        <v>0</v>
      </c>
      <c r="AC184" s="158" cm="1">
        <f t="array" aca="1" ref="AC184" ca="1">IF(OR($E184="X",$E184="",$E184=0,$B184="X",$B184="",$B184=0),0,SUM(_xlfn._xlws.FILTER(FrmBB1[Cur],(FrmBB1[PrjId]=TEXT($B184,"@"))*(FrmBB1[Row]=$E184)*(FrmBB1[Column]=UPPER(_xlfn.LET(_xlpm.x,_xlfn.TEXTBEFORE(AC$114," ("),IFERROR(_xlpm.x,AC$114)))&amp;" "&amp;AC$115),0)))</f>
        <v>0</v>
      </c>
      <c r="AD184" s="157" cm="1">
        <f t="array" aca="1" ref="AD184" ca="1">IF(OR($E184="X",$E184="",$E184=0,$B184="X",$B184="",$B184=0),0,SUM(_xlfn._xlws.FILTER(FrmBB1[Cur],(FrmBB1[PrjId]=TEXT($B184,"@"))*(FrmBB1[Row]=$E184)*(FrmBB1[Column]=UPPER(_xlfn.LET(_xlpm.x,_xlfn.TEXTBEFORE(AC$114," ("),IFERROR(_xlpm.x,AC$114)))&amp;" "&amp;AD$115),0)))</f>
        <v>0</v>
      </c>
      <c r="AE184" s="158" cm="1">
        <f t="array" aca="1" ref="AE184" ca="1">IF(OR($E184="X",$E184="",$E184=0,$B184="X",$B184="",$B184=0),0,SUM(_xlfn._xlws.FILTER(FrmBB1[Cur],(FrmBB1[PrjId]=TEXT($B184,"@"))*(FrmBB1[Row]=$E184)*(FrmBB1[Column]=UPPER(_xlfn.LET(_xlpm.x,_xlfn.TEXTBEFORE(AE$114," ("),IFERROR(_xlpm.x,AE$114)))&amp;" "&amp;AE$115),0)))</f>
        <v>0</v>
      </c>
      <c r="AF184" s="157" cm="1">
        <f t="array" aca="1" ref="AF184" ca="1">IF(OR($E184="X",$E184="",$E184=0,$B184="X",$B184="",$B184=0),0,SUM(_xlfn._xlws.FILTER(FrmBB1[Cur],(FrmBB1[PrjId]=TEXT($B184,"@"))*(FrmBB1[Row]=$E184)*(FrmBB1[Column]=UPPER(_xlfn.LET(_xlpm.x,_xlfn.TEXTBEFORE(AE$114," ("),IFERROR(_xlpm.x,AE$114)))&amp;" "&amp;AF$115),0)))</f>
        <v>0</v>
      </c>
      <c r="AG184" s="158" cm="1">
        <f t="array" aca="1" ref="AG184" ca="1">IF(OR($E184="X",$E184="",$E184=0,$B184="X",$B184="",$B184=0),0,SUM(_xlfn._xlws.FILTER(FrmBB1[Cur],(FrmBB1[PrjId]=TEXT($B184,"@"))*(FrmBB1[Row]=$E184)*(FrmBB1[Column]=UPPER(_xlfn.LET(_xlpm.x,_xlfn.TEXTBEFORE(AG$114," ("),IFERROR(_xlpm.x,AG$114)))&amp;" "&amp;AG$115),0)))</f>
        <v>0</v>
      </c>
      <c r="AH184" s="157" cm="1">
        <f t="array" aca="1" ref="AH184" ca="1">IF(OR($E184="X",$E184="",$E184=0,$B184="X",$B184="",$B184=0),0,SUM(_xlfn._xlws.FILTER(FrmBB1[Cur],(FrmBB1[PrjId]=TEXT($B184,"@"))*(FrmBB1[Row]=$E184)*(FrmBB1[Column]=UPPER(_xlfn.LET(_xlpm.x,_xlfn.TEXTBEFORE(AG$114," ("),IFERROR(_xlpm.x,AG$114)))&amp;" "&amp;AH$115),0)))</f>
        <v>0</v>
      </c>
      <c r="AI184" s="158" cm="1">
        <f t="array" aca="1" ref="AI184" ca="1">IF(OR($E184="X",$E184="",$E184=0,$B184="X",$B184="",$B184=0),0,SUM(_xlfn._xlws.FILTER(FrmBB1[Cur],(FrmBB1[PrjId]=TEXT($B184,"@"))*(FrmBB1[Row]=$E184)*(FrmBB1[Column]=UPPER(_xlfn.LET(_xlpm.x,_xlfn.TEXTBEFORE(AI$114," ("),IFERROR(_xlpm.x,AI$114)))&amp;" "&amp;AI$115),0)))</f>
        <v>0</v>
      </c>
      <c r="AJ184" s="157" cm="1">
        <f t="array" aca="1" ref="AJ184" ca="1">IF(OR($E184="X",$E184="",$E184=0,$B184="X",$B184="",$B184=0),0,SUM(_xlfn._xlws.FILTER(FrmBB1[Cur],(FrmBB1[PrjId]=TEXT($B184,"@"))*(FrmBB1[Row]=$E184)*(FrmBB1[Column]=UPPER(_xlfn.LET(_xlpm.x,_xlfn.TEXTBEFORE(AI$114," ("),IFERROR(_xlpm.x,AI$114)))&amp;" "&amp;AJ$115),0)))</f>
        <v>0</v>
      </c>
      <c r="AK184" s="158" cm="1">
        <f t="array" aca="1" ref="AK184" ca="1">IF(OR($E184="X",$E184="",$E184=0,$B184="X",$B184="",$B184=0),0,SUM(_xlfn._xlws.FILTER(FrmBB1[Cur],(FrmBB1[PrjId]=TEXT($B184,"@"))*(FrmBB1[Row]=$E184)*(FrmBB1[Column]=UPPER(_xlfn.LET(_xlpm.x,_xlfn.TEXTBEFORE(AK$114," ("),IFERROR(_xlpm.x,AK$114)))&amp;" "&amp;AK$115),0)))</f>
        <v>0</v>
      </c>
      <c r="AL184" s="157" cm="1">
        <f t="array" aca="1" ref="AL184" ca="1">IF(OR($E184="X",$E184="",$E184=0,$B184="X",$B184="",$B184=0),0,SUM(_xlfn._xlws.FILTER(FrmBB1[Cur],(FrmBB1[PrjId]=TEXT($B184,"@"))*(FrmBB1[Row]=$E184)*(FrmBB1[Column]=UPPER(_xlfn.LET(_xlpm.x,_xlfn.TEXTBEFORE(AK$114," ("),IFERROR(_xlpm.x,AK$114)))&amp;" "&amp;AL$115),0)))</f>
        <v>0</v>
      </c>
      <c r="AM184" s="158" cm="1">
        <f t="array" aca="1" ref="AM184" ca="1">IF(OR($E184="X",$E184="",$E184=0,$B184="X",$B184="",$B184=0),0,SUM(_xlfn._xlws.FILTER(FrmBB1[Cur],(FrmBB1[PrjId]=TEXT($B184,"@"))*(FrmBB1[Row]=$E184)*(FrmBB1[Column]=UPPER(_xlfn.LET(_xlpm.x,_xlfn.TEXTBEFORE(AM$114," ("),IFERROR(_xlpm.x,AM$114)))&amp;" "&amp;AM$115),0)))</f>
        <v>0</v>
      </c>
      <c r="AN184" s="157" cm="1">
        <f t="array" aca="1" ref="AN184" ca="1">IF(OR($E184="X",$E184="",$E184=0,$B184="X",$B184="",$B184=0),0,SUM(_xlfn._xlws.FILTER(FrmBB1[Cur],(FrmBB1[PrjId]=TEXT($B184,"@"))*(FrmBB1[Row]=$E184)*(FrmBB1[Column]=UPPER(_xlfn.LET(_xlpm.x,_xlfn.TEXTBEFORE(AM$114," ("),IFERROR(_xlpm.x,AM$114)))&amp;" "&amp;AN$115),0)))</f>
        <v>0</v>
      </c>
      <c r="AO184" s="158" cm="1">
        <f t="array" aca="1" ref="AO184" ca="1">IF(OR($E184="X",$E184="",$E184=0,$B184="X",$B184="",$B184=0),0,SUM(_xlfn._xlws.FILTER(FrmBB1[Cur],(FrmBB1[PrjId]=TEXT($B184,"@"))*(FrmBB1[Row]=$E184)*(FrmBB1[Column]=UPPER(_xlfn.LET(_xlpm.x,_xlfn.TEXTBEFORE(AO$114," ("),IFERROR(_xlpm.x,AO$114)))&amp;" "&amp;AO$115),0)))</f>
        <v>2479.2300000000032</v>
      </c>
      <c r="AP184" s="157" cm="1">
        <f t="array" aca="1" ref="AP184" ca="1">IF(OR($E184="X",$E184="",$E184=0,$B184="X",$B184="",$B184=0),0,SUM(_xlfn._xlws.FILTER(FrmBB1[Cur],(FrmBB1[PrjId]=TEXT($B184,"@"))*(FrmBB1[Row]=$E184)*(FrmBB1[Column]=UPPER(_xlfn.LET(_xlpm.x,_xlfn.TEXTBEFORE(AO$114," ("),IFERROR(_xlpm.x,AO$114)))&amp;" "&amp;AP$115),0)))</f>
        <v>67200.800000000003</v>
      </c>
      <c r="AQ184" s="157" cm="1">
        <f t="array" aca="1" ref="AQ184" ca="1">SUM(IF(INDIRECT($AS$115)=AQ$115,INDIRECT($AS184)))</f>
        <v>2479.2300000000032</v>
      </c>
      <c r="AR184" s="157" cm="1">
        <f t="array" aca="1" ref="AR184" ca="1">SUM(IF(INDIRECT($AS$115)=AR$115,INDIRECT($AS184)))</f>
        <v>67200.800000000003</v>
      </c>
      <c r="AS184" s="286" t="str">
        <f t="shared" ca="1" si="16"/>
        <v>G184:AP184</v>
      </c>
      <c r="AT184" s="403">
        <f t="shared" ca="1" si="17"/>
        <v>69680.03</v>
      </c>
      <c r="AV184" s="142" cm="1">
        <f t="array" aca="1" ref="AV184" ca="1">IF(AND(_xlfn.LET(_xlpm.x,SUM(ROW()),OR(AND(MATCH("SOT",$A:$A,0)&lt;_xlpm.x,MATCH("EOT",$A:$A,0)&gt;_xlpm.x),AND(MATCH("SOS",$A:$A,0)&lt;_xlpm.x,MATCH("EOS",$A:$A,0)&gt;_xlpm.x),AND(MATCH("SOR",$A:$A,0)&lt;_xlpm.x,MATCH("EOR",$A:$A,0)&gt;_xlpm.x))),INDIRECT("rc"&amp;MATCH("SCD",$1:$1,0),FALSE)="PPTO"),1,0)</f>
        <v>0</v>
      </c>
      <c r="AW184" s="142" cm="1">
        <f t="array" aca="1" ref="AW18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85" spans="2:49" outlineLevel="1">
      <c r="B185" s="156" t="str" cm="1">
        <f t="array" aca="1" ref="B185:E185" ca="1">_xlfn.LET(_xlpm.x,SUM(ROW()-MATCH("SOR",$A:$A,0)),_xlpm.y,IFERROR(_xlfn.TAKE(INDEX(_xlfn._xlws.FILTER(TbAssign[],ISNUMBER(FIND(TbAssign[Project],$C$4)),"X"),1+QUOTIENT(_xlpm.x,3),0),1,4),0),IF(MOD(_xlpm.x-1,3)=0,IF(_xlpm.y=0,"X",_xlpm.y),INDIRECT("r[-1]c#",FALSE)))</f>
        <v>31200</v>
      </c>
      <c r="C185" s="156" t="str">
        <f ca="1"/>
        <v>XA02</v>
      </c>
      <c r="D185" s="148" t="str">
        <f ca="1"/>
        <v>GSGT</v>
      </c>
      <c r="E185" s="352" t="str">
        <f ca="1"/>
        <v>GASTOS ADUANALES</v>
      </c>
      <c r="F185" s="148" t="s">
        <v>397</v>
      </c>
      <c r="G185" s="157" cm="1">
        <f t="array" aca="1" ref="G185" ca="1">IF(OR($E185="X",$E185="",$E185=0,$B185="X",$B185="",$B185=0),0,SUM(_xlfn._xlws.FILTER(IF($E$4="Ppto",PptoSty[CurPpto],PptoSty[CurInt]),(IF($E$4="Ppto",PptoSty[POvsCT]=G$113,TRUE))*(PptoSty[Project]=TEXT($B185,"@"))*(PptoSty[PptoVsRow]=$E185)*(PptoSty[PptoVsColumn]=UPPER(G$114)),0)))</f>
        <v>0</v>
      </c>
      <c r="H185" s="157" cm="1">
        <f t="array" aca="1" ref="H185" ca="1">IF(OR($E185="X",$E185="",$E185=0,$B185="X",$B185="",$B185=0),0,SUM(_xlfn._xlws.FILTER(IF($E$4="Ppto",PptoSty[CurPpto],PptoSty[CurExt]),(IF($E$4="Ppto",PptoSty[POvsCT]=H$113,TRUE))*(PptoSty[Project]=TEXT($B185,"@"))*(PptoSty[PptoVsRow]=$E185)*(PptoSty[PptoVsColumn]=UPPER(G$114)),0)))</f>
        <v>0</v>
      </c>
      <c r="I185" s="157" cm="1">
        <f t="array" aca="1" ref="I185" ca="1">IF(OR($E185="X",$E185="",$E185=0,$B185="X",$B185="",$B185=0),0,SUM(_xlfn._xlws.FILTER(IF($E$4="Ppto",PptoSty[CurPpto],PptoSty[CurInt]),(IF($E$4="Ppto",PptoSty[POvsCT]=I$113,TRUE))*(PptoSty[Project]=TEXT($B185,"@"))*(PptoSty[PptoVsRow]=$E185)*(PptoSty[PptoVsColumn]=UPPER(I$114)),0)))</f>
        <v>0</v>
      </c>
      <c r="J185" s="157" cm="1">
        <f t="array" aca="1" ref="J185" ca="1">IF(OR($E185="X",$E185="",$E185=0,$B185="X",$B185="",$B185=0),0,SUM(_xlfn._xlws.FILTER(IF($E$4="Ppto",PptoSty[CurPpto],PptoSty[CurExt]),(IF($E$4="Ppto",PptoSty[POvsCT]=J$113,TRUE))*(PptoSty[Project]=TEXT($B185,"@"))*(PptoSty[PptoVsRow]=$E185)*(PptoSty[PptoVsColumn]=UPPER(I$114)),0)))</f>
        <v>0</v>
      </c>
      <c r="K185" s="157" cm="1">
        <f t="array" aca="1" ref="K185" ca="1">IF(OR($E185="X",$E185="",$E185=0,$B185="X",$B185="",$B185=0),0,SUM(_xlfn._xlws.FILTER(IF($E$4="Ppto",PptoSty[CurPpto],PptoSty[CurInt]),(IF($E$4="Ppto",PptoSty[POvsCT]=K$113,TRUE))*(PptoSty[Project]=TEXT($B185,"@"))*(PptoSty[PptoVsRow]=$E185)*(PptoSty[PptoVsColumn]=UPPER(K$114)),0)))</f>
        <v>0</v>
      </c>
      <c r="L185" s="157" cm="1">
        <f t="array" aca="1" ref="L185" ca="1">IF(OR($E185="X",$E185="",$E185=0,$B185="X",$B185="",$B185=0),0,SUM(_xlfn._xlws.FILTER(IF($E$4="Ppto",PptoSty[CurPpto],PptoSty[CurExt]),(IF($E$4="Ppto",PptoSty[POvsCT]=L$113,TRUE))*(PptoSty[Project]=TEXT($B185,"@"))*(PptoSty[PptoVsRow]=$E185)*(PptoSty[PptoVsColumn]=UPPER(K$114)),0)))</f>
        <v>0</v>
      </c>
      <c r="M185" s="157" cm="1">
        <f t="array" aca="1" ref="M185" ca="1">IF(OR($E185="X",$E185="",$E185=0,$B185="X",$B185="",$B185=0),0,SUM(_xlfn._xlws.FILTER(IF($E$4="Ppto",PptoSty[CurPpto],PptoSty[CurInt]),(IF($E$4="Ppto",PptoSty[POvsCT]=M$113,TRUE))*(PptoSty[Project]=TEXT($B185,"@"))*(PptoSty[PptoVsRow]=$E185)*(PptoSty[PptoVsColumn]=UPPER(M$114)),0)))</f>
        <v>0</v>
      </c>
      <c r="N185" s="157" cm="1">
        <f t="array" aca="1" ref="N185" ca="1">IF(OR($E185="X",$E185="",$E185=0,$B185="X",$B185="",$B185=0),0,SUM(_xlfn._xlws.FILTER(IF($E$4="Ppto",PptoSty[CurPpto],PptoSty[CurExt]),(IF($E$4="Ppto",PptoSty[POvsCT]=N$113,TRUE))*(PptoSty[Project]=TEXT($B185,"@"))*(PptoSty[PptoVsRow]=$E185)*(PptoSty[PptoVsColumn]=UPPER(M$114)),0)))</f>
        <v>0</v>
      </c>
      <c r="O185" s="157" cm="1">
        <f t="array" aca="1" ref="O185" ca="1">IF(OR($E185="X",$E185="",$E185=0,$B185="X",$B185="",$B185=0),0,SUM(_xlfn._xlws.FILTER(IF($E$4="Ppto",PptoSty[CurPpto],PptoSty[CurInt]),(IF($E$4="Ppto",PptoSty[POvsCT]=O$113,TRUE))*(PptoSty[Project]=TEXT($B185,"@"))*(PptoSty[PptoVsRow]=$E185)*(PptoSty[PptoVsColumn]=UPPER(O$114)),0)))</f>
        <v>0</v>
      </c>
      <c r="P185" s="157" cm="1">
        <f t="array" aca="1" ref="P185" ca="1">IF(OR($E185="X",$E185="",$E185=0,$B185="X",$B185="",$B185=0),0,SUM(_xlfn._xlws.FILTER(IF($E$4="Ppto",PptoSty[CurPpto],PptoSty[CurExt]),(IF($E$4="Ppto",PptoSty[POvsCT]=P$113,TRUE))*(PptoSty[Project]=TEXT($B185,"@"))*(PptoSty[PptoVsRow]=$E185)*(PptoSty[PptoVsColumn]=UPPER(O$114)),0)))</f>
        <v>0</v>
      </c>
      <c r="Q185" s="157" cm="1">
        <f t="array" aca="1" ref="Q185" ca="1">IF(OR($E185="X",$E185="",$E185=0,$B185="X",$B185="",$B185=0),0,SUM(_xlfn._xlws.FILTER(IF($E$4="Ppto",PptoSty[CurPpto],PptoSty[CurInt]),(IF($E$4="Ppto",PptoSty[POvsCT]=Q$113,TRUE))*(PptoSty[Project]=TEXT($B185,"@"))*(PptoSty[PptoVsRow]=$E185)*(PptoSty[PptoVsColumn]=UPPER(Q$114)),0)))</f>
        <v>0</v>
      </c>
      <c r="R185" s="157" cm="1">
        <f t="array" aca="1" ref="R185" ca="1">IF(OR($E185="X",$E185="",$E185=0,$B185="X",$B185="",$B185=0),0,SUM(_xlfn._xlws.FILTER(IF($E$4="Ppto",PptoSty[CurPpto],PptoSty[CurExt]),(IF($E$4="Ppto",PptoSty[POvsCT]=R$113,TRUE))*(PptoSty[Project]=TEXT($B185,"@"))*(PptoSty[PptoVsRow]=$E185)*(PptoSty[PptoVsColumn]=UPPER(Q$114)),0)))</f>
        <v>0</v>
      </c>
      <c r="S185" s="157" cm="1">
        <f t="array" aca="1" ref="S185" ca="1">IF(OR($E185="X",$E185="",$E185=0,$B185="X",$B185="",$B185=0),0,SUM(_xlfn._xlws.FILTER(IF($E$4="Ppto",PptoSty[CurPpto],PptoSty[CurInt]),(IF($E$4="Ppto",PptoSty[POvsCT]=S$113,TRUE))*(PptoSty[Project]=TEXT($B185,"@"))*(PptoSty[PptoVsRow]=$E185)*(PptoSty[PptoVsColumn]=UPPER(S$114)),0)))</f>
        <v>0</v>
      </c>
      <c r="T185" s="157" cm="1">
        <f t="array" aca="1" ref="T185" ca="1">IF(OR($E185="X",$E185="",$E185=0,$B185="X",$B185="",$B185=0),0,SUM(_xlfn._xlws.FILTER(IF($E$4="Ppto",PptoSty[CurPpto],PptoSty[CurExt]),(IF($E$4="Ppto",PptoSty[POvsCT]=T$113,TRUE))*(PptoSty[Project]=TEXT($B185,"@"))*(PptoSty[PptoVsRow]=$E185)*(PptoSty[PptoVsColumn]=UPPER(S$114)),0)))</f>
        <v>0</v>
      </c>
      <c r="U185" s="157" cm="1">
        <f t="array" aca="1" ref="U185" ca="1">IF(OR($E185="X",$E185="",$E185=0,$B185="X",$B185="",$B185=0),0,SUM(_xlfn._xlws.FILTER(IF($E$4="Ppto",PptoSty[CurPpto],PptoSty[CurInt]),(IF($E$4="Ppto",PptoSty[POvsCT]=U$113,TRUE))*(PptoSty[Project]=TEXT($B185,"@"))*(PptoSty[PptoVsRow]=$E185)*(PptoSty[PptoVsColumn]=UPPER(U$114)),0)))</f>
        <v>0</v>
      </c>
      <c r="V185" s="157" cm="1">
        <f t="array" aca="1" ref="V185" ca="1">IF(OR($E185="X",$E185="",$E185=0,$B185="X",$B185="",$B185=0),0,SUM(_xlfn._xlws.FILTER(IF($E$4="Ppto",PptoSty[CurPpto],PptoSty[CurExt]),(IF($E$4="Ppto",PptoSty[POvsCT]=V$113,TRUE))*(PptoSty[Project]=TEXT($B185,"@"))*(PptoSty[PptoVsRow]=$E185)*(PptoSty[PptoVsColumn]=UPPER(U$114)),0)))</f>
        <v>0</v>
      </c>
      <c r="W185" s="157" cm="1">
        <f t="array" aca="1" ref="W185" ca="1">IF(OR($E185="X",$E185="",$E185=0,$B185="X",$B185="",$B185=0),0,SUM(_xlfn._xlws.FILTER(IF($E$4="Ppto",PptoSty[CurPpto],PptoSty[CurInt]),(IF($E$4="Ppto",PptoSty[POvsCT]=W$113,TRUE))*(PptoSty[Project]=TEXT($B185,"@"))*(PptoSty[PptoVsRow]=$E185)*(PptoSty[PptoVsColumn]=UPPER(W$114)),0)))</f>
        <v>0</v>
      </c>
      <c r="X185" s="157" cm="1">
        <f t="array" aca="1" ref="X185" ca="1">IF(OR($E185="X",$E185="",$E185=0,$B185="X",$B185="",$B185=0),0,SUM(_xlfn._xlws.FILTER(IF($E$4="Ppto",PptoSty[CurPpto],PptoSty[CurExt]),(IF($E$4="Ppto",PptoSty[POvsCT]=X$113,TRUE))*(PptoSty[Project]=TEXT($B185,"@"))*(PptoSty[PptoVsRow]=$E185)*(PptoSty[PptoVsColumn]=UPPER(W$114)),0)))</f>
        <v>0</v>
      </c>
      <c r="Y185" s="157" cm="1">
        <f t="array" aca="1" ref="Y185" ca="1">IF(OR($E185="X",$E185="",$E185=0,$B185="X",$B185="",$B185=0),0,SUM(_xlfn._xlws.FILTER(IF($E$4="Ppto",PptoSty[CurPpto],PptoSty[CurInt]),(IF($E$4="Ppto",PptoSty[POvsCT]=Y$113,TRUE))*(PptoSty[Project]=TEXT($B185,"@"))*(PptoSty[PptoVsRow]=$E185)*(PptoSty[PptoVsColumn]=UPPER(Y$114)),0)))</f>
        <v>0</v>
      </c>
      <c r="Z185" s="157" cm="1">
        <f t="array" aca="1" ref="Z185" ca="1">IF(OR($E185="X",$E185="",$E185=0,$B185="X",$B185="",$B185=0),0,SUM(_xlfn._xlws.FILTER(IF($E$4="Ppto",PptoSty[CurPpto],PptoSty[CurExt]),(IF($E$4="Ppto",PptoSty[POvsCT]=Z$113,TRUE))*(PptoSty[Project]=TEXT($B185,"@"))*(PptoSty[PptoVsRow]=$E185)*(PptoSty[PptoVsColumn]=UPPER(Y$114)),0)))</f>
        <v>0</v>
      </c>
      <c r="AA185" s="157" cm="1">
        <f t="array" aca="1" ref="AA185" ca="1">IF(OR($E185="X",$E185="",$E185=0,$B185="X",$B185="",$B185=0),0,SUM(_xlfn._xlws.FILTER(IF($E$4="Ppto",PptoSty[CurPpto],PptoSty[CurInt]),(IF($E$4="Ppto",PptoSty[POvsCT]=AA$113,TRUE))*(PptoSty[Project]=TEXT($B185,"@"))*(PptoSty[PptoVsRow]=$E185)*(PptoSty[PptoVsColumn]=UPPER(AA$114)),0)))</f>
        <v>0</v>
      </c>
      <c r="AB185" s="157" cm="1">
        <f t="array" aca="1" ref="AB185" ca="1">IF(OR($E185="X",$E185="",$E185=0,$B185="X",$B185="",$B185=0),0,SUM(_xlfn._xlws.FILTER(IF($E$4="Ppto",PptoSty[CurPpto],PptoSty[CurExt]),(IF($E$4="Ppto",PptoSty[POvsCT]=AB$113,TRUE))*(PptoSty[Project]=TEXT($B185,"@"))*(PptoSty[PptoVsRow]=$E185)*(PptoSty[PptoVsColumn]=UPPER(AA$114)),0)))</f>
        <v>0</v>
      </c>
      <c r="AC185" s="157" cm="1">
        <f t="array" aca="1" ref="AC185" ca="1">IF(OR($E185="X",$E185="",$E185=0,$B185="X",$B185="",$B185=0),0,SUM(_xlfn._xlws.FILTER(IF($E$4="Ppto",PptoSty[CurPpto],PptoSty[CurInt]),(IF($E$4="Ppto",PptoSty[POvsCT]=AC$113,TRUE))*(PptoSty[Project]=TEXT($B185,"@"))*(PptoSty[PptoVsRow]=$E185)*(PptoSty[PptoVsColumn]=UPPER(AC$114)),0)))</f>
        <v>0</v>
      </c>
      <c r="AD185" s="157" cm="1">
        <f t="array" aca="1" ref="AD185" ca="1">IF(OR($E185="X",$E185="",$E185=0,$B185="X",$B185="",$B185=0),0,SUM(_xlfn._xlws.FILTER(IF($E$4="Ppto",PptoSty[CurPpto],PptoSty[CurExt]),(IF($E$4="Ppto",PptoSty[POvsCT]=AD$113,TRUE))*(PptoSty[Project]=TEXT($B185,"@"))*(PptoSty[PptoVsRow]=$E185)*(PptoSty[PptoVsColumn]=UPPER(AC$114)),0)))</f>
        <v>0</v>
      </c>
      <c r="AE185" s="157" cm="1">
        <f t="array" aca="1" ref="AE185" ca="1">IF(OR($E185="X",$E185="",$E185=0,$B185="X",$B185="",$B185=0),0,SUM(_xlfn._xlws.FILTER(IF($E$4="Ppto",PptoSty[CurPpto],PptoSty[CurInt]),(IF($E$4="Ppto",PptoSty[POvsCT]=AE$113,TRUE))*(PptoSty[Project]=TEXT($B185,"@"))*(PptoSty[PptoVsRow]=$E185)*(PptoSty[PptoVsColumn]=UPPER(AE$114)),0)))</f>
        <v>0</v>
      </c>
      <c r="AF185" s="157" cm="1">
        <f t="array" aca="1" ref="AF185" ca="1">IF(OR($E185="X",$E185="",$E185=0,$B185="X",$B185="",$B185=0),0,SUM(_xlfn._xlws.FILTER(IF($E$4="Ppto",PptoSty[CurPpto],PptoSty[CurExt]),(IF($E$4="Ppto",PptoSty[POvsCT]=AF$113,TRUE))*(PptoSty[Project]=TEXT($B185,"@"))*(PptoSty[PptoVsRow]=$E185)*(PptoSty[PptoVsColumn]=UPPER(AE$114)),0)))</f>
        <v>0</v>
      </c>
      <c r="AG185" s="157" cm="1">
        <f t="array" aca="1" ref="AG185" ca="1">IF(OR($E185="X",$E185="",$E185=0,$B185="X",$B185="",$B185=0),0,SUM(_xlfn._xlws.FILTER(IF($E$4="Ppto",PptoSty[CurPpto],PptoSty[CurInt]),(IF($E$4="Ppto",PptoSty[POvsCT]=AG$113,TRUE))*(PptoSty[Project]=TEXT($B185,"@"))*(PptoSty[PptoVsRow]=$E185)*(PptoSty[PptoVsColumn]=UPPER(AG$114)),0)))</f>
        <v>0</v>
      </c>
      <c r="AH185" s="157" cm="1">
        <f t="array" aca="1" ref="AH185" ca="1">IF(OR($E185="X",$E185="",$E185=0,$B185="X",$B185="",$B185=0),0,SUM(_xlfn._xlws.FILTER(IF($E$4="Ppto",PptoSty[CurPpto],PptoSty[CurExt]),(IF($E$4="Ppto",PptoSty[POvsCT]=AH$113,TRUE))*(PptoSty[Project]=TEXT($B185,"@"))*(PptoSty[PptoVsRow]=$E185)*(PptoSty[PptoVsColumn]=UPPER(AG$114)),0)))</f>
        <v>0</v>
      </c>
      <c r="AI185" s="157" cm="1">
        <f t="array" aca="1" ref="AI185" ca="1">IF(OR($E185="X",$E185="",$E185=0,$B185="X",$B185="",$B185=0),0,SUM(_xlfn._xlws.FILTER(IF($E$4="Ppto",PptoSty[CurPpto],PptoSty[CurInt]),(IF($E$4="Ppto",PptoSty[POvsCT]=AI$113,TRUE))*(PptoSty[Project]=TEXT($B185,"@"))*(PptoSty[PptoVsRow]=$E185)*(PptoSty[PptoVsColumn]=UPPER(AI$114)),0)))</f>
        <v>0</v>
      </c>
      <c r="AJ185" s="157" cm="1">
        <f t="array" aca="1" ref="AJ185" ca="1">IF(OR($E185="X",$E185="",$E185=0,$B185="X",$B185="",$B185=0),0,SUM(_xlfn._xlws.FILTER(IF($E$4="Ppto",PptoSty[CurPpto],PptoSty[CurExt]),(IF($E$4="Ppto",PptoSty[POvsCT]=AJ$113,TRUE))*(PptoSty[Project]=TEXT($B185,"@"))*(PptoSty[PptoVsRow]=$E185)*(PptoSty[PptoVsColumn]=UPPER(AI$114)),0)))</f>
        <v>0</v>
      </c>
      <c r="AK185" s="157" cm="1">
        <f t="array" aca="1" ref="AK185" ca="1">IF(OR($E185="X",$E185="",$E185=0,$B185="X",$B185="",$B185=0),0,SUM(_xlfn._xlws.FILTER(IF($E$4="Ppto",PptoSty[CurPpto],PptoSty[CurInt]),(IF($E$4="Ppto",PptoSty[POvsCT]=AK$113,TRUE))*(PptoSty[Project]=TEXT($B185,"@"))*(PptoSty[PptoVsRow]=$E185)*(PptoSty[PptoVsColumn]=UPPER(AK$114)),0)))</f>
        <v>0</v>
      </c>
      <c r="AL185" s="157" cm="1">
        <f t="array" aca="1" ref="AL185" ca="1">IF(OR($E185="X",$E185="",$E185=0,$B185="X",$B185="",$B185=0),0,SUM(_xlfn._xlws.FILTER(IF($E$4="Ppto",PptoSty[CurPpto],PptoSty[CurExt]),(IF($E$4="Ppto",PptoSty[POvsCT]=AL$113,TRUE))*(PptoSty[Project]=TEXT($B185,"@"))*(PptoSty[PptoVsRow]=$E185)*(PptoSty[PptoVsColumn]=UPPER(AK$114)),0)))</f>
        <v>0</v>
      </c>
      <c r="AM185" s="157" cm="1">
        <f t="array" aca="1" ref="AM185" ca="1">IF(OR($E185="X",$E185="",$E185=0,$B185="X",$B185="",$B185=0),0,SUM(_xlfn._xlws.FILTER(IF($E$4="Ppto",PptoSty[CurPpto],PptoSty[CurInt]),(IF($E$4="Ppto",PptoSty[POvsCT]=AM$113,TRUE))*(PptoSty[Project]=TEXT($B185,"@"))*(PptoSty[PptoVsRow]=$E185)*(PptoSty[PptoVsColumn]=UPPER(AM$114)),0)))</f>
        <v>0</v>
      </c>
      <c r="AN185" s="157" cm="1">
        <f t="array" aca="1" ref="AN185" ca="1">IF(OR($E185="X",$E185="",$E185=0,$B185="X",$B185="",$B185=0),0,SUM(_xlfn._xlws.FILTER(IF($E$4="Ppto",PptoSty[CurPpto],PptoSty[CurExt]),(IF($E$4="Ppto",PptoSty[POvsCT]=AN$113,TRUE))*(PptoSty[Project]=TEXT($B185,"@"))*(PptoSty[PptoVsRow]=$E185)*(PptoSty[PptoVsColumn]=UPPER(AM$114)),0)))</f>
        <v>0</v>
      </c>
      <c r="AO185" s="157" cm="1">
        <f t="array" aca="1" ref="AO185" ca="1">IF(OR($E185="X",$E185="",$E185=0,$B185="X",$B185="",$B185=0),0,SUM(_xlfn._xlws.FILTER(IF($E$4="Ppto",PptoSty[CurPpto],PptoSty[CurInt]),(IF($E$4="Ppto",PptoSty[POvsCT]=AO$113,TRUE))*(PptoSty[Project]=TEXT($B185,"@"))*(PptoSty[PptoVsRow]=$E185)*(PptoSty[PptoVsColumn]=UPPER(AO$114)),0)))</f>
        <v>0</v>
      </c>
      <c r="AP185" s="157" cm="1">
        <f t="array" aca="1" ref="AP185" ca="1">IF(OR($E185="X",$E185="",$E185=0,$B185="X",$B185="",$B185=0),0,SUM(_xlfn._xlws.FILTER(IF($E$4="Ppto",PptoSty[CurPpto],PptoSty[CurExt]),(IF($E$4="Ppto",PptoSty[POvsCT]=AP$113,TRUE))*(PptoSty[Project]=TEXT($B185,"@"))*(PptoSty[PptoVsRow]=$E185)*(PptoSty[PptoVsColumn]=UPPER(AO$114)),0)))</f>
        <v>0</v>
      </c>
      <c r="AQ185" s="157" cm="1">
        <f t="array" aca="1" ref="AQ185" ca="1">SUM(IF(INDIRECT($AS$115)=AQ$115,INDIRECT($AS185)))</f>
        <v>0</v>
      </c>
      <c r="AR185" s="157" cm="1">
        <f t="array" aca="1" ref="AR185" ca="1">SUM(IF(INDIRECT($AS$115)=AR$115,INDIRECT($AS185)))</f>
        <v>0</v>
      </c>
      <c r="AS185" s="286" t="str">
        <f t="shared" ca="1" si="16"/>
        <v>G185:AP185</v>
      </c>
      <c r="AT185" s="403">
        <f t="shared" ca="1" si="17"/>
        <v>0</v>
      </c>
      <c r="AV185" s="142" cm="1">
        <f t="array" aca="1" ref="AV185" ca="1">IF(AND(_xlfn.LET(_xlpm.x,SUM(ROW()),OR(AND(MATCH("SOT",$A:$A,0)&lt;_xlpm.x,MATCH("EOT",$A:$A,0)&gt;_xlpm.x),AND(MATCH("SOS",$A:$A,0)&lt;_xlpm.x,MATCH("EOS",$A:$A,0)&gt;_xlpm.x),AND(MATCH("SOR",$A:$A,0)&lt;_xlpm.x,MATCH("EOR",$A:$A,0)&gt;_xlpm.x))),INDIRECT("rc"&amp;MATCH("SCD",$1:$1,0),FALSE)="PPTO"),1,0)</f>
        <v>1</v>
      </c>
      <c r="AW185" s="142" cm="1">
        <f t="array" aca="1" ref="AW18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86" spans="2:49" outlineLevel="1">
      <c r="B186" s="156" t="str" cm="1">
        <f t="array" aca="1" ref="B186:E186" ca="1">_xlfn.LET(_xlpm.x,SUM(ROW()-MATCH("SOR",$A:$A,0)),_xlpm.y,IFERROR(_xlfn.TAKE(INDEX(_xlfn._xlws.FILTER(TbAssign[],ISNUMBER(FIND(TbAssign[Project],$C$4)),"X"),1+QUOTIENT(_xlpm.x,3),0),1,4),0),IF(MOD(_xlpm.x-1,3)=0,IF(_xlpm.y=0,"X",_xlpm.y),INDIRECT("r[-1]c#",FALSE)))</f>
        <v>31200</v>
      </c>
      <c r="C186" s="156" t="str">
        <f ca="1"/>
        <v>XA02</v>
      </c>
      <c r="D186" s="148" t="str">
        <f ca="1"/>
        <v>GSGT</v>
      </c>
      <c r="E186" s="352" t="str">
        <f ca="1"/>
        <v>GASTOS ADUANALES</v>
      </c>
      <c r="F186" s="148" t="s">
        <v>1382</v>
      </c>
      <c r="G186" s="157" cm="1">
        <f t="array" aca="1" ref="G186" ca="1">IF(OR($E186="X",$E186="",$E186=0,$B186="X",$B186="",$B186=0),0,SUM(_xlfn._xlws.FILTER(PrvSty[DsvValue:SERRA],(PrvSty[Project]=TEXT($B186,"@"))*(PrvSty[Row]=$E186)*(PrvSty[Column]=UPPER(G$114)),0)))</f>
        <v>0</v>
      </c>
      <c r="H186" s="157" cm="1">
        <f t="array" aca="1" ref="H186" ca="1">IF(OR($E186="X",$E186="",$E186=0,$B186="X",$B186="",$B186=0),0,SUM(_xlfn._xlws.FILTER(PrvSty[DsvValue:EXT.],(PrvSty[Project]=TEXT($B186,"@"))*(PrvSty[Row]=$E186)*(PrvSty[Column]=UPPER(G$114)),0)))</f>
        <v>0</v>
      </c>
      <c r="I186" s="157" cm="1">
        <f t="array" aca="1" ref="I186" ca="1">IF(OR($E186="X",$E186="",$E186=0,$B186="X",$B186="",$B186=0),0,SUM(_xlfn._xlws.FILTER(PrvSty[DsvValue:SERRA],(PrvSty[Project]=TEXT($B186,"@"))*(PrvSty[Row]=$E186)*(PrvSty[Column]=UPPER(I$114)),0)))</f>
        <v>0</v>
      </c>
      <c r="J186" s="157" cm="1">
        <f t="array" aca="1" ref="J186" ca="1">IF(OR($E186="X",$E186="",$E186=0,$B186="X",$B186="",$B186=0),0,SUM(_xlfn._xlws.FILTER(PrvSty[DsvValue:EXT.],(PrvSty[Project]=TEXT($B186,"@"))*(PrvSty[Row]=$E186)*(PrvSty[Column]=UPPER(I$114)),0)))</f>
        <v>0</v>
      </c>
      <c r="K186" s="157" cm="1">
        <f t="array" aca="1" ref="K186" ca="1">IF(OR($E186="X",$E186="",$E186=0,$B186="X",$B186="",$B186=0),0,SUM(_xlfn._xlws.FILTER(PrvSty[DsvValue:SERRA],(PrvSty[Project]=TEXT($B186,"@"))*(PrvSty[Row]=$E186)*(PrvSty[Column]=UPPER(K$114)),0)))</f>
        <v>0</v>
      </c>
      <c r="L186" s="157" cm="1">
        <f t="array" aca="1" ref="L186" ca="1">IF(OR($E186="X",$E186="",$E186=0,$B186="X",$B186="",$B186=0),0,SUM(_xlfn._xlws.FILTER(PrvSty[DsvValue:EXT.],(PrvSty[Project]=TEXT($B186,"@"))*(PrvSty[Row]=$E186)*(PrvSty[Column]=UPPER(K$114)),0)))</f>
        <v>0</v>
      </c>
      <c r="M186" s="157" cm="1">
        <f t="array" aca="1" ref="M186" ca="1">IF(OR($E186="X",$E186="",$E186=0,$B186="X",$B186="",$B186=0),0,SUM(_xlfn._xlws.FILTER(PrvSty[DsvValue:SERRA],(PrvSty[Project]=TEXT($B186,"@"))*(PrvSty[Row]=$E186)*(PrvSty[Column]=UPPER(M$114)),0)))</f>
        <v>0</v>
      </c>
      <c r="N186" s="157" cm="1">
        <f t="array" aca="1" ref="N186" ca="1">IF(OR($E186="X",$E186="",$E186=0,$B186="X",$B186="",$B186=0),0,SUM(_xlfn._xlws.FILTER(PrvSty[DsvValue:EXT.],(PrvSty[Project]=TEXT($B186,"@"))*(PrvSty[Row]=$E186)*(PrvSty[Column]=UPPER(M$114)),0)))</f>
        <v>0</v>
      </c>
      <c r="O186" s="157" cm="1">
        <f t="array" aca="1" ref="O186" ca="1">IF(OR($E186="X",$E186="",$E186=0,$B186="X",$B186="",$B186=0),0,SUM(_xlfn._xlws.FILTER(PrvSty[DsvValue:SERRA],(PrvSty[Project]=TEXT($B186,"@"))*(PrvSty[Row]=$E186)*(PrvSty[Column]=UPPER(O$114)),0)))</f>
        <v>0</v>
      </c>
      <c r="P186" s="157" cm="1">
        <f t="array" aca="1" ref="P186" ca="1">IF(OR($E186="X",$E186="",$E186=0,$B186="X",$B186="",$B186=0),0,SUM(_xlfn._xlws.FILTER(PrvSty[DsvValue:EXT.],(PrvSty[Project]=TEXT($B186,"@"))*(PrvSty[Row]=$E186)*(PrvSty[Column]=UPPER(O$114)),0)))</f>
        <v>0</v>
      </c>
      <c r="Q186" s="157" cm="1">
        <f t="array" aca="1" ref="Q186" ca="1">IF(OR($E186="X",$E186="",$E186=0,$B186="X",$B186="",$B186=0),0,SUM(_xlfn._xlws.FILTER(PrvSty[DsvValue:SERRA],(PrvSty[Project]=TEXT($B186,"@"))*(PrvSty[Row]=$E186)*(PrvSty[Column]=UPPER(Q$114)),0)))</f>
        <v>0</v>
      </c>
      <c r="R186" s="157" cm="1">
        <f t="array" aca="1" ref="R186" ca="1">IF(OR($E186="X",$E186="",$E186=0,$B186="X",$B186="",$B186=0),0,SUM(_xlfn._xlws.FILTER(PrvSty[DsvValue:EXT.],(PrvSty[Project]=TEXT($B186,"@"))*(PrvSty[Row]=$E186)*(PrvSty[Column]=UPPER(Q$114)),0)))</f>
        <v>0</v>
      </c>
      <c r="S186" s="157" cm="1">
        <f t="array" aca="1" ref="S186" ca="1">IF(OR($E186="X",$E186="",$E186=0,$B186="X",$B186="",$B186=0),0,SUM(_xlfn._xlws.FILTER(PrvSty[DsvValue:SERRA],(PrvSty[Project]=TEXT($B186,"@"))*(PrvSty[Row]=$E186)*(PrvSty[Column]=UPPER(S$114)),0)))</f>
        <v>0</v>
      </c>
      <c r="T186" s="157" cm="1">
        <f t="array" aca="1" ref="T186" ca="1">IF(OR($E186="X",$E186="",$E186=0,$B186="X",$B186="",$B186=0),0,SUM(_xlfn._xlws.FILTER(PrvSty[DsvValue:EXT.],(PrvSty[Project]=TEXT($B186,"@"))*(PrvSty[Row]=$E186)*(PrvSty[Column]=UPPER(S$114)),0)))</f>
        <v>0</v>
      </c>
      <c r="U186" s="157" cm="1">
        <f t="array" aca="1" ref="U186" ca="1">IF(OR($E186="X",$E186="",$E186=0,$B186="X",$B186="",$B186=0),0,SUM(_xlfn._xlws.FILTER(PrvSty[DsvValue:SERRA],(PrvSty[Project]=TEXT($B186,"@"))*(PrvSty[Row]=$E186)*(PrvSty[Column]=UPPER(U$114)),0)))</f>
        <v>0</v>
      </c>
      <c r="V186" s="157" cm="1">
        <f t="array" aca="1" ref="V186" ca="1">IF(OR($E186="X",$E186="",$E186=0,$B186="X",$B186="",$B186=0),0,SUM(_xlfn._xlws.FILTER(PrvSty[DsvValue:EXT.],(PrvSty[Project]=TEXT($B186,"@"))*(PrvSty[Row]=$E186)*(PrvSty[Column]=UPPER(U$114)),0)))</f>
        <v>0</v>
      </c>
      <c r="W186" s="157" cm="1">
        <f t="array" aca="1" ref="W186" ca="1">IF(OR($E186="X",$E186="",$E186=0,$B186="X",$B186="",$B186=0),0,SUM(_xlfn._xlws.FILTER(PrvSty[DsvValue:SERRA],(PrvSty[Project]=TEXT($B186,"@"))*(PrvSty[Row]=$E186)*(PrvSty[Column]=UPPER(W$114)),0)))</f>
        <v>0</v>
      </c>
      <c r="X186" s="157" cm="1">
        <f t="array" aca="1" ref="X186" ca="1">IF(OR($E186="X",$E186="",$E186=0,$B186="X",$B186="",$B186=0),0,SUM(_xlfn._xlws.FILTER(PrvSty[DsvValue:EXT.],(PrvSty[Project]=TEXT($B186,"@"))*(PrvSty[Row]=$E186)*(PrvSty[Column]=UPPER(W$114)),0)))</f>
        <v>0</v>
      </c>
      <c r="Y186" s="157" cm="1">
        <f t="array" aca="1" ref="Y186" ca="1">IF(OR($E186="X",$E186="",$E186=0,$B186="X",$B186="",$B186=0),0,SUM(_xlfn._xlws.FILTER(PrvSty[DsvValue:SERRA],(PrvSty[Project]=TEXT($B186,"@"))*(PrvSty[Row]=$E186)*(PrvSty[Column]=UPPER(Y$114)),0)))</f>
        <v>0</v>
      </c>
      <c r="Z186" s="157" cm="1">
        <f t="array" aca="1" ref="Z186" ca="1">IF(OR($E186="X",$E186="",$E186=0,$B186="X",$B186="",$B186=0),0,SUM(_xlfn._xlws.FILTER(PrvSty[DsvValue:EXT.],(PrvSty[Project]=TEXT($B186,"@"))*(PrvSty[Row]=$E186)*(PrvSty[Column]=UPPER(Y$114)),0)))</f>
        <v>0</v>
      </c>
      <c r="AA186" s="157" cm="1">
        <f t="array" aca="1" ref="AA186" ca="1">IF(OR($E186="X",$E186="",$E186=0,$B186="X",$B186="",$B186=0),0,SUM(_xlfn._xlws.FILTER(PrvSty[DsvValue:SERRA],(PrvSty[Project]=TEXT($B186,"@"))*(PrvSty[Row]=$E186)*(PrvSty[Column]=UPPER(AA$114)),0)))</f>
        <v>0</v>
      </c>
      <c r="AB186" s="157" cm="1">
        <f t="array" aca="1" ref="AB186" ca="1">IF(OR($E186="X",$E186="",$E186=0,$B186="X",$B186="",$B186=0),0,SUM(_xlfn._xlws.FILTER(PrvSty[DsvValue:EXT.],(PrvSty[Project]=TEXT($B186,"@"))*(PrvSty[Row]=$E186)*(PrvSty[Column]=UPPER(AA$114)),0)))</f>
        <v>0</v>
      </c>
      <c r="AC186" s="157" cm="1">
        <f t="array" aca="1" ref="AC186" ca="1">IF(OR($E186="X",$E186="",$E186=0,$B186="X",$B186="",$B186=0),0,SUM(_xlfn._xlws.FILTER(PrvSty[DsvValue:SERRA],(PrvSty[Project]=TEXT($B186,"@"))*(PrvSty[Row]=$E186)*(PrvSty[Column]=UPPER(AC$114)),0)))</f>
        <v>0</v>
      </c>
      <c r="AD186" s="157" cm="1">
        <f t="array" aca="1" ref="AD186" ca="1">IF(OR($E186="X",$E186="",$E186=0,$B186="X",$B186="",$B186=0),0,SUM(_xlfn._xlws.FILTER(PrvSty[DsvValue:EXT.],(PrvSty[Project]=TEXT($B186,"@"))*(PrvSty[Row]=$E186)*(PrvSty[Column]=UPPER(AC$114)),0)))</f>
        <v>0</v>
      </c>
      <c r="AE186" s="157" cm="1">
        <f t="array" aca="1" ref="AE186" ca="1">IF(OR($E186="X",$E186="",$E186=0,$B186="X",$B186="",$B186=0),0,SUM(_xlfn._xlws.FILTER(PrvSty[DsvValue:SERRA],(PrvSty[Project]=TEXT($B186,"@"))*(PrvSty[Row]=$E186)*(PrvSty[Column]=UPPER(AE$114)),0)))</f>
        <v>0</v>
      </c>
      <c r="AF186" s="157" cm="1">
        <f t="array" aca="1" ref="AF186" ca="1">IF(OR($E186="X",$E186="",$E186=0,$B186="X",$B186="",$B186=0),0,SUM(_xlfn._xlws.FILTER(PrvSty[DsvValue:EXT.],(PrvSty[Project]=TEXT($B186,"@"))*(PrvSty[Row]=$E186)*(PrvSty[Column]=UPPER(AE$114)),0)))</f>
        <v>0</v>
      </c>
      <c r="AG186" s="157" cm="1">
        <f t="array" aca="1" ref="AG186" ca="1">IF(OR($E186="X",$E186="",$E186=0,$B186="X",$B186="",$B186=0),0,SUM(_xlfn._xlws.FILTER(PrvSty[DsvValue:SERRA],(PrvSty[Project]=TEXT($B186,"@"))*(PrvSty[Row]=$E186)*(PrvSty[Column]=UPPER(AG$114)),0)))</f>
        <v>0</v>
      </c>
      <c r="AH186" s="157" cm="1">
        <f t="array" aca="1" ref="AH186" ca="1">IF(OR($E186="X",$E186="",$E186=0,$B186="X",$B186="",$B186=0),0,SUM(_xlfn._xlws.FILTER(PrvSty[DsvValue:EXT.],(PrvSty[Project]=TEXT($B186,"@"))*(PrvSty[Row]=$E186)*(PrvSty[Column]=UPPER(AG$114)),0)))</f>
        <v>0</v>
      </c>
      <c r="AI186" s="157" cm="1">
        <f t="array" aca="1" ref="AI186" ca="1">IF(OR($E186="X",$E186="",$E186=0,$B186="X",$B186="",$B186=0),0,SUM(_xlfn._xlws.FILTER(PrvSty[DsvValue:SERRA],(PrvSty[Project]=TEXT($B186,"@"))*(PrvSty[Row]=$E186)*(PrvSty[Column]=UPPER(AI$114)),0)))</f>
        <v>0</v>
      </c>
      <c r="AJ186" s="157" cm="1">
        <f t="array" aca="1" ref="AJ186" ca="1">IF(OR($E186="X",$E186="",$E186=0,$B186="X",$B186="",$B186=0),0,SUM(_xlfn._xlws.FILTER(PrvSty[DsvValue:EXT.],(PrvSty[Project]=TEXT($B186,"@"))*(PrvSty[Row]=$E186)*(PrvSty[Column]=UPPER(AI$114)),0)))</f>
        <v>0</v>
      </c>
      <c r="AK186" s="157" cm="1">
        <f t="array" aca="1" ref="AK186" ca="1">IF(OR($E186="X",$E186="",$E186=0,$B186="X",$B186="",$B186=0),0,SUM(_xlfn._xlws.FILTER(PrvSty[DsvValue:SERRA],(PrvSty[Project]=TEXT($B186,"@"))*(PrvSty[Row]=$E186)*(PrvSty[Column]=UPPER(AK$114)),0)))</f>
        <v>0</v>
      </c>
      <c r="AL186" s="157" cm="1">
        <f t="array" aca="1" ref="AL186" ca="1">IF(OR($E186="X",$E186="",$E186=0,$B186="X",$B186="",$B186=0),0,SUM(_xlfn._xlws.FILTER(PrvSty[DsvValue:EXT.],(PrvSty[Project]=TEXT($B186,"@"))*(PrvSty[Row]=$E186)*(PrvSty[Column]=UPPER(AK$114)),0)))</f>
        <v>0</v>
      </c>
      <c r="AM186" s="157" cm="1">
        <f t="array" aca="1" ref="AM186" ca="1">IF(OR($E186="X",$E186="",$E186=0,$B186="X",$B186="",$B186=0),0,SUM(_xlfn._xlws.FILTER(PrvSty[DsvValue:SERRA],(PrvSty[Project]=TEXT($B186,"@"))*(PrvSty[Row]=$E186)*(PrvSty[Column]=UPPER(AM$114)),0)))</f>
        <v>0</v>
      </c>
      <c r="AN186" s="157" cm="1">
        <f t="array" aca="1" ref="AN186" ca="1">IF(OR($E186="X",$E186="",$E186=0,$B186="X",$B186="",$B186=0),0,SUM(_xlfn._xlws.FILTER(PrvSty[DsvValue:EXT.],(PrvSty[Project]=TEXT($B186,"@"))*(PrvSty[Row]=$E186)*(PrvSty[Column]=UPPER(AM$114)),0)))</f>
        <v>0</v>
      </c>
      <c r="AO186" s="157" cm="1">
        <f t="array" aca="1" ref="AO186" ca="1">IF(OR($E186="X",$E186="",$E186=0,$B186="X",$B186="",$B186=0),0,SUM(_xlfn._xlws.FILTER(PrvSty[DsvValue:SERRA],(PrvSty[Project]=TEXT($B186,"@"))*(PrvSty[Row]=$E186)*(PrvSty[Column]=UPPER(AO$114)),0)))</f>
        <v>58825.090000000011</v>
      </c>
      <c r="AP186" s="157" cm="1">
        <f t="array" aca="1" ref="AP186" ca="1">IF(OR($E186="X",$E186="",$E186=0,$B186="X",$B186="",$B186=0),0,SUM(_xlfn._xlws.FILTER(PrvSty[DsvValue:EXT.],(PrvSty[Project]=TEXT($B186,"@"))*(PrvSty[Row]=$E186)*(PrvSty[Column]=UPPER(AO$114)),0)))</f>
        <v>0</v>
      </c>
      <c r="AQ186" s="157" cm="1">
        <f t="array" aca="1" ref="AQ186" ca="1">SUM(IF(INDIRECT($AS$115)=AQ$115,INDIRECT($AS186)))</f>
        <v>58825.090000000011</v>
      </c>
      <c r="AR186" s="157" cm="1">
        <f t="array" aca="1" ref="AR186" ca="1">SUM(IF(INDIRECT($AS$115)=AR$115,INDIRECT($AS186)))</f>
        <v>0</v>
      </c>
      <c r="AS186" s="286" t="str">
        <f t="shared" ca="1" si="16"/>
        <v>G186:AP186</v>
      </c>
      <c r="AT186" s="403">
        <f t="shared" ca="1" si="17"/>
        <v>58825.090000000011</v>
      </c>
      <c r="AV186" s="142" cm="1">
        <f t="array" aca="1" ref="AV186" ca="1">IF(AND(_xlfn.LET(_xlpm.x,SUM(ROW()),OR(AND(MATCH("SOT",$A:$A,0)&lt;_xlpm.x,MATCH("EOT",$A:$A,0)&gt;_xlpm.x),AND(MATCH("SOS",$A:$A,0)&lt;_xlpm.x,MATCH("EOS",$A:$A,0)&gt;_xlpm.x),AND(MATCH("SOR",$A:$A,0)&lt;_xlpm.x,MATCH("EOR",$A:$A,0)&gt;_xlpm.x))),INDIRECT("rc"&amp;MATCH("SCD",$1:$1,0),FALSE)="PPTO"),1,0)</f>
        <v>0</v>
      </c>
      <c r="AW186" s="142" cm="1">
        <f t="array" aca="1" ref="AW18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87" spans="2:49" outlineLevel="1">
      <c r="B187" s="156" t="str" cm="1">
        <f t="array" aca="1" ref="B187:E187" ca="1">_xlfn.LET(_xlpm.x,SUM(ROW()-MATCH("SOR",$A:$A,0)),_xlpm.y,IFERROR(_xlfn.TAKE(INDEX(_xlfn._xlws.FILTER(TbAssign[],ISNUMBER(FIND(TbAssign[Project],$C$4)),"X"),1+QUOTIENT(_xlpm.x,3),0),1,4),0),IF(MOD(_xlpm.x-1,3)=0,IF(_xlpm.y=0,"X",_xlpm.y),INDIRECT("r[-1]c#",FALSE)))</f>
        <v>31200</v>
      </c>
      <c r="C187" s="156" t="str">
        <f ca="1"/>
        <v>XA02</v>
      </c>
      <c r="D187" s="148" t="str">
        <f ca="1"/>
        <v>GSGT</v>
      </c>
      <c r="E187" s="352" t="str">
        <f ca="1"/>
        <v>GASTOS ADUANALES</v>
      </c>
      <c r="F187" s="148" t="s">
        <v>1383</v>
      </c>
      <c r="G187" s="158" cm="1">
        <f t="array" aca="1" ref="G187" ca="1">IF(OR($E187="X",$E187="",$E187=0,$B187="X",$B187="",$B187=0),0,SUM(_xlfn._xlws.FILTER(FrmBB1[Cur],(FrmBB1[PrjId]=TEXT($B187,"@"))*(FrmBB1[Row]=$E187)*(FrmBB1[Column]=UPPER(_xlfn.LET(_xlpm.x,_xlfn.TEXTBEFORE(G$114," ("),IFERROR(_xlpm.x,G$114)))&amp;" "&amp;G$115),0)))</f>
        <v>0</v>
      </c>
      <c r="H187" s="157" cm="1">
        <f t="array" aca="1" ref="H187" ca="1">IF(OR($E187="X",$E187="",$E187=0,$B187="X",$B187="",$B187=0),0,SUM(_xlfn._xlws.FILTER(FrmBB1[Cur],(FrmBB1[PrjId]=TEXT($B187,"@"))*(FrmBB1[Row]=$E187)*(FrmBB1[Column]=UPPER(_xlfn.LET(_xlpm.x,_xlfn.TEXTBEFORE(G$114," ("),IFERROR(_xlpm.x,G$114)))&amp;" "&amp;H$115),0)))</f>
        <v>0</v>
      </c>
      <c r="I187" s="158" cm="1">
        <f t="array" aca="1" ref="I187" ca="1">IF(OR($E187="X",$E187="",$E187=0,$B187="X",$B187="",$B187=0),0,SUM(_xlfn._xlws.FILTER(FrmBB1[Cur],(FrmBB1[PrjId]=TEXT($B187,"@"))*(FrmBB1[Row]=$E187)*(FrmBB1[Column]=UPPER(_xlfn.LET(_xlpm.x,_xlfn.TEXTBEFORE(I$114," ("),IFERROR(_xlpm.x,I$114)))&amp;" "&amp;I$115),0)))</f>
        <v>0</v>
      </c>
      <c r="J187" s="157" cm="1">
        <f t="array" aca="1" ref="J187" ca="1">IF(OR($E187="X",$E187="",$E187=0,$B187="X",$B187="",$B187=0),0,SUM(_xlfn._xlws.FILTER(FrmBB1[Cur],(FrmBB1[PrjId]=TEXT($B187,"@"))*(FrmBB1[Row]=$E187)*(FrmBB1[Column]=UPPER(_xlfn.LET(_xlpm.x,_xlfn.TEXTBEFORE(I$114," ("),IFERROR(_xlpm.x,I$114)))&amp;" "&amp;J$115),0)))</f>
        <v>0</v>
      </c>
      <c r="K187" s="158" cm="1">
        <f t="array" aca="1" ref="K187" ca="1">IF(OR($E187="X",$E187="",$E187=0,$B187="X",$B187="",$B187=0),0,SUM(_xlfn._xlws.FILTER(FrmBB1[Cur],(FrmBB1[PrjId]=TEXT($B187,"@"))*(FrmBB1[Row]=$E187)*(FrmBB1[Column]=UPPER(_xlfn.LET(_xlpm.x,_xlfn.TEXTBEFORE(K$114," ("),IFERROR(_xlpm.x,K$114)))&amp;" "&amp;K$115),0)))</f>
        <v>0</v>
      </c>
      <c r="L187" s="157" cm="1">
        <f t="array" aca="1" ref="L187" ca="1">IF(OR($E187="X",$E187="",$E187=0,$B187="X",$B187="",$B187=0),0,SUM(_xlfn._xlws.FILTER(FrmBB1[Cur],(FrmBB1[PrjId]=TEXT($B187,"@"))*(FrmBB1[Row]=$E187)*(FrmBB1[Column]=UPPER(_xlfn.LET(_xlpm.x,_xlfn.TEXTBEFORE(K$114," ("),IFERROR(_xlpm.x,K$114)))&amp;" "&amp;L$115),0)))</f>
        <v>0</v>
      </c>
      <c r="M187" s="158" cm="1">
        <f t="array" aca="1" ref="M187" ca="1">IF(OR($E187="X",$E187="",$E187=0,$B187="X",$B187="",$B187=0),0,SUM(_xlfn._xlws.FILTER(FrmBB1[Cur],(FrmBB1[PrjId]=TEXT($B187,"@"))*(FrmBB1[Row]=$E187)*(FrmBB1[Column]=UPPER(_xlfn.LET(_xlpm.x,_xlfn.TEXTBEFORE(M$114," ("),IFERROR(_xlpm.x,M$114)))&amp;" "&amp;M$115),0)))</f>
        <v>0</v>
      </c>
      <c r="N187" s="157" cm="1">
        <f t="array" aca="1" ref="N187" ca="1">IF(OR($E187="X",$E187="",$E187=0,$B187="X",$B187="",$B187=0),0,SUM(_xlfn._xlws.FILTER(FrmBB1[Cur],(FrmBB1[PrjId]=TEXT($B187,"@"))*(FrmBB1[Row]=$E187)*(FrmBB1[Column]=UPPER(_xlfn.LET(_xlpm.x,_xlfn.TEXTBEFORE(M$114," ("),IFERROR(_xlpm.x,M$114)))&amp;" "&amp;N$115),0)))</f>
        <v>0</v>
      </c>
      <c r="O187" s="158" cm="1">
        <f t="array" aca="1" ref="O187" ca="1">IF(OR($E187="X",$E187="",$E187=0,$B187="X",$B187="",$B187=0),0,SUM(_xlfn._xlws.FILTER(FrmBB1[Cur],(FrmBB1[PrjId]=TEXT($B187,"@"))*(FrmBB1[Row]=$E187)*(FrmBB1[Column]=UPPER(_xlfn.LET(_xlpm.x,_xlfn.TEXTBEFORE(O$114," ("),IFERROR(_xlpm.x,O$114)))&amp;" "&amp;O$115),0)))</f>
        <v>0</v>
      </c>
      <c r="P187" s="157" cm="1">
        <f t="array" aca="1" ref="P187" ca="1">IF(OR($E187="X",$E187="",$E187=0,$B187="X",$B187="",$B187=0),0,SUM(_xlfn._xlws.FILTER(FrmBB1[Cur],(FrmBB1[PrjId]=TEXT($B187,"@"))*(FrmBB1[Row]=$E187)*(FrmBB1[Column]=UPPER(_xlfn.LET(_xlpm.x,_xlfn.TEXTBEFORE(O$114," ("),IFERROR(_xlpm.x,O$114)))&amp;" "&amp;P$115),0)))</f>
        <v>0</v>
      </c>
      <c r="Q187" s="158" cm="1">
        <f t="array" aca="1" ref="Q187" ca="1">IF(OR($E187="X",$E187="",$E187=0,$B187="X",$B187="",$B187=0),0,SUM(_xlfn._xlws.FILTER(FrmBB1[Cur],(FrmBB1[PrjId]=TEXT($B187,"@"))*(FrmBB1[Row]=$E187)*(FrmBB1[Column]=UPPER(_xlfn.LET(_xlpm.x,_xlfn.TEXTBEFORE(Q$114," ("),IFERROR(_xlpm.x,Q$114)))&amp;" "&amp;Q$115),0)))</f>
        <v>0</v>
      </c>
      <c r="R187" s="157" cm="1">
        <f t="array" aca="1" ref="R187" ca="1">IF(OR($E187="X",$E187="",$E187=0,$B187="X",$B187="",$B187=0),0,SUM(_xlfn._xlws.FILTER(FrmBB1[Cur],(FrmBB1[PrjId]=TEXT($B187,"@"))*(FrmBB1[Row]=$E187)*(FrmBB1[Column]=UPPER(_xlfn.LET(_xlpm.x,_xlfn.TEXTBEFORE(Q$114," ("),IFERROR(_xlpm.x,Q$114)))&amp;" "&amp;R$115),0)))</f>
        <v>0</v>
      </c>
      <c r="S187" s="158" cm="1">
        <f t="array" aca="1" ref="S187" ca="1">IF(OR($E187="X",$E187="",$E187=0,$B187="X",$B187="",$B187=0),0,SUM(_xlfn._xlws.FILTER(FrmBB1[Cur],(FrmBB1[PrjId]=TEXT($B187,"@"))*(FrmBB1[Row]=$E187)*(FrmBB1[Column]=UPPER(_xlfn.LET(_xlpm.x,_xlfn.TEXTBEFORE(S$114," ("),IFERROR(_xlpm.x,S$114)))&amp;" "&amp;S$115),0)))</f>
        <v>0</v>
      </c>
      <c r="T187" s="157" cm="1">
        <f t="array" aca="1" ref="T187" ca="1">IF(OR($E187="X",$E187="",$E187=0,$B187="X",$B187="",$B187=0),0,SUM(_xlfn._xlws.FILTER(FrmBB1[Cur],(FrmBB1[PrjId]=TEXT($B187,"@"))*(FrmBB1[Row]=$E187)*(FrmBB1[Column]=UPPER(_xlfn.LET(_xlpm.x,_xlfn.TEXTBEFORE(S$114," ("),IFERROR(_xlpm.x,S$114)))&amp;" "&amp;T$115),0)))</f>
        <v>0</v>
      </c>
      <c r="U187" s="158" cm="1">
        <f t="array" aca="1" ref="U187" ca="1">IF(OR($E187="X",$E187="",$E187=0,$B187="X",$B187="",$B187=0),0,SUM(_xlfn._xlws.FILTER(FrmBB1[Cur],(FrmBB1[PrjId]=TEXT($B187,"@"))*(FrmBB1[Row]=$E187)*(FrmBB1[Column]=UPPER(_xlfn.LET(_xlpm.x,_xlfn.TEXTBEFORE(U$114," ("),IFERROR(_xlpm.x,U$114)))&amp;" "&amp;U$115),0)))</f>
        <v>0</v>
      </c>
      <c r="V187" s="157" cm="1">
        <f t="array" aca="1" ref="V187" ca="1">IF(OR($E187="X",$E187="",$E187=0,$B187="X",$B187="",$B187=0),0,SUM(_xlfn._xlws.FILTER(FrmBB1[Cur],(FrmBB1[PrjId]=TEXT($B187,"@"))*(FrmBB1[Row]=$E187)*(FrmBB1[Column]=UPPER(_xlfn.LET(_xlpm.x,_xlfn.TEXTBEFORE(U$114," ("),IFERROR(_xlpm.x,U$114)))&amp;" "&amp;V$115),0)))</f>
        <v>0</v>
      </c>
      <c r="W187" s="158" cm="1">
        <f t="array" aca="1" ref="W187" ca="1">IF(OR($E187="X",$E187="",$E187=0,$B187="X",$B187="",$B187=0),0,SUM(_xlfn._xlws.FILTER(FrmBB1[Cur],(FrmBB1[PrjId]=TEXT($B187,"@"))*(FrmBB1[Row]=$E187)*(FrmBB1[Column]=UPPER(_xlfn.LET(_xlpm.x,_xlfn.TEXTBEFORE(W$114," ("),IFERROR(_xlpm.x,W$114)))&amp;" "&amp;W$115),0)))</f>
        <v>0</v>
      </c>
      <c r="X187" s="157" cm="1">
        <f t="array" aca="1" ref="X187" ca="1">IF(OR($E187="X",$E187="",$E187=0,$B187="X",$B187="",$B187=0),0,SUM(_xlfn._xlws.FILTER(FrmBB1[Cur],(FrmBB1[PrjId]=TEXT($B187,"@"))*(FrmBB1[Row]=$E187)*(FrmBB1[Column]=UPPER(_xlfn.LET(_xlpm.x,_xlfn.TEXTBEFORE(W$114," ("),IFERROR(_xlpm.x,W$114)))&amp;" "&amp;X$115),0)))</f>
        <v>0</v>
      </c>
      <c r="Y187" s="158" cm="1">
        <f t="array" aca="1" ref="Y187" ca="1">IF(OR($E187="X",$E187="",$E187=0,$B187="X",$B187="",$B187=0),0,SUM(_xlfn._xlws.FILTER(FrmBB1[Cur],(FrmBB1[PrjId]=TEXT($B187,"@"))*(FrmBB1[Row]=$E187)*(FrmBB1[Column]=UPPER(_xlfn.LET(_xlpm.x,_xlfn.TEXTBEFORE(Y$114," ("),IFERROR(_xlpm.x,Y$114)))&amp;" "&amp;Y$115),0)))</f>
        <v>0</v>
      </c>
      <c r="Z187" s="157" cm="1">
        <f t="array" aca="1" ref="Z187" ca="1">IF(OR($E187="X",$E187="",$E187=0,$B187="X",$B187="",$B187=0),0,SUM(_xlfn._xlws.FILTER(FrmBB1[Cur],(FrmBB1[PrjId]=TEXT($B187,"@"))*(FrmBB1[Row]=$E187)*(FrmBB1[Column]=UPPER(_xlfn.LET(_xlpm.x,_xlfn.TEXTBEFORE(Y$114," ("),IFERROR(_xlpm.x,Y$114)))&amp;" "&amp;Z$115),0)))</f>
        <v>0</v>
      </c>
      <c r="AA187" s="158" cm="1">
        <f t="array" aca="1" ref="AA187" ca="1">IF(OR($E187="X",$E187="",$E187=0,$B187="X",$B187="",$B187=0),0,SUM(_xlfn._xlws.FILTER(FrmBB1[Cur],(FrmBB1[PrjId]=TEXT($B187,"@"))*(FrmBB1[Row]=$E187)*(FrmBB1[Column]=UPPER(_xlfn.LET(_xlpm.x,_xlfn.TEXTBEFORE(AA$114," ("),IFERROR(_xlpm.x,AA$114)))&amp;" "&amp;AA$115),0)))</f>
        <v>0</v>
      </c>
      <c r="AB187" s="157" cm="1">
        <f t="array" aca="1" ref="AB187" ca="1">IF(OR($E187="X",$E187="",$E187=0,$B187="X",$B187="",$B187=0),0,SUM(_xlfn._xlws.FILTER(FrmBB1[Cur],(FrmBB1[PrjId]=TEXT($B187,"@"))*(FrmBB1[Row]=$E187)*(FrmBB1[Column]=UPPER(_xlfn.LET(_xlpm.x,_xlfn.TEXTBEFORE(AA$114," ("),IFERROR(_xlpm.x,AA$114)))&amp;" "&amp;AB$115),0)))</f>
        <v>0</v>
      </c>
      <c r="AC187" s="158" cm="1">
        <f t="array" aca="1" ref="AC187" ca="1">IF(OR($E187="X",$E187="",$E187=0,$B187="X",$B187="",$B187=0),0,SUM(_xlfn._xlws.FILTER(FrmBB1[Cur],(FrmBB1[PrjId]=TEXT($B187,"@"))*(FrmBB1[Row]=$E187)*(FrmBB1[Column]=UPPER(_xlfn.LET(_xlpm.x,_xlfn.TEXTBEFORE(AC$114," ("),IFERROR(_xlpm.x,AC$114)))&amp;" "&amp;AC$115),0)))</f>
        <v>0</v>
      </c>
      <c r="AD187" s="157" cm="1">
        <f t="array" aca="1" ref="AD187" ca="1">IF(OR($E187="X",$E187="",$E187=0,$B187="X",$B187="",$B187=0),0,SUM(_xlfn._xlws.FILTER(FrmBB1[Cur],(FrmBB1[PrjId]=TEXT($B187,"@"))*(FrmBB1[Row]=$E187)*(FrmBB1[Column]=UPPER(_xlfn.LET(_xlpm.x,_xlfn.TEXTBEFORE(AC$114," ("),IFERROR(_xlpm.x,AC$114)))&amp;" "&amp;AD$115),0)))</f>
        <v>0</v>
      </c>
      <c r="AE187" s="158" cm="1">
        <f t="array" aca="1" ref="AE187" ca="1">IF(OR($E187="X",$E187="",$E187=0,$B187="X",$B187="",$B187=0),0,SUM(_xlfn._xlws.FILTER(FrmBB1[Cur],(FrmBB1[PrjId]=TEXT($B187,"@"))*(FrmBB1[Row]=$E187)*(FrmBB1[Column]=UPPER(_xlfn.LET(_xlpm.x,_xlfn.TEXTBEFORE(AE$114," ("),IFERROR(_xlpm.x,AE$114)))&amp;" "&amp;AE$115),0)))</f>
        <v>0</v>
      </c>
      <c r="AF187" s="157" cm="1">
        <f t="array" aca="1" ref="AF187" ca="1">IF(OR($E187="X",$E187="",$E187=0,$B187="X",$B187="",$B187=0),0,SUM(_xlfn._xlws.FILTER(FrmBB1[Cur],(FrmBB1[PrjId]=TEXT($B187,"@"))*(FrmBB1[Row]=$E187)*(FrmBB1[Column]=UPPER(_xlfn.LET(_xlpm.x,_xlfn.TEXTBEFORE(AE$114," ("),IFERROR(_xlpm.x,AE$114)))&amp;" "&amp;AF$115),0)))</f>
        <v>0</v>
      </c>
      <c r="AG187" s="158" cm="1">
        <f t="array" aca="1" ref="AG187" ca="1">IF(OR($E187="X",$E187="",$E187=0,$B187="X",$B187="",$B187=0),0,SUM(_xlfn._xlws.FILTER(FrmBB1[Cur],(FrmBB1[PrjId]=TEXT($B187,"@"))*(FrmBB1[Row]=$E187)*(FrmBB1[Column]=UPPER(_xlfn.LET(_xlpm.x,_xlfn.TEXTBEFORE(AG$114," ("),IFERROR(_xlpm.x,AG$114)))&amp;" "&amp;AG$115),0)))</f>
        <v>0</v>
      </c>
      <c r="AH187" s="157" cm="1">
        <f t="array" aca="1" ref="AH187" ca="1">IF(OR($E187="X",$E187="",$E187=0,$B187="X",$B187="",$B187=0),0,SUM(_xlfn._xlws.FILTER(FrmBB1[Cur],(FrmBB1[PrjId]=TEXT($B187,"@"))*(FrmBB1[Row]=$E187)*(FrmBB1[Column]=UPPER(_xlfn.LET(_xlpm.x,_xlfn.TEXTBEFORE(AG$114," ("),IFERROR(_xlpm.x,AG$114)))&amp;" "&amp;AH$115),0)))</f>
        <v>0</v>
      </c>
      <c r="AI187" s="158" cm="1">
        <f t="array" aca="1" ref="AI187" ca="1">IF(OR($E187="X",$E187="",$E187=0,$B187="X",$B187="",$B187=0),0,SUM(_xlfn._xlws.FILTER(FrmBB1[Cur],(FrmBB1[PrjId]=TEXT($B187,"@"))*(FrmBB1[Row]=$E187)*(FrmBB1[Column]=UPPER(_xlfn.LET(_xlpm.x,_xlfn.TEXTBEFORE(AI$114," ("),IFERROR(_xlpm.x,AI$114)))&amp;" "&amp;AI$115),0)))</f>
        <v>0</v>
      </c>
      <c r="AJ187" s="157" cm="1">
        <f t="array" aca="1" ref="AJ187" ca="1">IF(OR($E187="X",$E187="",$E187=0,$B187="X",$B187="",$B187=0),0,SUM(_xlfn._xlws.FILTER(FrmBB1[Cur],(FrmBB1[PrjId]=TEXT($B187,"@"))*(FrmBB1[Row]=$E187)*(FrmBB1[Column]=UPPER(_xlfn.LET(_xlpm.x,_xlfn.TEXTBEFORE(AI$114," ("),IFERROR(_xlpm.x,AI$114)))&amp;" "&amp;AJ$115),0)))</f>
        <v>0</v>
      </c>
      <c r="AK187" s="158" cm="1">
        <f t="array" aca="1" ref="AK187" ca="1">IF(OR($E187="X",$E187="",$E187=0,$B187="X",$B187="",$B187=0),0,SUM(_xlfn._xlws.FILTER(FrmBB1[Cur],(FrmBB1[PrjId]=TEXT($B187,"@"))*(FrmBB1[Row]=$E187)*(FrmBB1[Column]=UPPER(_xlfn.LET(_xlpm.x,_xlfn.TEXTBEFORE(AK$114," ("),IFERROR(_xlpm.x,AK$114)))&amp;" "&amp;AK$115),0)))</f>
        <v>0</v>
      </c>
      <c r="AL187" s="157" cm="1">
        <f t="array" aca="1" ref="AL187" ca="1">IF(OR($E187="X",$E187="",$E187=0,$B187="X",$B187="",$B187=0),0,SUM(_xlfn._xlws.FILTER(FrmBB1[Cur],(FrmBB1[PrjId]=TEXT($B187,"@"))*(FrmBB1[Row]=$E187)*(FrmBB1[Column]=UPPER(_xlfn.LET(_xlpm.x,_xlfn.TEXTBEFORE(AK$114," ("),IFERROR(_xlpm.x,AK$114)))&amp;" "&amp;AL$115),0)))</f>
        <v>0</v>
      </c>
      <c r="AM187" s="158" cm="1">
        <f t="array" aca="1" ref="AM187" ca="1">IF(OR($E187="X",$E187="",$E187=0,$B187="X",$B187="",$B187=0),0,SUM(_xlfn._xlws.FILTER(FrmBB1[Cur],(FrmBB1[PrjId]=TEXT($B187,"@"))*(FrmBB1[Row]=$E187)*(FrmBB1[Column]=UPPER(_xlfn.LET(_xlpm.x,_xlfn.TEXTBEFORE(AM$114," ("),IFERROR(_xlpm.x,AM$114)))&amp;" "&amp;AM$115),0)))</f>
        <v>0</v>
      </c>
      <c r="AN187" s="157" cm="1">
        <f t="array" aca="1" ref="AN187" ca="1">IF(OR($E187="X",$E187="",$E187=0,$B187="X",$B187="",$B187=0),0,SUM(_xlfn._xlws.FILTER(FrmBB1[Cur],(FrmBB1[PrjId]=TEXT($B187,"@"))*(FrmBB1[Row]=$E187)*(FrmBB1[Column]=UPPER(_xlfn.LET(_xlpm.x,_xlfn.TEXTBEFORE(AM$114," ("),IFERROR(_xlpm.x,AM$114)))&amp;" "&amp;AN$115),0)))</f>
        <v>0</v>
      </c>
      <c r="AO187" s="158" cm="1">
        <f t="array" aca="1" ref="AO187" ca="1">IF(OR($E187="X",$E187="",$E187=0,$B187="X",$B187="",$B187=0),0,SUM(_xlfn._xlws.FILTER(FrmBB1[Cur],(FrmBB1[PrjId]=TEXT($B187,"@"))*(FrmBB1[Row]=$E187)*(FrmBB1[Column]=UPPER(_xlfn.LET(_xlpm.x,_xlfn.TEXTBEFORE(AO$114," ("),IFERROR(_xlpm.x,AO$114)))&amp;" "&amp;AO$115),0)))</f>
        <v>58825.090000000011</v>
      </c>
      <c r="AP187" s="157" cm="1">
        <f t="array" aca="1" ref="AP187" ca="1">IF(OR($E187="X",$E187="",$E187=0,$B187="X",$B187="",$B187=0),0,SUM(_xlfn._xlws.FILTER(FrmBB1[Cur],(FrmBB1[PrjId]=TEXT($B187,"@"))*(FrmBB1[Row]=$E187)*(FrmBB1[Column]=UPPER(_xlfn.LET(_xlpm.x,_xlfn.TEXTBEFORE(AO$114," ("),IFERROR(_xlpm.x,AO$114)))&amp;" "&amp;AP$115),0)))</f>
        <v>0</v>
      </c>
      <c r="AQ187" s="157" cm="1">
        <f t="array" aca="1" ref="AQ187" ca="1">SUM(IF(INDIRECT($AS$115)=AQ$115,INDIRECT($AS187)))</f>
        <v>58825.090000000011</v>
      </c>
      <c r="AR187" s="157" cm="1">
        <f t="array" aca="1" ref="AR187" ca="1">SUM(IF(INDIRECT($AS$115)=AR$115,INDIRECT($AS187)))</f>
        <v>0</v>
      </c>
      <c r="AS187" s="286" t="str">
        <f t="shared" ca="1" si="16"/>
        <v>G187:AP187</v>
      </c>
      <c r="AT187" s="403">
        <f t="shared" ca="1" si="17"/>
        <v>58825.090000000011</v>
      </c>
      <c r="AV187" s="142" cm="1">
        <f t="array" aca="1" ref="AV187" ca="1">IF(AND(_xlfn.LET(_xlpm.x,SUM(ROW()),OR(AND(MATCH("SOT",$A:$A,0)&lt;_xlpm.x,MATCH("EOT",$A:$A,0)&gt;_xlpm.x),AND(MATCH("SOS",$A:$A,0)&lt;_xlpm.x,MATCH("EOS",$A:$A,0)&gt;_xlpm.x),AND(MATCH("SOR",$A:$A,0)&lt;_xlpm.x,MATCH("EOR",$A:$A,0)&gt;_xlpm.x))),INDIRECT("rc"&amp;MATCH("SCD",$1:$1,0),FALSE)="PPTO"),1,0)</f>
        <v>0</v>
      </c>
      <c r="AW187" s="142" cm="1">
        <f t="array" aca="1" ref="AW18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88" spans="2:49" outlineLevel="1">
      <c r="B188" s="156" t="str" cm="1">
        <f t="array" aca="1" ref="B188:E188" ca="1">_xlfn.LET(_xlpm.x,SUM(ROW()-MATCH("SOR",$A:$A,0)),_xlpm.y,IFERROR(_xlfn.TAKE(INDEX(_xlfn._xlws.FILTER(TbAssign[],ISNUMBER(FIND(TbAssign[Project],$C$4)),"X"),1+QUOTIENT(_xlpm.x,3),0),1,4),0),IF(MOD(_xlpm.x-1,3)=0,IF(_xlpm.y=0,"X",_xlpm.y),INDIRECT("r[-1]c#",FALSE)))</f>
        <v>31200</v>
      </c>
      <c r="C188" s="156" t="str">
        <f ca="1"/>
        <v>XH01</v>
      </c>
      <c r="D188" s="148" t="str">
        <f ca="1"/>
        <v>CTBA</v>
      </c>
      <c r="E188" s="352" t="str">
        <f ca="1"/>
        <v>CUADRANTE ESTRUCTURADO</v>
      </c>
      <c r="F188" s="148" t="s">
        <v>397</v>
      </c>
      <c r="G188" s="157" cm="1">
        <f t="array" aca="1" ref="G188" ca="1">IF(OR($E188="X",$E188="",$E188=0,$B188="X",$B188="",$B188=0),0,SUM(_xlfn._xlws.FILTER(IF($E$4="Ppto",PptoSty[CurPpto],PptoSty[CurInt]),(IF($E$4="Ppto",PptoSty[POvsCT]=G$113,TRUE))*(PptoSty[Project]=TEXT($B188,"@"))*(PptoSty[PptoVsRow]=$E188)*(PptoSty[PptoVsColumn]=UPPER(G$114)),0)))</f>
        <v>0</v>
      </c>
      <c r="H188" s="157" cm="1">
        <f t="array" aca="1" ref="H188" ca="1">IF(OR($E188="X",$E188="",$E188=0,$B188="X",$B188="",$B188=0),0,SUM(_xlfn._xlws.FILTER(IF($E$4="Ppto",PptoSty[CurPpto],PptoSty[CurExt]),(IF($E$4="Ppto",PptoSty[POvsCT]=H$113,TRUE))*(PptoSty[Project]=TEXT($B188,"@"))*(PptoSty[PptoVsRow]=$E188)*(PptoSty[PptoVsColumn]=UPPER(G$114)),0)))</f>
        <v>0</v>
      </c>
      <c r="I188" s="157" cm="1">
        <f t="array" aca="1" ref="I188" ca="1">IF(OR($E188="X",$E188="",$E188=0,$B188="X",$B188="",$B188=0),0,SUM(_xlfn._xlws.FILTER(IF($E$4="Ppto",PptoSty[CurPpto],PptoSty[CurInt]),(IF($E$4="Ppto",PptoSty[POvsCT]=I$113,TRUE))*(PptoSty[Project]=TEXT($B188,"@"))*(PptoSty[PptoVsRow]=$E188)*(PptoSty[PptoVsColumn]=UPPER(I$114)),0)))</f>
        <v>0</v>
      </c>
      <c r="J188" s="157" cm="1">
        <f t="array" aca="1" ref="J188" ca="1">IF(OR($E188="X",$E188="",$E188=0,$B188="X",$B188="",$B188=0),0,SUM(_xlfn._xlws.FILTER(IF($E$4="Ppto",PptoSty[CurPpto],PptoSty[CurExt]),(IF($E$4="Ppto",PptoSty[POvsCT]=J$113,TRUE))*(PptoSty[Project]=TEXT($B188,"@"))*(PptoSty[PptoVsRow]=$E188)*(PptoSty[PptoVsColumn]=UPPER(I$114)),0)))</f>
        <v>0</v>
      </c>
      <c r="K188" s="157" cm="1">
        <f t="array" aca="1" ref="K188" ca="1">IF(OR($E188="X",$E188="",$E188=0,$B188="X",$B188="",$B188=0),0,SUM(_xlfn._xlws.FILTER(IF($E$4="Ppto",PptoSty[CurPpto],PptoSty[CurInt]),(IF($E$4="Ppto",PptoSty[POvsCT]=K$113,TRUE))*(PptoSty[Project]=TEXT($B188,"@"))*(PptoSty[PptoVsRow]=$E188)*(PptoSty[PptoVsColumn]=UPPER(K$114)),0)))</f>
        <v>0</v>
      </c>
      <c r="L188" s="157" cm="1">
        <f t="array" aca="1" ref="L188" ca="1">IF(OR($E188="X",$E188="",$E188=0,$B188="X",$B188="",$B188=0),0,SUM(_xlfn._xlws.FILTER(IF($E$4="Ppto",PptoSty[CurPpto],PptoSty[CurExt]),(IF($E$4="Ppto",PptoSty[POvsCT]=L$113,TRUE))*(PptoSty[Project]=TEXT($B188,"@"))*(PptoSty[PptoVsRow]=$E188)*(PptoSty[PptoVsColumn]=UPPER(K$114)),0)))</f>
        <v>0</v>
      </c>
      <c r="M188" s="157" cm="1">
        <f t="array" aca="1" ref="M188" ca="1">IF(OR($E188="X",$E188="",$E188=0,$B188="X",$B188="",$B188=0),0,SUM(_xlfn._xlws.FILTER(IF($E$4="Ppto",PptoSty[CurPpto],PptoSty[CurInt]),(IF($E$4="Ppto",PptoSty[POvsCT]=M$113,TRUE))*(PptoSty[Project]=TEXT($B188,"@"))*(PptoSty[PptoVsRow]=$E188)*(PptoSty[PptoVsColumn]=UPPER(M$114)),0)))</f>
        <v>0</v>
      </c>
      <c r="N188" s="157" cm="1">
        <f t="array" aca="1" ref="N188" ca="1">IF(OR($E188="X",$E188="",$E188=0,$B188="X",$B188="",$B188=0),0,SUM(_xlfn._xlws.FILTER(IF($E$4="Ppto",PptoSty[CurPpto],PptoSty[CurExt]),(IF($E$4="Ppto",PptoSty[POvsCT]=N$113,TRUE))*(PptoSty[Project]=TEXT($B188,"@"))*(PptoSty[PptoVsRow]=$E188)*(PptoSty[PptoVsColumn]=UPPER(M$114)),0)))</f>
        <v>0</v>
      </c>
      <c r="O188" s="157" cm="1">
        <f t="array" aca="1" ref="O188" ca="1">IF(OR($E188="X",$E188="",$E188=0,$B188="X",$B188="",$B188=0),0,SUM(_xlfn._xlws.FILTER(IF($E$4="Ppto",PptoSty[CurPpto],PptoSty[CurInt]),(IF($E$4="Ppto",PptoSty[POvsCT]=O$113,TRUE))*(PptoSty[Project]=TEXT($B188,"@"))*(PptoSty[PptoVsRow]=$E188)*(PptoSty[PptoVsColumn]=UPPER(O$114)),0)))</f>
        <v>0</v>
      </c>
      <c r="P188" s="157" cm="1">
        <f t="array" aca="1" ref="P188" ca="1">IF(OR($E188="X",$E188="",$E188=0,$B188="X",$B188="",$B188=0),0,SUM(_xlfn._xlws.FILTER(IF($E$4="Ppto",PptoSty[CurPpto],PptoSty[CurExt]),(IF($E$4="Ppto",PptoSty[POvsCT]=P$113,TRUE))*(PptoSty[Project]=TEXT($B188,"@"))*(PptoSty[PptoVsRow]=$E188)*(PptoSty[PptoVsColumn]=UPPER(O$114)),0)))</f>
        <v>0</v>
      </c>
      <c r="Q188" s="157" cm="1">
        <f t="array" aca="1" ref="Q188" ca="1">IF(OR($E188="X",$E188="",$E188=0,$B188="X",$B188="",$B188=0),0,SUM(_xlfn._xlws.FILTER(IF($E$4="Ppto",PptoSty[CurPpto],PptoSty[CurInt]),(IF($E$4="Ppto",PptoSty[POvsCT]=Q$113,TRUE))*(PptoSty[Project]=TEXT($B188,"@"))*(PptoSty[PptoVsRow]=$E188)*(PptoSty[PptoVsColumn]=UPPER(Q$114)),0)))</f>
        <v>0</v>
      </c>
      <c r="R188" s="157" cm="1">
        <f t="array" aca="1" ref="R188" ca="1">IF(OR($E188="X",$E188="",$E188=0,$B188="X",$B188="",$B188=0),0,SUM(_xlfn._xlws.FILTER(IF($E$4="Ppto",PptoSty[CurPpto],PptoSty[CurExt]),(IF($E$4="Ppto",PptoSty[POvsCT]=R$113,TRUE))*(PptoSty[Project]=TEXT($B188,"@"))*(PptoSty[PptoVsRow]=$E188)*(PptoSty[PptoVsColumn]=UPPER(Q$114)),0)))</f>
        <v>0</v>
      </c>
      <c r="S188" s="157" cm="1">
        <f t="array" aca="1" ref="S188" ca="1">IF(OR($E188="X",$E188="",$E188=0,$B188="X",$B188="",$B188=0),0,SUM(_xlfn._xlws.FILTER(IF($E$4="Ppto",PptoSty[CurPpto],PptoSty[CurInt]),(IF($E$4="Ppto",PptoSty[POvsCT]=S$113,TRUE))*(PptoSty[Project]=TEXT($B188,"@"))*(PptoSty[PptoVsRow]=$E188)*(PptoSty[PptoVsColumn]=UPPER(S$114)),0)))</f>
        <v>0</v>
      </c>
      <c r="T188" s="157" cm="1">
        <f t="array" aca="1" ref="T188" ca="1">IF(OR($E188="X",$E188="",$E188=0,$B188="X",$B188="",$B188=0),0,SUM(_xlfn._xlws.FILTER(IF($E$4="Ppto",PptoSty[CurPpto],PptoSty[CurExt]),(IF($E$4="Ppto",PptoSty[POvsCT]=T$113,TRUE))*(PptoSty[Project]=TEXT($B188,"@"))*(PptoSty[PptoVsRow]=$E188)*(PptoSty[PptoVsColumn]=UPPER(S$114)),0)))</f>
        <v>0</v>
      </c>
      <c r="U188" s="157" cm="1">
        <f t="array" aca="1" ref="U188" ca="1">IF(OR($E188="X",$E188="",$E188=0,$B188="X",$B188="",$B188=0),0,SUM(_xlfn._xlws.FILTER(IF($E$4="Ppto",PptoSty[CurPpto],PptoSty[CurInt]),(IF($E$4="Ppto",PptoSty[POvsCT]=U$113,TRUE))*(PptoSty[Project]=TEXT($B188,"@"))*(PptoSty[PptoVsRow]=$E188)*(PptoSty[PptoVsColumn]=UPPER(U$114)),0)))</f>
        <v>0</v>
      </c>
      <c r="V188" s="157" cm="1">
        <f t="array" aca="1" ref="V188" ca="1">IF(OR($E188="X",$E188="",$E188=0,$B188="X",$B188="",$B188=0),0,SUM(_xlfn._xlws.FILTER(IF($E$4="Ppto",PptoSty[CurPpto],PptoSty[CurExt]),(IF($E$4="Ppto",PptoSty[POvsCT]=V$113,TRUE))*(PptoSty[Project]=TEXT($B188,"@"))*(PptoSty[PptoVsRow]=$E188)*(PptoSty[PptoVsColumn]=UPPER(U$114)),0)))</f>
        <v>0</v>
      </c>
      <c r="W188" s="157" cm="1">
        <f t="array" aca="1" ref="W188" ca="1">IF(OR($E188="X",$E188="",$E188=0,$B188="X",$B188="",$B188=0),0,SUM(_xlfn._xlws.FILTER(IF($E$4="Ppto",PptoSty[CurPpto],PptoSty[CurInt]),(IF($E$4="Ppto",PptoSty[POvsCT]=W$113,TRUE))*(PptoSty[Project]=TEXT($B188,"@"))*(PptoSty[PptoVsRow]=$E188)*(PptoSty[PptoVsColumn]=UPPER(W$114)),0)))</f>
        <v>0</v>
      </c>
      <c r="X188" s="157" cm="1">
        <f t="array" aca="1" ref="X188" ca="1">IF(OR($E188="X",$E188="",$E188=0,$B188="X",$B188="",$B188=0),0,SUM(_xlfn._xlws.FILTER(IF($E$4="Ppto",PptoSty[CurPpto],PptoSty[CurExt]),(IF($E$4="Ppto",PptoSty[POvsCT]=X$113,TRUE))*(PptoSty[Project]=TEXT($B188,"@"))*(PptoSty[PptoVsRow]=$E188)*(PptoSty[PptoVsColumn]=UPPER(W$114)),0)))</f>
        <v>0</v>
      </c>
      <c r="Y188" s="157" cm="1">
        <f t="array" aca="1" ref="Y188" ca="1">IF(OR($E188="X",$E188="",$E188=0,$B188="X",$B188="",$B188=0),0,SUM(_xlfn._xlws.FILTER(IF($E$4="Ppto",PptoSty[CurPpto],PptoSty[CurInt]),(IF($E$4="Ppto",PptoSty[POvsCT]=Y$113,TRUE))*(PptoSty[Project]=TEXT($B188,"@"))*(PptoSty[PptoVsRow]=$E188)*(PptoSty[PptoVsColumn]=UPPER(Y$114)),0)))</f>
        <v>0</v>
      </c>
      <c r="Z188" s="157" cm="1">
        <f t="array" aca="1" ref="Z188" ca="1">IF(OR($E188="X",$E188="",$E188=0,$B188="X",$B188="",$B188=0),0,SUM(_xlfn._xlws.FILTER(IF($E$4="Ppto",PptoSty[CurPpto],PptoSty[CurExt]),(IF($E$4="Ppto",PptoSty[POvsCT]=Z$113,TRUE))*(PptoSty[Project]=TEXT($B188,"@"))*(PptoSty[PptoVsRow]=$E188)*(PptoSty[PptoVsColumn]=UPPER(Y$114)),0)))</f>
        <v>0</v>
      </c>
      <c r="AA188" s="157" cm="1">
        <f t="array" aca="1" ref="AA188" ca="1">IF(OR($E188="X",$E188="",$E188=0,$B188="X",$B188="",$B188=0),0,SUM(_xlfn._xlws.FILTER(IF($E$4="Ppto",PptoSty[CurPpto],PptoSty[CurInt]),(IF($E$4="Ppto",PptoSty[POvsCT]=AA$113,TRUE))*(PptoSty[Project]=TEXT($B188,"@"))*(PptoSty[PptoVsRow]=$E188)*(PptoSty[PptoVsColumn]=UPPER(AA$114)),0)))</f>
        <v>0</v>
      </c>
      <c r="AB188" s="157" cm="1">
        <f t="array" aca="1" ref="AB188" ca="1">IF(OR($E188="X",$E188="",$E188=0,$B188="X",$B188="",$B188=0),0,SUM(_xlfn._xlws.FILTER(IF($E$4="Ppto",PptoSty[CurPpto],PptoSty[CurExt]),(IF($E$4="Ppto",PptoSty[POvsCT]=AB$113,TRUE))*(PptoSty[Project]=TEXT($B188,"@"))*(PptoSty[PptoVsRow]=$E188)*(PptoSty[PptoVsColumn]=UPPER(AA$114)),0)))</f>
        <v>0</v>
      </c>
      <c r="AC188" s="157" cm="1">
        <f t="array" aca="1" ref="AC188" ca="1">IF(OR($E188="X",$E188="",$E188=0,$B188="X",$B188="",$B188=0),0,SUM(_xlfn._xlws.FILTER(IF($E$4="Ppto",PptoSty[CurPpto],PptoSty[CurInt]),(IF($E$4="Ppto",PptoSty[POvsCT]=AC$113,TRUE))*(PptoSty[Project]=TEXT($B188,"@"))*(PptoSty[PptoVsRow]=$E188)*(PptoSty[PptoVsColumn]=UPPER(AC$114)),0)))</f>
        <v>0</v>
      </c>
      <c r="AD188" s="157" cm="1">
        <f t="array" aca="1" ref="AD188" ca="1">IF(OR($E188="X",$E188="",$E188=0,$B188="X",$B188="",$B188=0),0,SUM(_xlfn._xlws.FILTER(IF($E$4="Ppto",PptoSty[CurPpto],PptoSty[CurExt]),(IF($E$4="Ppto",PptoSty[POvsCT]=AD$113,TRUE))*(PptoSty[Project]=TEXT($B188,"@"))*(PptoSty[PptoVsRow]=$E188)*(PptoSty[PptoVsColumn]=UPPER(AC$114)),0)))</f>
        <v>0</v>
      </c>
      <c r="AE188" s="157" cm="1">
        <f t="array" aca="1" ref="AE188" ca="1">IF(OR($E188="X",$E188="",$E188=0,$B188="X",$B188="",$B188=0),0,SUM(_xlfn._xlws.FILTER(IF($E$4="Ppto",PptoSty[CurPpto],PptoSty[CurInt]),(IF($E$4="Ppto",PptoSty[POvsCT]=AE$113,TRUE))*(PptoSty[Project]=TEXT($B188,"@"))*(PptoSty[PptoVsRow]=$E188)*(PptoSty[PptoVsColumn]=UPPER(AE$114)),0)))</f>
        <v>0</v>
      </c>
      <c r="AF188" s="157" cm="1">
        <f t="array" aca="1" ref="AF188" ca="1">IF(OR($E188="X",$E188="",$E188=0,$B188="X",$B188="",$B188=0),0,SUM(_xlfn._xlws.FILTER(IF($E$4="Ppto",PptoSty[CurPpto],PptoSty[CurExt]),(IF($E$4="Ppto",PptoSty[POvsCT]=AF$113,TRUE))*(PptoSty[Project]=TEXT($B188,"@"))*(PptoSty[PptoVsRow]=$E188)*(PptoSty[PptoVsColumn]=UPPER(AE$114)),0)))</f>
        <v>0</v>
      </c>
      <c r="AG188" s="157" cm="1">
        <f t="array" aca="1" ref="AG188" ca="1">IF(OR($E188="X",$E188="",$E188=0,$B188="X",$B188="",$B188=0),0,SUM(_xlfn._xlws.FILTER(IF($E$4="Ppto",PptoSty[CurPpto],PptoSty[CurInt]),(IF($E$4="Ppto",PptoSty[POvsCT]=AG$113,TRUE))*(PptoSty[Project]=TEXT($B188,"@"))*(PptoSty[PptoVsRow]=$E188)*(PptoSty[PptoVsColumn]=UPPER(AG$114)),0)))</f>
        <v>0</v>
      </c>
      <c r="AH188" s="157" cm="1">
        <f t="array" aca="1" ref="AH188" ca="1">IF(OR($E188="X",$E188="",$E188=0,$B188="X",$B188="",$B188=0),0,SUM(_xlfn._xlws.FILTER(IF($E$4="Ppto",PptoSty[CurPpto],PptoSty[CurExt]),(IF($E$4="Ppto",PptoSty[POvsCT]=AH$113,TRUE))*(PptoSty[Project]=TEXT($B188,"@"))*(PptoSty[PptoVsRow]=$E188)*(PptoSty[PptoVsColumn]=UPPER(AG$114)),0)))</f>
        <v>0</v>
      </c>
      <c r="AI188" s="157" cm="1">
        <f t="array" aca="1" ref="AI188" ca="1">IF(OR($E188="X",$E188="",$E188=0,$B188="X",$B188="",$B188=0),0,SUM(_xlfn._xlws.FILTER(IF($E$4="Ppto",PptoSty[CurPpto],PptoSty[CurInt]),(IF($E$4="Ppto",PptoSty[POvsCT]=AI$113,TRUE))*(PptoSty[Project]=TEXT($B188,"@"))*(PptoSty[PptoVsRow]=$E188)*(PptoSty[PptoVsColumn]=UPPER(AI$114)),0)))</f>
        <v>0</v>
      </c>
      <c r="AJ188" s="157" cm="1">
        <f t="array" aca="1" ref="AJ188" ca="1">IF(OR($E188="X",$E188="",$E188=0,$B188="X",$B188="",$B188=0),0,SUM(_xlfn._xlws.FILTER(IF($E$4="Ppto",PptoSty[CurPpto],PptoSty[CurExt]),(IF($E$4="Ppto",PptoSty[POvsCT]=AJ$113,TRUE))*(PptoSty[Project]=TEXT($B188,"@"))*(PptoSty[PptoVsRow]=$E188)*(PptoSty[PptoVsColumn]=UPPER(AI$114)),0)))</f>
        <v>0</v>
      </c>
      <c r="AK188" s="157" cm="1">
        <f t="array" aca="1" ref="AK188" ca="1">IF(OR($E188="X",$E188="",$E188=0,$B188="X",$B188="",$B188=0),0,SUM(_xlfn._xlws.FILTER(IF($E$4="Ppto",PptoSty[CurPpto],PptoSty[CurInt]),(IF($E$4="Ppto",PptoSty[POvsCT]=AK$113,TRUE))*(PptoSty[Project]=TEXT($B188,"@"))*(PptoSty[PptoVsRow]=$E188)*(PptoSty[PptoVsColumn]=UPPER(AK$114)),0)))</f>
        <v>0</v>
      </c>
      <c r="AL188" s="157" cm="1">
        <f t="array" aca="1" ref="AL188" ca="1">IF(OR($E188="X",$E188="",$E188=0,$B188="X",$B188="",$B188=0),0,SUM(_xlfn._xlws.FILTER(IF($E$4="Ppto",PptoSty[CurPpto],PptoSty[CurExt]),(IF($E$4="Ppto",PptoSty[POvsCT]=AL$113,TRUE))*(PptoSty[Project]=TEXT($B188,"@"))*(PptoSty[PptoVsRow]=$E188)*(PptoSty[PptoVsColumn]=UPPER(AK$114)),0)))</f>
        <v>0</v>
      </c>
      <c r="AM188" s="157" cm="1">
        <f t="array" aca="1" ref="AM188" ca="1">IF(OR($E188="X",$E188="",$E188=0,$B188="X",$B188="",$B188=0),0,SUM(_xlfn._xlws.FILTER(IF($E$4="Ppto",PptoSty[CurPpto],PptoSty[CurInt]),(IF($E$4="Ppto",PptoSty[POvsCT]=AM$113,TRUE))*(PptoSty[Project]=TEXT($B188,"@"))*(PptoSty[PptoVsRow]=$E188)*(PptoSty[PptoVsColumn]=UPPER(AM$114)),0)))</f>
        <v>0</v>
      </c>
      <c r="AN188" s="157" cm="1">
        <f t="array" aca="1" ref="AN188" ca="1">IF(OR($E188="X",$E188="",$E188=0,$B188="X",$B188="",$B188=0),0,SUM(_xlfn._xlws.FILTER(IF($E$4="Ppto",PptoSty[CurPpto],PptoSty[CurExt]),(IF($E$4="Ppto",PptoSty[POvsCT]=AN$113,TRUE))*(PptoSty[Project]=TEXT($B188,"@"))*(PptoSty[PptoVsRow]=$E188)*(PptoSty[PptoVsColumn]=UPPER(AM$114)),0)))</f>
        <v>0</v>
      </c>
      <c r="AO188" s="157" cm="1">
        <f t="array" aca="1" ref="AO188" ca="1">IF(OR($E188="X",$E188="",$E188=0,$B188="X",$B188="",$B188=0),0,SUM(_xlfn._xlws.FILTER(IF($E$4="Ppto",PptoSty[CurPpto],PptoSty[CurInt]),(IF($E$4="Ppto",PptoSty[POvsCT]=AO$113,TRUE))*(PptoSty[Project]=TEXT($B188,"@"))*(PptoSty[PptoVsRow]=$E188)*(PptoSty[PptoVsColumn]=UPPER(AO$114)),0)))</f>
        <v>0</v>
      </c>
      <c r="AP188" s="157" cm="1">
        <f t="array" aca="1" ref="AP188" ca="1">IF(OR($E188="X",$E188="",$E188=0,$B188="X",$B188="",$B188=0),0,SUM(_xlfn._xlws.FILTER(IF($E$4="Ppto",PptoSty[CurPpto],PptoSty[CurExt]),(IF($E$4="Ppto",PptoSty[POvsCT]=AP$113,TRUE))*(PptoSty[Project]=TEXT($B188,"@"))*(PptoSty[PptoVsRow]=$E188)*(PptoSty[PptoVsColumn]=UPPER(AO$114)),0)))</f>
        <v>0</v>
      </c>
      <c r="AQ188" s="157" cm="1">
        <f t="array" aca="1" ref="AQ188" ca="1">SUM(IF(INDIRECT($AS$115)=AQ$115,INDIRECT($AS188)))</f>
        <v>0</v>
      </c>
      <c r="AR188" s="157" cm="1">
        <f t="array" aca="1" ref="AR188" ca="1">SUM(IF(INDIRECT($AS$115)=AR$115,INDIRECT($AS188)))</f>
        <v>0</v>
      </c>
      <c r="AS188" s="286" t="str">
        <f t="shared" ca="1" si="16"/>
        <v>G188:AP188</v>
      </c>
      <c r="AT188" s="403">
        <f t="shared" ca="1" si="17"/>
        <v>0</v>
      </c>
      <c r="AV188" s="142" cm="1">
        <f t="array" aca="1" ref="AV188" ca="1">IF(AND(_xlfn.LET(_xlpm.x,SUM(ROW()),OR(AND(MATCH("SOT",$A:$A,0)&lt;_xlpm.x,MATCH("EOT",$A:$A,0)&gt;_xlpm.x),AND(MATCH("SOS",$A:$A,0)&lt;_xlpm.x,MATCH("EOS",$A:$A,0)&gt;_xlpm.x),AND(MATCH("SOR",$A:$A,0)&lt;_xlpm.x,MATCH("EOR",$A:$A,0)&gt;_xlpm.x))),INDIRECT("rc"&amp;MATCH("SCD",$1:$1,0),FALSE)="PPTO"),1,0)</f>
        <v>1</v>
      </c>
      <c r="AW188" s="142" cm="1">
        <f t="array" aca="1" ref="AW18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89" spans="2:49" outlineLevel="1">
      <c r="B189" s="156" t="str" cm="1">
        <f t="array" aca="1" ref="B189:E189" ca="1">_xlfn.LET(_xlpm.x,SUM(ROW()-MATCH("SOR",$A:$A,0)),_xlpm.y,IFERROR(_xlfn.TAKE(INDEX(_xlfn._xlws.FILTER(TbAssign[],ISNUMBER(FIND(TbAssign[Project],$C$4)),"X"),1+QUOTIENT(_xlpm.x,3),0),1,4),0),IF(MOD(_xlpm.x-1,3)=0,IF(_xlpm.y=0,"X",_xlpm.y),INDIRECT("r[-1]c#",FALSE)))</f>
        <v>31200</v>
      </c>
      <c r="C189" s="156" t="str">
        <f ca="1"/>
        <v>XH01</v>
      </c>
      <c r="D189" s="148" t="str">
        <f ca="1"/>
        <v>CTBA</v>
      </c>
      <c r="E189" s="352" t="str">
        <f ca="1"/>
        <v>CUADRANTE ESTRUCTURADO</v>
      </c>
      <c r="F189" s="148" t="s">
        <v>1382</v>
      </c>
      <c r="G189" s="157" cm="1">
        <f t="array" aca="1" ref="G189" ca="1">IF(OR($E189="X",$E189="",$E189=0,$B189="X",$B189="",$B189=0),0,SUM(_xlfn._xlws.FILTER(PrvSty[DsvValue:SERRA],(PrvSty[Project]=TEXT($B189,"@"))*(PrvSty[Row]=$E189)*(PrvSty[Column]=UPPER(G$114)),0)))</f>
        <v>0</v>
      </c>
      <c r="H189" s="157" cm="1">
        <f t="array" aca="1" ref="H189" ca="1">IF(OR($E189="X",$E189="",$E189=0,$B189="X",$B189="",$B189=0),0,SUM(_xlfn._xlws.FILTER(PrvSty[DsvValue:EXT.],(PrvSty[Project]=TEXT($B189,"@"))*(PrvSty[Row]=$E189)*(PrvSty[Column]=UPPER(G$114)),0)))</f>
        <v>0</v>
      </c>
      <c r="I189" s="157" cm="1">
        <f t="array" aca="1" ref="I189" ca="1">IF(OR($E189="X",$E189="",$E189=0,$B189="X",$B189="",$B189=0),0,SUM(_xlfn._xlws.FILTER(PrvSty[DsvValue:SERRA],(PrvSty[Project]=TEXT($B189,"@"))*(PrvSty[Row]=$E189)*(PrvSty[Column]=UPPER(I$114)),0)))</f>
        <v>0</v>
      </c>
      <c r="J189" s="157" cm="1">
        <f t="array" aca="1" ref="J189" ca="1">IF(OR($E189="X",$E189="",$E189=0,$B189="X",$B189="",$B189=0),0,SUM(_xlfn._xlws.FILTER(PrvSty[DsvValue:EXT.],(PrvSty[Project]=TEXT($B189,"@"))*(PrvSty[Row]=$E189)*(PrvSty[Column]=UPPER(I$114)),0)))</f>
        <v>0</v>
      </c>
      <c r="K189" s="157" cm="1">
        <f t="array" aca="1" ref="K189" ca="1">IF(OR($E189="X",$E189="",$E189=0,$B189="X",$B189="",$B189=0),0,SUM(_xlfn._xlws.FILTER(PrvSty[DsvValue:SERRA],(PrvSty[Project]=TEXT($B189,"@"))*(PrvSty[Row]=$E189)*(PrvSty[Column]=UPPER(K$114)),0)))</f>
        <v>0</v>
      </c>
      <c r="L189" s="157" cm="1">
        <f t="array" aca="1" ref="L189" ca="1">IF(OR($E189="X",$E189="",$E189=0,$B189="X",$B189="",$B189=0),0,SUM(_xlfn._xlws.FILTER(PrvSty[DsvValue:EXT.],(PrvSty[Project]=TEXT($B189,"@"))*(PrvSty[Row]=$E189)*(PrvSty[Column]=UPPER(K$114)),0)))</f>
        <v>0</v>
      </c>
      <c r="M189" s="157" cm="1">
        <f t="array" aca="1" ref="M189" ca="1">IF(OR($E189="X",$E189="",$E189=0,$B189="X",$B189="",$B189=0),0,SUM(_xlfn._xlws.FILTER(PrvSty[DsvValue:SERRA],(PrvSty[Project]=TEXT($B189,"@"))*(PrvSty[Row]=$E189)*(PrvSty[Column]=UPPER(M$114)),0)))</f>
        <v>0</v>
      </c>
      <c r="N189" s="157" cm="1">
        <f t="array" aca="1" ref="N189" ca="1">IF(OR($E189="X",$E189="",$E189=0,$B189="X",$B189="",$B189=0),0,SUM(_xlfn._xlws.FILTER(PrvSty[DsvValue:EXT.],(PrvSty[Project]=TEXT($B189,"@"))*(PrvSty[Row]=$E189)*(PrvSty[Column]=UPPER(M$114)),0)))</f>
        <v>0</v>
      </c>
      <c r="O189" s="157" cm="1">
        <f t="array" aca="1" ref="O189" ca="1">IF(OR($E189="X",$E189="",$E189=0,$B189="X",$B189="",$B189=0),0,SUM(_xlfn._xlws.FILTER(PrvSty[DsvValue:SERRA],(PrvSty[Project]=TEXT($B189,"@"))*(PrvSty[Row]=$E189)*(PrvSty[Column]=UPPER(O$114)),0)))</f>
        <v>0</v>
      </c>
      <c r="P189" s="157" cm="1">
        <f t="array" aca="1" ref="P189" ca="1">IF(OR($E189="X",$E189="",$E189=0,$B189="X",$B189="",$B189=0),0,SUM(_xlfn._xlws.FILTER(PrvSty[DsvValue:EXT.],(PrvSty[Project]=TEXT($B189,"@"))*(PrvSty[Row]=$E189)*(PrvSty[Column]=UPPER(O$114)),0)))</f>
        <v>0</v>
      </c>
      <c r="Q189" s="157" cm="1">
        <f t="array" aca="1" ref="Q189" ca="1">IF(OR($E189="X",$E189="",$E189=0,$B189="X",$B189="",$B189=0),0,SUM(_xlfn._xlws.FILTER(PrvSty[DsvValue:SERRA],(PrvSty[Project]=TEXT($B189,"@"))*(PrvSty[Row]=$E189)*(PrvSty[Column]=UPPER(Q$114)),0)))</f>
        <v>0</v>
      </c>
      <c r="R189" s="157" cm="1">
        <f t="array" aca="1" ref="R189" ca="1">IF(OR($E189="X",$E189="",$E189=0,$B189="X",$B189="",$B189=0),0,SUM(_xlfn._xlws.FILTER(PrvSty[DsvValue:EXT.],(PrvSty[Project]=TEXT($B189,"@"))*(PrvSty[Row]=$E189)*(PrvSty[Column]=UPPER(Q$114)),0)))</f>
        <v>0</v>
      </c>
      <c r="S189" s="157" cm="1">
        <f t="array" aca="1" ref="S189" ca="1">IF(OR($E189="X",$E189="",$E189=0,$B189="X",$B189="",$B189=0),0,SUM(_xlfn._xlws.FILTER(PrvSty[DsvValue:SERRA],(PrvSty[Project]=TEXT($B189,"@"))*(PrvSty[Row]=$E189)*(PrvSty[Column]=UPPER(S$114)),0)))</f>
        <v>0</v>
      </c>
      <c r="T189" s="157" cm="1">
        <f t="array" aca="1" ref="T189" ca="1">IF(OR($E189="X",$E189="",$E189=0,$B189="X",$B189="",$B189=0),0,SUM(_xlfn._xlws.FILTER(PrvSty[DsvValue:EXT.],(PrvSty[Project]=TEXT($B189,"@"))*(PrvSty[Row]=$E189)*(PrvSty[Column]=UPPER(S$114)),0)))</f>
        <v>0</v>
      </c>
      <c r="U189" s="157" cm="1">
        <f t="array" aca="1" ref="U189" ca="1">IF(OR($E189="X",$E189="",$E189=0,$B189="X",$B189="",$B189=0),0,SUM(_xlfn._xlws.FILTER(PrvSty[DsvValue:SERRA],(PrvSty[Project]=TEXT($B189,"@"))*(PrvSty[Row]=$E189)*(PrvSty[Column]=UPPER(U$114)),0)))</f>
        <v>0</v>
      </c>
      <c r="V189" s="157" cm="1">
        <f t="array" aca="1" ref="V189" ca="1">IF(OR($E189="X",$E189="",$E189=0,$B189="X",$B189="",$B189=0),0,SUM(_xlfn._xlws.FILTER(PrvSty[DsvValue:EXT.],(PrvSty[Project]=TEXT($B189,"@"))*(PrvSty[Row]=$E189)*(PrvSty[Column]=UPPER(U$114)),0)))</f>
        <v>0</v>
      </c>
      <c r="W189" s="157" cm="1">
        <f t="array" aca="1" ref="W189" ca="1">IF(OR($E189="X",$E189="",$E189=0,$B189="X",$B189="",$B189=0),0,SUM(_xlfn._xlws.FILTER(PrvSty[DsvValue:SERRA],(PrvSty[Project]=TEXT($B189,"@"))*(PrvSty[Row]=$E189)*(PrvSty[Column]=UPPER(W$114)),0)))</f>
        <v>0</v>
      </c>
      <c r="X189" s="157" cm="1">
        <f t="array" aca="1" ref="X189" ca="1">IF(OR($E189="X",$E189="",$E189=0,$B189="X",$B189="",$B189=0),0,SUM(_xlfn._xlws.FILTER(PrvSty[DsvValue:EXT.],(PrvSty[Project]=TEXT($B189,"@"))*(PrvSty[Row]=$E189)*(PrvSty[Column]=UPPER(W$114)),0)))</f>
        <v>0</v>
      </c>
      <c r="Y189" s="157" cm="1">
        <f t="array" aca="1" ref="Y189" ca="1">IF(OR($E189="X",$E189="",$E189=0,$B189="X",$B189="",$B189=0),0,SUM(_xlfn._xlws.FILTER(PrvSty[DsvValue:SERRA],(PrvSty[Project]=TEXT($B189,"@"))*(PrvSty[Row]=$E189)*(PrvSty[Column]=UPPER(Y$114)),0)))</f>
        <v>0</v>
      </c>
      <c r="Z189" s="157" cm="1">
        <f t="array" aca="1" ref="Z189" ca="1">IF(OR($E189="X",$E189="",$E189=0,$B189="X",$B189="",$B189=0),0,SUM(_xlfn._xlws.FILTER(PrvSty[DsvValue:EXT.],(PrvSty[Project]=TEXT($B189,"@"))*(PrvSty[Row]=$E189)*(PrvSty[Column]=UPPER(Y$114)),0)))</f>
        <v>0</v>
      </c>
      <c r="AA189" s="157" cm="1">
        <f t="array" aca="1" ref="AA189" ca="1">IF(OR($E189="X",$E189="",$E189=0,$B189="X",$B189="",$B189=0),0,SUM(_xlfn._xlws.FILTER(PrvSty[DsvValue:SERRA],(PrvSty[Project]=TEXT($B189,"@"))*(PrvSty[Row]=$E189)*(PrvSty[Column]=UPPER(AA$114)),0)))</f>
        <v>0</v>
      </c>
      <c r="AB189" s="157" cm="1">
        <f t="array" aca="1" ref="AB189" ca="1">IF(OR($E189="X",$E189="",$E189=0,$B189="X",$B189="",$B189=0),0,SUM(_xlfn._xlws.FILTER(PrvSty[DsvValue:EXT.],(PrvSty[Project]=TEXT($B189,"@"))*(PrvSty[Row]=$E189)*(PrvSty[Column]=UPPER(AA$114)),0)))</f>
        <v>0</v>
      </c>
      <c r="AC189" s="157" cm="1">
        <f t="array" aca="1" ref="AC189" ca="1">IF(OR($E189="X",$E189="",$E189=0,$B189="X",$B189="",$B189=0),0,SUM(_xlfn._xlws.FILTER(PrvSty[DsvValue:SERRA],(PrvSty[Project]=TEXT($B189,"@"))*(PrvSty[Row]=$E189)*(PrvSty[Column]=UPPER(AC$114)),0)))</f>
        <v>0</v>
      </c>
      <c r="AD189" s="157" cm="1">
        <f t="array" aca="1" ref="AD189" ca="1">IF(OR($E189="X",$E189="",$E189=0,$B189="X",$B189="",$B189=0),0,SUM(_xlfn._xlws.FILTER(PrvSty[DsvValue:EXT.],(PrvSty[Project]=TEXT($B189,"@"))*(PrvSty[Row]=$E189)*(PrvSty[Column]=UPPER(AC$114)),0)))</f>
        <v>0</v>
      </c>
      <c r="AE189" s="157" cm="1">
        <f t="array" aca="1" ref="AE189" ca="1">IF(OR($E189="X",$E189="",$E189=0,$B189="X",$B189="",$B189=0),0,SUM(_xlfn._xlws.FILTER(PrvSty[DsvValue:SERRA],(PrvSty[Project]=TEXT($B189,"@"))*(PrvSty[Row]=$E189)*(PrvSty[Column]=UPPER(AE$114)),0)))</f>
        <v>0</v>
      </c>
      <c r="AF189" s="157" cm="1">
        <f t="array" aca="1" ref="AF189" ca="1">IF(OR($E189="X",$E189="",$E189=0,$B189="X",$B189="",$B189=0),0,SUM(_xlfn._xlws.FILTER(PrvSty[DsvValue:EXT.],(PrvSty[Project]=TEXT($B189,"@"))*(PrvSty[Row]=$E189)*(PrvSty[Column]=UPPER(AE$114)),0)))</f>
        <v>0</v>
      </c>
      <c r="AG189" s="157" cm="1">
        <f t="array" aca="1" ref="AG189" ca="1">IF(OR($E189="X",$E189="",$E189=0,$B189="X",$B189="",$B189=0),0,SUM(_xlfn._xlws.FILTER(PrvSty[DsvValue:SERRA],(PrvSty[Project]=TEXT($B189,"@"))*(PrvSty[Row]=$E189)*(PrvSty[Column]=UPPER(AG$114)),0)))</f>
        <v>0</v>
      </c>
      <c r="AH189" s="157" cm="1">
        <f t="array" aca="1" ref="AH189" ca="1">IF(OR($E189="X",$E189="",$E189=0,$B189="X",$B189="",$B189=0),0,SUM(_xlfn._xlws.FILTER(PrvSty[DsvValue:EXT.],(PrvSty[Project]=TEXT($B189,"@"))*(PrvSty[Row]=$E189)*(PrvSty[Column]=UPPER(AG$114)),0)))</f>
        <v>0</v>
      </c>
      <c r="AI189" s="157" cm="1">
        <f t="array" aca="1" ref="AI189" ca="1">IF(OR($E189="X",$E189="",$E189=0,$B189="X",$B189="",$B189=0),0,SUM(_xlfn._xlws.FILTER(PrvSty[DsvValue:SERRA],(PrvSty[Project]=TEXT($B189,"@"))*(PrvSty[Row]=$E189)*(PrvSty[Column]=UPPER(AI$114)),0)))</f>
        <v>0</v>
      </c>
      <c r="AJ189" s="157" cm="1">
        <f t="array" aca="1" ref="AJ189" ca="1">IF(OR($E189="X",$E189="",$E189=0,$B189="X",$B189="",$B189=0),0,SUM(_xlfn._xlws.FILTER(PrvSty[DsvValue:EXT.],(PrvSty[Project]=TEXT($B189,"@"))*(PrvSty[Row]=$E189)*(PrvSty[Column]=UPPER(AI$114)),0)))</f>
        <v>10403.970000000001</v>
      </c>
      <c r="AK189" s="157" cm="1">
        <f t="array" aca="1" ref="AK189" ca="1">IF(OR($E189="X",$E189="",$E189=0,$B189="X",$B189="",$B189=0),0,SUM(_xlfn._xlws.FILTER(PrvSty[DsvValue:SERRA],(PrvSty[Project]=TEXT($B189,"@"))*(PrvSty[Row]=$E189)*(PrvSty[Column]=UPPER(AK$114)),0)))</f>
        <v>0</v>
      </c>
      <c r="AL189" s="157" cm="1">
        <f t="array" aca="1" ref="AL189" ca="1">IF(OR($E189="X",$E189="",$E189=0,$B189="X",$B189="",$B189=0),0,SUM(_xlfn._xlws.FILTER(PrvSty[DsvValue:EXT.],(PrvSty[Project]=TEXT($B189,"@"))*(PrvSty[Row]=$E189)*(PrvSty[Column]=UPPER(AK$114)),0)))</f>
        <v>1015.74</v>
      </c>
      <c r="AM189" s="157" cm="1">
        <f t="array" aca="1" ref="AM189" ca="1">IF(OR($E189="X",$E189="",$E189=0,$B189="X",$B189="",$B189=0),0,SUM(_xlfn._xlws.FILTER(PrvSty[DsvValue:SERRA],(PrvSty[Project]=TEXT($B189,"@"))*(PrvSty[Row]=$E189)*(PrvSty[Column]=UPPER(AM$114)),0)))</f>
        <v>0</v>
      </c>
      <c r="AN189" s="157" cm="1">
        <f t="array" aca="1" ref="AN189" ca="1">IF(OR($E189="X",$E189="",$E189=0,$B189="X",$B189="",$B189=0),0,SUM(_xlfn._xlws.FILTER(PrvSty[DsvValue:EXT.],(PrvSty[Project]=TEXT($B189,"@"))*(PrvSty[Row]=$E189)*(PrvSty[Column]=UPPER(AM$114)),0)))</f>
        <v>425.56</v>
      </c>
      <c r="AO189" s="157" cm="1">
        <f t="array" aca="1" ref="AO189" ca="1">IF(OR($E189="X",$E189="",$E189=0,$B189="X",$B189="",$B189=0),0,SUM(_xlfn._xlws.FILTER(PrvSty[DsvValue:SERRA],(PrvSty[Project]=TEXT($B189,"@"))*(PrvSty[Row]=$E189)*(PrvSty[Column]=UPPER(AO$114)),0)))</f>
        <v>0</v>
      </c>
      <c r="AP189" s="157" cm="1">
        <f t="array" aca="1" ref="AP189" ca="1">IF(OR($E189="X",$E189="",$E189=0,$B189="X",$B189="",$B189=0),0,SUM(_xlfn._xlws.FILTER(PrvSty[DsvValue:EXT.],(PrvSty[Project]=TEXT($B189,"@"))*(PrvSty[Row]=$E189)*(PrvSty[Column]=UPPER(AO$114)),0)))</f>
        <v>0</v>
      </c>
      <c r="AQ189" s="157" cm="1">
        <f t="array" aca="1" ref="AQ189" ca="1">SUM(IF(INDIRECT($AS$115)=AQ$115,INDIRECT($AS189)))</f>
        <v>0</v>
      </c>
      <c r="AR189" s="157" cm="1">
        <f t="array" aca="1" ref="AR189" ca="1">SUM(IF(INDIRECT($AS$115)=AR$115,INDIRECT($AS189)))</f>
        <v>11845.27</v>
      </c>
      <c r="AS189" s="286" t="str">
        <f t="shared" ca="1" si="16"/>
        <v>G189:AP189</v>
      </c>
      <c r="AT189" s="403">
        <f t="shared" ca="1" si="17"/>
        <v>11845.27</v>
      </c>
      <c r="AV189" s="142" cm="1">
        <f t="array" aca="1" ref="AV189" ca="1">IF(AND(_xlfn.LET(_xlpm.x,SUM(ROW()),OR(AND(MATCH("SOT",$A:$A,0)&lt;_xlpm.x,MATCH("EOT",$A:$A,0)&gt;_xlpm.x),AND(MATCH("SOS",$A:$A,0)&lt;_xlpm.x,MATCH("EOS",$A:$A,0)&gt;_xlpm.x),AND(MATCH("SOR",$A:$A,0)&lt;_xlpm.x,MATCH("EOR",$A:$A,0)&gt;_xlpm.x))),INDIRECT("rc"&amp;MATCH("SCD",$1:$1,0),FALSE)="PPTO"),1,0)</f>
        <v>0</v>
      </c>
      <c r="AW189" s="142" cm="1">
        <f t="array" aca="1" ref="AW18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90" spans="2:49" outlineLevel="1">
      <c r="B190" s="156" t="str" cm="1">
        <f t="array" aca="1" ref="B190:E190" ca="1">_xlfn.LET(_xlpm.x,SUM(ROW()-MATCH("SOR",$A:$A,0)),_xlpm.y,IFERROR(_xlfn.TAKE(INDEX(_xlfn._xlws.FILTER(TbAssign[],ISNUMBER(FIND(TbAssign[Project],$C$4)),"X"),1+QUOTIENT(_xlpm.x,3),0),1,4),0),IF(MOD(_xlpm.x-1,3)=0,IF(_xlpm.y=0,"X",_xlpm.y),INDIRECT("r[-1]c#",FALSE)))</f>
        <v>31200</v>
      </c>
      <c r="C190" s="156" t="str">
        <f ca="1"/>
        <v>XH01</v>
      </c>
      <c r="D190" s="148" t="str">
        <f ca="1"/>
        <v>CTBA</v>
      </c>
      <c r="E190" s="352" t="str">
        <f ca="1"/>
        <v>CUADRANTE ESTRUCTURADO</v>
      </c>
      <c r="F190" s="148" t="s">
        <v>1383</v>
      </c>
      <c r="G190" s="158" cm="1">
        <f t="array" aca="1" ref="G190" ca="1">IF(OR($E190="X",$E190="",$E190=0,$B190="X",$B190="",$B190=0),0,SUM(_xlfn._xlws.FILTER(FrmBB1[Cur],(FrmBB1[PrjId]=TEXT($B190,"@"))*(FrmBB1[Row]=$E190)*(FrmBB1[Column]=UPPER(_xlfn.LET(_xlpm.x,_xlfn.TEXTBEFORE(G$114," ("),IFERROR(_xlpm.x,G$114)))&amp;" "&amp;G$115),0)))</f>
        <v>0</v>
      </c>
      <c r="H190" s="157" cm="1">
        <f t="array" aca="1" ref="H190" ca="1">IF(OR($E190="X",$E190="",$E190=0,$B190="X",$B190="",$B190=0),0,SUM(_xlfn._xlws.FILTER(FrmBB1[Cur],(FrmBB1[PrjId]=TEXT($B190,"@"))*(FrmBB1[Row]=$E190)*(FrmBB1[Column]=UPPER(_xlfn.LET(_xlpm.x,_xlfn.TEXTBEFORE(G$114," ("),IFERROR(_xlpm.x,G$114)))&amp;" "&amp;H$115),0)))</f>
        <v>0</v>
      </c>
      <c r="I190" s="158" cm="1">
        <f t="array" aca="1" ref="I190" ca="1">IF(OR($E190="X",$E190="",$E190=0,$B190="X",$B190="",$B190=0),0,SUM(_xlfn._xlws.FILTER(FrmBB1[Cur],(FrmBB1[PrjId]=TEXT($B190,"@"))*(FrmBB1[Row]=$E190)*(FrmBB1[Column]=UPPER(_xlfn.LET(_xlpm.x,_xlfn.TEXTBEFORE(I$114," ("),IFERROR(_xlpm.x,I$114)))&amp;" "&amp;I$115),0)))</f>
        <v>0</v>
      </c>
      <c r="J190" s="157" cm="1">
        <f t="array" aca="1" ref="J190" ca="1">IF(OR($E190="X",$E190="",$E190=0,$B190="X",$B190="",$B190=0),0,SUM(_xlfn._xlws.FILTER(FrmBB1[Cur],(FrmBB1[PrjId]=TEXT($B190,"@"))*(FrmBB1[Row]=$E190)*(FrmBB1[Column]=UPPER(_xlfn.LET(_xlpm.x,_xlfn.TEXTBEFORE(I$114," ("),IFERROR(_xlpm.x,I$114)))&amp;" "&amp;J$115),0)))</f>
        <v>0</v>
      </c>
      <c r="K190" s="158" cm="1">
        <f t="array" aca="1" ref="K190" ca="1">IF(OR($E190="X",$E190="",$E190=0,$B190="X",$B190="",$B190=0),0,SUM(_xlfn._xlws.FILTER(FrmBB1[Cur],(FrmBB1[PrjId]=TEXT($B190,"@"))*(FrmBB1[Row]=$E190)*(FrmBB1[Column]=UPPER(_xlfn.LET(_xlpm.x,_xlfn.TEXTBEFORE(K$114," ("),IFERROR(_xlpm.x,K$114)))&amp;" "&amp;K$115),0)))</f>
        <v>0</v>
      </c>
      <c r="L190" s="157" cm="1">
        <f t="array" aca="1" ref="L190" ca="1">IF(OR($E190="X",$E190="",$E190=0,$B190="X",$B190="",$B190=0),0,SUM(_xlfn._xlws.FILTER(FrmBB1[Cur],(FrmBB1[PrjId]=TEXT($B190,"@"))*(FrmBB1[Row]=$E190)*(FrmBB1[Column]=UPPER(_xlfn.LET(_xlpm.x,_xlfn.TEXTBEFORE(K$114," ("),IFERROR(_xlpm.x,K$114)))&amp;" "&amp;L$115),0)))</f>
        <v>0</v>
      </c>
      <c r="M190" s="158" cm="1">
        <f t="array" aca="1" ref="M190" ca="1">IF(OR($E190="X",$E190="",$E190=0,$B190="X",$B190="",$B190=0),0,SUM(_xlfn._xlws.FILTER(FrmBB1[Cur],(FrmBB1[PrjId]=TEXT($B190,"@"))*(FrmBB1[Row]=$E190)*(FrmBB1[Column]=UPPER(_xlfn.LET(_xlpm.x,_xlfn.TEXTBEFORE(M$114," ("),IFERROR(_xlpm.x,M$114)))&amp;" "&amp;M$115),0)))</f>
        <v>0</v>
      </c>
      <c r="N190" s="157" cm="1">
        <f t="array" aca="1" ref="N190" ca="1">IF(OR($E190="X",$E190="",$E190=0,$B190="X",$B190="",$B190=0),0,SUM(_xlfn._xlws.FILTER(FrmBB1[Cur],(FrmBB1[PrjId]=TEXT($B190,"@"))*(FrmBB1[Row]=$E190)*(FrmBB1[Column]=UPPER(_xlfn.LET(_xlpm.x,_xlfn.TEXTBEFORE(M$114," ("),IFERROR(_xlpm.x,M$114)))&amp;" "&amp;N$115),0)))</f>
        <v>0</v>
      </c>
      <c r="O190" s="158" cm="1">
        <f t="array" aca="1" ref="O190" ca="1">IF(OR($E190="X",$E190="",$E190=0,$B190="X",$B190="",$B190=0),0,SUM(_xlfn._xlws.FILTER(FrmBB1[Cur],(FrmBB1[PrjId]=TEXT($B190,"@"))*(FrmBB1[Row]=$E190)*(FrmBB1[Column]=UPPER(_xlfn.LET(_xlpm.x,_xlfn.TEXTBEFORE(O$114," ("),IFERROR(_xlpm.x,O$114)))&amp;" "&amp;O$115),0)))</f>
        <v>0</v>
      </c>
      <c r="P190" s="157" cm="1">
        <f t="array" aca="1" ref="P190" ca="1">IF(OR($E190="X",$E190="",$E190=0,$B190="X",$B190="",$B190=0),0,SUM(_xlfn._xlws.FILTER(FrmBB1[Cur],(FrmBB1[PrjId]=TEXT($B190,"@"))*(FrmBB1[Row]=$E190)*(FrmBB1[Column]=UPPER(_xlfn.LET(_xlpm.x,_xlfn.TEXTBEFORE(O$114," ("),IFERROR(_xlpm.x,O$114)))&amp;" "&amp;P$115),0)))</f>
        <v>0</v>
      </c>
      <c r="Q190" s="158" cm="1">
        <f t="array" aca="1" ref="Q190" ca="1">IF(OR($E190="X",$E190="",$E190=0,$B190="X",$B190="",$B190=0),0,SUM(_xlfn._xlws.FILTER(FrmBB1[Cur],(FrmBB1[PrjId]=TEXT($B190,"@"))*(FrmBB1[Row]=$E190)*(FrmBB1[Column]=UPPER(_xlfn.LET(_xlpm.x,_xlfn.TEXTBEFORE(Q$114," ("),IFERROR(_xlpm.x,Q$114)))&amp;" "&amp;Q$115),0)))</f>
        <v>0</v>
      </c>
      <c r="R190" s="157" cm="1">
        <f t="array" aca="1" ref="R190" ca="1">IF(OR($E190="X",$E190="",$E190=0,$B190="X",$B190="",$B190=0),0,SUM(_xlfn._xlws.FILTER(FrmBB1[Cur],(FrmBB1[PrjId]=TEXT($B190,"@"))*(FrmBB1[Row]=$E190)*(FrmBB1[Column]=UPPER(_xlfn.LET(_xlpm.x,_xlfn.TEXTBEFORE(Q$114," ("),IFERROR(_xlpm.x,Q$114)))&amp;" "&amp;R$115),0)))</f>
        <v>0</v>
      </c>
      <c r="S190" s="158" cm="1">
        <f t="array" aca="1" ref="S190" ca="1">IF(OR($E190="X",$E190="",$E190=0,$B190="X",$B190="",$B190=0),0,SUM(_xlfn._xlws.FILTER(FrmBB1[Cur],(FrmBB1[PrjId]=TEXT($B190,"@"))*(FrmBB1[Row]=$E190)*(FrmBB1[Column]=UPPER(_xlfn.LET(_xlpm.x,_xlfn.TEXTBEFORE(S$114," ("),IFERROR(_xlpm.x,S$114)))&amp;" "&amp;S$115),0)))</f>
        <v>0</v>
      </c>
      <c r="T190" s="157" cm="1">
        <f t="array" aca="1" ref="T190" ca="1">IF(OR($E190="X",$E190="",$E190=0,$B190="X",$B190="",$B190=0),0,SUM(_xlfn._xlws.FILTER(FrmBB1[Cur],(FrmBB1[PrjId]=TEXT($B190,"@"))*(FrmBB1[Row]=$E190)*(FrmBB1[Column]=UPPER(_xlfn.LET(_xlpm.x,_xlfn.TEXTBEFORE(S$114," ("),IFERROR(_xlpm.x,S$114)))&amp;" "&amp;T$115),0)))</f>
        <v>0</v>
      </c>
      <c r="U190" s="158" cm="1">
        <f t="array" aca="1" ref="U190" ca="1">IF(OR($E190="X",$E190="",$E190=0,$B190="X",$B190="",$B190=0),0,SUM(_xlfn._xlws.FILTER(FrmBB1[Cur],(FrmBB1[PrjId]=TEXT($B190,"@"))*(FrmBB1[Row]=$E190)*(FrmBB1[Column]=UPPER(_xlfn.LET(_xlpm.x,_xlfn.TEXTBEFORE(U$114," ("),IFERROR(_xlpm.x,U$114)))&amp;" "&amp;U$115),0)))</f>
        <v>0</v>
      </c>
      <c r="V190" s="157" cm="1">
        <f t="array" aca="1" ref="V190" ca="1">IF(OR($E190="X",$E190="",$E190=0,$B190="X",$B190="",$B190=0),0,SUM(_xlfn._xlws.FILTER(FrmBB1[Cur],(FrmBB1[PrjId]=TEXT($B190,"@"))*(FrmBB1[Row]=$E190)*(FrmBB1[Column]=UPPER(_xlfn.LET(_xlpm.x,_xlfn.TEXTBEFORE(U$114," ("),IFERROR(_xlpm.x,U$114)))&amp;" "&amp;V$115),0)))</f>
        <v>0</v>
      </c>
      <c r="W190" s="158" cm="1">
        <f t="array" aca="1" ref="W190" ca="1">IF(OR($E190="X",$E190="",$E190=0,$B190="X",$B190="",$B190=0),0,SUM(_xlfn._xlws.FILTER(FrmBB1[Cur],(FrmBB1[PrjId]=TEXT($B190,"@"))*(FrmBB1[Row]=$E190)*(FrmBB1[Column]=UPPER(_xlfn.LET(_xlpm.x,_xlfn.TEXTBEFORE(W$114," ("),IFERROR(_xlpm.x,W$114)))&amp;" "&amp;W$115),0)))</f>
        <v>0</v>
      </c>
      <c r="X190" s="157" cm="1">
        <f t="array" aca="1" ref="X190" ca="1">IF(OR($E190="X",$E190="",$E190=0,$B190="X",$B190="",$B190=0),0,SUM(_xlfn._xlws.FILTER(FrmBB1[Cur],(FrmBB1[PrjId]=TEXT($B190,"@"))*(FrmBB1[Row]=$E190)*(FrmBB1[Column]=UPPER(_xlfn.LET(_xlpm.x,_xlfn.TEXTBEFORE(W$114," ("),IFERROR(_xlpm.x,W$114)))&amp;" "&amp;X$115),0)))</f>
        <v>0</v>
      </c>
      <c r="Y190" s="158" cm="1">
        <f t="array" aca="1" ref="Y190" ca="1">IF(OR($E190="X",$E190="",$E190=0,$B190="X",$B190="",$B190=0),0,SUM(_xlfn._xlws.FILTER(FrmBB1[Cur],(FrmBB1[PrjId]=TEXT($B190,"@"))*(FrmBB1[Row]=$E190)*(FrmBB1[Column]=UPPER(_xlfn.LET(_xlpm.x,_xlfn.TEXTBEFORE(Y$114," ("),IFERROR(_xlpm.x,Y$114)))&amp;" "&amp;Y$115),0)))</f>
        <v>0</v>
      </c>
      <c r="Z190" s="157" cm="1">
        <f t="array" aca="1" ref="Z190" ca="1">IF(OR($E190="X",$E190="",$E190=0,$B190="X",$B190="",$B190=0),0,SUM(_xlfn._xlws.FILTER(FrmBB1[Cur],(FrmBB1[PrjId]=TEXT($B190,"@"))*(FrmBB1[Row]=$E190)*(FrmBB1[Column]=UPPER(_xlfn.LET(_xlpm.x,_xlfn.TEXTBEFORE(Y$114," ("),IFERROR(_xlpm.x,Y$114)))&amp;" "&amp;Z$115),0)))</f>
        <v>0</v>
      </c>
      <c r="AA190" s="158" cm="1">
        <f t="array" aca="1" ref="AA190" ca="1">IF(OR($E190="X",$E190="",$E190=0,$B190="X",$B190="",$B190=0),0,SUM(_xlfn._xlws.FILTER(FrmBB1[Cur],(FrmBB1[PrjId]=TEXT($B190,"@"))*(FrmBB1[Row]=$E190)*(FrmBB1[Column]=UPPER(_xlfn.LET(_xlpm.x,_xlfn.TEXTBEFORE(AA$114," ("),IFERROR(_xlpm.x,AA$114)))&amp;" "&amp;AA$115),0)))</f>
        <v>0</v>
      </c>
      <c r="AB190" s="157" cm="1">
        <f t="array" aca="1" ref="AB190" ca="1">IF(OR($E190="X",$E190="",$E190=0,$B190="X",$B190="",$B190=0),0,SUM(_xlfn._xlws.FILTER(FrmBB1[Cur],(FrmBB1[PrjId]=TEXT($B190,"@"))*(FrmBB1[Row]=$E190)*(FrmBB1[Column]=UPPER(_xlfn.LET(_xlpm.x,_xlfn.TEXTBEFORE(AA$114," ("),IFERROR(_xlpm.x,AA$114)))&amp;" "&amp;AB$115),0)))</f>
        <v>0</v>
      </c>
      <c r="AC190" s="158" cm="1">
        <f t="array" aca="1" ref="AC190" ca="1">IF(OR($E190="X",$E190="",$E190=0,$B190="X",$B190="",$B190=0),0,SUM(_xlfn._xlws.FILTER(FrmBB1[Cur],(FrmBB1[PrjId]=TEXT($B190,"@"))*(FrmBB1[Row]=$E190)*(FrmBB1[Column]=UPPER(_xlfn.LET(_xlpm.x,_xlfn.TEXTBEFORE(AC$114," ("),IFERROR(_xlpm.x,AC$114)))&amp;" "&amp;AC$115),0)))</f>
        <v>0</v>
      </c>
      <c r="AD190" s="157" cm="1">
        <f t="array" aca="1" ref="AD190" ca="1">IF(OR($E190="X",$E190="",$E190=0,$B190="X",$B190="",$B190=0),0,SUM(_xlfn._xlws.FILTER(FrmBB1[Cur],(FrmBB1[PrjId]=TEXT($B190,"@"))*(FrmBB1[Row]=$E190)*(FrmBB1[Column]=UPPER(_xlfn.LET(_xlpm.x,_xlfn.TEXTBEFORE(AC$114," ("),IFERROR(_xlpm.x,AC$114)))&amp;" "&amp;AD$115),0)))</f>
        <v>0</v>
      </c>
      <c r="AE190" s="158" cm="1">
        <f t="array" aca="1" ref="AE190" ca="1">IF(OR($E190="X",$E190="",$E190=0,$B190="X",$B190="",$B190=0),0,SUM(_xlfn._xlws.FILTER(FrmBB1[Cur],(FrmBB1[PrjId]=TEXT($B190,"@"))*(FrmBB1[Row]=$E190)*(FrmBB1[Column]=UPPER(_xlfn.LET(_xlpm.x,_xlfn.TEXTBEFORE(AE$114," ("),IFERROR(_xlpm.x,AE$114)))&amp;" "&amp;AE$115),0)))</f>
        <v>0</v>
      </c>
      <c r="AF190" s="157" cm="1">
        <f t="array" aca="1" ref="AF190" ca="1">IF(OR($E190="X",$E190="",$E190=0,$B190="X",$B190="",$B190=0),0,SUM(_xlfn._xlws.FILTER(FrmBB1[Cur],(FrmBB1[PrjId]=TEXT($B190,"@"))*(FrmBB1[Row]=$E190)*(FrmBB1[Column]=UPPER(_xlfn.LET(_xlpm.x,_xlfn.TEXTBEFORE(AE$114," ("),IFERROR(_xlpm.x,AE$114)))&amp;" "&amp;AF$115),0)))</f>
        <v>0</v>
      </c>
      <c r="AG190" s="158" cm="1">
        <f t="array" aca="1" ref="AG190" ca="1">IF(OR($E190="X",$E190="",$E190=0,$B190="X",$B190="",$B190=0),0,SUM(_xlfn._xlws.FILTER(FrmBB1[Cur],(FrmBB1[PrjId]=TEXT($B190,"@"))*(FrmBB1[Row]=$E190)*(FrmBB1[Column]=UPPER(_xlfn.LET(_xlpm.x,_xlfn.TEXTBEFORE(AG$114," ("),IFERROR(_xlpm.x,AG$114)))&amp;" "&amp;AG$115),0)))</f>
        <v>0</v>
      </c>
      <c r="AH190" s="157" cm="1">
        <f t="array" aca="1" ref="AH190" ca="1">IF(OR($E190="X",$E190="",$E190=0,$B190="X",$B190="",$B190=0),0,SUM(_xlfn._xlws.FILTER(FrmBB1[Cur],(FrmBB1[PrjId]=TEXT($B190,"@"))*(FrmBB1[Row]=$E190)*(FrmBB1[Column]=UPPER(_xlfn.LET(_xlpm.x,_xlfn.TEXTBEFORE(AG$114," ("),IFERROR(_xlpm.x,AG$114)))&amp;" "&amp;AH$115),0)))</f>
        <v>0</v>
      </c>
      <c r="AI190" s="158" cm="1">
        <f t="array" aca="1" ref="AI190" ca="1">IF(OR($E190="X",$E190="",$E190=0,$B190="X",$B190="",$B190=0),0,SUM(_xlfn._xlws.FILTER(FrmBB1[Cur],(FrmBB1[PrjId]=TEXT($B190,"@"))*(FrmBB1[Row]=$E190)*(FrmBB1[Column]=UPPER(_xlfn.LET(_xlpm.x,_xlfn.TEXTBEFORE(AI$114," ("),IFERROR(_xlpm.x,AI$114)))&amp;" "&amp;AI$115),0)))</f>
        <v>0</v>
      </c>
      <c r="AJ190" s="157" cm="1">
        <f t="array" aca="1" ref="AJ190" ca="1">IF(OR($E190="X",$E190="",$E190=0,$B190="X",$B190="",$B190=0),0,SUM(_xlfn._xlws.FILTER(FrmBB1[Cur],(FrmBB1[PrjId]=TEXT($B190,"@"))*(FrmBB1[Row]=$E190)*(FrmBB1[Column]=UPPER(_xlfn.LET(_xlpm.x,_xlfn.TEXTBEFORE(AI$114," ("),IFERROR(_xlpm.x,AI$114)))&amp;" "&amp;AJ$115),0)))</f>
        <v>10403.970000000001</v>
      </c>
      <c r="AK190" s="158" cm="1">
        <f t="array" aca="1" ref="AK190" ca="1">IF(OR($E190="X",$E190="",$E190=0,$B190="X",$B190="",$B190=0),0,SUM(_xlfn._xlws.FILTER(FrmBB1[Cur],(FrmBB1[PrjId]=TEXT($B190,"@"))*(FrmBB1[Row]=$E190)*(FrmBB1[Column]=UPPER(_xlfn.LET(_xlpm.x,_xlfn.TEXTBEFORE(AK$114," ("),IFERROR(_xlpm.x,AK$114)))&amp;" "&amp;AK$115),0)))</f>
        <v>0</v>
      </c>
      <c r="AL190" s="157" cm="1">
        <f t="array" aca="1" ref="AL190" ca="1">IF(OR($E190="X",$E190="",$E190=0,$B190="X",$B190="",$B190=0),0,SUM(_xlfn._xlws.FILTER(FrmBB1[Cur],(FrmBB1[PrjId]=TEXT($B190,"@"))*(FrmBB1[Row]=$E190)*(FrmBB1[Column]=UPPER(_xlfn.LET(_xlpm.x,_xlfn.TEXTBEFORE(AK$114," ("),IFERROR(_xlpm.x,AK$114)))&amp;" "&amp;AL$115),0)))</f>
        <v>1015.74</v>
      </c>
      <c r="AM190" s="158" cm="1">
        <f t="array" aca="1" ref="AM190" ca="1">IF(OR($E190="X",$E190="",$E190=0,$B190="X",$B190="",$B190=0),0,SUM(_xlfn._xlws.FILTER(FrmBB1[Cur],(FrmBB1[PrjId]=TEXT($B190,"@"))*(FrmBB1[Row]=$E190)*(FrmBB1[Column]=UPPER(_xlfn.LET(_xlpm.x,_xlfn.TEXTBEFORE(AM$114," ("),IFERROR(_xlpm.x,AM$114)))&amp;" "&amp;AM$115),0)))</f>
        <v>0</v>
      </c>
      <c r="AN190" s="157" cm="1">
        <f t="array" aca="1" ref="AN190" ca="1">IF(OR($E190="X",$E190="",$E190=0,$B190="X",$B190="",$B190=0),0,SUM(_xlfn._xlws.FILTER(FrmBB1[Cur],(FrmBB1[PrjId]=TEXT($B190,"@"))*(FrmBB1[Row]=$E190)*(FrmBB1[Column]=UPPER(_xlfn.LET(_xlpm.x,_xlfn.TEXTBEFORE(AM$114," ("),IFERROR(_xlpm.x,AM$114)))&amp;" "&amp;AN$115),0)))</f>
        <v>425.56</v>
      </c>
      <c r="AO190" s="158" cm="1">
        <f t="array" aca="1" ref="AO190" ca="1">IF(OR($E190="X",$E190="",$E190=0,$B190="X",$B190="",$B190=0),0,SUM(_xlfn._xlws.FILTER(FrmBB1[Cur],(FrmBB1[PrjId]=TEXT($B190,"@"))*(FrmBB1[Row]=$E190)*(FrmBB1[Column]=UPPER(_xlfn.LET(_xlpm.x,_xlfn.TEXTBEFORE(AO$114," ("),IFERROR(_xlpm.x,AO$114)))&amp;" "&amp;AO$115),0)))</f>
        <v>0</v>
      </c>
      <c r="AP190" s="157" cm="1">
        <f t="array" aca="1" ref="AP190" ca="1">IF(OR($E190="X",$E190="",$E190=0,$B190="X",$B190="",$B190=0),0,SUM(_xlfn._xlws.FILTER(FrmBB1[Cur],(FrmBB1[PrjId]=TEXT($B190,"@"))*(FrmBB1[Row]=$E190)*(FrmBB1[Column]=UPPER(_xlfn.LET(_xlpm.x,_xlfn.TEXTBEFORE(AO$114," ("),IFERROR(_xlpm.x,AO$114)))&amp;" "&amp;AP$115),0)))</f>
        <v>0</v>
      </c>
      <c r="AQ190" s="157" cm="1">
        <f t="array" aca="1" ref="AQ190" ca="1">SUM(IF(INDIRECT($AS$115)=AQ$115,INDIRECT($AS190)))</f>
        <v>0</v>
      </c>
      <c r="AR190" s="157" cm="1">
        <f t="array" aca="1" ref="AR190" ca="1">SUM(IF(INDIRECT($AS$115)=AR$115,INDIRECT($AS190)))</f>
        <v>11845.27</v>
      </c>
      <c r="AS190" s="286" t="str">
        <f t="shared" ca="1" si="16"/>
        <v>G190:AP190</v>
      </c>
      <c r="AT190" s="403">
        <f t="shared" ca="1" si="17"/>
        <v>11845.27</v>
      </c>
      <c r="AV190" s="142" cm="1">
        <f t="array" aca="1" ref="AV190" ca="1">IF(AND(_xlfn.LET(_xlpm.x,SUM(ROW()),OR(AND(MATCH("SOT",$A:$A,0)&lt;_xlpm.x,MATCH("EOT",$A:$A,0)&gt;_xlpm.x),AND(MATCH("SOS",$A:$A,0)&lt;_xlpm.x,MATCH("EOS",$A:$A,0)&gt;_xlpm.x),AND(MATCH("SOR",$A:$A,0)&lt;_xlpm.x,MATCH("EOR",$A:$A,0)&gt;_xlpm.x))),INDIRECT("rc"&amp;MATCH("SCD",$1:$1,0),FALSE)="PPTO"),1,0)</f>
        <v>0</v>
      </c>
      <c r="AW190" s="142" cm="1">
        <f t="array" aca="1" ref="AW19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91" spans="2:49" outlineLevel="1">
      <c r="B191" s="156" t="str" cm="1">
        <f t="array" aca="1" ref="B191:E191" ca="1">_xlfn.LET(_xlpm.x,SUM(ROW()-MATCH("SOR",$A:$A,0)),_xlpm.y,IFERROR(_xlfn.TAKE(INDEX(_xlfn._xlws.FILTER(TbAssign[],ISNUMBER(FIND(TbAssign[Project],$C$4)),"X"),1+QUOTIENT(_xlpm.x,3),0),1,4),0),IF(MOD(_xlpm.x-1,3)=0,IF(_xlpm.y=0,"X",_xlpm.y),INDIRECT("r[-1]c#",FALSE)))</f>
        <v>31200</v>
      </c>
      <c r="C191" s="156" t="str">
        <f ca="1"/>
        <v>XH02</v>
      </c>
      <c r="D191" s="148" t="str">
        <f ca="1"/>
        <v>CTBA</v>
      </c>
      <c r="E191" s="352" t="str">
        <f ca="1"/>
        <v>CUADRANTES CD2</v>
      </c>
      <c r="F191" s="148" t="s">
        <v>397</v>
      </c>
      <c r="G191" s="157" cm="1">
        <f t="array" aca="1" ref="G191" ca="1">IF(OR($E191="X",$E191="",$E191=0,$B191="X",$B191="",$B191=0),0,SUM(_xlfn._xlws.FILTER(IF($E$4="Ppto",PptoSty[CurPpto],PptoSty[CurInt]),(IF($E$4="Ppto",PptoSty[POvsCT]=G$113,TRUE))*(PptoSty[Project]=TEXT($B191,"@"))*(PptoSty[PptoVsRow]=$E191)*(PptoSty[PptoVsColumn]=UPPER(G$114)),0)))</f>
        <v>0</v>
      </c>
      <c r="H191" s="157" cm="1">
        <f t="array" aca="1" ref="H191" ca="1">IF(OR($E191="X",$E191="",$E191=0,$B191="X",$B191="",$B191=0),0,SUM(_xlfn._xlws.FILTER(IF($E$4="Ppto",PptoSty[CurPpto],PptoSty[CurExt]),(IF($E$4="Ppto",PptoSty[POvsCT]=H$113,TRUE))*(PptoSty[Project]=TEXT($B191,"@"))*(PptoSty[PptoVsRow]=$E191)*(PptoSty[PptoVsColumn]=UPPER(G$114)),0)))</f>
        <v>0</v>
      </c>
      <c r="I191" s="157" cm="1">
        <f t="array" aca="1" ref="I191" ca="1">IF(OR($E191="X",$E191="",$E191=0,$B191="X",$B191="",$B191=0),0,SUM(_xlfn._xlws.FILTER(IF($E$4="Ppto",PptoSty[CurPpto],PptoSty[CurInt]),(IF($E$4="Ppto",PptoSty[POvsCT]=I$113,TRUE))*(PptoSty[Project]=TEXT($B191,"@"))*(PptoSty[PptoVsRow]=$E191)*(PptoSty[PptoVsColumn]=UPPER(I$114)),0)))</f>
        <v>0</v>
      </c>
      <c r="J191" s="157" cm="1">
        <f t="array" aca="1" ref="J191" ca="1">IF(OR($E191="X",$E191="",$E191=0,$B191="X",$B191="",$B191=0),0,SUM(_xlfn._xlws.FILTER(IF($E$4="Ppto",PptoSty[CurPpto],PptoSty[CurExt]),(IF($E$4="Ppto",PptoSty[POvsCT]=J$113,TRUE))*(PptoSty[Project]=TEXT($B191,"@"))*(PptoSty[PptoVsRow]=$E191)*(PptoSty[PptoVsColumn]=UPPER(I$114)),0)))</f>
        <v>0</v>
      </c>
      <c r="K191" s="157" cm="1">
        <f t="array" aca="1" ref="K191" ca="1">IF(OR($E191="X",$E191="",$E191=0,$B191="X",$B191="",$B191=0),0,SUM(_xlfn._xlws.FILTER(IF($E$4="Ppto",PptoSty[CurPpto],PptoSty[CurInt]),(IF($E$4="Ppto",PptoSty[POvsCT]=K$113,TRUE))*(PptoSty[Project]=TEXT($B191,"@"))*(PptoSty[PptoVsRow]=$E191)*(PptoSty[PptoVsColumn]=UPPER(K$114)),0)))</f>
        <v>0</v>
      </c>
      <c r="L191" s="157" cm="1">
        <f t="array" aca="1" ref="L191" ca="1">IF(OR($E191="X",$E191="",$E191=0,$B191="X",$B191="",$B191=0),0,SUM(_xlfn._xlws.FILTER(IF($E$4="Ppto",PptoSty[CurPpto],PptoSty[CurExt]),(IF($E$4="Ppto",PptoSty[POvsCT]=L$113,TRUE))*(PptoSty[Project]=TEXT($B191,"@"))*(PptoSty[PptoVsRow]=$E191)*(PptoSty[PptoVsColumn]=UPPER(K$114)),0)))</f>
        <v>0</v>
      </c>
      <c r="M191" s="157" cm="1">
        <f t="array" aca="1" ref="M191" ca="1">IF(OR($E191="X",$E191="",$E191=0,$B191="X",$B191="",$B191=0),0,SUM(_xlfn._xlws.FILTER(IF($E$4="Ppto",PptoSty[CurPpto],PptoSty[CurInt]),(IF($E$4="Ppto",PptoSty[POvsCT]=M$113,TRUE))*(PptoSty[Project]=TEXT($B191,"@"))*(PptoSty[PptoVsRow]=$E191)*(PptoSty[PptoVsColumn]=UPPER(M$114)),0)))</f>
        <v>0</v>
      </c>
      <c r="N191" s="157" cm="1">
        <f t="array" aca="1" ref="N191" ca="1">IF(OR($E191="X",$E191="",$E191=0,$B191="X",$B191="",$B191=0),0,SUM(_xlfn._xlws.FILTER(IF($E$4="Ppto",PptoSty[CurPpto],PptoSty[CurExt]),(IF($E$4="Ppto",PptoSty[POvsCT]=N$113,TRUE))*(PptoSty[Project]=TEXT($B191,"@"))*(PptoSty[PptoVsRow]=$E191)*(PptoSty[PptoVsColumn]=UPPER(M$114)),0)))</f>
        <v>0</v>
      </c>
      <c r="O191" s="157" cm="1">
        <f t="array" aca="1" ref="O191" ca="1">IF(OR($E191="X",$E191="",$E191=0,$B191="X",$B191="",$B191=0),0,SUM(_xlfn._xlws.FILTER(IF($E$4="Ppto",PptoSty[CurPpto],PptoSty[CurInt]),(IF($E$4="Ppto",PptoSty[POvsCT]=O$113,TRUE))*(PptoSty[Project]=TEXT($B191,"@"))*(PptoSty[PptoVsRow]=$E191)*(PptoSty[PptoVsColumn]=UPPER(O$114)),0)))</f>
        <v>0</v>
      </c>
      <c r="P191" s="157" cm="1">
        <f t="array" aca="1" ref="P191" ca="1">IF(OR($E191="X",$E191="",$E191=0,$B191="X",$B191="",$B191=0),0,SUM(_xlfn._xlws.FILTER(IF($E$4="Ppto",PptoSty[CurPpto],PptoSty[CurExt]),(IF($E$4="Ppto",PptoSty[POvsCT]=P$113,TRUE))*(PptoSty[Project]=TEXT($B191,"@"))*(PptoSty[PptoVsRow]=$E191)*(PptoSty[PptoVsColumn]=UPPER(O$114)),0)))</f>
        <v>0</v>
      </c>
      <c r="Q191" s="157" cm="1">
        <f t="array" aca="1" ref="Q191" ca="1">IF(OR($E191="X",$E191="",$E191=0,$B191="X",$B191="",$B191=0),0,SUM(_xlfn._xlws.FILTER(IF($E$4="Ppto",PptoSty[CurPpto],PptoSty[CurInt]),(IF($E$4="Ppto",PptoSty[POvsCT]=Q$113,TRUE))*(PptoSty[Project]=TEXT($B191,"@"))*(PptoSty[PptoVsRow]=$E191)*(PptoSty[PptoVsColumn]=UPPER(Q$114)),0)))</f>
        <v>0</v>
      </c>
      <c r="R191" s="157" cm="1">
        <f t="array" aca="1" ref="R191" ca="1">IF(OR($E191="X",$E191="",$E191=0,$B191="X",$B191="",$B191=0),0,SUM(_xlfn._xlws.FILTER(IF($E$4="Ppto",PptoSty[CurPpto],PptoSty[CurExt]),(IF($E$4="Ppto",PptoSty[POvsCT]=R$113,TRUE))*(PptoSty[Project]=TEXT($B191,"@"))*(PptoSty[PptoVsRow]=$E191)*(PptoSty[PptoVsColumn]=UPPER(Q$114)),0)))</f>
        <v>0</v>
      </c>
      <c r="S191" s="157" cm="1">
        <f t="array" aca="1" ref="S191" ca="1">IF(OR($E191="X",$E191="",$E191=0,$B191="X",$B191="",$B191=0),0,SUM(_xlfn._xlws.FILTER(IF($E$4="Ppto",PptoSty[CurPpto],PptoSty[CurInt]),(IF($E$4="Ppto",PptoSty[POvsCT]=S$113,TRUE))*(PptoSty[Project]=TEXT($B191,"@"))*(PptoSty[PptoVsRow]=$E191)*(PptoSty[PptoVsColumn]=UPPER(S$114)),0)))</f>
        <v>0</v>
      </c>
      <c r="T191" s="157" cm="1">
        <f t="array" aca="1" ref="T191" ca="1">IF(OR($E191="X",$E191="",$E191=0,$B191="X",$B191="",$B191=0),0,SUM(_xlfn._xlws.FILTER(IF($E$4="Ppto",PptoSty[CurPpto],PptoSty[CurExt]),(IF($E$4="Ppto",PptoSty[POvsCT]=T$113,TRUE))*(PptoSty[Project]=TEXT($B191,"@"))*(PptoSty[PptoVsRow]=$E191)*(PptoSty[PptoVsColumn]=UPPER(S$114)),0)))</f>
        <v>0</v>
      </c>
      <c r="U191" s="157" cm="1">
        <f t="array" aca="1" ref="U191" ca="1">IF(OR($E191="X",$E191="",$E191=0,$B191="X",$B191="",$B191=0),0,SUM(_xlfn._xlws.FILTER(IF($E$4="Ppto",PptoSty[CurPpto],PptoSty[CurInt]),(IF($E$4="Ppto",PptoSty[POvsCT]=U$113,TRUE))*(PptoSty[Project]=TEXT($B191,"@"))*(PptoSty[PptoVsRow]=$E191)*(PptoSty[PptoVsColumn]=UPPER(U$114)),0)))</f>
        <v>0</v>
      </c>
      <c r="V191" s="157" cm="1">
        <f t="array" aca="1" ref="V191" ca="1">IF(OR($E191="X",$E191="",$E191=0,$B191="X",$B191="",$B191=0),0,SUM(_xlfn._xlws.FILTER(IF($E$4="Ppto",PptoSty[CurPpto],PptoSty[CurExt]),(IF($E$4="Ppto",PptoSty[POvsCT]=V$113,TRUE))*(PptoSty[Project]=TEXT($B191,"@"))*(PptoSty[PptoVsRow]=$E191)*(PptoSty[PptoVsColumn]=UPPER(U$114)),0)))</f>
        <v>0</v>
      </c>
      <c r="W191" s="157" cm="1">
        <f t="array" aca="1" ref="W191" ca="1">IF(OR($E191="X",$E191="",$E191=0,$B191="X",$B191="",$B191=0),0,SUM(_xlfn._xlws.FILTER(IF($E$4="Ppto",PptoSty[CurPpto],PptoSty[CurInt]),(IF($E$4="Ppto",PptoSty[POvsCT]=W$113,TRUE))*(PptoSty[Project]=TEXT($B191,"@"))*(PptoSty[PptoVsRow]=$E191)*(PptoSty[PptoVsColumn]=UPPER(W$114)),0)))</f>
        <v>0</v>
      </c>
      <c r="X191" s="157" cm="1">
        <f t="array" aca="1" ref="X191" ca="1">IF(OR($E191="X",$E191="",$E191=0,$B191="X",$B191="",$B191=0),0,SUM(_xlfn._xlws.FILTER(IF($E$4="Ppto",PptoSty[CurPpto],PptoSty[CurExt]),(IF($E$4="Ppto",PptoSty[POvsCT]=X$113,TRUE))*(PptoSty[Project]=TEXT($B191,"@"))*(PptoSty[PptoVsRow]=$E191)*(PptoSty[PptoVsColumn]=UPPER(W$114)),0)))</f>
        <v>0</v>
      </c>
      <c r="Y191" s="157" cm="1">
        <f t="array" aca="1" ref="Y191" ca="1">IF(OR($E191="X",$E191="",$E191=0,$B191="X",$B191="",$B191=0),0,SUM(_xlfn._xlws.FILTER(IF($E$4="Ppto",PptoSty[CurPpto],PptoSty[CurInt]),(IF($E$4="Ppto",PptoSty[POvsCT]=Y$113,TRUE))*(PptoSty[Project]=TEXT($B191,"@"))*(PptoSty[PptoVsRow]=$E191)*(PptoSty[PptoVsColumn]=UPPER(Y$114)),0)))</f>
        <v>0</v>
      </c>
      <c r="Z191" s="157" cm="1">
        <f t="array" aca="1" ref="Z191" ca="1">IF(OR($E191="X",$E191="",$E191=0,$B191="X",$B191="",$B191=0),0,SUM(_xlfn._xlws.FILTER(IF($E$4="Ppto",PptoSty[CurPpto],PptoSty[CurExt]),(IF($E$4="Ppto",PptoSty[POvsCT]=Z$113,TRUE))*(PptoSty[Project]=TEXT($B191,"@"))*(PptoSty[PptoVsRow]=$E191)*(PptoSty[PptoVsColumn]=UPPER(Y$114)),0)))</f>
        <v>0</v>
      </c>
      <c r="AA191" s="157" cm="1">
        <f t="array" aca="1" ref="AA191" ca="1">IF(OR($E191="X",$E191="",$E191=0,$B191="X",$B191="",$B191=0),0,SUM(_xlfn._xlws.FILTER(IF($E$4="Ppto",PptoSty[CurPpto],PptoSty[CurInt]),(IF($E$4="Ppto",PptoSty[POvsCT]=AA$113,TRUE))*(PptoSty[Project]=TEXT($B191,"@"))*(PptoSty[PptoVsRow]=$E191)*(PptoSty[PptoVsColumn]=UPPER(AA$114)),0)))</f>
        <v>0</v>
      </c>
      <c r="AB191" s="157" cm="1">
        <f t="array" aca="1" ref="AB191" ca="1">IF(OR($E191="X",$E191="",$E191=0,$B191="X",$B191="",$B191=0),0,SUM(_xlfn._xlws.FILTER(IF($E$4="Ppto",PptoSty[CurPpto],PptoSty[CurExt]),(IF($E$4="Ppto",PptoSty[POvsCT]=AB$113,TRUE))*(PptoSty[Project]=TEXT($B191,"@"))*(PptoSty[PptoVsRow]=$E191)*(PptoSty[PptoVsColumn]=UPPER(AA$114)),0)))</f>
        <v>0</v>
      </c>
      <c r="AC191" s="157" cm="1">
        <f t="array" aca="1" ref="AC191" ca="1">IF(OR($E191="X",$E191="",$E191=0,$B191="X",$B191="",$B191=0),0,SUM(_xlfn._xlws.FILTER(IF($E$4="Ppto",PptoSty[CurPpto],PptoSty[CurInt]),(IF($E$4="Ppto",PptoSty[POvsCT]=AC$113,TRUE))*(PptoSty[Project]=TEXT($B191,"@"))*(PptoSty[PptoVsRow]=$E191)*(PptoSty[PptoVsColumn]=UPPER(AC$114)),0)))</f>
        <v>0</v>
      </c>
      <c r="AD191" s="157" cm="1">
        <f t="array" aca="1" ref="AD191" ca="1">IF(OR($E191="X",$E191="",$E191=0,$B191="X",$B191="",$B191=0),0,SUM(_xlfn._xlws.FILTER(IF($E$4="Ppto",PptoSty[CurPpto],PptoSty[CurExt]),(IF($E$4="Ppto",PptoSty[POvsCT]=AD$113,TRUE))*(PptoSty[Project]=TEXT($B191,"@"))*(PptoSty[PptoVsRow]=$E191)*(PptoSty[PptoVsColumn]=UPPER(AC$114)),0)))</f>
        <v>0</v>
      </c>
      <c r="AE191" s="157" cm="1">
        <f t="array" aca="1" ref="AE191" ca="1">IF(OR($E191="X",$E191="",$E191=0,$B191="X",$B191="",$B191=0),0,SUM(_xlfn._xlws.FILTER(IF($E$4="Ppto",PptoSty[CurPpto],PptoSty[CurInt]),(IF($E$4="Ppto",PptoSty[POvsCT]=AE$113,TRUE))*(PptoSty[Project]=TEXT($B191,"@"))*(PptoSty[PptoVsRow]=$E191)*(PptoSty[PptoVsColumn]=UPPER(AE$114)),0)))</f>
        <v>0</v>
      </c>
      <c r="AF191" s="157" cm="1">
        <f t="array" aca="1" ref="AF191" ca="1">IF(OR($E191="X",$E191="",$E191=0,$B191="X",$B191="",$B191=0),0,SUM(_xlfn._xlws.FILTER(IF($E$4="Ppto",PptoSty[CurPpto],PptoSty[CurExt]),(IF($E$4="Ppto",PptoSty[POvsCT]=AF$113,TRUE))*(PptoSty[Project]=TEXT($B191,"@"))*(PptoSty[PptoVsRow]=$E191)*(PptoSty[PptoVsColumn]=UPPER(AE$114)),0)))</f>
        <v>0</v>
      </c>
      <c r="AG191" s="157" cm="1">
        <f t="array" aca="1" ref="AG191" ca="1">IF(OR($E191="X",$E191="",$E191=0,$B191="X",$B191="",$B191=0),0,SUM(_xlfn._xlws.FILTER(IF($E$4="Ppto",PptoSty[CurPpto],PptoSty[CurInt]),(IF($E$4="Ppto",PptoSty[POvsCT]=AG$113,TRUE))*(PptoSty[Project]=TEXT($B191,"@"))*(PptoSty[PptoVsRow]=$E191)*(PptoSty[PptoVsColumn]=UPPER(AG$114)),0)))</f>
        <v>0</v>
      </c>
      <c r="AH191" s="157" cm="1">
        <f t="array" aca="1" ref="AH191" ca="1">IF(OR($E191="X",$E191="",$E191=0,$B191="X",$B191="",$B191=0),0,SUM(_xlfn._xlws.FILTER(IF($E$4="Ppto",PptoSty[CurPpto],PptoSty[CurExt]),(IF($E$4="Ppto",PptoSty[POvsCT]=AH$113,TRUE))*(PptoSty[Project]=TEXT($B191,"@"))*(PptoSty[PptoVsRow]=$E191)*(PptoSty[PptoVsColumn]=UPPER(AG$114)),0)))</f>
        <v>0</v>
      </c>
      <c r="AI191" s="157" cm="1">
        <f t="array" aca="1" ref="AI191" ca="1">IF(OR($E191="X",$E191="",$E191=0,$B191="X",$B191="",$B191=0),0,SUM(_xlfn._xlws.FILTER(IF($E$4="Ppto",PptoSty[CurPpto],PptoSty[CurInt]),(IF($E$4="Ppto",PptoSty[POvsCT]=AI$113,TRUE))*(PptoSty[Project]=TEXT($B191,"@"))*(PptoSty[PptoVsRow]=$E191)*(PptoSty[PptoVsColumn]=UPPER(AI$114)),0)))</f>
        <v>0</v>
      </c>
      <c r="AJ191" s="157" cm="1">
        <f t="array" aca="1" ref="AJ191" ca="1">IF(OR($E191="X",$E191="",$E191=0,$B191="X",$B191="",$B191=0),0,SUM(_xlfn._xlws.FILTER(IF($E$4="Ppto",PptoSty[CurPpto],PptoSty[CurExt]),(IF($E$4="Ppto",PptoSty[POvsCT]=AJ$113,TRUE))*(PptoSty[Project]=TEXT($B191,"@"))*(PptoSty[PptoVsRow]=$E191)*(PptoSty[PptoVsColumn]=UPPER(AI$114)),0)))</f>
        <v>0</v>
      </c>
      <c r="AK191" s="157" cm="1">
        <f t="array" aca="1" ref="AK191" ca="1">IF(OR($E191="X",$E191="",$E191=0,$B191="X",$B191="",$B191=0),0,SUM(_xlfn._xlws.FILTER(IF($E$4="Ppto",PptoSty[CurPpto],PptoSty[CurInt]),(IF($E$4="Ppto",PptoSty[POvsCT]=AK$113,TRUE))*(PptoSty[Project]=TEXT($B191,"@"))*(PptoSty[PptoVsRow]=$E191)*(PptoSty[PptoVsColumn]=UPPER(AK$114)),0)))</f>
        <v>0</v>
      </c>
      <c r="AL191" s="157" cm="1">
        <f t="array" aca="1" ref="AL191" ca="1">IF(OR($E191="X",$E191="",$E191=0,$B191="X",$B191="",$B191=0),0,SUM(_xlfn._xlws.FILTER(IF($E$4="Ppto",PptoSty[CurPpto],PptoSty[CurExt]),(IF($E$4="Ppto",PptoSty[POvsCT]=AL$113,TRUE))*(PptoSty[Project]=TEXT($B191,"@"))*(PptoSty[PptoVsRow]=$E191)*(PptoSty[PptoVsColumn]=UPPER(AK$114)),0)))</f>
        <v>0</v>
      </c>
      <c r="AM191" s="157" cm="1">
        <f t="array" aca="1" ref="AM191" ca="1">IF(OR($E191="X",$E191="",$E191=0,$B191="X",$B191="",$B191=0),0,SUM(_xlfn._xlws.FILTER(IF($E$4="Ppto",PptoSty[CurPpto],PptoSty[CurInt]),(IF($E$4="Ppto",PptoSty[POvsCT]=AM$113,TRUE))*(PptoSty[Project]=TEXT($B191,"@"))*(PptoSty[PptoVsRow]=$E191)*(PptoSty[PptoVsColumn]=UPPER(AM$114)),0)))</f>
        <v>0</v>
      </c>
      <c r="AN191" s="157" cm="1">
        <f t="array" aca="1" ref="AN191" ca="1">IF(OR($E191="X",$E191="",$E191=0,$B191="X",$B191="",$B191=0),0,SUM(_xlfn._xlws.FILTER(IF($E$4="Ppto",PptoSty[CurPpto],PptoSty[CurExt]),(IF($E$4="Ppto",PptoSty[POvsCT]=AN$113,TRUE))*(PptoSty[Project]=TEXT($B191,"@"))*(PptoSty[PptoVsRow]=$E191)*(PptoSty[PptoVsColumn]=UPPER(AM$114)),0)))</f>
        <v>0</v>
      </c>
      <c r="AO191" s="157" cm="1">
        <f t="array" aca="1" ref="AO191" ca="1">IF(OR($E191="X",$E191="",$E191=0,$B191="X",$B191="",$B191=0),0,SUM(_xlfn._xlws.FILTER(IF($E$4="Ppto",PptoSty[CurPpto],PptoSty[CurInt]),(IF($E$4="Ppto",PptoSty[POvsCT]=AO$113,TRUE))*(PptoSty[Project]=TEXT($B191,"@"))*(PptoSty[PptoVsRow]=$E191)*(PptoSty[PptoVsColumn]=UPPER(AO$114)),0)))</f>
        <v>0</v>
      </c>
      <c r="AP191" s="157" cm="1">
        <f t="array" aca="1" ref="AP191" ca="1">IF(OR($E191="X",$E191="",$E191=0,$B191="X",$B191="",$B191=0),0,SUM(_xlfn._xlws.FILTER(IF($E$4="Ppto",PptoSty[CurPpto],PptoSty[CurExt]),(IF($E$4="Ppto",PptoSty[POvsCT]=AP$113,TRUE))*(PptoSty[Project]=TEXT($B191,"@"))*(PptoSty[PptoVsRow]=$E191)*(PptoSty[PptoVsColumn]=UPPER(AO$114)),0)))</f>
        <v>0</v>
      </c>
      <c r="AQ191" s="157" cm="1">
        <f t="array" aca="1" ref="AQ191" ca="1">SUM(IF(INDIRECT($AS$115)=AQ$115,INDIRECT($AS191)))</f>
        <v>0</v>
      </c>
      <c r="AR191" s="157" cm="1">
        <f t="array" aca="1" ref="AR191" ca="1">SUM(IF(INDIRECT($AS$115)=AR$115,INDIRECT($AS191)))</f>
        <v>0</v>
      </c>
      <c r="AS191" s="286" t="str">
        <f t="shared" ca="1" si="16"/>
        <v>G191:AP191</v>
      </c>
      <c r="AT191" s="403">
        <f t="shared" ca="1" si="17"/>
        <v>0</v>
      </c>
      <c r="AV191" s="142" cm="1">
        <f t="array" aca="1" ref="AV191" ca="1">IF(AND(_xlfn.LET(_xlpm.x,SUM(ROW()),OR(AND(MATCH("SOT",$A:$A,0)&lt;_xlpm.x,MATCH("EOT",$A:$A,0)&gt;_xlpm.x),AND(MATCH("SOS",$A:$A,0)&lt;_xlpm.x,MATCH("EOS",$A:$A,0)&gt;_xlpm.x),AND(MATCH("SOR",$A:$A,0)&lt;_xlpm.x,MATCH("EOR",$A:$A,0)&gt;_xlpm.x))),INDIRECT("rc"&amp;MATCH("SCD",$1:$1,0),FALSE)="PPTO"),1,0)</f>
        <v>1</v>
      </c>
      <c r="AW191" s="142" cm="1">
        <f t="array" aca="1" ref="AW19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92" spans="2:49" outlineLevel="1">
      <c r="B192" s="156" t="str" cm="1">
        <f t="array" aca="1" ref="B192:E192" ca="1">_xlfn.LET(_xlpm.x,SUM(ROW()-MATCH("SOR",$A:$A,0)),_xlpm.y,IFERROR(_xlfn.TAKE(INDEX(_xlfn._xlws.FILTER(TbAssign[],ISNUMBER(FIND(TbAssign[Project],$C$4)),"X"),1+QUOTIENT(_xlpm.x,3),0),1,4),0),IF(MOD(_xlpm.x-1,3)=0,IF(_xlpm.y=0,"X",_xlpm.y),INDIRECT("r[-1]c#",FALSE)))</f>
        <v>31200</v>
      </c>
      <c r="C192" s="156" t="str">
        <f ca="1"/>
        <v>XH02</v>
      </c>
      <c r="D192" s="148" t="str">
        <f ca="1"/>
        <v>CTBA</v>
      </c>
      <c r="E192" s="352" t="str">
        <f ca="1"/>
        <v>CUADRANTES CD2</v>
      </c>
      <c r="F192" s="148" t="s">
        <v>1382</v>
      </c>
      <c r="G192" s="157" cm="1">
        <f t="array" aca="1" ref="G192" ca="1">IF(OR($E192="X",$E192="",$E192=0,$B192="X",$B192="",$B192=0),0,SUM(_xlfn._xlws.FILTER(PrvSty[DsvValue:SERRA],(PrvSty[Project]=TEXT($B192,"@"))*(PrvSty[Row]=$E192)*(PrvSty[Column]=UPPER(G$114)),0)))</f>
        <v>0</v>
      </c>
      <c r="H192" s="157" cm="1">
        <f t="array" aca="1" ref="H192" ca="1">IF(OR($E192="X",$E192="",$E192=0,$B192="X",$B192="",$B192=0),0,SUM(_xlfn._xlws.FILTER(PrvSty[DsvValue:EXT.],(PrvSty[Project]=TEXT($B192,"@"))*(PrvSty[Row]=$E192)*(PrvSty[Column]=UPPER(G$114)),0)))</f>
        <v>0</v>
      </c>
      <c r="I192" s="157" cm="1">
        <f t="array" aca="1" ref="I192" ca="1">IF(OR($E192="X",$E192="",$E192=0,$B192="X",$B192="",$B192=0),0,SUM(_xlfn._xlws.FILTER(PrvSty[DsvValue:SERRA],(PrvSty[Project]=TEXT($B192,"@"))*(PrvSty[Row]=$E192)*(PrvSty[Column]=UPPER(I$114)),0)))</f>
        <v>0</v>
      </c>
      <c r="J192" s="157" cm="1">
        <f t="array" aca="1" ref="J192" ca="1">IF(OR($E192="X",$E192="",$E192=0,$B192="X",$B192="",$B192=0),0,SUM(_xlfn._xlws.FILTER(PrvSty[DsvValue:EXT.],(PrvSty[Project]=TEXT($B192,"@"))*(PrvSty[Row]=$E192)*(PrvSty[Column]=UPPER(I$114)),0)))</f>
        <v>0</v>
      </c>
      <c r="K192" s="157" cm="1">
        <f t="array" aca="1" ref="K192" ca="1">IF(OR($E192="X",$E192="",$E192=0,$B192="X",$B192="",$B192=0),0,SUM(_xlfn._xlws.FILTER(PrvSty[DsvValue:SERRA],(PrvSty[Project]=TEXT($B192,"@"))*(PrvSty[Row]=$E192)*(PrvSty[Column]=UPPER(K$114)),0)))</f>
        <v>0</v>
      </c>
      <c r="L192" s="157" cm="1">
        <f t="array" aca="1" ref="L192" ca="1">IF(OR($E192="X",$E192="",$E192=0,$B192="X",$B192="",$B192=0),0,SUM(_xlfn._xlws.FILTER(PrvSty[DsvValue:EXT.],(PrvSty[Project]=TEXT($B192,"@"))*(PrvSty[Row]=$E192)*(PrvSty[Column]=UPPER(K$114)),0)))</f>
        <v>0</v>
      </c>
      <c r="M192" s="157" cm="1">
        <f t="array" aca="1" ref="M192" ca="1">IF(OR($E192="X",$E192="",$E192=0,$B192="X",$B192="",$B192=0),0,SUM(_xlfn._xlws.FILTER(PrvSty[DsvValue:SERRA],(PrvSty[Project]=TEXT($B192,"@"))*(PrvSty[Row]=$E192)*(PrvSty[Column]=UPPER(M$114)),0)))</f>
        <v>0</v>
      </c>
      <c r="N192" s="157" cm="1">
        <f t="array" aca="1" ref="N192" ca="1">IF(OR($E192="X",$E192="",$E192=0,$B192="X",$B192="",$B192=0),0,SUM(_xlfn._xlws.FILTER(PrvSty[DsvValue:EXT.],(PrvSty[Project]=TEXT($B192,"@"))*(PrvSty[Row]=$E192)*(PrvSty[Column]=UPPER(M$114)),0)))</f>
        <v>0</v>
      </c>
      <c r="O192" s="157" cm="1">
        <f t="array" aca="1" ref="O192" ca="1">IF(OR($E192="X",$E192="",$E192=0,$B192="X",$B192="",$B192=0),0,SUM(_xlfn._xlws.FILTER(PrvSty[DsvValue:SERRA],(PrvSty[Project]=TEXT($B192,"@"))*(PrvSty[Row]=$E192)*(PrvSty[Column]=UPPER(O$114)),0)))</f>
        <v>0</v>
      </c>
      <c r="P192" s="157" cm="1">
        <f t="array" aca="1" ref="P192" ca="1">IF(OR($E192="X",$E192="",$E192=0,$B192="X",$B192="",$B192=0),0,SUM(_xlfn._xlws.FILTER(PrvSty[DsvValue:EXT.],(PrvSty[Project]=TEXT($B192,"@"))*(PrvSty[Row]=$E192)*(PrvSty[Column]=UPPER(O$114)),0)))</f>
        <v>0</v>
      </c>
      <c r="Q192" s="157" cm="1">
        <f t="array" aca="1" ref="Q192" ca="1">IF(OR($E192="X",$E192="",$E192=0,$B192="X",$B192="",$B192=0),0,SUM(_xlfn._xlws.FILTER(PrvSty[DsvValue:SERRA],(PrvSty[Project]=TEXT($B192,"@"))*(PrvSty[Row]=$E192)*(PrvSty[Column]=UPPER(Q$114)),0)))</f>
        <v>0</v>
      </c>
      <c r="R192" s="157" cm="1">
        <f t="array" aca="1" ref="R192" ca="1">IF(OR($E192="X",$E192="",$E192=0,$B192="X",$B192="",$B192=0),0,SUM(_xlfn._xlws.FILTER(PrvSty[DsvValue:EXT.],(PrvSty[Project]=TEXT($B192,"@"))*(PrvSty[Row]=$E192)*(PrvSty[Column]=UPPER(Q$114)),0)))</f>
        <v>0</v>
      </c>
      <c r="S192" s="157" cm="1">
        <f t="array" aca="1" ref="S192" ca="1">IF(OR($E192="X",$E192="",$E192=0,$B192="X",$B192="",$B192=0),0,SUM(_xlfn._xlws.FILTER(PrvSty[DsvValue:SERRA],(PrvSty[Project]=TEXT($B192,"@"))*(PrvSty[Row]=$E192)*(PrvSty[Column]=UPPER(S$114)),0)))</f>
        <v>0</v>
      </c>
      <c r="T192" s="157" cm="1">
        <f t="array" aca="1" ref="T192" ca="1">IF(OR($E192="X",$E192="",$E192=0,$B192="X",$B192="",$B192=0),0,SUM(_xlfn._xlws.FILTER(PrvSty[DsvValue:EXT.],(PrvSty[Project]=TEXT($B192,"@"))*(PrvSty[Row]=$E192)*(PrvSty[Column]=UPPER(S$114)),0)))</f>
        <v>0</v>
      </c>
      <c r="U192" s="157" cm="1">
        <f t="array" aca="1" ref="U192" ca="1">IF(OR($E192="X",$E192="",$E192=0,$B192="X",$B192="",$B192=0),0,SUM(_xlfn._xlws.FILTER(PrvSty[DsvValue:SERRA],(PrvSty[Project]=TEXT($B192,"@"))*(PrvSty[Row]=$E192)*(PrvSty[Column]=UPPER(U$114)),0)))</f>
        <v>0</v>
      </c>
      <c r="V192" s="157" cm="1">
        <f t="array" aca="1" ref="V192" ca="1">IF(OR($E192="X",$E192="",$E192=0,$B192="X",$B192="",$B192=0),0,SUM(_xlfn._xlws.FILTER(PrvSty[DsvValue:EXT.],(PrvSty[Project]=TEXT($B192,"@"))*(PrvSty[Row]=$E192)*(PrvSty[Column]=UPPER(U$114)),0)))</f>
        <v>0</v>
      </c>
      <c r="W192" s="157" cm="1">
        <f t="array" aca="1" ref="W192" ca="1">IF(OR($E192="X",$E192="",$E192=0,$B192="X",$B192="",$B192=0),0,SUM(_xlfn._xlws.FILTER(PrvSty[DsvValue:SERRA],(PrvSty[Project]=TEXT($B192,"@"))*(PrvSty[Row]=$E192)*(PrvSty[Column]=UPPER(W$114)),0)))</f>
        <v>0</v>
      </c>
      <c r="X192" s="157" cm="1">
        <f t="array" aca="1" ref="X192" ca="1">IF(OR($E192="X",$E192="",$E192=0,$B192="X",$B192="",$B192=0),0,SUM(_xlfn._xlws.FILTER(PrvSty[DsvValue:EXT.],(PrvSty[Project]=TEXT($B192,"@"))*(PrvSty[Row]=$E192)*(PrvSty[Column]=UPPER(W$114)),0)))</f>
        <v>0</v>
      </c>
      <c r="Y192" s="157" cm="1">
        <f t="array" aca="1" ref="Y192" ca="1">IF(OR($E192="X",$E192="",$E192=0,$B192="X",$B192="",$B192=0),0,SUM(_xlfn._xlws.FILTER(PrvSty[DsvValue:SERRA],(PrvSty[Project]=TEXT($B192,"@"))*(PrvSty[Row]=$E192)*(PrvSty[Column]=UPPER(Y$114)),0)))</f>
        <v>0</v>
      </c>
      <c r="Z192" s="157" cm="1">
        <f t="array" aca="1" ref="Z192" ca="1">IF(OR($E192="X",$E192="",$E192=0,$B192="X",$B192="",$B192=0),0,SUM(_xlfn._xlws.FILTER(PrvSty[DsvValue:EXT.],(PrvSty[Project]=TEXT($B192,"@"))*(PrvSty[Row]=$E192)*(PrvSty[Column]=UPPER(Y$114)),0)))</f>
        <v>0</v>
      </c>
      <c r="AA192" s="157" cm="1">
        <f t="array" aca="1" ref="AA192" ca="1">IF(OR($E192="X",$E192="",$E192=0,$B192="X",$B192="",$B192=0),0,SUM(_xlfn._xlws.FILTER(PrvSty[DsvValue:SERRA],(PrvSty[Project]=TEXT($B192,"@"))*(PrvSty[Row]=$E192)*(PrvSty[Column]=UPPER(AA$114)),0)))</f>
        <v>0</v>
      </c>
      <c r="AB192" s="157" cm="1">
        <f t="array" aca="1" ref="AB192" ca="1">IF(OR($E192="X",$E192="",$E192=0,$B192="X",$B192="",$B192=0),0,SUM(_xlfn._xlws.FILTER(PrvSty[DsvValue:EXT.],(PrvSty[Project]=TEXT($B192,"@"))*(PrvSty[Row]=$E192)*(PrvSty[Column]=UPPER(AA$114)),0)))</f>
        <v>0</v>
      </c>
      <c r="AC192" s="157" cm="1">
        <f t="array" aca="1" ref="AC192" ca="1">IF(OR($E192="X",$E192="",$E192=0,$B192="X",$B192="",$B192=0),0,SUM(_xlfn._xlws.FILTER(PrvSty[DsvValue:SERRA],(PrvSty[Project]=TEXT($B192,"@"))*(PrvSty[Row]=$E192)*(PrvSty[Column]=UPPER(AC$114)),0)))</f>
        <v>0</v>
      </c>
      <c r="AD192" s="157" cm="1">
        <f t="array" aca="1" ref="AD192" ca="1">IF(OR($E192="X",$E192="",$E192=0,$B192="X",$B192="",$B192=0),0,SUM(_xlfn._xlws.FILTER(PrvSty[DsvValue:EXT.],(PrvSty[Project]=TEXT($B192,"@"))*(PrvSty[Row]=$E192)*(PrvSty[Column]=UPPER(AC$114)),0)))</f>
        <v>0</v>
      </c>
      <c r="AE192" s="157" cm="1">
        <f t="array" aca="1" ref="AE192" ca="1">IF(OR($E192="X",$E192="",$E192=0,$B192="X",$B192="",$B192=0),0,SUM(_xlfn._xlws.FILTER(PrvSty[DsvValue:SERRA],(PrvSty[Project]=TEXT($B192,"@"))*(PrvSty[Row]=$E192)*(PrvSty[Column]=UPPER(AE$114)),0)))</f>
        <v>0</v>
      </c>
      <c r="AF192" s="157" cm="1">
        <f t="array" aca="1" ref="AF192" ca="1">IF(OR($E192="X",$E192="",$E192=0,$B192="X",$B192="",$B192=0),0,SUM(_xlfn._xlws.FILTER(PrvSty[DsvValue:EXT.],(PrvSty[Project]=TEXT($B192,"@"))*(PrvSty[Row]=$E192)*(PrvSty[Column]=UPPER(AE$114)),0)))</f>
        <v>0</v>
      </c>
      <c r="AG192" s="157" cm="1">
        <f t="array" aca="1" ref="AG192" ca="1">IF(OR($E192="X",$E192="",$E192=0,$B192="X",$B192="",$B192=0),0,SUM(_xlfn._xlws.FILTER(PrvSty[DsvValue:SERRA],(PrvSty[Project]=TEXT($B192,"@"))*(PrvSty[Row]=$E192)*(PrvSty[Column]=UPPER(AG$114)),0)))</f>
        <v>0</v>
      </c>
      <c r="AH192" s="157" cm="1">
        <f t="array" aca="1" ref="AH192" ca="1">IF(OR($E192="X",$E192="",$E192=0,$B192="X",$B192="",$B192=0),0,SUM(_xlfn._xlws.FILTER(PrvSty[DsvValue:EXT.],(PrvSty[Project]=TEXT($B192,"@"))*(PrvSty[Row]=$E192)*(PrvSty[Column]=UPPER(AG$114)),0)))</f>
        <v>0</v>
      </c>
      <c r="AI192" s="157" cm="1">
        <f t="array" aca="1" ref="AI192" ca="1">IF(OR($E192="X",$E192="",$E192=0,$B192="X",$B192="",$B192=0),0,SUM(_xlfn._xlws.FILTER(PrvSty[DsvValue:SERRA],(PrvSty[Project]=TEXT($B192,"@"))*(PrvSty[Row]=$E192)*(PrvSty[Column]=UPPER(AI$114)),0)))</f>
        <v>0</v>
      </c>
      <c r="AJ192" s="157" cm="1">
        <f t="array" aca="1" ref="AJ192" ca="1">IF(OR($E192="X",$E192="",$E192=0,$B192="X",$B192="",$B192=0),0,SUM(_xlfn._xlws.FILTER(PrvSty[DsvValue:EXT.],(PrvSty[Project]=TEXT($B192,"@"))*(PrvSty[Row]=$E192)*(PrvSty[Column]=UPPER(AI$114)),0)))</f>
        <v>0</v>
      </c>
      <c r="AK192" s="157" cm="1">
        <f t="array" aca="1" ref="AK192" ca="1">IF(OR($E192="X",$E192="",$E192=0,$B192="X",$B192="",$B192=0),0,SUM(_xlfn._xlws.FILTER(PrvSty[DsvValue:SERRA],(PrvSty[Project]=TEXT($B192,"@"))*(PrvSty[Row]=$E192)*(PrvSty[Column]=UPPER(AK$114)),0)))</f>
        <v>0</v>
      </c>
      <c r="AL192" s="157" cm="1">
        <f t="array" aca="1" ref="AL192" ca="1">IF(OR($E192="X",$E192="",$E192=0,$B192="X",$B192="",$B192=0),0,SUM(_xlfn._xlws.FILTER(PrvSty[DsvValue:EXT.],(PrvSty[Project]=TEXT($B192,"@"))*(PrvSty[Row]=$E192)*(PrvSty[Column]=UPPER(AK$114)),0)))</f>
        <v>0</v>
      </c>
      <c r="AM192" s="157" cm="1">
        <f t="array" aca="1" ref="AM192" ca="1">IF(OR($E192="X",$E192="",$E192=0,$B192="X",$B192="",$B192=0),0,SUM(_xlfn._xlws.FILTER(PrvSty[DsvValue:SERRA],(PrvSty[Project]=TEXT($B192,"@"))*(PrvSty[Row]=$E192)*(PrvSty[Column]=UPPER(AM$114)),0)))</f>
        <v>0</v>
      </c>
      <c r="AN192" s="157" cm="1">
        <f t="array" aca="1" ref="AN192" ca="1">IF(OR($E192="X",$E192="",$E192=0,$B192="X",$B192="",$B192=0),0,SUM(_xlfn._xlws.FILTER(PrvSty[DsvValue:EXT.],(PrvSty[Project]=TEXT($B192,"@"))*(PrvSty[Row]=$E192)*(PrvSty[Column]=UPPER(AM$114)),0)))</f>
        <v>0</v>
      </c>
      <c r="AO192" s="157" cm="1">
        <f t="array" aca="1" ref="AO192" ca="1">IF(OR($E192="X",$E192="",$E192=0,$B192="X",$B192="",$B192=0),0,SUM(_xlfn._xlws.FILTER(PrvSty[DsvValue:SERRA],(PrvSty[Project]=TEXT($B192,"@"))*(PrvSty[Row]=$E192)*(PrvSty[Column]=UPPER(AO$114)),0)))</f>
        <v>0</v>
      </c>
      <c r="AP192" s="157" cm="1">
        <f t="array" aca="1" ref="AP192" ca="1">IF(OR($E192="X",$E192="",$E192=0,$B192="X",$B192="",$B192=0),0,SUM(_xlfn._xlws.FILTER(PrvSty[DsvValue:EXT.],(PrvSty[Project]=TEXT($B192,"@"))*(PrvSty[Row]=$E192)*(PrvSty[Column]=UPPER(AO$114)),0)))</f>
        <v>0</v>
      </c>
      <c r="AQ192" s="157" cm="1">
        <f t="array" aca="1" ref="AQ192" ca="1">SUM(IF(INDIRECT($AS$115)=AQ$115,INDIRECT($AS192)))</f>
        <v>0</v>
      </c>
      <c r="AR192" s="157" cm="1">
        <f t="array" aca="1" ref="AR192" ca="1">SUM(IF(INDIRECT($AS$115)=AR$115,INDIRECT($AS192)))</f>
        <v>0</v>
      </c>
      <c r="AS192" s="286" t="str">
        <f t="shared" ca="1" si="16"/>
        <v>G192:AP192</v>
      </c>
      <c r="AT192" s="403">
        <f t="shared" ca="1" si="17"/>
        <v>0</v>
      </c>
      <c r="AV192" s="142" cm="1">
        <f t="array" aca="1" ref="AV192" ca="1">IF(AND(_xlfn.LET(_xlpm.x,SUM(ROW()),OR(AND(MATCH("SOT",$A:$A,0)&lt;_xlpm.x,MATCH("EOT",$A:$A,0)&gt;_xlpm.x),AND(MATCH("SOS",$A:$A,0)&lt;_xlpm.x,MATCH("EOS",$A:$A,0)&gt;_xlpm.x),AND(MATCH("SOR",$A:$A,0)&lt;_xlpm.x,MATCH("EOR",$A:$A,0)&gt;_xlpm.x))),INDIRECT("rc"&amp;MATCH("SCD",$1:$1,0),FALSE)="PPTO"),1,0)</f>
        <v>0</v>
      </c>
      <c r="AW192" s="142" cm="1">
        <f t="array" aca="1" ref="AW19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93" spans="2:49" outlineLevel="1">
      <c r="B193" s="156" t="str" cm="1">
        <f t="array" aca="1" ref="B193:E193" ca="1">_xlfn.LET(_xlpm.x,SUM(ROW()-MATCH("SOR",$A:$A,0)),_xlpm.y,IFERROR(_xlfn.TAKE(INDEX(_xlfn._xlws.FILTER(TbAssign[],ISNUMBER(FIND(TbAssign[Project],$C$4)),"X"),1+QUOTIENT(_xlpm.x,3),0),1,4),0),IF(MOD(_xlpm.x-1,3)=0,IF(_xlpm.y=0,"X",_xlpm.y),INDIRECT("r[-1]c#",FALSE)))</f>
        <v>31200</v>
      </c>
      <c r="C193" s="156" t="str">
        <f ca="1"/>
        <v>XH02</v>
      </c>
      <c r="D193" s="148" t="str">
        <f ca="1"/>
        <v>CTBA</v>
      </c>
      <c r="E193" s="352" t="str">
        <f ca="1"/>
        <v>CUADRANTES CD2</v>
      </c>
      <c r="F193" s="148" t="s">
        <v>1383</v>
      </c>
      <c r="G193" s="158" cm="1">
        <f t="array" aca="1" ref="G193" ca="1">IF(OR($E193="X",$E193="",$E193=0,$B193="X",$B193="",$B193=0),0,SUM(_xlfn._xlws.FILTER(FrmBB1[Cur],(FrmBB1[PrjId]=TEXT($B193,"@"))*(FrmBB1[Row]=$E193)*(FrmBB1[Column]=UPPER(_xlfn.LET(_xlpm.x,_xlfn.TEXTBEFORE(G$114," ("),IFERROR(_xlpm.x,G$114)))&amp;" "&amp;G$115),0)))</f>
        <v>0</v>
      </c>
      <c r="H193" s="157" cm="1">
        <f t="array" aca="1" ref="H193" ca="1">IF(OR($E193="X",$E193="",$E193=0,$B193="X",$B193="",$B193=0),0,SUM(_xlfn._xlws.FILTER(FrmBB1[Cur],(FrmBB1[PrjId]=TEXT($B193,"@"))*(FrmBB1[Row]=$E193)*(FrmBB1[Column]=UPPER(_xlfn.LET(_xlpm.x,_xlfn.TEXTBEFORE(G$114," ("),IFERROR(_xlpm.x,G$114)))&amp;" "&amp;H$115),0)))</f>
        <v>0</v>
      </c>
      <c r="I193" s="158" cm="1">
        <f t="array" aca="1" ref="I193" ca="1">IF(OR($E193="X",$E193="",$E193=0,$B193="X",$B193="",$B193=0),0,SUM(_xlfn._xlws.FILTER(FrmBB1[Cur],(FrmBB1[PrjId]=TEXT($B193,"@"))*(FrmBB1[Row]=$E193)*(FrmBB1[Column]=UPPER(_xlfn.LET(_xlpm.x,_xlfn.TEXTBEFORE(I$114," ("),IFERROR(_xlpm.x,I$114)))&amp;" "&amp;I$115),0)))</f>
        <v>0</v>
      </c>
      <c r="J193" s="157" cm="1">
        <f t="array" aca="1" ref="J193" ca="1">IF(OR($E193="X",$E193="",$E193=0,$B193="X",$B193="",$B193=0),0,SUM(_xlfn._xlws.FILTER(FrmBB1[Cur],(FrmBB1[PrjId]=TEXT($B193,"@"))*(FrmBB1[Row]=$E193)*(FrmBB1[Column]=UPPER(_xlfn.LET(_xlpm.x,_xlfn.TEXTBEFORE(I$114," ("),IFERROR(_xlpm.x,I$114)))&amp;" "&amp;J$115),0)))</f>
        <v>0</v>
      </c>
      <c r="K193" s="158" cm="1">
        <f t="array" aca="1" ref="K193" ca="1">IF(OR($E193="X",$E193="",$E193=0,$B193="X",$B193="",$B193=0),0,SUM(_xlfn._xlws.FILTER(FrmBB1[Cur],(FrmBB1[PrjId]=TEXT($B193,"@"))*(FrmBB1[Row]=$E193)*(FrmBB1[Column]=UPPER(_xlfn.LET(_xlpm.x,_xlfn.TEXTBEFORE(K$114," ("),IFERROR(_xlpm.x,K$114)))&amp;" "&amp;K$115),0)))</f>
        <v>0</v>
      </c>
      <c r="L193" s="157" cm="1">
        <f t="array" aca="1" ref="L193" ca="1">IF(OR($E193="X",$E193="",$E193=0,$B193="X",$B193="",$B193=0),0,SUM(_xlfn._xlws.FILTER(FrmBB1[Cur],(FrmBB1[PrjId]=TEXT($B193,"@"))*(FrmBB1[Row]=$E193)*(FrmBB1[Column]=UPPER(_xlfn.LET(_xlpm.x,_xlfn.TEXTBEFORE(K$114," ("),IFERROR(_xlpm.x,K$114)))&amp;" "&amp;L$115),0)))</f>
        <v>0</v>
      </c>
      <c r="M193" s="158" cm="1">
        <f t="array" aca="1" ref="M193" ca="1">IF(OR($E193="X",$E193="",$E193=0,$B193="X",$B193="",$B193=0),0,SUM(_xlfn._xlws.FILTER(FrmBB1[Cur],(FrmBB1[PrjId]=TEXT($B193,"@"))*(FrmBB1[Row]=$E193)*(FrmBB1[Column]=UPPER(_xlfn.LET(_xlpm.x,_xlfn.TEXTBEFORE(M$114," ("),IFERROR(_xlpm.x,M$114)))&amp;" "&amp;M$115),0)))</f>
        <v>0</v>
      </c>
      <c r="N193" s="157" cm="1">
        <f t="array" aca="1" ref="N193" ca="1">IF(OR($E193="X",$E193="",$E193=0,$B193="X",$B193="",$B193=0),0,SUM(_xlfn._xlws.FILTER(FrmBB1[Cur],(FrmBB1[PrjId]=TEXT($B193,"@"))*(FrmBB1[Row]=$E193)*(FrmBB1[Column]=UPPER(_xlfn.LET(_xlpm.x,_xlfn.TEXTBEFORE(M$114," ("),IFERROR(_xlpm.x,M$114)))&amp;" "&amp;N$115),0)))</f>
        <v>0</v>
      </c>
      <c r="O193" s="158" cm="1">
        <f t="array" aca="1" ref="O193" ca="1">IF(OR($E193="X",$E193="",$E193=0,$B193="X",$B193="",$B193=0),0,SUM(_xlfn._xlws.FILTER(FrmBB1[Cur],(FrmBB1[PrjId]=TEXT($B193,"@"))*(FrmBB1[Row]=$E193)*(FrmBB1[Column]=UPPER(_xlfn.LET(_xlpm.x,_xlfn.TEXTBEFORE(O$114," ("),IFERROR(_xlpm.x,O$114)))&amp;" "&amp;O$115),0)))</f>
        <v>0</v>
      </c>
      <c r="P193" s="157" cm="1">
        <f t="array" aca="1" ref="P193" ca="1">IF(OR($E193="X",$E193="",$E193=0,$B193="X",$B193="",$B193=0),0,SUM(_xlfn._xlws.FILTER(FrmBB1[Cur],(FrmBB1[PrjId]=TEXT($B193,"@"))*(FrmBB1[Row]=$E193)*(FrmBB1[Column]=UPPER(_xlfn.LET(_xlpm.x,_xlfn.TEXTBEFORE(O$114," ("),IFERROR(_xlpm.x,O$114)))&amp;" "&amp;P$115),0)))</f>
        <v>0</v>
      </c>
      <c r="Q193" s="158" cm="1">
        <f t="array" aca="1" ref="Q193" ca="1">IF(OR($E193="X",$E193="",$E193=0,$B193="X",$B193="",$B193=0),0,SUM(_xlfn._xlws.FILTER(FrmBB1[Cur],(FrmBB1[PrjId]=TEXT($B193,"@"))*(FrmBB1[Row]=$E193)*(FrmBB1[Column]=UPPER(_xlfn.LET(_xlpm.x,_xlfn.TEXTBEFORE(Q$114," ("),IFERROR(_xlpm.x,Q$114)))&amp;" "&amp;Q$115),0)))</f>
        <v>0</v>
      </c>
      <c r="R193" s="157" cm="1">
        <f t="array" aca="1" ref="R193" ca="1">IF(OR($E193="X",$E193="",$E193=0,$B193="X",$B193="",$B193=0),0,SUM(_xlfn._xlws.FILTER(FrmBB1[Cur],(FrmBB1[PrjId]=TEXT($B193,"@"))*(FrmBB1[Row]=$E193)*(FrmBB1[Column]=UPPER(_xlfn.LET(_xlpm.x,_xlfn.TEXTBEFORE(Q$114," ("),IFERROR(_xlpm.x,Q$114)))&amp;" "&amp;R$115),0)))</f>
        <v>0</v>
      </c>
      <c r="S193" s="158" cm="1">
        <f t="array" aca="1" ref="S193" ca="1">IF(OR($E193="X",$E193="",$E193=0,$B193="X",$B193="",$B193=0),0,SUM(_xlfn._xlws.FILTER(FrmBB1[Cur],(FrmBB1[PrjId]=TEXT($B193,"@"))*(FrmBB1[Row]=$E193)*(FrmBB1[Column]=UPPER(_xlfn.LET(_xlpm.x,_xlfn.TEXTBEFORE(S$114," ("),IFERROR(_xlpm.x,S$114)))&amp;" "&amp;S$115),0)))</f>
        <v>0</v>
      </c>
      <c r="T193" s="157" cm="1">
        <f t="array" aca="1" ref="T193" ca="1">IF(OR($E193="X",$E193="",$E193=0,$B193="X",$B193="",$B193=0),0,SUM(_xlfn._xlws.FILTER(FrmBB1[Cur],(FrmBB1[PrjId]=TEXT($B193,"@"))*(FrmBB1[Row]=$E193)*(FrmBB1[Column]=UPPER(_xlfn.LET(_xlpm.x,_xlfn.TEXTBEFORE(S$114," ("),IFERROR(_xlpm.x,S$114)))&amp;" "&amp;T$115),0)))</f>
        <v>0</v>
      </c>
      <c r="U193" s="158" cm="1">
        <f t="array" aca="1" ref="U193" ca="1">IF(OR($E193="X",$E193="",$E193=0,$B193="X",$B193="",$B193=0),0,SUM(_xlfn._xlws.FILTER(FrmBB1[Cur],(FrmBB1[PrjId]=TEXT($B193,"@"))*(FrmBB1[Row]=$E193)*(FrmBB1[Column]=UPPER(_xlfn.LET(_xlpm.x,_xlfn.TEXTBEFORE(U$114," ("),IFERROR(_xlpm.x,U$114)))&amp;" "&amp;U$115),0)))</f>
        <v>0</v>
      </c>
      <c r="V193" s="157" cm="1">
        <f t="array" aca="1" ref="V193" ca="1">IF(OR($E193="X",$E193="",$E193=0,$B193="X",$B193="",$B193=0),0,SUM(_xlfn._xlws.FILTER(FrmBB1[Cur],(FrmBB1[PrjId]=TEXT($B193,"@"))*(FrmBB1[Row]=$E193)*(FrmBB1[Column]=UPPER(_xlfn.LET(_xlpm.x,_xlfn.TEXTBEFORE(U$114," ("),IFERROR(_xlpm.x,U$114)))&amp;" "&amp;V$115),0)))</f>
        <v>0</v>
      </c>
      <c r="W193" s="158" cm="1">
        <f t="array" aca="1" ref="W193" ca="1">IF(OR($E193="X",$E193="",$E193=0,$B193="X",$B193="",$B193=0),0,SUM(_xlfn._xlws.FILTER(FrmBB1[Cur],(FrmBB1[PrjId]=TEXT($B193,"@"))*(FrmBB1[Row]=$E193)*(FrmBB1[Column]=UPPER(_xlfn.LET(_xlpm.x,_xlfn.TEXTBEFORE(W$114," ("),IFERROR(_xlpm.x,W$114)))&amp;" "&amp;W$115),0)))</f>
        <v>0</v>
      </c>
      <c r="X193" s="157" cm="1">
        <f t="array" aca="1" ref="X193" ca="1">IF(OR($E193="X",$E193="",$E193=0,$B193="X",$B193="",$B193=0),0,SUM(_xlfn._xlws.FILTER(FrmBB1[Cur],(FrmBB1[PrjId]=TEXT($B193,"@"))*(FrmBB1[Row]=$E193)*(FrmBB1[Column]=UPPER(_xlfn.LET(_xlpm.x,_xlfn.TEXTBEFORE(W$114," ("),IFERROR(_xlpm.x,W$114)))&amp;" "&amp;X$115),0)))</f>
        <v>0</v>
      </c>
      <c r="Y193" s="158" cm="1">
        <f t="array" aca="1" ref="Y193" ca="1">IF(OR($E193="X",$E193="",$E193=0,$B193="X",$B193="",$B193=0),0,SUM(_xlfn._xlws.FILTER(FrmBB1[Cur],(FrmBB1[PrjId]=TEXT($B193,"@"))*(FrmBB1[Row]=$E193)*(FrmBB1[Column]=UPPER(_xlfn.LET(_xlpm.x,_xlfn.TEXTBEFORE(Y$114," ("),IFERROR(_xlpm.x,Y$114)))&amp;" "&amp;Y$115),0)))</f>
        <v>0</v>
      </c>
      <c r="Z193" s="157" cm="1">
        <f t="array" aca="1" ref="Z193" ca="1">IF(OR($E193="X",$E193="",$E193=0,$B193="X",$B193="",$B193=0),0,SUM(_xlfn._xlws.FILTER(FrmBB1[Cur],(FrmBB1[PrjId]=TEXT($B193,"@"))*(FrmBB1[Row]=$E193)*(FrmBB1[Column]=UPPER(_xlfn.LET(_xlpm.x,_xlfn.TEXTBEFORE(Y$114," ("),IFERROR(_xlpm.x,Y$114)))&amp;" "&amp;Z$115),0)))</f>
        <v>0</v>
      </c>
      <c r="AA193" s="158" cm="1">
        <f t="array" aca="1" ref="AA193" ca="1">IF(OR($E193="X",$E193="",$E193=0,$B193="X",$B193="",$B193=0),0,SUM(_xlfn._xlws.FILTER(FrmBB1[Cur],(FrmBB1[PrjId]=TEXT($B193,"@"))*(FrmBB1[Row]=$E193)*(FrmBB1[Column]=UPPER(_xlfn.LET(_xlpm.x,_xlfn.TEXTBEFORE(AA$114," ("),IFERROR(_xlpm.x,AA$114)))&amp;" "&amp;AA$115),0)))</f>
        <v>0</v>
      </c>
      <c r="AB193" s="157" cm="1">
        <f t="array" aca="1" ref="AB193" ca="1">IF(OR($E193="X",$E193="",$E193=0,$B193="X",$B193="",$B193=0),0,SUM(_xlfn._xlws.FILTER(FrmBB1[Cur],(FrmBB1[PrjId]=TEXT($B193,"@"))*(FrmBB1[Row]=$E193)*(FrmBB1[Column]=UPPER(_xlfn.LET(_xlpm.x,_xlfn.TEXTBEFORE(AA$114," ("),IFERROR(_xlpm.x,AA$114)))&amp;" "&amp;AB$115),0)))</f>
        <v>0</v>
      </c>
      <c r="AC193" s="158" cm="1">
        <f t="array" aca="1" ref="AC193" ca="1">IF(OR($E193="X",$E193="",$E193=0,$B193="X",$B193="",$B193=0),0,SUM(_xlfn._xlws.FILTER(FrmBB1[Cur],(FrmBB1[PrjId]=TEXT($B193,"@"))*(FrmBB1[Row]=$E193)*(FrmBB1[Column]=UPPER(_xlfn.LET(_xlpm.x,_xlfn.TEXTBEFORE(AC$114," ("),IFERROR(_xlpm.x,AC$114)))&amp;" "&amp;AC$115),0)))</f>
        <v>0</v>
      </c>
      <c r="AD193" s="157" cm="1">
        <f t="array" aca="1" ref="AD193" ca="1">IF(OR($E193="X",$E193="",$E193=0,$B193="X",$B193="",$B193=0),0,SUM(_xlfn._xlws.FILTER(FrmBB1[Cur],(FrmBB1[PrjId]=TEXT($B193,"@"))*(FrmBB1[Row]=$E193)*(FrmBB1[Column]=UPPER(_xlfn.LET(_xlpm.x,_xlfn.TEXTBEFORE(AC$114," ("),IFERROR(_xlpm.x,AC$114)))&amp;" "&amp;AD$115),0)))</f>
        <v>0</v>
      </c>
      <c r="AE193" s="158" cm="1">
        <f t="array" aca="1" ref="AE193" ca="1">IF(OR($E193="X",$E193="",$E193=0,$B193="X",$B193="",$B193=0),0,SUM(_xlfn._xlws.FILTER(FrmBB1[Cur],(FrmBB1[PrjId]=TEXT($B193,"@"))*(FrmBB1[Row]=$E193)*(FrmBB1[Column]=UPPER(_xlfn.LET(_xlpm.x,_xlfn.TEXTBEFORE(AE$114," ("),IFERROR(_xlpm.x,AE$114)))&amp;" "&amp;AE$115),0)))</f>
        <v>0</v>
      </c>
      <c r="AF193" s="157" cm="1">
        <f t="array" aca="1" ref="AF193" ca="1">IF(OR($E193="X",$E193="",$E193=0,$B193="X",$B193="",$B193=0),0,SUM(_xlfn._xlws.FILTER(FrmBB1[Cur],(FrmBB1[PrjId]=TEXT($B193,"@"))*(FrmBB1[Row]=$E193)*(FrmBB1[Column]=UPPER(_xlfn.LET(_xlpm.x,_xlfn.TEXTBEFORE(AE$114," ("),IFERROR(_xlpm.x,AE$114)))&amp;" "&amp;AF$115),0)))</f>
        <v>0</v>
      </c>
      <c r="AG193" s="158" cm="1">
        <f t="array" aca="1" ref="AG193" ca="1">IF(OR($E193="X",$E193="",$E193=0,$B193="X",$B193="",$B193=0),0,SUM(_xlfn._xlws.FILTER(FrmBB1[Cur],(FrmBB1[PrjId]=TEXT($B193,"@"))*(FrmBB1[Row]=$E193)*(FrmBB1[Column]=UPPER(_xlfn.LET(_xlpm.x,_xlfn.TEXTBEFORE(AG$114," ("),IFERROR(_xlpm.x,AG$114)))&amp;" "&amp;AG$115),0)))</f>
        <v>0</v>
      </c>
      <c r="AH193" s="157" cm="1">
        <f t="array" aca="1" ref="AH193" ca="1">IF(OR($E193="X",$E193="",$E193=0,$B193="X",$B193="",$B193=0),0,SUM(_xlfn._xlws.FILTER(FrmBB1[Cur],(FrmBB1[PrjId]=TEXT($B193,"@"))*(FrmBB1[Row]=$E193)*(FrmBB1[Column]=UPPER(_xlfn.LET(_xlpm.x,_xlfn.TEXTBEFORE(AG$114," ("),IFERROR(_xlpm.x,AG$114)))&amp;" "&amp;AH$115),0)))</f>
        <v>0</v>
      </c>
      <c r="AI193" s="158" cm="1">
        <f t="array" aca="1" ref="AI193" ca="1">IF(OR($E193="X",$E193="",$E193=0,$B193="X",$B193="",$B193=0),0,SUM(_xlfn._xlws.FILTER(FrmBB1[Cur],(FrmBB1[PrjId]=TEXT($B193,"@"))*(FrmBB1[Row]=$E193)*(FrmBB1[Column]=UPPER(_xlfn.LET(_xlpm.x,_xlfn.TEXTBEFORE(AI$114," ("),IFERROR(_xlpm.x,AI$114)))&amp;" "&amp;AI$115),0)))</f>
        <v>0</v>
      </c>
      <c r="AJ193" s="157" cm="1">
        <f t="array" aca="1" ref="AJ193" ca="1">IF(OR($E193="X",$E193="",$E193=0,$B193="X",$B193="",$B193=0),0,SUM(_xlfn._xlws.FILTER(FrmBB1[Cur],(FrmBB1[PrjId]=TEXT($B193,"@"))*(FrmBB1[Row]=$E193)*(FrmBB1[Column]=UPPER(_xlfn.LET(_xlpm.x,_xlfn.TEXTBEFORE(AI$114," ("),IFERROR(_xlpm.x,AI$114)))&amp;" "&amp;AJ$115),0)))</f>
        <v>0</v>
      </c>
      <c r="AK193" s="158" cm="1">
        <f t="array" aca="1" ref="AK193" ca="1">IF(OR($E193="X",$E193="",$E193=0,$B193="X",$B193="",$B193=0),0,SUM(_xlfn._xlws.FILTER(FrmBB1[Cur],(FrmBB1[PrjId]=TEXT($B193,"@"))*(FrmBB1[Row]=$E193)*(FrmBB1[Column]=UPPER(_xlfn.LET(_xlpm.x,_xlfn.TEXTBEFORE(AK$114," ("),IFERROR(_xlpm.x,AK$114)))&amp;" "&amp;AK$115),0)))</f>
        <v>0</v>
      </c>
      <c r="AL193" s="157" cm="1">
        <f t="array" aca="1" ref="AL193" ca="1">IF(OR($E193="X",$E193="",$E193=0,$B193="X",$B193="",$B193=0),0,SUM(_xlfn._xlws.FILTER(FrmBB1[Cur],(FrmBB1[PrjId]=TEXT($B193,"@"))*(FrmBB1[Row]=$E193)*(FrmBB1[Column]=UPPER(_xlfn.LET(_xlpm.x,_xlfn.TEXTBEFORE(AK$114," ("),IFERROR(_xlpm.x,AK$114)))&amp;" "&amp;AL$115),0)))</f>
        <v>0</v>
      </c>
      <c r="AM193" s="158" cm="1">
        <f t="array" aca="1" ref="AM193" ca="1">IF(OR($E193="X",$E193="",$E193=0,$B193="X",$B193="",$B193=0),0,SUM(_xlfn._xlws.FILTER(FrmBB1[Cur],(FrmBB1[PrjId]=TEXT($B193,"@"))*(FrmBB1[Row]=$E193)*(FrmBB1[Column]=UPPER(_xlfn.LET(_xlpm.x,_xlfn.TEXTBEFORE(AM$114," ("),IFERROR(_xlpm.x,AM$114)))&amp;" "&amp;AM$115),0)))</f>
        <v>0</v>
      </c>
      <c r="AN193" s="157" cm="1">
        <f t="array" aca="1" ref="AN193" ca="1">IF(OR($E193="X",$E193="",$E193=0,$B193="X",$B193="",$B193=0),0,SUM(_xlfn._xlws.FILTER(FrmBB1[Cur],(FrmBB1[PrjId]=TEXT($B193,"@"))*(FrmBB1[Row]=$E193)*(FrmBB1[Column]=UPPER(_xlfn.LET(_xlpm.x,_xlfn.TEXTBEFORE(AM$114," ("),IFERROR(_xlpm.x,AM$114)))&amp;" "&amp;AN$115),0)))</f>
        <v>0</v>
      </c>
      <c r="AO193" s="158" cm="1">
        <f t="array" aca="1" ref="AO193" ca="1">IF(OR($E193="X",$E193="",$E193=0,$B193="X",$B193="",$B193=0),0,SUM(_xlfn._xlws.FILTER(FrmBB1[Cur],(FrmBB1[PrjId]=TEXT($B193,"@"))*(FrmBB1[Row]=$E193)*(FrmBB1[Column]=UPPER(_xlfn.LET(_xlpm.x,_xlfn.TEXTBEFORE(AO$114," ("),IFERROR(_xlpm.x,AO$114)))&amp;" "&amp;AO$115),0)))</f>
        <v>0</v>
      </c>
      <c r="AP193" s="157" cm="1">
        <f t="array" aca="1" ref="AP193" ca="1">IF(OR($E193="X",$E193="",$E193=0,$B193="X",$B193="",$B193=0),0,SUM(_xlfn._xlws.FILTER(FrmBB1[Cur],(FrmBB1[PrjId]=TEXT($B193,"@"))*(FrmBB1[Row]=$E193)*(FrmBB1[Column]=UPPER(_xlfn.LET(_xlpm.x,_xlfn.TEXTBEFORE(AO$114," ("),IFERROR(_xlpm.x,AO$114)))&amp;" "&amp;AP$115),0)))</f>
        <v>0</v>
      </c>
      <c r="AQ193" s="157" cm="1">
        <f t="array" aca="1" ref="AQ193" ca="1">SUM(IF(INDIRECT($AS$115)=AQ$115,INDIRECT($AS193)))</f>
        <v>0</v>
      </c>
      <c r="AR193" s="157" cm="1">
        <f t="array" aca="1" ref="AR193" ca="1">SUM(IF(INDIRECT($AS$115)=AR$115,INDIRECT($AS193)))</f>
        <v>0</v>
      </c>
      <c r="AS193" s="286" t="str">
        <f t="shared" ca="1" si="16"/>
        <v>G193:AP193</v>
      </c>
      <c r="AT193" s="403">
        <f t="shared" ca="1" si="17"/>
        <v>0</v>
      </c>
      <c r="AV193" s="142" cm="1">
        <f t="array" aca="1" ref="AV193" ca="1">IF(AND(_xlfn.LET(_xlpm.x,SUM(ROW()),OR(AND(MATCH("SOT",$A:$A,0)&lt;_xlpm.x,MATCH("EOT",$A:$A,0)&gt;_xlpm.x),AND(MATCH("SOS",$A:$A,0)&lt;_xlpm.x,MATCH("EOS",$A:$A,0)&gt;_xlpm.x),AND(MATCH("SOR",$A:$A,0)&lt;_xlpm.x,MATCH("EOR",$A:$A,0)&gt;_xlpm.x))),INDIRECT("rc"&amp;MATCH("SCD",$1:$1,0),FALSE)="PPTO"),1,0)</f>
        <v>0</v>
      </c>
      <c r="AW193" s="142" cm="1">
        <f t="array" aca="1" ref="AW19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94" spans="2:49" outlineLevel="1">
      <c r="B194" s="156" t="str" cm="1">
        <f t="array" aca="1" ref="B194:E194" ca="1">_xlfn.LET(_xlpm.x,SUM(ROW()-MATCH("SOR",$A:$A,0)),_xlpm.y,IFERROR(_xlfn.TAKE(INDEX(_xlfn._xlws.FILTER(TbAssign[],ISNUMBER(FIND(TbAssign[Project],$C$4)),"X"),1+QUOTIENT(_xlpm.x,3),0),1,4),0),IF(MOD(_xlpm.x-1,3)=0,IF(_xlpm.y=0,"X",_xlpm.y),INDIRECT("r[-1]c#",FALSE)))</f>
        <v>31200</v>
      </c>
      <c r="C194" s="156" t="str">
        <f ca="1"/>
        <v>XE02</v>
      </c>
      <c r="D194" s="148" t="str">
        <f ca="1"/>
        <v>PMXP</v>
      </c>
      <c r="E194" s="352" t="str">
        <f ca="1"/>
        <v>ASISTENCIA PRODUCCIÓN</v>
      </c>
      <c r="F194" s="148" t="s">
        <v>397</v>
      </c>
      <c r="G194" s="157" cm="1">
        <f t="array" aca="1" ref="G194" ca="1">IF(OR($E194="X",$E194="",$E194=0,$B194="X",$B194="",$B194=0),0,SUM(_xlfn._xlws.FILTER(IF($E$4="Ppto",PptoSty[CurPpto],PptoSty[CurInt]),(IF($E$4="Ppto",PptoSty[POvsCT]=G$113,TRUE))*(PptoSty[Project]=TEXT($B194,"@"))*(PptoSty[PptoVsRow]=$E194)*(PptoSty[PptoVsColumn]=UPPER(G$114)),0)))</f>
        <v>0</v>
      </c>
      <c r="H194" s="157" cm="1">
        <f t="array" aca="1" ref="H194" ca="1">IF(OR($E194="X",$E194="",$E194=0,$B194="X",$B194="",$B194=0),0,SUM(_xlfn._xlws.FILTER(IF($E$4="Ppto",PptoSty[CurPpto],PptoSty[CurExt]),(IF($E$4="Ppto",PptoSty[POvsCT]=H$113,TRUE))*(PptoSty[Project]=TEXT($B194,"@"))*(PptoSty[PptoVsRow]=$E194)*(PptoSty[PptoVsColumn]=UPPER(G$114)),0)))</f>
        <v>0</v>
      </c>
      <c r="I194" s="157" cm="1">
        <f t="array" aca="1" ref="I194" ca="1">IF(OR($E194="X",$E194="",$E194=0,$B194="X",$B194="",$B194=0),0,SUM(_xlfn._xlws.FILTER(IF($E$4="Ppto",PptoSty[CurPpto],PptoSty[CurInt]),(IF($E$4="Ppto",PptoSty[POvsCT]=I$113,TRUE))*(PptoSty[Project]=TEXT($B194,"@"))*(PptoSty[PptoVsRow]=$E194)*(PptoSty[PptoVsColumn]=UPPER(I$114)),0)))</f>
        <v>0</v>
      </c>
      <c r="J194" s="157" cm="1">
        <f t="array" aca="1" ref="J194" ca="1">IF(OR($E194="X",$E194="",$E194=0,$B194="X",$B194="",$B194=0),0,SUM(_xlfn._xlws.FILTER(IF($E$4="Ppto",PptoSty[CurPpto],PptoSty[CurExt]),(IF($E$4="Ppto",PptoSty[POvsCT]=J$113,TRUE))*(PptoSty[Project]=TEXT($B194,"@"))*(PptoSty[PptoVsRow]=$E194)*(PptoSty[PptoVsColumn]=UPPER(I$114)),0)))</f>
        <v>0</v>
      </c>
      <c r="K194" s="157" cm="1">
        <f t="array" aca="1" ref="K194" ca="1">IF(OR($E194="X",$E194="",$E194=0,$B194="X",$B194="",$B194=0),0,SUM(_xlfn._xlws.FILTER(IF($E$4="Ppto",PptoSty[CurPpto],PptoSty[CurInt]),(IF($E$4="Ppto",PptoSty[POvsCT]=K$113,TRUE))*(PptoSty[Project]=TEXT($B194,"@"))*(PptoSty[PptoVsRow]=$E194)*(PptoSty[PptoVsColumn]=UPPER(K$114)),0)))</f>
        <v>0</v>
      </c>
      <c r="L194" s="157" cm="1">
        <f t="array" aca="1" ref="L194" ca="1">IF(OR($E194="X",$E194="",$E194=0,$B194="X",$B194="",$B194=0),0,SUM(_xlfn._xlws.FILTER(IF($E$4="Ppto",PptoSty[CurPpto],PptoSty[CurExt]),(IF($E$4="Ppto",PptoSty[POvsCT]=L$113,TRUE))*(PptoSty[Project]=TEXT($B194,"@"))*(PptoSty[PptoVsRow]=$E194)*(PptoSty[PptoVsColumn]=UPPER(K$114)),0)))</f>
        <v>0</v>
      </c>
      <c r="M194" s="157" cm="1">
        <f t="array" aca="1" ref="M194" ca="1">IF(OR($E194="X",$E194="",$E194=0,$B194="X",$B194="",$B194=0),0,SUM(_xlfn._xlws.FILTER(IF($E$4="Ppto",PptoSty[CurPpto],PptoSty[CurInt]),(IF($E$4="Ppto",PptoSty[POvsCT]=M$113,TRUE))*(PptoSty[Project]=TEXT($B194,"@"))*(PptoSty[PptoVsRow]=$E194)*(PptoSty[PptoVsColumn]=UPPER(M$114)),0)))</f>
        <v>0</v>
      </c>
      <c r="N194" s="157" cm="1">
        <f t="array" aca="1" ref="N194" ca="1">IF(OR($E194="X",$E194="",$E194=0,$B194="X",$B194="",$B194=0),0,SUM(_xlfn._xlws.FILTER(IF($E$4="Ppto",PptoSty[CurPpto],PptoSty[CurExt]),(IF($E$4="Ppto",PptoSty[POvsCT]=N$113,TRUE))*(PptoSty[Project]=TEXT($B194,"@"))*(PptoSty[PptoVsRow]=$E194)*(PptoSty[PptoVsColumn]=UPPER(M$114)),0)))</f>
        <v>0</v>
      </c>
      <c r="O194" s="157" cm="1">
        <f t="array" aca="1" ref="O194" ca="1">IF(OR($E194="X",$E194="",$E194=0,$B194="X",$B194="",$B194=0),0,SUM(_xlfn._xlws.FILTER(IF($E$4="Ppto",PptoSty[CurPpto],PptoSty[CurInt]),(IF($E$4="Ppto",PptoSty[POvsCT]=O$113,TRUE))*(PptoSty[Project]=TEXT($B194,"@"))*(PptoSty[PptoVsRow]=$E194)*(PptoSty[PptoVsColumn]=UPPER(O$114)),0)))</f>
        <v>0</v>
      </c>
      <c r="P194" s="157" cm="1">
        <f t="array" aca="1" ref="P194" ca="1">IF(OR($E194="X",$E194="",$E194=0,$B194="X",$B194="",$B194=0),0,SUM(_xlfn._xlws.FILTER(IF($E$4="Ppto",PptoSty[CurPpto],PptoSty[CurExt]),(IF($E$4="Ppto",PptoSty[POvsCT]=P$113,TRUE))*(PptoSty[Project]=TEXT($B194,"@"))*(PptoSty[PptoVsRow]=$E194)*(PptoSty[PptoVsColumn]=UPPER(O$114)),0)))</f>
        <v>0</v>
      </c>
      <c r="Q194" s="157" cm="1">
        <f t="array" aca="1" ref="Q194" ca="1">IF(OR($E194="X",$E194="",$E194=0,$B194="X",$B194="",$B194=0),0,SUM(_xlfn._xlws.FILTER(IF($E$4="Ppto",PptoSty[CurPpto],PptoSty[CurInt]),(IF($E$4="Ppto",PptoSty[POvsCT]=Q$113,TRUE))*(PptoSty[Project]=TEXT($B194,"@"))*(PptoSty[PptoVsRow]=$E194)*(PptoSty[PptoVsColumn]=UPPER(Q$114)),0)))</f>
        <v>0</v>
      </c>
      <c r="R194" s="157" cm="1">
        <f t="array" aca="1" ref="R194" ca="1">IF(OR($E194="X",$E194="",$E194=0,$B194="X",$B194="",$B194=0),0,SUM(_xlfn._xlws.FILTER(IF($E$4="Ppto",PptoSty[CurPpto],PptoSty[CurExt]),(IF($E$4="Ppto",PptoSty[POvsCT]=R$113,TRUE))*(PptoSty[Project]=TEXT($B194,"@"))*(PptoSty[PptoVsRow]=$E194)*(PptoSty[PptoVsColumn]=UPPER(Q$114)),0)))</f>
        <v>0</v>
      </c>
      <c r="S194" s="157" cm="1">
        <f t="array" aca="1" ref="S194" ca="1">IF(OR($E194="X",$E194="",$E194=0,$B194="X",$B194="",$B194=0),0,SUM(_xlfn._xlws.FILTER(IF($E$4="Ppto",PptoSty[CurPpto],PptoSty[CurInt]),(IF($E$4="Ppto",PptoSty[POvsCT]=S$113,TRUE))*(PptoSty[Project]=TEXT($B194,"@"))*(PptoSty[PptoVsRow]=$E194)*(PptoSty[PptoVsColumn]=UPPER(S$114)),0)))</f>
        <v>0</v>
      </c>
      <c r="T194" s="157" cm="1">
        <f t="array" aca="1" ref="T194" ca="1">IF(OR($E194="X",$E194="",$E194=0,$B194="X",$B194="",$B194=0),0,SUM(_xlfn._xlws.FILTER(IF($E$4="Ppto",PptoSty[CurPpto],PptoSty[CurExt]),(IF($E$4="Ppto",PptoSty[POvsCT]=T$113,TRUE))*(PptoSty[Project]=TEXT($B194,"@"))*(PptoSty[PptoVsRow]=$E194)*(PptoSty[PptoVsColumn]=UPPER(S$114)),0)))</f>
        <v>0</v>
      </c>
      <c r="U194" s="157" cm="1">
        <f t="array" aca="1" ref="U194" ca="1">IF(OR($E194="X",$E194="",$E194=0,$B194="X",$B194="",$B194=0),0,SUM(_xlfn._xlws.FILTER(IF($E$4="Ppto",PptoSty[CurPpto],PptoSty[CurInt]),(IF($E$4="Ppto",PptoSty[POvsCT]=U$113,TRUE))*(PptoSty[Project]=TEXT($B194,"@"))*(PptoSty[PptoVsRow]=$E194)*(PptoSty[PptoVsColumn]=UPPER(U$114)),0)))</f>
        <v>0</v>
      </c>
      <c r="V194" s="157" cm="1">
        <f t="array" aca="1" ref="V194" ca="1">IF(OR($E194="X",$E194="",$E194=0,$B194="X",$B194="",$B194=0),0,SUM(_xlfn._xlws.FILTER(IF($E$4="Ppto",PptoSty[CurPpto],PptoSty[CurExt]),(IF($E$4="Ppto",PptoSty[POvsCT]=V$113,TRUE))*(PptoSty[Project]=TEXT($B194,"@"))*(PptoSty[PptoVsRow]=$E194)*(PptoSty[PptoVsColumn]=UPPER(U$114)),0)))</f>
        <v>0</v>
      </c>
      <c r="W194" s="157" cm="1">
        <f t="array" aca="1" ref="W194" ca="1">IF(OR($E194="X",$E194="",$E194=0,$B194="X",$B194="",$B194=0),0,SUM(_xlfn._xlws.FILTER(IF($E$4="Ppto",PptoSty[CurPpto],PptoSty[CurInt]),(IF($E$4="Ppto",PptoSty[POvsCT]=W$113,TRUE))*(PptoSty[Project]=TEXT($B194,"@"))*(PptoSty[PptoVsRow]=$E194)*(PptoSty[PptoVsColumn]=UPPER(W$114)),0)))</f>
        <v>0</v>
      </c>
      <c r="X194" s="157" cm="1">
        <f t="array" aca="1" ref="X194" ca="1">IF(OR($E194="X",$E194="",$E194=0,$B194="X",$B194="",$B194=0),0,SUM(_xlfn._xlws.FILTER(IF($E$4="Ppto",PptoSty[CurPpto],PptoSty[CurExt]),(IF($E$4="Ppto",PptoSty[POvsCT]=X$113,TRUE))*(PptoSty[Project]=TEXT($B194,"@"))*(PptoSty[PptoVsRow]=$E194)*(PptoSty[PptoVsColumn]=UPPER(W$114)),0)))</f>
        <v>0</v>
      </c>
      <c r="Y194" s="157" cm="1">
        <f t="array" aca="1" ref="Y194" ca="1">IF(OR($E194="X",$E194="",$E194=0,$B194="X",$B194="",$B194=0),0,SUM(_xlfn._xlws.FILTER(IF($E$4="Ppto",PptoSty[CurPpto],PptoSty[CurInt]),(IF($E$4="Ppto",PptoSty[POvsCT]=Y$113,TRUE))*(PptoSty[Project]=TEXT($B194,"@"))*(PptoSty[PptoVsRow]=$E194)*(PptoSty[PptoVsColumn]=UPPER(Y$114)),0)))</f>
        <v>0</v>
      </c>
      <c r="Z194" s="157" cm="1">
        <f t="array" aca="1" ref="Z194" ca="1">IF(OR($E194="X",$E194="",$E194=0,$B194="X",$B194="",$B194=0),0,SUM(_xlfn._xlws.FILTER(IF($E$4="Ppto",PptoSty[CurPpto],PptoSty[CurExt]),(IF($E$4="Ppto",PptoSty[POvsCT]=Z$113,TRUE))*(PptoSty[Project]=TEXT($B194,"@"))*(PptoSty[PptoVsRow]=$E194)*(PptoSty[PptoVsColumn]=UPPER(Y$114)),0)))</f>
        <v>0</v>
      </c>
      <c r="AA194" s="157" cm="1">
        <f t="array" aca="1" ref="AA194" ca="1">IF(OR($E194="X",$E194="",$E194=0,$B194="X",$B194="",$B194=0),0,SUM(_xlfn._xlws.FILTER(IF($E$4="Ppto",PptoSty[CurPpto],PptoSty[CurInt]),(IF($E$4="Ppto",PptoSty[POvsCT]=AA$113,TRUE))*(PptoSty[Project]=TEXT($B194,"@"))*(PptoSty[PptoVsRow]=$E194)*(PptoSty[PptoVsColumn]=UPPER(AA$114)),0)))</f>
        <v>0</v>
      </c>
      <c r="AB194" s="157" cm="1">
        <f t="array" aca="1" ref="AB194" ca="1">IF(OR($E194="X",$E194="",$E194=0,$B194="X",$B194="",$B194=0),0,SUM(_xlfn._xlws.FILTER(IF($E$4="Ppto",PptoSty[CurPpto],PptoSty[CurExt]),(IF($E$4="Ppto",PptoSty[POvsCT]=AB$113,TRUE))*(PptoSty[Project]=TEXT($B194,"@"))*(PptoSty[PptoVsRow]=$E194)*(PptoSty[PptoVsColumn]=UPPER(AA$114)),0)))</f>
        <v>0</v>
      </c>
      <c r="AC194" s="157" cm="1">
        <f t="array" aca="1" ref="AC194" ca="1">IF(OR($E194="X",$E194="",$E194=0,$B194="X",$B194="",$B194=0),0,SUM(_xlfn._xlws.FILTER(IF($E$4="Ppto",PptoSty[CurPpto],PptoSty[CurInt]),(IF($E$4="Ppto",PptoSty[POvsCT]=AC$113,TRUE))*(PptoSty[Project]=TEXT($B194,"@"))*(PptoSty[PptoVsRow]=$E194)*(PptoSty[PptoVsColumn]=UPPER(AC$114)),0)))</f>
        <v>0</v>
      </c>
      <c r="AD194" s="157" cm="1">
        <f t="array" aca="1" ref="AD194" ca="1">IF(OR($E194="X",$E194="",$E194=0,$B194="X",$B194="",$B194=0),0,SUM(_xlfn._xlws.FILTER(IF($E$4="Ppto",PptoSty[CurPpto],PptoSty[CurExt]),(IF($E$4="Ppto",PptoSty[POvsCT]=AD$113,TRUE))*(PptoSty[Project]=TEXT($B194,"@"))*(PptoSty[PptoVsRow]=$E194)*(PptoSty[PptoVsColumn]=UPPER(AC$114)),0)))</f>
        <v>0</v>
      </c>
      <c r="AE194" s="157" cm="1">
        <f t="array" aca="1" ref="AE194" ca="1">IF(OR($E194="X",$E194="",$E194=0,$B194="X",$B194="",$B194=0),0,SUM(_xlfn._xlws.FILTER(IF($E$4="Ppto",PptoSty[CurPpto],PptoSty[CurInt]),(IF($E$4="Ppto",PptoSty[POvsCT]=AE$113,TRUE))*(PptoSty[Project]=TEXT($B194,"@"))*(PptoSty[PptoVsRow]=$E194)*(PptoSty[PptoVsColumn]=UPPER(AE$114)),0)))</f>
        <v>0</v>
      </c>
      <c r="AF194" s="157" cm="1">
        <f t="array" aca="1" ref="AF194" ca="1">IF(OR($E194="X",$E194="",$E194=0,$B194="X",$B194="",$B194=0),0,SUM(_xlfn._xlws.FILTER(IF($E$4="Ppto",PptoSty[CurPpto],PptoSty[CurExt]),(IF($E$4="Ppto",PptoSty[POvsCT]=AF$113,TRUE))*(PptoSty[Project]=TEXT($B194,"@"))*(PptoSty[PptoVsRow]=$E194)*(PptoSty[PptoVsColumn]=UPPER(AE$114)),0)))</f>
        <v>0</v>
      </c>
      <c r="AG194" s="157" cm="1">
        <f t="array" aca="1" ref="AG194" ca="1">IF(OR($E194="X",$E194="",$E194=0,$B194="X",$B194="",$B194=0),0,SUM(_xlfn._xlws.FILTER(IF($E$4="Ppto",PptoSty[CurPpto],PptoSty[CurInt]),(IF($E$4="Ppto",PptoSty[POvsCT]=AG$113,TRUE))*(PptoSty[Project]=TEXT($B194,"@"))*(PptoSty[PptoVsRow]=$E194)*(PptoSty[PptoVsColumn]=UPPER(AG$114)),0)))</f>
        <v>0</v>
      </c>
      <c r="AH194" s="157" cm="1">
        <f t="array" aca="1" ref="AH194" ca="1">IF(OR($E194="X",$E194="",$E194=0,$B194="X",$B194="",$B194=0),0,SUM(_xlfn._xlws.FILTER(IF($E$4="Ppto",PptoSty[CurPpto],PptoSty[CurExt]),(IF($E$4="Ppto",PptoSty[POvsCT]=AH$113,TRUE))*(PptoSty[Project]=TEXT($B194,"@"))*(PptoSty[PptoVsRow]=$E194)*(PptoSty[PptoVsColumn]=UPPER(AG$114)),0)))</f>
        <v>0</v>
      </c>
      <c r="AI194" s="157" cm="1">
        <f t="array" aca="1" ref="AI194" ca="1">IF(OR($E194="X",$E194="",$E194=0,$B194="X",$B194="",$B194=0),0,SUM(_xlfn._xlws.FILTER(IF($E$4="Ppto",PptoSty[CurPpto],PptoSty[CurInt]),(IF($E$4="Ppto",PptoSty[POvsCT]=AI$113,TRUE))*(PptoSty[Project]=TEXT($B194,"@"))*(PptoSty[PptoVsRow]=$E194)*(PptoSty[PptoVsColumn]=UPPER(AI$114)),0)))</f>
        <v>0</v>
      </c>
      <c r="AJ194" s="157" cm="1">
        <f t="array" aca="1" ref="AJ194" ca="1">IF(OR($E194="X",$E194="",$E194=0,$B194="X",$B194="",$B194=0),0,SUM(_xlfn._xlws.FILTER(IF($E$4="Ppto",PptoSty[CurPpto],PptoSty[CurExt]),(IF($E$4="Ppto",PptoSty[POvsCT]=AJ$113,TRUE))*(PptoSty[Project]=TEXT($B194,"@"))*(PptoSty[PptoVsRow]=$E194)*(PptoSty[PptoVsColumn]=UPPER(AI$114)),0)))</f>
        <v>0</v>
      </c>
      <c r="AK194" s="157" cm="1">
        <f t="array" aca="1" ref="AK194" ca="1">IF(OR($E194="X",$E194="",$E194=0,$B194="X",$B194="",$B194=0),0,SUM(_xlfn._xlws.FILTER(IF($E$4="Ppto",PptoSty[CurPpto],PptoSty[CurInt]),(IF($E$4="Ppto",PptoSty[POvsCT]=AK$113,TRUE))*(PptoSty[Project]=TEXT($B194,"@"))*(PptoSty[PptoVsRow]=$E194)*(PptoSty[PptoVsColumn]=UPPER(AK$114)),0)))</f>
        <v>0</v>
      </c>
      <c r="AL194" s="157" cm="1">
        <f t="array" aca="1" ref="AL194" ca="1">IF(OR($E194="X",$E194="",$E194=0,$B194="X",$B194="",$B194=0),0,SUM(_xlfn._xlws.FILTER(IF($E$4="Ppto",PptoSty[CurPpto],PptoSty[CurExt]),(IF($E$4="Ppto",PptoSty[POvsCT]=AL$113,TRUE))*(PptoSty[Project]=TEXT($B194,"@"))*(PptoSty[PptoVsRow]=$E194)*(PptoSty[PptoVsColumn]=UPPER(AK$114)),0)))</f>
        <v>0</v>
      </c>
      <c r="AM194" s="157" cm="1">
        <f t="array" aca="1" ref="AM194" ca="1">IF(OR($E194="X",$E194="",$E194=0,$B194="X",$B194="",$B194=0),0,SUM(_xlfn._xlws.FILTER(IF($E$4="Ppto",PptoSty[CurPpto],PptoSty[CurInt]),(IF($E$4="Ppto",PptoSty[POvsCT]=AM$113,TRUE))*(PptoSty[Project]=TEXT($B194,"@"))*(PptoSty[PptoVsRow]=$E194)*(PptoSty[PptoVsColumn]=UPPER(AM$114)),0)))</f>
        <v>0</v>
      </c>
      <c r="AN194" s="157" cm="1">
        <f t="array" aca="1" ref="AN194" ca="1">IF(OR($E194="X",$E194="",$E194=0,$B194="X",$B194="",$B194=0),0,SUM(_xlfn._xlws.FILTER(IF($E$4="Ppto",PptoSty[CurPpto],PptoSty[CurExt]),(IF($E$4="Ppto",PptoSty[POvsCT]=AN$113,TRUE))*(PptoSty[Project]=TEXT($B194,"@"))*(PptoSty[PptoVsRow]=$E194)*(PptoSty[PptoVsColumn]=UPPER(AM$114)),0)))</f>
        <v>0</v>
      </c>
      <c r="AO194" s="157" cm="1">
        <f t="array" aca="1" ref="AO194" ca="1">IF(OR($E194="X",$E194="",$E194=0,$B194="X",$B194="",$B194=0),0,SUM(_xlfn._xlws.FILTER(IF($E$4="Ppto",PptoSty[CurPpto],PptoSty[CurInt]),(IF($E$4="Ppto",PptoSty[POvsCT]=AO$113,TRUE))*(PptoSty[Project]=TEXT($B194,"@"))*(PptoSty[PptoVsRow]=$E194)*(PptoSty[PptoVsColumn]=UPPER(AO$114)),0)))</f>
        <v>0</v>
      </c>
      <c r="AP194" s="157" cm="1">
        <f t="array" aca="1" ref="AP194" ca="1">IF(OR($E194="X",$E194="",$E194=0,$B194="X",$B194="",$B194=0),0,SUM(_xlfn._xlws.FILTER(IF($E$4="Ppto",PptoSty[CurPpto],PptoSty[CurExt]),(IF($E$4="Ppto",PptoSty[POvsCT]=AP$113,TRUE))*(PptoSty[Project]=TEXT($B194,"@"))*(PptoSty[PptoVsRow]=$E194)*(PptoSty[PptoVsColumn]=UPPER(AO$114)),0)))</f>
        <v>0</v>
      </c>
      <c r="AQ194" s="157" cm="1">
        <f t="array" aca="1" ref="AQ194" ca="1">SUM(IF(INDIRECT($AS$115)=AQ$115,INDIRECT($AS194)))</f>
        <v>0</v>
      </c>
      <c r="AR194" s="157" cm="1">
        <f t="array" aca="1" ref="AR194" ca="1">SUM(IF(INDIRECT($AS$115)=AR$115,INDIRECT($AS194)))</f>
        <v>0</v>
      </c>
      <c r="AS194" s="286" t="str">
        <f t="shared" ca="1" si="16"/>
        <v>G194:AP194</v>
      </c>
      <c r="AT194" s="403">
        <f t="shared" ca="1" si="17"/>
        <v>0</v>
      </c>
      <c r="AV194" s="142" cm="1">
        <f t="array" aca="1" ref="AV194" ca="1">IF(AND(_xlfn.LET(_xlpm.x,SUM(ROW()),OR(AND(MATCH("SOT",$A:$A,0)&lt;_xlpm.x,MATCH("EOT",$A:$A,0)&gt;_xlpm.x),AND(MATCH("SOS",$A:$A,0)&lt;_xlpm.x,MATCH("EOS",$A:$A,0)&gt;_xlpm.x),AND(MATCH("SOR",$A:$A,0)&lt;_xlpm.x,MATCH("EOR",$A:$A,0)&gt;_xlpm.x))),INDIRECT("rc"&amp;MATCH("SCD",$1:$1,0),FALSE)="PPTO"),1,0)</f>
        <v>1</v>
      </c>
      <c r="AW194" s="142" cm="1">
        <f t="array" aca="1" ref="AW19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95" spans="2:49" outlineLevel="1">
      <c r="B195" s="156" t="str" cm="1">
        <f t="array" aca="1" ref="B195:E195" ca="1">_xlfn.LET(_xlpm.x,SUM(ROW()-MATCH("SOR",$A:$A,0)),_xlpm.y,IFERROR(_xlfn.TAKE(INDEX(_xlfn._xlws.FILTER(TbAssign[],ISNUMBER(FIND(TbAssign[Project],$C$4)),"X"),1+QUOTIENT(_xlpm.x,3),0),1,4),0),IF(MOD(_xlpm.x-1,3)=0,IF(_xlpm.y=0,"X",_xlpm.y),INDIRECT("r[-1]c#",FALSE)))</f>
        <v>31200</v>
      </c>
      <c r="C195" s="156" t="str">
        <f ca="1"/>
        <v>XE02</v>
      </c>
      <c r="D195" s="148" t="str">
        <f ca="1"/>
        <v>PMXP</v>
      </c>
      <c r="E195" s="352" t="str">
        <f ca="1"/>
        <v>ASISTENCIA PRODUCCIÓN</v>
      </c>
      <c r="F195" s="148" t="s">
        <v>1382</v>
      </c>
      <c r="G195" s="157" cm="1">
        <f t="array" aca="1" ref="G195" ca="1">IF(OR($E195="X",$E195="",$E195=0,$B195="X",$B195="",$B195=0),0,SUM(_xlfn._xlws.FILTER(PrvSty[DsvValue:SERRA],(PrvSty[Project]=TEXT($B195,"@"))*(PrvSty[Row]=$E195)*(PrvSty[Column]=UPPER(G$114)),0)))</f>
        <v>0</v>
      </c>
      <c r="H195" s="157" cm="1">
        <f t="array" aca="1" ref="H195" ca="1">IF(OR($E195="X",$E195="",$E195=0,$B195="X",$B195="",$B195=0),0,SUM(_xlfn._xlws.FILTER(PrvSty[DsvValue:EXT.],(PrvSty[Project]=TEXT($B195,"@"))*(PrvSty[Row]=$E195)*(PrvSty[Column]=UPPER(G$114)),0)))</f>
        <v>0</v>
      </c>
      <c r="I195" s="157" cm="1">
        <f t="array" aca="1" ref="I195" ca="1">IF(OR($E195="X",$E195="",$E195=0,$B195="X",$B195="",$B195=0),0,SUM(_xlfn._xlws.FILTER(PrvSty[DsvValue:SERRA],(PrvSty[Project]=TEXT($B195,"@"))*(PrvSty[Row]=$E195)*(PrvSty[Column]=UPPER(I$114)),0)))</f>
        <v>0</v>
      </c>
      <c r="J195" s="157" cm="1">
        <f t="array" aca="1" ref="J195" ca="1">IF(OR($E195="X",$E195="",$E195=0,$B195="X",$B195="",$B195=0),0,SUM(_xlfn._xlws.FILTER(PrvSty[DsvValue:EXT.],(PrvSty[Project]=TEXT($B195,"@"))*(PrvSty[Row]=$E195)*(PrvSty[Column]=UPPER(I$114)),0)))</f>
        <v>0</v>
      </c>
      <c r="K195" s="157" cm="1">
        <f t="array" aca="1" ref="K195" ca="1">IF(OR($E195="X",$E195="",$E195=0,$B195="X",$B195="",$B195=0),0,SUM(_xlfn._xlws.FILTER(PrvSty[DsvValue:SERRA],(PrvSty[Project]=TEXT($B195,"@"))*(PrvSty[Row]=$E195)*(PrvSty[Column]=UPPER(K$114)),0)))</f>
        <v>0</v>
      </c>
      <c r="L195" s="157" cm="1">
        <f t="array" aca="1" ref="L195" ca="1">IF(OR($E195="X",$E195="",$E195=0,$B195="X",$B195="",$B195=0),0,SUM(_xlfn._xlws.FILTER(PrvSty[DsvValue:EXT.],(PrvSty[Project]=TEXT($B195,"@"))*(PrvSty[Row]=$E195)*(PrvSty[Column]=UPPER(K$114)),0)))</f>
        <v>0</v>
      </c>
      <c r="M195" s="157" cm="1">
        <f t="array" aca="1" ref="M195" ca="1">IF(OR($E195="X",$E195="",$E195=0,$B195="X",$B195="",$B195=0),0,SUM(_xlfn._xlws.FILTER(PrvSty[DsvValue:SERRA],(PrvSty[Project]=TEXT($B195,"@"))*(PrvSty[Row]=$E195)*(PrvSty[Column]=UPPER(M$114)),0)))</f>
        <v>0</v>
      </c>
      <c r="N195" s="157" cm="1">
        <f t="array" aca="1" ref="N195" ca="1">IF(OR($E195="X",$E195="",$E195=0,$B195="X",$B195="",$B195=0),0,SUM(_xlfn._xlws.FILTER(PrvSty[DsvValue:EXT.],(PrvSty[Project]=TEXT($B195,"@"))*(PrvSty[Row]=$E195)*(PrvSty[Column]=UPPER(M$114)),0)))</f>
        <v>0</v>
      </c>
      <c r="O195" s="157" cm="1">
        <f t="array" aca="1" ref="O195" ca="1">IF(OR($E195="X",$E195="",$E195=0,$B195="X",$B195="",$B195=0),0,SUM(_xlfn._xlws.FILTER(PrvSty[DsvValue:SERRA],(PrvSty[Project]=TEXT($B195,"@"))*(PrvSty[Row]=$E195)*(PrvSty[Column]=UPPER(O$114)),0)))</f>
        <v>25000</v>
      </c>
      <c r="P195" s="157" cm="1">
        <f t="array" aca="1" ref="P195" ca="1">IF(OR($E195="X",$E195="",$E195=0,$B195="X",$B195="",$B195=0),0,SUM(_xlfn._xlws.FILTER(PrvSty[DsvValue:EXT.],(PrvSty[Project]=TEXT($B195,"@"))*(PrvSty[Row]=$E195)*(PrvSty[Column]=UPPER(O$114)),0)))</f>
        <v>0</v>
      </c>
      <c r="Q195" s="157" cm="1">
        <f t="array" aca="1" ref="Q195" ca="1">IF(OR($E195="X",$E195="",$E195=0,$B195="X",$B195="",$B195=0),0,SUM(_xlfn._xlws.FILTER(PrvSty[DsvValue:SERRA],(PrvSty[Project]=TEXT($B195,"@"))*(PrvSty[Row]=$E195)*(PrvSty[Column]=UPPER(Q$114)),0)))</f>
        <v>0</v>
      </c>
      <c r="R195" s="157" cm="1">
        <f t="array" aca="1" ref="R195" ca="1">IF(OR($E195="X",$E195="",$E195=0,$B195="X",$B195="",$B195=0),0,SUM(_xlfn._xlws.FILTER(PrvSty[DsvValue:EXT.],(PrvSty[Project]=TEXT($B195,"@"))*(PrvSty[Row]=$E195)*(PrvSty[Column]=UPPER(Q$114)),0)))</f>
        <v>0</v>
      </c>
      <c r="S195" s="157" cm="1">
        <f t="array" aca="1" ref="S195" ca="1">IF(OR($E195="X",$E195="",$E195=0,$B195="X",$B195="",$B195=0),0,SUM(_xlfn._xlws.FILTER(PrvSty[DsvValue:SERRA],(PrvSty[Project]=TEXT($B195,"@"))*(PrvSty[Row]=$E195)*(PrvSty[Column]=UPPER(S$114)),0)))</f>
        <v>20000</v>
      </c>
      <c r="T195" s="157" cm="1">
        <f t="array" aca="1" ref="T195" ca="1">IF(OR($E195="X",$E195="",$E195=0,$B195="X",$B195="",$B195=0),0,SUM(_xlfn._xlws.FILTER(PrvSty[DsvValue:EXT.],(PrvSty[Project]=TEXT($B195,"@"))*(PrvSty[Row]=$E195)*(PrvSty[Column]=UPPER(S$114)),0)))</f>
        <v>0</v>
      </c>
      <c r="U195" s="157" cm="1">
        <f t="array" aca="1" ref="U195" ca="1">IF(OR($E195="X",$E195="",$E195=0,$B195="X",$B195="",$B195=0),0,SUM(_xlfn._xlws.FILTER(PrvSty[DsvValue:SERRA],(PrvSty[Project]=TEXT($B195,"@"))*(PrvSty[Row]=$E195)*(PrvSty[Column]=UPPER(U$114)),0)))</f>
        <v>0</v>
      </c>
      <c r="V195" s="157" cm="1">
        <f t="array" aca="1" ref="V195" ca="1">IF(OR($E195="X",$E195="",$E195=0,$B195="X",$B195="",$B195=0),0,SUM(_xlfn._xlws.FILTER(PrvSty[DsvValue:EXT.],(PrvSty[Project]=TEXT($B195,"@"))*(PrvSty[Row]=$E195)*(PrvSty[Column]=UPPER(U$114)),0)))</f>
        <v>0</v>
      </c>
      <c r="W195" s="157" cm="1">
        <f t="array" aca="1" ref="W195" ca="1">IF(OR($E195="X",$E195="",$E195=0,$B195="X",$B195="",$B195=0),0,SUM(_xlfn._xlws.FILTER(PrvSty[DsvValue:SERRA],(PrvSty[Project]=TEXT($B195,"@"))*(PrvSty[Row]=$E195)*(PrvSty[Column]=UPPER(W$114)),0)))</f>
        <v>0</v>
      </c>
      <c r="X195" s="157" cm="1">
        <f t="array" aca="1" ref="X195" ca="1">IF(OR($E195="X",$E195="",$E195=0,$B195="X",$B195="",$B195=0),0,SUM(_xlfn._xlws.FILTER(PrvSty[DsvValue:EXT.],(PrvSty[Project]=TEXT($B195,"@"))*(PrvSty[Row]=$E195)*(PrvSty[Column]=UPPER(W$114)),0)))</f>
        <v>0</v>
      </c>
      <c r="Y195" s="157" cm="1">
        <f t="array" aca="1" ref="Y195" ca="1">IF(OR($E195="X",$E195="",$E195=0,$B195="X",$B195="",$B195=0),0,SUM(_xlfn._xlws.FILTER(PrvSty[DsvValue:SERRA],(PrvSty[Project]=TEXT($B195,"@"))*(PrvSty[Row]=$E195)*(PrvSty[Column]=UPPER(Y$114)),0)))</f>
        <v>0</v>
      </c>
      <c r="Z195" s="157" cm="1">
        <f t="array" aca="1" ref="Z195" ca="1">IF(OR($E195="X",$E195="",$E195=0,$B195="X",$B195="",$B195=0),0,SUM(_xlfn._xlws.FILTER(PrvSty[DsvValue:EXT.],(PrvSty[Project]=TEXT($B195,"@"))*(PrvSty[Row]=$E195)*(PrvSty[Column]=UPPER(Y$114)),0)))</f>
        <v>0</v>
      </c>
      <c r="AA195" s="157" cm="1">
        <f t="array" aca="1" ref="AA195" ca="1">IF(OR($E195="X",$E195="",$E195=0,$B195="X",$B195="",$B195=0),0,SUM(_xlfn._xlws.FILTER(PrvSty[DsvValue:SERRA],(PrvSty[Project]=TEXT($B195,"@"))*(PrvSty[Row]=$E195)*(PrvSty[Column]=UPPER(AA$114)),0)))</f>
        <v>0</v>
      </c>
      <c r="AB195" s="157" cm="1">
        <f t="array" aca="1" ref="AB195" ca="1">IF(OR($E195="X",$E195="",$E195=0,$B195="X",$B195="",$B195=0),0,SUM(_xlfn._xlws.FILTER(PrvSty[DsvValue:EXT.],(PrvSty[Project]=TEXT($B195,"@"))*(PrvSty[Row]=$E195)*(PrvSty[Column]=UPPER(AA$114)),0)))</f>
        <v>0</v>
      </c>
      <c r="AC195" s="157" cm="1">
        <f t="array" aca="1" ref="AC195" ca="1">IF(OR($E195="X",$E195="",$E195=0,$B195="X",$B195="",$B195=0),0,SUM(_xlfn._xlws.FILTER(PrvSty[DsvValue:SERRA],(PrvSty[Project]=TEXT($B195,"@"))*(PrvSty[Row]=$E195)*(PrvSty[Column]=UPPER(AC$114)),0)))</f>
        <v>0</v>
      </c>
      <c r="AD195" s="157" cm="1">
        <f t="array" aca="1" ref="AD195" ca="1">IF(OR($E195="X",$E195="",$E195=0,$B195="X",$B195="",$B195=0),0,SUM(_xlfn._xlws.FILTER(PrvSty[DsvValue:EXT.],(PrvSty[Project]=TEXT($B195,"@"))*(PrvSty[Row]=$E195)*(PrvSty[Column]=UPPER(AC$114)),0)))</f>
        <v>0</v>
      </c>
      <c r="AE195" s="157" cm="1">
        <f t="array" aca="1" ref="AE195" ca="1">IF(OR($E195="X",$E195="",$E195=0,$B195="X",$B195="",$B195=0),0,SUM(_xlfn._xlws.FILTER(PrvSty[DsvValue:SERRA],(PrvSty[Project]=TEXT($B195,"@"))*(PrvSty[Row]=$E195)*(PrvSty[Column]=UPPER(AE$114)),0)))</f>
        <v>0</v>
      </c>
      <c r="AF195" s="157" cm="1">
        <f t="array" aca="1" ref="AF195" ca="1">IF(OR($E195="X",$E195="",$E195=0,$B195="X",$B195="",$B195=0),0,SUM(_xlfn._xlws.FILTER(PrvSty[DsvValue:EXT.],(PrvSty[Project]=TEXT($B195,"@"))*(PrvSty[Row]=$E195)*(PrvSty[Column]=UPPER(AE$114)),0)))</f>
        <v>0</v>
      </c>
      <c r="AG195" s="157" cm="1">
        <f t="array" aca="1" ref="AG195" ca="1">IF(OR($E195="X",$E195="",$E195=0,$B195="X",$B195="",$B195=0),0,SUM(_xlfn._xlws.FILTER(PrvSty[DsvValue:SERRA],(PrvSty[Project]=TEXT($B195,"@"))*(PrvSty[Row]=$E195)*(PrvSty[Column]=UPPER(AG$114)),0)))</f>
        <v>0</v>
      </c>
      <c r="AH195" s="157" cm="1">
        <f t="array" aca="1" ref="AH195" ca="1">IF(OR($E195="X",$E195="",$E195=0,$B195="X",$B195="",$B195=0),0,SUM(_xlfn._xlws.FILTER(PrvSty[DsvValue:EXT.],(PrvSty[Project]=TEXT($B195,"@"))*(PrvSty[Row]=$E195)*(PrvSty[Column]=UPPER(AG$114)),0)))</f>
        <v>0</v>
      </c>
      <c r="AI195" s="157" cm="1">
        <f t="array" aca="1" ref="AI195" ca="1">IF(OR($E195="X",$E195="",$E195=0,$B195="X",$B195="",$B195=0),0,SUM(_xlfn._xlws.FILTER(PrvSty[DsvValue:SERRA],(PrvSty[Project]=TEXT($B195,"@"))*(PrvSty[Row]=$E195)*(PrvSty[Column]=UPPER(AI$114)),0)))</f>
        <v>0</v>
      </c>
      <c r="AJ195" s="157" cm="1">
        <f t="array" aca="1" ref="AJ195" ca="1">IF(OR($E195="X",$E195="",$E195=0,$B195="X",$B195="",$B195=0),0,SUM(_xlfn._xlws.FILTER(PrvSty[DsvValue:EXT.],(PrvSty[Project]=TEXT($B195,"@"))*(PrvSty[Row]=$E195)*(PrvSty[Column]=UPPER(AI$114)),0)))</f>
        <v>0</v>
      </c>
      <c r="AK195" s="157" cm="1">
        <f t="array" aca="1" ref="AK195" ca="1">IF(OR($E195="X",$E195="",$E195=0,$B195="X",$B195="",$B195=0),0,SUM(_xlfn._xlws.FILTER(PrvSty[DsvValue:SERRA],(PrvSty[Project]=TEXT($B195,"@"))*(PrvSty[Row]=$E195)*(PrvSty[Column]=UPPER(AK$114)),0)))</f>
        <v>0</v>
      </c>
      <c r="AL195" s="157" cm="1">
        <f t="array" aca="1" ref="AL195" ca="1">IF(OR($E195="X",$E195="",$E195=0,$B195="X",$B195="",$B195=0),0,SUM(_xlfn._xlws.FILTER(PrvSty[DsvValue:EXT.],(PrvSty[Project]=TEXT($B195,"@"))*(PrvSty[Row]=$E195)*(PrvSty[Column]=UPPER(AK$114)),0)))</f>
        <v>0</v>
      </c>
      <c r="AM195" s="157" cm="1">
        <f t="array" aca="1" ref="AM195" ca="1">IF(OR($E195="X",$E195="",$E195=0,$B195="X",$B195="",$B195=0),0,SUM(_xlfn._xlws.FILTER(PrvSty[DsvValue:SERRA],(PrvSty[Project]=TEXT($B195,"@"))*(PrvSty[Row]=$E195)*(PrvSty[Column]=UPPER(AM$114)),0)))</f>
        <v>0</v>
      </c>
      <c r="AN195" s="157" cm="1">
        <f t="array" aca="1" ref="AN195" ca="1">IF(OR($E195="X",$E195="",$E195=0,$B195="X",$B195="",$B195=0),0,SUM(_xlfn._xlws.FILTER(PrvSty[DsvValue:EXT.],(PrvSty[Project]=TEXT($B195,"@"))*(PrvSty[Row]=$E195)*(PrvSty[Column]=UPPER(AM$114)),0)))</f>
        <v>0</v>
      </c>
      <c r="AO195" s="157" cm="1">
        <f t="array" aca="1" ref="AO195" ca="1">IF(OR($E195="X",$E195="",$E195=0,$B195="X",$B195="",$B195=0),0,SUM(_xlfn._xlws.FILTER(PrvSty[DsvValue:SERRA],(PrvSty[Project]=TEXT($B195,"@"))*(PrvSty[Row]=$E195)*(PrvSty[Column]=UPPER(AO$114)),0)))</f>
        <v>0</v>
      </c>
      <c r="AP195" s="157" cm="1">
        <f t="array" aca="1" ref="AP195" ca="1">IF(OR($E195="X",$E195="",$E195=0,$B195="X",$B195="",$B195=0),0,SUM(_xlfn._xlws.FILTER(PrvSty[DsvValue:EXT.],(PrvSty[Project]=TEXT($B195,"@"))*(PrvSty[Row]=$E195)*(PrvSty[Column]=UPPER(AO$114)),0)))</f>
        <v>0</v>
      </c>
      <c r="AQ195" s="157" cm="1">
        <f t="array" aca="1" ref="AQ195" ca="1">SUM(IF(INDIRECT($AS$115)=AQ$115,INDIRECT($AS195)))</f>
        <v>45000</v>
      </c>
      <c r="AR195" s="157" cm="1">
        <f t="array" aca="1" ref="AR195" ca="1">SUM(IF(INDIRECT($AS$115)=AR$115,INDIRECT($AS195)))</f>
        <v>0</v>
      </c>
      <c r="AS195" s="286" t="str">
        <f t="shared" ca="1" si="16"/>
        <v>G195:AP195</v>
      </c>
      <c r="AT195" s="403">
        <f t="shared" ca="1" si="17"/>
        <v>45000</v>
      </c>
      <c r="AV195" s="142" cm="1">
        <f t="array" aca="1" ref="AV195" ca="1">IF(AND(_xlfn.LET(_xlpm.x,SUM(ROW()),OR(AND(MATCH("SOT",$A:$A,0)&lt;_xlpm.x,MATCH("EOT",$A:$A,0)&gt;_xlpm.x),AND(MATCH("SOS",$A:$A,0)&lt;_xlpm.x,MATCH("EOS",$A:$A,0)&gt;_xlpm.x),AND(MATCH("SOR",$A:$A,0)&lt;_xlpm.x,MATCH("EOR",$A:$A,0)&gt;_xlpm.x))),INDIRECT("rc"&amp;MATCH("SCD",$1:$1,0),FALSE)="PPTO"),1,0)</f>
        <v>0</v>
      </c>
      <c r="AW195" s="142" cm="1">
        <f t="array" aca="1" ref="AW19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96" spans="2:49" outlineLevel="1">
      <c r="B196" s="156" t="str" cm="1">
        <f t="array" aca="1" ref="B196:E196" ca="1">_xlfn.LET(_xlpm.x,SUM(ROW()-MATCH("SOR",$A:$A,0)),_xlpm.y,IFERROR(_xlfn.TAKE(INDEX(_xlfn._xlws.FILTER(TbAssign[],ISNUMBER(FIND(TbAssign[Project],$C$4)),"X"),1+QUOTIENT(_xlpm.x,3),0),1,4),0),IF(MOD(_xlpm.x-1,3)=0,IF(_xlpm.y=0,"X",_xlpm.y),INDIRECT("r[-1]c#",FALSE)))</f>
        <v>31200</v>
      </c>
      <c r="C196" s="156" t="str">
        <f ca="1"/>
        <v>XE02</v>
      </c>
      <c r="D196" s="148" t="str">
        <f ca="1"/>
        <v>PMXP</v>
      </c>
      <c r="E196" s="352" t="str">
        <f ca="1"/>
        <v>ASISTENCIA PRODUCCIÓN</v>
      </c>
      <c r="F196" s="148" t="s">
        <v>1383</v>
      </c>
      <c r="G196" s="158" cm="1">
        <f t="array" aca="1" ref="G196" ca="1">IF(OR($E196="X",$E196="",$E196=0,$B196="X",$B196="",$B196=0),0,SUM(_xlfn._xlws.FILTER(FrmBB1[Cur],(FrmBB1[PrjId]=TEXT($B196,"@"))*(FrmBB1[Row]=$E196)*(FrmBB1[Column]=UPPER(_xlfn.LET(_xlpm.x,_xlfn.TEXTBEFORE(G$114," ("),IFERROR(_xlpm.x,G$114)))&amp;" "&amp;G$115),0)))</f>
        <v>0</v>
      </c>
      <c r="H196" s="157" cm="1">
        <f t="array" aca="1" ref="H196" ca="1">IF(OR($E196="X",$E196="",$E196=0,$B196="X",$B196="",$B196=0),0,SUM(_xlfn._xlws.FILTER(FrmBB1[Cur],(FrmBB1[PrjId]=TEXT($B196,"@"))*(FrmBB1[Row]=$E196)*(FrmBB1[Column]=UPPER(_xlfn.LET(_xlpm.x,_xlfn.TEXTBEFORE(G$114," ("),IFERROR(_xlpm.x,G$114)))&amp;" "&amp;H$115),0)))</f>
        <v>0</v>
      </c>
      <c r="I196" s="158" cm="1">
        <f t="array" aca="1" ref="I196" ca="1">IF(OR($E196="X",$E196="",$E196=0,$B196="X",$B196="",$B196=0),0,SUM(_xlfn._xlws.FILTER(FrmBB1[Cur],(FrmBB1[PrjId]=TEXT($B196,"@"))*(FrmBB1[Row]=$E196)*(FrmBB1[Column]=UPPER(_xlfn.LET(_xlpm.x,_xlfn.TEXTBEFORE(I$114," ("),IFERROR(_xlpm.x,I$114)))&amp;" "&amp;I$115),0)))</f>
        <v>0</v>
      </c>
      <c r="J196" s="157" cm="1">
        <f t="array" aca="1" ref="J196" ca="1">IF(OR($E196="X",$E196="",$E196=0,$B196="X",$B196="",$B196=0),0,SUM(_xlfn._xlws.FILTER(FrmBB1[Cur],(FrmBB1[PrjId]=TEXT($B196,"@"))*(FrmBB1[Row]=$E196)*(FrmBB1[Column]=UPPER(_xlfn.LET(_xlpm.x,_xlfn.TEXTBEFORE(I$114," ("),IFERROR(_xlpm.x,I$114)))&amp;" "&amp;J$115),0)))</f>
        <v>0</v>
      </c>
      <c r="K196" s="158" cm="1">
        <f t="array" aca="1" ref="K196" ca="1">IF(OR($E196="X",$E196="",$E196=0,$B196="X",$B196="",$B196=0),0,SUM(_xlfn._xlws.FILTER(FrmBB1[Cur],(FrmBB1[PrjId]=TEXT($B196,"@"))*(FrmBB1[Row]=$E196)*(FrmBB1[Column]=UPPER(_xlfn.LET(_xlpm.x,_xlfn.TEXTBEFORE(K$114," ("),IFERROR(_xlpm.x,K$114)))&amp;" "&amp;K$115),0)))</f>
        <v>0</v>
      </c>
      <c r="L196" s="157" cm="1">
        <f t="array" aca="1" ref="L196" ca="1">IF(OR($E196="X",$E196="",$E196=0,$B196="X",$B196="",$B196=0),0,SUM(_xlfn._xlws.FILTER(FrmBB1[Cur],(FrmBB1[PrjId]=TEXT($B196,"@"))*(FrmBB1[Row]=$E196)*(FrmBB1[Column]=UPPER(_xlfn.LET(_xlpm.x,_xlfn.TEXTBEFORE(K$114," ("),IFERROR(_xlpm.x,K$114)))&amp;" "&amp;L$115),0)))</f>
        <v>0</v>
      </c>
      <c r="M196" s="158" cm="1">
        <f t="array" aca="1" ref="M196" ca="1">IF(OR($E196="X",$E196="",$E196=0,$B196="X",$B196="",$B196=0),0,SUM(_xlfn._xlws.FILTER(FrmBB1[Cur],(FrmBB1[PrjId]=TEXT($B196,"@"))*(FrmBB1[Row]=$E196)*(FrmBB1[Column]=UPPER(_xlfn.LET(_xlpm.x,_xlfn.TEXTBEFORE(M$114," ("),IFERROR(_xlpm.x,M$114)))&amp;" "&amp;M$115),0)))</f>
        <v>0</v>
      </c>
      <c r="N196" s="157" cm="1">
        <f t="array" aca="1" ref="N196" ca="1">IF(OR($E196="X",$E196="",$E196=0,$B196="X",$B196="",$B196=0),0,SUM(_xlfn._xlws.FILTER(FrmBB1[Cur],(FrmBB1[PrjId]=TEXT($B196,"@"))*(FrmBB1[Row]=$E196)*(FrmBB1[Column]=UPPER(_xlfn.LET(_xlpm.x,_xlfn.TEXTBEFORE(M$114," ("),IFERROR(_xlpm.x,M$114)))&amp;" "&amp;N$115),0)))</f>
        <v>0</v>
      </c>
      <c r="O196" s="158" cm="1">
        <f t="array" aca="1" ref="O196" ca="1">IF(OR($E196="X",$E196="",$E196=0,$B196="X",$B196="",$B196=0),0,SUM(_xlfn._xlws.FILTER(FrmBB1[Cur],(FrmBB1[PrjId]=TEXT($B196,"@"))*(FrmBB1[Row]=$E196)*(FrmBB1[Column]=UPPER(_xlfn.LET(_xlpm.x,_xlfn.TEXTBEFORE(O$114," ("),IFERROR(_xlpm.x,O$114)))&amp;" "&amp;O$115),0)))</f>
        <v>0</v>
      </c>
      <c r="P196" s="157" cm="1">
        <f t="array" aca="1" ref="P196" ca="1">IF(OR($E196="X",$E196="",$E196=0,$B196="X",$B196="",$B196=0),0,SUM(_xlfn._xlws.FILTER(FrmBB1[Cur],(FrmBB1[PrjId]=TEXT($B196,"@"))*(FrmBB1[Row]=$E196)*(FrmBB1[Column]=UPPER(_xlfn.LET(_xlpm.x,_xlfn.TEXTBEFORE(O$114," ("),IFERROR(_xlpm.x,O$114)))&amp;" "&amp;P$115),0)))</f>
        <v>0</v>
      </c>
      <c r="Q196" s="158" cm="1">
        <f t="array" aca="1" ref="Q196" ca="1">IF(OR($E196="X",$E196="",$E196=0,$B196="X",$B196="",$B196=0),0,SUM(_xlfn._xlws.FILTER(FrmBB1[Cur],(FrmBB1[PrjId]=TEXT($B196,"@"))*(FrmBB1[Row]=$E196)*(FrmBB1[Column]=UPPER(_xlfn.LET(_xlpm.x,_xlfn.TEXTBEFORE(Q$114," ("),IFERROR(_xlpm.x,Q$114)))&amp;" "&amp;Q$115),0)))</f>
        <v>0</v>
      </c>
      <c r="R196" s="157" cm="1">
        <f t="array" aca="1" ref="R196" ca="1">IF(OR($E196="X",$E196="",$E196=0,$B196="X",$B196="",$B196=0),0,SUM(_xlfn._xlws.FILTER(FrmBB1[Cur],(FrmBB1[PrjId]=TEXT($B196,"@"))*(FrmBB1[Row]=$E196)*(FrmBB1[Column]=UPPER(_xlfn.LET(_xlpm.x,_xlfn.TEXTBEFORE(Q$114," ("),IFERROR(_xlpm.x,Q$114)))&amp;" "&amp;R$115),0)))</f>
        <v>0</v>
      </c>
      <c r="S196" s="158" cm="1">
        <f t="array" aca="1" ref="S196" ca="1">IF(OR($E196="X",$E196="",$E196=0,$B196="X",$B196="",$B196=0),0,SUM(_xlfn._xlws.FILTER(FrmBB1[Cur],(FrmBB1[PrjId]=TEXT($B196,"@"))*(FrmBB1[Row]=$E196)*(FrmBB1[Column]=UPPER(_xlfn.LET(_xlpm.x,_xlfn.TEXTBEFORE(S$114," ("),IFERROR(_xlpm.x,S$114)))&amp;" "&amp;S$115),0)))</f>
        <v>0</v>
      </c>
      <c r="T196" s="157" cm="1">
        <f t="array" aca="1" ref="T196" ca="1">IF(OR($E196="X",$E196="",$E196=0,$B196="X",$B196="",$B196=0),0,SUM(_xlfn._xlws.FILTER(FrmBB1[Cur],(FrmBB1[PrjId]=TEXT($B196,"@"))*(FrmBB1[Row]=$E196)*(FrmBB1[Column]=UPPER(_xlfn.LET(_xlpm.x,_xlfn.TEXTBEFORE(S$114," ("),IFERROR(_xlpm.x,S$114)))&amp;" "&amp;T$115),0)))</f>
        <v>0</v>
      </c>
      <c r="U196" s="158" cm="1">
        <f t="array" aca="1" ref="U196" ca="1">IF(OR($E196="X",$E196="",$E196=0,$B196="X",$B196="",$B196=0),0,SUM(_xlfn._xlws.FILTER(FrmBB1[Cur],(FrmBB1[PrjId]=TEXT($B196,"@"))*(FrmBB1[Row]=$E196)*(FrmBB1[Column]=UPPER(_xlfn.LET(_xlpm.x,_xlfn.TEXTBEFORE(U$114," ("),IFERROR(_xlpm.x,U$114)))&amp;" "&amp;U$115),0)))</f>
        <v>0</v>
      </c>
      <c r="V196" s="157" cm="1">
        <f t="array" aca="1" ref="V196" ca="1">IF(OR($E196="X",$E196="",$E196=0,$B196="X",$B196="",$B196=0),0,SUM(_xlfn._xlws.FILTER(FrmBB1[Cur],(FrmBB1[PrjId]=TEXT($B196,"@"))*(FrmBB1[Row]=$E196)*(FrmBB1[Column]=UPPER(_xlfn.LET(_xlpm.x,_xlfn.TEXTBEFORE(U$114," ("),IFERROR(_xlpm.x,U$114)))&amp;" "&amp;V$115),0)))</f>
        <v>0</v>
      </c>
      <c r="W196" s="158" cm="1">
        <f t="array" aca="1" ref="W196" ca="1">IF(OR($E196="X",$E196="",$E196=0,$B196="X",$B196="",$B196=0),0,SUM(_xlfn._xlws.FILTER(FrmBB1[Cur],(FrmBB1[PrjId]=TEXT($B196,"@"))*(FrmBB1[Row]=$E196)*(FrmBB1[Column]=UPPER(_xlfn.LET(_xlpm.x,_xlfn.TEXTBEFORE(W$114," ("),IFERROR(_xlpm.x,W$114)))&amp;" "&amp;W$115),0)))</f>
        <v>0</v>
      </c>
      <c r="X196" s="157" cm="1">
        <f t="array" aca="1" ref="X196" ca="1">IF(OR($E196="X",$E196="",$E196=0,$B196="X",$B196="",$B196=0),0,SUM(_xlfn._xlws.FILTER(FrmBB1[Cur],(FrmBB1[PrjId]=TEXT($B196,"@"))*(FrmBB1[Row]=$E196)*(FrmBB1[Column]=UPPER(_xlfn.LET(_xlpm.x,_xlfn.TEXTBEFORE(W$114," ("),IFERROR(_xlpm.x,W$114)))&amp;" "&amp;X$115),0)))</f>
        <v>0</v>
      </c>
      <c r="Y196" s="158" cm="1">
        <f t="array" aca="1" ref="Y196" ca="1">IF(OR($E196="X",$E196="",$E196=0,$B196="X",$B196="",$B196=0),0,SUM(_xlfn._xlws.FILTER(FrmBB1[Cur],(FrmBB1[PrjId]=TEXT($B196,"@"))*(FrmBB1[Row]=$E196)*(FrmBB1[Column]=UPPER(_xlfn.LET(_xlpm.x,_xlfn.TEXTBEFORE(Y$114," ("),IFERROR(_xlpm.x,Y$114)))&amp;" "&amp;Y$115),0)))</f>
        <v>0</v>
      </c>
      <c r="Z196" s="157" cm="1">
        <f t="array" aca="1" ref="Z196" ca="1">IF(OR($E196="X",$E196="",$E196=0,$B196="X",$B196="",$B196=0),0,SUM(_xlfn._xlws.FILTER(FrmBB1[Cur],(FrmBB1[PrjId]=TEXT($B196,"@"))*(FrmBB1[Row]=$E196)*(FrmBB1[Column]=UPPER(_xlfn.LET(_xlpm.x,_xlfn.TEXTBEFORE(Y$114," ("),IFERROR(_xlpm.x,Y$114)))&amp;" "&amp;Z$115),0)))</f>
        <v>0</v>
      </c>
      <c r="AA196" s="158" cm="1">
        <f t="array" aca="1" ref="AA196" ca="1">IF(OR($E196="X",$E196="",$E196=0,$B196="X",$B196="",$B196=0),0,SUM(_xlfn._xlws.FILTER(FrmBB1[Cur],(FrmBB1[PrjId]=TEXT($B196,"@"))*(FrmBB1[Row]=$E196)*(FrmBB1[Column]=UPPER(_xlfn.LET(_xlpm.x,_xlfn.TEXTBEFORE(AA$114," ("),IFERROR(_xlpm.x,AA$114)))&amp;" "&amp;AA$115),0)))</f>
        <v>0</v>
      </c>
      <c r="AB196" s="157" cm="1">
        <f t="array" aca="1" ref="AB196" ca="1">IF(OR($E196="X",$E196="",$E196=0,$B196="X",$B196="",$B196=0),0,SUM(_xlfn._xlws.FILTER(FrmBB1[Cur],(FrmBB1[PrjId]=TEXT($B196,"@"))*(FrmBB1[Row]=$E196)*(FrmBB1[Column]=UPPER(_xlfn.LET(_xlpm.x,_xlfn.TEXTBEFORE(AA$114," ("),IFERROR(_xlpm.x,AA$114)))&amp;" "&amp;AB$115),0)))</f>
        <v>0</v>
      </c>
      <c r="AC196" s="158" cm="1">
        <f t="array" aca="1" ref="AC196" ca="1">IF(OR($E196="X",$E196="",$E196=0,$B196="X",$B196="",$B196=0),0,SUM(_xlfn._xlws.FILTER(FrmBB1[Cur],(FrmBB1[PrjId]=TEXT($B196,"@"))*(FrmBB1[Row]=$E196)*(FrmBB1[Column]=UPPER(_xlfn.LET(_xlpm.x,_xlfn.TEXTBEFORE(AC$114," ("),IFERROR(_xlpm.x,AC$114)))&amp;" "&amp;AC$115),0)))</f>
        <v>0</v>
      </c>
      <c r="AD196" s="157" cm="1">
        <f t="array" aca="1" ref="AD196" ca="1">IF(OR($E196="X",$E196="",$E196=0,$B196="X",$B196="",$B196=0),0,SUM(_xlfn._xlws.FILTER(FrmBB1[Cur],(FrmBB1[PrjId]=TEXT($B196,"@"))*(FrmBB1[Row]=$E196)*(FrmBB1[Column]=UPPER(_xlfn.LET(_xlpm.x,_xlfn.TEXTBEFORE(AC$114," ("),IFERROR(_xlpm.x,AC$114)))&amp;" "&amp;AD$115),0)))</f>
        <v>0</v>
      </c>
      <c r="AE196" s="158" cm="1">
        <f t="array" aca="1" ref="AE196" ca="1">IF(OR($E196="X",$E196="",$E196=0,$B196="X",$B196="",$B196=0),0,SUM(_xlfn._xlws.FILTER(FrmBB1[Cur],(FrmBB1[PrjId]=TEXT($B196,"@"))*(FrmBB1[Row]=$E196)*(FrmBB1[Column]=UPPER(_xlfn.LET(_xlpm.x,_xlfn.TEXTBEFORE(AE$114," ("),IFERROR(_xlpm.x,AE$114)))&amp;" "&amp;AE$115),0)))</f>
        <v>0</v>
      </c>
      <c r="AF196" s="157" cm="1">
        <f t="array" aca="1" ref="AF196" ca="1">IF(OR($E196="X",$E196="",$E196=0,$B196="X",$B196="",$B196=0),0,SUM(_xlfn._xlws.FILTER(FrmBB1[Cur],(FrmBB1[PrjId]=TEXT($B196,"@"))*(FrmBB1[Row]=$E196)*(FrmBB1[Column]=UPPER(_xlfn.LET(_xlpm.x,_xlfn.TEXTBEFORE(AE$114," ("),IFERROR(_xlpm.x,AE$114)))&amp;" "&amp;AF$115),0)))</f>
        <v>0</v>
      </c>
      <c r="AG196" s="158" cm="1">
        <f t="array" aca="1" ref="AG196" ca="1">IF(OR($E196="X",$E196="",$E196=0,$B196="X",$B196="",$B196=0),0,SUM(_xlfn._xlws.FILTER(FrmBB1[Cur],(FrmBB1[PrjId]=TEXT($B196,"@"))*(FrmBB1[Row]=$E196)*(FrmBB1[Column]=UPPER(_xlfn.LET(_xlpm.x,_xlfn.TEXTBEFORE(AG$114," ("),IFERROR(_xlpm.x,AG$114)))&amp;" "&amp;AG$115),0)))</f>
        <v>0</v>
      </c>
      <c r="AH196" s="157" cm="1">
        <f t="array" aca="1" ref="AH196" ca="1">IF(OR($E196="X",$E196="",$E196=0,$B196="X",$B196="",$B196=0),0,SUM(_xlfn._xlws.FILTER(FrmBB1[Cur],(FrmBB1[PrjId]=TEXT($B196,"@"))*(FrmBB1[Row]=$E196)*(FrmBB1[Column]=UPPER(_xlfn.LET(_xlpm.x,_xlfn.TEXTBEFORE(AG$114," ("),IFERROR(_xlpm.x,AG$114)))&amp;" "&amp;AH$115),0)))</f>
        <v>0</v>
      </c>
      <c r="AI196" s="158" cm="1">
        <f t="array" aca="1" ref="AI196" ca="1">IF(OR($E196="X",$E196="",$E196=0,$B196="X",$B196="",$B196=0),0,SUM(_xlfn._xlws.FILTER(FrmBB1[Cur],(FrmBB1[PrjId]=TEXT($B196,"@"))*(FrmBB1[Row]=$E196)*(FrmBB1[Column]=UPPER(_xlfn.LET(_xlpm.x,_xlfn.TEXTBEFORE(AI$114," ("),IFERROR(_xlpm.x,AI$114)))&amp;" "&amp;AI$115),0)))</f>
        <v>0</v>
      </c>
      <c r="AJ196" s="157" cm="1">
        <f t="array" aca="1" ref="AJ196" ca="1">IF(OR($E196="X",$E196="",$E196=0,$B196="X",$B196="",$B196=0),0,SUM(_xlfn._xlws.FILTER(FrmBB1[Cur],(FrmBB1[PrjId]=TEXT($B196,"@"))*(FrmBB1[Row]=$E196)*(FrmBB1[Column]=UPPER(_xlfn.LET(_xlpm.x,_xlfn.TEXTBEFORE(AI$114," ("),IFERROR(_xlpm.x,AI$114)))&amp;" "&amp;AJ$115),0)))</f>
        <v>0</v>
      </c>
      <c r="AK196" s="158" cm="1">
        <f t="array" aca="1" ref="AK196" ca="1">IF(OR($E196="X",$E196="",$E196=0,$B196="X",$B196="",$B196=0),0,SUM(_xlfn._xlws.FILTER(FrmBB1[Cur],(FrmBB1[PrjId]=TEXT($B196,"@"))*(FrmBB1[Row]=$E196)*(FrmBB1[Column]=UPPER(_xlfn.LET(_xlpm.x,_xlfn.TEXTBEFORE(AK$114," ("),IFERROR(_xlpm.x,AK$114)))&amp;" "&amp;AK$115),0)))</f>
        <v>0</v>
      </c>
      <c r="AL196" s="157" cm="1">
        <f t="array" aca="1" ref="AL196" ca="1">IF(OR($E196="X",$E196="",$E196=0,$B196="X",$B196="",$B196=0),0,SUM(_xlfn._xlws.FILTER(FrmBB1[Cur],(FrmBB1[PrjId]=TEXT($B196,"@"))*(FrmBB1[Row]=$E196)*(FrmBB1[Column]=UPPER(_xlfn.LET(_xlpm.x,_xlfn.TEXTBEFORE(AK$114," ("),IFERROR(_xlpm.x,AK$114)))&amp;" "&amp;AL$115),0)))</f>
        <v>0</v>
      </c>
      <c r="AM196" s="158" cm="1">
        <f t="array" aca="1" ref="AM196" ca="1">IF(OR($E196="X",$E196="",$E196=0,$B196="X",$B196="",$B196=0),0,SUM(_xlfn._xlws.FILTER(FrmBB1[Cur],(FrmBB1[PrjId]=TEXT($B196,"@"))*(FrmBB1[Row]=$E196)*(FrmBB1[Column]=UPPER(_xlfn.LET(_xlpm.x,_xlfn.TEXTBEFORE(AM$114," ("),IFERROR(_xlpm.x,AM$114)))&amp;" "&amp;AM$115),0)))</f>
        <v>0</v>
      </c>
      <c r="AN196" s="157" cm="1">
        <f t="array" aca="1" ref="AN196" ca="1">IF(OR($E196="X",$E196="",$E196=0,$B196="X",$B196="",$B196=0),0,SUM(_xlfn._xlws.FILTER(FrmBB1[Cur],(FrmBB1[PrjId]=TEXT($B196,"@"))*(FrmBB1[Row]=$E196)*(FrmBB1[Column]=UPPER(_xlfn.LET(_xlpm.x,_xlfn.TEXTBEFORE(AM$114," ("),IFERROR(_xlpm.x,AM$114)))&amp;" "&amp;AN$115),0)))</f>
        <v>0</v>
      </c>
      <c r="AO196" s="158" cm="1">
        <f t="array" aca="1" ref="AO196" ca="1">IF(OR($E196="X",$E196="",$E196=0,$B196="X",$B196="",$B196=0),0,SUM(_xlfn._xlws.FILTER(FrmBB1[Cur],(FrmBB1[PrjId]=TEXT($B196,"@"))*(FrmBB1[Row]=$E196)*(FrmBB1[Column]=UPPER(_xlfn.LET(_xlpm.x,_xlfn.TEXTBEFORE(AO$114," ("),IFERROR(_xlpm.x,AO$114)))&amp;" "&amp;AO$115),0)))</f>
        <v>0</v>
      </c>
      <c r="AP196" s="157" cm="1">
        <f t="array" aca="1" ref="AP196" ca="1">IF(OR($E196="X",$E196="",$E196=0,$B196="X",$B196="",$B196=0),0,SUM(_xlfn._xlws.FILTER(FrmBB1[Cur],(FrmBB1[PrjId]=TEXT($B196,"@"))*(FrmBB1[Row]=$E196)*(FrmBB1[Column]=UPPER(_xlfn.LET(_xlpm.x,_xlfn.TEXTBEFORE(AO$114," ("),IFERROR(_xlpm.x,AO$114)))&amp;" "&amp;AP$115),0)))</f>
        <v>0</v>
      </c>
      <c r="AQ196" s="157" cm="1">
        <f t="array" aca="1" ref="AQ196" ca="1">SUM(IF(INDIRECT($AS$115)=AQ$115,INDIRECT($AS196)))</f>
        <v>0</v>
      </c>
      <c r="AR196" s="157" cm="1">
        <f t="array" aca="1" ref="AR196" ca="1">SUM(IF(INDIRECT($AS$115)=AR$115,INDIRECT($AS196)))</f>
        <v>0</v>
      </c>
      <c r="AS196" s="286" t="str">
        <f t="shared" ca="1" si="16"/>
        <v>G196:AP196</v>
      </c>
      <c r="AT196" s="403">
        <f t="shared" ca="1" si="17"/>
        <v>0</v>
      </c>
      <c r="AV196" s="142" cm="1">
        <f t="array" aca="1" ref="AV196" ca="1">IF(AND(_xlfn.LET(_xlpm.x,SUM(ROW()),OR(AND(MATCH("SOT",$A:$A,0)&lt;_xlpm.x,MATCH("EOT",$A:$A,0)&gt;_xlpm.x),AND(MATCH("SOS",$A:$A,0)&lt;_xlpm.x,MATCH("EOS",$A:$A,0)&gt;_xlpm.x),AND(MATCH("SOR",$A:$A,0)&lt;_xlpm.x,MATCH("EOR",$A:$A,0)&gt;_xlpm.x))),INDIRECT("rc"&amp;MATCH("SCD",$1:$1,0),FALSE)="PPTO"),1,0)</f>
        <v>0</v>
      </c>
      <c r="AW196" s="142" cm="1">
        <f t="array" aca="1" ref="AW19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197" spans="2:49" outlineLevel="1">
      <c r="B197" s="156" t="str" cm="1">
        <f t="array" aca="1" ref="B197:E197" ca="1">_xlfn.LET(_xlpm.x,SUM(ROW()-MATCH("SOR",$A:$A,0)),_xlpm.y,IFERROR(_xlfn.TAKE(INDEX(_xlfn._xlws.FILTER(TbAssign[],ISNUMBER(FIND(TbAssign[Project],$C$4)),"X"),1+QUOTIENT(_xlpm.x,3),0),1,4),0),IF(MOD(_xlpm.x-1,3)=0,IF(_xlpm.y=0,"X",_xlpm.y),INDIRECT("r[-1]c#",FALSE)))</f>
        <v>X</v>
      </c>
      <c r="C197" s="156" t="str">
        <f ca="1"/>
        <v>X</v>
      </c>
      <c r="D197" s="148" t="str">
        <f ca="1"/>
        <v>X</v>
      </c>
      <c r="E197" s="352" t="str">
        <f ca="1"/>
        <v>X</v>
      </c>
      <c r="F197" s="148" t="s">
        <v>397</v>
      </c>
      <c r="G197" s="157" cm="1">
        <f t="array" aca="1" ref="G197" ca="1">IF(OR($E197="X",$E197="",$E197=0,$B197="X",$B197="",$B197=0),0,SUM(_xlfn._xlws.FILTER(IF($E$4="Ppto",PptoSty[CurPpto],PptoSty[CurInt]),(IF($E$4="Ppto",PptoSty[POvsCT]=G$113,TRUE))*(PptoSty[Project]=TEXT($B197,"@"))*(PptoSty[PptoVsRow]=$E197)*(PptoSty[PptoVsColumn]=UPPER(G$114)),0)))</f>
        <v>0</v>
      </c>
      <c r="H197" s="157" cm="1">
        <f t="array" aca="1" ref="H197" ca="1">IF(OR($E197="X",$E197="",$E197=0,$B197="X",$B197="",$B197=0),0,SUM(_xlfn._xlws.FILTER(IF($E$4="Ppto",PptoSty[CurPpto],PptoSty[CurExt]),(IF($E$4="Ppto",PptoSty[POvsCT]=H$113,TRUE))*(PptoSty[Project]=TEXT($B197,"@"))*(PptoSty[PptoVsRow]=$E197)*(PptoSty[PptoVsColumn]=UPPER(G$114)),0)))</f>
        <v>0</v>
      </c>
      <c r="I197" s="157" cm="1">
        <f t="array" aca="1" ref="I197" ca="1">IF(OR($E197="X",$E197="",$E197=0,$B197="X",$B197="",$B197=0),0,SUM(_xlfn._xlws.FILTER(IF($E$4="Ppto",PptoSty[CurPpto],PptoSty[CurInt]),(IF($E$4="Ppto",PptoSty[POvsCT]=I$113,TRUE))*(PptoSty[Project]=TEXT($B197,"@"))*(PptoSty[PptoVsRow]=$E197)*(PptoSty[PptoVsColumn]=UPPER(I$114)),0)))</f>
        <v>0</v>
      </c>
      <c r="J197" s="157" cm="1">
        <f t="array" aca="1" ref="J197" ca="1">IF(OR($E197="X",$E197="",$E197=0,$B197="X",$B197="",$B197=0),0,SUM(_xlfn._xlws.FILTER(IF($E$4="Ppto",PptoSty[CurPpto],PptoSty[CurExt]),(IF($E$4="Ppto",PptoSty[POvsCT]=J$113,TRUE))*(PptoSty[Project]=TEXT($B197,"@"))*(PptoSty[PptoVsRow]=$E197)*(PptoSty[PptoVsColumn]=UPPER(I$114)),0)))</f>
        <v>0</v>
      </c>
      <c r="K197" s="157" cm="1">
        <f t="array" aca="1" ref="K197" ca="1">IF(OR($E197="X",$E197="",$E197=0,$B197="X",$B197="",$B197=0),0,SUM(_xlfn._xlws.FILTER(IF($E$4="Ppto",PptoSty[CurPpto],PptoSty[CurInt]),(IF($E$4="Ppto",PptoSty[POvsCT]=K$113,TRUE))*(PptoSty[Project]=TEXT($B197,"@"))*(PptoSty[PptoVsRow]=$E197)*(PptoSty[PptoVsColumn]=UPPER(K$114)),0)))</f>
        <v>0</v>
      </c>
      <c r="L197" s="157" cm="1">
        <f t="array" aca="1" ref="L197" ca="1">IF(OR($E197="X",$E197="",$E197=0,$B197="X",$B197="",$B197=0),0,SUM(_xlfn._xlws.FILTER(IF($E$4="Ppto",PptoSty[CurPpto],PptoSty[CurExt]),(IF($E$4="Ppto",PptoSty[POvsCT]=L$113,TRUE))*(PptoSty[Project]=TEXT($B197,"@"))*(PptoSty[PptoVsRow]=$E197)*(PptoSty[PptoVsColumn]=UPPER(K$114)),0)))</f>
        <v>0</v>
      </c>
      <c r="M197" s="157" cm="1">
        <f t="array" aca="1" ref="M197" ca="1">IF(OR($E197="X",$E197="",$E197=0,$B197="X",$B197="",$B197=0),0,SUM(_xlfn._xlws.FILTER(IF($E$4="Ppto",PptoSty[CurPpto],PptoSty[CurInt]),(IF($E$4="Ppto",PptoSty[POvsCT]=M$113,TRUE))*(PptoSty[Project]=TEXT($B197,"@"))*(PptoSty[PptoVsRow]=$E197)*(PptoSty[PptoVsColumn]=UPPER(M$114)),0)))</f>
        <v>0</v>
      </c>
      <c r="N197" s="157" cm="1">
        <f t="array" aca="1" ref="N197" ca="1">IF(OR($E197="X",$E197="",$E197=0,$B197="X",$B197="",$B197=0),0,SUM(_xlfn._xlws.FILTER(IF($E$4="Ppto",PptoSty[CurPpto],PptoSty[CurExt]),(IF($E$4="Ppto",PptoSty[POvsCT]=N$113,TRUE))*(PptoSty[Project]=TEXT($B197,"@"))*(PptoSty[PptoVsRow]=$E197)*(PptoSty[PptoVsColumn]=UPPER(M$114)),0)))</f>
        <v>0</v>
      </c>
      <c r="O197" s="157" cm="1">
        <f t="array" aca="1" ref="O197" ca="1">IF(OR($E197="X",$E197="",$E197=0,$B197="X",$B197="",$B197=0),0,SUM(_xlfn._xlws.FILTER(IF($E$4="Ppto",PptoSty[CurPpto],PptoSty[CurInt]),(IF($E$4="Ppto",PptoSty[POvsCT]=O$113,TRUE))*(PptoSty[Project]=TEXT($B197,"@"))*(PptoSty[PptoVsRow]=$E197)*(PptoSty[PptoVsColumn]=UPPER(O$114)),0)))</f>
        <v>0</v>
      </c>
      <c r="P197" s="157" cm="1">
        <f t="array" aca="1" ref="P197" ca="1">IF(OR($E197="X",$E197="",$E197=0,$B197="X",$B197="",$B197=0),0,SUM(_xlfn._xlws.FILTER(IF($E$4="Ppto",PptoSty[CurPpto],PptoSty[CurExt]),(IF($E$4="Ppto",PptoSty[POvsCT]=P$113,TRUE))*(PptoSty[Project]=TEXT($B197,"@"))*(PptoSty[PptoVsRow]=$E197)*(PptoSty[PptoVsColumn]=UPPER(O$114)),0)))</f>
        <v>0</v>
      </c>
      <c r="Q197" s="157" cm="1">
        <f t="array" aca="1" ref="Q197" ca="1">IF(OR($E197="X",$E197="",$E197=0,$B197="X",$B197="",$B197=0),0,SUM(_xlfn._xlws.FILTER(IF($E$4="Ppto",PptoSty[CurPpto],PptoSty[CurInt]),(IF($E$4="Ppto",PptoSty[POvsCT]=Q$113,TRUE))*(PptoSty[Project]=TEXT($B197,"@"))*(PptoSty[PptoVsRow]=$E197)*(PptoSty[PptoVsColumn]=UPPER(Q$114)),0)))</f>
        <v>0</v>
      </c>
      <c r="R197" s="157" cm="1">
        <f t="array" aca="1" ref="R197" ca="1">IF(OR($E197="X",$E197="",$E197=0,$B197="X",$B197="",$B197=0),0,SUM(_xlfn._xlws.FILTER(IF($E$4="Ppto",PptoSty[CurPpto],PptoSty[CurExt]),(IF($E$4="Ppto",PptoSty[POvsCT]=R$113,TRUE))*(PptoSty[Project]=TEXT($B197,"@"))*(PptoSty[PptoVsRow]=$E197)*(PptoSty[PptoVsColumn]=UPPER(Q$114)),0)))</f>
        <v>0</v>
      </c>
      <c r="S197" s="157" cm="1">
        <f t="array" aca="1" ref="S197" ca="1">IF(OR($E197="X",$E197="",$E197=0,$B197="X",$B197="",$B197=0),0,SUM(_xlfn._xlws.FILTER(IF($E$4="Ppto",PptoSty[CurPpto],PptoSty[CurInt]),(IF($E$4="Ppto",PptoSty[POvsCT]=S$113,TRUE))*(PptoSty[Project]=TEXT($B197,"@"))*(PptoSty[PptoVsRow]=$E197)*(PptoSty[PptoVsColumn]=UPPER(S$114)),0)))</f>
        <v>0</v>
      </c>
      <c r="T197" s="157" cm="1">
        <f t="array" aca="1" ref="T197" ca="1">IF(OR($E197="X",$E197="",$E197=0,$B197="X",$B197="",$B197=0),0,SUM(_xlfn._xlws.FILTER(IF($E$4="Ppto",PptoSty[CurPpto],PptoSty[CurExt]),(IF($E$4="Ppto",PptoSty[POvsCT]=T$113,TRUE))*(PptoSty[Project]=TEXT($B197,"@"))*(PptoSty[PptoVsRow]=$E197)*(PptoSty[PptoVsColumn]=UPPER(S$114)),0)))</f>
        <v>0</v>
      </c>
      <c r="U197" s="157" cm="1">
        <f t="array" aca="1" ref="U197" ca="1">IF(OR($E197="X",$E197="",$E197=0,$B197="X",$B197="",$B197=0),0,SUM(_xlfn._xlws.FILTER(IF($E$4="Ppto",PptoSty[CurPpto],PptoSty[CurInt]),(IF($E$4="Ppto",PptoSty[POvsCT]=U$113,TRUE))*(PptoSty[Project]=TEXT($B197,"@"))*(PptoSty[PptoVsRow]=$E197)*(PptoSty[PptoVsColumn]=UPPER(U$114)),0)))</f>
        <v>0</v>
      </c>
      <c r="V197" s="157" cm="1">
        <f t="array" aca="1" ref="V197" ca="1">IF(OR($E197="X",$E197="",$E197=0,$B197="X",$B197="",$B197=0),0,SUM(_xlfn._xlws.FILTER(IF($E$4="Ppto",PptoSty[CurPpto],PptoSty[CurExt]),(IF($E$4="Ppto",PptoSty[POvsCT]=V$113,TRUE))*(PptoSty[Project]=TEXT($B197,"@"))*(PptoSty[PptoVsRow]=$E197)*(PptoSty[PptoVsColumn]=UPPER(U$114)),0)))</f>
        <v>0</v>
      </c>
      <c r="W197" s="157" cm="1">
        <f t="array" aca="1" ref="W197" ca="1">IF(OR($E197="X",$E197="",$E197=0,$B197="X",$B197="",$B197=0),0,SUM(_xlfn._xlws.FILTER(IF($E$4="Ppto",PptoSty[CurPpto],PptoSty[CurInt]),(IF($E$4="Ppto",PptoSty[POvsCT]=W$113,TRUE))*(PptoSty[Project]=TEXT($B197,"@"))*(PptoSty[PptoVsRow]=$E197)*(PptoSty[PptoVsColumn]=UPPER(W$114)),0)))</f>
        <v>0</v>
      </c>
      <c r="X197" s="157" cm="1">
        <f t="array" aca="1" ref="X197" ca="1">IF(OR($E197="X",$E197="",$E197=0,$B197="X",$B197="",$B197=0),0,SUM(_xlfn._xlws.FILTER(IF($E$4="Ppto",PptoSty[CurPpto],PptoSty[CurExt]),(IF($E$4="Ppto",PptoSty[POvsCT]=X$113,TRUE))*(PptoSty[Project]=TEXT($B197,"@"))*(PptoSty[PptoVsRow]=$E197)*(PptoSty[PptoVsColumn]=UPPER(W$114)),0)))</f>
        <v>0</v>
      </c>
      <c r="Y197" s="157" cm="1">
        <f t="array" aca="1" ref="Y197" ca="1">IF(OR($E197="X",$E197="",$E197=0,$B197="X",$B197="",$B197=0),0,SUM(_xlfn._xlws.FILTER(IF($E$4="Ppto",PptoSty[CurPpto],PptoSty[CurInt]),(IF($E$4="Ppto",PptoSty[POvsCT]=Y$113,TRUE))*(PptoSty[Project]=TEXT($B197,"@"))*(PptoSty[PptoVsRow]=$E197)*(PptoSty[PptoVsColumn]=UPPER(Y$114)),0)))</f>
        <v>0</v>
      </c>
      <c r="Z197" s="157" cm="1">
        <f t="array" aca="1" ref="Z197" ca="1">IF(OR($E197="X",$E197="",$E197=0,$B197="X",$B197="",$B197=0),0,SUM(_xlfn._xlws.FILTER(IF($E$4="Ppto",PptoSty[CurPpto],PptoSty[CurExt]),(IF($E$4="Ppto",PptoSty[POvsCT]=Z$113,TRUE))*(PptoSty[Project]=TEXT($B197,"@"))*(PptoSty[PptoVsRow]=$E197)*(PptoSty[PptoVsColumn]=UPPER(Y$114)),0)))</f>
        <v>0</v>
      </c>
      <c r="AA197" s="157" cm="1">
        <f t="array" aca="1" ref="AA197" ca="1">IF(OR($E197="X",$E197="",$E197=0,$B197="X",$B197="",$B197=0),0,SUM(_xlfn._xlws.FILTER(IF($E$4="Ppto",PptoSty[CurPpto],PptoSty[CurInt]),(IF($E$4="Ppto",PptoSty[POvsCT]=AA$113,TRUE))*(PptoSty[Project]=TEXT($B197,"@"))*(PptoSty[PptoVsRow]=$E197)*(PptoSty[PptoVsColumn]=UPPER(AA$114)),0)))</f>
        <v>0</v>
      </c>
      <c r="AB197" s="157" cm="1">
        <f t="array" aca="1" ref="AB197" ca="1">IF(OR($E197="X",$E197="",$E197=0,$B197="X",$B197="",$B197=0),0,SUM(_xlfn._xlws.FILTER(IF($E$4="Ppto",PptoSty[CurPpto],PptoSty[CurExt]),(IF($E$4="Ppto",PptoSty[POvsCT]=AB$113,TRUE))*(PptoSty[Project]=TEXT($B197,"@"))*(PptoSty[PptoVsRow]=$E197)*(PptoSty[PptoVsColumn]=UPPER(AA$114)),0)))</f>
        <v>0</v>
      </c>
      <c r="AC197" s="157" cm="1">
        <f t="array" aca="1" ref="AC197" ca="1">IF(OR($E197="X",$E197="",$E197=0,$B197="X",$B197="",$B197=0),0,SUM(_xlfn._xlws.FILTER(IF($E$4="Ppto",PptoSty[CurPpto],PptoSty[CurInt]),(IF($E$4="Ppto",PptoSty[POvsCT]=AC$113,TRUE))*(PptoSty[Project]=TEXT($B197,"@"))*(PptoSty[PptoVsRow]=$E197)*(PptoSty[PptoVsColumn]=UPPER(AC$114)),0)))</f>
        <v>0</v>
      </c>
      <c r="AD197" s="157" cm="1">
        <f t="array" aca="1" ref="AD197" ca="1">IF(OR($E197="X",$E197="",$E197=0,$B197="X",$B197="",$B197=0),0,SUM(_xlfn._xlws.FILTER(IF($E$4="Ppto",PptoSty[CurPpto],PptoSty[CurExt]),(IF($E$4="Ppto",PptoSty[POvsCT]=AD$113,TRUE))*(PptoSty[Project]=TEXT($B197,"@"))*(PptoSty[PptoVsRow]=$E197)*(PptoSty[PptoVsColumn]=UPPER(AC$114)),0)))</f>
        <v>0</v>
      </c>
      <c r="AE197" s="157" cm="1">
        <f t="array" aca="1" ref="AE197" ca="1">IF(OR($E197="X",$E197="",$E197=0,$B197="X",$B197="",$B197=0),0,SUM(_xlfn._xlws.FILTER(IF($E$4="Ppto",PptoSty[CurPpto],PptoSty[CurInt]),(IF($E$4="Ppto",PptoSty[POvsCT]=AE$113,TRUE))*(PptoSty[Project]=TEXT($B197,"@"))*(PptoSty[PptoVsRow]=$E197)*(PptoSty[PptoVsColumn]=UPPER(AE$114)),0)))</f>
        <v>0</v>
      </c>
      <c r="AF197" s="157" cm="1">
        <f t="array" aca="1" ref="AF197" ca="1">IF(OR($E197="X",$E197="",$E197=0,$B197="X",$B197="",$B197=0),0,SUM(_xlfn._xlws.FILTER(IF($E$4="Ppto",PptoSty[CurPpto],PptoSty[CurExt]),(IF($E$4="Ppto",PptoSty[POvsCT]=AF$113,TRUE))*(PptoSty[Project]=TEXT($B197,"@"))*(PptoSty[PptoVsRow]=$E197)*(PptoSty[PptoVsColumn]=UPPER(AE$114)),0)))</f>
        <v>0</v>
      </c>
      <c r="AG197" s="157" cm="1">
        <f t="array" aca="1" ref="AG197" ca="1">IF(OR($E197="X",$E197="",$E197=0,$B197="X",$B197="",$B197=0),0,SUM(_xlfn._xlws.FILTER(IF($E$4="Ppto",PptoSty[CurPpto],PptoSty[CurInt]),(IF($E$4="Ppto",PptoSty[POvsCT]=AG$113,TRUE))*(PptoSty[Project]=TEXT($B197,"@"))*(PptoSty[PptoVsRow]=$E197)*(PptoSty[PptoVsColumn]=UPPER(AG$114)),0)))</f>
        <v>0</v>
      </c>
      <c r="AH197" s="157" cm="1">
        <f t="array" aca="1" ref="AH197" ca="1">IF(OR($E197="X",$E197="",$E197=0,$B197="X",$B197="",$B197=0),0,SUM(_xlfn._xlws.FILTER(IF($E$4="Ppto",PptoSty[CurPpto],PptoSty[CurExt]),(IF($E$4="Ppto",PptoSty[POvsCT]=AH$113,TRUE))*(PptoSty[Project]=TEXT($B197,"@"))*(PptoSty[PptoVsRow]=$E197)*(PptoSty[PptoVsColumn]=UPPER(AG$114)),0)))</f>
        <v>0</v>
      </c>
      <c r="AI197" s="157" cm="1">
        <f t="array" aca="1" ref="AI197" ca="1">IF(OR($E197="X",$E197="",$E197=0,$B197="X",$B197="",$B197=0),0,SUM(_xlfn._xlws.FILTER(IF($E$4="Ppto",PptoSty[CurPpto],PptoSty[CurInt]),(IF($E$4="Ppto",PptoSty[POvsCT]=AI$113,TRUE))*(PptoSty[Project]=TEXT($B197,"@"))*(PptoSty[PptoVsRow]=$E197)*(PptoSty[PptoVsColumn]=UPPER(AI$114)),0)))</f>
        <v>0</v>
      </c>
      <c r="AJ197" s="157" cm="1">
        <f t="array" aca="1" ref="AJ197" ca="1">IF(OR($E197="X",$E197="",$E197=0,$B197="X",$B197="",$B197=0),0,SUM(_xlfn._xlws.FILTER(IF($E$4="Ppto",PptoSty[CurPpto],PptoSty[CurExt]),(IF($E$4="Ppto",PptoSty[POvsCT]=AJ$113,TRUE))*(PptoSty[Project]=TEXT($B197,"@"))*(PptoSty[PptoVsRow]=$E197)*(PptoSty[PptoVsColumn]=UPPER(AI$114)),0)))</f>
        <v>0</v>
      </c>
      <c r="AK197" s="157" cm="1">
        <f t="array" aca="1" ref="AK197" ca="1">IF(OR($E197="X",$E197="",$E197=0,$B197="X",$B197="",$B197=0),0,SUM(_xlfn._xlws.FILTER(IF($E$4="Ppto",PptoSty[CurPpto],PptoSty[CurInt]),(IF($E$4="Ppto",PptoSty[POvsCT]=AK$113,TRUE))*(PptoSty[Project]=TEXT($B197,"@"))*(PptoSty[PptoVsRow]=$E197)*(PptoSty[PptoVsColumn]=UPPER(AK$114)),0)))</f>
        <v>0</v>
      </c>
      <c r="AL197" s="157" cm="1">
        <f t="array" aca="1" ref="AL197" ca="1">IF(OR($E197="X",$E197="",$E197=0,$B197="X",$B197="",$B197=0),0,SUM(_xlfn._xlws.FILTER(IF($E$4="Ppto",PptoSty[CurPpto],PptoSty[CurExt]),(IF($E$4="Ppto",PptoSty[POvsCT]=AL$113,TRUE))*(PptoSty[Project]=TEXT($B197,"@"))*(PptoSty[PptoVsRow]=$E197)*(PptoSty[PptoVsColumn]=UPPER(AK$114)),0)))</f>
        <v>0</v>
      </c>
      <c r="AM197" s="157" cm="1">
        <f t="array" aca="1" ref="AM197" ca="1">IF(OR($E197="X",$E197="",$E197=0,$B197="X",$B197="",$B197=0),0,SUM(_xlfn._xlws.FILTER(IF($E$4="Ppto",PptoSty[CurPpto],PptoSty[CurInt]),(IF($E$4="Ppto",PptoSty[POvsCT]=AM$113,TRUE))*(PptoSty[Project]=TEXT($B197,"@"))*(PptoSty[PptoVsRow]=$E197)*(PptoSty[PptoVsColumn]=UPPER(AM$114)),0)))</f>
        <v>0</v>
      </c>
      <c r="AN197" s="157" cm="1">
        <f t="array" aca="1" ref="AN197" ca="1">IF(OR($E197="X",$E197="",$E197=0,$B197="X",$B197="",$B197=0),0,SUM(_xlfn._xlws.FILTER(IF($E$4="Ppto",PptoSty[CurPpto],PptoSty[CurExt]),(IF($E$4="Ppto",PptoSty[POvsCT]=AN$113,TRUE))*(PptoSty[Project]=TEXT($B197,"@"))*(PptoSty[PptoVsRow]=$E197)*(PptoSty[PptoVsColumn]=UPPER(AM$114)),0)))</f>
        <v>0</v>
      </c>
      <c r="AO197" s="157" cm="1">
        <f t="array" aca="1" ref="AO197" ca="1">IF(OR($E197="X",$E197="",$E197=0,$B197="X",$B197="",$B197=0),0,SUM(_xlfn._xlws.FILTER(IF($E$4="Ppto",PptoSty[CurPpto],PptoSty[CurInt]),(IF($E$4="Ppto",PptoSty[POvsCT]=AO$113,TRUE))*(PptoSty[Project]=TEXT($B197,"@"))*(PptoSty[PptoVsRow]=$E197)*(PptoSty[PptoVsColumn]=UPPER(AO$114)),0)))</f>
        <v>0</v>
      </c>
      <c r="AP197" s="157" cm="1">
        <f t="array" aca="1" ref="AP197" ca="1">IF(OR($E197="X",$E197="",$E197=0,$B197="X",$B197="",$B197=0),0,SUM(_xlfn._xlws.FILTER(IF($E$4="Ppto",PptoSty[CurPpto],PptoSty[CurExt]),(IF($E$4="Ppto",PptoSty[POvsCT]=AP$113,TRUE))*(PptoSty[Project]=TEXT($B197,"@"))*(PptoSty[PptoVsRow]=$E197)*(PptoSty[PptoVsColumn]=UPPER(AO$114)),0)))</f>
        <v>0</v>
      </c>
      <c r="AQ197" s="157" cm="1">
        <f t="array" aca="1" ref="AQ197" ca="1">SUM(IF(INDIRECT($AS$115)=AQ$115,INDIRECT($AS197)))</f>
        <v>0</v>
      </c>
      <c r="AR197" s="157" cm="1">
        <f t="array" aca="1" ref="AR197" ca="1">SUM(IF(INDIRECT($AS$115)=AR$115,INDIRECT($AS197)))</f>
        <v>0</v>
      </c>
      <c r="AS197" s="286" t="str">
        <f t="shared" ca="1" si="16"/>
        <v>G197:AP197</v>
      </c>
      <c r="AT197" s="403">
        <f t="shared" ca="1" si="17"/>
        <v>0</v>
      </c>
      <c r="AV197" s="142" cm="1">
        <f t="array" aca="1" ref="AV197" ca="1">IF(AND(_xlfn.LET(_xlpm.x,SUM(ROW()),OR(AND(MATCH("SOT",$A:$A,0)&lt;_xlpm.x,MATCH("EOT",$A:$A,0)&gt;_xlpm.x),AND(MATCH("SOS",$A:$A,0)&lt;_xlpm.x,MATCH("EOS",$A:$A,0)&gt;_xlpm.x),AND(MATCH("SOR",$A:$A,0)&lt;_xlpm.x,MATCH("EOR",$A:$A,0)&gt;_xlpm.x))),INDIRECT("rc"&amp;MATCH("SCD",$1:$1,0),FALSE)="PPTO"),1,0)</f>
        <v>1</v>
      </c>
      <c r="AW197" s="142" cm="1">
        <f t="array" aca="1" ref="AW19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198" spans="2:49" outlineLevel="1">
      <c r="B198" s="156" t="str" cm="1">
        <f t="array" aca="1" ref="B198:E198" ca="1">_xlfn.LET(_xlpm.x,SUM(ROW()-MATCH("SOR",$A:$A,0)),_xlpm.y,IFERROR(_xlfn.TAKE(INDEX(_xlfn._xlws.FILTER(TbAssign[],ISNUMBER(FIND(TbAssign[Project],$C$4)),"X"),1+QUOTIENT(_xlpm.x,3),0),1,4),0),IF(MOD(_xlpm.x-1,3)=0,IF(_xlpm.y=0,"X",_xlpm.y),INDIRECT("r[-1]c#",FALSE)))</f>
        <v>X</v>
      </c>
      <c r="C198" s="156" t="str">
        <f ca="1"/>
        <v>X</v>
      </c>
      <c r="D198" s="148" t="str">
        <f ca="1"/>
        <v>X</v>
      </c>
      <c r="E198" s="352" t="str">
        <f ca="1"/>
        <v>X</v>
      </c>
      <c r="F198" s="148" t="s">
        <v>1382</v>
      </c>
      <c r="G198" s="157" cm="1">
        <f t="array" aca="1" ref="G198" ca="1">IF(OR($E198="X",$E198="",$E198=0,$B198="X",$B198="",$B198=0),0,SUM(_xlfn._xlws.FILTER(PrvSty[DsvValue:SERRA],(PrvSty[Project]=TEXT($B198,"@"))*(PrvSty[Row]=$E198)*(PrvSty[Column]=UPPER(G$114)),0)))</f>
        <v>0</v>
      </c>
      <c r="H198" s="157" cm="1">
        <f t="array" aca="1" ref="H198" ca="1">IF(OR($E198="X",$E198="",$E198=0,$B198="X",$B198="",$B198=0),0,SUM(_xlfn._xlws.FILTER(PrvSty[DsvValue:EXT.],(PrvSty[Project]=TEXT($B198,"@"))*(PrvSty[Row]=$E198)*(PrvSty[Column]=UPPER(G$114)),0)))</f>
        <v>0</v>
      </c>
      <c r="I198" s="157" cm="1">
        <f t="array" aca="1" ref="I198" ca="1">IF(OR($E198="X",$E198="",$E198=0,$B198="X",$B198="",$B198=0),0,SUM(_xlfn._xlws.FILTER(PrvSty[DsvValue:SERRA],(PrvSty[Project]=TEXT($B198,"@"))*(PrvSty[Row]=$E198)*(PrvSty[Column]=UPPER(I$114)),0)))</f>
        <v>0</v>
      </c>
      <c r="J198" s="157" cm="1">
        <f t="array" aca="1" ref="J198" ca="1">IF(OR($E198="X",$E198="",$E198=0,$B198="X",$B198="",$B198=0),0,SUM(_xlfn._xlws.FILTER(PrvSty[DsvValue:EXT.],(PrvSty[Project]=TEXT($B198,"@"))*(PrvSty[Row]=$E198)*(PrvSty[Column]=UPPER(I$114)),0)))</f>
        <v>0</v>
      </c>
      <c r="K198" s="157" cm="1">
        <f t="array" aca="1" ref="K198" ca="1">IF(OR($E198="X",$E198="",$E198=0,$B198="X",$B198="",$B198=0),0,SUM(_xlfn._xlws.FILTER(PrvSty[DsvValue:SERRA],(PrvSty[Project]=TEXT($B198,"@"))*(PrvSty[Row]=$E198)*(PrvSty[Column]=UPPER(K$114)),0)))</f>
        <v>0</v>
      </c>
      <c r="L198" s="157" cm="1">
        <f t="array" aca="1" ref="L198" ca="1">IF(OR($E198="X",$E198="",$E198=0,$B198="X",$B198="",$B198=0),0,SUM(_xlfn._xlws.FILTER(PrvSty[DsvValue:EXT.],(PrvSty[Project]=TEXT($B198,"@"))*(PrvSty[Row]=$E198)*(PrvSty[Column]=UPPER(K$114)),0)))</f>
        <v>0</v>
      </c>
      <c r="M198" s="157" cm="1">
        <f t="array" aca="1" ref="M198" ca="1">IF(OR($E198="X",$E198="",$E198=0,$B198="X",$B198="",$B198=0),0,SUM(_xlfn._xlws.FILTER(PrvSty[DsvValue:SERRA],(PrvSty[Project]=TEXT($B198,"@"))*(PrvSty[Row]=$E198)*(PrvSty[Column]=UPPER(M$114)),0)))</f>
        <v>0</v>
      </c>
      <c r="N198" s="157" cm="1">
        <f t="array" aca="1" ref="N198" ca="1">IF(OR($E198="X",$E198="",$E198=0,$B198="X",$B198="",$B198=0),0,SUM(_xlfn._xlws.FILTER(PrvSty[DsvValue:EXT.],(PrvSty[Project]=TEXT($B198,"@"))*(PrvSty[Row]=$E198)*(PrvSty[Column]=UPPER(M$114)),0)))</f>
        <v>0</v>
      </c>
      <c r="O198" s="157" cm="1">
        <f t="array" aca="1" ref="O198" ca="1">IF(OR($E198="X",$E198="",$E198=0,$B198="X",$B198="",$B198=0),0,SUM(_xlfn._xlws.FILTER(PrvSty[DsvValue:SERRA],(PrvSty[Project]=TEXT($B198,"@"))*(PrvSty[Row]=$E198)*(PrvSty[Column]=UPPER(O$114)),0)))</f>
        <v>0</v>
      </c>
      <c r="P198" s="157" cm="1">
        <f t="array" aca="1" ref="P198" ca="1">IF(OR($E198="X",$E198="",$E198=0,$B198="X",$B198="",$B198=0),0,SUM(_xlfn._xlws.FILTER(PrvSty[DsvValue:EXT.],(PrvSty[Project]=TEXT($B198,"@"))*(PrvSty[Row]=$E198)*(PrvSty[Column]=UPPER(O$114)),0)))</f>
        <v>0</v>
      </c>
      <c r="Q198" s="157" cm="1">
        <f t="array" aca="1" ref="Q198" ca="1">IF(OR($E198="X",$E198="",$E198=0,$B198="X",$B198="",$B198=0),0,SUM(_xlfn._xlws.FILTER(PrvSty[DsvValue:SERRA],(PrvSty[Project]=TEXT($B198,"@"))*(PrvSty[Row]=$E198)*(PrvSty[Column]=UPPER(Q$114)),0)))</f>
        <v>0</v>
      </c>
      <c r="R198" s="157" cm="1">
        <f t="array" aca="1" ref="R198" ca="1">IF(OR($E198="X",$E198="",$E198=0,$B198="X",$B198="",$B198=0),0,SUM(_xlfn._xlws.FILTER(PrvSty[DsvValue:EXT.],(PrvSty[Project]=TEXT($B198,"@"))*(PrvSty[Row]=$E198)*(PrvSty[Column]=UPPER(Q$114)),0)))</f>
        <v>0</v>
      </c>
      <c r="S198" s="157" cm="1">
        <f t="array" aca="1" ref="S198" ca="1">IF(OR($E198="X",$E198="",$E198=0,$B198="X",$B198="",$B198=0),0,SUM(_xlfn._xlws.FILTER(PrvSty[DsvValue:SERRA],(PrvSty[Project]=TEXT($B198,"@"))*(PrvSty[Row]=$E198)*(PrvSty[Column]=UPPER(S$114)),0)))</f>
        <v>0</v>
      </c>
      <c r="T198" s="157" cm="1">
        <f t="array" aca="1" ref="T198" ca="1">IF(OR($E198="X",$E198="",$E198=0,$B198="X",$B198="",$B198=0),0,SUM(_xlfn._xlws.FILTER(PrvSty[DsvValue:EXT.],(PrvSty[Project]=TEXT($B198,"@"))*(PrvSty[Row]=$E198)*(PrvSty[Column]=UPPER(S$114)),0)))</f>
        <v>0</v>
      </c>
      <c r="U198" s="157" cm="1">
        <f t="array" aca="1" ref="U198" ca="1">IF(OR($E198="X",$E198="",$E198=0,$B198="X",$B198="",$B198=0),0,SUM(_xlfn._xlws.FILTER(PrvSty[DsvValue:SERRA],(PrvSty[Project]=TEXT($B198,"@"))*(PrvSty[Row]=$E198)*(PrvSty[Column]=UPPER(U$114)),0)))</f>
        <v>0</v>
      </c>
      <c r="V198" s="157" cm="1">
        <f t="array" aca="1" ref="V198" ca="1">IF(OR($E198="X",$E198="",$E198=0,$B198="X",$B198="",$B198=0),0,SUM(_xlfn._xlws.FILTER(PrvSty[DsvValue:EXT.],(PrvSty[Project]=TEXT($B198,"@"))*(PrvSty[Row]=$E198)*(PrvSty[Column]=UPPER(U$114)),0)))</f>
        <v>0</v>
      </c>
      <c r="W198" s="157" cm="1">
        <f t="array" aca="1" ref="W198" ca="1">IF(OR($E198="X",$E198="",$E198=0,$B198="X",$B198="",$B198=0),0,SUM(_xlfn._xlws.FILTER(PrvSty[DsvValue:SERRA],(PrvSty[Project]=TEXT($B198,"@"))*(PrvSty[Row]=$E198)*(PrvSty[Column]=UPPER(W$114)),0)))</f>
        <v>0</v>
      </c>
      <c r="X198" s="157" cm="1">
        <f t="array" aca="1" ref="X198" ca="1">IF(OR($E198="X",$E198="",$E198=0,$B198="X",$B198="",$B198=0),0,SUM(_xlfn._xlws.FILTER(PrvSty[DsvValue:EXT.],(PrvSty[Project]=TEXT($B198,"@"))*(PrvSty[Row]=$E198)*(PrvSty[Column]=UPPER(W$114)),0)))</f>
        <v>0</v>
      </c>
      <c r="Y198" s="157" cm="1">
        <f t="array" aca="1" ref="Y198" ca="1">IF(OR($E198="X",$E198="",$E198=0,$B198="X",$B198="",$B198=0),0,SUM(_xlfn._xlws.FILTER(PrvSty[DsvValue:SERRA],(PrvSty[Project]=TEXT($B198,"@"))*(PrvSty[Row]=$E198)*(PrvSty[Column]=UPPER(Y$114)),0)))</f>
        <v>0</v>
      </c>
      <c r="Z198" s="157" cm="1">
        <f t="array" aca="1" ref="Z198" ca="1">IF(OR($E198="X",$E198="",$E198=0,$B198="X",$B198="",$B198=0),0,SUM(_xlfn._xlws.FILTER(PrvSty[DsvValue:EXT.],(PrvSty[Project]=TEXT($B198,"@"))*(PrvSty[Row]=$E198)*(PrvSty[Column]=UPPER(Y$114)),0)))</f>
        <v>0</v>
      </c>
      <c r="AA198" s="157" cm="1">
        <f t="array" aca="1" ref="AA198" ca="1">IF(OR($E198="X",$E198="",$E198=0,$B198="X",$B198="",$B198=0),0,SUM(_xlfn._xlws.FILTER(PrvSty[DsvValue:SERRA],(PrvSty[Project]=TEXT($B198,"@"))*(PrvSty[Row]=$E198)*(PrvSty[Column]=UPPER(AA$114)),0)))</f>
        <v>0</v>
      </c>
      <c r="AB198" s="157" cm="1">
        <f t="array" aca="1" ref="AB198" ca="1">IF(OR($E198="X",$E198="",$E198=0,$B198="X",$B198="",$B198=0),0,SUM(_xlfn._xlws.FILTER(PrvSty[DsvValue:EXT.],(PrvSty[Project]=TEXT($B198,"@"))*(PrvSty[Row]=$E198)*(PrvSty[Column]=UPPER(AA$114)),0)))</f>
        <v>0</v>
      </c>
      <c r="AC198" s="157" cm="1">
        <f t="array" aca="1" ref="AC198" ca="1">IF(OR($E198="X",$E198="",$E198=0,$B198="X",$B198="",$B198=0),0,SUM(_xlfn._xlws.FILTER(PrvSty[DsvValue:SERRA],(PrvSty[Project]=TEXT($B198,"@"))*(PrvSty[Row]=$E198)*(PrvSty[Column]=UPPER(AC$114)),0)))</f>
        <v>0</v>
      </c>
      <c r="AD198" s="157" cm="1">
        <f t="array" aca="1" ref="AD198" ca="1">IF(OR($E198="X",$E198="",$E198=0,$B198="X",$B198="",$B198=0),0,SUM(_xlfn._xlws.FILTER(PrvSty[DsvValue:EXT.],(PrvSty[Project]=TEXT($B198,"@"))*(PrvSty[Row]=$E198)*(PrvSty[Column]=UPPER(AC$114)),0)))</f>
        <v>0</v>
      </c>
      <c r="AE198" s="157" cm="1">
        <f t="array" aca="1" ref="AE198" ca="1">IF(OR($E198="X",$E198="",$E198=0,$B198="X",$B198="",$B198=0),0,SUM(_xlfn._xlws.FILTER(PrvSty[DsvValue:SERRA],(PrvSty[Project]=TEXT($B198,"@"))*(PrvSty[Row]=$E198)*(PrvSty[Column]=UPPER(AE$114)),0)))</f>
        <v>0</v>
      </c>
      <c r="AF198" s="157" cm="1">
        <f t="array" aca="1" ref="AF198" ca="1">IF(OR($E198="X",$E198="",$E198=0,$B198="X",$B198="",$B198=0),0,SUM(_xlfn._xlws.FILTER(PrvSty[DsvValue:EXT.],(PrvSty[Project]=TEXT($B198,"@"))*(PrvSty[Row]=$E198)*(PrvSty[Column]=UPPER(AE$114)),0)))</f>
        <v>0</v>
      </c>
      <c r="AG198" s="157" cm="1">
        <f t="array" aca="1" ref="AG198" ca="1">IF(OR($E198="X",$E198="",$E198=0,$B198="X",$B198="",$B198=0),0,SUM(_xlfn._xlws.FILTER(PrvSty[DsvValue:SERRA],(PrvSty[Project]=TEXT($B198,"@"))*(PrvSty[Row]=$E198)*(PrvSty[Column]=UPPER(AG$114)),0)))</f>
        <v>0</v>
      </c>
      <c r="AH198" s="157" cm="1">
        <f t="array" aca="1" ref="AH198" ca="1">IF(OR($E198="X",$E198="",$E198=0,$B198="X",$B198="",$B198=0),0,SUM(_xlfn._xlws.FILTER(PrvSty[DsvValue:EXT.],(PrvSty[Project]=TEXT($B198,"@"))*(PrvSty[Row]=$E198)*(PrvSty[Column]=UPPER(AG$114)),0)))</f>
        <v>0</v>
      </c>
      <c r="AI198" s="157" cm="1">
        <f t="array" aca="1" ref="AI198" ca="1">IF(OR($E198="X",$E198="",$E198=0,$B198="X",$B198="",$B198=0),0,SUM(_xlfn._xlws.FILTER(PrvSty[DsvValue:SERRA],(PrvSty[Project]=TEXT($B198,"@"))*(PrvSty[Row]=$E198)*(PrvSty[Column]=UPPER(AI$114)),0)))</f>
        <v>0</v>
      </c>
      <c r="AJ198" s="157" cm="1">
        <f t="array" aca="1" ref="AJ198" ca="1">IF(OR($E198="X",$E198="",$E198=0,$B198="X",$B198="",$B198=0),0,SUM(_xlfn._xlws.FILTER(PrvSty[DsvValue:EXT.],(PrvSty[Project]=TEXT($B198,"@"))*(PrvSty[Row]=$E198)*(PrvSty[Column]=UPPER(AI$114)),0)))</f>
        <v>0</v>
      </c>
      <c r="AK198" s="157" cm="1">
        <f t="array" aca="1" ref="AK198" ca="1">IF(OR($E198="X",$E198="",$E198=0,$B198="X",$B198="",$B198=0),0,SUM(_xlfn._xlws.FILTER(PrvSty[DsvValue:SERRA],(PrvSty[Project]=TEXT($B198,"@"))*(PrvSty[Row]=$E198)*(PrvSty[Column]=UPPER(AK$114)),0)))</f>
        <v>0</v>
      </c>
      <c r="AL198" s="157" cm="1">
        <f t="array" aca="1" ref="AL198" ca="1">IF(OR($E198="X",$E198="",$E198=0,$B198="X",$B198="",$B198=0),0,SUM(_xlfn._xlws.FILTER(PrvSty[DsvValue:EXT.],(PrvSty[Project]=TEXT($B198,"@"))*(PrvSty[Row]=$E198)*(PrvSty[Column]=UPPER(AK$114)),0)))</f>
        <v>0</v>
      </c>
      <c r="AM198" s="157" cm="1">
        <f t="array" aca="1" ref="AM198" ca="1">IF(OR($E198="X",$E198="",$E198=0,$B198="X",$B198="",$B198=0),0,SUM(_xlfn._xlws.FILTER(PrvSty[DsvValue:SERRA],(PrvSty[Project]=TEXT($B198,"@"))*(PrvSty[Row]=$E198)*(PrvSty[Column]=UPPER(AM$114)),0)))</f>
        <v>0</v>
      </c>
      <c r="AN198" s="157" cm="1">
        <f t="array" aca="1" ref="AN198" ca="1">IF(OR($E198="X",$E198="",$E198=0,$B198="X",$B198="",$B198=0),0,SUM(_xlfn._xlws.FILTER(PrvSty[DsvValue:EXT.],(PrvSty[Project]=TEXT($B198,"@"))*(PrvSty[Row]=$E198)*(PrvSty[Column]=UPPER(AM$114)),0)))</f>
        <v>0</v>
      </c>
      <c r="AO198" s="157" cm="1">
        <f t="array" aca="1" ref="AO198" ca="1">IF(OR($E198="X",$E198="",$E198=0,$B198="X",$B198="",$B198=0),0,SUM(_xlfn._xlws.FILTER(PrvSty[DsvValue:SERRA],(PrvSty[Project]=TEXT($B198,"@"))*(PrvSty[Row]=$E198)*(PrvSty[Column]=UPPER(AO$114)),0)))</f>
        <v>0</v>
      </c>
      <c r="AP198" s="157" cm="1">
        <f t="array" aca="1" ref="AP198" ca="1">IF(OR($E198="X",$E198="",$E198=0,$B198="X",$B198="",$B198=0),0,SUM(_xlfn._xlws.FILTER(PrvSty[DsvValue:EXT.],(PrvSty[Project]=TEXT($B198,"@"))*(PrvSty[Row]=$E198)*(PrvSty[Column]=UPPER(AO$114)),0)))</f>
        <v>0</v>
      </c>
      <c r="AQ198" s="157" cm="1">
        <f t="array" aca="1" ref="AQ198" ca="1">SUM(IF(INDIRECT($AS$115)=AQ$115,INDIRECT($AS198)))</f>
        <v>0</v>
      </c>
      <c r="AR198" s="157" cm="1">
        <f t="array" aca="1" ref="AR198" ca="1">SUM(IF(INDIRECT($AS$115)=AR$115,INDIRECT($AS198)))</f>
        <v>0</v>
      </c>
      <c r="AS198" s="286" t="str">
        <f t="shared" ca="1" si="16"/>
        <v>G198:AP198</v>
      </c>
      <c r="AT198" s="403">
        <f t="shared" ca="1" si="17"/>
        <v>0</v>
      </c>
      <c r="AV198" s="142" cm="1">
        <f t="array" aca="1" ref="AV198" ca="1">IF(AND(_xlfn.LET(_xlpm.x,SUM(ROW()),OR(AND(MATCH("SOT",$A:$A,0)&lt;_xlpm.x,MATCH("EOT",$A:$A,0)&gt;_xlpm.x),AND(MATCH("SOS",$A:$A,0)&lt;_xlpm.x,MATCH("EOS",$A:$A,0)&gt;_xlpm.x),AND(MATCH("SOR",$A:$A,0)&lt;_xlpm.x,MATCH("EOR",$A:$A,0)&gt;_xlpm.x))),INDIRECT("rc"&amp;MATCH("SCD",$1:$1,0),FALSE)="PPTO"),1,0)</f>
        <v>0</v>
      </c>
      <c r="AW198" s="142" cm="1">
        <f t="array" aca="1" ref="AW19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199" spans="2:49" outlineLevel="1">
      <c r="B199" s="156" t="str" cm="1">
        <f t="array" aca="1" ref="B199:E199" ca="1">_xlfn.LET(_xlpm.x,SUM(ROW()-MATCH("SOR",$A:$A,0)),_xlpm.y,IFERROR(_xlfn.TAKE(INDEX(_xlfn._xlws.FILTER(TbAssign[],ISNUMBER(FIND(TbAssign[Project],$C$4)),"X"),1+QUOTIENT(_xlpm.x,3),0),1,4),0),IF(MOD(_xlpm.x-1,3)=0,IF(_xlpm.y=0,"X",_xlpm.y),INDIRECT("r[-1]c#",FALSE)))</f>
        <v>X</v>
      </c>
      <c r="C199" s="156" t="str">
        <f ca="1"/>
        <v>X</v>
      </c>
      <c r="D199" s="148" t="str">
        <f ca="1"/>
        <v>X</v>
      </c>
      <c r="E199" s="352" t="str">
        <f ca="1"/>
        <v>X</v>
      </c>
      <c r="F199" s="148" t="s">
        <v>1383</v>
      </c>
      <c r="G199" s="158" cm="1">
        <f t="array" aca="1" ref="G199" ca="1">IF(OR($E199="X",$E199="",$E199=0,$B199="X",$B199="",$B199=0),0,SUM(_xlfn._xlws.FILTER(FrmBB1[Cur],(FrmBB1[PrjId]=TEXT($B199,"@"))*(FrmBB1[Row]=$E199)*(FrmBB1[Column]=UPPER(_xlfn.LET(_xlpm.x,_xlfn.TEXTBEFORE(G$114," ("),IFERROR(_xlpm.x,G$114)))&amp;" "&amp;G$115),0)))</f>
        <v>0</v>
      </c>
      <c r="H199" s="157" cm="1">
        <f t="array" aca="1" ref="H199" ca="1">IF(OR($E199="X",$E199="",$E199=0,$B199="X",$B199="",$B199=0),0,SUM(_xlfn._xlws.FILTER(FrmBB1[Cur],(FrmBB1[PrjId]=TEXT($B199,"@"))*(FrmBB1[Row]=$E199)*(FrmBB1[Column]=UPPER(_xlfn.LET(_xlpm.x,_xlfn.TEXTBEFORE(G$114," ("),IFERROR(_xlpm.x,G$114)))&amp;" "&amp;H$115),0)))</f>
        <v>0</v>
      </c>
      <c r="I199" s="158" cm="1">
        <f t="array" aca="1" ref="I199" ca="1">IF(OR($E199="X",$E199="",$E199=0,$B199="X",$B199="",$B199=0),0,SUM(_xlfn._xlws.FILTER(FrmBB1[Cur],(FrmBB1[PrjId]=TEXT($B199,"@"))*(FrmBB1[Row]=$E199)*(FrmBB1[Column]=UPPER(_xlfn.LET(_xlpm.x,_xlfn.TEXTBEFORE(I$114," ("),IFERROR(_xlpm.x,I$114)))&amp;" "&amp;I$115),0)))</f>
        <v>0</v>
      </c>
      <c r="J199" s="157" cm="1">
        <f t="array" aca="1" ref="J199" ca="1">IF(OR($E199="X",$E199="",$E199=0,$B199="X",$B199="",$B199=0),0,SUM(_xlfn._xlws.FILTER(FrmBB1[Cur],(FrmBB1[PrjId]=TEXT($B199,"@"))*(FrmBB1[Row]=$E199)*(FrmBB1[Column]=UPPER(_xlfn.LET(_xlpm.x,_xlfn.TEXTBEFORE(I$114," ("),IFERROR(_xlpm.x,I$114)))&amp;" "&amp;J$115),0)))</f>
        <v>0</v>
      </c>
      <c r="K199" s="158" cm="1">
        <f t="array" aca="1" ref="K199" ca="1">IF(OR($E199="X",$E199="",$E199=0,$B199="X",$B199="",$B199=0),0,SUM(_xlfn._xlws.FILTER(FrmBB1[Cur],(FrmBB1[PrjId]=TEXT($B199,"@"))*(FrmBB1[Row]=$E199)*(FrmBB1[Column]=UPPER(_xlfn.LET(_xlpm.x,_xlfn.TEXTBEFORE(K$114," ("),IFERROR(_xlpm.x,K$114)))&amp;" "&amp;K$115),0)))</f>
        <v>0</v>
      </c>
      <c r="L199" s="157" cm="1">
        <f t="array" aca="1" ref="L199" ca="1">IF(OR($E199="X",$E199="",$E199=0,$B199="X",$B199="",$B199=0),0,SUM(_xlfn._xlws.FILTER(FrmBB1[Cur],(FrmBB1[PrjId]=TEXT($B199,"@"))*(FrmBB1[Row]=$E199)*(FrmBB1[Column]=UPPER(_xlfn.LET(_xlpm.x,_xlfn.TEXTBEFORE(K$114," ("),IFERROR(_xlpm.x,K$114)))&amp;" "&amp;L$115),0)))</f>
        <v>0</v>
      </c>
      <c r="M199" s="158" cm="1">
        <f t="array" aca="1" ref="M199" ca="1">IF(OR($E199="X",$E199="",$E199=0,$B199="X",$B199="",$B199=0),0,SUM(_xlfn._xlws.FILTER(FrmBB1[Cur],(FrmBB1[PrjId]=TEXT($B199,"@"))*(FrmBB1[Row]=$E199)*(FrmBB1[Column]=UPPER(_xlfn.LET(_xlpm.x,_xlfn.TEXTBEFORE(M$114," ("),IFERROR(_xlpm.x,M$114)))&amp;" "&amp;M$115),0)))</f>
        <v>0</v>
      </c>
      <c r="N199" s="157" cm="1">
        <f t="array" aca="1" ref="N199" ca="1">IF(OR($E199="X",$E199="",$E199=0,$B199="X",$B199="",$B199=0),0,SUM(_xlfn._xlws.FILTER(FrmBB1[Cur],(FrmBB1[PrjId]=TEXT($B199,"@"))*(FrmBB1[Row]=$E199)*(FrmBB1[Column]=UPPER(_xlfn.LET(_xlpm.x,_xlfn.TEXTBEFORE(M$114," ("),IFERROR(_xlpm.x,M$114)))&amp;" "&amp;N$115),0)))</f>
        <v>0</v>
      </c>
      <c r="O199" s="158" cm="1">
        <f t="array" aca="1" ref="O199" ca="1">IF(OR($E199="X",$E199="",$E199=0,$B199="X",$B199="",$B199=0),0,SUM(_xlfn._xlws.FILTER(FrmBB1[Cur],(FrmBB1[PrjId]=TEXT($B199,"@"))*(FrmBB1[Row]=$E199)*(FrmBB1[Column]=UPPER(_xlfn.LET(_xlpm.x,_xlfn.TEXTBEFORE(O$114," ("),IFERROR(_xlpm.x,O$114)))&amp;" "&amp;O$115),0)))</f>
        <v>0</v>
      </c>
      <c r="P199" s="157" cm="1">
        <f t="array" aca="1" ref="P199" ca="1">IF(OR($E199="X",$E199="",$E199=0,$B199="X",$B199="",$B199=0),0,SUM(_xlfn._xlws.FILTER(FrmBB1[Cur],(FrmBB1[PrjId]=TEXT($B199,"@"))*(FrmBB1[Row]=$E199)*(FrmBB1[Column]=UPPER(_xlfn.LET(_xlpm.x,_xlfn.TEXTBEFORE(O$114," ("),IFERROR(_xlpm.x,O$114)))&amp;" "&amp;P$115),0)))</f>
        <v>0</v>
      </c>
      <c r="Q199" s="158" cm="1">
        <f t="array" aca="1" ref="Q199" ca="1">IF(OR($E199="X",$E199="",$E199=0,$B199="X",$B199="",$B199=0),0,SUM(_xlfn._xlws.FILTER(FrmBB1[Cur],(FrmBB1[PrjId]=TEXT($B199,"@"))*(FrmBB1[Row]=$E199)*(FrmBB1[Column]=UPPER(_xlfn.LET(_xlpm.x,_xlfn.TEXTBEFORE(Q$114," ("),IFERROR(_xlpm.x,Q$114)))&amp;" "&amp;Q$115),0)))</f>
        <v>0</v>
      </c>
      <c r="R199" s="157" cm="1">
        <f t="array" aca="1" ref="R199" ca="1">IF(OR($E199="X",$E199="",$E199=0,$B199="X",$B199="",$B199=0),0,SUM(_xlfn._xlws.FILTER(FrmBB1[Cur],(FrmBB1[PrjId]=TEXT($B199,"@"))*(FrmBB1[Row]=$E199)*(FrmBB1[Column]=UPPER(_xlfn.LET(_xlpm.x,_xlfn.TEXTBEFORE(Q$114," ("),IFERROR(_xlpm.x,Q$114)))&amp;" "&amp;R$115),0)))</f>
        <v>0</v>
      </c>
      <c r="S199" s="158" cm="1">
        <f t="array" aca="1" ref="S199" ca="1">IF(OR($E199="X",$E199="",$E199=0,$B199="X",$B199="",$B199=0),0,SUM(_xlfn._xlws.FILTER(FrmBB1[Cur],(FrmBB1[PrjId]=TEXT($B199,"@"))*(FrmBB1[Row]=$E199)*(FrmBB1[Column]=UPPER(_xlfn.LET(_xlpm.x,_xlfn.TEXTBEFORE(S$114," ("),IFERROR(_xlpm.x,S$114)))&amp;" "&amp;S$115),0)))</f>
        <v>0</v>
      </c>
      <c r="T199" s="157" cm="1">
        <f t="array" aca="1" ref="T199" ca="1">IF(OR($E199="X",$E199="",$E199=0,$B199="X",$B199="",$B199=0),0,SUM(_xlfn._xlws.FILTER(FrmBB1[Cur],(FrmBB1[PrjId]=TEXT($B199,"@"))*(FrmBB1[Row]=$E199)*(FrmBB1[Column]=UPPER(_xlfn.LET(_xlpm.x,_xlfn.TEXTBEFORE(S$114," ("),IFERROR(_xlpm.x,S$114)))&amp;" "&amp;T$115),0)))</f>
        <v>0</v>
      </c>
      <c r="U199" s="158" cm="1">
        <f t="array" aca="1" ref="U199" ca="1">IF(OR($E199="X",$E199="",$E199=0,$B199="X",$B199="",$B199=0),0,SUM(_xlfn._xlws.FILTER(FrmBB1[Cur],(FrmBB1[PrjId]=TEXT($B199,"@"))*(FrmBB1[Row]=$E199)*(FrmBB1[Column]=UPPER(_xlfn.LET(_xlpm.x,_xlfn.TEXTBEFORE(U$114," ("),IFERROR(_xlpm.x,U$114)))&amp;" "&amp;U$115),0)))</f>
        <v>0</v>
      </c>
      <c r="V199" s="157" cm="1">
        <f t="array" aca="1" ref="V199" ca="1">IF(OR($E199="X",$E199="",$E199=0,$B199="X",$B199="",$B199=0),0,SUM(_xlfn._xlws.FILTER(FrmBB1[Cur],(FrmBB1[PrjId]=TEXT($B199,"@"))*(FrmBB1[Row]=$E199)*(FrmBB1[Column]=UPPER(_xlfn.LET(_xlpm.x,_xlfn.TEXTBEFORE(U$114," ("),IFERROR(_xlpm.x,U$114)))&amp;" "&amp;V$115),0)))</f>
        <v>0</v>
      </c>
      <c r="W199" s="158" cm="1">
        <f t="array" aca="1" ref="W199" ca="1">IF(OR($E199="X",$E199="",$E199=0,$B199="X",$B199="",$B199=0),0,SUM(_xlfn._xlws.FILTER(FrmBB1[Cur],(FrmBB1[PrjId]=TEXT($B199,"@"))*(FrmBB1[Row]=$E199)*(FrmBB1[Column]=UPPER(_xlfn.LET(_xlpm.x,_xlfn.TEXTBEFORE(W$114," ("),IFERROR(_xlpm.x,W$114)))&amp;" "&amp;W$115),0)))</f>
        <v>0</v>
      </c>
      <c r="X199" s="157" cm="1">
        <f t="array" aca="1" ref="X199" ca="1">IF(OR($E199="X",$E199="",$E199=0,$B199="X",$B199="",$B199=0),0,SUM(_xlfn._xlws.FILTER(FrmBB1[Cur],(FrmBB1[PrjId]=TEXT($B199,"@"))*(FrmBB1[Row]=$E199)*(FrmBB1[Column]=UPPER(_xlfn.LET(_xlpm.x,_xlfn.TEXTBEFORE(W$114," ("),IFERROR(_xlpm.x,W$114)))&amp;" "&amp;X$115),0)))</f>
        <v>0</v>
      </c>
      <c r="Y199" s="158" cm="1">
        <f t="array" aca="1" ref="Y199" ca="1">IF(OR($E199="X",$E199="",$E199=0,$B199="X",$B199="",$B199=0),0,SUM(_xlfn._xlws.FILTER(FrmBB1[Cur],(FrmBB1[PrjId]=TEXT($B199,"@"))*(FrmBB1[Row]=$E199)*(FrmBB1[Column]=UPPER(_xlfn.LET(_xlpm.x,_xlfn.TEXTBEFORE(Y$114," ("),IFERROR(_xlpm.x,Y$114)))&amp;" "&amp;Y$115),0)))</f>
        <v>0</v>
      </c>
      <c r="Z199" s="157" cm="1">
        <f t="array" aca="1" ref="Z199" ca="1">IF(OR($E199="X",$E199="",$E199=0,$B199="X",$B199="",$B199=0),0,SUM(_xlfn._xlws.FILTER(FrmBB1[Cur],(FrmBB1[PrjId]=TEXT($B199,"@"))*(FrmBB1[Row]=$E199)*(FrmBB1[Column]=UPPER(_xlfn.LET(_xlpm.x,_xlfn.TEXTBEFORE(Y$114," ("),IFERROR(_xlpm.x,Y$114)))&amp;" "&amp;Z$115),0)))</f>
        <v>0</v>
      </c>
      <c r="AA199" s="158" cm="1">
        <f t="array" aca="1" ref="AA199" ca="1">IF(OR($E199="X",$E199="",$E199=0,$B199="X",$B199="",$B199=0),0,SUM(_xlfn._xlws.FILTER(FrmBB1[Cur],(FrmBB1[PrjId]=TEXT($B199,"@"))*(FrmBB1[Row]=$E199)*(FrmBB1[Column]=UPPER(_xlfn.LET(_xlpm.x,_xlfn.TEXTBEFORE(AA$114," ("),IFERROR(_xlpm.x,AA$114)))&amp;" "&amp;AA$115),0)))</f>
        <v>0</v>
      </c>
      <c r="AB199" s="157" cm="1">
        <f t="array" aca="1" ref="AB199" ca="1">IF(OR($E199="X",$E199="",$E199=0,$B199="X",$B199="",$B199=0),0,SUM(_xlfn._xlws.FILTER(FrmBB1[Cur],(FrmBB1[PrjId]=TEXT($B199,"@"))*(FrmBB1[Row]=$E199)*(FrmBB1[Column]=UPPER(_xlfn.LET(_xlpm.x,_xlfn.TEXTBEFORE(AA$114," ("),IFERROR(_xlpm.x,AA$114)))&amp;" "&amp;AB$115),0)))</f>
        <v>0</v>
      </c>
      <c r="AC199" s="158" cm="1">
        <f t="array" aca="1" ref="AC199" ca="1">IF(OR($E199="X",$E199="",$E199=0,$B199="X",$B199="",$B199=0),0,SUM(_xlfn._xlws.FILTER(FrmBB1[Cur],(FrmBB1[PrjId]=TEXT($B199,"@"))*(FrmBB1[Row]=$E199)*(FrmBB1[Column]=UPPER(_xlfn.LET(_xlpm.x,_xlfn.TEXTBEFORE(AC$114," ("),IFERROR(_xlpm.x,AC$114)))&amp;" "&amp;AC$115),0)))</f>
        <v>0</v>
      </c>
      <c r="AD199" s="157" cm="1">
        <f t="array" aca="1" ref="AD199" ca="1">IF(OR($E199="X",$E199="",$E199=0,$B199="X",$B199="",$B199=0),0,SUM(_xlfn._xlws.FILTER(FrmBB1[Cur],(FrmBB1[PrjId]=TEXT($B199,"@"))*(FrmBB1[Row]=$E199)*(FrmBB1[Column]=UPPER(_xlfn.LET(_xlpm.x,_xlfn.TEXTBEFORE(AC$114," ("),IFERROR(_xlpm.x,AC$114)))&amp;" "&amp;AD$115),0)))</f>
        <v>0</v>
      </c>
      <c r="AE199" s="158" cm="1">
        <f t="array" aca="1" ref="AE199" ca="1">IF(OR($E199="X",$E199="",$E199=0,$B199="X",$B199="",$B199=0),0,SUM(_xlfn._xlws.FILTER(FrmBB1[Cur],(FrmBB1[PrjId]=TEXT($B199,"@"))*(FrmBB1[Row]=$E199)*(FrmBB1[Column]=UPPER(_xlfn.LET(_xlpm.x,_xlfn.TEXTBEFORE(AE$114," ("),IFERROR(_xlpm.x,AE$114)))&amp;" "&amp;AE$115),0)))</f>
        <v>0</v>
      </c>
      <c r="AF199" s="157" cm="1">
        <f t="array" aca="1" ref="AF199" ca="1">IF(OR($E199="X",$E199="",$E199=0,$B199="X",$B199="",$B199=0),0,SUM(_xlfn._xlws.FILTER(FrmBB1[Cur],(FrmBB1[PrjId]=TEXT($B199,"@"))*(FrmBB1[Row]=$E199)*(FrmBB1[Column]=UPPER(_xlfn.LET(_xlpm.x,_xlfn.TEXTBEFORE(AE$114," ("),IFERROR(_xlpm.x,AE$114)))&amp;" "&amp;AF$115),0)))</f>
        <v>0</v>
      </c>
      <c r="AG199" s="158" cm="1">
        <f t="array" aca="1" ref="AG199" ca="1">IF(OR($E199="X",$E199="",$E199=0,$B199="X",$B199="",$B199=0),0,SUM(_xlfn._xlws.FILTER(FrmBB1[Cur],(FrmBB1[PrjId]=TEXT($B199,"@"))*(FrmBB1[Row]=$E199)*(FrmBB1[Column]=UPPER(_xlfn.LET(_xlpm.x,_xlfn.TEXTBEFORE(AG$114," ("),IFERROR(_xlpm.x,AG$114)))&amp;" "&amp;AG$115),0)))</f>
        <v>0</v>
      </c>
      <c r="AH199" s="157" cm="1">
        <f t="array" aca="1" ref="AH199" ca="1">IF(OR($E199="X",$E199="",$E199=0,$B199="X",$B199="",$B199=0),0,SUM(_xlfn._xlws.FILTER(FrmBB1[Cur],(FrmBB1[PrjId]=TEXT($B199,"@"))*(FrmBB1[Row]=$E199)*(FrmBB1[Column]=UPPER(_xlfn.LET(_xlpm.x,_xlfn.TEXTBEFORE(AG$114," ("),IFERROR(_xlpm.x,AG$114)))&amp;" "&amp;AH$115),0)))</f>
        <v>0</v>
      </c>
      <c r="AI199" s="158" cm="1">
        <f t="array" aca="1" ref="AI199" ca="1">IF(OR($E199="X",$E199="",$E199=0,$B199="X",$B199="",$B199=0),0,SUM(_xlfn._xlws.FILTER(FrmBB1[Cur],(FrmBB1[PrjId]=TEXT($B199,"@"))*(FrmBB1[Row]=$E199)*(FrmBB1[Column]=UPPER(_xlfn.LET(_xlpm.x,_xlfn.TEXTBEFORE(AI$114," ("),IFERROR(_xlpm.x,AI$114)))&amp;" "&amp;AI$115),0)))</f>
        <v>0</v>
      </c>
      <c r="AJ199" s="157" cm="1">
        <f t="array" aca="1" ref="AJ199" ca="1">IF(OR($E199="X",$E199="",$E199=0,$B199="X",$B199="",$B199=0),0,SUM(_xlfn._xlws.FILTER(FrmBB1[Cur],(FrmBB1[PrjId]=TEXT($B199,"@"))*(FrmBB1[Row]=$E199)*(FrmBB1[Column]=UPPER(_xlfn.LET(_xlpm.x,_xlfn.TEXTBEFORE(AI$114," ("),IFERROR(_xlpm.x,AI$114)))&amp;" "&amp;AJ$115),0)))</f>
        <v>0</v>
      </c>
      <c r="AK199" s="158" cm="1">
        <f t="array" aca="1" ref="AK199" ca="1">IF(OR($E199="X",$E199="",$E199=0,$B199="X",$B199="",$B199=0),0,SUM(_xlfn._xlws.FILTER(FrmBB1[Cur],(FrmBB1[PrjId]=TEXT($B199,"@"))*(FrmBB1[Row]=$E199)*(FrmBB1[Column]=UPPER(_xlfn.LET(_xlpm.x,_xlfn.TEXTBEFORE(AK$114," ("),IFERROR(_xlpm.x,AK$114)))&amp;" "&amp;AK$115),0)))</f>
        <v>0</v>
      </c>
      <c r="AL199" s="157" cm="1">
        <f t="array" aca="1" ref="AL199" ca="1">IF(OR($E199="X",$E199="",$E199=0,$B199="X",$B199="",$B199=0),0,SUM(_xlfn._xlws.FILTER(FrmBB1[Cur],(FrmBB1[PrjId]=TEXT($B199,"@"))*(FrmBB1[Row]=$E199)*(FrmBB1[Column]=UPPER(_xlfn.LET(_xlpm.x,_xlfn.TEXTBEFORE(AK$114," ("),IFERROR(_xlpm.x,AK$114)))&amp;" "&amp;AL$115),0)))</f>
        <v>0</v>
      </c>
      <c r="AM199" s="158" cm="1">
        <f t="array" aca="1" ref="AM199" ca="1">IF(OR($E199="X",$E199="",$E199=0,$B199="X",$B199="",$B199=0),0,SUM(_xlfn._xlws.FILTER(FrmBB1[Cur],(FrmBB1[PrjId]=TEXT($B199,"@"))*(FrmBB1[Row]=$E199)*(FrmBB1[Column]=UPPER(_xlfn.LET(_xlpm.x,_xlfn.TEXTBEFORE(AM$114," ("),IFERROR(_xlpm.x,AM$114)))&amp;" "&amp;AM$115),0)))</f>
        <v>0</v>
      </c>
      <c r="AN199" s="157" cm="1">
        <f t="array" aca="1" ref="AN199" ca="1">IF(OR($E199="X",$E199="",$E199=0,$B199="X",$B199="",$B199=0),0,SUM(_xlfn._xlws.FILTER(FrmBB1[Cur],(FrmBB1[PrjId]=TEXT($B199,"@"))*(FrmBB1[Row]=$E199)*(FrmBB1[Column]=UPPER(_xlfn.LET(_xlpm.x,_xlfn.TEXTBEFORE(AM$114," ("),IFERROR(_xlpm.x,AM$114)))&amp;" "&amp;AN$115),0)))</f>
        <v>0</v>
      </c>
      <c r="AO199" s="158" cm="1">
        <f t="array" aca="1" ref="AO199" ca="1">IF(OR($E199="X",$E199="",$E199=0,$B199="X",$B199="",$B199=0),0,SUM(_xlfn._xlws.FILTER(FrmBB1[Cur],(FrmBB1[PrjId]=TEXT($B199,"@"))*(FrmBB1[Row]=$E199)*(FrmBB1[Column]=UPPER(_xlfn.LET(_xlpm.x,_xlfn.TEXTBEFORE(AO$114," ("),IFERROR(_xlpm.x,AO$114)))&amp;" "&amp;AO$115),0)))</f>
        <v>0</v>
      </c>
      <c r="AP199" s="157" cm="1">
        <f t="array" aca="1" ref="AP199" ca="1">IF(OR($E199="X",$E199="",$E199=0,$B199="X",$B199="",$B199=0),0,SUM(_xlfn._xlws.FILTER(FrmBB1[Cur],(FrmBB1[PrjId]=TEXT($B199,"@"))*(FrmBB1[Row]=$E199)*(FrmBB1[Column]=UPPER(_xlfn.LET(_xlpm.x,_xlfn.TEXTBEFORE(AO$114," ("),IFERROR(_xlpm.x,AO$114)))&amp;" "&amp;AP$115),0)))</f>
        <v>0</v>
      </c>
      <c r="AQ199" s="157" cm="1">
        <f t="array" aca="1" ref="AQ199" ca="1">SUM(IF(INDIRECT($AS$115)=AQ$115,INDIRECT($AS199)))</f>
        <v>0</v>
      </c>
      <c r="AR199" s="157" cm="1">
        <f t="array" aca="1" ref="AR199" ca="1">SUM(IF(INDIRECT($AS$115)=AR$115,INDIRECT($AS199)))</f>
        <v>0</v>
      </c>
      <c r="AS199" s="286" t="str">
        <f t="shared" ca="1" si="16"/>
        <v>G199:AP199</v>
      </c>
      <c r="AT199" s="403">
        <f t="shared" ca="1" si="17"/>
        <v>0</v>
      </c>
      <c r="AV199" s="142" cm="1">
        <f t="array" aca="1" ref="AV199" ca="1">IF(AND(_xlfn.LET(_xlpm.x,SUM(ROW()),OR(AND(MATCH("SOT",$A:$A,0)&lt;_xlpm.x,MATCH("EOT",$A:$A,0)&gt;_xlpm.x),AND(MATCH("SOS",$A:$A,0)&lt;_xlpm.x,MATCH("EOS",$A:$A,0)&gt;_xlpm.x),AND(MATCH("SOR",$A:$A,0)&lt;_xlpm.x,MATCH("EOR",$A:$A,0)&gt;_xlpm.x))),INDIRECT("rc"&amp;MATCH("SCD",$1:$1,0),FALSE)="PPTO"),1,0)</f>
        <v>0</v>
      </c>
      <c r="AW199" s="142" cm="1">
        <f t="array" aca="1" ref="AW19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200" spans="2:49" outlineLevel="1">
      <c r="B200" s="156" t="str" cm="1">
        <f t="array" aca="1" ref="B200" ca="1">_xlfn.LET(_xlpm.x,SUM(ROW()-MATCH("SOR",$A:$A,0)),_xlpm.y,IFERROR(_xlfn.TAKE(INDEX(_xlfn._xlws.FILTER(TbAssign[],ISNUMBER(FIND(TbAssign[Project],$C$4)),"X"),1+QUOTIENT(_xlpm.x,3),0),1,4),0),IF(MOD(_xlpm.x-1,3)=0,IF(_xlpm.y=0,"X",_xlpm.y),INDIRECT("r[-1]c#",FALSE)))</f>
        <v>X</v>
      </c>
      <c r="C200" s="156"/>
      <c r="E200" s="352"/>
      <c r="F200" s="148" t="s">
        <v>397</v>
      </c>
      <c r="G200" s="157" cm="1">
        <f t="array" aca="1" ref="G200" ca="1">IF(OR($E200="X",$E200="",$E200=0,$B200="X",$B200="",$B200=0),0,SUM(_xlfn._xlws.FILTER(IF($E$4="Ppto",PptoSty[CurPpto],PptoSty[CurInt]),(IF($E$4="Ppto",PptoSty[POvsCT]=G$113,TRUE))*(PptoSty[Project]=TEXT($B200,"@"))*(PptoSty[PptoVsRow]=$E200)*(PptoSty[PptoVsColumn]=UPPER(G$114)),0)))</f>
        <v>0</v>
      </c>
      <c r="H200" s="157" cm="1">
        <f t="array" aca="1" ref="H200" ca="1">IF(OR($E200="X",$E200="",$E200=0,$B200="X",$B200="",$B200=0),0,SUM(_xlfn._xlws.FILTER(IF($E$4="Ppto",PptoSty[CurPpto],PptoSty[CurExt]),(IF($E$4="Ppto",PptoSty[POvsCT]=H$113,TRUE))*(PptoSty[Project]=TEXT($B200,"@"))*(PptoSty[PptoVsRow]=$E200)*(PptoSty[PptoVsColumn]=UPPER(G$114)),0)))</f>
        <v>0</v>
      </c>
      <c r="I200" s="157" cm="1">
        <f t="array" aca="1" ref="I200" ca="1">IF(OR($E200="X",$E200="",$E200=0,$B200="X",$B200="",$B200=0),0,SUM(_xlfn._xlws.FILTER(IF($E$4="Ppto",PptoSty[CurPpto],PptoSty[CurInt]),(IF($E$4="Ppto",PptoSty[POvsCT]=I$113,TRUE))*(PptoSty[Project]=TEXT($B200,"@"))*(PptoSty[PptoVsRow]=$E200)*(PptoSty[PptoVsColumn]=UPPER(I$114)),0)))</f>
        <v>0</v>
      </c>
      <c r="J200" s="157" cm="1">
        <f t="array" aca="1" ref="J200" ca="1">IF(OR($E200="X",$E200="",$E200=0,$B200="X",$B200="",$B200=0),0,SUM(_xlfn._xlws.FILTER(IF($E$4="Ppto",PptoSty[CurPpto],PptoSty[CurExt]),(IF($E$4="Ppto",PptoSty[POvsCT]=J$113,TRUE))*(PptoSty[Project]=TEXT($B200,"@"))*(PptoSty[PptoVsRow]=$E200)*(PptoSty[PptoVsColumn]=UPPER(I$114)),0)))</f>
        <v>0</v>
      </c>
      <c r="K200" s="157" cm="1">
        <f t="array" aca="1" ref="K200" ca="1">IF(OR($E200="X",$E200="",$E200=0,$B200="X",$B200="",$B200=0),0,SUM(_xlfn._xlws.FILTER(IF($E$4="Ppto",PptoSty[CurPpto],PptoSty[CurInt]),(IF($E$4="Ppto",PptoSty[POvsCT]=K$113,TRUE))*(PptoSty[Project]=TEXT($B200,"@"))*(PptoSty[PptoVsRow]=$E200)*(PptoSty[PptoVsColumn]=UPPER(K$114)),0)))</f>
        <v>0</v>
      </c>
      <c r="L200" s="157" cm="1">
        <f t="array" aca="1" ref="L200" ca="1">IF(OR($E200="X",$E200="",$E200=0,$B200="X",$B200="",$B200=0),0,SUM(_xlfn._xlws.FILTER(IF($E$4="Ppto",PptoSty[CurPpto],PptoSty[CurExt]),(IF($E$4="Ppto",PptoSty[POvsCT]=L$113,TRUE))*(PptoSty[Project]=TEXT($B200,"@"))*(PptoSty[PptoVsRow]=$E200)*(PptoSty[PptoVsColumn]=UPPER(K$114)),0)))</f>
        <v>0</v>
      </c>
      <c r="M200" s="157" cm="1">
        <f t="array" aca="1" ref="M200" ca="1">IF(OR($E200="X",$E200="",$E200=0,$B200="X",$B200="",$B200=0),0,SUM(_xlfn._xlws.FILTER(IF($E$4="Ppto",PptoSty[CurPpto],PptoSty[CurInt]),(IF($E$4="Ppto",PptoSty[POvsCT]=M$113,TRUE))*(PptoSty[Project]=TEXT($B200,"@"))*(PptoSty[PptoVsRow]=$E200)*(PptoSty[PptoVsColumn]=UPPER(M$114)),0)))</f>
        <v>0</v>
      </c>
      <c r="N200" s="157" cm="1">
        <f t="array" aca="1" ref="N200" ca="1">IF(OR($E200="X",$E200="",$E200=0,$B200="X",$B200="",$B200=0),0,SUM(_xlfn._xlws.FILTER(IF($E$4="Ppto",PptoSty[CurPpto],PptoSty[CurExt]),(IF($E$4="Ppto",PptoSty[POvsCT]=N$113,TRUE))*(PptoSty[Project]=TEXT($B200,"@"))*(PptoSty[PptoVsRow]=$E200)*(PptoSty[PptoVsColumn]=UPPER(M$114)),0)))</f>
        <v>0</v>
      </c>
      <c r="O200" s="157" cm="1">
        <f t="array" aca="1" ref="O200" ca="1">IF(OR($E200="X",$E200="",$E200=0,$B200="X",$B200="",$B200=0),0,SUM(_xlfn._xlws.FILTER(IF($E$4="Ppto",PptoSty[CurPpto],PptoSty[CurInt]),(IF($E$4="Ppto",PptoSty[POvsCT]=O$113,TRUE))*(PptoSty[Project]=TEXT($B200,"@"))*(PptoSty[PptoVsRow]=$E200)*(PptoSty[PptoVsColumn]=UPPER(O$114)),0)))</f>
        <v>0</v>
      </c>
      <c r="P200" s="157" cm="1">
        <f t="array" aca="1" ref="P200" ca="1">IF(OR($E200="X",$E200="",$E200=0,$B200="X",$B200="",$B200=0),0,SUM(_xlfn._xlws.FILTER(IF($E$4="Ppto",PptoSty[CurPpto],PptoSty[CurExt]),(IF($E$4="Ppto",PptoSty[POvsCT]=P$113,TRUE))*(PptoSty[Project]=TEXT($B200,"@"))*(PptoSty[PptoVsRow]=$E200)*(PptoSty[PptoVsColumn]=UPPER(O$114)),0)))</f>
        <v>0</v>
      </c>
      <c r="Q200" s="157" cm="1">
        <f t="array" aca="1" ref="Q200" ca="1">IF(OR($E200="X",$E200="",$E200=0,$B200="X",$B200="",$B200=0),0,SUM(_xlfn._xlws.FILTER(IF($E$4="Ppto",PptoSty[CurPpto],PptoSty[CurInt]),(IF($E$4="Ppto",PptoSty[POvsCT]=Q$113,TRUE))*(PptoSty[Project]=TEXT($B200,"@"))*(PptoSty[PptoVsRow]=$E200)*(PptoSty[PptoVsColumn]=UPPER(Q$114)),0)))</f>
        <v>0</v>
      </c>
      <c r="R200" s="157" cm="1">
        <f t="array" aca="1" ref="R200" ca="1">IF(OR($E200="X",$E200="",$E200=0,$B200="X",$B200="",$B200=0),0,SUM(_xlfn._xlws.FILTER(IF($E$4="Ppto",PptoSty[CurPpto],PptoSty[CurExt]),(IF($E$4="Ppto",PptoSty[POvsCT]=R$113,TRUE))*(PptoSty[Project]=TEXT($B200,"@"))*(PptoSty[PptoVsRow]=$E200)*(PptoSty[PptoVsColumn]=UPPER(Q$114)),0)))</f>
        <v>0</v>
      </c>
      <c r="S200" s="157" cm="1">
        <f t="array" aca="1" ref="S200" ca="1">IF(OR($E200="X",$E200="",$E200=0,$B200="X",$B200="",$B200=0),0,SUM(_xlfn._xlws.FILTER(IF($E$4="Ppto",PptoSty[CurPpto],PptoSty[CurInt]),(IF($E$4="Ppto",PptoSty[POvsCT]=S$113,TRUE))*(PptoSty[Project]=TEXT($B200,"@"))*(PptoSty[PptoVsRow]=$E200)*(PptoSty[PptoVsColumn]=UPPER(S$114)),0)))</f>
        <v>0</v>
      </c>
      <c r="T200" s="157" cm="1">
        <f t="array" aca="1" ref="T200" ca="1">IF(OR($E200="X",$E200="",$E200=0,$B200="X",$B200="",$B200=0),0,SUM(_xlfn._xlws.FILTER(IF($E$4="Ppto",PptoSty[CurPpto],PptoSty[CurExt]),(IF($E$4="Ppto",PptoSty[POvsCT]=T$113,TRUE))*(PptoSty[Project]=TEXT($B200,"@"))*(PptoSty[PptoVsRow]=$E200)*(PptoSty[PptoVsColumn]=UPPER(S$114)),0)))</f>
        <v>0</v>
      </c>
      <c r="U200" s="157" cm="1">
        <f t="array" aca="1" ref="U200" ca="1">IF(OR($E200="X",$E200="",$E200=0,$B200="X",$B200="",$B200=0),0,SUM(_xlfn._xlws.FILTER(IF($E$4="Ppto",PptoSty[CurPpto],PptoSty[CurInt]),(IF($E$4="Ppto",PptoSty[POvsCT]=U$113,TRUE))*(PptoSty[Project]=TEXT($B200,"@"))*(PptoSty[PptoVsRow]=$E200)*(PptoSty[PptoVsColumn]=UPPER(U$114)),0)))</f>
        <v>0</v>
      </c>
      <c r="V200" s="157" cm="1">
        <f t="array" aca="1" ref="V200" ca="1">IF(OR($E200="X",$E200="",$E200=0,$B200="X",$B200="",$B200=0),0,SUM(_xlfn._xlws.FILTER(IF($E$4="Ppto",PptoSty[CurPpto],PptoSty[CurExt]),(IF($E$4="Ppto",PptoSty[POvsCT]=V$113,TRUE))*(PptoSty[Project]=TEXT($B200,"@"))*(PptoSty[PptoVsRow]=$E200)*(PptoSty[PptoVsColumn]=UPPER(U$114)),0)))</f>
        <v>0</v>
      </c>
      <c r="W200" s="157" cm="1">
        <f t="array" aca="1" ref="W200" ca="1">IF(OR($E200="X",$E200="",$E200=0,$B200="X",$B200="",$B200=0),0,SUM(_xlfn._xlws.FILTER(IF($E$4="Ppto",PptoSty[CurPpto],PptoSty[CurInt]),(IF($E$4="Ppto",PptoSty[POvsCT]=W$113,TRUE))*(PptoSty[Project]=TEXT($B200,"@"))*(PptoSty[PptoVsRow]=$E200)*(PptoSty[PptoVsColumn]=UPPER(W$114)),0)))</f>
        <v>0</v>
      </c>
      <c r="X200" s="157" cm="1">
        <f t="array" aca="1" ref="X200" ca="1">IF(OR($E200="X",$E200="",$E200=0,$B200="X",$B200="",$B200=0),0,SUM(_xlfn._xlws.FILTER(IF($E$4="Ppto",PptoSty[CurPpto],PptoSty[CurExt]),(IF($E$4="Ppto",PptoSty[POvsCT]=X$113,TRUE))*(PptoSty[Project]=TEXT($B200,"@"))*(PptoSty[PptoVsRow]=$E200)*(PptoSty[PptoVsColumn]=UPPER(W$114)),0)))</f>
        <v>0</v>
      </c>
      <c r="Y200" s="157" cm="1">
        <f t="array" aca="1" ref="Y200" ca="1">IF(OR($E200="X",$E200="",$E200=0,$B200="X",$B200="",$B200=0),0,SUM(_xlfn._xlws.FILTER(IF($E$4="Ppto",PptoSty[CurPpto],PptoSty[CurInt]),(IF($E$4="Ppto",PptoSty[POvsCT]=Y$113,TRUE))*(PptoSty[Project]=TEXT($B200,"@"))*(PptoSty[PptoVsRow]=$E200)*(PptoSty[PptoVsColumn]=UPPER(Y$114)),0)))</f>
        <v>0</v>
      </c>
      <c r="Z200" s="157" cm="1">
        <f t="array" aca="1" ref="Z200" ca="1">IF(OR($E200="X",$E200="",$E200=0,$B200="X",$B200="",$B200=0),0,SUM(_xlfn._xlws.FILTER(IF($E$4="Ppto",PptoSty[CurPpto],PptoSty[CurExt]),(IF($E$4="Ppto",PptoSty[POvsCT]=Z$113,TRUE))*(PptoSty[Project]=TEXT($B200,"@"))*(PptoSty[PptoVsRow]=$E200)*(PptoSty[PptoVsColumn]=UPPER(Y$114)),0)))</f>
        <v>0</v>
      </c>
      <c r="AA200" s="157" cm="1">
        <f t="array" aca="1" ref="AA200" ca="1">IF(OR($E200="X",$E200="",$E200=0,$B200="X",$B200="",$B200=0),0,SUM(_xlfn._xlws.FILTER(IF($E$4="Ppto",PptoSty[CurPpto],PptoSty[CurInt]),(IF($E$4="Ppto",PptoSty[POvsCT]=AA$113,TRUE))*(PptoSty[Project]=TEXT($B200,"@"))*(PptoSty[PptoVsRow]=$E200)*(PptoSty[PptoVsColumn]=UPPER(AA$114)),0)))</f>
        <v>0</v>
      </c>
      <c r="AB200" s="157" cm="1">
        <f t="array" aca="1" ref="AB200" ca="1">IF(OR($E200="X",$E200="",$E200=0,$B200="X",$B200="",$B200=0),0,SUM(_xlfn._xlws.FILTER(IF($E$4="Ppto",PptoSty[CurPpto],PptoSty[CurExt]),(IF($E$4="Ppto",PptoSty[POvsCT]=AB$113,TRUE))*(PptoSty[Project]=TEXT($B200,"@"))*(PptoSty[PptoVsRow]=$E200)*(PptoSty[PptoVsColumn]=UPPER(AA$114)),0)))</f>
        <v>0</v>
      </c>
      <c r="AC200" s="157" cm="1">
        <f t="array" aca="1" ref="AC200" ca="1">IF(OR($E200="X",$E200="",$E200=0,$B200="X",$B200="",$B200=0),0,SUM(_xlfn._xlws.FILTER(IF($E$4="Ppto",PptoSty[CurPpto],PptoSty[CurInt]),(IF($E$4="Ppto",PptoSty[POvsCT]=AC$113,TRUE))*(PptoSty[Project]=TEXT($B200,"@"))*(PptoSty[PptoVsRow]=$E200)*(PptoSty[PptoVsColumn]=UPPER(AC$114)),0)))</f>
        <v>0</v>
      </c>
      <c r="AD200" s="157" cm="1">
        <f t="array" aca="1" ref="AD200" ca="1">IF(OR($E200="X",$E200="",$E200=0,$B200="X",$B200="",$B200=0),0,SUM(_xlfn._xlws.FILTER(IF($E$4="Ppto",PptoSty[CurPpto],PptoSty[CurExt]),(IF($E$4="Ppto",PptoSty[POvsCT]=AD$113,TRUE))*(PptoSty[Project]=TEXT($B200,"@"))*(PptoSty[PptoVsRow]=$E200)*(PptoSty[PptoVsColumn]=UPPER(AC$114)),0)))</f>
        <v>0</v>
      </c>
      <c r="AE200" s="157" cm="1">
        <f t="array" aca="1" ref="AE200" ca="1">IF(OR($E200="X",$E200="",$E200=0,$B200="X",$B200="",$B200=0),0,SUM(_xlfn._xlws.FILTER(IF($E$4="Ppto",PptoSty[CurPpto],PptoSty[CurInt]),(IF($E$4="Ppto",PptoSty[POvsCT]=AE$113,TRUE))*(PptoSty[Project]=TEXT($B200,"@"))*(PptoSty[PptoVsRow]=$E200)*(PptoSty[PptoVsColumn]=UPPER(AE$114)),0)))</f>
        <v>0</v>
      </c>
      <c r="AF200" s="157" cm="1">
        <f t="array" aca="1" ref="AF200" ca="1">IF(OR($E200="X",$E200="",$E200=0,$B200="X",$B200="",$B200=0),0,SUM(_xlfn._xlws.FILTER(IF($E$4="Ppto",PptoSty[CurPpto],PptoSty[CurExt]),(IF($E$4="Ppto",PptoSty[POvsCT]=AF$113,TRUE))*(PptoSty[Project]=TEXT($B200,"@"))*(PptoSty[PptoVsRow]=$E200)*(PptoSty[PptoVsColumn]=UPPER(AE$114)),0)))</f>
        <v>0</v>
      </c>
      <c r="AG200" s="157" cm="1">
        <f t="array" aca="1" ref="AG200" ca="1">IF(OR($E200="X",$E200="",$E200=0,$B200="X",$B200="",$B200=0),0,SUM(_xlfn._xlws.FILTER(IF($E$4="Ppto",PptoSty[CurPpto],PptoSty[CurInt]),(IF($E$4="Ppto",PptoSty[POvsCT]=AG$113,TRUE))*(PptoSty[Project]=TEXT($B200,"@"))*(PptoSty[PptoVsRow]=$E200)*(PptoSty[PptoVsColumn]=UPPER(AG$114)),0)))</f>
        <v>0</v>
      </c>
      <c r="AH200" s="157" cm="1">
        <f t="array" aca="1" ref="AH200" ca="1">IF(OR($E200="X",$E200="",$E200=0,$B200="X",$B200="",$B200=0),0,SUM(_xlfn._xlws.FILTER(IF($E$4="Ppto",PptoSty[CurPpto],PptoSty[CurExt]),(IF($E$4="Ppto",PptoSty[POvsCT]=AH$113,TRUE))*(PptoSty[Project]=TEXT($B200,"@"))*(PptoSty[PptoVsRow]=$E200)*(PptoSty[PptoVsColumn]=UPPER(AG$114)),0)))</f>
        <v>0</v>
      </c>
      <c r="AI200" s="157" cm="1">
        <f t="array" aca="1" ref="AI200" ca="1">IF(OR($E200="X",$E200="",$E200=0,$B200="X",$B200="",$B200=0),0,SUM(_xlfn._xlws.FILTER(IF($E$4="Ppto",PptoSty[CurPpto],PptoSty[CurInt]),(IF($E$4="Ppto",PptoSty[POvsCT]=AI$113,TRUE))*(PptoSty[Project]=TEXT($B200,"@"))*(PptoSty[PptoVsRow]=$E200)*(PptoSty[PptoVsColumn]=UPPER(AI$114)),0)))</f>
        <v>0</v>
      </c>
      <c r="AJ200" s="157" cm="1">
        <f t="array" aca="1" ref="AJ200" ca="1">IF(OR($E200="X",$E200="",$E200=0,$B200="X",$B200="",$B200=0),0,SUM(_xlfn._xlws.FILTER(IF($E$4="Ppto",PptoSty[CurPpto],PptoSty[CurExt]),(IF($E$4="Ppto",PptoSty[POvsCT]=AJ$113,TRUE))*(PptoSty[Project]=TEXT($B200,"@"))*(PptoSty[PptoVsRow]=$E200)*(PptoSty[PptoVsColumn]=UPPER(AI$114)),0)))</f>
        <v>0</v>
      </c>
      <c r="AK200" s="157" cm="1">
        <f t="array" aca="1" ref="AK200" ca="1">IF(OR($E200="X",$E200="",$E200=0,$B200="X",$B200="",$B200=0),0,SUM(_xlfn._xlws.FILTER(IF($E$4="Ppto",PptoSty[CurPpto],PptoSty[CurInt]),(IF($E$4="Ppto",PptoSty[POvsCT]=AK$113,TRUE))*(PptoSty[Project]=TEXT($B200,"@"))*(PptoSty[PptoVsRow]=$E200)*(PptoSty[PptoVsColumn]=UPPER(AK$114)),0)))</f>
        <v>0</v>
      </c>
      <c r="AL200" s="157" cm="1">
        <f t="array" aca="1" ref="AL200" ca="1">IF(OR($E200="X",$E200="",$E200=0,$B200="X",$B200="",$B200=0),0,SUM(_xlfn._xlws.FILTER(IF($E$4="Ppto",PptoSty[CurPpto],PptoSty[CurExt]),(IF($E$4="Ppto",PptoSty[POvsCT]=AL$113,TRUE))*(PptoSty[Project]=TEXT($B200,"@"))*(PptoSty[PptoVsRow]=$E200)*(PptoSty[PptoVsColumn]=UPPER(AK$114)),0)))</f>
        <v>0</v>
      </c>
      <c r="AM200" s="157" cm="1">
        <f t="array" aca="1" ref="AM200" ca="1">IF(OR($E200="X",$E200="",$E200=0,$B200="X",$B200="",$B200=0),0,SUM(_xlfn._xlws.FILTER(IF($E$4="Ppto",PptoSty[CurPpto],PptoSty[CurInt]),(IF($E$4="Ppto",PptoSty[POvsCT]=AM$113,TRUE))*(PptoSty[Project]=TEXT($B200,"@"))*(PptoSty[PptoVsRow]=$E200)*(PptoSty[PptoVsColumn]=UPPER(AM$114)),0)))</f>
        <v>0</v>
      </c>
      <c r="AN200" s="157" cm="1">
        <f t="array" aca="1" ref="AN200" ca="1">IF(OR($E200="X",$E200="",$E200=0,$B200="X",$B200="",$B200=0),0,SUM(_xlfn._xlws.FILTER(IF($E$4="Ppto",PptoSty[CurPpto],PptoSty[CurExt]),(IF($E$4="Ppto",PptoSty[POvsCT]=AN$113,TRUE))*(PptoSty[Project]=TEXT($B200,"@"))*(PptoSty[PptoVsRow]=$E200)*(PptoSty[PptoVsColumn]=UPPER(AM$114)),0)))</f>
        <v>0</v>
      </c>
      <c r="AO200" s="157" cm="1">
        <f t="array" aca="1" ref="AO200" ca="1">IF(OR($E200="X",$E200="",$E200=0,$B200="X",$B200="",$B200=0),0,SUM(_xlfn._xlws.FILTER(IF($E$4="Ppto",PptoSty[CurPpto],PptoSty[CurInt]),(IF($E$4="Ppto",PptoSty[POvsCT]=AO$113,TRUE))*(PptoSty[Project]=TEXT($B200,"@"))*(PptoSty[PptoVsRow]=$E200)*(PptoSty[PptoVsColumn]=UPPER(AO$114)),0)))</f>
        <v>0</v>
      </c>
      <c r="AP200" s="157" cm="1">
        <f t="array" aca="1" ref="AP200" ca="1">IF(OR($E200="X",$E200="",$E200=0,$B200="X",$B200="",$B200=0),0,SUM(_xlfn._xlws.FILTER(IF($E$4="Ppto",PptoSty[CurPpto],PptoSty[CurExt]),(IF($E$4="Ppto",PptoSty[POvsCT]=AP$113,TRUE))*(PptoSty[Project]=TEXT($B200,"@"))*(PptoSty[PptoVsRow]=$E200)*(PptoSty[PptoVsColumn]=UPPER(AO$114)),0)))</f>
        <v>0</v>
      </c>
      <c r="AQ200" s="157" cm="1">
        <f t="array" aca="1" ref="AQ200" ca="1">SUM(IF(INDIRECT($AS$115)=AQ$115,INDIRECT($AS200)))</f>
        <v>0</v>
      </c>
      <c r="AR200" s="157" cm="1">
        <f t="array" aca="1" ref="AR200" ca="1">SUM(IF(INDIRECT($AS$115)=AR$115,INDIRECT($AS200)))</f>
        <v>0</v>
      </c>
      <c r="AS200" s="286" t="str">
        <f t="shared" ca="1" si="16"/>
        <v>G200:AP200</v>
      </c>
      <c r="AT200" s="403">
        <f t="shared" ca="1" si="17"/>
        <v>0</v>
      </c>
      <c r="AV200" s="142" cm="1">
        <f t="array" aca="1" ref="AV200" ca="1">IF(AND(_xlfn.LET(_xlpm.x,SUM(ROW()),OR(AND(MATCH("SOT",$A:$A,0)&lt;_xlpm.x,MATCH("EOT",$A:$A,0)&gt;_xlpm.x),AND(MATCH("SOS",$A:$A,0)&lt;_xlpm.x,MATCH("EOS",$A:$A,0)&gt;_xlpm.x),AND(MATCH("SOR",$A:$A,0)&lt;_xlpm.x,MATCH("EOR",$A:$A,0)&gt;_xlpm.x))),INDIRECT("rc"&amp;MATCH("SCD",$1:$1,0),FALSE)="PPTO"),1,0)</f>
        <v>1</v>
      </c>
      <c r="AW200" s="142" cm="1">
        <f t="array" aca="1" ref="AW20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201" spans="2:49" outlineLevel="1">
      <c r="B201" s="156" t="str" cm="1">
        <f t="array" aca="1" ref="B201" ca="1">_xlfn.LET(_xlpm.x,SUM(ROW()-MATCH("SOR",$A:$A,0)),_xlpm.y,IFERROR(_xlfn.TAKE(INDEX(_xlfn._xlws.FILTER(TbAssign[],ISNUMBER(FIND(TbAssign[Project],$C$4)),"X"),1+QUOTIENT(_xlpm.x,3),0),1,4),0),IF(MOD(_xlpm.x-1,3)=0,IF(_xlpm.y=0,"X",_xlpm.y),INDIRECT("r[-1]c#",FALSE)))</f>
        <v>X</v>
      </c>
      <c r="C201" s="156"/>
      <c r="E201" s="352"/>
      <c r="F201" s="148" t="s">
        <v>1382</v>
      </c>
      <c r="G201" s="157" cm="1">
        <f t="array" aca="1" ref="G201" ca="1">IF(OR($E201="X",$E201="",$E201=0,$B201="X",$B201="",$B201=0),0,SUM(_xlfn._xlws.FILTER(PrvSty[DsvValue:SERRA],(PrvSty[Project]=TEXT($B201,"@"))*(PrvSty[Row]=$E201)*(PrvSty[Column]=UPPER(G$114)),0)))</f>
        <v>0</v>
      </c>
      <c r="H201" s="157" cm="1">
        <f t="array" aca="1" ref="H201" ca="1">IF(OR($E201="X",$E201="",$E201=0,$B201="X",$B201="",$B201=0),0,SUM(_xlfn._xlws.FILTER(PrvSty[DsvValue:EXT.],(PrvSty[Project]=TEXT($B201,"@"))*(PrvSty[Row]=$E201)*(PrvSty[Column]=UPPER(G$114)),0)))</f>
        <v>0</v>
      </c>
      <c r="I201" s="157" cm="1">
        <f t="array" aca="1" ref="I201" ca="1">IF(OR($E201="X",$E201="",$E201=0,$B201="X",$B201="",$B201=0),0,SUM(_xlfn._xlws.FILTER(PrvSty[DsvValue:SERRA],(PrvSty[Project]=TEXT($B201,"@"))*(PrvSty[Row]=$E201)*(PrvSty[Column]=UPPER(I$114)),0)))</f>
        <v>0</v>
      </c>
      <c r="J201" s="157" cm="1">
        <f t="array" aca="1" ref="J201" ca="1">IF(OR($E201="X",$E201="",$E201=0,$B201="X",$B201="",$B201=0),0,SUM(_xlfn._xlws.FILTER(PrvSty[DsvValue:EXT.],(PrvSty[Project]=TEXT($B201,"@"))*(PrvSty[Row]=$E201)*(PrvSty[Column]=UPPER(I$114)),0)))</f>
        <v>0</v>
      </c>
      <c r="K201" s="157" cm="1">
        <f t="array" aca="1" ref="K201" ca="1">IF(OR($E201="X",$E201="",$E201=0,$B201="X",$B201="",$B201=0),0,SUM(_xlfn._xlws.FILTER(PrvSty[DsvValue:SERRA],(PrvSty[Project]=TEXT($B201,"@"))*(PrvSty[Row]=$E201)*(PrvSty[Column]=UPPER(K$114)),0)))</f>
        <v>0</v>
      </c>
      <c r="L201" s="157" cm="1">
        <f t="array" aca="1" ref="L201" ca="1">IF(OR($E201="X",$E201="",$E201=0,$B201="X",$B201="",$B201=0),0,SUM(_xlfn._xlws.FILTER(PrvSty[DsvValue:EXT.],(PrvSty[Project]=TEXT($B201,"@"))*(PrvSty[Row]=$E201)*(PrvSty[Column]=UPPER(K$114)),0)))</f>
        <v>0</v>
      </c>
      <c r="M201" s="157" cm="1">
        <f t="array" aca="1" ref="M201" ca="1">IF(OR($E201="X",$E201="",$E201=0,$B201="X",$B201="",$B201=0),0,SUM(_xlfn._xlws.FILTER(PrvSty[DsvValue:SERRA],(PrvSty[Project]=TEXT($B201,"@"))*(PrvSty[Row]=$E201)*(PrvSty[Column]=UPPER(M$114)),0)))</f>
        <v>0</v>
      </c>
      <c r="N201" s="157" cm="1">
        <f t="array" aca="1" ref="N201" ca="1">IF(OR($E201="X",$E201="",$E201=0,$B201="X",$B201="",$B201=0),0,SUM(_xlfn._xlws.FILTER(PrvSty[DsvValue:EXT.],(PrvSty[Project]=TEXT($B201,"@"))*(PrvSty[Row]=$E201)*(PrvSty[Column]=UPPER(M$114)),0)))</f>
        <v>0</v>
      </c>
      <c r="O201" s="157" cm="1">
        <f t="array" aca="1" ref="O201" ca="1">IF(OR($E201="X",$E201="",$E201=0,$B201="X",$B201="",$B201=0),0,SUM(_xlfn._xlws.FILTER(PrvSty[DsvValue:SERRA],(PrvSty[Project]=TEXT($B201,"@"))*(PrvSty[Row]=$E201)*(PrvSty[Column]=UPPER(O$114)),0)))</f>
        <v>0</v>
      </c>
      <c r="P201" s="157" cm="1">
        <f t="array" aca="1" ref="P201" ca="1">IF(OR($E201="X",$E201="",$E201=0,$B201="X",$B201="",$B201=0),0,SUM(_xlfn._xlws.FILTER(PrvSty[DsvValue:EXT.],(PrvSty[Project]=TEXT($B201,"@"))*(PrvSty[Row]=$E201)*(PrvSty[Column]=UPPER(O$114)),0)))</f>
        <v>0</v>
      </c>
      <c r="Q201" s="157" cm="1">
        <f t="array" aca="1" ref="Q201" ca="1">IF(OR($E201="X",$E201="",$E201=0,$B201="X",$B201="",$B201=0),0,SUM(_xlfn._xlws.FILTER(PrvSty[DsvValue:SERRA],(PrvSty[Project]=TEXT($B201,"@"))*(PrvSty[Row]=$E201)*(PrvSty[Column]=UPPER(Q$114)),0)))</f>
        <v>0</v>
      </c>
      <c r="R201" s="157" cm="1">
        <f t="array" aca="1" ref="R201" ca="1">IF(OR($E201="X",$E201="",$E201=0,$B201="X",$B201="",$B201=0),0,SUM(_xlfn._xlws.FILTER(PrvSty[DsvValue:EXT.],(PrvSty[Project]=TEXT($B201,"@"))*(PrvSty[Row]=$E201)*(PrvSty[Column]=UPPER(Q$114)),0)))</f>
        <v>0</v>
      </c>
      <c r="S201" s="157" cm="1">
        <f t="array" aca="1" ref="S201" ca="1">IF(OR($E201="X",$E201="",$E201=0,$B201="X",$B201="",$B201=0),0,SUM(_xlfn._xlws.FILTER(PrvSty[DsvValue:SERRA],(PrvSty[Project]=TEXT($B201,"@"))*(PrvSty[Row]=$E201)*(PrvSty[Column]=UPPER(S$114)),0)))</f>
        <v>0</v>
      </c>
      <c r="T201" s="157" cm="1">
        <f t="array" aca="1" ref="T201" ca="1">IF(OR($E201="X",$E201="",$E201=0,$B201="X",$B201="",$B201=0),0,SUM(_xlfn._xlws.FILTER(PrvSty[DsvValue:EXT.],(PrvSty[Project]=TEXT($B201,"@"))*(PrvSty[Row]=$E201)*(PrvSty[Column]=UPPER(S$114)),0)))</f>
        <v>0</v>
      </c>
      <c r="U201" s="157" cm="1">
        <f t="array" aca="1" ref="U201" ca="1">IF(OR($E201="X",$E201="",$E201=0,$B201="X",$B201="",$B201=0),0,SUM(_xlfn._xlws.FILTER(PrvSty[DsvValue:SERRA],(PrvSty[Project]=TEXT($B201,"@"))*(PrvSty[Row]=$E201)*(PrvSty[Column]=UPPER(U$114)),0)))</f>
        <v>0</v>
      </c>
      <c r="V201" s="157" cm="1">
        <f t="array" aca="1" ref="V201" ca="1">IF(OR($E201="X",$E201="",$E201=0,$B201="X",$B201="",$B201=0),0,SUM(_xlfn._xlws.FILTER(PrvSty[DsvValue:EXT.],(PrvSty[Project]=TEXT($B201,"@"))*(PrvSty[Row]=$E201)*(PrvSty[Column]=UPPER(U$114)),0)))</f>
        <v>0</v>
      </c>
      <c r="W201" s="157" cm="1">
        <f t="array" aca="1" ref="W201" ca="1">IF(OR($E201="X",$E201="",$E201=0,$B201="X",$B201="",$B201=0),0,SUM(_xlfn._xlws.FILTER(PrvSty[DsvValue:SERRA],(PrvSty[Project]=TEXT($B201,"@"))*(PrvSty[Row]=$E201)*(PrvSty[Column]=UPPER(W$114)),0)))</f>
        <v>0</v>
      </c>
      <c r="X201" s="157" cm="1">
        <f t="array" aca="1" ref="X201" ca="1">IF(OR($E201="X",$E201="",$E201=0,$B201="X",$B201="",$B201=0),0,SUM(_xlfn._xlws.FILTER(PrvSty[DsvValue:EXT.],(PrvSty[Project]=TEXT($B201,"@"))*(PrvSty[Row]=$E201)*(PrvSty[Column]=UPPER(W$114)),0)))</f>
        <v>0</v>
      </c>
      <c r="Y201" s="157" cm="1">
        <f t="array" aca="1" ref="Y201" ca="1">IF(OR($E201="X",$E201="",$E201=0,$B201="X",$B201="",$B201=0),0,SUM(_xlfn._xlws.FILTER(PrvSty[DsvValue:SERRA],(PrvSty[Project]=TEXT($B201,"@"))*(PrvSty[Row]=$E201)*(PrvSty[Column]=UPPER(Y$114)),0)))</f>
        <v>0</v>
      </c>
      <c r="Z201" s="157" cm="1">
        <f t="array" aca="1" ref="Z201" ca="1">IF(OR($E201="X",$E201="",$E201=0,$B201="X",$B201="",$B201=0),0,SUM(_xlfn._xlws.FILTER(PrvSty[DsvValue:EXT.],(PrvSty[Project]=TEXT($B201,"@"))*(PrvSty[Row]=$E201)*(PrvSty[Column]=UPPER(Y$114)),0)))</f>
        <v>0</v>
      </c>
      <c r="AA201" s="157" cm="1">
        <f t="array" aca="1" ref="AA201" ca="1">IF(OR($E201="X",$E201="",$E201=0,$B201="X",$B201="",$B201=0),0,SUM(_xlfn._xlws.FILTER(PrvSty[DsvValue:SERRA],(PrvSty[Project]=TEXT($B201,"@"))*(PrvSty[Row]=$E201)*(PrvSty[Column]=UPPER(AA$114)),0)))</f>
        <v>0</v>
      </c>
      <c r="AB201" s="157" cm="1">
        <f t="array" aca="1" ref="AB201" ca="1">IF(OR($E201="X",$E201="",$E201=0,$B201="X",$B201="",$B201=0),0,SUM(_xlfn._xlws.FILTER(PrvSty[DsvValue:EXT.],(PrvSty[Project]=TEXT($B201,"@"))*(PrvSty[Row]=$E201)*(PrvSty[Column]=UPPER(AA$114)),0)))</f>
        <v>0</v>
      </c>
      <c r="AC201" s="157" cm="1">
        <f t="array" aca="1" ref="AC201" ca="1">IF(OR($E201="X",$E201="",$E201=0,$B201="X",$B201="",$B201=0),0,SUM(_xlfn._xlws.FILTER(PrvSty[DsvValue:SERRA],(PrvSty[Project]=TEXT($B201,"@"))*(PrvSty[Row]=$E201)*(PrvSty[Column]=UPPER(AC$114)),0)))</f>
        <v>0</v>
      </c>
      <c r="AD201" s="157" cm="1">
        <f t="array" aca="1" ref="AD201" ca="1">IF(OR($E201="X",$E201="",$E201=0,$B201="X",$B201="",$B201=0),0,SUM(_xlfn._xlws.FILTER(PrvSty[DsvValue:EXT.],(PrvSty[Project]=TEXT($B201,"@"))*(PrvSty[Row]=$E201)*(PrvSty[Column]=UPPER(AC$114)),0)))</f>
        <v>0</v>
      </c>
      <c r="AE201" s="157" cm="1">
        <f t="array" aca="1" ref="AE201" ca="1">IF(OR($E201="X",$E201="",$E201=0,$B201="X",$B201="",$B201=0),0,SUM(_xlfn._xlws.FILTER(PrvSty[DsvValue:SERRA],(PrvSty[Project]=TEXT($B201,"@"))*(PrvSty[Row]=$E201)*(PrvSty[Column]=UPPER(AE$114)),0)))</f>
        <v>0</v>
      </c>
      <c r="AF201" s="157" cm="1">
        <f t="array" aca="1" ref="AF201" ca="1">IF(OR($E201="X",$E201="",$E201=0,$B201="X",$B201="",$B201=0),0,SUM(_xlfn._xlws.FILTER(PrvSty[DsvValue:EXT.],(PrvSty[Project]=TEXT($B201,"@"))*(PrvSty[Row]=$E201)*(PrvSty[Column]=UPPER(AE$114)),0)))</f>
        <v>0</v>
      </c>
      <c r="AG201" s="157" cm="1">
        <f t="array" aca="1" ref="AG201" ca="1">IF(OR($E201="X",$E201="",$E201=0,$B201="X",$B201="",$B201=0),0,SUM(_xlfn._xlws.FILTER(PrvSty[DsvValue:SERRA],(PrvSty[Project]=TEXT($B201,"@"))*(PrvSty[Row]=$E201)*(PrvSty[Column]=UPPER(AG$114)),0)))</f>
        <v>0</v>
      </c>
      <c r="AH201" s="157" cm="1">
        <f t="array" aca="1" ref="AH201" ca="1">IF(OR($E201="X",$E201="",$E201=0,$B201="X",$B201="",$B201=0),0,SUM(_xlfn._xlws.FILTER(PrvSty[DsvValue:EXT.],(PrvSty[Project]=TEXT($B201,"@"))*(PrvSty[Row]=$E201)*(PrvSty[Column]=UPPER(AG$114)),0)))</f>
        <v>0</v>
      </c>
      <c r="AI201" s="157" cm="1">
        <f t="array" aca="1" ref="AI201" ca="1">IF(OR($E201="X",$E201="",$E201=0,$B201="X",$B201="",$B201=0),0,SUM(_xlfn._xlws.FILTER(PrvSty[DsvValue:SERRA],(PrvSty[Project]=TEXT($B201,"@"))*(PrvSty[Row]=$E201)*(PrvSty[Column]=UPPER(AI$114)),0)))</f>
        <v>0</v>
      </c>
      <c r="AJ201" s="157" cm="1">
        <f t="array" aca="1" ref="AJ201" ca="1">IF(OR($E201="X",$E201="",$E201=0,$B201="X",$B201="",$B201=0),0,SUM(_xlfn._xlws.FILTER(PrvSty[DsvValue:EXT.],(PrvSty[Project]=TEXT($B201,"@"))*(PrvSty[Row]=$E201)*(PrvSty[Column]=UPPER(AI$114)),0)))</f>
        <v>0</v>
      </c>
      <c r="AK201" s="157" cm="1">
        <f t="array" aca="1" ref="AK201" ca="1">IF(OR($E201="X",$E201="",$E201=0,$B201="X",$B201="",$B201=0),0,SUM(_xlfn._xlws.FILTER(PrvSty[DsvValue:SERRA],(PrvSty[Project]=TEXT($B201,"@"))*(PrvSty[Row]=$E201)*(PrvSty[Column]=UPPER(AK$114)),0)))</f>
        <v>0</v>
      </c>
      <c r="AL201" s="157" cm="1">
        <f t="array" aca="1" ref="AL201" ca="1">IF(OR($E201="X",$E201="",$E201=0,$B201="X",$B201="",$B201=0),0,SUM(_xlfn._xlws.FILTER(PrvSty[DsvValue:EXT.],(PrvSty[Project]=TEXT($B201,"@"))*(PrvSty[Row]=$E201)*(PrvSty[Column]=UPPER(AK$114)),0)))</f>
        <v>0</v>
      </c>
      <c r="AM201" s="157" cm="1">
        <f t="array" aca="1" ref="AM201" ca="1">IF(OR($E201="X",$E201="",$E201=0,$B201="X",$B201="",$B201=0),0,SUM(_xlfn._xlws.FILTER(PrvSty[DsvValue:SERRA],(PrvSty[Project]=TEXT($B201,"@"))*(PrvSty[Row]=$E201)*(PrvSty[Column]=UPPER(AM$114)),0)))</f>
        <v>0</v>
      </c>
      <c r="AN201" s="157" cm="1">
        <f t="array" aca="1" ref="AN201" ca="1">IF(OR($E201="X",$E201="",$E201=0,$B201="X",$B201="",$B201=0),0,SUM(_xlfn._xlws.FILTER(PrvSty[DsvValue:EXT.],(PrvSty[Project]=TEXT($B201,"@"))*(PrvSty[Row]=$E201)*(PrvSty[Column]=UPPER(AM$114)),0)))</f>
        <v>0</v>
      </c>
      <c r="AO201" s="157" cm="1">
        <f t="array" aca="1" ref="AO201" ca="1">IF(OR($E201="X",$E201="",$E201=0,$B201="X",$B201="",$B201=0),0,SUM(_xlfn._xlws.FILTER(PrvSty[DsvValue:SERRA],(PrvSty[Project]=TEXT($B201,"@"))*(PrvSty[Row]=$E201)*(PrvSty[Column]=UPPER(AO$114)),0)))</f>
        <v>0</v>
      </c>
      <c r="AP201" s="157" cm="1">
        <f t="array" aca="1" ref="AP201" ca="1">IF(OR($E201="X",$E201="",$E201=0,$B201="X",$B201="",$B201=0),0,SUM(_xlfn._xlws.FILTER(PrvSty[DsvValue:EXT.],(PrvSty[Project]=TEXT($B201,"@"))*(PrvSty[Row]=$E201)*(PrvSty[Column]=UPPER(AO$114)),0)))</f>
        <v>0</v>
      </c>
      <c r="AQ201" s="157" cm="1">
        <f t="array" aca="1" ref="AQ201" ca="1">SUM(IF(INDIRECT($AS$115)=AQ$115,INDIRECT($AS201)))</f>
        <v>0</v>
      </c>
      <c r="AR201" s="157" cm="1">
        <f t="array" aca="1" ref="AR201" ca="1">SUM(IF(INDIRECT($AS$115)=AR$115,INDIRECT($AS201)))</f>
        <v>0</v>
      </c>
      <c r="AS201" s="286" t="str">
        <f t="shared" ca="1" si="16"/>
        <v>G201:AP201</v>
      </c>
      <c r="AT201" s="403">
        <f t="shared" ca="1" si="17"/>
        <v>0</v>
      </c>
      <c r="AV201" s="142" cm="1">
        <f t="array" aca="1" ref="AV201" ca="1">IF(AND(_xlfn.LET(_xlpm.x,SUM(ROW()),OR(AND(MATCH("SOT",$A:$A,0)&lt;_xlpm.x,MATCH("EOT",$A:$A,0)&gt;_xlpm.x),AND(MATCH("SOS",$A:$A,0)&lt;_xlpm.x,MATCH("EOS",$A:$A,0)&gt;_xlpm.x),AND(MATCH("SOR",$A:$A,0)&lt;_xlpm.x,MATCH("EOR",$A:$A,0)&gt;_xlpm.x))),INDIRECT("rc"&amp;MATCH("SCD",$1:$1,0),FALSE)="PPTO"),1,0)</f>
        <v>0</v>
      </c>
      <c r="AW201" s="142" cm="1">
        <f t="array" aca="1" ref="AW20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202" spans="2:49" outlineLevel="1">
      <c r="B202" s="156" t="str" cm="1">
        <f t="array" aca="1" ref="B202" ca="1">_xlfn.LET(_xlpm.x,SUM(ROW()-MATCH("SOR",$A:$A,0)),_xlpm.y,IFERROR(_xlfn.TAKE(INDEX(_xlfn._xlws.FILTER(TbAssign[],ISNUMBER(FIND(TbAssign[Project],$C$4)),"X"),1+QUOTIENT(_xlpm.x,3),0),1,4),0),IF(MOD(_xlpm.x-1,3)=0,IF(_xlpm.y=0,"X",_xlpm.y),INDIRECT("r[-1]c#",FALSE)))</f>
        <v>X</v>
      </c>
      <c r="C202" s="156"/>
      <c r="E202" s="352"/>
      <c r="F202" s="148" t="s">
        <v>1383</v>
      </c>
      <c r="G202" s="158" cm="1">
        <f t="array" aca="1" ref="G202" ca="1">IF(OR($E202="X",$E202="",$E202=0,$B202="X",$B202="",$B202=0),0,SUM(_xlfn._xlws.FILTER(FrmBB1[Cur],(FrmBB1[PrjId]=TEXT($B202,"@"))*(FrmBB1[Row]=$E202)*(FrmBB1[Column]=UPPER(_xlfn.LET(_xlpm.x,_xlfn.TEXTBEFORE(G$114," ("),IFERROR(_xlpm.x,G$114)))&amp;" "&amp;G$115),0)))</f>
        <v>0</v>
      </c>
      <c r="H202" s="157" cm="1">
        <f t="array" aca="1" ref="H202" ca="1">IF(OR($E202="X",$E202="",$E202=0,$B202="X",$B202="",$B202=0),0,SUM(_xlfn._xlws.FILTER(FrmBB1[Cur],(FrmBB1[PrjId]=TEXT($B202,"@"))*(FrmBB1[Row]=$E202)*(FrmBB1[Column]=UPPER(_xlfn.LET(_xlpm.x,_xlfn.TEXTBEFORE(G$114," ("),IFERROR(_xlpm.x,G$114)))&amp;" "&amp;H$115),0)))</f>
        <v>0</v>
      </c>
      <c r="I202" s="158" cm="1">
        <f t="array" aca="1" ref="I202" ca="1">IF(OR($E202="X",$E202="",$E202=0,$B202="X",$B202="",$B202=0),0,SUM(_xlfn._xlws.FILTER(FrmBB1[Cur],(FrmBB1[PrjId]=TEXT($B202,"@"))*(FrmBB1[Row]=$E202)*(FrmBB1[Column]=UPPER(_xlfn.LET(_xlpm.x,_xlfn.TEXTBEFORE(I$114," ("),IFERROR(_xlpm.x,I$114)))&amp;" "&amp;I$115),0)))</f>
        <v>0</v>
      </c>
      <c r="J202" s="157" cm="1">
        <f t="array" aca="1" ref="J202" ca="1">IF(OR($E202="X",$E202="",$E202=0,$B202="X",$B202="",$B202=0),0,SUM(_xlfn._xlws.FILTER(FrmBB1[Cur],(FrmBB1[PrjId]=TEXT($B202,"@"))*(FrmBB1[Row]=$E202)*(FrmBB1[Column]=UPPER(_xlfn.LET(_xlpm.x,_xlfn.TEXTBEFORE(I$114," ("),IFERROR(_xlpm.x,I$114)))&amp;" "&amp;J$115),0)))</f>
        <v>0</v>
      </c>
      <c r="K202" s="158" cm="1">
        <f t="array" aca="1" ref="K202" ca="1">IF(OR($E202="X",$E202="",$E202=0,$B202="X",$B202="",$B202=0),0,SUM(_xlfn._xlws.FILTER(FrmBB1[Cur],(FrmBB1[PrjId]=TEXT($B202,"@"))*(FrmBB1[Row]=$E202)*(FrmBB1[Column]=UPPER(_xlfn.LET(_xlpm.x,_xlfn.TEXTBEFORE(K$114," ("),IFERROR(_xlpm.x,K$114)))&amp;" "&amp;K$115),0)))</f>
        <v>0</v>
      </c>
      <c r="L202" s="157" cm="1">
        <f t="array" aca="1" ref="L202" ca="1">IF(OR($E202="X",$E202="",$E202=0,$B202="X",$B202="",$B202=0),0,SUM(_xlfn._xlws.FILTER(FrmBB1[Cur],(FrmBB1[PrjId]=TEXT($B202,"@"))*(FrmBB1[Row]=$E202)*(FrmBB1[Column]=UPPER(_xlfn.LET(_xlpm.x,_xlfn.TEXTBEFORE(K$114," ("),IFERROR(_xlpm.x,K$114)))&amp;" "&amp;L$115),0)))</f>
        <v>0</v>
      </c>
      <c r="M202" s="158" cm="1">
        <f t="array" aca="1" ref="M202" ca="1">IF(OR($E202="X",$E202="",$E202=0,$B202="X",$B202="",$B202=0),0,SUM(_xlfn._xlws.FILTER(FrmBB1[Cur],(FrmBB1[PrjId]=TEXT($B202,"@"))*(FrmBB1[Row]=$E202)*(FrmBB1[Column]=UPPER(_xlfn.LET(_xlpm.x,_xlfn.TEXTBEFORE(M$114," ("),IFERROR(_xlpm.x,M$114)))&amp;" "&amp;M$115),0)))</f>
        <v>0</v>
      </c>
      <c r="N202" s="157" cm="1">
        <f t="array" aca="1" ref="N202" ca="1">IF(OR($E202="X",$E202="",$E202=0,$B202="X",$B202="",$B202=0),0,SUM(_xlfn._xlws.FILTER(FrmBB1[Cur],(FrmBB1[PrjId]=TEXT($B202,"@"))*(FrmBB1[Row]=$E202)*(FrmBB1[Column]=UPPER(_xlfn.LET(_xlpm.x,_xlfn.TEXTBEFORE(M$114," ("),IFERROR(_xlpm.x,M$114)))&amp;" "&amp;N$115),0)))</f>
        <v>0</v>
      </c>
      <c r="O202" s="158" cm="1">
        <f t="array" aca="1" ref="O202" ca="1">IF(OR($E202="X",$E202="",$E202=0,$B202="X",$B202="",$B202=0),0,SUM(_xlfn._xlws.FILTER(FrmBB1[Cur],(FrmBB1[PrjId]=TEXT($B202,"@"))*(FrmBB1[Row]=$E202)*(FrmBB1[Column]=UPPER(_xlfn.LET(_xlpm.x,_xlfn.TEXTBEFORE(O$114," ("),IFERROR(_xlpm.x,O$114)))&amp;" "&amp;O$115),0)))</f>
        <v>0</v>
      </c>
      <c r="P202" s="157" cm="1">
        <f t="array" aca="1" ref="P202" ca="1">IF(OR($E202="X",$E202="",$E202=0,$B202="X",$B202="",$B202=0),0,SUM(_xlfn._xlws.FILTER(FrmBB1[Cur],(FrmBB1[PrjId]=TEXT($B202,"@"))*(FrmBB1[Row]=$E202)*(FrmBB1[Column]=UPPER(_xlfn.LET(_xlpm.x,_xlfn.TEXTBEFORE(O$114," ("),IFERROR(_xlpm.x,O$114)))&amp;" "&amp;P$115),0)))</f>
        <v>0</v>
      </c>
      <c r="Q202" s="158" cm="1">
        <f t="array" aca="1" ref="Q202" ca="1">IF(OR($E202="X",$E202="",$E202=0,$B202="X",$B202="",$B202=0),0,SUM(_xlfn._xlws.FILTER(FrmBB1[Cur],(FrmBB1[PrjId]=TEXT($B202,"@"))*(FrmBB1[Row]=$E202)*(FrmBB1[Column]=UPPER(_xlfn.LET(_xlpm.x,_xlfn.TEXTBEFORE(Q$114," ("),IFERROR(_xlpm.x,Q$114)))&amp;" "&amp;Q$115),0)))</f>
        <v>0</v>
      </c>
      <c r="R202" s="157" cm="1">
        <f t="array" aca="1" ref="R202" ca="1">IF(OR($E202="X",$E202="",$E202=0,$B202="X",$B202="",$B202=0),0,SUM(_xlfn._xlws.FILTER(FrmBB1[Cur],(FrmBB1[PrjId]=TEXT($B202,"@"))*(FrmBB1[Row]=$E202)*(FrmBB1[Column]=UPPER(_xlfn.LET(_xlpm.x,_xlfn.TEXTBEFORE(Q$114," ("),IFERROR(_xlpm.x,Q$114)))&amp;" "&amp;R$115),0)))</f>
        <v>0</v>
      </c>
      <c r="S202" s="158" cm="1">
        <f t="array" aca="1" ref="S202" ca="1">IF(OR($E202="X",$E202="",$E202=0,$B202="X",$B202="",$B202=0),0,SUM(_xlfn._xlws.FILTER(FrmBB1[Cur],(FrmBB1[PrjId]=TEXT($B202,"@"))*(FrmBB1[Row]=$E202)*(FrmBB1[Column]=UPPER(_xlfn.LET(_xlpm.x,_xlfn.TEXTBEFORE(S$114," ("),IFERROR(_xlpm.x,S$114)))&amp;" "&amp;S$115),0)))</f>
        <v>0</v>
      </c>
      <c r="T202" s="157" cm="1">
        <f t="array" aca="1" ref="T202" ca="1">IF(OR($E202="X",$E202="",$E202=0,$B202="X",$B202="",$B202=0),0,SUM(_xlfn._xlws.FILTER(FrmBB1[Cur],(FrmBB1[PrjId]=TEXT($B202,"@"))*(FrmBB1[Row]=$E202)*(FrmBB1[Column]=UPPER(_xlfn.LET(_xlpm.x,_xlfn.TEXTBEFORE(S$114," ("),IFERROR(_xlpm.x,S$114)))&amp;" "&amp;T$115),0)))</f>
        <v>0</v>
      </c>
      <c r="U202" s="158" cm="1">
        <f t="array" aca="1" ref="U202" ca="1">IF(OR($E202="X",$E202="",$E202=0,$B202="X",$B202="",$B202=0),0,SUM(_xlfn._xlws.FILTER(FrmBB1[Cur],(FrmBB1[PrjId]=TEXT($B202,"@"))*(FrmBB1[Row]=$E202)*(FrmBB1[Column]=UPPER(_xlfn.LET(_xlpm.x,_xlfn.TEXTBEFORE(U$114," ("),IFERROR(_xlpm.x,U$114)))&amp;" "&amp;U$115),0)))</f>
        <v>0</v>
      </c>
      <c r="V202" s="157" cm="1">
        <f t="array" aca="1" ref="V202" ca="1">IF(OR($E202="X",$E202="",$E202=0,$B202="X",$B202="",$B202=0),0,SUM(_xlfn._xlws.FILTER(FrmBB1[Cur],(FrmBB1[PrjId]=TEXT($B202,"@"))*(FrmBB1[Row]=$E202)*(FrmBB1[Column]=UPPER(_xlfn.LET(_xlpm.x,_xlfn.TEXTBEFORE(U$114," ("),IFERROR(_xlpm.x,U$114)))&amp;" "&amp;V$115),0)))</f>
        <v>0</v>
      </c>
      <c r="W202" s="158" cm="1">
        <f t="array" aca="1" ref="W202" ca="1">IF(OR($E202="X",$E202="",$E202=0,$B202="X",$B202="",$B202=0),0,SUM(_xlfn._xlws.FILTER(FrmBB1[Cur],(FrmBB1[PrjId]=TEXT($B202,"@"))*(FrmBB1[Row]=$E202)*(FrmBB1[Column]=UPPER(_xlfn.LET(_xlpm.x,_xlfn.TEXTBEFORE(W$114," ("),IFERROR(_xlpm.x,W$114)))&amp;" "&amp;W$115),0)))</f>
        <v>0</v>
      </c>
      <c r="X202" s="157" cm="1">
        <f t="array" aca="1" ref="X202" ca="1">IF(OR($E202="X",$E202="",$E202=0,$B202="X",$B202="",$B202=0),0,SUM(_xlfn._xlws.FILTER(FrmBB1[Cur],(FrmBB1[PrjId]=TEXT($B202,"@"))*(FrmBB1[Row]=$E202)*(FrmBB1[Column]=UPPER(_xlfn.LET(_xlpm.x,_xlfn.TEXTBEFORE(W$114," ("),IFERROR(_xlpm.x,W$114)))&amp;" "&amp;X$115),0)))</f>
        <v>0</v>
      </c>
      <c r="Y202" s="158" cm="1">
        <f t="array" aca="1" ref="Y202" ca="1">IF(OR($E202="X",$E202="",$E202=0,$B202="X",$B202="",$B202=0),0,SUM(_xlfn._xlws.FILTER(FrmBB1[Cur],(FrmBB1[PrjId]=TEXT($B202,"@"))*(FrmBB1[Row]=$E202)*(FrmBB1[Column]=UPPER(_xlfn.LET(_xlpm.x,_xlfn.TEXTBEFORE(Y$114," ("),IFERROR(_xlpm.x,Y$114)))&amp;" "&amp;Y$115),0)))</f>
        <v>0</v>
      </c>
      <c r="Z202" s="157" cm="1">
        <f t="array" aca="1" ref="Z202" ca="1">IF(OR($E202="X",$E202="",$E202=0,$B202="X",$B202="",$B202=0),0,SUM(_xlfn._xlws.FILTER(FrmBB1[Cur],(FrmBB1[PrjId]=TEXT($B202,"@"))*(FrmBB1[Row]=$E202)*(FrmBB1[Column]=UPPER(_xlfn.LET(_xlpm.x,_xlfn.TEXTBEFORE(Y$114," ("),IFERROR(_xlpm.x,Y$114)))&amp;" "&amp;Z$115),0)))</f>
        <v>0</v>
      </c>
      <c r="AA202" s="158" cm="1">
        <f t="array" aca="1" ref="AA202" ca="1">IF(OR($E202="X",$E202="",$E202=0,$B202="X",$B202="",$B202=0),0,SUM(_xlfn._xlws.FILTER(FrmBB1[Cur],(FrmBB1[PrjId]=TEXT($B202,"@"))*(FrmBB1[Row]=$E202)*(FrmBB1[Column]=UPPER(_xlfn.LET(_xlpm.x,_xlfn.TEXTBEFORE(AA$114," ("),IFERROR(_xlpm.x,AA$114)))&amp;" "&amp;AA$115),0)))</f>
        <v>0</v>
      </c>
      <c r="AB202" s="157" cm="1">
        <f t="array" aca="1" ref="AB202" ca="1">IF(OR($E202="X",$E202="",$E202=0,$B202="X",$B202="",$B202=0),0,SUM(_xlfn._xlws.FILTER(FrmBB1[Cur],(FrmBB1[PrjId]=TEXT($B202,"@"))*(FrmBB1[Row]=$E202)*(FrmBB1[Column]=UPPER(_xlfn.LET(_xlpm.x,_xlfn.TEXTBEFORE(AA$114," ("),IFERROR(_xlpm.x,AA$114)))&amp;" "&amp;AB$115),0)))</f>
        <v>0</v>
      </c>
      <c r="AC202" s="158" cm="1">
        <f t="array" aca="1" ref="AC202" ca="1">IF(OR($E202="X",$E202="",$E202=0,$B202="X",$B202="",$B202=0),0,SUM(_xlfn._xlws.FILTER(FrmBB1[Cur],(FrmBB1[PrjId]=TEXT($B202,"@"))*(FrmBB1[Row]=$E202)*(FrmBB1[Column]=UPPER(_xlfn.LET(_xlpm.x,_xlfn.TEXTBEFORE(AC$114," ("),IFERROR(_xlpm.x,AC$114)))&amp;" "&amp;AC$115),0)))</f>
        <v>0</v>
      </c>
      <c r="AD202" s="157" cm="1">
        <f t="array" aca="1" ref="AD202" ca="1">IF(OR($E202="X",$E202="",$E202=0,$B202="X",$B202="",$B202=0),0,SUM(_xlfn._xlws.FILTER(FrmBB1[Cur],(FrmBB1[PrjId]=TEXT($B202,"@"))*(FrmBB1[Row]=$E202)*(FrmBB1[Column]=UPPER(_xlfn.LET(_xlpm.x,_xlfn.TEXTBEFORE(AC$114," ("),IFERROR(_xlpm.x,AC$114)))&amp;" "&amp;AD$115),0)))</f>
        <v>0</v>
      </c>
      <c r="AE202" s="158" cm="1">
        <f t="array" aca="1" ref="AE202" ca="1">IF(OR($E202="X",$E202="",$E202=0,$B202="X",$B202="",$B202=0),0,SUM(_xlfn._xlws.FILTER(FrmBB1[Cur],(FrmBB1[PrjId]=TEXT($B202,"@"))*(FrmBB1[Row]=$E202)*(FrmBB1[Column]=UPPER(_xlfn.LET(_xlpm.x,_xlfn.TEXTBEFORE(AE$114," ("),IFERROR(_xlpm.x,AE$114)))&amp;" "&amp;AE$115),0)))</f>
        <v>0</v>
      </c>
      <c r="AF202" s="157" cm="1">
        <f t="array" aca="1" ref="AF202" ca="1">IF(OR($E202="X",$E202="",$E202=0,$B202="X",$B202="",$B202=0),0,SUM(_xlfn._xlws.FILTER(FrmBB1[Cur],(FrmBB1[PrjId]=TEXT($B202,"@"))*(FrmBB1[Row]=$E202)*(FrmBB1[Column]=UPPER(_xlfn.LET(_xlpm.x,_xlfn.TEXTBEFORE(AE$114," ("),IFERROR(_xlpm.x,AE$114)))&amp;" "&amp;AF$115),0)))</f>
        <v>0</v>
      </c>
      <c r="AG202" s="158" cm="1">
        <f t="array" aca="1" ref="AG202" ca="1">IF(OR($E202="X",$E202="",$E202=0,$B202="X",$B202="",$B202=0),0,SUM(_xlfn._xlws.FILTER(FrmBB1[Cur],(FrmBB1[PrjId]=TEXT($B202,"@"))*(FrmBB1[Row]=$E202)*(FrmBB1[Column]=UPPER(_xlfn.LET(_xlpm.x,_xlfn.TEXTBEFORE(AG$114," ("),IFERROR(_xlpm.x,AG$114)))&amp;" "&amp;AG$115),0)))</f>
        <v>0</v>
      </c>
      <c r="AH202" s="157" cm="1">
        <f t="array" aca="1" ref="AH202" ca="1">IF(OR($E202="X",$E202="",$E202=0,$B202="X",$B202="",$B202=0),0,SUM(_xlfn._xlws.FILTER(FrmBB1[Cur],(FrmBB1[PrjId]=TEXT($B202,"@"))*(FrmBB1[Row]=$E202)*(FrmBB1[Column]=UPPER(_xlfn.LET(_xlpm.x,_xlfn.TEXTBEFORE(AG$114," ("),IFERROR(_xlpm.x,AG$114)))&amp;" "&amp;AH$115),0)))</f>
        <v>0</v>
      </c>
      <c r="AI202" s="158" cm="1">
        <f t="array" aca="1" ref="AI202" ca="1">IF(OR($E202="X",$E202="",$E202=0,$B202="X",$B202="",$B202=0),0,SUM(_xlfn._xlws.FILTER(FrmBB1[Cur],(FrmBB1[PrjId]=TEXT($B202,"@"))*(FrmBB1[Row]=$E202)*(FrmBB1[Column]=UPPER(_xlfn.LET(_xlpm.x,_xlfn.TEXTBEFORE(AI$114," ("),IFERROR(_xlpm.x,AI$114)))&amp;" "&amp;AI$115),0)))</f>
        <v>0</v>
      </c>
      <c r="AJ202" s="157" cm="1">
        <f t="array" aca="1" ref="AJ202" ca="1">IF(OR($E202="X",$E202="",$E202=0,$B202="X",$B202="",$B202=0),0,SUM(_xlfn._xlws.FILTER(FrmBB1[Cur],(FrmBB1[PrjId]=TEXT($B202,"@"))*(FrmBB1[Row]=$E202)*(FrmBB1[Column]=UPPER(_xlfn.LET(_xlpm.x,_xlfn.TEXTBEFORE(AI$114," ("),IFERROR(_xlpm.x,AI$114)))&amp;" "&amp;AJ$115),0)))</f>
        <v>0</v>
      </c>
      <c r="AK202" s="158" cm="1">
        <f t="array" aca="1" ref="AK202" ca="1">IF(OR($E202="X",$E202="",$E202=0,$B202="X",$B202="",$B202=0),0,SUM(_xlfn._xlws.FILTER(FrmBB1[Cur],(FrmBB1[PrjId]=TEXT($B202,"@"))*(FrmBB1[Row]=$E202)*(FrmBB1[Column]=UPPER(_xlfn.LET(_xlpm.x,_xlfn.TEXTBEFORE(AK$114," ("),IFERROR(_xlpm.x,AK$114)))&amp;" "&amp;AK$115),0)))</f>
        <v>0</v>
      </c>
      <c r="AL202" s="157" cm="1">
        <f t="array" aca="1" ref="AL202" ca="1">IF(OR($E202="X",$E202="",$E202=0,$B202="X",$B202="",$B202=0),0,SUM(_xlfn._xlws.FILTER(FrmBB1[Cur],(FrmBB1[PrjId]=TEXT($B202,"@"))*(FrmBB1[Row]=$E202)*(FrmBB1[Column]=UPPER(_xlfn.LET(_xlpm.x,_xlfn.TEXTBEFORE(AK$114," ("),IFERROR(_xlpm.x,AK$114)))&amp;" "&amp;AL$115),0)))</f>
        <v>0</v>
      </c>
      <c r="AM202" s="158" cm="1">
        <f t="array" aca="1" ref="AM202" ca="1">IF(OR($E202="X",$E202="",$E202=0,$B202="X",$B202="",$B202=0),0,SUM(_xlfn._xlws.FILTER(FrmBB1[Cur],(FrmBB1[PrjId]=TEXT($B202,"@"))*(FrmBB1[Row]=$E202)*(FrmBB1[Column]=UPPER(_xlfn.LET(_xlpm.x,_xlfn.TEXTBEFORE(AM$114," ("),IFERROR(_xlpm.x,AM$114)))&amp;" "&amp;AM$115),0)))</f>
        <v>0</v>
      </c>
      <c r="AN202" s="157" cm="1">
        <f t="array" aca="1" ref="AN202" ca="1">IF(OR($E202="X",$E202="",$E202=0,$B202="X",$B202="",$B202=0),0,SUM(_xlfn._xlws.FILTER(FrmBB1[Cur],(FrmBB1[PrjId]=TEXT($B202,"@"))*(FrmBB1[Row]=$E202)*(FrmBB1[Column]=UPPER(_xlfn.LET(_xlpm.x,_xlfn.TEXTBEFORE(AM$114," ("),IFERROR(_xlpm.x,AM$114)))&amp;" "&amp;AN$115),0)))</f>
        <v>0</v>
      </c>
      <c r="AO202" s="158" cm="1">
        <f t="array" aca="1" ref="AO202" ca="1">IF(OR($E202="X",$E202="",$E202=0,$B202="X",$B202="",$B202=0),0,SUM(_xlfn._xlws.FILTER(FrmBB1[Cur],(FrmBB1[PrjId]=TEXT($B202,"@"))*(FrmBB1[Row]=$E202)*(FrmBB1[Column]=UPPER(_xlfn.LET(_xlpm.x,_xlfn.TEXTBEFORE(AO$114," ("),IFERROR(_xlpm.x,AO$114)))&amp;" "&amp;AO$115),0)))</f>
        <v>0</v>
      </c>
      <c r="AP202" s="157" cm="1">
        <f t="array" aca="1" ref="AP202" ca="1">IF(OR($E202="X",$E202="",$E202=0,$B202="X",$B202="",$B202=0),0,SUM(_xlfn._xlws.FILTER(FrmBB1[Cur],(FrmBB1[PrjId]=TEXT($B202,"@"))*(FrmBB1[Row]=$E202)*(FrmBB1[Column]=UPPER(_xlfn.LET(_xlpm.x,_xlfn.TEXTBEFORE(AO$114," ("),IFERROR(_xlpm.x,AO$114)))&amp;" "&amp;AP$115),0)))</f>
        <v>0</v>
      </c>
      <c r="AQ202" s="157" cm="1">
        <f t="array" aca="1" ref="AQ202" ca="1">SUM(IF(INDIRECT($AS$115)=AQ$115,INDIRECT($AS202)))</f>
        <v>0</v>
      </c>
      <c r="AR202" s="157" cm="1">
        <f t="array" aca="1" ref="AR202" ca="1">SUM(IF(INDIRECT($AS$115)=AR$115,INDIRECT($AS202)))</f>
        <v>0</v>
      </c>
      <c r="AS202" s="286" t="str">
        <f t="shared" ca="1" si="16"/>
        <v>G202:AP202</v>
      </c>
      <c r="AT202" s="403">
        <f t="shared" ca="1" si="17"/>
        <v>0</v>
      </c>
      <c r="AV202" s="142" cm="1">
        <f t="array" aca="1" ref="AV202" ca="1">IF(AND(_xlfn.LET(_xlpm.x,SUM(ROW()),OR(AND(MATCH("SOT",$A:$A,0)&lt;_xlpm.x,MATCH("EOT",$A:$A,0)&gt;_xlpm.x),AND(MATCH("SOS",$A:$A,0)&lt;_xlpm.x,MATCH("EOS",$A:$A,0)&gt;_xlpm.x),AND(MATCH("SOR",$A:$A,0)&lt;_xlpm.x,MATCH("EOR",$A:$A,0)&gt;_xlpm.x))),INDIRECT("rc"&amp;MATCH("SCD",$1:$1,0),FALSE)="PPTO"),1,0)</f>
        <v>0</v>
      </c>
      <c r="AW202" s="142" cm="1">
        <f t="array" aca="1" ref="AW20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203" spans="2:49" outlineLevel="1">
      <c r="B203" s="156" t="str" cm="1">
        <f t="array" aca="1" ref="B203" ca="1">_xlfn.LET(_xlpm.x,SUM(ROW()-MATCH("SOR",$A:$A,0)),_xlpm.y,IFERROR(_xlfn.TAKE(INDEX(_xlfn._xlws.FILTER(TbAssign[],ISNUMBER(FIND(TbAssign[Project],$C$4)),"X"),1+QUOTIENT(_xlpm.x,3),0),1,4),0),IF(MOD(_xlpm.x-1,3)=0,IF(_xlpm.y=0,"X",_xlpm.y),INDIRECT("r[-1]c#",FALSE)))</f>
        <v>X</v>
      </c>
      <c r="C203" s="156"/>
      <c r="E203" s="352"/>
      <c r="F203" s="148" t="s">
        <v>397</v>
      </c>
      <c r="G203" s="157" cm="1">
        <f t="array" aca="1" ref="G203" ca="1">IF(OR($E203="X",$E203="",$E203=0,$B203="X",$B203="",$B203=0),0,SUM(_xlfn._xlws.FILTER(IF($E$4="Ppto",PptoSty[CurPpto],PptoSty[CurInt]),(IF($E$4="Ppto",PptoSty[POvsCT]=G$113,TRUE))*(PptoSty[Project]=TEXT($B203,"@"))*(PptoSty[PptoVsRow]=$E203)*(PptoSty[PptoVsColumn]=UPPER(G$114)),0)))</f>
        <v>0</v>
      </c>
      <c r="H203" s="157" cm="1">
        <f t="array" aca="1" ref="H203" ca="1">IF(OR($E203="X",$E203="",$E203=0,$B203="X",$B203="",$B203=0),0,SUM(_xlfn._xlws.FILTER(IF($E$4="Ppto",PptoSty[CurPpto],PptoSty[CurExt]),(IF($E$4="Ppto",PptoSty[POvsCT]=H$113,TRUE))*(PptoSty[Project]=TEXT($B203,"@"))*(PptoSty[PptoVsRow]=$E203)*(PptoSty[PptoVsColumn]=UPPER(G$114)),0)))</f>
        <v>0</v>
      </c>
      <c r="I203" s="157" cm="1">
        <f t="array" aca="1" ref="I203" ca="1">IF(OR($E203="X",$E203="",$E203=0,$B203="X",$B203="",$B203=0),0,SUM(_xlfn._xlws.FILTER(IF($E$4="Ppto",PptoSty[CurPpto],PptoSty[CurInt]),(IF($E$4="Ppto",PptoSty[POvsCT]=I$113,TRUE))*(PptoSty[Project]=TEXT($B203,"@"))*(PptoSty[PptoVsRow]=$E203)*(PptoSty[PptoVsColumn]=UPPER(I$114)),0)))</f>
        <v>0</v>
      </c>
      <c r="J203" s="157" cm="1">
        <f t="array" aca="1" ref="J203" ca="1">IF(OR($E203="X",$E203="",$E203=0,$B203="X",$B203="",$B203=0),0,SUM(_xlfn._xlws.FILTER(IF($E$4="Ppto",PptoSty[CurPpto],PptoSty[CurExt]),(IF($E$4="Ppto",PptoSty[POvsCT]=J$113,TRUE))*(PptoSty[Project]=TEXT($B203,"@"))*(PptoSty[PptoVsRow]=$E203)*(PptoSty[PptoVsColumn]=UPPER(I$114)),0)))</f>
        <v>0</v>
      </c>
      <c r="K203" s="157" cm="1">
        <f t="array" aca="1" ref="K203" ca="1">IF(OR($E203="X",$E203="",$E203=0,$B203="X",$B203="",$B203=0),0,SUM(_xlfn._xlws.FILTER(IF($E$4="Ppto",PptoSty[CurPpto],PptoSty[CurInt]),(IF($E$4="Ppto",PptoSty[POvsCT]=K$113,TRUE))*(PptoSty[Project]=TEXT($B203,"@"))*(PptoSty[PptoVsRow]=$E203)*(PptoSty[PptoVsColumn]=UPPER(K$114)),0)))</f>
        <v>0</v>
      </c>
      <c r="L203" s="157" cm="1">
        <f t="array" aca="1" ref="L203" ca="1">IF(OR($E203="X",$E203="",$E203=0,$B203="X",$B203="",$B203=0),0,SUM(_xlfn._xlws.FILTER(IF($E$4="Ppto",PptoSty[CurPpto],PptoSty[CurExt]),(IF($E$4="Ppto",PptoSty[POvsCT]=L$113,TRUE))*(PptoSty[Project]=TEXT($B203,"@"))*(PptoSty[PptoVsRow]=$E203)*(PptoSty[PptoVsColumn]=UPPER(K$114)),0)))</f>
        <v>0</v>
      </c>
      <c r="M203" s="157" cm="1">
        <f t="array" aca="1" ref="M203" ca="1">IF(OR($E203="X",$E203="",$E203=0,$B203="X",$B203="",$B203=0),0,SUM(_xlfn._xlws.FILTER(IF($E$4="Ppto",PptoSty[CurPpto],PptoSty[CurInt]),(IF($E$4="Ppto",PptoSty[POvsCT]=M$113,TRUE))*(PptoSty[Project]=TEXT($B203,"@"))*(PptoSty[PptoVsRow]=$E203)*(PptoSty[PptoVsColumn]=UPPER(M$114)),0)))</f>
        <v>0</v>
      </c>
      <c r="N203" s="157" cm="1">
        <f t="array" aca="1" ref="N203" ca="1">IF(OR($E203="X",$E203="",$E203=0,$B203="X",$B203="",$B203=0),0,SUM(_xlfn._xlws.FILTER(IF($E$4="Ppto",PptoSty[CurPpto],PptoSty[CurExt]),(IF($E$4="Ppto",PptoSty[POvsCT]=N$113,TRUE))*(PptoSty[Project]=TEXT($B203,"@"))*(PptoSty[PptoVsRow]=$E203)*(PptoSty[PptoVsColumn]=UPPER(M$114)),0)))</f>
        <v>0</v>
      </c>
      <c r="O203" s="157" cm="1">
        <f t="array" aca="1" ref="O203" ca="1">IF(OR($E203="X",$E203="",$E203=0,$B203="X",$B203="",$B203=0),0,SUM(_xlfn._xlws.FILTER(IF($E$4="Ppto",PptoSty[CurPpto],PptoSty[CurInt]),(IF($E$4="Ppto",PptoSty[POvsCT]=O$113,TRUE))*(PptoSty[Project]=TEXT($B203,"@"))*(PptoSty[PptoVsRow]=$E203)*(PptoSty[PptoVsColumn]=UPPER(O$114)),0)))</f>
        <v>0</v>
      </c>
      <c r="P203" s="157" cm="1">
        <f t="array" aca="1" ref="P203" ca="1">IF(OR($E203="X",$E203="",$E203=0,$B203="X",$B203="",$B203=0),0,SUM(_xlfn._xlws.FILTER(IF($E$4="Ppto",PptoSty[CurPpto],PptoSty[CurExt]),(IF($E$4="Ppto",PptoSty[POvsCT]=P$113,TRUE))*(PptoSty[Project]=TEXT($B203,"@"))*(PptoSty[PptoVsRow]=$E203)*(PptoSty[PptoVsColumn]=UPPER(O$114)),0)))</f>
        <v>0</v>
      </c>
      <c r="Q203" s="157" cm="1">
        <f t="array" aca="1" ref="Q203" ca="1">IF(OR($E203="X",$E203="",$E203=0,$B203="X",$B203="",$B203=0),0,SUM(_xlfn._xlws.FILTER(IF($E$4="Ppto",PptoSty[CurPpto],PptoSty[CurInt]),(IF($E$4="Ppto",PptoSty[POvsCT]=Q$113,TRUE))*(PptoSty[Project]=TEXT($B203,"@"))*(PptoSty[PptoVsRow]=$E203)*(PptoSty[PptoVsColumn]=UPPER(Q$114)),0)))</f>
        <v>0</v>
      </c>
      <c r="R203" s="157" cm="1">
        <f t="array" aca="1" ref="R203" ca="1">IF(OR($E203="X",$E203="",$E203=0,$B203="X",$B203="",$B203=0),0,SUM(_xlfn._xlws.FILTER(IF($E$4="Ppto",PptoSty[CurPpto],PptoSty[CurExt]),(IF($E$4="Ppto",PptoSty[POvsCT]=R$113,TRUE))*(PptoSty[Project]=TEXT($B203,"@"))*(PptoSty[PptoVsRow]=$E203)*(PptoSty[PptoVsColumn]=UPPER(Q$114)),0)))</f>
        <v>0</v>
      </c>
      <c r="S203" s="157" cm="1">
        <f t="array" aca="1" ref="S203" ca="1">IF(OR($E203="X",$E203="",$E203=0,$B203="X",$B203="",$B203=0),0,SUM(_xlfn._xlws.FILTER(IF($E$4="Ppto",PptoSty[CurPpto],PptoSty[CurInt]),(IF($E$4="Ppto",PptoSty[POvsCT]=S$113,TRUE))*(PptoSty[Project]=TEXT($B203,"@"))*(PptoSty[PptoVsRow]=$E203)*(PptoSty[PptoVsColumn]=UPPER(S$114)),0)))</f>
        <v>0</v>
      </c>
      <c r="T203" s="157" cm="1">
        <f t="array" aca="1" ref="T203" ca="1">IF(OR($E203="X",$E203="",$E203=0,$B203="X",$B203="",$B203=0),0,SUM(_xlfn._xlws.FILTER(IF($E$4="Ppto",PptoSty[CurPpto],PptoSty[CurExt]),(IF($E$4="Ppto",PptoSty[POvsCT]=T$113,TRUE))*(PptoSty[Project]=TEXT($B203,"@"))*(PptoSty[PptoVsRow]=$E203)*(PptoSty[PptoVsColumn]=UPPER(S$114)),0)))</f>
        <v>0</v>
      </c>
      <c r="U203" s="157" cm="1">
        <f t="array" aca="1" ref="U203" ca="1">IF(OR($E203="X",$E203="",$E203=0,$B203="X",$B203="",$B203=0),0,SUM(_xlfn._xlws.FILTER(IF($E$4="Ppto",PptoSty[CurPpto],PptoSty[CurInt]),(IF($E$4="Ppto",PptoSty[POvsCT]=U$113,TRUE))*(PptoSty[Project]=TEXT($B203,"@"))*(PptoSty[PptoVsRow]=$E203)*(PptoSty[PptoVsColumn]=UPPER(U$114)),0)))</f>
        <v>0</v>
      </c>
      <c r="V203" s="157" cm="1">
        <f t="array" aca="1" ref="V203" ca="1">IF(OR($E203="X",$E203="",$E203=0,$B203="X",$B203="",$B203=0),0,SUM(_xlfn._xlws.FILTER(IF($E$4="Ppto",PptoSty[CurPpto],PptoSty[CurExt]),(IF($E$4="Ppto",PptoSty[POvsCT]=V$113,TRUE))*(PptoSty[Project]=TEXT($B203,"@"))*(PptoSty[PptoVsRow]=$E203)*(PptoSty[PptoVsColumn]=UPPER(U$114)),0)))</f>
        <v>0</v>
      </c>
      <c r="W203" s="157" cm="1">
        <f t="array" aca="1" ref="W203" ca="1">IF(OR($E203="X",$E203="",$E203=0,$B203="X",$B203="",$B203=0),0,SUM(_xlfn._xlws.FILTER(IF($E$4="Ppto",PptoSty[CurPpto],PptoSty[CurInt]),(IF($E$4="Ppto",PptoSty[POvsCT]=W$113,TRUE))*(PptoSty[Project]=TEXT($B203,"@"))*(PptoSty[PptoVsRow]=$E203)*(PptoSty[PptoVsColumn]=UPPER(W$114)),0)))</f>
        <v>0</v>
      </c>
      <c r="X203" s="157" cm="1">
        <f t="array" aca="1" ref="X203" ca="1">IF(OR($E203="X",$E203="",$E203=0,$B203="X",$B203="",$B203=0),0,SUM(_xlfn._xlws.FILTER(IF($E$4="Ppto",PptoSty[CurPpto],PptoSty[CurExt]),(IF($E$4="Ppto",PptoSty[POvsCT]=X$113,TRUE))*(PptoSty[Project]=TEXT($B203,"@"))*(PptoSty[PptoVsRow]=$E203)*(PptoSty[PptoVsColumn]=UPPER(W$114)),0)))</f>
        <v>0</v>
      </c>
      <c r="Y203" s="157" cm="1">
        <f t="array" aca="1" ref="Y203" ca="1">IF(OR($E203="X",$E203="",$E203=0,$B203="X",$B203="",$B203=0),0,SUM(_xlfn._xlws.FILTER(IF($E$4="Ppto",PptoSty[CurPpto],PptoSty[CurInt]),(IF($E$4="Ppto",PptoSty[POvsCT]=Y$113,TRUE))*(PptoSty[Project]=TEXT($B203,"@"))*(PptoSty[PptoVsRow]=$E203)*(PptoSty[PptoVsColumn]=UPPER(Y$114)),0)))</f>
        <v>0</v>
      </c>
      <c r="Z203" s="157" cm="1">
        <f t="array" aca="1" ref="Z203" ca="1">IF(OR($E203="X",$E203="",$E203=0,$B203="X",$B203="",$B203=0),0,SUM(_xlfn._xlws.FILTER(IF($E$4="Ppto",PptoSty[CurPpto],PptoSty[CurExt]),(IF($E$4="Ppto",PptoSty[POvsCT]=Z$113,TRUE))*(PptoSty[Project]=TEXT($B203,"@"))*(PptoSty[PptoVsRow]=$E203)*(PptoSty[PptoVsColumn]=UPPER(Y$114)),0)))</f>
        <v>0</v>
      </c>
      <c r="AA203" s="157" cm="1">
        <f t="array" aca="1" ref="AA203" ca="1">IF(OR($E203="X",$E203="",$E203=0,$B203="X",$B203="",$B203=0),0,SUM(_xlfn._xlws.FILTER(IF($E$4="Ppto",PptoSty[CurPpto],PptoSty[CurInt]),(IF($E$4="Ppto",PptoSty[POvsCT]=AA$113,TRUE))*(PptoSty[Project]=TEXT($B203,"@"))*(PptoSty[PptoVsRow]=$E203)*(PptoSty[PptoVsColumn]=UPPER(AA$114)),0)))</f>
        <v>0</v>
      </c>
      <c r="AB203" s="157" cm="1">
        <f t="array" aca="1" ref="AB203" ca="1">IF(OR($E203="X",$E203="",$E203=0,$B203="X",$B203="",$B203=0),0,SUM(_xlfn._xlws.FILTER(IF($E$4="Ppto",PptoSty[CurPpto],PptoSty[CurExt]),(IF($E$4="Ppto",PptoSty[POvsCT]=AB$113,TRUE))*(PptoSty[Project]=TEXT($B203,"@"))*(PptoSty[PptoVsRow]=$E203)*(PptoSty[PptoVsColumn]=UPPER(AA$114)),0)))</f>
        <v>0</v>
      </c>
      <c r="AC203" s="157" cm="1">
        <f t="array" aca="1" ref="AC203" ca="1">IF(OR($E203="X",$E203="",$E203=0,$B203="X",$B203="",$B203=0),0,SUM(_xlfn._xlws.FILTER(IF($E$4="Ppto",PptoSty[CurPpto],PptoSty[CurInt]),(IF($E$4="Ppto",PptoSty[POvsCT]=AC$113,TRUE))*(PptoSty[Project]=TEXT($B203,"@"))*(PptoSty[PptoVsRow]=$E203)*(PptoSty[PptoVsColumn]=UPPER(AC$114)),0)))</f>
        <v>0</v>
      </c>
      <c r="AD203" s="157" cm="1">
        <f t="array" aca="1" ref="AD203" ca="1">IF(OR($E203="X",$E203="",$E203=0,$B203="X",$B203="",$B203=0),0,SUM(_xlfn._xlws.FILTER(IF($E$4="Ppto",PptoSty[CurPpto],PptoSty[CurExt]),(IF($E$4="Ppto",PptoSty[POvsCT]=AD$113,TRUE))*(PptoSty[Project]=TEXT($B203,"@"))*(PptoSty[PptoVsRow]=$E203)*(PptoSty[PptoVsColumn]=UPPER(AC$114)),0)))</f>
        <v>0</v>
      </c>
      <c r="AE203" s="157" cm="1">
        <f t="array" aca="1" ref="AE203" ca="1">IF(OR($E203="X",$E203="",$E203=0,$B203="X",$B203="",$B203=0),0,SUM(_xlfn._xlws.FILTER(IF($E$4="Ppto",PptoSty[CurPpto],PptoSty[CurInt]),(IF($E$4="Ppto",PptoSty[POvsCT]=AE$113,TRUE))*(PptoSty[Project]=TEXT($B203,"@"))*(PptoSty[PptoVsRow]=$E203)*(PptoSty[PptoVsColumn]=UPPER(AE$114)),0)))</f>
        <v>0</v>
      </c>
      <c r="AF203" s="157" cm="1">
        <f t="array" aca="1" ref="AF203" ca="1">IF(OR($E203="X",$E203="",$E203=0,$B203="X",$B203="",$B203=0),0,SUM(_xlfn._xlws.FILTER(IF($E$4="Ppto",PptoSty[CurPpto],PptoSty[CurExt]),(IF($E$4="Ppto",PptoSty[POvsCT]=AF$113,TRUE))*(PptoSty[Project]=TEXT($B203,"@"))*(PptoSty[PptoVsRow]=$E203)*(PptoSty[PptoVsColumn]=UPPER(AE$114)),0)))</f>
        <v>0</v>
      </c>
      <c r="AG203" s="157" cm="1">
        <f t="array" aca="1" ref="AG203" ca="1">IF(OR($E203="X",$E203="",$E203=0,$B203="X",$B203="",$B203=0),0,SUM(_xlfn._xlws.FILTER(IF($E$4="Ppto",PptoSty[CurPpto],PptoSty[CurInt]),(IF($E$4="Ppto",PptoSty[POvsCT]=AG$113,TRUE))*(PptoSty[Project]=TEXT($B203,"@"))*(PptoSty[PptoVsRow]=$E203)*(PptoSty[PptoVsColumn]=UPPER(AG$114)),0)))</f>
        <v>0</v>
      </c>
      <c r="AH203" s="157" cm="1">
        <f t="array" aca="1" ref="AH203" ca="1">IF(OR($E203="X",$E203="",$E203=0,$B203="X",$B203="",$B203=0),0,SUM(_xlfn._xlws.FILTER(IF($E$4="Ppto",PptoSty[CurPpto],PptoSty[CurExt]),(IF($E$4="Ppto",PptoSty[POvsCT]=AH$113,TRUE))*(PptoSty[Project]=TEXT($B203,"@"))*(PptoSty[PptoVsRow]=$E203)*(PptoSty[PptoVsColumn]=UPPER(AG$114)),0)))</f>
        <v>0</v>
      </c>
      <c r="AI203" s="157" cm="1">
        <f t="array" aca="1" ref="AI203" ca="1">IF(OR($E203="X",$E203="",$E203=0,$B203="X",$B203="",$B203=0),0,SUM(_xlfn._xlws.FILTER(IF($E$4="Ppto",PptoSty[CurPpto],PptoSty[CurInt]),(IF($E$4="Ppto",PptoSty[POvsCT]=AI$113,TRUE))*(PptoSty[Project]=TEXT($B203,"@"))*(PptoSty[PptoVsRow]=$E203)*(PptoSty[PptoVsColumn]=UPPER(AI$114)),0)))</f>
        <v>0</v>
      </c>
      <c r="AJ203" s="157" cm="1">
        <f t="array" aca="1" ref="AJ203" ca="1">IF(OR($E203="X",$E203="",$E203=0,$B203="X",$B203="",$B203=0),0,SUM(_xlfn._xlws.FILTER(IF($E$4="Ppto",PptoSty[CurPpto],PptoSty[CurExt]),(IF($E$4="Ppto",PptoSty[POvsCT]=AJ$113,TRUE))*(PptoSty[Project]=TEXT($B203,"@"))*(PptoSty[PptoVsRow]=$E203)*(PptoSty[PptoVsColumn]=UPPER(AI$114)),0)))</f>
        <v>0</v>
      </c>
      <c r="AK203" s="157" cm="1">
        <f t="array" aca="1" ref="AK203" ca="1">IF(OR($E203="X",$E203="",$E203=0,$B203="X",$B203="",$B203=0),0,SUM(_xlfn._xlws.FILTER(IF($E$4="Ppto",PptoSty[CurPpto],PptoSty[CurInt]),(IF($E$4="Ppto",PptoSty[POvsCT]=AK$113,TRUE))*(PptoSty[Project]=TEXT($B203,"@"))*(PptoSty[PptoVsRow]=$E203)*(PptoSty[PptoVsColumn]=UPPER(AK$114)),0)))</f>
        <v>0</v>
      </c>
      <c r="AL203" s="157" cm="1">
        <f t="array" aca="1" ref="AL203" ca="1">IF(OR($E203="X",$E203="",$E203=0,$B203="X",$B203="",$B203=0),0,SUM(_xlfn._xlws.FILTER(IF($E$4="Ppto",PptoSty[CurPpto],PptoSty[CurExt]),(IF($E$4="Ppto",PptoSty[POvsCT]=AL$113,TRUE))*(PptoSty[Project]=TEXT($B203,"@"))*(PptoSty[PptoVsRow]=$E203)*(PptoSty[PptoVsColumn]=UPPER(AK$114)),0)))</f>
        <v>0</v>
      </c>
      <c r="AM203" s="157" cm="1">
        <f t="array" aca="1" ref="AM203" ca="1">IF(OR($E203="X",$E203="",$E203=0,$B203="X",$B203="",$B203=0),0,SUM(_xlfn._xlws.FILTER(IF($E$4="Ppto",PptoSty[CurPpto],PptoSty[CurInt]),(IF($E$4="Ppto",PptoSty[POvsCT]=AM$113,TRUE))*(PptoSty[Project]=TEXT($B203,"@"))*(PptoSty[PptoVsRow]=$E203)*(PptoSty[PptoVsColumn]=UPPER(AM$114)),0)))</f>
        <v>0</v>
      </c>
      <c r="AN203" s="157" cm="1">
        <f t="array" aca="1" ref="AN203" ca="1">IF(OR($E203="X",$E203="",$E203=0,$B203="X",$B203="",$B203=0),0,SUM(_xlfn._xlws.FILTER(IF($E$4="Ppto",PptoSty[CurPpto],PptoSty[CurExt]),(IF($E$4="Ppto",PptoSty[POvsCT]=AN$113,TRUE))*(PptoSty[Project]=TEXT($B203,"@"))*(PptoSty[PptoVsRow]=$E203)*(PptoSty[PptoVsColumn]=UPPER(AM$114)),0)))</f>
        <v>0</v>
      </c>
      <c r="AO203" s="157" cm="1">
        <f t="array" aca="1" ref="AO203" ca="1">IF(OR($E203="X",$E203="",$E203=0,$B203="X",$B203="",$B203=0),0,SUM(_xlfn._xlws.FILTER(IF($E$4="Ppto",PptoSty[CurPpto],PptoSty[CurInt]),(IF($E$4="Ppto",PptoSty[POvsCT]=AO$113,TRUE))*(PptoSty[Project]=TEXT($B203,"@"))*(PptoSty[PptoVsRow]=$E203)*(PptoSty[PptoVsColumn]=UPPER(AO$114)),0)))</f>
        <v>0</v>
      </c>
      <c r="AP203" s="157" cm="1">
        <f t="array" aca="1" ref="AP203" ca="1">IF(OR($E203="X",$E203="",$E203=0,$B203="X",$B203="",$B203=0),0,SUM(_xlfn._xlws.FILTER(IF($E$4="Ppto",PptoSty[CurPpto],PptoSty[CurExt]),(IF($E$4="Ppto",PptoSty[POvsCT]=AP$113,TRUE))*(PptoSty[Project]=TEXT($B203,"@"))*(PptoSty[PptoVsRow]=$E203)*(PptoSty[PptoVsColumn]=UPPER(AO$114)),0)))</f>
        <v>0</v>
      </c>
      <c r="AQ203" s="157" cm="1">
        <f t="array" aca="1" ref="AQ203" ca="1">SUM(IF(INDIRECT($AS$115)=AQ$115,INDIRECT($AS203)))</f>
        <v>0</v>
      </c>
      <c r="AR203" s="157" cm="1">
        <f t="array" aca="1" ref="AR203" ca="1">SUM(IF(INDIRECT($AS$115)=AR$115,INDIRECT($AS203)))</f>
        <v>0</v>
      </c>
      <c r="AS203" s="286" t="str">
        <f t="shared" ca="1" si="16"/>
        <v>G203:AP203</v>
      </c>
      <c r="AT203" s="403">
        <f t="shared" ca="1" si="17"/>
        <v>0</v>
      </c>
      <c r="AV203" s="142" cm="1">
        <f t="array" aca="1" ref="AV203" ca="1">IF(AND(_xlfn.LET(_xlpm.x,SUM(ROW()),OR(AND(MATCH("SOT",$A:$A,0)&lt;_xlpm.x,MATCH("EOT",$A:$A,0)&gt;_xlpm.x),AND(MATCH("SOS",$A:$A,0)&lt;_xlpm.x,MATCH("EOS",$A:$A,0)&gt;_xlpm.x),AND(MATCH("SOR",$A:$A,0)&lt;_xlpm.x,MATCH("EOR",$A:$A,0)&gt;_xlpm.x))),INDIRECT("rc"&amp;MATCH("SCD",$1:$1,0),FALSE)="PPTO"),1,0)</f>
        <v>1</v>
      </c>
      <c r="AW203" s="142" cm="1">
        <f t="array" aca="1" ref="AW20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204" spans="2:49" outlineLevel="1">
      <c r="B204" s="156" t="str" cm="1">
        <f t="array" aca="1" ref="B204" ca="1">_xlfn.LET(_xlpm.x,SUM(ROW()-MATCH("SOR",$A:$A,0)),_xlpm.y,IFERROR(_xlfn.TAKE(INDEX(_xlfn._xlws.FILTER(TbAssign[],ISNUMBER(FIND(TbAssign[Project],$C$4)),"X"),1+QUOTIENT(_xlpm.x,3),0),1,4),0),IF(MOD(_xlpm.x-1,3)=0,IF(_xlpm.y=0,"X",_xlpm.y),INDIRECT("r[-1]c#",FALSE)))</f>
        <v>X</v>
      </c>
      <c r="C204" s="156"/>
      <c r="E204" s="352"/>
      <c r="F204" s="148" t="s">
        <v>1382</v>
      </c>
      <c r="G204" s="157" cm="1">
        <f t="array" aca="1" ref="G204" ca="1">IF(OR($E204="X",$E204="",$E204=0,$B204="X",$B204="",$B204=0),0,SUM(_xlfn._xlws.FILTER(PrvSty[DsvValue:SERRA],(PrvSty[Project]=TEXT($B204,"@"))*(PrvSty[Row]=$E204)*(PrvSty[Column]=UPPER(G$114)),0)))</f>
        <v>0</v>
      </c>
      <c r="H204" s="157" cm="1">
        <f t="array" aca="1" ref="H204" ca="1">IF(OR($E204="X",$E204="",$E204=0,$B204="X",$B204="",$B204=0),0,SUM(_xlfn._xlws.FILTER(PrvSty[DsvValue:EXT.],(PrvSty[Project]=TEXT($B204,"@"))*(PrvSty[Row]=$E204)*(PrvSty[Column]=UPPER(G$114)),0)))</f>
        <v>0</v>
      </c>
      <c r="I204" s="157" cm="1">
        <f t="array" aca="1" ref="I204" ca="1">IF(OR($E204="X",$E204="",$E204=0,$B204="X",$B204="",$B204=0),0,SUM(_xlfn._xlws.FILTER(PrvSty[DsvValue:SERRA],(PrvSty[Project]=TEXT($B204,"@"))*(PrvSty[Row]=$E204)*(PrvSty[Column]=UPPER(I$114)),0)))</f>
        <v>0</v>
      </c>
      <c r="J204" s="157" cm="1">
        <f t="array" aca="1" ref="J204" ca="1">IF(OR($E204="X",$E204="",$E204=0,$B204="X",$B204="",$B204=0),0,SUM(_xlfn._xlws.FILTER(PrvSty[DsvValue:EXT.],(PrvSty[Project]=TEXT($B204,"@"))*(PrvSty[Row]=$E204)*(PrvSty[Column]=UPPER(I$114)),0)))</f>
        <v>0</v>
      </c>
      <c r="K204" s="157" cm="1">
        <f t="array" aca="1" ref="K204" ca="1">IF(OR($E204="X",$E204="",$E204=0,$B204="X",$B204="",$B204=0),0,SUM(_xlfn._xlws.FILTER(PrvSty[DsvValue:SERRA],(PrvSty[Project]=TEXT($B204,"@"))*(PrvSty[Row]=$E204)*(PrvSty[Column]=UPPER(K$114)),0)))</f>
        <v>0</v>
      </c>
      <c r="L204" s="157" cm="1">
        <f t="array" aca="1" ref="L204" ca="1">IF(OR($E204="X",$E204="",$E204=0,$B204="X",$B204="",$B204=0),0,SUM(_xlfn._xlws.FILTER(PrvSty[DsvValue:EXT.],(PrvSty[Project]=TEXT($B204,"@"))*(PrvSty[Row]=$E204)*(PrvSty[Column]=UPPER(K$114)),0)))</f>
        <v>0</v>
      </c>
      <c r="M204" s="157" cm="1">
        <f t="array" aca="1" ref="M204" ca="1">IF(OR($E204="X",$E204="",$E204=0,$B204="X",$B204="",$B204=0),0,SUM(_xlfn._xlws.FILTER(PrvSty[DsvValue:SERRA],(PrvSty[Project]=TEXT($B204,"@"))*(PrvSty[Row]=$E204)*(PrvSty[Column]=UPPER(M$114)),0)))</f>
        <v>0</v>
      </c>
      <c r="N204" s="157" cm="1">
        <f t="array" aca="1" ref="N204" ca="1">IF(OR($E204="X",$E204="",$E204=0,$B204="X",$B204="",$B204=0),0,SUM(_xlfn._xlws.FILTER(PrvSty[DsvValue:EXT.],(PrvSty[Project]=TEXT($B204,"@"))*(PrvSty[Row]=$E204)*(PrvSty[Column]=UPPER(M$114)),0)))</f>
        <v>0</v>
      </c>
      <c r="O204" s="157" cm="1">
        <f t="array" aca="1" ref="O204" ca="1">IF(OR($E204="X",$E204="",$E204=0,$B204="X",$B204="",$B204=0),0,SUM(_xlfn._xlws.FILTER(PrvSty[DsvValue:SERRA],(PrvSty[Project]=TEXT($B204,"@"))*(PrvSty[Row]=$E204)*(PrvSty[Column]=UPPER(O$114)),0)))</f>
        <v>0</v>
      </c>
      <c r="P204" s="157" cm="1">
        <f t="array" aca="1" ref="P204" ca="1">IF(OR($E204="X",$E204="",$E204=0,$B204="X",$B204="",$B204=0),0,SUM(_xlfn._xlws.FILTER(PrvSty[DsvValue:EXT.],(PrvSty[Project]=TEXT($B204,"@"))*(PrvSty[Row]=$E204)*(PrvSty[Column]=UPPER(O$114)),0)))</f>
        <v>0</v>
      </c>
      <c r="Q204" s="157" cm="1">
        <f t="array" aca="1" ref="Q204" ca="1">IF(OR($E204="X",$E204="",$E204=0,$B204="X",$B204="",$B204=0),0,SUM(_xlfn._xlws.FILTER(PrvSty[DsvValue:SERRA],(PrvSty[Project]=TEXT($B204,"@"))*(PrvSty[Row]=$E204)*(PrvSty[Column]=UPPER(Q$114)),0)))</f>
        <v>0</v>
      </c>
      <c r="R204" s="157" cm="1">
        <f t="array" aca="1" ref="R204" ca="1">IF(OR($E204="X",$E204="",$E204=0,$B204="X",$B204="",$B204=0),0,SUM(_xlfn._xlws.FILTER(PrvSty[DsvValue:EXT.],(PrvSty[Project]=TEXT($B204,"@"))*(PrvSty[Row]=$E204)*(PrvSty[Column]=UPPER(Q$114)),0)))</f>
        <v>0</v>
      </c>
      <c r="S204" s="157" cm="1">
        <f t="array" aca="1" ref="S204" ca="1">IF(OR($E204="X",$E204="",$E204=0,$B204="X",$B204="",$B204=0),0,SUM(_xlfn._xlws.FILTER(PrvSty[DsvValue:SERRA],(PrvSty[Project]=TEXT($B204,"@"))*(PrvSty[Row]=$E204)*(PrvSty[Column]=UPPER(S$114)),0)))</f>
        <v>0</v>
      </c>
      <c r="T204" s="157" cm="1">
        <f t="array" aca="1" ref="T204" ca="1">IF(OR($E204="X",$E204="",$E204=0,$B204="X",$B204="",$B204=0),0,SUM(_xlfn._xlws.FILTER(PrvSty[DsvValue:EXT.],(PrvSty[Project]=TEXT($B204,"@"))*(PrvSty[Row]=$E204)*(PrvSty[Column]=UPPER(S$114)),0)))</f>
        <v>0</v>
      </c>
      <c r="U204" s="157" cm="1">
        <f t="array" aca="1" ref="U204" ca="1">IF(OR($E204="X",$E204="",$E204=0,$B204="X",$B204="",$B204=0),0,SUM(_xlfn._xlws.FILTER(PrvSty[DsvValue:SERRA],(PrvSty[Project]=TEXT($B204,"@"))*(PrvSty[Row]=$E204)*(PrvSty[Column]=UPPER(U$114)),0)))</f>
        <v>0</v>
      </c>
      <c r="V204" s="157" cm="1">
        <f t="array" aca="1" ref="V204" ca="1">IF(OR($E204="X",$E204="",$E204=0,$B204="X",$B204="",$B204=0),0,SUM(_xlfn._xlws.FILTER(PrvSty[DsvValue:EXT.],(PrvSty[Project]=TEXT($B204,"@"))*(PrvSty[Row]=$E204)*(PrvSty[Column]=UPPER(U$114)),0)))</f>
        <v>0</v>
      </c>
      <c r="W204" s="157" cm="1">
        <f t="array" aca="1" ref="W204" ca="1">IF(OR($E204="X",$E204="",$E204=0,$B204="X",$B204="",$B204=0),0,SUM(_xlfn._xlws.FILTER(PrvSty[DsvValue:SERRA],(PrvSty[Project]=TEXT($B204,"@"))*(PrvSty[Row]=$E204)*(PrvSty[Column]=UPPER(W$114)),0)))</f>
        <v>0</v>
      </c>
      <c r="X204" s="157" cm="1">
        <f t="array" aca="1" ref="X204" ca="1">IF(OR($E204="X",$E204="",$E204=0,$B204="X",$B204="",$B204=0),0,SUM(_xlfn._xlws.FILTER(PrvSty[DsvValue:EXT.],(PrvSty[Project]=TEXT($B204,"@"))*(PrvSty[Row]=$E204)*(PrvSty[Column]=UPPER(W$114)),0)))</f>
        <v>0</v>
      </c>
      <c r="Y204" s="157" cm="1">
        <f t="array" aca="1" ref="Y204" ca="1">IF(OR($E204="X",$E204="",$E204=0,$B204="X",$B204="",$B204=0),0,SUM(_xlfn._xlws.FILTER(PrvSty[DsvValue:SERRA],(PrvSty[Project]=TEXT($B204,"@"))*(PrvSty[Row]=$E204)*(PrvSty[Column]=UPPER(Y$114)),0)))</f>
        <v>0</v>
      </c>
      <c r="Z204" s="157" cm="1">
        <f t="array" aca="1" ref="Z204" ca="1">IF(OR($E204="X",$E204="",$E204=0,$B204="X",$B204="",$B204=0),0,SUM(_xlfn._xlws.FILTER(PrvSty[DsvValue:EXT.],(PrvSty[Project]=TEXT($B204,"@"))*(PrvSty[Row]=$E204)*(PrvSty[Column]=UPPER(Y$114)),0)))</f>
        <v>0</v>
      </c>
      <c r="AA204" s="157" cm="1">
        <f t="array" aca="1" ref="AA204" ca="1">IF(OR($E204="X",$E204="",$E204=0,$B204="X",$B204="",$B204=0),0,SUM(_xlfn._xlws.FILTER(PrvSty[DsvValue:SERRA],(PrvSty[Project]=TEXT($B204,"@"))*(PrvSty[Row]=$E204)*(PrvSty[Column]=UPPER(AA$114)),0)))</f>
        <v>0</v>
      </c>
      <c r="AB204" s="157" cm="1">
        <f t="array" aca="1" ref="AB204" ca="1">IF(OR($E204="X",$E204="",$E204=0,$B204="X",$B204="",$B204=0),0,SUM(_xlfn._xlws.FILTER(PrvSty[DsvValue:EXT.],(PrvSty[Project]=TEXT($B204,"@"))*(PrvSty[Row]=$E204)*(PrvSty[Column]=UPPER(AA$114)),0)))</f>
        <v>0</v>
      </c>
      <c r="AC204" s="157" cm="1">
        <f t="array" aca="1" ref="AC204" ca="1">IF(OR($E204="X",$E204="",$E204=0,$B204="X",$B204="",$B204=0),0,SUM(_xlfn._xlws.FILTER(PrvSty[DsvValue:SERRA],(PrvSty[Project]=TEXT($B204,"@"))*(PrvSty[Row]=$E204)*(PrvSty[Column]=UPPER(AC$114)),0)))</f>
        <v>0</v>
      </c>
      <c r="AD204" s="157" cm="1">
        <f t="array" aca="1" ref="AD204" ca="1">IF(OR($E204="X",$E204="",$E204=0,$B204="X",$B204="",$B204=0),0,SUM(_xlfn._xlws.FILTER(PrvSty[DsvValue:EXT.],(PrvSty[Project]=TEXT($B204,"@"))*(PrvSty[Row]=$E204)*(PrvSty[Column]=UPPER(AC$114)),0)))</f>
        <v>0</v>
      </c>
      <c r="AE204" s="157" cm="1">
        <f t="array" aca="1" ref="AE204" ca="1">IF(OR($E204="X",$E204="",$E204=0,$B204="X",$B204="",$B204=0),0,SUM(_xlfn._xlws.FILTER(PrvSty[DsvValue:SERRA],(PrvSty[Project]=TEXT($B204,"@"))*(PrvSty[Row]=$E204)*(PrvSty[Column]=UPPER(AE$114)),0)))</f>
        <v>0</v>
      </c>
      <c r="AF204" s="157" cm="1">
        <f t="array" aca="1" ref="AF204" ca="1">IF(OR($E204="X",$E204="",$E204=0,$B204="X",$B204="",$B204=0),0,SUM(_xlfn._xlws.FILTER(PrvSty[DsvValue:EXT.],(PrvSty[Project]=TEXT($B204,"@"))*(PrvSty[Row]=$E204)*(PrvSty[Column]=UPPER(AE$114)),0)))</f>
        <v>0</v>
      </c>
      <c r="AG204" s="157" cm="1">
        <f t="array" aca="1" ref="AG204" ca="1">IF(OR($E204="X",$E204="",$E204=0,$B204="X",$B204="",$B204=0),0,SUM(_xlfn._xlws.FILTER(PrvSty[DsvValue:SERRA],(PrvSty[Project]=TEXT($B204,"@"))*(PrvSty[Row]=$E204)*(PrvSty[Column]=UPPER(AG$114)),0)))</f>
        <v>0</v>
      </c>
      <c r="AH204" s="157" cm="1">
        <f t="array" aca="1" ref="AH204" ca="1">IF(OR($E204="X",$E204="",$E204=0,$B204="X",$B204="",$B204=0),0,SUM(_xlfn._xlws.FILTER(PrvSty[DsvValue:EXT.],(PrvSty[Project]=TEXT($B204,"@"))*(PrvSty[Row]=$E204)*(PrvSty[Column]=UPPER(AG$114)),0)))</f>
        <v>0</v>
      </c>
      <c r="AI204" s="157" cm="1">
        <f t="array" aca="1" ref="AI204" ca="1">IF(OR($E204="X",$E204="",$E204=0,$B204="X",$B204="",$B204=0),0,SUM(_xlfn._xlws.FILTER(PrvSty[DsvValue:SERRA],(PrvSty[Project]=TEXT($B204,"@"))*(PrvSty[Row]=$E204)*(PrvSty[Column]=UPPER(AI$114)),0)))</f>
        <v>0</v>
      </c>
      <c r="AJ204" s="157" cm="1">
        <f t="array" aca="1" ref="AJ204" ca="1">IF(OR($E204="X",$E204="",$E204=0,$B204="X",$B204="",$B204=0),0,SUM(_xlfn._xlws.FILTER(PrvSty[DsvValue:EXT.],(PrvSty[Project]=TEXT($B204,"@"))*(PrvSty[Row]=$E204)*(PrvSty[Column]=UPPER(AI$114)),0)))</f>
        <v>0</v>
      </c>
      <c r="AK204" s="157" cm="1">
        <f t="array" aca="1" ref="AK204" ca="1">IF(OR($E204="X",$E204="",$E204=0,$B204="X",$B204="",$B204=0),0,SUM(_xlfn._xlws.FILTER(PrvSty[DsvValue:SERRA],(PrvSty[Project]=TEXT($B204,"@"))*(PrvSty[Row]=$E204)*(PrvSty[Column]=UPPER(AK$114)),0)))</f>
        <v>0</v>
      </c>
      <c r="AL204" s="157" cm="1">
        <f t="array" aca="1" ref="AL204" ca="1">IF(OR($E204="X",$E204="",$E204=0,$B204="X",$B204="",$B204=0),0,SUM(_xlfn._xlws.FILTER(PrvSty[DsvValue:EXT.],(PrvSty[Project]=TEXT($B204,"@"))*(PrvSty[Row]=$E204)*(PrvSty[Column]=UPPER(AK$114)),0)))</f>
        <v>0</v>
      </c>
      <c r="AM204" s="157" cm="1">
        <f t="array" aca="1" ref="AM204" ca="1">IF(OR($E204="X",$E204="",$E204=0,$B204="X",$B204="",$B204=0),0,SUM(_xlfn._xlws.FILTER(PrvSty[DsvValue:SERRA],(PrvSty[Project]=TEXT($B204,"@"))*(PrvSty[Row]=$E204)*(PrvSty[Column]=UPPER(AM$114)),0)))</f>
        <v>0</v>
      </c>
      <c r="AN204" s="157" cm="1">
        <f t="array" aca="1" ref="AN204" ca="1">IF(OR($E204="X",$E204="",$E204=0,$B204="X",$B204="",$B204=0),0,SUM(_xlfn._xlws.FILTER(PrvSty[DsvValue:EXT.],(PrvSty[Project]=TEXT($B204,"@"))*(PrvSty[Row]=$E204)*(PrvSty[Column]=UPPER(AM$114)),0)))</f>
        <v>0</v>
      </c>
      <c r="AO204" s="157" cm="1">
        <f t="array" aca="1" ref="AO204" ca="1">IF(OR($E204="X",$E204="",$E204=0,$B204="X",$B204="",$B204=0),0,SUM(_xlfn._xlws.FILTER(PrvSty[DsvValue:SERRA],(PrvSty[Project]=TEXT($B204,"@"))*(PrvSty[Row]=$E204)*(PrvSty[Column]=UPPER(AO$114)),0)))</f>
        <v>0</v>
      </c>
      <c r="AP204" s="157" cm="1">
        <f t="array" aca="1" ref="AP204" ca="1">IF(OR($E204="X",$E204="",$E204=0,$B204="X",$B204="",$B204=0),0,SUM(_xlfn._xlws.FILTER(PrvSty[DsvValue:EXT.],(PrvSty[Project]=TEXT($B204,"@"))*(PrvSty[Row]=$E204)*(PrvSty[Column]=UPPER(AO$114)),0)))</f>
        <v>0</v>
      </c>
      <c r="AQ204" s="157" cm="1">
        <f t="array" aca="1" ref="AQ204" ca="1">SUM(IF(INDIRECT($AS$115)=AQ$115,INDIRECT($AS204)))</f>
        <v>0</v>
      </c>
      <c r="AR204" s="157" cm="1">
        <f t="array" aca="1" ref="AR204" ca="1">SUM(IF(INDIRECT($AS$115)=AR$115,INDIRECT($AS204)))</f>
        <v>0</v>
      </c>
      <c r="AS204" s="286" t="str">
        <f t="shared" ca="1" si="16"/>
        <v>G204:AP204</v>
      </c>
      <c r="AT204" s="403">
        <f t="shared" ca="1" si="17"/>
        <v>0</v>
      </c>
      <c r="AV204" s="142" cm="1">
        <f t="array" aca="1" ref="AV204" ca="1">IF(AND(_xlfn.LET(_xlpm.x,SUM(ROW()),OR(AND(MATCH("SOT",$A:$A,0)&lt;_xlpm.x,MATCH("EOT",$A:$A,0)&gt;_xlpm.x),AND(MATCH("SOS",$A:$A,0)&lt;_xlpm.x,MATCH("EOS",$A:$A,0)&gt;_xlpm.x),AND(MATCH("SOR",$A:$A,0)&lt;_xlpm.x,MATCH("EOR",$A:$A,0)&gt;_xlpm.x))),INDIRECT("rc"&amp;MATCH("SCD",$1:$1,0),FALSE)="PPTO"),1,0)</f>
        <v>0</v>
      </c>
      <c r="AW204" s="142" cm="1">
        <f t="array" aca="1" ref="AW20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205" spans="2:49" outlineLevel="1">
      <c r="B205" s="156" t="str" cm="1">
        <f t="array" aca="1" ref="B205" ca="1">_xlfn.LET(_xlpm.x,SUM(ROW()-MATCH("SOR",$A:$A,0)),_xlpm.y,IFERROR(_xlfn.TAKE(INDEX(_xlfn._xlws.FILTER(TbAssign[],ISNUMBER(FIND(TbAssign[Project],$C$4)),"X"),1+QUOTIENT(_xlpm.x,3),0),1,4),0),IF(MOD(_xlpm.x-1,3)=0,IF(_xlpm.y=0,"X",_xlpm.y),INDIRECT("r[-1]c#",FALSE)))</f>
        <v>X</v>
      </c>
      <c r="C205" s="156"/>
      <c r="E205" s="352"/>
      <c r="F205" s="148" t="s">
        <v>1383</v>
      </c>
      <c r="G205" s="158" cm="1">
        <f t="array" aca="1" ref="G205" ca="1">IF(OR($E205="X",$E205="",$E205=0,$B205="X",$B205="",$B205=0),0,SUM(_xlfn._xlws.FILTER(FrmBB1[Cur],(FrmBB1[PrjId]=TEXT($B205,"@"))*(FrmBB1[Row]=$E205)*(FrmBB1[Column]=UPPER(_xlfn.LET(_xlpm.x,_xlfn.TEXTBEFORE(G$114," ("),IFERROR(_xlpm.x,G$114)))&amp;" "&amp;G$115),0)))</f>
        <v>0</v>
      </c>
      <c r="H205" s="157" cm="1">
        <f t="array" aca="1" ref="H205" ca="1">IF(OR($E205="X",$E205="",$E205=0,$B205="X",$B205="",$B205=0),0,SUM(_xlfn._xlws.FILTER(FrmBB1[Cur],(FrmBB1[PrjId]=TEXT($B205,"@"))*(FrmBB1[Row]=$E205)*(FrmBB1[Column]=UPPER(_xlfn.LET(_xlpm.x,_xlfn.TEXTBEFORE(G$114," ("),IFERROR(_xlpm.x,G$114)))&amp;" "&amp;H$115),0)))</f>
        <v>0</v>
      </c>
      <c r="I205" s="158" cm="1">
        <f t="array" aca="1" ref="I205" ca="1">IF(OR($E205="X",$E205="",$E205=0,$B205="X",$B205="",$B205=0),0,SUM(_xlfn._xlws.FILTER(FrmBB1[Cur],(FrmBB1[PrjId]=TEXT($B205,"@"))*(FrmBB1[Row]=$E205)*(FrmBB1[Column]=UPPER(_xlfn.LET(_xlpm.x,_xlfn.TEXTBEFORE(I$114," ("),IFERROR(_xlpm.x,I$114)))&amp;" "&amp;I$115),0)))</f>
        <v>0</v>
      </c>
      <c r="J205" s="157" cm="1">
        <f t="array" aca="1" ref="J205" ca="1">IF(OR($E205="X",$E205="",$E205=0,$B205="X",$B205="",$B205=0),0,SUM(_xlfn._xlws.FILTER(FrmBB1[Cur],(FrmBB1[PrjId]=TEXT($B205,"@"))*(FrmBB1[Row]=$E205)*(FrmBB1[Column]=UPPER(_xlfn.LET(_xlpm.x,_xlfn.TEXTBEFORE(I$114," ("),IFERROR(_xlpm.x,I$114)))&amp;" "&amp;J$115),0)))</f>
        <v>0</v>
      </c>
      <c r="K205" s="158" cm="1">
        <f t="array" aca="1" ref="K205" ca="1">IF(OR($E205="X",$E205="",$E205=0,$B205="X",$B205="",$B205=0),0,SUM(_xlfn._xlws.FILTER(FrmBB1[Cur],(FrmBB1[PrjId]=TEXT($B205,"@"))*(FrmBB1[Row]=$E205)*(FrmBB1[Column]=UPPER(_xlfn.LET(_xlpm.x,_xlfn.TEXTBEFORE(K$114," ("),IFERROR(_xlpm.x,K$114)))&amp;" "&amp;K$115),0)))</f>
        <v>0</v>
      </c>
      <c r="L205" s="157" cm="1">
        <f t="array" aca="1" ref="L205" ca="1">IF(OR($E205="X",$E205="",$E205=0,$B205="X",$B205="",$B205=0),0,SUM(_xlfn._xlws.FILTER(FrmBB1[Cur],(FrmBB1[PrjId]=TEXT($B205,"@"))*(FrmBB1[Row]=$E205)*(FrmBB1[Column]=UPPER(_xlfn.LET(_xlpm.x,_xlfn.TEXTBEFORE(K$114," ("),IFERROR(_xlpm.x,K$114)))&amp;" "&amp;L$115),0)))</f>
        <v>0</v>
      </c>
      <c r="M205" s="158" cm="1">
        <f t="array" aca="1" ref="M205" ca="1">IF(OR($E205="X",$E205="",$E205=0,$B205="X",$B205="",$B205=0),0,SUM(_xlfn._xlws.FILTER(FrmBB1[Cur],(FrmBB1[PrjId]=TEXT($B205,"@"))*(FrmBB1[Row]=$E205)*(FrmBB1[Column]=UPPER(_xlfn.LET(_xlpm.x,_xlfn.TEXTBEFORE(M$114," ("),IFERROR(_xlpm.x,M$114)))&amp;" "&amp;M$115),0)))</f>
        <v>0</v>
      </c>
      <c r="N205" s="157" cm="1">
        <f t="array" aca="1" ref="N205" ca="1">IF(OR($E205="X",$E205="",$E205=0,$B205="X",$B205="",$B205=0),0,SUM(_xlfn._xlws.FILTER(FrmBB1[Cur],(FrmBB1[PrjId]=TEXT($B205,"@"))*(FrmBB1[Row]=$E205)*(FrmBB1[Column]=UPPER(_xlfn.LET(_xlpm.x,_xlfn.TEXTBEFORE(M$114," ("),IFERROR(_xlpm.x,M$114)))&amp;" "&amp;N$115),0)))</f>
        <v>0</v>
      </c>
      <c r="O205" s="158" cm="1">
        <f t="array" aca="1" ref="O205" ca="1">IF(OR($E205="X",$E205="",$E205=0,$B205="X",$B205="",$B205=0),0,SUM(_xlfn._xlws.FILTER(FrmBB1[Cur],(FrmBB1[PrjId]=TEXT($B205,"@"))*(FrmBB1[Row]=$E205)*(FrmBB1[Column]=UPPER(_xlfn.LET(_xlpm.x,_xlfn.TEXTBEFORE(O$114," ("),IFERROR(_xlpm.x,O$114)))&amp;" "&amp;O$115),0)))</f>
        <v>0</v>
      </c>
      <c r="P205" s="157" cm="1">
        <f t="array" aca="1" ref="P205" ca="1">IF(OR($E205="X",$E205="",$E205=0,$B205="X",$B205="",$B205=0),0,SUM(_xlfn._xlws.FILTER(FrmBB1[Cur],(FrmBB1[PrjId]=TEXT($B205,"@"))*(FrmBB1[Row]=$E205)*(FrmBB1[Column]=UPPER(_xlfn.LET(_xlpm.x,_xlfn.TEXTBEFORE(O$114," ("),IFERROR(_xlpm.x,O$114)))&amp;" "&amp;P$115),0)))</f>
        <v>0</v>
      </c>
      <c r="Q205" s="158" cm="1">
        <f t="array" aca="1" ref="Q205" ca="1">IF(OR($E205="X",$E205="",$E205=0,$B205="X",$B205="",$B205=0),0,SUM(_xlfn._xlws.FILTER(FrmBB1[Cur],(FrmBB1[PrjId]=TEXT($B205,"@"))*(FrmBB1[Row]=$E205)*(FrmBB1[Column]=UPPER(_xlfn.LET(_xlpm.x,_xlfn.TEXTBEFORE(Q$114," ("),IFERROR(_xlpm.x,Q$114)))&amp;" "&amp;Q$115),0)))</f>
        <v>0</v>
      </c>
      <c r="R205" s="157" cm="1">
        <f t="array" aca="1" ref="R205" ca="1">IF(OR($E205="X",$E205="",$E205=0,$B205="X",$B205="",$B205=0),0,SUM(_xlfn._xlws.FILTER(FrmBB1[Cur],(FrmBB1[PrjId]=TEXT($B205,"@"))*(FrmBB1[Row]=$E205)*(FrmBB1[Column]=UPPER(_xlfn.LET(_xlpm.x,_xlfn.TEXTBEFORE(Q$114," ("),IFERROR(_xlpm.x,Q$114)))&amp;" "&amp;R$115),0)))</f>
        <v>0</v>
      </c>
      <c r="S205" s="158" cm="1">
        <f t="array" aca="1" ref="S205" ca="1">IF(OR($E205="X",$E205="",$E205=0,$B205="X",$B205="",$B205=0),0,SUM(_xlfn._xlws.FILTER(FrmBB1[Cur],(FrmBB1[PrjId]=TEXT($B205,"@"))*(FrmBB1[Row]=$E205)*(FrmBB1[Column]=UPPER(_xlfn.LET(_xlpm.x,_xlfn.TEXTBEFORE(S$114," ("),IFERROR(_xlpm.x,S$114)))&amp;" "&amp;S$115),0)))</f>
        <v>0</v>
      </c>
      <c r="T205" s="157" cm="1">
        <f t="array" aca="1" ref="T205" ca="1">IF(OR($E205="X",$E205="",$E205=0,$B205="X",$B205="",$B205=0),0,SUM(_xlfn._xlws.FILTER(FrmBB1[Cur],(FrmBB1[PrjId]=TEXT($B205,"@"))*(FrmBB1[Row]=$E205)*(FrmBB1[Column]=UPPER(_xlfn.LET(_xlpm.x,_xlfn.TEXTBEFORE(S$114," ("),IFERROR(_xlpm.x,S$114)))&amp;" "&amp;T$115),0)))</f>
        <v>0</v>
      </c>
      <c r="U205" s="158" cm="1">
        <f t="array" aca="1" ref="U205" ca="1">IF(OR($E205="X",$E205="",$E205=0,$B205="X",$B205="",$B205=0),0,SUM(_xlfn._xlws.FILTER(FrmBB1[Cur],(FrmBB1[PrjId]=TEXT($B205,"@"))*(FrmBB1[Row]=$E205)*(FrmBB1[Column]=UPPER(_xlfn.LET(_xlpm.x,_xlfn.TEXTBEFORE(U$114," ("),IFERROR(_xlpm.x,U$114)))&amp;" "&amp;U$115),0)))</f>
        <v>0</v>
      </c>
      <c r="V205" s="157" cm="1">
        <f t="array" aca="1" ref="V205" ca="1">IF(OR($E205="X",$E205="",$E205=0,$B205="X",$B205="",$B205=0),0,SUM(_xlfn._xlws.FILTER(FrmBB1[Cur],(FrmBB1[PrjId]=TEXT($B205,"@"))*(FrmBB1[Row]=$E205)*(FrmBB1[Column]=UPPER(_xlfn.LET(_xlpm.x,_xlfn.TEXTBEFORE(U$114," ("),IFERROR(_xlpm.x,U$114)))&amp;" "&amp;V$115),0)))</f>
        <v>0</v>
      </c>
      <c r="W205" s="158" cm="1">
        <f t="array" aca="1" ref="W205" ca="1">IF(OR($E205="X",$E205="",$E205=0,$B205="X",$B205="",$B205=0),0,SUM(_xlfn._xlws.FILTER(FrmBB1[Cur],(FrmBB1[PrjId]=TEXT($B205,"@"))*(FrmBB1[Row]=$E205)*(FrmBB1[Column]=UPPER(_xlfn.LET(_xlpm.x,_xlfn.TEXTBEFORE(W$114," ("),IFERROR(_xlpm.x,W$114)))&amp;" "&amp;W$115),0)))</f>
        <v>0</v>
      </c>
      <c r="X205" s="157" cm="1">
        <f t="array" aca="1" ref="X205" ca="1">IF(OR($E205="X",$E205="",$E205=0,$B205="X",$B205="",$B205=0),0,SUM(_xlfn._xlws.FILTER(FrmBB1[Cur],(FrmBB1[PrjId]=TEXT($B205,"@"))*(FrmBB1[Row]=$E205)*(FrmBB1[Column]=UPPER(_xlfn.LET(_xlpm.x,_xlfn.TEXTBEFORE(W$114," ("),IFERROR(_xlpm.x,W$114)))&amp;" "&amp;X$115),0)))</f>
        <v>0</v>
      </c>
      <c r="Y205" s="158" cm="1">
        <f t="array" aca="1" ref="Y205" ca="1">IF(OR($E205="X",$E205="",$E205=0,$B205="X",$B205="",$B205=0),0,SUM(_xlfn._xlws.FILTER(FrmBB1[Cur],(FrmBB1[PrjId]=TEXT($B205,"@"))*(FrmBB1[Row]=$E205)*(FrmBB1[Column]=UPPER(_xlfn.LET(_xlpm.x,_xlfn.TEXTBEFORE(Y$114," ("),IFERROR(_xlpm.x,Y$114)))&amp;" "&amp;Y$115),0)))</f>
        <v>0</v>
      </c>
      <c r="Z205" s="157" cm="1">
        <f t="array" aca="1" ref="Z205" ca="1">IF(OR($E205="X",$E205="",$E205=0,$B205="X",$B205="",$B205=0),0,SUM(_xlfn._xlws.FILTER(FrmBB1[Cur],(FrmBB1[PrjId]=TEXT($B205,"@"))*(FrmBB1[Row]=$E205)*(FrmBB1[Column]=UPPER(_xlfn.LET(_xlpm.x,_xlfn.TEXTBEFORE(Y$114," ("),IFERROR(_xlpm.x,Y$114)))&amp;" "&amp;Z$115),0)))</f>
        <v>0</v>
      </c>
      <c r="AA205" s="158" cm="1">
        <f t="array" aca="1" ref="AA205" ca="1">IF(OR($E205="X",$E205="",$E205=0,$B205="X",$B205="",$B205=0),0,SUM(_xlfn._xlws.FILTER(FrmBB1[Cur],(FrmBB1[PrjId]=TEXT($B205,"@"))*(FrmBB1[Row]=$E205)*(FrmBB1[Column]=UPPER(_xlfn.LET(_xlpm.x,_xlfn.TEXTBEFORE(AA$114," ("),IFERROR(_xlpm.x,AA$114)))&amp;" "&amp;AA$115),0)))</f>
        <v>0</v>
      </c>
      <c r="AB205" s="157" cm="1">
        <f t="array" aca="1" ref="AB205" ca="1">IF(OR($E205="X",$E205="",$E205=0,$B205="X",$B205="",$B205=0),0,SUM(_xlfn._xlws.FILTER(FrmBB1[Cur],(FrmBB1[PrjId]=TEXT($B205,"@"))*(FrmBB1[Row]=$E205)*(FrmBB1[Column]=UPPER(_xlfn.LET(_xlpm.x,_xlfn.TEXTBEFORE(AA$114," ("),IFERROR(_xlpm.x,AA$114)))&amp;" "&amp;AB$115),0)))</f>
        <v>0</v>
      </c>
      <c r="AC205" s="158" cm="1">
        <f t="array" aca="1" ref="AC205" ca="1">IF(OR($E205="X",$E205="",$E205=0,$B205="X",$B205="",$B205=0),0,SUM(_xlfn._xlws.FILTER(FrmBB1[Cur],(FrmBB1[PrjId]=TEXT($B205,"@"))*(FrmBB1[Row]=$E205)*(FrmBB1[Column]=UPPER(_xlfn.LET(_xlpm.x,_xlfn.TEXTBEFORE(AC$114," ("),IFERROR(_xlpm.x,AC$114)))&amp;" "&amp;AC$115),0)))</f>
        <v>0</v>
      </c>
      <c r="AD205" s="157" cm="1">
        <f t="array" aca="1" ref="AD205" ca="1">IF(OR($E205="X",$E205="",$E205=0,$B205="X",$B205="",$B205=0),0,SUM(_xlfn._xlws.FILTER(FrmBB1[Cur],(FrmBB1[PrjId]=TEXT($B205,"@"))*(FrmBB1[Row]=$E205)*(FrmBB1[Column]=UPPER(_xlfn.LET(_xlpm.x,_xlfn.TEXTBEFORE(AC$114," ("),IFERROR(_xlpm.x,AC$114)))&amp;" "&amp;AD$115),0)))</f>
        <v>0</v>
      </c>
      <c r="AE205" s="158" cm="1">
        <f t="array" aca="1" ref="AE205" ca="1">IF(OR($E205="X",$E205="",$E205=0,$B205="X",$B205="",$B205=0),0,SUM(_xlfn._xlws.FILTER(FrmBB1[Cur],(FrmBB1[PrjId]=TEXT($B205,"@"))*(FrmBB1[Row]=$E205)*(FrmBB1[Column]=UPPER(_xlfn.LET(_xlpm.x,_xlfn.TEXTBEFORE(AE$114," ("),IFERROR(_xlpm.x,AE$114)))&amp;" "&amp;AE$115),0)))</f>
        <v>0</v>
      </c>
      <c r="AF205" s="157" cm="1">
        <f t="array" aca="1" ref="AF205" ca="1">IF(OR($E205="X",$E205="",$E205=0,$B205="X",$B205="",$B205=0),0,SUM(_xlfn._xlws.FILTER(FrmBB1[Cur],(FrmBB1[PrjId]=TEXT($B205,"@"))*(FrmBB1[Row]=$E205)*(FrmBB1[Column]=UPPER(_xlfn.LET(_xlpm.x,_xlfn.TEXTBEFORE(AE$114," ("),IFERROR(_xlpm.x,AE$114)))&amp;" "&amp;AF$115),0)))</f>
        <v>0</v>
      </c>
      <c r="AG205" s="158" cm="1">
        <f t="array" aca="1" ref="AG205" ca="1">IF(OR($E205="X",$E205="",$E205=0,$B205="X",$B205="",$B205=0),0,SUM(_xlfn._xlws.FILTER(FrmBB1[Cur],(FrmBB1[PrjId]=TEXT($B205,"@"))*(FrmBB1[Row]=$E205)*(FrmBB1[Column]=UPPER(_xlfn.LET(_xlpm.x,_xlfn.TEXTBEFORE(AG$114," ("),IFERROR(_xlpm.x,AG$114)))&amp;" "&amp;AG$115),0)))</f>
        <v>0</v>
      </c>
      <c r="AH205" s="157" cm="1">
        <f t="array" aca="1" ref="AH205" ca="1">IF(OR($E205="X",$E205="",$E205=0,$B205="X",$B205="",$B205=0),0,SUM(_xlfn._xlws.FILTER(FrmBB1[Cur],(FrmBB1[PrjId]=TEXT($B205,"@"))*(FrmBB1[Row]=$E205)*(FrmBB1[Column]=UPPER(_xlfn.LET(_xlpm.x,_xlfn.TEXTBEFORE(AG$114," ("),IFERROR(_xlpm.x,AG$114)))&amp;" "&amp;AH$115),0)))</f>
        <v>0</v>
      </c>
      <c r="AI205" s="158" cm="1">
        <f t="array" aca="1" ref="AI205" ca="1">IF(OR($E205="X",$E205="",$E205=0,$B205="X",$B205="",$B205=0),0,SUM(_xlfn._xlws.FILTER(FrmBB1[Cur],(FrmBB1[PrjId]=TEXT($B205,"@"))*(FrmBB1[Row]=$E205)*(FrmBB1[Column]=UPPER(_xlfn.LET(_xlpm.x,_xlfn.TEXTBEFORE(AI$114," ("),IFERROR(_xlpm.x,AI$114)))&amp;" "&amp;AI$115),0)))</f>
        <v>0</v>
      </c>
      <c r="AJ205" s="157" cm="1">
        <f t="array" aca="1" ref="AJ205" ca="1">IF(OR($E205="X",$E205="",$E205=0,$B205="X",$B205="",$B205=0),0,SUM(_xlfn._xlws.FILTER(FrmBB1[Cur],(FrmBB1[PrjId]=TEXT($B205,"@"))*(FrmBB1[Row]=$E205)*(FrmBB1[Column]=UPPER(_xlfn.LET(_xlpm.x,_xlfn.TEXTBEFORE(AI$114," ("),IFERROR(_xlpm.x,AI$114)))&amp;" "&amp;AJ$115),0)))</f>
        <v>0</v>
      </c>
      <c r="AK205" s="158" cm="1">
        <f t="array" aca="1" ref="AK205" ca="1">IF(OR($E205="X",$E205="",$E205=0,$B205="X",$B205="",$B205=0),0,SUM(_xlfn._xlws.FILTER(FrmBB1[Cur],(FrmBB1[PrjId]=TEXT($B205,"@"))*(FrmBB1[Row]=$E205)*(FrmBB1[Column]=UPPER(_xlfn.LET(_xlpm.x,_xlfn.TEXTBEFORE(AK$114," ("),IFERROR(_xlpm.x,AK$114)))&amp;" "&amp;AK$115),0)))</f>
        <v>0</v>
      </c>
      <c r="AL205" s="157" cm="1">
        <f t="array" aca="1" ref="AL205" ca="1">IF(OR($E205="X",$E205="",$E205=0,$B205="X",$B205="",$B205=0),0,SUM(_xlfn._xlws.FILTER(FrmBB1[Cur],(FrmBB1[PrjId]=TEXT($B205,"@"))*(FrmBB1[Row]=$E205)*(FrmBB1[Column]=UPPER(_xlfn.LET(_xlpm.x,_xlfn.TEXTBEFORE(AK$114," ("),IFERROR(_xlpm.x,AK$114)))&amp;" "&amp;AL$115),0)))</f>
        <v>0</v>
      </c>
      <c r="AM205" s="158" cm="1">
        <f t="array" aca="1" ref="AM205" ca="1">IF(OR($E205="X",$E205="",$E205=0,$B205="X",$B205="",$B205=0),0,SUM(_xlfn._xlws.FILTER(FrmBB1[Cur],(FrmBB1[PrjId]=TEXT($B205,"@"))*(FrmBB1[Row]=$E205)*(FrmBB1[Column]=UPPER(_xlfn.LET(_xlpm.x,_xlfn.TEXTBEFORE(AM$114," ("),IFERROR(_xlpm.x,AM$114)))&amp;" "&amp;AM$115),0)))</f>
        <v>0</v>
      </c>
      <c r="AN205" s="157" cm="1">
        <f t="array" aca="1" ref="AN205" ca="1">IF(OR($E205="X",$E205="",$E205=0,$B205="X",$B205="",$B205=0),0,SUM(_xlfn._xlws.FILTER(FrmBB1[Cur],(FrmBB1[PrjId]=TEXT($B205,"@"))*(FrmBB1[Row]=$E205)*(FrmBB1[Column]=UPPER(_xlfn.LET(_xlpm.x,_xlfn.TEXTBEFORE(AM$114," ("),IFERROR(_xlpm.x,AM$114)))&amp;" "&amp;AN$115),0)))</f>
        <v>0</v>
      </c>
      <c r="AO205" s="158" cm="1">
        <f t="array" aca="1" ref="AO205" ca="1">IF(OR($E205="X",$E205="",$E205=0,$B205="X",$B205="",$B205=0),0,SUM(_xlfn._xlws.FILTER(FrmBB1[Cur],(FrmBB1[PrjId]=TEXT($B205,"@"))*(FrmBB1[Row]=$E205)*(FrmBB1[Column]=UPPER(_xlfn.LET(_xlpm.x,_xlfn.TEXTBEFORE(AO$114," ("),IFERROR(_xlpm.x,AO$114)))&amp;" "&amp;AO$115),0)))</f>
        <v>0</v>
      </c>
      <c r="AP205" s="157" cm="1">
        <f t="array" aca="1" ref="AP205" ca="1">IF(OR($E205="X",$E205="",$E205=0,$B205="X",$B205="",$B205=0),0,SUM(_xlfn._xlws.FILTER(FrmBB1[Cur],(FrmBB1[PrjId]=TEXT($B205,"@"))*(FrmBB1[Row]=$E205)*(FrmBB1[Column]=UPPER(_xlfn.LET(_xlpm.x,_xlfn.TEXTBEFORE(AO$114," ("),IFERROR(_xlpm.x,AO$114)))&amp;" "&amp;AP$115),0)))</f>
        <v>0</v>
      </c>
      <c r="AQ205" s="157" cm="1">
        <f t="array" aca="1" ref="AQ205" ca="1">SUM(IF(INDIRECT($AS$115)=AQ$115,INDIRECT($AS205)))</f>
        <v>0</v>
      </c>
      <c r="AR205" s="157" cm="1">
        <f t="array" aca="1" ref="AR205" ca="1">SUM(IF(INDIRECT($AS$115)=AR$115,INDIRECT($AS205)))</f>
        <v>0</v>
      </c>
      <c r="AS205" s="286" t="str">
        <f t="shared" ca="1" si="16"/>
        <v>G205:AP205</v>
      </c>
      <c r="AT205" s="403">
        <f t="shared" ca="1" si="17"/>
        <v>0</v>
      </c>
      <c r="AV205" s="142" cm="1">
        <f t="array" aca="1" ref="AV205" ca="1">IF(AND(_xlfn.LET(_xlpm.x,SUM(ROW()),OR(AND(MATCH("SOT",$A:$A,0)&lt;_xlpm.x,MATCH("EOT",$A:$A,0)&gt;_xlpm.x),AND(MATCH("SOS",$A:$A,0)&lt;_xlpm.x,MATCH("EOS",$A:$A,0)&gt;_xlpm.x),AND(MATCH("SOR",$A:$A,0)&lt;_xlpm.x,MATCH("EOR",$A:$A,0)&gt;_xlpm.x))),INDIRECT("rc"&amp;MATCH("SCD",$1:$1,0),FALSE)="PPTO"),1,0)</f>
        <v>0</v>
      </c>
      <c r="AW205" s="142" cm="1">
        <f t="array" aca="1" ref="AW20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206" spans="2:49" outlineLevel="1">
      <c r="B206" s="156" t="str" cm="1">
        <f t="array" aca="1" ref="B206" ca="1">_xlfn.LET(_xlpm.x,SUM(ROW()-MATCH("SOR",$A:$A,0)),_xlpm.y,IFERROR(_xlfn.TAKE(INDEX(_xlfn._xlws.FILTER(TbAssign[],ISNUMBER(FIND(TbAssign[Project],$C$4)),"X"),1+QUOTIENT(_xlpm.x,3),0),1,4),0),IF(MOD(_xlpm.x-1,3)=0,IF(_xlpm.y=0,"X",_xlpm.y),INDIRECT("r[-1]c#",FALSE)))</f>
        <v>X</v>
      </c>
      <c r="C206" s="156"/>
      <c r="E206" s="352"/>
      <c r="F206" s="148" t="s">
        <v>397</v>
      </c>
      <c r="G206" s="157" cm="1">
        <f t="array" aca="1" ref="G206" ca="1">IF(OR($E206="X",$E206="",$E206=0,$B206="X",$B206="",$B206=0),0,SUM(_xlfn._xlws.FILTER(IF($E$4="Ppto",PptoSty[CurPpto],PptoSty[CurInt]),(IF($E$4="Ppto",PptoSty[POvsCT]=G$113,TRUE))*(PptoSty[Project]=TEXT($B206,"@"))*(PptoSty[PptoVsRow]=$E206)*(PptoSty[PptoVsColumn]=UPPER(G$114)),0)))</f>
        <v>0</v>
      </c>
      <c r="H206" s="157" cm="1">
        <f t="array" aca="1" ref="H206" ca="1">IF(OR($E206="X",$E206="",$E206=0,$B206="X",$B206="",$B206=0),0,SUM(_xlfn._xlws.FILTER(IF($E$4="Ppto",PptoSty[CurPpto],PptoSty[CurExt]),(IF($E$4="Ppto",PptoSty[POvsCT]=H$113,TRUE))*(PptoSty[Project]=TEXT($B206,"@"))*(PptoSty[PptoVsRow]=$E206)*(PptoSty[PptoVsColumn]=UPPER(G$114)),0)))</f>
        <v>0</v>
      </c>
      <c r="I206" s="157" cm="1">
        <f t="array" aca="1" ref="I206" ca="1">IF(OR($E206="X",$E206="",$E206=0,$B206="X",$B206="",$B206=0),0,SUM(_xlfn._xlws.FILTER(IF($E$4="Ppto",PptoSty[CurPpto],PptoSty[CurInt]),(IF($E$4="Ppto",PptoSty[POvsCT]=I$113,TRUE))*(PptoSty[Project]=TEXT($B206,"@"))*(PptoSty[PptoVsRow]=$E206)*(PptoSty[PptoVsColumn]=UPPER(I$114)),0)))</f>
        <v>0</v>
      </c>
      <c r="J206" s="157" cm="1">
        <f t="array" aca="1" ref="J206" ca="1">IF(OR($E206="X",$E206="",$E206=0,$B206="X",$B206="",$B206=0),0,SUM(_xlfn._xlws.FILTER(IF($E$4="Ppto",PptoSty[CurPpto],PptoSty[CurExt]),(IF($E$4="Ppto",PptoSty[POvsCT]=J$113,TRUE))*(PptoSty[Project]=TEXT($B206,"@"))*(PptoSty[PptoVsRow]=$E206)*(PptoSty[PptoVsColumn]=UPPER(I$114)),0)))</f>
        <v>0</v>
      </c>
      <c r="K206" s="157" cm="1">
        <f t="array" aca="1" ref="K206" ca="1">IF(OR($E206="X",$E206="",$E206=0,$B206="X",$B206="",$B206=0),0,SUM(_xlfn._xlws.FILTER(IF($E$4="Ppto",PptoSty[CurPpto],PptoSty[CurInt]),(IF($E$4="Ppto",PptoSty[POvsCT]=K$113,TRUE))*(PptoSty[Project]=TEXT($B206,"@"))*(PptoSty[PptoVsRow]=$E206)*(PptoSty[PptoVsColumn]=UPPER(K$114)),0)))</f>
        <v>0</v>
      </c>
      <c r="L206" s="157" cm="1">
        <f t="array" aca="1" ref="L206" ca="1">IF(OR($E206="X",$E206="",$E206=0,$B206="X",$B206="",$B206=0),0,SUM(_xlfn._xlws.FILTER(IF($E$4="Ppto",PptoSty[CurPpto],PptoSty[CurExt]),(IF($E$4="Ppto",PptoSty[POvsCT]=L$113,TRUE))*(PptoSty[Project]=TEXT($B206,"@"))*(PptoSty[PptoVsRow]=$E206)*(PptoSty[PptoVsColumn]=UPPER(K$114)),0)))</f>
        <v>0</v>
      </c>
      <c r="M206" s="157" cm="1">
        <f t="array" aca="1" ref="M206" ca="1">IF(OR($E206="X",$E206="",$E206=0,$B206="X",$B206="",$B206=0),0,SUM(_xlfn._xlws.FILTER(IF($E$4="Ppto",PptoSty[CurPpto],PptoSty[CurInt]),(IF($E$4="Ppto",PptoSty[POvsCT]=M$113,TRUE))*(PptoSty[Project]=TEXT($B206,"@"))*(PptoSty[PptoVsRow]=$E206)*(PptoSty[PptoVsColumn]=UPPER(M$114)),0)))</f>
        <v>0</v>
      </c>
      <c r="N206" s="157" cm="1">
        <f t="array" aca="1" ref="N206" ca="1">IF(OR($E206="X",$E206="",$E206=0,$B206="X",$B206="",$B206=0),0,SUM(_xlfn._xlws.FILTER(IF($E$4="Ppto",PptoSty[CurPpto],PptoSty[CurExt]),(IF($E$4="Ppto",PptoSty[POvsCT]=N$113,TRUE))*(PptoSty[Project]=TEXT($B206,"@"))*(PptoSty[PptoVsRow]=$E206)*(PptoSty[PptoVsColumn]=UPPER(M$114)),0)))</f>
        <v>0</v>
      </c>
      <c r="O206" s="157" cm="1">
        <f t="array" aca="1" ref="O206" ca="1">IF(OR($E206="X",$E206="",$E206=0,$B206="X",$B206="",$B206=0),0,SUM(_xlfn._xlws.FILTER(IF($E$4="Ppto",PptoSty[CurPpto],PptoSty[CurInt]),(IF($E$4="Ppto",PptoSty[POvsCT]=O$113,TRUE))*(PptoSty[Project]=TEXT($B206,"@"))*(PptoSty[PptoVsRow]=$E206)*(PptoSty[PptoVsColumn]=UPPER(O$114)),0)))</f>
        <v>0</v>
      </c>
      <c r="P206" s="157" cm="1">
        <f t="array" aca="1" ref="P206" ca="1">IF(OR($E206="X",$E206="",$E206=0,$B206="X",$B206="",$B206=0),0,SUM(_xlfn._xlws.FILTER(IF($E$4="Ppto",PptoSty[CurPpto],PptoSty[CurExt]),(IF($E$4="Ppto",PptoSty[POvsCT]=P$113,TRUE))*(PptoSty[Project]=TEXT($B206,"@"))*(PptoSty[PptoVsRow]=$E206)*(PptoSty[PptoVsColumn]=UPPER(O$114)),0)))</f>
        <v>0</v>
      </c>
      <c r="Q206" s="157" cm="1">
        <f t="array" aca="1" ref="Q206" ca="1">IF(OR($E206="X",$E206="",$E206=0,$B206="X",$B206="",$B206=0),0,SUM(_xlfn._xlws.FILTER(IF($E$4="Ppto",PptoSty[CurPpto],PptoSty[CurInt]),(IF($E$4="Ppto",PptoSty[POvsCT]=Q$113,TRUE))*(PptoSty[Project]=TEXT($B206,"@"))*(PptoSty[PptoVsRow]=$E206)*(PptoSty[PptoVsColumn]=UPPER(Q$114)),0)))</f>
        <v>0</v>
      </c>
      <c r="R206" s="157" cm="1">
        <f t="array" aca="1" ref="R206" ca="1">IF(OR($E206="X",$E206="",$E206=0,$B206="X",$B206="",$B206=0),0,SUM(_xlfn._xlws.FILTER(IF($E$4="Ppto",PptoSty[CurPpto],PptoSty[CurExt]),(IF($E$4="Ppto",PptoSty[POvsCT]=R$113,TRUE))*(PptoSty[Project]=TEXT($B206,"@"))*(PptoSty[PptoVsRow]=$E206)*(PptoSty[PptoVsColumn]=UPPER(Q$114)),0)))</f>
        <v>0</v>
      </c>
      <c r="S206" s="157" cm="1">
        <f t="array" aca="1" ref="S206" ca="1">IF(OR($E206="X",$E206="",$E206=0,$B206="X",$B206="",$B206=0),0,SUM(_xlfn._xlws.FILTER(IF($E$4="Ppto",PptoSty[CurPpto],PptoSty[CurInt]),(IF($E$4="Ppto",PptoSty[POvsCT]=S$113,TRUE))*(PptoSty[Project]=TEXT($B206,"@"))*(PptoSty[PptoVsRow]=$E206)*(PptoSty[PptoVsColumn]=UPPER(S$114)),0)))</f>
        <v>0</v>
      </c>
      <c r="T206" s="157" cm="1">
        <f t="array" aca="1" ref="T206" ca="1">IF(OR($E206="X",$E206="",$E206=0,$B206="X",$B206="",$B206=0),0,SUM(_xlfn._xlws.FILTER(IF($E$4="Ppto",PptoSty[CurPpto],PptoSty[CurExt]),(IF($E$4="Ppto",PptoSty[POvsCT]=T$113,TRUE))*(PptoSty[Project]=TEXT($B206,"@"))*(PptoSty[PptoVsRow]=$E206)*(PptoSty[PptoVsColumn]=UPPER(S$114)),0)))</f>
        <v>0</v>
      </c>
      <c r="U206" s="157" cm="1">
        <f t="array" aca="1" ref="U206" ca="1">IF(OR($E206="X",$E206="",$E206=0,$B206="X",$B206="",$B206=0),0,SUM(_xlfn._xlws.FILTER(IF($E$4="Ppto",PptoSty[CurPpto],PptoSty[CurInt]),(IF($E$4="Ppto",PptoSty[POvsCT]=U$113,TRUE))*(PptoSty[Project]=TEXT($B206,"@"))*(PptoSty[PptoVsRow]=$E206)*(PptoSty[PptoVsColumn]=UPPER(U$114)),0)))</f>
        <v>0</v>
      </c>
      <c r="V206" s="157" cm="1">
        <f t="array" aca="1" ref="V206" ca="1">IF(OR($E206="X",$E206="",$E206=0,$B206="X",$B206="",$B206=0),0,SUM(_xlfn._xlws.FILTER(IF($E$4="Ppto",PptoSty[CurPpto],PptoSty[CurExt]),(IF($E$4="Ppto",PptoSty[POvsCT]=V$113,TRUE))*(PptoSty[Project]=TEXT($B206,"@"))*(PptoSty[PptoVsRow]=$E206)*(PptoSty[PptoVsColumn]=UPPER(U$114)),0)))</f>
        <v>0</v>
      </c>
      <c r="W206" s="157" cm="1">
        <f t="array" aca="1" ref="W206" ca="1">IF(OR($E206="X",$E206="",$E206=0,$B206="X",$B206="",$B206=0),0,SUM(_xlfn._xlws.FILTER(IF($E$4="Ppto",PptoSty[CurPpto],PptoSty[CurInt]),(IF($E$4="Ppto",PptoSty[POvsCT]=W$113,TRUE))*(PptoSty[Project]=TEXT($B206,"@"))*(PptoSty[PptoVsRow]=$E206)*(PptoSty[PptoVsColumn]=UPPER(W$114)),0)))</f>
        <v>0</v>
      </c>
      <c r="X206" s="157" cm="1">
        <f t="array" aca="1" ref="X206" ca="1">IF(OR($E206="X",$E206="",$E206=0,$B206="X",$B206="",$B206=0),0,SUM(_xlfn._xlws.FILTER(IF($E$4="Ppto",PptoSty[CurPpto],PptoSty[CurExt]),(IF($E$4="Ppto",PptoSty[POvsCT]=X$113,TRUE))*(PptoSty[Project]=TEXT($B206,"@"))*(PptoSty[PptoVsRow]=$E206)*(PptoSty[PptoVsColumn]=UPPER(W$114)),0)))</f>
        <v>0</v>
      </c>
      <c r="Y206" s="157" cm="1">
        <f t="array" aca="1" ref="Y206" ca="1">IF(OR($E206="X",$E206="",$E206=0,$B206="X",$B206="",$B206=0),0,SUM(_xlfn._xlws.FILTER(IF($E$4="Ppto",PptoSty[CurPpto],PptoSty[CurInt]),(IF($E$4="Ppto",PptoSty[POvsCT]=Y$113,TRUE))*(PptoSty[Project]=TEXT($B206,"@"))*(PptoSty[PptoVsRow]=$E206)*(PptoSty[PptoVsColumn]=UPPER(Y$114)),0)))</f>
        <v>0</v>
      </c>
      <c r="Z206" s="157" cm="1">
        <f t="array" aca="1" ref="Z206" ca="1">IF(OR($E206="X",$E206="",$E206=0,$B206="X",$B206="",$B206=0),0,SUM(_xlfn._xlws.FILTER(IF($E$4="Ppto",PptoSty[CurPpto],PptoSty[CurExt]),(IF($E$4="Ppto",PptoSty[POvsCT]=Z$113,TRUE))*(PptoSty[Project]=TEXT($B206,"@"))*(PptoSty[PptoVsRow]=$E206)*(PptoSty[PptoVsColumn]=UPPER(Y$114)),0)))</f>
        <v>0</v>
      </c>
      <c r="AA206" s="157" cm="1">
        <f t="array" aca="1" ref="AA206" ca="1">IF(OR($E206="X",$E206="",$E206=0,$B206="X",$B206="",$B206=0),0,SUM(_xlfn._xlws.FILTER(IF($E$4="Ppto",PptoSty[CurPpto],PptoSty[CurInt]),(IF($E$4="Ppto",PptoSty[POvsCT]=AA$113,TRUE))*(PptoSty[Project]=TEXT($B206,"@"))*(PptoSty[PptoVsRow]=$E206)*(PptoSty[PptoVsColumn]=UPPER(AA$114)),0)))</f>
        <v>0</v>
      </c>
      <c r="AB206" s="157" cm="1">
        <f t="array" aca="1" ref="AB206" ca="1">IF(OR($E206="X",$E206="",$E206=0,$B206="X",$B206="",$B206=0),0,SUM(_xlfn._xlws.FILTER(IF($E$4="Ppto",PptoSty[CurPpto],PptoSty[CurExt]),(IF($E$4="Ppto",PptoSty[POvsCT]=AB$113,TRUE))*(PptoSty[Project]=TEXT($B206,"@"))*(PptoSty[PptoVsRow]=$E206)*(PptoSty[PptoVsColumn]=UPPER(AA$114)),0)))</f>
        <v>0</v>
      </c>
      <c r="AC206" s="157" cm="1">
        <f t="array" aca="1" ref="AC206" ca="1">IF(OR($E206="X",$E206="",$E206=0,$B206="X",$B206="",$B206=0),0,SUM(_xlfn._xlws.FILTER(IF($E$4="Ppto",PptoSty[CurPpto],PptoSty[CurInt]),(IF($E$4="Ppto",PptoSty[POvsCT]=AC$113,TRUE))*(PptoSty[Project]=TEXT($B206,"@"))*(PptoSty[PptoVsRow]=$E206)*(PptoSty[PptoVsColumn]=UPPER(AC$114)),0)))</f>
        <v>0</v>
      </c>
      <c r="AD206" s="157" cm="1">
        <f t="array" aca="1" ref="AD206" ca="1">IF(OR($E206="X",$E206="",$E206=0,$B206="X",$B206="",$B206=0),0,SUM(_xlfn._xlws.FILTER(IF($E$4="Ppto",PptoSty[CurPpto],PptoSty[CurExt]),(IF($E$4="Ppto",PptoSty[POvsCT]=AD$113,TRUE))*(PptoSty[Project]=TEXT($B206,"@"))*(PptoSty[PptoVsRow]=$E206)*(PptoSty[PptoVsColumn]=UPPER(AC$114)),0)))</f>
        <v>0</v>
      </c>
      <c r="AE206" s="157" cm="1">
        <f t="array" aca="1" ref="AE206" ca="1">IF(OR($E206="X",$E206="",$E206=0,$B206="X",$B206="",$B206=0),0,SUM(_xlfn._xlws.FILTER(IF($E$4="Ppto",PptoSty[CurPpto],PptoSty[CurInt]),(IF($E$4="Ppto",PptoSty[POvsCT]=AE$113,TRUE))*(PptoSty[Project]=TEXT($B206,"@"))*(PptoSty[PptoVsRow]=$E206)*(PptoSty[PptoVsColumn]=UPPER(AE$114)),0)))</f>
        <v>0</v>
      </c>
      <c r="AF206" s="157" cm="1">
        <f t="array" aca="1" ref="AF206" ca="1">IF(OR($E206="X",$E206="",$E206=0,$B206="X",$B206="",$B206=0),0,SUM(_xlfn._xlws.FILTER(IF($E$4="Ppto",PptoSty[CurPpto],PptoSty[CurExt]),(IF($E$4="Ppto",PptoSty[POvsCT]=AF$113,TRUE))*(PptoSty[Project]=TEXT($B206,"@"))*(PptoSty[PptoVsRow]=$E206)*(PptoSty[PptoVsColumn]=UPPER(AE$114)),0)))</f>
        <v>0</v>
      </c>
      <c r="AG206" s="157" cm="1">
        <f t="array" aca="1" ref="AG206" ca="1">IF(OR($E206="X",$E206="",$E206=0,$B206="X",$B206="",$B206=0),0,SUM(_xlfn._xlws.FILTER(IF($E$4="Ppto",PptoSty[CurPpto],PptoSty[CurInt]),(IF($E$4="Ppto",PptoSty[POvsCT]=AG$113,TRUE))*(PptoSty[Project]=TEXT($B206,"@"))*(PptoSty[PptoVsRow]=$E206)*(PptoSty[PptoVsColumn]=UPPER(AG$114)),0)))</f>
        <v>0</v>
      </c>
      <c r="AH206" s="157" cm="1">
        <f t="array" aca="1" ref="AH206" ca="1">IF(OR($E206="X",$E206="",$E206=0,$B206="X",$B206="",$B206=0),0,SUM(_xlfn._xlws.FILTER(IF($E$4="Ppto",PptoSty[CurPpto],PptoSty[CurExt]),(IF($E$4="Ppto",PptoSty[POvsCT]=AH$113,TRUE))*(PptoSty[Project]=TEXT($B206,"@"))*(PptoSty[PptoVsRow]=$E206)*(PptoSty[PptoVsColumn]=UPPER(AG$114)),0)))</f>
        <v>0</v>
      </c>
      <c r="AI206" s="157" cm="1">
        <f t="array" aca="1" ref="AI206" ca="1">IF(OR($E206="X",$E206="",$E206=0,$B206="X",$B206="",$B206=0),0,SUM(_xlfn._xlws.FILTER(IF($E$4="Ppto",PptoSty[CurPpto],PptoSty[CurInt]),(IF($E$4="Ppto",PptoSty[POvsCT]=AI$113,TRUE))*(PptoSty[Project]=TEXT($B206,"@"))*(PptoSty[PptoVsRow]=$E206)*(PptoSty[PptoVsColumn]=UPPER(AI$114)),0)))</f>
        <v>0</v>
      </c>
      <c r="AJ206" s="157" cm="1">
        <f t="array" aca="1" ref="AJ206" ca="1">IF(OR($E206="X",$E206="",$E206=0,$B206="X",$B206="",$B206=0),0,SUM(_xlfn._xlws.FILTER(IF($E$4="Ppto",PptoSty[CurPpto],PptoSty[CurExt]),(IF($E$4="Ppto",PptoSty[POvsCT]=AJ$113,TRUE))*(PptoSty[Project]=TEXT($B206,"@"))*(PptoSty[PptoVsRow]=$E206)*(PptoSty[PptoVsColumn]=UPPER(AI$114)),0)))</f>
        <v>0</v>
      </c>
      <c r="AK206" s="157" cm="1">
        <f t="array" aca="1" ref="AK206" ca="1">IF(OR($E206="X",$E206="",$E206=0,$B206="X",$B206="",$B206=0),0,SUM(_xlfn._xlws.FILTER(IF($E$4="Ppto",PptoSty[CurPpto],PptoSty[CurInt]),(IF($E$4="Ppto",PptoSty[POvsCT]=AK$113,TRUE))*(PptoSty[Project]=TEXT($B206,"@"))*(PptoSty[PptoVsRow]=$E206)*(PptoSty[PptoVsColumn]=UPPER(AK$114)),0)))</f>
        <v>0</v>
      </c>
      <c r="AL206" s="157" cm="1">
        <f t="array" aca="1" ref="AL206" ca="1">IF(OR($E206="X",$E206="",$E206=0,$B206="X",$B206="",$B206=0),0,SUM(_xlfn._xlws.FILTER(IF($E$4="Ppto",PptoSty[CurPpto],PptoSty[CurExt]),(IF($E$4="Ppto",PptoSty[POvsCT]=AL$113,TRUE))*(PptoSty[Project]=TEXT($B206,"@"))*(PptoSty[PptoVsRow]=$E206)*(PptoSty[PptoVsColumn]=UPPER(AK$114)),0)))</f>
        <v>0</v>
      </c>
      <c r="AM206" s="157" cm="1">
        <f t="array" aca="1" ref="AM206" ca="1">IF(OR($E206="X",$E206="",$E206=0,$B206="X",$B206="",$B206=0),0,SUM(_xlfn._xlws.FILTER(IF($E$4="Ppto",PptoSty[CurPpto],PptoSty[CurInt]),(IF($E$4="Ppto",PptoSty[POvsCT]=AM$113,TRUE))*(PptoSty[Project]=TEXT($B206,"@"))*(PptoSty[PptoVsRow]=$E206)*(PptoSty[PptoVsColumn]=UPPER(AM$114)),0)))</f>
        <v>0</v>
      </c>
      <c r="AN206" s="157" cm="1">
        <f t="array" aca="1" ref="AN206" ca="1">IF(OR($E206="X",$E206="",$E206=0,$B206="X",$B206="",$B206=0),0,SUM(_xlfn._xlws.FILTER(IF($E$4="Ppto",PptoSty[CurPpto],PptoSty[CurExt]),(IF($E$4="Ppto",PptoSty[POvsCT]=AN$113,TRUE))*(PptoSty[Project]=TEXT($B206,"@"))*(PptoSty[PptoVsRow]=$E206)*(PptoSty[PptoVsColumn]=UPPER(AM$114)),0)))</f>
        <v>0</v>
      </c>
      <c r="AO206" s="157" cm="1">
        <f t="array" aca="1" ref="AO206" ca="1">IF(OR($E206="X",$E206="",$E206=0,$B206="X",$B206="",$B206=0),0,SUM(_xlfn._xlws.FILTER(IF($E$4="Ppto",PptoSty[CurPpto],PptoSty[CurInt]),(IF($E$4="Ppto",PptoSty[POvsCT]=AO$113,TRUE))*(PptoSty[Project]=TEXT($B206,"@"))*(PptoSty[PptoVsRow]=$E206)*(PptoSty[PptoVsColumn]=UPPER(AO$114)),0)))</f>
        <v>0</v>
      </c>
      <c r="AP206" s="157" cm="1">
        <f t="array" aca="1" ref="AP206" ca="1">IF(OR($E206="X",$E206="",$E206=0,$B206="X",$B206="",$B206=0),0,SUM(_xlfn._xlws.FILTER(IF($E$4="Ppto",PptoSty[CurPpto],PptoSty[CurExt]),(IF($E$4="Ppto",PptoSty[POvsCT]=AP$113,TRUE))*(PptoSty[Project]=TEXT($B206,"@"))*(PptoSty[PptoVsRow]=$E206)*(PptoSty[PptoVsColumn]=UPPER(AO$114)),0)))</f>
        <v>0</v>
      </c>
      <c r="AQ206" s="157" cm="1">
        <f t="array" aca="1" ref="AQ206" ca="1">SUM(IF(INDIRECT($AS$115)=AQ$115,INDIRECT($AS206)))</f>
        <v>0</v>
      </c>
      <c r="AR206" s="157" cm="1">
        <f t="array" aca="1" ref="AR206" ca="1">SUM(IF(INDIRECT($AS$115)=AR$115,INDIRECT($AS206)))</f>
        <v>0</v>
      </c>
      <c r="AS206" s="286" t="str">
        <f t="shared" ca="1" si="16"/>
        <v>G206:AP206</v>
      </c>
      <c r="AT206" s="403">
        <f t="shared" ca="1" si="17"/>
        <v>0</v>
      </c>
      <c r="AV206" s="142" cm="1">
        <f t="array" aca="1" ref="AV206" ca="1">IF(AND(_xlfn.LET(_xlpm.x,SUM(ROW()),OR(AND(MATCH("SOT",$A:$A,0)&lt;_xlpm.x,MATCH("EOT",$A:$A,0)&gt;_xlpm.x),AND(MATCH("SOS",$A:$A,0)&lt;_xlpm.x,MATCH("EOS",$A:$A,0)&gt;_xlpm.x),AND(MATCH("SOR",$A:$A,0)&lt;_xlpm.x,MATCH("EOR",$A:$A,0)&gt;_xlpm.x))),INDIRECT("rc"&amp;MATCH("SCD",$1:$1,0),FALSE)="PPTO"),1,0)</f>
        <v>1</v>
      </c>
      <c r="AW206" s="142" cm="1">
        <f t="array" aca="1" ref="AW20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207" spans="2:49" outlineLevel="1">
      <c r="B207" s="156" t="str" cm="1">
        <f t="array" aca="1" ref="B207" ca="1">_xlfn.LET(_xlpm.x,SUM(ROW()-MATCH("SOR",$A:$A,0)),_xlpm.y,IFERROR(_xlfn.TAKE(INDEX(_xlfn._xlws.FILTER(TbAssign[],ISNUMBER(FIND(TbAssign[Project],$C$4)),"X"),1+QUOTIENT(_xlpm.x,3),0),1,4),0),IF(MOD(_xlpm.x-1,3)=0,IF(_xlpm.y=0,"X",_xlpm.y),INDIRECT("r[-1]c#",FALSE)))</f>
        <v>X</v>
      </c>
      <c r="C207" s="156"/>
      <c r="E207" s="352"/>
      <c r="F207" s="148" t="s">
        <v>1382</v>
      </c>
      <c r="G207" s="157" cm="1">
        <f t="array" aca="1" ref="G207" ca="1">IF(OR($E207="X",$E207="",$E207=0,$B207="X",$B207="",$B207=0),0,SUM(_xlfn._xlws.FILTER(PrvSty[DsvValue:SERRA],(PrvSty[Project]=TEXT($B207,"@"))*(PrvSty[Row]=$E207)*(PrvSty[Column]=UPPER(G$114)),0)))</f>
        <v>0</v>
      </c>
      <c r="H207" s="157" cm="1">
        <f t="array" aca="1" ref="H207" ca="1">IF(OR($E207="X",$E207="",$E207=0,$B207="X",$B207="",$B207=0),0,SUM(_xlfn._xlws.FILTER(PrvSty[DsvValue:EXT.],(PrvSty[Project]=TEXT($B207,"@"))*(PrvSty[Row]=$E207)*(PrvSty[Column]=UPPER(G$114)),0)))</f>
        <v>0</v>
      </c>
      <c r="I207" s="157" cm="1">
        <f t="array" aca="1" ref="I207" ca="1">IF(OR($E207="X",$E207="",$E207=0,$B207="X",$B207="",$B207=0),0,SUM(_xlfn._xlws.FILTER(PrvSty[DsvValue:SERRA],(PrvSty[Project]=TEXT($B207,"@"))*(PrvSty[Row]=$E207)*(PrvSty[Column]=UPPER(I$114)),0)))</f>
        <v>0</v>
      </c>
      <c r="J207" s="157" cm="1">
        <f t="array" aca="1" ref="J207" ca="1">IF(OR($E207="X",$E207="",$E207=0,$B207="X",$B207="",$B207=0),0,SUM(_xlfn._xlws.FILTER(PrvSty[DsvValue:EXT.],(PrvSty[Project]=TEXT($B207,"@"))*(PrvSty[Row]=$E207)*(PrvSty[Column]=UPPER(I$114)),0)))</f>
        <v>0</v>
      </c>
      <c r="K207" s="157" cm="1">
        <f t="array" aca="1" ref="K207" ca="1">IF(OR($E207="X",$E207="",$E207=0,$B207="X",$B207="",$B207=0),0,SUM(_xlfn._xlws.FILTER(PrvSty[DsvValue:SERRA],(PrvSty[Project]=TEXT($B207,"@"))*(PrvSty[Row]=$E207)*(PrvSty[Column]=UPPER(K$114)),0)))</f>
        <v>0</v>
      </c>
      <c r="L207" s="157" cm="1">
        <f t="array" aca="1" ref="L207" ca="1">IF(OR($E207="X",$E207="",$E207=0,$B207="X",$B207="",$B207=0),0,SUM(_xlfn._xlws.FILTER(PrvSty[DsvValue:EXT.],(PrvSty[Project]=TEXT($B207,"@"))*(PrvSty[Row]=$E207)*(PrvSty[Column]=UPPER(K$114)),0)))</f>
        <v>0</v>
      </c>
      <c r="M207" s="157" cm="1">
        <f t="array" aca="1" ref="M207" ca="1">IF(OR($E207="X",$E207="",$E207=0,$B207="X",$B207="",$B207=0),0,SUM(_xlfn._xlws.FILTER(PrvSty[DsvValue:SERRA],(PrvSty[Project]=TEXT($B207,"@"))*(PrvSty[Row]=$E207)*(PrvSty[Column]=UPPER(M$114)),0)))</f>
        <v>0</v>
      </c>
      <c r="N207" s="157" cm="1">
        <f t="array" aca="1" ref="N207" ca="1">IF(OR($E207="X",$E207="",$E207=0,$B207="X",$B207="",$B207=0),0,SUM(_xlfn._xlws.FILTER(PrvSty[DsvValue:EXT.],(PrvSty[Project]=TEXT($B207,"@"))*(PrvSty[Row]=$E207)*(PrvSty[Column]=UPPER(M$114)),0)))</f>
        <v>0</v>
      </c>
      <c r="O207" s="157" cm="1">
        <f t="array" aca="1" ref="O207" ca="1">IF(OR($E207="X",$E207="",$E207=0,$B207="X",$B207="",$B207=0),0,SUM(_xlfn._xlws.FILTER(PrvSty[DsvValue:SERRA],(PrvSty[Project]=TEXT($B207,"@"))*(PrvSty[Row]=$E207)*(PrvSty[Column]=UPPER(O$114)),0)))</f>
        <v>0</v>
      </c>
      <c r="P207" s="157" cm="1">
        <f t="array" aca="1" ref="P207" ca="1">IF(OR($E207="X",$E207="",$E207=0,$B207="X",$B207="",$B207=0),0,SUM(_xlfn._xlws.FILTER(PrvSty[DsvValue:EXT.],(PrvSty[Project]=TEXT($B207,"@"))*(PrvSty[Row]=$E207)*(PrvSty[Column]=UPPER(O$114)),0)))</f>
        <v>0</v>
      </c>
      <c r="Q207" s="157" cm="1">
        <f t="array" aca="1" ref="Q207" ca="1">IF(OR($E207="X",$E207="",$E207=0,$B207="X",$B207="",$B207=0),0,SUM(_xlfn._xlws.FILTER(PrvSty[DsvValue:SERRA],(PrvSty[Project]=TEXT($B207,"@"))*(PrvSty[Row]=$E207)*(PrvSty[Column]=UPPER(Q$114)),0)))</f>
        <v>0</v>
      </c>
      <c r="R207" s="157" cm="1">
        <f t="array" aca="1" ref="R207" ca="1">IF(OR($E207="X",$E207="",$E207=0,$B207="X",$B207="",$B207=0),0,SUM(_xlfn._xlws.FILTER(PrvSty[DsvValue:EXT.],(PrvSty[Project]=TEXT($B207,"@"))*(PrvSty[Row]=$E207)*(PrvSty[Column]=UPPER(Q$114)),0)))</f>
        <v>0</v>
      </c>
      <c r="S207" s="157" cm="1">
        <f t="array" aca="1" ref="S207" ca="1">IF(OR($E207="X",$E207="",$E207=0,$B207="X",$B207="",$B207=0),0,SUM(_xlfn._xlws.FILTER(PrvSty[DsvValue:SERRA],(PrvSty[Project]=TEXT($B207,"@"))*(PrvSty[Row]=$E207)*(PrvSty[Column]=UPPER(S$114)),0)))</f>
        <v>0</v>
      </c>
      <c r="T207" s="157" cm="1">
        <f t="array" aca="1" ref="T207" ca="1">IF(OR($E207="X",$E207="",$E207=0,$B207="X",$B207="",$B207=0),0,SUM(_xlfn._xlws.FILTER(PrvSty[DsvValue:EXT.],(PrvSty[Project]=TEXT($B207,"@"))*(PrvSty[Row]=$E207)*(PrvSty[Column]=UPPER(S$114)),0)))</f>
        <v>0</v>
      </c>
      <c r="U207" s="157" cm="1">
        <f t="array" aca="1" ref="U207" ca="1">IF(OR($E207="X",$E207="",$E207=0,$B207="X",$B207="",$B207=0),0,SUM(_xlfn._xlws.FILTER(PrvSty[DsvValue:SERRA],(PrvSty[Project]=TEXT($B207,"@"))*(PrvSty[Row]=$E207)*(PrvSty[Column]=UPPER(U$114)),0)))</f>
        <v>0</v>
      </c>
      <c r="V207" s="157" cm="1">
        <f t="array" aca="1" ref="V207" ca="1">IF(OR($E207="X",$E207="",$E207=0,$B207="X",$B207="",$B207=0),0,SUM(_xlfn._xlws.FILTER(PrvSty[DsvValue:EXT.],(PrvSty[Project]=TEXT($B207,"@"))*(PrvSty[Row]=$E207)*(PrvSty[Column]=UPPER(U$114)),0)))</f>
        <v>0</v>
      </c>
      <c r="W207" s="157" cm="1">
        <f t="array" aca="1" ref="W207" ca="1">IF(OR($E207="X",$E207="",$E207=0,$B207="X",$B207="",$B207=0),0,SUM(_xlfn._xlws.FILTER(PrvSty[DsvValue:SERRA],(PrvSty[Project]=TEXT($B207,"@"))*(PrvSty[Row]=$E207)*(PrvSty[Column]=UPPER(W$114)),0)))</f>
        <v>0</v>
      </c>
      <c r="X207" s="157" cm="1">
        <f t="array" aca="1" ref="X207" ca="1">IF(OR($E207="X",$E207="",$E207=0,$B207="X",$B207="",$B207=0),0,SUM(_xlfn._xlws.FILTER(PrvSty[DsvValue:EXT.],(PrvSty[Project]=TEXT($B207,"@"))*(PrvSty[Row]=$E207)*(PrvSty[Column]=UPPER(W$114)),0)))</f>
        <v>0</v>
      </c>
      <c r="Y207" s="157" cm="1">
        <f t="array" aca="1" ref="Y207" ca="1">IF(OR($E207="X",$E207="",$E207=0,$B207="X",$B207="",$B207=0),0,SUM(_xlfn._xlws.FILTER(PrvSty[DsvValue:SERRA],(PrvSty[Project]=TEXT($B207,"@"))*(PrvSty[Row]=$E207)*(PrvSty[Column]=UPPER(Y$114)),0)))</f>
        <v>0</v>
      </c>
      <c r="Z207" s="157" cm="1">
        <f t="array" aca="1" ref="Z207" ca="1">IF(OR($E207="X",$E207="",$E207=0,$B207="X",$B207="",$B207=0),0,SUM(_xlfn._xlws.FILTER(PrvSty[DsvValue:EXT.],(PrvSty[Project]=TEXT($B207,"@"))*(PrvSty[Row]=$E207)*(PrvSty[Column]=UPPER(Y$114)),0)))</f>
        <v>0</v>
      </c>
      <c r="AA207" s="157" cm="1">
        <f t="array" aca="1" ref="AA207" ca="1">IF(OR($E207="X",$E207="",$E207=0,$B207="X",$B207="",$B207=0),0,SUM(_xlfn._xlws.FILTER(PrvSty[DsvValue:SERRA],(PrvSty[Project]=TEXT($B207,"@"))*(PrvSty[Row]=$E207)*(PrvSty[Column]=UPPER(AA$114)),0)))</f>
        <v>0</v>
      </c>
      <c r="AB207" s="157" cm="1">
        <f t="array" aca="1" ref="AB207" ca="1">IF(OR($E207="X",$E207="",$E207=0,$B207="X",$B207="",$B207=0),0,SUM(_xlfn._xlws.FILTER(PrvSty[DsvValue:EXT.],(PrvSty[Project]=TEXT($B207,"@"))*(PrvSty[Row]=$E207)*(PrvSty[Column]=UPPER(AA$114)),0)))</f>
        <v>0</v>
      </c>
      <c r="AC207" s="157" cm="1">
        <f t="array" aca="1" ref="AC207" ca="1">IF(OR($E207="X",$E207="",$E207=0,$B207="X",$B207="",$B207=0),0,SUM(_xlfn._xlws.FILTER(PrvSty[DsvValue:SERRA],(PrvSty[Project]=TEXT($B207,"@"))*(PrvSty[Row]=$E207)*(PrvSty[Column]=UPPER(AC$114)),0)))</f>
        <v>0</v>
      </c>
      <c r="AD207" s="157" cm="1">
        <f t="array" aca="1" ref="AD207" ca="1">IF(OR($E207="X",$E207="",$E207=0,$B207="X",$B207="",$B207=0),0,SUM(_xlfn._xlws.FILTER(PrvSty[DsvValue:EXT.],(PrvSty[Project]=TEXT($B207,"@"))*(PrvSty[Row]=$E207)*(PrvSty[Column]=UPPER(AC$114)),0)))</f>
        <v>0</v>
      </c>
      <c r="AE207" s="157" cm="1">
        <f t="array" aca="1" ref="AE207" ca="1">IF(OR($E207="X",$E207="",$E207=0,$B207="X",$B207="",$B207=0),0,SUM(_xlfn._xlws.FILTER(PrvSty[DsvValue:SERRA],(PrvSty[Project]=TEXT($B207,"@"))*(PrvSty[Row]=$E207)*(PrvSty[Column]=UPPER(AE$114)),0)))</f>
        <v>0</v>
      </c>
      <c r="AF207" s="157" cm="1">
        <f t="array" aca="1" ref="AF207" ca="1">IF(OR($E207="X",$E207="",$E207=0,$B207="X",$B207="",$B207=0),0,SUM(_xlfn._xlws.FILTER(PrvSty[DsvValue:EXT.],(PrvSty[Project]=TEXT($B207,"@"))*(PrvSty[Row]=$E207)*(PrvSty[Column]=UPPER(AE$114)),0)))</f>
        <v>0</v>
      </c>
      <c r="AG207" s="157" cm="1">
        <f t="array" aca="1" ref="AG207" ca="1">IF(OR($E207="X",$E207="",$E207=0,$B207="X",$B207="",$B207=0),0,SUM(_xlfn._xlws.FILTER(PrvSty[DsvValue:SERRA],(PrvSty[Project]=TEXT($B207,"@"))*(PrvSty[Row]=$E207)*(PrvSty[Column]=UPPER(AG$114)),0)))</f>
        <v>0</v>
      </c>
      <c r="AH207" s="157" cm="1">
        <f t="array" aca="1" ref="AH207" ca="1">IF(OR($E207="X",$E207="",$E207=0,$B207="X",$B207="",$B207=0),0,SUM(_xlfn._xlws.FILTER(PrvSty[DsvValue:EXT.],(PrvSty[Project]=TEXT($B207,"@"))*(PrvSty[Row]=$E207)*(PrvSty[Column]=UPPER(AG$114)),0)))</f>
        <v>0</v>
      </c>
      <c r="AI207" s="157" cm="1">
        <f t="array" aca="1" ref="AI207" ca="1">IF(OR($E207="X",$E207="",$E207=0,$B207="X",$B207="",$B207=0),0,SUM(_xlfn._xlws.FILTER(PrvSty[DsvValue:SERRA],(PrvSty[Project]=TEXT($B207,"@"))*(PrvSty[Row]=$E207)*(PrvSty[Column]=UPPER(AI$114)),0)))</f>
        <v>0</v>
      </c>
      <c r="AJ207" s="157" cm="1">
        <f t="array" aca="1" ref="AJ207" ca="1">IF(OR($E207="X",$E207="",$E207=0,$B207="X",$B207="",$B207=0),0,SUM(_xlfn._xlws.FILTER(PrvSty[DsvValue:EXT.],(PrvSty[Project]=TEXT($B207,"@"))*(PrvSty[Row]=$E207)*(PrvSty[Column]=UPPER(AI$114)),0)))</f>
        <v>0</v>
      </c>
      <c r="AK207" s="157" cm="1">
        <f t="array" aca="1" ref="AK207" ca="1">IF(OR($E207="X",$E207="",$E207=0,$B207="X",$B207="",$B207=0),0,SUM(_xlfn._xlws.FILTER(PrvSty[DsvValue:SERRA],(PrvSty[Project]=TEXT($B207,"@"))*(PrvSty[Row]=$E207)*(PrvSty[Column]=UPPER(AK$114)),0)))</f>
        <v>0</v>
      </c>
      <c r="AL207" s="157" cm="1">
        <f t="array" aca="1" ref="AL207" ca="1">IF(OR($E207="X",$E207="",$E207=0,$B207="X",$B207="",$B207=0),0,SUM(_xlfn._xlws.FILTER(PrvSty[DsvValue:EXT.],(PrvSty[Project]=TEXT($B207,"@"))*(PrvSty[Row]=$E207)*(PrvSty[Column]=UPPER(AK$114)),0)))</f>
        <v>0</v>
      </c>
      <c r="AM207" s="157" cm="1">
        <f t="array" aca="1" ref="AM207" ca="1">IF(OR($E207="X",$E207="",$E207=0,$B207="X",$B207="",$B207=0),0,SUM(_xlfn._xlws.FILTER(PrvSty[DsvValue:SERRA],(PrvSty[Project]=TEXT($B207,"@"))*(PrvSty[Row]=$E207)*(PrvSty[Column]=UPPER(AM$114)),0)))</f>
        <v>0</v>
      </c>
      <c r="AN207" s="157" cm="1">
        <f t="array" aca="1" ref="AN207" ca="1">IF(OR($E207="X",$E207="",$E207=0,$B207="X",$B207="",$B207=0),0,SUM(_xlfn._xlws.FILTER(PrvSty[DsvValue:EXT.],(PrvSty[Project]=TEXT($B207,"@"))*(PrvSty[Row]=$E207)*(PrvSty[Column]=UPPER(AM$114)),0)))</f>
        <v>0</v>
      </c>
      <c r="AO207" s="157" cm="1">
        <f t="array" aca="1" ref="AO207" ca="1">IF(OR($E207="X",$E207="",$E207=0,$B207="X",$B207="",$B207=0),0,SUM(_xlfn._xlws.FILTER(PrvSty[DsvValue:SERRA],(PrvSty[Project]=TEXT($B207,"@"))*(PrvSty[Row]=$E207)*(PrvSty[Column]=UPPER(AO$114)),0)))</f>
        <v>0</v>
      </c>
      <c r="AP207" s="157" cm="1">
        <f t="array" aca="1" ref="AP207" ca="1">IF(OR($E207="X",$E207="",$E207=0,$B207="X",$B207="",$B207=0),0,SUM(_xlfn._xlws.FILTER(PrvSty[DsvValue:EXT.],(PrvSty[Project]=TEXT($B207,"@"))*(PrvSty[Row]=$E207)*(PrvSty[Column]=UPPER(AO$114)),0)))</f>
        <v>0</v>
      </c>
      <c r="AQ207" s="157" cm="1">
        <f t="array" aca="1" ref="AQ207" ca="1">SUM(IF(INDIRECT($AS$115)=AQ$115,INDIRECT($AS207)))</f>
        <v>0</v>
      </c>
      <c r="AR207" s="157" cm="1">
        <f t="array" aca="1" ref="AR207" ca="1">SUM(IF(INDIRECT($AS$115)=AR$115,INDIRECT($AS207)))</f>
        <v>0</v>
      </c>
      <c r="AS207" s="286" t="str">
        <f t="shared" ca="1" si="16"/>
        <v>G207:AP207</v>
      </c>
      <c r="AT207" s="403">
        <f t="shared" ca="1" si="17"/>
        <v>0</v>
      </c>
      <c r="AV207" s="142" cm="1">
        <f t="array" aca="1" ref="AV207" ca="1">IF(AND(_xlfn.LET(_xlpm.x,SUM(ROW()),OR(AND(MATCH("SOT",$A:$A,0)&lt;_xlpm.x,MATCH("EOT",$A:$A,0)&gt;_xlpm.x),AND(MATCH("SOS",$A:$A,0)&lt;_xlpm.x,MATCH("EOS",$A:$A,0)&gt;_xlpm.x),AND(MATCH("SOR",$A:$A,0)&lt;_xlpm.x,MATCH("EOR",$A:$A,0)&gt;_xlpm.x))),INDIRECT("rc"&amp;MATCH("SCD",$1:$1,0),FALSE)="PPTO"),1,0)</f>
        <v>0</v>
      </c>
      <c r="AW207" s="142" cm="1">
        <f t="array" aca="1" ref="AW20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208" spans="2:49" outlineLevel="1">
      <c r="B208" s="156" t="str" cm="1">
        <f t="array" aca="1" ref="B208" ca="1">_xlfn.LET(_xlpm.x,SUM(ROW()-MATCH("SOR",$A:$A,0)),_xlpm.y,IFERROR(_xlfn.TAKE(INDEX(_xlfn._xlws.FILTER(TbAssign[],ISNUMBER(FIND(TbAssign[Project],$C$4)),"X"),1+QUOTIENT(_xlpm.x,3),0),1,4),0),IF(MOD(_xlpm.x-1,3)=0,IF(_xlpm.y=0,"X",_xlpm.y),INDIRECT("r[-1]c#",FALSE)))</f>
        <v>X</v>
      </c>
      <c r="C208" s="156"/>
      <c r="E208" s="352"/>
      <c r="F208" s="148" t="s">
        <v>1383</v>
      </c>
      <c r="G208" s="158" cm="1">
        <f t="array" aca="1" ref="G208" ca="1">IF(OR($E208="X",$E208="",$E208=0,$B208="X",$B208="",$B208=0),0,SUM(_xlfn._xlws.FILTER(FrmBB1[Cur],(FrmBB1[PrjId]=TEXT($B208,"@"))*(FrmBB1[Row]=$E208)*(FrmBB1[Column]=UPPER(_xlfn.LET(_xlpm.x,_xlfn.TEXTBEFORE(G$114," ("),IFERROR(_xlpm.x,G$114)))&amp;" "&amp;G$115),0)))</f>
        <v>0</v>
      </c>
      <c r="H208" s="157" cm="1">
        <f t="array" aca="1" ref="H208" ca="1">IF(OR($E208="X",$E208="",$E208=0,$B208="X",$B208="",$B208=0),0,SUM(_xlfn._xlws.FILTER(FrmBB1[Cur],(FrmBB1[PrjId]=TEXT($B208,"@"))*(FrmBB1[Row]=$E208)*(FrmBB1[Column]=UPPER(_xlfn.LET(_xlpm.x,_xlfn.TEXTBEFORE(G$114," ("),IFERROR(_xlpm.x,G$114)))&amp;" "&amp;H$115),0)))</f>
        <v>0</v>
      </c>
      <c r="I208" s="158" cm="1">
        <f t="array" aca="1" ref="I208" ca="1">IF(OR($E208="X",$E208="",$E208=0,$B208="X",$B208="",$B208=0),0,SUM(_xlfn._xlws.FILTER(FrmBB1[Cur],(FrmBB1[PrjId]=TEXT($B208,"@"))*(FrmBB1[Row]=$E208)*(FrmBB1[Column]=UPPER(_xlfn.LET(_xlpm.x,_xlfn.TEXTBEFORE(I$114," ("),IFERROR(_xlpm.x,I$114)))&amp;" "&amp;I$115),0)))</f>
        <v>0</v>
      </c>
      <c r="J208" s="157" cm="1">
        <f t="array" aca="1" ref="J208" ca="1">IF(OR($E208="X",$E208="",$E208=0,$B208="X",$B208="",$B208=0),0,SUM(_xlfn._xlws.FILTER(FrmBB1[Cur],(FrmBB1[PrjId]=TEXT($B208,"@"))*(FrmBB1[Row]=$E208)*(FrmBB1[Column]=UPPER(_xlfn.LET(_xlpm.x,_xlfn.TEXTBEFORE(I$114," ("),IFERROR(_xlpm.x,I$114)))&amp;" "&amp;J$115),0)))</f>
        <v>0</v>
      </c>
      <c r="K208" s="158" cm="1">
        <f t="array" aca="1" ref="K208" ca="1">IF(OR($E208="X",$E208="",$E208=0,$B208="X",$B208="",$B208=0),0,SUM(_xlfn._xlws.FILTER(FrmBB1[Cur],(FrmBB1[PrjId]=TEXT($B208,"@"))*(FrmBB1[Row]=$E208)*(FrmBB1[Column]=UPPER(_xlfn.LET(_xlpm.x,_xlfn.TEXTBEFORE(K$114," ("),IFERROR(_xlpm.x,K$114)))&amp;" "&amp;K$115),0)))</f>
        <v>0</v>
      </c>
      <c r="L208" s="157" cm="1">
        <f t="array" aca="1" ref="L208" ca="1">IF(OR($E208="X",$E208="",$E208=0,$B208="X",$B208="",$B208=0),0,SUM(_xlfn._xlws.FILTER(FrmBB1[Cur],(FrmBB1[PrjId]=TEXT($B208,"@"))*(FrmBB1[Row]=$E208)*(FrmBB1[Column]=UPPER(_xlfn.LET(_xlpm.x,_xlfn.TEXTBEFORE(K$114," ("),IFERROR(_xlpm.x,K$114)))&amp;" "&amp;L$115),0)))</f>
        <v>0</v>
      </c>
      <c r="M208" s="158" cm="1">
        <f t="array" aca="1" ref="M208" ca="1">IF(OR($E208="X",$E208="",$E208=0,$B208="X",$B208="",$B208=0),0,SUM(_xlfn._xlws.FILTER(FrmBB1[Cur],(FrmBB1[PrjId]=TEXT($B208,"@"))*(FrmBB1[Row]=$E208)*(FrmBB1[Column]=UPPER(_xlfn.LET(_xlpm.x,_xlfn.TEXTBEFORE(M$114," ("),IFERROR(_xlpm.x,M$114)))&amp;" "&amp;M$115),0)))</f>
        <v>0</v>
      </c>
      <c r="N208" s="157" cm="1">
        <f t="array" aca="1" ref="N208" ca="1">IF(OR($E208="X",$E208="",$E208=0,$B208="X",$B208="",$B208=0),0,SUM(_xlfn._xlws.FILTER(FrmBB1[Cur],(FrmBB1[PrjId]=TEXT($B208,"@"))*(FrmBB1[Row]=$E208)*(FrmBB1[Column]=UPPER(_xlfn.LET(_xlpm.x,_xlfn.TEXTBEFORE(M$114," ("),IFERROR(_xlpm.x,M$114)))&amp;" "&amp;N$115),0)))</f>
        <v>0</v>
      </c>
      <c r="O208" s="158" cm="1">
        <f t="array" aca="1" ref="O208" ca="1">IF(OR($E208="X",$E208="",$E208=0,$B208="X",$B208="",$B208=0),0,SUM(_xlfn._xlws.FILTER(FrmBB1[Cur],(FrmBB1[PrjId]=TEXT($B208,"@"))*(FrmBB1[Row]=$E208)*(FrmBB1[Column]=UPPER(_xlfn.LET(_xlpm.x,_xlfn.TEXTBEFORE(O$114," ("),IFERROR(_xlpm.x,O$114)))&amp;" "&amp;O$115),0)))</f>
        <v>0</v>
      </c>
      <c r="P208" s="157" cm="1">
        <f t="array" aca="1" ref="P208" ca="1">IF(OR($E208="X",$E208="",$E208=0,$B208="X",$B208="",$B208=0),0,SUM(_xlfn._xlws.FILTER(FrmBB1[Cur],(FrmBB1[PrjId]=TEXT($B208,"@"))*(FrmBB1[Row]=$E208)*(FrmBB1[Column]=UPPER(_xlfn.LET(_xlpm.x,_xlfn.TEXTBEFORE(O$114," ("),IFERROR(_xlpm.x,O$114)))&amp;" "&amp;P$115),0)))</f>
        <v>0</v>
      </c>
      <c r="Q208" s="158" cm="1">
        <f t="array" aca="1" ref="Q208" ca="1">IF(OR($E208="X",$E208="",$E208=0,$B208="X",$B208="",$B208=0),0,SUM(_xlfn._xlws.FILTER(FrmBB1[Cur],(FrmBB1[PrjId]=TEXT($B208,"@"))*(FrmBB1[Row]=$E208)*(FrmBB1[Column]=UPPER(_xlfn.LET(_xlpm.x,_xlfn.TEXTBEFORE(Q$114," ("),IFERROR(_xlpm.x,Q$114)))&amp;" "&amp;Q$115),0)))</f>
        <v>0</v>
      </c>
      <c r="R208" s="157" cm="1">
        <f t="array" aca="1" ref="R208" ca="1">IF(OR($E208="X",$E208="",$E208=0,$B208="X",$B208="",$B208=0),0,SUM(_xlfn._xlws.FILTER(FrmBB1[Cur],(FrmBB1[PrjId]=TEXT($B208,"@"))*(FrmBB1[Row]=$E208)*(FrmBB1[Column]=UPPER(_xlfn.LET(_xlpm.x,_xlfn.TEXTBEFORE(Q$114," ("),IFERROR(_xlpm.x,Q$114)))&amp;" "&amp;R$115),0)))</f>
        <v>0</v>
      </c>
      <c r="S208" s="158" cm="1">
        <f t="array" aca="1" ref="S208" ca="1">IF(OR($E208="X",$E208="",$E208=0,$B208="X",$B208="",$B208=0),0,SUM(_xlfn._xlws.FILTER(FrmBB1[Cur],(FrmBB1[PrjId]=TEXT($B208,"@"))*(FrmBB1[Row]=$E208)*(FrmBB1[Column]=UPPER(_xlfn.LET(_xlpm.x,_xlfn.TEXTBEFORE(S$114," ("),IFERROR(_xlpm.x,S$114)))&amp;" "&amp;S$115),0)))</f>
        <v>0</v>
      </c>
      <c r="T208" s="157" cm="1">
        <f t="array" aca="1" ref="T208" ca="1">IF(OR($E208="X",$E208="",$E208=0,$B208="X",$B208="",$B208=0),0,SUM(_xlfn._xlws.FILTER(FrmBB1[Cur],(FrmBB1[PrjId]=TEXT($B208,"@"))*(FrmBB1[Row]=$E208)*(FrmBB1[Column]=UPPER(_xlfn.LET(_xlpm.x,_xlfn.TEXTBEFORE(S$114," ("),IFERROR(_xlpm.x,S$114)))&amp;" "&amp;T$115),0)))</f>
        <v>0</v>
      </c>
      <c r="U208" s="158" cm="1">
        <f t="array" aca="1" ref="U208" ca="1">IF(OR($E208="X",$E208="",$E208=0,$B208="X",$B208="",$B208=0),0,SUM(_xlfn._xlws.FILTER(FrmBB1[Cur],(FrmBB1[PrjId]=TEXT($B208,"@"))*(FrmBB1[Row]=$E208)*(FrmBB1[Column]=UPPER(_xlfn.LET(_xlpm.x,_xlfn.TEXTBEFORE(U$114," ("),IFERROR(_xlpm.x,U$114)))&amp;" "&amp;U$115),0)))</f>
        <v>0</v>
      </c>
      <c r="V208" s="157" cm="1">
        <f t="array" aca="1" ref="V208" ca="1">IF(OR($E208="X",$E208="",$E208=0,$B208="X",$B208="",$B208=0),0,SUM(_xlfn._xlws.FILTER(FrmBB1[Cur],(FrmBB1[PrjId]=TEXT($B208,"@"))*(FrmBB1[Row]=$E208)*(FrmBB1[Column]=UPPER(_xlfn.LET(_xlpm.x,_xlfn.TEXTBEFORE(U$114," ("),IFERROR(_xlpm.x,U$114)))&amp;" "&amp;V$115),0)))</f>
        <v>0</v>
      </c>
      <c r="W208" s="158" cm="1">
        <f t="array" aca="1" ref="W208" ca="1">IF(OR($E208="X",$E208="",$E208=0,$B208="X",$B208="",$B208=0),0,SUM(_xlfn._xlws.FILTER(FrmBB1[Cur],(FrmBB1[PrjId]=TEXT($B208,"@"))*(FrmBB1[Row]=$E208)*(FrmBB1[Column]=UPPER(_xlfn.LET(_xlpm.x,_xlfn.TEXTBEFORE(W$114," ("),IFERROR(_xlpm.x,W$114)))&amp;" "&amp;W$115),0)))</f>
        <v>0</v>
      </c>
      <c r="X208" s="157" cm="1">
        <f t="array" aca="1" ref="X208" ca="1">IF(OR($E208="X",$E208="",$E208=0,$B208="X",$B208="",$B208=0),0,SUM(_xlfn._xlws.FILTER(FrmBB1[Cur],(FrmBB1[PrjId]=TEXT($B208,"@"))*(FrmBB1[Row]=$E208)*(FrmBB1[Column]=UPPER(_xlfn.LET(_xlpm.x,_xlfn.TEXTBEFORE(W$114," ("),IFERROR(_xlpm.x,W$114)))&amp;" "&amp;X$115),0)))</f>
        <v>0</v>
      </c>
      <c r="Y208" s="158" cm="1">
        <f t="array" aca="1" ref="Y208" ca="1">IF(OR($E208="X",$E208="",$E208=0,$B208="X",$B208="",$B208=0),0,SUM(_xlfn._xlws.FILTER(FrmBB1[Cur],(FrmBB1[PrjId]=TEXT($B208,"@"))*(FrmBB1[Row]=$E208)*(FrmBB1[Column]=UPPER(_xlfn.LET(_xlpm.x,_xlfn.TEXTBEFORE(Y$114," ("),IFERROR(_xlpm.x,Y$114)))&amp;" "&amp;Y$115),0)))</f>
        <v>0</v>
      </c>
      <c r="Z208" s="157" cm="1">
        <f t="array" aca="1" ref="Z208" ca="1">IF(OR($E208="X",$E208="",$E208=0,$B208="X",$B208="",$B208=0),0,SUM(_xlfn._xlws.FILTER(FrmBB1[Cur],(FrmBB1[PrjId]=TEXT($B208,"@"))*(FrmBB1[Row]=$E208)*(FrmBB1[Column]=UPPER(_xlfn.LET(_xlpm.x,_xlfn.TEXTBEFORE(Y$114," ("),IFERROR(_xlpm.x,Y$114)))&amp;" "&amp;Z$115),0)))</f>
        <v>0</v>
      </c>
      <c r="AA208" s="158" cm="1">
        <f t="array" aca="1" ref="AA208" ca="1">IF(OR($E208="X",$E208="",$E208=0,$B208="X",$B208="",$B208=0),0,SUM(_xlfn._xlws.FILTER(FrmBB1[Cur],(FrmBB1[PrjId]=TEXT($B208,"@"))*(FrmBB1[Row]=$E208)*(FrmBB1[Column]=UPPER(_xlfn.LET(_xlpm.x,_xlfn.TEXTBEFORE(AA$114," ("),IFERROR(_xlpm.x,AA$114)))&amp;" "&amp;AA$115),0)))</f>
        <v>0</v>
      </c>
      <c r="AB208" s="157" cm="1">
        <f t="array" aca="1" ref="AB208" ca="1">IF(OR($E208="X",$E208="",$E208=0,$B208="X",$B208="",$B208=0),0,SUM(_xlfn._xlws.FILTER(FrmBB1[Cur],(FrmBB1[PrjId]=TEXT($B208,"@"))*(FrmBB1[Row]=$E208)*(FrmBB1[Column]=UPPER(_xlfn.LET(_xlpm.x,_xlfn.TEXTBEFORE(AA$114," ("),IFERROR(_xlpm.x,AA$114)))&amp;" "&amp;AB$115),0)))</f>
        <v>0</v>
      </c>
      <c r="AC208" s="158" cm="1">
        <f t="array" aca="1" ref="AC208" ca="1">IF(OR($E208="X",$E208="",$E208=0,$B208="X",$B208="",$B208=0),0,SUM(_xlfn._xlws.FILTER(FrmBB1[Cur],(FrmBB1[PrjId]=TEXT($B208,"@"))*(FrmBB1[Row]=$E208)*(FrmBB1[Column]=UPPER(_xlfn.LET(_xlpm.x,_xlfn.TEXTBEFORE(AC$114," ("),IFERROR(_xlpm.x,AC$114)))&amp;" "&amp;AC$115),0)))</f>
        <v>0</v>
      </c>
      <c r="AD208" s="157" cm="1">
        <f t="array" aca="1" ref="AD208" ca="1">IF(OR($E208="X",$E208="",$E208=0,$B208="X",$B208="",$B208=0),0,SUM(_xlfn._xlws.FILTER(FrmBB1[Cur],(FrmBB1[PrjId]=TEXT($B208,"@"))*(FrmBB1[Row]=$E208)*(FrmBB1[Column]=UPPER(_xlfn.LET(_xlpm.x,_xlfn.TEXTBEFORE(AC$114," ("),IFERROR(_xlpm.x,AC$114)))&amp;" "&amp;AD$115),0)))</f>
        <v>0</v>
      </c>
      <c r="AE208" s="158" cm="1">
        <f t="array" aca="1" ref="AE208" ca="1">IF(OR($E208="X",$E208="",$E208=0,$B208="X",$B208="",$B208=0),0,SUM(_xlfn._xlws.FILTER(FrmBB1[Cur],(FrmBB1[PrjId]=TEXT($B208,"@"))*(FrmBB1[Row]=$E208)*(FrmBB1[Column]=UPPER(_xlfn.LET(_xlpm.x,_xlfn.TEXTBEFORE(AE$114," ("),IFERROR(_xlpm.x,AE$114)))&amp;" "&amp;AE$115),0)))</f>
        <v>0</v>
      </c>
      <c r="AF208" s="157" cm="1">
        <f t="array" aca="1" ref="AF208" ca="1">IF(OR($E208="X",$E208="",$E208=0,$B208="X",$B208="",$B208=0),0,SUM(_xlfn._xlws.FILTER(FrmBB1[Cur],(FrmBB1[PrjId]=TEXT($B208,"@"))*(FrmBB1[Row]=$E208)*(FrmBB1[Column]=UPPER(_xlfn.LET(_xlpm.x,_xlfn.TEXTBEFORE(AE$114," ("),IFERROR(_xlpm.x,AE$114)))&amp;" "&amp;AF$115),0)))</f>
        <v>0</v>
      </c>
      <c r="AG208" s="158" cm="1">
        <f t="array" aca="1" ref="AG208" ca="1">IF(OR($E208="X",$E208="",$E208=0,$B208="X",$B208="",$B208=0),0,SUM(_xlfn._xlws.FILTER(FrmBB1[Cur],(FrmBB1[PrjId]=TEXT($B208,"@"))*(FrmBB1[Row]=$E208)*(FrmBB1[Column]=UPPER(_xlfn.LET(_xlpm.x,_xlfn.TEXTBEFORE(AG$114," ("),IFERROR(_xlpm.x,AG$114)))&amp;" "&amp;AG$115),0)))</f>
        <v>0</v>
      </c>
      <c r="AH208" s="157" cm="1">
        <f t="array" aca="1" ref="AH208" ca="1">IF(OR($E208="X",$E208="",$E208=0,$B208="X",$B208="",$B208=0),0,SUM(_xlfn._xlws.FILTER(FrmBB1[Cur],(FrmBB1[PrjId]=TEXT($B208,"@"))*(FrmBB1[Row]=$E208)*(FrmBB1[Column]=UPPER(_xlfn.LET(_xlpm.x,_xlfn.TEXTBEFORE(AG$114," ("),IFERROR(_xlpm.x,AG$114)))&amp;" "&amp;AH$115),0)))</f>
        <v>0</v>
      </c>
      <c r="AI208" s="158" cm="1">
        <f t="array" aca="1" ref="AI208" ca="1">IF(OR($E208="X",$E208="",$E208=0,$B208="X",$B208="",$B208=0),0,SUM(_xlfn._xlws.FILTER(FrmBB1[Cur],(FrmBB1[PrjId]=TEXT($B208,"@"))*(FrmBB1[Row]=$E208)*(FrmBB1[Column]=UPPER(_xlfn.LET(_xlpm.x,_xlfn.TEXTBEFORE(AI$114," ("),IFERROR(_xlpm.x,AI$114)))&amp;" "&amp;AI$115),0)))</f>
        <v>0</v>
      </c>
      <c r="AJ208" s="157" cm="1">
        <f t="array" aca="1" ref="AJ208" ca="1">IF(OR($E208="X",$E208="",$E208=0,$B208="X",$B208="",$B208=0),0,SUM(_xlfn._xlws.FILTER(FrmBB1[Cur],(FrmBB1[PrjId]=TEXT($B208,"@"))*(FrmBB1[Row]=$E208)*(FrmBB1[Column]=UPPER(_xlfn.LET(_xlpm.x,_xlfn.TEXTBEFORE(AI$114," ("),IFERROR(_xlpm.x,AI$114)))&amp;" "&amp;AJ$115),0)))</f>
        <v>0</v>
      </c>
      <c r="AK208" s="158" cm="1">
        <f t="array" aca="1" ref="AK208" ca="1">IF(OR($E208="X",$E208="",$E208=0,$B208="X",$B208="",$B208=0),0,SUM(_xlfn._xlws.FILTER(FrmBB1[Cur],(FrmBB1[PrjId]=TEXT($B208,"@"))*(FrmBB1[Row]=$E208)*(FrmBB1[Column]=UPPER(_xlfn.LET(_xlpm.x,_xlfn.TEXTBEFORE(AK$114," ("),IFERROR(_xlpm.x,AK$114)))&amp;" "&amp;AK$115),0)))</f>
        <v>0</v>
      </c>
      <c r="AL208" s="157" cm="1">
        <f t="array" aca="1" ref="AL208" ca="1">IF(OR($E208="X",$E208="",$E208=0,$B208="X",$B208="",$B208=0),0,SUM(_xlfn._xlws.FILTER(FrmBB1[Cur],(FrmBB1[PrjId]=TEXT($B208,"@"))*(FrmBB1[Row]=$E208)*(FrmBB1[Column]=UPPER(_xlfn.LET(_xlpm.x,_xlfn.TEXTBEFORE(AK$114," ("),IFERROR(_xlpm.x,AK$114)))&amp;" "&amp;AL$115),0)))</f>
        <v>0</v>
      </c>
      <c r="AM208" s="158" cm="1">
        <f t="array" aca="1" ref="AM208" ca="1">IF(OR($E208="X",$E208="",$E208=0,$B208="X",$B208="",$B208=0),0,SUM(_xlfn._xlws.FILTER(FrmBB1[Cur],(FrmBB1[PrjId]=TEXT($B208,"@"))*(FrmBB1[Row]=$E208)*(FrmBB1[Column]=UPPER(_xlfn.LET(_xlpm.x,_xlfn.TEXTBEFORE(AM$114," ("),IFERROR(_xlpm.x,AM$114)))&amp;" "&amp;AM$115),0)))</f>
        <v>0</v>
      </c>
      <c r="AN208" s="157" cm="1">
        <f t="array" aca="1" ref="AN208" ca="1">IF(OR($E208="X",$E208="",$E208=0,$B208="X",$B208="",$B208=0),0,SUM(_xlfn._xlws.FILTER(FrmBB1[Cur],(FrmBB1[PrjId]=TEXT($B208,"@"))*(FrmBB1[Row]=$E208)*(FrmBB1[Column]=UPPER(_xlfn.LET(_xlpm.x,_xlfn.TEXTBEFORE(AM$114," ("),IFERROR(_xlpm.x,AM$114)))&amp;" "&amp;AN$115),0)))</f>
        <v>0</v>
      </c>
      <c r="AO208" s="158" cm="1">
        <f t="array" aca="1" ref="AO208" ca="1">IF(OR($E208="X",$E208="",$E208=0,$B208="X",$B208="",$B208=0),0,SUM(_xlfn._xlws.FILTER(FrmBB1[Cur],(FrmBB1[PrjId]=TEXT($B208,"@"))*(FrmBB1[Row]=$E208)*(FrmBB1[Column]=UPPER(_xlfn.LET(_xlpm.x,_xlfn.TEXTBEFORE(AO$114," ("),IFERROR(_xlpm.x,AO$114)))&amp;" "&amp;AO$115),0)))</f>
        <v>0</v>
      </c>
      <c r="AP208" s="157" cm="1">
        <f t="array" aca="1" ref="AP208" ca="1">IF(OR($E208="X",$E208="",$E208=0,$B208="X",$B208="",$B208=0),0,SUM(_xlfn._xlws.FILTER(FrmBB1[Cur],(FrmBB1[PrjId]=TEXT($B208,"@"))*(FrmBB1[Row]=$E208)*(FrmBB1[Column]=UPPER(_xlfn.LET(_xlpm.x,_xlfn.TEXTBEFORE(AO$114," ("),IFERROR(_xlpm.x,AO$114)))&amp;" "&amp;AP$115),0)))</f>
        <v>0</v>
      </c>
      <c r="AQ208" s="157" cm="1">
        <f t="array" aca="1" ref="AQ208" ca="1">SUM(IF(INDIRECT($AS$115)=AQ$115,INDIRECT($AS208)))</f>
        <v>0</v>
      </c>
      <c r="AR208" s="157" cm="1">
        <f t="array" aca="1" ref="AR208" ca="1">SUM(IF(INDIRECT($AS$115)=AR$115,INDIRECT($AS208)))</f>
        <v>0</v>
      </c>
      <c r="AS208" s="286" t="str">
        <f t="shared" ca="1" si="16"/>
        <v>G208:AP208</v>
      </c>
      <c r="AT208" s="403">
        <f t="shared" ca="1" si="17"/>
        <v>0</v>
      </c>
      <c r="AV208" s="142" cm="1">
        <f t="array" aca="1" ref="AV208" ca="1">IF(AND(_xlfn.LET(_xlpm.x,SUM(ROW()),OR(AND(MATCH("SOT",$A:$A,0)&lt;_xlpm.x,MATCH("EOT",$A:$A,0)&gt;_xlpm.x),AND(MATCH("SOS",$A:$A,0)&lt;_xlpm.x,MATCH("EOS",$A:$A,0)&gt;_xlpm.x),AND(MATCH("SOR",$A:$A,0)&lt;_xlpm.x,MATCH("EOR",$A:$A,0)&gt;_xlpm.x))),INDIRECT("rc"&amp;MATCH("SCD",$1:$1,0),FALSE)="PPTO"),1,0)</f>
        <v>0</v>
      </c>
      <c r="AW208" s="142" cm="1">
        <f t="array" aca="1" ref="AW20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209" spans="2:49" outlineLevel="1">
      <c r="B209" s="156" t="str" cm="1">
        <f t="array" aca="1" ref="B209" ca="1">_xlfn.LET(_xlpm.x,SUM(ROW()-MATCH("SOR",$A:$A,0)),_xlpm.y,IFERROR(_xlfn.TAKE(INDEX(_xlfn._xlws.FILTER(TbAssign[],ISNUMBER(FIND(TbAssign[Project],$C$4)),"X"),1+QUOTIENT(_xlpm.x,3),0),1,4),0),IF(MOD(_xlpm.x-1,3)=0,IF(_xlpm.y=0,"X",_xlpm.y),INDIRECT("r[-1]c#",FALSE)))</f>
        <v>X</v>
      </c>
      <c r="C209" s="156"/>
      <c r="E209" s="352"/>
      <c r="F209" s="148" t="s">
        <v>397</v>
      </c>
      <c r="G209" s="157" cm="1">
        <f t="array" aca="1" ref="G209" ca="1">IF(OR($E209="X",$E209="",$E209=0,$B209="X",$B209="",$B209=0),0,SUM(_xlfn._xlws.FILTER(IF($E$4="Ppto",PptoSty[CurPpto],PptoSty[CurInt]),(IF($E$4="Ppto",PptoSty[POvsCT]=G$113,TRUE))*(PptoSty[Project]=TEXT($B209,"@"))*(PptoSty[PptoVsRow]=$E209)*(PptoSty[PptoVsColumn]=UPPER(G$114)),0)))</f>
        <v>0</v>
      </c>
      <c r="H209" s="157" cm="1">
        <f t="array" aca="1" ref="H209" ca="1">IF(OR($E209="X",$E209="",$E209=0,$B209="X",$B209="",$B209=0),0,SUM(_xlfn._xlws.FILTER(IF($E$4="Ppto",PptoSty[CurPpto],PptoSty[CurExt]),(IF($E$4="Ppto",PptoSty[POvsCT]=H$113,TRUE))*(PptoSty[Project]=TEXT($B209,"@"))*(PptoSty[PptoVsRow]=$E209)*(PptoSty[PptoVsColumn]=UPPER(G$114)),0)))</f>
        <v>0</v>
      </c>
      <c r="I209" s="157" cm="1">
        <f t="array" aca="1" ref="I209" ca="1">IF(OR($E209="X",$E209="",$E209=0,$B209="X",$B209="",$B209=0),0,SUM(_xlfn._xlws.FILTER(IF($E$4="Ppto",PptoSty[CurPpto],PptoSty[CurInt]),(IF($E$4="Ppto",PptoSty[POvsCT]=I$113,TRUE))*(PptoSty[Project]=TEXT($B209,"@"))*(PptoSty[PptoVsRow]=$E209)*(PptoSty[PptoVsColumn]=UPPER(I$114)),0)))</f>
        <v>0</v>
      </c>
      <c r="J209" s="157" cm="1">
        <f t="array" aca="1" ref="J209" ca="1">IF(OR($E209="X",$E209="",$E209=0,$B209="X",$B209="",$B209=0),0,SUM(_xlfn._xlws.FILTER(IF($E$4="Ppto",PptoSty[CurPpto],PptoSty[CurExt]),(IF($E$4="Ppto",PptoSty[POvsCT]=J$113,TRUE))*(PptoSty[Project]=TEXT($B209,"@"))*(PptoSty[PptoVsRow]=$E209)*(PptoSty[PptoVsColumn]=UPPER(I$114)),0)))</f>
        <v>0</v>
      </c>
      <c r="K209" s="157" cm="1">
        <f t="array" aca="1" ref="K209" ca="1">IF(OR($E209="X",$E209="",$E209=0,$B209="X",$B209="",$B209=0),0,SUM(_xlfn._xlws.FILTER(IF($E$4="Ppto",PptoSty[CurPpto],PptoSty[CurInt]),(IF($E$4="Ppto",PptoSty[POvsCT]=K$113,TRUE))*(PptoSty[Project]=TEXT($B209,"@"))*(PptoSty[PptoVsRow]=$E209)*(PptoSty[PptoVsColumn]=UPPER(K$114)),0)))</f>
        <v>0</v>
      </c>
      <c r="L209" s="157" cm="1">
        <f t="array" aca="1" ref="L209" ca="1">IF(OR($E209="X",$E209="",$E209=0,$B209="X",$B209="",$B209=0),0,SUM(_xlfn._xlws.FILTER(IF($E$4="Ppto",PptoSty[CurPpto],PptoSty[CurExt]),(IF($E$4="Ppto",PptoSty[POvsCT]=L$113,TRUE))*(PptoSty[Project]=TEXT($B209,"@"))*(PptoSty[PptoVsRow]=$E209)*(PptoSty[PptoVsColumn]=UPPER(K$114)),0)))</f>
        <v>0</v>
      </c>
      <c r="M209" s="157" cm="1">
        <f t="array" aca="1" ref="M209" ca="1">IF(OR($E209="X",$E209="",$E209=0,$B209="X",$B209="",$B209=0),0,SUM(_xlfn._xlws.FILTER(IF($E$4="Ppto",PptoSty[CurPpto],PptoSty[CurInt]),(IF($E$4="Ppto",PptoSty[POvsCT]=M$113,TRUE))*(PptoSty[Project]=TEXT($B209,"@"))*(PptoSty[PptoVsRow]=$E209)*(PptoSty[PptoVsColumn]=UPPER(M$114)),0)))</f>
        <v>0</v>
      </c>
      <c r="N209" s="157" cm="1">
        <f t="array" aca="1" ref="N209" ca="1">IF(OR($E209="X",$E209="",$E209=0,$B209="X",$B209="",$B209=0),0,SUM(_xlfn._xlws.FILTER(IF($E$4="Ppto",PptoSty[CurPpto],PptoSty[CurExt]),(IF($E$4="Ppto",PptoSty[POvsCT]=N$113,TRUE))*(PptoSty[Project]=TEXT($B209,"@"))*(PptoSty[PptoVsRow]=$E209)*(PptoSty[PptoVsColumn]=UPPER(M$114)),0)))</f>
        <v>0</v>
      </c>
      <c r="O209" s="157" cm="1">
        <f t="array" aca="1" ref="O209" ca="1">IF(OR($E209="X",$E209="",$E209=0,$B209="X",$B209="",$B209=0),0,SUM(_xlfn._xlws.FILTER(IF($E$4="Ppto",PptoSty[CurPpto],PptoSty[CurInt]),(IF($E$4="Ppto",PptoSty[POvsCT]=O$113,TRUE))*(PptoSty[Project]=TEXT($B209,"@"))*(PptoSty[PptoVsRow]=$E209)*(PptoSty[PptoVsColumn]=UPPER(O$114)),0)))</f>
        <v>0</v>
      </c>
      <c r="P209" s="157" cm="1">
        <f t="array" aca="1" ref="P209" ca="1">IF(OR($E209="X",$E209="",$E209=0,$B209="X",$B209="",$B209=0),0,SUM(_xlfn._xlws.FILTER(IF($E$4="Ppto",PptoSty[CurPpto],PptoSty[CurExt]),(IF($E$4="Ppto",PptoSty[POvsCT]=P$113,TRUE))*(PptoSty[Project]=TEXT($B209,"@"))*(PptoSty[PptoVsRow]=$E209)*(PptoSty[PptoVsColumn]=UPPER(O$114)),0)))</f>
        <v>0</v>
      </c>
      <c r="Q209" s="157" cm="1">
        <f t="array" aca="1" ref="Q209" ca="1">IF(OR($E209="X",$E209="",$E209=0,$B209="X",$B209="",$B209=0),0,SUM(_xlfn._xlws.FILTER(IF($E$4="Ppto",PptoSty[CurPpto],PptoSty[CurInt]),(IF($E$4="Ppto",PptoSty[POvsCT]=Q$113,TRUE))*(PptoSty[Project]=TEXT($B209,"@"))*(PptoSty[PptoVsRow]=$E209)*(PptoSty[PptoVsColumn]=UPPER(Q$114)),0)))</f>
        <v>0</v>
      </c>
      <c r="R209" s="157" cm="1">
        <f t="array" aca="1" ref="R209" ca="1">IF(OR($E209="X",$E209="",$E209=0,$B209="X",$B209="",$B209=0),0,SUM(_xlfn._xlws.FILTER(IF($E$4="Ppto",PptoSty[CurPpto],PptoSty[CurExt]),(IF($E$4="Ppto",PptoSty[POvsCT]=R$113,TRUE))*(PptoSty[Project]=TEXT($B209,"@"))*(PptoSty[PptoVsRow]=$E209)*(PptoSty[PptoVsColumn]=UPPER(Q$114)),0)))</f>
        <v>0</v>
      </c>
      <c r="S209" s="157" cm="1">
        <f t="array" aca="1" ref="S209" ca="1">IF(OR($E209="X",$E209="",$E209=0,$B209="X",$B209="",$B209=0),0,SUM(_xlfn._xlws.FILTER(IF($E$4="Ppto",PptoSty[CurPpto],PptoSty[CurInt]),(IF($E$4="Ppto",PptoSty[POvsCT]=S$113,TRUE))*(PptoSty[Project]=TEXT($B209,"@"))*(PptoSty[PptoVsRow]=$E209)*(PptoSty[PptoVsColumn]=UPPER(S$114)),0)))</f>
        <v>0</v>
      </c>
      <c r="T209" s="157" cm="1">
        <f t="array" aca="1" ref="T209" ca="1">IF(OR($E209="X",$E209="",$E209=0,$B209="X",$B209="",$B209=0),0,SUM(_xlfn._xlws.FILTER(IF($E$4="Ppto",PptoSty[CurPpto],PptoSty[CurExt]),(IF($E$4="Ppto",PptoSty[POvsCT]=T$113,TRUE))*(PptoSty[Project]=TEXT($B209,"@"))*(PptoSty[PptoVsRow]=$E209)*(PptoSty[PptoVsColumn]=UPPER(S$114)),0)))</f>
        <v>0</v>
      </c>
      <c r="U209" s="157" cm="1">
        <f t="array" aca="1" ref="U209" ca="1">IF(OR($E209="X",$E209="",$E209=0,$B209="X",$B209="",$B209=0),0,SUM(_xlfn._xlws.FILTER(IF($E$4="Ppto",PptoSty[CurPpto],PptoSty[CurInt]),(IF($E$4="Ppto",PptoSty[POvsCT]=U$113,TRUE))*(PptoSty[Project]=TEXT($B209,"@"))*(PptoSty[PptoVsRow]=$E209)*(PptoSty[PptoVsColumn]=UPPER(U$114)),0)))</f>
        <v>0</v>
      </c>
      <c r="V209" s="157" cm="1">
        <f t="array" aca="1" ref="V209" ca="1">IF(OR($E209="X",$E209="",$E209=0,$B209="X",$B209="",$B209=0),0,SUM(_xlfn._xlws.FILTER(IF($E$4="Ppto",PptoSty[CurPpto],PptoSty[CurExt]),(IF($E$4="Ppto",PptoSty[POvsCT]=V$113,TRUE))*(PptoSty[Project]=TEXT($B209,"@"))*(PptoSty[PptoVsRow]=$E209)*(PptoSty[PptoVsColumn]=UPPER(U$114)),0)))</f>
        <v>0</v>
      </c>
      <c r="W209" s="157" cm="1">
        <f t="array" aca="1" ref="W209" ca="1">IF(OR($E209="X",$E209="",$E209=0,$B209="X",$B209="",$B209=0),0,SUM(_xlfn._xlws.FILTER(IF($E$4="Ppto",PptoSty[CurPpto],PptoSty[CurInt]),(IF($E$4="Ppto",PptoSty[POvsCT]=W$113,TRUE))*(PptoSty[Project]=TEXT($B209,"@"))*(PptoSty[PptoVsRow]=$E209)*(PptoSty[PptoVsColumn]=UPPER(W$114)),0)))</f>
        <v>0</v>
      </c>
      <c r="X209" s="157" cm="1">
        <f t="array" aca="1" ref="X209" ca="1">IF(OR($E209="X",$E209="",$E209=0,$B209="X",$B209="",$B209=0),0,SUM(_xlfn._xlws.FILTER(IF($E$4="Ppto",PptoSty[CurPpto],PptoSty[CurExt]),(IF($E$4="Ppto",PptoSty[POvsCT]=X$113,TRUE))*(PptoSty[Project]=TEXT($B209,"@"))*(PptoSty[PptoVsRow]=$E209)*(PptoSty[PptoVsColumn]=UPPER(W$114)),0)))</f>
        <v>0</v>
      </c>
      <c r="Y209" s="157" cm="1">
        <f t="array" aca="1" ref="Y209" ca="1">IF(OR($E209="X",$E209="",$E209=0,$B209="X",$B209="",$B209=0),0,SUM(_xlfn._xlws.FILTER(IF($E$4="Ppto",PptoSty[CurPpto],PptoSty[CurInt]),(IF($E$4="Ppto",PptoSty[POvsCT]=Y$113,TRUE))*(PptoSty[Project]=TEXT($B209,"@"))*(PptoSty[PptoVsRow]=$E209)*(PptoSty[PptoVsColumn]=UPPER(Y$114)),0)))</f>
        <v>0</v>
      </c>
      <c r="Z209" s="157" cm="1">
        <f t="array" aca="1" ref="Z209" ca="1">IF(OR($E209="X",$E209="",$E209=0,$B209="X",$B209="",$B209=0),0,SUM(_xlfn._xlws.FILTER(IF($E$4="Ppto",PptoSty[CurPpto],PptoSty[CurExt]),(IF($E$4="Ppto",PptoSty[POvsCT]=Z$113,TRUE))*(PptoSty[Project]=TEXT($B209,"@"))*(PptoSty[PptoVsRow]=$E209)*(PptoSty[PptoVsColumn]=UPPER(Y$114)),0)))</f>
        <v>0</v>
      </c>
      <c r="AA209" s="157" cm="1">
        <f t="array" aca="1" ref="AA209" ca="1">IF(OR($E209="X",$E209="",$E209=0,$B209="X",$B209="",$B209=0),0,SUM(_xlfn._xlws.FILTER(IF($E$4="Ppto",PptoSty[CurPpto],PptoSty[CurInt]),(IF($E$4="Ppto",PptoSty[POvsCT]=AA$113,TRUE))*(PptoSty[Project]=TEXT($B209,"@"))*(PptoSty[PptoVsRow]=$E209)*(PptoSty[PptoVsColumn]=UPPER(AA$114)),0)))</f>
        <v>0</v>
      </c>
      <c r="AB209" s="157" cm="1">
        <f t="array" aca="1" ref="AB209" ca="1">IF(OR($E209="X",$E209="",$E209=0,$B209="X",$B209="",$B209=0),0,SUM(_xlfn._xlws.FILTER(IF($E$4="Ppto",PptoSty[CurPpto],PptoSty[CurExt]),(IF($E$4="Ppto",PptoSty[POvsCT]=AB$113,TRUE))*(PptoSty[Project]=TEXT($B209,"@"))*(PptoSty[PptoVsRow]=$E209)*(PptoSty[PptoVsColumn]=UPPER(AA$114)),0)))</f>
        <v>0</v>
      </c>
      <c r="AC209" s="157" cm="1">
        <f t="array" aca="1" ref="AC209" ca="1">IF(OR($E209="X",$E209="",$E209=0,$B209="X",$B209="",$B209=0),0,SUM(_xlfn._xlws.FILTER(IF($E$4="Ppto",PptoSty[CurPpto],PptoSty[CurInt]),(IF($E$4="Ppto",PptoSty[POvsCT]=AC$113,TRUE))*(PptoSty[Project]=TEXT($B209,"@"))*(PptoSty[PptoVsRow]=$E209)*(PptoSty[PptoVsColumn]=UPPER(AC$114)),0)))</f>
        <v>0</v>
      </c>
      <c r="AD209" s="157" cm="1">
        <f t="array" aca="1" ref="AD209" ca="1">IF(OR($E209="X",$E209="",$E209=0,$B209="X",$B209="",$B209=0),0,SUM(_xlfn._xlws.FILTER(IF($E$4="Ppto",PptoSty[CurPpto],PptoSty[CurExt]),(IF($E$4="Ppto",PptoSty[POvsCT]=AD$113,TRUE))*(PptoSty[Project]=TEXT($B209,"@"))*(PptoSty[PptoVsRow]=$E209)*(PptoSty[PptoVsColumn]=UPPER(AC$114)),0)))</f>
        <v>0</v>
      </c>
      <c r="AE209" s="157" cm="1">
        <f t="array" aca="1" ref="AE209" ca="1">IF(OR($E209="X",$E209="",$E209=0,$B209="X",$B209="",$B209=0),0,SUM(_xlfn._xlws.FILTER(IF($E$4="Ppto",PptoSty[CurPpto],PptoSty[CurInt]),(IF($E$4="Ppto",PptoSty[POvsCT]=AE$113,TRUE))*(PptoSty[Project]=TEXT($B209,"@"))*(PptoSty[PptoVsRow]=$E209)*(PptoSty[PptoVsColumn]=UPPER(AE$114)),0)))</f>
        <v>0</v>
      </c>
      <c r="AF209" s="157" cm="1">
        <f t="array" aca="1" ref="AF209" ca="1">IF(OR($E209="X",$E209="",$E209=0,$B209="X",$B209="",$B209=0),0,SUM(_xlfn._xlws.FILTER(IF($E$4="Ppto",PptoSty[CurPpto],PptoSty[CurExt]),(IF($E$4="Ppto",PptoSty[POvsCT]=AF$113,TRUE))*(PptoSty[Project]=TEXT($B209,"@"))*(PptoSty[PptoVsRow]=$E209)*(PptoSty[PptoVsColumn]=UPPER(AE$114)),0)))</f>
        <v>0</v>
      </c>
      <c r="AG209" s="157" cm="1">
        <f t="array" aca="1" ref="AG209" ca="1">IF(OR($E209="X",$E209="",$E209=0,$B209="X",$B209="",$B209=0),0,SUM(_xlfn._xlws.FILTER(IF($E$4="Ppto",PptoSty[CurPpto],PptoSty[CurInt]),(IF($E$4="Ppto",PptoSty[POvsCT]=AG$113,TRUE))*(PptoSty[Project]=TEXT($B209,"@"))*(PptoSty[PptoVsRow]=$E209)*(PptoSty[PptoVsColumn]=UPPER(AG$114)),0)))</f>
        <v>0</v>
      </c>
      <c r="AH209" s="157" cm="1">
        <f t="array" aca="1" ref="AH209" ca="1">IF(OR($E209="X",$E209="",$E209=0,$B209="X",$B209="",$B209=0),0,SUM(_xlfn._xlws.FILTER(IF($E$4="Ppto",PptoSty[CurPpto],PptoSty[CurExt]),(IF($E$4="Ppto",PptoSty[POvsCT]=AH$113,TRUE))*(PptoSty[Project]=TEXT($B209,"@"))*(PptoSty[PptoVsRow]=$E209)*(PptoSty[PptoVsColumn]=UPPER(AG$114)),0)))</f>
        <v>0</v>
      </c>
      <c r="AI209" s="157" cm="1">
        <f t="array" aca="1" ref="AI209" ca="1">IF(OR($E209="X",$E209="",$E209=0,$B209="X",$B209="",$B209=0),0,SUM(_xlfn._xlws.FILTER(IF($E$4="Ppto",PptoSty[CurPpto],PptoSty[CurInt]),(IF($E$4="Ppto",PptoSty[POvsCT]=AI$113,TRUE))*(PptoSty[Project]=TEXT($B209,"@"))*(PptoSty[PptoVsRow]=$E209)*(PptoSty[PptoVsColumn]=UPPER(AI$114)),0)))</f>
        <v>0</v>
      </c>
      <c r="AJ209" s="157" cm="1">
        <f t="array" aca="1" ref="AJ209" ca="1">IF(OR($E209="X",$E209="",$E209=0,$B209="X",$B209="",$B209=0),0,SUM(_xlfn._xlws.FILTER(IF($E$4="Ppto",PptoSty[CurPpto],PptoSty[CurExt]),(IF($E$4="Ppto",PptoSty[POvsCT]=AJ$113,TRUE))*(PptoSty[Project]=TEXT($B209,"@"))*(PptoSty[PptoVsRow]=$E209)*(PptoSty[PptoVsColumn]=UPPER(AI$114)),0)))</f>
        <v>0</v>
      </c>
      <c r="AK209" s="157" cm="1">
        <f t="array" aca="1" ref="AK209" ca="1">IF(OR($E209="X",$E209="",$E209=0,$B209="X",$B209="",$B209=0),0,SUM(_xlfn._xlws.FILTER(IF($E$4="Ppto",PptoSty[CurPpto],PptoSty[CurInt]),(IF($E$4="Ppto",PptoSty[POvsCT]=AK$113,TRUE))*(PptoSty[Project]=TEXT($B209,"@"))*(PptoSty[PptoVsRow]=$E209)*(PptoSty[PptoVsColumn]=UPPER(AK$114)),0)))</f>
        <v>0</v>
      </c>
      <c r="AL209" s="157" cm="1">
        <f t="array" aca="1" ref="AL209" ca="1">IF(OR($E209="X",$E209="",$E209=0,$B209="X",$B209="",$B209=0),0,SUM(_xlfn._xlws.FILTER(IF($E$4="Ppto",PptoSty[CurPpto],PptoSty[CurExt]),(IF($E$4="Ppto",PptoSty[POvsCT]=AL$113,TRUE))*(PptoSty[Project]=TEXT($B209,"@"))*(PptoSty[PptoVsRow]=$E209)*(PptoSty[PptoVsColumn]=UPPER(AK$114)),0)))</f>
        <v>0</v>
      </c>
      <c r="AM209" s="157" cm="1">
        <f t="array" aca="1" ref="AM209" ca="1">IF(OR($E209="X",$E209="",$E209=0,$B209="X",$B209="",$B209=0),0,SUM(_xlfn._xlws.FILTER(IF($E$4="Ppto",PptoSty[CurPpto],PptoSty[CurInt]),(IF($E$4="Ppto",PptoSty[POvsCT]=AM$113,TRUE))*(PptoSty[Project]=TEXT($B209,"@"))*(PptoSty[PptoVsRow]=$E209)*(PptoSty[PptoVsColumn]=UPPER(AM$114)),0)))</f>
        <v>0</v>
      </c>
      <c r="AN209" s="157" cm="1">
        <f t="array" aca="1" ref="AN209" ca="1">IF(OR($E209="X",$E209="",$E209=0,$B209="X",$B209="",$B209=0),0,SUM(_xlfn._xlws.FILTER(IF($E$4="Ppto",PptoSty[CurPpto],PptoSty[CurExt]),(IF($E$4="Ppto",PptoSty[POvsCT]=AN$113,TRUE))*(PptoSty[Project]=TEXT($B209,"@"))*(PptoSty[PptoVsRow]=$E209)*(PptoSty[PptoVsColumn]=UPPER(AM$114)),0)))</f>
        <v>0</v>
      </c>
      <c r="AO209" s="157" cm="1">
        <f t="array" aca="1" ref="AO209" ca="1">IF(OR($E209="X",$E209="",$E209=0,$B209="X",$B209="",$B209=0),0,SUM(_xlfn._xlws.FILTER(IF($E$4="Ppto",PptoSty[CurPpto],PptoSty[CurInt]),(IF($E$4="Ppto",PptoSty[POvsCT]=AO$113,TRUE))*(PptoSty[Project]=TEXT($B209,"@"))*(PptoSty[PptoVsRow]=$E209)*(PptoSty[PptoVsColumn]=UPPER(AO$114)),0)))</f>
        <v>0</v>
      </c>
      <c r="AP209" s="157" cm="1">
        <f t="array" aca="1" ref="AP209" ca="1">IF(OR($E209="X",$E209="",$E209=0,$B209="X",$B209="",$B209=0),0,SUM(_xlfn._xlws.FILTER(IF($E$4="Ppto",PptoSty[CurPpto],PptoSty[CurExt]),(IF($E$4="Ppto",PptoSty[POvsCT]=AP$113,TRUE))*(PptoSty[Project]=TEXT($B209,"@"))*(PptoSty[PptoVsRow]=$E209)*(PptoSty[PptoVsColumn]=UPPER(AO$114)),0)))</f>
        <v>0</v>
      </c>
      <c r="AQ209" s="157" cm="1">
        <f t="array" aca="1" ref="AQ209" ca="1">SUM(IF(INDIRECT($AS$115)=AQ$115,INDIRECT($AS209)))</f>
        <v>0</v>
      </c>
      <c r="AR209" s="157" cm="1">
        <f t="array" aca="1" ref="AR209" ca="1">SUM(IF(INDIRECT($AS$115)=AR$115,INDIRECT($AS209)))</f>
        <v>0</v>
      </c>
      <c r="AS209" s="286" t="str">
        <f t="shared" ref="AS209:AS240" ca="1" si="18">IF($B209="","X",ADDRESS(SUM(ROW()),MATCH("SCD",$1:$1,0)+1,4)&amp;":"&amp;ADDRESS(SUM(ROW()),MATCH("ECD",$1:$1,0)-1,4))</f>
        <v>G209:AP209</v>
      </c>
      <c r="AT209" s="403">
        <f t="shared" ca="1" si="17"/>
        <v>0</v>
      </c>
      <c r="AV209" s="142" cm="1">
        <f t="array" aca="1" ref="AV209" ca="1">IF(AND(_xlfn.LET(_xlpm.x,SUM(ROW()),OR(AND(MATCH("SOT",$A:$A,0)&lt;_xlpm.x,MATCH("EOT",$A:$A,0)&gt;_xlpm.x),AND(MATCH("SOS",$A:$A,0)&lt;_xlpm.x,MATCH("EOS",$A:$A,0)&gt;_xlpm.x),AND(MATCH("SOR",$A:$A,0)&lt;_xlpm.x,MATCH("EOR",$A:$A,0)&gt;_xlpm.x))),INDIRECT("rc"&amp;MATCH("SCD",$1:$1,0),FALSE)="PPTO"),1,0)</f>
        <v>1</v>
      </c>
      <c r="AW209" s="142" cm="1">
        <f t="array" aca="1" ref="AW20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210" spans="2:49" outlineLevel="1">
      <c r="B210" s="156" t="str" cm="1">
        <f t="array" aca="1" ref="B210" ca="1">_xlfn.LET(_xlpm.x,SUM(ROW()-MATCH("SOR",$A:$A,0)),_xlpm.y,IFERROR(_xlfn.TAKE(INDEX(_xlfn._xlws.FILTER(TbAssign[],ISNUMBER(FIND(TbAssign[Project],$C$4)),"X"),1+QUOTIENT(_xlpm.x,3),0),1,4),0),IF(MOD(_xlpm.x-1,3)=0,IF(_xlpm.y=0,"X",_xlpm.y),INDIRECT("r[-1]c#",FALSE)))</f>
        <v>X</v>
      </c>
      <c r="C210" s="156"/>
      <c r="E210" s="352"/>
      <c r="F210" s="148" t="s">
        <v>1382</v>
      </c>
      <c r="G210" s="157" cm="1">
        <f t="array" aca="1" ref="G210" ca="1">IF(OR($E210="X",$E210="",$E210=0,$B210="X",$B210="",$B210=0),0,SUM(_xlfn._xlws.FILTER(PrvSty[DsvValue:SERRA],(PrvSty[Project]=TEXT($B210,"@"))*(PrvSty[Row]=$E210)*(PrvSty[Column]=UPPER(G$114)),0)))</f>
        <v>0</v>
      </c>
      <c r="H210" s="157" cm="1">
        <f t="array" aca="1" ref="H210" ca="1">IF(OR($E210="X",$E210="",$E210=0,$B210="X",$B210="",$B210=0),0,SUM(_xlfn._xlws.FILTER(PrvSty[DsvValue:EXT.],(PrvSty[Project]=TEXT($B210,"@"))*(PrvSty[Row]=$E210)*(PrvSty[Column]=UPPER(G$114)),0)))</f>
        <v>0</v>
      </c>
      <c r="I210" s="157" cm="1">
        <f t="array" aca="1" ref="I210" ca="1">IF(OR($E210="X",$E210="",$E210=0,$B210="X",$B210="",$B210=0),0,SUM(_xlfn._xlws.FILTER(PrvSty[DsvValue:SERRA],(PrvSty[Project]=TEXT($B210,"@"))*(PrvSty[Row]=$E210)*(PrvSty[Column]=UPPER(I$114)),0)))</f>
        <v>0</v>
      </c>
      <c r="J210" s="157" cm="1">
        <f t="array" aca="1" ref="J210" ca="1">IF(OR($E210="X",$E210="",$E210=0,$B210="X",$B210="",$B210=0),0,SUM(_xlfn._xlws.FILTER(PrvSty[DsvValue:EXT.],(PrvSty[Project]=TEXT($B210,"@"))*(PrvSty[Row]=$E210)*(PrvSty[Column]=UPPER(I$114)),0)))</f>
        <v>0</v>
      </c>
      <c r="K210" s="157" cm="1">
        <f t="array" aca="1" ref="K210" ca="1">IF(OR($E210="X",$E210="",$E210=0,$B210="X",$B210="",$B210=0),0,SUM(_xlfn._xlws.FILTER(PrvSty[DsvValue:SERRA],(PrvSty[Project]=TEXT($B210,"@"))*(PrvSty[Row]=$E210)*(PrvSty[Column]=UPPER(K$114)),0)))</f>
        <v>0</v>
      </c>
      <c r="L210" s="157" cm="1">
        <f t="array" aca="1" ref="L210" ca="1">IF(OR($E210="X",$E210="",$E210=0,$B210="X",$B210="",$B210=0),0,SUM(_xlfn._xlws.FILTER(PrvSty[DsvValue:EXT.],(PrvSty[Project]=TEXT($B210,"@"))*(PrvSty[Row]=$E210)*(PrvSty[Column]=UPPER(K$114)),0)))</f>
        <v>0</v>
      </c>
      <c r="M210" s="157" cm="1">
        <f t="array" aca="1" ref="M210" ca="1">IF(OR($E210="X",$E210="",$E210=0,$B210="X",$B210="",$B210=0),0,SUM(_xlfn._xlws.FILTER(PrvSty[DsvValue:SERRA],(PrvSty[Project]=TEXT($B210,"@"))*(PrvSty[Row]=$E210)*(PrvSty[Column]=UPPER(M$114)),0)))</f>
        <v>0</v>
      </c>
      <c r="N210" s="157" cm="1">
        <f t="array" aca="1" ref="N210" ca="1">IF(OR($E210="X",$E210="",$E210=0,$B210="X",$B210="",$B210=0),0,SUM(_xlfn._xlws.FILTER(PrvSty[DsvValue:EXT.],(PrvSty[Project]=TEXT($B210,"@"))*(PrvSty[Row]=$E210)*(PrvSty[Column]=UPPER(M$114)),0)))</f>
        <v>0</v>
      </c>
      <c r="O210" s="157" cm="1">
        <f t="array" aca="1" ref="O210" ca="1">IF(OR($E210="X",$E210="",$E210=0,$B210="X",$B210="",$B210=0),0,SUM(_xlfn._xlws.FILTER(PrvSty[DsvValue:SERRA],(PrvSty[Project]=TEXT($B210,"@"))*(PrvSty[Row]=$E210)*(PrvSty[Column]=UPPER(O$114)),0)))</f>
        <v>0</v>
      </c>
      <c r="P210" s="157" cm="1">
        <f t="array" aca="1" ref="P210" ca="1">IF(OR($E210="X",$E210="",$E210=0,$B210="X",$B210="",$B210=0),0,SUM(_xlfn._xlws.FILTER(PrvSty[DsvValue:EXT.],(PrvSty[Project]=TEXT($B210,"@"))*(PrvSty[Row]=$E210)*(PrvSty[Column]=UPPER(O$114)),0)))</f>
        <v>0</v>
      </c>
      <c r="Q210" s="157" cm="1">
        <f t="array" aca="1" ref="Q210" ca="1">IF(OR($E210="X",$E210="",$E210=0,$B210="X",$B210="",$B210=0),0,SUM(_xlfn._xlws.FILTER(PrvSty[DsvValue:SERRA],(PrvSty[Project]=TEXT($B210,"@"))*(PrvSty[Row]=$E210)*(PrvSty[Column]=UPPER(Q$114)),0)))</f>
        <v>0</v>
      </c>
      <c r="R210" s="157" cm="1">
        <f t="array" aca="1" ref="R210" ca="1">IF(OR($E210="X",$E210="",$E210=0,$B210="X",$B210="",$B210=0),0,SUM(_xlfn._xlws.FILTER(PrvSty[DsvValue:EXT.],(PrvSty[Project]=TEXT($B210,"@"))*(PrvSty[Row]=$E210)*(PrvSty[Column]=UPPER(Q$114)),0)))</f>
        <v>0</v>
      </c>
      <c r="S210" s="157" cm="1">
        <f t="array" aca="1" ref="S210" ca="1">IF(OR($E210="X",$E210="",$E210=0,$B210="X",$B210="",$B210=0),0,SUM(_xlfn._xlws.FILTER(PrvSty[DsvValue:SERRA],(PrvSty[Project]=TEXT($B210,"@"))*(PrvSty[Row]=$E210)*(PrvSty[Column]=UPPER(S$114)),0)))</f>
        <v>0</v>
      </c>
      <c r="T210" s="157" cm="1">
        <f t="array" aca="1" ref="T210" ca="1">IF(OR($E210="X",$E210="",$E210=0,$B210="X",$B210="",$B210=0),0,SUM(_xlfn._xlws.FILTER(PrvSty[DsvValue:EXT.],(PrvSty[Project]=TEXT($B210,"@"))*(PrvSty[Row]=$E210)*(PrvSty[Column]=UPPER(S$114)),0)))</f>
        <v>0</v>
      </c>
      <c r="U210" s="157" cm="1">
        <f t="array" aca="1" ref="U210" ca="1">IF(OR($E210="X",$E210="",$E210=0,$B210="X",$B210="",$B210=0),0,SUM(_xlfn._xlws.FILTER(PrvSty[DsvValue:SERRA],(PrvSty[Project]=TEXT($B210,"@"))*(PrvSty[Row]=$E210)*(PrvSty[Column]=UPPER(U$114)),0)))</f>
        <v>0</v>
      </c>
      <c r="V210" s="157" cm="1">
        <f t="array" aca="1" ref="V210" ca="1">IF(OR($E210="X",$E210="",$E210=0,$B210="X",$B210="",$B210=0),0,SUM(_xlfn._xlws.FILTER(PrvSty[DsvValue:EXT.],(PrvSty[Project]=TEXT($B210,"@"))*(PrvSty[Row]=$E210)*(PrvSty[Column]=UPPER(U$114)),0)))</f>
        <v>0</v>
      </c>
      <c r="W210" s="157" cm="1">
        <f t="array" aca="1" ref="W210" ca="1">IF(OR($E210="X",$E210="",$E210=0,$B210="X",$B210="",$B210=0),0,SUM(_xlfn._xlws.FILTER(PrvSty[DsvValue:SERRA],(PrvSty[Project]=TEXT($B210,"@"))*(PrvSty[Row]=$E210)*(PrvSty[Column]=UPPER(W$114)),0)))</f>
        <v>0</v>
      </c>
      <c r="X210" s="157" cm="1">
        <f t="array" aca="1" ref="X210" ca="1">IF(OR($E210="X",$E210="",$E210=0,$B210="X",$B210="",$B210=0),0,SUM(_xlfn._xlws.FILTER(PrvSty[DsvValue:EXT.],(PrvSty[Project]=TEXT($B210,"@"))*(PrvSty[Row]=$E210)*(PrvSty[Column]=UPPER(W$114)),0)))</f>
        <v>0</v>
      </c>
      <c r="Y210" s="157" cm="1">
        <f t="array" aca="1" ref="Y210" ca="1">IF(OR($E210="X",$E210="",$E210=0,$B210="X",$B210="",$B210=0),0,SUM(_xlfn._xlws.FILTER(PrvSty[DsvValue:SERRA],(PrvSty[Project]=TEXT($B210,"@"))*(PrvSty[Row]=$E210)*(PrvSty[Column]=UPPER(Y$114)),0)))</f>
        <v>0</v>
      </c>
      <c r="Z210" s="157" cm="1">
        <f t="array" aca="1" ref="Z210" ca="1">IF(OR($E210="X",$E210="",$E210=0,$B210="X",$B210="",$B210=0),0,SUM(_xlfn._xlws.FILTER(PrvSty[DsvValue:EXT.],(PrvSty[Project]=TEXT($B210,"@"))*(PrvSty[Row]=$E210)*(PrvSty[Column]=UPPER(Y$114)),0)))</f>
        <v>0</v>
      </c>
      <c r="AA210" s="157" cm="1">
        <f t="array" aca="1" ref="AA210" ca="1">IF(OR($E210="X",$E210="",$E210=0,$B210="X",$B210="",$B210=0),0,SUM(_xlfn._xlws.FILTER(PrvSty[DsvValue:SERRA],(PrvSty[Project]=TEXT($B210,"@"))*(PrvSty[Row]=$E210)*(PrvSty[Column]=UPPER(AA$114)),0)))</f>
        <v>0</v>
      </c>
      <c r="AB210" s="157" cm="1">
        <f t="array" aca="1" ref="AB210" ca="1">IF(OR($E210="X",$E210="",$E210=0,$B210="X",$B210="",$B210=0),0,SUM(_xlfn._xlws.FILTER(PrvSty[DsvValue:EXT.],(PrvSty[Project]=TEXT($B210,"@"))*(PrvSty[Row]=$E210)*(PrvSty[Column]=UPPER(AA$114)),0)))</f>
        <v>0</v>
      </c>
      <c r="AC210" s="157" cm="1">
        <f t="array" aca="1" ref="AC210" ca="1">IF(OR($E210="X",$E210="",$E210=0,$B210="X",$B210="",$B210=0),0,SUM(_xlfn._xlws.FILTER(PrvSty[DsvValue:SERRA],(PrvSty[Project]=TEXT($B210,"@"))*(PrvSty[Row]=$E210)*(PrvSty[Column]=UPPER(AC$114)),0)))</f>
        <v>0</v>
      </c>
      <c r="AD210" s="157" cm="1">
        <f t="array" aca="1" ref="AD210" ca="1">IF(OR($E210="X",$E210="",$E210=0,$B210="X",$B210="",$B210=0),0,SUM(_xlfn._xlws.FILTER(PrvSty[DsvValue:EXT.],(PrvSty[Project]=TEXT($B210,"@"))*(PrvSty[Row]=$E210)*(PrvSty[Column]=UPPER(AC$114)),0)))</f>
        <v>0</v>
      </c>
      <c r="AE210" s="157" cm="1">
        <f t="array" aca="1" ref="AE210" ca="1">IF(OR($E210="X",$E210="",$E210=0,$B210="X",$B210="",$B210=0),0,SUM(_xlfn._xlws.FILTER(PrvSty[DsvValue:SERRA],(PrvSty[Project]=TEXT($B210,"@"))*(PrvSty[Row]=$E210)*(PrvSty[Column]=UPPER(AE$114)),0)))</f>
        <v>0</v>
      </c>
      <c r="AF210" s="157" cm="1">
        <f t="array" aca="1" ref="AF210" ca="1">IF(OR($E210="X",$E210="",$E210=0,$B210="X",$B210="",$B210=0),0,SUM(_xlfn._xlws.FILTER(PrvSty[DsvValue:EXT.],(PrvSty[Project]=TEXT($B210,"@"))*(PrvSty[Row]=$E210)*(PrvSty[Column]=UPPER(AE$114)),0)))</f>
        <v>0</v>
      </c>
      <c r="AG210" s="157" cm="1">
        <f t="array" aca="1" ref="AG210" ca="1">IF(OR($E210="X",$E210="",$E210=0,$B210="X",$B210="",$B210=0),0,SUM(_xlfn._xlws.FILTER(PrvSty[DsvValue:SERRA],(PrvSty[Project]=TEXT($B210,"@"))*(PrvSty[Row]=$E210)*(PrvSty[Column]=UPPER(AG$114)),0)))</f>
        <v>0</v>
      </c>
      <c r="AH210" s="157" cm="1">
        <f t="array" aca="1" ref="AH210" ca="1">IF(OR($E210="X",$E210="",$E210=0,$B210="X",$B210="",$B210=0),0,SUM(_xlfn._xlws.FILTER(PrvSty[DsvValue:EXT.],(PrvSty[Project]=TEXT($B210,"@"))*(PrvSty[Row]=$E210)*(PrvSty[Column]=UPPER(AG$114)),0)))</f>
        <v>0</v>
      </c>
      <c r="AI210" s="157" cm="1">
        <f t="array" aca="1" ref="AI210" ca="1">IF(OR($E210="X",$E210="",$E210=0,$B210="X",$B210="",$B210=0),0,SUM(_xlfn._xlws.FILTER(PrvSty[DsvValue:SERRA],(PrvSty[Project]=TEXT($B210,"@"))*(PrvSty[Row]=$E210)*(PrvSty[Column]=UPPER(AI$114)),0)))</f>
        <v>0</v>
      </c>
      <c r="AJ210" s="157" cm="1">
        <f t="array" aca="1" ref="AJ210" ca="1">IF(OR($E210="X",$E210="",$E210=0,$B210="X",$B210="",$B210=0),0,SUM(_xlfn._xlws.FILTER(PrvSty[DsvValue:EXT.],(PrvSty[Project]=TEXT($B210,"@"))*(PrvSty[Row]=$E210)*(PrvSty[Column]=UPPER(AI$114)),0)))</f>
        <v>0</v>
      </c>
      <c r="AK210" s="157" cm="1">
        <f t="array" aca="1" ref="AK210" ca="1">IF(OR($E210="X",$E210="",$E210=0,$B210="X",$B210="",$B210=0),0,SUM(_xlfn._xlws.FILTER(PrvSty[DsvValue:SERRA],(PrvSty[Project]=TEXT($B210,"@"))*(PrvSty[Row]=$E210)*(PrvSty[Column]=UPPER(AK$114)),0)))</f>
        <v>0</v>
      </c>
      <c r="AL210" s="157" cm="1">
        <f t="array" aca="1" ref="AL210" ca="1">IF(OR($E210="X",$E210="",$E210=0,$B210="X",$B210="",$B210=0),0,SUM(_xlfn._xlws.FILTER(PrvSty[DsvValue:EXT.],(PrvSty[Project]=TEXT($B210,"@"))*(PrvSty[Row]=$E210)*(PrvSty[Column]=UPPER(AK$114)),0)))</f>
        <v>0</v>
      </c>
      <c r="AM210" s="157" cm="1">
        <f t="array" aca="1" ref="AM210" ca="1">IF(OR($E210="X",$E210="",$E210=0,$B210="X",$B210="",$B210=0),0,SUM(_xlfn._xlws.FILTER(PrvSty[DsvValue:SERRA],(PrvSty[Project]=TEXT($B210,"@"))*(PrvSty[Row]=$E210)*(PrvSty[Column]=UPPER(AM$114)),0)))</f>
        <v>0</v>
      </c>
      <c r="AN210" s="157" cm="1">
        <f t="array" aca="1" ref="AN210" ca="1">IF(OR($E210="X",$E210="",$E210=0,$B210="X",$B210="",$B210=0),0,SUM(_xlfn._xlws.FILTER(PrvSty[DsvValue:EXT.],(PrvSty[Project]=TEXT($B210,"@"))*(PrvSty[Row]=$E210)*(PrvSty[Column]=UPPER(AM$114)),0)))</f>
        <v>0</v>
      </c>
      <c r="AO210" s="157" cm="1">
        <f t="array" aca="1" ref="AO210" ca="1">IF(OR($E210="X",$E210="",$E210=0,$B210="X",$B210="",$B210=0),0,SUM(_xlfn._xlws.FILTER(PrvSty[DsvValue:SERRA],(PrvSty[Project]=TEXT($B210,"@"))*(PrvSty[Row]=$E210)*(PrvSty[Column]=UPPER(AO$114)),0)))</f>
        <v>0</v>
      </c>
      <c r="AP210" s="157" cm="1">
        <f t="array" aca="1" ref="AP210" ca="1">IF(OR($E210="X",$E210="",$E210=0,$B210="X",$B210="",$B210=0),0,SUM(_xlfn._xlws.FILTER(PrvSty[DsvValue:EXT.],(PrvSty[Project]=TEXT($B210,"@"))*(PrvSty[Row]=$E210)*(PrvSty[Column]=UPPER(AO$114)),0)))</f>
        <v>0</v>
      </c>
      <c r="AQ210" s="157" cm="1">
        <f t="array" aca="1" ref="AQ210" ca="1">SUM(IF(INDIRECT($AS$115)=AQ$115,INDIRECT($AS210)))</f>
        <v>0</v>
      </c>
      <c r="AR210" s="157" cm="1">
        <f t="array" aca="1" ref="AR210" ca="1">SUM(IF(INDIRECT($AS$115)=AR$115,INDIRECT($AS210)))</f>
        <v>0</v>
      </c>
      <c r="AS210" s="286" t="str">
        <f t="shared" ca="1" si="18"/>
        <v>G210:AP210</v>
      </c>
      <c r="AT210" s="403">
        <f t="shared" ca="1" si="17"/>
        <v>0</v>
      </c>
      <c r="AV210" s="142" cm="1">
        <f t="array" aca="1" ref="AV210" ca="1">IF(AND(_xlfn.LET(_xlpm.x,SUM(ROW()),OR(AND(MATCH("SOT",$A:$A,0)&lt;_xlpm.x,MATCH("EOT",$A:$A,0)&gt;_xlpm.x),AND(MATCH("SOS",$A:$A,0)&lt;_xlpm.x,MATCH("EOS",$A:$A,0)&gt;_xlpm.x),AND(MATCH("SOR",$A:$A,0)&lt;_xlpm.x,MATCH("EOR",$A:$A,0)&gt;_xlpm.x))),INDIRECT("rc"&amp;MATCH("SCD",$1:$1,0),FALSE)="PPTO"),1,0)</f>
        <v>0</v>
      </c>
      <c r="AW210" s="142" cm="1">
        <f t="array" aca="1" ref="AW21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211" spans="2:49" outlineLevel="1">
      <c r="B211" s="156" t="str" cm="1">
        <f t="array" aca="1" ref="B211" ca="1">_xlfn.LET(_xlpm.x,SUM(ROW()-MATCH("SOR",$A:$A,0)),_xlpm.y,IFERROR(_xlfn.TAKE(INDEX(_xlfn._xlws.FILTER(TbAssign[],ISNUMBER(FIND(TbAssign[Project],$C$4)),"X"),1+QUOTIENT(_xlpm.x,3),0),1,4),0),IF(MOD(_xlpm.x-1,3)=0,IF(_xlpm.y=0,"X",_xlpm.y),INDIRECT("r[-1]c#",FALSE)))</f>
        <v>X</v>
      </c>
      <c r="C211" s="156"/>
      <c r="E211" s="352"/>
      <c r="F211" s="148" t="s">
        <v>1383</v>
      </c>
      <c r="G211" s="158" cm="1">
        <f t="array" aca="1" ref="G211" ca="1">IF(OR($E211="X",$E211="",$E211=0,$B211="X",$B211="",$B211=0),0,SUM(_xlfn._xlws.FILTER(FrmBB1[Cur],(FrmBB1[PrjId]=TEXT($B211,"@"))*(FrmBB1[Row]=$E211)*(FrmBB1[Column]=UPPER(_xlfn.LET(_xlpm.x,_xlfn.TEXTBEFORE(G$114," ("),IFERROR(_xlpm.x,G$114)))&amp;" "&amp;G$115),0)))</f>
        <v>0</v>
      </c>
      <c r="H211" s="157" cm="1">
        <f t="array" aca="1" ref="H211" ca="1">IF(OR($E211="X",$E211="",$E211=0,$B211="X",$B211="",$B211=0),0,SUM(_xlfn._xlws.FILTER(FrmBB1[Cur],(FrmBB1[PrjId]=TEXT($B211,"@"))*(FrmBB1[Row]=$E211)*(FrmBB1[Column]=UPPER(_xlfn.LET(_xlpm.x,_xlfn.TEXTBEFORE(G$114," ("),IFERROR(_xlpm.x,G$114)))&amp;" "&amp;H$115),0)))</f>
        <v>0</v>
      </c>
      <c r="I211" s="158" cm="1">
        <f t="array" aca="1" ref="I211" ca="1">IF(OR($E211="X",$E211="",$E211=0,$B211="X",$B211="",$B211=0),0,SUM(_xlfn._xlws.FILTER(FrmBB1[Cur],(FrmBB1[PrjId]=TEXT($B211,"@"))*(FrmBB1[Row]=$E211)*(FrmBB1[Column]=UPPER(_xlfn.LET(_xlpm.x,_xlfn.TEXTBEFORE(I$114," ("),IFERROR(_xlpm.x,I$114)))&amp;" "&amp;I$115),0)))</f>
        <v>0</v>
      </c>
      <c r="J211" s="157" cm="1">
        <f t="array" aca="1" ref="J211" ca="1">IF(OR($E211="X",$E211="",$E211=0,$B211="X",$B211="",$B211=0),0,SUM(_xlfn._xlws.FILTER(FrmBB1[Cur],(FrmBB1[PrjId]=TEXT($B211,"@"))*(FrmBB1[Row]=$E211)*(FrmBB1[Column]=UPPER(_xlfn.LET(_xlpm.x,_xlfn.TEXTBEFORE(I$114," ("),IFERROR(_xlpm.x,I$114)))&amp;" "&amp;J$115),0)))</f>
        <v>0</v>
      </c>
      <c r="K211" s="158" cm="1">
        <f t="array" aca="1" ref="K211" ca="1">IF(OR($E211="X",$E211="",$E211=0,$B211="X",$B211="",$B211=0),0,SUM(_xlfn._xlws.FILTER(FrmBB1[Cur],(FrmBB1[PrjId]=TEXT($B211,"@"))*(FrmBB1[Row]=$E211)*(FrmBB1[Column]=UPPER(_xlfn.LET(_xlpm.x,_xlfn.TEXTBEFORE(K$114," ("),IFERROR(_xlpm.x,K$114)))&amp;" "&amp;K$115),0)))</f>
        <v>0</v>
      </c>
      <c r="L211" s="157" cm="1">
        <f t="array" aca="1" ref="L211" ca="1">IF(OR($E211="X",$E211="",$E211=0,$B211="X",$B211="",$B211=0),0,SUM(_xlfn._xlws.FILTER(FrmBB1[Cur],(FrmBB1[PrjId]=TEXT($B211,"@"))*(FrmBB1[Row]=$E211)*(FrmBB1[Column]=UPPER(_xlfn.LET(_xlpm.x,_xlfn.TEXTBEFORE(K$114," ("),IFERROR(_xlpm.x,K$114)))&amp;" "&amp;L$115),0)))</f>
        <v>0</v>
      </c>
      <c r="M211" s="158" cm="1">
        <f t="array" aca="1" ref="M211" ca="1">IF(OR($E211="X",$E211="",$E211=0,$B211="X",$B211="",$B211=0),0,SUM(_xlfn._xlws.FILTER(FrmBB1[Cur],(FrmBB1[PrjId]=TEXT($B211,"@"))*(FrmBB1[Row]=$E211)*(FrmBB1[Column]=UPPER(_xlfn.LET(_xlpm.x,_xlfn.TEXTBEFORE(M$114," ("),IFERROR(_xlpm.x,M$114)))&amp;" "&amp;M$115),0)))</f>
        <v>0</v>
      </c>
      <c r="N211" s="157" cm="1">
        <f t="array" aca="1" ref="N211" ca="1">IF(OR($E211="X",$E211="",$E211=0,$B211="X",$B211="",$B211=0),0,SUM(_xlfn._xlws.FILTER(FrmBB1[Cur],(FrmBB1[PrjId]=TEXT($B211,"@"))*(FrmBB1[Row]=$E211)*(FrmBB1[Column]=UPPER(_xlfn.LET(_xlpm.x,_xlfn.TEXTBEFORE(M$114," ("),IFERROR(_xlpm.x,M$114)))&amp;" "&amp;N$115),0)))</f>
        <v>0</v>
      </c>
      <c r="O211" s="158" cm="1">
        <f t="array" aca="1" ref="O211" ca="1">IF(OR($E211="X",$E211="",$E211=0,$B211="X",$B211="",$B211=0),0,SUM(_xlfn._xlws.FILTER(FrmBB1[Cur],(FrmBB1[PrjId]=TEXT($B211,"@"))*(FrmBB1[Row]=$E211)*(FrmBB1[Column]=UPPER(_xlfn.LET(_xlpm.x,_xlfn.TEXTBEFORE(O$114," ("),IFERROR(_xlpm.x,O$114)))&amp;" "&amp;O$115),0)))</f>
        <v>0</v>
      </c>
      <c r="P211" s="157" cm="1">
        <f t="array" aca="1" ref="P211" ca="1">IF(OR($E211="X",$E211="",$E211=0,$B211="X",$B211="",$B211=0),0,SUM(_xlfn._xlws.FILTER(FrmBB1[Cur],(FrmBB1[PrjId]=TEXT($B211,"@"))*(FrmBB1[Row]=$E211)*(FrmBB1[Column]=UPPER(_xlfn.LET(_xlpm.x,_xlfn.TEXTBEFORE(O$114," ("),IFERROR(_xlpm.x,O$114)))&amp;" "&amp;P$115),0)))</f>
        <v>0</v>
      </c>
      <c r="Q211" s="158" cm="1">
        <f t="array" aca="1" ref="Q211" ca="1">IF(OR($E211="X",$E211="",$E211=0,$B211="X",$B211="",$B211=0),0,SUM(_xlfn._xlws.FILTER(FrmBB1[Cur],(FrmBB1[PrjId]=TEXT($B211,"@"))*(FrmBB1[Row]=$E211)*(FrmBB1[Column]=UPPER(_xlfn.LET(_xlpm.x,_xlfn.TEXTBEFORE(Q$114," ("),IFERROR(_xlpm.x,Q$114)))&amp;" "&amp;Q$115),0)))</f>
        <v>0</v>
      </c>
      <c r="R211" s="157" cm="1">
        <f t="array" aca="1" ref="R211" ca="1">IF(OR($E211="X",$E211="",$E211=0,$B211="X",$B211="",$B211=0),0,SUM(_xlfn._xlws.FILTER(FrmBB1[Cur],(FrmBB1[PrjId]=TEXT($B211,"@"))*(FrmBB1[Row]=$E211)*(FrmBB1[Column]=UPPER(_xlfn.LET(_xlpm.x,_xlfn.TEXTBEFORE(Q$114," ("),IFERROR(_xlpm.x,Q$114)))&amp;" "&amp;R$115),0)))</f>
        <v>0</v>
      </c>
      <c r="S211" s="158" cm="1">
        <f t="array" aca="1" ref="S211" ca="1">IF(OR($E211="X",$E211="",$E211=0,$B211="X",$B211="",$B211=0),0,SUM(_xlfn._xlws.FILTER(FrmBB1[Cur],(FrmBB1[PrjId]=TEXT($B211,"@"))*(FrmBB1[Row]=$E211)*(FrmBB1[Column]=UPPER(_xlfn.LET(_xlpm.x,_xlfn.TEXTBEFORE(S$114," ("),IFERROR(_xlpm.x,S$114)))&amp;" "&amp;S$115),0)))</f>
        <v>0</v>
      </c>
      <c r="T211" s="157" cm="1">
        <f t="array" aca="1" ref="T211" ca="1">IF(OR($E211="X",$E211="",$E211=0,$B211="X",$B211="",$B211=0),0,SUM(_xlfn._xlws.FILTER(FrmBB1[Cur],(FrmBB1[PrjId]=TEXT($B211,"@"))*(FrmBB1[Row]=$E211)*(FrmBB1[Column]=UPPER(_xlfn.LET(_xlpm.x,_xlfn.TEXTBEFORE(S$114," ("),IFERROR(_xlpm.x,S$114)))&amp;" "&amp;T$115),0)))</f>
        <v>0</v>
      </c>
      <c r="U211" s="158" cm="1">
        <f t="array" aca="1" ref="U211" ca="1">IF(OR($E211="X",$E211="",$E211=0,$B211="X",$B211="",$B211=0),0,SUM(_xlfn._xlws.FILTER(FrmBB1[Cur],(FrmBB1[PrjId]=TEXT($B211,"@"))*(FrmBB1[Row]=$E211)*(FrmBB1[Column]=UPPER(_xlfn.LET(_xlpm.x,_xlfn.TEXTBEFORE(U$114," ("),IFERROR(_xlpm.x,U$114)))&amp;" "&amp;U$115),0)))</f>
        <v>0</v>
      </c>
      <c r="V211" s="157" cm="1">
        <f t="array" aca="1" ref="V211" ca="1">IF(OR($E211="X",$E211="",$E211=0,$B211="X",$B211="",$B211=0),0,SUM(_xlfn._xlws.FILTER(FrmBB1[Cur],(FrmBB1[PrjId]=TEXT($B211,"@"))*(FrmBB1[Row]=$E211)*(FrmBB1[Column]=UPPER(_xlfn.LET(_xlpm.x,_xlfn.TEXTBEFORE(U$114," ("),IFERROR(_xlpm.x,U$114)))&amp;" "&amp;V$115),0)))</f>
        <v>0</v>
      </c>
      <c r="W211" s="158" cm="1">
        <f t="array" aca="1" ref="W211" ca="1">IF(OR($E211="X",$E211="",$E211=0,$B211="X",$B211="",$B211=0),0,SUM(_xlfn._xlws.FILTER(FrmBB1[Cur],(FrmBB1[PrjId]=TEXT($B211,"@"))*(FrmBB1[Row]=$E211)*(FrmBB1[Column]=UPPER(_xlfn.LET(_xlpm.x,_xlfn.TEXTBEFORE(W$114," ("),IFERROR(_xlpm.x,W$114)))&amp;" "&amp;W$115),0)))</f>
        <v>0</v>
      </c>
      <c r="X211" s="157" cm="1">
        <f t="array" aca="1" ref="X211" ca="1">IF(OR($E211="X",$E211="",$E211=0,$B211="X",$B211="",$B211=0),0,SUM(_xlfn._xlws.FILTER(FrmBB1[Cur],(FrmBB1[PrjId]=TEXT($B211,"@"))*(FrmBB1[Row]=$E211)*(FrmBB1[Column]=UPPER(_xlfn.LET(_xlpm.x,_xlfn.TEXTBEFORE(W$114," ("),IFERROR(_xlpm.x,W$114)))&amp;" "&amp;X$115),0)))</f>
        <v>0</v>
      </c>
      <c r="Y211" s="158" cm="1">
        <f t="array" aca="1" ref="Y211" ca="1">IF(OR($E211="X",$E211="",$E211=0,$B211="X",$B211="",$B211=0),0,SUM(_xlfn._xlws.FILTER(FrmBB1[Cur],(FrmBB1[PrjId]=TEXT($B211,"@"))*(FrmBB1[Row]=$E211)*(FrmBB1[Column]=UPPER(_xlfn.LET(_xlpm.x,_xlfn.TEXTBEFORE(Y$114," ("),IFERROR(_xlpm.x,Y$114)))&amp;" "&amp;Y$115),0)))</f>
        <v>0</v>
      </c>
      <c r="Z211" s="157" cm="1">
        <f t="array" aca="1" ref="Z211" ca="1">IF(OR($E211="X",$E211="",$E211=0,$B211="X",$B211="",$B211=0),0,SUM(_xlfn._xlws.FILTER(FrmBB1[Cur],(FrmBB1[PrjId]=TEXT($B211,"@"))*(FrmBB1[Row]=$E211)*(FrmBB1[Column]=UPPER(_xlfn.LET(_xlpm.x,_xlfn.TEXTBEFORE(Y$114," ("),IFERROR(_xlpm.x,Y$114)))&amp;" "&amp;Z$115),0)))</f>
        <v>0</v>
      </c>
      <c r="AA211" s="158" cm="1">
        <f t="array" aca="1" ref="AA211" ca="1">IF(OR($E211="X",$E211="",$E211=0,$B211="X",$B211="",$B211=0),0,SUM(_xlfn._xlws.FILTER(FrmBB1[Cur],(FrmBB1[PrjId]=TEXT($B211,"@"))*(FrmBB1[Row]=$E211)*(FrmBB1[Column]=UPPER(_xlfn.LET(_xlpm.x,_xlfn.TEXTBEFORE(AA$114," ("),IFERROR(_xlpm.x,AA$114)))&amp;" "&amp;AA$115),0)))</f>
        <v>0</v>
      </c>
      <c r="AB211" s="157" cm="1">
        <f t="array" aca="1" ref="AB211" ca="1">IF(OR($E211="X",$E211="",$E211=0,$B211="X",$B211="",$B211=0),0,SUM(_xlfn._xlws.FILTER(FrmBB1[Cur],(FrmBB1[PrjId]=TEXT($B211,"@"))*(FrmBB1[Row]=$E211)*(FrmBB1[Column]=UPPER(_xlfn.LET(_xlpm.x,_xlfn.TEXTBEFORE(AA$114," ("),IFERROR(_xlpm.x,AA$114)))&amp;" "&amp;AB$115),0)))</f>
        <v>0</v>
      </c>
      <c r="AC211" s="158" cm="1">
        <f t="array" aca="1" ref="AC211" ca="1">IF(OR($E211="X",$E211="",$E211=0,$B211="X",$B211="",$B211=0),0,SUM(_xlfn._xlws.FILTER(FrmBB1[Cur],(FrmBB1[PrjId]=TEXT($B211,"@"))*(FrmBB1[Row]=$E211)*(FrmBB1[Column]=UPPER(_xlfn.LET(_xlpm.x,_xlfn.TEXTBEFORE(AC$114," ("),IFERROR(_xlpm.x,AC$114)))&amp;" "&amp;AC$115),0)))</f>
        <v>0</v>
      </c>
      <c r="AD211" s="157" cm="1">
        <f t="array" aca="1" ref="AD211" ca="1">IF(OR($E211="X",$E211="",$E211=0,$B211="X",$B211="",$B211=0),0,SUM(_xlfn._xlws.FILTER(FrmBB1[Cur],(FrmBB1[PrjId]=TEXT($B211,"@"))*(FrmBB1[Row]=$E211)*(FrmBB1[Column]=UPPER(_xlfn.LET(_xlpm.x,_xlfn.TEXTBEFORE(AC$114," ("),IFERROR(_xlpm.x,AC$114)))&amp;" "&amp;AD$115),0)))</f>
        <v>0</v>
      </c>
      <c r="AE211" s="158" cm="1">
        <f t="array" aca="1" ref="AE211" ca="1">IF(OR($E211="X",$E211="",$E211=0,$B211="X",$B211="",$B211=0),0,SUM(_xlfn._xlws.FILTER(FrmBB1[Cur],(FrmBB1[PrjId]=TEXT($B211,"@"))*(FrmBB1[Row]=$E211)*(FrmBB1[Column]=UPPER(_xlfn.LET(_xlpm.x,_xlfn.TEXTBEFORE(AE$114," ("),IFERROR(_xlpm.x,AE$114)))&amp;" "&amp;AE$115),0)))</f>
        <v>0</v>
      </c>
      <c r="AF211" s="157" cm="1">
        <f t="array" aca="1" ref="AF211" ca="1">IF(OR($E211="X",$E211="",$E211=0,$B211="X",$B211="",$B211=0),0,SUM(_xlfn._xlws.FILTER(FrmBB1[Cur],(FrmBB1[PrjId]=TEXT($B211,"@"))*(FrmBB1[Row]=$E211)*(FrmBB1[Column]=UPPER(_xlfn.LET(_xlpm.x,_xlfn.TEXTBEFORE(AE$114," ("),IFERROR(_xlpm.x,AE$114)))&amp;" "&amp;AF$115),0)))</f>
        <v>0</v>
      </c>
      <c r="AG211" s="158" cm="1">
        <f t="array" aca="1" ref="AG211" ca="1">IF(OR($E211="X",$E211="",$E211=0,$B211="X",$B211="",$B211=0),0,SUM(_xlfn._xlws.FILTER(FrmBB1[Cur],(FrmBB1[PrjId]=TEXT($B211,"@"))*(FrmBB1[Row]=$E211)*(FrmBB1[Column]=UPPER(_xlfn.LET(_xlpm.x,_xlfn.TEXTBEFORE(AG$114," ("),IFERROR(_xlpm.x,AG$114)))&amp;" "&amp;AG$115),0)))</f>
        <v>0</v>
      </c>
      <c r="AH211" s="157" cm="1">
        <f t="array" aca="1" ref="AH211" ca="1">IF(OR($E211="X",$E211="",$E211=0,$B211="X",$B211="",$B211=0),0,SUM(_xlfn._xlws.FILTER(FrmBB1[Cur],(FrmBB1[PrjId]=TEXT($B211,"@"))*(FrmBB1[Row]=$E211)*(FrmBB1[Column]=UPPER(_xlfn.LET(_xlpm.x,_xlfn.TEXTBEFORE(AG$114," ("),IFERROR(_xlpm.x,AG$114)))&amp;" "&amp;AH$115),0)))</f>
        <v>0</v>
      </c>
      <c r="AI211" s="158" cm="1">
        <f t="array" aca="1" ref="AI211" ca="1">IF(OR($E211="X",$E211="",$E211=0,$B211="X",$B211="",$B211=0),0,SUM(_xlfn._xlws.FILTER(FrmBB1[Cur],(FrmBB1[PrjId]=TEXT($B211,"@"))*(FrmBB1[Row]=$E211)*(FrmBB1[Column]=UPPER(_xlfn.LET(_xlpm.x,_xlfn.TEXTBEFORE(AI$114," ("),IFERROR(_xlpm.x,AI$114)))&amp;" "&amp;AI$115),0)))</f>
        <v>0</v>
      </c>
      <c r="AJ211" s="157" cm="1">
        <f t="array" aca="1" ref="AJ211" ca="1">IF(OR($E211="X",$E211="",$E211=0,$B211="X",$B211="",$B211=0),0,SUM(_xlfn._xlws.FILTER(FrmBB1[Cur],(FrmBB1[PrjId]=TEXT($B211,"@"))*(FrmBB1[Row]=$E211)*(FrmBB1[Column]=UPPER(_xlfn.LET(_xlpm.x,_xlfn.TEXTBEFORE(AI$114," ("),IFERROR(_xlpm.x,AI$114)))&amp;" "&amp;AJ$115),0)))</f>
        <v>0</v>
      </c>
      <c r="AK211" s="158" cm="1">
        <f t="array" aca="1" ref="AK211" ca="1">IF(OR($E211="X",$E211="",$E211=0,$B211="X",$B211="",$B211=0),0,SUM(_xlfn._xlws.FILTER(FrmBB1[Cur],(FrmBB1[PrjId]=TEXT($B211,"@"))*(FrmBB1[Row]=$E211)*(FrmBB1[Column]=UPPER(_xlfn.LET(_xlpm.x,_xlfn.TEXTBEFORE(AK$114," ("),IFERROR(_xlpm.x,AK$114)))&amp;" "&amp;AK$115),0)))</f>
        <v>0</v>
      </c>
      <c r="AL211" s="157" cm="1">
        <f t="array" aca="1" ref="AL211" ca="1">IF(OR($E211="X",$E211="",$E211=0,$B211="X",$B211="",$B211=0),0,SUM(_xlfn._xlws.FILTER(FrmBB1[Cur],(FrmBB1[PrjId]=TEXT($B211,"@"))*(FrmBB1[Row]=$E211)*(FrmBB1[Column]=UPPER(_xlfn.LET(_xlpm.x,_xlfn.TEXTBEFORE(AK$114," ("),IFERROR(_xlpm.x,AK$114)))&amp;" "&amp;AL$115),0)))</f>
        <v>0</v>
      </c>
      <c r="AM211" s="158" cm="1">
        <f t="array" aca="1" ref="AM211" ca="1">IF(OR($E211="X",$E211="",$E211=0,$B211="X",$B211="",$B211=0),0,SUM(_xlfn._xlws.FILTER(FrmBB1[Cur],(FrmBB1[PrjId]=TEXT($B211,"@"))*(FrmBB1[Row]=$E211)*(FrmBB1[Column]=UPPER(_xlfn.LET(_xlpm.x,_xlfn.TEXTBEFORE(AM$114," ("),IFERROR(_xlpm.x,AM$114)))&amp;" "&amp;AM$115),0)))</f>
        <v>0</v>
      </c>
      <c r="AN211" s="157" cm="1">
        <f t="array" aca="1" ref="AN211" ca="1">IF(OR($E211="X",$E211="",$E211=0,$B211="X",$B211="",$B211=0),0,SUM(_xlfn._xlws.FILTER(FrmBB1[Cur],(FrmBB1[PrjId]=TEXT($B211,"@"))*(FrmBB1[Row]=$E211)*(FrmBB1[Column]=UPPER(_xlfn.LET(_xlpm.x,_xlfn.TEXTBEFORE(AM$114," ("),IFERROR(_xlpm.x,AM$114)))&amp;" "&amp;AN$115),0)))</f>
        <v>0</v>
      </c>
      <c r="AO211" s="158" cm="1">
        <f t="array" aca="1" ref="AO211" ca="1">IF(OR($E211="X",$E211="",$E211=0,$B211="X",$B211="",$B211=0),0,SUM(_xlfn._xlws.FILTER(FrmBB1[Cur],(FrmBB1[PrjId]=TEXT($B211,"@"))*(FrmBB1[Row]=$E211)*(FrmBB1[Column]=UPPER(_xlfn.LET(_xlpm.x,_xlfn.TEXTBEFORE(AO$114," ("),IFERROR(_xlpm.x,AO$114)))&amp;" "&amp;AO$115),0)))</f>
        <v>0</v>
      </c>
      <c r="AP211" s="157" cm="1">
        <f t="array" aca="1" ref="AP211" ca="1">IF(OR($E211="X",$E211="",$E211=0,$B211="X",$B211="",$B211=0),0,SUM(_xlfn._xlws.FILTER(FrmBB1[Cur],(FrmBB1[PrjId]=TEXT($B211,"@"))*(FrmBB1[Row]=$E211)*(FrmBB1[Column]=UPPER(_xlfn.LET(_xlpm.x,_xlfn.TEXTBEFORE(AO$114," ("),IFERROR(_xlpm.x,AO$114)))&amp;" "&amp;AP$115),0)))</f>
        <v>0</v>
      </c>
      <c r="AQ211" s="157" cm="1">
        <f t="array" aca="1" ref="AQ211" ca="1">SUM(IF(INDIRECT($AS$115)=AQ$115,INDIRECT($AS211)))</f>
        <v>0</v>
      </c>
      <c r="AR211" s="157" cm="1">
        <f t="array" aca="1" ref="AR211" ca="1">SUM(IF(INDIRECT($AS$115)=AR$115,INDIRECT($AS211)))</f>
        <v>0</v>
      </c>
      <c r="AS211" s="286" t="str">
        <f t="shared" ca="1" si="18"/>
        <v>G211:AP211</v>
      </c>
      <c r="AT211" s="403">
        <f t="shared" ca="1" si="17"/>
        <v>0</v>
      </c>
      <c r="AV211" s="142" cm="1">
        <f t="array" aca="1" ref="AV211" ca="1">IF(AND(_xlfn.LET(_xlpm.x,SUM(ROW()),OR(AND(MATCH("SOT",$A:$A,0)&lt;_xlpm.x,MATCH("EOT",$A:$A,0)&gt;_xlpm.x),AND(MATCH("SOS",$A:$A,0)&lt;_xlpm.x,MATCH("EOS",$A:$A,0)&gt;_xlpm.x),AND(MATCH("SOR",$A:$A,0)&lt;_xlpm.x,MATCH("EOR",$A:$A,0)&gt;_xlpm.x))),INDIRECT("rc"&amp;MATCH("SCD",$1:$1,0),FALSE)="PPTO"),1,0)</f>
        <v>0</v>
      </c>
      <c r="AW211" s="142" cm="1">
        <f t="array" aca="1" ref="AW21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212" spans="2:49" outlineLevel="1">
      <c r="B212" s="156" t="str" cm="1">
        <f t="array" aca="1" ref="B212" ca="1">_xlfn.LET(_xlpm.x,SUM(ROW()-MATCH("SOR",$A:$A,0)),_xlpm.y,IFERROR(_xlfn.TAKE(INDEX(_xlfn._xlws.FILTER(TbAssign[],ISNUMBER(FIND(TbAssign[Project],$C$4)),"X"),1+QUOTIENT(_xlpm.x,3),0),1,4),0),IF(MOD(_xlpm.x-1,3)=0,IF(_xlpm.y=0,"X",_xlpm.y),INDIRECT("r[-1]c#",FALSE)))</f>
        <v>X</v>
      </c>
      <c r="C212" s="156"/>
      <c r="E212" s="352"/>
      <c r="F212" s="148" t="s">
        <v>397</v>
      </c>
      <c r="G212" s="157" cm="1">
        <f t="array" aca="1" ref="G212" ca="1">IF(OR($E212="X",$E212="",$E212=0,$B212="X",$B212="",$B212=0),0,SUM(_xlfn._xlws.FILTER(IF($E$4="Ppto",PptoSty[CurPpto],PptoSty[CurInt]),(IF($E$4="Ppto",PptoSty[POvsCT]=G$113,TRUE))*(PptoSty[Project]=TEXT($B212,"@"))*(PptoSty[PptoVsRow]=$E212)*(PptoSty[PptoVsColumn]=UPPER(G$114)),0)))</f>
        <v>0</v>
      </c>
      <c r="H212" s="157" cm="1">
        <f t="array" aca="1" ref="H212" ca="1">IF(OR($E212="X",$E212="",$E212=0,$B212="X",$B212="",$B212=0),0,SUM(_xlfn._xlws.FILTER(IF($E$4="Ppto",PptoSty[CurPpto],PptoSty[CurExt]),(IF($E$4="Ppto",PptoSty[POvsCT]=H$113,TRUE))*(PptoSty[Project]=TEXT($B212,"@"))*(PptoSty[PptoVsRow]=$E212)*(PptoSty[PptoVsColumn]=UPPER(G$114)),0)))</f>
        <v>0</v>
      </c>
      <c r="I212" s="157" cm="1">
        <f t="array" aca="1" ref="I212" ca="1">IF(OR($E212="X",$E212="",$E212=0,$B212="X",$B212="",$B212=0),0,SUM(_xlfn._xlws.FILTER(IF($E$4="Ppto",PptoSty[CurPpto],PptoSty[CurInt]),(IF($E$4="Ppto",PptoSty[POvsCT]=I$113,TRUE))*(PptoSty[Project]=TEXT($B212,"@"))*(PptoSty[PptoVsRow]=$E212)*(PptoSty[PptoVsColumn]=UPPER(I$114)),0)))</f>
        <v>0</v>
      </c>
      <c r="J212" s="157" cm="1">
        <f t="array" aca="1" ref="J212" ca="1">IF(OR($E212="X",$E212="",$E212=0,$B212="X",$B212="",$B212=0),0,SUM(_xlfn._xlws.FILTER(IF($E$4="Ppto",PptoSty[CurPpto],PptoSty[CurExt]),(IF($E$4="Ppto",PptoSty[POvsCT]=J$113,TRUE))*(PptoSty[Project]=TEXT($B212,"@"))*(PptoSty[PptoVsRow]=$E212)*(PptoSty[PptoVsColumn]=UPPER(I$114)),0)))</f>
        <v>0</v>
      </c>
      <c r="K212" s="157" cm="1">
        <f t="array" aca="1" ref="K212" ca="1">IF(OR($E212="X",$E212="",$E212=0,$B212="X",$B212="",$B212=0),0,SUM(_xlfn._xlws.FILTER(IF($E$4="Ppto",PptoSty[CurPpto],PptoSty[CurInt]),(IF($E$4="Ppto",PptoSty[POvsCT]=K$113,TRUE))*(PptoSty[Project]=TEXT($B212,"@"))*(PptoSty[PptoVsRow]=$E212)*(PptoSty[PptoVsColumn]=UPPER(K$114)),0)))</f>
        <v>0</v>
      </c>
      <c r="L212" s="157" cm="1">
        <f t="array" aca="1" ref="L212" ca="1">IF(OR($E212="X",$E212="",$E212=0,$B212="X",$B212="",$B212=0),0,SUM(_xlfn._xlws.FILTER(IF($E$4="Ppto",PptoSty[CurPpto],PptoSty[CurExt]),(IF($E$4="Ppto",PptoSty[POvsCT]=L$113,TRUE))*(PptoSty[Project]=TEXT($B212,"@"))*(PptoSty[PptoVsRow]=$E212)*(PptoSty[PptoVsColumn]=UPPER(K$114)),0)))</f>
        <v>0</v>
      </c>
      <c r="M212" s="157" cm="1">
        <f t="array" aca="1" ref="M212" ca="1">IF(OR($E212="X",$E212="",$E212=0,$B212="X",$B212="",$B212=0),0,SUM(_xlfn._xlws.FILTER(IF($E$4="Ppto",PptoSty[CurPpto],PptoSty[CurInt]),(IF($E$4="Ppto",PptoSty[POvsCT]=M$113,TRUE))*(PptoSty[Project]=TEXT($B212,"@"))*(PptoSty[PptoVsRow]=$E212)*(PptoSty[PptoVsColumn]=UPPER(M$114)),0)))</f>
        <v>0</v>
      </c>
      <c r="N212" s="157" cm="1">
        <f t="array" aca="1" ref="N212" ca="1">IF(OR($E212="X",$E212="",$E212=0,$B212="X",$B212="",$B212=0),0,SUM(_xlfn._xlws.FILTER(IF($E$4="Ppto",PptoSty[CurPpto],PptoSty[CurExt]),(IF($E$4="Ppto",PptoSty[POvsCT]=N$113,TRUE))*(PptoSty[Project]=TEXT($B212,"@"))*(PptoSty[PptoVsRow]=$E212)*(PptoSty[PptoVsColumn]=UPPER(M$114)),0)))</f>
        <v>0</v>
      </c>
      <c r="O212" s="157" cm="1">
        <f t="array" aca="1" ref="O212" ca="1">IF(OR($E212="X",$E212="",$E212=0,$B212="X",$B212="",$B212=0),0,SUM(_xlfn._xlws.FILTER(IF($E$4="Ppto",PptoSty[CurPpto],PptoSty[CurInt]),(IF($E$4="Ppto",PptoSty[POvsCT]=O$113,TRUE))*(PptoSty[Project]=TEXT($B212,"@"))*(PptoSty[PptoVsRow]=$E212)*(PptoSty[PptoVsColumn]=UPPER(O$114)),0)))</f>
        <v>0</v>
      </c>
      <c r="P212" s="157" cm="1">
        <f t="array" aca="1" ref="P212" ca="1">IF(OR($E212="X",$E212="",$E212=0,$B212="X",$B212="",$B212=0),0,SUM(_xlfn._xlws.FILTER(IF($E$4="Ppto",PptoSty[CurPpto],PptoSty[CurExt]),(IF($E$4="Ppto",PptoSty[POvsCT]=P$113,TRUE))*(PptoSty[Project]=TEXT($B212,"@"))*(PptoSty[PptoVsRow]=$E212)*(PptoSty[PptoVsColumn]=UPPER(O$114)),0)))</f>
        <v>0</v>
      </c>
      <c r="Q212" s="157" cm="1">
        <f t="array" aca="1" ref="Q212" ca="1">IF(OR($E212="X",$E212="",$E212=0,$B212="X",$B212="",$B212=0),0,SUM(_xlfn._xlws.FILTER(IF($E$4="Ppto",PptoSty[CurPpto],PptoSty[CurInt]),(IF($E$4="Ppto",PptoSty[POvsCT]=Q$113,TRUE))*(PptoSty[Project]=TEXT($B212,"@"))*(PptoSty[PptoVsRow]=$E212)*(PptoSty[PptoVsColumn]=UPPER(Q$114)),0)))</f>
        <v>0</v>
      </c>
      <c r="R212" s="157" cm="1">
        <f t="array" aca="1" ref="R212" ca="1">IF(OR($E212="X",$E212="",$E212=0,$B212="X",$B212="",$B212=0),0,SUM(_xlfn._xlws.FILTER(IF($E$4="Ppto",PptoSty[CurPpto],PptoSty[CurExt]),(IF($E$4="Ppto",PptoSty[POvsCT]=R$113,TRUE))*(PptoSty[Project]=TEXT($B212,"@"))*(PptoSty[PptoVsRow]=$E212)*(PptoSty[PptoVsColumn]=UPPER(Q$114)),0)))</f>
        <v>0</v>
      </c>
      <c r="S212" s="157" cm="1">
        <f t="array" aca="1" ref="S212" ca="1">IF(OR($E212="X",$E212="",$E212=0,$B212="X",$B212="",$B212=0),0,SUM(_xlfn._xlws.FILTER(IF($E$4="Ppto",PptoSty[CurPpto],PptoSty[CurInt]),(IF($E$4="Ppto",PptoSty[POvsCT]=S$113,TRUE))*(PptoSty[Project]=TEXT($B212,"@"))*(PptoSty[PptoVsRow]=$E212)*(PptoSty[PptoVsColumn]=UPPER(S$114)),0)))</f>
        <v>0</v>
      </c>
      <c r="T212" s="157" cm="1">
        <f t="array" aca="1" ref="T212" ca="1">IF(OR($E212="X",$E212="",$E212=0,$B212="X",$B212="",$B212=0),0,SUM(_xlfn._xlws.FILTER(IF($E$4="Ppto",PptoSty[CurPpto],PptoSty[CurExt]),(IF($E$4="Ppto",PptoSty[POvsCT]=T$113,TRUE))*(PptoSty[Project]=TEXT($B212,"@"))*(PptoSty[PptoVsRow]=$E212)*(PptoSty[PptoVsColumn]=UPPER(S$114)),0)))</f>
        <v>0</v>
      </c>
      <c r="U212" s="157" cm="1">
        <f t="array" aca="1" ref="U212" ca="1">IF(OR($E212="X",$E212="",$E212=0,$B212="X",$B212="",$B212=0),0,SUM(_xlfn._xlws.FILTER(IF($E$4="Ppto",PptoSty[CurPpto],PptoSty[CurInt]),(IF($E$4="Ppto",PptoSty[POvsCT]=U$113,TRUE))*(PptoSty[Project]=TEXT($B212,"@"))*(PptoSty[PptoVsRow]=$E212)*(PptoSty[PptoVsColumn]=UPPER(U$114)),0)))</f>
        <v>0</v>
      </c>
      <c r="V212" s="157" cm="1">
        <f t="array" aca="1" ref="V212" ca="1">IF(OR($E212="X",$E212="",$E212=0,$B212="X",$B212="",$B212=0),0,SUM(_xlfn._xlws.FILTER(IF($E$4="Ppto",PptoSty[CurPpto],PptoSty[CurExt]),(IF($E$4="Ppto",PptoSty[POvsCT]=V$113,TRUE))*(PptoSty[Project]=TEXT($B212,"@"))*(PptoSty[PptoVsRow]=$E212)*(PptoSty[PptoVsColumn]=UPPER(U$114)),0)))</f>
        <v>0</v>
      </c>
      <c r="W212" s="157" cm="1">
        <f t="array" aca="1" ref="W212" ca="1">IF(OR($E212="X",$E212="",$E212=0,$B212="X",$B212="",$B212=0),0,SUM(_xlfn._xlws.FILTER(IF($E$4="Ppto",PptoSty[CurPpto],PptoSty[CurInt]),(IF($E$4="Ppto",PptoSty[POvsCT]=W$113,TRUE))*(PptoSty[Project]=TEXT($B212,"@"))*(PptoSty[PptoVsRow]=$E212)*(PptoSty[PptoVsColumn]=UPPER(W$114)),0)))</f>
        <v>0</v>
      </c>
      <c r="X212" s="157" cm="1">
        <f t="array" aca="1" ref="X212" ca="1">IF(OR($E212="X",$E212="",$E212=0,$B212="X",$B212="",$B212=0),0,SUM(_xlfn._xlws.FILTER(IF($E$4="Ppto",PptoSty[CurPpto],PptoSty[CurExt]),(IF($E$4="Ppto",PptoSty[POvsCT]=X$113,TRUE))*(PptoSty[Project]=TEXT($B212,"@"))*(PptoSty[PptoVsRow]=$E212)*(PptoSty[PptoVsColumn]=UPPER(W$114)),0)))</f>
        <v>0</v>
      </c>
      <c r="Y212" s="157" cm="1">
        <f t="array" aca="1" ref="Y212" ca="1">IF(OR($E212="X",$E212="",$E212=0,$B212="X",$B212="",$B212=0),0,SUM(_xlfn._xlws.FILTER(IF($E$4="Ppto",PptoSty[CurPpto],PptoSty[CurInt]),(IF($E$4="Ppto",PptoSty[POvsCT]=Y$113,TRUE))*(PptoSty[Project]=TEXT($B212,"@"))*(PptoSty[PptoVsRow]=$E212)*(PptoSty[PptoVsColumn]=UPPER(Y$114)),0)))</f>
        <v>0</v>
      </c>
      <c r="Z212" s="157" cm="1">
        <f t="array" aca="1" ref="Z212" ca="1">IF(OR($E212="X",$E212="",$E212=0,$B212="X",$B212="",$B212=0),0,SUM(_xlfn._xlws.FILTER(IF($E$4="Ppto",PptoSty[CurPpto],PptoSty[CurExt]),(IF($E$4="Ppto",PptoSty[POvsCT]=Z$113,TRUE))*(PptoSty[Project]=TEXT($B212,"@"))*(PptoSty[PptoVsRow]=$E212)*(PptoSty[PptoVsColumn]=UPPER(Y$114)),0)))</f>
        <v>0</v>
      </c>
      <c r="AA212" s="157" cm="1">
        <f t="array" aca="1" ref="AA212" ca="1">IF(OR($E212="X",$E212="",$E212=0,$B212="X",$B212="",$B212=0),0,SUM(_xlfn._xlws.FILTER(IF($E$4="Ppto",PptoSty[CurPpto],PptoSty[CurInt]),(IF($E$4="Ppto",PptoSty[POvsCT]=AA$113,TRUE))*(PptoSty[Project]=TEXT($B212,"@"))*(PptoSty[PptoVsRow]=$E212)*(PptoSty[PptoVsColumn]=UPPER(AA$114)),0)))</f>
        <v>0</v>
      </c>
      <c r="AB212" s="157" cm="1">
        <f t="array" aca="1" ref="AB212" ca="1">IF(OR($E212="X",$E212="",$E212=0,$B212="X",$B212="",$B212=0),0,SUM(_xlfn._xlws.FILTER(IF($E$4="Ppto",PptoSty[CurPpto],PptoSty[CurExt]),(IF($E$4="Ppto",PptoSty[POvsCT]=AB$113,TRUE))*(PptoSty[Project]=TEXT($B212,"@"))*(PptoSty[PptoVsRow]=$E212)*(PptoSty[PptoVsColumn]=UPPER(AA$114)),0)))</f>
        <v>0</v>
      </c>
      <c r="AC212" s="157" cm="1">
        <f t="array" aca="1" ref="AC212" ca="1">IF(OR($E212="X",$E212="",$E212=0,$B212="X",$B212="",$B212=0),0,SUM(_xlfn._xlws.FILTER(IF($E$4="Ppto",PptoSty[CurPpto],PptoSty[CurInt]),(IF($E$4="Ppto",PptoSty[POvsCT]=AC$113,TRUE))*(PptoSty[Project]=TEXT($B212,"@"))*(PptoSty[PptoVsRow]=$E212)*(PptoSty[PptoVsColumn]=UPPER(AC$114)),0)))</f>
        <v>0</v>
      </c>
      <c r="AD212" s="157" cm="1">
        <f t="array" aca="1" ref="AD212" ca="1">IF(OR($E212="X",$E212="",$E212=0,$B212="X",$B212="",$B212=0),0,SUM(_xlfn._xlws.FILTER(IF($E$4="Ppto",PptoSty[CurPpto],PptoSty[CurExt]),(IF($E$4="Ppto",PptoSty[POvsCT]=AD$113,TRUE))*(PptoSty[Project]=TEXT($B212,"@"))*(PptoSty[PptoVsRow]=$E212)*(PptoSty[PptoVsColumn]=UPPER(AC$114)),0)))</f>
        <v>0</v>
      </c>
      <c r="AE212" s="157" cm="1">
        <f t="array" aca="1" ref="AE212" ca="1">IF(OR($E212="X",$E212="",$E212=0,$B212="X",$B212="",$B212=0),0,SUM(_xlfn._xlws.FILTER(IF($E$4="Ppto",PptoSty[CurPpto],PptoSty[CurInt]),(IF($E$4="Ppto",PptoSty[POvsCT]=AE$113,TRUE))*(PptoSty[Project]=TEXT($B212,"@"))*(PptoSty[PptoVsRow]=$E212)*(PptoSty[PptoVsColumn]=UPPER(AE$114)),0)))</f>
        <v>0</v>
      </c>
      <c r="AF212" s="157" cm="1">
        <f t="array" aca="1" ref="AF212" ca="1">IF(OR($E212="X",$E212="",$E212=0,$B212="X",$B212="",$B212=0),0,SUM(_xlfn._xlws.FILTER(IF($E$4="Ppto",PptoSty[CurPpto],PptoSty[CurExt]),(IF($E$4="Ppto",PptoSty[POvsCT]=AF$113,TRUE))*(PptoSty[Project]=TEXT($B212,"@"))*(PptoSty[PptoVsRow]=$E212)*(PptoSty[PptoVsColumn]=UPPER(AE$114)),0)))</f>
        <v>0</v>
      </c>
      <c r="AG212" s="157" cm="1">
        <f t="array" aca="1" ref="AG212" ca="1">IF(OR($E212="X",$E212="",$E212=0,$B212="X",$B212="",$B212=0),0,SUM(_xlfn._xlws.FILTER(IF($E$4="Ppto",PptoSty[CurPpto],PptoSty[CurInt]),(IF($E$4="Ppto",PptoSty[POvsCT]=AG$113,TRUE))*(PptoSty[Project]=TEXT($B212,"@"))*(PptoSty[PptoVsRow]=$E212)*(PptoSty[PptoVsColumn]=UPPER(AG$114)),0)))</f>
        <v>0</v>
      </c>
      <c r="AH212" s="157" cm="1">
        <f t="array" aca="1" ref="AH212" ca="1">IF(OR($E212="X",$E212="",$E212=0,$B212="X",$B212="",$B212=0),0,SUM(_xlfn._xlws.FILTER(IF($E$4="Ppto",PptoSty[CurPpto],PptoSty[CurExt]),(IF($E$4="Ppto",PptoSty[POvsCT]=AH$113,TRUE))*(PptoSty[Project]=TEXT($B212,"@"))*(PptoSty[PptoVsRow]=$E212)*(PptoSty[PptoVsColumn]=UPPER(AG$114)),0)))</f>
        <v>0</v>
      </c>
      <c r="AI212" s="157" cm="1">
        <f t="array" aca="1" ref="AI212" ca="1">IF(OR($E212="X",$E212="",$E212=0,$B212="X",$B212="",$B212=0),0,SUM(_xlfn._xlws.FILTER(IF($E$4="Ppto",PptoSty[CurPpto],PptoSty[CurInt]),(IF($E$4="Ppto",PptoSty[POvsCT]=AI$113,TRUE))*(PptoSty[Project]=TEXT($B212,"@"))*(PptoSty[PptoVsRow]=$E212)*(PptoSty[PptoVsColumn]=UPPER(AI$114)),0)))</f>
        <v>0</v>
      </c>
      <c r="AJ212" s="157" cm="1">
        <f t="array" aca="1" ref="AJ212" ca="1">IF(OR($E212="X",$E212="",$E212=0,$B212="X",$B212="",$B212=0),0,SUM(_xlfn._xlws.FILTER(IF($E$4="Ppto",PptoSty[CurPpto],PptoSty[CurExt]),(IF($E$4="Ppto",PptoSty[POvsCT]=AJ$113,TRUE))*(PptoSty[Project]=TEXT($B212,"@"))*(PptoSty[PptoVsRow]=$E212)*(PptoSty[PptoVsColumn]=UPPER(AI$114)),0)))</f>
        <v>0</v>
      </c>
      <c r="AK212" s="157" cm="1">
        <f t="array" aca="1" ref="AK212" ca="1">IF(OR($E212="X",$E212="",$E212=0,$B212="X",$B212="",$B212=0),0,SUM(_xlfn._xlws.FILTER(IF($E$4="Ppto",PptoSty[CurPpto],PptoSty[CurInt]),(IF($E$4="Ppto",PptoSty[POvsCT]=AK$113,TRUE))*(PptoSty[Project]=TEXT($B212,"@"))*(PptoSty[PptoVsRow]=$E212)*(PptoSty[PptoVsColumn]=UPPER(AK$114)),0)))</f>
        <v>0</v>
      </c>
      <c r="AL212" s="157" cm="1">
        <f t="array" aca="1" ref="AL212" ca="1">IF(OR($E212="X",$E212="",$E212=0,$B212="X",$B212="",$B212=0),0,SUM(_xlfn._xlws.FILTER(IF($E$4="Ppto",PptoSty[CurPpto],PptoSty[CurExt]),(IF($E$4="Ppto",PptoSty[POvsCT]=AL$113,TRUE))*(PptoSty[Project]=TEXT($B212,"@"))*(PptoSty[PptoVsRow]=$E212)*(PptoSty[PptoVsColumn]=UPPER(AK$114)),0)))</f>
        <v>0</v>
      </c>
      <c r="AM212" s="157" cm="1">
        <f t="array" aca="1" ref="AM212" ca="1">IF(OR($E212="X",$E212="",$E212=0,$B212="X",$B212="",$B212=0),0,SUM(_xlfn._xlws.FILTER(IF($E$4="Ppto",PptoSty[CurPpto],PptoSty[CurInt]),(IF($E$4="Ppto",PptoSty[POvsCT]=AM$113,TRUE))*(PptoSty[Project]=TEXT($B212,"@"))*(PptoSty[PptoVsRow]=$E212)*(PptoSty[PptoVsColumn]=UPPER(AM$114)),0)))</f>
        <v>0</v>
      </c>
      <c r="AN212" s="157" cm="1">
        <f t="array" aca="1" ref="AN212" ca="1">IF(OR($E212="X",$E212="",$E212=0,$B212="X",$B212="",$B212=0),0,SUM(_xlfn._xlws.FILTER(IF($E$4="Ppto",PptoSty[CurPpto],PptoSty[CurExt]),(IF($E$4="Ppto",PptoSty[POvsCT]=AN$113,TRUE))*(PptoSty[Project]=TEXT($B212,"@"))*(PptoSty[PptoVsRow]=$E212)*(PptoSty[PptoVsColumn]=UPPER(AM$114)),0)))</f>
        <v>0</v>
      </c>
      <c r="AO212" s="157" cm="1">
        <f t="array" aca="1" ref="AO212" ca="1">IF(OR($E212="X",$E212="",$E212=0,$B212="X",$B212="",$B212=0),0,SUM(_xlfn._xlws.FILTER(IF($E$4="Ppto",PptoSty[CurPpto],PptoSty[CurInt]),(IF($E$4="Ppto",PptoSty[POvsCT]=AO$113,TRUE))*(PptoSty[Project]=TEXT($B212,"@"))*(PptoSty[PptoVsRow]=$E212)*(PptoSty[PptoVsColumn]=UPPER(AO$114)),0)))</f>
        <v>0</v>
      </c>
      <c r="AP212" s="157" cm="1">
        <f t="array" aca="1" ref="AP212" ca="1">IF(OR($E212="X",$E212="",$E212=0,$B212="X",$B212="",$B212=0),0,SUM(_xlfn._xlws.FILTER(IF($E$4="Ppto",PptoSty[CurPpto],PptoSty[CurExt]),(IF($E$4="Ppto",PptoSty[POvsCT]=AP$113,TRUE))*(PptoSty[Project]=TEXT($B212,"@"))*(PptoSty[PptoVsRow]=$E212)*(PptoSty[PptoVsColumn]=UPPER(AO$114)),0)))</f>
        <v>0</v>
      </c>
      <c r="AQ212" s="157" cm="1">
        <f t="array" aca="1" ref="AQ212" ca="1">SUM(IF(INDIRECT($AS$115)=AQ$115,INDIRECT($AS212)))</f>
        <v>0</v>
      </c>
      <c r="AR212" s="157" cm="1">
        <f t="array" aca="1" ref="AR212" ca="1">SUM(IF(INDIRECT($AS$115)=AR$115,INDIRECT($AS212)))</f>
        <v>0</v>
      </c>
      <c r="AS212" s="286" t="str">
        <f t="shared" ca="1" si="18"/>
        <v>G212:AP212</v>
      </c>
      <c r="AT212" s="403">
        <f t="shared" ca="1" si="17"/>
        <v>0</v>
      </c>
      <c r="AV212" s="142" cm="1">
        <f t="array" aca="1" ref="AV212" ca="1">IF(AND(_xlfn.LET(_xlpm.x,SUM(ROW()),OR(AND(MATCH("SOT",$A:$A,0)&lt;_xlpm.x,MATCH("EOT",$A:$A,0)&gt;_xlpm.x),AND(MATCH("SOS",$A:$A,0)&lt;_xlpm.x,MATCH("EOS",$A:$A,0)&gt;_xlpm.x),AND(MATCH("SOR",$A:$A,0)&lt;_xlpm.x,MATCH("EOR",$A:$A,0)&gt;_xlpm.x))),INDIRECT("rc"&amp;MATCH("SCD",$1:$1,0),FALSE)="PPTO"),1,0)</f>
        <v>1</v>
      </c>
      <c r="AW212" s="142" cm="1">
        <f t="array" aca="1" ref="AW21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213" spans="2:49" outlineLevel="1">
      <c r="B213" s="156" t="str" cm="1">
        <f t="array" aca="1" ref="B213" ca="1">_xlfn.LET(_xlpm.x,SUM(ROW()-MATCH("SOR",$A:$A,0)),_xlpm.y,IFERROR(_xlfn.TAKE(INDEX(_xlfn._xlws.FILTER(TbAssign[],ISNUMBER(FIND(TbAssign[Project],$C$4)),"X"),1+QUOTIENT(_xlpm.x,3),0),1,4),0),IF(MOD(_xlpm.x-1,3)=0,IF(_xlpm.y=0,"X",_xlpm.y),INDIRECT("r[-1]c#",FALSE)))</f>
        <v>X</v>
      </c>
      <c r="C213" s="156"/>
      <c r="E213" s="352"/>
      <c r="F213" s="148" t="s">
        <v>1382</v>
      </c>
      <c r="G213" s="157" cm="1">
        <f t="array" aca="1" ref="G213" ca="1">IF(OR($E213="X",$E213="",$E213=0,$B213="X",$B213="",$B213=0),0,SUM(_xlfn._xlws.FILTER(PrvSty[DsvValue:SERRA],(PrvSty[Project]=TEXT($B213,"@"))*(PrvSty[Row]=$E213)*(PrvSty[Column]=UPPER(G$114)),0)))</f>
        <v>0</v>
      </c>
      <c r="H213" s="157" cm="1">
        <f t="array" aca="1" ref="H213" ca="1">IF(OR($E213="X",$E213="",$E213=0,$B213="X",$B213="",$B213=0),0,SUM(_xlfn._xlws.FILTER(PrvSty[DsvValue:EXT.],(PrvSty[Project]=TEXT($B213,"@"))*(PrvSty[Row]=$E213)*(PrvSty[Column]=UPPER(G$114)),0)))</f>
        <v>0</v>
      </c>
      <c r="I213" s="157" cm="1">
        <f t="array" aca="1" ref="I213" ca="1">IF(OR($E213="X",$E213="",$E213=0,$B213="X",$B213="",$B213=0),0,SUM(_xlfn._xlws.FILTER(PrvSty[DsvValue:SERRA],(PrvSty[Project]=TEXT($B213,"@"))*(PrvSty[Row]=$E213)*(PrvSty[Column]=UPPER(I$114)),0)))</f>
        <v>0</v>
      </c>
      <c r="J213" s="157" cm="1">
        <f t="array" aca="1" ref="J213" ca="1">IF(OR($E213="X",$E213="",$E213=0,$B213="X",$B213="",$B213=0),0,SUM(_xlfn._xlws.FILTER(PrvSty[DsvValue:EXT.],(PrvSty[Project]=TEXT($B213,"@"))*(PrvSty[Row]=$E213)*(PrvSty[Column]=UPPER(I$114)),0)))</f>
        <v>0</v>
      </c>
      <c r="K213" s="157" cm="1">
        <f t="array" aca="1" ref="K213" ca="1">IF(OR($E213="X",$E213="",$E213=0,$B213="X",$B213="",$B213=0),0,SUM(_xlfn._xlws.FILTER(PrvSty[DsvValue:SERRA],(PrvSty[Project]=TEXT($B213,"@"))*(PrvSty[Row]=$E213)*(PrvSty[Column]=UPPER(K$114)),0)))</f>
        <v>0</v>
      </c>
      <c r="L213" s="157" cm="1">
        <f t="array" aca="1" ref="L213" ca="1">IF(OR($E213="X",$E213="",$E213=0,$B213="X",$B213="",$B213=0),0,SUM(_xlfn._xlws.FILTER(PrvSty[DsvValue:EXT.],(PrvSty[Project]=TEXT($B213,"@"))*(PrvSty[Row]=$E213)*(PrvSty[Column]=UPPER(K$114)),0)))</f>
        <v>0</v>
      </c>
      <c r="M213" s="157" cm="1">
        <f t="array" aca="1" ref="M213" ca="1">IF(OR($E213="X",$E213="",$E213=0,$B213="X",$B213="",$B213=0),0,SUM(_xlfn._xlws.FILTER(PrvSty[DsvValue:SERRA],(PrvSty[Project]=TEXT($B213,"@"))*(PrvSty[Row]=$E213)*(PrvSty[Column]=UPPER(M$114)),0)))</f>
        <v>0</v>
      </c>
      <c r="N213" s="157" cm="1">
        <f t="array" aca="1" ref="N213" ca="1">IF(OR($E213="X",$E213="",$E213=0,$B213="X",$B213="",$B213=0),0,SUM(_xlfn._xlws.FILTER(PrvSty[DsvValue:EXT.],(PrvSty[Project]=TEXT($B213,"@"))*(PrvSty[Row]=$E213)*(PrvSty[Column]=UPPER(M$114)),0)))</f>
        <v>0</v>
      </c>
      <c r="O213" s="157" cm="1">
        <f t="array" aca="1" ref="O213" ca="1">IF(OR($E213="X",$E213="",$E213=0,$B213="X",$B213="",$B213=0),0,SUM(_xlfn._xlws.FILTER(PrvSty[DsvValue:SERRA],(PrvSty[Project]=TEXT($B213,"@"))*(PrvSty[Row]=$E213)*(PrvSty[Column]=UPPER(O$114)),0)))</f>
        <v>0</v>
      </c>
      <c r="P213" s="157" cm="1">
        <f t="array" aca="1" ref="P213" ca="1">IF(OR($E213="X",$E213="",$E213=0,$B213="X",$B213="",$B213=0),0,SUM(_xlfn._xlws.FILTER(PrvSty[DsvValue:EXT.],(PrvSty[Project]=TEXT($B213,"@"))*(PrvSty[Row]=$E213)*(PrvSty[Column]=UPPER(O$114)),0)))</f>
        <v>0</v>
      </c>
      <c r="Q213" s="157" cm="1">
        <f t="array" aca="1" ref="Q213" ca="1">IF(OR($E213="X",$E213="",$E213=0,$B213="X",$B213="",$B213=0),0,SUM(_xlfn._xlws.FILTER(PrvSty[DsvValue:SERRA],(PrvSty[Project]=TEXT($B213,"@"))*(PrvSty[Row]=$E213)*(PrvSty[Column]=UPPER(Q$114)),0)))</f>
        <v>0</v>
      </c>
      <c r="R213" s="157" cm="1">
        <f t="array" aca="1" ref="R213" ca="1">IF(OR($E213="X",$E213="",$E213=0,$B213="X",$B213="",$B213=0),0,SUM(_xlfn._xlws.FILTER(PrvSty[DsvValue:EXT.],(PrvSty[Project]=TEXT($B213,"@"))*(PrvSty[Row]=$E213)*(PrvSty[Column]=UPPER(Q$114)),0)))</f>
        <v>0</v>
      </c>
      <c r="S213" s="157" cm="1">
        <f t="array" aca="1" ref="S213" ca="1">IF(OR($E213="X",$E213="",$E213=0,$B213="X",$B213="",$B213=0),0,SUM(_xlfn._xlws.FILTER(PrvSty[DsvValue:SERRA],(PrvSty[Project]=TEXT($B213,"@"))*(PrvSty[Row]=$E213)*(PrvSty[Column]=UPPER(S$114)),0)))</f>
        <v>0</v>
      </c>
      <c r="T213" s="157" cm="1">
        <f t="array" aca="1" ref="T213" ca="1">IF(OR($E213="X",$E213="",$E213=0,$B213="X",$B213="",$B213=0),0,SUM(_xlfn._xlws.FILTER(PrvSty[DsvValue:EXT.],(PrvSty[Project]=TEXT($B213,"@"))*(PrvSty[Row]=$E213)*(PrvSty[Column]=UPPER(S$114)),0)))</f>
        <v>0</v>
      </c>
      <c r="U213" s="157" cm="1">
        <f t="array" aca="1" ref="U213" ca="1">IF(OR($E213="X",$E213="",$E213=0,$B213="X",$B213="",$B213=0),0,SUM(_xlfn._xlws.FILTER(PrvSty[DsvValue:SERRA],(PrvSty[Project]=TEXT($B213,"@"))*(PrvSty[Row]=$E213)*(PrvSty[Column]=UPPER(U$114)),0)))</f>
        <v>0</v>
      </c>
      <c r="V213" s="157" cm="1">
        <f t="array" aca="1" ref="V213" ca="1">IF(OR($E213="X",$E213="",$E213=0,$B213="X",$B213="",$B213=0),0,SUM(_xlfn._xlws.FILTER(PrvSty[DsvValue:EXT.],(PrvSty[Project]=TEXT($B213,"@"))*(PrvSty[Row]=$E213)*(PrvSty[Column]=UPPER(U$114)),0)))</f>
        <v>0</v>
      </c>
      <c r="W213" s="157" cm="1">
        <f t="array" aca="1" ref="W213" ca="1">IF(OR($E213="X",$E213="",$E213=0,$B213="X",$B213="",$B213=0),0,SUM(_xlfn._xlws.FILTER(PrvSty[DsvValue:SERRA],(PrvSty[Project]=TEXT($B213,"@"))*(PrvSty[Row]=$E213)*(PrvSty[Column]=UPPER(W$114)),0)))</f>
        <v>0</v>
      </c>
      <c r="X213" s="157" cm="1">
        <f t="array" aca="1" ref="X213" ca="1">IF(OR($E213="X",$E213="",$E213=0,$B213="X",$B213="",$B213=0),0,SUM(_xlfn._xlws.FILTER(PrvSty[DsvValue:EXT.],(PrvSty[Project]=TEXT($B213,"@"))*(PrvSty[Row]=$E213)*(PrvSty[Column]=UPPER(W$114)),0)))</f>
        <v>0</v>
      </c>
      <c r="Y213" s="157" cm="1">
        <f t="array" aca="1" ref="Y213" ca="1">IF(OR($E213="X",$E213="",$E213=0,$B213="X",$B213="",$B213=0),0,SUM(_xlfn._xlws.FILTER(PrvSty[DsvValue:SERRA],(PrvSty[Project]=TEXT($B213,"@"))*(PrvSty[Row]=$E213)*(PrvSty[Column]=UPPER(Y$114)),0)))</f>
        <v>0</v>
      </c>
      <c r="Z213" s="157" cm="1">
        <f t="array" aca="1" ref="Z213" ca="1">IF(OR($E213="X",$E213="",$E213=0,$B213="X",$B213="",$B213=0),0,SUM(_xlfn._xlws.FILTER(PrvSty[DsvValue:EXT.],(PrvSty[Project]=TEXT($B213,"@"))*(PrvSty[Row]=$E213)*(PrvSty[Column]=UPPER(Y$114)),0)))</f>
        <v>0</v>
      </c>
      <c r="AA213" s="157" cm="1">
        <f t="array" aca="1" ref="AA213" ca="1">IF(OR($E213="X",$E213="",$E213=0,$B213="X",$B213="",$B213=0),0,SUM(_xlfn._xlws.FILTER(PrvSty[DsvValue:SERRA],(PrvSty[Project]=TEXT($B213,"@"))*(PrvSty[Row]=$E213)*(PrvSty[Column]=UPPER(AA$114)),0)))</f>
        <v>0</v>
      </c>
      <c r="AB213" s="157" cm="1">
        <f t="array" aca="1" ref="AB213" ca="1">IF(OR($E213="X",$E213="",$E213=0,$B213="X",$B213="",$B213=0),0,SUM(_xlfn._xlws.FILTER(PrvSty[DsvValue:EXT.],(PrvSty[Project]=TEXT($B213,"@"))*(PrvSty[Row]=$E213)*(PrvSty[Column]=UPPER(AA$114)),0)))</f>
        <v>0</v>
      </c>
      <c r="AC213" s="157" cm="1">
        <f t="array" aca="1" ref="AC213" ca="1">IF(OR($E213="X",$E213="",$E213=0,$B213="X",$B213="",$B213=0),0,SUM(_xlfn._xlws.FILTER(PrvSty[DsvValue:SERRA],(PrvSty[Project]=TEXT($B213,"@"))*(PrvSty[Row]=$E213)*(PrvSty[Column]=UPPER(AC$114)),0)))</f>
        <v>0</v>
      </c>
      <c r="AD213" s="157" cm="1">
        <f t="array" aca="1" ref="AD213" ca="1">IF(OR($E213="X",$E213="",$E213=0,$B213="X",$B213="",$B213=0),0,SUM(_xlfn._xlws.FILTER(PrvSty[DsvValue:EXT.],(PrvSty[Project]=TEXT($B213,"@"))*(PrvSty[Row]=$E213)*(PrvSty[Column]=UPPER(AC$114)),0)))</f>
        <v>0</v>
      </c>
      <c r="AE213" s="157" cm="1">
        <f t="array" aca="1" ref="AE213" ca="1">IF(OR($E213="X",$E213="",$E213=0,$B213="X",$B213="",$B213=0),0,SUM(_xlfn._xlws.FILTER(PrvSty[DsvValue:SERRA],(PrvSty[Project]=TEXT($B213,"@"))*(PrvSty[Row]=$E213)*(PrvSty[Column]=UPPER(AE$114)),0)))</f>
        <v>0</v>
      </c>
      <c r="AF213" s="157" cm="1">
        <f t="array" aca="1" ref="AF213" ca="1">IF(OR($E213="X",$E213="",$E213=0,$B213="X",$B213="",$B213=0),0,SUM(_xlfn._xlws.FILTER(PrvSty[DsvValue:EXT.],(PrvSty[Project]=TEXT($B213,"@"))*(PrvSty[Row]=$E213)*(PrvSty[Column]=UPPER(AE$114)),0)))</f>
        <v>0</v>
      </c>
      <c r="AG213" s="157" cm="1">
        <f t="array" aca="1" ref="AG213" ca="1">IF(OR($E213="X",$E213="",$E213=0,$B213="X",$B213="",$B213=0),0,SUM(_xlfn._xlws.FILTER(PrvSty[DsvValue:SERRA],(PrvSty[Project]=TEXT($B213,"@"))*(PrvSty[Row]=$E213)*(PrvSty[Column]=UPPER(AG$114)),0)))</f>
        <v>0</v>
      </c>
      <c r="AH213" s="157" cm="1">
        <f t="array" aca="1" ref="AH213" ca="1">IF(OR($E213="X",$E213="",$E213=0,$B213="X",$B213="",$B213=0),0,SUM(_xlfn._xlws.FILTER(PrvSty[DsvValue:EXT.],(PrvSty[Project]=TEXT($B213,"@"))*(PrvSty[Row]=$E213)*(PrvSty[Column]=UPPER(AG$114)),0)))</f>
        <v>0</v>
      </c>
      <c r="AI213" s="157" cm="1">
        <f t="array" aca="1" ref="AI213" ca="1">IF(OR($E213="X",$E213="",$E213=0,$B213="X",$B213="",$B213=0),0,SUM(_xlfn._xlws.FILTER(PrvSty[DsvValue:SERRA],(PrvSty[Project]=TEXT($B213,"@"))*(PrvSty[Row]=$E213)*(PrvSty[Column]=UPPER(AI$114)),0)))</f>
        <v>0</v>
      </c>
      <c r="AJ213" s="157" cm="1">
        <f t="array" aca="1" ref="AJ213" ca="1">IF(OR($E213="X",$E213="",$E213=0,$B213="X",$B213="",$B213=0),0,SUM(_xlfn._xlws.FILTER(PrvSty[DsvValue:EXT.],(PrvSty[Project]=TEXT($B213,"@"))*(PrvSty[Row]=$E213)*(PrvSty[Column]=UPPER(AI$114)),0)))</f>
        <v>0</v>
      </c>
      <c r="AK213" s="157" cm="1">
        <f t="array" aca="1" ref="AK213" ca="1">IF(OR($E213="X",$E213="",$E213=0,$B213="X",$B213="",$B213=0),0,SUM(_xlfn._xlws.FILTER(PrvSty[DsvValue:SERRA],(PrvSty[Project]=TEXT($B213,"@"))*(PrvSty[Row]=$E213)*(PrvSty[Column]=UPPER(AK$114)),0)))</f>
        <v>0</v>
      </c>
      <c r="AL213" s="157" cm="1">
        <f t="array" aca="1" ref="AL213" ca="1">IF(OR($E213="X",$E213="",$E213=0,$B213="X",$B213="",$B213=0),0,SUM(_xlfn._xlws.FILTER(PrvSty[DsvValue:EXT.],(PrvSty[Project]=TEXT($B213,"@"))*(PrvSty[Row]=$E213)*(PrvSty[Column]=UPPER(AK$114)),0)))</f>
        <v>0</v>
      </c>
      <c r="AM213" s="157" cm="1">
        <f t="array" aca="1" ref="AM213" ca="1">IF(OR($E213="X",$E213="",$E213=0,$B213="X",$B213="",$B213=0),0,SUM(_xlfn._xlws.FILTER(PrvSty[DsvValue:SERRA],(PrvSty[Project]=TEXT($B213,"@"))*(PrvSty[Row]=$E213)*(PrvSty[Column]=UPPER(AM$114)),0)))</f>
        <v>0</v>
      </c>
      <c r="AN213" s="157" cm="1">
        <f t="array" aca="1" ref="AN213" ca="1">IF(OR($E213="X",$E213="",$E213=0,$B213="X",$B213="",$B213=0),0,SUM(_xlfn._xlws.FILTER(PrvSty[DsvValue:EXT.],(PrvSty[Project]=TEXT($B213,"@"))*(PrvSty[Row]=$E213)*(PrvSty[Column]=UPPER(AM$114)),0)))</f>
        <v>0</v>
      </c>
      <c r="AO213" s="157" cm="1">
        <f t="array" aca="1" ref="AO213" ca="1">IF(OR($E213="X",$E213="",$E213=0,$B213="X",$B213="",$B213=0),0,SUM(_xlfn._xlws.FILTER(PrvSty[DsvValue:SERRA],(PrvSty[Project]=TEXT($B213,"@"))*(PrvSty[Row]=$E213)*(PrvSty[Column]=UPPER(AO$114)),0)))</f>
        <v>0</v>
      </c>
      <c r="AP213" s="157" cm="1">
        <f t="array" aca="1" ref="AP213" ca="1">IF(OR($E213="X",$E213="",$E213=0,$B213="X",$B213="",$B213=0),0,SUM(_xlfn._xlws.FILTER(PrvSty[DsvValue:EXT.],(PrvSty[Project]=TEXT($B213,"@"))*(PrvSty[Row]=$E213)*(PrvSty[Column]=UPPER(AO$114)),0)))</f>
        <v>0</v>
      </c>
      <c r="AQ213" s="157" cm="1">
        <f t="array" aca="1" ref="AQ213" ca="1">SUM(IF(INDIRECT($AS$115)=AQ$115,INDIRECT($AS213)))</f>
        <v>0</v>
      </c>
      <c r="AR213" s="157" cm="1">
        <f t="array" aca="1" ref="AR213" ca="1">SUM(IF(INDIRECT($AS$115)=AR$115,INDIRECT($AS213)))</f>
        <v>0</v>
      </c>
      <c r="AS213" s="286" t="str">
        <f t="shared" ca="1" si="18"/>
        <v>G213:AP213</v>
      </c>
      <c r="AT213" s="403">
        <f t="shared" ca="1" si="17"/>
        <v>0</v>
      </c>
      <c r="AV213" s="142" cm="1">
        <f t="array" aca="1" ref="AV213" ca="1">IF(AND(_xlfn.LET(_xlpm.x,SUM(ROW()),OR(AND(MATCH("SOT",$A:$A,0)&lt;_xlpm.x,MATCH("EOT",$A:$A,0)&gt;_xlpm.x),AND(MATCH("SOS",$A:$A,0)&lt;_xlpm.x,MATCH("EOS",$A:$A,0)&gt;_xlpm.x),AND(MATCH("SOR",$A:$A,0)&lt;_xlpm.x,MATCH("EOR",$A:$A,0)&gt;_xlpm.x))),INDIRECT("rc"&amp;MATCH("SCD",$1:$1,0),FALSE)="PPTO"),1,0)</f>
        <v>0</v>
      </c>
      <c r="AW213" s="142" cm="1">
        <f t="array" aca="1" ref="AW21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214" spans="2:49" outlineLevel="1">
      <c r="B214" s="156" t="str" cm="1">
        <f t="array" aca="1" ref="B214" ca="1">_xlfn.LET(_xlpm.x,SUM(ROW()-MATCH("SOR",$A:$A,0)),_xlpm.y,IFERROR(_xlfn.TAKE(INDEX(_xlfn._xlws.FILTER(TbAssign[],ISNUMBER(FIND(TbAssign[Project],$C$4)),"X"),1+QUOTIENT(_xlpm.x,3),0),1,4),0),IF(MOD(_xlpm.x-1,3)=0,IF(_xlpm.y=0,"X",_xlpm.y),INDIRECT("r[-1]c#",FALSE)))</f>
        <v>X</v>
      </c>
      <c r="C214" s="156"/>
      <c r="E214" s="352"/>
      <c r="F214" s="148" t="s">
        <v>1383</v>
      </c>
      <c r="G214" s="158" cm="1">
        <f t="array" aca="1" ref="G214" ca="1">IF(OR($E214="X",$E214="",$E214=0,$B214="X",$B214="",$B214=0),0,SUM(_xlfn._xlws.FILTER(FrmBB1[Cur],(FrmBB1[PrjId]=TEXT($B214,"@"))*(FrmBB1[Row]=$E214)*(FrmBB1[Column]=UPPER(_xlfn.LET(_xlpm.x,_xlfn.TEXTBEFORE(G$114," ("),IFERROR(_xlpm.x,G$114)))&amp;" "&amp;G$115),0)))</f>
        <v>0</v>
      </c>
      <c r="H214" s="157" cm="1">
        <f t="array" aca="1" ref="H214" ca="1">IF(OR($E214="X",$E214="",$E214=0,$B214="X",$B214="",$B214=0),0,SUM(_xlfn._xlws.FILTER(FrmBB1[Cur],(FrmBB1[PrjId]=TEXT($B214,"@"))*(FrmBB1[Row]=$E214)*(FrmBB1[Column]=UPPER(_xlfn.LET(_xlpm.x,_xlfn.TEXTBEFORE(G$114," ("),IFERROR(_xlpm.x,G$114)))&amp;" "&amp;H$115),0)))</f>
        <v>0</v>
      </c>
      <c r="I214" s="158" cm="1">
        <f t="array" aca="1" ref="I214" ca="1">IF(OR($E214="X",$E214="",$E214=0,$B214="X",$B214="",$B214=0),0,SUM(_xlfn._xlws.FILTER(FrmBB1[Cur],(FrmBB1[PrjId]=TEXT($B214,"@"))*(FrmBB1[Row]=$E214)*(FrmBB1[Column]=UPPER(_xlfn.LET(_xlpm.x,_xlfn.TEXTBEFORE(I$114," ("),IFERROR(_xlpm.x,I$114)))&amp;" "&amp;I$115),0)))</f>
        <v>0</v>
      </c>
      <c r="J214" s="157" cm="1">
        <f t="array" aca="1" ref="J214" ca="1">IF(OR($E214="X",$E214="",$E214=0,$B214="X",$B214="",$B214=0),0,SUM(_xlfn._xlws.FILTER(FrmBB1[Cur],(FrmBB1[PrjId]=TEXT($B214,"@"))*(FrmBB1[Row]=$E214)*(FrmBB1[Column]=UPPER(_xlfn.LET(_xlpm.x,_xlfn.TEXTBEFORE(I$114," ("),IFERROR(_xlpm.x,I$114)))&amp;" "&amp;J$115),0)))</f>
        <v>0</v>
      </c>
      <c r="K214" s="158" cm="1">
        <f t="array" aca="1" ref="K214" ca="1">IF(OR($E214="X",$E214="",$E214=0,$B214="X",$B214="",$B214=0),0,SUM(_xlfn._xlws.FILTER(FrmBB1[Cur],(FrmBB1[PrjId]=TEXT($B214,"@"))*(FrmBB1[Row]=$E214)*(FrmBB1[Column]=UPPER(_xlfn.LET(_xlpm.x,_xlfn.TEXTBEFORE(K$114," ("),IFERROR(_xlpm.x,K$114)))&amp;" "&amp;K$115),0)))</f>
        <v>0</v>
      </c>
      <c r="L214" s="157" cm="1">
        <f t="array" aca="1" ref="L214" ca="1">IF(OR($E214="X",$E214="",$E214=0,$B214="X",$B214="",$B214=0),0,SUM(_xlfn._xlws.FILTER(FrmBB1[Cur],(FrmBB1[PrjId]=TEXT($B214,"@"))*(FrmBB1[Row]=$E214)*(FrmBB1[Column]=UPPER(_xlfn.LET(_xlpm.x,_xlfn.TEXTBEFORE(K$114," ("),IFERROR(_xlpm.x,K$114)))&amp;" "&amp;L$115),0)))</f>
        <v>0</v>
      </c>
      <c r="M214" s="158" cm="1">
        <f t="array" aca="1" ref="M214" ca="1">IF(OR($E214="X",$E214="",$E214=0,$B214="X",$B214="",$B214=0),0,SUM(_xlfn._xlws.FILTER(FrmBB1[Cur],(FrmBB1[PrjId]=TEXT($B214,"@"))*(FrmBB1[Row]=$E214)*(FrmBB1[Column]=UPPER(_xlfn.LET(_xlpm.x,_xlfn.TEXTBEFORE(M$114," ("),IFERROR(_xlpm.x,M$114)))&amp;" "&amp;M$115),0)))</f>
        <v>0</v>
      </c>
      <c r="N214" s="157" cm="1">
        <f t="array" aca="1" ref="N214" ca="1">IF(OR($E214="X",$E214="",$E214=0,$B214="X",$B214="",$B214=0),0,SUM(_xlfn._xlws.FILTER(FrmBB1[Cur],(FrmBB1[PrjId]=TEXT($B214,"@"))*(FrmBB1[Row]=$E214)*(FrmBB1[Column]=UPPER(_xlfn.LET(_xlpm.x,_xlfn.TEXTBEFORE(M$114," ("),IFERROR(_xlpm.x,M$114)))&amp;" "&amp;N$115),0)))</f>
        <v>0</v>
      </c>
      <c r="O214" s="158" cm="1">
        <f t="array" aca="1" ref="O214" ca="1">IF(OR($E214="X",$E214="",$E214=0,$B214="X",$B214="",$B214=0),0,SUM(_xlfn._xlws.FILTER(FrmBB1[Cur],(FrmBB1[PrjId]=TEXT($B214,"@"))*(FrmBB1[Row]=$E214)*(FrmBB1[Column]=UPPER(_xlfn.LET(_xlpm.x,_xlfn.TEXTBEFORE(O$114," ("),IFERROR(_xlpm.x,O$114)))&amp;" "&amp;O$115),0)))</f>
        <v>0</v>
      </c>
      <c r="P214" s="157" cm="1">
        <f t="array" aca="1" ref="P214" ca="1">IF(OR($E214="X",$E214="",$E214=0,$B214="X",$B214="",$B214=0),0,SUM(_xlfn._xlws.FILTER(FrmBB1[Cur],(FrmBB1[PrjId]=TEXT($B214,"@"))*(FrmBB1[Row]=$E214)*(FrmBB1[Column]=UPPER(_xlfn.LET(_xlpm.x,_xlfn.TEXTBEFORE(O$114," ("),IFERROR(_xlpm.x,O$114)))&amp;" "&amp;P$115),0)))</f>
        <v>0</v>
      </c>
      <c r="Q214" s="158" cm="1">
        <f t="array" aca="1" ref="Q214" ca="1">IF(OR($E214="X",$E214="",$E214=0,$B214="X",$B214="",$B214=0),0,SUM(_xlfn._xlws.FILTER(FrmBB1[Cur],(FrmBB1[PrjId]=TEXT($B214,"@"))*(FrmBB1[Row]=$E214)*(FrmBB1[Column]=UPPER(_xlfn.LET(_xlpm.x,_xlfn.TEXTBEFORE(Q$114," ("),IFERROR(_xlpm.x,Q$114)))&amp;" "&amp;Q$115),0)))</f>
        <v>0</v>
      </c>
      <c r="R214" s="157" cm="1">
        <f t="array" aca="1" ref="R214" ca="1">IF(OR($E214="X",$E214="",$E214=0,$B214="X",$B214="",$B214=0),0,SUM(_xlfn._xlws.FILTER(FrmBB1[Cur],(FrmBB1[PrjId]=TEXT($B214,"@"))*(FrmBB1[Row]=$E214)*(FrmBB1[Column]=UPPER(_xlfn.LET(_xlpm.x,_xlfn.TEXTBEFORE(Q$114," ("),IFERROR(_xlpm.x,Q$114)))&amp;" "&amp;R$115),0)))</f>
        <v>0</v>
      </c>
      <c r="S214" s="158" cm="1">
        <f t="array" aca="1" ref="S214" ca="1">IF(OR($E214="X",$E214="",$E214=0,$B214="X",$B214="",$B214=0),0,SUM(_xlfn._xlws.FILTER(FrmBB1[Cur],(FrmBB1[PrjId]=TEXT($B214,"@"))*(FrmBB1[Row]=$E214)*(FrmBB1[Column]=UPPER(_xlfn.LET(_xlpm.x,_xlfn.TEXTBEFORE(S$114," ("),IFERROR(_xlpm.x,S$114)))&amp;" "&amp;S$115),0)))</f>
        <v>0</v>
      </c>
      <c r="T214" s="157" cm="1">
        <f t="array" aca="1" ref="T214" ca="1">IF(OR($E214="X",$E214="",$E214=0,$B214="X",$B214="",$B214=0),0,SUM(_xlfn._xlws.FILTER(FrmBB1[Cur],(FrmBB1[PrjId]=TEXT($B214,"@"))*(FrmBB1[Row]=$E214)*(FrmBB1[Column]=UPPER(_xlfn.LET(_xlpm.x,_xlfn.TEXTBEFORE(S$114," ("),IFERROR(_xlpm.x,S$114)))&amp;" "&amp;T$115),0)))</f>
        <v>0</v>
      </c>
      <c r="U214" s="158" cm="1">
        <f t="array" aca="1" ref="U214" ca="1">IF(OR($E214="X",$E214="",$E214=0,$B214="X",$B214="",$B214=0),0,SUM(_xlfn._xlws.FILTER(FrmBB1[Cur],(FrmBB1[PrjId]=TEXT($B214,"@"))*(FrmBB1[Row]=$E214)*(FrmBB1[Column]=UPPER(_xlfn.LET(_xlpm.x,_xlfn.TEXTBEFORE(U$114," ("),IFERROR(_xlpm.x,U$114)))&amp;" "&amp;U$115),0)))</f>
        <v>0</v>
      </c>
      <c r="V214" s="157" cm="1">
        <f t="array" aca="1" ref="V214" ca="1">IF(OR($E214="X",$E214="",$E214=0,$B214="X",$B214="",$B214=0),0,SUM(_xlfn._xlws.FILTER(FrmBB1[Cur],(FrmBB1[PrjId]=TEXT($B214,"@"))*(FrmBB1[Row]=$E214)*(FrmBB1[Column]=UPPER(_xlfn.LET(_xlpm.x,_xlfn.TEXTBEFORE(U$114," ("),IFERROR(_xlpm.x,U$114)))&amp;" "&amp;V$115),0)))</f>
        <v>0</v>
      </c>
      <c r="W214" s="158" cm="1">
        <f t="array" aca="1" ref="W214" ca="1">IF(OR($E214="X",$E214="",$E214=0,$B214="X",$B214="",$B214=0),0,SUM(_xlfn._xlws.FILTER(FrmBB1[Cur],(FrmBB1[PrjId]=TEXT($B214,"@"))*(FrmBB1[Row]=$E214)*(FrmBB1[Column]=UPPER(_xlfn.LET(_xlpm.x,_xlfn.TEXTBEFORE(W$114," ("),IFERROR(_xlpm.x,W$114)))&amp;" "&amp;W$115),0)))</f>
        <v>0</v>
      </c>
      <c r="X214" s="157" cm="1">
        <f t="array" aca="1" ref="X214" ca="1">IF(OR($E214="X",$E214="",$E214=0,$B214="X",$B214="",$B214=0),0,SUM(_xlfn._xlws.FILTER(FrmBB1[Cur],(FrmBB1[PrjId]=TEXT($B214,"@"))*(FrmBB1[Row]=$E214)*(FrmBB1[Column]=UPPER(_xlfn.LET(_xlpm.x,_xlfn.TEXTBEFORE(W$114," ("),IFERROR(_xlpm.x,W$114)))&amp;" "&amp;X$115),0)))</f>
        <v>0</v>
      </c>
      <c r="Y214" s="158" cm="1">
        <f t="array" aca="1" ref="Y214" ca="1">IF(OR($E214="X",$E214="",$E214=0,$B214="X",$B214="",$B214=0),0,SUM(_xlfn._xlws.FILTER(FrmBB1[Cur],(FrmBB1[PrjId]=TEXT($B214,"@"))*(FrmBB1[Row]=$E214)*(FrmBB1[Column]=UPPER(_xlfn.LET(_xlpm.x,_xlfn.TEXTBEFORE(Y$114," ("),IFERROR(_xlpm.x,Y$114)))&amp;" "&amp;Y$115),0)))</f>
        <v>0</v>
      </c>
      <c r="Z214" s="157" cm="1">
        <f t="array" aca="1" ref="Z214" ca="1">IF(OR($E214="X",$E214="",$E214=0,$B214="X",$B214="",$B214=0),0,SUM(_xlfn._xlws.FILTER(FrmBB1[Cur],(FrmBB1[PrjId]=TEXT($B214,"@"))*(FrmBB1[Row]=$E214)*(FrmBB1[Column]=UPPER(_xlfn.LET(_xlpm.x,_xlfn.TEXTBEFORE(Y$114," ("),IFERROR(_xlpm.x,Y$114)))&amp;" "&amp;Z$115),0)))</f>
        <v>0</v>
      </c>
      <c r="AA214" s="158" cm="1">
        <f t="array" aca="1" ref="AA214" ca="1">IF(OR($E214="X",$E214="",$E214=0,$B214="X",$B214="",$B214=0),0,SUM(_xlfn._xlws.FILTER(FrmBB1[Cur],(FrmBB1[PrjId]=TEXT($B214,"@"))*(FrmBB1[Row]=$E214)*(FrmBB1[Column]=UPPER(_xlfn.LET(_xlpm.x,_xlfn.TEXTBEFORE(AA$114," ("),IFERROR(_xlpm.x,AA$114)))&amp;" "&amp;AA$115),0)))</f>
        <v>0</v>
      </c>
      <c r="AB214" s="157" cm="1">
        <f t="array" aca="1" ref="AB214" ca="1">IF(OR($E214="X",$E214="",$E214=0,$B214="X",$B214="",$B214=0),0,SUM(_xlfn._xlws.FILTER(FrmBB1[Cur],(FrmBB1[PrjId]=TEXT($B214,"@"))*(FrmBB1[Row]=$E214)*(FrmBB1[Column]=UPPER(_xlfn.LET(_xlpm.x,_xlfn.TEXTBEFORE(AA$114," ("),IFERROR(_xlpm.x,AA$114)))&amp;" "&amp;AB$115),0)))</f>
        <v>0</v>
      </c>
      <c r="AC214" s="158" cm="1">
        <f t="array" aca="1" ref="AC214" ca="1">IF(OR($E214="X",$E214="",$E214=0,$B214="X",$B214="",$B214=0),0,SUM(_xlfn._xlws.FILTER(FrmBB1[Cur],(FrmBB1[PrjId]=TEXT($B214,"@"))*(FrmBB1[Row]=$E214)*(FrmBB1[Column]=UPPER(_xlfn.LET(_xlpm.x,_xlfn.TEXTBEFORE(AC$114," ("),IFERROR(_xlpm.x,AC$114)))&amp;" "&amp;AC$115),0)))</f>
        <v>0</v>
      </c>
      <c r="AD214" s="157" cm="1">
        <f t="array" aca="1" ref="AD214" ca="1">IF(OR($E214="X",$E214="",$E214=0,$B214="X",$B214="",$B214=0),0,SUM(_xlfn._xlws.FILTER(FrmBB1[Cur],(FrmBB1[PrjId]=TEXT($B214,"@"))*(FrmBB1[Row]=$E214)*(FrmBB1[Column]=UPPER(_xlfn.LET(_xlpm.x,_xlfn.TEXTBEFORE(AC$114," ("),IFERROR(_xlpm.x,AC$114)))&amp;" "&amp;AD$115),0)))</f>
        <v>0</v>
      </c>
      <c r="AE214" s="158" cm="1">
        <f t="array" aca="1" ref="AE214" ca="1">IF(OR($E214="X",$E214="",$E214=0,$B214="X",$B214="",$B214=0),0,SUM(_xlfn._xlws.FILTER(FrmBB1[Cur],(FrmBB1[PrjId]=TEXT($B214,"@"))*(FrmBB1[Row]=$E214)*(FrmBB1[Column]=UPPER(_xlfn.LET(_xlpm.x,_xlfn.TEXTBEFORE(AE$114," ("),IFERROR(_xlpm.x,AE$114)))&amp;" "&amp;AE$115),0)))</f>
        <v>0</v>
      </c>
      <c r="AF214" s="157" cm="1">
        <f t="array" aca="1" ref="AF214" ca="1">IF(OR($E214="X",$E214="",$E214=0,$B214="X",$B214="",$B214=0),0,SUM(_xlfn._xlws.FILTER(FrmBB1[Cur],(FrmBB1[PrjId]=TEXT($B214,"@"))*(FrmBB1[Row]=$E214)*(FrmBB1[Column]=UPPER(_xlfn.LET(_xlpm.x,_xlfn.TEXTBEFORE(AE$114," ("),IFERROR(_xlpm.x,AE$114)))&amp;" "&amp;AF$115),0)))</f>
        <v>0</v>
      </c>
      <c r="AG214" s="158" cm="1">
        <f t="array" aca="1" ref="AG214" ca="1">IF(OR($E214="X",$E214="",$E214=0,$B214="X",$B214="",$B214=0),0,SUM(_xlfn._xlws.FILTER(FrmBB1[Cur],(FrmBB1[PrjId]=TEXT($B214,"@"))*(FrmBB1[Row]=$E214)*(FrmBB1[Column]=UPPER(_xlfn.LET(_xlpm.x,_xlfn.TEXTBEFORE(AG$114," ("),IFERROR(_xlpm.x,AG$114)))&amp;" "&amp;AG$115),0)))</f>
        <v>0</v>
      </c>
      <c r="AH214" s="157" cm="1">
        <f t="array" aca="1" ref="AH214" ca="1">IF(OR($E214="X",$E214="",$E214=0,$B214="X",$B214="",$B214=0),0,SUM(_xlfn._xlws.FILTER(FrmBB1[Cur],(FrmBB1[PrjId]=TEXT($B214,"@"))*(FrmBB1[Row]=$E214)*(FrmBB1[Column]=UPPER(_xlfn.LET(_xlpm.x,_xlfn.TEXTBEFORE(AG$114," ("),IFERROR(_xlpm.x,AG$114)))&amp;" "&amp;AH$115),0)))</f>
        <v>0</v>
      </c>
      <c r="AI214" s="158" cm="1">
        <f t="array" aca="1" ref="AI214" ca="1">IF(OR($E214="X",$E214="",$E214=0,$B214="X",$B214="",$B214=0),0,SUM(_xlfn._xlws.FILTER(FrmBB1[Cur],(FrmBB1[PrjId]=TEXT($B214,"@"))*(FrmBB1[Row]=$E214)*(FrmBB1[Column]=UPPER(_xlfn.LET(_xlpm.x,_xlfn.TEXTBEFORE(AI$114," ("),IFERROR(_xlpm.x,AI$114)))&amp;" "&amp;AI$115),0)))</f>
        <v>0</v>
      </c>
      <c r="AJ214" s="157" cm="1">
        <f t="array" aca="1" ref="AJ214" ca="1">IF(OR($E214="X",$E214="",$E214=0,$B214="X",$B214="",$B214=0),0,SUM(_xlfn._xlws.FILTER(FrmBB1[Cur],(FrmBB1[PrjId]=TEXT($B214,"@"))*(FrmBB1[Row]=$E214)*(FrmBB1[Column]=UPPER(_xlfn.LET(_xlpm.x,_xlfn.TEXTBEFORE(AI$114," ("),IFERROR(_xlpm.x,AI$114)))&amp;" "&amp;AJ$115),0)))</f>
        <v>0</v>
      </c>
      <c r="AK214" s="158" cm="1">
        <f t="array" aca="1" ref="AK214" ca="1">IF(OR($E214="X",$E214="",$E214=0,$B214="X",$B214="",$B214=0),0,SUM(_xlfn._xlws.FILTER(FrmBB1[Cur],(FrmBB1[PrjId]=TEXT($B214,"@"))*(FrmBB1[Row]=$E214)*(FrmBB1[Column]=UPPER(_xlfn.LET(_xlpm.x,_xlfn.TEXTBEFORE(AK$114," ("),IFERROR(_xlpm.x,AK$114)))&amp;" "&amp;AK$115),0)))</f>
        <v>0</v>
      </c>
      <c r="AL214" s="157" cm="1">
        <f t="array" aca="1" ref="AL214" ca="1">IF(OR($E214="X",$E214="",$E214=0,$B214="X",$B214="",$B214=0),0,SUM(_xlfn._xlws.FILTER(FrmBB1[Cur],(FrmBB1[PrjId]=TEXT($B214,"@"))*(FrmBB1[Row]=$E214)*(FrmBB1[Column]=UPPER(_xlfn.LET(_xlpm.x,_xlfn.TEXTBEFORE(AK$114," ("),IFERROR(_xlpm.x,AK$114)))&amp;" "&amp;AL$115),0)))</f>
        <v>0</v>
      </c>
      <c r="AM214" s="158" cm="1">
        <f t="array" aca="1" ref="AM214" ca="1">IF(OR($E214="X",$E214="",$E214=0,$B214="X",$B214="",$B214=0),0,SUM(_xlfn._xlws.FILTER(FrmBB1[Cur],(FrmBB1[PrjId]=TEXT($B214,"@"))*(FrmBB1[Row]=$E214)*(FrmBB1[Column]=UPPER(_xlfn.LET(_xlpm.x,_xlfn.TEXTBEFORE(AM$114," ("),IFERROR(_xlpm.x,AM$114)))&amp;" "&amp;AM$115),0)))</f>
        <v>0</v>
      </c>
      <c r="AN214" s="157" cm="1">
        <f t="array" aca="1" ref="AN214" ca="1">IF(OR($E214="X",$E214="",$E214=0,$B214="X",$B214="",$B214=0),0,SUM(_xlfn._xlws.FILTER(FrmBB1[Cur],(FrmBB1[PrjId]=TEXT($B214,"@"))*(FrmBB1[Row]=$E214)*(FrmBB1[Column]=UPPER(_xlfn.LET(_xlpm.x,_xlfn.TEXTBEFORE(AM$114," ("),IFERROR(_xlpm.x,AM$114)))&amp;" "&amp;AN$115),0)))</f>
        <v>0</v>
      </c>
      <c r="AO214" s="158" cm="1">
        <f t="array" aca="1" ref="AO214" ca="1">IF(OR($E214="X",$E214="",$E214=0,$B214="X",$B214="",$B214=0),0,SUM(_xlfn._xlws.FILTER(FrmBB1[Cur],(FrmBB1[PrjId]=TEXT($B214,"@"))*(FrmBB1[Row]=$E214)*(FrmBB1[Column]=UPPER(_xlfn.LET(_xlpm.x,_xlfn.TEXTBEFORE(AO$114," ("),IFERROR(_xlpm.x,AO$114)))&amp;" "&amp;AO$115),0)))</f>
        <v>0</v>
      </c>
      <c r="AP214" s="157" cm="1">
        <f t="array" aca="1" ref="AP214" ca="1">IF(OR($E214="X",$E214="",$E214=0,$B214="X",$B214="",$B214=0),0,SUM(_xlfn._xlws.FILTER(FrmBB1[Cur],(FrmBB1[PrjId]=TEXT($B214,"@"))*(FrmBB1[Row]=$E214)*(FrmBB1[Column]=UPPER(_xlfn.LET(_xlpm.x,_xlfn.TEXTBEFORE(AO$114," ("),IFERROR(_xlpm.x,AO$114)))&amp;" "&amp;AP$115),0)))</f>
        <v>0</v>
      </c>
      <c r="AQ214" s="157" cm="1">
        <f t="array" aca="1" ref="AQ214" ca="1">SUM(IF(INDIRECT($AS$115)=AQ$115,INDIRECT($AS214)))</f>
        <v>0</v>
      </c>
      <c r="AR214" s="157" cm="1">
        <f t="array" aca="1" ref="AR214" ca="1">SUM(IF(INDIRECT($AS$115)=AR$115,INDIRECT($AS214)))</f>
        <v>0</v>
      </c>
      <c r="AS214" s="286" t="str">
        <f t="shared" ca="1" si="18"/>
        <v>G214:AP214</v>
      </c>
      <c r="AT214" s="403">
        <f t="shared" ca="1" si="17"/>
        <v>0</v>
      </c>
      <c r="AV214" s="142" cm="1">
        <f t="array" aca="1" ref="AV214" ca="1">IF(AND(_xlfn.LET(_xlpm.x,SUM(ROW()),OR(AND(MATCH("SOT",$A:$A,0)&lt;_xlpm.x,MATCH("EOT",$A:$A,0)&gt;_xlpm.x),AND(MATCH("SOS",$A:$A,0)&lt;_xlpm.x,MATCH("EOS",$A:$A,0)&gt;_xlpm.x),AND(MATCH("SOR",$A:$A,0)&lt;_xlpm.x,MATCH("EOR",$A:$A,0)&gt;_xlpm.x))),INDIRECT("rc"&amp;MATCH("SCD",$1:$1,0),FALSE)="PPTO"),1,0)</f>
        <v>0</v>
      </c>
      <c r="AW214" s="142" cm="1">
        <f t="array" aca="1" ref="AW21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215" spans="2:49" outlineLevel="1">
      <c r="B215" s="156" t="str" cm="1">
        <f t="array" aca="1" ref="B215" ca="1">_xlfn.LET(_xlpm.x,SUM(ROW()-MATCH("SOR",$A:$A,0)),_xlpm.y,IFERROR(_xlfn.TAKE(INDEX(_xlfn._xlws.FILTER(TbAssign[],ISNUMBER(FIND(TbAssign[Project],$C$4)),"X"),1+QUOTIENT(_xlpm.x,3),0),1,4),0),IF(MOD(_xlpm.x-1,3)=0,IF(_xlpm.y=0,"X",_xlpm.y),INDIRECT("r[-1]c#",FALSE)))</f>
        <v>X</v>
      </c>
      <c r="C215" s="156"/>
      <c r="E215" s="352"/>
      <c r="F215" s="148" t="s">
        <v>397</v>
      </c>
      <c r="G215" s="157" cm="1">
        <f t="array" aca="1" ref="G215" ca="1">IF(OR($E215="X",$E215="",$E215=0,$B215="X",$B215="",$B215=0),0,SUM(_xlfn._xlws.FILTER(IF($E$4="Ppto",PptoSty[CurPpto],PptoSty[CurInt]),(IF($E$4="Ppto",PptoSty[POvsCT]=G$113,TRUE))*(PptoSty[Project]=TEXT($B215,"@"))*(PptoSty[PptoVsRow]=$E215)*(PptoSty[PptoVsColumn]=UPPER(G$114)),0)))</f>
        <v>0</v>
      </c>
      <c r="H215" s="157" cm="1">
        <f t="array" aca="1" ref="H215" ca="1">IF(OR($E215="X",$E215="",$E215=0,$B215="X",$B215="",$B215=0),0,SUM(_xlfn._xlws.FILTER(IF($E$4="Ppto",PptoSty[CurPpto],PptoSty[CurExt]),(IF($E$4="Ppto",PptoSty[POvsCT]=H$113,TRUE))*(PptoSty[Project]=TEXT($B215,"@"))*(PptoSty[PptoVsRow]=$E215)*(PptoSty[PptoVsColumn]=UPPER(G$114)),0)))</f>
        <v>0</v>
      </c>
      <c r="I215" s="157" cm="1">
        <f t="array" aca="1" ref="I215" ca="1">IF(OR($E215="X",$E215="",$E215=0,$B215="X",$B215="",$B215=0),0,SUM(_xlfn._xlws.FILTER(IF($E$4="Ppto",PptoSty[CurPpto],PptoSty[CurInt]),(IF($E$4="Ppto",PptoSty[POvsCT]=I$113,TRUE))*(PptoSty[Project]=TEXT($B215,"@"))*(PptoSty[PptoVsRow]=$E215)*(PptoSty[PptoVsColumn]=UPPER(I$114)),0)))</f>
        <v>0</v>
      </c>
      <c r="J215" s="157" cm="1">
        <f t="array" aca="1" ref="J215" ca="1">IF(OR($E215="X",$E215="",$E215=0,$B215="X",$B215="",$B215=0),0,SUM(_xlfn._xlws.FILTER(IF($E$4="Ppto",PptoSty[CurPpto],PptoSty[CurExt]),(IF($E$4="Ppto",PptoSty[POvsCT]=J$113,TRUE))*(PptoSty[Project]=TEXT($B215,"@"))*(PptoSty[PptoVsRow]=$E215)*(PptoSty[PptoVsColumn]=UPPER(I$114)),0)))</f>
        <v>0</v>
      </c>
      <c r="K215" s="157" cm="1">
        <f t="array" aca="1" ref="K215" ca="1">IF(OR($E215="X",$E215="",$E215=0,$B215="X",$B215="",$B215=0),0,SUM(_xlfn._xlws.FILTER(IF($E$4="Ppto",PptoSty[CurPpto],PptoSty[CurInt]),(IF($E$4="Ppto",PptoSty[POvsCT]=K$113,TRUE))*(PptoSty[Project]=TEXT($B215,"@"))*(PptoSty[PptoVsRow]=$E215)*(PptoSty[PptoVsColumn]=UPPER(K$114)),0)))</f>
        <v>0</v>
      </c>
      <c r="L215" s="157" cm="1">
        <f t="array" aca="1" ref="L215" ca="1">IF(OR($E215="X",$E215="",$E215=0,$B215="X",$B215="",$B215=0),0,SUM(_xlfn._xlws.FILTER(IF($E$4="Ppto",PptoSty[CurPpto],PptoSty[CurExt]),(IF($E$4="Ppto",PptoSty[POvsCT]=L$113,TRUE))*(PptoSty[Project]=TEXT($B215,"@"))*(PptoSty[PptoVsRow]=$E215)*(PptoSty[PptoVsColumn]=UPPER(K$114)),0)))</f>
        <v>0</v>
      </c>
      <c r="M215" s="157" cm="1">
        <f t="array" aca="1" ref="M215" ca="1">IF(OR($E215="X",$E215="",$E215=0,$B215="X",$B215="",$B215=0),0,SUM(_xlfn._xlws.FILTER(IF($E$4="Ppto",PptoSty[CurPpto],PptoSty[CurInt]),(IF($E$4="Ppto",PptoSty[POvsCT]=M$113,TRUE))*(PptoSty[Project]=TEXT($B215,"@"))*(PptoSty[PptoVsRow]=$E215)*(PptoSty[PptoVsColumn]=UPPER(M$114)),0)))</f>
        <v>0</v>
      </c>
      <c r="N215" s="157" cm="1">
        <f t="array" aca="1" ref="N215" ca="1">IF(OR($E215="X",$E215="",$E215=0,$B215="X",$B215="",$B215=0),0,SUM(_xlfn._xlws.FILTER(IF($E$4="Ppto",PptoSty[CurPpto],PptoSty[CurExt]),(IF($E$4="Ppto",PptoSty[POvsCT]=N$113,TRUE))*(PptoSty[Project]=TEXT($B215,"@"))*(PptoSty[PptoVsRow]=$E215)*(PptoSty[PptoVsColumn]=UPPER(M$114)),0)))</f>
        <v>0</v>
      </c>
      <c r="O215" s="157" cm="1">
        <f t="array" aca="1" ref="O215" ca="1">IF(OR($E215="X",$E215="",$E215=0,$B215="X",$B215="",$B215=0),0,SUM(_xlfn._xlws.FILTER(IF($E$4="Ppto",PptoSty[CurPpto],PptoSty[CurInt]),(IF($E$4="Ppto",PptoSty[POvsCT]=O$113,TRUE))*(PptoSty[Project]=TEXT($B215,"@"))*(PptoSty[PptoVsRow]=$E215)*(PptoSty[PptoVsColumn]=UPPER(O$114)),0)))</f>
        <v>0</v>
      </c>
      <c r="P215" s="157" cm="1">
        <f t="array" aca="1" ref="P215" ca="1">IF(OR($E215="X",$E215="",$E215=0,$B215="X",$B215="",$B215=0),0,SUM(_xlfn._xlws.FILTER(IF($E$4="Ppto",PptoSty[CurPpto],PptoSty[CurExt]),(IF($E$4="Ppto",PptoSty[POvsCT]=P$113,TRUE))*(PptoSty[Project]=TEXT($B215,"@"))*(PptoSty[PptoVsRow]=$E215)*(PptoSty[PptoVsColumn]=UPPER(O$114)),0)))</f>
        <v>0</v>
      </c>
      <c r="Q215" s="157" cm="1">
        <f t="array" aca="1" ref="Q215" ca="1">IF(OR($E215="X",$E215="",$E215=0,$B215="X",$B215="",$B215=0),0,SUM(_xlfn._xlws.FILTER(IF($E$4="Ppto",PptoSty[CurPpto],PptoSty[CurInt]),(IF($E$4="Ppto",PptoSty[POvsCT]=Q$113,TRUE))*(PptoSty[Project]=TEXT($B215,"@"))*(PptoSty[PptoVsRow]=$E215)*(PptoSty[PptoVsColumn]=UPPER(Q$114)),0)))</f>
        <v>0</v>
      </c>
      <c r="R215" s="157" cm="1">
        <f t="array" aca="1" ref="R215" ca="1">IF(OR($E215="X",$E215="",$E215=0,$B215="X",$B215="",$B215=0),0,SUM(_xlfn._xlws.FILTER(IF($E$4="Ppto",PptoSty[CurPpto],PptoSty[CurExt]),(IF($E$4="Ppto",PptoSty[POvsCT]=R$113,TRUE))*(PptoSty[Project]=TEXT($B215,"@"))*(PptoSty[PptoVsRow]=$E215)*(PptoSty[PptoVsColumn]=UPPER(Q$114)),0)))</f>
        <v>0</v>
      </c>
      <c r="S215" s="157" cm="1">
        <f t="array" aca="1" ref="S215" ca="1">IF(OR($E215="X",$E215="",$E215=0,$B215="X",$B215="",$B215=0),0,SUM(_xlfn._xlws.FILTER(IF($E$4="Ppto",PptoSty[CurPpto],PptoSty[CurInt]),(IF($E$4="Ppto",PptoSty[POvsCT]=S$113,TRUE))*(PptoSty[Project]=TEXT($B215,"@"))*(PptoSty[PptoVsRow]=$E215)*(PptoSty[PptoVsColumn]=UPPER(S$114)),0)))</f>
        <v>0</v>
      </c>
      <c r="T215" s="157" cm="1">
        <f t="array" aca="1" ref="T215" ca="1">IF(OR($E215="X",$E215="",$E215=0,$B215="X",$B215="",$B215=0),0,SUM(_xlfn._xlws.FILTER(IF($E$4="Ppto",PptoSty[CurPpto],PptoSty[CurExt]),(IF($E$4="Ppto",PptoSty[POvsCT]=T$113,TRUE))*(PptoSty[Project]=TEXT($B215,"@"))*(PptoSty[PptoVsRow]=$E215)*(PptoSty[PptoVsColumn]=UPPER(S$114)),0)))</f>
        <v>0</v>
      </c>
      <c r="U215" s="157" cm="1">
        <f t="array" aca="1" ref="U215" ca="1">IF(OR($E215="X",$E215="",$E215=0,$B215="X",$B215="",$B215=0),0,SUM(_xlfn._xlws.FILTER(IF($E$4="Ppto",PptoSty[CurPpto],PptoSty[CurInt]),(IF($E$4="Ppto",PptoSty[POvsCT]=U$113,TRUE))*(PptoSty[Project]=TEXT($B215,"@"))*(PptoSty[PptoVsRow]=$E215)*(PptoSty[PptoVsColumn]=UPPER(U$114)),0)))</f>
        <v>0</v>
      </c>
      <c r="V215" s="157" cm="1">
        <f t="array" aca="1" ref="V215" ca="1">IF(OR($E215="X",$E215="",$E215=0,$B215="X",$B215="",$B215=0),0,SUM(_xlfn._xlws.FILTER(IF($E$4="Ppto",PptoSty[CurPpto],PptoSty[CurExt]),(IF($E$4="Ppto",PptoSty[POvsCT]=V$113,TRUE))*(PptoSty[Project]=TEXT($B215,"@"))*(PptoSty[PptoVsRow]=$E215)*(PptoSty[PptoVsColumn]=UPPER(U$114)),0)))</f>
        <v>0</v>
      </c>
      <c r="W215" s="157" cm="1">
        <f t="array" aca="1" ref="W215" ca="1">IF(OR($E215="X",$E215="",$E215=0,$B215="X",$B215="",$B215=0),0,SUM(_xlfn._xlws.FILTER(IF($E$4="Ppto",PptoSty[CurPpto],PptoSty[CurInt]),(IF($E$4="Ppto",PptoSty[POvsCT]=W$113,TRUE))*(PptoSty[Project]=TEXT($B215,"@"))*(PptoSty[PptoVsRow]=$E215)*(PptoSty[PptoVsColumn]=UPPER(W$114)),0)))</f>
        <v>0</v>
      </c>
      <c r="X215" s="157" cm="1">
        <f t="array" aca="1" ref="X215" ca="1">IF(OR($E215="X",$E215="",$E215=0,$B215="X",$B215="",$B215=0),0,SUM(_xlfn._xlws.FILTER(IF($E$4="Ppto",PptoSty[CurPpto],PptoSty[CurExt]),(IF($E$4="Ppto",PptoSty[POvsCT]=X$113,TRUE))*(PptoSty[Project]=TEXT($B215,"@"))*(PptoSty[PptoVsRow]=$E215)*(PptoSty[PptoVsColumn]=UPPER(W$114)),0)))</f>
        <v>0</v>
      </c>
      <c r="Y215" s="157" cm="1">
        <f t="array" aca="1" ref="Y215" ca="1">IF(OR($E215="X",$E215="",$E215=0,$B215="X",$B215="",$B215=0),0,SUM(_xlfn._xlws.FILTER(IF($E$4="Ppto",PptoSty[CurPpto],PptoSty[CurInt]),(IF($E$4="Ppto",PptoSty[POvsCT]=Y$113,TRUE))*(PptoSty[Project]=TEXT($B215,"@"))*(PptoSty[PptoVsRow]=$E215)*(PptoSty[PptoVsColumn]=UPPER(Y$114)),0)))</f>
        <v>0</v>
      </c>
      <c r="Z215" s="157" cm="1">
        <f t="array" aca="1" ref="Z215" ca="1">IF(OR($E215="X",$E215="",$E215=0,$B215="X",$B215="",$B215=0),0,SUM(_xlfn._xlws.FILTER(IF($E$4="Ppto",PptoSty[CurPpto],PptoSty[CurExt]),(IF($E$4="Ppto",PptoSty[POvsCT]=Z$113,TRUE))*(PptoSty[Project]=TEXT($B215,"@"))*(PptoSty[PptoVsRow]=$E215)*(PptoSty[PptoVsColumn]=UPPER(Y$114)),0)))</f>
        <v>0</v>
      </c>
      <c r="AA215" s="157" cm="1">
        <f t="array" aca="1" ref="AA215" ca="1">IF(OR($E215="X",$E215="",$E215=0,$B215="X",$B215="",$B215=0),0,SUM(_xlfn._xlws.FILTER(IF($E$4="Ppto",PptoSty[CurPpto],PptoSty[CurInt]),(IF($E$4="Ppto",PptoSty[POvsCT]=AA$113,TRUE))*(PptoSty[Project]=TEXT($B215,"@"))*(PptoSty[PptoVsRow]=$E215)*(PptoSty[PptoVsColumn]=UPPER(AA$114)),0)))</f>
        <v>0</v>
      </c>
      <c r="AB215" s="157" cm="1">
        <f t="array" aca="1" ref="AB215" ca="1">IF(OR($E215="X",$E215="",$E215=0,$B215="X",$B215="",$B215=0),0,SUM(_xlfn._xlws.FILTER(IF($E$4="Ppto",PptoSty[CurPpto],PptoSty[CurExt]),(IF($E$4="Ppto",PptoSty[POvsCT]=AB$113,TRUE))*(PptoSty[Project]=TEXT($B215,"@"))*(PptoSty[PptoVsRow]=$E215)*(PptoSty[PptoVsColumn]=UPPER(AA$114)),0)))</f>
        <v>0</v>
      </c>
      <c r="AC215" s="157" cm="1">
        <f t="array" aca="1" ref="AC215" ca="1">IF(OR($E215="X",$E215="",$E215=0,$B215="X",$B215="",$B215=0),0,SUM(_xlfn._xlws.FILTER(IF($E$4="Ppto",PptoSty[CurPpto],PptoSty[CurInt]),(IF($E$4="Ppto",PptoSty[POvsCT]=AC$113,TRUE))*(PptoSty[Project]=TEXT($B215,"@"))*(PptoSty[PptoVsRow]=$E215)*(PptoSty[PptoVsColumn]=UPPER(AC$114)),0)))</f>
        <v>0</v>
      </c>
      <c r="AD215" s="157" cm="1">
        <f t="array" aca="1" ref="AD215" ca="1">IF(OR($E215="X",$E215="",$E215=0,$B215="X",$B215="",$B215=0),0,SUM(_xlfn._xlws.FILTER(IF($E$4="Ppto",PptoSty[CurPpto],PptoSty[CurExt]),(IF($E$4="Ppto",PptoSty[POvsCT]=AD$113,TRUE))*(PptoSty[Project]=TEXT($B215,"@"))*(PptoSty[PptoVsRow]=$E215)*(PptoSty[PptoVsColumn]=UPPER(AC$114)),0)))</f>
        <v>0</v>
      </c>
      <c r="AE215" s="157" cm="1">
        <f t="array" aca="1" ref="AE215" ca="1">IF(OR($E215="X",$E215="",$E215=0,$B215="X",$B215="",$B215=0),0,SUM(_xlfn._xlws.FILTER(IF($E$4="Ppto",PptoSty[CurPpto],PptoSty[CurInt]),(IF($E$4="Ppto",PptoSty[POvsCT]=AE$113,TRUE))*(PptoSty[Project]=TEXT($B215,"@"))*(PptoSty[PptoVsRow]=$E215)*(PptoSty[PptoVsColumn]=UPPER(AE$114)),0)))</f>
        <v>0</v>
      </c>
      <c r="AF215" s="157" cm="1">
        <f t="array" aca="1" ref="AF215" ca="1">IF(OR($E215="X",$E215="",$E215=0,$B215="X",$B215="",$B215=0),0,SUM(_xlfn._xlws.FILTER(IF($E$4="Ppto",PptoSty[CurPpto],PptoSty[CurExt]),(IF($E$4="Ppto",PptoSty[POvsCT]=AF$113,TRUE))*(PptoSty[Project]=TEXT($B215,"@"))*(PptoSty[PptoVsRow]=$E215)*(PptoSty[PptoVsColumn]=UPPER(AE$114)),0)))</f>
        <v>0</v>
      </c>
      <c r="AG215" s="157" cm="1">
        <f t="array" aca="1" ref="AG215" ca="1">IF(OR($E215="X",$E215="",$E215=0,$B215="X",$B215="",$B215=0),0,SUM(_xlfn._xlws.FILTER(IF($E$4="Ppto",PptoSty[CurPpto],PptoSty[CurInt]),(IF($E$4="Ppto",PptoSty[POvsCT]=AG$113,TRUE))*(PptoSty[Project]=TEXT($B215,"@"))*(PptoSty[PptoVsRow]=$E215)*(PptoSty[PptoVsColumn]=UPPER(AG$114)),0)))</f>
        <v>0</v>
      </c>
      <c r="AH215" s="157" cm="1">
        <f t="array" aca="1" ref="AH215" ca="1">IF(OR($E215="X",$E215="",$E215=0,$B215="X",$B215="",$B215=0),0,SUM(_xlfn._xlws.FILTER(IF($E$4="Ppto",PptoSty[CurPpto],PptoSty[CurExt]),(IF($E$4="Ppto",PptoSty[POvsCT]=AH$113,TRUE))*(PptoSty[Project]=TEXT($B215,"@"))*(PptoSty[PptoVsRow]=$E215)*(PptoSty[PptoVsColumn]=UPPER(AG$114)),0)))</f>
        <v>0</v>
      </c>
      <c r="AI215" s="157" cm="1">
        <f t="array" aca="1" ref="AI215" ca="1">IF(OR($E215="X",$E215="",$E215=0,$B215="X",$B215="",$B215=0),0,SUM(_xlfn._xlws.FILTER(IF($E$4="Ppto",PptoSty[CurPpto],PptoSty[CurInt]),(IF($E$4="Ppto",PptoSty[POvsCT]=AI$113,TRUE))*(PptoSty[Project]=TEXT($B215,"@"))*(PptoSty[PptoVsRow]=$E215)*(PptoSty[PptoVsColumn]=UPPER(AI$114)),0)))</f>
        <v>0</v>
      </c>
      <c r="AJ215" s="157" cm="1">
        <f t="array" aca="1" ref="AJ215" ca="1">IF(OR($E215="X",$E215="",$E215=0,$B215="X",$B215="",$B215=0),0,SUM(_xlfn._xlws.FILTER(IF($E$4="Ppto",PptoSty[CurPpto],PptoSty[CurExt]),(IF($E$4="Ppto",PptoSty[POvsCT]=AJ$113,TRUE))*(PptoSty[Project]=TEXT($B215,"@"))*(PptoSty[PptoVsRow]=$E215)*(PptoSty[PptoVsColumn]=UPPER(AI$114)),0)))</f>
        <v>0</v>
      </c>
      <c r="AK215" s="157" cm="1">
        <f t="array" aca="1" ref="AK215" ca="1">IF(OR($E215="X",$E215="",$E215=0,$B215="X",$B215="",$B215=0),0,SUM(_xlfn._xlws.FILTER(IF($E$4="Ppto",PptoSty[CurPpto],PptoSty[CurInt]),(IF($E$4="Ppto",PptoSty[POvsCT]=AK$113,TRUE))*(PptoSty[Project]=TEXT($B215,"@"))*(PptoSty[PptoVsRow]=$E215)*(PptoSty[PptoVsColumn]=UPPER(AK$114)),0)))</f>
        <v>0</v>
      </c>
      <c r="AL215" s="157" cm="1">
        <f t="array" aca="1" ref="AL215" ca="1">IF(OR($E215="X",$E215="",$E215=0,$B215="X",$B215="",$B215=0),0,SUM(_xlfn._xlws.FILTER(IF($E$4="Ppto",PptoSty[CurPpto],PptoSty[CurExt]),(IF($E$4="Ppto",PptoSty[POvsCT]=AL$113,TRUE))*(PptoSty[Project]=TEXT($B215,"@"))*(PptoSty[PptoVsRow]=$E215)*(PptoSty[PptoVsColumn]=UPPER(AK$114)),0)))</f>
        <v>0</v>
      </c>
      <c r="AM215" s="157" cm="1">
        <f t="array" aca="1" ref="AM215" ca="1">IF(OR($E215="X",$E215="",$E215=0,$B215="X",$B215="",$B215=0),0,SUM(_xlfn._xlws.FILTER(IF($E$4="Ppto",PptoSty[CurPpto],PptoSty[CurInt]),(IF($E$4="Ppto",PptoSty[POvsCT]=AM$113,TRUE))*(PptoSty[Project]=TEXT($B215,"@"))*(PptoSty[PptoVsRow]=$E215)*(PptoSty[PptoVsColumn]=UPPER(AM$114)),0)))</f>
        <v>0</v>
      </c>
      <c r="AN215" s="157" cm="1">
        <f t="array" aca="1" ref="AN215" ca="1">IF(OR($E215="X",$E215="",$E215=0,$B215="X",$B215="",$B215=0),0,SUM(_xlfn._xlws.FILTER(IF($E$4="Ppto",PptoSty[CurPpto],PptoSty[CurExt]),(IF($E$4="Ppto",PptoSty[POvsCT]=AN$113,TRUE))*(PptoSty[Project]=TEXT($B215,"@"))*(PptoSty[PptoVsRow]=$E215)*(PptoSty[PptoVsColumn]=UPPER(AM$114)),0)))</f>
        <v>0</v>
      </c>
      <c r="AO215" s="157" cm="1">
        <f t="array" aca="1" ref="AO215" ca="1">IF(OR($E215="X",$E215="",$E215=0,$B215="X",$B215="",$B215=0),0,SUM(_xlfn._xlws.FILTER(IF($E$4="Ppto",PptoSty[CurPpto],PptoSty[CurInt]),(IF($E$4="Ppto",PptoSty[POvsCT]=AO$113,TRUE))*(PptoSty[Project]=TEXT($B215,"@"))*(PptoSty[PptoVsRow]=$E215)*(PptoSty[PptoVsColumn]=UPPER(AO$114)),0)))</f>
        <v>0</v>
      </c>
      <c r="AP215" s="157" cm="1">
        <f t="array" aca="1" ref="AP215" ca="1">IF(OR($E215="X",$E215="",$E215=0,$B215="X",$B215="",$B215=0),0,SUM(_xlfn._xlws.FILTER(IF($E$4="Ppto",PptoSty[CurPpto],PptoSty[CurExt]),(IF($E$4="Ppto",PptoSty[POvsCT]=AP$113,TRUE))*(PptoSty[Project]=TEXT($B215,"@"))*(PptoSty[PptoVsRow]=$E215)*(PptoSty[PptoVsColumn]=UPPER(AO$114)),0)))</f>
        <v>0</v>
      </c>
      <c r="AQ215" s="157" cm="1">
        <f t="array" aca="1" ref="AQ215" ca="1">SUM(IF(INDIRECT($AS$115)=AQ$115,INDIRECT($AS215)))</f>
        <v>0</v>
      </c>
      <c r="AR215" s="157" cm="1">
        <f t="array" aca="1" ref="AR215" ca="1">SUM(IF(INDIRECT($AS$115)=AR$115,INDIRECT($AS215)))</f>
        <v>0</v>
      </c>
      <c r="AS215" s="286" t="str">
        <f t="shared" ca="1" si="18"/>
        <v>G215:AP215</v>
      </c>
      <c r="AT215" s="403">
        <f t="shared" ca="1" si="17"/>
        <v>0</v>
      </c>
      <c r="AV215" s="142" cm="1">
        <f t="array" aca="1" ref="AV215" ca="1">IF(AND(_xlfn.LET(_xlpm.x,SUM(ROW()),OR(AND(MATCH("SOT",$A:$A,0)&lt;_xlpm.x,MATCH("EOT",$A:$A,0)&gt;_xlpm.x),AND(MATCH("SOS",$A:$A,0)&lt;_xlpm.x,MATCH("EOS",$A:$A,0)&gt;_xlpm.x),AND(MATCH("SOR",$A:$A,0)&lt;_xlpm.x,MATCH("EOR",$A:$A,0)&gt;_xlpm.x))),INDIRECT("rc"&amp;MATCH("SCD",$1:$1,0),FALSE)="PPTO"),1,0)</f>
        <v>1</v>
      </c>
      <c r="AW215" s="142" cm="1">
        <f t="array" aca="1" ref="AW21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216" spans="2:49" outlineLevel="1">
      <c r="B216" s="156" t="str" cm="1">
        <f t="array" aca="1" ref="B216" ca="1">_xlfn.LET(_xlpm.x,SUM(ROW()-MATCH("SOR",$A:$A,0)),_xlpm.y,IFERROR(_xlfn.TAKE(INDEX(_xlfn._xlws.FILTER(TbAssign[],ISNUMBER(FIND(TbAssign[Project],$C$4)),"X"),1+QUOTIENT(_xlpm.x,3),0),1,4),0),IF(MOD(_xlpm.x-1,3)=0,IF(_xlpm.y=0,"X",_xlpm.y),INDIRECT("r[-1]c#",FALSE)))</f>
        <v>X</v>
      </c>
      <c r="C216" s="156"/>
      <c r="E216" s="352"/>
      <c r="F216" s="148" t="s">
        <v>1382</v>
      </c>
      <c r="G216" s="157" cm="1">
        <f t="array" aca="1" ref="G216" ca="1">IF(OR($E216="X",$E216="",$E216=0,$B216="X",$B216="",$B216=0),0,SUM(_xlfn._xlws.FILTER(PrvSty[DsvValue:SERRA],(PrvSty[Project]=TEXT($B216,"@"))*(PrvSty[Row]=$E216)*(PrvSty[Column]=UPPER(G$114)),0)))</f>
        <v>0</v>
      </c>
      <c r="H216" s="157" cm="1">
        <f t="array" aca="1" ref="H216" ca="1">IF(OR($E216="X",$E216="",$E216=0,$B216="X",$B216="",$B216=0),0,SUM(_xlfn._xlws.FILTER(PrvSty[DsvValue:EXT.],(PrvSty[Project]=TEXT($B216,"@"))*(PrvSty[Row]=$E216)*(PrvSty[Column]=UPPER(G$114)),0)))</f>
        <v>0</v>
      </c>
      <c r="I216" s="157" cm="1">
        <f t="array" aca="1" ref="I216" ca="1">IF(OR($E216="X",$E216="",$E216=0,$B216="X",$B216="",$B216=0),0,SUM(_xlfn._xlws.FILTER(PrvSty[DsvValue:SERRA],(PrvSty[Project]=TEXT($B216,"@"))*(PrvSty[Row]=$E216)*(PrvSty[Column]=UPPER(I$114)),0)))</f>
        <v>0</v>
      </c>
      <c r="J216" s="157" cm="1">
        <f t="array" aca="1" ref="J216" ca="1">IF(OR($E216="X",$E216="",$E216=0,$B216="X",$B216="",$B216=0),0,SUM(_xlfn._xlws.FILTER(PrvSty[DsvValue:EXT.],(PrvSty[Project]=TEXT($B216,"@"))*(PrvSty[Row]=$E216)*(PrvSty[Column]=UPPER(I$114)),0)))</f>
        <v>0</v>
      </c>
      <c r="K216" s="157" cm="1">
        <f t="array" aca="1" ref="K216" ca="1">IF(OR($E216="X",$E216="",$E216=0,$B216="X",$B216="",$B216=0),0,SUM(_xlfn._xlws.FILTER(PrvSty[DsvValue:SERRA],(PrvSty[Project]=TEXT($B216,"@"))*(PrvSty[Row]=$E216)*(PrvSty[Column]=UPPER(K$114)),0)))</f>
        <v>0</v>
      </c>
      <c r="L216" s="157" cm="1">
        <f t="array" aca="1" ref="L216" ca="1">IF(OR($E216="X",$E216="",$E216=0,$B216="X",$B216="",$B216=0),0,SUM(_xlfn._xlws.FILTER(PrvSty[DsvValue:EXT.],(PrvSty[Project]=TEXT($B216,"@"))*(PrvSty[Row]=$E216)*(PrvSty[Column]=UPPER(K$114)),0)))</f>
        <v>0</v>
      </c>
      <c r="M216" s="157" cm="1">
        <f t="array" aca="1" ref="M216" ca="1">IF(OR($E216="X",$E216="",$E216=0,$B216="X",$B216="",$B216=0),0,SUM(_xlfn._xlws.FILTER(PrvSty[DsvValue:SERRA],(PrvSty[Project]=TEXT($B216,"@"))*(PrvSty[Row]=$E216)*(PrvSty[Column]=UPPER(M$114)),0)))</f>
        <v>0</v>
      </c>
      <c r="N216" s="157" cm="1">
        <f t="array" aca="1" ref="N216" ca="1">IF(OR($E216="X",$E216="",$E216=0,$B216="X",$B216="",$B216=0),0,SUM(_xlfn._xlws.FILTER(PrvSty[DsvValue:EXT.],(PrvSty[Project]=TEXT($B216,"@"))*(PrvSty[Row]=$E216)*(PrvSty[Column]=UPPER(M$114)),0)))</f>
        <v>0</v>
      </c>
      <c r="O216" s="157" cm="1">
        <f t="array" aca="1" ref="O216" ca="1">IF(OR($E216="X",$E216="",$E216=0,$B216="X",$B216="",$B216=0),0,SUM(_xlfn._xlws.FILTER(PrvSty[DsvValue:SERRA],(PrvSty[Project]=TEXT($B216,"@"))*(PrvSty[Row]=$E216)*(PrvSty[Column]=UPPER(O$114)),0)))</f>
        <v>0</v>
      </c>
      <c r="P216" s="157" cm="1">
        <f t="array" aca="1" ref="P216" ca="1">IF(OR($E216="X",$E216="",$E216=0,$B216="X",$B216="",$B216=0),0,SUM(_xlfn._xlws.FILTER(PrvSty[DsvValue:EXT.],(PrvSty[Project]=TEXT($B216,"@"))*(PrvSty[Row]=$E216)*(PrvSty[Column]=UPPER(O$114)),0)))</f>
        <v>0</v>
      </c>
      <c r="Q216" s="157" cm="1">
        <f t="array" aca="1" ref="Q216" ca="1">IF(OR($E216="X",$E216="",$E216=0,$B216="X",$B216="",$B216=0),0,SUM(_xlfn._xlws.FILTER(PrvSty[DsvValue:SERRA],(PrvSty[Project]=TEXT($B216,"@"))*(PrvSty[Row]=$E216)*(PrvSty[Column]=UPPER(Q$114)),0)))</f>
        <v>0</v>
      </c>
      <c r="R216" s="157" cm="1">
        <f t="array" aca="1" ref="R216" ca="1">IF(OR($E216="X",$E216="",$E216=0,$B216="X",$B216="",$B216=0),0,SUM(_xlfn._xlws.FILTER(PrvSty[DsvValue:EXT.],(PrvSty[Project]=TEXT($B216,"@"))*(PrvSty[Row]=$E216)*(PrvSty[Column]=UPPER(Q$114)),0)))</f>
        <v>0</v>
      </c>
      <c r="S216" s="157" cm="1">
        <f t="array" aca="1" ref="S216" ca="1">IF(OR($E216="X",$E216="",$E216=0,$B216="X",$B216="",$B216=0),0,SUM(_xlfn._xlws.FILTER(PrvSty[DsvValue:SERRA],(PrvSty[Project]=TEXT($B216,"@"))*(PrvSty[Row]=$E216)*(PrvSty[Column]=UPPER(S$114)),0)))</f>
        <v>0</v>
      </c>
      <c r="T216" s="157" cm="1">
        <f t="array" aca="1" ref="T216" ca="1">IF(OR($E216="X",$E216="",$E216=0,$B216="X",$B216="",$B216=0),0,SUM(_xlfn._xlws.FILTER(PrvSty[DsvValue:EXT.],(PrvSty[Project]=TEXT($B216,"@"))*(PrvSty[Row]=$E216)*(PrvSty[Column]=UPPER(S$114)),0)))</f>
        <v>0</v>
      </c>
      <c r="U216" s="157" cm="1">
        <f t="array" aca="1" ref="U216" ca="1">IF(OR($E216="X",$E216="",$E216=0,$B216="X",$B216="",$B216=0),0,SUM(_xlfn._xlws.FILTER(PrvSty[DsvValue:SERRA],(PrvSty[Project]=TEXT($B216,"@"))*(PrvSty[Row]=$E216)*(PrvSty[Column]=UPPER(U$114)),0)))</f>
        <v>0</v>
      </c>
      <c r="V216" s="157" cm="1">
        <f t="array" aca="1" ref="V216" ca="1">IF(OR($E216="X",$E216="",$E216=0,$B216="X",$B216="",$B216=0),0,SUM(_xlfn._xlws.FILTER(PrvSty[DsvValue:EXT.],(PrvSty[Project]=TEXT($B216,"@"))*(PrvSty[Row]=$E216)*(PrvSty[Column]=UPPER(U$114)),0)))</f>
        <v>0</v>
      </c>
      <c r="W216" s="157" cm="1">
        <f t="array" aca="1" ref="W216" ca="1">IF(OR($E216="X",$E216="",$E216=0,$B216="X",$B216="",$B216=0),0,SUM(_xlfn._xlws.FILTER(PrvSty[DsvValue:SERRA],(PrvSty[Project]=TEXT($B216,"@"))*(PrvSty[Row]=$E216)*(PrvSty[Column]=UPPER(W$114)),0)))</f>
        <v>0</v>
      </c>
      <c r="X216" s="157" cm="1">
        <f t="array" aca="1" ref="X216" ca="1">IF(OR($E216="X",$E216="",$E216=0,$B216="X",$B216="",$B216=0),0,SUM(_xlfn._xlws.FILTER(PrvSty[DsvValue:EXT.],(PrvSty[Project]=TEXT($B216,"@"))*(PrvSty[Row]=$E216)*(PrvSty[Column]=UPPER(W$114)),0)))</f>
        <v>0</v>
      </c>
      <c r="Y216" s="157" cm="1">
        <f t="array" aca="1" ref="Y216" ca="1">IF(OR($E216="X",$E216="",$E216=0,$B216="X",$B216="",$B216=0),0,SUM(_xlfn._xlws.FILTER(PrvSty[DsvValue:SERRA],(PrvSty[Project]=TEXT($B216,"@"))*(PrvSty[Row]=$E216)*(PrvSty[Column]=UPPER(Y$114)),0)))</f>
        <v>0</v>
      </c>
      <c r="Z216" s="157" cm="1">
        <f t="array" aca="1" ref="Z216" ca="1">IF(OR($E216="X",$E216="",$E216=0,$B216="X",$B216="",$B216=0),0,SUM(_xlfn._xlws.FILTER(PrvSty[DsvValue:EXT.],(PrvSty[Project]=TEXT($B216,"@"))*(PrvSty[Row]=$E216)*(PrvSty[Column]=UPPER(Y$114)),0)))</f>
        <v>0</v>
      </c>
      <c r="AA216" s="157" cm="1">
        <f t="array" aca="1" ref="AA216" ca="1">IF(OR($E216="X",$E216="",$E216=0,$B216="X",$B216="",$B216=0),0,SUM(_xlfn._xlws.FILTER(PrvSty[DsvValue:SERRA],(PrvSty[Project]=TEXT($B216,"@"))*(PrvSty[Row]=$E216)*(PrvSty[Column]=UPPER(AA$114)),0)))</f>
        <v>0</v>
      </c>
      <c r="AB216" s="157" cm="1">
        <f t="array" aca="1" ref="AB216" ca="1">IF(OR($E216="X",$E216="",$E216=0,$B216="X",$B216="",$B216=0),0,SUM(_xlfn._xlws.FILTER(PrvSty[DsvValue:EXT.],(PrvSty[Project]=TEXT($B216,"@"))*(PrvSty[Row]=$E216)*(PrvSty[Column]=UPPER(AA$114)),0)))</f>
        <v>0</v>
      </c>
      <c r="AC216" s="157" cm="1">
        <f t="array" aca="1" ref="AC216" ca="1">IF(OR($E216="X",$E216="",$E216=0,$B216="X",$B216="",$B216=0),0,SUM(_xlfn._xlws.FILTER(PrvSty[DsvValue:SERRA],(PrvSty[Project]=TEXT($B216,"@"))*(PrvSty[Row]=$E216)*(PrvSty[Column]=UPPER(AC$114)),0)))</f>
        <v>0</v>
      </c>
      <c r="AD216" s="157" cm="1">
        <f t="array" aca="1" ref="AD216" ca="1">IF(OR($E216="X",$E216="",$E216=0,$B216="X",$B216="",$B216=0),0,SUM(_xlfn._xlws.FILTER(PrvSty[DsvValue:EXT.],(PrvSty[Project]=TEXT($B216,"@"))*(PrvSty[Row]=$E216)*(PrvSty[Column]=UPPER(AC$114)),0)))</f>
        <v>0</v>
      </c>
      <c r="AE216" s="157" cm="1">
        <f t="array" aca="1" ref="AE216" ca="1">IF(OR($E216="X",$E216="",$E216=0,$B216="X",$B216="",$B216=0),0,SUM(_xlfn._xlws.FILTER(PrvSty[DsvValue:SERRA],(PrvSty[Project]=TEXT($B216,"@"))*(PrvSty[Row]=$E216)*(PrvSty[Column]=UPPER(AE$114)),0)))</f>
        <v>0</v>
      </c>
      <c r="AF216" s="157" cm="1">
        <f t="array" aca="1" ref="AF216" ca="1">IF(OR($E216="X",$E216="",$E216=0,$B216="X",$B216="",$B216=0),0,SUM(_xlfn._xlws.FILTER(PrvSty[DsvValue:EXT.],(PrvSty[Project]=TEXT($B216,"@"))*(PrvSty[Row]=$E216)*(PrvSty[Column]=UPPER(AE$114)),0)))</f>
        <v>0</v>
      </c>
      <c r="AG216" s="157" cm="1">
        <f t="array" aca="1" ref="AG216" ca="1">IF(OR($E216="X",$E216="",$E216=0,$B216="X",$B216="",$B216=0),0,SUM(_xlfn._xlws.FILTER(PrvSty[DsvValue:SERRA],(PrvSty[Project]=TEXT($B216,"@"))*(PrvSty[Row]=$E216)*(PrvSty[Column]=UPPER(AG$114)),0)))</f>
        <v>0</v>
      </c>
      <c r="AH216" s="157" cm="1">
        <f t="array" aca="1" ref="AH216" ca="1">IF(OR($E216="X",$E216="",$E216=0,$B216="X",$B216="",$B216=0),0,SUM(_xlfn._xlws.FILTER(PrvSty[DsvValue:EXT.],(PrvSty[Project]=TEXT($B216,"@"))*(PrvSty[Row]=$E216)*(PrvSty[Column]=UPPER(AG$114)),0)))</f>
        <v>0</v>
      </c>
      <c r="AI216" s="157" cm="1">
        <f t="array" aca="1" ref="AI216" ca="1">IF(OR($E216="X",$E216="",$E216=0,$B216="X",$B216="",$B216=0),0,SUM(_xlfn._xlws.FILTER(PrvSty[DsvValue:SERRA],(PrvSty[Project]=TEXT($B216,"@"))*(PrvSty[Row]=$E216)*(PrvSty[Column]=UPPER(AI$114)),0)))</f>
        <v>0</v>
      </c>
      <c r="AJ216" s="157" cm="1">
        <f t="array" aca="1" ref="AJ216" ca="1">IF(OR($E216="X",$E216="",$E216=0,$B216="X",$B216="",$B216=0),0,SUM(_xlfn._xlws.FILTER(PrvSty[DsvValue:EXT.],(PrvSty[Project]=TEXT($B216,"@"))*(PrvSty[Row]=$E216)*(PrvSty[Column]=UPPER(AI$114)),0)))</f>
        <v>0</v>
      </c>
      <c r="AK216" s="157" cm="1">
        <f t="array" aca="1" ref="AK216" ca="1">IF(OR($E216="X",$E216="",$E216=0,$B216="X",$B216="",$B216=0),0,SUM(_xlfn._xlws.FILTER(PrvSty[DsvValue:SERRA],(PrvSty[Project]=TEXT($B216,"@"))*(PrvSty[Row]=$E216)*(PrvSty[Column]=UPPER(AK$114)),0)))</f>
        <v>0</v>
      </c>
      <c r="AL216" s="157" cm="1">
        <f t="array" aca="1" ref="AL216" ca="1">IF(OR($E216="X",$E216="",$E216=0,$B216="X",$B216="",$B216=0),0,SUM(_xlfn._xlws.FILTER(PrvSty[DsvValue:EXT.],(PrvSty[Project]=TEXT($B216,"@"))*(PrvSty[Row]=$E216)*(PrvSty[Column]=UPPER(AK$114)),0)))</f>
        <v>0</v>
      </c>
      <c r="AM216" s="157" cm="1">
        <f t="array" aca="1" ref="AM216" ca="1">IF(OR($E216="X",$E216="",$E216=0,$B216="X",$B216="",$B216=0),0,SUM(_xlfn._xlws.FILTER(PrvSty[DsvValue:SERRA],(PrvSty[Project]=TEXT($B216,"@"))*(PrvSty[Row]=$E216)*(PrvSty[Column]=UPPER(AM$114)),0)))</f>
        <v>0</v>
      </c>
      <c r="AN216" s="157" cm="1">
        <f t="array" aca="1" ref="AN216" ca="1">IF(OR($E216="X",$E216="",$E216=0,$B216="X",$B216="",$B216=0),0,SUM(_xlfn._xlws.FILTER(PrvSty[DsvValue:EXT.],(PrvSty[Project]=TEXT($B216,"@"))*(PrvSty[Row]=$E216)*(PrvSty[Column]=UPPER(AM$114)),0)))</f>
        <v>0</v>
      </c>
      <c r="AO216" s="157" cm="1">
        <f t="array" aca="1" ref="AO216" ca="1">IF(OR($E216="X",$E216="",$E216=0,$B216="X",$B216="",$B216=0),0,SUM(_xlfn._xlws.FILTER(PrvSty[DsvValue:SERRA],(PrvSty[Project]=TEXT($B216,"@"))*(PrvSty[Row]=$E216)*(PrvSty[Column]=UPPER(AO$114)),0)))</f>
        <v>0</v>
      </c>
      <c r="AP216" s="157" cm="1">
        <f t="array" aca="1" ref="AP216" ca="1">IF(OR($E216="X",$E216="",$E216=0,$B216="X",$B216="",$B216=0),0,SUM(_xlfn._xlws.FILTER(PrvSty[DsvValue:EXT.],(PrvSty[Project]=TEXT($B216,"@"))*(PrvSty[Row]=$E216)*(PrvSty[Column]=UPPER(AO$114)),0)))</f>
        <v>0</v>
      </c>
      <c r="AQ216" s="157" cm="1">
        <f t="array" aca="1" ref="AQ216" ca="1">SUM(IF(INDIRECT($AS$115)=AQ$115,INDIRECT($AS216)))</f>
        <v>0</v>
      </c>
      <c r="AR216" s="157" cm="1">
        <f t="array" aca="1" ref="AR216" ca="1">SUM(IF(INDIRECT($AS$115)=AR$115,INDIRECT($AS216)))</f>
        <v>0</v>
      </c>
      <c r="AS216" s="286" t="str">
        <f t="shared" ca="1" si="18"/>
        <v>G216:AP216</v>
      </c>
      <c r="AT216" s="403">
        <f t="shared" ca="1" si="17"/>
        <v>0</v>
      </c>
      <c r="AV216" s="142" cm="1">
        <f t="array" aca="1" ref="AV216" ca="1">IF(AND(_xlfn.LET(_xlpm.x,SUM(ROW()),OR(AND(MATCH("SOT",$A:$A,0)&lt;_xlpm.x,MATCH("EOT",$A:$A,0)&gt;_xlpm.x),AND(MATCH("SOS",$A:$A,0)&lt;_xlpm.x,MATCH("EOS",$A:$A,0)&gt;_xlpm.x),AND(MATCH("SOR",$A:$A,0)&lt;_xlpm.x,MATCH("EOR",$A:$A,0)&gt;_xlpm.x))),INDIRECT("rc"&amp;MATCH("SCD",$1:$1,0),FALSE)="PPTO"),1,0)</f>
        <v>0</v>
      </c>
      <c r="AW216" s="142" cm="1">
        <f t="array" aca="1" ref="AW21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217" spans="2:49" outlineLevel="1">
      <c r="B217" s="156" t="str" cm="1">
        <f t="array" aca="1" ref="B217" ca="1">_xlfn.LET(_xlpm.x,SUM(ROW()-MATCH("SOR",$A:$A,0)),_xlpm.y,IFERROR(_xlfn.TAKE(INDEX(_xlfn._xlws.FILTER(TbAssign[],ISNUMBER(FIND(TbAssign[Project],$C$4)),"X"),1+QUOTIENT(_xlpm.x,3),0),1,4),0),IF(MOD(_xlpm.x-1,3)=0,IF(_xlpm.y=0,"X",_xlpm.y),INDIRECT("r[-1]c#",FALSE)))</f>
        <v>X</v>
      </c>
      <c r="C217" s="156"/>
      <c r="E217" s="352"/>
      <c r="F217" s="148" t="s">
        <v>1383</v>
      </c>
      <c r="G217" s="158" cm="1">
        <f t="array" aca="1" ref="G217" ca="1">IF(OR($E217="X",$E217="",$E217=0,$B217="X",$B217="",$B217=0),0,SUM(_xlfn._xlws.FILTER(FrmBB1[Cur],(FrmBB1[PrjId]=TEXT($B217,"@"))*(FrmBB1[Row]=$E217)*(FrmBB1[Column]=UPPER(_xlfn.LET(_xlpm.x,_xlfn.TEXTBEFORE(G$114," ("),IFERROR(_xlpm.x,G$114)))&amp;" "&amp;G$115),0)))</f>
        <v>0</v>
      </c>
      <c r="H217" s="157" cm="1">
        <f t="array" aca="1" ref="H217" ca="1">IF(OR($E217="X",$E217="",$E217=0,$B217="X",$B217="",$B217=0),0,SUM(_xlfn._xlws.FILTER(FrmBB1[Cur],(FrmBB1[PrjId]=TEXT($B217,"@"))*(FrmBB1[Row]=$E217)*(FrmBB1[Column]=UPPER(_xlfn.LET(_xlpm.x,_xlfn.TEXTBEFORE(G$114," ("),IFERROR(_xlpm.x,G$114)))&amp;" "&amp;H$115),0)))</f>
        <v>0</v>
      </c>
      <c r="I217" s="158" cm="1">
        <f t="array" aca="1" ref="I217" ca="1">IF(OR($E217="X",$E217="",$E217=0,$B217="X",$B217="",$B217=0),0,SUM(_xlfn._xlws.FILTER(FrmBB1[Cur],(FrmBB1[PrjId]=TEXT($B217,"@"))*(FrmBB1[Row]=$E217)*(FrmBB1[Column]=UPPER(_xlfn.LET(_xlpm.x,_xlfn.TEXTBEFORE(I$114," ("),IFERROR(_xlpm.x,I$114)))&amp;" "&amp;I$115),0)))</f>
        <v>0</v>
      </c>
      <c r="J217" s="157" cm="1">
        <f t="array" aca="1" ref="J217" ca="1">IF(OR($E217="X",$E217="",$E217=0,$B217="X",$B217="",$B217=0),0,SUM(_xlfn._xlws.FILTER(FrmBB1[Cur],(FrmBB1[PrjId]=TEXT($B217,"@"))*(FrmBB1[Row]=$E217)*(FrmBB1[Column]=UPPER(_xlfn.LET(_xlpm.x,_xlfn.TEXTBEFORE(I$114," ("),IFERROR(_xlpm.x,I$114)))&amp;" "&amp;J$115),0)))</f>
        <v>0</v>
      </c>
      <c r="K217" s="158" cm="1">
        <f t="array" aca="1" ref="K217" ca="1">IF(OR($E217="X",$E217="",$E217=0,$B217="X",$B217="",$B217=0),0,SUM(_xlfn._xlws.FILTER(FrmBB1[Cur],(FrmBB1[PrjId]=TEXT($B217,"@"))*(FrmBB1[Row]=$E217)*(FrmBB1[Column]=UPPER(_xlfn.LET(_xlpm.x,_xlfn.TEXTBEFORE(K$114," ("),IFERROR(_xlpm.x,K$114)))&amp;" "&amp;K$115),0)))</f>
        <v>0</v>
      </c>
      <c r="L217" s="157" cm="1">
        <f t="array" aca="1" ref="L217" ca="1">IF(OR($E217="X",$E217="",$E217=0,$B217="X",$B217="",$B217=0),0,SUM(_xlfn._xlws.FILTER(FrmBB1[Cur],(FrmBB1[PrjId]=TEXT($B217,"@"))*(FrmBB1[Row]=$E217)*(FrmBB1[Column]=UPPER(_xlfn.LET(_xlpm.x,_xlfn.TEXTBEFORE(K$114," ("),IFERROR(_xlpm.x,K$114)))&amp;" "&amp;L$115),0)))</f>
        <v>0</v>
      </c>
      <c r="M217" s="158" cm="1">
        <f t="array" aca="1" ref="M217" ca="1">IF(OR($E217="X",$E217="",$E217=0,$B217="X",$B217="",$B217=0),0,SUM(_xlfn._xlws.FILTER(FrmBB1[Cur],(FrmBB1[PrjId]=TEXT($B217,"@"))*(FrmBB1[Row]=$E217)*(FrmBB1[Column]=UPPER(_xlfn.LET(_xlpm.x,_xlfn.TEXTBEFORE(M$114," ("),IFERROR(_xlpm.x,M$114)))&amp;" "&amp;M$115),0)))</f>
        <v>0</v>
      </c>
      <c r="N217" s="157" cm="1">
        <f t="array" aca="1" ref="N217" ca="1">IF(OR($E217="X",$E217="",$E217=0,$B217="X",$B217="",$B217=0),0,SUM(_xlfn._xlws.FILTER(FrmBB1[Cur],(FrmBB1[PrjId]=TEXT($B217,"@"))*(FrmBB1[Row]=$E217)*(FrmBB1[Column]=UPPER(_xlfn.LET(_xlpm.x,_xlfn.TEXTBEFORE(M$114," ("),IFERROR(_xlpm.x,M$114)))&amp;" "&amp;N$115),0)))</f>
        <v>0</v>
      </c>
      <c r="O217" s="158" cm="1">
        <f t="array" aca="1" ref="O217" ca="1">IF(OR($E217="X",$E217="",$E217=0,$B217="X",$B217="",$B217=0),0,SUM(_xlfn._xlws.FILTER(FrmBB1[Cur],(FrmBB1[PrjId]=TEXT($B217,"@"))*(FrmBB1[Row]=$E217)*(FrmBB1[Column]=UPPER(_xlfn.LET(_xlpm.x,_xlfn.TEXTBEFORE(O$114," ("),IFERROR(_xlpm.x,O$114)))&amp;" "&amp;O$115),0)))</f>
        <v>0</v>
      </c>
      <c r="P217" s="157" cm="1">
        <f t="array" aca="1" ref="P217" ca="1">IF(OR($E217="X",$E217="",$E217=0,$B217="X",$B217="",$B217=0),0,SUM(_xlfn._xlws.FILTER(FrmBB1[Cur],(FrmBB1[PrjId]=TEXT($B217,"@"))*(FrmBB1[Row]=$E217)*(FrmBB1[Column]=UPPER(_xlfn.LET(_xlpm.x,_xlfn.TEXTBEFORE(O$114," ("),IFERROR(_xlpm.x,O$114)))&amp;" "&amp;P$115),0)))</f>
        <v>0</v>
      </c>
      <c r="Q217" s="158" cm="1">
        <f t="array" aca="1" ref="Q217" ca="1">IF(OR($E217="X",$E217="",$E217=0,$B217="X",$B217="",$B217=0),0,SUM(_xlfn._xlws.FILTER(FrmBB1[Cur],(FrmBB1[PrjId]=TEXT($B217,"@"))*(FrmBB1[Row]=$E217)*(FrmBB1[Column]=UPPER(_xlfn.LET(_xlpm.x,_xlfn.TEXTBEFORE(Q$114," ("),IFERROR(_xlpm.x,Q$114)))&amp;" "&amp;Q$115),0)))</f>
        <v>0</v>
      </c>
      <c r="R217" s="157" cm="1">
        <f t="array" aca="1" ref="R217" ca="1">IF(OR($E217="X",$E217="",$E217=0,$B217="X",$B217="",$B217=0),0,SUM(_xlfn._xlws.FILTER(FrmBB1[Cur],(FrmBB1[PrjId]=TEXT($B217,"@"))*(FrmBB1[Row]=$E217)*(FrmBB1[Column]=UPPER(_xlfn.LET(_xlpm.x,_xlfn.TEXTBEFORE(Q$114," ("),IFERROR(_xlpm.x,Q$114)))&amp;" "&amp;R$115),0)))</f>
        <v>0</v>
      </c>
      <c r="S217" s="158" cm="1">
        <f t="array" aca="1" ref="S217" ca="1">IF(OR($E217="X",$E217="",$E217=0,$B217="X",$B217="",$B217=0),0,SUM(_xlfn._xlws.FILTER(FrmBB1[Cur],(FrmBB1[PrjId]=TEXT($B217,"@"))*(FrmBB1[Row]=$E217)*(FrmBB1[Column]=UPPER(_xlfn.LET(_xlpm.x,_xlfn.TEXTBEFORE(S$114," ("),IFERROR(_xlpm.x,S$114)))&amp;" "&amp;S$115),0)))</f>
        <v>0</v>
      </c>
      <c r="T217" s="157" cm="1">
        <f t="array" aca="1" ref="T217" ca="1">IF(OR($E217="X",$E217="",$E217=0,$B217="X",$B217="",$B217=0),0,SUM(_xlfn._xlws.FILTER(FrmBB1[Cur],(FrmBB1[PrjId]=TEXT($B217,"@"))*(FrmBB1[Row]=$E217)*(FrmBB1[Column]=UPPER(_xlfn.LET(_xlpm.x,_xlfn.TEXTBEFORE(S$114," ("),IFERROR(_xlpm.x,S$114)))&amp;" "&amp;T$115),0)))</f>
        <v>0</v>
      </c>
      <c r="U217" s="158" cm="1">
        <f t="array" aca="1" ref="U217" ca="1">IF(OR($E217="X",$E217="",$E217=0,$B217="X",$B217="",$B217=0),0,SUM(_xlfn._xlws.FILTER(FrmBB1[Cur],(FrmBB1[PrjId]=TEXT($B217,"@"))*(FrmBB1[Row]=$E217)*(FrmBB1[Column]=UPPER(_xlfn.LET(_xlpm.x,_xlfn.TEXTBEFORE(U$114," ("),IFERROR(_xlpm.x,U$114)))&amp;" "&amp;U$115),0)))</f>
        <v>0</v>
      </c>
      <c r="V217" s="157" cm="1">
        <f t="array" aca="1" ref="V217" ca="1">IF(OR($E217="X",$E217="",$E217=0,$B217="X",$B217="",$B217=0),0,SUM(_xlfn._xlws.FILTER(FrmBB1[Cur],(FrmBB1[PrjId]=TEXT($B217,"@"))*(FrmBB1[Row]=$E217)*(FrmBB1[Column]=UPPER(_xlfn.LET(_xlpm.x,_xlfn.TEXTBEFORE(U$114," ("),IFERROR(_xlpm.x,U$114)))&amp;" "&amp;V$115),0)))</f>
        <v>0</v>
      </c>
      <c r="W217" s="158" cm="1">
        <f t="array" aca="1" ref="W217" ca="1">IF(OR($E217="X",$E217="",$E217=0,$B217="X",$B217="",$B217=0),0,SUM(_xlfn._xlws.FILTER(FrmBB1[Cur],(FrmBB1[PrjId]=TEXT($B217,"@"))*(FrmBB1[Row]=$E217)*(FrmBB1[Column]=UPPER(_xlfn.LET(_xlpm.x,_xlfn.TEXTBEFORE(W$114," ("),IFERROR(_xlpm.x,W$114)))&amp;" "&amp;W$115),0)))</f>
        <v>0</v>
      </c>
      <c r="X217" s="157" cm="1">
        <f t="array" aca="1" ref="X217" ca="1">IF(OR($E217="X",$E217="",$E217=0,$B217="X",$B217="",$B217=0),0,SUM(_xlfn._xlws.FILTER(FrmBB1[Cur],(FrmBB1[PrjId]=TEXT($B217,"@"))*(FrmBB1[Row]=$E217)*(FrmBB1[Column]=UPPER(_xlfn.LET(_xlpm.x,_xlfn.TEXTBEFORE(W$114," ("),IFERROR(_xlpm.x,W$114)))&amp;" "&amp;X$115),0)))</f>
        <v>0</v>
      </c>
      <c r="Y217" s="158" cm="1">
        <f t="array" aca="1" ref="Y217" ca="1">IF(OR($E217="X",$E217="",$E217=0,$B217="X",$B217="",$B217=0),0,SUM(_xlfn._xlws.FILTER(FrmBB1[Cur],(FrmBB1[PrjId]=TEXT($B217,"@"))*(FrmBB1[Row]=$E217)*(FrmBB1[Column]=UPPER(_xlfn.LET(_xlpm.x,_xlfn.TEXTBEFORE(Y$114," ("),IFERROR(_xlpm.x,Y$114)))&amp;" "&amp;Y$115),0)))</f>
        <v>0</v>
      </c>
      <c r="Z217" s="157" cm="1">
        <f t="array" aca="1" ref="Z217" ca="1">IF(OR($E217="X",$E217="",$E217=0,$B217="X",$B217="",$B217=0),0,SUM(_xlfn._xlws.FILTER(FrmBB1[Cur],(FrmBB1[PrjId]=TEXT($B217,"@"))*(FrmBB1[Row]=$E217)*(FrmBB1[Column]=UPPER(_xlfn.LET(_xlpm.x,_xlfn.TEXTBEFORE(Y$114," ("),IFERROR(_xlpm.x,Y$114)))&amp;" "&amp;Z$115),0)))</f>
        <v>0</v>
      </c>
      <c r="AA217" s="158" cm="1">
        <f t="array" aca="1" ref="AA217" ca="1">IF(OR($E217="X",$E217="",$E217=0,$B217="X",$B217="",$B217=0),0,SUM(_xlfn._xlws.FILTER(FrmBB1[Cur],(FrmBB1[PrjId]=TEXT($B217,"@"))*(FrmBB1[Row]=$E217)*(FrmBB1[Column]=UPPER(_xlfn.LET(_xlpm.x,_xlfn.TEXTBEFORE(AA$114," ("),IFERROR(_xlpm.x,AA$114)))&amp;" "&amp;AA$115),0)))</f>
        <v>0</v>
      </c>
      <c r="AB217" s="157" cm="1">
        <f t="array" aca="1" ref="AB217" ca="1">IF(OR($E217="X",$E217="",$E217=0,$B217="X",$B217="",$B217=0),0,SUM(_xlfn._xlws.FILTER(FrmBB1[Cur],(FrmBB1[PrjId]=TEXT($B217,"@"))*(FrmBB1[Row]=$E217)*(FrmBB1[Column]=UPPER(_xlfn.LET(_xlpm.x,_xlfn.TEXTBEFORE(AA$114," ("),IFERROR(_xlpm.x,AA$114)))&amp;" "&amp;AB$115),0)))</f>
        <v>0</v>
      </c>
      <c r="AC217" s="158" cm="1">
        <f t="array" aca="1" ref="AC217" ca="1">IF(OR($E217="X",$E217="",$E217=0,$B217="X",$B217="",$B217=0),0,SUM(_xlfn._xlws.FILTER(FrmBB1[Cur],(FrmBB1[PrjId]=TEXT($B217,"@"))*(FrmBB1[Row]=$E217)*(FrmBB1[Column]=UPPER(_xlfn.LET(_xlpm.x,_xlfn.TEXTBEFORE(AC$114," ("),IFERROR(_xlpm.x,AC$114)))&amp;" "&amp;AC$115),0)))</f>
        <v>0</v>
      </c>
      <c r="AD217" s="157" cm="1">
        <f t="array" aca="1" ref="AD217" ca="1">IF(OR($E217="X",$E217="",$E217=0,$B217="X",$B217="",$B217=0),0,SUM(_xlfn._xlws.FILTER(FrmBB1[Cur],(FrmBB1[PrjId]=TEXT($B217,"@"))*(FrmBB1[Row]=$E217)*(FrmBB1[Column]=UPPER(_xlfn.LET(_xlpm.x,_xlfn.TEXTBEFORE(AC$114," ("),IFERROR(_xlpm.x,AC$114)))&amp;" "&amp;AD$115),0)))</f>
        <v>0</v>
      </c>
      <c r="AE217" s="158" cm="1">
        <f t="array" aca="1" ref="AE217" ca="1">IF(OR($E217="X",$E217="",$E217=0,$B217="X",$B217="",$B217=0),0,SUM(_xlfn._xlws.FILTER(FrmBB1[Cur],(FrmBB1[PrjId]=TEXT($B217,"@"))*(FrmBB1[Row]=$E217)*(FrmBB1[Column]=UPPER(_xlfn.LET(_xlpm.x,_xlfn.TEXTBEFORE(AE$114," ("),IFERROR(_xlpm.x,AE$114)))&amp;" "&amp;AE$115),0)))</f>
        <v>0</v>
      </c>
      <c r="AF217" s="157" cm="1">
        <f t="array" aca="1" ref="AF217" ca="1">IF(OR($E217="X",$E217="",$E217=0,$B217="X",$B217="",$B217=0),0,SUM(_xlfn._xlws.FILTER(FrmBB1[Cur],(FrmBB1[PrjId]=TEXT($B217,"@"))*(FrmBB1[Row]=$E217)*(FrmBB1[Column]=UPPER(_xlfn.LET(_xlpm.x,_xlfn.TEXTBEFORE(AE$114," ("),IFERROR(_xlpm.x,AE$114)))&amp;" "&amp;AF$115),0)))</f>
        <v>0</v>
      </c>
      <c r="AG217" s="158" cm="1">
        <f t="array" aca="1" ref="AG217" ca="1">IF(OR($E217="X",$E217="",$E217=0,$B217="X",$B217="",$B217=0),0,SUM(_xlfn._xlws.FILTER(FrmBB1[Cur],(FrmBB1[PrjId]=TEXT($B217,"@"))*(FrmBB1[Row]=$E217)*(FrmBB1[Column]=UPPER(_xlfn.LET(_xlpm.x,_xlfn.TEXTBEFORE(AG$114," ("),IFERROR(_xlpm.x,AG$114)))&amp;" "&amp;AG$115),0)))</f>
        <v>0</v>
      </c>
      <c r="AH217" s="157" cm="1">
        <f t="array" aca="1" ref="AH217" ca="1">IF(OR($E217="X",$E217="",$E217=0,$B217="X",$B217="",$B217=0),0,SUM(_xlfn._xlws.FILTER(FrmBB1[Cur],(FrmBB1[PrjId]=TEXT($B217,"@"))*(FrmBB1[Row]=$E217)*(FrmBB1[Column]=UPPER(_xlfn.LET(_xlpm.x,_xlfn.TEXTBEFORE(AG$114," ("),IFERROR(_xlpm.x,AG$114)))&amp;" "&amp;AH$115),0)))</f>
        <v>0</v>
      </c>
      <c r="AI217" s="158" cm="1">
        <f t="array" aca="1" ref="AI217" ca="1">IF(OR($E217="X",$E217="",$E217=0,$B217="X",$B217="",$B217=0),0,SUM(_xlfn._xlws.FILTER(FrmBB1[Cur],(FrmBB1[PrjId]=TEXT($B217,"@"))*(FrmBB1[Row]=$E217)*(FrmBB1[Column]=UPPER(_xlfn.LET(_xlpm.x,_xlfn.TEXTBEFORE(AI$114," ("),IFERROR(_xlpm.x,AI$114)))&amp;" "&amp;AI$115),0)))</f>
        <v>0</v>
      </c>
      <c r="AJ217" s="157" cm="1">
        <f t="array" aca="1" ref="AJ217" ca="1">IF(OR($E217="X",$E217="",$E217=0,$B217="X",$B217="",$B217=0),0,SUM(_xlfn._xlws.FILTER(FrmBB1[Cur],(FrmBB1[PrjId]=TEXT($B217,"@"))*(FrmBB1[Row]=$E217)*(FrmBB1[Column]=UPPER(_xlfn.LET(_xlpm.x,_xlfn.TEXTBEFORE(AI$114," ("),IFERROR(_xlpm.x,AI$114)))&amp;" "&amp;AJ$115),0)))</f>
        <v>0</v>
      </c>
      <c r="AK217" s="158" cm="1">
        <f t="array" aca="1" ref="AK217" ca="1">IF(OR($E217="X",$E217="",$E217=0,$B217="X",$B217="",$B217=0),0,SUM(_xlfn._xlws.FILTER(FrmBB1[Cur],(FrmBB1[PrjId]=TEXT($B217,"@"))*(FrmBB1[Row]=$E217)*(FrmBB1[Column]=UPPER(_xlfn.LET(_xlpm.x,_xlfn.TEXTBEFORE(AK$114," ("),IFERROR(_xlpm.x,AK$114)))&amp;" "&amp;AK$115),0)))</f>
        <v>0</v>
      </c>
      <c r="AL217" s="157" cm="1">
        <f t="array" aca="1" ref="AL217" ca="1">IF(OR($E217="X",$E217="",$E217=0,$B217="X",$B217="",$B217=0),0,SUM(_xlfn._xlws.FILTER(FrmBB1[Cur],(FrmBB1[PrjId]=TEXT($B217,"@"))*(FrmBB1[Row]=$E217)*(FrmBB1[Column]=UPPER(_xlfn.LET(_xlpm.x,_xlfn.TEXTBEFORE(AK$114," ("),IFERROR(_xlpm.x,AK$114)))&amp;" "&amp;AL$115),0)))</f>
        <v>0</v>
      </c>
      <c r="AM217" s="158" cm="1">
        <f t="array" aca="1" ref="AM217" ca="1">IF(OR($E217="X",$E217="",$E217=0,$B217="X",$B217="",$B217=0),0,SUM(_xlfn._xlws.FILTER(FrmBB1[Cur],(FrmBB1[PrjId]=TEXT($B217,"@"))*(FrmBB1[Row]=$E217)*(FrmBB1[Column]=UPPER(_xlfn.LET(_xlpm.x,_xlfn.TEXTBEFORE(AM$114," ("),IFERROR(_xlpm.x,AM$114)))&amp;" "&amp;AM$115),0)))</f>
        <v>0</v>
      </c>
      <c r="AN217" s="157" cm="1">
        <f t="array" aca="1" ref="AN217" ca="1">IF(OR($E217="X",$E217="",$E217=0,$B217="X",$B217="",$B217=0),0,SUM(_xlfn._xlws.FILTER(FrmBB1[Cur],(FrmBB1[PrjId]=TEXT($B217,"@"))*(FrmBB1[Row]=$E217)*(FrmBB1[Column]=UPPER(_xlfn.LET(_xlpm.x,_xlfn.TEXTBEFORE(AM$114," ("),IFERROR(_xlpm.x,AM$114)))&amp;" "&amp;AN$115),0)))</f>
        <v>0</v>
      </c>
      <c r="AO217" s="158" cm="1">
        <f t="array" aca="1" ref="AO217" ca="1">IF(OR($E217="X",$E217="",$E217=0,$B217="X",$B217="",$B217=0),0,SUM(_xlfn._xlws.FILTER(FrmBB1[Cur],(FrmBB1[PrjId]=TEXT($B217,"@"))*(FrmBB1[Row]=$E217)*(FrmBB1[Column]=UPPER(_xlfn.LET(_xlpm.x,_xlfn.TEXTBEFORE(AO$114," ("),IFERROR(_xlpm.x,AO$114)))&amp;" "&amp;AO$115),0)))</f>
        <v>0</v>
      </c>
      <c r="AP217" s="157" cm="1">
        <f t="array" aca="1" ref="AP217" ca="1">IF(OR($E217="X",$E217="",$E217=0,$B217="X",$B217="",$B217=0),0,SUM(_xlfn._xlws.FILTER(FrmBB1[Cur],(FrmBB1[PrjId]=TEXT($B217,"@"))*(FrmBB1[Row]=$E217)*(FrmBB1[Column]=UPPER(_xlfn.LET(_xlpm.x,_xlfn.TEXTBEFORE(AO$114," ("),IFERROR(_xlpm.x,AO$114)))&amp;" "&amp;AP$115),0)))</f>
        <v>0</v>
      </c>
      <c r="AQ217" s="157" cm="1">
        <f t="array" aca="1" ref="AQ217" ca="1">SUM(IF(INDIRECT($AS$115)=AQ$115,INDIRECT($AS217)))</f>
        <v>0</v>
      </c>
      <c r="AR217" s="157" cm="1">
        <f t="array" aca="1" ref="AR217" ca="1">SUM(IF(INDIRECT($AS$115)=AR$115,INDIRECT($AS217)))</f>
        <v>0</v>
      </c>
      <c r="AS217" s="286" t="str">
        <f t="shared" ca="1" si="18"/>
        <v>G217:AP217</v>
      </c>
      <c r="AT217" s="403">
        <f t="shared" ca="1" si="17"/>
        <v>0</v>
      </c>
      <c r="AV217" s="142" cm="1">
        <f t="array" aca="1" ref="AV217" ca="1">IF(AND(_xlfn.LET(_xlpm.x,SUM(ROW()),OR(AND(MATCH("SOT",$A:$A,0)&lt;_xlpm.x,MATCH("EOT",$A:$A,0)&gt;_xlpm.x),AND(MATCH("SOS",$A:$A,0)&lt;_xlpm.x,MATCH("EOS",$A:$A,0)&gt;_xlpm.x),AND(MATCH("SOR",$A:$A,0)&lt;_xlpm.x,MATCH("EOR",$A:$A,0)&gt;_xlpm.x))),INDIRECT("rc"&amp;MATCH("SCD",$1:$1,0),FALSE)="PPTO"),1,0)</f>
        <v>0</v>
      </c>
      <c r="AW217" s="142" cm="1">
        <f t="array" aca="1" ref="AW21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218" spans="2:49" outlineLevel="1">
      <c r="B218" s="156" t="str" cm="1">
        <f t="array" aca="1" ref="B218" ca="1">_xlfn.LET(_xlpm.x,SUM(ROW()-MATCH("SOR",$A:$A,0)),_xlpm.y,IFERROR(_xlfn.TAKE(INDEX(_xlfn._xlws.FILTER(TbAssign[],ISNUMBER(FIND(TbAssign[Project],$C$4)),"X"),1+QUOTIENT(_xlpm.x,3),0),1,4),0),IF(MOD(_xlpm.x-1,3)=0,IF(_xlpm.y=0,"X",_xlpm.y),INDIRECT("r[-1]c#",FALSE)))</f>
        <v>X</v>
      </c>
      <c r="C218" s="156"/>
      <c r="E218" s="352"/>
      <c r="F218" s="148" t="s">
        <v>397</v>
      </c>
      <c r="G218" s="157" cm="1">
        <f t="array" aca="1" ref="G218" ca="1">IF(OR($E218="X",$E218="",$E218=0,$B218="X",$B218="",$B218=0),0,SUM(_xlfn._xlws.FILTER(IF($E$4="Ppto",PptoSty[CurPpto],PptoSty[CurInt]),(IF($E$4="Ppto",PptoSty[POvsCT]=G$113,TRUE))*(PptoSty[Project]=TEXT($B218,"@"))*(PptoSty[PptoVsRow]=$E218)*(PptoSty[PptoVsColumn]=UPPER(G$114)),0)))</f>
        <v>0</v>
      </c>
      <c r="H218" s="157" cm="1">
        <f t="array" aca="1" ref="H218" ca="1">IF(OR($E218="X",$E218="",$E218=0,$B218="X",$B218="",$B218=0),0,SUM(_xlfn._xlws.FILTER(IF($E$4="Ppto",PptoSty[CurPpto],PptoSty[CurExt]),(IF($E$4="Ppto",PptoSty[POvsCT]=H$113,TRUE))*(PptoSty[Project]=TEXT($B218,"@"))*(PptoSty[PptoVsRow]=$E218)*(PptoSty[PptoVsColumn]=UPPER(G$114)),0)))</f>
        <v>0</v>
      </c>
      <c r="I218" s="157" cm="1">
        <f t="array" aca="1" ref="I218" ca="1">IF(OR($E218="X",$E218="",$E218=0,$B218="X",$B218="",$B218=0),0,SUM(_xlfn._xlws.FILTER(IF($E$4="Ppto",PptoSty[CurPpto],PptoSty[CurInt]),(IF($E$4="Ppto",PptoSty[POvsCT]=I$113,TRUE))*(PptoSty[Project]=TEXT($B218,"@"))*(PptoSty[PptoVsRow]=$E218)*(PptoSty[PptoVsColumn]=UPPER(I$114)),0)))</f>
        <v>0</v>
      </c>
      <c r="J218" s="157" cm="1">
        <f t="array" aca="1" ref="J218" ca="1">IF(OR($E218="X",$E218="",$E218=0,$B218="X",$B218="",$B218=0),0,SUM(_xlfn._xlws.FILTER(IF($E$4="Ppto",PptoSty[CurPpto],PptoSty[CurExt]),(IF($E$4="Ppto",PptoSty[POvsCT]=J$113,TRUE))*(PptoSty[Project]=TEXT($B218,"@"))*(PptoSty[PptoVsRow]=$E218)*(PptoSty[PptoVsColumn]=UPPER(I$114)),0)))</f>
        <v>0</v>
      </c>
      <c r="K218" s="157" cm="1">
        <f t="array" aca="1" ref="K218" ca="1">IF(OR($E218="X",$E218="",$E218=0,$B218="X",$B218="",$B218=0),0,SUM(_xlfn._xlws.FILTER(IF($E$4="Ppto",PptoSty[CurPpto],PptoSty[CurInt]),(IF($E$4="Ppto",PptoSty[POvsCT]=K$113,TRUE))*(PptoSty[Project]=TEXT($B218,"@"))*(PptoSty[PptoVsRow]=$E218)*(PptoSty[PptoVsColumn]=UPPER(K$114)),0)))</f>
        <v>0</v>
      </c>
      <c r="L218" s="157" cm="1">
        <f t="array" aca="1" ref="L218" ca="1">IF(OR($E218="X",$E218="",$E218=0,$B218="X",$B218="",$B218=0),0,SUM(_xlfn._xlws.FILTER(IF($E$4="Ppto",PptoSty[CurPpto],PptoSty[CurExt]),(IF($E$4="Ppto",PptoSty[POvsCT]=L$113,TRUE))*(PptoSty[Project]=TEXT($B218,"@"))*(PptoSty[PptoVsRow]=$E218)*(PptoSty[PptoVsColumn]=UPPER(K$114)),0)))</f>
        <v>0</v>
      </c>
      <c r="M218" s="157" cm="1">
        <f t="array" aca="1" ref="M218" ca="1">IF(OR($E218="X",$E218="",$E218=0,$B218="X",$B218="",$B218=0),0,SUM(_xlfn._xlws.FILTER(IF($E$4="Ppto",PptoSty[CurPpto],PptoSty[CurInt]),(IF($E$4="Ppto",PptoSty[POvsCT]=M$113,TRUE))*(PptoSty[Project]=TEXT($B218,"@"))*(PptoSty[PptoVsRow]=$E218)*(PptoSty[PptoVsColumn]=UPPER(M$114)),0)))</f>
        <v>0</v>
      </c>
      <c r="N218" s="157" cm="1">
        <f t="array" aca="1" ref="N218" ca="1">IF(OR($E218="X",$E218="",$E218=0,$B218="X",$B218="",$B218=0),0,SUM(_xlfn._xlws.FILTER(IF($E$4="Ppto",PptoSty[CurPpto],PptoSty[CurExt]),(IF($E$4="Ppto",PptoSty[POvsCT]=N$113,TRUE))*(PptoSty[Project]=TEXT($B218,"@"))*(PptoSty[PptoVsRow]=$E218)*(PptoSty[PptoVsColumn]=UPPER(M$114)),0)))</f>
        <v>0</v>
      </c>
      <c r="O218" s="157" cm="1">
        <f t="array" aca="1" ref="O218" ca="1">IF(OR($E218="X",$E218="",$E218=0,$B218="X",$B218="",$B218=0),0,SUM(_xlfn._xlws.FILTER(IF($E$4="Ppto",PptoSty[CurPpto],PptoSty[CurInt]),(IF($E$4="Ppto",PptoSty[POvsCT]=O$113,TRUE))*(PptoSty[Project]=TEXT($B218,"@"))*(PptoSty[PptoVsRow]=$E218)*(PptoSty[PptoVsColumn]=UPPER(O$114)),0)))</f>
        <v>0</v>
      </c>
      <c r="P218" s="157" cm="1">
        <f t="array" aca="1" ref="P218" ca="1">IF(OR($E218="X",$E218="",$E218=0,$B218="X",$B218="",$B218=0),0,SUM(_xlfn._xlws.FILTER(IF($E$4="Ppto",PptoSty[CurPpto],PptoSty[CurExt]),(IF($E$4="Ppto",PptoSty[POvsCT]=P$113,TRUE))*(PptoSty[Project]=TEXT($B218,"@"))*(PptoSty[PptoVsRow]=$E218)*(PptoSty[PptoVsColumn]=UPPER(O$114)),0)))</f>
        <v>0</v>
      </c>
      <c r="Q218" s="157" cm="1">
        <f t="array" aca="1" ref="Q218" ca="1">IF(OR($E218="X",$E218="",$E218=0,$B218="X",$B218="",$B218=0),0,SUM(_xlfn._xlws.FILTER(IF($E$4="Ppto",PptoSty[CurPpto],PptoSty[CurInt]),(IF($E$4="Ppto",PptoSty[POvsCT]=Q$113,TRUE))*(PptoSty[Project]=TEXT($B218,"@"))*(PptoSty[PptoVsRow]=$E218)*(PptoSty[PptoVsColumn]=UPPER(Q$114)),0)))</f>
        <v>0</v>
      </c>
      <c r="R218" s="157" cm="1">
        <f t="array" aca="1" ref="R218" ca="1">IF(OR($E218="X",$E218="",$E218=0,$B218="X",$B218="",$B218=0),0,SUM(_xlfn._xlws.FILTER(IF($E$4="Ppto",PptoSty[CurPpto],PptoSty[CurExt]),(IF($E$4="Ppto",PptoSty[POvsCT]=R$113,TRUE))*(PptoSty[Project]=TEXT($B218,"@"))*(PptoSty[PptoVsRow]=$E218)*(PptoSty[PptoVsColumn]=UPPER(Q$114)),0)))</f>
        <v>0</v>
      </c>
      <c r="S218" s="157" cm="1">
        <f t="array" aca="1" ref="S218" ca="1">IF(OR($E218="X",$E218="",$E218=0,$B218="X",$B218="",$B218=0),0,SUM(_xlfn._xlws.FILTER(IF($E$4="Ppto",PptoSty[CurPpto],PptoSty[CurInt]),(IF($E$4="Ppto",PptoSty[POvsCT]=S$113,TRUE))*(PptoSty[Project]=TEXT($B218,"@"))*(PptoSty[PptoVsRow]=$E218)*(PptoSty[PptoVsColumn]=UPPER(S$114)),0)))</f>
        <v>0</v>
      </c>
      <c r="T218" s="157" cm="1">
        <f t="array" aca="1" ref="T218" ca="1">IF(OR($E218="X",$E218="",$E218=0,$B218="X",$B218="",$B218=0),0,SUM(_xlfn._xlws.FILTER(IF($E$4="Ppto",PptoSty[CurPpto],PptoSty[CurExt]),(IF($E$4="Ppto",PptoSty[POvsCT]=T$113,TRUE))*(PptoSty[Project]=TEXT($B218,"@"))*(PptoSty[PptoVsRow]=$E218)*(PptoSty[PptoVsColumn]=UPPER(S$114)),0)))</f>
        <v>0</v>
      </c>
      <c r="U218" s="157" cm="1">
        <f t="array" aca="1" ref="U218" ca="1">IF(OR($E218="X",$E218="",$E218=0,$B218="X",$B218="",$B218=0),0,SUM(_xlfn._xlws.FILTER(IF($E$4="Ppto",PptoSty[CurPpto],PptoSty[CurInt]),(IF($E$4="Ppto",PptoSty[POvsCT]=U$113,TRUE))*(PptoSty[Project]=TEXT($B218,"@"))*(PptoSty[PptoVsRow]=$E218)*(PptoSty[PptoVsColumn]=UPPER(U$114)),0)))</f>
        <v>0</v>
      </c>
      <c r="V218" s="157" cm="1">
        <f t="array" aca="1" ref="V218" ca="1">IF(OR($E218="X",$E218="",$E218=0,$B218="X",$B218="",$B218=0),0,SUM(_xlfn._xlws.FILTER(IF($E$4="Ppto",PptoSty[CurPpto],PptoSty[CurExt]),(IF($E$4="Ppto",PptoSty[POvsCT]=V$113,TRUE))*(PptoSty[Project]=TEXT($B218,"@"))*(PptoSty[PptoVsRow]=$E218)*(PptoSty[PptoVsColumn]=UPPER(U$114)),0)))</f>
        <v>0</v>
      </c>
      <c r="W218" s="157" cm="1">
        <f t="array" aca="1" ref="W218" ca="1">IF(OR($E218="X",$E218="",$E218=0,$B218="X",$B218="",$B218=0),0,SUM(_xlfn._xlws.FILTER(IF($E$4="Ppto",PptoSty[CurPpto],PptoSty[CurInt]),(IF($E$4="Ppto",PptoSty[POvsCT]=W$113,TRUE))*(PptoSty[Project]=TEXT($B218,"@"))*(PptoSty[PptoVsRow]=$E218)*(PptoSty[PptoVsColumn]=UPPER(W$114)),0)))</f>
        <v>0</v>
      </c>
      <c r="X218" s="157" cm="1">
        <f t="array" aca="1" ref="X218" ca="1">IF(OR($E218="X",$E218="",$E218=0,$B218="X",$B218="",$B218=0),0,SUM(_xlfn._xlws.FILTER(IF($E$4="Ppto",PptoSty[CurPpto],PptoSty[CurExt]),(IF($E$4="Ppto",PptoSty[POvsCT]=X$113,TRUE))*(PptoSty[Project]=TEXT($B218,"@"))*(PptoSty[PptoVsRow]=$E218)*(PptoSty[PptoVsColumn]=UPPER(W$114)),0)))</f>
        <v>0</v>
      </c>
      <c r="Y218" s="157" cm="1">
        <f t="array" aca="1" ref="Y218" ca="1">IF(OR($E218="X",$E218="",$E218=0,$B218="X",$B218="",$B218=0),0,SUM(_xlfn._xlws.FILTER(IF($E$4="Ppto",PptoSty[CurPpto],PptoSty[CurInt]),(IF($E$4="Ppto",PptoSty[POvsCT]=Y$113,TRUE))*(PptoSty[Project]=TEXT($B218,"@"))*(PptoSty[PptoVsRow]=$E218)*(PptoSty[PptoVsColumn]=UPPER(Y$114)),0)))</f>
        <v>0</v>
      </c>
      <c r="Z218" s="157" cm="1">
        <f t="array" aca="1" ref="Z218" ca="1">IF(OR($E218="X",$E218="",$E218=0,$B218="X",$B218="",$B218=0),0,SUM(_xlfn._xlws.FILTER(IF($E$4="Ppto",PptoSty[CurPpto],PptoSty[CurExt]),(IF($E$4="Ppto",PptoSty[POvsCT]=Z$113,TRUE))*(PptoSty[Project]=TEXT($B218,"@"))*(PptoSty[PptoVsRow]=$E218)*(PptoSty[PptoVsColumn]=UPPER(Y$114)),0)))</f>
        <v>0</v>
      </c>
      <c r="AA218" s="157" cm="1">
        <f t="array" aca="1" ref="AA218" ca="1">IF(OR($E218="X",$E218="",$E218=0,$B218="X",$B218="",$B218=0),0,SUM(_xlfn._xlws.FILTER(IF($E$4="Ppto",PptoSty[CurPpto],PptoSty[CurInt]),(IF($E$4="Ppto",PptoSty[POvsCT]=AA$113,TRUE))*(PptoSty[Project]=TEXT($B218,"@"))*(PptoSty[PptoVsRow]=$E218)*(PptoSty[PptoVsColumn]=UPPER(AA$114)),0)))</f>
        <v>0</v>
      </c>
      <c r="AB218" s="157" cm="1">
        <f t="array" aca="1" ref="AB218" ca="1">IF(OR($E218="X",$E218="",$E218=0,$B218="X",$B218="",$B218=0),0,SUM(_xlfn._xlws.FILTER(IF($E$4="Ppto",PptoSty[CurPpto],PptoSty[CurExt]),(IF($E$4="Ppto",PptoSty[POvsCT]=AB$113,TRUE))*(PptoSty[Project]=TEXT($B218,"@"))*(PptoSty[PptoVsRow]=$E218)*(PptoSty[PptoVsColumn]=UPPER(AA$114)),0)))</f>
        <v>0</v>
      </c>
      <c r="AC218" s="157" cm="1">
        <f t="array" aca="1" ref="AC218" ca="1">IF(OR($E218="X",$E218="",$E218=0,$B218="X",$B218="",$B218=0),0,SUM(_xlfn._xlws.FILTER(IF($E$4="Ppto",PptoSty[CurPpto],PptoSty[CurInt]),(IF($E$4="Ppto",PptoSty[POvsCT]=AC$113,TRUE))*(PptoSty[Project]=TEXT($B218,"@"))*(PptoSty[PptoVsRow]=$E218)*(PptoSty[PptoVsColumn]=UPPER(AC$114)),0)))</f>
        <v>0</v>
      </c>
      <c r="AD218" s="157" cm="1">
        <f t="array" aca="1" ref="AD218" ca="1">IF(OR($E218="X",$E218="",$E218=0,$B218="X",$B218="",$B218=0),0,SUM(_xlfn._xlws.FILTER(IF($E$4="Ppto",PptoSty[CurPpto],PptoSty[CurExt]),(IF($E$4="Ppto",PptoSty[POvsCT]=AD$113,TRUE))*(PptoSty[Project]=TEXT($B218,"@"))*(PptoSty[PptoVsRow]=$E218)*(PptoSty[PptoVsColumn]=UPPER(AC$114)),0)))</f>
        <v>0</v>
      </c>
      <c r="AE218" s="157" cm="1">
        <f t="array" aca="1" ref="AE218" ca="1">IF(OR($E218="X",$E218="",$E218=0,$B218="X",$B218="",$B218=0),0,SUM(_xlfn._xlws.FILTER(IF($E$4="Ppto",PptoSty[CurPpto],PptoSty[CurInt]),(IF($E$4="Ppto",PptoSty[POvsCT]=AE$113,TRUE))*(PptoSty[Project]=TEXT($B218,"@"))*(PptoSty[PptoVsRow]=$E218)*(PptoSty[PptoVsColumn]=UPPER(AE$114)),0)))</f>
        <v>0</v>
      </c>
      <c r="AF218" s="157" cm="1">
        <f t="array" aca="1" ref="AF218" ca="1">IF(OR($E218="X",$E218="",$E218=0,$B218="X",$B218="",$B218=0),0,SUM(_xlfn._xlws.FILTER(IF($E$4="Ppto",PptoSty[CurPpto],PptoSty[CurExt]),(IF($E$4="Ppto",PptoSty[POvsCT]=AF$113,TRUE))*(PptoSty[Project]=TEXT($B218,"@"))*(PptoSty[PptoVsRow]=$E218)*(PptoSty[PptoVsColumn]=UPPER(AE$114)),0)))</f>
        <v>0</v>
      </c>
      <c r="AG218" s="157" cm="1">
        <f t="array" aca="1" ref="AG218" ca="1">IF(OR($E218="X",$E218="",$E218=0,$B218="X",$B218="",$B218=0),0,SUM(_xlfn._xlws.FILTER(IF($E$4="Ppto",PptoSty[CurPpto],PptoSty[CurInt]),(IF($E$4="Ppto",PptoSty[POvsCT]=AG$113,TRUE))*(PptoSty[Project]=TEXT($B218,"@"))*(PptoSty[PptoVsRow]=$E218)*(PptoSty[PptoVsColumn]=UPPER(AG$114)),0)))</f>
        <v>0</v>
      </c>
      <c r="AH218" s="157" cm="1">
        <f t="array" aca="1" ref="AH218" ca="1">IF(OR($E218="X",$E218="",$E218=0,$B218="X",$B218="",$B218=0),0,SUM(_xlfn._xlws.FILTER(IF($E$4="Ppto",PptoSty[CurPpto],PptoSty[CurExt]),(IF($E$4="Ppto",PptoSty[POvsCT]=AH$113,TRUE))*(PptoSty[Project]=TEXT($B218,"@"))*(PptoSty[PptoVsRow]=$E218)*(PptoSty[PptoVsColumn]=UPPER(AG$114)),0)))</f>
        <v>0</v>
      </c>
      <c r="AI218" s="157" cm="1">
        <f t="array" aca="1" ref="AI218" ca="1">IF(OR($E218="X",$E218="",$E218=0,$B218="X",$B218="",$B218=0),0,SUM(_xlfn._xlws.FILTER(IF($E$4="Ppto",PptoSty[CurPpto],PptoSty[CurInt]),(IF($E$4="Ppto",PptoSty[POvsCT]=AI$113,TRUE))*(PptoSty[Project]=TEXT($B218,"@"))*(PptoSty[PptoVsRow]=$E218)*(PptoSty[PptoVsColumn]=UPPER(AI$114)),0)))</f>
        <v>0</v>
      </c>
      <c r="AJ218" s="157" cm="1">
        <f t="array" aca="1" ref="AJ218" ca="1">IF(OR($E218="X",$E218="",$E218=0,$B218="X",$B218="",$B218=0),0,SUM(_xlfn._xlws.FILTER(IF($E$4="Ppto",PptoSty[CurPpto],PptoSty[CurExt]),(IF($E$4="Ppto",PptoSty[POvsCT]=AJ$113,TRUE))*(PptoSty[Project]=TEXT($B218,"@"))*(PptoSty[PptoVsRow]=$E218)*(PptoSty[PptoVsColumn]=UPPER(AI$114)),0)))</f>
        <v>0</v>
      </c>
      <c r="AK218" s="157" cm="1">
        <f t="array" aca="1" ref="AK218" ca="1">IF(OR($E218="X",$E218="",$E218=0,$B218="X",$B218="",$B218=0),0,SUM(_xlfn._xlws.FILTER(IF($E$4="Ppto",PptoSty[CurPpto],PptoSty[CurInt]),(IF($E$4="Ppto",PptoSty[POvsCT]=AK$113,TRUE))*(PptoSty[Project]=TEXT($B218,"@"))*(PptoSty[PptoVsRow]=$E218)*(PptoSty[PptoVsColumn]=UPPER(AK$114)),0)))</f>
        <v>0</v>
      </c>
      <c r="AL218" s="157" cm="1">
        <f t="array" aca="1" ref="AL218" ca="1">IF(OR($E218="X",$E218="",$E218=0,$B218="X",$B218="",$B218=0),0,SUM(_xlfn._xlws.FILTER(IF($E$4="Ppto",PptoSty[CurPpto],PptoSty[CurExt]),(IF($E$4="Ppto",PptoSty[POvsCT]=AL$113,TRUE))*(PptoSty[Project]=TEXT($B218,"@"))*(PptoSty[PptoVsRow]=$E218)*(PptoSty[PptoVsColumn]=UPPER(AK$114)),0)))</f>
        <v>0</v>
      </c>
      <c r="AM218" s="157" cm="1">
        <f t="array" aca="1" ref="AM218" ca="1">IF(OR($E218="X",$E218="",$E218=0,$B218="X",$B218="",$B218=0),0,SUM(_xlfn._xlws.FILTER(IF($E$4="Ppto",PptoSty[CurPpto],PptoSty[CurInt]),(IF($E$4="Ppto",PptoSty[POvsCT]=AM$113,TRUE))*(PptoSty[Project]=TEXT($B218,"@"))*(PptoSty[PptoVsRow]=$E218)*(PptoSty[PptoVsColumn]=UPPER(AM$114)),0)))</f>
        <v>0</v>
      </c>
      <c r="AN218" s="157" cm="1">
        <f t="array" aca="1" ref="AN218" ca="1">IF(OR($E218="X",$E218="",$E218=0,$B218="X",$B218="",$B218=0),0,SUM(_xlfn._xlws.FILTER(IF($E$4="Ppto",PptoSty[CurPpto],PptoSty[CurExt]),(IF($E$4="Ppto",PptoSty[POvsCT]=AN$113,TRUE))*(PptoSty[Project]=TEXT($B218,"@"))*(PptoSty[PptoVsRow]=$E218)*(PptoSty[PptoVsColumn]=UPPER(AM$114)),0)))</f>
        <v>0</v>
      </c>
      <c r="AO218" s="157" cm="1">
        <f t="array" aca="1" ref="AO218" ca="1">IF(OR($E218="X",$E218="",$E218=0,$B218="X",$B218="",$B218=0),0,SUM(_xlfn._xlws.FILTER(IF($E$4="Ppto",PptoSty[CurPpto],PptoSty[CurInt]),(IF($E$4="Ppto",PptoSty[POvsCT]=AO$113,TRUE))*(PptoSty[Project]=TEXT($B218,"@"))*(PptoSty[PptoVsRow]=$E218)*(PptoSty[PptoVsColumn]=UPPER(AO$114)),0)))</f>
        <v>0</v>
      </c>
      <c r="AP218" s="157" cm="1">
        <f t="array" aca="1" ref="AP218" ca="1">IF(OR($E218="X",$E218="",$E218=0,$B218="X",$B218="",$B218=0),0,SUM(_xlfn._xlws.FILTER(IF($E$4="Ppto",PptoSty[CurPpto],PptoSty[CurExt]),(IF($E$4="Ppto",PptoSty[POvsCT]=AP$113,TRUE))*(PptoSty[Project]=TEXT($B218,"@"))*(PptoSty[PptoVsRow]=$E218)*(PptoSty[PptoVsColumn]=UPPER(AO$114)),0)))</f>
        <v>0</v>
      </c>
      <c r="AQ218" s="157" cm="1">
        <f t="array" aca="1" ref="AQ218" ca="1">SUM(IF(INDIRECT($AS$115)=AQ$115,INDIRECT($AS218)))</f>
        <v>0</v>
      </c>
      <c r="AR218" s="157" cm="1">
        <f t="array" aca="1" ref="AR218" ca="1">SUM(IF(INDIRECT($AS$115)=AR$115,INDIRECT($AS218)))</f>
        <v>0</v>
      </c>
      <c r="AS218" s="286" t="str">
        <f t="shared" ca="1" si="18"/>
        <v>G218:AP218</v>
      </c>
      <c r="AT218" s="403">
        <f t="shared" ca="1" si="17"/>
        <v>0</v>
      </c>
      <c r="AV218" s="142" cm="1">
        <f t="array" aca="1" ref="AV218" ca="1">IF(AND(_xlfn.LET(_xlpm.x,SUM(ROW()),OR(AND(MATCH("SOT",$A:$A,0)&lt;_xlpm.x,MATCH("EOT",$A:$A,0)&gt;_xlpm.x),AND(MATCH("SOS",$A:$A,0)&lt;_xlpm.x,MATCH("EOS",$A:$A,0)&gt;_xlpm.x),AND(MATCH("SOR",$A:$A,0)&lt;_xlpm.x,MATCH("EOR",$A:$A,0)&gt;_xlpm.x))),INDIRECT("rc"&amp;MATCH("SCD",$1:$1,0),FALSE)="PPTO"),1,0)</f>
        <v>1</v>
      </c>
      <c r="AW218" s="142" cm="1">
        <f t="array" aca="1" ref="AW21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219" spans="2:49" outlineLevel="1">
      <c r="B219" s="156" t="str" cm="1">
        <f t="array" aca="1" ref="B219" ca="1">_xlfn.LET(_xlpm.x,SUM(ROW()-MATCH("SOR",$A:$A,0)),_xlpm.y,IFERROR(_xlfn.TAKE(INDEX(_xlfn._xlws.FILTER(TbAssign[],ISNUMBER(FIND(TbAssign[Project],$C$4)),"X"),1+QUOTIENT(_xlpm.x,3),0),1,4),0),IF(MOD(_xlpm.x-1,3)=0,IF(_xlpm.y=0,"X",_xlpm.y),INDIRECT("r[-1]c#",FALSE)))</f>
        <v>X</v>
      </c>
      <c r="C219" s="156"/>
      <c r="E219" s="352"/>
      <c r="F219" s="148" t="s">
        <v>1382</v>
      </c>
      <c r="G219" s="157" cm="1">
        <f t="array" aca="1" ref="G219" ca="1">IF(OR($E219="X",$E219="",$E219=0,$B219="X",$B219="",$B219=0),0,SUM(_xlfn._xlws.FILTER(PrvSty[DsvValue:SERRA],(PrvSty[Project]=TEXT($B219,"@"))*(PrvSty[Row]=$E219)*(PrvSty[Column]=UPPER(G$114)),0)))</f>
        <v>0</v>
      </c>
      <c r="H219" s="157" cm="1">
        <f t="array" aca="1" ref="H219" ca="1">IF(OR($E219="X",$E219="",$E219=0,$B219="X",$B219="",$B219=0),0,SUM(_xlfn._xlws.FILTER(PrvSty[DsvValue:EXT.],(PrvSty[Project]=TEXT($B219,"@"))*(PrvSty[Row]=$E219)*(PrvSty[Column]=UPPER(G$114)),0)))</f>
        <v>0</v>
      </c>
      <c r="I219" s="157" cm="1">
        <f t="array" aca="1" ref="I219" ca="1">IF(OR($E219="X",$E219="",$E219=0,$B219="X",$B219="",$B219=0),0,SUM(_xlfn._xlws.FILTER(PrvSty[DsvValue:SERRA],(PrvSty[Project]=TEXT($B219,"@"))*(PrvSty[Row]=$E219)*(PrvSty[Column]=UPPER(I$114)),0)))</f>
        <v>0</v>
      </c>
      <c r="J219" s="157" cm="1">
        <f t="array" aca="1" ref="J219" ca="1">IF(OR($E219="X",$E219="",$E219=0,$B219="X",$B219="",$B219=0),0,SUM(_xlfn._xlws.FILTER(PrvSty[DsvValue:EXT.],(PrvSty[Project]=TEXT($B219,"@"))*(PrvSty[Row]=$E219)*(PrvSty[Column]=UPPER(I$114)),0)))</f>
        <v>0</v>
      </c>
      <c r="K219" s="157" cm="1">
        <f t="array" aca="1" ref="K219" ca="1">IF(OR($E219="X",$E219="",$E219=0,$B219="X",$B219="",$B219=0),0,SUM(_xlfn._xlws.FILTER(PrvSty[DsvValue:SERRA],(PrvSty[Project]=TEXT($B219,"@"))*(PrvSty[Row]=$E219)*(PrvSty[Column]=UPPER(K$114)),0)))</f>
        <v>0</v>
      </c>
      <c r="L219" s="157" cm="1">
        <f t="array" aca="1" ref="L219" ca="1">IF(OR($E219="X",$E219="",$E219=0,$B219="X",$B219="",$B219=0),0,SUM(_xlfn._xlws.FILTER(PrvSty[DsvValue:EXT.],(PrvSty[Project]=TEXT($B219,"@"))*(PrvSty[Row]=$E219)*(PrvSty[Column]=UPPER(K$114)),0)))</f>
        <v>0</v>
      </c>
      <c r="M219" s="157" cm="1">
        <f t="array" aca="1" ref="M219" ca="1">IF(OR($E219="X",$E219="",$E219=0,$B219="X",$B219="",$B219=0),0,SUM(_xlfn._xlws.FILTER(PrvSty[DsvValue:SERRA],(PrvSty[Project]=TEXT($B219,"@"))*(PrvSty[Row]=$E219)*(PrvSty[Column]=UPPER(M$114)),0)))</f>
        <v>0</v>
      </c>
      <c r="N219" s="157" cm="1">
        <f t="array" aca="1" ref="N219" ca="1">IF(OR($E219="X",$E219="",$E219=0,$B219="X",$B219="",$B219=0),0,SUM(_xlfn._xlws.FILTER(PrvSty[DsvValue:EXT.],(PrvSty[Project]=TEXT($B219,"@"))*(PrvSty[Row]=$E219)*(PrvSty[Column]=UPPER(M$114)),0)))</f>
        <v>0</v>
      </c>
      <c r="O219" s="157" cm="1">
        <f t="array" aca="1" ref="O219" ca="1">IF(OR($E219="X",$E219="",$E219=0,$B219="X",$B219="",$B219=0),0,SUM(_xlfn._xlws.FILTER(PrvSty[DsvValue:SERRA],(PrvSty[Project]=TEXT($B219,"@"))*(PrvSty[Row]=$E219)*(PrvSty[Column]=UPPER(O$114)),0)))</f>
        <v>0</v>
      </c>
      <c r="P219" s="157" cm="1">
        <f t="array" aca="1" ref="P219" ca="1">IF(OR($E219="X",$E219="",$E219=0,$B219="X",$B219="",$B219=0),0,SUM(_xlfn._xlws.FILTER(PrvSty[DsvValue:EXT.],(PrvSty[Project]=TEXT($B219,"@"))*(PrvSty[Row]=$E219)*(PrvSty[Column]=UPPER(O$114)),0)))</f>
        <v>0</v>
      </c>
      <c r="Q219" s="157" cm="1">
        <f t="array" aca="1" ref="Q219" ca="1">IF(OR($E219="X",$E219="",$E219=0,$B219="X",$B219="",$B219=0),0,SUM(_xlfn._xlws.FILTER(PrvSty[DsvValue:SERRA],(PrvSty[Project]=TEXT($B219,"@"))*(PrvSty[Row]=$E219)*(PrvSty[Column]=UPPER(Q$114)),0)))</f>
        <v>0</v>
      </c>
      <c r="R219" s="157" cm="1">
        <f t="array" aca="1" ref="R219" ca="1">IF(OR($E219="X",$E219="",$E219=0,$B219="X",$B219="",$B219=0),0,SUM(_xlfn._xlws.FILTER(PrvSty[DsvValue:EXT.],(PrvSty[Project]=TEXT($B219,"@"))*(PrvSty[Row]=$E219)*(PrvSty[Column]=UPPER(Q$114)),0)))</f>
        <v>0</v>
      </c>
      <c r="S219" s="157" cm="1">
        <f t="array" aca="1" ref="S219" ca="1">IF(OR($E219="X",$E219="",$E219=0,$B219="X",$B219="",$B219=0),0,SUM(_xlfn._xlws.FILTER(PrvSty[DsvValue:SERRA],(PrvSty[Project]=TEXT($B219,"@"))*(PrvSty[Row]=$E219)*(PrvSty[Column]=UPPER(S$114)),0)))</f>
        <v>0</v>
      </c>
      <c r="T219" s="157" cm="1">
        <f t="array" aca="1" ref="T219" ca="1">IF(OR($E219="X",$E219="",$E219=0,$B219="X",$B219="",$B219=0),0,SUM(_xlfn._xlws.FILTER(PrvSty[DsvValue:EXT.],(PrvSty[Project]=TEXT($B219,"@"))*(PrvSty[Row]=$E219)*(PrvSty[Column]=UPPER(S$114)),0)))</f>
        <v>0</v>
      </c>
      <c r="U219" s="157" cm="1">
        <f t="array" aca="1" ref="U219" ca="1">IF(OR($E219="X",$E219="",$E219=0,$B219="X",$B219="",$B219=0),0,SUM(_xlfn._xlws.FILTER(PrvSty[DsvValue:SERRA],(PrvSty[Project]=TEXT($B219,"@"))*(PrvSty[Row]=$E219)*(PrvSty[Column]=UPPER(U$114)),0)))</f>
        <v>0</v>
      </c>
      <c r="V219" s="157" cm="1">
        <f t="array" aca="1" ref="V219" ca="1">IF(OR($E219="X",$E219="",$E219=0,$B219="X",$B219="",$B219=0),0,SUM(_xlfn._xlws.FILTER(PrvSty[DsvValue:EXT.],(PrvSty[Project]=TEXT($B219,"@"))*(PrvSty[Row]=$E219)*(PrvSty[Column]=UPPER(U$114)),0)))</f>
        <v>0</v>
      </c>
      <c r="W219" s="157" cm="1">
        <f t="array" aca="1" ref="W219" ca="1">IF(OR($E219="X",$E219="",$E219=0,$B219="X",$B219="",$B219=0),0,SUM(_xlfn._xlws.FILTER(PrvSty[DsvValue:SERRA],(PrvSty[Project]=TEXT($B219,"@"))*(PrvSty[Row]=$E219)*(PrvSty[Column]=UPPER(W$114)),0)))</f>
        <v>0</v>
      </c>
      <c r="X219" s="157" cm="1">
        <f t="array" aca="1" ref="X219" ca="1">IF(OR($E219="X",$E219="",$E219=0,$B219="X",$B219="",$B219=0),0,SUM(_xlfn._xlws.FILTER(PrvSty[DsvValue:EXT.],(PrvSty[Project]=TEXT($B219,"@"))*(PrvSty[Row]=$E219)*(PrvSty[Column]=UPPER(W$114)),0)))</f>
        <v>0</v>
      </c>
      <c r="Y219" s="157" cm="1">
        <f t="array" aca="1" ref="Y219" ca="1">IF(OR($E219="X",$E219="",$E219=0,$B219="X",$B219="",$B219=0),0,SUM(_xlfn._xlws.FILTER(PrvSty[DsvValue:SERRA],(PrvSty[Project]=TEXT($B219,"@"))*(PrvSty[Row]=$E219)*(PrvSty[Column]=UPPER(Y$114)),0)))</f>
        <v>0</v>
      </c>
      <c r="Z219" s="157" cm="1">
        <f t="array" aca="1" ref="Z219" ca="1">IF(OR($E219="X",$E219="",$E219=0,$B219="X",$B219="",$B219=0),0,SUM(_xlfn._xlws.FILTER(PrvSty[DsvValue:EXT.],(PrvSty[Project]=TEXT($B219,"@"))*(PrvSty[Row]=$E219)*(PrvSty[Column]=UPPER(Y$114)),0)))</f>
        <v>0</v>
      </c>
      <c r="AA219" s="157" cm="1">
        <f t="array" aca="1" ref="AA219" ca="1">IF(OR($E219="X",$E219="",$E219=0,$B219="X",$B219="",$B219=0),0,SUM(_xlfn._xlws.FILTER(PrvSty[DsvValue:SERRA],(PrvSty[Project]=TEXT($B219,"@"))*(PrvSty[Row]=$E219)*(PrvSty[Column]=UPPER(AA$114)),0)))</f>
        <v>0</v>
      </c>
      <c r="AB219" s="157" cm="1">
        <f t="array" aca="1" ref="AB219" ca="1">IF(OR($E219="X",$E219="",$E219=0,$B219="X",$B219="",$B219=0),0,SUM(_xlfn._xlws.FILTER(PrvSty[DsvValue:EXT.],(PrvSty[Project]=TEXT($B219,"@"))*(PrvSty[Row]=$E219)*(PrvSty[Column]=UPPER(AA$114)),0)))</f>
        <v>0</v>
      </c>
      <c r="AC219" s="157" cm="1">
        <f t="array" aca="1" ref="AC219" ca="1">IF(OR($E219="X",$E219="",$E219=0,$B219="X",$B219="",$B219=0),0,SUM(_xlfn._xlws.FILTER(PrvSty[DsvValue:SERRA],(PrvSty[Project]=TEXT($B219,"@"))*(PrvSty[Row]=$E219)*(PrvSty[Column]=UPPER(AC$114)),0)))</f>
        <v>0</v>
      </c>
      <c r="AD219" s="157" cm="1">
        <f t="array" aca="1" ref="AD219" ca="1">IF(OR($E219="X",$E219="",$E219=0,$B219="X",$B219="",$B219=0),0,SUM(_xlfn._xlws.FILTER(PrvSty[DsvValue:EXT.],(PrvSty[Project]=TEXT($B219,"@"))*(PrvSty[Row]=$E219)*(PrvSty[Column]=UPPER(AC$114)),0)))</f>
        <v>0</v>
      </c>
      <c r="AE219" s="157" cm="1">
        <f t="array" aca="1" ref="AE219" ca="1">IF(OR($E219="X",$E219="",$E219=0,$B219="X",$B219="",$B219=0),0,SUM(_xlfn._xlws.FILTER(PrvSty[DsvValue:SERRA],(PrvSty[Project]=TEXT($B219,"@"))*(PrvSty[Row]=$E219)*(PrvSty[Column]=UPPER(AE$114)),0)))</f>
        <v>0</v>
      </c>
      <c r="AF219" s="157" cm="1">
        <f t="array" aca="1" ref="AF219" ca="1">IF(OR($E219="X",$E219="",$E219=0,$B219="X",$B219="",$B219=0),0,SUM(_xlfn._xlws.FILTER(PrvSty[DsvValue:EXT.],(PrvSty[Project]=TEXT($B219,"@"))*(PrvSty[Row]=$E219)*(PrvSty[Column]=UPPER(AE$114)),0)))</f>
        <v>0</v>
      </c>
      <c r="AG219" s="157" cm="1">
        <f t="array" aca="1" ref="AG219" ca="1">IF(OR($E219="X",$E219="",$E219=0,$B219="X",$B219="",$B219=0),0,SUM(_xlfn._xlws.FILTER(PrvSty[DsvValue:SERRA],(PrvSty[Project]=TEXT($B219,"@"))*(PrvSty[Row]=$E219)*(PrvSty[Column]=UPPER(AG$114)),0)))</f>
        <v>0</v>
      </c>
      <c r="AH219" s="157" cm="1">
        <f t="array" aca="1" ref="AH219" ca="1">IF(OR($E219="X",$E219="",$E219=0,$B219="X",$B219="",$B219=0),0,SUM(_xlfn._xlws.FILTER(PrvSty[DsvValue:EXT.],(PrvSty[Project]=TEXT($B219,"@"))*(PrvSty[Row]=$E219)*(PrvSty[Column]=UPPER(AG$114)),0)))</f>
        <v>0</v>
      </c>
      <c r="AI219" s="157" cm="1">
        <f t="array" aca="1" ref="AI219" ca="1">IF(OR($E219="X",$E219="",$E219=0,$B219="X",$B219="",$B219=0),0,SUM(_xlfn._xlws.FILTER(PrvSty[DsvValue:SERRA],(PrvSty[Project]=TEXT($B219,"@"))*(PrvSty[Row]=$E219)*(PrvSty[Column]=UPPER(AI$114)),0)))</f>
        <v>0</v>
      </c>
      <c r="AJ219" s="157" cm="1">
        <f t="array" aca="1" ref="AJ219" ca="1">IF(OR($E219="X",$E219="",$E219=0,$B219="X",$B219="",$B219=0),0,SUM(_xlfn._xlws.FILTER(PrvSty[DsvValue:EXT.],(PrvSty[Project]=TEXT($B219,"@"))*(PrvSty[Row]=$E219)*(PrvSty[Column]=UPPER(AI$114)),0)))</f>
        <v>0</v>
      </c>
      <c r="AK219" s="157" cm="1">
        <f t="array" aca="1" ref="AK219" ca="1">IF(OR($E219="X",$E219="",$E219=0,$B219="X",$B219="",$B219=0),0,SUM(_xlfn._xlws.FILTER(PrvSty[DsvValue:SERRA],(PrvSty[Project]=TEXT($B219,"@"))*(PrvSty[Row]=$E219)*(PrvSty[Column]=UPPER(AK$114)),0)))</f>
        <v>0</v>
      </c>
      <c r="AL219" s="157" cm="1">
        <f t="array" aca="1" ref="AL219" ca="1">IF(OR($E219="X",$E219="",$E219=0,$B219="X",$B219="",$B219=0),0,SUM(_xlfn._xlws.FILTER(PrvSty[DsvValue:EXT.],(PrvSty[Project]=TEXT($B219,"@"))*(PrvSty[Row]=$E219)*(PrvSty[Column]=UPPER(AK$114)),0)))</f>
        <v>0</v>
      </c>
      <c r="AM219" s="157" cm="1">
        <f t="array" aca="1" ref="AM219" ca="1">IF(OR($E219="X",$E219="",$E219=0,$B219="X",$B219="",$B219=0),0,SUM(_xlfn._xlws.FILTER(PrvSty[DsvValue:SERRA],(PrvSty[Project]=TEXT($B219,"@"))*(PrvSty[Row]=$E219)*(PrvSty[Column]=UPPER(AM$114)),0)))</f>
        <v>0</v>
      </c>
      <c r="AN219" s="157" cm="1">
        <f t="array" aca="1" ref="AN219" ca="1">IF(OR($E219="X",$E219="",$E219=0,$B219="X",$B219="",$B219=0),0,SUM(_xlfn._xlws.FILTER(PrvSty[DsvValue:EXT.],(PrvSty[Project]=TEXT($B219,"@"))*(PrvSty[Row]=$E219)*(PrvSty[Column]=UPPER(AM$114)),0)))</f>
        <v>0</v>
      </c>
      <c r="AO219" s="157" cm="1">
        <f t="array" aca="1" ref="AO219" ca="1">IF(OR($E219="X",$E219="",$E219=0,$B219="X",$B219="",$B219=0),0,SUM(_xlfn._xlws.FILTER(PrvSty[DsvValue:SERRA],(PrvSty[Project]=TEXT($B219,"@"))*(PrvSty[Row]=$E219)*(PrvSty[Column]=UPPER(AO$114)),0)))</f>
        <v>0</v>
      </c>
      <c r="AP219" s="157" cm="1">
        <f t="array" aca="1" ref="AP219" ca="1">IF(OR($E219="X",$E219="",$E219=0,$B219="X",$B219="",$B219=0),0,SUM(_xlfn._xlws.FILTER(PrvSty[DsvValue:EXT.],(PrvSty[Project]=TEXT($B219,"@"))*(PrvSty[Row]=$E219)*(PrvSty[Column]=UPPER(AO$114)),0)))</f>
        <v>0</v>
      </c>
      <c r="AQ219" s="157" cm="1">
        <f t="array" aca="1" ref="AQ219" ca="1">SUM(IF(INDIRECT($AS$115)=AQ$115,INDIRECT($AS219)))</f>
        <v>0</v>
      </c>
      <c r="AR219" s="157" cm="1">
        <f t="array" aca="1" ref="AR219" ca="1">SUM(IF(INDIRECT($AS$115)=AR$115,INDIRECT($AS219)))</f>
        <v>0</v>
      </c>
      <c r="AS219" s="286" t="str">
        <f t="shared" ca="1" si="18"/>
        <v>G219:AP219</v>
      </c>
      <c r="AT219" s="403">
        <f t="shared" ca="1" si="17"/>
        <v>0</v>
      </c>
      <c r="AV219" s="142" cm="1">
        <f t="array" aca="1" ref="AV219" ca="1">IF(AND(_xlfn.LET(_xlpm.x,SUM(ROW()),OR(AND(MATCH("SOT",$A:$A,0)&lt;_xlpm.x,MATCH("EOT",$A:$A,0)&gt;_xlpm.x),AND(MATCH("SOS",$A:$A,0)&lt;_xlpm.x,MATCH("EOS",$A:$A,0)&gt;_xlpm.x),AND(MATCH("SOR",$A:$A,0)&lt;_xlpm.x,MATCH("EOR",$A:$A,0)&gt;_xlpm.x))),INDIRECT("rc"&amp;MATCH("SCD",$1:$1,0),FALSE)="PPTO"),1,0)</f>
        <v>0</v>
      </c>
      <c r="AW219" s="142" cm="1">
        <f t="array" aca="1" ref="AW21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220" spans="2:49" outlineLevel="1">
      <c r="B220" s="156" t="str" cm="1">
        <f t="array" aca="1" ref="B220" ca="1">_xlfn.LET(_xlpm.x,SUM(ROW()-MATCH("SOR",$A:$A,0)),_xlpm.y,IFERROR(_xlfn.TAKE(INDEX(_xlfn._xlws.FILTER(TbAssign[],ISNUMBER(FIND(TbAssign[Project],$C$4)),"X"),1+QUOTIENT(_xlpm.x,3),0),1,4),0),IF(MOD(_xlpm.x-1,3)=0,IF(_xlpm.y=0,"X",_xlpm.y),INDIRECT("r[-1]c#",FALSE)))</f>
        <v>X</v>
      </c>
      <c r="C220" s="156"/>
      <c r="E220" s="352"/>
      <c r="F220" s="148" t="s">
        <v>1383</v>
      </c>
      <c r="G220" s="158" cm="1">
        <f t="array" aca="1" ref="G220" ca="1">IF(OR($E220="X",$E220="",$E220=0,$B220="X",$B220="",$B220=0),0,SUM(_xlfn._xlws.FILTER(FrmBB1[Cur],(FrmBB1[PrjId]=TEXT($B220,"@"))*(FrmBB1[Row]=$E220)*(FrmBB1[Column]=UPPER(_xlfn.LET(_xlpm.x,_xlfn.TEXTBEFORE(G$114," ("),IFERROR(_xlpm.x,G$114)))&amp;" "&amp;G$115),0)))</f>
        <v>0</v>
      </c>
      <c r="H220" s="157" cm="1">
        <f t="array" aca="1" ref="H220" ca="1">IF(OR($E220="X",$E220="",$E220=0,$B220="X",$B220="",$B220=0),0,SUM(_xlfn._xlws.FILTER(FrmBB1[Cur],(FrmBB1[PrjId]=TEXT($B220,"@"))*(FrmBB1[Row]=$E220)*(FrmBB1[Column]=UPPER(_xlfn.LET(_xlpm.x,_xlfn.TEXTBEFORE(G$114," ("),IFERROR(_xlpm.x,G$114)))&amp;" "&amp;H$115),0)))</f>
        <v>0</v>
      </c>
      <c r="I220" s="158" cm="1">
        <f t="array" aca="1" ref="I220" ca="1">IF(OR($E220="X",$E220="",$E220=0,$B220="X",$B220="",$B220=0),0,SUM(_xlfn._xlws.FILTER(FrmBB1[Cur],(FrmBB1[PrjId]=TEXT($B220,"@"))*(FrmBB1[Row]=$E220)*(FrmBB1[Column]=UPPER(_xlfn.LET(_xlpm.x,_xlfn.TEXTBEFORE(I$114," ("),IFERROR(_xlpm.x,I$114)))&amp;" "&amp;I$115),0)))</f>
        <v>0</v>
      </c>
      <c r="J220" s="157" cm="1">
        <f t="array" aca="1" ref="J220" ca="1">IF(OR($E220="X",$E220="",$E220=0,$B220="X",$B220="",$B220=0),0,SUM(_xlfn._xlws.FILTER(FrmBB1[Cur],(FrmBB1[PrjId]=TEXT($B220,"@"))*(FrmBB1[Row]=$E220)*(FrmBB1[Column]=UPPER(_xlfn.LET(_xlpm.x,_xlfn.TEXTBEFORE(I$114," ("),IFERROR(_xlpm.x,I$114)))&amp;" "&amp;J$115),0)))</f>
        <v>0</v>
      </c>
      <c r="K220" s="158" cm="1">
        <f t="array" aca="1" ref="K220" ca="1">IF(OR($E220="X",$E220="",$E220=0,$B220="X",$B220="",$B220=0),0,SUM(_xlfn._xlws.FILTER(FrmBB1[Cur],(FrmBB1[PrjId]=TEXT($B220,"@"))*(FrmBB1[Row]=$E220)*(FrmBB1[Column]=UPPER(_xlfn.LET(_xlpm.x,_xlfn.TEXTBEFORE(K$114," ("),IFERROR(_xlpm.x,K$114)))&amp;" "&amp;K$115),0)))</f>
        <v>0</v>
      </c>
      <c r="L220" s="157" cm="1">
        <f t="array" aca="1" ref="L220" ca="1">IF(OR($E220="X",$E220="",$E220=0,$B220="X",$B220="",$B220=0),0,SUM(_xlfn._xlws.FILTER(FrmBB1[Cur],(FrmBB1[PrjId]=TEXT($B220,"@"))*(FrmBB1[Row]=$E220)*(FrmBB1[Column]=UPPER(_xlfn.LET(_xlpm.x,_xlfn.TEXTBEFORE(K$114," ("),IFERROR(_xlpm.x,K$114)))&amp;" "&amp;L$115),0)))</f>
        <v>0</v>
      </c>
      <c r="M220" s="158" cm="1">
        <f t="array" aca="1" ref="M220" ca="1">IF(OR($E220="X",$E220="",$E220=0,$B220="X",$B220="",$B220=0),0,SUM(_xlfn._xlws.FILTER(FrmBB1[Cur],(FrmBB1[PrjId]=TEXT($B220,"@"))*(FrmBB1[Row]=$E220)*(FrmBB1[Column]=UPPER(_xlfn.LET(_xlpm.x,_xlfn.TEXTBEFORE(M$114," ("),IFERROR(_xlpm.x,M$114)))&amp;" "&amp;M$115),0)))</f>
        <v>0</v>
      </c>
      <c r="N220" s="157" cm="1">
        <f t="array" aca="1" ref="N220" ca="1">IF(OR($E220="X",$E220="",$E220=0,$B220="X",$B220="",$B220=0),0,SUM(_xlfn._xlws.FILTER(FrmBB1[Cur],(FrmBB1[PrjId]=TEXT($B220,"@"))*(FrmBB1[Row]=$E220)*(FrmBB1[Column]=UPPER(_xlfn.LET(_xlpm.x,_xlfn.TEXTBEFORE(M$114," ("),IFERROR(_xlpm.x,M$114)))&amp;" "&amp;N$115),0)))</f>
        <v>0</v>
      </c>
      <c r="O220" s="158" cm="1">
        <f t="array" aca="1" ref="O220" ca="1">IF(OR($E220="X",$E220="",$E220=0,$B220="X",$B220="",$B220=0),0,SUM(_xlfn._xlws.FILTER(FrmBB1[Cur],(FrmBB1[PrjId]=TEXT($B220,"@"))*(FrmBB1[Row]=$E220)*(FrmBB1[Column]=UPPER(_xlfn.LET(_xlpm.x,_xlfn.TEXTBEFORE(O$114," ("),IFERROR(_xlpm.x,O$114)))&amp;" "&amp;O$115),0)))</f>
        <v>0</v>
      </c>
      <c r="P220" s="157" cm="1">
        <f t="array" aca="1" ref="P220" ca="1">IF(OR($E220="X",$E220="",$E220=0,$B220="X",$B220="",$B220=0),0,SUM(_xlfn._xlws.FILTER(FrmBB1[Cur],(FrmBB1[PrjId]=TEXT($B220,"@"))*(FrmBB1[Row]=$E220)*(FrmBB1[Column]=UPPER(_xlfn.LET(_xlpm.x,_xlfn.TEXTBEFORE(O$114," ("),IFERROR(_xlpm.x,O$114)))&amp;" "&amp;P$115),0)))</f>
        <v>0</v>
      </c>
      <c r="Q220" s="158" cm="1">
        <f t="array" aca="1" ref="Q220" ca="1">IF(OR($E220="X",$E220="",$E220=0,$B220="X",$B220="",$B220=0),0,SUM(_xlfn._xlws.FILTER(FrmBB1[Cur],(FrmBB1[PrjId]=TEXT($B220,"@"))*(FrmBB1[Row]=$E220)*(FrmBB1[Column]=UPPER(_xlfn.LET(_xlpm.x,_xlfn.TEXTBEFORE(Q$114," ("),IFERROR(_xlpm.x,Q$114)))&amp;" "&amp;Q$115),0)))</f>
        <v>0</v>
      </c>
      <c r="R220" s="157" cm="1">
        <f t="array" aca="1" ref="R220" ca="1">IF(OR($E220="X",$E220="",$E220=0,$B220="X",$B220="",$B220=0),0,SUM(_xlfn._xlws.FILTER(FrmBB1[Cur],(FrmBB1[PrjId]=TEXT($B220,"@"))*(FrmBB1[Row]=$E220)*(FrmBB1[Column]=UPPER(_xlfn.LET(_xlpm.x,_xlfn.TEXTBEFORE(Q$114," ("),IFERROR(_xlpm.x,Q$114)))&amp;" "&amp;R$115),0)))</f>
        <v>0</v>
      </c>
      <c r="S220" s="158" cm="1">
        <f t="array" aca="1" ref="S220" ca="1">IF(OR($E220="X",$E220="",$E220=0,$B220="X",$B220="",$B220=0),0,SUM(_xlfn._xlws.FILTER(FrmBB1[Cur],(FrmBB1[PrjId]=TEXT($B220,"@"))*(FrmBB1[Row]=$E220)*(FrmBB1[Column]=UPPER(_xlfn.LET(_xlpm.x,_xlfn.TEXTBEFORE(S$114," ("),IFERROR(_xlpm.x,S$114)))&amp;" "&amp;S$115),0)))</f>
        <v>0</v>
      </c>
      <c r="T220" s="157" cm="1">
        <f t="array" aca="1" ref="T220" ca="1">IF(OR($E220="X",$E220="",$E220=0,$B220="X",$B220="",$B220=0),0,SUM(_xlfn._xlws.FILTER(FrmBB1[Cur],(FrmBB1[PrjId]=TEXT($B220,"@"))*(FrmBB1[Row]=$E220)*(FrmBB1[Column]=UPPER(_xlfn.LET(_xlpm.x,_xlfn.TEXTBEFORE(S$114," ("),IFERROR(_xlpm.x,S$114)))&amp;" "&amp;T$115),0)))</f>
        <v>0</v>
      </c>
      <c r="U220" s="158" cm="1">
        <f t="array" aca="1" ref="U220" ca="1">IF(OR($E220="X",$E220="",$E220=0,$B220="X",$B220="",$B220=0),0,SUM(_xlfn._xlws.FILTER(FrmBB1[Cur],(FrmBB1[PrjId]=TEXT($B220,"@"))*(FrmBB1[Row]=$E220)*(FrmBB1[Column]=UPPER(_xlfn.LET(_xlpm.x,_xlfn.TEXTBEFORE(U$114," ("),IFERROR(_xlpm.x,U$114)))&amp;" "&amp;U$115),0)))</f>
        <v>0</v>
      </c>
      <c r="V220" s="157" cm="1">
        <f t="array" aca="1" ref="V220" ca="1">IF(OR($E220="X",$E220="",$E220=0,$B220="X",$B220="",$B220=0),0,SUM(_xlfn._xlws.FILTER(FrmBB1[Cur],(FrmBB1[PrjId]=TEXT($B220,"@"))*(FrmBB1[Row]=$E220)*(FrmBB1[Column]=UPPER(_xlfn.LET(_xlpm.x,_xlfn.TEXTBEFORE(U$114," ("),IFERROR(_xlpm.x,U$114)))&amp;" "&amp;V$115),0)))</f>
        <v>0</v>
      </c>
      <c r="W220" s="158" cm="1">
        <f t="array" aca="1" ref="W220" ca="1">IF(OR($E220="X",$E220="",$E220=0,$B220="X",$B220="",$B220=0),0,SUM(_xlfn._xlws.FILTER(FrmBB1[Cur],(FrmBB1[PrjId]=TEXT($B220,"@"))*(FrmBB1[Row]=$E220)*(FrmBB1[Column]=UPPER(_xlfn.LET(_xlpm.x,_xlfn.TEXTBEFORE(W$114," ("),IFERROR(_xlpm.x,W$114)))&amp;" "&amp;W$115),0)))</f>
        <v>0</v>
      </c>
      <c r="X220" s="157" cm="1">
        <f t="array" aca="1" ref="X220" ca="1">IF(OR($E220="X",$E220="",$E220=0,$B220="X",$B220="",$B220=0),0,SUM(_xlfn._xlws.FILTER(FrmBB1[Cur],(FrmBB1[PrjId]=TEXT($B220,"@"))*(FrmBB1[Row]=$E220)*(FrmBB1[Column]=UPPER(_xlfn.LET(_xlpm.x,_xlfn.TEXTBEFORE(W$114," ("),IFERROR(_xlpm.x,W$114)))&amp;" "&amp;X$115),0)))</f>
        <v>0</v>
      </c>
      <c r="Y220" s="158" cm="1">
        <f t="array" aca="1" ref="Y220" ca="1">IF(OR($E220="X",$E220="",$E220=0,$B220="X",$B220="",$B220=0),0,SUM(_xlfn._xlws.FILTER(FrmBB1[Cur],(FrmBB1[PrjId]=TEXT($B220,"@"))*(FrmBB1[Row]=$E220)*(FrmBB1[Column]=UPPER(_xlfn.LET(_xlpm.x,_xlfn.TEXTBEFORE(Y$114," ("),IFERROR(_xlpm.x,Y$114)))&amp;" "&amp;Y$115),0)))</f>
        <v>0</v>
      </c>
      <c r="Z220" s="157" cm="1">
        <f t="array" aca="1" ref="Z220" ca="1">IF(OR($E220="X",$E220="",$E220=0,$B220="X",$B220="",$B220=0),0,SUM(_xlfn._xlws.FILTER(FrmBB1[Cur],(FrmBB1[PrjId]=TEXT($B220,"@"))*(FrmBB1[Row]=$E220)*(FrmBB1[Column]=UPPER(_xlfn.LET(_xlpm.x,_xlfn.TEXTBEFORE(Y$114," ("),IFERROR(_xlpm.x,Y$114)))&amp;" "&amp;Z$115),0)))</f>
        <v>0</v>
      </c>
      <c r="AA220" s="158" cm="1">
        <f t="array" aca="1" ref="AA220" ca="1">IF(OR($E220="X",$E220="",$E220=0,$B220="X",$B220="",$B220=0),0,SUM(_xlfn._xlws.FILTER(FrmBB1[Cur],(FrmBB1[PrjId]=TEXT($B220,"@"))*(FrmBB1[Row]=$E220)*(FrmBB1[Column]=UPPER(_xlfn.LET(_xlpm.x,_xlfn.TEXTBEFORE(AA$114," ("),IFERROR(_xlpm.x,AA$114)))&amp;" "&amp;AA$115),0)))</f>
        <v>0</v>
      </c>
      <c r="AB220" s="157" cm="1">
        <f t="array" aca="1" ref="AB220" ca="1">IF(OR($E220="X",$E220="",$E220=0,$B220="X",$B220="",$B220=0),0,SUM(_xlfn._xlws.FILTER(FrmBB1[Cur],(FrmBB1[PrjId]=TEXT($B220,"@"))*(FrmBB1[Row]=$E220)*(FrmBB1[Column]=UPPER(_xlfn.LET(_xlpm.x,_xlfn.TEXTBEFORE(AA$114," ("),IFERROR(_xlpm.x,AA$114)))&amp;" "&amp;AB$115),0)))</f>
        <v>0</v>
      </c>
      <c r="AC220" s="158" cm="1">
        <f t="array" aca="1" ref="AC220" ca="1">IF(OR($E220="X",$E220="",$E220=0,$B220="X",$B220="",$B220=0),0,SUM(_xlfn._xlws.FILTER(FrmBB1[Cur],(FrmBB1[PrjId]=TEXT($B220,"@"))*(FrmBB1[Row]=$E220)*(FrmBB1[Column]=UPPER(_xlfn.LET(_xlpm.x,_xlfn.TEXTBEFORE(AC$114," ("),IFERROR(_xlpm.x,AC$114)))&amp;" "&amp;AC$115),0)))</f>
        <v>0</v>
      </c>
      <c r="AD220" s="157" cm="1">
        <f t="array" aca="1" ref="AD220" ca="1">IF(OR($E220="X",$E220="",$E220=0,$B220="X",$B220="",$B220=0),0,SUM(_xlfn._xlws.FILTER(FrmBB1[Cur],(FrmBB1[PrjId]=TEXT($B220,"@"))*(FrmBB1[Row]=$E220)*(FrmBB1[Column]=UPPER(_xlfn.LET(_xlpm.x,_xlfn.TEXTBEFORE(AC$114," ("),IFERROR(_xlpm.x,AC$114)))&amp;" "&amp;AD$115),0)))</f>
        <v>0</v>
      </c>
      <c r="AE220" s="158" cm="1">
        <f t="array" aca="1" ref="AE220" ca="1">IF(OR($E220="X",$E220="",$E220=0,$B220="X",$B220="",$B220=0),0,SUM(_xlfn._xlws.FILTER(FrmBB1[Cur],(FrmBB1[PrjId]=TEXT($B220,"@"))*(FrmBB1[Row]=$E220)*(FrmBB1[Column]=UPPER(_xlfn.LET(_xlpm.x,_xlfn.TEXTBEFORE(AE$114," ("),IFERROR(_xlpm.x,AE$114)))&amp;" "&amp;AE$115),0)))</f>
        <v>0</v>
      </c>
      <c r="AF220" s="157" cm="1">
        <f t="array" aca="1" ref="AF220" ca="1">IF(OR($E220="X",$E220="",$E220=0,$B220="X",$B220="",$B220=0),0,SUM(_xlfn._xlws.FILTER(FrmBB1[Cur],(FrmBB1[PrjId]=TEXT($B220,"@"))*(FrmBB1[Row]=$E220)*(FrmBB1[Column]=UPPER(_xlfn.LET(_xlpm.x,_xlfn.TEXTBEFORE(AE$114," ("),IFERROR(_xlpm.x,AE$114)))&amp;" "&amp;AF$115),0)))</f>
        <v>0</v>
      </c>
      <c r="AG220" s="158" cm="1">
        <f t="array" aca="1" ref="AG220" ca="1">IF(OR($E220="X",$E220="",$E220=0,$B220="X",$B220="",$B220=0),0,SUM(_xlfn._xlws.FILTER(FrmBB1[Cur],(FrmBB1[PrjId]=TEXT($B220,"@"))*(FrmBB1[Row]=$E220)*(FrmBB1[Column]=UPPER(_xlfn.LET(_xlpm.x,_xlfn.TEXTBEFORE(AG$114," ("),IFERROR(_xlpm.x,AG$114)))&amp;" "&amp;AG$115),0)))</f>
        <v>0</v>
      </c>
      <c r="AH220" s="157" cm="1">
        <f t="array" aca="1" ref="AH220" ca="1">IF(OR($E220="X",$E220="",$E220=0,$B220="X",$B220="",$B220=0),0,SUM(_xlfn._xlws.FILTER(FrmBB1[Cur],(FrmBB1[PrjId]=TEXT($B220,"@"))*(FrmBB1[Row]=$E220)*(FrmBB1[Column]=UPPER(_xlfn.LET(_xlpm.x,_xlfn.TEXTBEFORE(AG$114," ("),IFERROR(_xlpm.x,AG$114)))&amp;" "&amp;AH$115),0)))</f>
        <v>0</v>
      </c>
      <c r="AI220" s="158" cm="1">
        <f t="array" aca="1" ref="AI220" ca="1">IF(OR($E220="X",$E220="",$E220=0,$B220="X",$B220="",$B220=0),0,SUM(_xlfn._xlws.FILTER(FrmBB1[Cur],(FrmBB1[PrjId]=TEXT($B220,"@"))*(FrmBB1[Row]=$E220)*(FrmBB1[Column]=UPPER(_xlfn.LET(_xlpm.x,_xlfn.TEXTBEFORE(AI$114," ("),IFERROR(_xlpm.x,AI$114)))&amp;" "&amp;AI$115),0)))</f>
        <v>0</v>
      </c>
      <c r="AJ220" s="157" cm="1">
        <f t="array" aca="1" ref="AJ220" ca="1">IF(OR($E220="X",$E220="",$E220=0,$B220="X",$B220="",$B220=0),0,SUM(_xlfn._xlws.FILTER(FrmBB1[Cur],(FrmBB1[PrjId]=TEXT($B220,"@"))*(FrmBB1[Row]=$E220)*(FrmBB1[Column]=UPPER(_xlfn.LET(_xlpm.x,_xlfn.TEXTBEFORE(AI$114," ("),IFERROR(_xlpm.x,AI$114)))&amp;" "&amp;AJ$115),0)))</f>
        <v>0</v>
      </c>
      <c r="AK220" s="158" cm="1">
        <f t="array" aca="1" ref="AK220" ca="1">IF(OR($E220="X",$E220="",$E220=0,$B220="X",$B220="",$B220=0),0,SUM(_xlfn._xlws.FILTER(FrmBB1[Cur],(FrmBB1[PrjId]=TEXT($B220,"@"))*(FrmBB1[Row]=$E220)*(FrmBB1[Column]=UPPER(_xlfn.LET(_xlpm.x,_xlfn.TEXTBEFORE(AK$114," ("),IFERROR(_xlpm.x,AK$114)))&amp;" "&amp;AK$115),0)))</f>
        <v>0</v>
      </c>
      <c r="AL220" s="157" cm="1">
        <f t="array" aca="1" ref="AL220" ca="1">IF(OR($E220="X",$E220="",$E220=0,$B220="X",$B220="",$B220=0),0,SUM(_xlfn._xlws.FILTER(FrmBB1[Cur],(FrmBB1[PrjId]=TEXT($B220,"@"))*(FrmBB1[Row]=$E220)*(FrmBB1[Column]=UPPER(_xlfn.LET(_xlpm.x,_xlfn.TEXTBEFORE(AK$114," ("),IFERROR(_xlpm.x,AK$114)))&amp;" "&amp;AL$115),0)))</f>
        <v>0</v>
      </c>
      <c r="AM220" s="158" cm="1">
        <f t="array" aca="1" ref="AM220" ca="1">IF(OR($E220="X",$E220="",$E220=0,$B220="X",$B220="",$B220=0),0,SUM(_xlfn._xlws.FILTER(FrmBB1[Cur],(FrmBB1[PrjId]=TEXT($B220,"@"))*(FrmBB1[Row]=$E220)*(FrmBB1[Column]=UPPER(_xlfn.LET(_xlpm.x,_xlfn.TEXTBEFORE(AM$114," ("),IFERROR(_xlpm.x,AM$114)))&amp;" "&amp;AM$115),0)))</f>
        <v>0</v>
      </c>
      <c r="AN220" s="157" cm="1">
        <f t="array" aca="1" ref="AN220" ca="1">IF(OR($E220="X",$E220="",$E220=0,$B220="X",$B220="",$B220=0),0,SUM(_xlfn._xlws.FILTER(FrmBB1[Cur],(FrmBB1[PrjId]=TEXT($B220,"@"))*(FrmBB1[Row]=$E220)*(FrmBB1[Column]=UPPER(_xlfn.LET(_xlpm.x,_xlfn.TEXTBEFORE(AM$114," ("),IFERROR(_xlpm.x,AM$114)))&amp;" "&amp;AN$115),0)))</f>
        <v>0</v>
      </c>
      <c r="AO220" s="158" cm="1">
        <f t="array" aca="1" ref="AO220" ca="1">IF(OR($E220="X",$E220="",$E220=0,$B220="X",$B220="",$B220=0),0,SUM(_xlfn._xlws.FILTER(FrmBB1[Cur],(FrmBB1[PrjId]=TEXT($B220,"@"))*(FrmBB1[Row]=$E220)*(FrmBB1[Column]=UPPER(_xlfn.LET(_xlpm.x,_xlfn.TEXTBEFORE(AO$114," ("),IFERROR(_xlpm.x,AO$114)))&amp;" "&amp;AO$115),0)))</f>
        <v>0</v>
      </c>
      <c r="AP220" s="157" cm="1">
        <f t="array" aca="1" ref="AP220" ca="1">IF(OR($E220="X",$E220="",$E220=0,$B220="X",$B220="",$B220=0),0,SUM(_xlfn._xlws.FILTER(FrmBB1[Cur],(FrmBB1[PrjId]=TEXT($B220,"@"))*(FrmBB1[Row]=$E220)*(FrmBB1[Column]=UPPER(_xlfn.LET(_xlpm.x,_xlfn.TEXTBEFORE(AO$114," ("),IFERROR(_xlpm.x,AO$114)))&amp;" "&amp;AP$115),0)))</f>
        <v>0</v>
      </c>
      <c r="AQ220" s="157" cm="1">
        <f t="array" aca="1" ref="AQ220" ca="1">SUM(IF(INDIRECT($AS$115)=AQ$115,INDIRECT($AS220)))</f>
        <v>0</v>
      </c>
      <c r="AR220" s="157" cm="1">
        <f t="array" aca="1" ref="AR220" ca="1">SUM(IF(INDIRECT($AS$115)=AR$115,INDIRECT($AS220)))</f>
        <v>0</v>
      </c>
      <c r="AS220" s="286" t="str">
        <f t="shared" ca="1" si="18"/>
        <v>G220:AP220</v>
      </c>
      <c r="AT220" s="403">
        <f t="shared" ca="1" si="17"/>
        <v>0</v>
      </c>
      <c r="AV220" s="142" cm="1">
        <f t="array" aca="1" ref="AV220" ca="1">IF(AND(_xlfn.LET(_xlpm.x,SUM(ROW()),OR(AND(MATCH("SOT",$A:$A,0)&lt;_xlpm.x,MATCH("EOT",$A:$A,0)&gt;_xlpm.x),AND(MATCH("SOS",$A:$A,0)&lt;_xlpm.x,MATCH("EOS",$A:$A,0)&gt;_xlpm.x),AND(MATCH("SOR",$A:$A,0)&lt;_xlpm.x,MATCH("EOR",$A:$A,0)&gt;_xlpm.x))),INDIRECT("rc"&amp;MATCH("SCD",$1:$1,0),FALSE)="PPTO"),1,0)</f>
        <v>0</v>
      </c>
      <c r="AW220" s="142" cm="1">
        <f t="array" aca="1" ref="AW22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221" spans="2:49" outlineLevel="1">
      <c r="B221" s="156" t="str" cm="1">
        <f t="array" aca="1" ref="B221" ca="1">_xlfn.LET(_xlpm.x,SUM(ROW()-MATCH("SOR",$A:$A,0)),_xlpm.y,IFERROR(_xlfn.TAKE(INDEX(_xlfn._xlws.FILTER(TbAssign[],ISNUMBER(FIND(TbAssign[Project],$C$4)),"X"),1+QUOTIENT(_xlpm.x,3),0),1,4),0),IF(MOD(_xlpm.x-1,3)=0,IF(_xlpm.y=0,"X",_xlpm.y),INDIRECT("r[-1]c#",FALSE)))</f>
        <v>X</v>
      </c>
      <c r="C221" s="156"/>
      <c r="E221" s="352"/>
      <c r="F221" s="148" t="s">
        <v>397</v>
      </c>
      <c r="G221" s="157" cm="1">
        <f t="array" aca="1" ref="G221" ca="1">IF(OR($E221="X",$E221="",$E221=0,$B221="X",$B221="",$B221=0),0,SUM(_xlfn._xlws.FILTER(IF($E$4="Ppto",PptoSty[CurPpto],PptoSty[CurInt]),(IF($E$4="Ppto",PptoSty[POvsCT]=G$113,TRUE))*(PptoSty[Project]=TEXT($B221,"@"))*(PptoSty[PptoVsRow]=$E221)*(PptoSty[PptoVsColumn]=UPPER(G$114)),0)))</f>
        <v>0</v>
      </c>
      <c r="H221" s="157" cm="1">
        <f t="array" aca="1" ref="H221" ca="1">IF(OR($E221="X",$E221="",$E221=0,$B221="X",$B221="",$B221=0),0,SUM(_xlfn._xlws.FILTER(IF($E$4="Ppto",PptoSty[CurPpto],PptoSty[CurExt]),(IF($E$4="Ppto",PptoSty[POvsCT]=H$113,TRUE))*(PptoSty[Project]=TEXT($B221,"@"))*(PptoSty[PptoVsRow]=$E221)*(PptoSty[PptoVsColumn]=UPPER(G$114)),0)))</f>
        <v>0</v>
      </c>
      <c r="I221" s="157" cm="1">
        <f t="array" aca="1" ref="I221" ca="1">IF(OR($E221="X",$E221="",$E221=0,$B221="X",$B221="",$B221=0),0,SUM(_xlfn._xlws.FILTER(IF($E$4="Ppto",PptoSty[CurPpto],PptoSty[CurInt]),(IF($E$4="Ppto",PptoSty[POvsCT]=I$113,TRUE))*(PptoSty[Project]=TEXT($B221,"@"))*(PptoSty[PptoVsRow]=$E221)*(PptoSty[PptoVsColumn]=UPPER(I$114)),0)))</f>
        <v>0</v>
      </c>
      <c r="J221" s="157" cm="1">
        <f t="array" aca="1" ref="J221" ca="1">IF(OR($E221="X",$E221="",$E221=0,$B221="X",$B221="",$B221=0),0,SUM(_xlfn._xlws.FILTER(IF($E$4="Ppto",PptoSty[CurPpto],PptoSty[CurExt]),(IF($E$4="Ppto",PptoSty[POvsCT]=J$113,TRUE))*(PptoSty[Project]=TEXT($B221,"@"))*(PptoSty[PptoVsRow]=$E221)*(PptoSty[PptoVsColumn]=UPPER(I$114)),0)))</f>
        <v>0</v>
      </c>
      <c r="K221" s="157" cm="1">
        <f t="array" aca="1" ref="K221" ca="1">IF(OR($E221="X",$E221="",$E221=0,$B221="X",$B221="",$B221=0),0,SUM(_xlfn._xlws.FILTER(IF($E$4="Ppto",PptoSty[CurPpto],PptoSty[CurInt]),(IF($E$4="Ppto",PptoSty[POvsCT]=K$113,TRUE))*(PptoSty[Project]=TEXT($B221,"@"))*(PptoSty[PptoVsRow]=$E221)*(PptoSty[PptoVsColumn]=UPPER(K$114)),0)))</f>
        <v>0</v>
      </c>
      <c r="L221" s="157" cm="1">
        <f t="array" aca="1" ref="L221" ca="1">IF(OR($E221="X",$E221="",$E221=0,$B221="X",$B221="",$B221=0),0,SUM(_xlfn._xlws.FILTER(IF($E$4="Ppto",PptoSty[CurPpto],PptoSty[CurExt]),(IF($E$4="Ppto",PptoSty[POvsCT]=L$113,TRUE))*(PptoSty[Project]=TEXT($B221,"@"))*(PptoSty[PptoVsRow]=$E221)*(PptoSty[PptoVsColumn]=UPPER(K$114)),0)))</f>
        <v>0</v>
      </c>
      <c r="M221" s="157" cm="1">
        <f t="array" aca="1" ref="M221" ca="1">IF(OR($E221="X",$E221="",$E221=0,$B221="X",$B221="",$B221=0),0,SUM(_xlfn._xlws.FILTER(IF($E$4="Ppto",PptoSty[CurPpto],PptoSty[CurInt]),(IF($E$4="Ppto",PptoSty[POvsCT]=M$113,TRUE))*(PptoSty[Project]=TEXT($B221,"@"))*(PptoSty[PptoVsRow]=$E221)*(PptoSty[PptoVsColumn]=UPPER(M$114)),0)))</f>
        <v>0</v>
      </c>
      <c r="N221" s="157" cm="1">
        <f t="array" aca="1" ref="N221" ca="1">IF(OR($E221="X",$E221="",$E221=0,$B221="X",$B221="",$B221=0),0,SUM(_xlfn._xlws.FILTER(IF($E$4="Ppto",PptoSty[CurPpto],PptoSty[CurExt]),(IF($E$4="Ppto",PptoSty[POvsCT]=N$113,TRUE))*(PptoSty[Project]=TEXT($B221,"@"))*(PptoSty[PptoVsRow]=$E221)*(PptoSty[PptoVsColumn]=UPPER(M$114)),0)))</f>
        <v>0</v>
      </c>
      <c r="O221" s="157" cm="1">
        <f t="array" aca="1" ref="O221" ca="1">IF(OR($E221="X",$E221="",$E221=0,$B221="X",$B221="",$B221=0),0,SUM(_xlfn._xlws.FILTER(IF($E$4="Ppto",PptoSty[CurPpto],PptoSty[CurInt]),(IF($E$4="Ppto",PptoSty[POvsCT]=O$113,TRUE))*(PptoSty[Project]=TEXT($B221,"@"))*(PptoSty[PptoVsRow]=$E221)*(PptoSty[PptoVsColumn]=UPPER(O$114)),0)))</f>
        <v>0</v>
      </c>
      <c r="P221" s="157" cm="1">
        <f t="array" aca="1" ref="P221" ca="1">IF(OR($E221="X",$E221="",$E221=0,$B221="X",$B221="",$B221=0),0,SUM(_xlfn._xlws.FILTER(IF($E$4="Ppto",PptoSty[CurPpto],PptoSty[CurExt]),(IF($E$4="Ppto",PptoSty[POvsCT]=P$113,TRUE))*(PptoSty[Project]=TEXT($B221,"@"))*(PptoSty[PptoVsRow]=$E221)*(PptoSty[PptoVsColumn]=UPPER(O$114)),0)))</f>
        <v>0</v>
      </c>
      <c r="Q221" s="157" cm="1">
        <f t="array" aca="1" ref="Q221" ca="1">IF(OR($E221="X",$E221="",$E221=0,$B221="X",$B221="",$B221=0),0,SUM(_xlfn._xlws.FILTER(IF($E$4="Ppto",PptoSty[CurPpto],PptoSty[CurInt]),(IF($E$4="Ppto",PptoSty[POvsCT]=Q$113,TRUE))*(PptoSty[Project]=TEXT($B221,"@"))*(PptoSty[PptoVsRow]=$E221)*(PptoSty[PptoVsColumn]=UPPER(Q$114)),0)))</f>
        <v>0</v>
      </c>
      <c r="R221" s="157" cm="1">
        <f t="array" aca="1" ref="R221" ca="1">IF(OR($E221="X",$E221="",$E221=0,$B221="X",$B221="",$B221=0),0,SUM(_xlfn._xlws.FILTER(IF($E$4="Ppto",PptoSty[CurPpto],PptoSty[CurExt]),(IF($E$4="Ppto",PptoSty[POvsCT]=R$113,TRUE))*(PptoSty[Project]=TEXT($B221,"@"))*(PptoSty[PptoVsRow]=$E221)*(PptoSty[PptoVsColumn]=UPPER(Q$114)),0)))</f>
        <v>0</v>
      </c>
      <c r="S221" s="157" cm="1">
        <f t="array" aca="1" ref="S221" ca="1">IF(OR($E221="X",$E221="",$E221=0,$B221="X",$B221="",$B221=0),0,SUM(_xlfn._xlws.FILTER(IF($E$4="Ppto",PptoSty[CurPpto],PptoSty[CurInt]),(IF($E$4="Ppto",PptoSty[POvsCT]=S$113,TRUE))*(PptoSty[Project]=TEXT($B221,"@"))*(PptoSty[PptoVsRow]=$E221)*(PptoSty[PptoVsColumn]=UPPER(S$114)),0)))</f>
        <v>0</v>
      </c>
      <c r="T221" s="157" cm="1">
        <f t="array" aca="1" ref="T221" ca="1">IF(OR($E221="X",$E221="",$E221=0,$B221="X",$B221="",$B221=0),0,SUM(_xlfn._xlws.FILTER(IF($E$4="Ppto",PptoSty[CurPpto],PptoSty[CurExt]),(IF($E$4="Ppto",PptoSty[POvsCT]=T$113,TRUE))*(PptoSty[Project]=TEXT($B221,"@"))*(PptoSty[PptoVsRow]=$E221)*(PptoSty[PptoVsColumn]=UPPER(S$114)),0)))</f>
        <v>0</v>
      </c>
      <c r="U221" s="157" cm="1">
        <f t="array" aca="1" ref="U221" ca="1">IF(OR($E221="X",$E221="",$E221=0,$B221="X",$B221="",$B221=0),0,SUM(_xlfn._xlws.FILTER(IF($E$4="Ppto",PptoSty[CurPpto],PptoSty[CurInt]),(IF($E$4="Ppto",PptoSty[POvsCT]=U$113,TRUE))*(PptoSty[Project]=TEXT($B221,"@"))*(PptoSty[PptoVsRow]=$E221)*(PptoSty[PptoVsColumn]=UPPER(U$114)),0)))</f>
        <v>0</v>
      </c>
      <c r="V221" s="157" cm="1">
        <f t="array" aca="1" ref="V221" ca="1">IF(OR($E221="X",$E221="",$E221=0,$B221="X",$B221="",$B221=0),0,SUM(_xlfn._xlws.FILTER(IF($E$4="Ppto",PptoSty[CurPpto],PptoSty[CurExt]),(IF($E$4="Ppto",PptoSty[POvsCT]=V$113,TRUE))*(PptoSty[Project]=TEXT($B221,"@"))*(PptoSty[PptoVsRow]=$E221)*(PptoSty[PptoVsColumn]=UPPER(U$114)),0)))</f>
        <v>0</v>
      </c>
      <c r="W221" s="157" cm="1">
        <f t="array" aca="1" ref="W221" ca="1">IF(OR($E221="X",$E221="",$E221=0,$B221="X",$B221="",$B221=0),0,SUM(_xlfn._xlws.FILTER(IF($E$4="Ppto",PptoSty[CurPpto],PptoSty[CurInt]),(IF($E$4="Ppto",PptoSty[POvsCT]=W$113,TRUE))*(PptoSty[Project]=TEXT($B221,"@"))*(PptoSty[PptoVsRow]=$E221)*(PptoSty[PptoVsColumn]=UPPER(W$114)),0)))</f>
        <v>0</v>
      </c>
      <c r="X221" s="157" cm="1">
        <f t="array" aca="1" ref="X221" ca="1">IF(OR($E221="X",$E221="",$E221=0,$B221="X",$B221="",$B221=0),0,SUM(_xlfn._xlws.FILTER(IF($E$4="Ppto",PptoSty[CurPpto],PptoSty[CurExt]),(IF($E$4="Ppto",PptoSty[POvsCT]=X$113,TRUE))*(PptoSty[Project]=TEXT($B221,"@"))*(PptoSty[PptoVsRow]=$E221)*(PptoSty[PptoVsColumn]=UPPER(W$114)),0)))</f>
        <v>0</v>
      </c>
      <c r="Y221" s="157" cm="1">
        <f t="array" aca="1" ref="Y221" ca="1">IF(OR($E221="X",$E221="",$E221=0,$B221="X",$B221="",$B221=0),0,SUM(_xlfn._xlws.FILTER(IF($E$4="Ppto",PptoSty[CurPpto],PptoSty[CurInt]),(IF($E$4="Ppto",PptoSty[POvsCT]=Y$113,TRUE))*(PptoSty[Project]=TEXT($B221,"@"))*(PptoSty[PptoVsRow]=$E221)*(PptoSty[PptoVsColumn]=UPPER(Y$114)),0)))</f>
        <v>0</v>
      </c>
      <c r="Z221" s="157" cm="1">
        <f t="array" aca="1" ref="Z221" ca="1">IF(OR($E221="X",$E221="",$E221=0,$B221="X",$B221="",$B221=0),0,SUM(_xlfn._xlws.FILTER(IF($E$4="Ppto",PptoSty[CurPpto],PptoSty[CurExt]),(IF($E$4="Ppto",PptoSty[POvsCT]=Z$113,TRUE))*(PptoSty[Project]=TEXT($B221,"@"))*(PptoSty[PptoVsRow]=$E221)*(PptoSty[PptoVsColumn]=UPPER(Y$114)),0)))</f>
        <v>0</v>
      </c>
      <c r="AA221" s="157" cm="1">
        <f t="array" aca="1" ref="AA221" ca="1">IF(OR($E221="X",$E221="",$E221=0,$B221="X",$B221="",$B221=0),0,SUM(_xlfn._xlws.FILTER(IF($E$4="Ppto",PptoSty[CurPpto],PptoSty[CurInt]),(IF($E$4="Ppto",PptoSty[POvsCT]=AA$113,TRUE))*(PptoSty[Project]=TEXT($B221,"@"))*(PptoSty[PptoVsRow]=$E221)*(PptoSty[PptoVsColumn]=UPPER(AA$114)),0)))</f>
        <v>0</v>
      </c>
      <c r="AB221" s="157" cm="1">
        <f t="array" aca="1" ref="AB221" ca="1">IF(OR($E221="X",$E221="",$E221=0,$B221="X",$B221="",$B221=0),0,SUM(_xlfn._xlws.FILTER(IF($E$4="Ppto",PptoSty[CurPpto],PptoSty[CurExt]),(IF($E$4="Ppto",PptoSty[POvsCT]=AB$113,TRUE))*(PptoSty[Project]=TEXT($B221,"@"))*(PptoSty[PptoVsRow]=$E221)*(PptoSty[PptoVsColumn]=UPPER(AA$114)),0)))</f>
        <v>0</v>
      </c>
      <c r="AC221" s="157" cm="1">
        <f t="array" aca="1" ref="AC221" ca="1">IF(OR($E221="X",$E221="",$E221=0,$B221="X",$B221="",$B221=0),0,SUM(_xlfn._xlws.FILTER(IF($E$4="Ppto",PptoSty[CurPpto],PptoSty[CurInt]),(IF($E$4="Ppto",PptoSty[POvsCT]=AC$113,TRUE))*(PptoSty[Project]=TEXT($B221,"@"))*(PptoSty[PptoVsRow]=$E221)*(PptoSty[PptoVsColumn]=UPPER(AC$114)),0)))</f>
        <v>0</v>
      </c>
      <c r="AD221" s="157" cm="1">
        <f t="array" aca="1" ref="AD221" ca="1">IF(OR($E221="X",$E221="",$E221=0,$B221="X",$B221="",$B221=0),0,SUM(_xlfn._xlws.FILTER(IF($E$4="Ppto",PptoSty[CurPpto],PptoSty[CurExt]),(IF($E$4="Ppto",PptoSty[POvsCT]=AD$113,TRUE))*(PptoSty[Project]=TEXT($B221,"@"))*(PptoSty[PptoVsRow]=$E221)*(PptoSty[PptoVsColumn]=UPPER(AC$114)),0)))</f>
        <v>0</v>
      </c>
      <c r="AE221" s="157" cm="1">
        <f t="array" aca="1" ref="AE221" ca="1">IF(OR($E221="X",$E221="",$E221=0,$B221="X",$B221="",$B221=0),0,SUM(_xlfn._xlws.FILTER(IF($E$4="Ppto",PptoSty[CurPpto],PptoSty[CurInt]),(IF($E$4="Ppto",PptoSty[POvsCT]=AE$113,TRUE))*(PptoSty[Project]=TEXT($B221,"@"))*(PptoSty[PptoVsRow]=$E221)*(PptoSty[PptoVsColumn]=UPPER(AE$114)),0)))</f>
        <v>0</v>
      </c>
      <c r="AF221" s="157" cm="1">
        <f t="array" aca="1" ref="AF221" ca="1">IF(OR($E221="X",$E221="",$E221=0,$B221="X",$B221="",$B221=0),0,SUM(_xlfn._xlws.FILTER(IF($E$4="Ppto",PptoSty[CurPpto],PptoSty[CurExt]),(IF($E$4="Ppto",PptoSty[POvsCT]=AF$113,TRUE))*(PptoSty[Project]=TEXT($B221,"@"))*(PptoSty[PptoVsRow]=$E221)*(PptoSty[PptoVsColumn]=UPPER(AE$114)),0)))</f>
        <v>0</v>
      </c>
      <c r="AG221" s="157" cm="1">
        <f t="array" aca="1" ref="AG221" ca="1">IF(OR($E221="X",$E221="",$E221=0,$B221="X",$B221="",$B221=0),0,SUM(_xlfn._xlws.FILTER(IF($E$4="Ppto",PptoSty[CurPpto],PptoSty[CurInt]),(IF($E$4="Ppto",PptoSty[POvsCT]=AG$113,TRUE))*(PptoSty[Project]=TEXT($B221,"@"))*(PptoSty[PptoVsRow]=$E221)*(PptoSty[PptoVsColumn]=UPPER(AG$114)),0)))</f>
        <v>0</v>
      </c>
      <c r="AH221" s="157" cm="1">
        <f t="array" aca="1" ref="AH221" ca="1">IF(OR($E221="X",$E221="",$E221=0,$B221="X",$B221="",$B221=0),0,SUM(_xlfn._xlws.FILTER(IF($E$4="Ppto",PptoSty[CurPpto],PptoSty[CurExt]),(IF($E$4="Ppto",PptoSty[POvsCT]=AH$113,TRUE))*(PptoSty[Project]=TEXT($B221,"@"))*(PptoSty[PptoVsRow]=$E221)*(PptoSty[PptoVsColumn]=UPPER(AG$114)),0)))</f>
        <v>0</v>
      </c>
      <c r="AI221" s="157" cm="1">
        <f t="array" aca="1" ref="AI221" ca="1">IF(OR($E221="X",$E221="",$E221=0,$B221="X",$B221="",$B221=0),0,SUM(_xlfn._xlws.FILTER(IF($E$4="Ppto",PptoSty[CurPpto],PptoSty[CurInt]),(IF($E$4="Ppto",PptoSty[POvsCT]=AI$113,TRUE))*(PptoSty[Project]=TEXT($B221,"@"))*(PptoSty[PptoVsRow]=$E221)*(PptoSty[PptoVsColumn]=UPPER(AI$114)),0)))</f>
        <v>0</v>
      </c>
      <c r="AJ221" s="157" cm="1">
        <f t="array" aca="1" ref="AJ221" ca="1">IF(OR($E221="X",$E221="",$E221=0,$B221="X",$B221="",$B221=0),0,SUM(_xlfn._xlws.FILTER(IF($E$4="Ppto",PptoSty[CurPpto],PptoSty[CurExt]),(IF($E$4="Ppto",PptoSty[POvsCT]=AJ$113,TRUE))*(PptoSty[Project]=TEXT($B221,"@"))*(PptoSty[PptoVsRow]=$E221)*(PptoSty[PptoVsColumn]=UPPER(AI$114)),0)))</f>
        <v>0</v>
      </c>
      <c r="AK221" s="157" cm="1">
        <f t="array" aca="1" ref="AK221" ca="1">IF(OR($E221="X",$E221="",$E221=0,$B221="X",$B221="",$B221=0),0,SUM(_xlfn._xlws.FILTER(IF($E$4="Ppto",PptoSty[CurPpto],PptoSty[CurInt]),(IF($E$4="Ppto",PptoSty[POvsCT]=AK$113,TRUE))*(PptoSty[Project]=TEXT($B221,"@"))*(PptoSty[PptoVsRow]=$E221)*(PptoSty[PptoVsColumn]=UPPER(AK$114)),0)))</f>
        <v>0</v>
      </c>
      <c r="AL221" s="157" cm="1">
        <f t="array" aca="1" ref="AL221" ca="1">IF(OR($E221="X",$E221="",$E221=0,$B221="X",$B221="",$B221=0),0,SUM(_xlfn._xlws.FILTER(IF($E$4="Ppto",PptoSty[CurPpto],PptoSty[CurExt]),(IF($E$4="Ppto",PptoSty[POvsCT]=AL$113,TRUE))*(PptoSty[Project]=TEXT($B221,"@"))*(PptoSty[PptoVsRow]=$E221)*(PptoSty[PptoVsColumn]=UPPER(AK$114)),0)))</f>
        <v>0</v>
      </c>
      <c r="AM221" s="157" cm="1">
        <f t="array" aca="1" ref="AM221" ca="1">IF(OR($E221="X",$E221="",$E221=0,$B221="X",$B221="",$B221=0),0,SUM(_xlfn._xlws.FILTER(IF($E$4="Ppto",PptoSty[CurPpto],PptoSty[CurInt]),(IF($E$4="Ppto",PptoSty[POvsCT]=AM$113,TRUE))*(PptoSty[Project]=TEXT($B221,"@"))*(PptoSty[PptoVsRow]=$E221)*(PptoSty[PptoVsColumn]=UPPER(AM$114)),0)))</f>
        <v>0</v>
      </c>
      <c r="AN221" s="157" cm="1">
        <f t="array" aca="1" ref="AN221" ca="1">IF(OR($E221="X",$E221="",$E221=0,$B221="X",$B221="",$B221=0),0,SUM(_xlfn._xlws.FILTER(IF($E$4="Ppto",PptoSty[CurPpto],PptoSty[CurExt]),(IF($E$4="Ppto",PptoSty[POvsCT]=AN$113,TRUE))*(PptoSty[Project]=TEXT($B221,"@"))*(PptoSty[PptoVsRow]=$E221)*(PptoSty[PptoVsColumn]=UPPER(AM$114)),0)))</f>
        <v>0</v>
      </c>
      <c r="AO221" s="157" cm="1">
        <f t="array" aca="1" ref="AO221" ca="1">IF(OR($E221="X",$E221="",$E221=0,$B221="X",$B221="",$B221=0),0,SUM(_xlfn._xlws.FILTER(IF($E$4="Ppto",PptoSty[CurPpto],PptoSty[CurInt]),(IF($E$4="Ppto",PptoSty[POvsCT]=AO$113,TRUE))*(PptoSty[Project]=TEXT($B221,"@"))*(PptoSty[PptoVsRow]=$E221)*(PptoSty[PptoVsColumn]=UPPER(AO$114)),0)))</f>
        <v>0</v>
      </c>
      <c r="AP221" s="157" cm="1">
        <f t="array" aca="1" ref="AP221" ca="1">IF(OR($E221="X",$E221="",$E221=0,$B221="X",$B221="",$B221=0),0,SUM(_xlfn._xlws.FILTER(IF($E$4="Ppto",PptoSty[CurPpto],PptoSty[CurExt]),(IF($E$4="Ppto",PptoSty[POvsCT]=AP$113,TRUE))*(PptoSty[Project]=TEXT($B221,"@"))*(PptoSty[PptoVsRow]=$E221)*(PptoSty[PptoVsColumn]=UPPER(AO$114)),0)))</f>
        <v>0</v>
      </c>
      <c r="AQ221" s="157" cm="1">
        <f t="array" aca="1" ref="AQ221" ca="1">SUM(IF(INDIRECT($AS$115)=AQ$115,INDIRECT($AS221)))</f>
        <v>0</v>
      </c>
      <c r="AR221" s="157" cm="1">
        <f t="array" aca="1" ref="AR221" ca="1">SUM(IF(INDIRECT($AS$115)=AR$115,INDIRECT($AS221)))</f>
        <v>0</v>
      </c>
      <c r="AS221" s="286" t="str">
        <f t="shared" ca="1" si="18"/>
        <v>G221:AP221</v>
      </c>
      <c r="AT221" s="403">
        <f t="shared" ca="1" si="17"/>
        <v>0</v>
      </c>
      <c r="AV221" s="142" cm="1">
        <f t="array" aca="1" ref="AV221" ca="1">IF(AND(_xlfn.LET(_xlpm.x,SUM(ROW()),OR(AND(MATCH("SOT",$A:$A,0)&lt;_xlpm.x,MATCH("EOT",$A:$A,0)&gt;_xlpm.x),AND(MATCH("SOS",$A:$A,0)&lt;_xlpm.x,MATCH("EOS",$A:$A,0)&gt;_xlpm.x),AND(MATCH("SOR",$A:$A,0)&lt;_xlpm.x,MATCH("EOR",$A:$A,0)&gt;_xlpm.x))),INDIRECT("rc"&amp;MATCH("SCD",$1:$1,0),FALSE)="PPTO"),1,0)</f>
        <v>1</v>
      </c>
      <c r="AW221" s="142" cm="1">
        <f t="array" aca="1" ref="AW22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222" spans="2:49" outlineLevel="1">
      <c r="B222" s="156" t="str" cm="1">
        <f t="array" aca="1" ref="B222" ca="1">_xlfn.LET(_xlpm.x,SUM(ROW()-MATCH("SOR",$A:$A,0)),_xlpm.y,IFERROR(_xlfn.TAKE(INDEX(_xlfn._xlws.FILTER(TbAssign[],ISNUMBER(FIND(TbAssign[Project],$C$4)),"X"),1+QUOTIENT(_xlpm.x,3),0),1,4),0),IF(MOD(_xlpm.x-1,3)=0,IF(_xlpm.y=0,"X",_xlpm.y),INDIRECT("r[-1]c#",FALSE)))</f>
        <v>X</v>
      </c>
      <c r="C222" s="156"/>
      <c r="E222" s="352"/>
      <c r="F222" s="148" t="s">
        <v>1382</v>
      </c>
      <c r="G222" s="157" cm="1">
        <f t="array" aca="1" ref="G222" ca="1">IF(OR($E222="X",$E222="",$E222=0,$B222="X",$B222="",$B222=0),0,SUM(_xlfn._xlws.FILTER(PrvSty[DsvValue:SERRA],(PrvSty[Project]=TEXT($B222,"@"))*(PrvSty[Row]=$E222)*(PrvSty[Column]=UPPER(G$114)),0)))</f>
        <v>0</v>
      </c>
      <c r="H222" s="157" cm="1">
        <f t="array" aca="1" ref="H222" ca="1">IF(OR($E222="X",$E222="",$E222=0,$B222="X",$B222="",$B222=0),0,SUM(_xlfn._xlws.FILTER(PrvSty[DsvValue:EXT.],(PrvSty[Project]=TEXT($B222,"@"))*(PrvSty[Row]=$E222)*(PrvSty[Column]=UPPER(G$114)),0)))</f>
        <v>0</v>
      </c>
      <c r="I222" s="157" cm="1">
        <f t="array" aca="1" ref="I222" ca="1">IF(OR($E222="X",$E222="",$E222=0,$B222="X",$B222="",$B222=0),0,SUM(_xlfn._xlws.FILTER(PrvSty[DsvValue:SERRA],(PrvSty[Project]=TEXT($B222,"@"))*(PrvSty[Row]=$E222)*(PrvSty[Column]=UPPER(I$114)),0)))</f>
        <v>0</v>
      </c>
      <c r="J222" s="157" cm="1">
        <f t="array" aca="1" ref="J222" ca="1">IF(OR($E222="X",$E222="",$E222=0,$B222="X",$B222="",$B222=0),0,SUM(_xlfn._xlws.FILTER(PrvSty[DsvValue:EXT.],(PrvSty[Project]=TEXT($B222,"@"))*(PrvSty[Row]=$E222)*(PrvSty[Column]=UPPER(I$114)),0)))</f>
        <v>0</v>
      </c>
      <c r="K222" s="157" cm="1">
        <f t="array" aca="1" ref="K222" ca="1">IF(OR($E222="X",$E222="",$E222=0,$B222="X",$B222="",$B222=0),0,SUM(_xlfn._xlws.FILTER(PrvSty[DsvValue:SERRA],(PrvSty[Project]=TEXT($B222,"@"))*(PrvSty[Row]=$E222)*(PrvSty[Column]=UPPER(K$114)),0)))</f>
        <v>0</v>
      </c>
      <c r="L222" s="157" cm="1">
        <f t="array" aca="1" ref="L222" ca="1">IF(OR($E222="X",$E222="",$E222=0,$B222="X",$B222="",$B222=0),0,SUM(_xlfn._xlws.FILTER(PrvSty[DsvValue:EXT.],(PrvSty[Project]=TEXT($B222,"@"))*(PrvSty[Row]=$E222)*(PrvSty[Column]=UPPER(K$114)),0)))</f>
        <v>0</v>
      </c>
      <c r="M222" s="157" cm="1">
        <f t="array" aca="1" ref="M222" ca="1">IF(OR($E222="X",$E222="",$E222=0,$B222="X",$B222="",$B222=0),0,SUM(_xlfn._xlws.FILTER(PrvSty[DsvValue:SERRA],(PrvSty[Project]=TEXT($B222,"@"))*(PrvSty[Row]=$E222)*(PrvSty[Column]=UPPER(M$114)),0)))</f>
        <v>0</v>
      </c>
      <c r="N222" s="157" cm="1">
        <f t="array" aca="1" ref="N222" ca="1">IF(OR($E222="X",$E222="",$E222=0,$B222="X",$B222="",$B222=0),0,SUM(_xlfn._xlws.FILTER(PrvSty[DsvValue:EXT.],(PrvSty[Project]=TEXT($B222,"@"))*(PrvSty[Row]=$E222)*(PrvSty[Column]=UPPER(M$114)),0)))</f>
        <v>0</v>
      </c>
      <c r="O222" s="157" cm="1">
        <f t="array" aca="1" ref="O222" ca="1">IF(OR($E222="X",$E222="",$E222=0,$B222="X",$B222="",$B222=0),0,SUM(_xlfn._xlws.FILTER(PrvSty[DsvValue:SERRA],(PrvSty[Project]=TEXT($B222,"@"))*(PrvSty[Row]=$E222)*(PrvSty[Column]=UPPER(O$114)),0)))</f>
        <v>0</v>
      </c>
      <c r="P222" s="157" cm="1">
        <f t="array" aca="1" ref="P222" ca="1">IF(OR($E222="X",$E222="",$E222=0,$B222="X",$B222="",$B222=0),0,SUM(_xlfn._xlws.FILTER(PrvSty[DsvValue:EXT.],(PrvSty[Project]=TEXT($B222,"@"))*(PrvSty[Row]=$E222)*(PrvSty[Column]=UPPER(O$114)),0)))</f>
        <v>0</v>
      </c>
      <c r="Q222" s="157" cm="1">
        <f t="array" aca="1" ref="Q222" ca="1">IF(OR($E222="X",$E222="",$E222=0,$B222="X",$B222="",$B222=0),0,SUM(_xlfn._xlws.FILTER(PrvSty[DsvValue:SERRA],(PrvSty[Project]=TEXT($B222,"@"))*(PrvSty[Row]=$E222)*(PrvSty[Column]=UPPER(Q$114)),0)))</f>
        <v>0</v>
      </c>
      <c r="R222" s="157" cm="1">
        <f t="array" aca="1" ref="R222" ca="1">IF(OR($E222="X",$E222="",$E222=0,$B222="X",$B222="",$B222=0),0,SUM(_xlfn._xlws.FILTER(PrvSty[DsvValue:EXT.],(PrvSty[Project]=TEXT($B222,"@"))*(PrvSty[Row]=$E222)*(PrvSty[Column]=UPPER(Q$114)),0)))</f>
        <v>0</v>
      </c>
      <c r="S222" s="157" cm="1">
        <f t="array" aca="1" ref="S222" ca="1">IF(OR($E222="X",$E222="",$E222=0,$B222="X",$B222="",$B222=0),0,SUM(_xlfn._xlws.FILTER(PrvSty[DsvValue:SERRA],(PrvSty[Project]=TEXT($B222,"@"))*(PrvSty[Row]=$E222)*(PrvSty[Column]=UPPER(S$114)),0)))</f>
        <v>0</v>
      </c>
      <c r="T222" s="157" cm="1">
        <f t="array" aca="1" ref="T222" ca="1">IF(OR($E222="X",$E222="",$E222=0,$B222="X",$B222="",$B222=0),0,SUM(_xlfn._xlws.FILTER(PrvSty[DsvValue:EXT.],(PrvSty[Project]=TEXT($B222,"@"))*(PrvSty[Row]=$E222)*(PrvSty[Column]=UPPER(S$114)),0)))</f>
        <v>0</v>
      </c>
      <c r="U222" s="157" cm="1">
        <f t="array" aca="1" ref="U222" ca="1">IF(OR($E222="X",$E222="",$E222=0,$B222="X",$B222="",$B222=0),0,SUM(_xlfn._xlws.FILTER(PrvSty[DsvValue:SERRA],(PrvSty[Project]=TEXT($B222,"@"))*(PrvSty[Row]=$E222)*(PrvSty[Column]=UPPER(U$114)),0)))</f>
        <v>0</v>
      </c>
      <c r="V222" s="157" cm="1">
        <f t="array" aca="1" ref="V222" ca="1">IF(OR($E222="X",$E222="",$E222=0,$B222="X",$B222="",$B222=0),0,SUM(_xlfn._xlws.FILTER(PrvSty[DsvValue:EXT.],(PrvSty[Project]=TEXT($B222,"@"))*(PrvSty[Row]=$E222)*(PrvSty[Column]=UPPER(U$114)),0)))</f>
        <v>0</v>
      </c>
      <c r="W222" s="157" cm="1">
        <f t="array" aca="1" ref="W222" ca="1">IF(OR($E222="X",$E222="",$E222=0,$B222="X",$B222="",$B222=0),0,SUM(_xlfn._xlws.FILTER(PrvSty[DsvValue:SERRA],(PrvSty[Project]=TEXT($B222,"@"))*(PrvSty[Row]=$E222)*(PrvSty[Column]=UPPER(W$114)),0)))</f>
        <v>0</v>
      </c>
      <c r="X222" s="157" cm="1">
        <f t="array" aca="1" ref="X222" ca="1">IF(OR($E222="X",$E222="",$E222=0,$B222="X",$B222="",$B222=0),0,SUM(_xlfn._xlws.FILTER(PrvSty[DsvValue:EXT.],(PrvSty[Project]=TEXT($B222,"@"))*(PrvSty[Row]=$E222)*(PrvSty[Column]=UPPER(W$114)),0)))</f>
        <v>0</v>
      </c>
      <c r="Y222" s="157" cm="1">
        <f t="array" aca="1" ref="Y222" ca="1">IF(OR($E222="X",$E222="",$E222=0,$B222="X",$B222="",$B222=0),0,SUM(_xlfn._xlws.FILTER(PrvSty[DsvValue:SERRA],(PrvSty[Project]=TEXT($B222,"@"))*(PrvSty[Row]=$E222)*(PrvSty[Column]=UPPER(Y$114)),0)))</f>
        <v>0</v>
      </c>
      <c r="Z222" s="157" cm="1">
        <f t="array" aca="1" ref="Z222" ca="1">IF(OR($E222="X",$E222="",$E222=0,$B222="X",$B222="",$B222=0),0,SUM(_xlfn._xlws.FILTER(PrvSty[DsvValue:EXT.],(PrvSty[Project]=TEXT($B222,"@"))*(PrvSty[Row]=$E222)*(PrvSty[Column]=UPPER(Y$114)),0)))</f>
        <v>0</v>
      </c>
      <c r="AA222" s="157" cm="1">
        <f t="array" aca="1" ref="AA222" ca="1">IF(OR($E222="X",$E222="",$E222=0,$B222="X",$B222="",$B222=0),0,SUM(_xlfn._xlws.FILTER(PrvSty[DsvValue:SERRA],(PrvSty[Project]=TEXT($B222,"@"))*(PrvSty[Row]=$E222)*(PrvSty[Column]=UPPER(AA$114)),0)))</f>
        <v>0</v>
      </c>
      <c r="AB222" s="157" cm="1">
        <f t="array" aca="1" ref="AB222" ca="1">IF(OR($E222="X",$E222="",$E222=0,$B222="X",$B222="",$B222=0),0,SUM(_xlfn._xlws.FILTER(PrvSty[DsvValue:EXT.],(PrvSty[Project]=TEXT($B222,"@"))*(PrvSty[Row]=$E222)*(PrvSty[Column]=UPPER(AA$114)),0)))</f>
        <v>0</v>
      </c>
      <c r="AC222" s="157" cm="1">
        <f t="array" aca="1" ref="AC222" ca="1">IF(OR($E222="X",$E222="",$E222=0,$B222="X",$B222="",$B222=0),0,SUM(_xlfn._xlws.FILTER(PrvSty[DsvValue:SERRA],(PrvSty[Project]=TEXT($B222,"@"))*(PrvSty[Row]=$E222)*(PrvSty[Column]=UPPER(AC$114)),0)))</f>
        <v>0</v>
      </c>
      <c r="AD222" s="157" cm="1">
        <f t="array" aca="1" ref="AD222" ca="1">IF(OR($E222="X",$E222="",$E222=0,$B222="X",$B222="",$B222=0),0,SUM(_xlfn._xlws.FILTER(PrvSty[DsvValue:EXT.],(PrvSty[Project]=TEXT($B222,"@"))*(PrvSty[Row]=$E222)*(PrvSty[Column]=UPPER(AC$114)),0)))</f>
        <v>0</v>
      </c>
      <c r="AE222" s="157" cm="1">
        <f t="array" aca="1" ref="AE222" ca="1">IF(OR($E222="X",$E222="",$E222=0,$B222="X",$B222="",$B222=0),0,SUM(_xlfn._xlws.FILTER(PrvSty[DsvValue:SERRA],(PrvSty[Project]=TEXT($B222,"@"))*(PrvSty[Row]=$E222)*(PrvSty[Column]=UPPER(AE$114)),0)))</f>
        <v>0</v>
      </c>
      <c r="AF222" s="157" cm="1">
        <f t="array" aca="1" ref="AF222" ca="1">IF(OR($E222="X",$E222="",$E222=0,$B222="X",$B222="",$B222=0),0,SUM(_xlfn._xlws.FILTER(PrvSty[DsvValue:EXT.],(PrvSty[Project]=TEXT($B222,"@"))*(PrvSty[Row]=$E222)*(PrvSty[Column]=UPPER(AE$114)),0)))</f>
        <v>0</v>
      </c>
      <c r="AG222" s="157" cm="1">
        <f t="array" aca="1" ref="AG222" ca="1">IF(OR($E222="X",$E222="",$E222=0,$B222="X",$B222="",$B222=0),0,SUM(_xlfn._xlws.FILTER(PrvSty[DsvValue:SERRA],(PrvSty[Project]=TEXT($B222,"@"))*(PrvSty[Row]=$E222)*(PrvSty[Column]=UPPER(AG$114)),0)))</f>
        <v>0</v>
      </c>
      <c r="AH222" s="157" cm="1">
        <f t="array" aca="1" ref="AH222" ca="1">IF(OR($E222="X",$E222="",$E222=0,$B222="X",$B222="",$B222=0),0,SUM(_xlfn._xlws.FILTER(PrvSty[DsvValue:EXT.],(PrvSty[Project]=TEXT($B222,"@"))*(PrvSty[Row]=$E222)*(PrvSty[Column]=UPPER(AG$114)),0)))</f>
        <v>0</v>
      </c>
      <c r="AI222" s="157" cm="1">
        <f t="array" aca="1" ref="AI222" ca="1">IF(OR($E222="X",$E222="",$E222=0,$B222="X",$B222="",$B222=0),0,SUM(_xlfn._xlws.FILTER(PrvSty[DsvValue:SERRA],(PrvSty[Project]=TEXT($B222,"@"))*(PrvSty[Row]=$E222)*(PrvSty[Column]=UPPER(AI$114)),0)))</f>
        <v>0</v>
      </c>
      <c r="AJ222" s="157" cm="1">
        <f t="array" aca="1" ref="AJ222" ca="1">IF(OR($E222="X",$E222="",$E222=0,$B222="X",$B222="",$B222=0),0,SUM(_xlfn._xlws.FILTER(PrvSty[DsvValue:EXT.],(PrvSty[Project]=TEXT($B222,"@"))*(PrvSty[Row]=$E222)*(PrvSty[Column]=UPPER(AI$114)),0)))</f>
        <v>0</v>
      </c>
      <c r="AK222" s="157" cm="1">
        <f t="array" aca="1" ref="AK222" ca="1">IF(OR($E222="X",$E222="",$E222=0,$B222="X",$B222="",$B222=0),0,SUM(_xlfn._xlws.FILTER(PrvSty[DsvValue:SERRA],(PrvSty[Project]=TEXT($B222,"@"))*(PrvSty[Row]=$E222)*(PrvSty[Column]=UPPER(AK$114)),0)))</f>
        <v>0</v>
      </c>
      <c r="AL222" s="157" cm="1">
        <f t="array" aca="1" ref="AL222" ca="1">IF(OR($E222="X",$E222="",$E222=0,$B222="X",$B222="",$B222=0),0,SUM(_xlfn._xlws.FILTER(PrvSty[DsvValue:EXT.],(PrvSty[Project]=TEXT($B222,"@"))*(PrvSty[Row]=$E222)*(PrvSty[Column]=UPPER(AK$114)),0)))</f>
        <v>0</v>
      </c>
      <c r="AM222" s="157" cm="1">
        <f t="array" aca="1" ref="AM222" ca="1">IF(OR($E222="X",$E222="",$E222=0,$B222="X",$B222="",$B222=0),0,SUM(_xlfn._xlws.FILTER(PrvSty[DsvValue:SERRA],(PrvSty[Project]=TEXT($B222,"@"))*(PrvSty[Row]=$E222)*(PrvSty[Column]=UPPER(AM$114)),0)))</f>
        <v>0</v>
      </c>
      <c r="AN222" s="157" cm="1">
        <f t="array" aca="1" ref="AN222" ca="1">IF(OR($E222="X",$E222="",$E222=0,$B222="X",$B222="",$B222=0),0,SUM(_xlfn._xlws.FILTER(PrvSty[DsvValue:EXT.],(PrvSty[Project]=TEXT($B222,"@"))*(PrvSty[Row]=$E222)*(PrvSty[Column]=UPPER(AM$114)),0)))</f>
        <v>0</v>
      </c>
      <c r="AO222" s="157" cm="1">
        <f t="array" aca="1" ref="AO222" ca="1">IF(OR($E222="X",$E222="",$E222=0,$B222="X",$B222="",$B222=0),0,SUM(_xlfn._xlws.FILTER(PrvSty[DsvValue:SERRA],(PrvSty[Project]=TEXT($B222,"@"))*(PrvSty[Row]=$E222)*(PrvSty[Column]=UPPER(AO$114)),0)))</f>
        <v>0</v>
      </c>
      <c r="AP222" s="157" cm="1">
        <f t="array" aca="1" ref="AP222" ca="1">IF(OR($E222="X",$E222="",$E222=0,$B222="X",$B222="",$B222=0),0,SUM(_xlfn._xlws.FILTER(PrvSty[DsvValue:EXT.],(PrvSty[Project]=TEXT($B222,"@"))*(PrvSty[Row]=$E222)*(PrvSty[Column]=UPPER(AO$114)),0)))</f>
        <v>0</v>
      </c>
      <c r="AQ222" s="157" cm="1">
        <f t="array" aca="1" ref="AQ222" ca="1">SUM(IF(INDIRECT($AS$115)=AQ$115,INDIRECT($AS222)))</f>
        <v>0</v>
      </c>
      <c r="AR222" s="157" cm="1">
        <f t="array" aca="1" ref="AR222" ca="1">SUM(IF(INDIRECT($AS$115)=AR$115,INDIRECT($AS222)))</f>
        <v>0</v>
      </c>
      <c r="AS222" s="286" t="str">
        <f t="shared" ca="1" si="18"/>
        <v>G222:AP222</v>
      </c>
      <c r="AT222" s="403">
        <f t="shared" ca="1" si="17"/>
        <v>0</v>
      </c>
      <c r="AV222" s="142" cm="1">
        <f t="array" aca="1" ref="AV222" ca="1">IF(AND(_xlfn.LET(_xlpm.x,SUM(ROW()),OR(AND(MATCH("SOT",$A:$A,0)&lt;_xlpm.x,MATCH("EOT",$A:$A,0)&gt;_xlpm.x),AND(MATCH("SOS",$A:$A,0)&lt;_xlpm.x,MATCH("EOS",$A:$A,0)&gt;_xlpm.x),AND(MATCH("SOR",$A:$A,0)&lt;_xlpm.x,MATCH("EOR",$A:$A,0)&gt;_xlpm.x))),INDIRECT("rc"&amp;MATCH("SCD",$1:$1,0),FALSE)="PPTO"),1,0)</f>
        <v>0</v>
      </c>
      <c r="AW222" s="142" cm="1">
        <f t="array" aca="1" ref="AW22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223" spans="2:49" outlineLevel="1">
      <c r="B223" s="156" t="str" cm="1">
        <f t="array" aca="1" ref="B223" ca="1">_xlfn.LET(_xlpm.x,SUM(ROW()-MATCH("SOR",$A:$A,0)),_xlpm.y,IFERROR(_xlfn.TAKE(INDEX(_xlfn._xlws.FILTER(TbAssign[],ISNUMBER(FIND(TbAssign[Project],$C$4)),"X"),1+QUOTIENT(_xlpm.x,3),0),1,4),0),IF(MOD(_xlpm.x-1,3)=0,IF(_xlpm.y=0,"X",_xlpm.y),INDIRECT("r[-1]c#",FALSE)))</f>
        <v>X</v>
      </c>
      <c r="C223" s="156"/>
      <c r="E223" s="352"/>
      <c r="F223" s="148" t="s">
        <v>1383</v>
      </c>
      <c r="G223" s="158" cm="1">
        <f t="array" aca="1" ref="G223" ca="1">IF(OR($E223="X",$E223="",$E223=0,$B223="X",$B223="",$B223=0),0,SUM(_xlfn._xlws.FILTER(FrmBB1[Cur],(FrmBB1[PrjId]=TEXT($B223,"@"))*(FrmBB1[Row]=$E223)*(FrmBB1[Column]=UPPER(_xlfn.LET(_xlpm.x,_xlfn.TEXTBEFORE(G$114," ("),IFERROR(_xlpm.x,G$114)))&amp;" "&amp;G$115),0)))</f>
        <v>0</v>
      </c>
      <c r="H223" s="157" cm="1">
        <f t="array" aca="1" ref="H223" ca="1">IF(OR($E223="X",$E223="",$E223=0,$B223="X",$B223="",$B223=0),0,SUM(_xlfn._xlws.FILTER(FrmBB1[Cur],(FrmBB1[PrjId]=TEXT($B223,"@"))*(FrmBB1[Row]=$E223)*(FrmBB1[Column]=UPPER(_xlfn.LET(_xlpm.x,_xlfn.TEXTBEFORE(G$114," ("),IFERROR(_xlpm.x,G$114)))&amp;" "&amp;H$115),0)))</f>
        <v>0</v>
      </c>
      <c r="I223" s="158" cm="1">
        <f t="array" aca="1" ref="I223" ca="1">IF(OR($E223="X",$E223="",$E223=0,$B223="X",$B223="",$B223=0),0,SUM(_xlfn._xlws.FILTER(FrmBB1[Cur],(FrmBB1[PrjId]=TEXT($B223,"@"))*(FrmBB1[Row]=$E223)*(FrmBB1[Column]=UPPER(_xlfn.LET(_xlpm.x,_xlfn.TEXTBEFORE(I$114," ("),IFERROR(_xlpm.x,I$114)))&amp;" "&amp;I$115),0)))</f>
        <v>0</v>
      </c>
      <c r="J223" s="157" cm="1">
        <f t="array" aca="1" ref="J223" ca="1">IF(OR($E223="X",$E223="",$E223=0,$B223="X",$B223="",$B223=0),0,SUM(_xlfn._xlws.FILTER(FrmBB1[Cur],(FrmBB1[PrjId]=TEXT($B223,"@"))*(FrmBB1[Row]=$E223)*(FrmBB1[Column]=UPPER(_xlfn.LET(_xlpm.x,_xlfn.TEXTBEFORE(I$114," ("),IFERROR(_xlpm.x,I$114)))&amp;" "&amp;J$115),0)))</f>
        <v>0</v>
      </c>
      <c r="K223" s="158" cm="1">
        <f t="array" aca="1" ref="K223" ca="1">IF(OR($E223="X",$E223="",$E223=0,$B223="X",$B223="",$B223=0),0,SUM(_xlfn._xlws.FILTER(FrmBB1[Cur],(FrmBB1[PrjId]=TEXT($B223,"@"))*(FrmBB1[Row]=$E223)*(FrmBB1[Column]=UPPER(_xlfn.LET(_xlpm.x,_xlfn.TEXTBEFORE(K$114," ("),IFERROR(_xlpm.x,K$114)))&amp;" "&amp;K$115),0)))</f>
        <v>0</v>
      </c>
      <c r="L223" s="157" cm="1">
        <f t="array" aca="1" ref="L223" ca="1">IF(OR($E223="X",$E223="",$E223=0,$B223="X",$B223="",$B223=0),0,SUM(_xlfn._xlws.FILTER(FrmBB1[Cur],(FrmBB1[PrjId]=TEXT($B223,"@"))*(FrmBB1[Row]=$E223)*(FrmBB1[Column]=UPPER(_xlfn.LET(_xlpm.x,_xlfn.TEXTBEFORE(K$114," ("),IFERROR(_xlpm.x,K$114)))&amp;" "&amp;L$115),0)))</f>
        <v>0</v>
      </c>
      <c r="M223" s="158" cm="1">
        <f t="array" aca="1" ref="M223" ca="1">IF(OR($E223="X",$E223="",$E223=0,$B223="X",$B223="",$B223=0),0,SUM(_xlfn._xlws.FILTER(FrmBB1[Cur],(FrmBB1[PrjId]=TEXT($B223,"@"))*(FrmBB1[Row]=$E223)*(FrmBB1[Column]=UPPER(_xlfn.LET(_xlpm.x,_xlfn.TEXTBEFORE(M$114," ("),IFERROR(_xlpm.x,M$114)))&amp;" "&amp;M$115),0)))</f>
        <v>0</v>
      </c>
      <c r="N223" s="157" cm="1">
        <f t="array" aca="1" ref="N223" ca="1">IF(OR($E223="X",$E223="",$E223=0,$B223="X",$B223="",$B223=0),0,SUM(_xlfn._xlws.FILTER(FrmBB1[Cur],(FrmBB1[PrjId]=TEXT($B223,"@"))*(FrmBB1[Row]=$E223)*(FrmBB1[Column]=UPPER(_xlfn.LET(_xlpm.x,_xlfn.TEXTBEFORE(M$114," ("),IFERROR(_xlpm.x,M$114)))&amp;" "&amp;N$115),0)))</f>
        <v>0</v>
      </c>
      <c r="O223" s="158" cm="1">
        <f t="array" aca="1" ref="O223" ca="1">IF(OR($E223="X",$E223="",$E223=0,$B223="X",$B223="",$B223=0),0,SUM(_xlfn._xlws.FILTER(FrmBB1[Cur],(FrmBB1[PrjId]=TEXT($B223,"@"))*(FrmBB1[Row]=$E223)*(FrmBB1[Column]=UPPER(_xlfn.LET(_xlpm.x,_xlfn.TEXTBEFORE(O$114," ("),IFERROR(_xlpm.x,O$114)))&amp;" "&amp;O$115),0)))</f>
        <v>0</v>
      </c>
      <c r="P223" s="157" cm="1">
        <f t="array" aca="1" ref="P223" ca="1">IF(OR($E223="X",$E223="",$E223=0,$B223="X",$B223="",$B223=0),0,SUM(_xlfn._xlws.FILTER(FrmBB1[Cur],(FrmBB1[PrjId]=TEXT($B223,"@"))*(FrmBB1[Row]=$E223)*(FrmBB1[Column]=UPPER(_xlfn.LET(_xlpm.x,_xlfn.TEXTBEFORE(O$114," ("),IFERROR(_xlpm.x,O$114)))&amp;" "&amp;P$115),0)))</f>
        <v>0</v>
      </c>
      <c r="Q223" s="158" cm="1">
        <f t="array" aca="1" ref="Q223" ca="1">IF(OR($E223="X",$E223="",$E223=0,$B223="X",$B223="",$B223=0),0,SUM(_xlfn._xlws.FILTER(FrmBB1[Cur],(FrmBB1[PrjId]=TEXT($B223,"@"))*(FrmBB1[Row]=$E223)*(FrmBB1[Column]=UPPER(_xlfn.LET(_xlpm.x,_xlfn.TEXTBEFORE(Q$114," ("),IFERROR(_xlpm.x,Q$114)))&amp;" "&amp;Q$115),0)))</f>
        <v>0</v>
      </c>
      <c r="R223" s="157" cm="1">
        <f t="array" aca="1" ref="R223" ca="1">IF(OR($E223="X",$E223="",$E223=0,$B223="X",$B223="",$B223=0),0,SUM(_xlfn._xlws.FILTER(FrmBB1[Cur],(FrmBB1[PrjId]=TEXT($B223,"@"))*(FrmBB1[Row]=$E223)*(FrmBB1[Column]=UPPER(_xlfn.LET(_xlpm.x,_xlfn.TEXTBEFORE(Q$114," ("),IFERROR(_xlpm.x,Q$114)))&amp;" "&amp;R$115),0)))</f>
        <v>0</v>
      </c>
      <c r="S223" s="158" cm="1">
        <f t="array" aca="1" ref="S223" ca="1">IF(OR($E223="X",$E223="",$E223=0,$B223="X",$B223="",$B223=0),0,SUM(_xlfn._xlws.FILTER(FrmBB1[Cur],(FrmBB1[PrjId]=TEXT($B223,"@"))*(FrmBB1[Row]=$E223)*(FrmBB1[Column]=UPPER(_xlfn.LET(_xlpm.x,_xlfn.TEXTBEFORE(S$114," ("),IFERROR(_xlpm.x,S$114)))&amp;" "&amp;S$115),0)))</f>
        <v>0</v>
      </c>
      <c r="T223" s="157" cm="1">
        <f t="array" aca="1" ref="T223" ca="1">IF(OR($E223="X",$E223="",$E223=0,$B223="X",$B223="",$B223=0),0,SUM(_xlfn._xlws.FILTER(FrmBB1[Cur],(FrmBB1[PrjId]=TEXT($B223,"@"))*(FrmBB1[Row]=$E223)*(FrmBB1[Column]=UPPER(_xlfn.LET(_xlpm.x,_xlfn.TEXTBEFORE(S$114," ("),IFERROR(_xlpm.x,S$114)))&amp;" "&amp;T$115),0)))</f>
        <v>0</v>
      </c>
      <c r="U223" s="158" cm="1">
        <f t="array" aca="1" ref="U223" ca="1">IF(OR($E223="X",$E223="",$E223=0,$B223="X",$B223="",$B223=0),0,SUM(_xlfn._xlws.FILTER(FrmBB1[Cur],(FrmBB1[PrjId]=TEXT($B223,"@"))*(FrmBB1[Row]=$E223)*(FrmBB1[Column]=UPPER(_xlfn.LET(_xlpm.x,_xlfn.TEXTBEFORE(U$114," ("),IFERROR(_xlpm.x,U$114)))&amp;" "&amp;U$115),0)))</f>
        <v>0</v>
      </c>
      <c r="V223" s="157" cm="1">
        <f t="array" aca="1" ref="V223" ca="1">IF(OR($E223="X",$E223="",$E223=0,$B223="X",$B223="",$B223=0),0,SUM(_xlfn._xlws.FILTER(FrmBB1[Cur],(FrmBB1[PrjId]=TEXT($B223,"@"))*(FrmBB1[Row]=$E223)*(FrmBB1[Column]=UPPER(_xlfn.LET(_xlpm.x,_xlfn.TEXTBEFORE(U$114," ("),IFERROR(_xlpm.x,U$114)))&amp;" "&amp;V$115),0)))</f>
        <v>0</v>
      </c>
      <c r="W223" s="158" cm="1">
        <f t="array" aca="1" ref="W223" ca="1">IF(OR($E223="X",$E223="",$E223=0,$B223="X",$B223="",$B223=0),0,SUM(_xlfn._xlws.FILTER(FrmBB1[Cur],(FrmBB1[PrjId]=TEXT($B223,"@"))*(FrmBB1[Row]=$E223)*(FrmBB1[Column]=UPPER(_xlfn.LET(_xlpm.x,_xlfn.TEXTBEFORE(W$114," ("),IFERROR(_xlpm.x,W$114)))&amp;" "&amp;W$115),0)))</f>
        <v>0</v>
      </c>
      <c r="X223" s="157" cm="1">
        <f t="array" aca="1" ref="X223" ca="1">IF(OR($E223="X",$E223="",$E223=0,$B223="X",$B223="",$B223=0),0,SUM(_xlfn._xlws.FILTER(FrmBB1[Cur],(FrmBB1[PrjId]=TEXT($B223,"@"))*(FrmBB1[Row]=$E223)*(FrmBB1[Column]=UPPER(_xlfn.LET(_xlpm.x,_xlfn.TEXTBEFORE(W$114," ("),IFERROR(_xlpm.x,W$114)))&amp;" "&amp;X$115),0)))</f>
        <v>0</v>
      </c>
      <c r="Y223" s="158" cm="1">
        <f t="array" aca="1" ref="Y223" ca="1">IF(OR($E223="X",$E223="",$E223=0,$B223="X",$B223="",$B223=0),0,SUM(_xlfn._xlws.FILTER(FrmBB1[Cur],(FrmBB1[PrjId]=TEXT($B223,"@"))*(FrmBB1[Row]=$E223)*(FrmBB1[Column]=UPPER(_xlfn.LET(_xlpm.x,_xlfn.TEXTBEFORE(Y$114," ("),IFERROR(_xlpm.x,Y$114)))&amp;" "&amp;Y$115),0)))</f>
        <v>0</v>
      </c>
      <c r="Z223" s="157" cm="1">
        <f t="array" aca="1" ref="Z223" ca="1">IF(OR($E223="X",$E223="",$E223=0,$B223="X",$B223="",$B223=0),0,SUM(_xlfn._xlws.FILTER(FrmBB1[Cur],(FrmBB1[PrjId]=TEXT($B223,"@"))*(FrmBB1[Row]=$E223)*(FrmBB1[Column]=UPPER(_xlfn.LET(_xlpm.x,_xlfn.TEXTBEFORE(Y$114," ("),IFERROR(_xlpm.x,Y$114)))&amp;" "&amp;Z$115),0)))</f>
        <v>0</v>
      </c>
      <c r="AA223" s="158" cm="1">
        <f t="array" aca="1" ref="AA223" ca="1">IF(OR($E223="X",$E223="",$E223=0,$B223="X",$B223="",$B223=0),0,SUM(_xlfn._xlws.FILTER(FrmBB1[Cur],(FrmBB1[PrjId]=TEXT($B223,"@"))*(FrmBB1[Row]=$E223)*(FrmBB1[Column]=UPPER(_xlfn.LET(_xlpm.x,_xlfn.TEXTBEFORE(AA$114," ("),IFERROR(_xlpm.x,AA$114)))&amp;" "&amp;AA$115),0)))</f>
        <v>0</v>
      </c>
      <c r="AB223" s="157" cm="1">
        <f t="array" aca="1" ref="AB223" ca="1">IF(OR($E223="X",$E223="",$E223=0,$B223="X",$B223="",$B223=0),0,SUM(_xlfn._xlws.FILTER(FrmBB1[Cur],(FrmBB1[PrjId]=TEXT($B223,"@"))*(FrmBB1[Row]=$E223)*(FrmBB1[Column]=UPPER(_xlfn.LET(_xlpm.x,_xlfn.TEXTBEFORE(AA$114," ("),IFERROR(_xlpm.x,AA$114)))&amp;" "&amp;AB$115),0)))</f>
        <v>0</v>
      </c>
      <c r="AC223" s="158" cm="1">
        <f t="array" aca="1" ref="AC223" ca="1">IF(OR($E223="X",$E223="",$E223=0,$B223="X",$B223="",$B223=0),0,SUM(_xlfn._xlws.FILTER(FrmBB1[Cur],(FrmBB1[PrjId]=TEXT($B223,"@"))*(FrmBB1[Row]=$E223)*(FrmBB1[Column]=UPPER(_xlfn.LET(_xlpm.x,_xlfn.TEXTBEFORE(AC$114," ("),IFERROR(_xlpm.x,AC$114)))&amp;" "&amp;AC$115),0)))</f>
        <v>0</v>
      </c>
      <c r="AD223" s="157" cm="1">
        <f t="array" aca="1" ref="AD223" ca="1">IF(OR($E223="X",$E223="",$E223=0,$B223="X",$B223="",$B223=0),0,SUM(_xlfn._xlws.FILTER(FrmBB1[Cur],(FrmBB1[PrjId]=TEXT($B223,"@"))*(FrmBB1[Row]=$E223)*(FrmBB1[Column]=UPPER(_xlfn.LET(_xlpm.x,_xlfn.TEXTBEFORE(AC$114," ("),IFERROR(_xlpm.x,AC$114)))&amp;" "&amp;AD$115),0)))</f>
        <v>0</v>
      </c>
      <c r="AE223" s="158" cm="1">
        <f t="array" aca="1" ref="AE223" ca="1">IF(OR($E223="X",$E223="",$E223=0,$B223="X",$B223="",$B223=0),0,SUM(_xlfn._xlws.FILTER(FrmBB1[Cur],(FrmBB1[PrjId]=TEXT($B223,"@"))*(FrmBB1[Row]=$E223)*(FrmBB1[Column]=UPPER(_xlfn.LET(_xlpm.x,_xlfn.TEXTBEFORE(AE$114," ("),IFERROR(_xlpm.x,AE$114)))&amp;" "&amp;AE$115),0)))</f>
        <v>0</v>
      </c>
      <c r="AF223" s="157" cm="1">
        <f t="array" aca="1" ref="AF223" ca="1">IF(OR($E223="X",$E223="",$E223=0,$B223="X",$B223="",$B223=0),0,SUM(_xlfn._xlws.FILTER(FrmBB1[Cur],(FrmBB1[PrjId]=TEXT($B223,"@"))*(FrmBB1[Row]=$E223)*(FrmBB1[Column]=UPPER(_xlfn.LET(_xlpm.x,_xlfn.TEXTBEFORE(AE$114," ("),IFERROR(_xlpm.x,AE$114)))&amp;" "&amp;AF$115),0)))</f>
        <v>0</v>
      </c>
      <c r="AG223" s="158" cm="1">
        <f t="array" aca="1" ref="AG223" ca="1">IF(OR($E223="X",$E223="",$E223=0,$B223="X",$B223="",$B223=0),0,SUM(_xlfn._xlws.FILTER(FrmBB1[Cur],(FrmBB1[PrjId]=TEXT($B223,"@"))*(FrmBB1[Row]=$E223)*(FrmBB1[Column]=UPPER(_xlfn.LET(_xlpm.x,_xlfn.TEXTBEFORE(AG$114," ("),IFERROR(_xlpm.x,AG$114)))&amp;" "&amp;AG$115),0)))</f>
        <v>0</v>
      </c>
      <c r="AH223" s="157" cm="1">
        <f t="array" aca="1" ref="AH223" ca="1">IF(OR($E223="X",$E223="",$E223=0,$B223="X",$B223="",$B223=0),0,SUM(_xlfn._xlws.FILTER(FrmBB1[Cur],(FrmBB1[PrjId]=TEXT($B223,"@"))*(FrmBB1[Row]=$E223)*(FrmBB1[Column]=UPPER(_xlfn.LET(_xlpm.x,_xlfn.TEXTBEFORE(AG$114," ("),IFERROR(_xlpm.x,AG$114)))&amp;" "&amp;AH$115),0)))</f>
        <v>0</v>
      </c>
      <c r="AI223" s="158" cm="1">
        <f t="array" aca="1" ref="AI223" ca="1">IF(OR($E223="X",$E223="",$E223=0,$B223="X",$B223="",$B223=0),0,SUM(_xlfn._xlws.FILTER(FrmBB1[Cur],(FrmBB1[PrjId]=TEXT($B223,"@"))*(FrmBB1[Row]=$E223)*(FrmBB1[Column]=UPPER(_xlfn.LET(_xlpm.x,_xlfn.TEXTBEFORE(AI$114," ("),IFERROR(_xlpm.x,AI$114)))&amp;" "&amp;AI$115),0)))</f>
        <v>0</v>
      </c>
      <c r="AJ223" s="157" cm="1">
        <f t="array" aca="1" ref="AJ223" ca="1">IF(OR($E223="X",$E223="",$E223=0,$B223="X",$B223="",$B223=0),0,SUM(_xlfn._xlws.FILTER(FrmBB1[Cur],(FrmBB1[PrjId]=TEXT($B223,"@"))*(FrmBB1[Row]=$E223)*(FrmBB1[Column]=UPPER(_xlfn.LET(_xlpm.x,_xlfn.TEXTBEFORE(AI$114," ("),IFERROR(_xlpm.x,AI$114)))&amp;" "&amp;AJ$115),0)))</f>
        <v>0</v>
      </c>
      <c r="AK223" s="158" cm="1">
        <f t="array" aca="1" ref="AK223" ca="1">IF(OR($E223="X",$E223="",$E223=0,$B223="X",$B223="",$B223=0),0,SUM(_xlfn._xlws.FILTER(FrmBB1[Cur],(FrmBB1[PrjId]=TEXT($B223,"@"))*(FrmBB1[Row]=$E223)*(FrmBB1[Column]=UPPER(_xlfn.LET(_xlpm.x,_xlfn.TEXTBEFORE(AK$114," ("),IFERROR(_xlpm.x,AK$114)))&amp;" "&amp;AK$115),0)))</f>
        <v>0</v>
      </c>
      <c r="AL223" s="157" cm="1">
        <f t="array" aca="1" ref="AL223" ca="1">IF(OR($E223="X",$E223="",$E223=0,$B223="X",$B223="",$B223=0),0,SUM(_xlfn._xlws.FILTER(FrmBB1[Cur],(FrmBB1[PrjId]=TEXT($B223,"@"))*(FrmBB1[Row]=$E223)*(FrmBB1[Column]=UPPER(_xlfn.LET(_xlpm.x,_xlfn.TEXTBEFORE(AK$114," ("),IFERROR(_xlpm.x,AK$114)))&amp;" "&amp;AL$115),0)))</f>
        <v>0</v>
      </c>
      <c r="AM223" s="158" cm="1">
        <f t="array" aca="1" ref="AM223" ca="1">IF(OR($E223="X",$E223="",$E223=0,$B223="X",$B223="",$B223=0),0,SUM(_xlfn._xlws.FILTER(FrmBB1[Cur],(FrmBB1[PrjId]=TEXT($B223,"@"))*(FrmBB1[Row]=$E223)*(FrmBB1[Column]=UPPER(_xlfn.LET(_xlpm.x,_xlfn.TEXTBEFORE(AM$114," ("),IFERROR(_xlpm.x,AM$114)))&amp;" "&amp;AM$115),0)))</f>
        <v>0</v>
      </c>
      <c r="AN223" s="157" cm="1">
        <f t="array" aca="1" ref="AN223" ca="1">IF(OR($E223="X",$E223="",$E223=0,$B223="X",$B223="",$B223=0),0,SUM(_xlfn._xlws.FILTER(FrmBB1[Cur],(FrmBB1[PrjId]=TEXT($B223,"@"))*(FrmBB1[Row]=$E223)*(FrmBB1[Column]=UPPER(_xlfn.LET(_xlpm.x,_xlfn.TEXTBEFORE(AM$114," ("),IFERROR(_xlpm.x,AM$114)))&amp;" "&amp;AN$115),0)))</f>
        <v>0</v>
      </c>
      <c r="AO223" s="158" cm="1">
        <f t="array" aca="1" ref="AO223" ca="1">IF(OR($E223="X",$E223="",$E223=0,$B223="X",$B223="",$B223=0),0,SUM(_xlfn._xlws.FILTER(FrmBB1[Cur],(FrmBB1[PrjId]=TEXT($B223,"@"))*(FrmBB1[Row]=$E223)*(FrmBB1[Column]=UPPER(_xlfn.LET(_xlpm.x,_xlfn.TEXTBEFORE(AO$114," ("),IFERROR(_xlpm.x,AO$114)))&amp;" "&amp;AO$115),0)))</f>
        <v>0</v>
      </c>
      <c r="AP223" s="157" cm="1">
        <f t="array" aca="1" ref="AP223" ca="1">IF(OR($E223="X",$E223="",$E223=0,$B223="X",$B223="",$B223=0),0,SUM(_xlfn._xlws.FILTER(FrmBB1[Cur],(FrmBB1[PrjId]=TEXT($B223,"@"))*(FrmBB1[Row]=$E223)*(FrmBB1[Column]=UPPER(_xlfn.LET(_xlpm.x,_xlfn.TEXTBEFORE(AO$114," ("),IFERROR(_xlpm.x,AO$114)))&amp;" "&amp;AP$115),0)))</f>
        <v>0</v>
      </c>
      <c r="AQ223" s="157" cm="1">
        <f t="array" aca="1" ref="AQ223" ca="1">SUM(IF(INDIRECT($AS$115)=AQ$115,INDIRECT($AS223)))</f>
        <v>0</v>
      </c>
      <c r="AR223" s="157" cm="1">
        <f t="array" aca="1" ref="AR223" ca="1">SUM(IF(INDIRECT($AS$115)=AR$115,INDIRECT($AS223)))</f>
        <v>0</v>
      </c>
      <c r="AS223" s="286" t="str">
        <f t="shared" ca="1" si="18"/>
        <v>G223:AP223</v>
      </c>
      <c r="AT223" s="403">
        <f t="shared" ca="1" si="17"/>
        <v>0</v>
      </c>
      <c r="AV223" s="142" cm="1">
        <f t="array" aca="1" ref="AV223" ca="1">IF(AND(_xlfn.LET(_xlpm.x,SUM(ROW()),OR(AND(MATCH("SOT",$A:$A,0)&lt;_xlpm.x,MATCH("EOT",$A:$A,0)&gt;_xlpm.x),AND(MATCH("SOS",$A:$A,0)&lt;_xlpm.x,MATCH("EOS",$A:$A,0)&gt;_xlpm.x),AND(MATCH("SOR",$A:$A,0)&lt;_xlpm.x,MATCH("EOR",$A:$A,0)&gt;_xlpm.x))),INDIRECT("rc"&amp;MATCH("SCD",$1:$1,0),FALSE)="PPTO"),1,0)</f>
        <v>0</v>
      </c>
      <c r="AW223" s="142" cm="1">
        <f t="array" aca="1" ref="AW22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224" spans="2:49" outlineLevel="1">
      <c r="B224" s="156" t="str" cm="1">
        <f t="array" aca="1" ref="B224" ca="1">_xlfn.LET(_xlpm.x,SUM(ROW()-MATCH("SOR",$A:$A,0)),_xlpm.y,IFERROR(_xlfn.TAKE(INDEX(_xlfn._xlws.FILTER(TbAssign[],ISNUMBER(FIND(TbAssign[Project],$C$4)),"X"),1+QUOTIENT(_xlpm.x,3),0),1,4),0),IF(MOD(_xlpm.x-1,3)=0,IF(_xlpm.y=0,"X",_xlpm.y),INDIRECT("r[-1]c#",FALSE)))</f>
        <v>X</v>
      </c>
      <c r="C224" s="156"/>
      <c r="E224" s="352"/>
      <c r="F224" s="148" t="s">
        <v>397</v>
      </c>
      <c r="G224" s="157" cm="1">
        <f t="array" aca="1" ref="G224" ca="1">IF(OR($E224="X",$E224="",$E224=0,$B224="X",$B224="",$B224=0),0,SUM(_xlfn._xlws.FILTER(IF($E$4="Ppto",PptoSty[CurPpto],PptoSty[CurInt]),(IF($E$4="Ppto",PptoSty[POvsCT]=G$113,TRUE))*(PptoSty[Project]=TEXT($B224,"@"))*(PptoSty[PptoVsRow]=$E224)*(PptoSty[PptoVsColumn]=UPPER(G$114)),0)))</f>
        <v>0</v>
      </c>
      <c r="H224" s="157" cm="1">
        <f t="array" aca="1" ref="H224" ca="1">IF(OR($E224="X",$E224="",$E224=0,$B224="X",$B224="",$B224=0),0,SUM(_xlfn._xlws.FILTER(IF($E$4="Ppto",PptoSty[CurPpto],PptoSty[CurExt]),(IF($E$4="Ppto",PptoSty[POvsCT]=H$113,TRUE))*(PptoSty[Project]=TEXT($B224,"@"))*(PptoSty[PptoVsRow]=$E224)*(PptoSty[PptoVsColumn]=UPPER(G$114)),0)))</f>
        <v>0</v>
      </c>
      <c r="I224" s="157" cm="1">
        <f t="array" aca="1" ref="I224" ca="1">IF(OR($E224="X",$E224="",$E224=0,$B224="X",$B224="",$B224=0),0,SUM(_xlfn._xlws.FILTER(IF($E$4="Ppto",PptoSty[CurPpto],PptoSty[CurInt]),(IF($E$4="Ppto",PptoSty[POvsCT]=I$113,TRUE))*(PptoSty[Project]=TEXT($B224,"@"))*(PptoSty[PptoVsRow]=$E224)*(PptoSty[PptoVsColumn]=UPPER(I$114)),0)))</f>
        <v>0</v>
      </c>
      <c r="J224" s="157" cm="1">
        <f t="array" aca="1" ref="J224" ca="1">IF(OR($E224="X",$E224="",$E224=0,$B224="X",$B224="",$B224=0),0,SUM(_xlfn._xlws.FILTER(IF($E$4="Ppto",PptoSty[CurPpto],PptoSty[CurExt]),(IF($E$4="Ppto",PptoSty[POvsCT]=J$113,TRUE))*(PptoSty[Project]=TEXT($B224,"@"))*(PptoSty[PptoVsRow]=$E224)*(PptoSty[PptoVsColumn]=UPPER(I$114)),0)))</f>
        <v>0</v>
      </c>
      <c r="K224" s="157" cm="1">
        <f t="array" aca="1" ref="K224" ca="1">IF(OR($E224="X",$E224="",$E224=0,$B224="X",$B224="",$B224=0),0,SUM(_xlfn._xlws.FILTER(IF($E$4="Ppto",PptoSty[CurPpto],PptoSty[CurInt]),(IF($E$4="Ppto",PptoSty[POvsCT]=K$113,TRUE))*(PptoSty[Project]=TEXT($B224,"@"))*(PptoSty[PptoVsRow]=$E224)*(PptoSty[PptoVsColumn]=UPPER(K$114)),0)))</f>
        <v>0</v>
      </c>
      <c r="L224" s="157" cm="1">
        <f t="array" aca="1" ref="L224" ca="1">IF(OR($E224="X",$E224="",$E224=0,$B224="X",$B224="",$B224=0),0,SUM(_xlfn._xlws.FILTER(IF($E$4="Ppto",PptoSty[CurPpto],PptoSty[CurExt]),(IF($E$4="Ppto",PptoSty[POvsCT]=L$113,TRUE))*(PptoSty[Project]=TEXT($B224,"@"))*(PptoSty[PptoVsRow]=$E224)*(PptoSty[PptoVsColumn]=UPPER(K$114)),0)))</f>
        <v>0</v>
      </c>
      <c r="M224" s="157" cm="1">
        <f t="array" aca="1" ref="M224" ca="1">IF(OR($E224="X",$E224="",$E224=0,$B224="X",$B224="",$B224=0),0,SUM(_xlfn._xlws.FILTER(IF($E$4="Ppto",PptoSty[CurPpto],PptoSty[CurInt]),(IF($E$4="Ppto",PptoSty[POvsCT]=M$113,TRUE))*(PptoSty[Project]=TEXT($B224,"@"))*(PptoSty[PptoVsRow]=$E224)*(PptoSty[PptoVsColumn]=UPPER(M$114)),0)))</f>
        <v>0</v>
      </c>
      <c r="N224" s="157" cm="1">
        <f t="array" aca="1" ref="N224" ca="1">IF(OR($E224="X",$E224="",$E224=0,$B224="X",$B224="",$B224=0),0,SUM(_xlfn._xlws.FILTER(IF($E$4="Ppto",PptoSty[CurPpto],PptoSty[CurExt]),(IF($E$4="Ppto",PptoSty[POvsCT]=N$113,TRUE))*(PptoSty[Project]=TEXT($B224,"@"))*(PptoSty[PptoVsRow]=$E224)*(PptoSty[PptoVsColumn]=UPPER(M$114)),0)))</f>
        <v>0</v>
      </c>
      <c r="O224" s="157" cm="1">
        <f t="array" aca="1" ref="O224" ca="1">IF(OR($E224="X",$E224="",$E224=0,$B224="X",$B224="",$B224=0),0,SUM(_xlfn._xlws.FILTER(IF($E$4="Ppto",PptoSty[CurPpto],PptoSty[CurInt]),(IF($E$4="Ppto",PptoSty[POvsCT]=O$113,TRUE))*(PptoSty[Project]=TEXT($B224,"@"))*(PptoSty[PptoVsRow]=$E224)*(PptoSty[PptoVsColumn]=UPPER(O$114)),0)))</f>
        <v>0</v>
      </c>
      <c r="P224" s="157" cm="1">
        <f t="array" aca="1" ref="P224" ca="1">IF(OR($E224="X",$E224="",$E224=0,$B224="X",$B224="",$B224=0),0,SUM(_xlfn._xlws.FILTER(IF($E$4="Ppto",PptoSty[CurPpto],PptoSty[CurExt]),(IF($E$4="Ppto",PptoSty[POvsCT]=P$113,TRUE))*(PptoSty[Project]=TEXT($B224,"@"))*(PptoSty[PptoVsRow]=$E224)*(PptoSty[PptoVsColumn]=UPPER(O$114)),0)))</f>
        <v>0</v>
      </c>
      <c r="Q224" s="157" cm="1">
        <f t="array" aca="1" ref="Q224" ca="1">IF(OR($E224="X",$E224="",$E224=0,$B224="X",$B224="",$B224=0),0,SUM(_xlfn._xlws.FILTER(IF($E$4="Ppto",PptoSty[CurPpto],PptoSty[CurInt]),(IF($E$4="Ppto",PptoSty[POvsCT]=Q$113,TRUE))*(PptoSty[Project]=TEXT($B224,"@"))*(PptoSty[PptoVsRow]=$E224)*(PptoSty[PptoVsColumn]=UPPER(Q$114)),0)))</f>
        <v>0</v>
      </c>
      <c r="R224" s="157" cm="1">
        <f t="array" aca="1" ref="R224" ca="1">IF(OR($E224="X",$E224="",$E224=0,$B224="X",$B224="",$B224=0),0,SUM(_xlfn._xlws.FILTER(IF($E$4="Ppto",PptoSty[CurPpto],PptoSty[CurExt]),(IF($E$4="Ppto",PptoSty[POvsCT]=R$113,TRUE))*(PptoSty[Project]=TEXT($B224,"@"))*(PptoSty[PptoVsRow]=$E224)*(PptoSty[PptoVsColumn]=UPPER(Q$114)),0)))</f>
        <v>0</v>
      </c>
      <c r="S224" s="157" cm="1">
        <f t="array" aca="1" ref="S224" ca="1">IF(OR($E224="X",$E224="",$E224=0,$B224="X",$B224="",$B224=0),0,SUM(_xlfn._xlws.FILTER(IF($E$4="Ppto",PptoSty[CurPpto],PptoSty[CurInt]),(IF($E$4="Ppto",PptoSty[POvsCT]=S$113,TRUE))*(PptoSty[Project]=TEXT($B224,"@"))*(PptoSty[PptoVsRow]=$E224)*(PptoSty[PptoVsColumn]=UPPER(S$114)),0)))</f>
        <v>0</v>
      </c>
      <c r="T224" s="157" cm="1">
        <f t="array" aca="1" ref="T224" ca="1">IF(OR($E224="X",$E224="",$E224=0,$B224="X",$B224="",$B224=0),0,SUM(_xlfn._xlws.FILTER(IF($E$4="Ppto",PptoSty[CurPpto],PptoSty[CurExt]),(IF($E$4="Ppto",PptoSty[POvsCT]=T$113,TRUE))*(PptoSty[Project]=TEXT($B224,"@"))*(PptoSty[PptoVsRow]=$E224)*(PptoSty[PptoVsColumn]=UPPER(S$114)),0)))</f>
        <v>0</v>
      </c>
      <c r="U224" s="157" cm="1">
        <f t="array" aca="1" ref="U224" ca="1">IF(OR($E224="X",$E224="",$E224=0,$B224="X",$B224="",$B224=0),0,SUM(_xlfn._xlws.FILTER(IF($E$4="Ppto",PptoSty[CurPpto],PptoSty[CurInt]),(IF($E$4="Ppto",PptoSty[POvsCT]=U$113,TRUE))*(PptoSty[Project]=TEXT($B224,"@"))*(PptoSty[PptoVsRow]=$E224)*(PptoSty[PptoVsColumn]=UPPER(U$114)),0)))</f>
        <v>0</v>
      </c>
      <c r="V224" s="157" cm="1">
        <f t="array" aca="1" ref="V224" ca="1">IF(OR($E224="X",$E224="",$E224=0,$B224="X",$B224="",$B224=0),0,SUM(_xlfn._xlws.FILTER(IF($E$4="Ppto",PptoSty[CurPpto],PptoSty[CurExt]),(IF($E$4="Ppto",PptoSty[POvsCT]=V$113,TRUE))*(PptoSty[Project]=TEXT($B224,"@"))*(PptoSty[PptoVsRow]=$E224)*(PptoSty[PptoVsColumn]=UPPER(U$114)),0)))</f>
        <v>0</v>
      </c>
      <c r="W224" s="157" cm="1">
        <f t="array" aca="1" ref="W224" ca="1">IF(OR($E224="X",$E224="",$E224=0,$B224="X",$B224="",$B224=0),0,SUM(_xlfn._xlws.FILTER(IF($E$4="Ppto",PptoSty[CurPpto],PptoSty[CurInt]),(IF($E$4="Ppto",PptoSty[POvsCT]=W$113,TRUE))*(PptoSty[Project]=TEXT($B224,"@"))*(PptoSty[PptoVsRow]=$E224)*(PptoSty[PptoVsColumn]=UPPER(W$114)),0)))</f>
        <v>0</v>
      </c>
      <c r="X224" s="157" cm="1">
        <f t="array" aca="1" ref="X224" ca="1">IF(OR($E224="X",$E224="",$E224=0,$B224="X",$B224="",$B224=0),0,SUM(_xlfn._xlws.FILTER(IF($E$4="Ppto",PptoSty[CurPpto],PptoSty[CurExt]),(IF($E$4="Ppto",PptoSty[POvsCT]=X$113,TRUE))*(PptoSty[Project]=TEXT($B224,"@"))*(PptoSty[PptoVsRow]=$E224)*(PptoSty[PptoVsColumn]=UPPER(W$114)),0)))</f>
        <v>0</v>
      </c>
      <c r="Y224" s="157" cm="1">
        <f t="array" aca="1" ref="Y224" ca="1">IF(OR($E224="X",$E224="",$E224=0,$B224="X",$B224="",$B224=0),0,SUM(_xlfn._xlws.FILTER(IF($E$4="Ppto",PptoSty[CurPpto],PptoSty[CurInt]),(IF($E$4="Ppto",PptoSty[POvsCT]=Y$113,TRUE))*(PptoSty[Project]=TEXT($B224,"@"))*(PptoSty[PptoVsRow]=$E224)*(PptoSty[PptoVsColumn]=UPPER(Y$114)),0)))</f>
        <v>0</v>
      </c>
      <c r="Z224" s="157" cm="1">
        <f t="array" aca="1" ref="Z224" ca="1">IF(OR($E224="X",$E224="",$E224=0,$B224="X",$B224="",$B224=0),0,SUM(_xlfn._xlws.FILTER(IF($E$4="Ppto",PptoSty[CurPpto],PptoSty[CurExt]),(IF($E$4="Ppto",PptoSty[POvsCT]=Z$113,TRUE))*(PptoSty[Project]=TEXT($B224,"@"))*(PptoSty[PptoVsRow]=$E224)*(PptoSty[PptoVsColumn]=UPPER(Y$114)),0)))</f>
        <v>0</v>
      </c>
      <c r="AA224" s="157" cm="1">
        <f t="array" aca="1" ref="AA224" ca="1">IF(OR($E224="X",$E224="",$E224=0,$B224="X",$B224="",$B224=0),0,SUM(_xlfn._xlws.FILTER(IF($E$4="Ppto",PptoSty[CurPpto],PptoSty[CurInt]),(IF($E$4="Ppto",PptoSty[POvsCT]=AA$113,TRUE))*(PptoSty[Project]=TEXT($B224,"@"))*(PptoSty[PptoVsRow]=$E224)*(PptoSty[PptoVsColumn]=UPPER(AA$114)),0)))</f>
        <v>0</v>
      </c>
      <c r="AB224" s="157" cm="1">
        <f t="array" aca="1" ref="AB224" ca="1">IF(OR($E224="X",$E224="",$E224=0,$B224="X",$B224="",$B224=0),0,SUM(_xlfn._xlws.FILTER(IF($E$4="Ppto",PptoSty[CurPpto],PptoSty[CurExt]),(IF($E$4="Ppto",PptoSty[POvsCT]=AB$113,TRUE))*(PptoSty[Project]=TEXT($B224,"@"))*(PptoSty[PptoVsRow]=$E224)*(PptoSty[PptoVsColumn]=UPPER(AA$114)),0)))</f>
        <v>0</v>
      </c>
      <c r="AC224" s="157" cm="1">
        <f t="array" aca="1" ref="AC224" ca="1">IF(OR($E224="X",$E224="",$E224=0,$B224="X",$B224="",$B224=0),0,SUM(_xlfn._xlws.FILTER(IF($E$4="Ppto",PptoSty[CurPpto],PptoSty[CurInt]),(IF($E$4="Ppto",PptoSty[POvsCT]=AC$113,TRUE))*(PptoSty[Project]=TEXT($B224,"@"))*(PptoSty[PptoVsRow]=$E224)*(PptoSty[PptoVsColumn]=UPPER(AC$114)),0)))</f>
        <v>0</v>
      </c>
      <c r="AD224" s="157" cm="1">
        <f t="array" aca="1" ref="AD224" ca="1">IF(OR($E224="X",$E224="",$E224=0,$B224="X",$B224="",$B224=0),0,SUM(_xlfn._xlws.FILTER(IF($E$4="Ppto",PptoSty[CurPpto],PptoSty[CurExt]),(IF($E$4="Ppto",PptoSty[POvsCT]=AD$113,TRUE))*(PptoSty[Project]=TEXT($B224,"@"))*(PptoSty[PptoVsRow]=$E224)*(PptoSty[PptoVsColumn]=UPPER(AC$114)),0)))</f>
        <v>0</v>
      </c>
      <c r="AE224" s="157" cm="1">
        <f t="array" aca="1" ref="AE224" ca="1">IF(OR($E224="X",$E224="",$E224=0,$B224="X",$B224="",$B224=0),0,SUM(_xlfn._xlws.FILTER(IF($E$4="Ppto",PptoSty[CurPpto],PptoSty[CurInt]),(IF($E$4="Ppto",PptoSty[POvsCT]=AE$113,TRUE))*(PptoSty[Project]=TEXT($B224,"@"))*(PptoSty[PptoVsRow]=$E224)*(PptoSty[PptoVsColumn]=UPPER(AE$114)),0)))</f>
        <v>0</v>
      </c>
      <c r="AF224" s="157" cm="1">
        <f t="array" aca="1" ref="AF224" ca="1">IF(OR($E224="X",$E224="",$E224=0,$B224="X",$B224="",$B224=0),0,SUM(_xlfn._xlws.FILTER(IF($E$4="Ppto",PptoSty[CurPpto],PptoSty[CurExt]),(IF($E$4="Ppto",PptoSty[POvsCT]=AF$113,TRUE))*(PptoSty[Project]=TEXT($B224,"@"))*(PptoSty[PptoVsRow]=$E224)*(PptoSty[PptoVsColumn]=UPPER(AE$114)),0)))</f>
        <v>0</v>
      </c>
      <c r="AG224" s="157" cm="1">
        <f t="array" aca="1" ref="AG224" ca="1">IF(OR($E224="X",$E224="",$E224=0,$B224="X",$B224="",$B224=0),0,SUM(_xlfn._xlws.FILTER(IF($E$4="Ppto",PptoSty[CurPpto],PptoSty[CurInt]),(IF($E$4="Ppto",PptoSty[POvsCT]=AG$113,TRUE))*(PptoSty[Project]=TEXT($B224,"@"))*(PptoSty[PptoVsRow]=$E224)*(PptoSty[PptoVsColumn]=UPPER(AG$114)),0)))</f>
        <v>0</v>
      </c>
      <c r="AH224" s="157" cm="1">
        <f t="array" aca="1" ref="AH224" ca="1">IF(OR($E224="X",$E224="",$E224=0,$B224="X",$B224="",$B224=0),0,SUM(_xlfn._xlws.FILTER(IF($E$4="Ppto",PptoSty[CurPpto],PptoSty[CurExt]),(IF($E$4="Ppto",PptoSty[POvsCT]=AH$113,TRUE))*(PptoSty[Project]=TEXT($B224,"@"))*(PptoSty[PptoVsRow]=$E224)*(PptoSty[PptoVsColumn]=UPPER(AG$114)),0)))</f>
        <v>0</v>
      </c>
      <c r="AI224" s="157" cm="1">
        <f t="array" aca="1" ref="AI224" ca="1">IF(OR($E224="X",$E224="",$E224=0,$B224="X",$B224="",$B224=0),0,SUM(_xlfn._xlws.FILTER(IF($E$4="Ppto",PptoSty[CurPpto],PptoSty[CurInt]),(IF($E$4="Ppto",PptoSty[POvsCT]=AI$113,TRUE))*(PptoSty[Project]=TEXT($B224,"@"))*(PptoSty[PptoVsRow]=$E224)*(PptoSty[PptoVsColumn]=UPPER(AI$114)),0)))</f>
        <v>0</v>
      </c>
      <c r="AJ224" s="157" cm="1">
        <f t="array" aca="1" ref="AJ224" ca="1">IF(OR($E224="X",$E224="",$E224=0,$B224="X",$B224="",$B224=0),0,SUM(_xlfn._xlws.FILTER(IF($E$4="Ppto",PptoSty[CurPpto],PptoSty[CurExt]),(IF($E$4="Ppto",PptoSty[POvsCT]=AJ$113,TRUE))*(PptoSty[Project]=TEXT($B224,"@"))*(PptoSty[PptoVsRow]=$E224)*(PptoSty[PptoVsColumn]=UPPER(AI$114)),0)))</f>
        <v>0</v>
      </c>
      <c r="AK224" s="157" cm="1">
        <f t="array" aca="1" ref="AK224" ca="1">IF(OR($E224="X",$E224="",$E224=0,$B224="X",$B224="",$B224=0),0,SUM(_xlfn._xlws.FILTER(IF($E$4="Ppto",PptoSty[CurPpto],PptoSty[CurInt]),(IF($E$4="Ppto",PptoSty[POvsCT]=AK$113,TRUE))*(PptoSty[Project]=TEXT($B224,"@"))*(PptoSty[PptoVsRow]=$E224)*(PptoSty[PptoVsColumn]=UPPER(AK$114)),0)))</f>
        <v>0</v>
      </c>
      <c r="AL224" s="157" cm="1">
        <f t="array" aca="1" ref="AL224" ca="1">IF(OR($E224="X",$E224="",$E224=0,$B224="X",$B224="",$B224=0),0,SUM(_xlfn._xlws.FILTER(IF($E$4="Ppto",PptoSty[CurPpto],PptoSty[CurExt]),(IF($E$4="Ppto",PptoSty[POvsCT]=AL$113,TRUE))*(PptoSty[Project]=TEXT($B224,"@"))*(PptoSty[PptoVsRow]=$E224)*(PptoSty[PptoVsColumn]=UPPER(AK$114)),0)))</f>
        <v>0</v>
      </c>
      <c r="AM224" s="157" cm="1">
        <f t="array" aca="1" ref="AM224" ca="1">IF(OR($E224="X",$E224="",$E224=0,$B224="X",$B224="",$B224=0),0,SUM(_xlfn._xlws.FILTER(IF($E$4="Ppto",PptoSty[CurPpto],PptoSty[CurInt]),(IF($E$4="Ppto",PptoSty[POvsCT]=AM$113,TRUE))*(PptoSty[Project]=TEXT($B224,"@"))*(PptoSty[PptoVsRow]=$E224)*(PptoSty[PptoVsColumn]=UPPER(AM$114)),0)))</f>
        <v>0</v>
      </c>
      <c r="AN224" s="157" cm="1">
        <f t="array" aca="1" ref="AN224" ca="1">IF(OR($E224="X",$E224="",$E224=0,$B224="X",$B224="",$B224=0),0,SUM(_xlfn._xlws.FILTER(IF($E$4="Ppto",PptoSty[CurPpto],PptoSty[CurExt]),(IF($E$4="Ppto",PptoSty[POvsCT]=AN$113,TRUE))*(PptoSty[Project]=TEXT($B224,"@"))*(PptoSty[PptoVsRow]=$E224)*(PptoSty[PptoVsColumn]=UPPER(AM$114)),0)))</f>
        <v>0</v>
      </c>
      <c r="AO224" s="157" cm="1">
        <f t="array" aca="1" ref="AO224" ca="1">IF(OR($E224="X",$E224="",$E224=0,$B224="X",$B224="",$B224=0),0,SUM(_xlfn._xlws.FILTER(IF($E$4="Ppto",PptoSty[CurPpto],PptoSty[CurInt]),(IF($E$4="Ppto",PptoSty[POvsCT]=AO$113,TRUE))*(PptoSty[Project]=TEXT($B224,"@"))*(PptoSty[PptoVsRow]=$E224)*(PptoSty[PptoVsColumn]=UPPER(AO$114)),0)))</f>
        <v>0</v>
      </c>
      <c r="AP224" s="157" cm="1">
        <f t="array" aca="1" ref="AP224" ca="1">IF(OR($E224="X",$E224="",$E224=0,$B224="X",$B224="",$B224=0),0,SUM(_xlfn._xlws.FILTER(IF($E$4="Ppto",PptoSty[CurPpto],PptoSty[CurExt]),(IF($E$4="Ppto",PptoSty[POvsCT]=AP$113,TRUE))*(PptoSty[Project]=TEXT($B224,"@"))*(PptoSty[PptoVsRow]=$E224)*(PptoSty[PptoVsColumn]=UPPER(AO$114)),0)))</f>
        <v>0</v>
      </c>
      <c r="AQ224" s="157" cm="1">
        <f t="array" aca="1" ref="AQ224" ca="1">SUM(IF(INDIRECT($AS$115)=AQ$115,INDIRECT($AS224)))</f>
        <v>0</v>
      </c>
      <c r="AR224" s="157" cm="1">
        <f t="array" aca="1" ref="AR224" ca="1">SUM(IF(INDIRECT($AS$115)=AR$115,INDIRECT($AS224)))</f>
        <v>0</v>
      </c>
      <c r="AS224" s="286" t="str">
        <f t="shared" ca="1" si="18"/>
        <v>G224:AP224</v>
      </c>
      <c r="AT224" s="403">
        <f t="shared" ca="1" si="17"/>
        <v>0</v>
      </c>
      <c r="AV224" s="142" cm="1">
        <f t="array" aca="1" ref="AV224" ca="1">IF(AND(_xlfn.LET(_xlpm.x,SUM(ROW()),OR(AND(MATCH("SOT",$A:$A,0)&lt;_xlpm.x,MATCH("EOT",$A:$A,0)&gt;_xlpm.x),AND(MATCH("SOS",$A:$A,0)&lt;_xlpm.x,MATCH("EOS",$A:$A,0)&gt;_xlpm.x),AND(MATCH("SOR",$A:$A,0)&lt;_xlpm.x,MATCH("EOR",$A:$A,0)&gt;_xlpm.x))),INDIRECT("rc"&amp;MATCH("SCD",$1:$1,0),FALSE)="PPTO"),1,0)</f>
        <v>1</v>
      </c>
      <c r="AW224" s="142" cm="1">
        <f t="array" aca="1" ref="AW22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225" spans="2:49" outlineLevel="1">
      <c r="B225" s="156" t="str" cm="1">
        <f t="array" aca="1" ref="B225" ca="1">_xlfn.LET(_xlpm.x,SUM(ROW()-MATCH("SOR",$A:$A,0)),_xlpm.y,IFERROR(_xlfn.TAKE(INDEX(_xlfn._xlws.FILTER(TbAssign[],ISNUMBER(FIND(TbAssign[Project],$C$4)),"X"),1+QUOTIENT(_xlpm.x,3),0),1,4),0),IF(MOD(_xlpm.x-1,3)=0,IF(_xlpm.y=0,"X",_xlpm.y),INDIRECT("r[-1]c#",FALSE)))</f>
        <v>X</v>
      </c>
      <c r="C225" s="156"/>
      <c r="E225" s="352"/>
      <c r="F225" s="148" t="s">
        <v>1382</v>
      </c>
      <c r="G225" s="157" cm="1">
        <f t="array" aca="1" ref="G225" ca="1">IF(OR($E225="X",$E225="",$E225=0,$B225="X",$B225="",$B225=0),0,SUM(_xlfn._xlws.FILTER(PrvSty[DsvValue:SERRA],(PrvSty[Project]=TEXT($B225,"@"))*(PrvSty[Row]=$E225)*(PrvSty[Column]=UPPER(G$114)),0)))</f>
        <v>0</v>
      </c>
      <c r="H225" s="157" cm="1">
        <f t="array" aca="1" ref="H225" ca="1">IF(OR($E225="X",$E225="",$E225=0,$B225="X",$B225="",$B225=0),0,SUM(_xlfn._xlws.FILTER(PrvSty[DsvValue:EXT.],(PrvSty[Project]=TEXT($B225,"@"))*(PrvSty[Row]=$E225)*(PrvSty[Column]=UPPER(G$114)),0)))</f>
        <v>0</v>
      </c>
      <c r="I225" s="157" cm="1">
        <f t="array" aca="1" ref="I225" ca="1">IF(OR($E225="X",$E225="",$E225=0,$B225="X",$B225="",$B225=0),0,SUM(_xlfn._xlws.FILTER(PrvSty[DsvValue:SERRA],(PrvSty[Project]=TEXT($B225,"@"))*(PrvSty[Row]=$E225)*(PrvSty[Column]=UPPER(I$114)),0)))</f>
        <v>0</v>
      </c>
      <c r="J225" s="157" cm="1">
        <f t="array" aca="1" ref="J225" ca="1">IF(OR($E225="X",$E225="",$E225=0,$B225="X",$B225="",$B225=0),0,SUM(_xlfn._xlws.FILTER(PrvSty[DsvValue:EXT.],(PrvSty[Project]=TEXT($B225,"@"))*(PrvSty[Row]=$E225)*(PrvSty[Column]=UPPER(I$114)),0)))</f>
        <v>0</v>
      </c>
      <c r="K225" s="157" cm="1">
        <f t="array" aca="1" ref="K225" ca="1">IF(OR($E225="X",$E225="",$E225=0,$B225="X",$B225="",$B225=0),0,SUM(_xlfn._xlws.FILTER(PrvSty[DsvValue:SERRA],(PrvSty[Project]=TEXT($B225,"@"))*(PrvSty[Row]=$E225)*(PrvSty[Column]=UPPER(K$114)),0)))</f>
        <v>0</v>
      </c>
      <c r="L225" s="157" cm="1">
        <f t="array" aca="1" ref="L225" ca="1">IF(OR($E225="X",$E225="",$E225=0,$B225="X",$B225="",$B225=0),0,SUM(_xlfn._xlws.FILTER(PrvSty[DsvValue:EXT.],(PrvSty[Project]=TEXT($B225,"@"))*(PrvSty[Row]=$E225)*(PrvSty[Column]=UPPER(K$114)),0)))</f>
        <v>0</v>
      </c>
      <c r="M225" s="157" cm="1">
        <f t="array" aca="1" ref="M225" ca="1">IF(OR($E225="X",$E225="",$E225=0,$B225="X",$B225="",$B225=0),0,SUM(_xlfn._xlws.FILTER(PrvSty[DsvValue:SERRA],(PrvSty[Project]=TEXT($B225,"@"))*(PrvSty[Row]=$E225)*(PrvSty[Column]=UPPER(M$114)),0)))</f>
        <v>0</v>
      </c>
      <c r="N225" s="157" cm="1">
        <f t="array" aca="1" ref="N225" ca="1">IF(OR($E225="X",$E225="",$E225=0,$B225="X",$B225="",$B225=0),0,SUM(_xlfn._xlws.FILTER(PrvSty[DsvValue:EXT.],(PrvSty[Project]=TEXT($B225,"@"))*(PrvSty[Row]=$E225)*(PrvSty[Column]=UPPER(M$114)),0)))</f>
        <v>0</v>
      </c>
      <c r="O225" s="157" cm="1">
        <f t="array" aca="1" ref="O225" ca="1">IF(OR($E225="X",$E225="",$E225=0,$B225="X",$B225="",$B225=0),0,SUM(_xlfn._xlws.FILTER(PrvSty[DsvValue:SERRA],(PrvSty[Project]=TEXT($B225,"@"))*(PrvSty[Row]=$E225)*(PrvSty[Column]=UPPER(O$114)),0)))</f>
        <v>0</v>
      </c>
      <c r="P225" s="157" cm="1">
        <f t="array" aca="1" ref="P225" ca="1">IF(OR($E225="X",$E225="",$E225=0,$B225="X",$B225="",$B225=0),0,SUM(_xlfn._xlws.FILTER(PrvSty[DsvValue:EXT.],(PrvSty[Project]=TEXT($B225,"@"))*(PrvSty[Row]=$E225)*(PrvSty[Column]=UPPER(O$114)),0)))</f>
        <v>0</v>
      </c>
      <c r="Q225" s="157" cm="1">
        <f t="array" aca="1" ref="Q225" ca="1">IF(OR($E225="X",$E225="",$E225=0,$B225="X",$B225="",$B225=0),0,SUM(_xlfn._xlws.FILTER(PrvSty[DsvValue:SERRA],(PrvSty[Project]=TEXT($B225,"@"))*(PrvSty[Row]=$E225)*(PrvSty[Column]=UPPER(Q$114)),0)))</f>
        <v>0</v>
      </c>
      <c r="R225" s="157" cm="1">
        <f t="array" aca="1" ref="R225" ca="1">IF(OR($E225="X",$E225="",$E225=0,$B225="X",$B225="",$B225=0),0,SUM(_xlfn._xlws.FILTER(PrvSty[DsvValue:EXT.],(PrvSty[Project]=TEXT($B225,"@"))*(PrvSty[Row]=$E225)*(PrvSty[Column]=UPPER(Q$114)),0)))</f>
        <v>0</v>
      </c>
      <c r="S225" s="157" cm="1">
        <f t="array" aca="1" ref="S225" ca="1">IF(OR($E225="X",$E225="",$E225=0,$B225="X",$B225="",$B225=0),0,SUM(_xlfn._xlws.FILTER(PrvSty[DsvValue:SERRA],(PrvSty[Project]=TEXT($B225,"@"))*(PrvSty[Row]=$E225)*(PrvSty[Column]=UPPER(S$114)),0)))</f>
        <v>0</v>
      </c>
      <c r="T225" s="157" cm="1">
        <f t="array" aca="1" ref="T225" ca="1">IF(OR($E225="X",$E225="",$E225=0,$B225="X",$B225="",$B225=0),0,SUM(_xlfn._xlws.FILTER(PrvSty[DsvValue:EXT.],(PrvSty[Project]=TEXT($B225,"@"))*(PrvSty[Row]=$E225)*(PrvSty[Column]=UPPER(S$114)),0)))</f>
        <v>0</v>
      </c>
      <c r="U225" s="157" cm="1">
        <f t="array" aca="1" ref="U225" ca="1">IF(OR($E225="X",$E225="",$E225=0,$B225="X",$B225="",$B225=0),0,SUM(_xlfn._xlws.FILTER(PrvSty[DsvValue:SERRA],(PrvSty[Project]=TEXT($B225,"@"))*(PrvSty[Row]=$E225)*(PrvSty[Column]=UPPER(U$114)),0)))</f>
        <v>0</v>
      </c>
      <c r="V225" s="157" cm="1">
        <f t="array" aca="1" ref="V225" ca="1">IF(OR($E225="X",$E225="",$E225=0,$B225="X",$B225="",$B225=0),0,SUM(_xlfn._xlws.FILTER(PrvSty[DsvValue:EXT.],(PrvSty[Project]=TEXT($B225,"@"))*(PrvSty[Row]=$E225)*(PrvSty[Column]=UPPER(U$114)),0)))</f>
        <v>0</v>
      </c>
      <c r="W225" s="157" cm="1">
        <f t="array" aca="1" ref="W225" ca="1">IF(OR($E225="X",$E225="",$E225=0,$B225="X",$B225="",$B225=0),0,SUM(_xlfn._xlws.FILTER(PrvSty[DsvValue:SERRA],(PrvSty[Project]=TEXT($B225,"@"))*(PrvSty[Row]=$E225)*(PrvSty[Column]=UPPER(W$114)),0)))</f>
        <v>0</v>
      </c>
      <c r="X225" s="157" cm="1">
        <f t="array" aca="1" ref="X225" ca="1">IF(OR($E225="X",$E225="",$E225=0,$B225="X",$B225="",$B225=0),0,SUM(_xlfn._xlws.FILTER(PrvSty[DsvValue:EXT.],(PrvSty[Project]=TEXT($B225,"@"))*(PrvSty[Row]=$E225)*(PrvSty[Column]=UPPER(W$114)),0)))</f>
        <v>0</v>
      </c>
      <c r="Y225" s="157" cm="1">
        <f t="array" aca="1" ref="Y225" ca="1">IF(OR($E225="X",$E225="",$E225=0,$B225="X",$B225="",$B225=0),0,SUM(_xlfn._xlws.FILTER(PrvSty[DsvValue:SERRA],(PrvSty[Project]=TEXT($B225,"@"))*(PrvSty[Row]=$E225)*(PrvSty[Column]=UPPER(Y$114)),0)))</f>
        <v>0</v>
      </c>
      <c r="Z225" s="157" cm="1">
        <f t="array" aca="1" ref="Z225" ca="1">IF(OR($E225="X",$E225="",$E225=0,$B225="X",$B225="",$B225=0),0,SUM(_xlfn._xlws.FILTER(PrvSty[DsvValue:EXT.],(PrvSty[Project]=TEXT($B225,"@"))*(PrvSty[Row]=$E225)*(PrvSty[Column]=UPPER(Y$114)),0)))</f>
        <v>0</v>
      </c>
      <c r="AA225" s="157" cm="1">
        <f t="array" aca="1" ref="AA225" ca="1">IF(OR($E225="X",$E225="",$E225=0,$B225="X",$B225="",$B225=0),0,SUM(_xlfn._xlws.FILTER(PrvSty[DsvValue:SERRA],(PrvSty[Project]=TEXT($B225,"@"))*(PrvSty[Row]=$E225)*(PrvSty[Column]=UPPER(AA$114)),0)))</f>
        <v>0</v>
      </c>
      <c r="AB225" s="157" cm="1">
        <f t="array" aca="1" ref="AB225" ca="1">IF(OR($E225="X",$E225="",$E225=0,$B225="X",$B225="",$B225=0),0,SUM(_xlfn._xlws.FILTER(PrvSty[DsvValue:EXT.],(PrvSty[Project]=TEXT($B225,"@"))*(PrvSty[Row]=$E225)*(PrvSty[Column]=UPPER(AA$114)),0)))</f>
        <v>0</v>
      </c>
      <c r="AC225" s="157" cm="1">
        <f t="array" aca="1" ref="AC225" ca="1">IF(OR($E225="X",$E225="",$E225=0,$B225="X",$B225="",$B225=0),0,SUM(_xlfn._xlws.FILTER(PrvSty[DsvValue:SERRA],(PrvSty[Project]=TEXT($B225,"@"))*(PrvSty[Row]=$E225)*(PrvSty[Column]=UPPER(AC$114)),0)))</f>
        <v>0</v>
      </c>
      <c r="AD225" s="157" cm="1">
        <f t="array" aca="1" ref="AD225" ca="1">IF(OR($E225="X",$E225="",$E225=0,$B225="X",$B225="",$B225=0),0,SUM(_xlfn._xlws.FILTER(PrvSty[DsvValue:EXT.],(PrvSty[Project]=TEXT($B225,"@"))*(PrvSty[Row]=$E225)*(PrvSty[Column]=UPPER(AC$114)),0)))</f>
        <v>0</v>
      </c>
      <c r="AE225" s="157" cm="1">
        <f t="array" aca="1" ref="AE225" ca="1">IF(OR($E225="X",$E225="",$E225=0,$B225="X",$B225="",$B225=0),0,SUM(_xlfn._xlws.FILTER(PrvSty[DsvValue:SERRA],(PrvSty[Project]=TEXT($B225,"@"))*(PrvSty[Row]=$E225)*(PrvSty[Column]=UPPER(AE$114)),0)))</f>
        <v>0</v>
      </c>
      <c r="AF225" s="157" cm="1">
        <f t="array" aca="1" ref="AF225" ca="1">IF(OR($E225="X",$E225="",$E225=0,$B225="X",$B225="",$B225=0),0,SUM(_xlfn._xlws.FILTER(PrvSty[DsvValue:EXT.],(PrvSty[Project]=TEXT($B225,"@"))*(PrvSty[Row]=$E225)*(PrvSty[Column]=UPPER(AE$114)),0)))</f>
        <v>0</v>
      </c>
      <c r="AG225" s="157" cm="1">
        <f t="array" aca="1" ref="AG225" ca="1">IF(OR($E225="X",$E225="",$E225=0,$B225="X",$B225="",$B225=0),0,SUM(_xlfn._xlws.FILTER(PrvSty[DsvValue:SERRA],(PrvSty[Project]=TEXT($B225,"@"))*(PrvSty[Row]=$E225)*(PrvSty[Column]=UPPER(AG$114)),0)))</f>
        <v>0</v>
      </c>
      <c r="AH225" s="157" cm="1">
        <f t="array" aca="1" ref="AH225" ca="1">IF(OR($E225="X",$E225="",$E225=0,$B225="X",$B225="",$B225=0),0,SUM(_xlfn._xlws.FILTER(PrvSty[DsvValue:EXT.],(PrvSty[Project]=TEXT($B225,"@"))*(PrvSty[Row]=$E225)*(PrvSty[Column]=UPPER(AG$114)),0)))</f>
        <v>0</v>
      </c>
      <c r="AI225" s="157" cm="1">
        <f t="array" aca="1" ref="AI225" ca="1">IF(OR($E225="X",$E225="",$E225=0,$B225="X",$B225="",$B225=0),0,SUM(_xlfn._xlws.FILTER(PrvSty[DsvValue:SERRA],(PrvSty[Project]=TEXT($B225,"@"))*(PrvSty[Row]=$E225)*(PrvSty[Column]=UPPER(AI$114)),0)))</f>
        <v>0</v>
      </c>
      <c r="AJ225" s="157" cm="1">
        <f t="array" aca="1" ref="AJ225" ca="1">IF(OR($E225="X",$E225="",$E225=0,$B225="X",$B225="",$B225=0),0,SUM(_xlfn._xlws.FILTER(PrvSty[DsvValue:EXT.],(PrvSty[Project]=TEXT($B225,"@"))*(PrvSty[Row]=$E225)*(PrvSty[Column]=UPPER(AI$114)),0)))</f>
        <v>0</v>
      </c>
      <c r="AK225" s="157" cm="1">
        <f t="array" aca="1" ref="AK225" ca="1">IF(OR($E225="X",$E225="",$E225=0,$B225="X",$B225="",$B225=0),0,SUM(_xlfn._xlws.FILTER(PrvSty[DsvValue:SERRA],(PrvSty[Project]=TEXT($B225,"@"))*(PrvSty[Row]=$E225)*(PrvSty[Column]=UPPER(AK$114)),0)))</f>
        <v>0</v>
      </c>
      <c r="AL225" s="157" cm="1">
        <f t="array" aca="1" ref="AL225" ca="1">IF(OR($E225="X",$E225="",$E225=0,$B225="X",$B225="",$B225=0),0,SUM(_xlfn._xlws.FILTER(PrvSty[DsvValue:EXT.],(PrvSty[Project]=TEXT($B225,"@"))*(PrvSty[Row]=$E225)*(PrvSty[Column]=UPPER(AK$114)),0)))</f>
        <v>0</v>
      </c>
      <c r="AM225" s="157" cm="1">
        <f t="array" aca="1" ref="AM225" ca="1">IF(OR($E225="X",$E225="",$E225=0,$B225="X",$B225="",$B225=0),0,SUM(_xlfn._xlws.FILTER(PrvSty[DsvValue:SERRA],(PrvSty[Project]=TEXT($B225,"@"))*(PrvSty[Row]=$E225)*(PrvSty[Column]=UPPER(AM$114)),0)))</f>
        <v>0</v>
      </c>
      <c r="AN225" s="157" cm="1">
        <f t="array" aca="1" ref="AN225" ca="1">IF(OR($E225="X",$E225="",$E225=0,$B225="X",$B225="",$B225=0),0,SUM(_xlfn._xlws.FILTER(PrvSty[DsvValue:EXT.],(PrvSty[Project]=TEXT($B225,"@"))*(PrvSty[Row]=$E225)*(PrvSty[Column]=UPPER(AM$114)),0)))</f>
        <v>0</v>
      </c>
      <c r="AO225" s="157" cm="1">
        <f t="array" aca="1" ref="AO225" ca="1">IF(OR($E225="X",$E225="",$E225=0,$B225="X",$B225="",$B225=0),0,SUM(_xlfn._xlws.FILTER(PrvSty[DsvValue:SERRA],(PrvSty[Project]=TEXT($B225,"@"))*(PrvSty[Row]=$E225)*(PrvSty[Column]=UPPER(AO$114)),0)))</f>
        <v>0</v>
      </c>
      <c r="AP225" s="157" cm="1">
        <f t="array" aca="1" ref="AP225" ca="1">IF(OR($E225="X",$E225="",$E225=0,$B225="X",$B225="",$B225=0),0,SUM(_xlfn._xlws.FILTER(PrvSty[DsvValue:EXT.],(PrvSty[Project]=TEXT($B225,"@"))*(PrvSty[Row]=$E225)*(PrvSty[Column]=UPPER(AO$114)),0)))</f>
        <v>0</v>
      </c>
      <c r="AQ225" s="157" cm="1">
        <f t="array" aca="1" ref="AQ225" ca="1">SUM(IF(INDIRECT($AS$115)=AQ$115,INDIRECT($AS225)))</f>
        <v>0</v>
      </c>
      <c r="AR225" s="157" cm="1">
        <f t="array" aca="1" ref="AR225" ca="1">SUM(IF(INDIRECT($AS$115)=AR$115,INDIRECT($AS225)))</f>
        <v>0</v>
      </c>
      <c r="AS225" s="286" t="str">
        <f t="shared" ca="1" si="18"/>
        <v>G225:AP225</v>
      </c>
      <c r="AT225" s="403">
        <f t="shared" ca="1" si="17"/>
        <v>0</v>
      </c>
      <c r="AV225" s="142" cm="1">
        <f t="array" aca="1" ref="AV225" ca="1">IF(AND(_xlfn.LET(_xlpm.x,SUM(ROW()),OR(AND(MATCH("SOT",$A:$A,0)&lt;_xlpm.x,MATCH("EOT",$A:$A,0)&gt;_xlpm.x),AND(MATCH("SOS",$A:$A,0)&lt;_xlpm.x,MATCH("EOS",$A:$A,0)&gt;_xlpm.x),AND(MATCH("SOR",$A:$A,0)&lt;_xlpm.x,MATCH("EOR",$A:$A,0)&gt;_xlpm.x))),INDIRECT("rc"&amp;MATCH("SCD",$1:$1,0),FALSE)="PPTO"),1,0)</f>
        <v>0</v>
      </c>
      <c r="AW225" s="142" cm="1">
        <f t="array" aca="1" ref="AW22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226" spans="2:49" outlineLevel="1">
      <c r="B226" s="156" t="str" cm="1">
        <f t="array" aca="1" ref="B226" ca="1">_xlfn.LET(_xlpm.x,SUM(ROW()-MATCH("SOR",$A:$A,0)),_xlpm.y,IFERROR(_xlfn.TAKE(INDEX(_xlfn._xlws.FILTER(TbAssign[],ISNUMBER(FIND(TbAssign[Project],$C$4)),"X"),1+QUOTIENT(_xlpm.x,3),0),1,4),0),IF(MOD(_xlpm.x-1,3)=0,IF(_xlpm.y=0,"X",_xlpm.y),INDIRECT("r[-1]c#",FALSE)))</f>
        <v>X</v>
      </c>
      <c r="C226" s="156"/>
      <c r="E226" s="352"/>
      <c r="F226" s="148" t="s">
        <v>1383</v>
      </c>
      <c r="G226" s="158" cm="1">
        <f t="array" aca="1" ref="G226" ca="1">IF(OR($E226="X",$E226="",$E226=0,$B226="X",$B226="",$B226=0),0,SUM(_xlfn._xlws.FILTER(FrmBB1[Cur],(FrmBB1[PrjId]=TEXT($B226,"@"))*(FrmBB1[Row]=$E226)*(FrmBB1[Column]=UPPER(_xlfn.LET(_xlpm.x,_xlfn.TEXTBEFORE(G$114," ("),IFERROR(_xlpm.x,G$114)))&amp;" "&amp;G$115),0)))</f>
        <v>0</v>
      </c>
      <c r="H226" s="157" cm="1">
        <f t="array" aca="1" ref="H226" ca="1">IF(OR($E226="X",$E226="",$E226=0,$B226="X",$B226="",$B226=0),0,SUM(_xlfn._xlws.FILTER(FrmBB1[Cur],(FrmBB1[PrjId]=TEXT($B226,"@"))*(FrmBB1[Row]=$E226)*(FrmBB1[Column]=UPPER(_xlfn.LET(_xlpm.x,_xlfn.TEXTBEFORE(G$114," ("),IFERROR(_xlpm.x,G$114)))&amp;" "&amp;H$115),0)))</f>
        <v>0</v>
      </c>
      <c r="I226" s="158" cm="1">
        <f t="array" aca="1" ref="I226" ca="1">IF(OR($E226="X",$E226="",$E226=0,$B226="X",$B226="",$B226=0),0,SUM(_xlfn._xlws.FILTER(FrmBB1[Cur],(FrmBB1[PrjId]=TEXT($B226,"@"))*(FrmBB1[Row]=$E226)*(FrmBB1[Column]=UPPER(_xlfn.LET(_xlpm.x,_xlfn.TEXTBEFORE(I$114," ("),IFERROR(_xlpm.x,I$114)))&amp;" "&amp;I$115),0)))</f>
        <v>0</v>
      </c>
      <c r="J226" s="157" cm="1">
        <f t="array" aca="1" ref="J226" ca="1">IF(OR($E226="X",$E226="",$E226=0,$B226="X",$B226="",$B226=0),0,SUM(_xlfn._xlws.FILTER(FrmBB1[Cur],(FrmBB1[PrjId]=TEXT($B226,"@"))*(FrmBB1[Row]=$E226)*(FrmBB1[Column]=UPPER(_xlfn.LET(_xlpm.x,_xlfn.TEXTBEFORE(I$114," ("),IFERROR(_xlpm.x,I$114)))&amp;" "&amp;J$115),0)))</f>
        <v>0</v>
      </c>
      <c r="K226" s="158" cm="1">
        <f t="array" aca="1" ref="K226" ca="1">IF(OR($E226="X",$E226="",$E226=0,$B226="X",$B226="",$B226=0),0,SUM(_xlfn._xlws.FILTER(FrmBB1[Cur],(FrmBB1[PrjId]=TEXT($B226,"@"))*(FrmBB1[Row]=$E226)*(FrmBB1[Column]=UPPER(_xlfn.LET(_xlpm.x,_xlfn.TEXTBEFORE(K$114," ("),IFERROR(_xlpm.x,K$114)))&amp;" "&amp;K$115),0)))</f>
        <v>0</v>
      </c>
      <c r="L226" s="157" cm="1">
        <f t="array" aca="1" ref="L226" ca="1">IF(OR($E226="X",$E226="",$E226=0,$B226="X",$B226="",$B226=0),0,SUM(_xlfn._xlws.FILTER(FrmBB1[Cur],(FrmBB1[PrjId]=TEXT($B226,"@"))*(FrmBB1[Row]=$E226)*(FrmBB1[Column]=UPPER(_xlfn.LET(_xlpm.x,_xlfn.TEXTBEFORE(K$114," ("),IFERROR(_xlpm.x,K$114)))&amp;" "&amp;L$115),0)))</f>
        <v>0</v>
      </c>
      <c r="M226" s="158" cm="1">
        <f t="array" aca="1" ref="M226" ca="1">IF(OR($E226="X",$E226="",$E226=0,$B226="X",$B226="",$B226=0),0,SUM(_xlfn._xlws.FILTER(FrmBB1[Cur],(FrmBB1[PrjId]=TEXT($B226,"@"))*(FrmBB1[Row]=$E226)*(FrmBB1[Column]=UPPER(_xlfn.LET(_xlpm.x,_xlfn.TEXTBEFORE(M$114," ("),IFERROR(_xlpm.x,M$114)))&amp;" "&amp;M$115),0)))</f>
        <v>0</v>
      </c>
      <c r="N226" s="157" cm="1">
        <f t="array" aca="1" ref="N226" ca="1">IF(OR($E226="X",$E226="",$E226=0,$B226="X",$B226="",$B226=0),0,SUM(_xlfn._xlws.FILTER(FrmBB1[Cur],(FrmBB1[PrjId]=TEXT($B226,"@"))*(FrmBB1[Row]=$E226)*(FrmBB1[Column]=UPPER(_xlfn.LET(_xlpm.x,_xlfn.TEXTBEFORE(M$114," ("),IFERROR(_xlpm.x,M$114)))&amp;" "&amp;N$115),0)))</f>
        <v>0</v>
      </c>
      <c r="O226" s="158" cm="1">
        <f t="array" aca="1" ref="O226" ca="1">IF(OR($E226="X",$E226="",$E226=0,$B226="X",$B226="",$B226=0),0,SUM(_xlfn._xlws.FILTER(FrmBB1[Cur],(FrmBB1[PrjId]=TEXT($B226,"@"))*(FrmBB1[Row]=$E226)*(FrmBB1[Column]=UPPER(_xlfn.LET(_xlpm.x,_xlfn.TEXTBEFORE(O$114," ("),IFERROR(_xlpm.x,O$114)))&amp;" "&amp;O$115),0)))</f>
        <v>0</v>
      </c>
      <c r="P226" s="157" cm="1">
        <f t="array" aca="1" ref="P226" ca="1">IF(OR($E226="X",$E226="",$E226=0,$B226="X",$B226="",$B226=0),0,SUM(_xlfn._xlws.FILTER(FrmBB1[Cur],(FrmBB1[PrjId]=TEXT($B226,"@"))*(FrmBB1[Row]=$E226)*(FrmBB1[Column]=UPPER(_xlfn.LET(_xlpm.x,_xlfn.TEXTBEFORE(O$114," ("),IFERROR(_xlpm.x,O$114)))&amp;" "&amp;P$115),0)))</f>
        <v>0</v>
      </c>
      <c r="Q226" s="158" cm="1">
        <f t="array" aca="1" ref="Q226" ca="1">IF(OR($E226="X",$E226="",$E226=0,$B226="X",$B226="",$B226=0),0,SUM(_xlfn._xlws.FILTER(FrmBB1[Cur],(FrmBB1[PrjId]=TEXT($B226,"@"))*(FrmBB1[Row]=$E226)*(FrmBB1[Column]=UPPER(_xlfn.LET(_xlpm.x,_xlfn.TEXTBEFORE(Q$114," ("),IFERROR(_xlpm.x,Q$114)))&amp;" "&amp;Q$115),0)))</f>
        <v>0</v>
      </c>
      <c r="R226" s="157" cm="1">
        <f t="array" aca="1" ref="R226" ca="1">IF(OR($E226="X",$E226="",$E226=0,$B226="X",$B226="",$B226=0),0,SUM(_xlfn._xlws.FILTER(FrmBB1[Cur],(FrmBB1[PrjId]=TEXT($B226,"@"))*(FrmBB1[Row]=$E226)*(FrmBB1[Column]=UPPER(_xlfn.LET(_xlpm.x,_xlfn.TEXTBEFORE(Q$114," ("),IFERROR(_xlpm.x,Q$114)))&amp;" "&amp;R$115),0)))</f>
        <v>0</v>
      </c>
      <c r="S226" s="158" cm="1">
        <f t="array" aca="1" ref="S226" ca="1">IF(OR($E226="X",$E226="",$E226=0,$B226="X",$B226="",$B226=0),0,SUM(_xlfn._xlws.FILTER(FrmBB1[Cur],(FrmBB1[PrjId]=TEXT($B226,"@"))*(FrmBB1[Row]=$E226)*(FrmBB1[Column]=UPPER(_xlfn.LET(_xlpm.x,_xlfn.TEXTBEFORE(S$114," ("),IFERROR(_xlpm.x,S$114)))&amp;" "&amp;S$115),0)))</f>
        <v>0</v>
      </c>
      <c r="T226" s="157" cm="1">
        <f t="array" aca="1" ref="T226" ca="1">IF(OR($E226="X",$E226="",$E226=0,$B226="X",$B226="",$B226=0),0,SUM(_xlfn._xlws.FILTER(FrmBB1[Cur],(FrmBB1[PrjId]=TEXT($B226,"@"))*(FrmBB1[Row]=$E226)*(FrmBB1[Column]=UPPER(_xlfn.LET(_xlpm.x,_xlfn.TEXTBEFORE(S$114," ("),IFERROR(_xlpm.x,S$114)))&amp;" "&amp;T$115),0)))</f>
        <v>0</v>
      </c>
      <c r="U226" s="158" cm="1">
        <f t="array" aca="1" ref="U226" ca="1">IF(OR($E226="X",$E226="",$E226=0,$B226="X",$B226="",$B226=0),0,SUM(_xlfn._xlws.FILTER(FrmBB1[Cur],(FrmBB1[PrjId]=TEXT($B226,"@"))*(FrmBB1[Row]=$E226)*(FrmBB1[Column]=UPPER(_xlfn.LET(_xlpm.x,_xlfn.TEXTBEFORE(U$114," ("),IFERROR(_xlpm.x,U$114)))&amp;" "&amp;U$115),0)))</f>
        <v>0</v>
      </c>
      <c r="V226" s="157" cm="1">
        <f t="array" aca="1" ref="V226" ca="1">IF(OR($E226="X",$E226="",$E226=0,$B226="X",$B226="",$B226=0),0,SUM(_xlfn._xlws.FILTER(FrmBB1[Cur],(FrmBB1[PrjId]=TEXT($B226,"@"))*(FrmBB1[Row]=$E226)*(FrmBB1[Column]=UPPER(_xlfn.LET(_xlpm.x,_xlfn.TEXTBEFORE(U$114," ("),IFERROR(_xlpm.x,U$114)))&amp;" "&amp;V$115),0)))</f>
        <v>0</v>
      </c>
      <c r="W226" s="158" cm="1">
        <f t="array" aca="1" ref="W226" ca="1">IF(OR($E226="X",$E226="",$E226=0,$B226="X",$B226="",$B226=0),0,SUM(_xlfn._xlws.FILTER(FrmBB1[Cur],(FrmBB1[PrjId]=TEXT($B226,"@"))*(FrmBB1[Row]=$E226)*(FrmBB1[Column]=UPPER(_xlfn.LET(_xlpm.x,_xlfn.TEXTBEFORE(W$114," ("),IFERROR(_xlpm.x,W$114)))&amp;" "&amp;W$115),0)))</f>
        <v>0</v>
      </c>
      <c r="X226" s="157" cm="1">
        <f t="array" aca="1" ref="X226" ca="1">IF(OR($E226="X",$E226="",$E226=0,$B226="X",$B226="",$B226=0),0,SUM(_xlfn._xlws.FILTER(FrmBB1[Cur],(FrmBB1[PrjId]=TEXT($B226,"@"))*(FrmBB1[Row]=$E226)*(FrmBB1[Column]=UPPER(_xlfn.LET(_xlpm.x,_xlfn.TEXTBEFORE(W$114," ("),IFERROR(_xlpm.x,W$114)))&amp;" "&amp;X$115),0)))</f>
        <v>0</v>
      </c>
      <c r="Y226" s="158" cm="1">
        <f t="array" aca="1" ref="Y226" ca="1">IF(OR($E226="X",$E226="",$E226=0,$B226="X",$B226="",$B226=0),0,SUM(_xlfn._xlws.FILTER(FrmBB1[Cur],(FrmBB1[PrjId]=TEXT($B226,"@"))*(FrmBB1[Row]=$E226)*(FrmBB1[Column]=UPPER(_xlfn.LET(_xlpm.x,_xlfn.TEXTBEFORE(Y$114," ("),IFERROR(_xlpm.x,Y$114)))&amp;" "&amp;Y$115),0)))</f>
        <v>0</v>
      </c>
      <c r="Z226" s="157" cm="1">
        <f t="array" aca="1" ref="Z226" ca="1">IF(OR($E226="X",$E226="",$E226=0,$B226="X",$B226="",$B226=0),0,SUM(_xlfn._xlws.FILTER(FrmBB1[Cur],(FrmBB1[PrjId]=TEXT($B226,"@"))*(FrmBB1[Row]=$E226)*(FrmBB1[Column]=UPPER(_xlfn.LET(_xlpm.x,_xlfn.TEXTBEFORE(Y$114," ("),IFERROR(_xlpm.x,Y$114)))&amp;" "&amp;Z$115),0)))</f>
        <v>0</v>
      </c>
      <c r="AA226" s="158" cm="1">
        <f t="array" aca="1" ref="AA226" ca="1">IF(OR($E226="X",$E226="",$E226=0,$B226="X",$B226="",$B226=0),0,SUM(_xlfn._xlws.FILTER(FrmBB1[Cur],(FrmBB1[PrjId]=TEXT($B226,"@"))*(FrmBB1[Row]=$E226)*(FrmBB1[Column]=UPPER(_xlfn.LET(_xlpm.x,_xlfn.TEXTBEFORE(AA$114," ("),IFERROR(_xlpm.x,AA$114)))&amp;" "&amp;AA$115),0)))</f>
        <v>0</v>
      </c>
      <c r="AB226" s="157" cm="1">
        <f t="array" aca="1" ref="AB226" ca="1">IF(OR($E226="X",$E226="",$E226=0,$B226="X",$B226="",$B226=0),0,SUM(_xlfn._xlws.FILTER(FrmBB1[Cur],(FrmBB1[PrjId]=TEXT($B226,"@"))*(FrmBB1[Row]=$E226)*(FrmBB1[Column]=UPPER(_xlfn.LET(_xlpm.x,_xlfn.TEXTBEFORE(AA$114," ("),IFERROR(_xlpm.x,AA$114)))&amp;" "&amp;AB$115),0)))</f>
        <v>0</v>
      </c>
      <c r="AC226" s="158" cm="1">
        <f t="array" aca="1" ref="AC226" ca="1">IF(OR($E226="X",$E226="",$E226=0,$B226="X",$B226="",$B226=0),0,SUM(_xlfn._xlws.FILTER(FrmBB1[Cur],(FrmBB1[PrjId]=TEXT($B226,"@"))*(FrmBB1[Row]=$E226)*(FrmBB1[Column]=UPPER(_xlfn.LET(_xlpm.x,_xlfn.TEXTBEFORE(AC$114," ("),IFERROR(_xlpm.x,AC$114)))&amp;" "&amp;AC$115),0)))</f>
        <v>0</v>
      </c>
      <c r="AD226" s="157" cm="1">
        <f t="array" aca="1" ref="AD226" ca="1">IF(OR($E226="X",$E226="",$E226=0,$B226="X",$B226="",$B226=0),0,SUM(_xlfn._xlws.FILTER(FrmBB1[Cur],(FrmBB1[PrjId]=TEXT($B226,"@"))*(FrmBB1[Row]=$E226)*(FrmBB1[Column]=UPPER(_xlfn.LET(_xlpm.x,_xlfn.TEXTBEFORE(AC$114," ("),IFERROR(_xlpm.x,AC$114)))&amp;" "&amp;AD$115),0)))</f>
        <v>0</v>
      </c>
      <c r="AE226" s="158" cm="1">
        <f t="array" aca="1" ref="AE226" ca="1">IF(OR($E226="X",$E226="",$E226=0,$B226="X",$B226="",$B226=0),0,SUM(_xlfn._xlws.FILTER(FrmBB1[Cur],(FrmBB1[PrjId]=TEXT($B226,"@"))*(FrmBB1[Row]=$E226)*(FrmBB1[Column]=UPPER(_xlfn.LET(_xlpm.x,_xlfn.TEXTBEFORE(AE$114," ("),IFERROR(_xlpm.x,AE$114)))&amp;" "&amp;AE$115),0)))</f>
        <v>0</v>
      </c>
      <c r="AF226" s="157" cm="1">
        <f t="array" aca="1" ref="AF226" ca="1">IF(OR($E226="X",$E226="",$E226=0,$B226="X",$B226="",$B226=0),0,SUM(_xlfn._xlws.FILTER(FrmBB1[Cur],(FrmBB1[PrjId]=TEXT($B226,"@"))*(FrmBB1[Row]=$E226)*(FrmBB1[Column]=UPPER(_xlfn.LET(_xlpm.x,_xlfn.TEXTBEFORE(AE$114," ("),IFERROR(_xlpm.x,AE$114)))&amp;" "&amp;AF$115),0)))</f>
        <v>0</v>
      </c>
      <c r="AG226" s="158" cm="1">
        <f t="array" aca="1" ref="AG226" ca="1">IF(OR($E226="X",$E226="",$E226=0,$B226="X",$B226="",$B226=0),0,SUM(_xlfn._xlws.FILTER(FrmBB1[Cur],(FrmBB1[PrjId]=TEXT($B226,"@"))*(FrmBB1[Row]=$E226)*(FrmBB1[Column]=UPPER(_xlfn.LET(_xlpm.x,_xlfn.TEXTBEFORE(AG$114," ("),IFERROR(_xlpm.x,AG$114)))&amp;" "&amp;AG$115),0)))</f>
        <v>0</v>
      </c>
      <c r="AH226" s="157" cm="1">
        <f t="array" aca="1" ref="AH226" ca="1">IF(OR($E226="X",$E226="",$E226=0,$B226="X",$B226="",$B226=0),0,SUM(_xlfn._xlws.FILTER(FrmBB1[Cur],(FrmBB1[PrjId]=TEXT($B226,"@"))*(FrmBB1[Row]=$E226)*(FrmBB1[Column]=UPPER(_xlfn.LET(_xlpm.x,_xlfn.TEXTBEFORE(AG$114," ("),IFERROR(_xlpm.x,AG$114)))&amp;" "&amp;AH$115),0)))</f>
        <v>0</v>
      </c>
      <c r="AI226" s="158" cm="1">
        <f t="array" aca="1" ref="AI226" ca="1">IF(OR($E226="X",$E226="",$E226=0,$B226="X",$B226="",$B226=0),0,SUM(_xlfn._xlws.FILTER(FrmBB1[Cur],(FrmBB1[PrjId]=TEXT($B226,"@"))*(FrmBB1[Row]=$E226)*(FrmBB1[Column]=UPPER(_xlfn.LET(_xlpm.x,_xlfn.TEXTBEFORE(AI$114," ("),IFERROR(_xlpm.x,AI$114)))&amp;" "&amp;AI$115),0)))</f>
        <v>0</v>
      </c>
      <c r="AJ226" s="157" cm="1">
        <f t="array" aca="1" ref="AJ226" ca="1">IF(OR($E226="X",$E226="",$E226=0,$B226="X",$B226="",$B226=0),0,SUM(_xlfn._xlws.FILTER(FrmBB1[Cur],(FrmBB1[PrjId]=TEXT($B226,"@"))*(FrmBB1[Row]=$E226)*(FrmBB1[Column]=UPPER(_xlfn.LET(_xlpm.x,_xlfn.TEXTBEFORE(AI$114," ("),IFERROR(_xlpm.x,AI$114)))&amp;" "&amp;AJ$115),0)))</f>
        <v>0</v>
      </c>
      <c r="AK226" s="158" cm="1">
        <f t="array" aca="1" ref="AK226" ca="1">IF(OR($E226="X",$E226="",$E226=0,$B226="X",$B226="",$B226=0),0,SUM(_xlfn._xlws.FILTER(FrmBB1[Cur],(FrmBB1[PrjId]=TEXT($B226,"@"))*(FrmBB1[Row]=$E226)*(FrmBB1[Column]=UPPER(_xlfn.LET(_xlpm.x,_xlfn.TEXTBEFORE(AK$114," ("),IFERROR(_xlpm.x,AK$114)))&amp;" "&amp;AK$115),0)))</f>
        <v>0</v>
      </c>
      <c r="AL226" s="157" cm="1">
        <f t="array" aca="1" ref="AL226" ca="1">IF(OR($E226="X",$E226="",$E226=0,$B226="X",$B226="",$B226=0),0,SUM(_xlfn._xlws.FILTER(FrmBB1[Cur],(FrmBB1[PrjId]=TEXT($B226,"@"))*(FrmBB1[Row]=$E226)*(FrmBB1[Column]=UPPER(_xlfn.LET(_xlpm.x,_xlfn.TEXTBEFORE(AK$114," ("),IFERROR(_xlpm.x,AK$114)))&amp;" "&amp;AL$115),0)))</f>
        <v>0</v>
      </c>
      <c r="AM226" s="158" cm="1">
        <f t="array" aca="1" ref="AM226" ca="1">IF(OR($E226="X",$E226="",$E226=0,$B226="X",$B226="",$B226=0),0,SUM(_xlfn._xlws.FILTER(FrmBB1[Cur],(FrmBB1[PrjId]=TEXT($B226,"@"))*(FrmBB1[Row]=$E226)*(FrmBB1[Column]=UPPER(_xlfn.LET(_xlpm.x,_xlfn.TEXTBEFORE(AM$114," ("),IFERROR(_xlpm.x,AM$114)))&amp;" "&amp;AM$115),0)))</f>
        <v>0</v>
      </c>
      <c r="AN226" s="157" cm="1">
        <f t="array" aca="1" ref="AN226" ca="1">IF(OR($E226="X",$E226="",$E226=0,$B226="X",$B226="",$B226=0),0,SUM(_xlfn._xlws.FILTER(FrmBB1[Cur],(FrmBB1[PrjId]=TEXT($B226,"@"))*(FrmBB1[Row]=$E226)*(FrmBB1[Column]=UPPER(_xlfn.LET(_xlpm.x,_xlfn.TEXTBEFORE(AM$114," ("),IFERROR(_xlpm.x,AM$114)))&amp;" "&amp;AN$115),0)))</f>
        <v>0</v>
      </c>
      <c r="AO226" s="158" cm="1">
        <f t="array" aca="1" ref="AO226" ca="1">IF(OR($E226="X",$E226="",$E226=0,$B226="X",$B226="",$B226=0),0,SUM(_xlfn._xlws.FILTER(FrmBB1[Cur],(FrmBB1[PrjId]=TEXT($B226,"@"))*(FrmBB1[Row]=$E226)*(FrmBB1[Column]=UPPER(_xlfn.LET(_xlpm.x,_xlfn.TEXTBEFORE(AO$114," ("),IFERROR(_xlpm.x,AO$114)))&amp;" "&amp;AO$115),0)))</f>
        <v>0</v>
      </c>
      <c r="AP226" s="157" cm="1">
        <f t="array" aca="1" ref="AP226" ca="1">IF(OR($E226="X",$E226="",$E226=0,$B226="X",$B226="",$B226=0),0,SUM(_xlfn._xlws.FILTER(FrmBB1[Cur],(FrmBB1[PrjId]=TEXT($B226,"@"))*(FrmBB1[Row]=$E226)*(FrmBB1[Column]=UPPER(_xlfn.LET(_xlpm.x,_xlfn.TEXTBEFORE(AO$114," ("),IFERROR(_xlpm.x,AO$114)))&amp;" "&amp;AP$115),0)))</f>
        <v>0</v>
      </c>
      <c r="AQ226" s="157" cm="1">
        <f t="array" aca="1" ref="AQ226" ca="1">SUM(IF(INDIRECT($AS$115)=AQ$115,INDIRECT($AS226)))</f>
        <v>0</v>
      </c>
      <c r="AR226" s="157" cm="1">
        <f t="array" aca="1" ref="AR226" ca="1">SUM(IF(INDIRECT($AS$115)=AR$115,INDIRECT($AS226)))</f>
        <v>0</v>
      </c>
      <c r="AS226" s="286" t="str">
        <f t="shared" ca="1" si="18"/>
        <v>G226:AP226</v>
      </c>
      <c r="AT226" s="403">
        <f t="shared" ca="1" si="17"/>
        <v>0</v>
      </c>
      <c r="AV226" s="142" cm="1">
        <f t="array" aca="1" ref="AV226" ca="1">IF(AND(_xlfn.LET(_xlpm.x,SUM(ROW()),OR(AND(MATCH("SOT",$A:$A,0)&lt;_xlpm.x,MATCH("EOT",$A:$A,0)&gt;_xlpm.x),AND(MATCH("SOS",$A:$A,0)&lt;_xlpm.x,MATCH("EOS",$A:$A,0)&gt;_xlpm.x),AND(MATCH("SOR",$A:$A,0)&lt;_xlpm.x,MATCH("EOR",$A:$A,0)&gt;_xlpm.x))),INDIRECT("rc"&amp;MATCH("SCD",$1:$1,0),FALSE)="PPTO"),1,0)</f>
        <v>0</v>
      </c>
      <c r="AW226" s="142" cm="1">
        <f t="array" aca="1" ref="AW22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227" spans="2:49" outlineLevel="1">
      <c r="B227" s="156" t="str" cm="1">
        <f t="array" aca="1" ref="B227" ca="1">_xlfn.LET(_xlpm.x,SUM(ROW()-MATCH("SOR",$A:$A,0)),_xlpm.y,IFERROR(_xlfn.TAKE(INDEX(_xlfn._xlws.FILTER(TbAssign[],ISNUMBER(FIND(TbAssign[Project],$C$4)),"X"),1+QUOTIENT(_xlpm.x,3),0),1,4),0),IF(MOD(_xlpm.x-1,3)=0,IF(_xlpm.y=0,"X",_xlpm.y),INDIRECT("r[-1]c#",FALSE)))</f>
        <v>X</v>
      </c>
      <c r="C227" s="156"/>
      <c r="E227" s="352"/>
      <c r="F227" s="148" t="s">
        <v>397</v>
      </c>
      <c r="G227" s="157" cm="1">
        <f t="array" aca="1" ref="G227" ca="1">IF(OR($E227="X",$E227="",$E227=0,$B227="X",$B227="",$B227=0),0,SUM(_xlfn._xlws.FILTER(IF($E$4="Ppto",PptoSty[CurPpto],PptoSty[CurInt]),(IF($E$4="Ppto",PptoSty[POvsCT]=G$113,TRUE))*(PptoSty[Project]=TEXT($B227,"@"))*(PptoSty[PptoVsRow]=$E227)*(PptoSty[PptoVsColumn]=UPPER(G$114)),0)))</f>
        <v>0</v>
      </c>
      <c r="H227" s="157" cm="1">
        <f t="array" aca="1" ref="H227" ca="1">IF(OR($E227="X",$E227="",$E227=0,$B227="X",$B227="",$B227=0),0,SUM(_xlfn._xlws.FILTER(IF($E$4="Ppto",PptoSty[CurPpto],PptoSty[CurExt]),(IF($E$4="Ppto",PptoSty[POvsCT]=H$113,TRUE))*(PptoSty[Project]=TEXT($B227,"@"))*(PptoSty[PptoVsRow]=$E227)*(PptoSty[PptoVsColumn]=UPPER(G$114)),0)))</f>
        <v>0</v>
      </c>
      <c r="I227" s="157" cm="1">
        <f t="array" aca="1" ref="I227" ca="1">IF(OR($E227="X",$E227="",$E227=0,$B227="X",$B227="",$B227=0),0,SUM(_xlfn._xlws.FILTER(IF($E$4="Ppto",PptoSty[CurPpto],PptoSty[CurInt]),(IF($E$4="Ppto",PptoSty[POvsCT]=I$113,TRUE))*(PptoSty[Project]=TEXT($B227,"@"))*(PptoSty[PptoVsRow]=$E227)*(PptoSty[PptoVsColumn]=UPPER(I$114)),0)))</f>
        <v>0</v>
      </c>
      <c r="J227" s="157" cm="1">
        <f t="array" aca="1" ref="J227" ca="1">IF(OR($E227="X",$E227="",$E227=0,$B227="X",$B227="",$B227=0),0,SUM(_xlfn._xlws.FILTER(IF($E$4="Ppto",PptoSty[CurPpto],PptoSty[CurExt]),(IF($E$4="Ppto",PptoSty[POvsCT]=J$113,TRUE))*(PptoSty[Project]=TEXT($B227,"@"))*(PptoSty[PptoVsRow]=$E227)*(PptoSty[PptoVsColumn]=UPPER(I$114)),0)))</f>
        <v>0</v>
      </c>
      <c r="K227" s="157" cm="1">
        <f t="array" aca="1" ref="K227" ca="1">IF(OR($E227="X",$E227="",$E227=0,$B227="X",$B227="",$B227=0),0,SUM(_xlfn._xlws.FILTER(IF($E$4="Ppto",PptoSty[CurPpto],PptoSty[CurInt]),(IF($E$4="Ppto",PptoSty[POvsCT]=K$113,TRUE))*(PptoSty[Project]=TEXT($B227,"@"))*(PptoSty[PptoVsRow]=$E227)*(PptoSty[PptoVsColumn]=UPPER(K$114)),0)))</f>
        <v>0</v>
      </c>
      <c r="L227" s="157" cm="1">
        <f t="array" aca="1" ref="L227" ca="1">IF(OR($E227="X",$E227="",$E227=0,$B227="X",$B227="",$B227=0),0,SUM(_xlfn._xlws.FILTER(IF($E$4="Ppto",PptoSty[CurPpto],PptoSty[CurExt]),(IF($E$4="Ppto",PptoSty[POvsCT]=L$113,TRUE))*(PptoSty[Project]=TEXT($B227,"@"))*(PptoSty[PptoVsRow]=$E227)*(PptoSty[PptoVsColumn]=UPPER(K$114)),0)))</f>
        <v>0</v>
      </c>
      <c r="M227" s="157" cm="1">
        <f t="array" aca="1" ref="M227" ca="1">IF(OR($E227="X",$E227="",$E227=0,$B227="X",$B227="",$B227=0),0,SUM(_xlfn._xlws.FILTER(IF($E$4="Ppto",PptoSty[CurPpto],PptoSty[CurInt]),(IF($E$4="Ppto",PptoSty[POvsCT]=M$113,TRUE))*(PptoSty[Project]=TEXT($B227,"@"))*(PptoSty[PptoVsRow]=$E227)*(PptoSty[PptoVsColumn]=UPPER(M$114)),0)))</f>
        <v>0</v>
      </c>
      <c r="N227" s="157" cm="1">
        <f t="array" aca="1" ref="N227" ca="1">IF(OR($E227="X",$E227="",$E227=0,$B227="X",$B227="",$B227=0),0,SUM(_xlfn._xlws.FILTER(IF($E$4="Ppto",PptoSty[CurPpto],PptoSty[CurExt]),(IF($E$4="Ppto",PptoSty[POvsCT]=N$113,TRUE))*(PptoSty[Project]=TEXT($B227,"@"))*(PptoSty[PptoVsRow]=$E227)*(PptoSty[PptoVsColumn]=UPPER(M$114)),0)))</f>
        <v>0</v>
      </c>
      <c r="O227" s="157" cm="1">
        <f t="array" aca="1" ref="O227" ca="1">IF(OR($E227="X",$E227="",$E227=0,$B227="X",$B227="",$B227=0),0,SUM(_xlfn._xlws.FILTER(IF($E$4="Ppto",PptoSty[CurPpto],PptoSty[CurInt]),(IF($E$4="Ppto",PptoSty[POvsCT]=O$113,TRUE))*(PptoSty[Project]=TEXT($B227,"@"))*(PptoSty[PptoVsRow]=$E227)*(PptoSty[PptoVsColumn]=UPPER(O$114)),0)))</f>
        <v>0</v>
      </c>
      <c r="P227" s="157" cm="1">
        <f t="array" aca="1" ref="P227" ca="1">IF(OR($E227="X",$E227="",$E227=0,$B227="X",$B227="",$B227=0),0,SUM(_xlfn._xlws.FILTER(IF($E$4="Ppto",PptoSty[CurPpto],PptoSty[CurExt]),(IF($E$4="Ppto",PptoSty[POvsCT]=P$113,TRUE))*(PptoSty[Project]=TEXT($B227,"@"))*(PptoSty[PptoVsRow]=$E227)*(PptoSty[PptoVsColumn]=UPPER(O$114)),0)))</f>
        <v>0</v>
      </c>
      <c r="Q227" s="157" cm="1">
        <f t="array" aca="1" ref="Q227" ca="1">IF(OR($E227="X",$E227="",$E227=0,$B227="X",$B227="",$B227=0),0,SUM(_xlfn._xlws.FILTER(IF($E$4="Ppto",PptoSty[CurPpto],PptoSty[CurInt]),(IF($E$4="Ppto",PptoSty[POvsCT]=Q$113,TRUE))*(PptoSty[Project]=TEXT($B227,"@"))*(PptoSty[PptoVsRow]=$E227)*(PptoSty[PptoVsColumn]=UPPER(Q$114)),0)))</f>
        <v>0</v>
      </c>
      <c r="R227" s="157" cm="1">
        <f t="array" aca="1" ref="R227" ca="1">IF(OR($E227="X",$E227="",$E227=0,$B227="X",$B227="",$B227=0),0,SUM(_xlfn._xlws.FILTER(IF($E$4="Ppto",PptoSty[CurPpto],PptoSty[CurExt]),(IF($E$4="Ppto",PptoSty[POvsCT]=R$113,TRUE))*(PptoSty[Project]=TEXT($B227,"@"))*(PptoSty[PptoVsRow]=$E227)*(PptoSty[PptoVsColumn]=UPPER(Q$114)),0)))</f>
        <v>0</v>
      </c>
      <c r="S227" s="157" cm="1">
        <f t="array" aca="1" ref="S227" ca="1">IF(OR($E227="X",$E227="",$E227=0,$B227="X",$B227="",$B227=0),0,SUM(_xlfn._xlws.FILTER(IF($E$4="Ppto",PptoSty[CurPpto],PptoSty[CurInt]),(IF($E$4="Ppto",PptoSty[POvsCT]=S$113,TRUE))*(PptoSty[Project]=TEXT($B227,"@"))*(PptoSty[PptoVsRow]=$E227)*(PptoSty[PptoVsColumn]=UPPER(S$114)),0)))</f>
        <v>0</v>
      </c>
      <c r="T227" s="157" cm="1">
        <f t="array" aca="1" ref="T227" ca="1">IF(OR($E227="X",$E227="",$E227=0,$B227="X",$B227="",$B227=0),0,SUM(_xlfn._xlws.FILTER(IF($E$4="Ppto",PptoSty[CurPpto],PptoSty[CurExt]),(IF($E$4="Ppto",PptoSty[POvsCT]=T$113,TRUE))*(PptoSty[Project]=TEXT($B227,"@"))*(PptoSty[PptoVsRow]=$E227)*(PptoSty[PptoVsColumn]=UPPER(S$114)),0)))</f>
        <v>0</v>
      </c>
      <c r="U227" s="157" cm="1">
        <f t="array" aca="1" ref="U227" ca="1">IF(OR($E227="X",$E227="",$E227=0,$B227="X",$B227="",$B227=0),0,SUM(_xlfn._xlws.FILTER(IF($E$4="Ppto",PptoSty[CurPpto],PptoSty[CurInt]),(IF($E$4="Ppto",PptoSty[POvsCT]=U$113,TRUE))*(PptoSty[Project]=TEXT($B227,"@"))*(PptoSty[PptoVsRow]=$E227)*(PptoSty[PptoVsColumn]=UPPER(U$114)),0)))</f>
        <v>0</v>
      </c>
      <c r="V227" s="157" cm="1">
        <f t="array" aca="1" ref="V227" ca="1">IF(OR($E227="X",$E227="",$E227=0,$B227="X",$B227="",$B227=0),0,SUM(_xlfn._xlws.FILTER(IF($E$4="Ppto",PptoSty[CurPpto],PptoSty[CurExt]),(IF($E$4="Ppto",PptoSty[POvsCT]=V$113,TRUE))*(PptoSty[Project]=TEXT($B227,"@"))*(PptoSty[PptoVsRow]=$E227)*(PptoSty[PptoVsColumn]=UPPER(U$114)),0)))</f>
        <v>0</v>
      </c>
      <c r="W227" s="157" cm="1">
        <f t="array" aca="1" ref="W227" ca="1">IF(OR($E227="X",$E227="",$E227=0,$B227="X",$B227="",$B227=0),0,SUM(_xlfn._xlws.FILTER(IF($E$4="Ppto",PptoSty[CurPpto],PptoSty[CurInt]),(IF($E$4="Ppto",PptoSty[POvsCT]=W$113,TRUE))*(PptoSty[Project]=TEXT($B227,"@"))*(PptoSty[PptoVsRow]=$E227)*(PptoSty[PptoVsColumn]=UPPER(W$114)),0)))</f>
        <v>0</v>
      </c>
      <c r="X227" s="157" cm="1">
        <f t="array" aca="1" ref="X227" ca="1">IF(OR($E227="X",$E227="",$E227=0,$B227="X",$B227="",$B227=0),0,SUM(_xlfn._xlws.FILTER(IF($E$4="Ppto",PptoSty[CurPpto],PptoSty[CurExt]),(IF($E$4="Ppto",PptoSty[POvsCT]=X$113,TRUE))*(PptoSty[Project]=TEXT($B227,"@"))*(PptoSty[PptoVsRow]=$E227)*(PptoSty[PptoVsColumn]=UPPER(W$114)),0)))</f>
        <v>0</v>
      </c>
      <c r="Y227" s="157" cm="1">
        <f t="array" aca="1" ref="Y227" ca="1">IF(OR($E227="X",$E227="",$E227=0,$B227="X",$B227="",$B227=0),0,SUM(_xlfn._xlws.FILTER(IF($E$4="Ppto",PptoSty[CurPpto],PptoSty[CurInt]),(IF($E$4="Ppto",PptoSty[POvsCT]=Y$113,TRUE))*(PptoSty[Project]=TEXT($B227,"@"))*(PptoSty[PptoVsRow]=$E227)*(PptoSty[PptoVsColumn]=UPPER(Y$114)),0)))</f>
        <v>0</v>
      </c>
      <c r="Z227" s="157" cm="1">
        <f t="array" aca="1" ref="Z227" ca="1">IF(OR($E227="X",$E227="",$E227=0,$B227="X",$B227="",$B227=0),0,SUM(_xlfn._xlws.FILTER(IF($E$4="Ppto",PptoSty[CurPpto],PptoSty[CurExt]),(IF($E$4="Ppto",PptoSty[POvsCT]=Z$113,TRUE))*(PptoSty[Project]=TEXT($B227,"@"))*(PptoSty[PptoVsRow]=$E227)*(PptoSty[PptoVsColumn]=UPPER(Y$114)),0)))</f>
        <v>0</v>
      </c>
      <c r="AA227" s="157" cm="1">
        <f t="array" aca="1" ref="AA227" ca="1">IF(OR($E227="X",$E227="",$E227=0,$B227="X",$B227="",$B227=0),0,SUM(_xlfn._xlws.FILTER(IF($E$4="Ppto",PptoSty[CurPpto],PptoSty[CurInt]),(IF($E$4="Ppto",PptoSty[POvsCT]=AA$113,TRUE))*(PptoSty[Project]=TEXT($B227,"@"))*(PptoSty[PptoVsRow]=$E227)*(PptoSty[PptoVsColumn]=UPPER(AA$114)),0)))</f>
        <v>0</v>
      </c>
      <c r="AB227" s="157" cm="1">
        <f t="array" aca="1" ref="AB227" ca="1">IF(OR($E227="X",$E227="",$E227=0,$B227="X",$B227="",$B227=0),0,SUM(_xlfn._xlws.FILTER(IF($E$4="Ppto",PptoSty[CurPpto],PptoSty[CurExt]),(IF($E$4="Ppto",PptoSty[POvsCT]=AB$113,TRUE))*(PptoSty[Project]=TEXT($B227,"@"))*(PptoSty[PptoVsRow]=$E227)*(PptoSty[PptoVsColumn]=UPPER(AA$114)),0)))</f>
        <v>0</v>
      </c>
      <c r="AC227" s="157" cm="1">
        <f t="array" aca="1" ref="AC227" ca="1">IF(OR($E227="X",$E227="",$E227=0,$B227="X",$B227="",$B227=0),0,SUM(_xlfn._xlws.FILTER(IF($E$4="Ppto",PptoSty[CurPpto],PptoSty[CurInt]),(IF($E$4="Ppto",PptoSty[POvsCT]=AC$113,TRUE))*(PptoSty[Project]=TEXT($B227,"@"))*(PptoSty[PptoVsRow]=$E227)*(PptoSty[PptoVsColumn]=UPPER(AC$114)),0)))</f>
        <v>0</v>
      </c>
      <c r="AD227" s="157" cm="1">
        <f t="array" aca="1" ref="AD227" ca="1">IF(OR($E227="X",$E227="",$E227=0,$B227="X",$B227="",$B227=0),0,SUM(_xlfn._xlws.FILTER(IF($E$4="Ppto",PptoSty[CurPpto],PptoSty[CurExt]),(IF($E$4="Ppto",PptoSty[POvsCT]=AD$113,TRUE))*(PptoSty[Project]=TEXT($B227,"@"))*(PptoSty[PptoVsRow]=$E227)*(PptoSty[PptoVsColumn]=UPPER(AC$114)),0)))</f>
        <v>0</v>
      </c>
      <c r="AE227" s="157" cm="1">
        <f t="array" aca="1" ref="AE227" ca="1">IF(OR($E227="X",$E227="",$E227=0,$B227="X",$B227="",$B227=0),0,SUM(_xlfn._xlws.FILTER(IF($E$4="Ppto",PptoSty[CurPpto],PptoSty[CurInt]),(IF($E$4="Ppto",PptoSty[POvsCT]=AE$113,TRUE))*(PptoSty[Project]=TEXT($B227,"@"))*(PptoSty[PptoVsRow]=$E227)*(PptoSty[PptoVsColumn]=UPPER(AE$114)),0)))</f>
        <v>0</v>
      </c>
      <c r="AF227" s="157" cm="1">
        <f t="array" aca="1" ref="AF227" ca="1">IF(OR($E227="X",$E227="",$E227=0,$B227="X",$B227="",$B227=0),0,SUM(_xlfn._xlws.FILTER(IF($E$4="Ppto",PptoSty[CurPpto],PptoSty[CurExt]),(IF($E$4="Ppto",PptoSty[POvsCT]=AF$113,TRUE))*(PptoSty[Project]=TEXT($B227,"@"))*(PptoSty[PptoVsRow]=$E227)*(PptoSty[PptoVsColumn]=UPPER(AE$114)),0)))</f>
        <v>0</v>
      </c>
      <c r="AG227" s="157" cm="1">
        <f t="array" aca="1" ref="AG227" ca="1">IF(OR($E227="X",$E227="",$E227=0,$B227="X",$B227="",$B227=0),0,SUM(_xlfn._xlws.FILTER(IF($E$4="Ppto",PptoSty[CurPpto],PptoSty[CurInt]),(IF($E$4="Ppto",PptoSty[POvsCT]=AG$113,TRUE))*(PptoSty[Project]=TEXT($B227,"@"))*(PptoSty[PptoVsRow]=$E227)*(PptoSty[PptoVsColumn]=UPPER(AG$114)),0)))</f>
        <v>0</v>
      </c>
      <c r="AH227" s="157" cm="1">
        <f t="array" aca="1" ref="AH227" ca="1">IF(OR($E227="X",$E227="",$E227=0,$B227="X",$B227="",$B227=0),0,SUM(_xlfn._xlws.FILTER(IF($E$4="Ppto",PptoSty[CurPpto],PptoSty[CurExt]),(IF($E$4="Ppto",PptoSty[POvsCT]=AH$113,TRUE))*(PptoSty[Project]=TEXT($B227,"@"))*(PptoSty[PptoVsRow]=$E227)*(PptoSty[PptoVsColumn]=UPPER(AG$114)),0)))</f>
        <v>0</v>
      </c>
      <c r="AI227" s="157" cm="1">
        <f t="array" aca="1" ref="AI227" ca="1">IF(OR($E227="X",$E227="",$E227=0,$B227="X",$B227="",$B227=0),0,SUM(_xlfn._xlws.FILTER(IF($E$4="Ppto",PptoSty[CurPpto],PptoSty[CurInt]),(IF($E$4="Ppto",PptoSty[POvsCT]=AI$113,TRUE))*(PptoSty[Project]=TEXT($B227,"@"))*(PptoSty[PptoVsRow]=$E227)*(PptoSty[PptoVsColumn]=UPPER(AI$114)),0)))</f>
        <v>0</v>
      </c>
      <c r="AJ227" s="157" cm="1">
        <f t="array" aca="1" ref="AJ227" ca="1">IF(OR($E227="X",$E227="",$E227=0,$B227="X",$B227="",$B227=0),0,SUM(_xlfn._xlws.FILTER(IF($E$4="Ppto",PptoSty[CurPpto],PptoSty[CurExt]),(IF($E$4="Ppto",PptoSty[POvsCT]=AJ$113,TRUE))*(PptoSty[Project]=TEXT($B227,"@"))*(PptoSty[PptoVsRow]=$E227)*(PptoSty[PptoVsColumn]=UPPER(AI$114)),0)))</f>
        <v>0</v>
      </c>
      <c r="AK227" s="157" cm="1">
        <f t="array" aca="1" ref="AK227" ca="1">IF(OR($E227="X",$E227="",$E227=0,$B227="X",$B227="",$B227=0),0,SUM(_xlfn._xlws.FILTER(IF($E$4="Ppto",PptoSty[CurPpto],PptoSty[CurInt]),(IF($E$4="Ppto",PptoSty[POvsCT]=AK$113,TRUE))*(PptoSty[Project]=TEXT($B227,"@"))*(PptoSty[PptoVsRow]=$E227)*(PptoSty[PptoVsColumn]=UPPER(AK$114)),0)))</f>
        <v>0</v>
      </c>
      <c r="AL227" s="157" cm="1">
        <f t="array" aca="1" ref="AL227" ca="1">IF(OR($E227="X",$E227="",$E227=0,$B227="X",$B227="",$B227=0),0,SUM(_xlfn._xlws.FILTER(IF($E$4="Ppto",PptoSty[CurPpto],PptoSty[CurExt]),(IF($E$4="Ppto",PptoSty[POvsCT]=AL$113,TRUE))*(PptoSty[Project]=TEXT($B227,"@"))*(PptoSty[PptoVsRow]=$E227)*(PptoSty[PptoVsColumn]=UPPER(AK$114)),0)))</f>
        <v>0</v>
      </c>
      <c r="AM227" s="157" cm="1">
        <f t="array" aca="1" ref="AM227" ca="1">IF(OR($E227="X",$E227="",$E227=0,$B227="X",$B227="",$B227=0),0,SUM(_xlfn._xlws.FILTER(IF($E$4="Ppto",PptoSty[CurPpto],PptoSty[CurInt]),(IF($E$4="Ppto",PptoSty[POvsCT]=AM$113,TRUE))*(PptoSty[Project]=TEXT($B227,"@"))*(PptoSty[PptoVsRow]=$E227)*(PptoSty[PptoVsColumn]=UPPER(AM$114)),0)))</f>
        <v>0</v>
      </c>
      <c r="AN227" s="157" cm="1">
        <f t="array" aca="1" ref="AN227" ca="1">IF(OR($E227="X",$E227="",$E227=0,$B227="X",$B227="",$B227=0),0,SUM(_xlfn._xlws.FILTER(IF($E$4="Ppto",PptoSty[CurPpto],PptoSty[CurExt]),(IF($E$4="Ppto",PptoSty[POvsCT]=AN$113,TRUE))*(PptoSty[Project]=TEXT($B227,"@"))*(PptoSty[PptoVsRow]=$E227)*(PptoSty[PptoVsColumn]=UPPER(AM$114)),0)))</f>
        <v>0</v>
      </c>
      <c r="AO227" s="157" cm="1">
        <f t="array" aca="1" ref="AO227" ca="1">IF(OR($E227="X",$E227="",$E227=0,$B227="X",$B227="",$B227=0),0,SUM(_xlfn._xlws.FILTER(IF($E$4="Ppto",PptoSty[CurPpto],PptoSty[CurInt]),(IF($E$4="Ppto",PptoSty[POvsCT]=AO$113,TRUE))*(PptoSty[Project]=TEXT($B227,"@"))*(PptoSty[PptoVsRow]=$E227)*(PptoSty[PptoVsColumn]=UPPER(AO$114)),0)))</f>
        <v>0</v>
      </c>
      <c r="AP227" s="157" cm="1">
        <f t="array" aca="1" ref="AP227" ca="1">IF(OR($E227="X",$E227="",$E227=0,$B227="X",$B227="",$B227=0),0,SUM(_xlfn._xlws.FILTER(IF($E$4="Ppto",PptoSty[CurPpto],PptoSty[CurExt]),(IF($E$4="Ppto",PptoSty[POvsCT]=AP$113,TRUE))*(PptoSty[Project]=TEXT($B227,"@"))*(PptoSty[PptoVsRow]=$E227)*(PptoSty[PptoVsColumn]=UPPER(AO$114)),0)))</f>
        <v>0</v>
      </c>
      <c r="AQ227" s="157" cm="1">
        <f t="array" aca="1" ref="AQ227" ca="1">SUM(IF(INDIRECT($AS$115)=AQ$115,INDIRECT($AS227)))</f>
        <v>0</v>
      </c>
      <c r="AR227" s="157" cm="1">
        <f t="array" aca="1" ref="AR227" ca="1">SUM(IF(INDIRECT($AS$115)=AR$115,INDIRECT($AS227)))</f>
        <v>0</v>
      </c>
      <c r="AS227" s="286" t="str">
        <f t="shared" ca="1" si="18"/>
        <v>G227:AP227</v>
      </c>
      <c r="AT227" s="403">
        <f t="shared" ca="1" si="17"/>
        <v>0</v>
      </c>
      <c r="AV227" s="142" cm="1">
        <f t="array" aca="1" ref="AV227" ca="1">IF(AND(_xlfn.LET(_xlpm.x,SUM(ROW()),OR(AND(MATCH("SOT",$A:$A,0)&lt;_xlpm.x,MATCH("EOT",$A:$A,0)&gt;_xlpm.x),AND(MATCH("SOS",$A:$A,0)&lt;_xlpm.x,MATCH("EOS",$A:$A,0)&gt;_xlpm.x),AND(MATCH("SOR",$A:$A,0)&lt;_xlpm.x,MATCH("EOR",$A:$A,0)&gt;_xlpm.x))),INDIRECT("rc"&amp;MATCH("SCD",$1:$1,0),FALSE)="PPTO"),1,0)</f>
        <v>1</v>
      </c>
      <c r="AW227" s="142" cm="1">
        <f t="array" aca="1" ref="AW22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228" spans="2:49" outlineLevel="1">
      <c r="B228" s="156" t="str" cm="1">
        <f t="array" aca="1" ref="B228" ca="1">_xlfn.LET(_xlpm.x,SUM(ROW()-MATCH("SOR",$A:$A,0)),_xlpm.y,IFERROR(_xlfn.TAKE(INDEX(_xlfn._xlws.FILTER(TbAssign[],ISNUMBER(FIND(TbAssign[Project],$C$4)),"X"),1+QUOTIENT(_xlpm.x,3),0),1,4),0),IF(MOD(_xlpm.x-1,3)=0,IF(_xlpm.y=0,"X",_xlpm.y),INDIRECT("r[-1]c#",FALSE)))</f>
        <v>X</v>
      </c>
      <c r="C228" s="156"/>
      <c r="E228" s="352"/>
      <c r="F228" s="148" t="s">
        <v>1382</v>
      </c>
      <c r="G228" s="157" cm="1">
        <f t="array" aca="1" ref="G228" ca="1">IF(OR($E228="X",$E228="",$E228=0,$B228="X",$B228="",$B228=0),0,SUM(_xlfn._xlws.FILTER(PrvSty[DsvValue:SERRA],(PrvSty[Project]=TEXT($B228,"@"))*(PrvSty[Row]=$E228)*(PrvSty[Column]=UPPER(G$114)),0)))</f>
        <v>0</v>
      </c>
      <c r="H228" s="157" cm="1">
        <f t="array" aca="1" ref="H228" ca="1">IF(OR($E228="X",$E228="",$E228=0,$B228="X",$B228="",$B228=0),0,SUM(_xlfn._xlws.FILTER(PrvSty[DsvValue:EXT.],(PrvSty[Project]=TEXT($B228,"@"))*(PrvSty[Row]=$E228)*(PrvSty[Column]=UPPER(G$114)),0)))</f>
        <v>0</v>
      </c>
      <c r="I228" s="157" cm="1">
        <f t="array" aca="1" ref="I228" ca="1">IF(OR($E228="X",$E228="",$E228=0,$B228="X",$B228="",$B228=0),0,SUM(_xlfn._xlws.FILTER(PrvSty[DsvValue:SERRA],(PrvSty[Project]=TEXT($B228,"@"))*(PrvSty[Row]=$E228)*(PrvSty[Column]=UPPER(I$114)),0)))</f>
        <v>0</v>
      </c>
      <c r="J228" s="157" cm="1">
        <f t="array" aca="1" ref="J228" ca="1">IF(OR($E228="X",$E228="",$E228=0,$B228="X",$B228="",$B228=0),0,SUM(_xlfn._xlws.FILTER(PrvSty[DsvValue:EXT.],(PrvSty[Project]=TEXT($B228,"@"))*(PrvSty[Row]=$E228)*(PrvSty[Column]=UPPER(I$114)),0)))</f>
        <v>0</v>
      </c>
      <c r="K228" s="157" cm="1">
        <f t="array" aca="1" ref="K228" ca="1">IF(OR($E228="X",$E228="",$E228=0,$B228="X",$B228="",$B228=0),0,SUM(_xlfn._xlws.FILTER(PrvSty[DsvValue:SERRA],(PrvSty[Project]=TEXT($B228,"@"))*(PrvSty[Row]=$E228)*(PrvSty[Column]=UPPER(K$114)),0)))</f>
        <v>0</v>
      </c>
      <c r="L228" s="157" cm="1">
        <f t="array" aca="1" ref="L228" ca="1">IF(OR($E228="X",$E228="",$E228=0,$B228="X",$B228="",$B228=0),0,SUM(_xlfn._xlws.FILTER(PrvSty[DsvValue:EXT.],(PrvSty[Project]=TEXT($B228,"@"))*(PrvSty[Row]=$E228)*(PrvSty[Column]=UPPER(K$114)),0)))</f>
        <v>0</v>
      </c>
      <c r="M228" s="157" cm="1">
        <f t="array" aca="1" ref="M228" ca="1">IF(OR($E228="X",$E228="",$E228=0,$B228="X",$B228="",$B228=0),0,SUM(_xlfn._xlws.FILTER(PrvSty[DsvValue:SERRA],(PrvSty[Project]=TEXT($B228,"@"))*(PrvSty[Row]=$E228)*(PrvSty[Column]=UPPER(M$114)),0)))</f>
        <v>0</v>
      </c>
      <c r="N228" s="157" cm="1">
        <f t="array" aca="1" ref="N228" ca="1">IF(OR($E228="X",$E228="",$E228=0,$B228="X",$B228="",$B228=0),0,SUM(_xlfn._xlws.FILTER(PrvSty[DsvValue:EXT.],(PrvSty[Project]=TEXT($B228,"@"))*(PrvSty[Row]=$E228)*(PrvSty[Column]=UPPER(M$114)),0)))</f>
        <v>0</v>
      </c>
      <c r="O228" s="157" cm="1">
        <f t="array" aca="1" ref="O228" ca="1">IF(OR($E228="X",$E228="",$E228=0,$B228="X",$B228="",$B228=0),0,SUM(_xlfn._xlws.FILTER(PrvSty[DsvValue:SERRA],(PrvSty[Project]=TEXT($B228,"@"))*(PrvSty[Row]=$E228)*(PrvSty[Column]=UPPER(O$114)),0)))</f>
        <v>0</v>
      </c>
      <c r="P228" s="157" cm="1">
        <f t="array" aca="1" ref="P228" ca="1">IF(OR($E228="X",$E228="",$E228=0,$B228="X",$B228="",$B228=0),0,SUM(_xlfn._xlws.FILTER(PrvSty[DsvValue:EXT.],(PrvSty[Project]=TEXT($B228,"@"))*(PrvSty[Row]=$E228)*(PrvSty[Column]=UPPER(O$114)),0)))</f>
        <v>0</v>
      </c>
      <c r="Q228" s="157" cm="1">
        <f t="array" aca="1" ref="Q228" ca="1">IF(OR($E228="X",$E228="",$E228=0,$B228="X",$B228="",$B228=0),0,SUM(_xlfn._xlws.FILTER(PrvSty[DsvValue:SERRA],(PrvSty[Project]=TEXT($B228,"@"))*(PrvSty[Row]=$E228)*(PrvSty[Column]=UPPER(Q$114)),0)))</f>
        <v>0</v>
      </c>
      <c r="R228" s="157" cm="1">
        <f t="array" aca="1" ref="R228" ca="1">IF(OR($E228="X",$E228="",$E228=0,$B228="X",$B228="",$B228=0),0,SUM(_xlfn._xlws.FILTER(PrvSty[DsvValue:EXT.],(PrvSty[Project]=TEXT($B228,"@"))*(PrvSty[Row]=$E228)*(PrvSty[Column]=UPPER(Q$114)),0)))</f>
        <v>0</v>
      </c>
      <c r="S228" s="157" cm="1">
        <f t="array" aca="1" ref="S228" ca="1">IF(OR($E228="X",$E228="",$E228=0,$B228="X",$B228="",$B228=0),0,SUM(_xlfn._xlws.FILTER(PrvSty[DsvValue:SERRA],(PrvSty[Project]=TEXT($B228,"@"))*(PrvSty[Row]=$E228)*(PrvSty[Column]=UPPER(S$114)),0)))</f>
        <v>0</v>
      </c>
      <c r="T228" s="157" cm="1">
        <f t="array" aca="1" ref="T228" ca="1">IF(OR($E228="X",$E228="",$E228=0,$B228="X",$B228="",$B228=0),0,SUM(_xlfn._xlws.FILTER(PrvSty[DsvValue:EXT.],(PrvSty[Project]=TEXT($B228,"@"))*(PrvSty[Row]=$E228)*(PrvSty[Column]=UPPER(S$114)),0)))</f>
        <v>0</v>
      </c>
      <c r="U228" s="157" cm="1">
        <f t="array" aca="1" ref="U228" ca="1">IF(OR($E228="X",$E228="",$E228=0,$B228="X",$B228="",$B228=0),0,SUM(_xlfn._xlws.FILTER(PrvSty[DsvValue:SERRA],(PrvSty[Project]=TEXT($B228,"@"))*(PrvSty[Row]=$E228)*(PrvSty[Column]=UPPER(U$114)),0)))</f>
        <v>0</v>
      </c>
      <c r="V228" s="157" cm="1">
        <f t="array" aca="1" ref="V228" ca="1">IF(OR($E228="X",$E228="",$E228=0,$B228="X",$B228="",$B228=0),0,SUM(_xlfn._xlws.FILTER(PrvSty[DsvValue:EXT.],(PrvSty[Project]=TEXT($B228,"@"))*(PrvSty[Row]=$E228)*(PrvSty[Column]=UPPER(U$114)),0)))</f>
        <v>0</v>
      </c>
      <c r="W228" s="157" cm="1">
        <f t="array" aca="1" ref="W228" ca="1">IF(OR($E228="X",$E228="",$E228=0,$B228="X",$B228="",$B228=0),0,SUM(_xlfn._xlws.FILTER(PrvSty[DsvValue:SERRA],(PrvSty[Project]=TEXT($B228,"@"))*(PrvSty[Row]=$E228)*(PrvSty[Column]=UPPER(W$114)),0)))</f>
        <v>0</v>
      </c>
      <c r="X228" s="157" cm="1">
        <f t="array" aca="1" ref="X228" ca="1">IF(OR($E228="X",$E228="",$E228=0,$B228="X",$B228="",$B228=0),0,SUM(_xlfn._xlws.FILTER(PrvSty[DsvValue:EXT.],(PrvSty[Project]=TEXT($B228,"@"))*(PrvSty[Row]=$E228)*(PrvSty[Column]=UPPER(W$114)),0)))</f>
        <v>0</v>
      </c>
      <c r="Y228" s="157" cm="1">
        <f t="array" aca="1" ref="Y228" ca="1">IF(OR($E228="X",$E228="",$E228=0,$B228="X",$B228="",$B228=0),0,SUM(_xlfn._xlws.FILTER(PrvSty[DsvValue:SERRA],(PrvSty[Project]=TEXT($B228,"@"))*(PrvSty[Row]=$E228)*(PrvSty[Column]=UPPER(Y$114)),0)))</f>
        <v>0</v>
      </c>
      <c r="Z228" s="157" cm="1">
        <f t="array" aca="1" ref="Z228" ca="1">IF(OR($E228="X",$E228="",$E228=0,$B228="X",$B228="",$B228=0),0,SUM(_xlfn._xlws.FILTER(PrvSty[DsvValue:EXT.],(PrvSty[Project]=TEXT($B228,"@"))*(PrvSty[Row]=$E228)*(PrvSty[Column]=UPPER(Y$114)),0)))</f>
        <v>0</v>
      </c>
      <c r="AA228" s="157" cm="1">
        <f t="array" aca="1" ref="AA228" ca="1">IF(OR($E228="X",$E228="",$E228=0,$B228="X",$B228="",$B228=0),0,SUM(_xlfn._xlws.FILTER(PrvSty[DsvValue:SERRA],(PrvSty[Project]=TEXT($B228,"@"))*(PrvSty[Row]=$E228)*(PrvSty[Column]=UPPER(AA$114)),0)))</f>
        <v>0</v>
      </c>
      <c r="AB228" s="157" cm="1">
        <f t="array" aca="1" ref="AB228" ca="1">IF(OR($E228="X",$E228="",$E228=0,$B228="X",$B228="",$B228=0),0,SUM(_xlfn._xlws.FILTER(PrvSty[DsvValue:EXT.],(PrvSty[Project]=TEXT($B228,"@"))*(PrvSty[Row]=$E228)*(PrvSty[Column]=UPPER(AA$114)),0)))</f>
        <v>0</v>
      </c>
      <c r="AC228" s="157" cm="1">
        <f t="array" aca="1" ref="AC228" ca="1">IF(OR($E228="X",$E228="",$E228=0,$B228="X",$B228="",$B228=0),0,SUM(_xlfn._xlws.FILTER(PrvSty[DsvValue:SERRA],(PrvSty[Project]=TEXT($B228,"@"))*(PrvSty[Row]=$E228)*(PrvSty[Column]=UPPER(AC$114)),0)))</f>
        <v>0</v>
      </c>
      <c r="AD228" s="157" cm="1">
        <f t="array" aca="1" ref="AD228" ca="1">IF(OR($E228="X",$E228="",$E228=0,$B228="X",$B228="",$B228=0),0,SUM(_xlfn._xlws.FILTER(PrvSty[DsvValue:EXT.],(PrvSty[Project]=TEXT($B228,"@"))*(PrvSty[Row]=$E228)*(PrvSty[Column]=UPPER(AC$114)),0)))</f>
        <v>0</v>
      </c>
      <c r="AE228" s="157" cm="1">
        <f t="array" aca="1" ref="AE228" ca="1">IF(OR($E228="X",$E228="",$E228=0,$B228="X",$B228="",$B228=0),0,SUM(_xlfn._xlws.FILTER(PrvSty[DsvValue:SERRA],(PrvSty[Project]=TEXT($B228,"@"))*(PrvSty[Row]=$E228)*(PrvSty[Column]=UPPER(AE$114)),0)))</f>
        <v>0</v>
      </c>
      <c r="AF228" s="157" cm="1">
        <f t="array" aca="1" ref="AF228" ca="1">IF(OR($E228="X",$E228="",$E228=0,$B228="X",$B228="",$B228=0),0,SUM(_xlfn._xlws.FILTER(PrvSty[DsvValue:EXT.],(PrvSty[Project]=TEXT($B228,"@"))*(PrvSty[Row]=$E228)*(PrvSty[Column]=UPPER(AE$114)),0)))</f>
        <v>0</v>
      </c>
      <c r="AG228" s="157" cm="1">
        <f t="array" aca="1" ref="AG228" ca="1">IF(OR($E228="X",$E228="",$E228=0,$B228="X",$B228="",$B228=0),0,SUM(_xlfn._xlws.FILTER(PrvSty[DsvValue:SERRA],(PrvSty[Project]=TEXT($B228,"@"))*(PrvSty[Row]=$E228)*(PrvSty[Column]=UPPER(AG$114)),0)))</f>
        <v>0</v>
      </c>
      <c r="AH228" s="157" cm="1">
        <f t="array" aca="1" ref="AH228" ca="1">IF(OR($E228="X",$E228="",$E228=0,$B228="X",$B228="",$B228=0),0,SUM(_xlfn._xlws.FILTER(PrvSty[DsvValue:EXT.],(PrvSty[Project]=TEXT($B228,"@"))*(PrvSty[Row]=$E228)*(PrvSty[Column]=UPPER(AG$114)),0)))</f>
        <v>0</v>
      </c>
      <c r="AI228" s="157" cm="1">
        <f t="array" aca="1" ref="AI228" ca="1">IF(OR($E228="X",$E228="",$E228=0,$B228="X",$B228="",$B228=0),0,SUM(_xlfn._xlws.FILTER(PrvSty[DsvValue:SERRA],(PrvSty[Project]=TEXT($B228,"@"))*(PrvSty[Row]=$E228)*(PrvSty[Column]=UPPER(AI$114)),0)))</f>
        <v>0</v>
      </c>
      <c r="AJ228" s="157" cm="1">
        <f t="array" aca="1" ref="AJ228" ca="1">IF(OR($E228="X",$E228="",$E228=0,$B228="X",$B228="",$B228=0),0,SUM(_xlfn._xlws.FILTER(PrvSty[DsvValue:EXT.],(PrvSty[Project]=TEXT($B228,"@"))*(PrvSty[Row]=$E228)*(PrvSty[Column]=UPPER(AI$114)),0)))</f>
        <v>0</v>
      </c>
      <c r="AK228" s="157" cm="1">
        <f t="array" aca="1" ref="AK228" ca="1">IF(OR($E228="X",$E228="",$E228=0,$B228="X",$B228="",$B228=0),0,SUM(_xlfn._xlws.FILTER(PrvSty[DsvValue:SERRA],(PrvSty[Project]=TEXT($B228,"@"))*(PrvSty[Row]=$E228)*(PrvSty[Column]=UPPER(AK$114)),0)))</f>
        <v>0</v>
      </c>
      <c r="AL228" s="157" cm="1">
        <f t="array" aca="1" ref="AL228" ca="1">IF(OR($E228="X",$E228="",$E228=0,$B228="X",$B228="",$B228=0),0,SUM(_xlfn._xlws.FILTER(PrvSty[DsvValue:EXT.],(PrvSty[Project]=TEXT($B228,"@"))*(PrvSty[Row]=$E228)*(PrvSty[Column]=UPPER(AK$114)),0)))</f>
        <v>0</v>
      </c>
      <c r="AM228" s="157" cm="1">
        <f t="array" aca="1" ref="AM228" ca="1">IF(OR($E228="X",$E228="",$E228=0,$B228="X",$B228="",$B228=0),0,SUM(_xlfn._xlws.FILTER(PrvSty[DsvValue:SERRA],(PrvSty[Project]=TEXT($B228,"@"))*(PrvSty[Row]=$E228)*(PrvSty[Column]=UPPER(AM$114)),0)))</f>
        <v>0</v>
      </c>
      <c r="AN228" s="157" cm="1">
        <f t="array" aca="1" ref="AN228" ca="1">IF(OR($E228="X",$E228="",$E228=0,$B228="X",$B228="",$B228=0),0,SUM(_xlfn._xlws.FILTER(PrvSty[DsvValue:EXT.],(PrvSty[Project]=TEXT($B228,"@"))*(PrvSty[Row]=$E228)*(PrvSty[Column]=UPPER(AM$114)),0)))</f>
        <v>0</v>
      </c>
      <c r="AO228" s="157" cm="1">
        <f t="array" aca="1" ref="AO228" ca="1">IF(OR($E228="X",$E228="",$E228=0,$B228="X",$B228="",$B228=0),0,SUM(_xlfn._xlws.FILTER(PrvSty[DsvValue:SERRA],(PrvSty[Project]=TEXT($B228,"@"))*(PrvSty[Row]=$E228)*(PrvSty[Column]=UPPER(AO$114)),0)))</f>
        <v>0</v>
      </c>
      <c r="AP228" s="157" cm="1">
        <f t="array" aca="1" ref="AP228" ca="1">IF(OR($E228="X",$E228="",$E228=0,$B228="X",$B228="",$B228=0),0,SUM(_xlfn._xlws.FILTER(PrvSty[DsvValue:EXT.],(PrvSty[Project]=TEXT($B228,"@"))*(PrvSty[Row]=$E228)*(PrvSty[Column]=UPPER(AO$114)),0)))</f>
        <v>0</v>
      </c>
      <c r="AQ228" s="157" cm="1">
        <f t="array" aca="1" ref="AQ228" ca="1">SUM(IF(INDIRECT($AS$115)=AQ$115,INDIRECT($AS228)))</f>
        <v>0</v>
      </c>
      <c r="AR228" s="157" cm="1">
        <f t="array" aca="1" ref="AR228" ca="1">SUM(IF(INDIRECT($AS$115)=AR$115,INDIRECT($AS228)))</f>
        <v>0</v>
      </c>
      <c r="AS228" s="286" t="str">
        <f t="shared" ca="1" si="18"/>
        <v>G228:AP228</v>
      </c>
      <c r="AT228" s="403">
        <f t="shared" ca="1" si="17"/>
        <v>0</v>
      </c>
      <c r="AV228" s="142" cm="1">
        <f t="array" aca="1" ref="AV228" ca="1">IF(AND(_xlfn.LET(_xlpm.x,SUM(ROW()),OR(AND(MATCH("SOT",$A:$A,0)&lt;_xlpm.x,MATCH("EOT",$A:$A,0)&gt;_xlpm.x),AND(MATCH("SOS",$A:$A,0)&lt;_xlpm.x,MATCH("EOS",$A:$A,0)&gt;_xlpm.x),AND(MATCH("SOR",$A:$A,0)&lt;_xlpm.x,MATCH("EOR",$A:$A,0)&gt;_xlpm.x))),INDIRECT("rc"&amp;MATCH("SCD",$1:$1,0),FALSE)="PPTO"),1,0)</f>
        <v>0</v>
      </c>
      <c r="AW228" s="142" cm="1">
        <f t="array" aca="1" ref="AW22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229" spans="2:49" outlineLevel="1">
      <c r="B229" s="156" t="str" cm="1">
        <f t="array" aca="1" ref="B229" ca="1">_xlfn.LET(_xlpm.x,SUM(ROW()-MATCH("SOR",$A:$A,0)),_xlpm.y,IFERROR(_xlfn.TAKE(INDEX(_xlfn._xlws.FILTER(TbAssign[],ISNUMBER(FIND(TbAssign[Project],$C$4)),"X"),1+QUOTIENT(_xlpm.x,3),0),1,4),0),IF(MOD(_xlpm.x-1,3)=0,IF(_xlpm.y=0,"X",_xlpm.y),INDIRECT("r[-1]c#",FALSE)))</f>
        <v>X</v>
      </c>
      <c r="C229" s="156"/>
      <c r="E229" s="352"/>
      <c r="F229" s="148" t="s">
        <v>1383</v>
      </c>
      <c r="G229" s="158" cm="1">
        <f t="array" aca="1" ref="G229" ca="1">IF(OR($E229="X",$E229="",$E229=0,$B229="X",$B229="",$B229=0),0,SUM(_xlfn._xlws.FILTER(FrmBB1[Cur],(FrmBB1[PrjId]=TEXT($B229,"@"))*(FrmBB1[Row]=$E229)*(FrmBB1[Column]=UPPER(_xlfn.LET(_xlpm.x,_xlfn.TEXTBEFORE(G$114," ("),IFERROR(_xlpm.x,G$114)))&amp;" "&amp;G$115),0)))</f>
        <v>0</v>
      </c>
      <c r="H229" s="157" cm="1">
        <f t="array" aca="1" ref="H229" ca="1">IF(OR($E229="X",$E229="",$E229=0,$B229="X",$B229="",$B229=0),0,SUM(_xlfn._xlws.FILTER(FrmBB1[Cur],(FrmBB1[PrjId]=TEXT($B229,"@"))*(FrmBB1[Row]=$E229)*(FrmBB1[Column]=UPPER(_xlfn.LET(_xlpm.x,_xlfn.TEXTBEFORE(G$114," ("),IFERROR(_xlpm.x,G$114)))&amp;" "&amp;H$115),0)))</f>
        <v>0</v>
      </c>
      <c r="I229" s="158" cm="1">
        <f t="array" aca="1" ref="I229" ca="1">IF(OR($E229="X",$E229="",$E229=0,$B229="X",$B229="",$B229=0),0,SUM(_xlfn._xlws.FILTER(FrmBB1[Cur],(FrmBB1[PrjId]=TEXT($B229,"@"))*(FrmBB1[Row]=$E229)*(FrmBB1[Column]=UPPER(_xlfn.LET(_xlpm.x,_xlfn.TEXTBEFORE(I$114," ("),IFERROR(_xlpm.x,I$114)))&amp;" "&amp;I$115),0)))</f>
        <v>0</v>
      </c>
      <c r="J229" s="157" cm="1">
        <f t="array" aca="1" ref="J229" ca="1">IF(OR($E229="X",$E229="",$E229=0,$B229="X",$B229="",$B229=0),0,SUM(_xlfn._xlws.FILTER(FrmBB1[Cur],(FrmBB1[PrjId]=TEXT($B229,"@"))*(FrmBB1[Row]=$E229)*(FrmBB1[Column]=UPPER(_xlfn.LET(_xlpm.x,_xlfn.TEXTBEFORE(I$114," ("),IFERROR(_xlpm.x,I$114)))&amp;" "&amp;J$115),0)))</f>
        <v>0</v>
      </c>
      <c r="K229" s="158" cm="1">
        <f t="array" aca="1" ref="K229" ca="1">IF(OR($E229="X",$E229="",$E229=0,$B229="X",$B229="",$B229=0),0,SUM(_xlfn._xlws.FILTER(FrmBB1[Cur],(FrmBB1[PrjId]=TEXT($B229,"@"))*(FrmBB1[Row]=$E229)*(FrmBB1[Column]=UPPER(_xlfn.LET(_xlpm.x,_xlfn.TEXTBEFORE(K$114," ("),IFERROR(_xlpm.x,K$114)))&amp;" "&amp;K$115),0)))</f>
        <v>0</v>
      </c>
      <c r="L229" s="157" cm="1">
        <f t="array" aca="1" ref="L229" ca="1">IF(OR($E229="X",$E229="",$E229=0,$B229="X",$B229="",$B229=0),0,SUM(_xlfn._xlws.FILTER(FrmBB1[Cur],(FrmBB1[PrjId]=TEXT($B229,"@"))*(FrmBB1[Row]=$E229)*(FrmBB1[Column]=UPPER(_xlfn.LET(_xlpm.x,_xlfn.TEXTBEFORE(K$114," ("),IFERROR(_xlpm.x,K$114)))&amp;" "&amp;L$115),0)))</f>
        <v>0</v>
      </c>
      <c r="M229" s="158" cm="1">
        <f t="array" aca="1" ref="M229" ca="1">IF(OR($E229="X",$E229="",$E229=0,$B229="X",$B229="",$B229=0),0,SUM(_xlfn._xlws.FILTER(FrmBB1[Cur],(FrmBB1[PrjId]=TEXT($B229,"@"))*(FrmBB1[Row]=$E229)*(FrmBB1[Column]=UPPER(_xlfn.LET(_xlpm.x,_xlfn.TEXTBEFORE(M$114," ("),IFERROR(_xlpm.x,M$114)))&amp;" "&amp;M$115),0)))</f>
        <v>0</v>
      </c>
      <c r="N229" s="157" cm="1">
        <f t="array" aca="1" ref="N229" ca="1">IF(OR($E229="X",$E229="",$E229=0,$B229="X",$B229="",$B229=0),0,SUM(_xlfn._xlws.FILTER(FrmBB1[Cur],(FrmBB1[PrjId]=TEXT($B229,"@"))*(FrmBB1[Row]=$E229)*(FrmBB1[Column]=UPPER(_xlfn.LET(_xlpm.x,_xlfn.TEXTBEFORE(M$114," ("),IFERROR(_xlpm.x,M$114)))&amp;" "&amp;N$115),0)))</f>
        <v>0</v>
      </c>
      <c r="O229" s="158" cm="1">
        <f t="array" aca="1" ref="O229" ca="1">IF(OR($E229="X",$E229="",$E229=0,$B229="X",$B229="",$B229=0),0,SUM(_xlfn._xlws.FILTER(FrmBB1[Cur],(FrmBB1[PrjId]=TEXT($B229,"@"))*(FrmBB1[Row]=$E229)*(FrmBB1[Column]=UPPER(_xlfn.LET(_xlpm.x,_xlfn.TEXTBEFORE(O$114," ("),IFERROR(_xlpm.x,O$114)))&amp;" "&amp;O$115),0)))</f>
        <v>0</v>
      </c>
      <c r="P229" s="157" cm="1">
        <f t="array" aca="1" ref="P229" ca="1">IF(OR($E229="X",$E229="",$E229=0,$B229="X",$B229="",$B229=0),0,SUM(_xlfn._xlws.FILTER(FrmBB1[Cur],(FrmBB1[PrjId]=TEXT($B229,"@"))*(FrmBB1[Row]=$E229)*(FrmBB1[Column]=UPPER(_xlfn.LET(_xlpm.x,_xlfn.TEXTBEFORE(O$114," ("),IFERROR(_xlpm.x,O$114)))&amp;" "&amp;P$115),0)))</f>
        <v>0</v>
      </c>
      <c r="Q229" s="158" cm="1">
        <f t="array" aca="1" ref="Q229" ca="1">IF(OR($E229="X",$E229="",$E229=0,$B229="X",$B229="",$B229=0),0,SUM(_xlfn._xlws.FILTER(FrmBB1[Cur],(FrmBB1[PrjId]=TEXT($B229,"@"))*(FrmBB1[Row]=$E229)*(FrmBB1[Column]=UPPER(_xlfn.LET(_xlpm.x,_xlfn.TEXTBEFORE(Q$114," ("),IFERROR(_xlpm.x,Q$114)))&amp;" "&amp;Q$115),0)))</f>
        <v>0</v>
      </c>
      <c r="R229" s="157" cm="1">
        <f t="array" aca="1" ref="R229" ca="1">IF(OR($E229="X",$E229="",$E229=0,$B229="X",$B229="",$B229=0),0,SUM(_xlfn._xlws.FILTER(FrmBB1[Cur],(FrmBB1[PrjId]=TEXT($B229,"@"))*(FrmBB1[Row]=$E229)*(FrmBB1[Column]=UPPER(_xlfn.LET(_xlpm.x,_xlfn.TEXTBEFORE(Q$114," ("),IFERROR(_xlpm.x,Q$114)))&amp;" "&amp;R$115),0)))</f>
        <v>0</v>
      </c>
      <c r="S229" s="158" cm="1">
        <f t="array" aca="1" ref="S229" ca="1">IF(OR($E229="X",$E229="",$E229=0,$B229="X",$B229="",$B229=0),0,SUM(_xlfn._xlws.FILTER(FrmBB1[Cur],(FrmBB1[PrjId]=TEXT($B229,"@"))*(FrmBB1[Row]=$E229)*(FrmBB1[Column]=UPPER(_xlfn.LET(_xlpm.x,_xlfn.TEXTBEFORE(S$114," ("),IFERROR(_xlpm.x,S$114)))&amp;" "&amp;S$115),0)))</f>
        <v>0</v>
      </c>
      <c r="T229" s="157" cm="1">
        <f t="array" aca="1" ref="T229" ca="1">IF(OR($E229="X",$E229="",$E229=0,$B229="X",$B229="",$B229=0),0,SUM(_xlfn._xlws.FILTER(FrmBB1[Cur],(FrmBB1[PrjId]=TEXT($B229,"@"))*(FrmBB1[Row]=$E229)*(FrmBB1[Column]=UPPER(_xlfn.LET(_xlpm.x,_xlfn.TEXTBEFORE(S$114," ("),IFERROR(_xlpm.x,S$114)))&amp;" "&amp;T$115),0)))</f>
        <v>0</v>
      </c>
      <c r="U229" s="158" cm="1">
        <f t="array" aca="1" ref="U229" ca="1">IF(OR($E229="X",$E229="",$E229=0,$B229="X",$B229="",$B229=0),0,SUM(_xlfn._xlws.FILTER(FrmBB1[Cur],(FrmBB1[PrjId]=TEXT($B229,"@"))*(FrmBB1[Row]=$E229)*(FrmBB1[Column]=UPPER(_xlfn.LET(_xlpm.x,_xlfn.TEXTBEFORE(U$114," ("),IFERROR(_xlpm.x,U$114)))&amp;" "&amp;U$115),0)))</f>
        <v>0</v>
      </c>
      <c r="V229" s="157" cm="1">
        <f t="array" aca="1" ref="V229" ca="1">IF(OR($E229="X",$E229="",$E229=0,$B229="X",$B229="",$B229=0),0,SUM(_xlfn._xlws.FILTER(FrmBB1[Cur],(FrmBB1[PrjId]=TEXT($B229,"@"))*(FrmBB1[Row]=$E229)*(FrmBB1[Column]=UPPER(_xlfn.LET(_xlpm.x,_xlfn.TEXTBEFORE(U$114," ("),IFERROR(_xlpm.x,U$114)))&amp;" "&amp;V$115),0)))</f>
        <v>0</v>
      </c>
      <c r="W229" s="158" cm="1">
        <f t="array" aca="1" ref="W229" ca="1">IF(OR($E229="X",$E229="",$E229=0,$B229="X",$B229="",$B229=0),0,SUM(_xlfn._xlws.FILTER(FrmBB1[Cur],(FrmBB1[PrjId]=TEXT($B229,"@"))*(FrmBB1[Row]=$E229)*(FrmBB1[Column]=UPPER(_xlfn.LET(_xlpm.x,_xlfn.TEXTBEFORE(W$114," ("),IFERROR(_xlpm.x,W$114)))&amp;" "&amp;W$115),0)))</f>
        <v>0</v>
      </c>
      <c r="X229" s="157" cm="1">
        <f t="array" aca="1" ref="X229" ca="1">IF(OR($E229="X",$E229="",$E229=0,$B229="X",$B229="",$B229=0),0,SUM(_xlfn._xlws.FILTER(FrmBB1[Cur],(FrmBB1[PrjId]=TEXT($B229,"@"))*(FrmBB1[Row]=$E229)*(FrmBB1[Column]=UPPER(_xlfn.LET(_xlpm.x,_xlfn.TEXTBEFORE(W$114," ("),IFERROR(_xlpm.x,W$114)))&amp;" "&amp;X$115),0)))</f>
        <v>0</v>
      </c>
      <c r="Y229" s="158" cm="1">
        <f t="array" aca="1" ref="Y229" ca="1">IF(OR($E229="X",$E229="",$E229=0,$B229="X",$B229="",$B229=0),0,SUM(_xlfn._xlws.FILTER(FrmBB1[Cur],(FrmBB1[PrjId]=TEXT($B229,"@"))*(FrmBB1[Row]=$E229)*(FrmBB1[Column]=UPPER(_xlfn.LET(_xlpm.x,_xlfn.TEXTBEFORE(Y$114," ("),IFERROR(_xlpm.x,Y$114)))&amp;" "&amp;Y$115),0)))</f>
        <v>0</v>
      </c>
      <c r="Z229" s="157" cm="1">
        <f t="array" aca="1" ref="Z229" ca="1">IF(OR($E229="X",$E229="",$E229=0,$B229="X",$B229="",$B229=0),0,SUM(_xlfn._xlws.FILTER(FrmBB1[Cur],(FrmBB1[PrjId]=TEXT($B229,"@"))*(FrmBB1[Row]=$E229)*(FrmBB1[Column]=UPPER(_xlfn.LET(_xlpm.x,_xlfn.TEXTBEFORE(Y$114," ("),IFERROR(_xlpm.x,Y$114)))&amp;" "&amp;Z$115),0)))</f>
        <v>0</v>
      </c>
      <c r="AA229" s="158" cm="1">
        <f t="array" aca="1" ref="AA229" ca="1">IF(OR($E229="X",$E229="",$E229=0,$B229="X",$B229="",$B229=0),0,SUM(_xlfn._xlws.FILTER(FrmBB1[Cur],(FrmBB1[PrjId]=TEXT($B229,"@"))*(FrmBB1[Row]=$E229)*(FrmBB1[Column]=UPPER(_xlfn.LET(_xlpm.x,_xlfn.TEXTBEFORE(AA$114," ("),IFERROR(_xlpm.x,AA$114)))&amp;" "&amp;AA$115),0)))</f>
        <v>0</v>
      </c>
      <c r="AB229" s="157" cm="1">
        <f t="array" aca="1" ref="AB229" ca="1">IF(OR($E229="X",$E229="",$E229=0,$B229="X",$B229="",$B229=0),0,SUM(_xlfn._xlws.FILTER(FrmBB1[Cur],(FrmBB1[PrjId]=TEXT($B229,"@"))*(FrmBB1[Row]=$E229)*(FrmBB1[Column]=UPPER(_xlfn.LET(_xlpm.x,_xlfn.TEXTBEFORE(AA$114," ("),IFERROR(_xlpm.x,AA$114)))&amp;" "&amp;AB$115),0)))</f>
        <v>0</v>
      </c>
      <c r="AC229" s="158" cm="1">
        <f t="array" aca="1" ref="AC229" ca="1">IF(OR($E229="X",$E229="",$E229=0,$B229="X",$B229="",$B229=0),0,SUM(_xlfn._xlws.FILTER(FrmBB1[Cur],(FrmBB1[PrjId]=TEXT($B229,"@"))*(FrmBB1[Row]=$E229)*(FrmBB1[Column]=UPPER(_xlfn.LET(_xlpm.x,_xlfn.TEXTBEFORE(AC$114," ("),IFERROR(_xlpm.x,AC$114)))&amp;" "&amp;AC$115),0)))</f>
        <v>0</v>
      </c>
      <c r="AD229" s="157" cm="1">
        <f t="array" aca="1" ref="AD229" ca="1">IF(OR($E229="X",$E229="",$E229=0,$B229="X",$B229="",$B229=0),0,SUM(_xlfn._xlws.FILTER(FrmBB1[Cur],(FrmBB1[PrjId]=TEXT($B229,"@"))*(FrmBB1[Row]=$E229)*(FrmBB1[Column]=UPPER(_xlfn.LET(_xlpm.x,_xlfn.TEXTBEFORE(AC$114," ("),IFERROR(_xlpm.x,AC$114)))&amp;" "&amp;AD$115),0)))</f>
        <v>0</v>
      </c>
      <c r="AE229" s="158" cm="1">
        <f t="array" aca="1" ref="AE229" ca="1">IF(OR($E229="X",$E229="",$E229=0,$B229="X",$B229="",$B229=0),0,SUM(_xlfn._xlws.FILTER(FrmBB1[Cur],(FrmBB1[PrjId]=TEXT($B229,"@"))*(FrmBB1[Row]=$E229)*(FrmBB1[Column]=UPPER(_xlfn.LET(_xlpm.x,_xlfn.TEXTBEFORE(AE$114," ("),IFERROR(_xlpm.x,AE$114)))&amp;" "&amp;AE$115),0)))</f>
        <v>0</v>
      </c>
      <c r="AF229" s="157" cm="1">
        <f t="array" aca="1" ref="AF229" ca="1">IF(OR($E229="X",$E229="",$E229=0,$B229="X",$B229="",$B229=0),0,SUM(_xlfn._xlws.FILTER(FrmBB1[Cur],(FrmBB1[PrjId]=TEXT($B229,"@"))*(FrmBB1[Row]=$E229)*(FrmBB1[Column]=UPPER(_xlfn.LET(_xlpm.x,_xlfn.TEXTBEFORE(AE$114," ("),IFERROR(_xlpm.x,AE$114)))&amp;" "&amp;AF$115),0)))</f>
        <v>0</v>
      </c>
      <c r="AG229" s="158" cm="1">
        <f t="array" aca="1" ref="AG229" ca="1">IF(OR($E229="X",$E229="",$E229=0,$B229="X",$B229="",$B229=0),0,SUM(_xlfn._xlws.FILTER(FrmBB1[Cur],(FrmBB1[PrjId]=TEXT($B229,"@"))*(FrmBB1[Row]=$E229)*(FrmBB1[Column]=UPPER(_xlfn.LET(_xlpm.x,_xlfn.TEXTBEFORE(AG$114," ("),IFERROR(_xlpm.x,AG$114)))&amp;" "&amp;AG$115),0)))</f>
        <v>0</v>
      </c>
      <c r="AH229" s="157" cm="1">
        <f t="array" aca="1" ref="AH229" ca="1">IF(OR($E229="X",$E229="",$E229=0,$B229="X",$B229="",$B229=0),0,SUM(_xlfn._xlws.FILTER(FrmBB1[Cur],(FrmBB1[PrjId]=TEXT($B229,"@"))*(FrmBB1[Row]=$E229)*(FrmBB1[Column]=UPPER(_xlfn.LET(_xlpm.x,_xlfn.TEXTBEFORE(AG$114," ("),IFERROR(_xlpm.x,AG$114)))&amp;" "&amp;AH$115),0)))</f>
        <v>0</v>
      </c>
      <c r="AI229" s="158" cm="1">
        <f t="array" aca="1" ref="AI229" ca="1">IF(OR($E229="X",$E229="",$E229=0,$B229="X",$B229="",$B229=0),0,SUM(_xlfn._xlws.FILTER(FrmBB1[Cur],(FrmBB1[PrjId]=TEXT($B229,"@"))*(FrmBB1[Row]=$E229)*(FrmBB1[Column]=UPPER(_xlfn.LET(_xlpm.x,_xlfn.TEXTBEFORE(AI$114," ("),IFERROR(_xlpm.x,AI$114)))&amp;" "&amp;AI$115),0)))</f>
        <v>0</v>
      </c>
      <c r="AJ229" s="157" cm="1">
        <f t="array" aca="1" ref="AJ229" ca="1">IF(OR($E229="X",$E229="",$E229=0,$B229="X",$B229="",$B229=0),0,SUM(_xlfn._xlws.FILTER(FrmBB1[Cur],(FrmBB1[PrjId]=TEXT($B229,"@"))*(FrmBB1[Row]=$E229)*(FrmBB1[Column]=UPPER(_xlfn.LET(_xlpm.x,_xlfn.TEXTBEFORE(AI$114," ("),IFERROR(_xlpm.x,AI$114)))&amp;" "&amp;AJ$115),0)))</f>
        <v>0</v>
      </c>
      <c r="AK229" s="158" cm="1">
        <f t="array" aca="1" ref="AK229" ca="1">IF(OR($E229="X",$E229="",$E229=0,$B229="X",$B229="",$B229=0),0,SUM(_xlfn._xlws.FILTER(FrmBB1[Cur],(FrmBB1[PrjId]=TEXT($B229,"@"))*(FrmBB1[Row]=$E229)*(FrmBB1[Column]=UPPER(_xlfn.LET(_xlpm.x,_xlfn.TEXTBEFORE(AK$114," ("),IFERROR(_xlpm.x,AK$114)))&amp;" "&amp;AK$115),0)))</f>
        <v>0</v>
      </c>
      <c r="AL229" s="157" cm="1">
        <f t="array" aca="1" ref="AL229" ca="1">IF(OR($E229="X",$E229="",$E229=0,$B229="X",$B229="",$B229=0),0,SUM(_xlfn._xlws.FILTER(FrmBB1[Cur],(FrmBB1[PrjId]=TEXT($B229,"@"))*(FrmBB1[Row]=$E229)*(FrmBB1[Column]=UPPER(_xlfn.LET(_xlpm.x,_xlfn.TEXTBEFORE(AK$114," ("),IFERROR(_xlpm.x,AK$114)))&amp;" "&amp;AL$115),0)))</f>
        <v>0</v>
      </c>
      <c r="AM229" s="158" cm="1">
        <f t="array" aca="1" ref="AM229" ca="1">IF(OR($E229="X",$E229="",$E229=0,$B229="X",$B229="",$B229=0),0,SUM(_xlfn._xlws.FILTER(FrmBB1[Cur],(FrmBB1[PrjId]=TEXT($B229,"@"))*(FrmBB1[Row]=$E229)*(FrmBB1[Column]=UPPER(_xlfn.LET(_xlpm.x,_xlfn.TEXTBEFORE(AM$114," ("),IFERROR(_xlpm.x,AM$114)))&amp;" "&amp;AM$115),0)))</f>
        <v>0</v>
      </c>
      <c r="AN229" s="157" cm="1">
        <f t="array" aca="1" ref="AN229" ca="1">IF(OR($E229="X",$E229="",$E229=0,$B229="X",$B229="",$B229=0),0,SUM(_xlfn._xlws.FILTER(FrmBB1[Cur],(FrmBB1[PrjId]=TEXT($B229,"@"))*(FrmBB1[Row]=$E229)*(FrmBB1[Column]=UPPER(_xlfn.LET(_xlpm.x,_xlfn.TEXTBEFORE(AM$114," ("),IFERROR(_xlpm.x,AM$114)))&amp;" "&amp;AN$115),0)))</f>
        <v>0</v>
      </c>
      <c r="AO229" s="158" cm="1">
        <f t="array" aca="1" ref="AO229" ca="1">IF(OR($E229="X",$E229="",$E229=0,$B229="X",$B229="",$B229=0),0,SUM(_xlfn._xlws.FILTER(FrmBB1[Cur],(FrmBB1[PrjId]=TEXT($B229,"@"))*(FrmBB1[Row]=$E229)*(FrmBB1[Column]=UPPER(_xlfn.LET(_xlpm.x,_xlfn.TEXTBEFORE(AO$114," ("),IFERROR(_xlpm.x,AO$114)))&amp;" "&amp;AO$115),0)))</f>
        <v>0</v>
      </c>
      <c r="AP229" s="157" cm="1">
        <f t="array" aca="1" ref="AP229" ca="1">IF(OR($E229="X",$E229="",$E229=0,$B229="X",$B229="",$B229=0),0,SUM(_xlfn._xlws.FILTER(FrmBB1[Cur],(FrmBB1[PrjId]=TEXT($B229,"@"))*(FrmBB1[Row]=$E229)*(FrmBB1[Column]=UPPER(_xlfn.LET(_xlpm.x,_xlfn.TEXTBEFORE(AO$114," ("),IFERROR(_xlpm.x,AO$114)))&amp;" "&amp;AP$115),0)))</f>
        <v>0</v>
      </c>
      <c r="AQ229" s="157" cm="1">
        <f t="array" aca="1" ref="AQ229" ca="1">SUM(IF(INDIRECT($AS$115)=AQ$115,INDIRECT($AS229)))</f>
        <v>0</v>
      </c>
      <c r="AR229" s="157" cm="1">
        <f t="array" aca="1" ref="AR229" ca="1">SUM(IF(INDIRECT($AS$115)=AR$115,INDIRECT($AS229)))</f>
        <v>0</v>
      </c>
      <c r="AS229" s="286" t="str">
        <f t="shared" ca="1" si="18"/>
        <v>G229:AP229</v>
      </c>
      <c r="AT229" s="403">
        <f t="shared" ca="1" si="17"/>
        <v>0</v>
      </c>
      <c r="AV229" s="142" cm="1">
        <f t="array" aca="1" ref="AV229" ca="1">IF(AND(_xlfn.LET(_xlpm.x,SUM(ROW()),OR(AND(MATCH("SOT",$A:$A,0)&lt;_xlpm.x,MATCH("EOT",$A:$A,0)&gt;_xlpm.x),AND(MATCH("SOS",$A:$A,0)&lt;_xlpm.x,MATCH("EOS",$A:$A,0)&gt;_xlpm.x),AND(MATCH("SOR",$A:$A,0)&lt;_xlpm.x,MATCH("EOR",$A:$A,0)&gt;_xlpm.x))),INDIRECT("rc"&amp;MATCH("SCD",$1:$1,0),FALSE)="PPTO"),1,0)</f>
        <v>0</v>
      </c>
      <c r="AW229" s="142" cm="1">
        <f t="array" aca="1" ref="AW22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230" spans="2:49" outlineLevel="1">
      <c r="B230" s="156" t="str" cm="1">
        <f t="array" aca="1" ref="B230" ca="1">_xlfn.LET(_xlpm.x,SUM(ROW()-MATCH("SOR",$A:$A,0)),_xlpm.y,IFERROR(_xlfn.TAKE(INDEX(_xlfn._xlws.FILTER(TbAssign[],ISNUMBER(FIND(TbAssign[Project],$C$4)),"X"),1+QUOTIENT(_xlpm.x,3),0),1,4),0),IF(MOD(_xlpm.x-1,3)=0,IF(_xlpm.y=0,"X",_xlpm.y),INDIRECT("r[-1]c#",FALSE)))</f>
        <v>X</v>
      </c>
      <c r="C230" s="156"/>
      <c r="E230" s="352"/>
      <c r="F230" s="148" t="s">
        <v>397</v>
      </c>
      <c r="G230" s="157" cm="1">
        <f t="array" aca="1" ref="G230" ca="1">IF(OR($E230="X",$E230="",$E230=0,$B230="X",$B230="",$B230=0),0,SUM(_xlfn._xlws.FILTER(IF($E$4="Ppto",PptoSty[CurPpto],PptoSty[CurInt]),(IF($E$4="Ppto",PptoSty[POvsCT]=G$113,TRUE))*(PptoSty[Project]=TEXT($B230,"@"))*(PptoSty[PptoVsRow]=$E230)*(PptoSty[PptoVsColumn]=UPPER(G$114)),0)))</f>
        <v>0</v>
      </c>
      <c r="H230" s="157" cm="1">
        <f t="array" aca="1" ref="H230" ca="1">IF(OR($E230="X",$E230="",$E230=0,$B230="X",$B230="",$B230=0),0,SUM(_xlfn._xlws.FILTER(IF($E$4="Ppto",PptoSty[CurPpto],PptoSty[CurExt]),(IF($E$4="Ppto",PptoSty[POvsCT]=H$113,TRUE))*(PptoSty[Project]=TEXT($B230,"@"))*(PptoSty[PptoVsRow]=$E230)*(PptoSty[PptoVsColumn]=UPPER(G$114)),0)))</f>
        <v>0</v>
      </c>
      <c r="I230" s="157" cm="1">
        <f t="array" aca="1" ref="I230" ca="1">IF(OR($E230="X",$E230="",$E230=0,$B230="X",$B230="",$B230=0),0,SUM(_xlfn._xlws.FILTER(IF($E$4="Ppto",PptoSty[CurPpto],PptoSty[CurInt]),(IF($E$4="Ppto",PptoSty[POvsCT]=I$113,TRUE))*(PptoSty[Project]=TEXT($B230,"@"))*(PptoSty[PptoVsRow]=$E230)*(PptoSty[PptoVsColumn]=UPPER(I$114)),0)))</f>
        <v>0</v>
      </c>
      <c r="J230" s="157" cm="1">
        <f t="array" aca="1" ref="J230" ca="1">IF(OR($E230="X",$E230="",$E230=0,$B230="X",$B230="",$B230=0),0,SUM(_xlfn._xlws.FILTER(IF($E$4="Ppto",PptoSty[CurPpto],PptoSty[CurExt]),(IF($E$4="Ppto",PptoSty[POvsCT]=J$113,TRUE))*(PptoSty[Project]=TEXT($B230,"@"))*(PptoSty[PptoVsRow]=$E230)*(PptoSty[PptoVsColumn]=UPPER(I$114)),0)))</f>
        <v>0</v>
      </c>
      <c r="K230" s="157" cm="1">
        <f t="array" aca="1" ref="K230" ca="1">IF(OR($E230="X",$E230="",$E230=0,$B230="X",$B230="",$B230=0),0,SUM(_xlfn._xlws.FILTER(IF($E$4="Ppto",PptoSty[CurPpto],PptoSty[CurInt]),(IF($E$4="Ppto",PptoSty[POvsCT]=K$113,TRUE))*(PptoSty[Project]=TEXT($B230,"@"))*(PptoSty[PptoVsRow]=$E230)*(PptoSty[PptoVsColumn]=UPPER(K$114)),0)))</f>
        <v>0</v>
      </c>
      <c r="L230" s="157" cm="1">
        <f t="array" aca="1" ref="L230" ca="1">IF(OR($E230="X",$E230="",$E230=0,$B230="X",$B230="",$B230=0),0,SUM(_xlfn._xlws.FILTER(IF($E$4="Ppto",PptoSty[CurPpto],PptoSty[CurExt]),(IF($E$4="Ppto",PptoSty[POvsCT]=L$113,TRUE))*(PptoSty[Project]=TEXT($B230,"@"))*(PptoSty[PptoVsRow]=$E230)*(PptoSty[PptoVsColumn]=UPPER(K$114)),0)))</f>
        <v>0</v>
      </c>
      <c r="M230" s="157" cm="1">
        <f t="array" aca="1" ref="M230" ca="1">IF(OR($E230="X",$E230="",$E230=0,$B230="X",$B230="",$B230=0),0,SUM(_xlfn._xlws.FILTER(IF($E$4="Ppto",PptoSty[CurPpto],PptoSty[CurInt]),(IF($E$4="Ppto",PptoSty[POvsCT]=M$113,TRUE))*(PptoSty[Project]=TEXT($B230,"@"))*(PptoSty[PptoVsRow]=$E230)*(PptoSty[PptoVsColumn]=UPPER(M$114)),0)))</f>
        <v>0</v>
      </c>
      <c r="N230" s="157" cm="1">
        <f t="array" aca="1" ref="N230" ca="1">IF(OR($E230="X",$E230="",$E230=0,$B230="X",$B230="",$B230=0),0,SUM(_xlfn._xlws.FILTER(IF($E$4="Ppto",PptoSty[CurPpto],PptoSty[CurExt]),(IF($E$4="Ppto",PptoSty[POvsCT]=N$113,TRUE))*(PptoSty[Project]=TEXT($B230,"@"))*(PptoSty[PptoVsRow]=$E230)*(PptoSty[PptoVsColumn]=UPPER(M$114)),0)))</f>
        <v>0</v>
      </c>
      <c r="O230" s="157" cm="1">
        <f t="array" aca="1" ref="O230" ca="1">IF(OR($E230="X",$E230="",$E230=0,$B230="X",$B230="",$B230=0),0,SUM(_xlfn._xlws.FILTER(IF($E$4="Ppto",PptoSty[CurPpto],PptoSty[CurInt]),(IF($E$4="Ppto",PptoSty[POvsCT]=O$113,TRUE))*(PptoSty[Project]=TEXT($B230,"@"))*(PptoSty[PptoVsRow]=$E230)*(PptoSty[PptoVsColumn]=UPPER(O$114)),0)))</f>
        <v>0</v>
      </c>
      <c r="P230" s="157" cm="1">
        <f t="array" aca="1" ref="P230" ca="1">IF(OR($E230="X",$E230="",$E230=0,$B230="X",$B230="",$B230=0),0,SUM(_xlfn._xlws.FILTER(IF($E$4="Ppto",PptoSty[CurPpto],PptoSty[CurExt]),(IF($E$4="Ppto",PptoSty[POvsCT]=P$113,TRUE))*(PptoSty[Project]=TEXT($B230,"@"))*(PptoSty[PptoVsRow]=$E230)*(PptoSty[PptoVsColumn]=UPPER(O$114)),0)))</f>
        <v>0</v>
      </c>
      <c r="Q230" s="157" cm="1">
        <f t="array" aca="1" ref="Q230" ca="1">IF(OR($E230="X",$E230="",$E230=0,$B230="X",$B230="",$B230=0),0,SUM(_xlfn._xlws.FILTER(IF($E$4="Ppto",PptoSty[CurPpto],PptoSty[CurInt]),(IF($E$4="Ppto",PptoSty[POvsCT]=Q$113,TRUE))*(PptoSty[Project]=TEXT($B230,"@"))*(PptoSty[PptoVsRow]=$E230)*(PptoSty[PptoVsColumn]=UPPER(Q$114)),0)))</f>
        <v>0</v>
      </c>
      <c r="R230" s="157" cm="1">
        <f t="array" aca="1" ref="R230" ca="1">IF(OR($E230="X",$E230="",$E230=0,$B230="X",$B230="",$B230=0),0,SUM(_xlfn._xlws.FILTER(IF($E$4="Ppto",PptoSty[CurPpto],PptoSty[CurExt]),(IF($E$4="Ppto",PptoSty[POvsCT]=R$113,TRUE))*(PptoSty[Project]=TEXT($B230,"@"))*(PptoSty[PptoVsRow]=$E230)*(PptoSty[PptoVsColumn]=UPPER(Q$114)),0)))</f>
        <v>0</v>
      </c>
      <c r="S230" s="157" cm="1">
        <f t="array" aca="1" ref="S230" ca="1">IF(OR($E230="X",$E230="",$E230=0,$B230="X",$B230="",$B230=0),0,SUM(_xlfn._xlws.FILTER(IF($E$4="Ppto",PptoSty[CurPpto],PptoSty[CurInt]),(IF($E$4="Ppto",PptoSty[POvsCT]=S$113,TRUE))*(PptoSty[Project]=TEXT($B230,"@"))*(PptoSty[PptoVsRow]=$E230)*(PptoSty[PptoVsColumn]=UPPER(S$114)),0)))</f>
        <v>0</v>
      </c>
      <c r="T230" s="157" cm="1">
        <f t="array" aca="1" ref="T230" ca="1">IF(OR($E230="X",$E230="",$E230=0,$B230="X",$B230="",$B230=0),0,SUM(_xlfn._xlws.FILTER(IF($E$4="Ppto",PptoSty[CurPpto],PptoSty[CurExt]),(IF($E$4="Ppto",PptoSty[POvsCT]=T$113,TRUE))*(PptoSty[Project]=TEXT($B230,"@"))*(PptoSty[PptoVsRow]=$E230)*(PptoSty[PptoVsColumn]=UPPER(S$114)),0)))</f>
        <v>0</v>
      </c>
      <c r="U230" s="157" cm="1">
        <f t="array" aca="1" ref="U230" ca="1">IF(OR($E230="X",$E230="",$E230=0,$B230="X",$B230="",$B230=0),0,SUM(_xlfn._xlws.FILTER(IF($E$4="Ppto",PptoSty[CurPpto],PptoSty[CurInt]),(IF($E$4="Ppto",PptoSty[POvsCT]=U$113,TRUE))*(PptoSty[Project]=TEXT($B230,"@"))*(PptoSty[PptoVsRow]=$E230)*(PptoSty[PptoVsColumn]=UPPER(U$114)),0)))</f>
        <v>0</v>
      </c>
      <c r="V230" s="157" cm="1">
        <f t="array" aca="1" ref="V230" ca="1">IF(OR($E230="X",$E230="",$E230=0,$B230="X",$B230="",$B230=0),0,SUM(_xlfn._xlws.FILTER(IF($E$4="Ppto",PptoSty[CurPpto],PptoSty[CurExt]),(IF($E$4="Ppto",PptoSty[POvsCT]=V$113,TRUE))*(PptoSty[Project]=TEXT($B230,"@"))*(PptoSty[PptoVsRow]=$E230)*(PptoSty[PptoVsColumn]=UPPER(U$114)),0)))</f>
        <v>0</v>
      </c>
      <c r="W230" s="157" cm="1">
        <f t="array" aca="1" ref="W230" ca="1">IF(OR($E230="X",$E230="",$E230=0,$B230="X",$B230="",$B230=0),0,SUM(_xlfn._xlws.FILTER(IF($E$4="Ppto",PptoSty[CurPpto],PptoSty[CurInt]),(IF($E$4="Ppto",PptoSty[POvsCT]=W$113,TRUE))*(PptoSty[Project]=TEXT($B230,"@"))*(PptoSty[PptoVsRow]=$E230)*(PptoSty[PptoVsColumn]=UPPER(W$114)),0)))</f>
        <v>0</v>
      </c>
      <c r="X230" s="157" cm="1">
        <f t="array" aca="1" ref="X230" ca="1">IF(OR($E230="X",$E230="",$E230=0,$B230="X",$B230="",$B230=0),0,SUM(_xlfn._xlws.FILTER(IF($E$4="Ppto",PptoSty[CurPpto],PptoSty[CurExt]),(IF($E$4="Ppto",PptoSty[POvsCT]=X$113,TRUE))*(PptoSty[Project]=TEXT($B230,"@"))*(PptoSty[PptoVsRow]=$E230)*(PptoSty[PptoVsColumn]=UPPER(W$114)),0)))</f>
        <v>0</v>
      </c>
      <c r="Y230" s="157" cm="1">
        <f t="array" aca="1" ref="Y230" ca="1">IF(OR($E230="X",$E230="",$E230=0,$B230="X",$B230="",$B230=0),0,SUM(_xlfn._xlws.FILTER(IF($E$4="Ppto",PptoSty[CurPpto],PptoSty[CurInt]),(IF($E$4="Ppto",PptoSty[POvsCT]=Y$113,TRUE))*(PptoSty[Project]=TEXT($B230,"@"))*(PptoSty[PptoVsRow]=$E230)*(PptoSty[PptoVsColumn]=UPPER(Y$114)),0)))</f>
        <v>0</v>
      </c>
      <c r="Z230" s="157" cm="1">
        <f t="array" aca="1" ref="Z230" ca="1">IF(OR($E230="X",$E230="",$E230=0,$B230="X",$B230="",$B230=0),0,SUM(_xlfn._xlws.FILTER(IF($E$4="Ppto",PptoSty[CurPpto],PptoSty[CurExt]),(IF($E$4="Ppto",PptoSty[POvsCT]=Z$113,TRUE))*(PptoSty[Project]=TEXT($B230,"@"))*(PptoSty[PptoVsRow]=$E230)*(PptoSty[PptoVsColumn]=UPPER(Y$114)),0)))</f>
        <v>0</v>
      </c>
      <c r="AA230" s="157" cm="1">
        <f t="array" aca="1" ref="AA230" ca="1">IF(OR($E230="X",$E230="",$E230=0,$B230="X",$B230="",$B230=0),0,SUM(_xlfn._xlws.FILTER(IF($E$4="Ppto",PptoSty[CurPpto],PptoSty[CurInt]),(IF($E$4="Ppto",PptoSty[POvsCT]=AA$113,TRUE))*(PptoSty[Project]=TEXT($B230,"@"))*(PptoSty[PptoVsRow]=$E230)*(PptoSty[PptoVsColumn]=UPPER(AA$114)),0)))</f>
        <v>0</v>
      </c>
      <c r="AB230" s="157" cm="1">
        <f t="array" aca="1" ref="AB230" ca="1">IF(OR($E230="X",$E230="",$E230=0,$B230="X",$B230="",$B230=0),0,SUM(_xlfn._xlws.FILTER(IF($E$4="Ppto",PptoSty[CurPpto],PptoSty[CurExt]),(IF($E$4="Ppto",PptoSty[POvsCT]=AB$113,TRUE))*(PptoSty[Project]=TEXT($B230,"@"))*(PptoSty[PptoVsRow]=$E230)*(PptoSty[PptoVsColumn]=UPPER(AA$114)),0)))</f>
        <v>0</v>
      </c>
      <c r="AC230" s="157" cm="1">
        <f t="array" aca="1" ref="AC230" ca="1">IF(OR($E230="X",$E230="",$E230=0,$B230="X",$B230="",$B230=0),0,SUM(_xlfn._xlws.FILTER(IF($E$4="Ppto",PptoSty[CurPpto],PptoSty[CurInt]),(IF($E$4="Ppto",PptoSty[POvsCT]=AC$113,TRUE))*(PptoSty[Project]=TEXT($B230,"@"))*(PptoSty[PptoVsRow]=$E230)*(PptoSty[PptoVsColumn]=UPPER(AC$114)),0)))</f>
        <v>0</v>
      </c>
      <c r="AD230" s="157" cm="1">
        <f t="array" aca="1" ref="AD230" ca="1">IF(OR($E230="X",$E230="",$E230=0,$B230="X",$B230="",$B230=0),0,SUM(_xlfn._xlws.FILTER(IF($E$4="Ppto",PptoSty[CurPpto],PptoSty[CurExt]),(IF($E$4="Ppto",PptoSty[POvsCT]=AD$113,TRUE))*(PptoSty[Project]=TEXT($B230,"@"))*(PptoSty[PptoVsRow]=$E230)*(PptoSty[PptoVsColumn]=UPPER(AC$114)),0)))</f>
        <v>0</v>
      </c>
      <c r="AE230" s="157" cm="1">
        <f t="array" aca="1" ref="AE230" ca="1">IF(OR($E230="X",$E230="",$E230=0,$B230="X",$B230="",$B230=0),0,SUM(_xlfn._xlws.FILTER(IF($E$4="Ppto",PptoSty[CurPpto],PptoSty[CurInt]),(IF($E$4="Ppto",PptoSty[POvsCT]=AE$113,TRUE))*(PptoSty[Project]=TEXT($B230,"@"))*(PptoSty[PptoVsRow]=$E230)*(PptoSty[PptoVsColumn]=UPPER(AE$114)),0)))</f>
        <v>0</v>
      </c>
      <c r="AF230" s="157" cm="1">
        <f t="array" aca="1" ref="AF230" ca="1">IF(OR($E230="X",$E230="",$E230=0,$B230="X",$B230="",$B230=0),0,SUM(_xlfn._xlws.FILTER(IF($E$4="Ppto",PptoSty[CurPpto],PptoSty[CurExt]),(IF($E$4="Ppto",PptoSty[POvsCT]=AF$113,TRUE))*(PptoSty[Project]=TEXT($B230,"@"))*(PptoSty[PptoVsRow]=$E230)*(PptoSty[PptoVsColumn]=UPPER(AE$114)),0)))</f>
        <v>0</v>
      </c>
      <c r="AG230" s="157" cm="1">
        <f t="array" aca="1" ref="AG230" ca="1">IF(OR($E230="X",$E230="",$E230=0,$B230="X",$B230="",$B230=0),0,SUM(_xlfn._xlws.FILTER(IF($E$4="Ppto",PptoSty[CurPpto],PptoSty[CurInt]),(IF($E$4="Ppto",PptoSty[POvsCT]=AG$113,TRUE))*(PptoSty[Project]=TEXT($B230,"@"))*(PptoSty[PptoVsRow]=$E230)*(PptoSty[PptoVsColumn]=UPPER(AG$114)),0)))</f>
        <v>0</v>
      </c>
      <c r="AH230" s="157" cm="1">
        <f t="array" aca="1" ref="AH230" ca="1">IF(OR($E230="X",$E230="",$E230=0,$B230="X",$B230="",$B230=0),0,SUM(_xlfn._xlws.FILTER(IF($E$4="Ppto",PptoSty[CurPpto],PptoSty[CurExt]),(IF($E$4="Ppto",PptoSty[POvsCT]=AH$113,TRUE))*(PptoSty[Project]=TEXT($B230,"@"))*(PptoSty[PptoVsRow]=$E230)*(PptoSty[PptoVsColumn]=UPPER(AG$114)),0)))</f>
        <v>0</v>
      </c>
      <c r="AI230" s="157" cm="1">
        <f t="array" aca="1" ref="AI230" ca="1">IF(OR($E230="X",$E230="",$E230=0,$B230="X",$B230="",$B230=0),0,SUM(_xlfn._xlws.FILTER(IF($E$4="Ppto",PptoSty[CurPpto],PptoSty[CurInt]),(IF($E$4="Ppto",PptoSty[POvsCT]=AI$113,TRUE))*(PptoSty[Project]=TEXT($B230,"@"))*(PptoSty[PptoVsRow]=$E230)*(PptoSty[PptoVsColumn]=UPPER(AI$114)),0)))</f>
        <v>0</v>
      </c>
      <c r="AJ230" s="157" cm="1">
        <f t="array" aca="1" ref="AJ230" ca="1">IF(OR($E230="X",$E230="",$E230=0,$B230="X",$B230="",$B230=0),0,SUM(_xlfn._xlws.FILTER(IF($E$4="Ppto",PptoSty[CurPpto],PptoSty[CurExt]),(IF($E$4="Ppto",PptoSty[POvsCT]=AJ$113,TRUE))*(PptoSty[Project]=TEXT($B230,"@"))*(PptoSty[PptoVsRow]=$E230)*(PptoSty[PptoVsColumn]=UPPER(AI$114)),0)))</f>
        <v>0</v>
      </c>
      <c r="AK230" s="157" cm="1">
        <f t="array" aca="1" ref="AK230" ca="1">IF(OR($E230="X",$E230="",$E230=0,$B230="X",$B230="",$B230=0),0,SUM(_xlfn._xlws.FILTER(IF($E$4="Ppto",PptoSty[CurPpto],PptoSty[CurInt]),(IF($E$4="Ppto",PptoSty[POvsCT]=AK$113,TRUE))*(PptoSty[Project]=TEXT($B230,"@"))*(PptoSty[PptoVsRow]=$E230)*(PptoSty[PptoVsColumn]=UPPER(AK$114)),0)))</f>
        <v>0</v>
      </c>
      <c r="AL230" s="157" cm="1">
        <f t="array" aca="1" ref="AL230" ca="1">IF(OR($E230="X",$E230="",$E230=0,$B230="X",$B230="",$B230=0),0,SUM(_xlfn._xlws.FILTER(IF($E$4="Ppto",PptoSty[CurPpto],PptoSty[CurExt]),(IF($E$4="Ppto",PptoSty[POvsCT]=AL$113,TRUE))*(PptoSty[Project]=TEXT($B230,"@"))*(PptoSty[PptoVsRow]=$E230)*(PptoSty[PptoVsColumn]=UPPER(AK$114)),0)))</f>
        <v>0</v>
      </c>
      <c r="AM230" s="157" cm="1">
        <f t="array" aca="1" ref="AM230" ca="1">IF(OR($E230="X",$E230="",$E230=0,$B230="X",$B230="",$B230=0),0,SUM(_xlfn._xlws.FILTER(IF($E$4="Ppto",PptoSty[CurPpto],PptoSty[CurInt]),(IF($E$4="Ppto",PptoSty[POvsCT]=AM$113,TRUE))*(PptoSty[Project]=TEXT($B230,"@"))*(PptoSty[PptoVsRow]=$E230)*(PptoSty[PptoVsColumn]=UPPER(AM$114)),0)))</f>
        <v>0</v>
      </c>
      <c r="AN230" s="157" cm="1">
        <f t="array" aca="1" ref="AN230" ca="1">IF(OR($E230="X",$E230="",$E230=0,$B230="X",$B230="",$B230=0),0,SUM(_xlfn._xlws.FILTER(IF($E$4="Ppto",PptoSty[CurPpto],PptoSty[CurExt]),(IF($E$4="Ppto",PptoSty[POvsCT]=AN$113,TRUE))*(PptoSty[Project]=TEXT($B230,"@"))*(PptoSty[PptoVsRow]=$E230)*(PptoSty[PptoVsColumn]=UPPER(AM$114)),0)))</f>
        <v>0</v>
      </c>
      <c r="AO230" s="157" cm="1">
        <f t="array" aca="1" ref="AO230" ca="1">IF(OR($E230="X",$E230="",$E230=0,$B230="X",$B230="",$B230=0),0,SUM(_xlfn._xlws.FILTER(IF($E$4="Ppto",PptoSty[CurPpto],PptoSty[CurInt]),(IF($E$4="Ppto",PptoSty[POvsCT]=AO$113,TRUE))*(PptoSty[Project]=TEXT($B230,"@"))*(PptoSty[PptoVsRow]=$E230)*(PptoSty[PptoVsColumn]=UPPER(AO$114)),0)))</f>
        <v>0</v>
      </c>
      <c r="AP230" s="157" cm="1">
        <f t="array" aca="1" ref="AP230" ca="1">IF(OR($E230="X",$E230="",$E230=0,$B230="X",$B230="",$B230=0),0,SUM(_xlfn._xlws.FILTER(IF($E$4="Ppto",PptoSty[CurPpto],PptoSty[CurExt]),(IF($E$4="Ppto",PptoSty[POvsCT]=AP$113,TRUE))*(PptoSty[Project]=TEXT($B230,"@"))*(PptoSty[PptoVsRow]=$E230)*(PptoSty[PptoVsColumn]=UPPER(AO$114)),0)))</f>
        <v>0</v>
      </c>
      <c r="AQ230" s="157" cm="1">
        <f t="array" aca="1" ref="AQ230" ca="1">SUM(IF(INDIRECT($AS$115)=AQ$115,INDIRECT($AS230)))</f>
        <v>0</v>
      </c>
      <c r="AR230" s="157" cm="1">
        <f t="array" aca="1" ref="AR230" ca="1">SUM(IF(INDIRECT($AS$115)=AR$115,INDIRECT($AS230)))</f>
        <v>0</v>
      </c>
      <c r="AS230" s="286" t="str">
        <f t="shared" ca="1" si="18"/>
        <v>G230:AP230</v>
      </c>
      <c r="AT230" s="403">
        <f t="shared" ca="1" si="17"/>
        <v>0</v>
      </c>
      <c r="AV230" s="142" cm="1">
        <f t="array" aca="1" ref="AV230" ca="1">IF(AND(_xlfn.LET(_xlpm.x,SUM(ROW()),OR(AND(MATCH("SOT",$A:$A,0)&lt;_xlpm.x,MATCH("EOT",$A:$A,0)&gt;_xlpm.x),AND(MATCH("SOS",$A:$A,0)&lt;_xlpm.x,MATCH("EOS",$A:$A,0)&gt;_xlpm.x),AND(MATCH("SOR",$A:$A,0)&lt;_xlpm.x,MATCH("EOR",$A:$A,0)&gt;_xlpm.x))),INDIRECT("rc"&amp;MATCH("SCD",$1:$1,0),FALSE)="PPTO"),1,0)</f>
        <v>1</v>
      </c>
      <c r="AW230" s="142" cm="1">
        <f t="array" aca="1" ref="AW23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231" spans="2:49" outlineLevel="1">
      <c r="B231" s="156" t="str" cm="1">
        <f t="array" aca="1" ref="B231" ca="1">_xlfn.LET(_xlpm.x,SUM(ROW()-MATCH("SOR",$A:$A,0)),_xlpm.y,IFERROR(_xlfn.TAKE(INDEX(_xlfn._xlws.FILTER(TbAssign[],ISNUMBER(FIND(TbAssign[Project],$C$4)),"X"),1+QUOTIENT(_xlpm.x,3),0),1,4),0),IF(MOD(_xlpm.x-1,3)=0,IF(_xlpm.y=0,"X",_xlpm.y),INDIRECT("r[-1]c#",FALSE)))</f>
        <v>X</v>
      </c>
      <c r="C231" s="156"/>
      <c r="E231" s="352"/>
      <c r="F231" s="148" t="s">
        <v>1382</v>
      </c>
      <c r="G231" s="157" cm="1">
        <f t="array" aca="1" ref="G231" ca="1">IF(OR($E231="X",$E231="",$E231=0,$B231="X",$B231="",$B231=0),0,SUM(_xlfn._xlws.FILTER(PrvSty[DsvValue:SERRA],(PrvSty[Project]=TEXT($B231,"@"))*(PrvSty[Row]=$E231)*(PrvSty[Column]=UPPER(G$114)),0)))</f>
        <v>0</v>
      </c>
      <c r="H231" s="157" cm="1">
        <f t="array" aca="1" ref="H231" ca="1">IF(OR($E231="X",$E231="",$E231=0,$B231="X",$B231="",$B231=0),0,SUM(_xlfn._xlws.FILTER(PrvSty[DsvValue:EXT.],(PrvSty[Project]=TEXT($B231,"@"))*(PrvSty[Row]=$E231)*(PrvSty[Column]=UPPER(G$114)),0)))</f>
        <v>0</v>
      </c>
      <c r="I231" s="157" cm="1">
        <f t="array" aca="1" ref="I231" ca="1">IF(OR($E231="X",$E231="",$E231=0,$B231="X",$B231="",$B231=0),0,SUM(_xlfn._xlws.FILTER(PrvSty[DsvValue:SERRA],(PrvSty[Project]=TEXT($B231,"@"))*(PrvSty[Row]=$E231)*(PrvSty[Column]=UPPER(I$114)),0)))</f>
        <v>0</v>
      </c>
      <c r="J231" s="157" cm="1">
        <f t="array" aca="1" ref="J231" ca="1">IF(OR($E231="X",$E231="",$E231=0,$B231="X",$B231="",$B231=0),0,SUM(_xlfn._xlws.FILTER(PrvSty[DsvValue:EXT.],(PrvSty[Project]=TEXT($B231,"@"))*(PrvSty[Row]=$E231)*(PrvSty[Column]=UPPER(I$114)),0)))</f>
        <v>0</v>
      </c>
      <c r="K231" s="157" cm="1">
        <f t="array" aca="1" ref="K231" ca="1">IF(OR($E231="X",$E231="",$E231=0,$B231="X",$B231="",$B231=0),0,SUM(_xlfn._xlws.FILTER(PrvSty[DsvValue:SERRA],(PrvSty[Project]=TEXT($B231,"@"))*(PrvSty[Row]=$E231)*(PrvSty[Column]=UPPER(K$114)),0)))</f>
        <v>0</v>
      </c>
      <c r="L231" s="157" cm="1">
        <f t="array" aca="1" ref="L231" ca="1">IF(OR($E231="X",$E231="",$E231=0,$B231="X",$B231="",$B231=0),0,SUM(_xlfn._xlws.FILTER(PrvSty[DsvValue:EXT.],(PrvSty[Project]=TEXT($B231,"@"))*(PrvSty[Row]=$E231)*(PrvSty[Column]=UPPER(K$114)),0)))</f>
        <v>0</v>
      </c>
      <c r="M231" s="157" cm="1">
        <f t="array" aca="1" ref="M231" ca="1">IF(OR($E231="X",$E231="",$E231=0,$B231="X",$B231="",$B231=0),0,SUM(_xlfn._xlws.FILTER(PrvSty[DsvValue:SERRA],(PrvSty[Project]=TEXT($B231,"@"))*(PrvSty[Row]=$E231)*(PrvSty[Column]=UPPER(M$114)),0)))</f>
        <v>0</v>
      </c>
      <c r="N231" s="157" cm="1">
        <f t="array" aca="1" ref="N231" ca="1">IF(OR($E231="X",$E231="",$E231=0,$B231="X",$B231="",$B231=0),0,SUM(_xlfn._xlws.FILTER(PrvSty[DsvValue:EXT.],(PrvSty[Project]=TEXT($B231,"@"))*(PrvSty[Row]=$E231)*(PrvSty[Column]=UPPER(M$114)),0)))</f>
        <v>0</v>
      </c>
      <c r="O231" s="157" cm="1">
        <f t="array" aca="1" ref="O231" ca="1">IF(OR($E231="X",$E231="",$E231=0,$B231="X",$B231="",$B231=0),0,SUM(_xlfn._xlws.FILTER(PrvSty[DsvValue:SERRA],(PrvSty[Project]=TEXT($B231,"@"))*(PrvSty[Row]=$E231)*(PrvSty[Column]=UPPER(O$114)),0)))</f>
        <v>0</v>
      </c>
      <c r="P231" s="157" cm="1">
        <f t="array" aca="1" ref="P231" ca="1">IF(OR($E231="X",$E231="",$E231=0,$B231="X",$B231="",$B231=0),0,SUM(_xlfn._xlws.FILTER(PrvSty[DsvValue:EXT.],(PrvSty[Project]=TEXT($B231,"@"))*(PrvSty[Row]=$E231)*(PrvSty[Column]=UPPER(O$114)),0)))</f>
        <v>0</v>
      </c>
      <c r="Q231" s="157" cm="1">
        <f t="array" aca="1" ref="Q231" ca="1">IF(OR($E231="X",$E231="",$E231=0,$B231="X",$B231="",$B231=0),0,SUM(_xlfn._xlws.FILTER(PrvSty[DsvValue:SERRA],(PrvSty[Project]=TEXT($B231,"@"))*(PrvSty[Row]=$E231)*(PrvSty[Column]=UPPER(Q$114)),0)))</f>
        <v>0</v>
      </c>
      <c r="R231" s="157" cm="1">
        <f t="array" aca="1" ref="R231" ca="1">IF(OR($E231="X",$E231="",$E231=0,$B231="X",$B231="",$B231=0),0,SUM(_xlfn._xlws.FILTER(PrvSty[DsvValue:EXT.],(PrvSty[Project]=TEXT($B231,"@"))*(PrvSty[Row]=$E231)*(PrvSty[Column]=UPPER(Q$114)),0)))</f>
        <v>0</v>
      </c>
      <c r="S231" s="157" cm="1">
        <f t="array" aca="1" ref="S231" ca="1">IF(OR($E231="X",$E231="",$E231=0,$B231="X",$B231="",$B231=0),0,SUM(_xlfn._xlws.FILTER(PrvSty[DsvValue:SERRA],(PrvSty[Project]=TEXT($B231,"@"))*(PrvSty[Row]=$E231)*(PrvSty[Column]=UPPER(S$114)),0)))</f>
        <v>0</v>
      </c>
      <c r="T231" s="157" cm="1">
        <f t="array" aca="1" ref="T231" ca="1">IF(OR($E231="X",$E231="",$E231=0,$B231="X",$B231="",$B231=0),0,SUM(_xlfn._xlws.FILTER(PrvSty[DsvValue:EXT.],(PrvSty[Project]=TEXT($B231,"@"))*(PrvSty[Row]=$E231)*(PrvSty[Column]=UPPER(S$114)),0)))</f>
        <v>0</v>
      </c>
      <c r="U231" s="157" cm="1">
        <f t="array" aca="1" ref="U231" ca="1">IF(OR($E231="X",$E231="",$E231=0,$B231="X",$B231="",$B231=0),0,SUM(_xlfn._xlws.FILTER(PrvSty[DsvValue:SERRA],(PrvSty[Project]=TEXT($B231,"@"))*(PrvSty[Row]=$E231)*(PrvSty[Column]=UPPER(U$114)),0)))</f>
        <v>0</v>
      </c>
      <c r="V231" s="157" cm="1">
        <f t="array" aca="1" ref="V231" ca="1">IF(OR($E231="X",$E231="",$E231=0,$B231="X",$B231="",$B231=0),0,SUM(_xlfn._xlws.FILTER(PrvSty[DsvValue:EXT.],(PrvSty[Project]=TEXT($B231,"@"))*(PrvSty[Row]=$E231)*(PrvSty[Column]=UPPER(U$114)),0)))</f>
        <v>0</v>
      </c>
      <c r="W231" s="157" cm="1">
        <f t="array" aca="1" ref="W231" ca="1">IF(OR($E231="X",$E231="",$E231=0,$B231="X",$B231="",$B231=0),0,SUM(_xlfn._xlws.FILTER(PrvSty[DsvValue:SERRA],(PrvSty[Project]=TEXT($B231,"@"))*(PrvSty[Row]=$E231)*(PrvSty[Column]=UPPER(W$114)),0)))</f>
        <v>0</v>
      </c>
      <c r="X231" s="157" cm="1">
        <f t="array" aca="1" ref="X231" ca="1">IF(OR($E231="X",$E231="",$E231=0,$B231="X",$B231="",$B231=0),0,SUM(_xlfn._xlws.FILTER(PrvSty[DsvValue:EXT.],(PrvSty[Project]=TEXT($B231,"@"))*(PrvSty[Row]=$E231)*(PrvSty[Column]=UPPER(W$114)),0)))</f>
        <v>0</v>
      </c>
      <c r="Y231" s="157" cm="1">
        <f t="array" aca="1" ref="Y231" ca="1">IF(OR($E231="X",$E231="",$E231=0,$B231="X",$B231="",$B231=0),0,SUM(_xlfn._xlws.FILTER(PrvSty[DsvValue:SERRA],(PrvSty[Project]=TEXT($B231,"@"))*(PrvSty[Row]=$E231)*(PrvSty[Column]=UPPER(Y$114)),0)))</f>
        <v>0</v>
      </c>
      <c r="Z231" s="157" cm="1">
        <f t="array" aca="1" ref="Z231" ca="1">IF(OR($E231="X",$E231="",$E231=0,$B231="X",$B231="",$B231=0),0,SUM(_xlfn._xlws.FILTER(PrvSty[DsvValue:EXT.],(PrvSty[Project]=TEXT($B231,"@"))*(PrvSty[Row]=$E231)*(PrvSty[Column]=UPPER(Y$114)),0)))</f>
        <v>0</v>
      </c>
      <c r="AA231" s="157" cm="1">
        <f t="array" aca="1" ref="AA231" ca="1">IF(OR($E231="X",$E231="",$E231=0,$B231="X",$B231="",$B231=0),0,SUM(_xlfn._xlws.FILTER(PrvSty[DsvValue:SERRA],(PrvSty[Project]=TEXT($B231,"@"))*(PrvSty[Row]=$E231)*(PrvSty[Column]=UPPER(AA$114)),0)))</f>
        <v>0</v>
      </c>
      <c r="AB231" s="157" cm="1">
        <f t="array" aca="1" ref="AB231" ca="1">IF(OR($E231="X",$E231="",$E231=0,$B231="X",$B231="",$B231=0),0,SUM(_xlfn._xlws.FILTER(PrvSty[DsvValue:EXT.],(PrvSty[Project]=TEXT($B231,"@"))*(PrvSty[Row]=$E231)*(PrvSty[Column]=UPPER(AA$114)),0)))</f>
        <v>0</v>
      </c>
      <c r="AC231" s="157" cm="1">
        <f t="array" aca="1" ref="AC231" ca="1">IF(OR($E231="X",$E231="",$E231=0,$B231="X",$B231="",$B231=0),0,SUM(_xlfn._xlws.FILTER(PrvSty[DsvValue:SERRA],(PrvSty[Project]=TEXT($B231,"@"))*(PrvSty[Row]=$E231)*(PrvSty[Column]=UPPER(AC$114)),0)))</f>
        <v>0</v>
      </c>
      <c r="AD231" s="157" cm="1">
        <f t="array" aca="1" ref="AD231" ca="1">IF(OR($E231="X",$E231="",$E231=0,$B231="X",$B231="",$B231=0),0,SUM(_xlfn._xlws.FILTER(PrvSty[DsvValue:EXT.],(PrvSty[Project]=TEXT($B231,"@"))*(PrvSty[Row]=$E231)*(PrvSty[Column]=UPPER(AC$114)),0)))</f>
        <v>0</v>
      </c>
      <c r="AE231" s="157" cm="1">
        <f t="array" aca="1" ref="AE231" ca="1">IF(OR($E231="X",$E231="",$E231=0,$B231="X",$B231="",$B231=0),0,SUM(_xlfn._xlws.FILTER(PrvSty[DsvValue:SERRA],(PrvSty[Project]=TEXT($B231,"@"))*(PrvSty[Row]=$E231)*(PrvSty[Column]=UPPER(AE$114)),0)))</f>
        <v>0</v>
      </c>
      <c r="AF231" s="157" cm="1">
        <f t="array" aca="1" ref="AF231" ca="1">IF(OR($E231="X",$E231="",$E231=0,$B231="X",$B231="",$B231=0),0,SUM(_xlfn._xlws.FILTER(PrvSty[DsvValue:EXT.],(PrvSty[Project]=TEXT($B231,"@"))*(PrvSty[Row]=$E231)*(PrvSty[Column]=UPPER(AE$114)),0)))</f>
        <v>0</v>
      </c>
      <c r="AG231" s="157" cm="1">
        <f t="array" aca="1" ref="AG231" ca="1">IF(OR($E231="X",$E231="",$E231=0,$B231="X",$B231="",$B231=0),0,SUM(_xlfn._xlws.FILTER(PrvSty[DsvValue:SERRA],(PrvSty[Project]=TEXT($B231,"@"))*(PrvSty[Row]=$E231)*(PrvSty[Column]=UPPER(AG$114)),0)))</f>
        <v>0</v>
      </c>
      <c r="AH231" s="157" cm="1">
        <f t="array" aca="1" ref="AH231" ca="1">IF(OR($E231="X",$E231="",$E231=0,$B231="X",$B231="",$B231=0),0,SUM(_xlfn._xlws.FILTER(PrvSty[DsvValue:EXT.],(PrvSty[Project]=TEXT($B231,"@"))*(PrvSty[Row]=$E231)*(PrvSty[Column]=UPPER(AG$114)),0)))</f>
        <v>0</v>
      </c>
      <c r="AI231" s="157" cm="1">
        <f t="array" aca="1" ref="AI231" ca="1">IF(OR($E231="X",$E231="",$E231=0,$B231="X",$B231="",$B231=0),0,SUM(_xlfn._xlws.FILTER(PrvSty[DsvValue:SERRA],(PrvSty[Project]=TEXT($B231,"@"))*(PrvSty[Row]=$E231)*(PrvSty[Column]=UPPER(AI$114)),0)))</f>
        <v>0</v>
      </c>
      <c r="AJ231" s="157" cm="1">
        <f t="array" aca="1" ref="AJ231" ca="1">IF(OR($E231="X",$E231="",$E231=0,$B231="X",$B231="",$B231=0),0,SUM(_xlfn._xlws.FILTER(PrvSty[DsvValue:EXT.],(PrvSty[Project]=TEXT($B231,"@"))*(PrvSty[Row]=$E231)*(PrvSty[Column]=UPPER(AI$114)),0)))</f>
        <v>0</v>
      </c>
      <c r="AK231" s="157" cm="1">
        <f t="array" aca="1" ref="AK231" ca="1">IF(OR($E231="X",$E231="",$E231=0,$B231="X",$B231="",$B231=0),0,SUM(_xlfn._xlws.FILTER(PrvSty[DsvValue:SERRA],(PrvSty[Project]=TEXT($B231,"@"))*(PrvSty[Row]=$E231)*(PrvSty[Column]=UPPER(AK$114)),0)))</f>
        <v>0</v>
      </c>
      <c r="AL231" s="157" cm="1">
        <f t="array" aca="1" ref="AL231" ca="1">IF(OR($E231="X",$E231="",$E231=0,$B231="X",$B231="",$B231=0),0,SUM(_xlfn._xlws.FILTER(PrvSty[DsvValue:EXT.],(PrvSty[Project]=TEXT($B231,"@"))*(PrvSty[Row]=$E231)*(PrvSty[Column]=UPPER(AK$114)),0)))</f>
        <v>0</v>
      </c>
      <c r="AM231" s="157" cm="1">
        <f t="array" aca="1" ref="AM231" ca="1">IF(OR($E231="X",$E231="",$E231=0,$B231="X",$B231="",$B231=0),0,SUM(_xlfn._xlws.FILTER(PrvSty[DsvValue:SERRA],(PrvSty[Project]=TEXT($B231,"@"))*(PrvSty[Row]=$E231)*(PrvSty[Column]=UPPER(AM$114)),0)))</f>
        <v>0</v>
      </c>
      <c r="AN231" s="157" cm="1">
        <f t="array" aca="1" ref="AN231" ca="1">IF(OR($E231="X",$E231="",$E231=0,$B231="X",$B231="",$B231=0),0,SUM(_xlfn._xlws.FILTER(PrvSty[DsvValue:EXT.],(PrvSty[Project]=TEXT($B231,"@"))*(PrvSty[Row]=$E231)*(PrvSty[Column]=UPPER(AM$114)),0)))</f>
        <v>0</v>
      </c>
      <c r="AO231" s="157" cm="1">
        <f t="array" aca="1" ref="AO231" ca="1">IF(OR($E231="X",$E231="",$E231=0,$B231="X",$B231="",$B231=0),0,SUM(_xlfn._xlws.FILTER(PrvSty[DsvValue:SERRA],(PrvSty[Project]=TEXT($B231,"@"))*(PrvSty[Row]=$E231)*(PrvSty[Column]=UPPER(AO$114)),0)))</f>
        <v>0</v>
      </c>
      <c r="AP231" s="157" cm="1">
        <f t="array" aca="1" ref="AP231" ca="1">IF(OR($E231="X",$E231="",$E231=0,$B231="X",$B231="",$B231=0),0,SUM(_xlfn._xlws.FILTER(PrvSty[DsvValue:EXT.],(PrvSty[Project]=TEXT($B231,"@"))*(PrvSty[Row]=$E231)*(PrvSty[Column]=UPPER(AO$114)),0)))</f>
        <v>0</v>
      </c>
      <c r="AQ231" s="157" cm="1">
        <f t="array" aca="1" ref="AQ231" ca="1">SUM(IF(INDIRECT($AS$115)=AQ$115,INDIRECT($AS231)))</f>
        <v>0</v>
      </c>
      <c r="AR231" s="157" cm="1">
        <f t="array" aca="1" ref="AR231" ca="1">SUM(IF(INDIRECT($AS$115)=AR$115,INDIRECT($AS231)))</f>
        <v>0</v>
      </c>
      <c r="AS231" s="286" t="str">
        <f t="shared" ca="1" si="18"/>
        <v>G231:AP231</v>
      </c>
      <c r="AT231" s="403">
        <f t="shared" ca="1" si="17"/>
        <v>0</v>
      </c>
      <c r="AV231" s="142" cm="1">
        <f t="array" aca="1" ref="AV231" ca="1">IF(AND(_xlfn.LET(_xlpm.x,SUM(ROW()),OR(AND(MATCH("SOT",$A:$A,0)&lt;_xlpm.x,MATCH("EOT",$A:$A,0)&gt;_xlpm.x),AND(MATCH("SOS",$A:$A,0)&lt;_xlpm.x,MATCH("EOS",$A:$A,0)&gt;_xlpm.x),AND(MATCH("SOR",$A:$A,0)&lt;_xlpm.x,MATCH("EOR",$A:$A,0)&gt;_xlpm.x))),INDIRECT("rc"&amp;MATCH("SCD",$1:$1,0),FALSE)="PPTO"),1,0)</f>
        <v>0</v>
      </c>
      <c r="AW231" s="142" cm="1">
        <f t="array" aca="1" ref="AW23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232" spans="2:49" outlineLevel="1">
      <c r="B232" s="156" t="str" cm="1">
        <f t="array" aca="1" ref="B232" ca="1">_xlfn.LET(_xlpm.x,SUM(ROW()-MATCH("SOR",$A:$A,0)),_xlpm.y,IFERROR(_xlfn.TAKE(INDEX(_xlfn._xlws.FILTER(TbAssign[],ISNUMBER(FIND(TbAssign[Project],$C$4)),"X"),1+QUOTIENT(_xlpm.x,3),0),1,4),0),IF(MOD(_xlpm.x-1,3)=0,IF(_xlpm.y=0,"X",_xlpm.y),INDIRECT("r[-1]c#",FALSE)))</f>
        <v>X</v>
      </c>
      <c r="C232" s="156"/>
      <c r="E232" s="352"/>
      <c r="F232" s="148" t="s">
        <v>1383</v>
      </c>
      <c r="G232" s="158" cm="1">
        <f t="array" aca="1" ref="G232" ca="1">IF(OR($E232="X",$E232="",$E232=0,$B232="X",$B232="",$B232=0),0,SUM(_xlfn._xlws.FILTER(FrmBB1[Cur],(FrmBB1[PrjId]=TEXT($B232,"@"))*(FrmBB1[Row]=$E232)*(FrmBB1[Column]=UPPER(_xlfn.LET(_xlpm.x,_xlfn.TEXTBEFORE(G$114," ("),IFERROR(_xlpm.x,G$114)))&amp;" "&amp;G$115),0)))</f>
        <v>0</v>
      </c>
      <c r="H232" s="157" cm="1">
        <f t="array" aca="1" ref="H232" ca="1">IF(OR($E232="X",$E232="",$E232=0,$B232="X",$B232="",$B232=0),0,SUM(_xlfn._xlws.FILTER(FrmBB1[Cur],(FrmBB1[PrjId]=TEXT($B232,"@"))*(FrmBB1[Row]=$E232)*(FrmBB1[Column]=UPPER(_xlfn.LET(_xlpm.x,_xlfn.TEXTBEFORE(G$114," ("),IFERROR(_xlpm.x,G$114)))&amp;" "&amp;H$115),0)))</f>
        <v>0</v>
      </c>
      <c r="I232" s="158" cm="1">
        <f t="array" aca="1" ref="I232" ca="1">IF(OR($E232="X",$E232="",$E232=0,$B232="X",$B232="",$B232=0),0,SUM(_xlfn._xlws.FILTER(FrmBB1[Cur],(FrmBB1[PrjId]=TEXT($B232,"@"))*(FrmBB1[Row]=$E232)*(FrmBB1[Column]=UPPER(_xlfn.LET(_xlpm.x,_xlfn.TEXTBEFORE(I$114," ("),IFERROR(_xlpm.x,I$114)))&amp;" "&amp;I$115),0)))</f>
        <v>0</v>
      </c>
      <c r="J232" s="157" cm="1">
        <f t="array" aca="1" ref="J232" ca="1">IF(OR($E232="X",$E232="",$E232=0,$B232="X",$B232="",$B232=0),0,SUM(_xlfn._xlws.FILTER(FrmBB1[Cur],(FrmBB1[PrjId]=TEXT($B232,"@"))*(FrmBB1[Row]=$E232)*(FrmBB1[Column]=UPPER(_xlfn.LET(_xlpm.x,_xlfn.TEXTBEFORE(I$114," ("),IFERROR(_xlpm.x,I$114)))&amp;" "&amp;J$115),0)))</f>
        <v>0</v>
      </c>
      <c r="K232" s="158" cm="1">
        <f t="array" aca="1" ref="K232" ca="1">IF(OR($E232="X",$E232="",$E232=0,$B232="X",$B232="",$B232=0),0,SUM(_xlfn._xlws.FILTER(FrmBB1[Cur],(FrmBB1[PrjId]=TEXT($B232,"@"))*(FrmBB1[Row]=$E232)*(FrmBB1[Column]=UPPER(_xlfn.LET(_xlpm.x,_xlfn.TEXTBEFORE(K$114," ("),IFERROR(_xlpm.x,K$114)))&amp;" "&amp;K$115),0)))</f>
        <v>0</v>
      </c>
      <c r="L232" s="157" cm="1">
        <f t="array" aca="1" ref="L232" ca="1">IF(OR($E232="X",$E232="",$E232=0,$B232="X",$B232="",$B232=0),0,SUM(_xlfn._xlws.FILTER(FrmBB1[Cur],(FrmBB1[PrjId]=TEXT($B232,"@"))*(FrmBB1[Row]=$E232)*(FrmBB1[Column]=UPPER(_xlfn.LET(_xlpm.x,_xlfn.TEXTBEFORE(K$114," ("),IFERROR(_xlpm.x,K$114)))&amp;" "&amp;L$115),0)))</f>
        <v>0</v>
      </c>
      <c r="M232" s="158" cm="1">
        <f t="array" aca="1" ref="M232" ca="1">IF(OR($E232="X",$E232="",$E232=0,$B232="X",$B232="",$B232=0),0,SUM(_xlfn._xlws.FILTER(FrmBB1[Cur],(FrmBB1[PrjId]=TEXT($B232,"@"))*(FrmBB1[Row]=$E232)*(FrmBB1[Column]=UPPER(_xlfn.LET(_xlpm.x,_xlfn.TEXTBEFORE(M$114," ("),IFERROR(_xlpm.x,M$114)))&amp;" "&amp;M$115),0)))</f>
        <v>0</v>
      </c>
      <c r="N232" s="157" cm="1">
        <f t="array" aca="1" ref="N232" ca="1">IF(OR($E232="X",$E232="",$E232=0,$B232="X",$B232="",$B232=0),0,SUM(_xlfn._xlws.FILTER(FrmBB1[Cur],(FrmBB1[PrjId]=TEXT($B232,"@"))*(FrmBB1[Row]=$E232)*(FrmBB1[Column]=UPPER(_xlfn.LET(_xlpm.x,_xlfn.TEXTBEFORE(M$114," ("),IFERROR(_xlpm.x,M$114)))&amp;" "&amp;N$115),0)))</f>
        <v>0</v>
      </c>
      <c r="O232" s="158" cm="1">
        <f t="array" aca="1" ref="O232" ca="1">IF(OR($E232="X",$E232="",$E232=0,$B232="X",$B232="",$B232=0),0,SUM(_xlfn._xlws.FILTER(FrmBB1[Cur],(FrmBB1[PrjId]=TEXT($B232,"@"))*(FrmBB1[Row]=$E232)*(FrmBB1[Column]=UPPER(_xlfn.LET(_xlpm.x,_xlfn.TEXTBEFORE(O$114," ("),IFERROR(_xlpm.x,O$114)))&amp;" "&amp;O$115),0)))</f>
        <v>0</v>
      </c>
      <c r="P232" s="157" cm="1">
        <f t="array" aca="1" ref="P232" ca="1">IF(OR($E232="X",$E232="",$E232=0,$B232="X",$B232="",$B232=0),0,SUM(_xlfn._xlws.FILTER(FrmBB1[Cur],(FrmBB1[PrjId]=TEXT($B232,"@"))*(FrmBB1[Row]=$E232)*(FrmBB1[Column]=UPPER(_xlfn.LET(_xlpm.x,_xlfn.TEXTBEFORE(O$114," ("),IFERROR(_xlpm.x,O$114)))&amp;" "&amp;P$115),0)))</f>
        <v>0</v>
      </c>
      <c r="Q232" s="158" cm="1">
        <f t="array" aca="1" ref="Q232" ca="1">IF(OR($E232="X",$E232="",$E232=0,$B232="X",$B232="",$B232=0),0,SUM(_xlfn._xlws.FILTER(FrmBB1[Cur],(FrmBB1[PrjId]=TEXT($B232,"@"))*(FrmBB1[Row]=$E232)*(FrmBB1[Column]=UPPER(_xlfn.LET(_xlpm.x,_xlfn.TEXTBEFORE(Q$114," ("),IFERROR(_xlpm.x,Q$114)))&amp;" "&amp;Q$115),0)))</f>
        <v>0</v>
      </c>
      <c r="R232" s="157" cm="1">
        <f t="array" aca="1" ref="R232" ca="1">IF(OR($E232="X",$E232="",$E232=0,$B232="X",$B232="",$B232=0),0,SUM(_xlfn._xlws.FILTER(FrmBB1[Cur],(FrmBB1[PrjId]=TEXT($B232,"@"))*(FrmBB1[Row]=$E232)*(FrmBB1[Column]=UPPER(_xlfn.LET(_xlpm.x,_xlfn.TEXTBEFORE(Q$114," ("),IFERROR(_xlpm.x,Q$114)))&amp;" "&amp;R$115),0)))</f>
        <v>0</v>
      </c>
      <c r="S232" s="158" cm="1">
        <f t="array" aca="1" ref="S232" ca="1">IF(OR($E232="X",$E232="",$E232=0,$B232="X",$B232="",$B232=0),0,SUM(_xlfn._xlws.FILTER(FrmBB1[Cur],(FrmBB1[PrjId]=TEXT($B232,"@"))*(FrmBB1[Row]=$E232)*(FrmBB1[Column]=UPPER(_xlfn.LET(_xlpm.x,_xlfn.TEXTBEFORE(S$114," ("),IFERROR(_xlpm.x,S$114)))&amp;" "&amp;S$115),0)))</f>
        <v>0</v>
      </c>
      <c r="T232" s="157" cm="1">
        <f t="array" aca="1" ref="T232" ca="1">IF(OR($E232="X",$E232="",$E232=0,$B232="X",$B232="",$B232=0),0,SUM(_xlfn._xlws.FILTER(FrmBB1[Cur],(FrmBB1[PrjId]=TEXT($B232,"@"))*(FrmBB1[Row]=$E232)*(FrmBB1[Column]=UPPER(_xlfn.LET(_xlpm.x,_xlfn.TEXTBEFORE(S$114," ("),IFERROR(_xlpm.x,S$114)))&amp;" "&amp;T$115),0)))</f>
        <v>0</v>
      </c>
      <c r="U232" s="158" cm="1">
        <f t="array" aca="1" ref="U232" ca="1">IF(OR($E232="X",$E232="",$E232=0,$B232="X",$B232="",$B232=0),0,SUM(_xlfn._xlws.FILTER(FrmBB1[Cur],(FrmBB1[PrjId]=TEXT($B232,"@"))*(FrmBB1[Row]=$E232)*(FrmBB1[Column]=UPPER(_xlfn.LET(_xlpm.x,_xlfn.TEXTBEFORE(U$114," ("),IFERROR(_xlpm.x,U$114)))&amp;" "&amp;U$115),0)))</f>
        <v>0</v>
      </c>
      <c r="V232" s="157" cm="1">
        <f t="array" aca="1" ref="V232" ca="1">IF(OR($E232="X",$E232="",$E232=0,$B232="X",$B232="",$B232=0),0,SUM(_xlfn._xlws.FILTER(FrmBB1[Cur],(FrmBB1[PrjId]=TEXT($B232,"@"))*(FrmBB1[Row]=$E232)*(FrmBB1[Column]=UPPER(_xlfn.LET(_xlpm.x,_xlfn.TEXTBEFORE(U$114," ("),IFERROR(_xlpm.x,U$114)))&amp;" "&amp;V$115),0)))</f>
        <v>0</v>
      </c>
      <c r="W232" s="158" cm="1">
        <f t="array" aca="1" ref="W232" ca="1">IF(OR($E232="X",$E232="",$E232=0,$B232="X",$B232="",$B232=0),0,SUM(_xlfn._xlws.FILTER(FrmBB1[Cur],(FrmBB1[PrjId]=TEXT($B232,"@"))*(FrmBB1[Row]=$E232)*(FrmBB1[Column]=UPPER(_xlfn.LET(_xlpm.x,_xlfn.TEXTBEFORE(W$114," ("),IFERROR(_xlpm.x,W$114)))&amp;" "&amp;W$115),0)))</f>
        <v>0</v>
      </c>
      <c r="X232" s="157" cm="1">
        <f t="array" aca="1" ref="X232" ca="1">IF(OR($E232="X",$E232="",$E232=0,$B232="X",$B232="",$B232=0),0,SUM(_xlfn._xlws.FILTER(FrmBB1[Cur],(FrmBB1[PrjId]=TEXT($B232,"@"))*(FrmBB1[Row]=$E232)*(FrmBB1[Column]=UPPER(_xlfn.LET(_xlpm.x,_xlfn.TEXTBEFORE(W$114," ("),IFERROR(_xlpm.x,W$114)))&amp;" "&amp;X$115),0)))</f>
        <v>0</v>
      </c>
      <c r="Y232" s="158" cm="1">
        <f t="array" aca="1" ref="Y232" ca="1">IF(OR($E232="X",$E232="",$E232=0,$B232="X",$B232="",$B232=0),0,SUM(_xlfn._xlws.FILTER(FrmBB1[Cur],(FrmBB1[PrjId]=TEXT($B232,"@"))*(FrmBB1[Row]=$E232)*(FrmBB1[Column]=UPPER(_xlfn.LET(_xlpm.x,_xlfn.TEXTBEFORE(Y$114," ("),IFERROR(_xlpm.x,Y$114)))&amp;" "&amp;Y$115),0)))</f>
        <v>0</v>
      </c>
      <c r="Z232" s="157" cm="1">
        <f t="array" aca="1" ref="Z232" ca="1">IF(OR($E232="X",$E232="",$E232=0,$B232="X",$B232="",$B232=0),0,SUM(_xlfn._xlws.FILTER(FrmBB1[Cur],(FrmBB1[PrjId]=TEXT($B232,"@"))*(FrmBB1[Row]=$E232)*(FrmBB1[Column]=UPPER(_xlfn.LET(_xlpm.x,_xlfn.TEXTBEFORE(Y$114," ("),IFERROR(_xlpm.x,Y$114)))&amp;" "&amp;Z$115),0)))</f>
        <v>0</v>
      </c>
      <c r="AA232" s="158" cm="1">
        <f t="array" aca="1" ref="AA232" ca="1">IF(OR($E232="X",$E232="",$E232=0,$B232="X",$B232="",$B232=0),0,SUM(_xlfn._xlws.FILTER(FrmBB1[Cur],(FrmBB1[PrjId]=TEXT($B232,"@"))*(FrmBB1[Row]=$E232)*(FrmBB1[Column]=UPPER(_xlfn.LET(_xlpm.x,_xlfn.TEXTBEFORE(AA$114," ("),IFERROR(_xlpm.x,AA$114)))&amp;" "&amp;AA$115),0)))</f>
        <v>0</v>
      </c>
      <c r="AB232" s="157" cm="1">
        <f t="array" aca="1" ref="AB232" ca="1">IF(OR($E232="X",$E232="",$E232=0,$B232="X",$B232="",$B232=0),0,SUM(_xlfn._xlws.FILTER(FrmBB1[Cur],(FrmBB1[PrjId]=TEXT($B232,"@"))*(FrmBB1[Row]=$E232)*(FrmBB1[Column]=UPPER(_xlfn.LET(_xlpm.x,_xlfn.TEXTBEFORE(AA$114," ("),IFERROR(_xlpm.x,AA$114)))&amp;" "&amp;AB$115),0)))</f>
        <v>0</v>
      </c>
      <c r="AC232" s="158" cm="1">
        <f t="array" aca="1" ref="AC232" ca="1">IF(OR($E232="X",$E232="",$E232=0,$B232="X",$B232="",$B232=0),0,SUM(_xlfn._xlws.FILTER(FrmBB1[Cur],(FrmBB1[PrjId]=TEXT($B232,"@"))*(FrmBB1[Row]=$E232)*(FrmBB1[Column]=UPPER(_xlfn.LET(_xlpm.x,_xlfn.TEXTBEFORE(AC$114," ("),IFERROR(_xlpm.x,AC$114)))&amp;" "&amp;AC$115),0)))</f>
        <v>0</v>
      </c>
      <c r="AD232" s="157" cm="1">
        <f t="array" aca="1" ref="AD232" ca="1">IF(OR($E232="X",$E232="",$E232=0,$B232="X",$B232="",$B232=0),0,SUM(_xlfn._xlws.FILTER(FrmBB1[Cur],(FrmBB1[PrjId]=TEXT($B232,"@"))*(FrmBB1[Row]=$E232)*(FrmBB1[Column]=UPPER(_xlfn.LET(_xlpm.x,_xlfn.TEXTBEFORE(AC$114," ("),IFERROR(_xlpm.x,AC$114)))&amp;" "&amp;AD$115),0)))</f>
        <v>0</v>
      </c>
      <c r="AE232" s="158" cm="1">
        <f t="array" aca="1" ref="AE232" ca="1">IF(OR($E232="X",$E232="",$E232=0,$B232="X",$B232="",$B232=0),0,SUM(_xlfn._xlws.FILTER(FrmBB1[Cur],(FrmBB1[PrjId]=TEXT($B232,"@"))*(FrmBB1[Row]=$E232)*(FrmBB1[Column]=UPPER(_xlfn.LET(_xlpm.x,_xlfn.TEXTBEFORE(AE$114," ("),IFERROR(_xlpm.x,AE$114)))&amp;" "&amp;AE$115),0)))</f>
        <v>0</v>
      </c>
      <c r="AF232" s="157" cm="1">
        <f t="array" aca="1" ref="AF232" ca="1">IF(OR($E232="X",$E232="",$E232=0,$B232="X",$B232="",$B232=0),0,SUM(_xlfn._xlws.FILTER(FrmBB1[Cur],(FrmBB1[PrjId]=TEXT($B232,"@"))*(FrmBB1[Row]=$E232)*(FrmBB1[Column]=UPPER(_xlfn.LET(_xlpm.x,_xlfn.TEXTBEFORE(AE$114," ("),IFERROR(_xlpm.x,AE$114)))&amp;" "&amp;AF$115),0)))</f>
        <v>0</v>
      </c>
      <c r="AG232" s="158" cm="1">
        <f t="array" aca="1" ref="AG232" ca="1">IF(OR($E232="X",$E232="",$E232=0,$B232="X",$B232="",$B232=0),0,SUM(_xlfn._xlws.FILTER(FrmBB1[Cur],(FrmBB1[PrjId]=TEXT($B232,"@"))*(FrmBB1[Row]=$E232)*(FrmBB1[Column]=UPPER(_xlfn.LET(_xlpm.x,_xlfn.TEXTBEFORE(AG$114," ("),IFERROR(_xlpm.x,AG$114)))&amp;" "&amp;AG$115),0)))</f>
        <v>0</v>
      </c>
      <c r="AH232" s="157" cm="1">
        <f t="array" aca="1" ref="AH232" ca="1">IF(OR($E232="X",$E232="",$E232=0,$B232="X",$B232="",$B232=0),0,SUM(_xlfn._xlws.FILTER(FrmBB1[Cur],(FrmBB1[PrjId]=TEXT($B232,"@"))*(FrmBB1[Row]=$E232)*(FrmBB1[Column]=UPPER(_xlfn.LET(_xlpm.x,_xlfn.TEXTBEFORE(AG$114," ("),IFERROR(_xlpm.x,AG$114)))&amp;" "&amp;AH$115),0)))</f>
        <v>0</v>
      </c>
      <c r="AI232" s="158" cm="1">
        <f t="array" aca="1" ref="AI232" ca="1">IF(OR($E232="X",$E232="",$E232=0,$B232="X",$B232="",$B232=0),0,SUM(_xlfn._xlws.FILTER(FrmBB1[Cur],(FrmBB1[PrjId]=TEXT($B232,"@"))*(FrmBB1[Row]=$E232)*(FrmBB1[Column]=UPPER(_xlfn.LET(_xlpm.x,_xlfn.TEXTBEFORE(AI$114," ("),IFERROR(_xlpm.x,AI$114)))&amp;" "&amp;AI$115),0)))</f>
        <v>0</v>
      </c>
      <c r="AJ232" s="157" cm="1">
        <f t="array" aca="1" ref="AJ232" ca="1">IF(OR($E232="X",$E232="",$E232=0,$B232="X",$B232="",$B232=0),0,SUM(_xlfn._xlws.FILTER(FrmBB1[Cur],(FrmBB1[PrjId]=TEXT($B232,"@"))*(FrmBB1[Row]=$E232)*(FrmBB1[Column]=UPPER(_xlfn.LET(_xlpm.x,_xlfn.TEXTBEFORE(AI$114," ("),IFERROR(_xlpm.x,AI$114)))&amp;" "&amp;AJ$115),0)))</f>
        <v>0</v>
      </c>
      <c r="AK232" s="158" cm="1">
        <f t="array" aca="1" ref="AK232" ca="1">IF(OR($E232="X",$E232="",$E232=0,$B232="X",$B232="",$B232=0),0,SUM(_xlfn._xlws.FILTER(FrmBB1[Cur],(FrmBB1[PrjId]=TEXT($B232,"@"))*(FrmBB1[Row]=$E232)*(FrmBB1[Column]=UPPER(_xlfn.LET(_xlpm.x,_xlfn.TEXTBEFORE(AK$114," ("),IFERROR(_xlpm.x,AK$114)))&amp;" "&amp;AK$115),0)))</f>
        <v>0</v>
      </c>
      <c r="AL232" s="157" cm="1">
        <f t="array" aca="1" ref="AL232" ca="1">IF(OR($E232="X",$E232="",$E232=0,$B232="X",$B232="",$B232=0),0,SUM(_xlfn._xlws.FILTER(FrmBB1[Cur],(FrmBB1[PrjId]=TEXT($B232,"@"))*(FrmBB1[Row]=$E232)*(FrmBB1[Column]=UPPER(_xlfn.LET(_xlpm.x,_xlfn.TEXTBEFORE(AK$114," ("),IFERROR(_xlpm.x,AK$114)))&amp;" "&amp;AL$115),0)))</f>
        <v>0</v>
      </c>
      <c r="AM232" s="158" cm="1">
        <f t="array" aca="1" ref="AM232" ca="1">IF(OR($E232="X",$E232="",$E232=0,$B232="X",$B232="",$B232=0),0,SUM(_xlfn._xlws.FILTER(FrmBB1[Cur],(FrmBB1[PrjId]=TEXT($B232,"@"))*(FrmBB1[Row]=$E232)*(FrmBB1[Column]=UPPER(_xlfn.LET(_xlpm.x,_xlfn.TEXTBEFORE(AM$114," ("),IFERROR(_xlpm.x,AM$114)))&amp;" "&amp;AM$115),0)))</f>
        <v>0</v>
      </c>
      <c r="AN232" s="157" cm="1">
        <f t="array" aca="1" ref="AN232" ca="1">IF(OR($E232="X",$E232="",$E232=0,$B232="X",$B232="",$B232=0),0,SUM(_xlfn._xlws.FILTER(FrmBB1[Cur],(FrmBB1[PrjId]=TEXT($B232,"@"))*(FrmBB1[Row]=$E232)*(FrmBB1[Column]=UPPER(_xlfn.LET(_xlpm.x,_xlfn.TEXTBEFORE(AM$114," ("),IFERROR(_xlpm.x,AM$114)))&amp;" "&amp;AN$115),0)))</f>
        <v>0</v>
      </c>
      <c r="AO232" s="158" cm="1">
        <f t="array" aca="1" ref="AO232" ca="1">IF(OR($E232="X",$E232="",$E232=0,$B232="X",$B232="",$B232=0),0,SUM(_xlfn._xlws.FILTER(FrmBB1[Cur],(FrmBB1[PrjId]=TEXT($B232,"@"))*(FrmBB1[Row]=$E232)*(FrmBB1[Column]=UPPER(_xlfn.LET(_xlpm.x,_xlfn.TEXTBEFORE(AO$114," ("),IFERROR(_xlpm.x,AO$114)))&amp;" "&amp;AO$115),0)))</f>
        <v>0</v>
      </c>
      <c r="AP232" s="157" cm="1">
        <f t="array" aca="1" ref="AP232" ca="1">IF(OR($E232="X",$E232="",$E232=0,$B232="X",$B232="",$B232=0),0,SUM(_xlfn._xlws.FILTER(FrmBB1[Cur],(FrmBB1[PrjId]=TEXT($B232,"@"))*(FrmBB1[Row]=$E232)*(FrmBB1[Column]=UPPER(_xlfn.LET(_xlpm.x,_xlfn.TEXTBEFORE(AO$114," ("),IFERROR(_xlpm.x,AO$114)))&amp;" "&amp;AP$115),0)))</f>
        <v>0</v>
      </c>
      <c r="AQ232" s="157" cm="1">
        <f t="array" aca="1" ref="AQ232" ca="1">SUM(IF(INDIRECT($AS$115)=AQ$115,INDIRECT($AS232)))</f>
        <v>0</v>
      </c>
      <c r="AR232" s="157" cm="1">
        <f t="array" aca="1" ref="AR232" ca="1">SUM(IF(INDIRECT($AS$115)=AR$115,INDIRECT($AS232)))</f>
        <v>0</v>
      </c>
      <c r="AS232" s="286" t="str">
        <f t="shared" ca="1" si="18"/>
        <v>G232:AP232</v>
      </c>
      <c r="AT232" s="403">
        <f t="shared" ca="1" si="17"/>
        <v>0</v>
      </c>
      <c r="AV232" s="142" cm="1">
        <f t="array" aca="1" ref="AV232" ca="1">IF(AND(_xlfn.LET(_xlpm.x,SUM(ROW()),OR(AND(MATCH("SOT",$A:$A,0)&lt;_xlpm.x,MATCH("EOT",$A:$A,0)&gt;_xlpm.x),AND(MATCH("SOS",$A:$A,0)&lt;_xlpm.x,MATCH("EOS",$A:$A,0)&gt;_xlpm.x),AND(MATCH("SOR",$A:$A,0)&lt;_xlpm.x,MATCH("EOR",$A:$A,0)&gt;_xlpm.x))),INDIRECT("rc"&amp;MATCH("SCD",$1:$1,0),FALSE)="PPTO"),1,0)</f>
        <v>0</v>
      </c>
      <c r="AW232" s="142" cm="1">
        <f t="array" aca="1" ref="AW23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233" spans="2:49" outlineLevel="1">
      <c r="B233" s="156" t="str" cm="1">
        <f t="array" aca="1" ref="B233" ca="1">_xlfn.LET(_xlpm.x,SUM(ROW()-MATCH("SOR",$A:$A,0)),_xlpm.y,IFERROR(_xlfn.TAKE(INDEX(_xlfn._xlws.FILTER(TbAssign[],ISNUMBER(FIND(TbAssign[Project],$C$4)),"X"),1+QUOTIENT(_xlpm.x,3),0),1,4),0),IF(MOD(_xlpm.x-1,3)=0,IF(_xlpm.y=0,"X",_xlpm.y),INDIRECT("r[-1]c#",FALSE)))</f>
        <v>X</v>
      </c>
      <c r="C233" s="156"/>
      <c r="E233" s="352"/>
      <c r="F233" s="148" t="s">
        <v>397</v>
      </c>
      <c r="G233" s="157" cm="1">
        <f t="array" aca="1" ref="G233" ca="1">IF(OR($E233="X",$E233="",$E233=0,$B233="X",$B233="",$B233=0),0,SUM(_xlfn._xlws.FILTER(IF($E$4="Ppto",PptoSty[CurPpto],PptoSty[CurInt]),(IF($E$4="Ppto",PptoSty[POvsCT]=G$113,TRUE))*(PptoSty[Project]=TEXT($B233,"@"))*(PptoSty[PptoVsRow]=$E233)*(PptoSty[PptoVsColumn]=UPPER(G$114)),0)))</f>
        <v>0</v>
      </c>
      <c r="H233" s="157" cm="1">
        <f t="array" aca="1" ref="H233" ca="1">IF(OR($E233="X",$E233="",$E233=0,$B233="X",$B233="",$B233=0),0,SUM(_xlfn._xlws.FILTER(IF($E$4="Ppto",PptoSty[CurPpto],PptoSty[CurExt]),(IF($E$4="Ppto",PptoSty[POvsCT]=H$113,TRUE))*(PptoSty[Project]=TEXT($B233,"@"))*(PptoSty[PptoVsRow]=$E233)*(PptoSty[PptoVsColumn]=UPPER(G$114)),0)))</f>
        <v>0</v>
      </c>
      <c r="I233" s="157" cm="1">
        <f t="array" aca="1" ref="I233" ca="1">IF(OR($E233="X",$E233="",$E233=0,$B233="X",$B233="",$B233=0),0,SUM(_xlfn._xlws.FILTER(IF($E$4="Ppto",PptoSty[CurPpto],PptoSty[CurInt]),(IF($E$4="Ppto",PptoSty[POvsCT]=I$113,TRUE))*(PptoSty[Project]=TEXT($B233,"@"))*(PptoSty[PptoVsRow]=$E233)*(PptoSty[PptoVsColumn]=UPPER(I$114)),0)))</f>
        <v>0</v>
      </c>
      <c r="J233" s="157" cm="1">
        <f t="array" aca="1" ref="J233" ca="1">IF(OR($E233="X",$E233="",$E233=0,$B233="X",$B233="",$B233=0),0,SUM(_xlfn._xlws.FILTER(IF($E$4="Ppto",PptoSty[CurPpto],PptoSty[CurExt]),(IF($E$4="Ppto",PptoSty[POvsCT]=J$113,TRUE))*(PptoSty[Project]=TEXT($B233,"@"))*(PptoSty[PptoVsRow]=$E233)*(PptoSty[PptoVsColumn]=UPPER(I$114)),0)))</f>
        <v>0</v>
      </c>
      <c r="K233" s="157" cm="1">
        <f t="array" aca="1" ref="K233" ca="1">IF(OR($E233="X",$E233="",$E233=0,$B233="X",$B233="",$B233=0),0,SUM(_xlfn._xlws.FILTER(IF($E$4="Ppto",PptoSty[CurPpto],PptoSty[CurInt]),(IF($E$4="Ppto",PptoSty[POvsCT]=K$113,TRUE))*(PptoSty[Project]=TEXT($B233,"@"))*(PptoSty[PptoVsRow]=$E233)*(PptoSty[PptoVsColumn]=UPPER(K$114)),0)))</f>
        <v>0</v>
      </c>
      <c r="L233" s="157" cm="1">
        <f t="array" aca="1" ref="L233" ca="1">IF(OR($E233="X",$E233="",$E233=0,$B233="X",$B233="",$B233=0),0,SUM(_xlfn._xlws.FILTER(IF($E$4="Ppto",PptoSty[CurPpto],PptoSty[CurExt]),(IF($E$4="Ppto",PptoSty[POvsCT]=L$113,TRUE))*(PptoSty[Project]=TEXT($B233,"@"))*(PptoSty[PptoVsRow]=$E233)*(PptoSty[PptoVsColumn]=UPPER(K$114)),0)))</f>
        <v>0</v>
      </c>
      <c r="M233" s="157" cm="1">
        <f t="array" aca="1" ref="M233" ca="1">IF(OR($E233="X",$E233="",$E233=0,$B233="X",$B233="",$B233=0),0,SUM(_xlfn._xlws.FILTER(IF($E$4="Ppto",PptoSty[CurPpto],PptoSty[CurInt]),(IF($E$4="Ppto",PptoSty[POvsCT]=M$113,TRUE))*(PptoSty[Project]=TEXT($B233,"@"))*(PptoSty[PptoVsRow]=$E233)*(PptoSty[PptoVsColumn]=UPPER(M$114)),0)))</f>
        <v>0</v>
      </c>
      <c r="N233" s="157" cm="1">
        <f t="array" aca="1" ref="N233" ca="1">IF(OR($E233="X",$E233="",$E233=0,$B233="X",$B233="",$B233=0),0,SUM(_xlfn._xlws.FILTER(IF($E$4="Ppto",PptoSty[CurPpto],PptoSty[CurExt]),(IF($E$4="Ppto",PptoSty[POvsCT]=N$113,TRUE))*(PptoSty[Project]=TEXT($B233,"@"))*(PptoSty[PptoVsRow]=$E233)*(PptoSty[PptoVsColumn]=UPPER(M$114)),0)))</f>
        <v>0</v>
      </c>
      <c r="O233" s="157" cm="1">
        <f t="array" aca="1" ref="O233" ca="1">IF(OR($E233="X",$E233="",$E233=0,$B233="X",$B233="",$B233=0),0,SUM(_xlfn._xlws.FILTER(IF($E$4="Ppto",PptoSty[CurPpto],PptoSty[CurInt]),(IF($E$4="Ppto",PptoSty[POvsCT]=O$113,TRUE))*(PptoSty[Project]=TEXT($B233,"@"))*(PptoSty[PptoVsRow]=$E233)*(PptoSty[PptoVsColumn]=UPPER(O$114)),0)))</f>
        <v>0</v>
      </c>
      <c r="P233" s="157" cm="1">
        <f t="array" aca="1" ref="P233" ca="1">IF(OR($E233="X",$E233="",$E233=0,$B233="X",$B233="",$B233=0),0,SUM(_xlfn._xlws.FILTER(IF($E$4="Ppto",PptoSty[CurPpto],PptoSty[CurExt]),(IF($E$4="Ppto",PptoSty[POvsCT]=P$113,TRUE))*(PptoSty[Project]=TEXT($B233,"@"))*(PptoSty[PptoVsRow]=$E233)*(PptoSty[PptoVsColumn]=UPPER(O$114)),0)))</f>
        <v>0</v>
      </c>
      <c r="Q233" s="157" cm="1">
        <f t="array" aca="1" ref="Q233" ca="1">IF(OR($E233="X",$E233="",$E233=0,$B233="X",$B233="",$B233=0),0,SUM(_xlfn._xlws.FILTER(IF($E$4="Ppto",PptoSty[CurPpto],PptoSty[CurInt]),(IF($E$4="Ppto",PptoSty[POvsCT]=Q$113,TRUE))*(PptoSty[Project]=TEXT($B233,"@"))*(PptoSty[PptoVsRow]=$E233)*(PptoSty[PptoVsColumn]=UPPER(Q$114)),0)))</f>
        <v>0</v>
      </c>
      <c r="R233" s="157" cm="1">
        <f t="array" aca="1" ref="R233" ca="1">IF(OR($E233="X",$E233="",$E233=0,$B233="X",$B233="",$B233=0),0,SUM(_xlfn._xlws.FILTER(IF($E$4="Ppto",PptoSty[CurPpto],PptoSty[CurExt]),(IF($E$4="Ppto",PptoSty[POvsCT]=R$113,TRUE))*(PptoSty[Project]=TEXT($B233,"@"))*(PptoSty[PptoVsRow]=$E233)*(PptoSty[PptoVsColumn]=UPPER(Q$114)),0)))</f>
        <v>0</v>
      </c>
      <c r="S233" s="157" cm="1">
        <f t="array" aca="1" ref="S233" ca="1">IF(OR($E233="X",$E233="",$E233=0,$B233="X",$B233="",$B233=0),0,SUM(_xlfn._xlws.FILTER(IF($E$4="Ppto",PptoSty[CurPpto],PptoSty[CurInt]),(IF($E$4="Ppto",PptoSty[POvsCT]=S$113,TRUE))*(PptoSty[Project]=TEXT($B233,"@"))*(PptoSty[PptoVsRow]=$E233)*(PptoSty[PptoVsColumn]=UPPER(S$114)),0)))</f>
        <v>0</v>
      </c>
      <c r="T233" s="157" cm="1">
        <f t="array" aca="1" ref="T233" ca="1">IF(OR($E233="X",$E233="",$E233=0,$B233="X",$B233="",$B233=0),0,SUM(_xlfn._xlws.FILTER(IF($E$4="Ppto",PptoSty[CurPpto],PptoSty[CurExt]),(IF($E$4="Ppto",PptoSty[POvsCT]=T$113,TRUE))*(PptoSty[Project]=TEXT($B233,"@"))*(PptoSty[PptoVsRow]=$E233)*(PptoSty[PptoVsColumn]=UPPER(S$114)),0)))</f>
        <v>0</v>
      </c>
      <c r="U233" s="157" cm="1">
        <f t="array" aca="1" ref="U233" ca="1">IF(OR($E233="X",$E233="",$E233=0,$B233="X",$B233="",$B233=0),0,SUM(_xlfn._xlws.FILTER(IF($E$4="Ppto",PptoSty[CurPpto],PptoSty[CurInt]),(IF($E$4="Ppto",PptoSty[POvsCT]=U$113,TRUE))*(PptoSty[Project]=TEXT($B233,"@"))*(PptoSty[PptoVsRow]=$E233)*(PptoSty[PptoVsColumn]=UPPER(U$114)),0)))</f>
        <v>0</v>
      </c>
      <c r="V233" s="157" cm="1">
        <f t="array" aca="1" ref="V233" ca="1">IF(OR($E233="X",$E233="",$E233=0,$B233="X",$B233="",$B233=0),0,SUM(_xlfn._xlws.FILTER(IF($E$4="Ppto",PptoSty[CurPpto],PptoSty[CurExt]),(IF($E$4="Ppto",PptoSty[POvsCT]=V$113,TRUE))*(PptoSty[Project]=TEXT($B233,"@"))*(PptoSty[PptoVsRow]=$E233)*(PptoSty[PptoVsColumn]=UPPER(U$114)),0)))</f>
        <v>0</v>
      </c>
      <c r="W233" s="157" cm="1">
        <f t="array" aca="1" ref="W233" ca="1">IF(OR($E233="X",$E233="",$E233=0,$B233="X",$B233="",$B233=0),0,SUM(_xlfn._xlws.FILTER(IF($E$4="Ppto",PptoSty[CurPpto],PptoSty[CurInt]),(IF($E$4="Ppto",PptoSty[POvsCT]=W$113,TRUE))*(PptoSty[Project]=TEXT($B233,"@"))*(PptoSty[PptoVsRow]=$E233)*(PptoSty[PptoVsColumn]=UPPER(W$114)),0)))</f>
        <v>0</v>
      </c>
      <c r="X233" s="157" cm="1">
        <f t="array" aca="1" ref="X233" ca="1">IF(OR($E233="X",$E233="",$E233=0,$B233="X",$B233="",$B233=0),0,SUM(_xlfn._xlws.FILTER(IF($E$4="Ppto",PptoSty[CurPpto],PptoSty[CurExt]),(IF($E$4="Ppto",PptoSty[POvsCT]=X$113,TRUE))*(PptoSty[Project]=TEXT($B233,"@"))*(PptoSty[PptoVsRow]=$E233)*(PptoSty[PptoVsColumn]=UPPER(W$114)),0)))</f>
        <v>0</v>
      </c>
      <c r="Y233" s="157" cm="1">
        <f t="array" aca="1" ref="Y233" ca="1">IF(OR($E233="X",$E233="",$E233=0,$B233="X",$B233="",$B233=0),0,SUM(_xlfn._xlws.FILTER(IF($E$4="Ppto",PptoSty[CurPpto],PptoSty[CurInt]),(IF($E$4="Ppto",PptoSty[POvsCT]=Y$113,TRUE))*(PptoSty[Project]=TEXT($B233,"@"))*(PptoSty[PptoVsRow]=$E233)*(PptoSty[PptoVsColumn]=UPPER(Y$114)),0)))</f>
        <v>0</v>
      </c>
      <c r="Z233" s="157" cm="1">
        <f t="array" aca="1" ref="Z233" ca="1">IF(OR($E233="X",$E233="",$E233=0,$B233="X",$B233="",$B233=0),0,SUM(_xlfn._xlws.FILTER(IF($E$4="Ppto",PptoSty[CurPpto],PptoSty[CurExt]),(IF($E$4="Ppto",PptoSty[POvsCT]=Z$113,TRUE))*(PptoSty[Project]=TEXT($B233,"@"))*(PptoSty[PptoVsRow]=$E233)*(PptoSty[PptoVsColumn]=UPPER(Y$114)),0)))</f>
        <v>0</v>
      </c>
      <c r="AA233" s="157" cm="1">
        <f t="array" aca="1" ref="AA233" ca="1">IF(OR($E233="X",$E233="",$E233=0,$B233="X",$B233="",$B233=0),0,SUM(_xlfn._xlws.FILTER(IF($E$4="Ppto",PptoSty[CurPpto],PptoSty[CurInt]),(IF($E$4="Ppto",PptoSty[POvsCT]=AA$113,TRUE))*(PptoSty[Project]=TEXT($B233,"@"))*(PptoSty[PptoVsRow]=$E233)*(PptoSty[PptoVsColumn]=UPPER(AA$114)),0)))</f>
        <v>0</v>
      </c>
      <c r="AB233" s="157" cm="1">
        <f t="array" aca="1" ref="AB233" ca="1">IF(OR($E233="X",$E233="",$E233=0,$B233="X",$B233="",$B233=0),0,SUM(_xlfn._xlws.FILTER(IF($E$4="Ppto",PptoSty[CurPpto],PptoSty[CurExt]),(IF($E$4="Ppto",PptoSty[POvsCT]=AB$113,TRUE))*(PptoSty[Project]=TEXT($B233,"@"))*(PptoSty[PptoVsRow]=$E233)*(PptoSty[PptoVsColumn]=UPPER(AA$114)),0)))</f>
        <v>0</v>
      </c>
      <c r="AC233" s="157" cm="1">
        <f t="array" aca="1" ref="AC233" ca="1">IF(OR($E233="X",$E233="",$E233=0,$B233="X",$B233="",$B233=0),0,SUM(_xlfn._xlws.FILTER(IF($E$4="Ppto",PptoSty[CurPpto],PptoSty[CurInt]),(IF($E$4="Ppto",PptoSty[POvsCT]=AC$113,TRUE))*(PptoSty[Project]=TEXT($B233,"@"))*(PptoSty[PptoVsRow]=$E233)*(PptoSty[PptoVsColumn]=UPPER(AC$114)),0)))</f>
        <v>0</v>
      </c>
      <c r="AD233" s="157" cm="1">
        <f t="array" aca="1" ref="AD233" ca="1">IF(OR($E233="X",$E233="",$E233=0,$B233="X",$B233="",$B233=0),0,SUM(_xlfn._xlws.FILTER(IF($E$4="Ppto",PptoSty[CurPpto],PptoSty[CurExt]),(IF($E$4="Ppto",PptoSty[POvsCT]=AD$113,TRUE))*(PptoSty[Project]=TEXT($B233,"@"))*(PptoSty[PptoVsRow]=$E233)*(PptoSty[PptoVsColumn]=UPPER(AC$114)),0)))</f>
        <v>0</v>
      </c>
      <c r="AE233" s="157" cm="1">
        <f t="array" aca="1" ref="AE233" ca="1">IF(OR($E233="X",$E233="",$E233=0,$B233="X",$B233="",$B233=0),0,SUM(_xlfn._xlws.FILTER(IF($E$4="Ppto",PptoSty[CurPpto],PptoSty[CurInt]),(IF($E$4="Ppto",PptoSty[POvsCT]=AE$113,TRUE))*(PptoSty[Project]=TEXT($B233,"@"))*(PptoSty[PptoVsRow]=$E233)*(PptoSty[PptoVsColumn]=UPPER(AE$114)),0)))</f>
        <v>0</v>
      </c>
      <c r="AF233" s="157" cm="1">
        <f t="array" aca="1" ref="AF233" ca="1">IF(OR($E233="X",$E233="",$E233=0,$B233="X",$B233="",$B233=0),0,SUM(_xlfn._xlws.FILTER(IF($E$4="Ppto",PptoSty[CurPpto],PptoSty[CurExt]),(IF($E$4="Ppto",PptoSty[POvsCT]=AF$113,TRUE))*(PptoSty[Project]=TEXT($B233,"@"))*(PptoSty[PptoVsRow]=$E233)*(PptoSty[PptoVsColumn]=UPPER(AE$114)),0)))</f>
        <v>0</v>
      </c>
      <c r="AG233" s="157" cm="1">
        <f t="array" aca="1" ref="AG233" ca="1">IF(OR($E233="X",$E233="",$E233=0,$B233="X",$B233="",$B233=0),0,SUM(_xlfn._xlws.FILTER(IF($E$4="Ppto",PptoSty[CurPpto],PptoSty[CurInt]),(IF($E$4="Ppto",PptoSty[POvsCT]=AG$113,TRUE))*(PptoSty[Project]=TEXT($B233,"@"))*(PptoSty[PptoVsRow]=$E233)*(PptoSty[PptoVsColumn]=UPPER(AG$114)),0)))</f>
        <v>0</v>
      </c>
      <c r="AH233" s="157" cm="1">
        <f t="array" aca="1" ref="AH233" ca="1">IF(OR($E233="X",$E233="",$E233=0,$B233="X",$B233="",$B233=0),0,SUM(_xlfn._xlws.FILTER(IF($E$4="Ppto",PptoSty[CurPpto],PptoSty[CurExt]),(IF($E$4="Ppto",PptoSty[POvsCT]=AH$113,TRUE))*(PptoSty[Project]=TEXT($B233,"@"))*(PptoSty[PptoVsRow]=$E233)*(PptoSty[PptoVsColumn]=UPPER(AG$114)),0)))</f>
        <v>0</v>
      </c>
      <c r="AI233" s="157" cm="1">
        <f t="array" aca="1" ref="AI233" ca="1">IF(OR($E233="X",$E233="",$E233=0,$B233="X",$B233="",$B233=0),0,SUM(_xlfn._xlws.FILTER(IF($E$4="Ppto",PptoSty[CurPpto],PptoSty[CurInt]),(IF($E$4="Ppto",PptoSty[POvsCT]=AI$113,TRUE))*(PptoSty[Project]=TEXT($B233,"@"))*(PptoSty[PptoVsRow]=$E233)*(PptoSty[PptoVsColumn]=UPPER(AI$114)),0)))</f>
        <v>0</v>
      </c>
      <c r="AJ233" s="157" cm="1">
        <f t="array" aca="1" ref="AJ233" ca="1">IF(OR($E233="X",$E233="",$E233=0,$B233="X",$B233="",$B233=0),0,SUM(_xlfn._xlws.FILTER(IF($E$4="Ppto",PptoSty[CurPpto],PptoSty[CurExt]),(IF($E$4="Ppto",PptoSty[POvsCT]=AJ$113,TRUE))*(PptoSty[Project]=TEXT($B233,"@"))*(PptoSty[PptoVsRow]=$E233)*(PptoSty[PptoVsColumn]=UPPER(AI$114)),0)))</f>
        <v>0</v>
      </c>
      <c r="AK233" s="157" cm="1">
        <f t="array" aca="1" ref="AK233" ca="1">IF(OR($E233="X",$E233="",$E233=0,$B233="X",$B233="",$B233=0),0,SUM(_xlfn._xlws.FILTER(IF($E$4="Ppto",PptoSty[CurPpto],PptoSty[CurInt]),(IF($E$4="Ppto",PptoSty[POvsCT]=AK$113,TRUE))*(PptoSty[Project]=TEXT($B233,"@"))*(PptoSty[PptoVsRow]=$E233)*(PptoSty[PptoVsColumn]=UPPER(AK$114)),0)))</f>
        <v>0</v>
      </c>
      <c r="AL233" s="157" cm="1">
        <f t="array" aca="1" ref="AL233" ca="1">IF(OR($E233="X",$E233="",$E233=0,$B233="X",$B233="",$B233=0),0,SUM(_xlfn._xlws.FILTER(IF($E$4="Ppto",PptoSty[CurPpto],PptoSty[CurExt]),(IF($E$4="Ppto",PptoSty[POvsCT]=AL$113,TRUE))*(PptoSty[Project]=TEXT($B233,"@"))*(PptoSty[PptoVsRow]=$E233)*(PptoSty[PptoVsColumn]=UPPER(AK$114)),0)))</f>
        <v>0</v>
      </c>
      <c r="AM233" s="157" cm="1">
        <f t="array" aca="1" ref="AM233" ca="1">IF(OR($E233="X",$E233="",$E233=0,$B233="X",$B233="",$B233=0),0,SUM(_xlfn._xlws.FILTER(IF($E$4="Ppto",PptoSty[CurPpto],PptoSty[CurInt]),(IF($E$4="Ppto",PptoSty[POvsCT]=AM$113,TRUE))*(PptoSty[Project]=TEXT($B233,"@"))*(PptoSty[PptoVsRow]=$E233)*(PptoSty[PptoVsColumn]=UPPER(AM$114)),0)))</f>
        <v>0</v>
      </c>
      <c r="AN233" s="157" cm="1">
        <f t="array" aca="1" ref="AN233" ca="1">IF(OR($E233="X",$E233="",$E233=0,$B233="X",$B233="",$B233=0),0,SUM(_xlfn._xlws.FILTER(IF($E$4="Ppto",PptoSty[CurPpto],PptoSty[CurExt]),(IF($E$4="Ppto",PptoSty[POvsCT]=AN$113,TRUE))*(PptoSty[Project]=TEXT($B233,"@"))*(PptoSty[PptoVsRow]=$E233)*(PptoSty[PptoVsColumn]=UPPER(AM$114)),0)))</f>
        <v>0</v>
      </c>
      <c r="AO233" s="157" cm="1">
        <f t="array" aca="1" ref="AO233" ca="1">IF(OR($E233="X",$E233="",$E233=0,$B233="X",$B233="",$B233=0),0,SUM(_xlfn._xlws.FILTER(IF($E$4="Ppto",PptoSty[CurPpto],PptoSty[CurInt]),(IF($E$4="Ppto",PptoSty[POvsCT]=AO$113,TRUE))*(PptoSty[Project]=TEXT($B233,"@"))*(PptoSty[PptoVsRow]=$E233)*(PptoSty[PptoVsColumn]=UPPER(AO$114)),0)))</f>
        <v>0</v>
      </c>
      <c r="AP233" s="157" cm="1">
        <f t="array" aca="1" ref="AP233" ca="1">IF(OR($E233="X",$E233="",$E233=0,$B233="X",$B233="",$B233=0),0,SUM(_xlfn._xlws.FILTER(IF($E$4="Ppto",PptoSty[CurPpto],PptoSty[CurExt]),(IF($E$4="Ppto",PptoSty[POvsCT]=AP$113,TRUE))*(PptoSty[Project]=TEXT($B233,"@"))*(PptoSty[PptoVsRow]=$E233)*(PptoSty[PptoVsColumn]=UPPER(AO$114)),0)))</f>
        <v>0</v>
      </c>
      <c r="AQ233" s="157" cm="1">
        <f t="array" aca="1" ref="AQ233" ca="1">SUM(IF(INDIRECT($AS$115)=AQ$115,INDIRECT($AS233)))</f>
        <v>0</v>
      </c>
      <c r="AR233" s="157" cm="1">
        <f t="array" aca="1" ref="AR233" ca="1">SUM(IF(INDIRECT($AS$115)=AR$115,INDIRECT($AS233)))</f>
        <v>0</v>
      </c>
      <c r="AS233" s="286" t="str">
        <f t="shared" ca="1" si="18"/>
        <v>G233:AP233</v>
      </c>
      <c r="AT233" s="403">
        <f t="shared" ca="1" si="17"/>
        <v>0</v>
      </c>
      <c r="AV233" s="142" cm="1">
        <f t="array" aca="1" ref="AV233" ca="1">IF(AND(_xlfn.LET(_xlpm.x,SUM(ROW()),OR(AND(MATCH("SOT",$A:$A,0)&lt;_xlpm.x,MATCH("EOT",$A:$A,0)&gt;_xlpm.x),AND(MATCH("SOS",$A:$A,0)&lt;_xlpm.x,MATCH("EOS",$A:$A,0)&gt;_xlpm.x),AND(MATCH("SOR",$A:$A,0)&lt;_xlpm.x,MATCH("EOR",$A:$A,0)&gt;_xlpm.x))),INDIRECT("rc"&amp;MATCH("SCD",$1:$1,0),FALSE)="PPTO"),1,0)</f>
        <v>1</v>
      </c>
      <c r="AW233" s="142" cm="1">
        <f t="array" aca="1" ref="AW23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234" spans="2:49" outlineLevel="1">
      <c r="B234" s="156" t="str" cm="1">
        <f t="array" aca="1" ref="B234" ca="1">_xlfn.LET(_xlpm.x,SUM(ROW()-MATCH("SOR",$A:$A,0)),_xlpm.y,IFERROR(_xlfn.TAKE(INDEX(_xlfn._xlws.FILTER(TbAssign[],ISNUMBER(FIND(TbAssign[Project],$C$4)),"X"),1+QUOTIENT(_xlpm.x,3),0),1,4),0),IF(MOD(_xlpm.x-1,3)=0,IF(_xlpm.y=0,"X",_xlpm.y),INDIRECT("r[-1]c#",FALSE)))</f>
        <v>X</v>
      </c>
      <c r="C234" s="156"/>
      <c r="E234" s="352"/>
      <c r="F234" s="148" t="s">
        <v>1382</v>
      </c>
      <c r="G234" s="157" cm="1">
        <f t="array" aca="1" ref="G234" ca="1">IF(OR($E234="X",$E234="",$E234=0,$B234="X",$B234="",$B234=0),0,SUM(_xlfn._xlws.FILTER(PrvSty[DsvValue:SERRA],(PrvSty[Project]=TEXT($B234,"@"))*(PrvSty[Row]=$E234)*(PrvSty[Column]=UPPER(G$114)),0)))</f>
        <v>0</v>
      </c>
      <c r="H234" s="157" cm="1">
        <f t="array" aca="1" ref="H234" ca="1">IF(OR($E234="X",$E234="",$E234=0,$B234="X",$B234="",$B234=0),0,SUM(_xlfn._xlws.FILTER(PrvSty[DsvValue:EXT.],(PrvSty[Project]=TEXT($B234,"@"))*(PrvSty[Row]=$E234)*(PrvSty[Column]=UPPER(G$114)),0)))</f>
        <v>0</v>
      </c>
      <c r="I234" s="157" cm="1">
        <f t="array" aca="1" ref="I234" ca="1">IF(OR($E234="X",$E234="",$E234=0,$B234="X",$B234="",$B234=0),0,SUM(_xlfn._xlws.FILTER(PrvSty[DsvValue:SERRA],(PrvSty[Project]=TEXT($B234,"@"))*(PrvSty[Row]=$E234)*(PrvSty[Column]=UPPER(I$114)),0)))</f>
        <v>0</v>
      </c>
      <c r="J234" s="157" cm="1">
        <f t="array" aca="1" ref="J234" ca="1">IF(OR($E234="X",$E234="",$E234=0,$B234="X",$B234="",$B234=0),0,SUM(_xlfn._xlws.FILTER(PrvSty[DsvValue:EXT.],(PrvSty[Project]=TEXT($B234,"@"))*(PrvSty[Row]=$E234)*(PrvSty[Column]=UPPER(I$114)),0)))</f>
        <v>0</v>
      </c>
      <c r="K234" s="157" cm="1">
        <f t="array" aca="1" ref="K234" ca="1">IF(OR($E234="X",$E234="",$E234=0,$B234="X",$B234="",$B234=0),0,SUM(_xlfn._xlws.FILTER(PrvSty[DsvValue:SERRA],(PrvSty[Project]=TEXT($B234,"@"))*(PrvSty[Row]=$E234)*(PrvSty[Column]=UPPER(K$114)),0)))</f>
        <v>0</v>
      </c>
      <c r="L234" s="157" cm="1">
        <f t="array" aca="1" ref="L234" ca="1">IF(OR($E234="X",$E234="",$E234=0,$B234="X",$B234="",$B234=0),0,SUM(_xlfn._xlws.FILTER(PrvSty[DsvValue:EXT.],(PrvSty[Project]=TEXT($B234,"@"))*(PrvSty[Row]=$E234)*(PrvSty[Column]=UPPER(K$114)),0)))</f>
        <v>0</v>
      </c>
      <c r="M234" s="157" cm="1">
        <f t="array" aca="1" ref="M234" ca="1">IF(OR($E234="X",$E234="",$E234=0,$B234="X",$B234="",$B234=0),0,SUM(_xlfn._xlws.FILTER(PrvSty[DsvValue:SERRA],(PrvSty[Project]=TEXT($B234,"@"))*(PrvSty[Row]=$E234)*(PrvSty[Column]=UPPER(M$114)),0)))</f>
        <v>0</v>
      </c>
      <c r="N234" s="157" cm="1">
        <f t="array" aca="1" ref="N234" ca="1">IF(OR($E234="X",$E234="",$E234=0,$B234="X",$B234="",$B234=0),0,SUM(_xlfn._xlws.FILTER(PrvSty[DsvValue:EXT.],(PrvSty[Project]=TEXT($B234,"@"))*(PrvSty[Row]=$E234)*(PrvSty[Column]=UPPER(M$114)),0)))</f>
        <v>0</v>
      </c>
      <c r="O234" s="157" cm="1">
        <f t="array" aca="1" ref="O234" ca="1">IF(OR($E234="X",$E234="",$E234=0,$B234="X",$B234="",$B234=0),0,SUM(_xlfn._xlws.FILTER(PrvSty[DsvValue:SERRA],(PrvSty[Project]=TEXT($B234,"@"))*(PrvSty[Row]=$E234)*(PrvSty[Column]=UPPER(O$114)),0)))</f>
        <v>0</v>
      </c>
      <c r="P234" s="157" cm="1">
        <f t="array" aca="1" ref="P234" ca="1">IF(OR($E234="X",$E234="",$E234=0,$B234="X",$B234="",$B234=0),0,SUM(_xlfn._xlws.FILTER(PrvSty[DsvValue:EXT.],(PrvSty[Project]=TEXT($B234,"@"))*(PrvSty[Row]=$E234)*(PrvSty[Column]=UPPER(O$114)),0)))</f>
        <v>0</v>
      </c>
      <c r="Q234" s="157" cm="1">
        <f t="array" aca="1" ref="Q234" ca="1">IF(OR($E234="X",$E234="",$E234=0,$B234="X",$B234="",$B234=0),0,SUM(_xlfn._xlws.FILTER(PrvSty[DsvValue:SERRA],(PrvSty[Project]=TEXT($B234,"@"))*(PrvSty[Row]=$E234)*(PrvSty[Column]=UPPER(Q$114)),0)))</f>
        <v>0</v>
      </c>
      <c r="R234" s="157" cm="1">
        <f t="array" aca="1" ref="R234" ca="1">IF(OR($E234="X",$E234="",$E234=0,$B234="X",$B234="",$B234=0),0,SUM(_xlfn._xlws.FILTER(PrvSty[DsvValue:EXT.],(PrvSty[Project]=TEXT($B234,"@"))*(PrvSty[Row]=$E234)*(PrvSty[Column]=UPPER(Q$114)),0)))</f>
        <v>0</v>
      </c>
      <c r="S234" s="157" cm="1">
        <f t="array" aca="1" ref="S234" ca="1">IF(OR($E234="X",$E234="",$E234=0,$B234="X",$B234="",$B234=0),0,SUM(_xlfn._xlws.FILTER(PrvSty[DsvValue:SERRA],(PrvSty[Project]=TEXT($B234,"@"))*(PrvSty[Row]=$E234)*(PrvSty[Column]=UPPER(S$114)),0)))</f>
        <v>0</v>
      </c>
      <c r="T234" s="157" cm="1">
        <f t="array" aca="1" ref="T234" ca="1">IF(OR($E234="X",$E234="",$E234=0,$B234="X",$B234="",$B234=0),0,SUM(_xlfn._xlws.FILTER(PrvSty[DsvValue:EXT.],(PrvSty[Project]=TEXT($B234,"@"))*(PrvSty[Row]=$E234)*(PrvSty[Column]=UPPER(S$114)),0)))</f>
        <v>0</v>
      </c>
      <c r="U234" s="157" cm="1">
        <f t="array" aca="1" ref="U234" ca="1">IF(OR($E234="X",$E234="",$E234=0,$B234="X",$B234="",$B234=0),0,SUM(_xlfn._xlws.FILTER(PrvSty[DsvValue:SERRA],(PrvSty[Project]=TEXT($B234,"@"))*(PrvSty[Row]=$E234)*(PrvSty[Column]=UPPER(U$114)),0)))</f>
        <v>0</v>
      </c>
      <c r="V234" s="157" cm="1">
        <f t="array" aca="1" ref="V234" ca="1">IF(OR($E234="X",$E234="",$E234=0,$B234="X",$B234="",$B234=0),0,SUM(_xlfn._xlws.FILTER(PrvSty[DsvValue:EXT.],(PrvSty[Project]=TEXT($B234,"@"))*(PrvSty[Row]=$E234)*(PrvSty[Column]=UPPER(U$114)),0)))</f>
        <v>0</v>
      </c>
      <c r="W234" s="157" cm="1">
        <f t="array" aca="1" ref="W234" ca="1">IF(OR($E234="X",$E234="",$E234=0,$B234="X",$B234="",$B234=0),0,SUM(_xlfn._xlws.FILTER(PrvSty[DsvValue:SERRA],(PrvSty[Project]=TEXT($B234,"@"))*(PrvSty[Row]=$E234)*(PrvSty[Column]=UPPER(W$114)),0)))</f>
        <v>0</v>
      </c>
      <c r="X234" s="157" cm="1">
        <f t="array" aca="1" ref="X234" ca="1">IF(OR($E234="X",$E234="",$E234=0,$B234="X",$B234="",$B234=0),0,SUM(_xlfn._xlws.FILTER(PrvSty[DsvValue:EXT.],(PrvSty[Project]=TEXT($B234,"@"))*(PrvSty[Row]=$E234)*(PrvSty[Column]=UPPER(W$114)),0)))</f>
        <v>0</v>
      </c>
      <c r="Y234" s="157" cm="1">
        <f t="array" aca="1" ref="Y234" ca="1">IF(OR($E234="X",$E234="",$E234=0,$B234="X",$B234="",$B234=0),0,SUM(_xlfn._xlws.FILTER(PrvSty[DsvValue:SERRA],(PrvSty[Project]=TEXT($B234,"@"))*(PrvSty[Row]=$E234)*(PrvSty[Column]=UPPER(Y$114)),0)))</f>
        <v>0</v>
      </c>
      <c r="Z234" s="157" cm="1">
        <f t="array" aca="1" ref="Z234" ca="1">IF(OR($E234="X",$E234="",$E234=0,$B234="X",$B234="",$B234=0),0,SUM(_xlfn._xlws.FILTER(PrvSty[DsvValue:EXT.],(PrvSty[Project]=TEXT($B234,"@"))*(PrvSty[Row]=$E234)*(PrvSty[Column]=UPPER(Y$114)),0)))</f>
        <v>0</v>
      </c>
      <c r="AA234" s="157" cm="1">
        <f t="array" aca="1" ref="AA234" ca="1">IF(OR($E234="X",$E234="",$E234=0,$B234="X",$B234="",$B234=0),0,SUM(_xlfn._xlws.FILTER(PrvSty[DsvValue:SERRA],(PrvSty[Project]=TEXT($B234,"@"))*(PrvSty[Row]=$E234)*(PrvSty[Column]=UPPER(AA$114)),0)))</f>
        <v>0</v>
      </c>
      <c r="AB234" s="157" cm="1">
        <f t="array" aca="1" ref="AB234" ca="1">IF(OR($E234="X",$E234="",$E234=0,$B234="X",$B234="",$B234=0),0,SUM(_xlfn._xlws.FILTER(PrvSty[DsvValue:EXT.],(PrvSty[Project]=TEXT($B234,"@"))*(PrvSty[Row]=$E234)*(PrvSty[Column]=UPPER(AA$114)),0)))</f>
        <v>0</v>
      </c>
      <c r="AC234" s="157" cm="1">
        <f t="array" aca="1" ref="AC234" ca="1">IF(OR($E234="X",$E234="",$E234=0,$B234="X",$B234="",$B234=0),0,SUM(_xlfn._xlws.FILTER(PrvSty[DsvValue:SERRA],(PrvSty[Project]=TEXT($B234,"@"))*(PrvSty[Row]=$E234)*(PrvSty[Column]=UPPER(AC$114)),0)))</f>
        <v>0</v>
      </c>
      <c r="AD234" s="157" cm="1">
        <f t="array" aca="1" ref="AD234" ca="1">IF(OR($E234="X",$E234="",$E234=0,$B234="X",$B234="",$B234=0),0,SUM(_xlfn._xlws.FILTER(PrvSty[DsvValue:EXT.],(PrvSty[Project]=TEXT($B234,"@"))*(PrvSty[Row]=$E234)*(PrvSty[Column]=UPPER(AC$114)),0)))</f>
        <v>0</v>
      </c>
      <c r="AE234" s="157" cm="1">
        <f t="array" aca="1" ref="AE234" ca="1">IF(OR($E234="X",$E234="",$E234=0,$B234="X",$B234="",$B234=0),0,SUM(_xlfn._xlws.FILTER(PrvSty[DsvValue:SERRA],(PrvSty[Project]=TEXT($B234,"@"))*(PrvSty[Row]=$E234)*(PrvSty[Column]=UPPER(AE$114)),0)))</f>
        <v>0</v>
      </c>
      <c r="AF234" s="157" cm="1">
        <f t="array" aca="1" ref="AF234" ca="1">IF(OR($E234="X",$E234="",$E234=0,$B234="X",$B234="",$B234=0),0,SUM(_xlfn._xlws.FILTER(PrvSty[DsvValue:EXT.],(PrvSty[Project]=TEXT($B234,"@"))*(PrvSty[Row]=$E234)*(PrvSty[Column]=UPPER(AE$114)),0)))</f>
        <v>0</v>
      </c>
      <c r="AG234" s="157" cm="1">
        <f t="array" aca="1" ref="AG234" ca="1">IF(OR($E234="X",$E234="",$E234=0,$B234="X",$B234="",$B234=0),0,SUM(_xlfn._xlws.FILTER(PrvSty[DsvValue:SERRA],(PrvSty[Project]=TEXT($B234,"@"))*(PrvSty[Row]=$E234)*(PrvSty[Column]=UPPER(AG$114)),0)))</f>
        <v>0</v>
      </c>
      <c r="AH234" s="157" cm="1">
        <f t="array" aca="1" ref="AH234" ca="1">IF(OR($E234="X",$E234="",$E234=0,$B234="X",$B234="",$B234=0),0,SUM(_xlfn._xlws.FILTER(PrvSty[DsvValue:EXT.],(PrvSty[Project]=TEXT($B234,"@"))*(PrvSty[Row]=$E234)*(PrvSty[Column]=UPPER(AG$114)),0)))</f>
        <v>0</v>
      </c>
      <c r="AI234" s="157" cm="1">
        <f t="array" aca="1" ref="AI234" ca="1">IF(OR($E234="X",$E234="",$E234=0,$B234="X",$B234="",$B234=0),0,SUM(_xlfn._xlws.FILTER(PrvSty[DsvValue:SERRA],(PrvSty[Project]=TEXT($B234,"@"))*(PrvSty[Row]=$E234)*(PrvSty[Column]=UPPER(AI$114)),0)))</f>
        <v>0</v>
      </c>
      <c r="AJ234" s="157" cm="1">
        <f t="array" aca="1" ref="AJ234" ca="1">IF(OR($E234="X",$E234="",$E234=0,$B234="X",$B234="",$B234=0),0,SUM(_xlfn._xlws.FILTER(PrvSty[DsvValue:EXT.],(PrvSty[Project]=TEXT($B234,"@"))*(PrvSty[Row]=$E234)*(PrvSty[Column]=UPPER(AI$114)),0)))</f>
        <v>0</v>
      </c>
      <c r="AK234" s="157" cm="1">
        <f t="array" aca="1" ref="AK234" ca="1">IF(OR($E234="X",$E234="",$E234=0,$B234="X",$B234="",$B234=0),0,SUM(_xlfn._xlws.FILTER(PrvSty[DsvValue:SERRA],(PrvSty[Project]=TEXT($B234,"@"))*(PrvSty[Row]=$E234)*(PrvSty[Column]=UPPER(AK$114)),0)))</f>
        <v>0</v>
      </c>
      <c r="AL234" s="157" cm="1">
        <f t="array" aca="1" ref="AL234" ca="1">IF(OR($E234="X",$E234="",$E234=0,$B234="X",$B234="",$B234=0),0,SUM(_xlfn._xlws.FILTER(PrvSty[DsvValue:EXT.],(PrvSty[Project]=TEXT($B234,"@"))*(PrvSty[Row]=$E234)*(PrvSty[Column]=UPPER(AK$114)),0)))</f>
        <v>0</v>
      </c>
      <c r="AM234" s="157" cm="1">
        <f t="array" aca="1" ref="AM234" ca="1">IF(OR($E234="X",$E234="",$E234=0,$B234="X",$B234="",$B234=0),0,SUM(_xlfn._xlws.FILTER(PrvSty[DsvValue:SERRA],(PrvSty[Project]=TEXT($B234,"@"))*(PrvSty[Row]=$E234)*(PrvSty[Column]=UPPER(AM$114)),0)))</f>
        <v>0</v>
      </c>
      <c r="AN234" s="157" cm="1">
        <f t="array" aca="1" ref="AN234" ca="1">IF(OR($E234="X",$E234="",$E234=0,$B234="X",$B234="",$B234=0),0,SUM(_xlfn._xlws.FILTER(PrvSty[DsvValue:EXT.],(PrvSty[Project]=TEXT($B234,"@"))*(PrvSty[Row]=$E234)*(PrvSty[Column]=UPPER(AM$114)),0)))</f>
        <v>0</v>
      </c>
      <c r="AO234" s="157" cm="1">
        <f t="array" aca="1" ref="AO234" ca="1">IF(OR($E234="X",$E234="",$E234=0,$B234="X",$B234="",$B234=0),0,SUM(_xlfn._xlws.FILTER(PrvSty[DsvValue:SERRA],(PrvSty[Project]=TEXT($B234,"@"))*(PrvSty[Row]=$E234)*(PrvSty[Column]=UPPER(AO$114)),0)))</f>
        <v>0</v>
      </c>
      <c r="AP234" s="157" cm="1">
        <f t="array" aca="1" ref="AP234" ca="1">IF(OR($E234="X",$E234="",$E234=0,$B234="X",$B234="",$B234=0),0,SUM(_xlfn._xlws.FILTER(PrvSty[DsvValue:EXT.],(PrvSty[Project]=TEXT($B234,"@"))*(PrvSty[Row]=$E234)*(PrvSty[Column]=UPPER(AO$114)),0)))</f>
        <v>0</v>
      </c>
      <c r="AQ234" s="157" cm="1">
        <f t="array" aca="1" ref="AQ234" ca="1">SUM(IF(INDIRECT($AS$115)=AQ$115,INDIRECT($AS234)))</f>
        <v>0</v>
      </c>
      <c r="AR234" s="157" cm="1">
        <f t="array" aca="1" ref="AR234" ca="1">SUM(IF(INDIRECT($AS$115)=AR$115,INDIRECT($AS234)))</f>
        <v>0</v>
      </c>
      <c r="AS234" s="286" t="str">
        <f t="shared" ca="1" si="18"/>
        <v>G234:AP234</v>
      </c>
      <c r="AT234" s="403">
        <f t="shared" ca="1" si="17"/>
        <v>0</v>
      </c>
      <c r="AV234" s="142" cm="1">
        <f t="array" aca="1" ref="AV234" ca="1">IF(AND(_xlfn.LET(_xlpm.x,SUM(ROW()),OR(AND(MATCH("SOT",$A:$A,0)&lt;_xlpm.x,MATCH("EOT",$A:$A,0)&gt;_xlpm.x),AND(MATCH("SOS",$A:$A,0)&lt;_xlpm.x,MATCH("EOS",$A:$A,0)&gt;_xlpm.x),AND(MATCH("SOR",$A:$A,0)&lt;_xlpm.x,MATCH("EOR",$A:$A,0)&gt;_xlpm.x))),INDIRECT("rc"&amp;MATCH("SCD",$1:$1,0),FALSE)="PPTO"),1,0)</f>
        <v>0</v>
      </c>
      <c r="AW234" s="142" cm="1">
        <f t="array" aca="1" ref="AW23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235" spans="2:49" outlineLevel="1">
      <c r="B235" s="156" t="str" cm="1">
        <f t="array" aca="1" ref="B235" ca="1">_xlfn.LET(_xlpm.x,SUM(ROW()-MATCH("SOR",$A:$A,0)),_xlpm.y,IFERROR(_xlfn.TAKE(INDEX(_xlfn._xlws.FILTER(TbAssign[],ISNUMBER(FIND(TbAssign[Project],$C$4)),"X"),1+QUOTIENT(_xlpm.x,3),0),1,4),0),IF(MOD(_xlpm.x-1,3)=0,IF(_xlpm.y=0,"X",_xlpm.y),INDIRECT("r[-1]c#",FALSE)))</f>
        <v>X</v>
      </c>
      <c r="C235" s="156"/>
      <c r="E235" s="352"/>
      <c r="F235" s="148" t="s">
        <v>1383</v>
      </c>
      <c r="G235" s="158" cm="1">
        <f t="array" aca="1" ref="G235" ca="1">IF(OR($E235="X",$E235="",$E235=0,$B235="X",$B235="",$B235=0),0,SUM(_xlfn._xlws.FILTER(FrmBB1[Cur],(FrmBB1[PrjId]=TEXT($B235,"@"))*(FrmBB1[Row]=$E235)*(FrmBB1[Column]=UPPER(_xlfn.LET(_xlpm.x,_xlfn.TEXTBEFORE(G$114," ("),IFERROR(_xlpm.x,G$114)))&amp;" "&amp;G$115),0)))</f>
        <v>0</v>
      </c>
      <c r="H235" s="157" cm="1">
        <f t="array" aca="1" ref="H235" ca="1">IF(OR($E235="X",$E235="",$E235=0,$B235="X",$B235="",$B235=0),0,SUM(_xlfn._xlws.FILTER(FrmBB1[Cur],(FrmBB1[PrjId]=TEXT($B235,"@"))*(FrmBB1[Row]=$E235)*(FrmBB1[Column]=UPPER(_xlfn.LET(_xlpm.x,_xlfn.TEXTBEFORE(G$114," ("),IFERROR(_xlpm.x,G$114)))&amp;" "&amp;H$115),0)))</f>
        <v>0</v>
      </c>
      <c r="I235" s="158" cm="1">
        <f t="array" aca="1" ref="I235" ca="1">IF(OR($E235="X",$E235="",$E235=0,$B235="X",$B235="",$B235=0),0,SUM(_xlfn._xlws.FILTER(FrmBB1[Cur],(FrmBB1[PrjId]=TEXT($B235,"@"))*(FrmBB1[Row]=$E235)*(FrmBB1[Column]=UPPER(_xlfn.LET(_xlpm.x,_xlfn.TEXTBEFORE(I$114," ("),IFERROR(_xlpm.x,I$114)))&amp;" "&amp;I$115),0)))</f>
        <v>0</v>
      </c>
      <c r="J235" s="157" cm="1">
        <f t="array" aca="1" ref="J235" ca="1">IF(OR($E235="X",$E235="",$E235=0,$B235="X",$B235="",$B235=0),0,SUM(_xlfn._xlws.FILTER(FrmBB1[Cur],(FrmBB1[PrjId]=TEXT($B235,"@"))*(FrmBB1[Row]=$E235)*(FrmBB1[Column]=UPPER(_xlfn.LET(_xlpm.x,_xlfn.TEXTBEFORE(I$114," ("),IFERROR(_xlpm.x,I$114)))&amp;" "&amp;J$115),0)))</f>
        <v>0</v>
      </c>
      <c r="K235" s="158" cm="1">
        <f t="array" aca="1" ref="K235" ca="1">IF(OR($E235="X",$E235="",$E235=0,$B235="X",$B235="",$B235=0),0,SUM(_xlfn._xlws.FILTER(FrmBB1[Cur],(FrmBB1[PrjId]=TEXT($B235,"@"))*(FrmBB1[Row]=$E235)*(FrmBB1[Column]=UPPER(_xlfn.LET(_xlpm.x,_xlfn.TEXTBEFORE(K$114," ("),IFERROR(_xlpm.x,K$114)))&amp;" "&amp;K$115),0)))</f>
        <v>0</v>
      </c>
      <c r="L235" s="157" cm="1">
        <f t="array" aca="1" ref="L235" ca="1">IF(OR($E235="X",$E235="",$E235=0,$B235="X",$B235="",$B235=0),0,SUM(_xlfn._xlws.FILTER(FrmBB1[Cur],(FrmBB1[PrjId]=TEXT($B235,"@"))*(FrmBB1[Row]=$E235)*(FrmBB1[Column]=UPPER(_xlfn.LET(_xlpm.x,_xlfn.TEXTBEFORE(K$114," ("),IFERROR(_xlpm.x,K$114)))&amp;" "&amp;L$115),0)))</f>
        <v>0</v>
      </c>
      <c r="M235" s="158" cm="1">
        <f t="array" aca="1" ref="M235" ca="1">IF(OR($E235="X",$E235="",$E235=0,$B235="X",$B235="",$B235=0),0,SUM(_xlfn._xlws.FILTER(FrmBB1[Cur],(FrmBB1[PrjId]=TEXT($B235,"@"))*(FrmBB1[Row]=$E235)*(FrmBB1[Column]=UPPER(_xlfn.LET(_xlpm.x,_xlfn.TEXTBEFORE(M$114," ("),IFERROR(_xlpm.x,M$114)))&amp;" "&amp;M$115),0)))</f>
        <v>0</v>
      </c>
      <c r="N235" s="157" cm="1">
        <f t="array" aca="1" ref="N235" ca="1">IF(OR($E235="X",$E235="",$E235=0,$B235="X",$B235="",$B235=0),0,SUM(_xlfn._xlws.FILTER(FrmBB1[Cur],(FrmBB1[PrjId]=TEXT($B235,"@"))*(FrmBB1[Row]=$E235)*(FrmBB1[Column]=UPPER(_xlfn.LET(_xlpm.x,_xlfn.TEXTBEFORE(M$114," ("),IFERROR(_xlpm.x,M$114)))&amp;" "&amp;N$115),0)))</f>
        <v>0</v>
      </c>
      <c r="O235" s="158" cm="1">
        <f t="array" aca="1" ref="O235" ca="1">IF(OR($E235="X",$E235="",$E235=0,$B235="X",$B235="",$B235=0),0,SUM(_xlfn._xlws.FILTER(FrmBB1[Cur],(FrmBB1[PrjId]=TEXT($B235,"@"))*(FrmBB1[Row]=$E235)*(FrmBB1[Column]=UPPER(_xlfn.LET(_xlpm.x,_xlfn.TEXTBEFORE(O$114," ("),IFERROR(_xlpm.x,O$114)))&amp;" "&amp;O$115),0)))</f>
        <v>0</v>
      </c>
      <c r="P235" s="157" cm="1">
        <f t="array" aca="1" ref="P235" ca="1">IF(OR($E235="X",$E235="",$E235=0,$B235="X",$B235="",$B235=0),0,SUM(_xlfn._xlws.FILTER(FrmBB1[Cur],(FrmBB1[PrjId]=TEXT($B235,"@"))*(FrmBB1[Row]=$E235)*(FrmBB1[Column]=UPPER(_xlfn.LET(_xlpm.x,_xlfn.TEXTBEFORE(O$114," ("),IFERROR(_xlpm.x,O$114)))&amp;" "&amp;P$115),0)))</f>
        <v>0</v>
      </c>
      <c r="Q235" s="158" cm="1">
        <f t="array" aca="1" ref="Q235" ca="1">IF(OR($E235="X",$E235="",$E235=0,$B235="X",$B235="",$B235=0),0,SUM(_xlfn._xlws.FILTER(FrmBB1[Cur],(FrmBB1[PrjId]=TEXT($B235,"@"))*(FrmBB1[Row]=$E235)*(FrmBB1[Column]=UPPER(_xlfn.LET(_xlpm.x,_xlfn.TEXTBEFORE(Q$114," ("),IFERROR(_xlpm.x,Q$114)))&amp;" "&amp;Q$115),0)))</f>
        <v>0</v>
      </c>
      <c r="R235" s="157" cm="1">
        <f t="array" aca="1" ref="R235" ca="1">IF(OR($E235="X",$E235="",$E235=0,$B235="X",$B235="",$B235=0),0,SUM(_xlfn._xlws.FILTER(FrmBB1[Cur],(FrmBB1[PrjId]=TEXT($B235,"@"))*(FrmBB1[Row]=$E235)*(FrmBB1[Column]=UPPER(_xlfn.LET(_xlpm.x,_xlfn.TEXTBEFORE(Q$114," ("),IFERROR(_xlpm.x,Q$114)))&amp;" "&amp;R$115),0)))</f>
        <v>0</v>
      </c>
      <c r="S235" s="158" cm="1">
        <f t="array" aca="1" ref="S235" ca="1">IF(OR($E235="X",$E235="",$E235=0,$B235="X",$B235="",$B235=0),0,SUM(_xlfn._xlws.FILTER(FrmBB1[Cur],(FrmBB1[PrjId]=TEXT($B235,"@"))*(FrmBB1[Row]=$E235)*(FrmBB1[Column]=UPPER(_xlfn.LET(_xlpm.x,_xlfn.TEXTBEFORE(S$114," ("),IFERROR(_xlpm.x,S$114)))&amp;" "&amp;S$115),0)))</f>
        <v>0</v>
      </c>
      <c r="T235" s="157" cm="1">
        <f t="array" aca="1" ref="T235" ca="1">IF(OR($E235="X",$E235="",$E235=0,$B235="X",$B235="",$B235=0),0,SUM(_xlfn._xlws.FILTER(FrmBB1[Cur],(FrmBB1[PrjId]=TEXT($B235,"@"))*(FrmBB1[Row]=$E235)*(FrmBB1[Column]=UPPER(_xlfn.LET(_xlpm.x,_xlfn.TEXTBEFORE(S$114," ("),IFERROR(_xlpm.x,S$114)))&amp;" "&amp;T$115),0)))</f>
        <v>0</v>
      </c>
      <c r="U235" s="158" cm="1">
        <f t="array" aca="1" ref="U235" ca="1">IF(OR($E235="X",$E235="",$E235=0,$B235="X",$B235="",$B235=0),0,SUM(_xlfn._xlws.FILTER(FrmBB1[Cur],(FrmBB1[PrjId]=TEXT($B235,"@"))*(FrmBB1[Row]=$E235)*(FrmBB1[Column]=UPPER(_xlfn.LET(_xlpm.x,_xlfn.TEXTBEFORE(U$114," ("),IFERROR(_xlpm.x,U$114)))&amp;" "&amp;U$115),0)))</f>
        <v>0</v>
      </c>
      <c r="V235" s="157" cm="1">
        <f t="array" aca="1" ref="V235" ca="1">IF(OR($E235="X",$E235="",$E235=0,$B235="X",$B235="",$B235=0),0,SUM(_xlfn._xlws.FILTER(FrmBB1[Cur],(FrmBB1[PrjId]=TEXT($B235,"@"))*(FrmBB1[Row]=$E235)*(FrmBB1[Column]=UPPER(_xlfn.LET(_xlpm.x,_xlfn.TEXTBEFORE(U$114," ("),IFERROR(_xlpm.x,U$114)))&amp;" "&amp;V$115),0)))</f>
        <v>0</v>
      </c>
      <c r="W235" s="158" cm="1">
        <f t="array" aca="1" ref="W235" ca="1">IF(OR($E235="X",$E235="",$E235=0,$B235="X",$B235="",$B235=0),0,SUM(_xlfn._xlws.FILTER(FrmBB1[Cur],(FrmBB1[PrjId]=TEXT($B235,"@"))*(FrmBB1[Row]=$E235)*(FrmBB1[Column]=UPPER(_xlfn.LET(_xlpm.x,_xlfn.TEXTBEFORE(W$114," ("),IFERROR(_xlpm.x,W$114)))&amp;" "&amp;W$115),0)))</f>
        <v>0</v>
      </c>
      <c r="X235" s="157" cm="1">
        <f t="array" aca="1" ref="X235" ca="1">IF(OR($E235="X",$E235="",$E235=0,$B235="X",$B235="",$B235=0),0,SUM(_xlfn._xlws.FILTER(FrmBB1[Cur],(FrmBB1[PrjId]=TEXT($B235,"@"))*(FrmBB1[Row]=$E235)*(FrmBB1[Column]=UPPER(_xlfn.LET(_xlpm.x,_xlfn.TEXTBEFORE(W$114," ("),IFERROR(_xlpm.x,W$114)))&amp;" "&amp;X$115),0)))</f>
        <v>0</v>
      </c>
      <c r="Y235" s="158" cm="1">
        <f t="array" aca="1" ref="Y235" ca="1">IF(OR($E235="X",$E235="",$E235=0,$B235="X",$B235="",$B235=0),0,SUM(_xlfn._xlws.FILTER(FrmBB1[Cur],(FrmBB1[PrjId]=TEXT($B235,"@"))*(FrmBB1[Row]=$E235)*(FrmBB1[Column]=UPPER(_xlfn.LET(_xlpm.x,_xlfn.TEXTBEFORE(Y$114," ("),IFERROR(_xlpm.x,Y$114)))&amp;" "&amp;Y$115),0)))</f>
        <v>0</v>
      </c>
      <c r="Z235" s="157" cm="1">
        <f t="array" aca="1" ref="Z235" ca="1">IF(OR($E235="X",$E235="",$E235=0,$B235="X",$B235="",$B235=0),0,SUM(_xlfn._xlws.FILTER(FrmBB1[Cur],(FrmBB1[PrjId]=TEXT($B235,"@"))*(FrmBB1[Row]=$E235)*(FrmBB1[Column]=UPPER(_xlfn.LET(_xlpm.x,_xlfn.TEXTBEFORE(Y$114," ("),IFERROR(_xlpm.x,Y$114)))&amp;" "&amp;Z$115),0)))</f>
        <v>0</v>
      </c>
      <c r="AA235" s="158" cm="1">
        <f t="array" aca="1" ref="AA235" ca="1">IF(OR($E235="X",$E235="",$E235=0,$B235="X",$B235="",$B235=0),0,SUM(_xlfn._xlws.FILTER(FrmBB1[Cur],(FrmBB1[PrjId]=TEXT($B235,"@"))*(FrmBB1[Row]=$E235)*(FrmBB1[Column]=UPPER(_xlfn.LET(_xlpm.x,_xlfn.TEXTBEFORE(AA$114," ("),IFERROR(_xlpm.x,AA$114)))&amp;" "&amp;AA$115),0)))</f>
        <v>0</v>
      </c>
      <c r="AB235" s="157" cm="1">
        <f t="array" aca="1" ref="AB235" ca="1">IF(OR($E235="X",$E235="",$E235=0,$B235="X",$B235="",$B235=0),0,SUM(_xlfn._xlws.FILTER(FrmBB1[Cur],(FrmBB1[PrjId]=TEXT($B235,"@"))*(FrmBB1[Row]=$E235)*(FrmBB1[Column]=UPPER(_xlfn.LET(_xlpm.x,_xlfn.TEXTBEFORE(AA$114," ("),IFERROR(_xlpm.x,AA$114)))&amp;" "&amp;AB$115),0)))</f>
        <v>0</v>
      </c>
      <c r="AC235" s="158" cm="1">
        <f t="array" aca="1" ref="AC235" ca="1">IF(OR($E235="X",$E235="",$E235=0,$B235="X",$B235="",$B235=0),0,SUM(_xlfn._xlws.FILTER(FrmBB1[Cur],(FrmBB1[PrjId]=TEXT($B235,"@"))*(FrmBB1[Row]=$E235)*(FrmBB1[Column]=UPPER(_xlfn.LET(_xlpm.x,_xlfn.TEXTBEFORE(AC$114," ("),IFERROR(_xlpm.x,AC$114)))&amp;" "&amp;AC$115),0)))</f>
        <v>0</v>
      </c>
      <c r="AD235" s="157" cm="1">
        <f t="array" aca="1" ref="AD235" ca="1">IF(OR($E235="X",$E235="",$E235=0,$B235="X",$B235="",$B235=0),0,SUM(_xlfn._xlws.FILTER(FrmBB1[Cur],(FrmBB1[PrjId]=TEXT($B235,"@"))*(FrmBB1[Row]=$E235)*(FrmBB1[Column]=UPPER(_xlfn.LET(_xlpm.x,_xlfn.TEXTBEFORE(AC$114," ("),IFERROR(_xlpm.x,AC$114)))&amp;" "&amp;AD$115),0)))</f>
        <v>0</v>
      </c>
      <c r="AE235" s="158" cm="1">
        <f t="array" aca="1" ref="AE235" ca="1">IF(OR($E235="X",$E235="",$E235=0,$B235="X",$B235="",$B235=0),0,SUM(_xlfn._xlws.FILTER(FrmBB1[Cur],(FrmBB1[PrjId]=TEXT($B235,"@"))*(FrmBB1[Row]=$E235)*(FrmBB1[Column]=UPPER(_xlfn.LET(_xlpm.x,_xlfn.TEXTBEFORE(AE$114," ("),IFERROR(_xlpm.x,AE$114)))&amp;" "&amp;AE$115),0)))</f>
        <v>0</v>
      </c>
      <c r="AF235" s="157" cm="1">
        <f t="array" aca="1" ref="AF235" ca="1">IF(OR($E235="X",$E235="",$E235=0,$B235="X",$B235="",$B235=0),0,SUM(_xlfn._xlws.FILTER(FrmBB1[Cur],(FrmBB1[PrjId]=TEXT($B235,"@"))*(FrmBB1[Row]=$E235)*(FrmBB1[Column]=UPPER(_xlfn.LET(_xlpm.x,_xlfn.TEXTBEFORE(AE$114," ("),IFERROR(_xlpm.x,AE$114)))&amp;" "&amp;AF$115),0)))</f>
        <v>0</v>
      </c>
      <c r="AG235" s="158" cm="1">
        <f t="array" aca="1" ref="AG235" ca="1">IF(OR($E235="X",$E235="",$E235=0,$B235="X",$B235="",$B235=0),0,SUM(_xlfn._xlws.FILTER(FrmBB1[Cur],(FrmBB1[PrjId]=TEXT($B235,"@"))*(FrmBB1[Row]=$E235)*(FrmBB1[Column]=UPPER(_xlfn.LET(_xlpm.x,_xlfn.TEXTBEFORE(AG$114," ("),IFERROR(_xlpm.x,AG$114)))&amp;" "&amp;AG$115),0)))</f>
        <v>0</v>
      </c>
      <c r="AH235" s="157" cm="1">
        <f t="array" aca="1" ref="AH235" ca="1">IF(OR($E235="X",$E235="",$E235=0,$B235="X",$B235="",$B235=0),0,SUM(_xlfn._xlws.FILTER(FrmBB1[Cur],(FrmBB1[PrjId]=TEXT($B235,"@"))*(FrmBB1[Row]=$E235)*(FrmBB1[Column]=UPPER(_xlfn.LET(_xlpm.x,_xlfn.TEXTBEFORE(AG$114," ("),IFERROR(_xlpm.x,AG$114)))&amp;" "&amp;AH$115),0)))</f>
        <v>0</v>
      </c>
      <c r="AI235" s="158" cm="1">
        <f t="array" aca="1" ref="AI235" ca="1">IF(OR($E235="X",$E235="",$E235=0,$B235="X",$B235="",$B235=0),0,SUM(_xlfn._xlws.FILTER(FrmBB1[Cur],(FrmBB1[PrjId]=TEXT($B235,"@"))*(FrmBB1[Row]=$E235)*(FrmBB1[Column]=UPPER(_xlfn.LET(_xlpm.x,_xlfn.TEXTBEFORE(AI$114," ("),IFERROR(_xlpm.x,AI$114)))&amp;" "&amp;AI$115),0)))</f>
        <v>0</v>
      </c>
      <c r="AJ235" s="157" cm="1">
        <f t="array" aca="1" ref="AJ235" ca="1">IF(OR($E235="X",$E235="",$E235=0,$B235="X",$B235="",$B235=0),0,SUM(_xlfn._xlws.FILTER(FrmBB1[Cur],(FrmBB1[PrjId]=TEXT($B235,"@"))*(FrmBB1[Row]=$E235)*(FrmBB1[Column]=UPPER(_xlfn.LET(_xlpm.x,_xlfn.TEXTBEFORE(AI$114," ("),IFERROR(_xlpm.x,AI$114)))&amp;" "&amp;AJ$115),0)))</f>
        <v>0</v>
      </c>
      <c r="AK235" s="158" cm="1">
        <f t="array" aca="1" ref="AK235" ca="1">IF(OR($E235="X",$E235="",$E235=0,$B235="X",$B235="",$B235=0),0,SUM(_xlfn._xlws.FILTER(FrmBB1[Cur],(FrmBB1[PrjId]=TEXT($B235,"@"))*(FrmBB1[Row]=$E235)*(FrmBB1[Column]=UPPER(_xlfn.LET(_xlpm.x,_xlfn.TEXTBEFORE(AK$114," ("),IFERROR(_xlpm.x,AK$114)))&amp;" "&amp;AK$115),0)))</f>
        <v>0</v>
      </c>
      <c r="AL235" s="157" cm="1">
        <f t="array" aca="1" ref="AL235" ca="1">IF(OR($E235="X",$E235="",$E235=0,$B235="X",$B235="",$B235=0),0,SUM(_xlfn._xlws.FILTER(FrmBB1[Cur],(FrmBB1[PrjId]=TEXT($B235,"@"))*(FrmBB1[Row]=$E235)*(FrmBB1[Column]=UPPER(_xlfn.LET(_xlpm.x,_xlfn.TEXTBEFORE(AK$114," ("),IFERROR(_xlpm.x,AK$114)))&amp;" "&amp;AL$115),0)))</f>
        <v>0</v>
      </c>
      <c r="AM235" s="158" cm="1">
        <f t="array" aca="1" ref="AM235" ca="1">IF(OR($E235="X",$E235="",$E235=0,$B235="X",$B235="",$B235=0),0,SUM(_xlfn._xlws.FILTER(FrmBB1[Cur],(FrmBB1[PrjId]=TEXT($B235,"@"))*(FrmBB1[Row]=$E235)*(FrmBB1[Column]=UPPER(_xlfn.LET(_xlpm.x,_xlfn.TEXTBEFORE(AM$114," ("),IFERROR(_xlpm.x,AM$114)))&amp;" "&amp;AM$115),0)))</f>
        <v>0</v>
      </c>
      <c r="AN235" s="157" cm="1">
        <f t="array" aca="1" ref="AN235" ca="1">IF(OR($E235="X",$E235="",$E235=0,$B235="X",$B235="",$B235=0),0,SUM(_xlfn._xlws.FILTER(FrmBB1[Cur],(FrmBB1[PrjId]=TEXT($B235,"@"))*(FrmBB1[Row]=$E235)*(FrmBB1[Column]=UPPER(_xlfn.LET(_xlpm.x,_xlfn.TEXTBEFORE(AM$114," ("),IFERROR(_xlpm.x,AM$114)))&amp;" "&amp;AN$115),0)))</f>
        <v>0</v>
      </c>
      <c r="AO235" s="158" cm="1">
        <f t="array" aca="1" ref="AO235" ca="1">IF(OR($E235="X",$E235="",$E235=0,$B235="X",$B235="",$B235=0),0,SUM(_xlfn._xlws.FILTER(FrmBB1[Cur],(FrmBB1[PrjId]=TEXT($B235,"@"))*(FrmBB1[Row]=$E235)*(FrmBB1[Column]=UPPER(_xlfn.LET(_xlpm.x,_xlfn.TEXTBEFORE(AO$114," ("),IFERROR(_xlpm.x,AO$114)))&amp;" "&amp;AO$115),0)))</f>
        <v>0</v>
      </c>
      <c r="AP235" s="157" cm="1">
        <f t="array" aca="1" ref="AP235" ca="1">IF(OR($E235="X",$E235="",$E235=0,$B235="X",$B235="",$B235=0),0,SUM(_xlfn._xlws.FILTER(FrmBB1[Cur],(FrmBB1[PrjId]=TEXT($B235,"@"))*(FrmBB1[Row]=$E235)*(FrmBB1[Column]=UPPER(_xlfn.LET(_xlpm.x,_xlfn.TEXTBEFORE(AO$114," ("),IFERROR(_xlpm.x,AO$114)))&amp;" "&amp;AP$115),0)))</f>
        <v>0</v>
      </c>
      <c r="AQ235" s="157" cm="1">
        <f t="array" aca="1" ref="AQ235" ca="1">SUM(IF(INDIRECT($AS$115)=AQ$115,INDIRECT($AS235)))</f>
        <v>0</v>
      </c>
      <c r="AR235" s="157" cm="1">
        <f t="array" aca="1" ref="AR235" ca="1">SUM(IF(INDIRECT($AS$115)=AR$115,INDIRECT($AS235)))</f>
        <v>0</v>
      </c>
      <c r="AS235" s="286" t="str">
        <f t="shared" ca="1" si="18"/>
        <v>G235:AP235</v>
      </c>
      <c r="AT235" s="403">
        <f t="shared" ca="1" si="17"/>
        <v>0</v>
      </c>
      <c r="AV235" s="142" cm="1">
        <f t="array" aca="1" ref="AV235" ca="1">IF(AND(_xlfn.LET(_xlpm.x,SUM(ROW()),OR(AND(MATCH("SOT",$A:$A,0)&lt;_xlpm.x,MATCH("EOT",$A:$A,0)&gt;_xlpm.x),AND(MATCH("SOS",$A:$A,0)&lt;_xlpm.x,MATCH("EOS",$A:$A,0)&gt;_xlpm.x),AND(MATCH("SOR",$A:$A,0)&lt;_xlpm.x,MATCH("EOR",$A:$A,0)&gt;_xlpm.x))),INDIRECT("rc"&amp;MATCH("SCD",$1:$1,0),FALSE)="PPTO"),1,0)</f>
        <v>0</v>
      </c>
      <c r="AW235" s="142" cm="1">
        <f t="array" aca="1" ref="AW23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236" spans="2:49" outlineLevel="1">
      <c r="B236" s="156" t="str" cm="1">
        <f t="array" aca="1" ref="B236" ca="1">_xlfn.LET(_xlpm.x,SUM(ROW()-MATCH("SOR",$A:$A,0)),_xlpm.y,IFERROR(_xlfn.TAKE(INDEX(_xlfn._xlws.FILTER(TbAssign[],ISNUMBER(FIND(TbAssign[Project],$C$4)),"X"),1+QUOTIENT(_xlpm.x,3),0),1,4),0),IF(MOD(_xlpm.x-1,3)=0,IF(_xlpm.y=0,"X",_xlpm.y),INDIRECT("r[-1]c#",FALSE)))</f>
        <v>X</v>
      </c>
      <c r="C236" s="156"/>
      <c r="E236" s="352"/>
      <c r="F236" s="148" t="s">
        <v>397</v>
      </c>
      <c r="G236" s="157" cm="1">
        <f t="array" aca="1" ref="G236" ca="1">IF(OR($E236="X",$E236="",$E236=0,$B236="X",$B236="",$B236=0),0,SUM(_xlfn._xlws.FILTER(IF($E$4="Ppto",PptoSty[CurPpto],PptoSty[CurInt]),(IF($E$4="Ppto",PptoSty[POvsCT]=G$113,TRUE))*(PptoSty[Project]=TEXT($B236,"@"))*(PptoSty[PptoVsRow]=$E236)*(PptoSty[PptoVsColumn]=UPPER(G$114)),0)))</f>
        <v>0</v>
      </c>
      <c r="H236" s="157" cm="1">
        <f t="array" aca="1" ref="H236" ca="1">IF(OR($E236="X",$E236="",$E236=0,$B236="X",$B236="",$B236=0),0,SUM(_xlfn._xlws.FILTER(IF($E$4="Ppto",PptoSty[CurPpto],PptoSty[CurExt]),(IF($E$4="Ppto",PptoSty[POvsCT]=H$113,TRUE))*(PptoSty[Project]=TEXT($B236,"@"))*(PptoSty[PptoVsRow]=$E236)*(PptoSty[PptoVsColumn]=UPPER(G$114)),0)))</f>
        <v>0</v>
      </c>
      <c r="I236" s="157" cm="1">
        <f t="array" aca="1" ref="I236" ca="1">IF(OR($E236="X",$E236="",$E236=0,$B236="X",$B236="",$B236=0),0,SUM(_xlfn._xlws.FILTER(IF($E$4="Ppto",PptoSty[CurPpto],PptoSty[CurInt]),(IF($E$4="Ppto",PptoSty[POvsCT]=I$113,TRUE))*(PptoSty[Project]=TEXT($B236,"@"))*(PptoSty[PptoVsRow]=$E236)*(PptoSty[PptoVsColumn]=UPPER(I$114)),0)))</f>
        <v>0</v>
      </c>
      <c r="J236" s="157" cm="1">
        <f t="array" aca="1" ref="J236" ca="1">IF(OR($E236="X",$E236="",$E236=0,$B236="X",$B236="",$B236=0),0,SUM(_xlfn._xlws.FILTER(IF($E$4="Ppto",PptoSty[CurPpto],PptoSty[CurExt]),(IF($E$4="Ppto",PptoSty[POvsCT]=J$113,TRUE))*(PptoSty[Project]=TEXT($B236,"@"))*(PptoSty[PptoVsRow]=$E236)*(PptoSty[PptoVsColumn]=UPPER(I$114)),0)))</f>
        <v>0</v>
      </c>
      <c r="K236" s="157" cm="1">
        <f t="array" aca="1" ref="K236" ca="1">IF(OR($E236="X",$E236="",$E236=0,$B236="X",$B236="",$B236=0),0,SUM(_xlfn._xlws.FILTER(IF($E$4="Ppto",PptoSty[CurPpto],PptoSty[CurInt]),(IF($E$4="Ppto",PptoSty[POvsCT]=K$113,TRUE))*(PptoSty[Project]=TEXT($B236,"@"))*(PptoSty[PptoVsRow]=$E236)*(PptoSty[PptoVsColumn]=UPPER(K$114)),0)))</f>
        <v>0</v>
      </c>
      <c r="L236" s="157" cm="1">
        <f t="array" aca="1" ref="L236" ca="1">IF(OR($E236="X",$E236="",$E236=0,$B236="X",$B236="",$B236=0),0,SUM(_xlfn._xlws.FILTER(IF($E$4="Ppto",PptoSty[CurPpto],PptoSty[CurExt]),(IF($E$4="Ppto",PptoSty[POvsCT]=L$113,TRUE))*(PptoSty[Project]=TEXT($B236,"@"))*(PptoSty[PptoVsRow]=$E236)*(PptoSty[PptoVsColumn]=UPPER(K$114)),0)))</f>
        <v>0</v>
      </c>
      <c r="M236" s="157" cm="1">
        <f t="array" aca="1" ref="M236" ca="1">IF(OR($E236="X",$E236="",$E236=0,$B236="X",$B236="",$B236=0),0,SUM(_xlfn._xlws.FILTER(IF($E$4="Ppto",PptoSty[CurPpto],PptoSty[CurInt]),(IF($E$4="Ppto",PptoSty[POvsCT]=M$113,TRUE))*(PptoSty[Project]=TEXT($B236,"@"))*(PptoSty[PptoVsRow]=$E236)*(PptoSty[PptoVsColumn]=UPPER(M$114)),0)))</f>
        <v>0</v>
      </c>
      <c r="N236" s="157" cm="1">
        <f t="array" aca="1" ref="N236" ca="1">IF(OR($E236="X",$E236="",$E236=0,$B236="X",$B236="",$B236=0),0,SUM(_xlfn._xlws.FILTER(IF($E$4="Ppto",PptoSty[CurPpto],PptoSty[CurExt]),(IF($E$4="Ppto",PptoSty[POvsCT]=N$113,TRUE))*(PptoSty[Project]=TEXT($B236,"@"))*(PptoSty[PptoVsRow]=$E236)*(PptoSty[PptoVsColumn]=UPPER(M$114)),0)))</f>
        <v>0</v>
      </c>
      <c r="O236" s="157" cm="1">
        <f t="array" aca="1" ref="O236" ca="1">IF(OR($E236="X",$E236="",$E236=0,$B236="X",$B236="",$B236=0),0,SUM(_xlfn._xlws.FILTER(IF($E$4="Ppto",PptoSty[CurPpto],PptoSty[CurInt]),(IF($E$4="Ppto",PptoSty[POvsCT]=O$113,TRUE))*(PptoSty[Project]=TEXT($B236,"@"))*(PptoSty[PptoVsRow]=$E236)*(PptoSty[PptoVsColumn]=UPPER(O$114)),0)))</f>
        <v>0</v>
      </c>
      <c r="P236" s="157" cm="1">
        <f t="array" aca="1" ref="P236" ca="1">IF(OR($E236="X",$E236="",$E236=0,$B236="X",$B236="",$B236=0),0,SUM(_xlfn._xlws.FILTER(IF($E$4="Ppto",PptoSty[CurPpto],PptoSty[CurExt]),(IF($E$4="Ppto",PptoSty[POvsCT]=P$113,TRUE))*(PptoSty[Project]=TEXT($B236,"@"))*(PptoSty[PptoVsRow]=$E236)*(PptoSty[PptoVsColumn]=UPPER(O$114)),0)))</f>
        <v>0</v>
      </c>
      <c r="Q236" s="157" cm="1">
        <f t="array" aca="1" ref="Q236" ca="1">IF(OR($E236="X",$E236="",$E236=0,$B236="X",$B236="",$B236=0),0,SUM(_xlfn._xlws.FILTER(IF($E$4="Ppto",PptoSty[CurPpto],PptoSty[CurInt]),(IF($E$4="Ppto",PptoSty[POvsCT]=Q$113,TRUE))*(PptoSty[Project]=TEXT($B236,"@"))*(PptoSty[PptoVsRow]=$E236)*(PptoSty[PptoVsColumn]=UPPER(Q$114)),0)))</f>
        <v>0</v>
      </c>
      <c r="R236" s="157" cm="1">
        <f t="array" aca="1" ref="R236" ca="1">IF(OR($E236="X",$E236="",$E236=0,$B236="X",$B236="",$B236=0),0,SUM(_xlfn._xlws.FILTER(IF($E$4="Ppto",PptoSty[CurPpto],PptoSty[CurExt]),(IF($E$4="Ppto",PptoSty[POvsCT]=R$113,TRUE))*(PptoSty[Project]=TEXT($B236,"@"))*(PptoSty[PptoVsRow]=$E236)*(PptoSty[PptoVsColumn]=UPPER(Q$114)),0)))</f>
        <v>0</v>
      </c>
      <c r="S236" s="157" cm="1">
        <f t="array" aca="1" ref="S236" ca="1">IF(OR($E236="X",$E236="",$E236=0,$B236="X",$B236="",$B236=0),0,SUM(_xlfn._xlws.FILTER(IF($E$4="Ppto",PptoSty[CurPpto],PptoSty[CurInt]),(IF($E$4="Ppto",PptoSty[POvsCT]=S$113,TRUE))*(PptoSty[Project]=TEXT($B236,"@"))*(PptoSty[PptoVsRow]=$E236)*(PptoSty[PptoVsColumn]=UPPER(S$114)),0)))</f>
        <v>0</v>
      </c>
      <c r="T236" s="157" cm="1">
        <f t="array" aca="1" ref="T236" ca="1">IF(OR($E236="X",$E236="",$E236=0,$B236="X",$B236="",$B236=0),0,SUM(_xlfn._xlws.FILTER(IF($E$4="Ppto",PptoSty[CurPpto],PptoSty[CurExt]),(IF($E$4="Ppto",PptoSty[POvsCT]=T$113,TRUE))*(PptoSty[Project]=TEXT($B236,"@"))*(PptoSty[PptoVsRow]=$E236)*(PptoSty[PptoVsColumn]=UPPER(S$114)),0)))</f>
        <v>0</v>
      </c>
      <c r="U236" s="157" cm="1">
        <f t="array" aca="1" ref="U236" ca="1">IF(OR($E236="X",$E236="",$E236=0,$B236="X",$B236="",$B236=0),0,SUM(_xlfn._xlws.FILTER(IF($E$4="Ppto",PptoSty[CurPpto],PptoSty[CurInt]),(IF($E$4="Ppto",PptoSty[POvsCT]=U$113,TRUE))*(PptoSty[Project]=TEXT($B236,"@"))*(PptoSty[PptoVsRow]=$E236)*(PptoSty[PptoVsColumn]=UPPER(U$114)),0)))</f>
        <v>0</v>
      </c>
      <c r="V236" s="157" cm="1">
        <f t="array" aca="1" ref="V236" ca="1">IF(OR($E236="X",$E236="",$E236=0,$B236="X",$B236="",$B236=0),0,SUM(_xlfn._xlws.FILTER(IF($E$4="Ppto",PptoSty[CurPpto],PptoSty[CurExt]),(IF($E$4="Ppto",PptoSty[POvsCT]=V$113,TRUE))*(PptoSty[Project]=TEXT($B236,"@"))*(PptoSty[PptoVsRow]=$E236)*(PptoSty[PptoVsColumn]=UPPER(U$114)),0)))</f>
        <v>0</v>
      </c>
      <c r="W236" s="157" cm="1">
        <f t="array" aca="1" ref="W236" ca="1">IF(OR($E236="X",$E236="",$E236=0,$B236="X",$B236="",$B236=0),0,SUM(_xlfn._xlws.FILTER(IF($E$4="Ppto",PptoSty[CurPpto],PptoSty[CurInt]),(IF($E$4="Ppto",PptoSty[POvsCT]=W$113,TRUE))*(PptoSty[Project]=TEXT($B236,"@"))*(PptoSty[PptoVsRow]=$E236)*(PptoSty[PptoVsColumn]=UPPER(W$114)),0)))</f>
        <v>0</v>
      </c>
      <c r="X236" s="157" cm="1">
        <f t="array" aca="1" ref="X236" ca="1">IF(OR($E236="X",$E236="",$E236=0,$B236="X",$B236="",$B236=0),0,SUM(_xlfn._xlws.FILTER(IF($E$4="Ppto",PptoSty[CurPpto],PptoSty[CurExt]),(IF($E$4="Ppto",PptoSty[POvsCT]=X$113,TRUE))*(PptoSty[Project]=TEXT($B236,"@"))*(PptoSty[PptoVsRow]=$E236)*(PptoSty[PptoVsColumn]=UPPER(W$114)),0)))</f>
        <v>0</v>
      </c>
      <c r="Y236" s="157" cm="1">
        <f t="array" aca="1" ref="Y236" ca="1">IF(OR($E236="X",$E236="",$E236=0,$B236="X",$B236="",$B236=0),0,SUM(_xlfn._xlws.FILTER(IF($E$4="Ppto",PptoSty[CurPpto],PptoSty[CurInt]),(IF($E$4="Ppto",PptoSty[POvsCT]=Y$113,TRUE))*(PptoSty[Project]=TEXT($B236,"@"))*(PptoSty[PptoVsRow]=$E236)*(PptoSty[PptoVsColumn]=UPPER(Y$114)),0)))</f>
        <v>0</v>
      </c>
      <c r="Z236" s="157" cm="1">
        <f t="array" aca="1" ref="Z236" ca="1">IF(OR($E236="X",$E236="",$E236=0,$B236="X",$B236="",$B236=0),0,SUM(_xlfn._xlws.FILTER(IF($E$4="Ppto",PptoSty[CurPpto],PptoSty[CurExt]),(IF($E$4="Ppto",PptoSty[POvsCT]=Z$113,TRUE))*(PptoSty[Project]=TEXT($B236,"@"))*(PptoSty[PptoVsRow]=$E236)*(PptoSty[PptoVsColumn]=UPPER(Y$114)),0)))</f>
        <v>0</v>
      </c>
      <c r="AA236" s="157" cm="1">
        <f t="array" aca="1" ref="AA236" ca="1">IF(OR($E236="X",$E236="",$E236=0,$B236="X",$B236="",$B236=0),0,SUM(_xlfn._xlws.FILTER(IF($E$4="Ppto",PptoSty[CurPpto],PptoSty[CurInt]),(IF($E$4="Ppto",PptoSty[POvsCT]=AA$113,TRUE))*(PptoSty[Project]=TEXT($B236,"@"))*(PptoSty[PptoVsRow]=$E236)*(PptoSty[PptoVsColumn]=UPPER(AA$114)),0)))</f>
        <v>0</v>
      </c>
      <c r="AB236" s="157" cm="1">
        <f t="array" aca="1" ref="AB236" ca="1">IF(OR($E236="X",$E236="",$E236=0,$B236="X",$B236="",$B236=0),0,SUM(_xlfn._xlws.FILTER(IF($E$4="Ppto",PptoSty[CurPpto],PptoSty[CurExt]),(IF($E$4="Ppto",PptoSty[POvsCT]=AB$113,TRUE))*(PptoSty[Project]=TEXT($B236,"@"))*(PptoSty[PptoVsRow]=$E236)*(PptoSty[PptoVsColumn]=UPPER(AA$114)),0)))</f>
        <v>0</v>
      </c>
      <c r="AC236" s="157" cm="1">
        <f t="array" aca="1" ref="AC236" ca="1">IF(OR($E236="X",$E236="",$E236=0,$B236="X",$B236="",$B236=0),0,SUM(_xlfn._xlws.FILTER(IF($E$4="Ppto",PptoSty[CurPpto],PptoSty[CurInt]),(IF($E$4="Ppto",PptoSty[POvsCT]=AC$113,TRUE))*(PptoSty[Project]=TEXT($B236,"@"))*(PptoSty[PptoVsRow]=$E236)*(PptoSty[PptoVsColumn]=UPPER(AC$114)),0)))</f>
        <v>0</v>
      </c>
      <c r="AD236" s="157" cm="1">
        <f t="array" aca="1" ref="AD236" ca="1">IF(OR($E236="X",$E236="",$E236=0,$B236="X",$B236="",$B236=0),0,SUM(_xlfn._xlws.FILTER(IF($E$4="Ppto",PptoSty[CurPpto],PptoSty[CurExt]),(IF($E$4="Ppto",PptoSty[POvsCT]=AD$113,TRUE))*(PptoSty[Project]=TEXT($B236,"@"))*(PptoSty[PptoVsRow]=$E236)*(PptoSty[PptoVsColumn]=UPPER(AC$114)),0)))</f>
        <v>0</v>
      </c>
      <c r="AE236" s="157" cm="1">
        <f t="array" aca="1" ref="AE236" ca="1">IF(OR($E236="X",$E236="",$E236=0,$B236="X",$B236="",$B236=0),0,SUM(_xlfn._xlws.FILTER(IF($E$4="Ppto",PptoSty[CurPpto],PptoSty[CurInt]),(IF($E$4="Ppto",PptoSty[POvsCT]=AE$113,TRUE))*(PptoSty[Project]=TEXT($B236,"@"))*(PptoSty[PptoVsRow]=$E236)*(PptoSty[PptoVsColumn]=UPPER(AE$114)),0)))</f>
        <v>0</v>
      </c>
      <c r="AF236" s="157" cm="1">
        <f t="array" aca="1" ref="AF236" ca="1">IF(OR($E236="X",$E236="",$E236=0,$B236="X",$B236="",$B236=0),0,SUM(_xlfn._xlws.FILTER(IF($E$4="Ppto",PptoSty[CurPpto],PptoSty[CurExt]),(IF($E$4="Ppto",PptoSty[POvsCT]=AF$113,TRUE))*(PptoSty[Project]=TEXT($B236,"@"))*(PptoSty[PptoVsRow]=$E236)*(PptoSty[PptoVsColumn]=UPPER(AE$114)),0)))</f>
        <v>0</v>
      </c>
      <c r="AG236" s="157" cm="1">
        <f t="array" aca="1" ref="AG236" ca="1">IF(OR($E236="X",$E236="",$E236=0,$B236="X",$B236="",$B236=0),0,SUM(_xlfn._xlws.FILTER(IF($E$4="Ppto",PptoSty[CurPpto],PptoSty[CurInt]),(IF($E$4="Ppto",PptoSty[POvsCT]=AG$113,TRUE))*(PptoSty[Project]=TEXT($B236,"@"))*(PptoSty[PptoVsRow]=$E236)*(PptoSty[PptoVsColumn]=UPPER(AG$114)),0)))</f>
        <v>0</v>
      </c>
      <c r="AH236" s="157" cm="1">
        <f t="array" aca="1" ref="AH236" ca="1">IF(OR($E236="X",$E236="",$E236=0,$B236="X",$B236="",$B236=0),0,SUM(_xlfn._xlws.FILTER(IF($E$4="Ppto",PptoSty[CurPpto],PptoSty[CurExt]),(IF($E$4="Ppto",PptoSty[POvsCT]=AH$113,TRUE))*(PptoSty[Project]=TEXT($B236,"@"))*(PptoSty[PptoVsRow]=$E236)*(PptoSty[PptoVsColumn]=UPPER(AG$114)),0)))</f>
        <v>0</v>
      </c>
      <c r="AI236" s="157" cm="1">
        <f t="array" aca="1" ref="AI236" ca="1">IF(OR($E236="X",$E236="",$E236=0,$B236="X",$B236="",$B236=0),0,SUM(_xlfn._xlws.FILTER(IF($E$4="Ppto",PptoSty[CurPpto],PptoSty[CurInt]),(IF($E$4="Ppto",PptoSty[POvsCT]=AI$113,TRUE))*(PptoSty[Project]=TEXT($B236,"@"))*(PptoSty[PptoVsRow]=$E236)*(PptoSty[PptoVsColumn]=UPPER(AI$114)),0)))</f>
        <v>0</v>
      </c>
      <c r="AJ236" s="157" cm="1">
        <f t="array" aca="1" ref="AJ236" ca="1">IF(OR($E236="X",$E236="",$E236=0,$B236="X",$B236="",$B236=0),0,SUM(_xlfn._xlws.FILTER(IF($E$4="Ppto",PptoSty[CurPpto],PptoSty[CurExt]),(IF($E$4="Ppto",PptoSty[POvsCT]=AJ$113,TRUE))*(PptoSty[Project]=TEXT($B236,"@"))*(PptoSty[PptoVsRow]=$E236)*(PptoSty[PptoVsColumn]=UPPER(AI$114)),0)))</f>
        <v>0</v>
      </c>
      <c r="AK236" s="157" cm="1">
        <f t="array" aca="1" ref="AK236" ca="1">IF(OR($E236="X",$E236="",$E236=0,$B236="X",$B236="",$B236=0),0,SUM(_xlfn._xlws.FILTER(IF($E$4="Ppto",PptoSty[CurPpto],PptoSty[CurInt]),(IF($E$4="Ppto",PptoSty[POvsCT]=AK$113,TRUE))*(PptoSty[Project]=TEXT($B236,"@"))*(PptoSty[PptoVsRow]=$E236)*(PptoSty[PptoVsColumn]=UPPER(AK$114)),0)))</f>
        <v>0</v>
      </c>
      <c r="AL236" s="157" cm="1">
        <f t="array" aca="1" ref="AL236" ca="1">IF(OR($E236="X",$E236="",$E236=0,$B236="X",$B236="",$B236=0),0,SUM(_xlfn._xlws.FILTER(IF($E$4="Ppto",PptoSty[CurPpto],PptoSty[CurExt]),(IF($E$4="Ppto",PptoSty[POvsCT]=AL$113,TRUE))*(PptoSty[Project]=TEXT($B236,"@"))*(PptoSty[PptoVsRow]=$E236)*(PptoSty[PptoVsColumn]=UPPER(AK$114)),0)))</f>
        <v>0</v>
      </c>
      <c r="AM236" s="157" cm="1">
        <f t="array" aca="1" ref="AM236" ca="1">IF(OR($E236="X",$E236="",$E236=0,$B236="X",$B236="",$B236=0),0,SUM(_xlfn._xlws.FILTER(IF($E$4="Ppto",PptoSty[CurPpto],PptoSty[CurInt]),(IF($E$4="Ppto",PptoSty[POvsCT]=AM$113,TRUE))*(PptoSty[Project]=TEXT($B236,"@"))*(PptoSty[PptoVsRow]=$E236)*(PptoSty[PptoVsColumn]=UPPER(AM$114)),0)))</f>
        <v>0</v>
      </c>
      <c r="AN236" s="157" cm="1">
        <f t="array" aca="1" ref="AN236" ca="1">IF(OR($E236="X",$E236="",$E236=0,$B236="X",$B236="",$B236=0),0,SUM(_xlfn._xlws.FILTER(IF($E$4="Ppto",PptoSty[CurPpto],PptoSty[CurExt]),(IF($E$4="Ppto",PptoSty[POvsCT]=AN$113,TRUE))*(PptoSty[Project]=TEXT($B236,"@"))*(PptoSty[PptoVsRow]=$E236)*(PptoSty[PptoVsColumn]=UPPER(AM$114)),0)))</f>
        <v>0</v>
      </c>
      <c r="AO236" s="157" cm="1">
        <f t="array" aca="1" ref="AO236" ca="1">IF(OR($E236="X",$E236="",$E236=0,$B236="X",$B236="",$B236=0),0,SUM(_xlfn._xlws.FILTER(IF($E$4="Ppto",PptoSty[CurPpto],PptoSty[CurInt]),(IF($E$4="Ppto",PptoSty[POvsCT]=AO$113,TRUE))*(PptoSty[Project]=TEXT($B236,"@"))*(PptoSty[PptoVsRow]=$E236)*(PptoSty[PptoVsColumn]=UPPER(AO$114)),0)))</f>
        <v>0</v>
      </c>
      <c r="AP236" s="157" cm="1">
        <f t="array" aca="1" ref="AP236" ca="1">IF(OR($E236="X",$E236="",$E236=0,$B236="X",$B236="",$B236=0),0,SUM(_xlfn._xlws.FILTER(IF($E$4="Ppto",PptoSty[CurPpto],PptoSty[CurExt]),(IF($E$4="Ppto",PptoSty[POvsCT]=AP$113,TRUE))*(PptoSty[Project]=TEXT($B236,"@"))*(PptoSty[PptoVsRow]=$E236)*(PptoSty[PptoVsColumn]=UPPER(AO$114)),0)))</f>
        <v>0</v>
      </c>
      <c r="AQ236" s="157" cm="1">
        <f t="array" aca="1" ref="AQ236" ca="1">SUM(IF(INDIRECT($AS$115)=AQ$115,INDIRECT($AS236)))</f>
        <v>0</v>
      </c>
      <c r="AR236" s="157" cm="1">
        <f t="array" aca="1" ref="AR236" ca="1">SUM(IF(INDIRECT($AS$115)=AR$115,INDIRECT($AS236)))</f>
        <v>0</v>
      </c>
      <c r="AS236" s="286" t="str">
        <f t="shared" ca="1" si="18"/>
        <v>G236:AP236</v>
      </c>
      <c r="AT236" s="403">
        <f t="shared" ca="1" si="17"/>
        <v>0</v>
      </c>
      <c r="AV236" s="142" cm="1">
        <f t="array" aca="1" ref="AV236" ca="1">IF(AND(_xlfn.LET(_xlpm.x,SUM(ROW()),OR(AND(MATCH("SOT",$A:$A,0)&lt;_xlpm.x,MATCH("EOT",$A:$A,0)&gt;_xlpm.x),AND(MATCH("SOS",$A:$A,0)&lt;_xlpm.x,MATCH("EOS",$A:$A,0)&gt;_xlpm.x),AND(MATCH("SOR",$A:$A,0)&lt;_xlpm.x,MATCH("EOR",$A:$A,0)&gt;_xlpm.x))),INDIRECT("rc"&amp;MATCH("SCD",$1:$1,0),FALSE)="PPTO"),1,0)</f>
        <v>1</v>
      </c>
      <c r="AW236" s="142" cm="1">
        <f t="array" aca="1" ref="AW23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237" spans="2:49" outlineLevel="1">
      <c r="B237" s="156" t="str" cm="1">
        <f t="array" aca="1" ref="B237" ca="1">_xlfn.LET(_xlpm.x,SUM(ROW()-MATCH("SOR",$A:$A,0)),_xlpm.y,IFERROR(_xlfn.TAKE(INDEX(_xlfn._xlws.FILTER(TbAssign[],ISNUMBER(FIND(TbAssign[Project],$C$4)),"X"),1+QUOTIENT(_xlpm.x,3),0),1,4),0),IF(MOD(_xlpm.x-1,3)=0,IF(_xlpm.y=0,"X",_xlpm.y),INDIRECT("r[-1]c#",FALSE)))</f>
        <v>X</v>
      </c>
      <c r="C237" s="156"/>
      <c r="E237" s="352"/>
      <c r="F237" s="148" t="s">
        <v>1382</v>
      </c>
      <c r="G237" s="157" cm="1">
        <f t="array" aca="1" ref="G237" ca="1">IF(OR($E237="X",$E237="",$E237=0,$B237="X",$B237="",$B237=0),0,SUM(_xlfn._xlws.FILTER(PrvSty[DsvValue:SERRA],(PrvSty[Project]=TEXT($B237,"@"))*(PrvSty[Row]=$E237)*(PrvSty[Column]=UPPER(G$114)),0)))</f>
        <v>0</v>
      </c>
      <c r="H237" s="157" cm="1">
        <f t="array" aca="1" ref="H237" ca="1">IF(OR($E237="X",$E237="",$E237=0,$B237="X",$B237="",$B237=0),0,SUM(_xlfn._xlws.FILTER(PrvSty[DsvValue:EXT.],(PrvSty[Project]=TEXT($B237,"@"))*(PrvSty[Row]=$E237)*(PrvSty[Column]=UPPER(G$114)),0)))</f>
        <v>0</v>
      </c>
      <c r="I237" s="157" cm="1">
        <f t="array" aca="1" ref="I237" ca="1">IF(OR($E237="X",$E237="",$E237=0,$B237="X",$B237="",$B237=0),0,SUM(_xlfn._xlws.FILTER(PrvSty[DsvValue:SERRA],(PrvSty[Project]=TEXT($B237,"@"))*(PrvSty[Row]=$E237)*(PrvSty[Column]=UPPER(I$114)),0)))</f>
        <v>0</v>
      </c>
      <c r="J237" s="157" cm="1">
        <f t="array" aca="1" ref="J237" ca="1">IF(OR($E237="X",$E237="",$E237=0,$B237="X",$B237="",$B237=0),0,SUM(_xlfn._xlws.FILTER(PrvSty[DsvValue:EXT.],(PrvSty[Project]=TEXT($B237,"@"))*(PrvSty[Row]=$E237)*(PrvSty[Column]=UPPER(I$114)),0)))</f>
        <v>0</v>
      </c>
      <c r="K237" s="157" cm="1">
        <f t="array" aca="1" ref="K237" ca="1">IF(OR($E237="X",$E237="",$E237=0,$B237="X",$B237="",$B237=0),0,SUM(_xlfn._xlws.FILTER(PrvSty[DsvValue:SERRA],(PrvSty[Project]=TEXT($B237,"@"))*(PrvSty[Row]=$E237)*(PrvSty[Column]=UPPER(K$114)),0)))</f>
        <v>0</v>
      </c>
      <c r="L237" s="157" cm="1">
        <f t="array" aca="1" ref="L237" ca="1">IF(OR($E237="X",$E237="",$E237=0,$B237="X",$B237="",$B237=0),0,SUM(_xlfn._xlws.FILTER(PrvSty[DsvValue:EXT.],(PrvSty[Project]=TEXT($B237,"@"))*(PrvSty[Row]=$E237)*(PrvSty[Column]=UPPER(K$114)),0)))</f>
        <v>0</v>
      </c>
      <c r="M237" s="157" cm="1">
        <f t="array" aca="1" ref="M237" ca="1">IF(OR($E237="X",$E237="",$E237=0,$B237="X",$B237="",$B237=0),0,SUM(_xlfn._xlws.FILTER(PrvSty[DsvValue:SERRA],(PrvSty[Project]=TEXT($B237,"@"))*(PrvSty[Row]=$E237)*(PrvSty[Column]=UPPER(M$114)),0)))</f>
        <v>0</v>
      </c>
      <c r="N237" s="157" cm="1">
        <f t="array" aca="1" ref="N237" ca="1">IF(OR($E237="X",$E237="",$E237=0,$B237="X",$B237="",$B237=0),0,SUM(_xlfn._xlws.FILTER(PrvSty[DsvValue:EXT.],(PrvSty[Project]=TEXT($B237,"@"))*(PrvSty[Row]=$E237)*(PrvSty[Column]=UPPER(M$114)),0)))</f>
        <v>0</v>
      </c>
      <c r="O237" s="157" cm="1">
        <f t="array" aca="1" ref="O237" ca="1">IF(OR($E237="X",$E237="",$E237=0,$B237="X",$B237="",$B237=0),0,SUM(_xlfn._xlws.FILTER(PrvSty[DsvValue:SERRA],(PrvSty[Project]=TEXT($B237,"@"))*(PrvSty[Row]=$E237)*(PrvSty[Column]=UPPER(O$114)),0)))</f>
        <v>0</v>
      </c>
      <c r="P237" s="157" cm="1">
        <f t="array" aca="1" ref="P237" ca="1">IF(OR($E237="X",$E237="",$E237=0,$B237="X",$B237="",$B237=0),0,SUM(_xlfn._xlws.FILTER(PrvSty[DsvValue:EXT.],(PrvSty[Project]=TEXT($B237,"@"))*(PrvSty[Row]=$E237)*(PrvSty[Column]=UPPER(O$114)),0)))</f>
        <v>0</v>
      </c>
      <c r="Q237" s="157" cm="1">
        <f t="array" aca="1" ref="Q237" ca="1">IF(OR($E237="X",$E237="",$E237=0,$B237="X",$B237="",$B237=0),0,SUM(_xlfn._xlws.FILTER(PrvSty[DsvValue:SERRA],(PrvSty[Project]=TEXT($B237,"@"))*(PrvSty[Row]=$E237)*(PrvSty[Column]=UPPER(Q$114)),0)))</f>
        <v>0</v>
      </c>
      <c r="R237" s="157" cm="1">
        <f t="array" aca="1" ref="R237" ca="1">IF(OR($E237="X",$E237="",$E237=0,$B237="X",$B237="",$B237=0),0,SUM(_xlfn._xlws.FILTER(PrvSty[DsvValue:EXT.],(PrvSty[Project]=TEXT($B237,"@"))*(PrvSty[Row]=$E237)*(PrvSty[Column]=UPPER(Q$114)),0)))</f>
        <v>0</v>
      </c>
      <c r="S237" s="157" cm="1">
        <f t="array" aca="1" ref="S237" ca="1">IF(OR($E237="X",$E237="",$E237=0,$B237="X",$B237="",$B237=0),0,SUM(_xlfn._xlws.FILTER(PrvSty[DsvValue:SERRA],(PrvSty[Project]=TEXT($B237,"@"))*(PrvSty[Row]=$E237)*(PrvSty[Column]=UPPER(S$114)),0)))</f>
        <v>0</v>
      </c>
      <c r="T237" s="157" cm="1">
        <f t="array" aca="1" ref="T237" ca="1">IF(OR($E237="X",$E237="",$E237=0,$B237="X",$B237="",$B237=0),0,SUM(_xlfn._xlws.FILTER(PrvSty[DsvValue:EXT.],(PrvSty[Project]=TEXT($B237,"@"))*(PrvSty[Row]=$E237)*(PrvSty[Column]=UPPER(S$114)),0)))</f>
        <v>0</v>
      </c>
      <c r="U237" s="157" cm="1">
        <f t="array" aca="1" ref="U237" ca="1">IF(OR($E237="X",$E237="",$E237=0,$B237="X",$B237="",$B237=0),0,SUM(_xlfn._xlws.FILTER(PrvSty[DsvValue:SERRA],(PrvSty[Project]=TEXT($B237,"@"))*(PrvSty[Row]=$E237)*(PrvSty[Column]=UPPER(U$114)),0)))</f>
        <v>0</v>
      </c>
      <c r="V237" s="157" cm="1">
        <f t="array" aca="1" ref="V237" ca="1">IF(OR($E237="X",$E237="",$E237=0,$B237="X",$B237="",$B237=0),0,SUM(_xlfn._xlws.FILTER(PrvSty[DsvValue:EXT.],(PrvSty[Project]=TEXT($B237,"@"))*(PrvSty[Row]=$E237)*(PrvSty[Column]=UPPER(U$114)),0)))</f>
        <v>0</v>
      </c>
      <c r="W237" s="157" cm="1">
        <f t="array" aca="1" ref="W237" ca="1">IF(OR($E237="X",$E237="",$E237=0,$B237="X",$B237="",$B237=0),0,SUM(_xlfn._xlws.FILTER(PrvSty[DsvValue:SERRA],(PrvSty[Project]=TEXT($B237,"@"))*(PrvSty[Row]=$E237)*(PrvSty[Column]=UPPER(W$114)),0)))</f>
        <v>0</v>
      </c>
      <c r="X237" s="157" cm="1">
        <f t="array" aca="1" ref="X237" ca="1">IF(OR($E237="X",$E237="",$E237=0,$B237="X",$B237="",$B237=0),0,SUM(_xlfn._xlws.FILTER(PrvSty[DsvValue:EXT.],(PrvSty[Project]=TEXT($B237,"@"))*(PrvSty[Row]=$E237)*(PrvSty[Column]=UPPER(W$114)),0)))</f>
        <v>0</v>
      </c>
      <c r="Y237" s="157" cm="1">
        <f t="array" aca="1" ref="Y237" ca="1">IF(OR($E237="X",$E237="",$E237=0,$B237="X",$B237="",$B237=0),0,SUM(_xlfn._xlws.FILTER(PrvSty[DsvValue:SERRA],(PrvSty[Project]=TEXT($B237,"@"))*(PrvSty[Row]=$E237)*(PrvSty[Column]=UPPER(Y$114)),0)))</f>
        <v>0</v>
      </c>
      <c r="Z237" s="157" cm="1">
        <f t="array" aca="1" ref="Z237" ca="1">IF(OR($E237="X",$E237="",$E237=0,$B237="X",$B237="",$B237=0),0,SUM(_xlfn._xlws.FILTER(PrvSty[DsvValue:EXT.],(PrvSty[Project]=TEXT($B237,"@"))*(PrvSty[Row]=$E237)*(PrvSty[Column]=UPPER(Y$114)),0)))</f>
        <v>0</v>
      </c>
      <c r="AA237" s="157" cm="1">
        <f t="array" aca="1" ref="AA237" ca="1">IF(OR($E237="X",$E237="",$E237=0,$B237="X",$B237="",$B237=0),0,SUM(_xlfn._xlws.FILTER(PrvSty[DsvValue:SERRA],(PrvSty[Project]=TEXT($B237,"@"))*(PrvSty[Row]=$E237)*(PrvSty[Column]=UPPER(AA$114)),0)))</f>
        <v>0</v>
      </c>
      <c r="AB237" s="157" cm="1">
        <f t="array" aca="1" ref="AB237" ca="1">IF(OR($E237="X",$E237="",$E237=0,$B237="X",$B237="",$B237=0),0,SUM(_xlfn._xlws.FILTER(PrvSty[DsvValue:EXT.],(PrvSty[Project]=TEXT($B237,"@"))*(PrvSty[Row]=$E237)*(PrvSty[Column]=UPPER(AA$114)),0)))</f>
        <v>0</v>
      </c>
      <c r="AC237" s="157" cm="1">
        <f t="array" aca="1" ref="AC237" ca="1">IF(OR($E237="X",$E237="",$E237=0,$B237="X",$B237="",$B237=0),0,SUM(_xlfn._xlws.FILTER(PrvSty[DsvValue:SERRA],(PrvSty[Project]=TEXT($B237,"@"))*(PrvSty[Row]=$E237)*(PrvSty[Column]=UPPER(AC$114)),0)))</f>
        <v>0</v>
      </c>
      <c r="AD237" s="157" cm="1">
        <f t="array" aca="1" ref="AD237" ca="1">IF(OR($E237="X",$E237="",$E237=0,$B237="X",$B237="",$B237=0),0,SUM(_xlfn._xlws.FILTER(PrvSty[DsvValue:EXT.],(PrvSty[Project]=TEXT($B237,"@"))*(PrvSty[Row]=$E237)*(PrvSty[Column]=UPPER(AC$114)),0)))</f>
        <v>0</v>
      </c>
      <c r="AE237" s="157" cm="1">
        <f t="array" aca="1" ref="AE237" ca="1">IF(OR($E237="X",$E237="",$E237=0,$B237="X",$B237="",$B237=0),0,SUM(_xlfn._xlws.FILTER(PrvSty[DsvValue:SERRA],(PrvSty[Project]=TEXT($B237,"@"))*(PrvSty[Row]=$E237)*(PrvSty[Column]=UPPER(AE$114)),0)))</f>
        <v>0</v>
      </c>
      <c r="AF237" s="157" cm="1">
        <f t="array" aca="1" ref="AF237" ca="1">IF(OR($E237="X",$E237="",$E237=0,$B237="X",$B237="",$B237=0),0,SUM(_xlfn._xlws.FILTER(PrvSty[DsvValue:EXT.],(PrvSty[Project]=TEXT($B237,"@"))*(PrvSty[Row]=$E237)*(PrvSty[Column]=UPPER(AE$114)),0)))</f>
        <v>0</v>
      </c>
      <c r="AG237" s="157" cm="1">
        <f t="array" aca="1" ref="AG237" ca="1">IF(OR($E237="X",$E237="",$E237=0,$B237="X",$B237="",$B237=0),0,SUM(_xlfn._xlws.FILTER(PrvSty[DsvValue:SERRA],(PrvSty[Project]=TEXT($B237,"@"))*(PrvSty[Row]=$E237)*(PrvSty[Column]=UPPER(AG$114)),0)))</f>
        <v>0</v>
      </c>
      <c r="AH237" s="157" cm="1">
        <f t="array" aca="1" ref="AH237" ca="1">IF(OR($E237="X",$E237="",$E237=0,$B237="X",$B237="",$B237=0),0,SUM(_xlfn._xlws.FILTER(PrvSty[DsvValue:EXT.],(PrvSty[Project]=TEXT($B237,"@"))*(PrvSty[Row]=$E237)*(PrvSty[Column]=UPPER(AG$114)),0)))</f>
        <v>0</v>
      </c>
      <c r="AI237" s="157" cm="1">
        <f t="array" aca="1" ref="AI237" ca="1">IF(OR($E237="X",$E237="",$E237=0,$B237="X",$B237="",$B237=0),0,SUM(_xlfn._xlws.FILTER(PrvSty[DsvValue:SERRA],(PrvSty[Project]=TEXT($B237,"@"))*(PrvSty[Row]=$E237)*(PrvSty[Column]=UPPER(AI$114)),0)))</f>
        <v>0</v>
      </c>
      <c r="AJ237" s="157" cm="1">
        <f t="array" aca="1" ref="AJ237" ca="1">IF(OR($E237="X",$E237="",$E237=0,$B237="X",$B237="",$B237=0),0,SUM(_xlfn._xlws.FILTER(PrvSty[DsvValue:EXT.],(PrvSty[Project]=TEXT($B237,"@"))*(PrvSty[Row]=$E237)*(PrvSty[Column]=UPPER(AI$114)),0)))</f>
        <v>0</v>
      </c>
      <c r="AK237" s="157" cm="1">
        <f t="array" aca="1" ref="AK237" ca="1">IF(OR($E237="X",$E237="",$E237=0,$B237="X",$B237="",$B237=0),0,SUM(_xlfn._xlws.FILTER(PrvSty[DsvValue:SERRA],(PrvSty[Project]=TEXT($B237,"@"))*(PrvSty[Row]=$E237)*(PrvSty[Column]=UPPER(AK$114)),0)))</f>
        <v>0</v>
      </c>
      <c r="AL237" s="157" cm="1">
        <f t="array" aca="1" ref="AL237" ca="1">IF(OR($E237="X",$E237="",$E237=0,$B237="X",$B237="",$B237=0),0,SUM(_xlfn._xlws.FILTER(PrvSty[DsvValue:EXT.],(PrvSty[Project]=TEXT($B237,"@"))*(PrvSty[Row]=$E237)*(PrvSty[Column]=UPPER(AK$114)),0)))</f>
        <v>0</v>
      </c>
      <c r="AM237" s="157" cm="1">
        <f t="array" aca="1" ref="AM237" ca="1">IF(OR($E237="X",$E237="",$E237=0,$B237="X",$B237="",$B237=0),0,SUM(_xlfn._xlws.FILTER(PrvSty[DsvValue:SERRA],(PrvSty[Project]=TEXT($B237,"@"))*(PrvSty[Row]=$E237)*(PrvSty[Column]=UPPER(AM$114)),0)))</f>
        <v>0</v>
      </c>
      <c r="AN237" s="157" cm="1">
        <f t="array" aca="1" ref="AN237" ca="1">IF(OR($E237="X",$E237="",$E237=0,$B237="X",$B237="",$B237=0),0,SUM(_xlfn._xlws.FILTER(PrvSty[DsvValue:EXT.],(PrvSty[Project]=TEXT($B237,"@"))*(PrvSty[Row]=$E237)*(PrvSty[Column]=UPPER(AM$114)),0)))</f>
        <v>0</v>
      </c>
      <c r="AO237" s="157" cm="1">
        <f t="array" aca="1" ref="AO237" ca="1">IF(OR($E237="X",$E237="",$E237=0,$B237="X",$B237="",$B237=0),0,SUM(_xlfn._xlws.FILTER(PrvSty[DsvValue:SERRA],(PrvSty[Project]=TEXT($B237,"@"))*(PrvSty[Row]=$E237)*(PrvSty[Column]=UPPER(AO$114)),0)))</f>
        <v>0</v>
      </c>
      <c r="AP237" s="157" cm="1">
        <f t="array" aca="1" ref="AP237" ca="1">IF(OR($E237="X",$E237="",$E237=0,$B237="X",$B237="",$B237=0),0,SUM(_xlfn._xlws.FILTER(PrvSty[DsvValue:EXT.],(PrvSty[Project]=TEXT($B237,"@"))*(PrvSty[Row]=$E237)*(PrvSty[Column]=UPPER(AO$114)),0)))</f>
        <v>0</v>
      </c>
      <c r="AQ237" s="157" cm="1">
        <f t="array" aca="1" ref="AQ237" ca="1">SUM(IF(INDIRECT($AS$115)=AQ$115,INDIRECT($AS237)))</f>
        <v>0</v>
      </c>
      <c r="AR237" s="157" cm="1">
        <f t="array" aca="1" ref="AR237" ca="1">SUM(IF(INDIRECT($AS$115)=AR$115,INDIRECT($AS237)))</f>
        <v>0</v>
      </c>
      <c r="AS237" s="286" t="str">
        <f t="shared" ca="1" si="18"/>
        <v>G237:AP237</v>
      </c>
      <c r="AT237" s="403">
        <f t="shared" ca="1" si="17"/>
        <v>0</v>
      </c>
      <c r="AV237" s="142" cm="1">
        <f t="array" aca="1" ref="AV237" ca="1">IF(AND(_xlfn.LET(_xlpm.x,SUM(ROW()),OR(AND(MATCH("SOT",$A:$A,0)&lt;_xlpm.x,MATCH("EOT",$A:$A,0)&gt;_xlpm.x),AND(MATCH("SOS",$A:$A,0)&lt;_xlpm.x,MATCH("EOS",$A:$A,0)&gt;_xlpm.x),AND(MATCH("SOR",$A:$A,0)&lt;_xlpm.x,MATCH("EOR",$A:$A,0)&gt;_xlpm.x))),INDIRECT("rc"&amp;MATCH("SCD",$1:$1,0),FALSE)="PPTO"),1,0)</f>
        <v>0</v>
      </c>
      <c r="AW237" s="142" cm="1">
        <f t="array" aca="1" ref="AW23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238" spans="2:49" outlineLevel="1">
      <c r="B238" s="156" t="str" cm="1">
        <f t="array" aca="1" ref="B238" ca="1">_xlfn.LET(_xlpm.x,SUM(ROW()-MATCH("SOR",$A:$A,0)),_xlpm.y,IFERROR(_xlfn.TAKE(INDEX(_xlfn._xlws.FILTER(TbAssign[],ISNUMBER(FIND(TbAssign[Project],$C$4)),"X"),1+QUOTIENT(_xlpm.x,3),0),1,4),0),IF(MOD(_xlpm.x-1,3)=0,IF(_xlpm.y=0,"X",_xlpm.y),INDIRECT("r[-1]c#",FALSE)))</f>
        <v>X</v>
      </c>
      <c r="C238" s="156"/>
      <c r="E238" s="352"/>
      <c r="F238" s="148" t="s">
        <v>1383</v>
      </c>
      <c r="G238" s="158" cm="1">
        <f t="array" aca="1" ref="G238" ca="1">IF(OR($E238="X",$E238="",$E238=0,$B238="X",$B238="",$B238=0),0,SUM(_xlfn._xlws.FILTER(FrmBB1[Cur],(FrmBB1[PrjId]=TEXT($B238,"@"))*(FrmBB1[Row]=$E238)*(FrmBB1[Column]=UPPER(_xlfn.LET(_xlpm.x,_xlfn.TEXTBEFORE(G$114," ("),IFERROR(_xlpm.x,G$114)))&amp;" "&amp;G$115),0)))</f>
        <v>0</v>
      </c>
      <c r="H238" s="157" cm="1">
        <f t="array" aca="1" ref="H238" ca="1">IF(OR($E238="X",$E238="",$E238=0,$B238="X",$B238="",$B238=0),0,SUM(_xlfn._xlws.FILTER(FrmBB1[Cur],(FrmBB1[PrjId]=TEXT($B238,"@"))*(FrmBB1[Row]=$E238)*(FrmBB1[Column]=UPPER(_xlfn.LET(_xlpm.x,_xlfn.TEXTBEFORE(G$114," ("),IFERROR(_xlpm.x,G$114)))&amp;" "&amp;H$115),0)))</f>
        <v>0</v>
      </c>
      <c r="I238" s="158" cm="1">
        <f t="array" aca="1" ref="I238" ca="1">IF(OR($E238="X",$E238="",$E238=0,$B238="X",$B238="",$B238=0),0,SUM(_xlfn._xlws.FILTER(FrmBB1[Cur],(FrmBB1[PrjId]=TEXT($B238,"@"))*(FrmBB1[Row]=$E238)*(FrmBB1[Column]=UPPER(_xlfn.LET(_xlpm.x,_xlfn.TEXTBEFORE(I$114," ("),IFERROR(_xlpm.x,I$114)))&amp;" "&amp;I$115),0)))</f>
        <v>0</v>
      </c>
      <c r="J238" s="157" cm="1">
        <f t="array" aca="1" ref="J238" ca="1">IF(OR($E238="X",$E238="",$E238=0,$B238="X",$B238="",$B238=0),0,SUM(_xlfn._xlws.FILTER(FrmBB1[Cur],(FrmBB1[PrjId]=TEXT($B238,"@"))*(FrmBB1[Row]=$E238)*(FrmBB1[Column]=UPPER(_xlfn.LET(_xlpm.x,_xlfn.TEXTBEFORE(I$114," ("),IFERROR(_xlpm.x,I$114)))&amp;" "&amp;J$115),0)))</f>
        <v>0</v>
      </c>
      <c r="K238" s="158" cm="1">
        <f t="array" aca="1" ref="K238" ca="1">IF(OR($E238="X",$E238="",$E238=0,$B238="X",$B238="",$B238=0),0,SUM(_xlfn._xlws.FILTER(FrmBB1[Cur],(FrmBB1[PrjId]=TEXT($B238,"@"))*(FrmBB1[Row]=$E238)*(FrmBB1[Column]=UPPER(_xlfn.LET(_xlpm.x,_xlfn.TEXTBEFORE(K$114," ("),IFERROR(_xlpm.x,K$114)))&amp;" "&amp;K$115),0)))</f>
        <v>0</v>
      </c>
      <c r="L238" s="157" cm="1">
        <f t="array" aca="1" ref="L238" ca="1">IF(OR($E238="X",$E238="",$E238=0,$B238="X",$B238="",$B238=0),0,SUM(_xlfn._xlws.FILTER(FrmBB1[Cur],(FrmBB1[PrjId]=TEXT($B238,"@"))*(FrmBB1[Row]=$E238)*(FrmBB1[Column]=UPPER(_xlfn.LET(_xlpm.x,_xlfn.TEXTBEFORE(K$114," ("),IFERROR(_xlpm.x,K$114)))&amp;" "&amp;L$115),0)))</f>
        <v>0</v>
      </c>
      <c r="M238" s="158" cm="1">
        <f t="array" aca="1" ref="M238" ca="1">IF(OR($E238="X",$E238="",$E238=0,$B238="X",$B238="",$B238=0),0,SUM(_xlfn._xlws.FILTER(FrmBB1[Cur],(FrmBB1[PrjId]=TEXT($B238,"@"))*(FrmBB1[Row]=$E238)*(FrmBB1[Column]=UPPER(_xlfn.LET(_xlpm.x,_xlfn.TEXTBEFORE(M$114," ("),IFERROR(_xlpm.x,M$114)))&amp;" "&amp;M$115),0)))</f>
        <v>0</v>
      </c>
      <c r="N238" s="157" cm="1">
        <f t="array" aca="1" ref="N238" ca="1">IF(OR($E238="X",$E238="",$E238=0,$B238="X",$B238="",$B238=0),0,SUM(_xlfn._xlws.FILTER(FrmBB1[Cur],(FrmBB1[PrjId]=TEXT($B238,"@"))*(FrmBB1[Row]=$E238)*(FrmBB1[Column]=UPPER(_xlfn.LET(_xlpm.x,_xlfn.TEXTBEFORE(M$114," ("),IFERROR(_xlpm.x,M$114)))&amp;" "&amp;N$115),0)))</f>
        <v>0</v>
      </c>
      <c r="O238" s="158" cm="1">
        <f t="array" aca="1" ref="O238" ca="1">IF(OR($E238="X",$E238="",$E238=0,$B238="X",$B238="",$B238=0),0,SUM(_xlfn._xlws.FILTER(FrmBB1[Cur],(FrmBB1[PrjId]=TEXT($B238,"@"))*(FrmBB1[Row]=$E238)*(FrmBB1[Column]=UPPER(_xlfn.LET(_xlpm.x,_xlfn.TEXTBEFORE(O$114," ("),IFERROR(_xlpm.x,O$114)))&amp;" "&amp;O$115),0)))</f>
        <v>0</v>
      </c>
      <c r="P238" s="157" cm="1">
        <f t="array" aca="1" ref="P238" ca="1">IF(OR($E238="X",$E238="",$E238=0,$B238="X",$B238="",$B238=0),0,SUM(_xlfn._xlws.FILTER(FrmBB1[Cur],(FrmBB1[PrjId]=TEXT($B238,"@"))*(FrmBB1[Row]=$E238)*(FrmBB1[Column]=UPPER(_xlfn.LET(_xlpm.x,_xlfn.TEXTBEFORE(O$114," ("),IFERROR(_xlpm.x,O$114)))&amp;" "&amp;P$115),0)))</f>
        <v>0</v>
      </c>
      <c r="Q238" s="158" cm="1">
        <f t="array" aca="1" ref="Q238" ca="1">IF(OR($E238="X",$E238="",$E238=0,$B238="X",$B238="",$B238=0),0,SUM(_xlfn._xlws.FILTER(FrmBB1[Cur],(FrmBB1[PrjId]=TEXT($B238,"@"))*(FrmBB1[Row]=$E238)*(FrmBB1[Column]=UPPER(_xlfn.LET(_xlpm.x,_xlfn.TEXTBEFORE(Q$114," ("),IFERROR(_xlpm.x,Q$114)))&amp;" "&amp;Q$115),0)))</f>
        <v>0</v>
      </c>
      <c r="R238" s="157" cm="1">
        <f t="array" aca="1" ref="R238" ca="1">IF(OR($E238="X",$E238="",$E238=0,$B238="X",$B238="",$B238=0),0,SUM(_xlfn._xlws.FILTER(FrmBB1[Cur],(FrmBB1[PrjId]=TEXT($B238,"@"))*(FrmBB1[Row]=$E238)*(FrmBB1[Column]=UPPER(_xlfn.LET(_xlpm.x,_xlfn.TEXTBEFORE(Q$114," ("),IFERROR(_xlpm.x,Q$114)))&amp;" "&amp;R$115),0)))</f>
        <v>0</v>
      </c>
      <c r="S238" s="158" cm="1">
        <f t="array" aca="1" ref="S238" ca="1">IF(OR($E238="X",$E238="",$E238=0,$B238="X",$B238="",$B238=0),0,SUM(_xlfn._xlws.FILTER(FrmBB1[Cur],(FrmBB1[PrjId]=TEXT($B238,"@"))*(FrmBB1[Row]=$E238)*(FrmBB1[Column]=UPPER(_xlfn.LET(_xlpm.x,_xlfn.TEXTBEFORE(S$114," ("),IFERROR(_xlpm.x,S$114)))&amp;" "&amp;S$115),0)))</f>
        <v>0</v>
      </c>
      <c r="T238" s="157" cm="1">
        <f t="array" aca="1" ref="T238" ca="1">IF(OR($E238="X",$E238="",$E238=0,$B238="X",$B238="",$B238=0),0,SUM(_xlfn._xlws.FILTER(FrmBB1[Cur],(FrmBB1[PrjId]=TEXT($B238,"@"))*(FrmBB1[Row]=$E238)*(FrmBB1[Column]=UPPER(_xlfn.LET(_xlpm.x,_xlfn.TEXTBEFORE(S$114," ("),IFERROR(_xlpm.x,S$114)))&amp;" "&amp;T$115),0)))</f>
        <v>0</v>
      </c>
      <c r="U238" s="158" cm="1">
        <f t="array" aca="1" ref="U238" ca="1">IF(OR($E238="X",$E238="",$E238=0,$B238="X",$B238="",$B238=0),0,SUM(_xlfn._xlws.FILTER(FrmBB1[Cur],(FrmBB1[PrjId]=TEXT($B238,"@"))*(FrmBB1[Row]=$E238)*(FrmBB1[Column]=UPPER(_xlfn.LET(_xlpm.x,_xlfn.TEXTBEFORE(U$114," ("),IFERROR(_xlpm.x,U$114)))&amp;" "&amp;U$115),0)))</f>
        <v>0</v>
      </c>
      <c r="V238" s="157" cm="1">
        <f t="array" aca="1" ref="V238" ca="1">IF(OR($E238="X",$E238="",$E238=0,$B238="X",$B238="",$B238=0),0,SUM(_xlfn._xlws.FILTER(FrmBB1[Cur],(FrmBB1[PrjId]=TEXT($B238,"@"))*(FrmBB1[Row]=$E238)*(FrmBB1[Column]=UPPER(_xlfn.LET(_xlpm.x,_xlfn.TEXTBEFORE(U$114," ("),IFERROR(_xlpm.x,U$114)))&amp;" "&amp;V$115),0)))</f>
        <v>0</v>
      </c>
      <c r="W238" s="158" cm="1">
        <f t="array" aca="1" ref="W238" ca="1">IF(OR($E238="X",$E238="",$E238=0,$B238="X",$B238="",$B238=0),0,SUM(_xlfn._xlws.FILTER(FrmBB1[Cur],(FrmBB1[PrjId]=TEXT($B238,"@"))*(FrmBB1[Row]=$E238)*(FrmBB1[Column]=UPPER(_xlfn.LET(_xlpm.x,_xlfn.TEXTBEFORE(W$114," ("),IFERROR(_xlpm.x,W$114)))&amp;" "&amp;W$115),0)))</f>
        <v>0</v>
      </c>
      <c r="X238" s="157" cm="1">
        <f t="array" aca="1" ref="X238" ca="1">IF(OR($E238="X",$E238="",$E238=0,$B238="X",$B238="",$B238=0),0,SUM(_xlfn._xlws.FILTER(FrmBB1[Cur],(FrmBB1[PrjId]=TEXT($B238,"@"))*(FrmBB1[Row]=$E238)*(FrmBB1[Column]=UPPER(_xlfn.LET(_xlpm.x,_xlfn.TEXTBEFORE(W$114," ("),IFERROR(_xlpm.x,W$114)))&amp;" "&amp;X$115),0)))</f>
        <v>0</v>
      </c>
      <c r="Y238" s="158" cm="1">
        <f t="array" aca="1" ref="Y238" ca="1">IF(OR($E238="X",$E238="",$E238=0,$B238="X",$B238="",$B238=0),0,SUM(_xlfn._xlws.FILTER(FrmBB1[Cur],(FrmBB1[PrjId]=TEXT($B238,"@"))*(FrmBB1[Row]=$E238)*(FrmBB1[Column]=UPPER(_xlfn.LET(_xlpm.x,_xlfn.TEXTBEFORE(Y$114," ("),IFERROR(_xlpm.x,Y$114)))&amp;" "&amp;Y$115),0)))</f>
        <v>0</v>
      </c>
      <c r="Z238" s="157" cm="1">
        <f t="array" aca="1" ref="Z238" ca="1">IF(OR($E238="X",$E238="",$E238=0,$B238="X",$B238="",$B238=0),0,SUM(_xlfn._xlws.FILTER(FrmBB1[Cur],(FrmBB1[PrjId]=TEXT($B238,"@"))*(FrmBB1[Row]=$E238)*(FrmBB1[Column]=UPPER(_xlfn.LET(_xlpm.x,_xlfn.TEXTBEFORE(Y$114," ("),IFERROR(_xlpm.x,Y$114)))&amp;" "&amp;Z$115),0)))</f>
        <v>0</v>
      </c>
      <c r="AA238" s="158" cm="1">
        <f t="array" aca="1" ref="AA238" ca="1">IF(OR($E238="X",$E238="",$E238=0,$B238="X",$B238="",$B238=0),0,SUM(_xlfn._xlws.FILTER(FrmBB1[Cur],(FrmBB1[PrjId]=TEXT($B238,"@"))*(FrmBB1[Row]=$E238)*(FrmBB1[Column]=UPPER(_xlfn.LET(_xlpm.x,_xlfn.TEXTBEFORE(AA$114," ("),IFERROR(_xlpm.x,AA$114)))&amp;" "&amp;AA$115),0)))</f>
        <v>0</v>
      </c>
      <c r="AB238" s="157" cm="1">
        <f t="array" aca="1" ref="AB238" ca="1">IF(OR($E238="X",$E238="",$E238=0,$B238="X",$B238="",$B238=0),0,SUM(_xlfn._xlws.FILTER(FrmBB1[Cur],(FrmBB1[PrjId]=TEXT($B238,"@"))*(FrmBB1[Row]=$E238)*(FrmBB1[Column]=UPPER(_xlfn.LET(_xlpm.x,_xlfn.TEXTBEFORE(AA$114," ("),IFERROR(_xlpm.x,AA$114)))&amp;" "&amp;AB$115),0)))</f>
        <v>0</v>
      </c>
      <c r="AC238" s="158" cm="1">
        <f t="array" aca="1" ref="AC238" ca="1">IF(OR($E238="X",$E238="",$E238=0,$B238="X",$B238="",$B238=0),0,SUM(_xlfn._xlws.FILTER(FrmBB1[Cur],(FrmBB1[PrjId]=TEXT($B238,"@"))*(FrmBB1[Row]=$E238)*(FrmBB1[Column]=UPPER(_xlfn.LET(_xlpm.x,_xlfn.TEXTBEFORE(AC$114," ("),IFERROR(_xlpm.x,AC$114)))&amp;" "&amp;AC$115),0)))</f>
        <v>0</v>
      </c>
      <c r="AD238" s="157" cm="1">
        <f t="array" aca="1" ref="AD238" ca="1">IF(OR($E238="X",$E238="",$E238=0,$B238="X",$B238="",$B238=0),0,SUM(_xlfn._xlws.FILTER(FrmBB1[Cur],(FrmBB1[PrjId]=TEXT($B238,"@"))*(FrmBB1[Row]=$E238)*(FrmBB1[Column]=UPPER(_xlfn.LET(_xlpm.x,_xlfn.TEXTBEFORE(AC$114," ("),IFERROR(_xlpm.x,AC$114)))&amp;" "&amp;AD$115),0)))</f>
        <v>0</v>
      </c>
      <c r="AE238" s="158" cm="1">
        <f t="array" aca="1" ref="AE238" ca="1">IF(OR($E238="X",$E238="",$E238=0,$B238="X",$B238="",$B238=0),0,SUM(_xlfn._xlws.FILTER(FrmBB1[Cur],(FrmBB1[PrjId]=TEXT($B238,"@"))*(FrmBB1[Row]=$E238)*(FrmBB1[Column]=UPPER(_xlfn.LET(_xlpm.x,_xlfn.TEXTBEFORE(AE$114," ("),IFERROR(_xlpm.x,AE$114)))&amp;" "&amp;AE$115),0)))</f>
        <v>0</v>
      </c>
      <c r="AF238" s="157" cm="1">
        <f t="array" aca="1" ref="AF238" ca="1">IF(OR($E238="X",$E238="",$E238=0,$B238="X",$B238="",$B238=0),0,SUM(_xlfn._xlws.FILTER(FrmBB1[Cur],(FrmBB1[PrjId]=TEXT($B238,"@"))*(FrmBB1[Row]=$E238)*(FrmBB1[Column]=UPPER(_xlfn.LET(_xlpm.x,_xlfn.TEXTBEFORE(AE$114," ("),IFERROR(_xlpm.x,AE$114)))&amp;" "&amp;AF$115),0)))</f>
        <v>0</v>
      </c>
      <c r="AG238" s="158" cm="1">
        <f t="array" aca="1" ref="AG238" ca="1">IF(OR($E238="X",$E238="",$E238=0,$B238="X",$B238="",$B238=0),0,SUM(_xlfn._xlws.FILTER(FrmBB1[Cur],(FrmBB1[PrjId]=TEXT($B238,"@"))*(FrmBB1[Row]=$E238)*(FrmBB1[Column]=UPPER(_xlfn.LET(_xlpm.x,_xlfn.TEXTBEFORE(AG$114," ("),IFERROR(_xlpm.x,AG$114)))&amp;" "&amp;AG$115),0)))</f>
        <v>0</v>
      </c>
      <c r="AH238" s="157" cm="1">
        <f t="array" aca="1" ref="AH238" ca="1">IF(OR($E238="X",$E238="",$E238=0,$B238="X",$B238="",$B238=0),0,SUM(_xlfn._xlws.FILTER(FrmBB1[Cur],(FrmBB1[PrjId]=TEXT($B238,"@"))*(FrmBB1[Row]=$E238)*(FrmBB1[Column]=UPPER(_xlfn.LET(_xlpm.x,_xlfn.TEXTBEFORE(AG$114," ("),IFERROR(_xlpm.x,AG$114)))&amp;" "&amp;AH$115),0)))</f>
        <v>0</v>
      </c>
      <c r="AI238" s="158" cm="1">
        <f t="array" aca="1" ref="AI238" ca="1">IF(OR($E238="X",$E238="",$E238=0,$B238="X",$B238="",$B238=0),0,SUM(_xlfn._xlws.FILTER(FrmBB1[Cur],(FrmBB1[PrjId]=TEXT($B238,"@"))*(FrmBB1[Row]=$E238)*(FrmBB1[Column]=UPPER(_xlfn.LET(_xlpm.x,_xlfn.TEXTBEFORE(AI$114," ("),IFERROR(_xlpm.x,AI$114)))&amp;" "&amp;AI$115),0)))</f>
        <v>0</v>
      </c>
      <c r="AJ238" s="157" cm="1">
        <f t="array" aca="1" ref="AJ238" ca="1">IF(OR($E238="X",$E238="",$E238=0,$B238="X",$B238="",$B238=0),0,SUM(_xlfn._xlws.FILTER(FrmBB1[Cur],(FrmBB1[PrjId]=TEXT($B238,"@"))*(FrmBB1[Row]=$E238)*(FrmBB1[Column]=UPPER(_xlfn.LET(_xlpm.x,_xlfn.TEXTBEFORE(AI$114," ("),IFERROR(_xlpm.x,AI$114)))&amp;" "&amp;AJ$115),0)))</f>
        <v>0</v>
      </c>
      <c r="AK238" s="158" cm="1">
        <f t="array" aca="1" ref="AK238" ca="1">IF(OR($E238="X",$E238="",$E238=0,$B238="X",$B238="",$B238=0),0,SUM(_xlfn._xlws.FILTER(FrmBB1[Cur],(FrmBB1[PrjId]=TEXT($B238,"@"))*(FrmBB1[Row]=$E238)*(FrmBB1[Column]=UPPER(_xlfn.LET(_xlpm.x,_xlfn.TEXTBEFORE(AK$114," ("),IFERROR(_xlpm.x,AK$114)))&amp;" "&amp;AK$115),0)))</f>
        <v>0</v>
      </c>
      <c r="AL238" s="157" cm="1">
        <f t="array" aca="1" ref="AL238" ca="1">IF(OR($E238="X",$E238="",$E238=0,$B238="X",$B238="",$B238=0),0,SUM(_xlfn._xlws.FILTER(FrmBB1[Cur],(FrmBB1[PrjId]=TEXT($B238,"@"))*(FrmBB1[Row]=$E238)*(FrmBB1[Column]=UPPER(_xlfn.LET(_xlpm.x,_xlfn.TEXTBEFORE(AK$114," ("),IFERROR(_xlpm.x,AK$114)))&amp;" "&amp;AL$115),0)))</f>
        <v>0</v>
      </c>
      <c r="AM238" s="158" cm="1">
        <f t="array" aca="1" ref="AM238" ca="1">IF(OR($E238="X",$E238="",$E238=0,$B238="X",$B238="",$B238=0),0,SUM(_xlfn._xlws.FILTER(FrmBB1[Cur],(FrmBB1[PrjId]=TEXT($B238,"@"))*(FrmBB1[Row]=$E238)*(FrmBB1[Column]=UPPER(_xlfn.LET(_xlpm.x,_xlfn.TEXTBEFORE(AM$114," ("),IFERROR(_xlpm.x,AM$114)))&amp;" "&amp;AM$115),0)))</f>
        <v>0</v>
      </c>
      <c r="AN238" s="157" cm="1">
        <f t="array" aca="1" ref="AN238" ca="1">IF(OR($E238="X",$E238="",$E238=0,$B238="X",$B238="",$B238=0),0,SUM(_xlfn._xlws.FILTER(FrmBB1[Cur],(FrmBB1[PrjId]=TEXT($B238,"@"))*(FrmBB1[Row]=$E238)*(FrmBB1[Column]=UPPER(_xlfn.LET(_xlpm.x,_xlfn.TEXTBEFORE(AM$114," ("),IFERROR(_xlpm.x,AM$114)))&amp;" "&amp;AN$115),0)))</f>
        <v>0</v>
      </c>
      <c r="AO238" s="158" cm="1">
        <f t="array" aca="1" ref="AO238" ca="1">IF(OR($E238="X",$E238="",$E238=0,$B238="X",$B238="",$B238=0),0,SUM(_xlfn._xlws.FILTER(FrmBB1[Cur],(FrmBB1[PrjId]=TEXT($B238,"@"))*(FrmBB1[Row]=$E238)*(FrmBB1[Column]=UPPER(_xlfn.LET(_xlpm.x,_xlfn.TEXTBEFORE(AO$114," ("),IFERROR(_xlpm.x,AO$114)))&amp;" "&amp;AO$115),0)))</f>
        <v>0</v>
      </c>
      <c r="AP238" s="157" cm="1">
        <f t="array" aca="1" ref="AP238" ca="1">IF(OR($E238="X",$E238="",$E238=0,$B238="X",$B238="",$B238=0),0,SUM(_xlfn._xlws.FILTER(FrmBB1[Cur],(FrmBB1[PrjId]=TEXT($B238,"@"))*(FrmBB1[Row]=$E238)*(FrmBB1[Column]=UPPER(_xlfn.LET(_xlpm.x,_xlfn.TEXTBEFORE(AO$114," ("),IFERROR(_xlpm.x,AO$114)))&amp;" "&amp;AP$115),0)))</f>
        <v>0</v>
      </c>
      <c r="AQ238" s="157" cm="1">
        <f t="array" aca="1" ref="AQ238" ca="1">SUM(IF(INDIRECT($AS$115)=AQ$115,INDIRECT($AS238)))</f>
        <v>0</v>
      </c>
      <c r="AR238" s="157" cm="1">
        <f t="array" aca="1" ref="AR238" ca="1">SUM(IF(INDIRECT($AS$115)=AR$115,INDIRECT($AS238)))</f>
        <v>0</v>
      </c>
      <c r="AS238" s="286" t="str">
        <f t="shared" ca="1" si="18"/>
        <v>G238:AP238</v>
      </c>
      <c r="AT238" s="403">
        <f t="shared" ca="1" si="17"/>
        <v>0</v>
      </c>
      <c r="AV238" s="142" cm="1">
        <f t="array" aca="1" ref="AV238" ca="1">IF(AND(_xlfn.LET(_xlpm.x,SUM(ROW()),OR(AND(MATCH("SOT",$A:$A,0)&lt;_xlpm.x,MATCH("EOT",$A:$A,0)&gt;_xlpm.x),AND(MATCH("SOS",$A:$A,0)&lt;_xlpm.x,MATCH("EOS",$A:$A,0)&gt;_xlpm.x),AND(MATCH("SOR",$A:$A,0)&lt;_xlpm.x,MATCH("EOR",$A:$A,0)&gt;_xlpm.x))),INDIRECT("rc"&amp;MATCH("SCD",$1:$1,0),FALSE)="PPTO"),1,0)</f>
        <v>0</v>
      </c>
      <c r="AW238" s="142" cm="1">
        <f t="array" aca="1" ref="AW23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239" spans="2:49" outlineLevel="1">
      <c r="B239" s="156" t="str" cm="1">
        <f t="array" aca="1" ref="B239" ca="1">_xlfn.LET(_xlpm.x,SUM(ROW()-MATCH("SOR",$A:$A,0)),_xlpm.y,IFERROR(_xlfn.TAKE(INDEX(_xlfn._xlws.FILTER(TbAssign[],ISNUMBER(FIND(TbAssign[Project],$C$4)),"X"),1+QUOTIENT(_xlpm.x,3),0),1,4),0),IF(MOD(_xlpm.x-1,3)=0,IF(_xlpm.y=0,"X",_xlpm.y),INDIRECT("r[-1]c#",FALSE)))</f>
        <v>X</v>
      </c>
      <c r="C239" s="156"/>
      <c r="E239" s="352"/>
      <c r="F239" s="148" t="s">
        <v>397</v>
      </c>
      <c r="G239" s="157" cm="1">
        <f t="array" aca="1" ref="G239" ca="1">IF(OR($E239="X",$E239="",$E239=0,$B239="X",$B239="",$B239=0),0,SUM(_xlfn._xlws.FILTER(IF($E$4="Ppto",PptoSty[CurPpto],PptoSty[CurInt]),(IF($E$4="Ppto",PptoSty[POvsCT]=G$113,TRUE))*(PptoSty[Project]=TEXT($B239,"@"))*(PptoSty[PptoVsRow]=$E239)*(PptoSty[PptoVsColumn]=UPPER(G$114)),0)))</f>
        <v>0</v>
      </c>
      <c r="H239" s="157" cm="1">
        <f t="array" aca="1" ref="H239" ca="1">IF(OR($E239="X",$E239="",$E239=0,$B239="X",$B239="",$B239=0),0,SUM(_xlfn._xlws.FILTER(IF($E$4="Ppto",PptoSty[CurPpto],PptoSty[CurExt]),(IF($E$4="Ppto",PptoSty[POvsCT]=H$113,TRUE))*(PptoSty[Project]=TEXT($B239,"@"))*(PptoSty[PptoVsRow]=$E239)*(PptoSty[PptoVsColumn]=UPPER(G$114)),0)))</f>
        <v>0</v>
      </c>
      <c r="I239" s="157" cm="1">
        <f t="array" aca="1" ref="I239" ca="1">IF(OR($E239="X",$E239="",$E239=0,$B239="X",$B239="",$B239=0),0,SUM(_xlfn._xlws.FILTER(IF($E$4="Ppto",PptoSty[CurPpto],PptoSty[CurInt]),(IF($E$4="Ppto",PptoSty[POvsCT]=I$113,TRUE))*(PptoSty[Project]=TEXT($B239,"@"))*(PptoSty[PptoVsRow]=$E239)*(PptoSty[PptoVsColumn]=UPPER(I$114)),0)))</f>
        <v>0</v>
      </c>
      <c r="J239" s="157" cm="1">
        <f t="array" aca="1" ref="J239" ca="1">IF(OR($E239="X",$E239="",$E239=0,$B239="X",$B239="",$B239=0),0,SUM(_xlfn._xlws.FILTER(IF($E$4="Ppto",PptoSty[CurPpto],PptoSty[CurExt]),(IF($E$4="Ppto",PptoSty[POvsCT]=J$113,TRUE))*(PptoSty[Project]=TEXT($B239,"@"))*(PptoSty[PptoVsRow]=$E239)*(PptoSty[PptoVsColumn]=UPPER(I$114)),0)))</f>
        <v>0</v>
      </c>
      <c r="K239" s="157" cm="1">
        <f t="array" aca="1" ref="K239" ca="1">IF(OR($E239="X",$E239="",$E239=0,$B239="X",$B239="",$B239=0),0,SUM(_xlfn._xlws.FILTER(IF($E$4="Ppto",PptoSty[CurPpto],PptoSty[CurInt]),(IF($E$4="Ppto",PptoSty[POvsCT]=K$113,TRUE))*(PptoSty[Project]=TEXT($B239,"@"))*(PptoSty[PptoVsRow]=$E239)*(PptoSty[PptoVsColumn]=UPPER(K$114)),0)))</f>
        <v>0</v>
      </c>
      <c r="L239" s="157" cm="1">
        <f t="array" aca="1" ref="L239" ca="1">IF(OR($E239="X",$E239="",$E239=0,$B239="X",$B239="",$B239=0),0,SUM(_xlfn._xlws.FILTER(IF($E$4="Ppto",PptoSty[CurPpto],PptoSty[CurExt]),(IF($E$4="Ppto",PptoSty[POvsCT]=L$113,TRUE))*(PptoSty[Project]=TEXT($B239,"@"))*(PptoSty[PptoVsRow]=$E239)*(PptoSty[PptoVsColumn]=UPPER(K$114)),0)))</f>
        <v>0</v>
      </c>
      <c r="M239" s="157" cm="1">
        <f t="array" aca="1" ref="M239" ca="1">IF(OR($E239="X",$E239="",$E239=0,$B239="X",$B239="",$B239=0),0,SUM(_xlfn._xlws.FILTER(IF($E$4="Ppto",PptoSty[CurPpto],PptoSty[CurInt]),(IF($E$4="Ppto",PptoSty[POvsCT]=M$113,TRUE))*(PptoSty[Project]=TEXT($B239,"@"))*(PptoSty[PptoVsRow]=$E239)*(PptoSty[PptoVsColumn]=UPPER(M$114)),0)))</f>
        <v>0</v>
      </c>
      <c r="N239" s="157" cm="1">
        <f t="array" aca="1" ref="N239" ca="1">IF(OR($E239="X",$E239="",$E239=0,$B239="X",$B239="",$B239=0),0,SUM(_xlfn._xlws.FILTER(IF($E$4="Ppto",PptoSty[CurPpto],PptoSty[CurExt]),(IF($E$4="Ppto",PptoSty[POvsCT]=N$113,TRUE))*(PptoSty[Project]=TEXT($B239,"@"))*(PptoSty[PptoVsRow]=$E239)*(PptoSty[PptoVsColumn]=UPPER(M$114)),0)))</f>
        <v>0</v>
      </c>
      <c r="O239" s="157" cm="1">
        <f t="array" aca="1" ref="O239" ca="1">IF(OR($E239="X",$E239="",$E239=0,$B239="X",$B239="",$B239=0),0,SUM(_xlfn._xlws.FILTER(IF($E$4="Ppto",PptoSty[CurPpto],PptoSty[CurInt]),(IF($E$4="Ppto",PptoSty[POvsCT]=O$113,TRUE))*(PptoSty[Project]=TEXT($B239,"@"))*(PptoSty[PptoVsRow]=$E239)*(PptoSty[PptoVsColumn]=UPPER(O$114)),0)))</f>
        <v>0</v>
      </c>
      <c r="P239" s="157" cm="1">
        <f t="array" aca="1" ref="P239" ca="1">IF(OR($E239="X",$E239="",$E239=0,$B239="X",$B239="",$B239=0),0,SUM(_xlfn._xlws.FILTER(IF($E$4="Ppto",PptoSty[CurPpto],PptoSty[CurExt]),(IF($E$4="Ppto",PptoSty[POvsCT]=P$113,TRUE))*(PptoSty[Project]=TEXT($B239,"@"))*(PptoSty[PptoVsRow]=$E239)*(PptoSty[PptoVsColumn]=UPPER(O$114)),0)))</f>
        <v>0</v>
      </c>
      <c r="Q239" s="157" cm="1">
        <f t="array" aca="1" ref="Q239" ca="1">IF(OR($E239="X",$E239="",$E239=0,$B239="X",$B239="",$B239=0),0,SUM(_xlfn._xlws.FILTER(IF($E$4="Ppto",PptoSty[CurPpto],PptoSty[CurInt]),(IF($E$4="Ppto",PptoSty[POvsCT]=Q$113,TRUE))*(PptoSty[Project]=TEXT($B239,"@"))*(PptoSty[PptoVsRow]=$E239)*(PptoSty[PptoVsColumn]=UPPER(Q$114)),0)))</f>
        <v>0</v>
      </c>
      <c r="R239" s="157" cm="1">
        <f t="array" aca="1" ref="R239" ca="1">IF(OR($E239="X",$E239="",$E239=0,$B239="X",$B239="",$B239=0),0,SUM(_xlfn._xlws.FILTER(IF($E$4="Ppto",PptoSty[CurPpto],PptoSty[CurExt]),(IF($E$4="Ppto",PptoSty[POvsCT]=R$113,TRUE))*(PptoSty[Project]=TEXT($B239,"@"))*(PptoSty[PptoVsRow]=$E239)*(PptoSty[PptoVsColumn]=UPPER(Q$114)),0)))</f>
        <v>0</v>
      </c>
      <c r="S239" s="157" cm="1">
        <f t="array" aca="1" ref="S239" ca="1">IF(OR($E239="X",$E239="",$E239=0,$B239="X",$B239="",$B239=0),0,SUM(_xlfn._xlws.FILTER(IF($E$4="Ppto",PptoSty[CurPpto],PptoSty[CurInt]),(IF($E$4="Ppto",PptoSty[POvsCT]=S$113,TRUE))*(PptoSty[Project]=TEXT($B239,"@"))*(PptoSty[PptoVsRow]=$E239)*(PptoSty[PptoVsColumn]=UPPER(S$114)),0)))</f>
        <v>0</v>
      </c>
      <c r="T239" s="157" cm="1">
        <f t="array" aca="1" ref="T239" ca="1">IF(OR($E239="X",$E239="",$E239=0,$B239="X",$B239="",$B239=0),0,SUM(_xlfn._xlws.FILTER(IF($E$4="Ppto",PptoSty[CurPpto],PptoSty[CurExt]),(IF($E$4="Ppto",PptoSty[POvsCT]=T$113,TRUE))*(PptoSty[Project]=TEXT($B239,"@"))*(PptoSty[PptoVsRow]=$E239)*(PptoSty[PptoVsColumn]=UPPER(S$114)),0)))</f>
        <v>0</v>
      </c>
      <c r="U239" s="157" cm="1">
        <f t="array" aca="1" ref="U239" ca="1">IF(OR($E239="X",$E239="",$E239=0,$B239="X",$B239="",$B239=0),0,SUM(_xlfn._xlws.FILTER(IF($E$4="Ppto",PptoSty[CurPpto],PptoSty[CurInt]),(IF($E$4="Ppto",PptoSty[POvsCT]=U$113,TRUE))*(PptoSty[Project]=TEXT($B239,"@"))*(PptoSty[PptoVsRow]=$E239)*(PptoSty[PptoVsColumn]=UPPER(U$114)),0)))</f>
        <v>0</v>
      </c>
      <c r="V239" s="157" cm="1">
        <f t="array" aca="1" ref="V239" ca="1">IF(OR($E239="X",$E239="",$E239=0,$B239="X",$B239="",$B239=0),0,SUM(_xlfn._xlws.FILTER(IF($E$4="Ppto",PptoSty[CurPpto],PptoSty[CurExt]),(IF($E$4="Ppto",PptoSty[POvsCT]=V$113,TRUE))*(PptoSty[Project]=TEXT($B239,"@"))*(PptoSty[PptoVsRow]=$E239)*(PptoSty[PptoVsColumn]=UPPER(U$114)),0)))</f>
        <v>0</v>
      </c>
      <c r="W239" s="157" cm="1">
        <f t="array" aca="1" ref="W239" ca="1">IF(OR($E239="X",$E239="",$E239=0,$B239="X",$B239="",$B239=0),0,SUM(_xlfn._xlws.FILTER(IF($E$4="Ppto",PptoSty[CurPpto],PptoSty[CurInt]),(IF($E$4="Ppto",PptoSty[POvsCT]=W$113,TRUE))*(PptoSty[Project]=TEXT($B239,"@"))*(PptoSty[PptoVsRow]=$E239)*(PptoSty[PptoVsColumn]=UPPER(W$114)),0)))</f>
        <v>0</v>
      </c>
      <c r="X239" s="157" cm="1">
        <f t="array" aca="1" ref="X239" ca="1">IF(OR($E239="X",$E239="",$E239=0,$B239="X",$B239="",$B239=0),0,SUM(_xlfn._xlws.FILTER(IF($E$4="Ppto",PptoSty[CurPpto],PptoSty[CurExt]),(IF($E$4="Ppto",PptoSty[POvsCT]=X$113,TRUE))*(PptoSty[Project]=TEXT($B239,"@"))*(PptoSty[PptoVsRow]=$E239)*(PptoSty[PptoVsColumn]=UPPER(W$114)),0)))</f>
        <v>0</v>
      </c>
      <c r="Y239" s="157" cm="1">
        <f t="array" aca="1" ref="Y239" ca="1">IF(OR($E239="X",$E239="",$E239=0,$B239="X",$B239="",$B239=0),0,SUM(_xlfn._xlws.FILTER(IF($E$4="Ppto",PptoSty[CurPpto],PptoSty[CurInt]),(IF($E$4="Ppto",PptoSty[POvsCT]=Y$113,TRUE))*(PptoSty[Project]=TEXT($B239,"@"))*(PptoSty[PptoVsRow]=$E239)*(PptoSty[PptoVsColumn]=UPPER(Y$114)),0)))</f>
        <v>0</v>
      </c>
      <c r="Z239" s="157" cm="1">
        <f t="array" aca="1" ref="Z239" ca="1">IF(OR($E239="X",$E239="",$E239=0,$B239="X",$B239="",$B239=0),0,SUM(_xlfn._xlws.FILTER(IF($E$4="Ppto",PptoSty[CurPpto],PptoSty[CurExt]),(IF($E$4="Ppto",PptoSty[POvsCT]=Z$113,TRUE))*(PptoSty[Project]=TEXT($B239,"@"))*(PptoSty[PptoVsRow]=$E239)*(PptoSty[PptoVsColumn]=UPPER(Y$114)),0)))</f>
        <v>0</v>
      </c>
      <c r="AA239" s="157" cm="1">
        <f t="array" aca="1" ref="AA239" ca="1">IF(OR($E239="X",$E239="",$E239=0,$B239="X",$B239="",$B239=0),0,SUM(_xlfn._xlws.FILTER(IF($E$4="Ppto",PptoSty[CurPpto],PptoSty[CurInt]),(IF($E$4="Ppto",PptoSty[POvsCT]=AA$113,TRUE))*(PptoSty[Project]=TEXT($B239,"@"))*(PptoSty[PptoVsRow]=$E239)*(PptoSty[PptoVsColumn]=UPPER(AA$114)),0)))</f>
        <v>0</v>
      </c>
      <c r="AB239" s="157" cm="1">
        <f t="array" aca="1" ref="AB239" ca="1">IF(OR($E239="X",$E239="",$E239=0,$B239="X",$B239="",$B239=0),0,SUM(_xlfn._xlws.FILTER(IF($E$4="Ppto",PptoSty[CurPpto],PptoSty[CurExt]),(IF($E$4="Ppto",PptoSty[POvsCT]=AB$113,TRUE))*(PptoSty[Project]=TEXT($B239,"@"))*(PptoSty[PptoVsRow]=$E239)*(PptoSty[PptoVsColumn]=UPPER(AA$114)),0)))</f>
        <v>0</v>
      </c>
      <c r="AC239" s="157" cm="1">
        <f t="array" aca="1" ref="AC239" ca="1">IF(OR($E239="X",$E239="",$E239=0,$B239="X",$B239="",$B239=0),0,SUM(_xlfn._xlws.FILTER(IF($E$4="Ppto",PptoSty[CurPpto],PptoSty[CurInt]),(IF($E$4="Ppto",PptoSty[POvsCT]=AC$113,TRUE))*(PptoSty[Project]=TEXT($B239,"@"))*(PptoSty[PptoVsRow]=$E239)*(PptoSty[PptoVsColumn]=UPPER(AC$114)),0)))</f>
        <v>0</v>
      </c>
      <c r="AD239" s="157" cm="1">
        <f t="array" aca="1" ref="AD239" ca="1">IF(OR($E239="X",$E239="",$E239=0,$B239="X",$B239="",$B239=0),0,SUM(_xlfn._xlws.FILTER(IF($E$4="Ppto",PptoSty[CurPpto],PptoSty[CurExt]),(IF($E$4="Ppto",PptoSty[POvsCT]=AD$113,TRUE))*(PptoSty[Project]=TEXT($B239,"@"))*(PptoSty[PptoVsRow]=$E239)*(PptoSty[PptoVsColumn]=UPPER(AC$114)),0)))</f>
        <v>0</v>
      </c>
      <c r="AE239" s="157" cm="1">
        <f t="array" aca="1" ref="AE239" ca="1">IF(OR($E239="X",$E239="",$E239=0,$B239="X",$B239="",$B239=0),0,SUM(_xlfn._xlws.FILTER(IF($E$4="Ppto",PptoSty[CurPpto],PptoSty[CurInt]),(IF($E$4="Ppto",PptoSty[POvsCT]=AE$113,TRUE))*(PptoSty[Project]=TEXT($B239,"@"))*(PptoSty[PptoVsRow]=$E239)*(PptoSty[PptoVsColumn]=UPPER(AE$114)),0)))</f>
        <v>0</v>
      </c>
      <c r="AF239" s="157" cm="1">
        <f t="array" aca="1" ref="AF239" ca="1">IF(OR($E239="X",$E239="",$E239=0,$B239="X",$B239="",$B239=0),0,SUM(_xlfn._xlws.FILTER(IF($E$4="Ppto",PptoSty[CurPpto],PptoSty[CurExt]),(IF($E$4="Ppto",PptoSty[POvsCT]=AF$113,TRUE))*(PptoSty[Project]=TEXT($B239,"@"))*(PptoSty[PptoVsRow]=$E239)*(PptoSty[PptoVsColumn]=UPPER(AE$114)),0)))</f>
        <v>0</v>
      </c>
      <c r="AG239" s="157" cm="1">
        <f t="array" aca="1" ref="AG239" ca="1">IF(OR($E239="X",$E239="",$E239=0,$B239="X",$B239="",$B239=0),0,SUM(_xlfn._xlws.FILTER(IF($E$4="Ppto",PptoSty[CurPpto],PptoSty[CurInt]),(IF($E$4="Ppto",PptoSty[POvsCT]=AG$113,TRUE))*(PptoSty[Project]=TEXT($B239,"@"))*(PptoSty[PptoVsRow]=$E239)*(PptoSty[PptoVsColumn]=UPPER(AG$114)),0)))</f>
        <v>0</v>
      </c>
      <c r="AH239" s="157" cm="1">
        <f t="array" aca="1" ref="AH239" ca="1">IF(OR($E239="X",$E239="",$E239=0,$B239="X",$B239="",$B239=0),0,SUM(_xlfn._xlws.FILTER(IF($E$4="Ppto",PptoSty[CurPpto],PptoSty[CurExt]),(IF($E$4="Ppto",PptoSty[POvsCT]=AH$113,TRUE))*(PptoSty[Project]=TEXT($B239,"@"))*(PptoSty[PptoVsRow]=$E239)*(PptoSty[PptoVsColumn]=UPPER(AG$114)),0)))</f>
        <v>0</v>
      </c>
      <c r="AI239" s="157" cm="1">
        <f t="array" aca="1" ref="AI239" ca="1">IF(OR($E239="X",$E239="",$E239=0,$B239="X",$B239="",$B239=0),0,SUM(_xlfn._xlws.FILTER(IF($E$4="Ppto",PptoSty[CurPpto],PptoSty[CurInt]),(IF($E$4="Ppto",PptoSty[POvsCT]=AI$113,TRUE))*(PptoSty[Project]=TEXT($B239,"@"))*(PptoSty[PptoVsRow]=$E239)*(PptoSty[PptoVsColumn]=UPPER(AI$114)),0)))</f>
        <v>0</v>
      </c>
      <c r="AJ239" s="157" cm="1">
        <f t="array" aca="1" ref="AJ239" ca="1">IF(OR($E239="X",$E239="",$E239=0,$B239="X",$B239="",$B239=0),0,SUM(_xlfn._xlws.FILTER(IF($E$4="Ppto",PptoSty[CurPpto],PptoSty[CurExt]),(IF($E$4="Ppto",PptoSty[POvsCT]=AJ$113,TRUE))*(PptoSty[Project]=TEXT($B239,"@"))*(PptoSty[PptoVsRow]=$E239)*(PptoSty[PptoVsColumn]=UPPER(AI$114)),0)))</f>
        <v>0</v>
      </c>
      <c r="AK239" s="157" cm="1">
        <f t="array" aca="1" ref="AK239" ca="1">IF(OR($E239="X",$E239="",$E239=0,$B239="X",$B239="",$B239=0),0,SUM(_xlfn._xlws.FILTER(IF($E$4="Ppto",PptoSty[CurPpto],PptoSty[CurInt]),(IF($E$4="Ppto",PptoSty[POvsCT]=AK$113,TRUE))*(PptoSty[Project]=TEXT($B239,"@"))*(PptoSty[PptoVsRow]=$E239)*(PptoSty[PptoVsColumn]=UPPER(AK$114)),0)))</f>
        <v>0</v>
      </c>
      <c r="AL239" s="157" cm="1">
        <f t="array" aca="1" ref="AL239" ca="1">IF(OR($E239="X",$E239="",$E239=0,$B239="X",$B239="",$B239=0),0,SUM(_xlfn._xlws.FILTER(IF($E$4="Ppto",PptoSty[CurPpto],PptoSty[CurExt]),(IF($E$4="Ppto",PptoSty[POvsCT]=AL$113,TRUE))*(PptoSty[Project]=TEXT($B239,"@"))*(PptoSty[PptoVsRow]=$E239)*(PptoSty[PptoVsColumn]=UPPER(AK$114)),0)))</f>
        <v>0</v>
      </c>
      <c r="AM239" s="157" cm="1">
        <f t="array" aca="1" ref="AM239" ca="1">IF(OR($E239="X",$E239="",$E239=0,$B239="X",$B239="",$B239=0),0,SUM(_xlfn._xlws.FILTER(IF($E$4="Ppto",PptoSty[CurPpto],PptoSty[CurInt]),(IF($E$4="Ppto",PptoSty[POvsCT]=AM$113,TRUE))*(PptoSty[Project]=TEXT($B239,"@"))*(PptoSty[PptoVsRow]=$E239)*(PptoSty[PptoVsColumn]=UPPER(AM$114)),0)))</f>
        <v>0</v>
      </c>
      <c r="AN239" s="157" cm="1">
        <f t="array" aca="1" ref="AN239" ca="1">IF(OR($E239="X",$E239="",$E239=0,$B239="X",$B239="",$B239=0),0,SUM(_xlfn._xlws.FILTER(IF($E$4="Ppto",PptoSty[CurPpto],PptoSty[CurExt]),(IF($E$4="Ppto",PptoSty[POvsCT]=AN$113,TRUE))*(PptoSty[Project]=TEXT($B239,"@"))*(PptoSty[PptoVsRow]=$E239)*(PptoSty[PptoVsColumn]=UPPER(AM$114)),0)))</f>
        <v>0</v>
      </c>
      <c r="AO239" s="157" cm="1">
        <f t="array" aca="1" ref="AO239" ca="1">IF(OR($E239="X",$E239="",$E239=0,$B239="X",$B239="",$B239=0),0,SUM(_xlfn._xlws.FILTER(IF($E$4="Ppto",PptoSty[CurPpto],PptoSty[CurInt]),(IF($E$4="Ppto",PptoSty[POvsCT]=AO$113,TRUE))*(PptoSty[Project]=TEXT($B239,"@"))*(PptoSty[PptoVsRow]=$E239)*(PptoSty[PptoVsColumn]=UPPER(AO$114)),0)))</f>
        <v>0</v>
      </c>
      <c r="AP239" s="157" cm="1">
        <f t="array" aca="1" ref="AP239" ca="1">IF(OR($E239="X",$E239="",$E239=0,$B239="X",$B239="",$B239=0),0,SUM(_xlfn._xlws.FILTER(IF($E$4="Ppto",PptoSty[CurPpto],PptoSty[CurExt]),(IF($E$4="Ppto",PptoSty[POvsCT]=AP$113,TRUE))*(PptoSty[Project]=TEXT($B239,"@"))*(PptoSty[PptoVsRow]=$E239)*(PptoSty[PptoVsColumn]=UPPER(AO$114)),0)))</f>
        <v>0</v>
      </c>
      <c r="AQ239" s="157" cm="1">
        <f t="array" aca="1" ref="AQ239" ca="1">SUM(IF(INDIRECT($AS$115)=AQ$115,INDIRECT($AS239)))</f>
        <v>0</v>
      </c>
      <c r="AR239" s="157" cm="1">
        <f t="array" aca="1" ref="AR239" ca="1">SUM(IF(INDIRECT($AS$115)=AR$115,INDIRECT($AS239)))</f>
        <v>0</v>
      </c>
      <c r="AS239" s="286" t="str">
        <f t="shared" ca="1" si="18"/>
        <v>G239:AP239</v>
      </c>
      <c r="AT239" s="403">
        <f t="shared" ca="1" si="17"/>
        <v>0</v>
      </c>
      <c r="AV239" s="142" cm="1">
        <f t="array" aca="1" ref="AV239" ca="1">IF(AND(_xlfn.LET(_xlpm.x,SUM(ROW()),OR(AND(MATCH("SOT",$A:$A,0)&lt;_xlpm.x,MATCH("EOT",$A:$A,0)&gt;_xlpm.x),AND(MATCH("SOS",$A:$A,0)&lt;_xlpm.x,MATCH("EOS",$A:$A,0)&gt;_xlpm.x),AND(MATCH("SOR",$A:$A,0)&lt;_xlpm.x,MATCH("EOR",$A:$A,0)&gt;_xlpm.x))),INDIRECT("rc"&amp;MATCH("SCD",$1:$1,0),FALSE)="PPTO"),1,0)</f>
        <v>1</v>
      </c>
      <c r="AW239" s="142" cm="1">
        <f t="array" aca="1" ref="AW23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240" spans="2:49" outlineLevel="1">
      <c r="B240" s="156" t="str" cm="1">
        <f t="array" aca="1" ref="B240" ca="1">_xlfn.LET(_xlpm.x,SUM(ROW()-MATCH("SOR",$A:$A,0)),_xlpm.y,IFERROR(_xlfn.TAKE(INDEX(_xlfn._xlws.FILTER(TbAssign[],ISNUMBER(FIND(TbAssign[Project],$C$4)),"X"),1+QUOTIENT(_xlpm.x,3),0),1,4),0),IF(MOD(_xlpm.x-1,3)=0,IF(_xlpm.y=0,"X",_xlpm.y),INDIRECT("r[-1]c#",FALSE)))</f>
        <v>X</v>
      </c>
      <c r="C240" s="156"/>
      <c r="E240" s="352"/>
      <c r="F240" s="148" t="s">
        <v>1382</v>
      </c>
      <c r="G240" s="157" cm="1">
        <f t="array" aca="1" ref="G240" ca="1">IF(OR($E240="X",$E240="",$E240=0,$B240="X",$B240="",$B240=0),0,SUM(_xlfn._xlws.FILTER(PrvSty[DsvValue:SERRA],(PrvSty[Project]=TEXT($B240,"@"))*(PrvSty[Row]=$E240)*(PrvSty[Column]=UPPER(G$114)),0)))</f>
        <v>0</v>
      </c>
      <c r="H240" s="157" cm="1">
        <f t="array" aca="1" ref="H240" ca="1">IF(OR($E240="X",$E240="",$E240=0,$B240="X",$B240="",$B240=0),0,SUM(_xlfn._xlws.FILTER(PrvSty[DsvValue:EXT.],(PrvSty[Project]=TEXT($B240,"@"))*(PrvSty[Row]=$E240)*(PrvSty[Column]=UPPER(G$114)),0)))</f>
        <v>0</v>
      </c>
      <c r="I240" s="157" cm="1">
        <f t="array" aca="1" ref="I240" ca="1">IF(OR($E240="X",$E240="",$E240=0,$B240="X",$B240="",$B240=0),0,SUM(_xlfn._xlws.FILTER(PrvSty[DsvValue:SERRA],(PrvSty[Project]=TEXT($B240,"@"))*(PrvSty[Row]=$E240)*(PrvSty[Column]=UPPER(I$114)),0)))</f>
        <v>0</v>
      </c>
      <c r="J240" s="157" cm="1">
        <f t="array" aca="1" ref="J240" ca="1">IF(OR($E240="X",$E240="",$E240=0,$B240="X",$B240="",$B240=0),0,SUM(_xlfn._xlws.FILTER(PrvSty[DsvValue:EXT.],(PrvSty[Project]=TEXT($B240,"@"))*(PrvSty[Row]=$E240)*(PrvSty[Column]=UPPER(I$114)),0)))</f>
        <v>0</v>
      </c>
      <c r="K240" s="157" cm="1">
        <f t="array" aca="1" ref="K240" ca="1">IF(OR($E240="X",$E240="",$E240=0,$B240="X",$B240="",$B240=0),0,SUM(_xlfn._xlws.FILTER(PrvSty[DsvValue:SERRA],(PrvSty[Project]=TEXT($B240,"@"))*(PrvSty[Row]=$E240)*(PrvSty[Column]=UPPER(K$114)),0)))</f>
        <v>0</v>
      </c>
      <c r="L240" s="157" cm="1">
        <f t="array" aca="1" ref="L240" ca="1">IF(OR($E240="X",$E240="",$E240=0,$B240="X",$B240="",$B240=0),0,SUM(_xlfn._xlws.FILTER(PrvSty[DsvValue:EXT.],(PrvSty[Project]=TEXT($B240,"@"))*(PrvSty[Row]=$E240)*(PrvSty[Column]=UPPER(K$114)),0)))</f>
        <v>0</v>
      </c>
      <c r="M240" s="157" cm="1">
        <f t="array" aca="1" ref="M240" ca="1">IF(OR($E240="X",$E240="",$E240=0,$B240="X",$B240="",$B240=0),0,SUM(_xlfn._xlws.FILTER(PrvSty[DsvValue:SERRA],(PrvSty[Project]=TEXT($B240,"@"))*(PrvSty[Row]=$E240)*(PrvSty[Column]=UPPER(M$114)),0)))</f>
        <v>0</v>
      </c>
      <c r="N240" s="157" cm="1">
        <f t="array" aca="1" ref="N240" ca="1">IF(OR($E240="X",$E240="",$E240=0,$B240="X",$B240="",$B240=0),0,SUM(_xlfn._xlws.FILTER(PrvSty[DsvValue:EXT.],(PrvSty[Project]=TEXT($B240,"@"))*(PrvSty[Row]=$E240)*(PrvSty[Column]=UPPER(M$114)),0)))</f>
        <v>0</v>
      </c>
      <c r="O240" s="157" cm="1">
        <f t="array" aca="1" ref="O240" ca="1">IF(OR($E240="X",$E240="",$E240=0,$B240="X",$B240="",$B240=0),0,SUM(_xlfn._xlws.FILTER(PrvSty[DsvValue:SERRA],(PrvSty[Project]=TEXT($B240,"@"))*(PrvSty[Row]=$E240)*(PrvSty[Column]=UPPER(O$114)),0)))</f>
        <v>0</v>
      </c>
      <c r="P240" s="157" cm="1">
        <f t="array" aca="1" ref="P240" ca="1">IF(OR($E240="X",$E240="",$E240=0,$B240="X",$B240="",$B240=0),0,SUM(_xlfn._xlws.FILTER(PrvSty[DsvValue:EXT.],(PrvSty[Project]=TEXT($B240,"@"))*(PrvSty[Row]=$E240)*(PrvSty[Column]=UPPER(O$114)),0)))</f>
        <v>0</v>
      </c>
      <c r="Q240" s="157" cm="1">
        <f t="array" aca="1" ref="Q240" ca="1">IF(OR($E240="X",$E240="",$E240=0,$B240="X",$B240="",$B240=0),0,SUM(_xlfn._xlws.FILTER(PrvSty[DsvValue:SERRA],(PrvSty[Project]=TEXT($B240,"@"))*(PrvSty[Row]=$E240)*(PrvSty[Column]=UPPER(Q$114)),0)))</f>
        <v>0</v>
      </c>
      <c r="R240" s="157" cm="1">
        <f t="array" aca="1" ref="R240" ca="1">IF(OR($E240="X",$E240="",$E240=0,$B240="X",$B240="",$B240=0),0,SUM(_xlfn._xlws.FILTER(PrvSty[DsvValue:EXT.],(PrvSty[Project]=TEXT($B240,"@"))*(PrvSty[Row]=$E240)*(PrvSty[Column]=UPPER(Q$114)),0)))</f>
        <v>0</v>
      </c>
      <c r="S240" s="157" cm="1">
        <f t="array" aca="1" ref="S240" ca="1">IF(OR($E240="X",$E240="",$E240=0,$B240="X",$B240="",$B240=0),0,SUM(_xlfn._xlws.FILTER(PrvSty[DsvValue:SERRA],(PrvSty[Project]=TEXT($B240,"@"))*(PrvSty[Row]=$E240)*(PrvSty[Column]=UPPER(S$114)),0)))</f>
        <v>0</v>
      </c>
      <c r="T240" s="157" cm="1">
        <f t="array" aca="1" ref="T240" ca="1">IF(OR($E240="X",$E240="",$E240=0,$B240="X",$B240="",$B240=0),0,SUM(_xlfn._xlws.FILTER(PrvSty[DsvValue:EXT.],(PrvSty[Project]=TEXT($B240,"@"))*(PrvSty[Row]=$E240)*(PrvSty[Column]=UPPER(S$114)),0)))</f>
        <v>0</v>
      </c>
      <c r="U240" s="157" cm="1">
        <f t="array" aca="1" ref="U240" ca="1">IF(OR($E240="X",$E240="",$E240=0,$B240="X",$B240="",$B240=0),0,SUM(_xlfn._xlws.FILTER(PrvSty[DsvValue:SERRA],(PrvSty[Project]=TEXT($B240,"@"))*(PrvSty[Row]=$E240)*(PrvSty[Column]=UPPER(U$114)),0)))</f>
        <v>0</v>
      </c>
      <c r="V240" s="157" cm="1">
        <f t="array" aca="1" ref="V240" ca="1">IF(OR($E240="X",$E240="",$E240=0,$B240="X",$B240="",$B240=0),0,SUM(_xlfn._xlws.FILTER(PrvSty[DsvValue:EXT.],(PrvSty[Project]=TEXT($B240,"@"))*(PrvSty[Row]=$E240)*(PrvSty[Column]=UPPER(U$114)),0)))</f>
        <v>0</v>
      </c>
      <c r="W240" s="157" cm="1">
        <f t="array" aca="1" ref="W240" ca="1">IF(OR($E240="X",$E240="",$E240=0,$B240="X",$B240="",$B240=0),0,SUM(_xlfn._xlws.FILTER(PrvSty[DsvValue:SERRA],(PrvSty[Project]=TEXT($B240,"@"))*(PrvSty[Row]=$E240)*(PrvSty[Column]=UPPER(W$114)),0)))</f>
        <v>0</v>
      </c>
      <c r="X240" s="157" cm="1">
        <f t="array" aca="1" ref="X240" ca="1">IF(OR($E240="X",$E240="",$E240=0,$B240="X",$B240="",$B240=0),0,SUM(_xlfn._xlws.FILTER(PrvSty[DsvValue:EXT.],(PrvSty[Project]=TEXT($B240,"@"))*(PrvSty[Row]=$E240)*(PrvSty[Column]=UPPER(W$114)),0)))</f>
        <v>0</v>
      </c>
      <c r="Y240" s="157" cm="1">
        <f t="array" aca="1" ref="Y240" ca="1">IF(OR($E240="X",$E240="",$E240=0,$B240="X",$B240="",$B240=0),0,SUM(_xlfn._xlws.FILTER(PrvSty[DsvValue:SERRA],(PrvSty[Project]=TEXT($B240,"@"))*(PrvSty[Row]=$E240)*(PrvSty[Column]=UPPER(Y$114)),0)))</f>
        <v>0</v>
      </c>
      <c r="Z240" s="157" cm="1">
        <f t="array" aca="1" ref="Z240" ca="1">IF(OR($E240="X",$E240="",$E240=0,$B240="X",$B240="",$B240=0),0,SUM(_xlfn._xlws.FILTER(PrvSty[DsvValue:EXT.],(PrvSty[Project]=TEXT($B240,"@"))*(PrvSty[Row]=$E240)*(PrvSty[Column]=UPPER(Y$114)),0)))</f>
        <v>0</v>
      </c>
      <c r="AA240" s="157" cm="1">
        <f t="array" aca="1" ref="AA240" ca="1">IF(OR($E240="X",$E240="",$E240=0,$B240="X",$B240="",$B240=0),0,SUM(_xlfn._xlws.FILTER(PrvSty[DsvValue:SERRA],(PrvSty[Project]=TEXT($B240,"@"))*(PrvSty[Row]=$E240)*(PrvSty[Column]=UPPER(AA$114)),0)))</f>
        <v>0</v>
      </c>
      <c r="AB240" s="157" cm="1">
        <f t="array" aca="1" ref="AB240" ca="1">IF(OR($E240="X",$E240="",$E240=0,$B240="X",$B240="",$B240=0),0,SUM(_xlfn._xlws.FILTER(PrvSty[DsvValue:EXT.],(PrvSty[Project]=TEXT($B240,"@"))*(PrvSty[Row]=$E240)*(PrvSty[Column]=UPPER(AA$114)),0)))</f>
        <v>0</v>
      </c>
      <c r="AC240" s="157" cm="1">
        <f t="array" aca="1" ref="AC240" ca="1">IF(OR($E240="X",$E240="",$E240=0,$B240="X",$B240="",$B240=0),0,SUM(_xlfn._xlws.FILTER(PrvSty[DsvValue:SERRA],(PrvSty[Project]=TEXT($B240,"@"))*(PrvSty[Row]=$E240)*(PrvSty[Column]=UPPER(AC$114)),0)))</f>
        <v>0</v>
      </c>
      <c r="AD240" s="157" cm="1">
        <f t="array" aca="1" ref="AD240" ca="1">IF(OR($E240="X",$E240="",$E240=0,$B240="X",$B240="",$B240=0),0,SUM(_xlfn._xlws.FILTER(PrvSty[DsvValue:EXT.],(PrvSty[Project]=TEXT($B240,"@"))*(PrvSty[Row]=$E240)*(PrvSty[Column]=UPPER(AC$114)),0)))</f>
        <v>0</v>
      </c>
      <c r="AE240" s="157" cm="1">
        <f t="array" aca="1" ref="AE240" ca="1">IF(OR($E240="X",$E240="",$E240=0,$B240="X",$B240="",$B240=0),0,SUM(_xlfn._xlws.FILTER(PrvSty[DsvValue:SERRA],(PrvSty[Project]=TEXT($B240,"@"))*(PrvSty[Row]=$E240)*(PrvSty[Column]=UPPER(AE$114)),0)))</f>
        <v>0</v>
      </c>
      <c r="AF240" s="157" cm="1">
        <f t="array" aca="1" ref="AF240" ca="1">IF(OR($E240="X",$E240="",$E240=0,$B240="X",$B240="",$B240=0),0,SUM(_xlfn._xlws.FILTER(PrvSty[DsvValue:EXT.],(PrvSty[Project]=TEXT($B240,"@"))*(PrvSty[Row]=$E240)*(PrvSty[Column]=UPPER(AE$114)),0)))</f>
        <v>0</v>
      </c>
      <c r="AG240" s="157" cm="1">
        <f t="array" aca="1" ref="AG240" ca="1">IF(OR($E240="X",$E240="",$E240=0,$B240="X",$B240="",$B240=0),0,SUM(_xlfn._xlws.FILTER(PrvSty[DsvValue:SERRA],(PrvSty[Project]=TEXT($B240,"@"))*(PrvSty[Row]=$E240)*(PrvSty[Column]=UPPER(AG$114)),0)))</f>
        <v>0</v>
      </c>
      <c r="AH240" s="157" cm="1">
        <f t="array" aca="1" ref="AH240" ca="1">IF(OR($E240="X",$E240="",$E240=0,$B240="X",$B240="",$B240=0),0,SUM(_xlfn._xlws.FILTER(PrvSty[DsvValue:EXT.],(PrvSty[Project]=TEXT($B240,"@"))*(PrvSty[Row]=$E240)*(PrvSty[Column]=UPPER(AG$114)),0)))</f>
        <v>0</v>
      </c>
      <c r="AI240" s="157" cm="1">
        <f t="array" aca="1" ref="AI240" ca="1">IF(OR($E240="X",$E240="",$E240=0,$B240="X",$B240="",$B240=0),0,SUM(_xlfn._xlws.FILTER(PrvSty[DsvValue:SERRA],(PrvSty[Project]=TEXT($B240,"@"))*(PrvSty[Row]=$E240)*(PrvSty[Column]=UPPER(AI$114)),0)))</f>
        <v>0</v>
      </c>
      <c r="AJ240" s="157" cm="1">
        <f t="array" aca="1" ref="AJ240" ca="1">IF(OR($E240="X",$E240="",$E240=0,$B240="X",$B240="",$B240=0),0,SUM(_xlfn._xlws.FILTER(PrvSty[DsvValue:EXT.],(PrvSty[Project]=TEXT($B240,"@"))*(PrvSty[Row]=$E240)*(PrvSty[Column]=UPPER(AI$114)),0)))</f>
        <v>0</v>
      </c>
      <c r="AK240" s="157" cm="1">
        <f t="array" aca="1" ref="AK240" ca="1">IF(OR($E240="X",$E240="",$E240=0,$B240="X",$B240="",$B240=0),0,SUM(_xlfn._xlws.FILTER(PrvSty[DsvValue:SERRA],(PrvSty[Project]=TEXT($B240,"@"))*(PrvSty[Row]=$E240)*(PrvSty[Column]=UPPER(AK$114)),0)))</f>
        <v>0</v>
      </c>
      <c r="AL240" s="157" cm="1">
        <f t="array" aca="1" ref="AL240" ca="1">IF(OR($E240="X",$E240="",$E240=0,$B240="X",$B240="",$B240=0),0,SUM(_xlfn._xlws.FILTER(PrvSty[DsvValue:EXT.],(PrvSty[Project]=TEXT($B240,"@"))*(PrvSty[Row]=$E240)*(PrvSty[Column]=UPPER(AK$114)),0)))</f>
        <v>0</v>
      </c>
      <c r="AM240" s="157" cm="1">
        <f t="array" aca="1" ref="AM240" ca="1">IF(OR($E240="X",$E240="",$E240=0,$B240="X",$B240="",$B240=0),0,SUM(_xlfn._xlws.FILTER(PrvSty[DsvValue:SERRA],(PrvSty[Project]=TEXT($B240,"@"))*(PrvSty[Row]=$E240)*(PrvSty[Column]=UPPER(AM$114)),0)))</f>
        <v>0</v>
      </c>
      <c r="AN240" s="157" cm="1">
        <f t="array" aca="1" ref="AN240" ca="1">IF(OR($E240="X",$E240="",$E240=0,$B240="X",$B240="",$B240=0),0,SUM(_xlfn._xlws.FILTER(PrvSty[DsvValue:EXT.],(PrvSty[Project]=TEXT($B240,"@"))*(PrvSty[Row]=$E240)*(PrvSty[Column]=UPPER(AM$114)),0)))</f>
        <v>0</v>
      </c>
      <c r="AO240" s="157" cm="1">
        <f t="array" aca="1" ref="AO240" ca="1">IF(OR($E240="X",$E240="",$E240=0,$B240="X",$B240="",$B240=0),0,SUM(_xlfn._xlws.FILTER(PrvSty[DsvValue:SERRA],(PrvSty[Project]=TEXT($B240,"@"))*(PrvSty[Row]=$E240)*(PrvSty[Column]=UPPER(AO$114)),0)))</f>
        <v>0</v>
      </c>
      <c r="AP240" s="157" cm="1">
        <f t="array" aca="1" ref="AP240" ca="1">IF(OR($E240="X",$E240="",$E240=0,$B240="X",$B240="",$B240=0),0,SUM(_xlfn._xlws.FILTER(PrvSty[DsvValue:EXT.],(PrvSty[Project]=TEXT($B240,"@"))*(PrvSty[Row]=$E240)*(PrvSty[Column]=UPPER(AO$114)),0)))</f>
        <v>0</v>
      </c>
      <c r="AQ240" s="157" cm="1">
        <f t="array" aca="1" ref="AQ240" ca="1">SUM(IF(INDIRECT($AS$115)=AQ$115,INDIRECT($AS240)))</f>
        <v>0</v>
      </c>
      <c r="AR240" s="157" cm="1">
        <f t="array" aca="1" ref="AR240" ca="1">SUM(IF(INDIRECT($AS$115)=AR$115,INDIRECT($AS240)))</f>
        <v>0</v>
      </c>
      <c r="AS240" s="286" t="str">
        <f t="shared" ca="1" si="18"/>
        <v>G240:AP240</v>
      </c>
      <c r="AT240" s="403">
        <f t="shared" ca="1" si="17"/>
        <v>0</v>
      </c>
      <c r="AV240" s="142" cm="1">
        <f t="array" aca="1" ref="AV240" ca="1">IF(AND(_xlfn.LET(_xlpm.x,SUM(ROW()),OR(AND(MATCH("SOT",$A:$A,0)&lt;_xlpm.x,MATCH("EOT",$A:$A,0)&gt;_xlpm.x),AND(MATCH("SOS",$A:$A,0)&lt;_xlpm.x,MATCH("EOS",$A:$A,0)&gt;_xlpm.x),AND(MATCH("SOR",$A:$A,0)&lt;_xlpm.x,MATCH("EOR",$A:$A,0)&gt;_xlpm.x))),INDIRECT("rc"&amp;MATCH("SCD",$1:$1,0),FALSE)="PPTO"),1,0)</f>
        <v>0</v>
      </c>
      <c r="AW240" s="142" cm="1">
        <f t="array" aca="1" ref="AW24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241" spans="1:49" outlineLevel="1">
      <c r="B241" s="156" t="str" cm="1">
        <f t="array" aca="1" ref="B241" ca="1">_xlfn.LET(_xlpm.x,SUM(ROW()-MATCH("SOR",$A:$A,0)),_xlpm.y,IFERROR(_xlfn.TAKE(INDEX(_xlfn._xlws.FILTER(TbAssign[],ISNUMBER(FIND(TbAssign[Project],$C$4)),"X"),1+QUOTIENT(_xlpm.x,3),0),1,4),0),IF(MOD(_xlpm.x-1,3)=0,IF(_xlpm.y=0,"X",_xlpm.y),INDIRECT("r[-1]c#",FALSE)))</f>
        <v>X</v>
      </c>
      <c r="C241" s="156"/>
      <c r="E241" s="352"/>
      <c r="F241" s="148" t="s">
        <v>1383</v>
      </c>
      <c r="G241" s="158" cm="1">
        <f t="array" aca="1" ref="G241" ca="1">IF(OR($E241="X",$E241="",$E241=0,$B241="X",$B241="",$B241=0),0,SUM(_xlfn._xlws.FILTER(FrmBB1[Cur],(FrmBB1[PrjId]=TEXT($B241,"@"))*(FrmBB1[Row]=$E241)*(FrmBB1[Column]=UPPER(_xlfn.LET(_xlpm.x,_xlfn.TEXTBEFORE(G$114," ("),IFERROR(_xlpm.x,G$114)))&amp;" "&amp;G$115),0)))</f>
        <v>0</v>
      </c>
      <c r="H241" s="157" cm="1">
        <f t="array" aca="1" ref="H241" ca="1">IF(OR($E241="X",$E241="",$E241=0,$B241="X",$B241="",$B241=0),0,SUM(_xlfn._xlws.FILTER(FrmBB1[Cur],(FrmBB1[PrjId]=TEXT($B241,"@"))*(FrmBB1[Row]=$E241)*(FrmBB1[Column]=UPPER(_xlfn.LET(_xlpm.x,_xlfn.TEXTBEFORE(G$114," ("),IFERROR(_xlpm.x,G$114)))&amp;" "&amp;H$115),0)))</f>
        <v>0</v>
      </c>
      <c r="I241" s="158" cm="1">
        <f t="array" aca="1" ref="I241" ca="1">IF(OR($E241="X",$E241="",$E241=0,$B241="X",$B241="",$B241=0),0,SUM(_xlfn._xlws.FILTER(FrmBB1[Cur],(FrmBB1[PrjId]=TEXT($B241,"@"))*(FrmBB1[Row]=$E241)*(FrmBB1[Column]=UPPER(_xlfn.LET(_xlpm.x,_xlfn.TEXTBEFORE(I$114," ("),IFERROR(_xlpm.x,I$114)))&amp;" "&amp;I$115),0)))</f>
        <v>0</v>
      </c>
      <c r="J241" s="157" cm="1">
        <f t="array" aca="1" ref="J241" ca="1">IF(OR($E241="X",$E241="",$E241=0,$B241="X",$B241="",$B241=0),0,SUM(_xlfn._xlws.FILTER(FrmBB1[Cur],(FrmBB1[PrjId]=TEXT($B241,"@"))*(FrmBB1[Row]=$E241)*(FrmBB1[Column]=UPPER(_xlfn.LET(_xlpm.x,_xlfn.TEXTBEFORE(I$114," ("),IFERROR(_xlpm.x,I$114)))&amp;" "&amp;J$115),0)))</f>
        <v>0</v>
      </c>
      <c r="K241" s="158" cm="1">
        <f t="array" aca="1" ref="K241" ca="1">IF(OR($E241="X",$E241="",$E241=0,$B241="X",$B241="",$B241=0),0,SUM(_xlfn._xlws.FILTER(FrmBB1[Cur],(FrmBB1[PrjId]=TEXT($B241,"@"))*(FrmBB1[Row]=$E241)*(FrmBB1[Column]=UPPER(_xlfn.LET(_xlpm.x,_xlfn.TEXTBEFORE(K$114," ("),IFERROR(_xlpm.x,K$114)))&amp;" "&amp;K$115),0)))</f>
        <v>0</v>
      </c>
      <c r="L241" s="157" cm="1">
        <f t="array" aca="1" ref="L241" ca="1">IF(OR($E241="X",$E241="",$E241=0,$B241="X",$B241="",$B241=0),0,SUM(_xlfn._xlws.FILTER(FrmBB1[Cur],(FrmBB1[PrjId]=TEXT($B241,"@"))*(FrmBB1[Row]=$E241)*(FrmBB1[Column]=UPPER(_xlfn.LET(_xlpm.x,_xlfn.TEXTBEFORE(K$114," ("),IFERROR(_xlpm.x,K$114)))&amp;" "&amp;L$115),0)))</f>
        <v>0</v>
      </c>
      <c r="M241" s="158" cm="1">
        <f t="array" aca="1" ref="M241" ca="1">IF(OR($E241="X",$E241="",$E241=0,$B241="X",$B241="",$B241=0),0,SUM(_xlfn._xlws.FILTER(FrmBB1[Cur],(FrmBB1[PrjId]=TEXT($B241,"@"))*(FrmBB1[Row]=$E241)*(FrmBB1[Column]=UPPER(_xlfn.LET(_xlpm.x,_xlfn.TEXTBEFORE(M$114," ("),IFERROR(_xlpm.x,M$114)))&amp;" "&amp;M$115),0)))</f>
        <v>0</v>
      </c>
      <c r="N241" s="157" cm="1">
        <f t="array" aca="1" ref="N241" ca="1">IF(OR($E241="X",$E241="",$E241=0,$B241="X",$B241="",$B241=0),0,SUM(_xlfn._xlws.FILTER(FrmBB1[Cur],(FrmBB1[PrjId]=TEXT($B241,"@"))*(FrmBB1[Row]=$E241)*(FrmBB1[Column]=UPPER(_xlfn.LET(_xlpm.x,_xlfn.TEXTBEFORE(M$114," ("),IFERROR(_xlpm.x,M$114)))&amp;" "&amp;N$115),0)))</f>
        <v>0</v>
      </c>
      <c r="O241" s="158" cm="1">
        <f t="array" aca="1" ref="O241" ca="1">IF(OR($E241="X",$E241="",$E241=0,$B241="X",$B241="",$B241=0),0,SUM(_xlfn._xlws.FILTER(FrmBB1[Cur],(FrmBB1[PrjId]=TEXT($B241,"@"))*(FrmBB1[Row]=$E241)*(FrmBB1[Column]=UPPER(_xlfn.LET(_xlpm.x,_xlfn.TEXTBEFORE(O$114," ("),IFERROR(_xlpm.x,O$114)))&amp;" "&amp;O$115),0)))</f>
        <v>0</v>
      </c>
      <c r="P241" s="157" cm="1">
        <f t="array" aca="1" ref="P241" ca="1">IF(OR($E241="X",$E241="",$E241=0,$B241="X",$B241="",$B241=0),0,SUM(_xlfn._xlws.FILTER(FrmBB1[Cur],(FrmBB1[PrjId]=TEXT($B241,"@"))*(FrmBB1[Row]=$E241)*(FrmBB1[Column]=UPPER(_xlfn.LET(_xlpm.x,_xlfn.TEXTBEFORE(O$114," ("),IFERROR(_xlpm.x,O$114)))&amp;" "&amp;P$115),0)))</f>
        <v>0</v>
      </c>
      <c r="Q241" s="158" cm="1">
        <f t="array" aca="1" ref="Q241" ca="1">IF(OR($E241="X",$E241="",$E241=0,$B241="X",$B241="",$B241=0),0,SUM(_xlfn._xlws.FILTER(FrmBB1[Cur],(FrmBB1[PrjId]=TEXT($B241,"@"))*(FrmBB1[Row]=$E241)*(FrmBB1[Column]=UPPER(_xlfn.LET(_xlpm.x,_xlfn.TEXTBEFORE(Q$114," ("),IFERROR(_xlpm.x,Q$114)))&amp;" "&amp;Q$115),0)))</f>
        <v>0</v>
      </c>
      <c r="R241" s="157" cm="1">
        <f t="array" aca="1" ref="R241" ca="1">IF(OR($E241="X",$E241="",$E241=0,$B241="X",$B241="",$B241=0),0,SUM(_xlfn._xlws.FILTER(FrmBB1[Cur],(FrmBB1[PrjId]=TEXT($B241,"@"))*(FrmBB1[Row]=$E241)*(FrmBB1[Column]=UPPER(_xlfn.LET(_xlpm.x,_xlfn.TEXTBEFORE(Q$114," ("),IFERROR(_xlpm.x,Q$114)))&amp;" "&amp;R$115),0)))</f>
        <v>0</v>
      </c>
      <c r="S241" s="158" cm="1">
        <f t="array" aca="1" ref="S241" ca="1">IF(OR($E241="X",$E241="",$E241=0,$B241="X",$B241="",$B241=0),0,SUM(_xlfn._xlws.FILTER(FrmBB1[Cur],(FrmBB1[PrjId]=TEXT($B241,"@"))*(FrmBB1[Row]=$E241)*(FrmBB1[Column]=UPPER(_xlfn.LET(_xlpm.x,_xlfn.TEXTBEFORE(S$114," ("),IFERROR(_xlpm.x,S$114)))&amp;" "&amp;S$115),0)))</f>
        <v>0</v>
      </c>
      <c r="T241" s="157" cm="1">
        <f t="array" aca="1" ref="T241" ca="1">IF(OR($E241="X",$E241="",$E241=0,$B241="X",$B241="",$B241=0),0,SUM(_xlfn._xlws.FILTER(FrmBB1[Cur],(FrmBB1[PrjId]=TEXT($B241,"@"))*(FrmBB1[Row]=$E241)*(FrmBB1[Column]=UPPER(_xlfn.LET(_xlpm.x,_xlfn.TEXTBEFORE(S$114," ("),IFERROR(_xlpm.x,S$114)))&amp;" "&amp;T$115),0)))</f>
        <v>0</v>
      </c>
      <c r="U241" s="158" cm="1">
        <f t="array" aca="1" ref="U241" ca="1">IF(OR($E241="X",$E241="",$E241=0,$B241="X",$B241="",$B241=0),0,SUM(_xlfn._xlws.FILTER(FrmBB1[Cur],(FrmBB1[PrjId]=TEXT($B241,"@"))*(FrmBB1[Row]=$E241)*(FrmBB1[Column]=UPPER(_xlfn.LET(_xlpm.x,_xlfn.TEXTBEFORE(U$114," ("),IFERROR(_xlpm.x,U$114)))&amp;" "&amp;U$115),0)))</f>
        <v>0</v>
      </c>
      <c r="V241" s="157" cm="1">
        <f t="array" aca="1" ref="V241" ca="1">IF(OR($E241="X",$E241="",$E241=0,$B241="X",$B241="",$B241=0),0,SUM(_xlfn._xlws.FILTER(FrmBB1[Cur],(FrmBB1[PrjId]=TEXT($B241,"@"))*(FrmBB1[Row]=$E241)*(FrmBB1[Column]=UPPER(_xlfn.LET(_xlpm.x,_xlfn.TEXTBEFORE(U$114," ("),IFERROR(_xlpm.x,U$114)))&amp;" "&amp;V$115),0)))</f>
        <v>0</v>
      </c>
      <c r="W241" s="158" cm="1">
        <f t="array" aca="1" ref="W241" ca="1">IF(OR($E241="X",$E241="",$E241=0,$B241="X",$B241="",$B241=0),0,SUM(_xlfn._xlws.FILTER(FrmBB1[Cur],(FrmBB1[PrjId]=TEXT($B241,"@"))*(FrmBB1[Row]=$E241)*(FrmBB1[Column]=UPPER(_xlfn.LET(_xlpm.x,_xlfn.TEXTBEFORE(W$114," ("),IFERROR(_xlpm.x,W$114)))&amp;" "&amp;W$115),0)))</f>
        <v>0</v>
      </c>
      <c r="X241" s="157" cm="1">
        <f t="array" aca="1" ref="X241" ca="1">IF(OR($E241="X",$E241="",$E241=0,$B241="X",$B241="",$B241=0),0,SUM(_xlfn._xlws.FILTER(FrmBB1[Cur],(FrmBB1[PrjId]=TEXT($B241,"@"))*(FrmBB1[Row]=$E241)*(FrmBB1[Column]=UPPER(_xlfn.LET(_xlpm.x,_xlfn.TEXTBEFORE(W$114," ("),IFERROR(_xlpm.x,W$114)))&amp;" "&amp;X$115),0)))</f>
        <v>0</v>
      </c>
      <c r="Y241" s="158" cm="1">
        <f t="array" aca="1" ref="Y241" ca="1">IF(OR($E241="X",$E241="",$E241=0,$B241="X",$B241="",$B241=0),0,SUM(_xlfn._xlws.FILTER(FrmBB1[Cur],(FrmBB1[PrjId]=TEXT($B241,"@"))*(FrmBB1[Row]=$E241)*(FrmBB1[Column]=UPPER(_xlfn.LET(_xlpm.x,_xlfn.TEXTBEFORE(Y$114," ("),IFERROR(_xlpm.x,Y$114)))&amp;" "&amp;Y$115),0)))</f>
        <v>0</v>
      </c>
      <c r="Z241" s="157" cm="1">
        <f t="array" aca="1" ref="Z241" ca="1">IF(OR($E241="X",$E241="",$E241=0,$B241="X",$B241="",$B241=0),0,SUM(_xlfn._xlws.FILTER(FrmBB1[Cur],(FrmBB1[PrjId]=TEXT($B241,"@"))*(FrmBB1[Row]=$E241)*(FrmBB1[Column]=UPPER(_xlfn.LET(_xlpm.x,_xlfn.TEXTBEFORE(Y$114," ("),IFERROR(_xlpm.x,Y$114)))&amp;" "&amp;Z$115),0)))</f>
        <v>0</v>
      </c>
      <c r="AA241" s="158" cm="1">
        <f t="array" aca="1" ref="AA241" ca="1">IF(OR($E241="X",$E241="",$E241=0,$B241="X",$B241="",$B241=0),0,SUM(_xlfn._xlws.FILTER(FrmBB1[Cur],(FrmBB1[PrjId]=TEXT($B241,"@"))*(FrmBB1[Row]=$E241)*(FrmBB1[Column]=UPPER(_xlfn.LET(_xlpm.x,_xlfn.TEXTBEFORE(AA$114," ("),IFERROR(_xlpm.x,AA$114)))&amp;" "&amp;AA$115),0)))</f>
        <v>0</v>
      </c>
      <c r="AB241" s="157" cm="1">
        <f t="array" aca="1" ref="AB241" ca="1">IF(OR($E241="X",$E241="",$E241=0,$B241="X",$B241="",$B241=0),0,SUM(_xlfn._xlws.FILTER(FrmBB1[Cur],(FrmBB1[PrjId]=TEXT($B241,"@"))*(FrmBB1[Row]=$E241)*(FrmBB1[Column]=UPPER(_xlfn.LET(_xlpm.x,_xlfn.TEXTBEFORE(AA$114," ("),IFERROR(_xlpm.x,AA$114)))&amp;" "&amp;AB$115),0)))</f>
        <v>0</v>
      </c>
      <c r="AC241" s="158" cm="1">
        <f t="array" aca="1" ref="AC241" ca="1">IF(OR($E241="X",$E241="",$E241=0,$B241="X",$B241="",$B241=0),0,SUM(_xlfn._xlws.FILTER(FrmBB1[Cur],(FrmBB1[PrjId]=TEXT($B241,"@"))*(FrmBB1[Row]=$E241)*(FrmBB1[Column]=UPPER(_xlfn.LET(_xlpm.x,_xlfn.TEXTBEFORE(AC$114," ("),IFERROR(_xlpm.x,AC$114)))&amp;" "&amp;AC$115),0)))</f>
        <v>0</v>
      </c>
      <c r="AD241" s="157" cm="1">
        <f t="array" aca="1" ref="AD241" ca="1">IF(OR($E241="X",$E241="",$E241=0,$B241="X",$B241="",$B241=0),0,SUM(_xlfn._xlws.FILTER(FrmBB1[Cur],(FrmBB1[PrjId]=TEXT($B241,"@"))*(FrmBB1[Row]=$E241)*(FrmBB1[Column]=UPPER(_xlfn.LET(_xlpm.x,_xlfn.TEXTBEFORE(AC$114," ("),IFERROR(_xlpm.x,AC$114)))&amp;" "&amp;AD$115),0)))</f>
        <v>0</v>
      </c>
      <c r="AE241" s="158" cm="1">
        <f t="array" aca="1" ref="AE241" ca="1">IF(OR($E241="X",$E241="",$E241=0,$B241="X",$B241="",$B241=0),0,SUM(_xlfn._xlws.FILTER(FrmBB1[Cur],(FrmBB1[PrjId]=TEXT($B241,"@"))*(FrmBB1[Row]=$E241)*(FrmBB1[Column]=UPPER(_xlfn.LET(_xlpm.x,_xlfn.TEXTBEFORE(AE$114," ("),IFERROR(_xlpm.x,AE$114)))&amp;" "&amp;AE$115),0)))</f>
        <v>0</v>
      </c>
      <c r="AF241" s="157" cm="1">
        <f t="array" aca="1" ref="AF241" ca="1">IF(OR($E241="X",$E241="",$E241=0,$B241="X",$B241="",$B241=0),0,SUM(_xlfn._xlws.FILTER(FrmBB1[Cur],(FrmBB1[PrjId]=TEXT($B241,"@"))*(FrmBB1[Row]=$E241)*(FrmBB1[Column]=UPPER(_xlfn.LET(_xlpm.x,_xlfn.TEXTBEFORE(AE$114," ("),IFERROR(_xlpm.x,AE$114)))&amp;" "&amp;AF$115),0)))</f>
        <v>0</v>
      </c>
      <c r="AG241" s="158" cm="1">
        <f t="array" aca="1" ref="AG241" ca="1">IF(OR($E241="X",$E241="",$E241=0,$B241="X",$B241="",$B241=0),0,SUM(_xlfn._xlws.FILTER(FrmBB1[Cur],(FrmBB1[PrjId]=TEXT($B241,"@"))*(FrmBB1[Row]=$E241)*(FrmBB1[Column]=UPPER(_xlfn.LET(_xlpm.x,_xlfn.TEXTBEFORE(AG$114," ("),IFERROR(_xlpm.x,AG$114)))&amp;" "&amp;AG$115),0)))</f>
        <v>0</v>
      </c>
      <c r="AH241" s="157" cm="1">
        <f t="array" aca="1" ref="AH241" ca="1">IF(OR($E241="X",$E241="",$E241=0,$B241="X",$B241="",$B241=0),0,SUM(_xlfn._xlws.FILTER(FrmBB1[Cur],(FrmBB1[PrjId]=TEXT($B241,"@"))*(FrmBB1[Row]=$E241)*(FrmBB1[Column]=UPPER(_xlfn.LET(_xlpm.x,_xlfn.TEXTBEFORE(AG$114," ("),IFERROR(_xlpm.x,AG$114)))&amp;" "&amp;AH$115),0)))</f>
        <v>0</v>
      </c>
      <c r="AI241" s="158" cm="1">
        <f t="array" aca="1" ref="AI241" ca="1">IF(OR($E241="X",$E241="",$E241=0,$B241="X",$B241="",$B241=0),0,SUM(_xlfn._xlws.FILTER(FrmBB1[Cur],(FrmBB1[PrjId]=TEXT($B241,"@"))*(FrmBB1[Row]=$E241)*(FrmBB1[Column]=UPPER(_xlfn.LET(_xlpm.x,_xlfn.TEXTBEFORE(AI$114," ("),IFERROR(_xlpm.x,AI$114)))&amp;" "&amp;AI$115),0)))</f>
        <v>0</v>
      </c>
      <c r="AJ241" s="157" cm="1">
        <f t="array" aca="1" ref="AJ241" ca="1">IF(OR($E241="X",$E241="",$E241=0,$B241="X",$B241="",$B241=0),0,SUM(_xlfn._xlws.FILTER(FrmBB1[Cur],(FrmBB1[PrjId]=TEXT($B241,"@"))*(FrmBB1[Row]=$E241)*(FrmBB1[Column]=UPPER(_xlfn.LET(_xlpm.x,_xlfn.TEXTBEFORE(AI$114," ("),IFERROR(_xlpm.x,AI$114)))&amp;" "&amp;AJ$115),0)))</f>
        <v>0</v>
      </c>
      <c r="AK241" s="158" cm="1">
        <f t="array" aca="1" ref="AK241" ca="1">IF(OR($E241="X",$E241="",$E241=0,$B241="X",$B241="",$B241=0),0,SUM(_xlfn._xlws.FILTER(FrmBB1[Cur],(FrmBB1[PrjId]=TEXT($B241,"@"))*(FrmBB1[Row]=$E241)*(FrmBB1[Column]=UPPER(_xlfn.LET(_xlpm.x,_xlfn.TEXTBEFORE(AK$114," ("),IFERROR(_xlpm.x,AK$114)))&amp;" "&amp;AK$115),0)))</f>
        <v>0</v>
      </c>
      <c r="AL241" s="157" cm="1">
        <f t="array" aca="1" ref="AL241" ca="1">IF(OR($E241="X",$E241="",$E241=0,$B241="X",$B241="",$B241=0),0,SUM(_xlfn._xlws.FILTER(FrmBB1[Cur],(FrmBB1[PrjId]=TEXT($B241,"@"))*(FrmBB1[Row]=$E241)*(FrmBB1[Column]=UPPER(_xlfn.LET(_xlpm.x,_xlfn.TEXTBEFORE(AK$114," ("),IFERROR(_xlpm.x,AK$114)))&amp;" "&amp;AL$115),0)))</f>
        <v>0</v>
      </c>
      <c r="AM241" s="158" cm="1">
        <f t="array" aca="1" ref="AM241" ca="1">IF(OR($E241="X",$E241="",$E241=0,$B241="X",$B241="",$B241=0),0,SUM(_xlfn._xlws.FILTER(FrmBB1[Cur],(FrmBB1[PrjId]=TEXT($B241,"@"))*(FrmBB1[Row]=$E241)*(FrmBB1[Column]=UPPER(_xlfn.LET(_xlpm.x,_xlfn.TEXTBEFORE(AM$114," ("),IFERROR(_xlpm.x,AM$114)))&amp;" "&amp;AM$115),0)))</f>
        <v>0</v>
      </c>
      <c r="AN241" s="157" cm="1">
        <f t="array" aca="1" ref="AN241" ca="1">IF(OR($E241="X",$E241="",$E241=0,$B241="X",$B241="",$B241=0),0,SUM(_xlfn._xlws.FILTER(FrmBB1[Cur],(FrmBB1[PrjId]=TEXT($B241,"@"))*(FrmBB1[Row]=$E241)*(FrmBB1[Column]=UPPER(_xlfn.LET(_xlpm.x,_xlfn.TEXTBEFORE(AM$114," ("),IFERROR(_xlpm.x,AM$114)))&amp;" "&amp;AN$115),0)))</f>
        <v>0</v>
      </c>
      <c r="AO241" s="158" cm="1">
        <f t="array" aca="1" ref="AO241" ca="1">IF(OR($E241="X",$E241="",$E241=0,$B241="X",$B241="",$B241=0),0,SUM(_xlfn._xlws.FILTER(FrmBB1[Cur],(FrmBB1[PrjId]=TEXT($B241,"@"))*(FrmBB1[Row]=$E241)*(FrmBB1[Column]=UPPER(_xlfn.LET(_xlpm.x,_xlfn.TEXTBEFORE(AO$114," ("),IFERROR(_xlpm.x,AO$114)))&amp;" "&amp;AO$115),0)))</f>
        <v>0</v>
      </c>
      <c r="AP241" s="157" cm="1">
        <f t="array" aca="1" ref="AP241" ca="1">IF(OR($E241="X",$E241="",$E241=0,$B241="X",$B241="",$B241=0),0,SUM(_xlfn._xlws.FILTER(FrmBB1[Cur],(FrmBB1[PrjId]=TEXT($B241,"@"))*(FrmBB1[Row]=$E241)*(FrmBB1[Column]=UPPER(_xlfn.LET(_xlpm.x,_xlfn.TEXTBEFORE(AO$114," ("),IFERROR(_xlpm.x,AO$114)))&amp;" "&amp;AP$115),0)))</f>
        <v>0</v>
      </c>
      <c r="AQ241" s="157" cm="1">
        <f t="array" aca="1" ref="AQ241" ca="1">SUM(IF(INDIRECT($AS$115)=AQ$115,INDIRECT($AS241)))</f>
        <v>0</v>
      </c>
      <c r="AR241" s="157" cm="1">
        <f t="array" aca="1" ref="AR241" ca="1">SUM(IF(INDIRECT($AS$115)=AR$115,INDIRECT($AS241)))</f>
        <v>0</v>
      </c>
      <c r="AS241" s="286" t="str">
        <f t="shared" ref="AS241:AS254" ca="1" si="19">IF($B241="","X",ADDRESS(SUM(ROW()),MATCH("SCD",$1:$1,0)+1,4)&amp;":"&amp;ADDRESS(SUM(ROW()),MATCH("ECD",$1:$1,0)-1,4))</f>
        <v>G241:AP241</v>
      </c>
      <c r="AT241" s="403">
        <f t="shared" ca="1" si="17"/>
        <v>0</v>
      </c>
      <c r="AV241" s="142" cm="1">
        <f t="array" aca="1" ref="AV241" ca="1">IF(AND(_xlfn.LET(_xlpm.x,SUM(ROW()),OR(AND(MATCH("SOT",$A:$A,0)&lt;_xlpm.x,MATCH("EOT",$A:$A,0)&gt;_xlpm.x),AND(MATCH("SOS",$A:$A,0)&lt;_xlpm.x,MATCH("EOS",$A:$A,0)&gt;_xlpm.x),AND(MATCH("SOR",$A:$A,0)&lt;_xlpm.x,MATCH("EOR",$A:$A,0)&gt;_xlpm.x))),INDIRECT("rc"&amp;MATCH("SCD",$1:$1,0),FALSE)="PPTO"),1,0)</f>
        <v>0</v>
      </c>
      <c r="AW241" s="142" cm="1">
        <f t="array" aca="1" ref="AW24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242" spans="1:49" outlineLevel="1">
      <c r="B242" s="156" t="str" cm="1">
        <f t="array" aca="1" ref="B242" ca="1">_xlfn.LET(_xlpm.x,SUM(ROW()-MATCH("SOR",$A:$A,0)),_xlpm.y,IFERROR(_xlfn.TAKE(INDEX(_xlfn._xlws.FILTER(TbAssign[],ISNUMBER(FIND(TbAssign[Project],$C$4)),"X"),1+QUOTIENT(_xlpm.x,3),0),1,4),0),IF(MOD(_xlpm.x-1,3)=0,IF(_xlpm.y=0,"X",_xlpm.y),INDIRECT("r[-1]c#",FALSE)))</f>
        <v>X</v>
      </c>
      <c r="C242" s="156"/>
      <c r="E242" s="352"/>
      <c r="F242" s="148" t="s">
        <v>397</v>
      </c>
      <c r="G242" s="157" cm="1">
        <f t="array" aca="1" ref="G242" ca="1">IF(OR($E242="X",$E242="",$E242=0,$B242="X",$B242="",$B242=0),0,SUM(_xlfn._xlws.FILTER(IF($E$4="Ppto",PptoSty[CurPpto],PptoSty[CurInt]),(IF($E$4="Ppto",PptoSty[POvsCT]=G$113,TRUE))*(PptoSty[Project]=TEXT($B242,"@"))*(PptoSty[PptoVsRow]=$E242)*(PptoSty[PptoVsColumn]=UPPER(G$114)),0)))</f>
        <v>0</v>
      </c>
      <c r="H242" s="157" cm="1">
        <f t="array" aca="1" ref="H242" ca="1">IF(OR($E242="X",$E242="",$E242=0,$B242="X",$B242="",$B242=0),0,SUM(_xlfn._xlws.FILTER(IF($E$4="Ppto",PptoSty[CurPpto],PptoSty[CurExt]),(IF($E$4="Ppto",PptoSty[POvsCT]=H$113,TRUE))*(PptoSty[Project]=TEXT($B242,"@"))*(PptoSty[PptoVsRow]=$E242)*(PptoSty[PptoVsColumn]=UPPER(G$114)),0)))</f>
        <v>0</v>
      </c>
      <c r="I242" s="157" cm="1">
        <f t="array" aca="1" ref="I242" ca="1">IF(OR($E242="X",$E242="",$E242=0,$B242="X",$B242="",$B242=0),0,SUM(_xlfn._xlws.FILTER(IF($E$4="Ppto",PptoSty[CurPpto],PptoSty[CurInt]),(IF($E$4="Ppto",PptoSty[POvsCT]=I$113,TRUE))*(PptoSty[Project]=TEXT($B242,"@"))*(PptoSty[PptoVsRow]=$E242)*(PptoSty[PptoVsColumn]=UPPER(I$114)),0)))</f>
        <v>0</v>
      </c>
      <c r="J242" s="157" cm="1">
        <f t="array" aca="1" ref="J242" ca="1">IF(OR($E242="X",$E242="",$E242=0,$B242="X",$B242="",$B242=0),0,SUM(_xlfn._xlws.FILTER(IF($E$4="Ppto",PptoSty[CurPpto],PptoSty[CurExt]),(IF($E$4="Ppto",PptoSty[POvsCT]=J$113,TRUE))*(PptoSty[Project]=TEXT($B242,"@"))*(PptoSty[PptoVsRow]=$E242)*(PptoSty[PptoVsColumn]=UPPER(I$114)),0)))</f>
        <v>0</v>
      </c>
      <c r="K242" s="157" cm="1">
        <f t="array" aca="1" ref="K242" ca="1">IF(OR($E242="X",$E242="",$E242=0,$B242="X",$B242="",$B242=0),0,SUM(_xlfn._xlws.FILTER(IF($E$4="Ppto",PptoSty[CurPpto],PptoSty[CurInt]),(IF($E$4="Ppto",PptoSty[POvsCT]=K$113,TRUE))*(PptoSty[Project]=TEXT($B242,"@"))*(PptoSty[PptoVsRow]=$E242)*(PptoSty[PptoVsColumn]=UPPER(K$114)),0)))</f>
        <v>0</v>
      </c>
      <c r="L242" s="157" cm="1">
        <f t="array" aca="1" ref="L242" ca="1">IF(OR($E242="X",$E242="",$E242=0,$B242="X",$B242="",$B242=0),0,SUM(_xlfn._xlws.FILTER(IF($E$4="Ppto",PptoSty[CurPpto],PptoSty[CurExt]),(IF($E$4="Ppto",PptoSty[POvsCT]=L$113,TRUE))*(PptoSty[Project]=TEXT($B242,"@"))*(PptoSty[PptoVsRow]=$E242)*(PptoSty[PptoVsColumn]=UPPER(K$114)),0)))</f>
        <v>0</v>
      </c>
      <c r="M242" s="157" cm="1">
        <f t="array" aca="1" ref="M242" ca="1">IF(OR($E242="X",$E242="",$E242=0,$B242="X",$B242="",$B242=0),0,SUM(_xlfn._xlws.FILTER(IF($E$4="Ppto",PptoSty[CurPpto],PptoSty[CurInt]),(IF($E$4="Ppto",PptoSty[POvsCT]=M$113,TRUE))*(PptoSty[Project]=TEXT($B242,"@"))*(PptoSty[PptoVsRow]=$E242)*(PptoSty[PptoVsColumn]=UPPER(M$114)),0)))</f>
        <v>0</v>
      </c>
      <c r="N242" s="157" cm="1">
        <f t="array" aca="1" ref="N242" ca="1">IF(OR($E242="X",$E242="",$E242=0,$B242="X",$B242="",$B242=0),0,SUM(_xlfn._xlws.FILTER(IF($E$4="Ppto",PptoSty[CurPpto],PptoSty[CurExt]),(IF($E$4="Ppto",PptoSty[POvsCT]=N$113,TRUE))*(PptoSty[Project]=TEXT($B242,"@"))*(PptoSty[PptoVsRow]=$E242)*(PptoSty[PptoVsColumn]=UPPER(M$114)),0)))</f>
        <v>0</v>
      </c>
      <c r="O242" s="157" cm="1">
        <f t="array" aca="1" ref="O242" ca="1">IF(OR($E242="X",$E242="",$E242=0,$B242="X",$B242="",$B242=0),0,SUM(_xlfn._xlws.FILTER(IF($E$4="Ppto",PptoSty[CurPpto],PptoSty[CurInt]),(IF($E$4="Ppto",PptoSty[POvsCT]=O$113,TRUE))*(PptoSty[Project]=TEXT($B242,"@"))*(PptoSty[PptoVsRow]=$E242)*(PptoSty[PptoVsColumn]=UPPER(O$114)),0)))</f>
        <v>0</v>
      </c>
      <c r="P242" s="157" cm="1">
        <f t="array" aca="1" ref="P242" ca="1">IF(OR($E242="X",$E242="",$E242=0,$B242="X",$B242="",$B242=0),0,SUM(_xlfn._xlws.FILTER(IF($E$4="Ppto",PptoSty[CurPpto],PptoSty[CurExt]),(IF($E$4="Ppto",PptoSty[POvsCT]=P$113,TRUE))*(PptoSty[Project]=TEXT($B242,"@"))*(PptoSty[PptoVsRow]=$E242)*(PptoSty[PptoVsColumn]=UPPER(O$114)),0)))</f>
        <v>0</v>
      </c>
      <c r="Q242" s="157" cm="1">
        <f t="array" aca="1" ref="Q242" ca="1">IF(OR($E242="X",$E242="",$E242=0,$B242="X",$B242="",$B242=0),0,SUM(_xlfn._xlws.FILTER(IF($E$4="Ppto",PptoSty[CurPpto],PptoSty[CurInt]),(IF($E$4="Ppto",PptoSty[POvsCT]=Q$113,TRUE))*(PptoSty[Project]=TEXT($B242,"@"))*(PptoSty[PptoVsRow]=$E242)*(PptoSty[PptoVsColumn]=UPPER(Q$114)),0)))</f>
        <v>0</v>
      </c>
      <c r="R242" s="157" cm="1">
        <f t="array" aca="1" ref="R242" ca="1">IF(OR($E242="X",$E242="",$E242=0,$B242="X",$B242="",$B242=0),0,SUM(_xlfn._xlws.FILTER(IF($E$4="Ppto",PptoSty[CurPpto],PptoSty[CurExt]),(IF($E$4="Ppto",PptoSty[POvsCT]=R$113,TRUE))*(PptoSty[Project]=TEXT($B242,"@"))*(PptoSty[PptoVsRow]=$E242)*(PptoSty[PptoVsColumn]=UPPER(Q$114)),0)))</f>
        <v>0</v>
      </c>
      <c r="S242" s="157" cm="1">
        <f t="array" aca="1" ref="S242" ca="1">IF(OR($E242="X",$E242="",$E242=0,$B242="X",$B242="",$B242=0),0,SUM(_xlfn._xlws.FILTER(IF($E$4="Ppto",PptoSty[CurPpto],PptoSty[CurInt]),(IF($E$4="Ppto",PptoSty[POvsCT]=S$113,TRUE))*(PptoSty[Project]=TEXT($B242,"@"))*(PptoSty[PptoVsRow]=$E242)*(PptoSty[PptoVsColumn]=UPPER(S$114)),0)))</f>
        <v>0</v>
      </c>
      <c r="T242" s="157" cm="1">
        <f t="array" aca="1" ref="T242" ca="1">IF(OR($E242="X",$E242="",$E242=0,$B242="X",$B242="",$B242=0),0,SUM(_xlfn._xlws.FILTER(IF($E$4="Ppto",PptoSty[CurPpto],PptoSty[CurExt]),(IF($E$4="Ppto",PptoSty[POvsCT]=T$113,TRUE))*(PptoSty[Project]=TEXT($B242,"@"))*(PptoSty[PptoVsRow]=$E242)*(PptoSty[PptoVsColumn]=UPPER(S$114)),0)))</f>
        <v>0</v>
      </c>
      <c r="U242" s="157" cm="1">
        <f t="array" aca="1" ref="U242" ca="1">IF(OR($E242="X",$E242="",$E242=0,$B242="X",$B242="",$B242=0),0,SUM(_xlfn._xlws.FILTER(IF($E$4="Ppto",PptoSty[CurPpto],PptoSty[CurInt]),(IF($E$4="Ppto",PptoSty[POvsCT]=U$113,TRUE))*(PptoSty[Project]=TEXT($B242,"@"))*(PptoSty[PptoVsRow]=$E242)*(PptoSty[PptoVsColumn]=UPPER(U$114)),0)))</f>
        <v>0</v>
      </c>
      <c r="V242" s="157" cm="1">
        <f t="array" aca="1" ref="V242" ca="1">IF(OR($E242="X",$E242="",$E242=0,$B242="X",$B242="",$B242=0),0,SUM(_xlfn._xlws.FILTER(IF($E$4="Ppto",PptoSty[CurPpto],PptoSty[CurExt]),(IF($E$4="Ppto",PptoSty[POvsCT]=V$113,TRUE))*(PptoSty[Project]=TEXT($B242,"@"))*(PptoSty[PptoVsRow]=$E242)*(PptoSty[PptoVsColumn]=UPPER(U$114)),0)))</f>
        <v>0</v>
      </c>
      <c r="W242" s="157" cm="1">
        <f t="array" aca="1" ref="W242" ca="1">IF(OR($E242="X",$E242="",$E242=0,$B242="X",$B242="",$B242=0),0,SUM(_xlfn._xlws.FILTER(IF($E$4="Ppto",PptoSty[CurPpto],PptoSty[CurInt]),(IF($E$4="Ppto",PptoSty[POvsCT]=W$113,TRUE))*(PptoSty[Project]=TEXT($B242,"@"))*(PptoSty[PptoVsRow]=$E242)*(PptoSty[PptoVsColumn]=UPPER(W$114)),0)))</f>
        <v>0</v>
      </c>
      <c r="X242" s="157" cm="1">
        <f t="array" aca="1" ref="X242" ca="1">IF(OR($E242="X",$E242="",$E242=0,$B242="X",$B242="",$B242=0),0,SUM(_xlfn._xlws.FILTER(IF($E$4="Ppto",PptoSty[CurPpto],PptoSty[CurExt]),(IF($E$4="Ppto",PptoSty[POvsCT]=X$113,TRUE))*(PptoSty[Project]=TEXT($B242,"@"))*(PptoSty[PptoVsRow]=$E242)*(PptoSty[PptoVsColumn]=UPPER(W$114)),0)))</f>
        <v>0</v>
      </c>
      <c r="Y242" s="157" cm="1">
        <f t="array" aca="1" ref="Y242" ca="1">IF(OR($E242="X",$E242="",$E242=0,$B242="X",$B242="",$B242=0),0,SUM(_xlfn._xlws.FILTER(IF($E$4="Ppto",PptoSty[CurPpto],PptoSty[CurInt]),(IF($E$4="Ppto",PptoSty[POvsCT]=Y$113,TRUE))*(PptoSty[Project]=TEXT($B242,"@"))*(PptoSty[PptoVsRow]=$E242)*(PptoSty[PptoVsColumn]=UPPER(Y$114)),0)))</f>
        <v>0</v>
      </c>
      <c r="Z242" s="157" cm="1">
        <f t="array" aca="1" ref="Z242" ca="1">IF(OR($E242="X",$E242="",$E242=0,$B242="X",$B242="",$B242=0),0,SUM(_xlfn._xlws.FILTER(IF($E$4="Ppto",PptoSty[CurPpto],PptoSty[CurExt]),(IF($E$4="Ppto",PptoSty[POvsCT]=Z$113,TRUE))*(PptoSty[Project]=TEXT($B242,"@"))*(PptoSty[PptoVsRow]=$E242)*(PptoSty[PptoVsColumn]=UPPER(Y$114)),0)))</f>
        <v>0</v>
      </c>
      <c r="AA242" s="157" cm="1">
        <f t="array" aca="1" ref="AA242" ca="1">IF(OR($E242="X",$E242="",$E242=0,$B242="X",$B242="",$B242=0),0,SUM(_xlfn._xlws.FILTER(IF($E$4="Ppto",PptoSty[CurPpto],PptoSty[CurInt]),(IF($E$4="Ppto",PptoSty[POvsCT]=AA$113,TRUE))*(PptoSty[Project]=TEXT($B242,"@"))*(PptoSty[PptoVsRow]=$E242)*(PptoSty[PptoVsColumn]=UPPER(AA$114)),0)))</f>
        <v>0</v>
      </c>
      <c r="AB242" s="157" cm="1">
        <f t="array" aca="1" ref="AB242" ca="1">IF(OR($E242="X",$E242="",$E242=0,$B242="X",$B242="",$B242=0),0,SUM(_xlfn._xlws.FILTER(IF($E$4="Ppto",PptoSty[CurPpto],PptoSty[CurExt]),(IF($E$4="Ppto",PptoSty[POvsCT]=AB$113,TRUE))*(PptoSty[Project]=TEXT($B242,"@"))*(PptoSty[PptoVsRow]=$E242)*(PptoSty[PptoVsColumn]=UPPER(AA$114)),0)))</f>
        <v>0</v>
      </c>
      <c r="AC242" s="157" cm="1">
        <f t="array" aca="1" ref="AC242" ca="1">IF(OR($E242="X",$E242="",$E242=0,$B242="X",$B242="",$B242=0),0,SUM(_xlfn._xlws.FILTER(IF($E$4="Ppto",PptoSty[CurPpto],PptoSty[CurInt]),(IF($E$4="Ppto",PptoSty[POvsCT]=AC$113,TRUE))*(PptoSty[Project]=TEXT($B242,"@"))*(PptoSty[PptoVsRow]=$E242)*(PptoSty[PptoVsColumn]=UPPER(AC$114)),0)))</f>
        <v>0</v>
      </c>
      <c r="AD242" s="157" cm="1">
        <f t="array" aca="1" ref="AD242" ca="1">IF(OR($E242="X",$E242="",$E242=0,$B242="X",$B242="",$B242=0),0,SUM(_xlfn._xlws.FILTER(IF($E$4="Ppto",PptoSty[CurPpto],PptoSty[CurExt]),(IF($E$4="Ppto",PptoSty[POvsCT]=AD$113,TRUE))*(PptoSty[Project]=TEXT($B242,"@"))*(PptoSty[PptoVsRow]=$E242)*(PptoSty[PptoVsColumn]=UPPER(AC$114)),0)))</f>
        <v>0</v>
      </c>
      <c r="AE242" s="157" cm="1">
        <f t="array" aca="1" ref="AE242" ca="1">IF(OR($E242="X",$E242="",$E242=0,$B242="X",$B242="",$B242=0),0,SUM(_xlfn._xlws.FILTER(IF($E$4="Ppto",PptoSty[CurPpto],PptoSty[CurInt]),(IF($E$4="Ppto",PptoSty[POvsCT]=AE$113,TRUE))*(PptoSty[Project]=TEXT($B242,"@"))*(PptoSty[PptoVsRow]=$E242)*(PptoSty[PptoVsColumn]=UPPER(AE$114)),0)))</f>
        <v>0</v>
      </c>
      <c r="AF242" s="157" cm="1">
        <f t="array" aca="1" ref="AF242" ca="1">IF(OR($E242="X",$E242="",$E242=0,$B242="X",$B242="",$B242=0),0,SUM(_xlfn._xlws.FILTER(IF($E$4="Ppto",PptoSty[CurPpto],PptoSty[CurExt]),(IF($E$4="Ppto",PptoSty[POvsCT]=AF$113,TRUE))*(PptoSty[Project]=TEXT($B242,"@"))*(PptoSty[PptoVsRow]=$E242)*(PptoSty[PptoVsColumn]=UPPER(AE$114)),0)))</f>
        <v>0</v>
      </c>
      <c r="AG242" s="157" cm="1">
        <f t="array" aca="1" ref="AG242" ca="1">IF(OR($E242="X",$E242="",$E242=0,$B242="X",$B242="",$B242=0),0,SUM(_xlfn._xlws.FILTER(IF($E$4="Ppto",PptoSty[CurPpto],PptoSty[CurInt]),(IF($E$4="Ppto",PptoSty[POvsCT]=AG$113,TRUE))*(PptoSty[Project]=TEXT($B242,"@"))*(PptoSty[PptoVsRow]=$E242)*(PptoSty[PptoVsColumn]=UPPER(AG$114)),0)))</f>
        <v>0</v>
      </c>
      <c r="AH242" s="157" cm="1">
        <f t="array" aca="1" ref="AH242" ca="1">IF(OR($E242="X",$E242="",$E242=0,$B242="X",$B242="",$B242=0),0,SUM(_xlfn._xlws.FILTER(IF($E$4="Ppto",PptoSty[CurPpto],PptoSty[CurExt]),(IF($E$4="Ppto",PptoSty[POvsCT]=AH$113,TRUE))*(PptoSty[Project]=TEXT($B242,"@"))*(PptoSty[PptoVsRow]=$E242)*(PptoSty[PptoVsColumn]=UPPER(AG$114)),0)))</f>
        <v>0</v>
      </c>
      <c r="AI242" s="157" cm="1">
        <f t="array" aca="1" ref="AI242" ca="1">IF(OR($E242="X",$E242="",$E242=0,$B242="X",$B242="",$B242=0),0,SUM(_xlfn._xlws.FILTER(IF($E$4="Ppto",PptoSty[CurPpto],PptoSty[CurInt]),(IF($E$4="Ppto",PptoSty[POvsCT]=AI$113,TRUE))*(PptoSty[Project]=TEXT($B242,"@"))*(PptoSty[PptoVsRow]=$E242)*(PptoSty[PptoVsColumn]=UPPER(AI$114)),0)))</f>
        <v>0</v>
      </c>
      <c r="AJ242" s="157" cm="1">
        <f t="array" aca="1" ref="AJ242" ca="1">IF(OR($E242="X",$E242="",$E242=0,$B242="X",$B242="",$B242=0),0,SUM(_xlfn._xlws.FILTER(IF($E$4="Ppto",PptoSty[CurPpto],PptoSty[CurExt]),(IF($E$4="Ppto",PptoSty[POvsCT]=AJ$113,TRUE))*(PptoSty[Project]=TEXT($B242,"@"))*(PptoSty[PptoVsRow]=$E242)*(PptoSty[PptoVsColumn]=UPPER(AI$114)),0)))</f>
        <v>0</v>
      </c>
      <c r="AK242" s="157" cm="1">
        <f t="array" aca="1" ref="AK242" ca="1">IF(OR($E242="X",$E242="",$E242=0,$B242="X",$B242="",$B242=0),0,SUM(_xlfn._xlws.FILTER(IF($E$4="Ppto",PptoSty[CurPpto],PptoSty[CurInt]),(IF($E$4="Ppto",PptoSty[POvsCT]=AK$113,TRUE))*(PptoSty[Project]=TEXT($B242,"@"))*(PptoSty[PptoVsRow]=$E242)*(PptoSty[PptoVsColumn]=UPPER(AK$114)),0)))</f>
        <v>0</v>
      </c>
      <c r="AL242" s="157" cm="1">
        <f t="array" aca="1" ref="AL242" ca="1">IF(OR($E242="X",$E242="",$E242=0,$B242="X",$B242="",$B242=0),0,SUM(_xlfn._xlws.FILTER(IF($E$4="Ppto",PptoSty[CurPpto],PptoSty[CurExt]),(IF($E$4="Ppto",PptoSty[POvsCT]=AL$113,TRUE))*(PptoSty[Project]=TEXT($B242,"@"))*(PptoSty[PptoVsRow]=$E242)*(PptoSty[PptoVsColumn]=UPPER(AK$114)),0)))</f>
        <v>0</v>
      </c>
      <c r="AM242" s="157" cm="1">
        <f t="array" aca="1" ref="AM242" ca="1">IF(OR($E242="X",$E242="",$E242=0,$B242="X",$B242="",$B242=0),0,SUM(_xlfn._xlws.FILTER(IF($E$4="Ppto",PptoSty[CurPpto],PptoSty[CurInt]),(IF($E$4="Ppto",PptoSty[POvsCT]=AM$113,TRUE))*(PptoSty[Project]=TEXT($B242,"@"))*(PptoSty[PptoVsRow]=$E242)*(PptoSty[PptoVsColumn]=UPPER(AM$114)),0)))</f>
        <v>0</v>
      </c>
      <c r="AN242" s="157" cm="1">
        <f t="array" aca="1" ref="AN242" ca="1">IF(OR($E242="X",$E242="",$E242=0,$B242="X",$B242="",$B242=0),0,SUM(_xlfn._xlws.FILTER(IF($E$4="Ppto",PptoSty[CurPpto],PptoSty[CurExt]),(IF($E$4="Ppto",PptoSty[POvsCT]=AN$113,TRUE))*(PptoSty[Project]=TEXT($B242,"@"))*(PptoSty[PptoVsRow]=$E242)*(PptoSty[PptoVsColumn]=UPPER(AM$114)),0)))</f>
        <v>0</v>
      </c>
      <c r="AO242" s="157" cm="1">
        <f t="array" aca="1" ref="AO242" ca="1">IF(OR($E242="X",$E242="",$E242=0,$B242="X",$B242="",$B242=0),0,SUM(_xlfn._xlws.FILTER(IF($E$4="Ppto",PptoSty[CurPpto],PptoSty[CurInt]),(IF($E$4="Ppto",PptoSty[POvsCT]=AO$113,TRUE))*(PptoSty[Project]=TEXT($B242,"@"))*(PptoSty[PptoVsRow]=$E242)*(PptoSty[PptoVsColumn]=UPPER(AO$114)),0)))</f>
        <v>0</v>
      </c>
      <c r="AP242" s="157" cm="1">
        <f t="array" aca="1" ref="AP242" ca="1">IF(OR($E242="X",$E242="",$E242=0,$B242="X",$B242="",$B242=0),0,SUM(_xlfn._xlws.FILTER(IF($E$4="Ppto",PptoSty[CurPpto],PptoSty[CurExt]),(IF($E$4="Ppto",PptoSty[POvsCT]=AP$113,TRUE))*(PptoSty[Project]=TEXT($B242,"@"))*(PptoSty[PptoVsRow]=$E242)*(PptoSty[PptoVsColumn]=UPPER(AO$114)),0)))</f>
        <v>0</v>
      </c>
      <c r="AQ242" s="157" cm="1">
        <f t="array" aca="1" ref="AQ242" ca="1">SUM(IF(INDIRECT($AS$115)=AQ$115,INDIRECT($AS242)))</f>
        <v>0</v>
      </c>
      <c r="AR242" s="157" cm="1">
        <f t="array" aca="1" ref="AR242" ca="1">SUM(IF(INDIRECT($AS$115)=AR$115,INDIRECT($AS242)))</f>
        <v>0</v>
      </c>
      <c r="AS242" s="286" t="str">
        <f t="shared" ca="1" si="19"/>
        <v>G242:AP242</v>
      </c>
      <c r="AT242" s="403">
        <f t="shared" ca="1" si="17"/>
        <v>0</v>
      </c>
      <c r="AV242" s="142" cm="1">
        <f t="array" aca="1" ref="AV242" ca="1">IF(AND(_xlfn.LET(_xlpm.x,SUM(ROW()),OR(AND(MATCH("SOT",$A:$A,0)&lt;_xlpm.x,MATCH("EOT",$A:$A,0)&gt;_xlpm.x),AND(MATCH("SOS",$A:$A,0)&lt;_xlpm.x,MATCH("EOS",$A:$A,0)&gt;_xlpm.x),AND(MATCH("SOR",$A:$A,0)&lt;_xlpm.x,MATCH("EOR",$A:$A,0)&gt;_xlpm.x))),INDIRECT("rc"&amp;MATCH("SCD",$1:$1,0),FALSE)="PPTO"),1,0)</f>
        <v>1</v>
      </c>
      <c r="AW242" s="142" cm="1">
        <f t="array" aca="1" ref="AW24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243" spans="1:49" outlineLevel="1">
      <c r="B243" s="156" t="str" cm="1">
        <f t="array" aca="1" ref="B243" ca="1">_xlfn.LET(_xlpm.x,SUM(ROW()-MATCH("SOR",$A:$A,0)),_xlpm.y,IFERROR(_xlfn.TAKE(INDEX(_xlfn._xlws.FILTER(TbAssign[],ISNUMBER(FIND(TbAssign[Project],$C$4)),"X"),1+QUOTIENT(_xlpm.x,3),0),1,4),0),IF(MOD(_xlpm.x-1,3)=0,IF(_xlpm.y=0,"X",_xlpm.y),INDIRECT("r[-1]c#",FALSE)))</f>
        <v>X</v>
      </c>
      <c r="C243" s="156"/>
      <c r="E243" s="352"/>
      <c r="F243" s="148" t="s">
        <v>1382</v>
      </c>
      <c r="G243" s="157" cm="1">
        <f t="array" aca="1" ref="G243" ca="1">IF(OR($E243="X",$E243="",$E243=0,$B243="X",$B243="",$B243=0),0,SUM(_xlfn._xlws.FILTER(PrvSty[DsvValue:SERRA],(PrvSty[Project]=TEXT($B243,"@"))*(PrvSty[Row]=$E243)*(PrvSty[Column]=UPPER(G$114)),0)))</f>
        <v>0</v>
      </c>
      <c r="H243" s="157" cm="1">
        <f t="array" aca="1" ref="H243" ca="1">IF(OR($E243="X",$E243="",$E243=0,$B243="X",$B243="",$B243=0),0,SUM(_xlfn._xlws.FILTER(PrvSty[DsvValue:EXT.],(PrvSty[Project]=TEXT($B243,"@"))*(PrvSty[Row]=$E243)*(PrvSty[Column]=UPPER(G$114)),0)))</f>
        <v>0</v>
      </c>
      <c r="I243" s="157" cm="1">
        <f t="array" aca="1" ref="I243" ca="1">IF(OR($E243="X",$E243="",$E243=0,$B243="X",$B243="",$B243=0),0,SUM(_xlfn._xlws.FILTER(PrvSty[DsvValue:SERRA],(PrvSty[Project]=TEXT($B243,"@"))*(PrvSty[Row]=$E243)*(PrvSty[Column]=UPPER(I$114)),0)))</f>
        <v>0</v>
      </c>
      <c r="J243" s="157" cm="1">
        <f t="array" aca="1" ref="J243" ca="1">IF(OR($E243="X",$E243="",$E243=0,$B243="X",$B243="",$B243=0),0,SUM(_xlfn._xlws.FILTER(PrvSty[DsvValue:EXT.],(PrvSty[Project]=TEXT($B243,"@"))*(PrvSty[Row]=$E243)*(PrvSty[Column]=UPPER(I$114)),0)))</f>
        <v>0</v>
      </c>
      <c r="K243" s="157" cm="1">
        <f t="array" aca="1" ref="K243" ca="1">IF(OR($E243="X",$E243="",$E243=0,$B243="X",$B243="",$B243=0),0,SUM(_xlfn._xlws.FILTER(PrvSty[DsvValue:SERRA],(PrvSty[Project]=TEXT($B243,"@"))*(PrvSty[Row]=$E243)*(PrvSty[Column]=UPPER(K$114)),0)))</f>
        <v>0</v>
      </c>
      <c r="L243" s="157" cm="1">
        <f t="array" aca="1" ref="L243" ca="1">IF(OR($E243="X",$E243="",$E243=0,$B243="X",$B243="",$B243=0),0,SUM(_xlfn._xlws.FILTER(PrvSty[DsvValue:EXT.],(PrvSty[Project]=TEXT($B243,"@"))*(PrvSty[Row]=$E243)*(PrvSty[Column]=UPPER(K$114)),0)))</f>
        <v>0</v>
      </c>
      <c r="M243" s="157" cm="1">
        <f t="array" aca="1" ref="M243" ca="1">IF(OR($E243="X",$E243="",$E243=0,$B243="X",$B243="",$B243=0),0,SUM(_xlfn._xlws.FILTER(PrvSty[DsvValue:SERRA],(PrvSty[Project]=TEXT($B243,"@"))*(PrvSty[Row]=$E243)*(PrvSty[Column]=UPPER(M$114)),0)))</f>
        <v>0</v>
      </c>
      <c r="N243" s="157" cm="1">
        <f t="array" aca="1" ref="N243" ca="1">IF(OR($E243="X",$E243="",$E243=0,$B243="X",$B243="",$B243=0),0,SUM(_xlfn._xlws.FILTER(PrvSty[DsvValue:EXT.],(PrvSty[Project]=TEXT($B243,"@"))*(PrvSty[Row]=$E243)*(PrvSty[Column]=UPPER(M$114)),0)))</f>
        <v>0</v>
      </c>
      <c r="O243" s="157" cm="1">
        <f t="array" aca="1" ref="O243" ca="1">IF(OR($E243="X",$E243="",$E243=0,$B243="X",$B243="",$B243=0),0,SUM(_xlfn._xlws.FILTER(PrvSty[DsvValue:SERRA],(PrvSty[Project]=TEXT($B243,"@"))*(PrvSty[Row]=$E243)*(PrvSty[Column]=UPPER(O$114)),0)))</f>
        <v>0</v>
      </c>
      <c r="P243" s="157" cm="1">
        <f t="array" aca="1" ref="P243" ca="1">IF(OR($E243="X",$E243="",$E243=0,$B243="X",$B243="",$B243=0),0,SUM(_xlfn._xlws.FILTER(PrvSty[DsvValue:EXT.],(PrvSty[Project]=TEXT($B243,"@"))*(PrvSty[Row]=$E243)*(PrvSty[Column]=UPPER(O$114)),0)))</f>
        <v>0</v>
      </c>
      <c r="Q243" s="157" cm="1">
        <f t="array" aca="1" ref="Q243" ca="1">IF(OR($E243="X",$E243="",$E243=0,$B243="X",$B243="",$B243=0),0,SUM(_xlfn._xlws.FILTER(PrvSty[DsvValue:SERRA],(PrvSty[Project]=TEXT($B243,"@"))*(PrvSty[Row]=$E243)*(PrvSty[Column]=UPPER(Q$114)),0)))</f>
        <v>0</v>
      </c>
      <c r="R243" s="157" cm="1">
        <f t="array" aca="1" ref="R243" ca="1">IF(OR($E243="X",$E243="",$E243=0,$B243="X",$B243="",$B243=0),0,SUM(_xlfn._xlws.FILTER(PrvSty[DsvValue:EXT.],(PrvSty[Project]=TEXT($B243,"@"))*(PrvSty[Row]=$E243)*(PrvSty[Column]=UPPER(Q$114)),0)))</f>
        <v>0</v>
      </c>
      <c r="S243" s="157" cm="1">
        <f t="array" aca="1" ref="S243" ca="1">IF(OR($E243="X",$E243="",$E243=0,$B243="X",$B243="",$B243=0),0,SUM(_xlfn._xlws.FILTER(PrvSty[DsvValue:SERRA],(PrvSty[Project]=TEXT($B243,"@"))*(PrvSty[Row]=$E243)*(PrvSty[Column]=UPPER(S$114)),0)))</f>
        <v>0</v>
      </c>
      <c r="T243" s="157" cm="1">
        <f t="array" aca="1" ref="T243" ca="1">IF(OR($E243="X",$E243="",$E243=0,$B243="X",$B243="",$B243=0),0,SUM(_xlfn._xlws.FILTER(PrvSty[DsvValue:EXT.],(PrvSty[Project]=TEXT($B243,"@"))*(PrvSty[Row]=$E243)*(PrvSty[Column]=UPPER(S$114)),0)))</f>
        <v>0</v>
      </c>
      <c r="U243" s="157" cm="1">
        <f t="array" aca="1" ref="U243" ca="1">IF(OR($E243="X",$E243="",$E243=0,$B243="X",$B243="",$B243=0),0,SUM(_xlfn._xlws.FILTER(PrvSty[DsvValue:SERRA],(PrvSty[Project]=TEXT($B243,"@"))*(PrvSty[Row]=$E243)*(PrvSty[Column]=UPPER(U$114)),0)))</f>
        <v>0</v>
      </c>
      <c r="V243" s="157" cm="1">
        <f t="array" aca="1" ref="V243" ca="1">IF(OR($E243="X",$E243="",$E243=0,$B243="X",$B243="",$B243=0),0,SUM(_xlfn._xlws.FILTER(PrvSty[DsvValue:EXT.],(PrvSty[Project]=TEXT($B243,"@"))*(PrvSty[Row]=$E243)*(PrvSty[Column]=UPPER(U$114)),0)))</f>
        <v>0</v>
      </c>
      <c r="W243" s="157" cm="1">
        <f t="array" aca="1" ref="W243" ca="1">IF(OR($E243="X",$E243="",$E243=0,$B243="X",$B243="",$B243=0),0,SUM(_xlfn._xlws.FILTER(PrvSty[DsvValue:SERRA],(PrvSty[Project]=TEXT($B243,"@"))*(PrvSty[Row]=$E243)*(PrvSty[Column]=UPPER(W$114)),0)))</f>
        <v>0</v>
      </c>
      <c r="X243" s="157" cm="1">
        <f t="array" aca="1" ref="X243" ca="1">IF(OR($E243="X",$E243="",$E243=0,$B243="X",$B243="",$B243=0),0,SUM(_xlfn._xlws.FILTER(PrvSty[DsvValue:EXT.],(PrvSty[Project]=TEXT($B243,"@"))*(PrvSty[Row]=$E243)*(PrvSty[Column]=UPPER(W$114)),0)))</f>
        <v>0</v>
      </c>
      <c r="Y243" s="157" cm="1">
        <f t="array" aca="1" ref="Y243" ca="1">IF(OR($E243="X",$E243="",$E243=0,$B243="X",$B243="",$B243=0),0,SUM(_xlfn._xlws.FILTER(PrvSty[DsvValue:SERRA],(PrvSty[Project]=TEXT($B243,"@"))*(PrvSty[Row]=$E243)*(PrvSty[Column]=UPPER(Y$114)),0)))</f>
        <v>0</v>
      </c>
      <c r="Z243" s="157" cm="1">
        <f t="array" aca="1" ref="Z243" ca="1">IF(OR($E243="X",$E243="",$E243=0,$B243="X",$B243="",$B243=0),0,SUM(_xlfn._xlws.FILTER(PrvSty[DsvValue:EXT.],(PrvSty[Project]=TEXT($B243,"@"))*(PrvSty[Row]=$E243)*(PrvSty[Column]=UPPER(Y$114)),0)))</f>
        <v>0</v>
      </c>
      <c r="AA243" s="157" cm="1">
        <f t="array" aca="1" ref="AA243" ca="1">IF(OR($E243="X",$E243="",$E243=0,$B243="X",$B243="",$B243=0),0,SUM(_xlfn._xlws.FILTER(PrvSty[DsvValue:SERRA],(PrvSty[Project]=TEXT($B243,"@"))*(PrvSty[Row]=$E243)*(PrvSty[Column]=UPPER(AA$114)),0)))</f>
        <v>0</v>
      </c>
      <c r="AB243" s="157" cm="1">
        <f t="array" aca="1" ref="AB243" ca="1">IF(OR($E243="X",$E243="",$E243=0,$B243="X",$B243="",$B243=0),0,SUM(_xlfn._xlws.FILTER(PrvSty[DsvValue:EXT.],(PrvSty[Project]=TEXT($B243,"@"))*(PrvSty[Row]=$E243)*(PrvSty[Column]=UPPER(AA$114)),0)))</f>
        <v>0</v>
      </c>
      <c r="AC243" s="157" cm="1">
        <f t="array" aca="1" ref="AC243" ca="1">IF(OR($E243="X",$E243="",$E243=0,$B243="X",$B243="",$B243=0),0,SUM(_xlfn._xlws.FILTER(PrvSty[DsvValue:SERRA],(PrvSty[Project]=TEXT($B243,"@"))*(PrvSty[Row]=$E243)*(PrvSty[Column]=UPPER(AC$114)),0)))</f>
        <v>0</v>
      </c>
      <c r="AD243" s="157" cm="1">
        <f t="array" aca="1" ref="AD243" ca="1">IF(OR($E243="X",$E243="",$E243=0,$B243="X",$B243="",$B243=0),0,SUM(_xlfn._xlws.FILTER(PrvSty[DsvValue:EXT.],(PrvSty[Project]=TEXT($B243,"@"))*(PrvSty[Row]=$E243)*(PrvSty[Column]=UPPER(AC$114)),0)))</f>
        <v>0</v>
      </c>
      <c r="AE243" s="157" cm="1">
        <f t="array" aca="1" ref="AE243" ca="1">IF(OR($E243="X",$E243="",$E243=0,$B243="X",$B243="",$B243=0),0,SUM(_xlfn._xlws.FILTER(PrvSty[DsvValue:SERRA],(PrvSty[Project]=TEXT($B243,"@"))*(PrvSty[Row]=$E243)*(PrvSty[Column]=UPPER(AE$114)),0)))</f>
        <v>0</v>
      </c>
      <c r="AF243" s="157" cm="1">
        <f t="array" aca="1" ref="AF243" ca="1">IF(OR($E243="X",$E243="",$E243=0,$B243="X",$B243="",$B243=0),0,SUM(_xlfn._xlws.FILTER(PrvSty[DsvValue:EXT.],(PrvSty[Project]=TEXT($B243,"@"))*(PrvSty[Row]=$E243)*(PrvSty[Column]=UPPER(AE$114)),0)))</f>
        <v>0</v>
      </c>
      <c r="AG243" s="157" cm="1">
        <f t="array" aca="1" ref="AG243" ca="1">IF(OR($E243="X",$E243="",$E243=0,$B243="X",$B243="",$B243=0),0,SUM(_xlfn._xlws.FILTER(PrvSty[DsvValue:SERRA],(PrvSty[Project]=TEXT($B243,"@"))*(PrvSty[Row]=$E243)*(PrvSty[Column]=UPPER(AG$114)),0)))</f>
        <v>0</v>
      </c>
      <c r="AH243" s="157" cm="1">
        <f t="array" aca="1" ref="AH243" ca="1">IF(OR($E243="X",$E243="",$E243=0,$B243="X",$B243="",$B243=0),0,SUM(_xlfn._xlws.FILTER(PrvSty[DsvValue:EXT.],(PrvSty[Project]=TEXT($B243,"@"))*(PrvSty[Row]=$E243)*(PrvSty[Column]=UPPER(AG$114)),0)))</f>
        <v>0</v>
      </c>
      <c r="AI243" s="157" cm="1">
        <f t="array" aca="1" ref="AI243" ca="1">IF(OR($E243="X",$E243="",$E243=0,$B243="X",$B243="",$B243=0),0,SUM(_xlfn._xlws.FILTER(PrvSty[DsvValue:SERRA],(PrvSty[Project]=TEXT($B243,"@"))*(PrvSty[Row]=$E243)*(PrvSty[Column]=UPPER(AI$114)),0)))</f>
        <v>0</v>
      </c>
      <c r="AJ243" s="157" cm="1">
        <f t="array" aca="1" ref="AJ243" ca="1">IF(OR($E243="X",$E243="",$E243=0,$B243="X",$B243="",$B243=0),0,SUM(_xlfn._xlws.FILTER(PrvSty[DsvValue:EXT.],(PrvSty[Project]=TEXT($B243,"@"))*(PrvSty[Row]=$E243)*(PrvSty[Column]=UPPER(AI$114)),0)))</f>
        <v>0</v>
      </c>
      <c r="AK243" s="157" cm="1">
        <f t="array" aca="1" ref="AK243" ca="1">IF(OR($E243="X",$E243="",$E243=0,$B243="X",$B243="",$B243=0),0,SUM(_xlfn._xlws.FILTER(PrvSty[DsvValue:SERRA],(PrvSty[Project]=TEXT($B243,"@"))*(PrvSty[Row]=$E243)*(PrvSty[Column]=UPPER(AK$114)),0)))</f>
        <v>0</v>
      </c>
      <c r="AL243" s="157" cm="1">
        <f t="array" aca="1" ref="AL243" ca="1">IF(OR($E243="X",$E243="",$E243=0,$B243="X",$B243="",$B243=0),0,SUM(_xlfn._xlws.FILTER(PrvSty[DsvValue:EXT.],(PrvSty[Project]=TEXT($B243,"@"))*(PrvSty[Row]=$E243)*(PrvSty[Column]=UPPER(AK$114)),0)))</f>
        <v>0</v>
      </c>
      <c r="AM243" s="157" cm="1">
        <f t="array" aca="1" ref="AM243" ca="1">IF(OR($E243="X",$E243="",$E243=0,$B243="X",$B243="",$B243=0),0,SUM(_xlfn._xlws.FILTER(PrvSty[DsvValue:SERRA],(PrvSty[Project]=TEXT($B243,"@"))*(PrvSty[Row]=$E243)*(PrvSty[Column]=UPPER(AM$114)),0)))</f>
        <v>0</v>
      </c>
      <c r="AN243" s="157" cm="1">
        <f t="array" aca="1" ref="AN243" ca="1">IF(OR($E243="X",$E243="",$E243=0,$B243="X",$B243="",$B243=0),0,SUM(_xlfn._xlws.FILTER(PrvSty[DsvValue:EXT.],(PrvSty[Project]=TEXT($B243,"@"))*(PrvSty[Row]=$E243)*(PrvSty[Column]=UPPER(AM$114)),0)))</f>
        <v>0</v>
      </c>
      <c r="AO243" s="157" cm="1">
        <f t="array" aca="1" ref="AO243" ca="1">IF(OR($E243="X",$E243="",$E243=0,$B243="X",$B243="",$B243=0),0,SUM(_xlfn._xlws.FILTER(PrvSty[DsvValue:SERRA],(PrvSty[Project]=TEXT($B243,"@"))*(PrvSty[Row]=$E243)*(PrvSty[Column]=UPPER(AO$114)),0)))</f>
        <v>0</v>
      </c>
      <c r="AP243" s="157" cm="1">
        <f t="array" aca="1" ref="AP243" ca="1">IF(OR($E243="X",$E243="",$E243=0,$B243="X",$B243="",$B243=0),0,SUM(_xlfn._xlws.FILTER(PrvSty[DsvValue:EXT.],(PrvSty[Project]=TEXT($B243,"@"))*(PrvSty[Row]=$E243)*(PrvSty[Column]=UPPER(AO$114)),0)))</f>
        <v>0</v>
      </c>
      <c r="AQ243" s="157" cm="1">
        <f t="array" aca="1" ref="AQ243" ca="1">SUM(IF(INDIRECT($AS$115)=AQ$115,INDIRECT($AS243)))</f>
        <v>0</v>
      </c>
      <c r="AR243" s="157" cm="1">
        <f t="array" aca="1" ref="AR243" ca="1">SUM(IF(INDIRECT($AS$115)=AR$115,INDIRECT($AS243)))</f>
        <v>0</v>
      </c>
      <c r="AS243" s="286" t="str">
        <f t="shared" ca="1" si="19"/>
        <v>G243:AP243</v>
      </c>
      <c r="AT243" s="403">
        <f t="shared" ca="1" si="17"/>
        <v>0</v>
      </c>
      <c r="AV243" s="142" cm="1">
        <f t="array" aca="1" ref="AV243" ca="1">IF(AND(_xlfn.LET(_xlpm.x,SUM(ROW()),OR(AND(MATCH("SOT",$A:$A,0)&lt;_xlpm.x,MATCH("EOT",$A:$A,0)&gt;_xlpm.x),AND(MATCH("SOS",$A:$A,0)&lt;_xlpm.x,MATCH("EOS",$A:$A,0)&gt;_xlpm.x),AND(MATCH("SOR",$A:$A,0)&lt;_xlpm.x,MATCH("EOR",$A:$A,0)&gt;_xlpm.x))),INDIRECT("rc"&amp;MATCH("SCD",$1:$1,0),FALSE)="PPTO"),1,0)</f>
        <v>0</v>
      </c>
      <c r="AW243" s="142" cm="1">
        <f t="array" aca="1" ref="AW24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244" spans="1:49" outlineLevel="1">
      <c r="B244" s="156" t="str" cm="1">
        <f t="array" aca="1" ref="B244" ca="1">_xlfn.LET(_xlpm.x,SUM(ROW()-MATCH("SOR",$A:$A,0)),_xlpm.y,IFERROR(_xlfn.TAKE(INDEX(_xlfn._xlws.FILTER(TbAssign[],ISNUMBER(FIND(TbAssign[Project],$C$4)),"X"),1+QUOTIENT(_xlpm.x,3),0),1,4),0),IF(MOD(_xlpm.x-1,3)=0,IF(_xlpm.y=0,"X",_xlpm.y),INDIRECT("r[-1]c#",FALSE)))</f>
        <v>X</v>
      </c>
      <c r="C244" s="156"/>
      <c r="E244" s="352"/>
      <c r="F244" s="148" t="s">
        <v>1383</v>
      </c>
      <c r="G244" s="158" cm="1">
        <f t="array" aca="1" ref="G244" ca="1">IF(OR($E244="X",$E244="",$E244=0,$B244="X",$B244="",$B244=0),0,SUM(_xlfn._xlws.FILTER(FrmBB1[Cur],(FrmBB1[PrjId]=TEXT($B244,"@"))*(FrmBB1[Row]=$E244)*(FrmBB1[Column]=UPPER(_xlfn.LET(_xlpm.x,_xlfn.TEXTBEFORE(G$114," ("),IFERROR(_xlpm.x,G$114)))&amp;" "&amp;G$115),0)))</f>
        <v>0</v>
      </c>
      <c r="H244" s="157" cm="1">
        <f t="array" aca="1" ref="H244" ca="1">IF(OR($E244="X",$E244="",$E244=0,$B244="X",$B244="",$B244=0),0,SUM(_xlfn._xlws.FILTER(FrmBB1[Cur],(FrmBB1[PrjId]=TEXT($B244,"@"))*(FrmBB1[Row]=$E244)*(FrmBB1[Column]=UPPER(_xlfn.LET(_xlpm.x,_xlfn.TEXTBEFORE(G$114," ("),IFERROR(_xlpm.x,G$114)))&amp;" "&amp;H$115),0)))</f>
        <v>0</v>
      </c>
      <c r="I244" s="158" cm="1">
        <f t="array" aca="1" ref="I244" ca="1">IF(OR($E244="X",$E244="",$E244=0,$B244="X",$B244="",$B244=0),0,SUM(_xlfn._xlws.FILTER(FrmBB1[Cur],(FrmBB1[PrjId]=TEXT($B244,"@"))*(FrmBB1[Row]=$E244)*(FrmBB1[Column]=UPPER(_xlfn.LET(_xlpm.x,_xlfn.TEXTBEFORE(I$114," ("),IFERROR(_xlpm.x,I$114)))&amp;" "&amp;I$115),0)))</f>
        <v>0</v>
      </c>
      <c r="J244" s="157" cm="1">
        <f t="array" aca="1" ref="J244" ca="1">IF(OR($E244="X",$E244="",$E244=0,$B244="X",$B244="",$B244=0),0,SUM(_xlfn._xlws.FILTER(FrmBB1[Cur],(FrmBB1[PrjId]=TEXT($B244,"@"))*(FrmBB1[Row]=$E244)*(FrmBB1[Column]=UPPER(_xlfn.LET(_xlpm.x,_xlfn.TEXTBEFORE(I$114," ("),IFERROR(_xlpm.x,I$114)))&amp;" "&amp;J$115),0)))</f>
        <v>0</v>
      </c>
      <c r="K244" s="158" cm="1">
        <f t="array" aca="1" ref="K244" ca="1">IF(OR($E244="X",$E244="",$E244=0,$B244="X",$B244="",$B244=0),0,SUM(_xlfn._xlws.FILTER(FrmBB1[Cur],(FrmBB1[PrjId]=TEXT($B244,"@"))*(FrmBB1[Row]=$E244)*(FrmBB1[Column]=UPPER(_xlfn.LET(_xlpm.x,_xlfn.TEXTBEFORE(K$114," ("),IFERROR(_xlpm.x,K$114)))&amp;" "&amp;K$115),0)))</f>
        <v>0</v>
      </c>
      <c r="L244" s="157" cm="1">
        <f t="array" aca="1" ref="L244" ca="1">IF(OR($E244="X",$E244="",$E244=0,$B244="X",$B244="",$B244=0),0,SUM(_xlfn._xlws.FILTER(FrmBB1[Cur],(FrmBB1[PrjId]=TEXT($B244,"@"))*(FrmBB1[Row]=$E244)*(FrmBB1[Column]=UPPER(_xlfn.LET(_xlpm.x,_xlfn.TEXTBEFORE(K$114," ("),IFERROR(_xlpm.x,K$114)))&amp;" "&amp;L$115),0)))</f>
        <v>0</v>
      </c>
      <c r="M244" s="158" cm="1">
        <f t="array" aca="1" ref="M244" ca="1">IF(OR($E244="X",$E244="",$E244=0,$B244="X",$B244="",$B244=0),0,SUM(_xlfn._xlws.FILTER(FrmBB1[Cur],(FrmBB1[PrjId]=TEXT($B244,"@"))*(FrmBB1[Row]=$E244)*(FrmBB1[Column]=UPPER(_xlfn.LET(_xlpm.x,_xlfn.TEXTBEFORE(M$114," ("),IFERROR(_xlpm.x,M$114)))&amp;" "&amp;M$115),0)))</f>
        <v>0</v>
      </c>
      <c r="N244" s="157" cm="1">
        <f t="array" aca="1" ref="N244" ca="1">IF(OR($E244="X",$E244="",$E244=0,$B244="X",$B244="",$B244=0),0,SUM(_xlfn._xlws.FILTER(FrmBB1[Cur],(FrmBB1[PrjId]=TEXT($B244,"@"))*(FrmBB1[Row]=$E244)*(FrmBB1[Column]=UPPER(_xlfn.LET(_xlpm.x,_xlfn.TEXTBEFORE(M$114," ("),IFERROR(_xlpm.x,M$114)))&amp;" "&amp;N$115),0)))</f>
        <v>0</v>
      </c>
      <c r="O244" s="158" cm="1">
        <f t="array" aca="1" ref="O244" ca="1">IF(OR($E244="X",$E244="",$E244=0,$B244="X",$B244="",$B244=0),0,SUM(_xlfn._xlws.FILTER(FrmBB1[Cur],(FrmBB1[PrjId]=TEXT($B244,"@"))*(FrmBB1[Row]=$E244)*(FrmBB1[Column]=UPPER(_xlfn.LET(_xlpm.x,_xlfn.TEXTBEFORE(O$114," ("),IFERROR(_xlpm.x,O$114)))&amp;" "&amp;O$115),0)))</f>
        <v>0</v>
      </c>
      <c r="P244" s="157" cm="1">
        <f t="array" aca="1" ref="P244" ca="1">IF(OR($E244="X",$E244="",$E244=0,$B244="X",$B244="",$B244=0),0,SUM(_xlfn._xlws.FILTER(FrmBB1[Cur],(FrmBB1[PrjId]=TEXT($B244,"@"))*(FrmBB1[Row]=$E244)*(FrmBB1[Column]=UPPER(_xlfn.LET(_xlpm.x,_xlfn.TEXTBEFORE(O$114," ("),IFERROR(_xlpm.x,O$114)))&amp;" "&amp;P$115),0)))</f>
        <v>0</v>
      </c>
      <c r="Q244" s="158" cm="1">
        <f t="array" aca="1" ref="Q244" ca="1">IF(OR($E244="X",$E244="",$E244=0,$B244="X",$B244="",$B244=0),0,SUM(_xlfn._xlws.FILTER(FrmBB1[Cur],(FrmBB1[PrjId]=TEXT($B244,"@"))*(FrmBB1[Row]=$E244)*(FrmBB1[Column]=UPPER(_xlfn.LET(_xlpm.x,_xlfn.TEXTBEFORE(Q$114," ("),IFERROR(_xlpm.x,Q$114)))&amp;" "&amp;Q$115),0)))</f>
        <v>0</v>
      </c>
      <c r="R244" s="157" cm="1">
        <f t="array" aca="1" ref="R244" ca="1">IF(OR($E244="X",$E244="",$E244=0,$B244="X",$B244="",$B244=0),0,SUM(_xlfn._xlws.FILTER(FrmBB1[Cur],(FrmBB1[PrjId]=TEXT($B244,"@"))*(FrmBB1[Row]=$E244)*(FrmBB1[Column]=UPPER(_xlfn.LET(_xlpm.x,_xlfn.TEXTBEFORE(Q$114," ("),IFERROR(_xlpm.x,Q$114)))&amp;" "&amp;R$115),0)))</f>
        <v>0</v>
      </c>
      <c r="S244" s="158" cm="1">
        <f t="array" aca="1" ref="S244" ca="1">IF(OR($E244="X",$E244="",$E244=0,$B244="X",$B244="",$B244=0),0,SUM(_xlfn._xlws.FILTER(FrmBB1[Cur],(FrmBB1[PrjId]=TEXT($B244,"@"))*(FrmBB1[Row]=$E244)*(FrmBB1[Column]=UPPER(_xlfn.LET(_xlpm.x,_xlfn.TEXTBEFORE(S$114," ("),IFERROR(_xlpm.x,S$114)))&amp;" "&amp;S$115),0)))</f>
        <v>0</v>
      </c>
      <c r="T244" s="157" cm="1">
        <f t="array" aca="1" ref="T244" ca="1">IF(OR($E244="X",$E244="",$E244=0,$B244="X",$B244="",$B244=0),0,SUM(_xlfn._xlws.FILTER(FrmBB1[Cur],(FrmBB1[PrjId]=TEXT($B244,"@"))*(FrmBB1[Row]=$E244)*(FrmBB1[Column]=UPPER(_xlfn.LET(_xlpm.x,_xlfn.TEXTBEFORE(S$114," ("),IFERROR(_xlpm.x,S$114)))&amp;" "&amp;T$115),0)))</f>
        <v>0</v>
      </c>
      <c r="U244" s="158" cm="1">
        <f t="array" aca="1" ref="U244" ca="1">IF(OR($E244="X",$E244="",$E244=0,$B244="X",$B244="",$B244=0),0,SUM(_xlfn._xlws.FILTER(FrmBB1[Cur],(FrmBB1[PrjId]=TEXT($B244,"@"))*(FrmBB1[Row]=$E244)*(FrmBB1[Column]=UPPER(_xlfn.LET(_xlpm.x,_xlfn.TEXTBEFORE(U$114," ("),IFERROR(_xlpm.x,U$114)))&amp;" "&amp;U$115),0)))</f>
        <v>0</v>
      </c>
      <c r="V244" s="157" cm="1">
        <f t="array" aca="1" ref="V244" ca="1">IF(OR($E244="X",$E244="",$E244=0,$B244="X",$B244="",$B244=0),0,SUM(_xlfn._xlws.FILTER(FrmBB1[Cur],(FrmBB1[PrjId]=TEXT($B244,"@"))*(FrmBB1[Row]=$E244)*(FrmBB1[Column]=UPPER(_xlfn.LET(_xlpm.x,_xlfn.TEXTBEFORE(U$114," ("),IFERROR(_xlpm.x,U$114)))&amp;" "&amp;V$115),0)))</f>
        <v>0</v>
      </c>
      <c r="W244" s="158" cm="1">
        <f t="array" aca="1" ref="W244" ca="1">IF(OR($E244="X",$E244="",$E244=0,$B244="X",$B244="",$B244=0),0,SUM(_xlfn._xlws.FILTER(FrmBB1[Cur],(FrmBB1[PrjId]=TEXT($B244,"@"))*(FrmBB1[Row]=$E244)*(FrmBB1[Column]=UPPER(_xlfn.LET(_xlpm.x,_xlfn.TEXTBEFORE(W$114," ("),IFERROR(_xlpm.x,W$114)))&amp;" "&amp;W$115),0)))</f>
        <v>0</v>
      </c>
      <c r="X244" s="157" cm="1">
        <f t="array" aca="1" ref="X244" ca="1">IF(OR($E244="X",$E244="",$E244=0,$B244="X",$B244="",$B244=0),0,SUM(_xlfn._xlws.FILTER(FrmBB1[Cur],(FrmBB1[PrjId]=TEXT($B244,"@"))*(FrmBB1[Row]=$E244)*(FrmBB1[Column]=UPPER(_xlfn.LET(_xlpm.x,_xlfn.TEXTBEFORE(W$114," ("),IFERROR(_xlpm.x,W$114)))&amp;" "&amp;X$115),0)))</f>
        <v>0</v>
      </c>
      <c r="Y244" s="158" cm="1">
        <f t="array" aca="1" ref="Y244" ca="1">IF(OR($E244="X",$E244="",$E244=0,$B244="X",$B244="",$B244=0),0,SUM(_xlfn._xlws.FILTER(FrmBB1[Cur],(FrmBB1[PrjId]=TEXT($B244,"@"))*(FrmBB1[Row]=$E244)*(FrmBB1[Column]=UPPER(_xlfn.LET(_xlpm.x,_xlfn.TEXTBEFORE(Y$114," ("),IFERROR(_xlpm.x,Y$114)))&amp;" "&amp;Y$115),0)))</f>
        <v>0</v>
      </c>
      <c r="Z244" s="157" cm="1">
        <f t="array" aca="1" ref="Z244" ca="1">IF(OR($E244="X",$E244="",$E244=0,$B244="X",$B244="",$B244=0),0,SUM(_xlfn._xlws.FILTER(FrmBB1[Cur],(FrmBB1[PrjId]=TEXT($B244,"@"))*(FrmBB1[Row]=$E244)*(FrmBB1[Column]=UPPER(_xlfn.LET(_xlpm.x,_xlfn.TEXTBEFORE(Y$114," ("),IFERROR(_xlpm.x,Y$114)))&amp;" "&amp;Z$115),0)))</f>
        <v>0</v>
      </c>
      <c r="AA244" s="158" cm="1">
        <f t="array" aca="1" ref="AA244" ca="1">IF(OR($E244="X",$E244="",$E244=0,$B244="X",$B244="",$B244=0),0,SUM(_xlfn._xlws.FILTER(FrmBB1[Cur],(FrmBB1[PrjId]=TEXT($B244,"@"))*(FrmBB1[Row]=$E244)*(FrmBB1[Column]=UPPER(_xlfn.LET(_xlpm.x,_xlfn.TEXTBEFORE(AA$114," ("),IFERROR(_xlpm.x,AA$114)))&amp;" "&amp;AA$115),0)))</f>
        <v>0</v>
      </c>
      <c r="AB244" s="157" cm="1">
        <f t="array" aca="1" ref="AB244" ca="1">IF(OR($E244="X",$E244="",$E244=0,$B244="X",$B244="",$B244=0),0,SUM(_xlfn._xlws.FILTER(FrmBB1[Cur],(FrmBB1[PrjId]=TEXT($B244,"@"))*(FrmBB1[Row]=$E244)*(FrmBB1[Column]=UPPER(_xlfn.LET(_xlpm.x,_xlfn.TEXTBEFORE(AA$114," ("),IFERROR(_xlpm.x,AA$114)))&amp;" "&amp;AB$115),0)))</f>
        <v>0</v>
      </c>
      <c r="AC244" s="158" cm="1">
        <f t="array" aca="1" ref="AC244" ca="1">IF(OR($E244="X",$E244="",$E244=0,$B244="X",$B244="",$B244=0),0,SUM(_xlfn._xlws.FILTER(FrmBB1[Cur],(FrmBB1[PrjId]=TEXT($B244,"@"))*(FrmBB1[Row]=$E244)*(FrmBB1[Column]=UPPER(_xlfn.LET(_xlpm.x,_xlfn.TEXTBEFORE(AC$114," ("),IFERROR(_xlpm.x,AC$114)))&amp;" "&amp;AC$115),0)))</f>
        <v>0</v>
      </c>
      <c r="AD244" s="157" cm="1">
        <f t="array" aca="1" ref="AD244" ca="1">IF(OR($E244="X",$E244="",$E244=0,$B244="X",$B244="",$B244=0),0,SUM(_xlfn._xlws.FILTER(FrmBB1[Cur],(FrmBB1[PrjId]=TEXT($B244,"@"))*(FrmBB1[Row]=$E244)*(FrmBB1[Column]=UPPER(_xlfn.LET(_xlpm.x,_xlfn.TEXTBEFORE(AC$114," ("),IFERROR(_xlpm.x,AC$114)))&amp;" "&amp;AD$115),0)))</f>
        <v>0</v>
      </c>
      <c r="AE244" s="158" cm="1">
        <f t="array" aca="1" ref="AE244" ca="1">IF(OR($E244="X",$E244="",$E244=0,$B244="X",$B244="",$B244=0),0,SUM(_xlfn._xlws.FILTER(FrmBB1[Cur],(FrmBB1[PrjId]=TEXT($B244,"@"))*(FrmBB1[Row]=$E244)*(FrmBB1[Column]=UPPER(_xlfn.LET(_xlpm.x,_xlfn.TEXTBEFORE(AE$114," ("),IFERROR(_xlpm.x,AE$114)))&amp;" "&amp;AE$115),0)))</f>
        <v>0</v>
      </c>
      <c r="AF244" s="157" cm="1">
        <f t="array" aca="1" ref="AF244" ca="1">IF(OR($E244="X",$E244="",$E244=0,$B244="X",$B244="",$B244=0),0,SUM(_xlfn._xlws.FILTER(FrmBB1[Cur],(FrmBB1[PrjId]=TEXT($B244,"@"))*(FrmBB1[Row]=$E244)*(FrmBB1[Column]=UPPER(_xlfn.LET(_xlpm.x,_xlfn.TEXTBEFORE(AE$114," ("),IFERROR(_xlpm.x,AE$114)))&amp;" "&amp;AF$115),0)))</f>
        <v>0</v>
      </c>
      <c r="AG244" s="158" cm="1">
        <f t="array" aca="1" ref="AG244" ca="1">IF(OR($E244="X",$E244="",$E244=0,$B244="X",$B244="",$B244=0),0,SUM(_xlfn._xlws.FILTER(FrmBB1[Cur],(FrmBB1[PrjId]=TEXT($B244,"@"))*(FrmBB1[Row]=$E244)*(FrmBB1[Column]=UPPER(_xlfn.LET(_xlpm.x,_xlfn.TEXTBEFORE(AG$114," ("),IFERROR(_xlpm.x,AG$114)))&amp;" "&amp;AG$115),0)))</f>
        <v>0</v>
      </c>
      <c r="AH244" s="157" cm="1">
        <f t="array" aca="1" ref="AH244" ca="1">IF(OR($E244="X",$E244="",$E244=0,$B244="X",$B244="",$B244=0),0,SUM(_xlfn._xlws.FILTER(FrmBB1[Cur],(FrmBB1[PrjId]=TEXT($B244,"@"))*(FrmBB1[Row]=$E244)*(FrmBB1[Column]=UPPER(_xlfn.LET(_xlpm.x,_xlfn.TEXTBEFORE(AG$114," ("),IFERROR(_xlpm.x,AG$114)))&amp;" "&amp;AH$115),0)))</f>
        <v>0</v>
      </c>
      <c r="AI244" s="158" cm="1">
        <f t="array" aca="1" ref="AI244" ca="1">IF(OR($E244="X",$E244="",$E244=0,$B244="X",$B244="",$B244=0),0,SUM(_xlfn._xlws.FILTER(FrmBB1[Cur],(FrmBB1[PrjId]=TEXT($B244,"@"))*(FrmBB1[Row]=$E244)*(FrmBB1[Column]=UPPER(_xlfn.LET(_xlpm.x,_xlfn.TEXTBEFORE(AI$114," ("),IFERROR(_xlpm.x,AI$114)))&amp;" "&amp;AI$115),0)))</f>
        <v>0</v>
      </c>
      <c r="AJ244" s="157" cm="1">
        <f t="array" aca="1" ref="AJ244" ca="1">IF(OR($E244="X",$E244="",$E244=0,$B244="X",$B244="",$B244=0),0,SUM(_xlfn._xlws.FILTER(FrmBB1[Cur],(FrmBB1[PrjId]=TEXT($B244,"@"))*(FrmBB1[Row]=$E244)*(FrmBB1[Column]=UPPER(_xlfn.LET(_xlpm.x,_xlfn.TEXTBEFORE(AI$114," ("),IFERROR(_xlpm.x,AI$114)))&amp;" "&amp;AJ$115),0)))</f>
        <v>0</v>
      </c>
      <c r="AK244" s="158" cm="1">
        <f t="array" aca="1" ref="AK244" ca="1">IF(OR($E244="X",$E244="",$E244=0,$B244="X",$B244="",$B244=0),0,SUM(_xlfn._xlws.FILTER(FrmBB1[Cur],(FrmBB1[PrjId]=TEXT($B244,"@"))*(FrmBB1[Row]=$E244)*(FrmBB1[Column]=UPPER(_xlfn.LET(_xlpm.x,_xlfn.TEXTBEFORE(AK$114," ("),IFERROR(_xlpm.x,AK$114)))&amp;" "&amp;AK$115),0)))</f>
        <v>0</v>
      </c>
      <c r="AL244" s="157" cm="1">
        <f t="array" aca="1" ref="AL244" ca="1">IF(OR($E244="X",$E244="",$E244=0,$B244="X",$B244="",$B244=0),0,SUM(_xlfn._xlws.FILTER(FrmBB1[Cur],(FrmBB1[PrjId]=TEXT($B244,"@"))*(FrmBB1[Row]=$E244)*(FrmBB1[Column]=UPPER(_xlfn.LET(_xlpm.x,_xlfn.TEXTBEFORE(AK$114," ("),IFERROR(_xlpm.x,AK$114)))&amp;" "&amp;AL$115),0)))</f>
        <v>0</v>
      </c>
      <c r="AM244" s="158" cm="1">
        <f t="array" aca="1" ref="AM244" ca="1">IF(OR($E244="X",$E244="",$E244=0,$B244="X",$B244="",$B244=0),0,SUM(_xlfn._xlws.FILTER(FrmBB1[Cur],(FrmBB1[PrjId]=TEXT($B244,"@"))*(FrmBB1[Row]=$E244)*(FrmBB1[Column]=UPPER(_xlfn.LET(_xlpm.x,_xlfn.TEXTBEFORE(AM$114," ("),IFERROR(_xlpm.x,AM$114)))&amp;" "&amp;AM$115),0)))</f>
        <v>0</v>
      </c>
      <c r="AN244" s="157" cm="1">
        <f t="array" aca="1" ref="AN244" ca="1">IF(OR($E244="X",$E244="",$E244=0,$B244="X",$B244="",$B244=0),0,SUM(_xlfn._xlws.FILTER(FrmBB1[Cur],(FrmBB1[PrjId]=TEXT($B244,"@"))*(FrmBB1[Row]=$E244)*(FrmBB1[Column]=UPPER(_xlfn.LET(_xlpm.x,_xlfn.TEXTBEFORE(AM$114," ("),IFERROR(_xlpm.x,AM$114)))&amp;" "&amp;AN$115),0)))</f>
        <v>0</v>
      </c>
      <c r="AO244" s="158" cm="1">
        <f t="array" aca="1" ref="AO244" ca="1">IF(OR($E244="X",$E244="",$E244=0,$B244="X",$B244="",$B244=0),0,SUM(_xlfn._xlws.FILTER(FrmBB1[Cur],(FrmBB1[PrjId]=TEXT($B244,"@"))*(FrmBB1[Row]=$E244)*(FrmBB1[Column]=UPPER(_xlfn.LET(_xlpm.x,_xlfn.TEXTBEFORE(AO$114," ("),IFERROR(_xlpm.x,AO$114)))&amp;" "&amp;AO$115),0)))</f>
        <v>0</v>
      </c>
      <c r="AP244" s="157" cm="1">
        <f t="array" aca="1" ref="AP244" ca="1">IF(OR($E244="X",$E244="",$E244=0,$B244="X",$B244="",$B244=0),0,SUM(_xlfn._xlws.FILTER(FrmBB1[Cur],(FrmBB1[PrjId]=TEXT($B244,"@"))*(FrmBB1[Row]=$E244)*(FrmBB1[Column]=UPPER(_xlfn.LET(_xlpm.x,_xlfn.TEXTBEFORE(AO$114," ("),IFERROR(_xlpm.x,AO$114)))&amp;" "&amp;AP$115),0)))</f>
        <v>0</v>
      </c>
      <c r="AQ244" s="157" cm="1">
        <f t="array" aca="1" ref="AQ244" ca="1">SUM(IF(INDIRECT($AS$115)=AQ$115,INDIRECT($AS244)))</f>
        <v>0</v>
      </c>
      <c r="AR244" s="157" cm="1">
        <f t="array" aca="1" ref="AR244" ca="1">SUM(IF(INDIRECT($AS$115)=AR$115,INDIRECT($AS244)))</f>
        <v>0</v>
      </c>
      <c r="AS244" s="286" t="str">
        <f t="shared" ca="1" si="19"/>
        <v>G244:AP244</v>
      </c>
      <c r="AT244" s="403">
        <f t="shared" ref="AT244:AT253" ca="1" si="20">SUM(INDIRECT("rc"&amp;MATCH("ECD",$1:$1,0)&amp;":rc"&amp;(MATCH("EOC",$1:$1,0)-1),FALSE))</f>
        <v>0</v>
      </c>
      <c r="AV244" s="142" cm="1">
        <f t="array" aca="1" ref="AV244" ca="1">IF(AND(_xlfn.LET(_xlpm.x,SUM(ROW()),OR(AND(MATCH("SOT",$A:$A,0)&lt;_xlpm.x,MATCH("EOT",$A:$A,0)&gt;_xlpm.x),AND(MATCH("SOS",$A:$A,0)&lt;_xlpm.x,MATCH("EOS",$A:$A,0)&gt;_xlpm.x),AND(MATCH("SOR",$A:$A,0)&lt;_xlpm.x,MATCH("EOR",$A:$A,0)&gt;_xlpm.x))),INDIRECT("rc"&amp;MATCH("SCD",$1:$1,0),FALSE)="PPTO"),1,0)</f>
        <v>0</v>
      </c>
      <c r="AW244" s="142" cm="1">
        <f t="array" aca="1" ref="AW24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245" spans="1:49" outlineLevel="1">
      <c r="B245" s="156" t="str" cm="1">
        <f t="array" aca="1" ref="B245" ca="1">_xlfn.LET(_xlpm.x,SUM(ROW()-MATCH("SOR",$A:$A,0)),_xlpm.y,IFERROR(_xlfn.TAKE(INDEX(_xlfn._xlws.FILTER(TbAssign[],ISNUMBER(FIND(TbAssign[Project],$C$4)),"X"),1+QUOTIENT(_xlpm.x,3),0),1,4),0),IF(MOD(_xlpm.x-1,3)=0,IF(_xlpm.y=0,"X",_xlpm.y),INDIRECT("r[-1]c#",FALSE)))</f>
        <v>X</v>
      </c>
      <c r="C245" s="156"/>
      <c r="E245" s="352"/>
      <c r="F245" s="148" t="s">
        <v>397</v>
      </c>
      <c r="G245" s="157" cm="1">
        <f t="array" aca="1" ref="G245" ca="1">IF(OR($E245="X",$E245="",$E245=0,$B245="X",$B245="",$B245=0),0,SUM(_xlfn._xlws.FILTER(IF($E$4="Ppto",PptoSty[CurPpto],PptoSty[CurInt]),(IF($E$4="Ppto",PptoSty[POvsCT]=G$113,TRUE))*(PptoSty[Project]=TEXT($B245,"@"))*(PptoSty[PptoVsRow]=$E245)*(PptoSty[PptoVsColumn]=UPPER(G$114)),0)))</f>
        <v>0</v>
      </c>
      <c r="H245" s="157" cm="1">
        <f t="array" aca="1" ref="H245" ca="1">IF(OR($E245="X",$E245="",$E245=0,$B245="X",$B245="",$B245=0),0,SUM(_xlfn._xlws.FILTER(IF($E$4="Ppto",PptoSty[CurPpto],PptoSty[CurExt]),(IF($E$4="Ppto",PptoSty[POvsCT]=H$113,TRUE))*(PptoSty[Project]=TEXT($B245,"@"))*(PptoSty[PptoVsRow]=$E245)*(PptoSty[PptoVsColumn]=UPPER(G$114)),0)))</f>
        <v>0</v>
      </c>
      <c r="I245" s="157" cm="1">
        <f t="array" aca="1" ref="I245" ca="1">IF(OR($E245="X",$E245="",$E245=0,$B245="X",$B245="",$B245=0),0,SUM(_xlfn._xlws.FILTER(IF($E$4="Ppto",PptoSty[CurPpto],PptoSty[CurInt]),(IF($E$4="Ppto",PptoSty[POvsCT]=I$113,TRUE))*(PptoSty[Project]=TEXT($B245,"@"))*(PptoSty[PptoVsRow]=$E245)*(PptoSty[PptoVsColumn]=UPPER(I$114)),0)))</f>
        <v>0</v>
      </c>
      <c r="J245" s="157" cm="1">
        <f t="array" aca="1" ref="J245" ca="1">IF(OR($E245="X",$E245="",$E245=0,$B245="X",$B245="",$B245=0),0,SUM(_xlfn._xlws.FILTER(IF($E$4="Ppto",PptoSty[CurPpto],PptoSty[CurExt]),(IF($E$4="Ppto",PptoSty[POvsCT]=J$113,TRUE))*(PptoSty[Project]=TEXT($B245,"@"))*(PptoSty[PptoVsRow]=$E245)*(PptoSty[PptoVsColumn]=UPPER(I$114)),0)))</f>
        <v>0</v>
      </c>
      <c r="K245" s="157" cm="1">
        <f t="array" aca="1" ref="K245" ca="1">IF(OR($E245="X",$E245="",$E245=0,$B245="X",$B245="",$B245=0),0,SUM(_xlfn._xlws.FILTER(IF($E$4="Ppto",PptoSty[CurPpto],PptoSty[CurInt]),(IF($E$4="Ppto",PptoSty[POvsCT]=K$113,TRUE))*(PptoSty[Project]=TEXT($B245,"@"))*(PptoSty[PptoVsRow]=$E245)*(PptoSty[PptoVsColumn]=UPPER(K$114)),0)))</f>
        <v>0</v>
      </c>
      <c r="L245" s="157" cm="1">
        <f t="array" aca="1" ref="L245" ca="1">IF(OR($E245="X",$E245="",$E245=0,$B245="X",$B245="",$B245=0),0,SUM(_xlfn._xlws.FILTER(IF($E$4="Ppto",PptoSty[CurPpto],PptoSty[CurExt]),(IF($E$4="Ppto",PptoSty[POvsCT]=L$113,TRUE))*(PptoSty[Project]=TEXT($B245,"@"))*(PptoSty[PptoVsRow]=$E245)*(PptoSty[PptoVsColumn]=UPPER(K$114)),0)))</f>
        <v>0</v>
      </c>
      <c r="M245" s="157" cm="1">
        <f t="array" aca="1" ref="M245" ca="1">IF(OR($E245="X",$E245="",$E245=0,$B245="X",$B245="",$B245=0),0,SUM(_xlfn._xlws.FILTER(IF($E$4="Ppto",PptoSty[CurPpto],PptoSty[CurInt]),(IF($E$4="Ppto",PptoSty[POvsCT]=M$113,TRUE))*(PptoSty[Project]=TEXT($B245,"@"))*(PptoSty[PptoVsRow]=$E245)*(PptoSty[PptoVsColumn]=UPPER(M$114)),0)))</f>
        <v>0</v>
      </c>
      <c r="N245" s="157" cm="1">
        <f t="array" aca="1" ref="N245" ca="1">IF(OR($E245="X",$E245="",$E245=0,$B245="X",$B245="",$B245=0),0,SUM(_xlfn._xlws.FILTER(IF($E$4="Ppto",PptoSty[CurPpto],PptoSty[CurExt]),(IF($E$4="Ppto",PptoSty[POvsCT]=N$113,TRUE))*(PptoSty[Project]=TEXT($B245,"@"))*(PptoSty[PptoVsRow]=$E245)*(PptoSty[PptoVsColumn]=UPPER(M$114)),0)))</f>
        <v>0</v>
      </c>
      <c r="O245" s="157" cm="1">
        <f t="array" aca="1" ref="O245" ca="1">IF(OR($E245="X",$E245="",$E245=0,$B245="X",$B245="",$B245=0),0,SUM(_xlfn._xlws.FILTER(IF($E$4="Ppto",PptoSty[CurPpto],PptoSty[CurInt]),(IF($E$4="Ppto",PptoSty[POvsCT]=O$113,TRUE))*(PptoSty[Project]=TEXT($B245,"@"))*(PptoSty[PptoVsRow]=$E245)*(PptoSty[PptoVsColumn]=UPPER(O$114)),0)))</f>
        <v>0</v>
      </c>
      <c r="P245" s="157" cm="1">
        <f t="array" aca="1" ref="P245" ca="1">IF(OR($E245="X",$E245="",$E245=0,$B245="X",$B245="",$B245=0),0,SUM(_xlfn._xlws.FILTER(IF($E$4="Ppto",PptoSty[CurPpto],PptoSty[CurExt]),(IF($E$4="Ppto",PptoSty[POvsCT]=P$113,TRUE))*(PptoSty[Project]=TEXT($B245,"@"))*(PptoSty[PptoVsRow]=$E245)*(PptoSty[PptoVsColumn]=UPPER(O$114)),0)))</f>
        <v>0</v>
      </c>
      <c r="Q245" s="157" cm="1">
        <f t="array" aca="1" ref="Q245" ca="1">IF(OR($E245="X",$E245="",$E245=0,$B245="X",$B245="",$B245=0),0,SUM(_xlfn._xlws.FILTER(IF($E$4="Ppto",PptoSty[CurPpto],PptoSty[CurInt]),(IF($E$4="Ppto",PptoSty[POvsCT]=Q$113,TRUE))*(PptoSty[Project]=TEXT($B245,"@"))*(PptoSty[PptoVsRow]=$E245)*(PptoSty[PptoVsColumn]=UPPER(Q$114)),0)))</f>
        <v>0</v>
      </c>
      <c r="R245" s="157" cm="1">
        <f t="array" aca="1" ref="R245" ca="1">IF(OR($E245="X",$E245="",$E245=0,$B245="X",$B245="",$B245=0),0,SUM(_xlfn._xlws.FILTER(IF($E$4="Ppto",PptoSty[CurPpto],PptoSty[CurExt]),(IF($E$4="Ppto",PptoSty[POvsCT]=R$113,TRUE))*(PptoSty[Project]=TEXT($B245,"@"))*(PptoSty[PptoVsRow]=$E245)*(PptoSty[PptoVsColumn]=UPPER(Q$114)),0)))</f>
        <v>0</v>
      </c>
      <c r="S245" s="157" cm="1">
        <f t="array" aca="1" ref="S245" ca="1">IF(OR($E245="X",$E245="",$E245=0,$B245="X",$B245="",$B245=0),0,SUM(_xlfn._xlws.FILTER(IF($E$4="Ppto",PptoSty[CurPpto],PptoSty[CurInt]),(IF($E$4="Ppto",PptoSty[POvsCT]=S$113,TRUE))*(PptoSty[Project]=TEXT($B245,"@"))*(PptoSty[PptoVsRow]=$E245)*(PptoSty[PptoVsColumn]=UPPER(S$114)),0)))</f>
        <v>0</v>
      </c>
      <c r="T245" s="157" cm="1">
        <f t="array" aca="1" ref="T245" ca="1">IF(OR($E245="X",$E245="",$E245=0,$B245="X",$B245="",$B245=0),0,SUM(_xlfn._xlws.FILTER(IF($E$4="Ppto",PptoSty[CurPpto],PptoSty[CurExt]),(IF($E$4="Ppto",PptoSty[POvsCT]=T$113,TRUE))*(PptoSty[Project]=TEXT($B245,"@"))*(PptoSty[PptoVsRow]=$E245)*(PptoSty[PptoVsColumn]=UPPER(S$114)),0)))</f>
        <v>0</v>
      </c>
      <c r="U245" s="157" cm="1">
        <f t="array" aca="1" ref="U245" ca="1">IF(OR($E245="X",$E245="",$E245=0,$B245="X",$B245="",$B245=0),0,SUM(_xlfn._xlws.FILTER(IF($E$4="Ppto",PptoSty[CurPpto],PptoSty[CurInt]),(IF($E$4="Ppto",PptoSty[POvsCT]=U$113,TRUE))*(PptoSty[Project]=TEXT($B245,"@"))*(PptoSty[PptoVsRow]=$E245)*(PptoSty[PptoVsColumn]=UPPER(U$114)),0)))</f>
        <v>0</v>
      </c>
      <c r="V245" s="157" cm="1">
        <f t="array" aca="1" ref="V245" ca="1">IF(OR($E245="X",$E245="",$E245=0,$B245="X",$B245="",$B245=0),0,SUM(_xlfn._xlws.FILTER(IF($E$4="Ppto",PptoSty[CurPpto],PptoSty[CurExt]),(IF($E$4="Ppto",PptoSty[POvsCT]=V$113,TRUE))*(PptoSty[Project]=TEXT($B245,"@"))*(PptoSty[PptoVsRow]=$E245)*(PptoSty[PptoVsColumn]=UPPER(U$114)),0)))</f>
        <v>0</v>
      </c>
      <c r="W245" s="157" cm="1">
        <f t="array" aca="1" ref="W245" ca="1">IF(OR($E245="X",$E245="",$E245=0,$B245="X",$B245="",$B245=0),0,SUM(_xlfn._xlws.FILTER(IF($E$4="Ppto",PptoSty[CurPpto],PptoSty[CurInt]),(IF($E$4="Ppto",PptoSty[POvsCT]=W$113,TRUE))*(PptoSty[Project]=TEXT($B245,"@"))*(PptoSty[PptoVsRow]=$E245)*(PptoSty[PptoVsColumn]=UPPER(W$114)),0)))</f>
        <v>0</v>
      </c>
      <c r="X245" s="157" cm="1">
        <f t="array" aca="1" ref="X245" ca="1">IF(OR($E245="X",$E245="",$E245=0,$B245="X",$B245="",$B245=0),0,SUM(_xlfn._xlws.FILTER(IF($E$4="Ppto",PptoSty[CurPpto],PptoSty[CurExt]),(IF($E$4="Ppto",PptoSty[POvsCT]=X$113,TRUE))*(PptoSty[Project]=TEXT($B245,"@"))*(PptoSty[PptoVsRow]=$E245)*(PptoSty[PptoVsColumn]=UPPER(W$114)),0)))</f>
        <v>0</v>
      </c>
      <c r="Y245" s="157" cm="1">
        <f t="array" aca="1" ref="Y245" ca="1">IF(OR($E245="X",$E245="",$E245=0,$B245="X",$B245="",$B245=0),0,SUM(_xlfn._xlws.FILTER(IF($E$4="Ppto",PptoSty[CurPpto],PptoSty[CurInt]),(IF($E$4="Ppto",PptoSty[POvsCT]=Y$113,TRUE))*(PptoSty[Project]=TEXT($B245,"@"))*(PptoSty[PptoVsRow]=$E245)*(PptoSty[PptoVsColumn]=UPPER(Y$114)),0)))</f>
        <v>0</v>
      </c>
      <c r="Z245" s="157" cm="1">
        <f t="array" aca="1" ref="Z245" ca="1">IF(OR($E245="X",$E245="",$E245=0,$B245="X",$B245="",$B245=0),0,SUM(_xlfn._xlws.FILTER(IF($E$4="Ppto",PptoSty[CurPpto],PptoSty[CurExt]),(IF($E$4="Ppto",PptoSty[POvsCT]=Z$113,TRUE))*(PptoSty[Project]=TEXT($B245,"@"))*(PptoSty[PptoVsRow]=$E245)*(PptoSty[PptoVsColumn]=UPPER(Y$114)),0)))</f>
        <v>0</v>
      </c>
      <c r="AA245" s="157" cm="1">
        <f t="array" aca="1" ref="AA245" ca="1">IF(OR($E245="X",$E245="",$E245=0,$B245="X",$B245="",$B245=0),0,SUM(_xlfn._xlws.FILTER(IF($E$4="Ppto",PptoSty[CurPpto],PptoSty[CurInt]),(IF($E$4="Ppto",PptoSty[POvsCT]=AA$113,TRUE))*(PptoSty[Project]=TEXT($B245,"@"))*(PptoSty[PptoVsRow]=$E245)*(PptoSty[PptoVsColumn]=UPPER(AA$114)),0)))</f>
        <v>0</v>
      </c>
      <c r="AB245" s="157" cm="1">
        <f t="array" aca="1" ref="AB245" ca="1">IF(OR($E245="X",$E245="",$E245=0,$B245="X",$B245="",$B245=0),0,SUM(_xlfn._xlws.FILTER(IF($E$4="Ppto",PptoSty[CurPpto],PptoSty[CurExt]),(IF($E$4="Ppto",PptoSty[POvsCT]=AB$113,TRUE))*(PptoSty[Project]=TEXT($B245,"@"))*(PptoSty[PptoVsRow]=$E245)*(PptoSty[PptoVsColumn]=UPPER(AA$114)),0)))</f>
        <v>0</v>
      </c>
      <c r="AC245" s="157" cm="1">
        <f t="array" aca="1" ref="AC245" ca="1">IF(OR($E245="X",$E245="",$E245=0,$B245="X",$B245="",$B245=0),0,SUM(_xlfn._xlws.FILTER(IF($E$4="Ppto",PptoSty[CurPpto],PptoSty[CurInt]),(IF($E$4="Ppto",PptoSty[POvsCT]=AC$113,TRUE))*(PptoSty[Project]=TEXT($B245,"@"))*(PptoSty[PptoVsRow]=$E245)*(PptoSty[PptoVsColumn]=UPPER(AC$114)),0)))</f>
        <v>0</v>
      </c>
      <c r="AD245" s="157" cm="1">
        <f t="array" aca="1" ref="AD245" ca="1">IF(OR($E245="X",$E245="",$E245=0,$B245="X",$B245="",$B245=0),0,SUM(_xlfn._xlws.FILTER(IF($E$4="Ppto",PptoSty[CurPpto],PptoSty[CurExt]),(IF($E$4="Ppto",PptoSty[POvsCT]=AD$113,TRUE))*(PptoSty[Project]=TEXT($B245,"@"))*(PptoSty[PptoVsRow]=$E245)*(PptoSty[PptoVsColumn]=UPPER(AC$114)),0)))</f>
        <v>0</v>
      </c>
      <c r="AE245" s="157" cm="1">
        <f t="array" aca="1" ref="AE245" ca="1">IF(OR($E245="X",$E245="",$E245=0,$B245="X",$B245="",$B245=0),0,SUM(_xlfn._xlws.FILTER(IF($E$4="Ppto",PptoSty[CurPpto],PptoSty[CurInt]),(IF($E$4="Ppto",PptoSty[POvsCT]=AE$113,TRUE))*(PptoSty[Project]=TEXT($B245,"@"))*(PptoSty[PptoVsRow]=$E245)*(PptoSty[PptoVsColumn]=UPPER(AE$114)),0)))</f>
        <v>0</v>
      </c>
      <c r="AF245" s="157" cm="1">
        <f t="array" aca="1" ref="AF245" ca="1">IF(OR($E245="X",$E245="",$E245=0,$B245="X",$B245="",$B245=0),0,SUM(_xlfn._xlws.FILTER(IF($E$4="Ppto",PptoSty[CurPpto],PptoSty[CurExt]),(IF($E$4="Ppto",PptoSty[POvsCT]=AF$113,TRUE))*(PptoSty[Project]=TEXT($B245,"@"))*(PptoSty[PptoVsRow]=$E245)*(PptoSty[PptoVsColumn]=UPPER(AE$114)),0)))</f>
        <v>0</v>
      </c>
      <c r="AG245" s="157" cm="1">
        <f t="array" aca="1" ref="AG245" ca="1">IF(OR($E245="X",$E245="",$E245=0,$B245="X",$B245="",$B245=0),0,SUM(_xlfn._xlws.FILTER(IF($E$4="Ppto",PptoSty[CurPpto],PptoSty[CurInt]),(IF($E$4="Ppto",PptoSty[POvsCT]=AG$113,TRUE))*(PptoSty[Project]=TEXT($B245,"@"))*(PptoSty[PptoVsRow]=$E245)*(PptoSty[PptoVsColumn]=UPPER(AG$114)),0)))</f>
        <v>0</v>
      </c>
      <c r="AH245" s="157" cm="1">
        <f t="array" aca="1" ref="AH245" ca="1">IF(OR($E245="X",$E245="",$E245=0,$B245="X",$B245="",$B245=0),0,SUM(_xlfn._xlws.FILTER(IF($E$4="Ppto",PptoSty[CurPpto],PptoSty[CurExt]),(IF($E$4="Ppto",PptoSty[POvsCT]=AH$113,TRUE))*(PptoSty[Project]=TEXT($B245,"@"))*(PptoSty[PptoVsRow]=$E245)*(PptoSty[PptoVsColumn]=UPPER(AG$114)),0)))</f>
        <v>0</v>
      </c>
      <c r="AI245" s="157" cm="1">
        <f t="array" aca="1" ref="AI245" ca="1">IF(OR($E245="X",$E245="",$E245=0,$B245="X",$B245="",$B245=0),0,SUM(_xlfn._xlws.FILTER(IF($E$4="Ppto",PptoSty[CurPpto],PptoSty[CurInt]),(IF($E$4="Ppto",PptoSty[POvsCT]=AI$113,TRUE))*(PptoSty[Project]=TEXT($B245,"@"))*(PptoSty[PptoVsRow]=$E245)*(PptoSty[PptoVsColumn]=UPPER(AI$114)),0)))</f>
        <v>0</v>
      </c>
      <c r="AJ245" s="157" cm="1">
        <f t="array" aca="1" ref="AJ245" ca="1">IF(OR($E245="X",$E245="",$E245=0,$B245="X",$B245="",$B245=0),0,SUM(_xlfn._xlws.FILTER(IF($E$4="Ppto",PptoSty[CurPpto],PptoSty[CurExt]),(IF($E$4="Ppto",PptoSty[POvsCT]=AJ$113,TRUE))*(PptoSty[Project]=TEXT($B245,"@"))*(PptoSty[PptoVsRow]=$E245)*(PptoSty[PptoVsColumn]=UPPER(AI$114)),0)))</f>
        <v>0</v>
      </c>
      <c r="AK245" s="157" cm="1">
        <f t="array" aca="1" ref="AK245" ca="1">IF(OR($E245="X",$E245="",$E245=0,$B245="X",$B245="",$B245=0),0,SUM(_xlfn._xlws.FILTER(IF($E$4="Ppto",PptoSty[CurPpto],PptoSty[CurInt]),(IF($E$4="Ppto",PptoSty[POvsCT]=AK$113,TRUE))*(PptoSty[Project]=TEXT($B245,"@"))*(PptoSty[PptoVsRow]=$E245)*(PptoSty[PptoVsColumn]=UPPER(AK$114)),0)))</f>
        <v>0</v>
      </c>
      <c r="AL245" s="157" cm="1">
        <f t="array" aca="1" ref="AL245" ca="1">IF(OR($E245="X",$E245="",$E245=0,$B245="X",$B245="",$B245=0),0,SUM(_xlfn._xlws.FILTER(IF($E$4="Ppto",PptoSty[CurPpto],PptoSty[CurExt]),(IF($E$4="Ppto",PptoSty[POvsCT]=AL$113,TRUE))*(PptoSty[Project]=TEXT($B245,"@"))*(PptoSty[PptoVsRow]=$E245)*(PptoSty[PptoVsColumn]=UPPER(AK$114)),0)))</f>
        <v>0</v>
      </c>
      <c r="AM245" s="157" cm="1">
        <f t="array" aca="1" ref="AM245" ca="1">IF(OR($E245="X",$E245="",$E245=0,$B245="X",$B245="",$B245=0),0,SUM(_xlfn._xlws.FILTER(IF($E$4="Ppto",PptoSty[CurPpto],PptoSty[CurInt]),(IF($E$4="Ppto",PptoSty[POvsCT]=AM$113,TRUE))*(PptoSty[Project]=TEXT($B245,"@"))*(PptoSty[PptoVsRow]=$E245)*(PptoSty[PptoVsColumn]=UPPER(AM$114)),0)))</f>
        <v>0</v>
      </c>
      <c r="AN245" s="157" cm="1">
        <f t="array" aca="1" ref="AN245" ca="1">IF(OR($E245="X",$E245="",$E245=0,$B245="X",$B245="",$B245=0),0,SUM(_xlfn._xlws.FILTER(IF($E$4="Ppto",PptoSty[CurPpto],PptoSty[CurExt]),(IF($E$4="Ppto",PptoSty[POvsCT]=AN$113,TRUE))*(PptoSty[Project]=TEXT($B245,"@"))*(PptoSty[PptoVsRow]=$E245)*(PptoSty[PptoVsColumn]=UPPER(AM$114)),0)))</f>
        <v>0</v>
      </c>
      <c r="AO245" s="157" cm="1">
        <f t="array" aca="1" ref="AO245" ca="1">IF(OR($E245="X",$E245="",$E245=0,$B245="X",$B245="",$B245=0),0,SUM(_xlfn._xlws.FILTER(IF($E$4="Ppto",PptoSty[CurPpto],PptoSty[CurInt]),(IF($E$4="Ppto",PptoSty[POvsCT]=AO$113,TRUE))*(PptoSty[Project]=TEXT($B245,"@"))*(PptoSty[PptoVsRow]=$E245)*(PptoSty[PptoVsColumn]=UPPER(AO$114)),0)))</f>
        <v>0</v>
      </c>
      <c r="AP245" s="157" cm="1">
        <f t="array" aca="1" ref="AP245" ca="1">IF(OR($E245="X",$E245="",$E245=0,$B245="X",$B245="",$B245=0),0,SUM(_xlfn._xlws.FILTER(IF($E$4="Ppto",PptoSty[CurPpto],PptoSty[CurExt]),(IF($E$4="Ppto",PptoSty[POvsCT]=AP$113,TRUE))*(PptoSty[Project]=TEXT($B245,"@"))*(PptoSty[PptoVsRow]=$E245)*(PptoSty[PptoVsColumn]=UPPER(AO$114)),0)))</f>
        <v>0</v>
      </c>
      <c r="AQ245" s="157" cm="1">
        <f t="array" aca="1" ref="AQ245" ca="1">SUM(IF(INDIRECT($AS$115)=AQ$115,INDIRECT($AS245)))</f>
        <v>0</v>
      </c>
      <c r="AR245" s="157" cm="1">
        <f t="array" aca="1" ref="AR245" ca="1">SUM(IF(INDIRECT($AS$115)=AR$115,INDIRECT($AS245)))</f>
        <v>0</v>
      </c>
      <c r="AS245" s="286" t="str">
        <f t="shared" ca="1" si="19"/>
        <v>G245:AP245</v>
      </c>
      <c r="AT245" s="403">
        <f t="shared" ca="1" si="20"/>
        <v>0</v>
      </c>
      <c r="AV245" s="142" cm="1">
        <f t="array" aca="1" ref="AV245" ca="1">IF(AND(_xlfn.LET(_xlpm.x,SUM(ROW()),OR(AND(MATCH("SOT",$A:$A,0)&lt;_xlpm.x,MATCH("EOT",$A:$A,0)&gt;_xlpm.x),AND(MATCH("SOS",$A:$A,0)&lt;_xlpm.x,MATCH("EOS",$A:$A,0)&gt;_xlpm.x),AND(MATCH("SOR",$A:$A,0)&lt;_xlpm.x,MATCH("EOR",$A:$A,0)&gt;_xlpm.x))),INDIRECT("rc"&amp;MATCH("SCD",$1:$1,0),FALSE)="PPTO"),1,0)</f>
        <v>1</v>
      </c>
      <c r="AW245" s="142" cm="1">
        <f t="array" aca="1" ref="AW24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246" spans="1:49" outlineLevel="1">
      <c r="B246" s="156" t="str" cm="1">
        <f t="array" aca="1" ref="B246" ca="1">_xlfn.LET(_xlpm.x,SUM(ROW()-MATCH("SOR",$A:$A,0)),_xlpm.y,IFERROR(_xlfn.TAKE(INDEX(_xlfn._xlws.FILTER(TbAssign[],ISNUMBER(FIND(TbAssign[Project],$C$4)),"X"),1+QUOTIENT(_xlpm.x,3),0),1,4),0),IF(MOD(_xlpm.x-1,3)=0,IF(_xlpm.y=0,"X",_xlpm.y),INDIRECT("r[-1]c#",FALSE)))</f>
        <v>X</v>
      </c>
      <c r="C246" s="156"/>
      <c r="E246" s="352"/>
      <c r="F246" s="148" t="s">
        <v>1382</v>
      </c>
      <c r="G246" s="157" cm="1">
        <f t="array" aca="1" ref="G246" ca="1">IF(OR($E246="X",$E246="",$E246=0,$B246="X",$B246="",$B246=0),0,SUM(_xlfn._xlws.FILTER(PrvSty[DsvValue:SERRA],(PrvSty[Project]=TEXT($B246,"@"))*(PrvSty[Row]=$E246)*(PrvSty[Column]=UPPER(G$114)),0)))</f>
        <v>0</v>
      </c>
      <c r="H246" s="157" cm="1">
        <f t="array" aca="1" ref="H246" ca="1">IF(OR($E246="X",$E246="",$E246=0,$B246="X",$B246="",$B246=0),0,SUM(_xlfn._xlws.FILTER(PrvSty[DsvValue:EXT.],(PrvSty[Project]=TEXT($B246,"@"))*(PrvSty[Row]=$E246)*(PrvSty[Column]=UPPER(G$114)),0)))</f>
        <v>0</v>
      </c>
      <c r="I246" s="157" cm="1">
        <f t="array" aca="1" ref="I246" ca="1">IF(OR($E246="X",$E246="",$E246=0,$B246="X",$B246="",$B246=0),0,SUM(_xlfn._xlws.FILTER(PrvSty[DsvValue:SERRA],(PrvSty[Project]=TEXT($B246,"@"))*(PrvSty[Row]=$E246)*(PrvSty[Column]=UPPER(I$114)),0)))</f>
        <v>0</v>
      </c>
      <c r="J246" s="157" cm="1">
        <f t="array" aca="1" ref="J246" ca="1">IF(OR($E246="X",$E246="",$E246=0,$B246="X",$B246="",$B246=0),0,SUM(_xlfn._xlws.FILTER(PrvSty[DsvValue:EXT.],(PrvSty[Project]=TEXT($B246,"@"))*(PrvSty[Row]=$E246)*(PrvSty[Column]=UPPER(I$114)),0)))</f>
        <v>0</v>
      </c>
      <c r="K246" s="157" cm="1">
        <f t="array" aca="1" ref="K246" ca="1">IF(OR($E246="X",$E246="",$E246=0,$B246="X",$B246="",$B246=0),0,SUM(_xlfn._xlws.FILTER(PrvSty[DsvValue:SERRA],(PrvSty[Project]=TEXT($B246,"@"))*(PrvSty[Row]=$E246)*(PrvSty[Column]=UPPER(K$114)),0)))</f>
        <v>0</v>
      </c>
      <c r="L246" s="157" cm="1">
        <f t="array" aca="1" ref="L246" ca="1">IF(OR($E246="X",$E246="",$E246=0,$B246="X",$B246="",$B246=0),0,SUM(_xlfn._xlws.FILTER(PrvSty[DsvValue:EXT.],(PrvSty[Project]=TEXT($B246,"@"))*(PrvSty[Row]=$E246)*(PrvSty[Column]=UPPER(K$114)),0)))</f>
        <v>0</v>
      </c>
      <c r="M246" s="157" cm="1">
        <f t="array" aca="1" ref="M246" ca="1">IF(OR($E246="X",$E246="",$E246=0,$B246="X",$B246="",$B246=0),0,SUM(_xlfn._xlws.FILTER(PrvSty[DsvValue:SERRA],(PrvSty[Project]=TEXT($B246,"@"))*(PrvSty[Row]=$E246)*(PrvSty[Column]=UPPER(M$114)),0)))</f>
        <v>0</v>
      </c>
      <c r="N246" s="157" cm="1">
        <f t="array" aca="1" ref="N246" ca="1">IF(OR($E246="X",$E246="",$E246=0,$B246="X",$B246="",$B246=0),0,SUM(_xlfn._xlws.FILTER(PrvSty[DsvValue:EXT.],(PrvSty[Project]=TEXT($B246,"@"))*(PrvSty[Row]=$E246)*(PrvSty[Column]=UPPER(M$114)),0)))</f>
        <v>0</v>
      </c>
      <c r="O246" s="157" cm="1">
        <f t="array" aca="1" ref="O246" ca="1">IF(OR($E246="X",$E246="",$E246=0,$B246="X",$B246="",$B246=0),0,SUM(_xlfn._xlws.FILTER(PrvSty[DsvValue:SERRA],(PrvSty[Project]=TEXT($B246,"@"))*(PrvSty[Row]=$E246)*(PrvSty[Column]=UPPER(O$114)),0)))</f>
        <v>0</v>
      </c>
      <c r="P246" s="157" cm="1">
        <f t="array" aca="1" ref="P246" ca="1">IF(OR($E246="X",$E246="",$E246=0,$B246="X",$B246="",$B246=0),0,SUM(_xlfn._xlws.FILTER(PrvSty[DsvValue:EXT.],(PrvSty[Project]=TEXT($B246,"@"))*(PrvSty[Row]=$E246)*(PrvSty[Column]=UPPER(O$114)),0)))</f>
        <v>0</v>
      </c>
      <c r="Q246" s="157" cm="1">
        <f t="array" aca="1" ref="Q246" ca="1">IF(OR($E246="X",$E246="",$E246=0,$B246="X",$B246="",$B246=0),0,SUM(_xlfn._xlws.FILTER(PrvSty[DsvValue:SERRA],(PrvSty[Project]=TEXT($B246,"@"))*(PrvSty[Row]=$E246)*(PrvSty[Column]=UPPER(Q$114)),0)))</f>
        <v>0</v>
      </c>
      <c r="R246" s="157" cm="1">
        <f t="array" aca="1" ref="R246" ca="1">IF(OR($E246="X",$E246="",$E246=0,$B246="X",$B246="",$B246=0),0,SUM(_xlfn._xlws.FILTER(PrvSty[DsvValue:EXT.],(PrvSty[Project]=TEXT($B246,"@"))*(PrvSty[Row]=$E246)*(PrvSty[Column]=UPPER(Q$114)),0)))</f>
        <v>0</v>
      </c>
      <c r="S246" s="157" cm="1">
        <f t="array" aca="1" ref="S246" ca="1">IF(OR($E246="X",$E246="",$E246=0,$B246="X",$B246="",$B246=0),0,SUM(_xlfn._xlws.FILTER(PrvSty[DsvValue:SERRA],(PrvSty[Project]=TEXT($B246,"@"))*(PrvSty[Row]=$E246)*(PrvSty[Column]=UPPER(S$114)),0)))</f>
        <v>0</v>
      </c>
      <c r="T246" s="157" cm="1">
        <f t="array" aca="1" ref="T246" ca="1">IF(OR($E246="X",$E246="",$E246=0,$B246="X",$B246="",$B246=0),0,SUM(_xlfn._xlws.FILTER(PrvSty[DsvValue:EXT.],(PrvSty[Project]=TEXT($B246,"@"))*(PrvSty[Row]=$E246)*(PrvSty[Column]=UPPER(S$114)),0)))</f>
        <v>0</v>
      </c>
      <c r="U246" s="157" cm="1">
        <f t="array" aca="1" ref="U246" ca="1">IF(OR($E246="X",$E246="",$E246=0,$B246="X",$B246="",$B246=0),0,SUM(_xlfn._xlws.FILTER(PrvSty[DsvValue:SERRA],(PrvSty[Project]=TEXT($B246,"@"))*(PrvSty[Row]=$E246)*(PrvSty[Column]=UPPER(U$114)),0)))</f>
        <v>0</v>
      </c>
      <c r="V246" s="157" cm="1">
        <f t="array" aca="1" ref="V246" ca="1">IF(OR($E246="X",$E246="",$E246=0,$B246="X",$B246="",$B246=0),0,SUM(_xlfn._xlws.FILTER(PrvSty[DsvValue:EXT.],(PrvSty[Project]=TEXT($B246,"@"))*(PrvSty[Row]=$E246)*(PrvSty[Column]=UPPER(U$114)),0)))</f>
        <v>0</v>
      </c>
      <c r="W246" s="157" cm="1">
        <f t="array" aca="1" ref="W246" ca="1">IF(OR($E246="X",$E246="",$E246=0,$B246="X",$B246="",$B246=0),0,SUM(_xlfn._xlws.FILTER(PrvSty[DsvValue:SERRA],(PrvSty[Project]=TEXT($B246,"@"))*(PrvSty[Row]=$E246)*(PrvSty[Column]=UPPER(W$114)),0)))</f>
        <v>0</v>
      </c>
      <c r="X246" s="157" cm="1">
        <f t="array" aca="1" ref="X246" ca="1">IF(OR($E246="X",$E246="",$E246=0,$B246="X",$B246="",$B246=0),0,SUM(_xlfn._xlws.FILTER(PrvSty[DsvValue:EXT.],(PrvSty[Project]=TEXT($B246,"@"))*(PrvSty[Row]=$E246)*(PrvSty[Column]=UPPER(W$114)),0)))</f>
        <v>0</v>
      </c>
      <c r="Y246" s="157" cm="1">
        <f t="array" aca="1" ref="Y246" ca="1">IF(OR($E246="X",$E246="",$E246=0,$B246="X",$B246="",$B246=0),0,SUM(_xlfn._xlws.FILTER(PrvSty[DsvValue:SERRA],(PrvSty[Project]=TEXT($B246,"@"))*(PrvSty[Row]=$E246)*(PrvSty[Column]=UPPER(Y$114)),0)))</f>
        <v>0</v>
      </c>
      <c r="Z246" s="157" cm="1">
        <f t="array" aca="1" ref="Z246" ca="1">IF(OR($E246="X",$E246="",$E246=0,$B246="X",$B246="",$B246=0),0,SUM(_xlfn._xlws.FILTER(PrvSty[DsvValue:EXT.],(PrvSty[Project]=TEXT($B246,"@"))*(PrvSty[Row]=$E246)*(PrvSty[Column]=UPPER(Y$114)),0)))</f>
        <v>0</v>
      </c>
      <c r="AA246" s="157" cm="1">
        <f t="array" aca="1" ref="AA246" ca="1">IF(OR($E246="X",$E246="",$E246=0,$B246="X",$B246="",$B246=0),0,SUM(_xlfn._xlws.FILTER(PrvSty[DsvValue:SERRA],(PrvSty[Project]=TEXT($B246,"@"))*(PrvSty[Row]=$E246)*(PrvSty[Column]=UPPER(AA$114)),0)))</f>
        <v>0</v>
      </c>
      <c r="AB246" s="157" cm="1">
        <f t="array" aca="1" ref="AB246" ca="1">IF(OR($E246="X",$E246="",$E246=0,$B246="X",$B246="",$B246=0),0,SUM(_xlfn._xlws.FILTER(PrvSty[DsvValue:EXT.],(PrvSty[Project]=TEXT($B246,"@"))*(PrvSty[Row]=$E246)*(PrvSty[Column]=UPPER(AA$114)),0)))</f>
        <v>0</v>
      </c>
      <c r="AC246" s="157" cm="1">
        <f t="array" aca="1" ref="AC246" ca="1">IF(OR($E246="X",$E246="",$E246=0,$B246="X",$B246="",$B246=0),0,SUM(_xlfn._xlws.FILTER(PrvSty[DsvValue:SERRA],(PrvSty[Project]=TEXT($B246,"@"))*(PrvSty[Row]=$E246)*(PrvSty[Column]=UPPER(AC$114)),0)))</f>
        <v>0</v>
      </c>
      <c r="AD246" s="157" cm="1">
        <f t="array" aca="1" ref="AD246" ca="1">IF(OR($E246="X",$E246="",$E246=0,$B246="X",$B246="",$B246=0),0,SUM(_xlfn._xlws.FILTER(PrvSty[DsvValue:EXT.],(PrvSty[Project]=TEXT($B246,"@"))*(PrvSty[Row]=$E246)*(PrvSty[Column]=UPPER(AC$114)),0)))</f>
        <v>0</v>
      </c>
      <c r="AE246" s="157" cm="1">
        <f t="array" aca="1" ref="AE246" ca="1">IF(OR($E246="X",$E246="",$E246=0,$B246="X",$B246="",$B246=0),0,SUM(_xlfn._xlws.FILTER(PrvSty[DsvValue:SERRA],(PrvSty[Project]=TEXT($B246,"@"))*(PrvSty[Row]=$E246)*(PrvSty[Column]=UPPER(AE$114)),0)))</f>
        <v>0</v>
      </c>
      <c r="AF246" s="157" cm="1">
        <f t="array" aca="1" ref="AF246" ca="1">IF(OR($E246="X",$E246="",$E246=0,$B246="X",$B246="",$B246=0),0,SUM(_xlfn._xlws.FILTER(PrvSty[DsvValue:EXT.],(PrvSty[Project]=TEXT($B246,"@"))*(PrvSty[Row]=$E246)*(PrvSty[Column]=UPPER(AE$114)),0)))</f>
        <v>0</v>
      </c>
      <c r="AG246" s="157" cm="1">
        <f t="array" aca="1" ref="AG246" ca="1">IF(OR($E246="X",$E246="",$E246=0,$B246="X",$B246="",$B246=0),0,SUM(_xlfn._xlws.FILTER(PrvSty[DsvValue:SERRA],(PrvSty[Project]=TEXT($B246,"@"))*(PrvSty[Row]=$E246)*(PrvSty[Column]=UPPER(AG$114)),0)))</f>
        <v>0</v>
      </c>
      <c r="AH246" s="157" cm="1">
        <f t="array" aca="1" ref="AH246" ca="1">IF(OR($E246="X",$E246="",$E246=0,$B246="X",$B246="",$B246=0),0,SUM(_xlfn._xlws.FILTER(PrvSty[DsvValue:EXT.],(PrvSty[Project]=TEXT($B246,"@"))*(PrvSty[Row]=$E246)*(PrvSty[Column]=UPPER(AG$114)),0)))</f>
        <v>0</v>
      </c>
      <c r="AI246" s="157" cm="1">
        <f t="array" aca="1" ref="AI246" ca="1">IF(OR($E246="X",$E246="",$E246=0,$B246="X",$B246="",$B246=0),0,SUM(_xlfn._xlws.FILTER(PrvSty[DsvValue:SERRA],(PrvSty[Project]=TEXT($B246,"@"))*(PrvSty[Row]=$E246)*(PrvSty[Column]=UPPER(AI$114)),0)))</f>
        <v>0</v>
      </c>
      <c r="AJ246" s="157" cm="1">
        <f t="array" aca="1" ref="AJ246" ca="1">IF(OR($E246="X",$E246="",$E246=0,$B246="X",$B246="",$B246=0),0,SUM(_xlfn._xlws.FILTER(PrvSty[DsvValue:EXT.],(PrvSty[Project]=TEXT($B246,"@"))*(PrvSty[Row]=$E246)*(PrvSty[Column]=UPPER(AI$114)),0)))</f>
        <v>0</v>
      </c>
      <c r="AK246" s="157" cm="1">
        <f t="array" aca="1" ref="AK246" ca="1">IF(OR($E246="X",$E246="",$E246=0,$B246="X",$B246="",$B246=0),0,SUM(_xlfn._xlws.FILTER(PrvSty[DsvValue:SERRA],(PrvSty[Project]=TEXT($B246,"@"))*(PrvSty[Row]=$E246)*(PrvSty[Column]=UPPER(AK$114)),0)))</f>
        <v>0</v>
      </c>
      <c r="AL246" s="157" cm="1">
        <f t="array" aca="1" ref="AL246" ca="1">IF(OR($E246="X",$E246="",$E246=0,$B246="X",$B246="",$B246=0),0,SUM(_xlfn._xlws.FILTER(PrvSty[DsvValue:EXT.],(PrvSty[Project]=TEXT($B246,"@"))*(PrvSty[Row]=$E246)*(PrvSty[Column]=UPPER(AK$114)),0)))</f>
        <v>0</v>
      </c>
      <c r="AM246" s="157" cm="1">
        <f t="array" aca="1" ref="AM246" ca="1">IF(OR($E246="X",$E246="",$E246=0,$B246="X",$B246="",$B246=0),0,SUM(_xlfn._xlws.FILTER(PrvSty[DsvValue:SERRA],(PrvSty[Project]=TEXT($B246,"@"))*(PrvSty[Row]=$E246)*(PrvSty[Column]=UPPER(AM$114)),0)))</f>
        <v>0</v>
      </c>
      <c r="AN246" s="157" cm="1">
        <f t="array" aca="1" ref="AN246" ca="1">IF(OR($E246="X",$E246="",$E246=0,$B246="X",$B246="",$B246=0),0,SUM(_xlfn._xlws.FILTER(PrvSty[DsvValue:EXT.],(PrvSty[Project]=TEXT($B246,"@"))*(PrvSty[Row]=$E246)*(PrvSty[Column]=UPPER(AM$114)),0)))</f>
        <v>0</v>
      </c>
      <c r="AO246" s="157" cm="1">
        <f t="array" aca="1" ref="AO246" ca="1">IF(OR($E246="X",$E246="",$E246=0,$B246="X",$B246="",$B246=0),0,SUM(_xlfn._xlws.FILTER(PrvSty[DsvValue:SERRA],(PrvSty[Project]=TEXT($B246,"@"))*(PrvSty[Row]=$E246)*(PrvSty[Column]=UPPER(AO$114)),0)))</f>
        <v>0</v>
      </c>
      <c r="AP246" s="157" cm="1">
        <f t="array" aca="1" ref="AP246" ca="1">IF(OR($E246="X",$E246="",$E246=0,$B246="X",$B246="",$B246=0),0,SUM(_xlfn._xlws.FILTER(PrvSty[DsvValue:EXT.],(PrvSty[Project]=TEXT($B246,"@"))*(PrvSty[Row]=$E246)*(PrvSty[Column]=UPPER(AO$114)),0)))</f>
        <v>0</v>
      </c>
      <c r="AQ246" s="157" cm="1">
        <f t="array" aca="1" ref="AQ246" ca="1">SUM(IF(INDIRECT($AS$115)=AQ$115,INDIRECT($AS246)))</f>
        <v>0</v>
      </c>
      <c r="AR246" s="157" cm="1">
        <f t="array" aca="1" ref="AR246" ca="1">SUM(IF(INDIRECT($AS$115)=AR$115,INDIRECT($AS246)))</f>
        <v>0</v>
      </c>
      <c r="AS246" s="286" t="str">
        <f t="shared" ca="1" si="19"/>
        <v>G246:AP246</v>
      </c>
      <c r="AT246" s="403">
        <f t="shared" ca="1" si="20"/>
        <v>0</v>
      </c>
      <c r="AV246" s="142" cm="1">
        <f t="array" aca="1" ref="AV246" ca="1">IF(AND(_xlfn.LET(_xlpm.x,SUM(ROW()),OR(AND(MATCH("SOT",$A:$A,0)&lt;_xlpm.x,MATCH("EOT",$A:$A,0)&gt;_xlpm.x),AND(MATCH("SOS",$A:$A,0)&lt;_xlpm.x,MATCH("EOS",$A:$A,0)&gt;_xlpm.x),AND(MATCH("SOR",$A:$A,0)&lt;_xlpm.x,MATCH("EOR",$A:$A,0)&gt;_xlpm.x))),INDIRECT("rc"&amp;MATCH("SCD",$1:$1,0),FALSE)="PPTO"),1,0)</f>
        <v>0</v>
      </c>
      <c r="AW246" s="142" cm="1">
        <f t="array" aca="1" ref="AW24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247" spans="1:49" outlineLevel="1">
      <c r="B247" s="156" t="str" cm="1">
        <f t="array" aca="1" ref="B247" ca="1">_xlfn.LET(_xlpm.x,SUM(ROW()-MATCH("SOR",$A:$A,0)),_xlpm.y,IFERROR(_xlfn.TAKE(INDEX(_xlfn._xlws.FILTER(TbAssign[],ISNUMBER(FIND(TbAssign[Project],$C$4)),"X"),1+QUOTIENT(_xlpm.x,3),0),1,4),0),IF(MOD(_xlpm.x-1,3)=0,IF(_xlpm.y=0,"X",_xlpm.y),INDIRECT("r[-1]c#",FALSE)))</f>
        <v>X</v>
      </c>
      <c r="C247" s="156"/>
      <c r="E247" s="352"/>
      <c r="F247" s="148" t="s">
        <v>1383</v>
      </c>
      <c r="G247" s="158" cm="1">
        <f t="array" aca="1" ref="G247" ca="1">IF(OR($E247="X",$E247="",$E247=0,$B247="X",$B247="",$B247=0),0,SUM(_xlfn._xlws.FILTER(FrmBB1[Cur],(FrmBB1[PrjId]=TEXT($B247,"@"))*(FrmBB1[Row]=$E247)*(FrmBB1[Column]=UPPER(_xlfn.LET(_xlpm.x,_xlfn.TEXTBEFORE(G$114," ("),IFERROR(_xlpm.x,G$114)))&amp;" "&amp;G$115),0)))</f>
        <v>0</v>
      </c>
      <c r="H247" s="157" cm="1">
        <f t="array" aca="1" ref="H247" ca="1">IF(OR($E247="X",$E247="",$E247=0,$B247="X",$B247="",$B247=0),0,SUM(_xlfn._xlws.FILTER(FrmBB1[Cur],(FrmBB1[PrjId]=TEXT($B247,"@"))*(FrmBB1[Row]=$E247)*(FrmBB1[Column]=UPPER(_xlfn.LET(_xlpm.x,_xlfn.TEXTBEFORE(G$114," ("),IFERROR(_xlpm.x,G$114)))&amp;" "&amp;H$115),0)))</f>
        <v>0</v>
      </c>
      <c r="I247" s="158" cm="1">
        <f t="array" aca="1" ref="I247" ca="1">IF(OR($E247="X",$E247="",$E247=0,$B247="X",$B247="",$B247=0),0,SUM(_xlfn._xlws.FILTER(FrmBB1[Cur],(FrmBB1[PrjId]=TEXT($B247,"@"))*(FrmBB1[Row]=$E247)*(FrmBB1[Column]=UPPER(_xlfn.LET(_xlpm.x,_xlfn.TEXTBEFORE(I$114," ("),IFERROR(_xlpm.x,I$114)))&amp;" "&amp;I$115),0)))</f>
        <v>0</v>
      </c>
      <c r="J247" s="157" cm="1">
        <f t="array" aca="1" ref="J247" ca="1">IF(OR($E247="X",$E247="",$E247=0,$B247="X",$B247="",$B247=0),0,SUM(_xlfn._xlws.FILTER(FrmBB1[Cur],(FrmBB1[PrjId]=TEXT($B247,"@"))*(FrmBB1[Row]=$E247)*(FrmBB1[Column]=UPPER(_xlfn.LET(_xlpm.x,_xlfn.TEXTBEFORE(I$114," ("),IFERROR(_xlpm.x,I$114)))&amp;" "&amp;J$115),0)))</f>
        <v>0</v>
      </c>
      <c r="K247" s="158" cm="1">
        <f t="array" aca="1" ref="K247" ca="1">IF(OR($E247="X",$E247="",$E247=0,$B247="X",$B247="",$B247=0),0,SUM(_xlfn._xlws.FILTER(FrmBB1[Cur],(FrmBB1[PrjId]=TEXT($B247,"@"))*(FrmBB1[Row]=$E247)*(FrmBB1[Column]=UPPER(_xlfn.LET(_xlpm.x,_xlfn.TEXTBEFORE(K$114," ("),IFERROR(_xlpm.x,K$114)))&amp;" "&amp;K$115),0)))</f>
        <v>0</v>
      </c>
      <c r="L247" s="157" cm="1">
        <f t="array" aca="1" ref="L247" ca="1">IF(OR($E247="X",$E247="",$E247=0,$B247="X",$B247="",$B247=0),0,SUM(_xlfn._xlws.FILTER(FrmBB1[Cur],(FrmBB1[PrjId]=TEXT($B247,"@"))*(FrmBB1[Row]=$E247)*(FrmBB1[Column]=UPPER(_xlfn.LET(_xlpm.x,_xlfn.TEXTBEFORE(K$114," ("),IFERROR(_xlpm.x,K$114)))&amp;" "&amp;L$115),0)))</f>
        <v>0</v>
      </c>
      <c r="M247" s="158" cm="1">
        <f t="array" aca="1" ref="M247" ca="1">IF(OR($E247="X",$E247="",$E247=0,$B247="X",$B247="",$B247=0),0,SUM(_xlfn._xlws.FILTER(FrmBB1[Cur],(FrmBB1[PrjId]=TEXT($B247,"@"))*(FrmBB1[Row]=$E247)*(FrmBB1[Column]=UPPER(_xlfn.LET(_xlpm.x,_xlfn.TEXTBEFORE(M$114," ("),IFERROR(_xlpm.x,M$114)))&amp;" "&amp;M$115),0)))</f>
        <v>0</v>
      </c>
      <c r="N247" s="157" cm="1">
        <f t="array" aca="1" ref="N247" ca="1">IF(OR($E247="X",$E247="",$E247=0,$B247="X",$B247="",$B247=0),0,SUM(_xlfn._xlws.FILTER(FrmBB1[Cur],(FrmBB1[PrjId]=TEXT($B247,"@"))*(FrmBB1[Row]=$E247)*(FrmBB1[Column]=UPPER(_xlfn.LET(_xlpm.x,_xlfn.TEXTBEFORE(M$114," ("),IFERROR(_xlpm.x,M$114)))&amp;" "&amp;N$115),0)))</f>
        <v>0</v>
      </c>
      <c r="O247" s="158" cm="1">
        <f t="array" aca="1" ref="O247" ca="1">IF(OR($E247="X",$E247="",$E247=0,$B247="X",$B247="",$B247=0),0,SUM(_xlfn._xlws.FILTER(FrmBB1[Cur],(FrmBB1[PrjId]=TEXT($B247,"@"))*(FrmBB1[Row]=$E247)*(FrmBB1[Column]=UPPER(_xlfn.LET(_xlpm.x,_xlfn.TEXTBEFORE(O$114," ("),IFERROR(_xlpm.x,O$114)))&amp;" "&amp;O$115),0)))</f>
        <v>0</v>
      </c>
      <c r="P247" s="157" cm="1">
        <f t="array" aca="1" ref="P247" ca="1">IF(OR($E247="X",$E247="",$E247=0,$B247="X",$B247="",$B247=0),0,SUM(_xlfn._xlws.FILTER(FrmBB1[Cur],(FrmBB1[PrjId]=TEXT($B247,"@"))*(FrmBB1[Row]=$E247)*(FrmBB1[Column]=UPPER(_xlfn.LET(_xlpm.x,_xlfn.TEXTBEFORE(O$114," ("),IFERROR(_xlpm.x,O$114)))&amp;" "&amp;P$115),0)))</f>
        <v>0</v>
      </c>
      <c r="Q247" s="158" cm="1">
        <f t="array" aca="1" ref="Q247" ca="1">IF(OR($E247="X",$E247="",$E247=0,$B247="X",$B247="",$B247=0),0,SUM(_xlfn._xlws.FILTER(FrmBB1[Cur],(FrmBB1[PrjId]=TEXT($B247,"@"))*(FrmBB1[Row]=$E247)*(FrmBB1[Column]=UPPER(_xlfn.LET(_xlpm.x,_xlfn.TEXTBEFORE(Q$114," ("),IFERROR(_xlpm.x,Q$114)))&amp;" "&amp;Q$115),0)))</f>
        <v>0</v>
      </c>
      <c r="R247" s="157" cm="1">
        <f t="array" aca="1" ref="R247" ca="1">IF(OR($E247="X",$E247="",$E247=0,$B247="X",$B247="",$B247=0),0,SUM(_xlfn._xlws.FILTER(FrmBB1[Cur],(FrmBB1[PrjId]=TEXT($B247,"@"))*(FrmBB1[Row]=$E247)*(FrmBB1[Column]=UPPER(_xlfn.LET(_xlpm.x,_xlfn.TEXTBEFORE(Q$114," ("),IFERROR(_xlpm.x,Q$114)))&amp;" "&amp;R$115),0)))</f>
        <v>0</v>
      </c>
      <c r="S247" s="158" cm="1">
        <f t="array" aca="1" ref="S247" ca="1">IF(OR($E247="X",$E247="",$E247=0,$B247="X",$B247="",$B247=0),0,SUM(_xlfn._xlws.FILTER(FrmBB1[Cur],(FrmBB1[PrjId]=TEXT($B247,"@"))*(FrmBB1[Row]=$E247)*(FrmBB1[Column]=UPPER(_xlfn.LET(_xlpm.x,_xlfn.TEXTBEFORE(S$114," ("),IFERROR(_xlpm.x,S$114)))&amp;" "&amp;S$115),0)))</f>
        <v>0</v>
      </c>
      <c r="T247" s="157" cm="1">
        <f t="array" aca="1" ref="T247" ca="1">IF(OR($E247="X",$E247="",$E247=0,$B247="X",$B247="",$B247=0),0,SUM(_xlfn._xlws.FILTER(FrmBB1[Cur],(FrmBB1[PrjId]=TEXT($B247,"@"))*(FrmBB1[Row]=$E247)*(FrmBB1[Column]=UPPER(_xlfn.LET(_xlpm.x,_xlfn.TEXTBEFORE(S$114," ("),IFERROR(_xlpm.x,S$114)))&amp;" "&amp;T$115),0)))</f>
        <v>0</v>
      </c>
      <c r="U247" s="158" cm="1">
        <f t="array" aca="1" ref="U247" ca="1">IF(OR($E247="X",$E247="",$E247=0,$B247="X",$B247="",$B247=0),0,SUM(_xlfn._xlws.FILTER(FrmBB1[Cur],(FrmBB1[PrjId]=TEXT($B247,"@"))*(FrmBB1[Row]=$E247)*(FrmBB1[Column]=UPPER(_xlfn.LET(_xlpm.x,_xlfn.TEXTBEFORE(U$114," ("),IFERROR(_xlpm.x,U$114)))&amp;" "&amp;U$115),0)))</f>
        <v>0</v>
      </c>
      <c r="V247" s="157" cm="1">
        <f t="array" aca="1" ref="V247" ca="1">IF(OR($E247="X",$E247="",$E247=0,$B247="X",$B247="",$B247=0),0,SUM(_xlfn._xlws.FILTER(FrmBB1[Cur],(FrmBB1[PrjId]=TEXT($B247,"@"))*(FrmBB1[Row]=$E247)*(FrmBB1[Column]=UPPER(_xlfn.LET(_xlpm.x,_xlfn.TEXTBEFORE(U$114," ("),IFERROR(_xlpm.x,U$114)))&amp;" "&amp;V$115),0)))</f>
        <v>0</v>
      </c>
      <c r="W247" s="158" cm="1">
        <f t="array" aca="1" ref="W247" ca="1">IF(OR($E247="X",$E247="",$E247=0,$B247="X",$B247="",$B247=0),0,SUM(_xlfn._xlws.FILTER(FrmBB1[Cur],(FrmBB1[PrjId]=TEXT($B247,"@"))*(FrmBB1[Row]=$E247)*(FrmBB1[Column]=UPPER(_xlfn.LET(_xlpm.x,_xlfn.TEXTBEFORE(W$114," ("),IFERROR(_xlpm.x,W$114)))&amp;" "&amp;W$115),0)))</f>
        <v>0</v>
      </c>
      <c r="X247" s="157" cm="1">
        <f t="array" aca="1" ref="X247" ca="1">IF(OR($E247="X",$E247="",$E247=0,$B247="X",$B247="",$B247=0),0,SUM(_xlfn._xlws.FILTER(FrmBB1[Cur],(FrmBB1[PrjId]=TEXT($B247,"@"))*(FrmBB1[Row]=$E247)*(FrmBB1[Column]=UPPER(_xlfn.LET(_xlpm.x,_xlfn.TEXTBEFORE(W$114," ("),IFERROR(_xlpm.x,W$114)))&amp;" "&amp;X$115),0)))</f>
        <v>0</v>
      </c>
      <c r="Y247" s="158" cm="1">
        <f t="array" aca="1" ref="Y247" ca="1">IF(OR($E247="X",$E247="",$E247=0,$B247="X",$B247="",$B247=0),0,SUM(_xlfn._xlws.FILTER(FrmBB1[Cur],(FrmBB1[PrjId]=TEXT($B247,"@"))*(FrmBB1[Row]=$E247)*(FrmBB1[Column]=UPPER(_xlfn.LET(_xlpm.x,_xlfn.TEXTBEFORE(Y$114," ("),IFERROR(_xlpm.x,Y$114)))&amp;" "&amp;Y$115),0)))</f>
        <v>0</v>
      </c>
      <c r="Z247" s="157" cm="1">
        <f t="array" aca="1" ref="Z247" ca="1">IF(OR($E247="X",$E247="",$E247=0,$B247="X",$B247="",$B247=0),0,SUM(_xlfn._xlws.FILTER(FrmBB1[Cur],(FrmBB1[PrjId]=TEXT($B247,"@"))*(FrmBB1[Row]=$E247)*(FrmBB1[Column]=UPPER(_xlfn.LET(_xlpm.x,_xlfn.TEXTBEFORE(Y$114," ("),IFERROR(_xlpm.x,Y$114)))&amp;" "&amp;Z$115),0)))</f>
        <v>0</v>
      </c>
      <c r="AA247" s="158" cm="1">
        <f t="array" aca="1" ref="AA247" ca="1">IF(OR($E247="X",$E247="",$E247=0,$B247="X",$B247="",$B247=0),0,SUM(_xlfn._xlws.FILTER(FrmBB1[Cur],(FrmBB1[PrjId]=TEXT($B247,"@"))*(FrmBB1[Row]=$E247)*(FrmBB1[Column]=UPPER(_xlfn.LET(_xlpm.x,_xlfn.TEXTBEFORE(AA$114," ("),IFERROR(_xlpm.x,AA$114)))&amp;" "&amp;AA$115),0)))</f>
        <v>0</v>
      </c>
      <c r="AB247" s="157" cm="1">
        <f t="array" aca="1" ref="AB247" ca="1">IF(OR($E247="X",$E247="",$E247=0,$B247="X",$B247="",$B247=0),0,SUM(_xlfn._xlws.FILTER(FrmBB1[Cur],(FrmBB1[PrjId]=TEXT($B247,"@"))*(FrmBB1[Row]=$E247)*(FrmBB1[Column]=UPPER(_xlfn.LET(_xlpm.x,_xlfn.TEXTBEFORE(AA$114," ("),IFERROR(_xlpm.x,AA$114)))&amp;" "&amp;AB$115),0)))</f>
        <v>0</v>
      </c>
      <c r="AC247" s="158" cm="1">
        <f t="array" aca="1" ref="AC247" ca="1">IF(OR($E247="X",$E247="",$E247=0,$B247="X",$B247="",$B247=0),0,SUM(_xlfn._xlws.FILTER(FrmBB1[Cur],(FrmBB1[PrjId]=TEXT($B247,"@"))*(FrmBB1[Row]=$E247)*(FrmBB1[Column]=UPPER(_xlfn.LET(_xlpm.x,_xlfn.TEXTBEFORE(AC$114," ("),IFERROR(_xlpm.x,AC$114)))&amp;" "&amp;AC$115),0)))</f>
        <v>0</v>
      </c>
      <c r="AD247" s="157" cm="1">
        <f t="array" aca="1" ref="AD247" ca="1">IF(OR($E247="X",$E247="",$E247=0,$B247="X",$B247="",$B247=0),0,SUM(_xlfn._xlws.FILTER(FrmBB1[Cur],(FrmBB1[PrjId]=TEXT($B247,"@"))*(FrmBB1[Row]=$E247)*(FrmBB1[Column]=UPPER(_xlfn.LET(_xlpm.x,_xlfn.TEXTBEFORE(AC$114," ("),IFERROR(_xlpm.x,AC$114)))&amp;" "&amp;AD$115),0)))</f>
        <v>0</v>
      </c>
      <c r="AE247" s="158" cm="1">
        <f t="array" aca="1" ref="AE247" ca="1">IF(OR($E247="X",$E247="",$E247=0,$B247="X",$B247="",$B247=0),0,SUM(_xlfn._xlws.FILTER(FrmBB1[Cur],(FrmBB1[PrjId]=TEXT($B247,"@"))*(FrmBB1[Row]=$E247)*(FrmBB1[Column]=UPPER(_xlfn.LET(_xlpm.x,_xlfn.TEXTBEFORE(AE$114," ("),IFERROR(_xlpm.x,AE$114)))&amp;" "&amp;AE$115),0)))</f>
        <v>0</v>
      </c>
      <c r="AF247" s="157" cm="1">
        <f t="array" aca="1" ref="AF247" ca="1">IF(OR($E247="X",$E247="",$E247=0,$B247="X",$B247="",$B247=0),0,SUM(_xlfn._xlws.FILTER(FrmBB1[Cur],(FrmBB1[PrjId]=TEXT($B247,"@"))*(FrmBB1[Row]=$E247)*(FrmBB1[Column]=UPPER(_xlfn.LET(_xlpm.x,_xlfn.TEXTBEFORE(AE$114," ("),IFERROR(_xlpm.x,AE$114)))&amp;" "&amp;AF$115),0)))</f>
        <v>0</v>
      </c>
      <c r="AG247" s="158" cm="1">
        <f t="array" aca="1" ref="AG247" ca="1">IF(OR($E247="X",$E247="",$E247=0,$B247="X",$B247="",$B247=0),0,SUM(_xlfn._xlws.FILTER(FrmBB1[Cur],(FrmBB1[PrjId]=TEXT($B247,"@"))*(FrmBB1[Row]=$E247)*(FrmBB1[Column]=UPPER(_xlfn.LET(_xlpm.x,_xlfn.TEXTBEFORE(AG$114," ("),IFERROR(_xlpm.x,AG$114)))&amp;" "&amp;AG$115),0)))</f>
        <v>0</v>
      </c>
      <c r="AH247" s="157" cm="1">
        <f t="array" aca="1" ref="AH247" ca="1">IF(OR($E247="X",$E247="",$E247=0,$B247="X",$B247="",$B247=0),0,SUM(_xlfn._xlws.FILTER(FrmBB1[Cur],(FrmBB1[PrjId]=TEXT($B247,"@"))*(FrmBB1[Row]=$E247)*(FrmBB1[Column]=UPPER(_xlfn.LET(_xlpm.x,_xlfn.TEXTBEFORE(AG$114," ("),IFERROR(_xlpm.x,AG$114)))&amp;" "&amp;AH$115),0)))</f>
        <v>0</v>
      </c>
      <c r="AI247" s="158" cm="1">
        <f t="array" aca="1" ref="AI247" ca="1">IF(OR($E247="X",$E247="",$E247=0,$B247="X",$B247="",$B247=0),0,SUM(_xlfn._xlws.FILTER(FrmBB1[Cur],(FrmBB1[PrjId]=TEXT($B247,"@"))*(FrmBB1[Row]=$E247)*(FrmBB1[Column]=UPPER(_xlfn.LET(_xlpm.x,_xlfn.TEXTBEFORE(AI$114," ("),IFERROR(_xlpm.x,AI$114)))&amp;" "&amp;AI$115),0)))</f>
        <v>0</v>
      </c>
      <c r="AJ247" s="157" cm="1">
        <f t="array" aca="1" ref="AJ247" ca="1">IF(OR($E247="X",$E247="",$E247=0,$B247="X",$B247="",$B247=0),0,SUM(_xlfn._xlws.FILTER(FrmBB1[Cur],(FrmBB1[PrjId]=TEXT($B247,"@"))*(FrmBB1[Row]=$E247)*(FrmBB1[Column]=UPPER(_xlfn.LET(_xlpm.x,_xlfn.TEXTBEFORE(AI$114," ("),IFERROR(_xlpm.x,AI$114)))&amp;" "&amp;AJ$115),0)))</f>
        <v>0</v>
      </c>
      <c r="AK247" s="158" cm="1">
        <f t="array" aca="1" ref="AK247" ca="1">IF(OR($E247="X",$E247="",$E247=0,$B247="X",$B247="",$B247=0),0,SUM(_xlfn._xlws.FILTER(FrmBB1[Cur],(FrmBB1[PrjId]=TEXT($B247,"@"))*(FrmBB1[Row]=$E247)*(FrmBB1[Column]=UPPER(_xlfn.LET(_xlpm.x,_xlfn.TEXTBEFORE(AK$114," ("),IFERROR(_xlpm.x,AK$114)))&amp;" "&amp;AK$115),0)))</f>
        <v>0</v>
      </c>
      <c r="AL247" s="157" cm="1">
        <f t="array" aca="1" ref="AL247" ca="1">IF(OR($E247="X",$E247="",$E247=0,$B247="X",$B247="",$B247=0),0,SUM(_xlfn._xlws.FILTER(FrmBB1[Cur],(FrmBB1[PrjId]=TEXT($B247,"@"))*(FrmBB1[Row]=$E247)*(FrmBB1[Column]=UPPER(_xlfn.LET(_xlpm.x,_xlfn.TEXTBEFORE(AK$114," ("),IFERROR(_xlpm.x,AK$114)))&amp;" "&amp;AL$115),0)))</f>
        <v>0</v>
      </c>
      <c r="AM247" s="158" cm="1">
        <f t="array" aca="1" ref="AM247" ca="1">IF(OR($E247="X",$E247="",$E247=0,$B247="X",$B247="",$B247=0),0,SUM(_xlfn._xlws.FILTER(FrmBB1[Cur],(FrmBB1[PrjId]=TEXT($B247,"@"))*(FrmBB1[Row]=$E247)*(FrmBB1[Column]=UPPER(_xlfn.LET(_xlpm.x,_xlfn.TEXTBEFORE(AM$114," ("),IFERROR(_xlpm.x,AM$114)))&amp;" "&amp;AM$115),0)))</f>
        <v>0</v>
      </c>
      <c r="AN247" s="157" cm="1">
        <f t="array" aca="1" ref="AN247" ca="1">IF(OR($E247="X",$E247="",$E247=0,$B247="X",$B247="",$B247=0),0,SUM(_xlfn._xlws.FILTER(FrmBB1[Cur],(FrmBB1[PrjId]=TEXT($B247,"@"))*(FrmBB1[Row]=$E247)*(FrmBB1[Column]=UPPER(_xlfn.LET(_xlpm.x,_xlfn.TEXTBEFORE(AM$114," ("),IFERROR(_xlpm.x,AM$114)))&amp;" "&amp;AN$115),0)))</f>
        <v>0</v>
      </c>
      <c r="AO247" s="158" cm="1">
        <f t="array" aca="1" ref="AO247" ca="1">IF(OR($E247="X",$E247="",$E247=0,$B247="X",$B247="",$B247=0),0,SUM(_xlfn._xlws.FILTER(FrmBB1[Cur],(FrmBB1[PrjId]=TEXT($B247,"@"))*(FrmBB1[Row]=$E247)*(FrmBB1[Column]=UPPER(_xlfn.LET(_xlpm.x,_xlfn.TEXTBEFORE(AO$114," ("),IFERROR(_xlpm.x,AO$114)))&amp;" "&amp;AO$115),0)))</f>
        <v>0</v>
      </c>
      <c r="AP247" s="157" cm="1">
        <f t="array" aca="1" ref="AP247" ca="1">IF(OR($E247="X",$E247="",$E247=0,$B247="X",$B247="",$B247=0),0,SUM(_xlfn._xlws.FILTER(FrmBB1[Cur],(FrmBB1[PrjId]=TEXT($B247,"@"))*(FrmBB1[Row]=$E247)*(FrmBB1[Column]=UPPER(_xlfn.LET(_xlpm.x,_xlfn.TEXTBEFORE(AO$114," ("),IFERROR(_xlpm.x,AO$114)))&amp;" "&amp;AP$115),0)))</f>
        <v>0</v>
      </c>
      <c r="AQ247" s="157" cm="1">
        <f t="array" aca="1" ref="AQ247" ca="1">SUM(IF(INDIRECT($AS$115)=AQ$115,INDIRECT($AS247)))</f>
        <v>0</v>
      </c>
      <c r="AR247" s="157" cm="1">
        <f t="array" aca="1" ref="AR247" ca="1">SUM(IF(INDIRECT($AS$115)=AR$115,INDIRECT($AS247)))</f>
        <v>0</v>
      </c>
      <c r="AS247" s="286" t="str">
        <f t="shared" ca="1" si="19"/>
        <v>G247:AP247</v>
      </c>
      <c r="AT247" s="403">
        <f t="shared" ca="1" si="20"/>
        <v>0</v>
      </c>
      <c r="AV247" s="142" cm="1">
        <f t="array" aca="1" ref="AV247" ca="1">IF(AND(_xlfn.LET(_xlpm.x,SUM(ROW()),OR(AND(MATCH("SOT",$A:$A,0)&lt;_xlpm.x,MATCH("EOT",$A:$A,0)&gt;_xlpm.x),AND(MATCH("SOS",$A:$A,0)&lt;_xlpm.x,MATCH("EOS",$A:$A,0)&gt;_xlpm.x),AND(MATCH("SOR",$A:$A,0)&lt;_xlpm.x,MATCH("EOR",$A:$A,0)&gt;_xlpm.x))),INDIRECT("rc"&amp;MATCH("SCD",$1:$1,0),FALSE)="PPTO"),1,0)</f>
        <v>0</v>
      </c>
      <c r="AW247" s="142" cm="1">
        <f t="array" aca="1" ref="AW24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248" spans="1:49" outlineLevel="1">
      <c r="B248" s="156" t="str" cm="1">
        <f t="array" aca="1" ref="B248" ca="1">_xlfn.LET(_xlpm.x,SUM(ROW()-MATCH("SOR",$A:$A,0)),_xlpm.y,IFERROR(_xlfn.TAKE(INDEX(_xlfn._xlws.FILTER(TbAssign[],ISNUMBER(FIND(TbAssign[Project],$C$4)),"X"),1+QUOTIENT(_xlpm.x,3),0),1,4),0),IF(MOD(_xlpm.x-1,3)=0,IF(_xlpm.y=0,"X",_xlpm.y),INDIRECT("r[-1]c#",FALSE)))</f>
        <v>X</v>
      </c>
      <c r="C248" s="156"/>
      <c r="E248" s="352"/>
      <c r="F248" s="148" t="s">
        <v>397</v>
      </c>
      <c r="G248" s="157" cm="1">
        <f t="array" aca="1" ref="G248" ca="1">IF(OR($E248="X",$E248="",$E248=0,$B248="X",$B248="",$B248=0),0,SUM(_xlfn._xlws.FILTER(IF($E$4="Ppto",PptoSty[CurPpto],PptoSty[CurInt]),(IF($E$4="Ppto",PptoSty[POvsCT]=G$113,TRUE))*(PptoSty[Project]=TEXT($B248,"@"))*(PptoSty[PptoVsRow]=$E248)*(PptoSty[PptoVsColumn]=UPPER(G$114)),0)))</f>
        <v>0</v>
      </c>
      <c r="H248" s="157" cm="1">
        <f t="array" aca="1" ref="H248" ca="1">IF(OR($E248="X",$E248="",$E248=0,$B248="X",$B248="",$B248=0),0,SUM(_xlfn._xlws.FILTER(IF($E$4="Ppto",PptoSty[CurPpto],PptoSty[CurExt]),(IF($E$4="Ppto",PptoSty[POvsCT]=H$113,TRUE))*(PptoSty[Project]=TEXT($B248,"@"))*(PptoSty[PptoVsRow]=$E248)*(PptoSty[PptoVsColumn]=UPPER(G$114)),0)))</f>
        <v>0</v>
      </c>
      <c r="I248" s="157" cm="1">
        <f t="array" aca="1" ref="I248" ca="1">IF(OR($E248="X",$E248="",$E248=0,$B248="X",$B248="",$B248=0),0,SUM(_xlfn._xlws.FILTER(IF($E$4="Ppto",PptoSty[CurPpto],PptoSty[CurInt]),(IF($E$4="Ppto",PptoSty[POvsCT]=I$113,TRUE))*(PptoSty[Project]=TEXT($B248,"@"))*(PptoSty[PptoVsRow]=$E248)*(PptoSty[PptoVsColumn]=UPPER(I$114)),0)))</f>
        <v>0</v>
      </c>
      <c r="J248" s="157" cm="1">
        <f t="array" aca="1" ref="J248" ca="1">IF(OR($E248="X",$E248="",$E248=0,$B248="X",$B248="",$B248=0),0,SUM(_xlfn._xlws.FILTER(IF($E$4="Ppto",PptoSty[CurPpto],PptoSty[CurExt]),(IF($E$4="Ppto",PptoSty[POvsCT]=J$113,TRUE))*(PptoSty[Project]=TEXT($B248,"@"))*(PptoSty[PptoVsRow]=$E248)*(PptoSty[PptoVsColumn]=UPPER(I$114)),0)))</f>
        <v>0</v>
      </c>
      <c r="K248" s="157" cm="1">
        <f t="array" aca="1" ref="K248" ca="1">IF(OR($E248="X",$E248="",$E248=0,$B248="X",$B248="",$B248=0),0,SUM(_xlfn._xlws.FILTER(IF($E$4="Ppto",PptoSty[CurPpto],PptoSty[CurInt]),(IF($E$4="Ppto",PptoSty[POvsCT]=K$113,TRUE))*(PptoSty[Project]=TEXT($B248,"@"))*(PptoSty[PptoVsRow]=$E248)*(PptoSty[PptoVsColumn]=UPPER(K$114)),0)))</f>
        <v>0</v>
      </c>
      <c r="L248" s="157" cm="1">
        <f t="array" aca="1" ref="L248" ca="1">IF(OR($E248="X",$E248="",$E248=0,$B248="X",$B248="",$B248=0),0,SUM(_xlfn._xlws.FILTER(IF($E$4="Ppto",PptoSty[CurPpto],PptoSty[CurExt]),(IF($E$4="Ppto",PptoSty[POvsCT]=L$113,TRUE))*(PptoSty[Project]=TEXT($B248,"@"))*(PptoSty[PptoVsRow]=$E248)*(PptoSty[PptoVsColumn]=UPPER(K$114)),0)))</f>
        <v>0</v>
      </c>
      <c r="M248" s="157" cm="1">
        <f t="array" aca="1" ref="M248" ca="1">IF(OR($E248="X",$E248="",$E248=0,$B248="X",$B248="",$B248=0),0,SUM(_xlfn._xlws.FILTER(IF($E$4="Ppto",PptoSty[CurPpto],PptoSty[CurInt]),(IF($E$4="Ppto",PptoSty[POvsCT]=M$113,TRUE))*(PptoSty[Project]=TEXT($B248,"@"))*(PptoSty[PptoVsRow]=$E248)*(PptoSty[PptoVsColumn]=UPPER(M$114)),0)))</f>
        <v>0</v>
      </c>
      <c r="N248" s="157" cm="1">
        <f t="array" aca="1" ref="N248" ca="1">IF(OR($E248="X",$E248="",$E248=0,$B248="X",$B248="",$B248=0),0,SUM(_xlfn._xlws.FILTER(IF($E$4="Ppto",PptoSty[CurPpto],PptoSty[CurExt]),(IF($E$4="Ppto",PptoSty[POvsCT]=N$113,TRUE))*(PptoSty[Project]=TEXT($B248,"@"))*(PptoSty[PptoVsRow]=$E248)*(PptoSty[PptoVsColumn]=UPPER(M$114)),0)))</f>
        <v>0</v>
      </c>
      <c r="O248" s="157" cm="1">
        <f t="array" aca="1" ref="O248" ca="1">IF(OR($E248="X",$E248="",$E248=0,$B248="X",$B248="",$B248=0),0,SUM(_xlfn._xlws.FILTER(IF($E$4="Ppto",PptoSty[CurPpto],PptoSty[CurInt]),(IF($E$4="Ppto",PptoSty[POvsCT]=O$113,TRUE))*(PptoSty[Project]=TEXT($B248,"@"))*(PptoSty[PptoVsRow]=$E248)*(PptoSty[PptoVsColumn]=UPPER(O$114)),0)))</f>
        <v>0</v>
      </c>
      <c r="P248" s="157" cm="1">
        <f t="array" aca="1" ref="P248" ca="1">IF(OR($E248="X",$E248="",$E248=0,$B248="X",$B248="",$B248=0),0,SUM(_xlfn._xlws.FILTER(IF($E$4="Ppto",PptoSty[CurPpto],PptoSty[CurExt]),(IF($E$4="Ppto",PptoSty[POvsCT]=P$113,TRUE))*(PptoSty[Project]=TEXT($B248,"@"))*(PptoSty[PptoVsRow]=$E248)*(PptoSty[PptoVsColumn]=UPPER(O$114)),0)))</f>
        <v>0</v>
      </c>
      <c r="Q248" s="157" cm="1">
        <f t="array" aca="1" ref="Q248" ca="1">IF(OR($E248="X",$E248="",$E248=0,$B248="X",$B248="",$B248=0),0,SUM(_xlfn._xlws.FILTER(IF($E$4="Ppto",PptoSty[CurPpto],PptoSty[CurInt]),(IF($E$4="Ppto",PptoSty[POvsCT]=Q$113,TRUE))*(PptoSty[Project]=TEXT($B248,"@"))*(PptoSty[PptoVsRow]=$E248)*(PptoSty[PptoVsColumn]=UPPER(Q$114)),0)))</f>
        <v>0</v>
      </c>
      <c r="R248" s="157" cm="1">
        <f t="array" aca="1" ref="R248" ca="1">IF(OR($E248="X",$E248="",$E248=0,$B248="X",$B248="",$B248=0),0,SUM(_xlfn._xlws.FILTER(IF($E$4="Ppto",PptoSty[CurPpto],PptoSty[CurExt]),(IF($E$4="Ppto",PptoSty[POvsCT]=R$113,TRUE))*(PptoSty[Project]=TEXT($B248,"@"))*(PptoSty[PptoVsRow]=$E248)*(PptoSty[PptoVsColumn]=UPPER(Q$114)),0)))</f>
        <v>0</v>
      </c>
      <c r="S248" s="157" cm="1">
        <f t="array" aca="1" ref="S248" ca="1">IF(OR($E248="X",$E248="",$E248=0,$B248="X",$B248="",$B248=0),0,SUM(_xlfn._xlws.FILTER(IF($E$4="Ppto",PptoSty[CurPpto],PptoSty[CurInt]),(IF($E$4="Ppto",PptoSty[POvsCT]=S$113,TRUE))*(PptoSty[Project]=TEXT($B248,"@"))*(PptoSty[PptoVsRow]=$E248)*(PptoSty[PptoVsColumn]=UPPER(S$114)),0)))</f>
        <v>0</v>
      </c>
      <c r="T248" s="157" cm="1">
        <f t="array" aca="1" ref="T248" ca="1">IF(OR($E248="X",$E248="",$E248=0,$B248="X",$B248="",$B248=0),0,SUM(_xlfn._xlws.FILTER(IF($E$4="Ppto",PptoSty[CurPpto],PptoSty[CurExt]),(IF($E$4="Ppto",PptoSty[POvsCT]=T$113,TRUE))*(PptoSty[Project]=TEXT($B248,"@"))*(PptoSty[PptoVsRow]=$E248)*(PptoSty[PptoVsColumn]=UPPER(S$114)),0)))</f>
        <v>0</v>
      </c>
      <c r="U248" s="157" cm="1">
        <f t="array" aca="1" ref="U248" ca="1">IF(OR($E248="X",$E248="",$E248=0,$B248="X",$B248="",$B248=0),0,SUM(_xlfn._xlws.FILTER(IF($E$4="Ppto",PptoSty[CurPpto],PptoSty[CurInt]),(IF($E$4="Ppto",PptoSty[POvsCT]=U$113,TRUE))*(PptoSty[Project]=TEXT($B248,"@"))*(PptoSty[PptoVsRow]=$E248)*(PptoSty[PptoVsColumn]=UPPER(U$114)),0)))</f>
        <v>0</v>
      </c>
      <c r="V248" s="157" cm="1">
        <f t="array" aca="1" ref="V248" ca="1">IF(OR($E248="X",$E248="",$E248=0,$B248="X",$B248="",$B248=0),0,SUM(_xlfn._xlws.FILTER(IF($E$4="Ppto",PptoSty[CurPpto],PptoSty[CurExt]),(IF($E$4="Ppto",PptoSty[POvsCT]=V$113,TRUE))*(PptoSty[Project]=TEXT($B248,"@"))*(PptoSty[PptoVsRow]=$E248)*(PptoSty[PptoVsColumn]=UPPER(U$114)),0)))</f>
        <v>0</v>
      </c>
      <c r="W248" s="157" cm="1">
        <f t="array" aca="1" ref="W248" ca="1">IF(OR($E248="X",$E248="",$E248=0,$B248="X",$B248="",$B248=0),0,SUM(_xlfn._xlws.FILTER(IF($E$4="Ppto",PptoSty[CurPpto],PptoSty[CurInt]),(IF($E$4="Ppto",PptoSty[POvsCT]=W$113,TRUE))*(PptoSty[Project]=TEXT($B248,"@"))*(PptoSty[PptoVsRow]=$E248)*(PptoSty[PptoVsColumn]=UPPER(W$114)),0)))</f>
        <v>0</v>
      </c>
      <c r="X248" s="157" cm="1">
        <f t="array" aca="1" ref="X248" ca="1">IF(OR($E248="X",$E248="",$E248=0,$B248="X",$B248="",$B248=0),0,SUM(_xlfn._xlws.FILTER(IF($E$4="Ppto",PptoSty[CurPpto],PptoSty[CurExt]),(IF($E$4="Ppto",PptoSty[POvsCT]=X$113,TRUE))*(PptoSty[Project]=TEXT($B248,"@"))*(PptoSty[PptoVsRow]=$E248)*(PptoSty[PptoVsColumn]=UPPER(W$114)),0)))</f>
        <v>0</v>
      </c>
      <c r="Y248" s="157" cm="1">
        <f t="array" aca="1" ref="Y248" ca="1">IF(OR($E248="X",$E248="",$E248=0,$B248="X",$B248="",$B248=0),0,SUM(_xlfn._xlws.FILTER(IF($E$4="Ppto",PptoSty[CurPpto],PptoSty[CurInt]),(IF($E$4="Ppto",PptoSty[POvsCT]=Y$113,TRUE))*(PptoSty[Project]=TEXT($B248,"@"))*(PptoSty[PptoVsRow]=$E248)*(PptoSty[PptoVsColumn]=UPPER(Y$114)),0)))</f>
        <v>0</v>
      </c>
      <c r="Z248" s="157" cm="1">
        <f t="array" aca="1" ref="Z248" ca="1">IF(OR($E248="X",$E248="",$E248=0,$B248="X",$B248="",$B248=0),0,SUM(_xlfn._xlws.FILTER(IF($E$4="Ppto",PptoSty[CurPpto],PptoSty[CurExt]),(IF($E$4="Ppto",PptoSty[POvsCT]=Z$113,TRUE))*(PptoSty[Project]=TEXT($B248,"@"))*(PptoSty[PptoVsRow]=$E248)*(PptoSty[PptoVsColumn]=UPPER(Y$114)),0)))</f>
        <v>0</v>
      </c>
      <c r="AA248" s="157" cm="1">
        <f t="array" aca="1" ref="AA248" ca="1">IF(OR($E248="X",$E248="",$E248=0,$B248="X",$B248="",$B248=0),0,SUM(_xlfn._xlws.FILTER(IF($E$4="Ppto",PptoSty[CurPpto],PptoSty[CurInt]),(IF($E$4="Ppto",PptoSty[POvsCT]=AA$113,TRUE))*(PptoSty[Project]=TEXT($B248,"@"))*(PptoSty[PptoVsRow]=$E248)*(PptoSty[PptoVsColumn]=UPPER(AA$114)),0)))</f>
        <v>0</v>
      </c>
      <c r="AB248" s="157" cm="1">
        <f t="array" aca="1" ref="AB248" ca="1">IF(OR($E248="X",$E248="",$E248=0,$B248="X",$B248="",$B248=0),0,SUM(_xlfn._xlws.FILTER(IF($E$4="Ppto",PptoSty[CurPpto],PptoSty[CurExt]),(IF($E$4="Ppto",PptoSty[POvsCT]=AB$113,TRUE))*(PptoSty[Project]=TEXT($B248,"@"))*(PptoSty[PptoVsRow]=$E248)*(PptoSty[PptoVsColumn]=UPPER(AA$114)),0)))</f>
        <v>0</v>
      </c>
      <c r="AC248" s="157" cm="1">
        <f t="array" aca="1" ref="AC248" ca="1">IF(OR($E248="X",$E248="",$E248=0,$B248="X",$B248="",$B248=0),0,SUM(_xlfn._xlws.FILTER(IF($E$4="Ppto",PptoSty[CurPpto],PptoSty[CurInt]),(IF($E$4="Ppto",PptoSty[POvsCT]=AC$113,TRUE))*(PptoSty[Project]=TEXT($B248,"@"))*(PptoSty[PptoVsRow]=$E248)*(PptoSty[PptoVsColumn]=UPPER(AC$114)),0)))</f>
        <v>0</v>
      </c>
      <c r="AD248" s="157" cm="1">
        <f t="array" aca="1" ref="AD248" ca="1">IF(OR($E248="X",$E248="",$E248=0,$B248="X",$B248="",$B248=0),0,SUM(_xlfn._xlws.FILTER(IF($E$4="Ppto",PptoSty[CurPpto],PptoSty[CurExt]),(IF($E$4="Ppto",PptoSty[POvsCT]=AD$113,TRUE))*(PptoSty[Project]=TEXT($B248,"@"))*(PptoSty[PptoVsRow]=$E248)*(PptoSty[PptoVsColumn]=UPPER(AC$114)),0)))</f>
        <v>0</v>
      </c>
      <c r="AE248" s="157" cm="1">
        <f t="array" aca="1" ref="AE248" ca="1">IF(OR($E248="X",$E248="",$E248=0,$B248="X",$B248="",$B248=0),0,SUM(_xlfn._xlws.FILTER(IF($E$4="Ppto",PptoSty[CurPpto],PptoSty[CurInt]),(IF($E$4="Ppto",PptoSty[POvsCT]=AE$113,TRUE))*(PptoSty[Project]=TEXT($B248,"@"))*(PptoSty[PptoVsRow]=$E248)*(PptoSty[PptoVsColumn]=UPPER(AE$114)),0)))</f>
        <v>0</v>
      </c>
      <c r="AF248" s="157" cm="1">
        <f t="array" aca="1" ref="AF248" ca="1">IF(OR($E248="X",$E248="",$E248=0,$B248="X",$B248="",$B248=0),0,SUM(_xlfn._xlws.FILTER(IF($E$4="Ppto",PptoSty[CurPpto],PptoSty[CurExt]),(IF($E$4="Ppto",PptoSty[POvsCT]=AF$113,TRUE))*(PptoSty[Project]=TEXT($B248,"@"))*(PptoSty[PptoVsRow]=$E248)*(PptoSty[PptoVsColumn]=UPPER(AE$114)),0)))</f>
        <v>0</v>
      </c>
      <c r="AG248" s="157" cm="1">
        <f t="array" aca="1" ref="AG248" ca="1">IF(OR($E248="X",$E248="",$E248=0,$B248="X",$B248="",$B248=0),0,SUM(_xlfn._xlws.FILTER(IF($E$4="Ppto",PptoSty[CurPpto],PptoSty[CurInt]),(IF($E$4="Ppto",PptoSty[POvsCT]=AG$113,TRUE))*(PptoSty[Project]=TEXT($B248,"@"))*(PptoSty[PptoVsRow]=$E248)*(PptoSty[PptoVsColumn]=UPPER(AG$114)),0)))</f>
        <v>0</v>
      </c>
      <c r="AH248" s="157" cm="1">
        <f t="array" aca="1" ref="AH248" ca="1">IF(OR($E248="X",$E248="",$E248=0,$B248="X",$B248="",$B248=0),0,SUM(_xlfn._xlws.FILTER(IF($E$4="Ppto",PptoSty[CurPpto],PptoSty[CurExt]),(IF($E$4="Ppto",PptoSty[POvsCT]=AH$113,TRUE))*(PptoSty[Project]=TEXT($B248,"@"))*(PptoSty[PptoVsRow]=$E248)*(PptoSty[PptoVsColumn]=UPPER(AG$114)),0)))</f>
        <v>0</v>
      </c>
      <c r="AI248" s="157" cm="1">
        <f t="array" aca="1" ref="AI248" ca="1">IF(OR($E248="X",$E248="",$E248=0,$B248="X",$B248="",$B248=0),0,SUM(_xlfn._xlws.FILTER(IF($E$4="Ppto",PptoSty[CurPpto],PptoSty[CurInt]),(IF($E$4="Ppto",PptoSty[POvsCT]=AI$113,TRUE))*(PptoSty[Project]=TEXT($B248,"@"))*(PptoSty[PptoVsRow]=$E248)*(PptoSty[PptoVsColumn]=UPPER(AI$114)),0)))</f>
        <v>0</v>
      </c>
      <c r="AJ248" s="157" cm="1">
        <f t="array" aca="1" ref="AJ248" ca="1">IF(OR($E248="X",$E248="",$E248=0,$B248="X",$B248="",$B248=0),0,SUM(_xlfn._xlws.FILTER(IF($E$4="Ppto",PptoSty[CurPpto],PptoSty[CurExt]),(IF($E$4="Ppto",PptoSty[POvsCT]=AJ$113,TRUE))*(PptoSty[Project]=TEXT($B248,"@"))*(PptoSty[PptoVsRow]=$E248)*(PptoSty[PptoVsColumn]=UPPER(AI$114)),0)))</f>
        <v>0</v>
      </c>
      <c r="AK248" s="157" cm="1">
        <f t="array" aca="1" ref="AK248" ca="1">IF(OR($E248="X",$E248="",$E248=0,$B248="X",$B248="",$B248=0),0,SUM(_xlfn._xlws.FILTER(IF($E$4="Ppto",PptoSty[CurPpto],PptoSty[CurInt]),(IF($E$4="Ppto",PptoSty[POvsCT]=AK$113,TRUE))*(PptoSty[Project]=TEXT($B248,"@"))*(PptoSty[PptoVsRow]=$E248)*(PptoSty[PptoVsColumn]=UPPER(AK$114)),0)))</f>
        <v>0</v>
      </c>
      <c r="AL248" s="157" cm="1">
        <f t="array" aca="1" ref="AL248" ca="1">IF(OR($E248="X",$E248="",$E248=0,$B248="X",$B248="",$B248=0),0,SUM(_xlfn._xlws.FILTER(IF($E$4="Ppto",PptoSty[CurPpto],PptoSty[CurExt]),(IF($E$4="Ppto",PptoSty[POvsCT]=AL$113,TRUE))*(PptoSty[Project]=TEXT($B248,"@"))*(PptoSty[PptoVsRow]=$E248)*(PptoSty[PptoVsColumn]=UPPER(AK$114)),0)))</f>
        <v>0</v>
      </c>
      <c r="AM248" s="157" cm="1">
        <f t="array" aca="1" ref="AM248" ca="1">IF(OR($E248="X",$E248="",$E248=0,$B248="X",$B248="",$B248=0),0,SUM(_xlfn._xlws.FILTER(IF($E$4="Ppto",PptoSty[CurPpto],PptoSty[CurInt]),(IF($E$4="Ppto",PptoSty[POvsCT]=AM$113,TRUE))*(PptoSty[Project]=TEXT($B248,"@"))*(PptoSty[PptoVsRow]=$E248)*(PptoSty[PptoVsColumn]=UPPER(AM$114)),0)))</f>
        <v>0</v>
      </c>
      <c r="AN248" s="157" cm="1">
        <f t="array" aca="1" ref="AN248" ca="1">IF(OR($E248="X",$E248="",$E248=0,$B248="X",$B248="",$B248=0),0,SUM(_xlfn._xlws.FILTER(IF($E$4="Ppto",PptoSty[CurPpto],PptoSty[CurExt]),(IF($E$4="Ppto",PptoSty[POvsCT]=AN$113,TRUE))*(PptoSty[Project]=TEXT($B248,"@"))*(PptoSty[PptoVsRow]=$E248)*(PptoSty[PptoVsColumn]=UPPER(AM$114)),0)))</f>
        <v>0</v>
      </c>
      <c r="AO248" s="157" cm="1">
        <f t="array" aca="1" ref="AO248" ca="1">IF(OR($E248="X",$E248="",$E248=0,$B248="X",$B248="",$B248=0),0,SUM(_xlfn._xlws.FILTER(IF($E$4="Ppto",PptoSty[CurPpto],PptoSty[CurInt]),(IF($E$4="Ppto",PptoSty[POvsCT]=AO$113,TRUE))*(PptoSty[Project]=TEXT($B248,"@"))*(PptoSty[PptoVsRow]=$E248)*(PptoSty[PptoVsColumn]=UPPER(AO$114)),0)))</f>
        <v>0</v>
      </c>
      <c r="AP248" s="157" cm="1">
        <f t="array" aca="1" ref="AP248" ca="1">IF(OR($E248="X",$E248="",$E248=0,$B248="X",$B248="",$B248=0),0,SUM(_xlfn._xlws.FILTER(IF($E$4="Ppto",PptoSty[CurPpto],PptoSty[CurExt]),(IF($E$4="Ppto",PptoSty[POvsCT]=AP$113,TRUE))*(PptoSty[Project]=TEXT($B248,"@"))*(PptoSty[PptoVsRow]=$E248)*(PptoSty[PptoVsColumn]=UPPER(AO$114)),0)))</f>
        <v>0</v>
      </c>
      <c r="AQ248" s="157" cm="1">
        <f t="array" aca="1" ref="AQ248" ca="1">SUM(IF(INDIRECT($AS$115)=AQ$115,INDIRECT($AS248)))</f>
        <v>0</v>
      </c>
      <c r="AR248" s="157" cm="1">
        <f t="array" aca="1" ref="AR248" ca="1">SUM(IF(INDIRECT($AS$115)=AR$115,INDIRECT($AS248)))</f>
        <v>0</v>
      </c>
      <c r="AS248" s="286" t="str">
        <f t="shared" ca="1" si="19"/>
        <v>G248:AP248</v>
      </c>
      <c r="AT248" s="403">
        <f t="shared" ca="1" si="20"/>
        <v>0</v>
      </c>
      <c r="AV248" s="142" cm="1">
        <f t="array" aca="1" ref="AV248" ca="1">IF(AND(_xlfn.LET(_xlpm.x,SUM(ROW()),OR(AND(MATCH("SOT",$A:$A,0)&lt;_xlpm.x,MATCH("EOT",$A:$A,0)&gt;_xlpm.x),AND(MATCH("SOS",$A:$A,0)&lt;_xlpm.x,MATCH("EOS",$A:$A,0)&gt;_xlpm.x),AND(MATCH("SOR",$A:$A,0)&lt;_xlpm.x,MATCH("EOR",$A:$A,0)&gt;_xlpm.x))),INDIRECT("rc"&amp;MATCH("SCD",$1:$1,0),FALSE)="PPTO"),1,0)</f>
        <v>1</v>
      </c>
      <c r="AW248" s="142" cm="1">
        <f t="array" aca="1" ref="AW24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249" spans="1:49" outlineLevel="1">
      <c r="B249" s="156" t="str" cm="1">
        <f t="array" aca="1" ref="B249" ca="1">_xlfn.LET(_xlpm.x,SUM(ROW()-MATCH("SOR",$A:$A,0)),_xlpm.y,IFERROR(_xlfn.TAKE(INDEX(_xlfn._xlws.FILTER(TbAssign[],ISNUMBER(FIND(TbAssign[Project],$C$4)),"X"),1+QUOTIENT(_xlpm.x,3),0),1,4),0),IF(MOD(_xlpm.x-1,3)=0,IF(_xlpm.y=0,"X",_xlpm.y),INDIRECT("r[-1]c#",FALSE)))</f>
        <v>X</v>
      </c>
      <c r="C249" s="156"/>
      <c r="E249" s="352"/>
      <c r="F249" s="148" t="s">
        <v>1382</v>
      </c>
      <c r="G249" s="157" cm="1">
        <f t="array" aca="1" ref="G249" ca="1">IF(OR($E249="X",$E249="",$E249=0,$B249="X",$B249="",$B249=0),0,SUM(_xlfn._xlws.FILTER(PrvSty[DsvValue:SERRA],(PrvSty[Project]=TEXT($B249,"@"))*(PrvSty[Row]=$E249)*(PrvSty[Column]=UPPER(G$114)),0)))</f>
        <v>0</v>
      </c>
      <c r="H249" s="157" cm="1">
        <f t="array" aca="1" ref="H249" ca="1">IF(OR($E249="X",$E249="",$E249=0,$B249="X",$B249="",$B249=0),0,SUM(_xlfn._xlws.FILTER(PrvSty[DsvValue:EXT.],(PrvSty[Project]=TEXT($B249,"@"))*(PrvSty[Row]=$E249)*(PrvSty[Column]=UPPER(G$114)),0)))</f>
        <v>0</v>
      </c>
      <c r="I249" s="157" cm="1">
        <f t="array" aca="1" ref="I249" ca="1">IF(OR($E249="X",$E249="",$E249=0,$B249="X",$B249="",$B249=0),0,SUM(_xlfn._xlws.FILTER(PrvSty[DsvValue:SERRA],(PrvSty[Project]=TEXT($B249,"@"))*(PrvSty[Row]=$E249)*(PrvSty[Column]=UPPER(I$114)),0)))</f>
        <v>0</v>
      </c>
      <c r="J249" s="157" cm="1">
        <f t="array" aca="1" ref="J249" ca="1">IF(OR($E249="X",$E249="",$E249=0,$B249="X",$B249="",$B249=0),0,SUM(_xlfn._xlws.FILTER(PrvSty[DsvValue:EXT.],(PrvSty[Project]=TEXT($B249,"@"))*(PrvSty[Row]=$E249)*(PrvSty[Column]=UPPER(I$114)),0)))</f>
        <v>0</v>
      </c>
      <c r="K249" s="157" cm="1">
        <f t="array" aca="1" ref="K249" ca="1">IF(OR($E249="X",$E249="",$E249=0,$B249="X",$B249="",$B249=0),0,SUM(_xlfn._xlws.FILTER(PrvSty[DsvValue:SERRA],(PrvSty[Project]=TEXT($B249,"@"))*(PrvSty[Row]=$E249)*(PrvSty[Column]=UPPER(K$114)),0)))</f>
        <v>0</v>
      </c>
      <c r="L249" s="157" cm="1">
        <f t="array" aca="1" ref="L249" ca="1">IF(OR($E249="X",$E249="",$E249=0,$B249="X",$B249="",$B249=0),0,SUM(_xlfn._xlws.FILTER(PrvSty[DsvValue:EXT.],(PrvSty[Project]=TEXT($B249,"@"))*(PrvSty[Row]=$E249)*(PrvSty[Column]=UPPER(K$114)),0)))</f>
        <v>0</v>
      </c>
      <c r="M249" s="157" cm="1">
        <f t="array" aca="1" ref="M249" ca="1">IF(OR($E249="X",$E249="",$E249=0,$B249="X",$B249="",$B249=0),0,SUM(_xlfn._xlws.FILTER(PrvSty[DsvValue:SERRA],(PrvSty[Project]=TEXT($B249,"@"))*(PrvSty[Row]=$E249)*(PrvSty[Column]=UPPER(M$114)),0)))</f>
        <v>0</v>
      </c>
      <c r="N249" s="157" cm="1">
        <f t="array" aca="1" ref="N249" ca="1">IF(OR($E249="X",$E249="",$E249=0,$B249="X",$B249="",$B249=0),0,SUM(_xlfn._xlws.FILTER(PrvSty[DsvValue:EXT.],(PrvSty[Project]=TEXT($B249,"@"))*(PrvSty[Row]=$E249)*(PrvSty[Column]=UPPER(M$114)),0)))</f>
        <v>0</v>
      </c>
      <c r="O249" s="157" cm="1">
        <f t="array" aca="1" ref="O249" ca="1">IF(OR($E249="X",$E249="",$E249=0,$B249="X",$B249="",$B249=0),0,SUM(_xlfn._xlws.FILTER(PrvSty[DsvValue:SERRA],(PrvSty[Project]=TEXT($B249,"@"))*(PrvSty[Row]=$E249)*(PrvSty[Column]=UPPER(O$114)),0)))</f>
        <v>0</v>
      </c>
      <c r="P249" s="157" cm="1">
        <f t="array" aca="1" ref="P249" ca="1">IF(OR($E249="X",$E249="",$E249=0,$B249="X",$B249="",$B249=0),0,SUM(_xlfn._xlws.FILTER(PrvSty[DsvValue:EXT.],(PrvSty[Project]=TEXT($B249,"@"))*(PrvSty[Row]=$E249)*(PrvSty[Column]=UPPER(O$114)),0)))</f>
        <v>0</v>
      </c>
      <c r="Q249" s="157" cm="1">
        <f t="array" aca="1" ref="Q249" ca="1">IF(OR($E249="X",$E249="",$E249=0,$B249="X",$B249="",$B249=0),0,SUM(_xlfn._xlws.FILTER(PrvSty[DsvValue:SERRA],(PrvSty[Project]=TEXT($B249,"@"))*(PrvSty[Row]=$E249)*(PrvSty[Column]=UPPER(Q$114)),0)))</f>
        <v>0</v>
      </c>
      <c r="R249" s="157" cm="1">
        <f t="array" aca="1" ref="R249" ca="1">IF(OR($E249="X",$E249="",$E249=0,$B249="X",$B249="",$B249=0),0,SUM(_xlfn._xlws.FILTER(PrvSty[DsvValue:EXT.],(PrvSty[Project]=TEXT($B249,"@"))*(PrvSty[Row]=$E249)*(PrvSty[Column]=UPPER(Q$114)),0)))</f>
        <v>0</v>
      </c>
      <c r="S249" s="157" cm="1">
        <f t="array" aca="1" ref="S249" ca="1">IF(OR($E249="X",$E249="",$E249=0,$B249="X",$B249="",$B249=0),0,SUM(_xlfn._xlws.FILTER(PrvSty[DsvValue:SERRA],(PrvSty[Project]=TEXT($B249,"@"))*(PrvSty[Row]=$E249)*(PrvSty[Column]=UPPER(S$114)),0)))</f>
        <v>0</v>
      </c>
      <c r="T249" s="157" cm="1">
        <f t="array" aca="1" ref="T249" ca="1">IF(OR($E249="X",$E249="",$E249=0,$B249="X",$B249="",$B249=0),0,SUM(_xlfn._xlws.FILTER(PrvSty[DsvValue:EXT.],(PrvSty[Project]=TEXT($B249,"@"))*(PrvSty[Row]=$E249)*(PrvSty[Column]=UPPER(S$114)),0)))</f>
        <v>0</v>
      </c>
      <c r="U249" s="157" cm="1">
        <f t="array" aca="1" ref="U249" ca="1">IF(OR($E249="X",$E249="",$E249=0,$B249="X",$B249="",$B249=0),0,SUM(_xlfn._xlws.FILTER(PrvSty[DsvValue:SERRA],(PrvSty[Project]=TEXT($B249,"@"))*(PrvSty[Row]=$E249)*(PrvSty[Column]=UPPER(U$114)),0)))</f>
        <v>0</v>
      </c>
      <c r="V249" s="157" cm="1">
        <f t="array" aca="1" ref="V249" ca="1">IF(OR($E249="X",$E249="",$E249=0,$B249="X",$B249="",$B249=0),0,SUM(_xlfn._xlws.FILTER(PrvSty[DsvValue:EXT.],(PrvSty[Project]=TEXT($B249,"@"))*(PrvSty[Row]=$E249)*(PrvSty[Column]=UPPER(U$114)),0)))</f>
        <v>0</v>
      </c>
      <c r="W249" s="157" cm="1">
        <f t="array" aca="1" ref="W249" ca="1">IF(OR($E249="X",$E249="",$E249=0,$B249="X",$B249="",$B249=0),0,SUM(_xlfn._xlws.FILTER(PrvSty[DsvValue:SERRA],(PrvSty[Project]=TEXT($B249,"@"))*(PrvSty[Row]=$E249)*(PrvSty[Column]=UPPER(W$114)),0)))</f>
        <v>0</v>
      </c>
      <c r="X249" s="157" cm="1">
        <f t="array" aca="1" ref="X249" ca="1">IF(OR($E249="X",$E249="",$E249=0,$B249="X",$B249="",$B249=0),0,SUM(_xlfn._xlws.FILTER(PrvSty[DsvValue:EXT.],(PrvSty[Project]=TEXT($B249,"@"))*(PrvSty[Row]=$E249)*(PrvSty[Column]=UPPER(W$114)),0)))</f>
        <v>0</v>
      </c>
      <c r="Y249" s="157" cm="1">
        <f t="array" aca="1" ref="Y249" ca="1">IF(OR($E249="X",$E249="",$E249=0,$B249="X",$B249="",$B249=0),0,SUM(_xlfn._xlws.FILTER(PrvSty[DsvValue:SERRA],(PrvSty[Project]=TEXT($B249,"@"))*(PrvSty[Row]=$E249)*(PrvSty[Column]=UPPER(Y$114)),0)))</f>
        <v>0</v>
      </c>
      <c r="Z249" s="157" cm="1">
        <f t="array" aca="1" ref="Z249" ca="1">IF(OR($E249="X",$E249="",$E249=0,$B249="X",$B249="",$B249=0),0,SUM(_xlfn._xlws.FILTER(PrvSty[DsvValue:EXT.],(PrvSty[Project]=TEXT($B249,"@"))*(PrvSty[Row]=$E249)*(PrvSty[Column]=UPPER(Y$114)),0)))</f>
        <v>0</v>
      </c>
      <c r="AA249" s="157" cm="1">
        <f t="array" aca="1" ref="AA249" ca="1">IF(OR($E249="X",$E249="",$E249=0,$B249="X",$B249="",$B249=0),0,SUM(_xlfn._xlws.FILTER(PrvSty[DsvValue:SERRA],(PrvSty[Project]=TEXT($B249,"@"))*(PrvSty[Row]=$E249)*(PrvSty[Column]=UPPER(AA$114)),0)))</f>
        <v>0</v>
      </c>
      <c r="AB249" s="157" cm="1">
        <f t="array" aca="1" ref="AB249" ca="1">IF(OR($E249="X",$E249="",$E249=0,$B249="X",$B249="",$B249=0),0,SUM(_xlfn._xlws.FILTER(PrvSty[DsvValue:EXT.],(PrvSty[Project]=TEXT($B249,"@"))*(PrvSty[Row]=$E249)*(PrvSty[Column]=UPPER(AA$114)),0)))</f>
        <v>0</v>
      </c>
      <c r="AC249" s="157" cm="1">
        <f t="array" aca="1" ref="AC249" ca="1">IF(OR($E249="X",$E249="",$E249=0,$B249="X",$B249="",$B249=0),0,SUM(_xlfn._xlws.FILTER(PrvSty[DsvValue:SERRA],(PrvSty[Project]=TEXT($B249,"@"))*(PrvSty[Row]=$E249)*(PrvSty[Column]=UPPER(AC$114)),0)))</f>
        <v>0</v>
      </c>
      <c r="AD249" s="157" cm="1">
        <f t="array" aca="1" ref="AD249" ca="1">IF(OR($E249="X",$E249="",$E249=0,$B249="X",$B249="",$B249=0),0,SUM(_xlfn._xlws.FILTER(PrvSty[DsvValue:EXT.],(PrvSty[Project]=TEXT($B249,"@"))*(PrvSty[Row]=$E249)*(PrvSty[Column]=UPPER(AC$114)),0)))</f>
        <v>0</v>
      </c>
      <c r="AE249" s="157" cm="1">
        <f t="array" aca="1" ref="AE249" ca="1">IF(OR($E249="X",$E249="",$E249=0,$B249="X",$B249="",$B249=0),0,SUM(_xlfn._xlws.FILTER(PrvSty[DsvValue:SERRA],(PrvSty[Project]=TEXT($B249,"@"))*(PrvSty[Row]=$E249)*(PrvSty[Column]=UPPER(AE$114)),0)))</f>
        <v>0</v>
      </c>
      <c r="AF249" s="157" cm="1">
        <f t="array" aca="1" ref="AF249" ca="1">IF(OR($E249="X",$E249="",$E249=0,$B249="X",$B249="",$B249=0),0,SUM(_xlfn._xlws.FILTER(PrvSty[DsvValue:EXT.],(PrvSty[Project]=TEXT($B249,"@"))*(PrvSty[Row]=$E249)*(PrvSty[Column]=UPPER(AE$114)),0)))</f>
        <v>0</v>
      </c>
      <c r="AG249" s="157" cm="1">
        <f t="array" aca="1" ref="AG249" ca="1">IF(OR($E249="X",$E249="",$E249=0,$B249="X",$B249="",$B249=0),0,SUM(_xlfn._xlws.FILTER(PrvSty[DsvValue:SERRA],(PrvSty[Project]=TEXT($B249,"@"))*(PrvSty[Row]=$E249)*(PrvSty[Column]=UPPER(AG$114)),0)))</f>
        <v>0</v>
      </c>
      <c r="AH249" s="157" cm="1">
        <f t="array" aca="1" ref="AH249" ca="1">IF(OR($E249="X",$E249="",$E249=0,$B249="X",$B249="",$B249=0),0,SUM(_xlfn._xlws.FILTER(PrvSty[DsvValue:EXT.],(PrvSty[Project]=TEXT($B249,"@"))*(PrvSty[Row]=$E249)*(PrvSty[Column]=UPPER(AG$114)),0)))</f>
        <v>0</v>
      </c>
      <c r="AI249" s="157" cm="1">
        <f t="array" aca="1" ref="AI249" ca="1">IF(OR($E249="X",$E249="",$E249=0,$B249="X",$B249="",$B249=0),0,SUM(_xlfn._xlws.FILTER(PrvSty[DsvValue:SERRA],(PrvSty[Project]=TEXT($B249,"@"))*(PrvSty[Row]=$E249)*(PrvSty[Column]=UPPER(AI$114)),0)))</f>
        <v>0</v>
      </c>
      <c r="AJ249" s="157" cm="1">
        <f t="array" aca="1" ref="AJ249" ca="1">IF(OR($E249="X",$E249="",$E249=0,$B249="X",$B249="",$B249=0),0,SUM(_xlfn._xlws.FILTER(PrvSty[DsvValue:EXT.],(PrvSty[Project]=TEXT($B249,"@"))*(PrvSty[Row]=$E249)*(PrvSty[Column]=UPPER(AI$114)),0)))</f>
        <v>0</v>
      </c>
      <c r="AK249" s="157" cm="1">
        <f t="array" aca="1" ref="AK249" ca="1">IF(OR($E249="X",$E249="",$E249=0,$B249="X",$B249="",$B249=0),0,SUM(_xlfn._xlws.FILTER(PrvSty[DsvValue:SERRA],(PrvSty[Project]=TEXT($B249,"@"))*(PrvSty[Row]=$E249)*(PrvSty[Column]=UPPER(AK$114)),0)))</f>
        <v>0</v>
      </c>
      <c r="AL249" s="157" cm="1">
        <f t="array" aca="1" ref="AL249" ca="1">IF(OR($E249="X",$E249="",$E249=0,$B249="X",$B249="",$B249=0),0,SUM(_xlfn._xlws.FILTER(PrvSty[DsvValue:EXT.],(PrvSty[Project]=TEXT($B249,"@"))*(PrvSty[Row]=$E249)*(PrvSty[Column]=UPPER(AK$114)),0)))</f>
        <v>0</v>
      </c>
      <c r="AM249" s="157" cm="1">
        <f t="array" aca="1" ref="AM249" ca="1">IF(OR($E249="X",$E249="",$E249=0,$B249="X",$B249="",$B249=0),0,SUM(_xlfn._xlws.FILTER(PrvSty[DsvValue:SERRA],(PrvSty[Project]=TEXT($B249,"@"))*(PrvSty[Row]=$E249)*(PrvSty[Column]=UPPER(AM$114)),0)))</f>
        <v>0</v>
      </c>
      <c r="AN249" s="157" cm="1">
        <f t="array" aca="1" ref="AN249" ca="1">IF(OR($E249="X",$E249="",$E249=0,$B249="X",$B249="",$B249=0),0,SUM(_xlfn._xlws.FILTER(PrvSty[DsvValue:EXT.],(PrvSty[Project]=TEXT($B249,"@"))*(PrvSty[Row]=$E249)*(PrvSty[Column]=UPPER(AM$114)),0)))</f>
        <v>0</v>
      </c>
      <c r="AO249" s="157" cm="1">
        <f t="array" aca="1" ref="AO249" ca="1">IF(OR($E249="X",$E249="",$E249=0,$B249="X",$B249="",$B249=0),0,SUM(_xlfn._xlws.FILTER(PrvSty[DsvValue:SERRA],(PrvSty[Project]=TEXT($B249,"@"))*(PrvSty[Row]=$E249)*(PrvSty[Column]=UPPER(AO$114)),0)))</f>
        <v>0</v>
      </c>
      <c r="AP249" s="157" cm="1">
        <f t="array" aca="1" ref="AP249" ca="1">IF(OR($E249="X",$E249="",$E249=0,$B249="X",$B249="",$B249=0),0,SUM(_xlfn._xlws.FILTER(PrvSty[DsvValue:EXT.],(PrvSty[Project]=TEXT($B249,"@"))*(PrvSty[Row]=$E249)*(PrvSty[Column]=UPPER(AO$114)),0)))</f>
        <v>0</v>
      </c>
      <c r="AQ249" s="157" cm="1">
        <f t="array" aca="1" ref="AQ249" ca="1">SUM(IF(INDIRECT($AS$115)=AQ$115,INDIRECT($AS249)))</f>
        <v>0</v>
      </c>
      <c r="AR249" s="157" cm="1">
        <f t="array" aca="1" ref="AR249" ca="1">SUM(IF(INDIRECT($AS$115)=AR$115,INDIRECT($AS249)))</f>
        <v>0</v>
      </c>
      <c r="AS249" s="286" t="str">
        <f t="shared" ca="1" si="19"/>
        <v>G249:AP249</v>
      </c>
      <c r="AT249" s="403">
        <f t="shared" ca="1" si="20"/>
        <v>0</v>
      </c>
      <c r="AV249" s="142" cm="1">
        <f t="array" aca="1" ref="AV249" ca="1">IF(AND(_xlfn.LET(_xlpm.x,SUM(ROW()),OR(AND(MATCH("SOT",$A:$A,0)&lt;_xlpm.x,MATCH("EOT",$A:$A,0)&gt;_xlpm.x),AND(MATCH("SOS",$A:$A,0)&lt;_xlpm.x,MATCH("EOS",$A:$A,0)&gt;_xlpm.x),AND(MATCH("SOR",$A:$A,0)&lt;_xlpm.x,MATCH("EOR",$A:$A,0)&gt;_xlpm.x))),INDIRECT("rc"&amp;MATCH("SCD",$1:$1,0),FALSE)="PPTO"),1,0)</f>
        <v>0</v>
      </c>
      <c r="AW249" s="142" cm="1">
        <f t="array" aca="1" ref="AW24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250" spans="1:49" outlineLevel="1">
      <c r="B250" s="156" t="str" cm="1">
        <f t="array" aca="1" ref="B250" ca="1">_xlfn.LET(_xlpm.x,SUM(ROW()-MATCH("SOR",$A:$A,0)),_xlpm.y,IFERROR(_xlfn.TAKE(INDEX(_xlfn._xlws.FILTER(TbAssign[],ISNUMBER(FIND(TbAssign[Project],$C$4)),"X"),1+QUOTIENT(_xlpm.x,3),0),1,4),0),IF(MOD(_xlpm.x-1,3)=0,IF(_xlpm.y=0,"X",_xlpm.y),INDIRECT("r[-1]c#",FALSE)))</f>
        <v>X</v>
      </c>
      <c r="C250" s="156"/>
      <c r="E250" s="352"/>
      <c r="F250" s="148" t="s">
        <v>1383</v>
      </c>
      <c r="G250" s="158" cm="1">
        <f t="array" aca="1" ref="G250" ca="1">IF(OR($E250="X",$E250="",$E250=0,$B250="X",$B250="",$B250=0),0,SUM(_xlfn._xlws.FILTER(FrmBB1[Cur],(FrmBB1[PrjId]=TEXT($B250,"@"))*(FrmBB1[Row]=$E250)*(FrmBB1[Column]=UPPER(_xlfn.LET(_xlpm.x,_xlfn.TEXTBEFORE(G$114," ("),IFERROR(_xlpm.x,G$114)))&amp;" "&amp;G$115),0)))</f>
        <v>0</v>
      </c>
      <c r="H250" s="157" cm="1">
        <f t="array" aca="1" ref="H250" ca="1">IF(OR($E250="X",$E250="",$E250=0,$B250="X",$B250="",$B250=0),0,SUM(_xlfn._xlws.FILTER(FrmBB1[Cur],(FrmBB1[PrjId]=TEXT($B250,"@"))*(FrmBB1[Row]=$E250)*(FrmBB1[Column]=UPPER(_xlfn.LET(_xlpm.x,_xlfn.TEXTBEFORE(G$114," ("),IFERROR(_xlpm.x,G$114)))&amp;" "&amp;H$115),0)))</f>
        <v>0</v>
      </c>
      <c r="I250" s="158" cm="1">
        <f t="array" aca="1" ref="I250" ca="1">IF(OR($E250="X",$E250="",$E250=0,$B250="X",$B250="",$B250=0),0,SUM(_xlfn._xlws.FILTER(FrmBB1[Cur],(FrmBB1[PrjId]=TEXT($B250,"@"))*(FrmBB1[Row]=$E250)*(FrmBB1[Column]=UPPER(_xlfn.LET(_xlpm.x,_xlfn.TEXTBEFORE(I$114," ("),IFERROR(_xlpm.x,I$114)))&amp;" "&amp;I$115),0)))</f>
        <v>0</v>
      </c>
      <c r="J250" s="157" cm="1">
        <f t="array" aca="1" ref="J250" ca="1">IF(OR($E250="X",$E250="",$E250=0,$B250="X",$B250="",$B250=0),0,SUM(_xlfn._xlws.FILTER(FrmBB1[Cur],(FrmBB1[PrjId]=TEXT($B250,"@"))*(FrmBB1[Row]=$E250)*(FrmBB1[Column]=UPPER(_xlfn.LET(_xlpm.x,_xlfn.TEXTBEFORE(I$114," ("),IFERROR(_xlpm.x,I$114)))&amp;" "&amp;J$115),0)))</f>
        <v>0</v>
      </c>
      <c r="K250" s="158" cm="1">
        <f t="array" aca="1" ref="K250" ca="1">IF(OR($E250="X",$E250="",$E250=0,$B250="X",$B250="",$B250=0),0,SUM(_xlfn._xlws.FILTER(FrmBB1[Cur],(FrmBB1[PrjId]=TEXT($B250,"@"))*(FrmBB1[Row]=$E250)*(FrmBB1[Column]=UPPER(_xlfn.LET(_xlpm.x,_xlfn.TEXTBEFORE(K$114," ("),IFERROR(_xlpm.x,K$114)))&amp;" "&amp;K$115),0)))</f>
        <v>0</v>
      </c>
      <c r="L250" s="157" cm="1">
        <f t="array" aca="1" ref="L250" ca="1">IF(OR($E250="X",$E250="",$E250=0,$B250="X",$B250="",$B250=0),0,SUM(_xlfn._xlws.FILTER(FrmBB1[Cur],(FrmBB1[PrjId]=TEXT($B250,"@"))*(FrmBB1[Row]=$E250)*(FrmBB1[Column]=UPPER(_xlfn.LET(_xlpm.x,_xlfn.TEXTBEFORE(K$114," ("),IFERROR(_xlpm.x,K$114)))&amp;" "&amp;L$115),0)))</f>
        <v>0</v>
      </c>
      <c r="M250" s="158" cm="1">
        <f t="array" aca="1" ref="M250" ca="1">IF(OR($E250="X",$E250="",$E250=0,$B250="X",$B250="",$B250=0),0,SUM(_xlfn._xlws.FILTER(FrmBB1[Cur],(FrmBB1[PrjId]=TEXT($B250,"@"))*(FrmBB1[Row]=$E250)*(FrmBB1[Column]=UPPER(_xlfn.LET(_xlpm.x,_xlfn.TEXTBEFORE(M$114," ("),IFERROR(_xlpm.x,M$114)))&amp;" "&amp;M$115),0)))</f>
        <v>0</v>
      </c>
      <c r="N250" s="157" cm="1">
        <f t="array" aca="1" ref="N250" ca="1">IF(OR($E250="X",$E250="",$E250=0,$B250="X",$B250="",$B250=0),0,SUM(_xlfn._xlws.FILTER(FrmBB1[Cur],(FrmBB1[PrjId]=TEXT($B250,"@"))*(FrmBB1[Row]=$E250)*(FrmBB1[Column]=UPPER(_xlfn.LET(_xlpm.x,_xlfn.TEXTBEFORE(M$114," ("),IFERROR(_xlpm.x,M$114)))&amp;" "&amp;N$115),0)))</f>
        <v>0</v>
      </c>
      <c r="O250" s="158" cm="1">
        <f t="array" aca="1" ref="O250" ca="1">IF(OR($E250="X",$E250="",$E250=0,$B250="X",$B250="",$B250=0),0,SUM(_xlfn._xlws.FILTER(FrmBB1[Cur],(FrmBB1[PrjId]=TEXT($B250,"@"))*(FrmBB1[Row]=$E250)*(FrmBB1[Column]=UPPER(_xlfn.LET(_xlpm.x,_xlfn.TEXTBEFORE(O$114," ("),IFERROR(_xlpm.x,O$114)))&amp;" "&amp;O$115),0)))</f>
        <v>0</v>
      </c>
      <c r="P250" s="157" cm="1">
        <f t="array" aca="1" ref="P250" ca="1">IF(OR($E250="X",$E250="",$E250=0,$B250="X",$B250="",$B250=0),0,SUM(_xlfn._xlws.FILTER(FrmBB1[Cur],(FrmBB1[PrjId]=TEXT($B250,"@"))*(FrmBB1[Row]=$E250)*(FrmBB1[Column]=UPPER(_xlfn.LET(_xlpm.x,_xlfn.TEXTBEFORE(O$114," ("),IFERROR(_xlpm.x,O$114)))&amp;" "&amp;P$115),0)))</f>
        <v>0</v>
      </c>
      <c r="Q250" s="158" cm="1">
        <f t="array" aca="1" ref="Q250" ca="1">IF(OR($E250="X",$E250="",$E250=0,$B250="X",$B250="",$B250=0),0,SUM(_xlfn._xlws.FILTER(FrmBB1[Cur],(FrmBB1[PrjId]=TEXT($B250,"@"))*(FrmBB1[Row]=$E250)*(FrmBB1[Column]=UPPER(_xlfn.LET(_xlpm.x,_xlfn.TEXTBEFORE(Q$114," ("),IFERROR(_xlpm.x,Q$114)))&amp;" "&amp;Q$115),0)))</f>
        <v>0</v>
      </c>
      <c r="R250" s="157" cm="1">
        <f t="array" aca="1" ref="R250" ca="1">IF(OR($E250="X",$E250="",$E250=0,$B250="X",$B250="",$B250=0),0,SUM(_xlfn._xlws.FILTER(FrmBB1[Cur],(FrmBB1[PrjId]=TEXT($B250,"@"))*(FrmBB1[Row]=$E250)*(FrmBB1[Column]=UPPER(_xlfn.LET(_xlpm.x,_xlfn.TEXTBEFORE(Q$114," ("),IFERROR(_xlpm.x,Q$114)))&amp;" "&amp;R$115),0)))</f>
        <v>0</v>
      </c>
      <c r="S250" s="158" cm="1">
        <f t="array" aca="1" ref="S250" ca="1">IF(OR($E250="X",$E250="",$E250=0,$B250="X",$B250="",$B250=0),0,SUM(_xlfn._xlws.FILTER(FrmBB1[Cur],(FrmBB1[PrjId]=TEXT($B250,"@"))*(FrmBB1[Row]=$E250)*(FrmBB1[Column]=UPPER(_xlfn.LET(_xlpm.x,_xlfn.TEXTBEFORE(S$114," ("),IFERROR(_xlpm.x,S$114)))&amp;" "&amp;S$115),0)))</f>
        <v>0</v>
      </c>
      <c r="T250" s="157" cm="1">
        <f t="array" aca="1" ref="T250" ca="1">IF(OR($E250="X",$E250="",$E250=0,$B250="X",$B250="",$B250=0),0,SUM(_xlfn._xlws.FILTER(FrmBB1[Cur],(FrmBB1[PrjId]=TEXT($B250,"@"))*(FrmBB1[Row]=$E250)*(FrmBB1[Column]=UPPER(_xlfn.LET(_xlpm.x,_xlfn.TEXTBEFORE(S$114," ("),IFERROR(_xlpm.x,S$114)))&amp;" "&amp;T$115),0)))</f>
        <v>0</v>
      </c>
      <c r="U250" s="158" cm="1">
        <f t="array" aca="1" ref="U250" ca="1">IF(OR($E250="X",$E250="",$E250=0,$B250="X",$B250="",$B250=0),0,SUM(_xlfn._xlws.FILTER(FrmBB1[Cur],(FrmBB1[PrjId]=TEXT($B250,"@"))*(FrmBB1[Row]=$E250)*(FrmBB1[Column]=UPPER(_xlfn.LET(_xlpm.x,_xlfn.TEXTBEFORE(U$114," ("),IFERROR(_xlpm.x,U$114)))&amp;" "&amp;U$115),0)))</f>
        <v>0</v>
      </c>
      <c r="V250" s="157" cm="1">
        <f t="array" aca="1" ref="V250" ca="1">IF(OR($E250="X",$E250="",$E250=0,$B250="X",$B250="",$B250=0),0,SUM(_xlfn._xlws.FILTER(FrmBB1[Cur],(FrmBB1[PrjId]=TEXT($B250,"@"))*(FrmBB1[Row]=$E250)*(FrmBB1[Column]=UPPER(_xlfn.LET(_xlpm.x,_xlfn.TEXTBEFORE(U$114," ("),IFERROR(_xlpm.x,U$114)))&amp;" "&amp;V$115),0)))</f>
        <v>0</v>
      </c>
      <c r="W250" s="158" cm="1">
        <f t="array" aca="1" ref="W250" ca="1">IF(OR($E250="X",$E250="",$E250=0,$B250="X",$B250="",$B250=0),0,SUM(_xlfn._xlws.FILTER(FrmBB1[Cur],(FrmBB1[PrjId]=TEXT($B250,"@"))*(FrmBB1[Row]=$E250)*(FrmBB1[Column]=UPPER(_xlfn.LET(_xlpm.x,_xlfn.TEXTBEFORE(W$114," ("),IFERROR(_xlpm.x,W$114)))&amp;" "&amp;W$115),0)))</f>
        <v>0</v>
      </c>
      <c r="X250" s="157" cm="1">
        <f t="array" aca="1" ref="X250" ca="1">IF(OR($E250="X",$E250="",$E250=0,$B250="X",$B250="",$B250=0),0,SUM(_xlfn._xlws.FILTER(FrmBB1[Cur],(FrmBB1[PrjId]=TEXT($B250,"@"))*(FrmBB1[Row]=$E250)*(FrmBB1[Column]=UPPER(_xlfn.LET(_xlpm.x,_xlfn.TEXTBEFORE(W$114," ("),IFERROR(_xlpm.x,W$114)))&amp;" "&amp;X$115),0)))</f>
        <v>0</v>
      </c>
      <c r="Y250" s="158" cm="1">
        <f t="array" aca="1" ref="Y250" ca="1">IF(OR($E250="X",$E250="",$E250=0,$B250="X",$B250="",$B250=0),0,SUM(_xlfn._xlws.FILTER(FrmBB1[Cur],(FrmBB1[PrjId]=TEXT($B250,"@"))*(FrmBB1[Row]=$E250)*(FrmBB1[Column]=UPPER(_xlfn.LET(_xlpm.x,_xlfn.TEXTBEFORE(Y$114," ("),IFERROR(_xlpm.x,Y$114)))&amp;" "&amp;Y$115),0)))</f>
        <v>0</v>
      </c>
      <c r="Z250" s="157" cm="1">
        <f t="array" aca="1" ref="Z250" ca="1">IF(OR($E250="X",$E250="",$E250=0,$B250="X",$B250="",$B250=0),0,SUM(_xlfn._xlws.FILTER(FrmBB1[Cur],(FrmBB1[PrjId]=TEXT($B250,"@"))*(FrmBB1[Row]=$E250)*(FrmBB1[Column]=UPPER(_xlfn.LET(_xlpm.x,_xlfn.TEXTBEFORE(Y$114," ("),IFERROR(_xlpm.x,Y$114)))&amp;" "&amp;Z$115),0)))</f>
        <v>0</v>
      </c>
      <c r="AA250" s="158" cm="1">
        <f t="array" aca="1" ref="AA250" ca="1">IF(OR($E250="X",$E250="",$E250=0,$B250="X",$B250="",$B250=0),0,SUM(_xlfn._xlws.FILTER(FrmBB1[Cur],(FrmBB1[PrjId]=TEXT($B250,"@"))*(FrmBB1[Row]=$E250)*(FrmBB1[Column]=UPPER(_xlfn.LET(_xlpm.x,_xlfn.TEXTBEFORE(AA$114," ("),IFERROR(_xlpm.x,AA$114)))&amp;" "&amp;AA$115),0)))</f>
        <v>0</v>
      </c>
      <c r="AB250" s="157" cm="1">
        <f t="array" aca="1" ref="AB250" ca="1">IF(OR($E250="X",$E250="",$E250=0,$B250="X",$B250="",$B250=0),0,SUM(_xlfn._xlws.FILTER(FrmBB1[Cur],(FrmBB1[PrjId]=TEXT($B250,"@"))*(FrmBB1[Row]=$E250)*(FrmBB1[Column]=UPPER(_xlfn.LET(_xlpm.x,_xlfn.TEXTBEFORE(AA$114," ("),IFERROR(_xlpm.x,AA$114)))&amp;" "&amp;AB$115),0)))</f>
        <v>0</v>
      </c>
      <c r="AC250" s="158" cm="1">
        <f t="array" aca="1" ref="AC250" ca="1">IF(OR($E250="X",$E250="",$E250=0,$B250="X",$B250="",$B250=0),0,SUM(_xlfn._xlws.FILTER(FrmBB1[Cur],(FrmBB1[PrjId]=TEXT($B250,"@"))*(FrmBB1[Row]=$E250)*(FrmBB1[Column]=UPPER(_xlfn.LET(_xlpm.x,_xlfn.TEXTBEFORE(AC$114," ("),IFERROR(_xlpm.x,AC$114)))&amp;" "&amp;AC$115),0)))</f>
        <v>0</v>
      </c>
      <c r="AD250" s="157" cm="1">
        <f t="array" aca="1" ref="AD250" ca="1">IF(OR($E250="X",$E250="",$E250=0,$B250="X",$B250="",$B250=0),0,SUM(_xlfn._xlws.FILTER(FrmBB1[Cur],(FrmBB1[PrjId]=TEXT($B250,"@"))*(FrmBB1[Row]=$E250)*(FrmBB1[Column]=UPPER(_xlfn.LET(_xlpm.x,_xlfn.TEXTBEFORE(AC$114," ("),IFERROR(_xlpm.x,AC$114)))&amp;" "&amp;AD$115),0)))</f>
        <v>0</v>
      </c>
      <c r="AE250" s="158" cm="1">
        <f t="array" aca="1" ref="AE250" ca="1">IF(OR($E250="X",$E250="",$E250=0,$B250="X",$B250="",$B250=0),0,SUM(_xlfn._xlws.FILTER(FrmBB1[Cur],(FrmBB1[PrjId]=TEXT($B250,"@"))*(FrmBB1[Row]=$E250)*(FrmBB1[Column]=UPPER(_xlfn.LET(_xlpm.x,_xlfn.TEXTBEFORE(AE$114," ("),IFERROR(_xlpm.x,AE$114)))&amp;" "&amp;AE$115),0)))</f>
        <v>0</v>
      </c>
      <c r="AF250" s="157" cm="1">
        <f t="array" aca="1" ref="AF250" ca="1">IF(OR($E250="X",$E250="",$E250=0,$B250="X",$B250="",$B250=0),0,SUM(_xlfn._xlws.FILTER(FrmBB1[Cur],(FrmBB1[PrjId]=TEXT($B250,"@"))*(FrmBB1[Row]=$E250)*(FrmBB1[Column]=UPPER(_xlfn.LET(_xlpm.x,_xlfn.TEXTBEFORE(AE$114," ("),IFERROR(_xlpm.x,AE$114)))&amp;" "&amp;AF$115),0)))</f>
        <v>0</v>
      </c>
      <c r="AG250" s="158" cm="1">
        <f t="array" aca="1" ref="AG250" ca="1">IF(OR($E250="X",$E250="",$E250=0,$B250="X",$B250="",$B250=0),0,SUM(_xlfn._xlws.FILTER(FrmBB1[Cur],(FrmBB1[PrjId]=TEXT($B250,"@"))*(FrmBB1[Row]=$E250)*(FrmBB1[Column]=UPPER(_xlfn.LET(_xlpm.x,_xlfn.TEXTBEFORE(AG$114," ("),IFERROR(_xlpm.x,AG$114)))&amp;" "&amp;AG$115),0)))</f>
        <v>0</v>
      </c>
      <c r="AH250" s="157" cm="1">
        <f t="array" aca="1" ref="AH250" ca="1">IF(OR($E250="X",$E250="",$E250=0,$B250="X",$B250="",$B250=0),0,SUM(_xlfn._xlws.FILTER(FrmBB1[Cur],(FrmBB1[PrjId]=TEXT($B250,"@"))*(FrmBB1[Row]=$E250)*(FrmBB1[Column]=UPPER(_xlfn.LET(_xlpm.x,_xlfn.TEXTBEFORE(AG$114," ("),IFERROR(_xlpm.x,AG$114)))&amp;" "&amp;AH$115),0)))</f>
        <v>0</v>
      </c>
      <c r="AI250" s="158" cm="1">
        <f t="array" aca="1" ref="AI250" ca="1">IF(OR($E250="X",$E250="",$E250=0,$B250="X",$B250="",$B250=0),0,SUM(_xlfn._xlws.FILTER(FrmBB1[Cur],(FrmBB1[PrjId]=TEXT($B250,"@"))*(FrmBB1[Row]=$E250)*(FrmBB1[Column]=UPPER(_xlfn.LET(_xlpm.x,_xlfn.TEXTBEFORE(AI$114," ("),IFERROR(_xlpm.x,AI$114)))&amp;" "&amp;AI$115),0)))</f>
        <v>0</v>
      </c>
      <c r="AJ250" s="157" cm="1">
        <f t="array" aca="1" ref="AJ250" ca="1">IF(OR($E250="X",$E250="",$E250=0,$B250="X",$B250="",$B250=0),0,SUM(_xlfn._xlws.FILTER(FrmBB1[Cur],(FrmBB1[PrjId]=TEXT($B250,"@"))*(FrmBB1[Row]=$E250)*(FrmBB1[Column]=UPPER(_xlfn.LET(_xlpm.x,_xlfn.TEXTBEFORE(AI$114," ("),IFERROR(_xlpm.x,AI$114)))&amp;" "&amp;AJ$115),0)))</f>
        <v>0</v>
      </c>
      <c r="AK250" s="158" cm="1">
        <f t="array" aca="1" ref="AK250" ca="1">IF(OR($E250="X",$E250="",$E250=0,$B250="X",$B250="",$B250=0),0,SUM(_xlfn._xlws.FILTER(FrmBB1[Cur],(FrmBB1[PrjId]=TEXT($B250,"@"))*(FrmBB1[Row]=$E250)*(FrmBB1[Column]=UPPER(_xlfn.LET(_xlpm.x,_xlfn.TEXTBEFORE(AK$114," ("),IFERROR(_xlpm.x,AK$114)))&amp;" "&amp;AK$115),0)))</f>
        <v>0</v>
      </c>
      <c r="AL250" s="157" cm="1">
        <f t="array" aca="1" ref="AL250" ca="1">IF(OR($E250="X",$E250="",$E250=0,$B250="X",$B250="",$B250=0),0,SUM(_xlfn._xlws.FILTER(FrmBB1[Cur],(FrmBB1[PrjId]=TEXT($B250,"@"))*(FrmBB1[Row]=$E250)*(FrmBB1[Column]=UPPER(_xlfn.LET(_xlpm.x,_xlfn.TEXTBEFORE(AK$114," ("),IFERROR(_xlpm.x,AK$114)))&amp;" "&amp;AL$115),0)))</f>
        <v>0</v>
      </c>
      <c r="AM250" s="158" cm="1">
        <f t="array" aca="1" ref="AM250" ca="1">IF(OR($E250="X",$E250="",$E250=0,$B250="X",$B250="",$B250=0),0,SUM(_xlfn._xlws.FILTER(FrmBB1[Cur],(FrmBB1[PrjId]=TEXT($B250,"@"))*(FrmBB1[Row]=$E250)*(FrmBB1[Column]=UPPER(_xlfn.LET(_xlpm.x,_xlfn.TEXTBEFORE(AM$114," ("),IFERROR(_xlpm.x,AM$114)))&amp;" "&amp;AM$115),0)))</f>
        <v>0</v>
      </c>
      <c r="AN250" s="157" cm="1">
        <f t="array" aca="1" ref="AN250" ca="1">IF(OR($E250="X",$E250="",$E250=0,$B250="X",$B250="",$B250=0),0,SUM(_xlfn._xlws.FILTER(FrmBB1[Cur],(FrmBB1[PrjId]=TEXT($B250,"@"))*(FrmBB1[Row]=$E250)*(FrmBB1[Column]=UPPER(_xlfn.LET(_xlpm.x,_xlfn.TEXTBEFORE(AM$114," ("),IFERROR(_xlpm.x,AM$114)))&amp;" "&amp;AN$115),0)))</f>
        <v>0</v>
      </c>
      <c r="AO250" s="158" cm="1">
        <f t="array" aca="1" ref="AO250" ca="1">IF(OR($E250="X",$E250="",$E250=0,$B250="X",$B250="",$B250=0),0,SUM(_xlfn._xlws.FILTER(FrmBB1[Cur],(FrmBB1[PrjId]=TEXT($B250,"@"))*(FrmBB1[Row]=$E250)*(FrmBB1[Column]=UPPER(_xlfn.LET(_xlpm.x,_xlfn.TEXTBEFORE(AO$114," ("),IFERROR(_xlpm.x,AO$114)))&amp;" "&amp;AO$115),0)))</f>
        <v>0</v>
      </c>
      <c r="AP250" s="157" cm="1">
        <f t="array" aca="1" ref="AP250" ca="1">IF(OR($E250="X",$E250="",$E250=0,$B250="X",$B250="",$B250=0),0,SUM(_xlfn._xlws.FILTER(FrmBB1[Cur],(FrmBB1[PrjId]=TEXT($B250,"@"))*(FrmBB1[Row]=$E250)*(FrmBB1[Column]=UPPER(_xlfn.LET(_xlpm.x,_xlfn.TEXTBEFORE(AO$114," ("),IFERROR(_xlpm.x,AO$114)))&amp;" "&amp;AP$115),0)))</f>
        <v>0</v>
      </c>
      <c r="AQ250" s="157" cm="1">
        <f t="array" aca="1" ref="AQ250" ca="1">SUM(IF(INDIRECT($AS$115)=AQ$115,INDIRECT($AS250)))</f>
        <v>0</v>
      </c>
      <c r="AR250" s="157" cm="1">
        <f t="array" aca="1" ref="AR250" ca="1">SUM(IF(INDIRECT($AS$115)=AR$115,INDIRECT($AS250)))</f>
        <v>0</v>
      </c>
      <c r="AS250" s="286" t="str">
        <f t="shared" ca="1" si="19"/>
        <v>G250:AP250</v>
      </c>
      <c r="AT250" s="403">
        <f t="shared" ca="1" si="20"/>
        <v>0</v>
      </c>
      <c r="AV250" s="142" cm="1">
        <f t="array" aca="1" ref="AV250" ca="1">IF(AND(_xlfn.LET(_xlpm.x,SUM(ROW()),OR(AND(MATCH("SOT",$A:$A,0)&lt;_xlpm.x,MATCH("EOT",$A:$A,0)&gt;_xlpm.x),AND(MATCH("SOS",$A:$A,0)&lt;_xlpm.x,MATCH("EOS",$A:$A,0)&gt;_xlpm.x),AND(MATCH("SOR",$A:$A,0)&lt;_xlpm.x,MATCH("EOR",$A:$A,0)&gt;_xlpm.x))),INDIRECT("rc"&amp;MATCH("SCD",$1:$1,0),FALSE)="PPTO"),1,0)</f>
        <v>0</v>
      </c>
      <c r="AW250" s="142" cm="1">
        <f t="array" aca="1" ref="AW25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251" spans="1:49" outlineLevel="1">
      <c r="B251" s="156" t="str" cm="1">
        <f t="array" aca="1" ref="B251" ca="1">_xlfn.LET(_xlpm.x,SUM(ROW()-MATCH("SOR",$A:$A,0)),_xlpm.y,IFERROR(_xlfn.TAKE(INDEX(_xlfn._xlws.FILTER(TbAssign[],ISNUMBER(FIND(TbAssign[Project],$C$4)),"X"),1+QUOTIENT(_xlpm.x,3),0),1,4),0),IF(MOD(_xlpm.x-1,3)=0,IF(_xlpm.y=0,"X",_xlpm.y),INDIRECT("r[-1]c#",FALSE)))</f>
        <v>X</v>
      </c>
      <c r="C251" s="156"/>
      <c r="E251" s="352"/>
      <c r="F251" s="148" t="s">
        <v>397</v>
      </c>
      <c r="G251" s="157" cm="1">
        <f t="array" aca="1" ref="G251" ca="1">IF(OR($E251="X",$E251="",$E251=0,$B251="X",$B251="",$B251=0),0,SUM(_xlfn._xlws.FILTER(IF($E$4="Ppto",PptoSty[CurPpto],PptoSty[CurInt]),(IF($E$4="Ppto",PptoSty[POvsCT]=G$113,TRUE))*(PptoSty[Project]=TEXT($B251,"@"))*(PptoSty[PptoVsRow]=$E251)*(PptoSty[PptoVsColumn]=UPPER(G$114)),0)))</f>
        <v>0</v>
      </c>
      <c r="H251" s="157" cm="1">
        <f t="array" aca="1" ref="H251" ca="1">IF(OR($E251="X",$E251="",$E251=0,$B251="X",$B251="",$B251=0),0,SUM(_xlfn._xlws.FILTER(IF($E$4="Ppto",PptoSty[CurPpto],PptoSty[CurExt]),(IF($E$4="Ppto",PptoSty[POvsCT]=H$113,TRUE))*(PptoSty[Project]=TEXT($B251,"@"))*(PptoSty[PptoVsRow]=$E251)*(PptoSty[PptoVsColumn]=UPPER(G$114)),0)))</f>
        <v>0</v>
      </c>
      <c r="I251" s="157" cm="1">
        <f t="array" aca="1" ref="I251" ca="1">IF(OR($E251="X",$E251="",$E251=0,$B251="X",$B251="",$B251=0),0,SUM(_xlfn._xlws.FILTER(IF($E$4="Ppto",PptoSty[CurPpto],PptoSty[CurInt]),(IF($E$4="Ppto",PptoSty[POvsCT]=I$113,TRUE))*(PptoSty[Project]=TEXT($B251,"@"))*(PptoSty[PptoVsRow]=$E251)*(PptoSty[PptoVsColumn]=UPPER(I$114)),0)))</f>
        <v>0</v>
      </c>
      <c r="J251" s="157" cm="1">
        <f t="array" aca="1" ref="J251" ca="1">IF(OR($E251="X",$E251="",$E251=0,$B251="X",$B251="",$B251=0),0,SUM(_xlfn._xlws.FILTER(IF($E$4="Ppto",PptoSty[CurPpto],PptoSty[CurExt]),(IF($E$4="Ppto",PptoSty[POvsCT]=J$113,TRUE))*(PptoSty[Project]=TEXT($B251,"@"))*(PptoSty[PptoVsRow]=$E251)*(PptoSty[PptoVsColumn]=UPPER(I$114)),0)))</f>
        <v>0</v>
      </c>
      <c r="K251" s="157" cm="1">
        <f t="array" aca="1" ref="K251" ca="1">IF(OR($E251="X",$E251="",$E251=0,$B251="X",$B251="",$B251=0),0,SUM(_xlfn._xlws.FILTER(IF($E$4="Ppto",PptoSty[CurPpto],PptoSty[CurInt]),(IF($E$4="Ppto",PptoSty[POvsCT]=K$113,TRUE))*(PptoSty[Project]=TEXT($B251,"@"))*(PptoSty[PptoVsRow]=$E251)*(PptoSty[PptoVsColumn]=UPPER(K$114)),0)))</f>
        <v>0</v>
      </c>
      <c r="L251" s="157" cm="1">
        <f t="array" aca="1" ref="L251" ca="1">IF(OR($E251="X",$E251="",$E251=0,$B251="X",$B251="",$B251=0),0,SUM(_xlfn._xlws.FILTER(IF($E$4="Ppto",PptoSty[CurPpto],PptoSty[CurExt]),(IF($E$4="Ppto",PptoSty[POvsCT]=L$113,TRUE))*(PptoSty[Project]=TEXT($B251,"@"))*(PptoSty[PptoVsRow]=$E251)*(PptoSty[PptoVsColumn]=UPPER(K$114)),0)))</f>
        <v>0</v>
      </c>
      <c r="M251" s="157" cm="1">
        <f t="array" aca="1" ref="M251" ca="1">IF(OR($E251="X",$E251="",$E251=0,$B251="X",$B251="",$B251=0),0,SUM(_xlfn._xlws.FILTER(IF($E$4="Ppto",PptoSty[CurPpto],PptoSty[CurInt]),(IF($E$4="Ppto",PptoSty[POvsCT]=M$113,TRUE))*(PptoSty[Project]=TEXT($B251,"@"))*(PptoSty[PptoVsRow]=$E251)*(PptoSty[PptoVsColumn]=UPPER(M$114)),0)))</f>
        <v>0</v>
      </c>
      <c r="N251" s="157" cm="1">
        <f t="array" aca="1" ref="N251" ca="1">IF(OR($E251="X",$E251="",$E251=0,$B251="X",$B251="",$B251=0),0,SUM(_xlfn._xlws.FILTER(IF($E$4="Ppto",PptoSty[CurPpto],PptoSty[CurExt]),(IF($E$4="Ppto",PptoSty[POvsCT]=N$113,TRUE))*(PptoSty[Project]=TEXT($B251,"@"))*(PptoSty[PptoVsRow]=$E251)*(PptoSty[PptoVsColumn]=UPPER(M$114)),0)))</f>
        <v>0</v>
      </c>
      <c r="O251" s="157" cm="1">
        <f t="array" aca="1" ref="O251" ca="1">IF(OR($E251="X",$E251="",$E251=0,$B251="X",$B251="",$B251=0),0,SUM(_xlfn._xlws.FILTER(IF($E$4="Ppto",PptoSty[CurPpto],PptoSty[CurInt]),(IF($E$4="Ppto",PptoSty[POvsCT]=O$113,TRUE))*(PptoSty[Project]=TEXT($B251,"@"))*(PptoSty[PptoVsRow]=$E251)*(PptoSty[PptoVsColumn]=UPPER(O$114)),0)))</f>
        <v>0</v>
      </c>
      <c r="P251" s="157" cm="1">
        <f t="array" aca="1" ref="P251" ca="1">IF(OR($E251="X",$E251="",$E251=0,$B251="X",$B251="",$B251=0),0,SUM(_xlfn._xlws.FILTER(IF($E$4="Ppto",PptoSty[CurPpto],PptoSty[CurExt]),(IF($E$4="Ppto",PptoSty[POvsCT]=P$113,TRUE))*(PptoSty[Project]=TEXT($B251,"@"))*(PptoSty[PptoVsRow]=$E251)*(PptoSty[PptoVsColumn]=UPPER(O$114)),0)))</f>
        <v>0</v>
      </c>
      <c r="Q251" s="157" cm="1">
        <f t="array" aca="1" ref="Q251" ca="1">IF(OR($E251="X",$E251="",$E251=0,$B251="X",$B251="",$B251=0),0,SUM(_xlfn._xlws.FILTER(IF($E$4="Ppto",PptoSty[CurPpto],PptoSty[CurInt]),(IF($E$4="Ppto",PptoSty[POvsCT]=Q$113,TRUE))*(PptoSty[Project]=TEXT($B251,"@"))*(PptoSty[PptoVsRow]=$E251)*(PptoSty[PptoVsColumn]=UPPER(Q$114)),0)))</f>
        <v>0</v>
      </c>
      <c r="R251" s="157" cm="1">
        <f t="array" aca="1" ref="R251" ca="1">IF(OR($E251="X",$E251="",$E251=0,$B251="X",$B251="",$B251=0),0,SUM(_xlfn._xlws.FILTER(IF($E$4="Ppto",PptoSty[CurPpto],PptoSty[CurExt]),(IF($E$4="Ppto",PptoSty[POvsCT]=R$113,TRUE))*(PptoSty[Project]=TEXT($B251,"@"))*(PptoSty[PptoVsRow]=$E251)*(PptoSty[PptoVsColumn]=UPPER(Q$114)),0)))</f>
        <v>0</v>
      </c>
      <c r="S251" s="157" cm="1">
        <f t="array" aca="1" ref="S251" ca="1">IF(OR($E251="X",$E251="",$E251=0,$B251="X",$B251="",$B251=0),0,SUM(_xlfn._xlws.FILTER(IF($E$4="Ppto",PptoSty[CurPpto],PptoSty[CurInt]),(IF($E$4="Ppto",PptoSty[POvsCT]=S$113,TRUE))*(PptoSty[Project]=TEXT($B251,"@"))*(PptoSty[PptoVsRow]=$E251)*(PptoSty[PptoVsColumn]=UPPER(S$114)),0)))</f>
        <v>0</v>
      </c>
      <c r="T251" s="157" cm="1">
        <f t="array" aca="1" ref="T251" ca="1">IF(OR($E251="X",$E251="",$E251=0,$B251="X",$B251="",$B251=0),0,SUM(_xlfn._xlws.FILTER(IF($E$4="Ppto",PptoSty[CurPpto],PptoSty[CurExt]),(IF($E$4="Ppto",PptoSty[POvsCT]=T$113,TRUE))*(PptoSty[Project]=TEXT($B251,"@"))*(PptoSty[PptoVsRow]=$E251)*(PptoSty[PptoVsColumn]=UPPER(S$114)),0)))</f>
        <v>0</v>
      </c>
      <c r="U251" s="157" cm="1">
        <f t="array" aca="1" ref="U251" ca="1">IF(OR($E251="X",$E251="",$E251=0,$B251="X",$B251="",$B251=0),0,SUM(_xlfn._xlws.FILTER(IF($E$4="Ppto",PptoSty[CurPpto],PptoSty[CurInt]),(IF($E$4="Ppto",PptoSty[POvsCT]=U$113,TRUE))*(PptoSty[Project]=TEXT($B251,"@"))*(PptoSty[PptoVsRow]=$E251)*(PptoSty[PptoVsColumn]=UPPER(U$114)),0)))</f>
        <v>0</v>
      </c>
      <c r="V251" s="157" cm="1">
        <f t="array" aca="1" ref="V251" ca="1">IF(OR($E251="X",$E251="",$E251=0,$B251="X",$B251="",$B251=0),0,SUM(_xlfn._xlws.FILTER(IF($E$4="Ppto",PptoSty[CurPpto],PptoSty[CurExt]),(IF($E$4="Ppto",PptoSty[POvsCT]=V$113,TRUE))*(PptoSty[Project]=TEXT($B251,"@"))*(PptoSty[PptoVsRow]=$E251)*(PptoSty[PptoVsColumn]=UPPER(U$114)),0)))</f>
        <v>0</v>
      </c>
      <c r="W251" s="157" cm="1">
        <f t="array" aca="1" ref="W251" ca="1">IF(OR($E251="X",$E251="",$E251=0,$B251="X",$B251="",$B251=0),0,SUM(_xlfn._xlws.FILTER(IF($E$4="Ppto",PptoSty[CurPpto],PptoSty[CurInt]),(IF($E$4="Ppto",PptoSty[POvsCT]=W$113,TRUE))*(PptoSty[Project]=TEXT($B251,"@"))*(PptoSty[PptoVsRow]=$E251)*(PptoSty[PptoVsColumn]=UPPER(W$114)),0)))</f>
        <v>0</v>
      </c>
      <c r="X251" s="157" cm="1">
        <f t="array" aca="1" ref="X251" ca="1">IF(OR($E251="X",$E251="",$E251=0,$B251="X",$B251="",$B251=0),0,SUM(_xlfn._xlws.FILTER(IF($E$4="Ppto",PptoSty[CurPpto],PptoSty[CurExt]),(IF($E$4="Ppto",PptoSty[POvsCT]=X$113,TRUE))*(PptoSty[Project]=TEXT($B251,"@"))*(PptoSty[PptoVsRow]=$E251)*(PptoSty[PptoVsColumn]=UPPER(W$114)),0)))</f>
        <v>0</v>
      </c>
      <c r="Y251" s="157" cm="1">
        <f t="array" aca="1" ref="Y251" ca="1">IF(OR($E251="X",$E251="",$E251=0,$B251="X",$B251="",$B251=0),0,SUM(_xlfn._xlws.FILTER(IF($E$4="Ppto",PptoSty[CurPpto],PptoSty[CurInt]),(IF($E$4="Ppto",PptoSty[POvsCT]=Y$113,TRUE))*(PptoSty[Project]=TEXT($B251,"@"))*(PptoSty[PptoVsRow]=$E251)*(PptoSty[PptoVsColumn]=UPPER(Y$114)),0)))</f>
        <v>0</v>
      </c>
      <c r="Z251" s="157" cm="1">
        <f t="array" aca="1" ref="Z251" ca="1">IF(OR($E251="X",$E251="",$E251=0,$B251="X",$B251="",$B251=0),0,SUM(_xlfn._xlws.FILTER(IF($E$4="Ppto",PptoSty[CurPpto],PptoSty[CurExt]),(IF($E$4="Ppto",PptoSty[POvsCT]=Z$113,TRUE))*(PptoSty[Project]=TEXT($B251,"@"))*(PptoSty[PptoVsRow]=$E251)*(PptoSty[PptoVsColumn]=UPPER(Y$114)),0)))</f>
        <v>0</v>
      </c>
      <c r="AA251" s="157" cm="1">
        <f t="array" aca="1" ref="AA251" ca="1">IF(OR($E251="X",$E251="",$E251=0,$B251="X",$B251="",$B251=0),0,SUM(_xlfn._xlws.FILTER(IF($E$4="Ppto",PptoSty[CurPpto],PptoSty[CurInt]),(IF($E$4="Ppto",PptoSty[POvsCT]=AA$113,TRUE))*(PptoSty[Project]=TEXT($B251,"@"))*(PptoSty[PptoVsRow]=$E251)*(PptoSty[PptoVsColumn]=UPPER(AA$114)),0)))</f>
        <v>0</v>
      </c>
      <c r="AB251" s="157" cm="1">
        <f t="array" aca="1" ref="AB251" ca="1">IF(OR($E251="X",$E251="",$E251=0,$B251="X",$B251="",$B251=0),0,SUM(_xlfn._xlws.FILTER(IF($E$4="Ppto",PptoSty[CurPpto],PptoSty[CurExt]),(IF($E$4="Ppto",PptoSty[POvsCT]=AB$113,TRUE))*(PptoSty[Project]=TEXT($B251,"@"))*(PptoSty[PptoVsRow]=$E251)*(PptoSty[PptoVsColumn]=UPPER(AA$114)),0)))</f>
        <v>0</v>
      </c>
      <c r="AC251" s="157" cm="1">
        <f t="array" aca="1" ref="AC251" ca="1">IF(OR($E251="X",$E251="",$E251=0,$B251="X",$B251="",$B251=0),0,SUM(_xlfn._xlws.FILTER(IF($E$4="Ppto",PptoSty[CurPpto],PptoSty[CurInt]),(IF($E$4="Ppto",PptoSty[POvsCT]=AC$113,TRUE))*(PptoSty[Project]=TEXT($B251,"@"))*(PptoSty[PptoVsRow]=$E251)*(PptoSty[PptoVsColumn]=UPPER(AC$114)),0)))</f>
        <v>0</v>
      </c>
      <c r="AD251" s="157" cm="1">
        <f t="array" aca="1" ref="AD251" ca="1">IF(OR($E251="X",$E251="",$E251=0,$B251="X",$B251="",$B251=0),0,SUM(_xlfn._xlws.FILTER(IF($E$4="Ppto",PptoSty[CurPpto],PptoSty[CurExt]),(IF($E$4="Ppto",PptoSty[POvsCT]=AD$113,TRUE))*(PptoSty[Project]=TEXT($B251,"@"))*(PptoSty[PptoVsRow]=$E251)*(PptoSty[PptoVsColumn]=UPPER(AC$114)),0)))</f>
        <v>0</v>
      </c>
      <c r="AE251" s="157" cm="1">
        <f t="array" aca="1" ref="AE251" ca="1">IF(OR($E251="X",$E251="",$E251=0,$B251="X",$B251="",$B251=0),0,SUM(_xlfn._xlws.FILTER(IF($E$4="Ppto",PptoSty[CurPpto],PptoSty[CurInt]),(IF($E$4="Ppto",PptoSty[POvsCT]=AE$113,TRUE))*(PptoSty[Project]=TEXT($B251,"@"))*(PptoSty[PptoVsRow]=$E251)*(PptoSty[PptoVsColumn]=UPPER(AE$114)),0)))</f>
        <v>0</v>
      </c>
      <c r="AF251" s="157" cm="1">
        <f t="array" aca="1" ref="AF251" ca="1">IF(OR($E251="X",$E251="",$E251=0,$B251="X",$B251="",$B251=0),0,SUM(_xlfn._xlws.FILTER(IF($E$4="Ppto",PptoSty[CurPpto],PptoSty[CurExt]),(IF($E$4="Ppto",PptoSty[POvsCT]=AF$113,TRUE))*(PptoSty[Project]=TEXT($B251,"@"))*(PptoSty[PptoVsRow]=$E251)*(PptoSty[PptoVsColumn]=UPPER(AE$114)),0)))</f>
        <v>0</v>
      </c>
      <c r="AG251" s="157" cm="1">
        <f t="array" aca="1" ref="AG251" ca="1">IF(OR($E251="X",$E251="",$E251=0,$B251="X",$B251="",$B251=0),0,SUM(_xlfn._xlws.FILTER(IF($E$4="Ppto",PptoSty[CurPpto],PptoSty[CurInt]),(IF($E$4="Ppto",PptoSty[POvsCT]=AG$113,TRUE))*(PptoSty[Project]=TEXT($B251,"@"))*(PptoSty[PptoVsRow]=$E251)*(PptoSty[PptoVsColumn]=UPPER(AG$114)),0)))</f>
        <v>0</v>
      </c>
      <c r="AH251" s="157" cm="1">
        <f t="array" aca="1" ref="AH251" ca="1">IF(OR($E251="X",$E251="",$E251=0,$B251="X",$B251="",$B251=0),0,SUM(_xlfn._xlws.FILTER(IF($E$4="Ppto",PptoSty[CurPpto],PptoSty[CurExt]),(IF($E$4="Ppto",PptoSty[POvsCT]=AH$113,TRUE))*(PptoSty[Project]=TEXT($B251,"@"))*(PptoSty[PptoVsRow]=$E251)*(PptoSty[PptoVsColumn]=UPPER(AG$114)),0)))</f>
        <v>0</v>
      </c>
      <c r="AI251" s="157" cm="1">
        <f t="array" aca="1" ref="AI251" ca="1">IF(OR($E251="X",$E251="",$E251=0,$B251="X",$B251="",$B251=0),0,SUM(_xlfn._xlws.FILTER(IF($E$4="Ppto",PptoSty[CurPpto],PptoSty[CurInt]),(IF($E$4="Ppto",PptoSty[POvsCT]=AI$113,TRUE))*(PptoSty[Project]=TEXT($B251,"@"))*(PptoSty[PptoVsRow]=$E251)*(PptoSty[PptoVsColumn]=UPPER(AI$114)),0)))</f>
        <v>0</v>
      </c>
      <c r="AJ251" s="157" cm="1">
        <f t="array" aca="1" ref="AJ251" ca="1">IF(OR($E251="X",$E251="",$E251=0,$B251="X",$B251="",$B251=0),0,SUM(_xlfn._xlws.FILTER(IF($E$4="Ppto",PptoSty[CurPpto],PptoSty[CurExt]),(IF($E$4="Ppto",PptoSty[POvsCT]=AJ$113,TRUE))*(PptoSty[Project]=TEXT($B251,"@"))*(PptoSty[PptoVsRow]=$E251)*(PptoSty[PptoVsColumn]=UPPER(AI$114)),0)))</f>
        <v>0</v>
      </c>
      <c r="AK251" s="157" cm="1">
        <f t="array" aca="1" ref="AK251" ca="1">IF(OR($E251="X",$E251="",$E251=0,$B251="X",$B251="",$B251=0),0,SUM(_xlfn._xlws.FILTER(IF($E$4="Ppto",PptoSty[CurPpto],PptoSty[CurInt]),(IF($E$4="Ppto",PptoSty[POvsCT]=AK$113,TRUE))*(PptoSty[Project]=TEXT($B251,"@"))*(PptoSty[PptoVsRow]=$E251)*(PptoSty[PptoVsColumn]=UPPER(AK$114)),0)))</f>
        <v>0</v>
      </c>
      <c r="AL251" s="157" cm="1">
        <f t="array" aca="1" ref="AL251" ca="1">IF(OR($E251="X",$E251="",$E251=0,$B251="X",$B251="",$B251=0),0,SUM(_xlfn._xlws.FILTER(IF($E$4="Ppto",PptoSty[CurPpto],PptoSty[CurExt]),(IF($E$4="Ppto",PptoSty[POvsCT]=AL$113,TRUE))*(PptoSty[Project]=TEXT($B251,"@"))*(PptoSty[PptoVsRow]=$E251)*(PptoSty[PptoVsColumn]=UPPER(AK$114)),0)))</f>
        <v>0</v>
      </c>
      <c r="AM251" s="157" cm="1">
        <f t="array" aca="1" ref="AM251" ca="1">IF(OR($E251="X",$E251="",$E251=0,$B251="X",$B251="",$B251=0),0,SUM(_xlfn._xlws.FILTER(IF($E$4="Ppto",PptoSty[CurPpto],PptoSty[CurInt]),(IF($E$4="Ppto",PptoSty[POvsCT]=AM$113,TRUE))*(PptoSty[Project]=TEXT($B251,"@"))*(PptoSty[PptoVsRow]=$E251)*(PptoSty[PptoVsColumn]=UPPER(AM$114)),0)))</f>
        <v>0</v>
      </c>
      <c r="AN251" s="157" cm="1">
        <f t="array" aca="1" ref="AN251" ca="1">IF(OR($E251="X",$E251="",$E251=0,$B251="X",$B251="",$B251=0),0,SUM(_xlfn._xlws.FILTER(IF($E$4="Ppto",PptoSty[CurPpto],PptoSty[CurExt]),(IF($E$4="Ppto",PptoSty[POvsCT]=AN$113,TRUE))*(PptoSty[Project]=TEXT($B251,"@"))*(PptoSty[PptoVsRow]=$E251)*(PptoSty[PptoVsColumn]=UPPER(AM$114)),0)))</f>
        <v>0</v>
      </c>
      <c r="AO251" s="157" cm="1">
        <f t="array" aca="1" ref="AO251" ca="1">IF(OR($E251="X",$E251="",$E251=0,$B251="X",$B251="",$B251=0),0,SUM(_xlfn._xlws.FILTER(IF($E$4="Ppto",PptoSty[CurPpto],PptoSty[CurInt]),(IF($E$4="Ppto",PptoSty[POvsCT]=AO$113,TRUE))*(PptoSty[Project]=TEXT($B251,"@"))*(PptoSty[PptoVsRow]=$E251)*(PptoSty[PptoVsColumn]=UPPER(AO$114)),0)))</f>
        <v>0</v>
      </c>
      <c r="AP251" s="157" cm="1">
        <f t="array" aca="1" ref="AP251" ca="1">IF(OR($E251="X",$E251="",$E251=0,$B251="X",$B251="",$B251=0),0,SUM(_xlfn._xlws.FILTER(IF($E$4="Ppto",PptoSty[CurPpto],PptoSty[CurExt]),(IF($E$4="Ppto",PptoSty[POvsCT]=AP$113,TRUE))*(PptoSty[Project]=TEXT($B251,"@"))*(PptoSty[PptoVsRow]=$E251)*(PptoSty[PptoVsColumn]=UPPER(AO$114)),0)))</f>
        <v>0</v>
      </c>
      <c r="AQ251" s="157" cm="1">
        <f t="array" aca="1" ref="AQ251" ca="1">SUM(IF(INDIRECT($AS$115)=AQ$115,INDIRECT($AS251)))</f>
        <v>0</v>
      </c>
      <c r="AR251" s="157" cm="1">
        <f t="array" aca="1" ref="AR251" ca="1">SUM(IF(INDIRECT($AS$115)=AR$115,INDIRECT($AS251)))</f>
        <v>0</v>
      </c>
      <c r="AS251" s="286" t="str">
        <f t="shared" ca="1" si="19"/>
        <v>G251:AP251</v>
      </c>
      <c r="AT251" s="403">
        <f t="shared" ca="1" si="20"/>
        <v>0</v>
      </c>
      <c r="AV251" s="142" cm="1">
        <f t="array" aca="1" ref="AV251" ca="1">IF(AND(_xlfn.LET(_xlpm.x,SUM(ROW()),OR(AND(MATCH("SOT",$A:$A,0)&lt;_xlpm.x,MATCH("EOT",$A:$A,0)&gt;_xlpm.x),AND(MATCH("SOS",$A:$A,0)&lt;_xlpm.x,MATCH("EOS",$A:$A,0)&gt;_xlpm.x),AND(MATCH("SOR",$A:$A,0)&lt;_xlpm.x,MATCH("EOR",$A:$A,0)&gt;_xlpm.x))),INDIRECT("rc"&amp;MATCH("SCD",$1:$1,0),FALSE)="PPTO"),1,0)</f>
        <v>1</v>
      </c>
      <c r="AW251" s="142" cm="1">
        <f t="array" aca="1" ref="AW25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1</v>
      </c>
    </row>
    <row r="252" spans="1:49" outlineLevel="1">
      <c r="B252" s="156" t="str" cm="1">
        <f t="array" aca="1" ref="B252" ca="1">_xlfn.LET(_xlpm.x,SUM(ROW()-MATCH("SOR",$A:$A,0)),_xlpm.y,IFERROR(_xlfn.TAKE(INDEX(_xlfn._xlws.FILTER(TbAssign[],ISNUMBER(FIND(TbAssign[Project],$C$4)),"X"),1+QUOTIENT(_xlpm.x,3),0),1,4),0),IF(MOD(_xlpm.x-1,3)=0,IF(_xlpm.y=0,"X",_xlpm.y),INDIRECT("r[-1]c#",FALSE)))</f>
        <v>X</v>
      </c>
      <c r="C252" s="156"/>
      <c r="E252" s="352"/>
      <c r="F252" s="148" t="s">
        <v>1382</v>
      </c>
      <c r="G252" s="157" cm="1">
        <f t="array" aca="1" ref="G252" ca="1">IF(OR($E252="X",$E252="",$E252=0,$B252="X",$B252="",$B252=0),0,SUM(_xlfn._xlws.FILTER(PrvSty[DsvValue:SERRA],(PrvSty[Project]=TEXT($B252,"@"))*(PrvSty[Row]=$E252)*(PrvSty[Column]=UPPER(G$114)),0)))</f>
        <v>0</v>
      </c>
      <c r="H252" s="157" cm="1">
        <f t="array" aca="1" ref="H252" ca="1">IF(OR($E252="X",$E252="",$E252=0,$B252="X",$B252="",$B252=0),0,SUM(_xlfn._xlws.FILTER(PrvSty[DsvValue:EXT.],(PrvSty[Project]=TEXT($B252,"@"))*(PrvSty[Row]=$E252)*(PrvSty[Column]=UPPER(G$114)),0)))</f>
        <v>0</v>
      </c>
      <c r="I252" s="157" cm="1">
        <f t="array" aca="1" ref="I252" ca="1">IF(OR($E252="X",$E252="",$E252=0,$B252="X",$B252="",$B252=0),0,SUM(_xlfn._xlws.FILTER(PrvSty[DsvValue:SERRA],(PrvSty[Project]=TEXT($B252,"@"))*(PrvSty[Row]=$E252)*(PrvSty[Column]=UPPER(I$114)),0)))</f>
        <v>0</v>
      </c>
      <c r="J252" s="157" cm="1">
        <f t="array" aca="1" ref="J252" ca="1">IF(OR($E252="X",$E252="",$E252=0,$B252="X",$B252="",$B252=0),0,SUM(_xlfn._xlws.FILTER(PrvSty[DsvValue:EXT.],(PrvSty[Project]=TEXT($B252,"@"))*(PrvSty[Row]=$E252)*(PrvSty[Column]=UPPER(I$114)),0)))</f>
        <v>0</v>
      </c>
      <c r="K252" s="157" cm="1">
        <f t="array" aca="1" ref="K252" ca="1">IF(OR($E252="X",$E252="",$E252=0,$B252="X",$B252="",$B252=0),0,SUM(_xlfn._xlws.FILTER(PrvSty[DsvValue:SERRA],(PrvSty[Project]=TEXT($B252,"@"))*(PrvSty[Row]=$E252)*(PrvSty[Column]=UPPER(K$114)),0)))</f>
        <v>0</v>
      </c>
      <c r="L252" s="157" cm="1">
        <f t="array" aca="1" ref="L252" ca="1">IF(OR($E252="X",$E252="",$E252=0,$B252="X",$B252="",$B252=0),0,SUM(_xlfn._xlws.FILTER(PrvSty[DsvValue:EXT.],(PrvSty[Project]=TEXT($B252,"@"))*(PrvSty[Row]=$E252)*(PrvSty[Column]=UPPER(K$114)),0)))</f>
        <v>0</v>
      </c>
      <c r="M252" s="157" cm="1">
        <f t="array" aca="1" ref="M252" ca="1">IF(OR($E252="X",$E252="",$E252=0,$B252="X",$B252="",$B252=0),0,SUM(_xlfn._xlws.FILTER(PrvSty[DsvValue:SERRA],(PrvSty[Project]=TEXT($B252,"@"))*(PrvSty[Row]=$E252)*(PrvSty[Column]=UPPER(M$114)),0)))</f>
        <v>0</v>
      </c>
      <c r="N252" s="157" cm="1">
        <f t="array" aca="1" ref="N252" ca="1">IF(OR($E252="X",$E252="",$E252=0,$B252="X",$B252="",$B252=0),0,SUM(_xlfn._xlws.FILTER(PrvSty[DsvValue:EXT.],(PrvSty[Project]=TEXT($B252,"@"))*(PrvSty[Row]=$E252)*(PrvSty[Column]=UPPER(M$114)),0)))</f>
        <v>0</v>
      </c>
      <c r="O252" s="157" cm="1">
        <f t="array" aca="1" ref="O252" ca="1">IF(OR($E252="X",$E252="",$E252=0,$B252="X",$B252="",$B252=0),0,SUM(_xlfn._xlws.FILTER(PrvSty[DsvValue:SERRA],(PrvSty[Project]=TEXT($B252,"@"))*(PrvSty[Row]=$E252)*(PrvSty[Column]=UPPER(O$114)),0)))</f>
        <v>0</v>
      </c>
      <c r="P252" s="157" cm="1">
        <f t="array" aca="1" ref="P252" ca="1">IF(OR($E252="X",$E252="",$E252=0,$B252="X",$B252="",$B252=0),0,SUM(_xlfn._xlws.FILTER(PrvSty[DsvValue:EXT.],(PrvSty[Project]=TEXT($B252,"@"))*(PrvSty[Row]=$E252)*(PrvSty[Column]=UPPER(O$114)),0)))</f>
        <v>0</v>
      </c>
      <c r="Q252" s="157" cm="1">
        <f t="array" aca="1" ref="Q252" ca="1">IF(OR($E252="X",$E252="",$E252=0,$B252="X",$B252="",$B252=0),0,SUM(_xlfn._xlws.FILTER(PrvSty[DsvValue:SERRA],(PrvSty[Project]=TEXT($B252,"@"))*(PrvSty[Row]=$E252)*(PrvSty[Column]=UPPER(Q$114)),0)))</f>
        <v>0</v>
      </c>
      <c r="R252" s="157" cm="1">
        <f t="array" aca="1" ref="R252" ca="1">IF(OR($E252="X",$E252="",$E252=0,$B252="X",$B252="",$B252=0),0,SUM(_xlfn._xlws.FILTER(PrvSty[DsvValue:EXT.],(PrvSty[Project]=TEXT($B252,"@"))*(PrvSty[Row]=$E252)*(PrvSty[Column]=UPPER(Q$114)),0)))</f>
        <v>0</v>
      </c>
      <c r="S252" s="157" cm="1">
        <f t="array" aca="1" ref="S252" ca="1">IF(OR($E252="X",$E252="",$E252=0,$B252="X",$B252="",$B252=0),0,SUM(_xlfn._xlws.FILTER(PrvSty[DsvValue:SERRA],(PrvSty[Project]=TEXT($B252,"@"))*(PrvSty[Row]=$E252)*(PrvSty[Column]=UPPER(S$114)),0)))</f>
        <v>0</v>
      </c>
      <c r="T252" s="157" cm="1">
        <f t="array" aca="1" ref="T252" ca="1">IF(OR($E252="X",$E252="",$E252=0,$B252="X",$B252="",$B252=0),0,SUM(_xlfn._xlws.FILTER(PrvSty[DsvValue:EXT.],(PrvSty[Project]=TEXT($B252,"@"))*(PrvSty[Row]=$E252)*(PrvSty[Column]=UPPER(S$114)),0)))</f>
        <v>0</v>
      </c>
      <c r="U252" s="157" cm="1">
        <f t="array" aca="1" ref="U252" ca="1">IF(OR($E252="X",$E252="",$E252=0,$B252="X",$B252="",$B252=0),0,SUM(_xlfn._xlws.FILTER(PrvSty[DsvValue:SERRA],(PrvSty[Project]=TEXT($B252,"@"))*(PrvSty[Row]=$E252)*(PrvSty[Column]=UPPER(U$114)),0)))</f>
        <v>0</v>
      </c>
      <c r="V252" s="157" cm="1">
        <f t="array" aca="1" ref="V252" ca="1">IF(OR($E252="X",$E252="",$E252=0,$B252="X",$B252="",$B252=0),0,SUM(_xlfn._xlws.FILTER(PrvSty[DsvValue:EXT.],(PrvSty[Project]=TEXT($B252,"@"))*(PrvSty[Row]=$E252)*(PrvSty[Column]=UPPER(U$114)),0)))</f>
        <v>0</v>
      </c>
      <c r="W252" s="157" cm="1">
        <f t="array" aca="1" ref="W252" ca="1">IF(OR($E252="X",$E252="",$E252=0,$B252="X",$B252="",$B252=0),0,SUM(_xlfn._xlws.FILTER(PrvSty[DsvValue:SERRA],(PrvSty[Project]=TEXT($B252,"@"))*(PrvSty[Row]=$E252)*(PrvSty[Column]=UPPER(W$114)),0)))</f>
        <v>0</v>
      </c>
      <c r="X252" s="157" cm="1">
        <f t="array" aca="1" ref="X252" ca="1">IF(OR($E252="X",$E252="",$E252=0,$B252="X",$B252="",$B252=0),0,SUM(_xlfn._xlws.FILTER(PrvSty[DsvValue:EXT.],(PrvSty[Project]=TEXT($B252,"@"))*(PrvSty[Row]=$E252)*(PrvSty[Column]=UPPER(W$114)),0)))</f>
        <v>0</v>
      </c>
      <c r="Y252" s="157" cm="1">
        <f t="array" aca="1" ref="Y252" ca="1">IF(OR($E252="X",$E252="",$E252=0,$B252="X",$B252="",$B252=0),0,SUM(_xlfn._xlws.FILTER(PrvSty[DsvValue:SERRA],(PrvSty[Project]=TEXT($B252,"@"))*(PrvSty[Row]=$E252)*(PrvSty[Column]=UPPER(Y$114)),0)))</f>
        <v>0</v>
      </c>
      <c r="Z252" s="157" cm="1">
        <f t="array" aca="1" ref="Z252" ca="1">IF(OR($E252="X",$E252="",$E252=0,$B252="X",$B252="",$B252=0),0,SUM(_xlfn._xlws.FILTER(PrvSty[DsvValue:EXT.],(PrvSty[Project]=TEXT($B252,"@"))*(PrvSty[Row]=$E252)*(PrvSty[Column]=UPPER(Y$114)),0)))</f>
        <v>0</v>
      </c>
      <c r="AA252" s="157" cm="1">
        <f t="array" aca="1" ref="AA252" ca="1">IF(OR($E252="X",$E252="",$E252=0,$B252="X",$B252="",$B252=0),0,SUM(_xlfn._xlws.FILTER(PrvSty[DsvValue:SERRA],(PrvSty[Project]=TEXT($B252,"@"))*(PrvSty[Row]=$E252)*(PrvSty[Column]=UPPER(AA$114)),0)))</f>
        <v>0</v>
      </c>
      <c r="AB252" s="157" cm="1">
        <f t="array" aca="1" ref="AB252" ca="1">IF(OR($E252="X",$E252="",$E252=0,$B252="X",$B252="",$B252=0),0,SUM(_xlfn._xlws.FILTER(PrvSty[DsvValue:EXT.],(PrvSty[Project]=TEXT($B252,"@"))*(PrvSty[Row]=$E252)*(PrvSty[Column]=UPPER(AA$114)),0)))</f>
        <v>0</v>
      </c>
      <c r="AC252" s="157" cm="1">
        <f t="array" aca="1" ref="AC252" ca="1">IF(OR($E252="X",$E252="",$E252=0,$B252="X",$B252="",$B252=0),0,SUM(_xlfn._xlws.FILTER(PrvSty[DsvValue:SERRA],(PrvSty[Project]=TEXT($B252,"@"))*(PrvSty[Row]=$E252)*(PrvSty[Column]=UPPER(AC$114)),0)))</f>
        <v>0</v>
      </c>
      <c r="AD252" s="157" cm="1">
        <f t="array" aca="1" ref="AD252" ca="1">IF(OR($E252="X",$E252="",$E252=0,$B252="X",$B252="",$B252=0),0,SUM(_xlfn._xlws.FILTER(PrvSty[DsvValue:EXT.],(PrvSty[Project]=TEXT($B252,"@"))*(PrvSty[Row]=$E252)*(PrvSty[Column]=UPPER(AC$114)),0)))</f>
        <v>0</v>
      </c>
      <c r="AE252" s="157" cm="1">
        <f t="array" aca="1" ref="AE252" ca="1">IF(OR($E252="X",$E252="",$E252=0,$B252="X",$B252="",$B252=0),0,SUM(_xlfn._xlws.FILTER(PrvSty[DsvValue:SERRA],(PrvSty[Project]=TEXT($B252,"@"))*(PrvSty[Row]=$E252)*(PrvSty[Column]=UPPER(AE$114)),0)))</f>
        <v>0</v>
      </c>
      <c r="AF252" s="157" cm="1">
        <f t="array" aca="1" ref="AF252" ca="1">IF(OR($E252="X",$E252="",$E252=0,$B252="X",$B252="",$B252=0),0,SUM(_xlfn._xlws.FILTER(PrvSty[DsvValue:EXT.],(PrvSty[Project]=TEXT($B252,"@"))*(PrvSty[Row]=$E252)*(PrvSty[Column]=UPPER(AE$114)),0)))</f>
        <v>0</v>
      </c>
      <c r="AG252" s="157" cm="1">
        <f t="array" aca="1" ref="AG252" ca="1">IF(OR($E252="X",$E252="",$E252=0,$B252="X",$B252="",$B252=0),0,SUM(_xlfn._xlws.FILTER(PrvSty[DsvValue:SERRA],(PrvSty[Project]=TEXT($B252,"@"))*(PrvSty[Row]=$E252)*(PrvSty[Column]=UPPER(AG$114)),0)))</f>
        <v>0</v>
      </c>
      <c r="AH252" s="157" cm="1">
        <f t="array" aca="1" ref="AH252" ca="1">IF(OR($E252="X",$E252="",$E252=0,$B252="X",$B252="",$B252=0),0,SUM(_xlfn._xlws.FILTER(PrvSty[DsvValue:EXT.],(PrvSty[Project]=TEXT($B252,"@"))*(PrvSty[Row]=$E252)*(PrvSty[Column]=UPPER(AG$114)),0)))</f>
        <v>0</v>
      </c>
      <c r="AI252" s="157" cm="1">
        <f t="array" aca="1" ref="AI252" ca="1">IF(OR($E252="X",$E252="",$E252=0,$B252="X",$B252="",$B252=0),0,SUM(_xlfn._xlws.FILTER(PrvSty[DsvValue:SERRA],(PrvSty[Project]=TEXT($B252,"@"))*(PrvSty[Row]=$E252)*(PrvSty[Column]=UPPER(AI$114)),0)))</f>
        <v>0</v>
      </c>
      <c r="AJ252" s="157" cm="1">
        <f t="array" aca="1" ref="AJ252" ca="1">IF(OR($E252="X",$E252="",$E252=0,$B252="X",$B252="",$B252=0),0,SUM(_xlfn._xlws.FILTER(PrvSty[DsvValue:EXT.],(PrvSty[Project]=TEXT($B252,"@"))*(PrvSty[Row]=$E252)*(PrvSty[Column]=UPPER(AI$114)),0)))</f>
        <v>0</v>
      </c>
      <c r="AK252" s="157" cm="1">
        <f t="array" aca="1" ref="AK252" ca="1">IF(OR($E252="X",$E252="",$E252=0,$B252="X",$B252="",$B252=0),0,SUM(_xlfn._xlws.FILTER(PrvSty[DsvValue:SERRA],(PrvSty[Project]=TEXT($B252,"@"))*(PrvSty[Row]=$E252)*(PrvSty[Column]=UPPER(AK$114)),0)))</f>
        <v>0</v>
      </c>
      <c r="AL252" s="157" cm="1">
        <f t="array" aca="1" ref="AL252" ca="1">IF(OR($E252="X",$E252="",$E252=0,$B252="X",$B252="",$B252=0),0,SUM(_xlfn._xlws.FILTER(PrvSty[DsvValue:EXT.],(PrvSty[Project]=TEXT($B252,"@"))*(PrvSty[Row]=$E252)*(PrvSty[Column]=UPPER(AK$114)),0)))</f>
        <v>0</v>
      </c>
      <c r="AM252" s="157" cm="1">
        <f t="array" aca="1" ref="AM252" ca="1">IF(OR($E252="X",$E252="",$E252=0,$B252="X",$B252="",$B252=0),0,SUM(_xlfn._xlws.FILTER(PrvSty[DsvValue:SERRA],(PrvSty[Project]=TEXT($B252,"@"))*(PrvSty[Row]=$E252)*(PrvSty[Column]=UPPER(AM$114)),0)))</f>
        <v>0</v>
      </c>
      <c r="AN252" s="157" cm="1">
        <f t="array" aca="1" ref="AN252" ca="1">IF(OR($E252="X",$E252="",$E252=0,$B252="X",$B252="",$B252=0),0,SUM(_xlfn._xlws.FILTER(PrvSty[DsvValue:EXT.],(PrvSty[Project]=TEXT($B252,"@"))*(PrvSty[Row]=$E252)*(PrvSty[Column]=UPPER(AM$114)),0)))</f>
        <v>0</v>
      </c>
      <c r="AO252" s="157" cm="1">
        <f t="array" aca="1" ref="AO252" ca="1">IF(OR($E252="X",$E252="",$E252=0,$B252="X",$B252="",$B252=0),0,SUM(_xlfn._xlws.FILTER(PrvSty[DsvValue:SERRA],(PrvSty[Project]=TEXT($B252,"@"))*(PrvSty[Row]=$E252)*(PrvSty[Column]=UPPER(AO$114)),0)))</f>
        <v>0</v>
      </c>
      <c r="AP252" s="157" cm="1">
        <f t="array" aca="1" ref="AP252" ca="1">IF(OR($E252="X",$E252="",$E252=0,$B252="X",$B252="",$B252=0),0,SUM(_xlfn._xlws.FILTER(PrvSty[DsvValue:EXT.],(PrvSty[Project]=TEXT($B252,"@"))*(PrvSty[Row]=$E252)*(PrvSty[Column]=UPPER(AO$114)),0)))</f>
        <v>0</v>
      </c>
      <c r="AQ252" s="157" cm="1">
        <f t="array" aca="1" ref="AQ252" ca="1">SUM(IF(INDIRECT($AS$115)=AQ$115,INDIRECT($AS252)))</f>
        <v>0</v>
      </c>
      <c r="AR252" s="157" cm="1">
        <f t="array" aca="1" ref="AR252" ca="1">SUM(IF(INDIRECT($AS$115)=AR$115,INDIRECT($AS252)))</f>
        <v>0</v>
      </c>
      <c r="AS252" s="286" t="str">
        <f t="shared" ca="1" si="19"/>
        <v>G252:AP252</v>
      </c>
      <c r="AT252" s="403">
        <f t="shared" ca="1" si="20"/>
        <v>0</v>
      </c>
      <c r="AV252" s="142" cm="1">
        <f t="array" aca="1" ref="AV252" ca="1">IF(AND(_xlfn.LET(_xlpm.x,SUM(ROW()),OR(AND(MATCH("SOT",$A:$A,0)&lt;_xlpm.x,MATCH("EOT",$A:$A,0)&gt;_xlpm.x),AND(MATCH("SOS",$A:$A,0)&lt;_xlpm.x,MATCH("EOS",$A:$A,0)&gt;_xlpm.x),AND(MATCH("SOR",$A:$A,0)&lt;_xlpm.x,MATCH("EOR",$A:$A,0)&gt;_xlpm.x))),INDIRECT("rc"&amp;MATCH("SCD",$1:$1,0),FALSE)="PPTO"),1,0)</f>
        <v>0</v>
      </c>
      <c r="AW252" s="142" cm="1">
        <f t="array" aca="1" ref="AW25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2</v>
      </c>
    </row>
    <row r="253" spans="1:49" outlineLevel="1">
      <c r="B253" s="156" t="str" cm="1">
        <f t="array" aca="1" ref="B253" ca="1">_xlfn.LET(_xlpm.x,SUM(ROW()-MATCH("SOR",$A:$A,0)),_xlpm.y,IFERROR(_xlfn.TAKE(INDEX(_xlfn._xlws.FILTER(TbAssign[],ISNUMBER(FIND(TbAssign[Project],$C$4)),"X"),1+QUOTIENT(_xlpm.x,3),0),1,4),0),IF(MOD(_xlpm.x-1,3)=0,IF(_xlpm.y=0,"X",_xlpm.y),INDIRECT("r[-1]c#",FALSE)))</f>
        <v>X</v>
      </c>
      <c r="C253" s="156"/>
      <c r="E253" s="352"/>
      <c r="F253" s="148" t="s">
        <v>1383</v>
      </c>
      <c r="G253" s="158" cm="1">
        <f t="array" aca="1" ref="G253" ca="1">IF(OR($E253="X",$E253="",$E253=0,$B253="X",$B253="",$B253=0),0,SUM(_xlfn._xlws.FILTER(FrmBB1[Cur],(FrmBB1[PrjId]=TEXT($B253,"@"))*(FrmBB1[Row]=$E253)*(FrmBB1[Column]=UPPER(_xlfn.LET(_xlpm.x,_xlfn.TEXTBEFORE(G$114," ("),IFERROR(_xlpm.x,G$114)))&amp;" "&amp;G$115),0)))</f>
        <v>0</v>
      </c>
      <c r="H253" s="157" cm="1">
        <f t="array" aca="1" ref="H253" ca="1">IF(OR($E253="X",$E253="",$E253=0,$B253="X",$B253="",$B253=0),0,SUM(_xlfn._xlws.FILTER(FrmBB1[Cur],(FrmBB1[PrjId]=TEXT($B253,"@"))*(FrmBB1[Row]=$E253)*(FrmBB1[Column]=UPPER(_xlfn.LET(_xlpm.x,_xlfn.TEXTBEFORE(G$114," ("),IFERROR(_xlpm.x,G$114)))&amp;" "&amp;H$115),0)))</f>
        <v>0</v>
      </c>
      <c r="I253" s="158" cm="1">
        <f t="array" aca="1" ref="I253" ca="1">IF(OR($E253="X",$E253="",$E253=0,$B253="X",$B253="",$B253=0),0,SUM(_xlfn._xlws.FILTER(FrmBB1[Cur],(FrmBB1[PrjId]=TEXT($B253,"@"))*(FrmBB1[Row]=$E253)*(FrmBB1[Column]=UPPER(_xlfn.LET(_xlpm.x,_xlfn.TEXTBEFORE(I$114," ("),IFERROR(_xlpm.x,I$114)))&amp;" "&amp;I$115),0)))</f>
        <v>0</v>
      </c>
      <c r="J253" s="157" cm="1">
        <f t="array" aca="1" ref="J253" ca="1">IF(OR($E253="X",$E253="",$E253=0,$B253="X",$B253="",$B253=0),0,SUM(_xlfn._xlws.FILTER(FrmBB1[Cur],(FrmBB1[PrjId]=TEXT($B253,"@"))*(FrmBB1[Row]=$E253)*(FrmBB1[Column]=UPPER(_xlfn.LET(_xlpm.x,_xlfn.TEXTBEFORE(I$114," ("),IFERROR(_xlpm.x,I$114)))&amp;" "&amp;J$115),0)))</f>
        <v>0</v>
      </c>
      <c r="K253" s="158" cm="1">
        <f t="array" aca="1" ref="K253" ca="1">IF(OR($E253="X",$E253="",$E253=0,$B253="X",$B253="",$B253=0),0,SUM(_xlfn._xlws.FILTER(FrmBB1[Cur],(FrmBB1[PrjId]=TEXT($B253,"@"))*(FrmBB1[Row]=$E253)*(FrmBB1[Column]=UPPER(_xlfn.LET(_xlpm.x,_xlfn.TEXTBEFORE(K$114," ("),IFERROR(_xlpm.x,K$114)))&amp;" "&amp;K$115),0)))</f>
        <v>0</v>
      </c>
      <c r="L253" s="157" cm="1">
        <f t="array" aca="1" ref="L253" ca="1">IF(OR($E253="X",$E253="",$E253=0,$B253="X",$B253="",$B253=0),0,SUM(_xlfn._xlws.FILTER(FrmBB1[Cur],(FrmBB1[PrjId]=TEXT($B253,"@"))*(FrmBB1[Row]=$E253)*(FrmBB1[Column]=UPPER(_xlfn.LET(_xlpm.x,_xlfn.TEXTBEFORE(K$114," ("),IFERROR(_xlpm.x,K$114)))&amp;" "&amp;L$115),0)))</f>
        <v>0</v>
      </c>
      <c r="M253" s="158" cm="1">
        <f t="array" aca="1" ref="M253" ca="1">IF(OR($E253="X",$E253="",$E253=0,$B253="X",$B253="",$B253=0),0,SUM(_xlfn._xlws.FILTER(FrmBB1[Cur],(FrmBB1[PrjId]=TEXT($B253,"@"))*(FrmBB1[Row]=$E253)*(FrmBB1[Column]=UPPER(_xlfn.LET(_xlpm.x,_xlfn.TEXTBEFORE(M$114," ("),IFERROR(_xlpm.x,M$114)))&amp;" "&amp;M$115),0)))</f>
        <v>0</v>
      </c>
      <c r="N253" s="157" cm="1">
        <f t="array" aca="1" ref="N253" ca="1">IF(OR($E253="X",$E253="",$E253=0,$B253="X",$B253="",$B253=0),0,SUM(_xlfn._xlws.FILTER(FrmBB1[Cur],(FrmBB1[PrjId]=TEXT($B253,"@"))*(FrmBB1[Row]=$E253)*(FrmBB1[Column]=UPPER(_xlfn.LET(_xlpm.x,_xlfn.TEXTBEFORE(M$114," ("),IFERROR(_xlpm.x,M$114)))&amp;" "&amp;N$115),0)))</f>
        <v>0</v>
      </c>
      <c r="O253" s="158" cm="1">
        <f t="array" aca="1" ref="O253" ca="1">IF(OR($E253="X",$E253="",$E253=0,$B253="X",$B253="",$B253=0),0,SUM(_xlfn._xlws.FILTER(FrmBB1[Cur],(FrmBB1[PrjId]=TEXT($B253,"@"))*(FrmBB1[Row]=$E253)*(FrmBB1[Column]=UPPER(_xlfn.LET(_xlpm.x,_xlfn.TEXTBEFORE(O$114," ("),IFERROR(_xlpm.x,O$114)))&amp;" "&amp;O$115),0)))</f>
        <v>0</v>
      </c>
      <c r="P253" s="157" cm="1">
        <f t="array" aca="1" ref="P253" ca="1">IF(OR($E253="X",$E253="",$E253=0,$B253="X",$B253="",$B253=0),0,SUM(_xlfn._xlws.FILTER(FrmBB1[Cur],(FrmBB1[PrjId]=TEXT($B253,"@"))*(FrmBB1[Row]=$E253)*(FrmBB1[Column]=UPPER(_xlfn.LET(_xlpm.x,_xlfn.TEXTBEFORE(O$114," ("),IFERROR(_xlpm.x,O$114)))&amp;" "&amp;P$115),0)))</f>
        <v>0</v>
      </c>
      <c r="Q253" s="158" cm="1">
        <f t="array" aca="1" ref="Q253" ca="1">IF(OR($E253="X",$E253="",$E253=0,$B253="X",$B253="",$B253=0),0,SUM(_xlfn._xlws.FILTER(FrmBB1[Cur],(FrmBB1[PrjId]=TEXT($B253,"@"))*(FrmBB1[Row]=$E253)*(FrmBB1[Column]=UPPER(_xlfn.LET(_xlpm.x,_xlfn.TEXTBEFORE(Q$114," ("),IFERROR(_xlpm.x,Q$114)))&amp;" "&amp;Q$115),0)))</f>
        <v>0</v>
      </c>
      <c r="R253" s="157" cm="1">
        <f t="array" aca="1" ref="R253" ca="1">IF(OR($E253="X",$E253="",$E253=0,$B253="X",$B253="",$B253=0),0,SUM(_xlfn._xlws.FILTER(FrmBB1[Cur],(FrmBB1[PrjId]=TEXT($B253,"@"))*(FrmBB1[Row]=$E253)*(FrmBB1[Column]=UPPER(_xlfn.LET(_xlpm.x,_xlfn.TEXTBEFORE(Q$114," ("),IFERROR(_xlpm.x,Q$114)))&amp;" "&amp;R$115),0)))</f>
        <v>0</v>
      </c>
      <c r="S253" s="158" cm="1">
        <f t="array" aca="1" ref="S253" ca="1">IF(OR($E253="X",$E253="",$E253=0,$B253="X",$B253="",$B253=0),0,SUM(_xlfn._xlws.FILTER(FrmBB1[Cur],(FrmBB1[PrjId]=TEXT($B253,"@"))*(FrmBB1[Row]=$E253)*(FrmBB1[Column]=UPPER(_xlfn.LET(_xlpm.x,_xlfn.TEXTBEFORE(S$114," ("),IFERROR(_xlpm.x,S$114)))&amp;" "&amp;S$115),0)))</f>
        <v>0</v>
      </c>
      <c r="T253" s="157" cm="1">
        <f t="array" aca="1" ref="T253" ca="1">IF(OR($E253="X",$E253="",$E253=0,$B253="X",$B253="",$B253=0),0,SUM(_xlfn._xlws.FILTER(FrmBB1[Cur],(FrmBB1[PrjId]=TEXT($B253,"@"))*(FrmBB1[Row]=$E253)*(FrmBB1[Column]=UPPER(_xlfn.LET(_xlpm.x,_xlfn.TEXTBEFORE(S$114," ("),IFERROR(_xlpm.x,S$114)))&amp;" "&amp;T$115),0)))</f>
        <v>0</v>
      </c>
      <c r="U253" s="158" cm="1">
        <f t="array" aca="1" ref="U253" ca="1">IF(OR($E253="X",$E253="",$E253=0,$B253="X",$B253="",$B253=0),0,SUM(_xlfn._xlws.FILTER(FrmBB1[Cur],(FrmBB1[PrjId]=TEXT($B253,"@"))*(FrmBB1[Row]=$E253)*(FrmBB1[Column]=UPPER(_xlfn.LET(_xlpm.x,_xlfn.TEXTBEFORE(U$114," ("),IFERROR(_xlpm.x,U$114)))&amp;" "&amp;U$115),0)))</f>
        <v>0</v>
      </c>
      <c r="V253" s="157" cm="1">
        <f t="array" aca="1" ref="V253" ca="1">IF(OR($E253="X",$E253="",$E253=0,$B253="X",$B253="",$B253=0),0,SUM(_xlfn._xlws.FILTER(FrmBB1[Cur],(FrmBB1[PrjId]=TEXT($B253,"@"))*(FrmBB1[Row]=$E253)*(FrmBB1[Column]=UPPER(_xlfn.LET(_xlpm.x,_xlfn.TEXTBEFORE(U$114," ("),IFERROR(_xlpm.x,U$114)))&amp;" "&amp;V$115),0)))</f>
        <v>0</v>
      </c>
      <c r="W253" s="158" cm="1">
        <f t="array" aca="1" ref="W253" ca="1">IF(OR($E253="X",$E253="",$E253=0,$B253="X",$B253="",$B253=0),0,SUM(_xlfn._xlws.FILTER(FrmBB1[Cur],(FrmBB1[PrjId]=TEXT($B253,"@"))*(FrmBB1[Row]=$E253)*(FrmBB1[Column]=UPPER(_xlfn.LET(_xlpm.x,_xlfn.TEXTBEFORE(W$114," ("),IFERROR(_xlpm.x,W$114)))&amp;" "&amp;W$115),0)))</f>
        <v>0</v>
      </c>
      <c r="X253" s="157" cm="1">
        <f t="array" aca="1" ref="X253" ca="1">IF(OR($E253="X",$E253="",$E253=0,$B253="X",$B253="",$B253=0),0,SUM(_xlfn._xlws.FILTER(FrmBB1[Cur],(FrmBB1[PrjId]=TEXT($B253,"@"))*(FrmBB1[Row]=$E253)*(FrmBB1[Column]=UPPER(_xlfn.LET(_xlpm.x,_xlfn.TEXTBEFORE(W$114," ("),IFERROR(_xlpm.x,W$114)))&amp;" "&amp;X$115),0)))</f>
        <v>0</v>
      </c>
      <c r="Y253" s="158" cm="1">
        <f t="array" aca="1" ref="Y253" ca="1">IF(OR($E253="X",$E253="",$E253=0,$B253="X",$B253="",$B253=0),0,SUM(_xlfn._xlws.FILTER(FrmBB1[Cur],(FrmBB1[PrjId]=TEXT($B253,"@"))*(FrmBB1[Row]=$E253)*(FrmBB1[Column]=UPPER(_xlfn.LET(_xlpm.x,_xlfn.TEXTBEFORE(Y$114," ("),IFERROR(_xlpm.x,Y$114)))&amp;" "&amp;Y$115),0)))</f>
        <v>0</v>
      </c>
      <c r="Z253" s="157" cm="1">
        <f t="array" aca="1" ref="Z253" ca="1">IF(OR($E253="X",$E253="",$E253=0,$B253="X",$B253="",$B253=0),0,SUM(_xlfn._xlws.FILTER(FrmBB1[Cur],(FrmBB1[PrjId]=TEXT($B253,"@"))*(FrmBB1[Row]=$E253)*(FrmBB1[Column]=UPPER(_xlfn.LET(_xlpm.x,_xlfn.TEXTBEFORE(Y$114," ("),IFERROR(_xlpm.x,Y$114)))&amp;" "&amp;Z$115),0)))</f>
        <v>0</v>
      </c>
      <c r="AA253" s="158" cm="1">
        <f t="array" aca="1" ref="AA253" ca="1">IF(OR($E253="X",$E253="",$E253=0,$B253="X",$B253="",$B253=0),0,SUM(_xlfn._xlws.FILTER(FrmBB1[Cur],(FrmBB1[PrjId]=TEXT($B253,"@"))*(FrmBB1[Row]=$E253)*(FrmBB1[Column]=UPPER(_xlfn.LET(_xlpm.x,_xlfn.TEXTBEFORE(AA$114," ("),IFERROR(_xlpm.x,AA$114)))&amp;" "&amp;AA$115),0)))</f>
        <v>0</v>
      </c>
      <c r="AB253" s="157" cm="1">
        <f t="array" aca="1" ref="AB253" ca="1">IF(OR($E253="X",$E253="",$E253=0,$B253="X",$B253="",$B253=0),0,SUM(_xlfn._xlws.FILTER(FrmBB1[Cur],(FrmBB1[PrjId]=TEXT($B253,"@"))*(FrmBB1[Row]=$E253)*(FrmBB1[Column]=UPPER(_xlfn.LET(_xlpm.x,_xlfn.TEXTBEFORE(AA$114," ("),IFERROR(_xlpm.x,AA$114)))&amp;" "&amp;AB$115),0)))</f>
        <v>0</v>
      </c>
      <c r="AC253" s="158" cm="1">
        <f t="array" aca="1" ref="AC253" ca="1">IF(OR($E253="X",$E253="",$E253=0,$B253="X",$B253="",$B253=0),0,SUM(_xlfn._xlws.FILTER(FrmBB1[Cur],(FrmBB1[PrjId]=TEXT($B253,"@"))*(FrmBB1[Row]=$E253)*(FrmBB1[Column]=UPPER(_xlfn.LET(_xlpm.x,_xlfn.TEXTBEFORE(AC$114," ("),IFERROR(_xlpm.x,AC$114)))&amp;" "&amp;AC$115),0)))</f>
        <v>0</v>
      </c>
      <c r="AD253" s="157" cm="1">
        <f t="array" aca="1" ref="AD253" ca="1">IF(OR($E253="X",$E253="",$E253=0,$B253="X",$B253="",$B253=0),0,SUM(_xlfn._xlws.FILTER(FrmBB1[Cur],(FrmBB1[PrjId]=TEXT($B253,"@"))*(FrmBB1[Row]=$E253)*(FrmBB1[Column]=UPPER(_xlfn.LET(_xlpm.x,_xlfn.TEXTBEFORE(AC$114," ("),IFERROR(_xlpm.x,AC$114)))&amp;" "&amp;AD$115),0)))</f>
        <v>0</v>
      </c>
      <c r="AE253" s="158" cm="1">
        <f t="array" aca="1" ref="AE253" ca="1">IF(OR($E253="X",$E253="",$E253=0,$B253="X",$B253="",$B253=0),0,SUM(_xlfn._xlws.FILTER(FrmBB1[Cur],(FrmBB1[PrjId]=TEXT($B253,"@"))*(FrmBB1[Row]=$E253)*(FrmBB1[Column]=UPPER(_xlfn.LET(_xlpm.x,_xlfn.TEXTBEFORE(AE$114," ("),IFERROR(_xlpm.x,AE$114)))&amp;" "&amp;AE$115),0)))</f>
        <v>0</v>
      </c>
      <c r="AF253" s="157" cm="1">
        <f t="array" aca="1" ref="AF253" ca="1">IF(OR($E253="X",$E253="",$E253=0,$B253="X",$B253="",$B253=0),0,SUM(_xlfn._xlws.FILTER(FrmBB1[Cur],(FrmBB1[PrjId]=TEXT($B253,"@"))*(FrmBB1[Row]=$E253)*(FrmBB1[Column]=UPPER(_xlfn.LET(_xlpm.x,_xlfn.TEXTBEFORE(AE$114," ("),IFERROR(_xlpm.x,AE$114)))&amp;" "&amp;AF$115),0)))</f>
        <v>0</v>
      </c>
      <c r="AG253" s="158" cm="1">
        <f t="array" aca="1" ref="AG253" ca="1">IF(OR($E253="X",$E253="",$E253=0,$B253="X",$B253="",$B253=0),0,SUM(_xlfn._xlws.FILTER(FrmBB1[Cur],(FrmBB1[PrjId]=TEXT($B253,"@"))*(FrmBB1[Row]=$E253)*(FrmBB1[Column]=UPPER(_xlfn.LET(_xlpm.x,_xlfn.TEXTBEFORE(AG$114," ("),IFERROR(_xlpm.x,AG$114)))&amp;" "&amp;AG$115),0)))</f>
        <v>0</v>
      </c>
      <c r="AH253" s="157" cm="1">
        <f t="array" aca="1" ref="AH253" ca="1">IF(OR($E253="X",$E253="",$E253=0,$B253="X",$B253="",$B253=0),0,SUM(_xlfn._xlws.FILTER(FrmBB1[Cur],(FrmBB1[PrjId]=TEXT($B253,"@"))*(FrmBB1[Row]=$E253)*(FrmBB1[Column]=UPPER(_xlfn.LET(_xlpm.x,_xlfn.TEXTBEFORE(AG$114," ("),IFERROR(_xlpm.x,AG$114)))&amp;" "&amp;AH$115),0)))</f>
        <v>0</v>
      </c>
      <c r="AI253" s="158" cm="1">
        <f t="array" aca="1" ref="AI253" ca="1">IF(OR($E253="X",$E253="",$E253=0,$B253="X",$B253="",$B253=0),0,SUM(_xlfn._xlws.FILTER(FrmBB1[Cur],(FrmBB1[PrjId]=TEXT($B253,"@"))*(FrmBB1[Row]=$E253)*(FrmBB1[Column]=UPPER(_xlfn.LET(_xlpm.x,_xlfn.TEXTBEFORE(AI$114," ("),IFERROR(_xlpm.x,AI$114)))&amp;" "&amp;AI$115),0)))</f>
        <v>0</v>
      </c>
      <c r="AJ253" s="157" cm="1">
        <f t="array" aca="1" ref="AJ253" ca="1">IF(OR($E253="X",$E253="",$E253=0,$B253="X",$B253="",$B253=0),0,SUM(_xlfn._xlws.FILTER(FrmBB1[Cur],(FrmBB1[PrjId]=TEXT($B253,"@"))*(FrmBB1[Row]=$E253)*(FrmBB1[Column]=UPPER(_xlfn.LET(_xlpm.x,_xlfn.TEXTBEFORE(AI$114," ("),IFERROR(_xlpm.x,AI$114)))&amp;" "&amp;AJ$115),0)))</f>
        <v>0</v>
      </c>
      <c r="AK253" s="158" cm="1">
        <f t="array" aca="1" ref="AK253" ca="1">IF(OR($E253="X",$E253="",$E253=0,$B253="X",$B253="",$B253=0),0,SUM(_xlfn._xlws.FILTER(FrmBB1[Cur],(FrmBB1[PrjId]=TEXT($B253,"@"))*(FrmBB1[Row]=$E253)*(FrmBB1[Column]=UPPER(_xlfn.LET(_xlpm.x,_xlfn.TEXTBEFORE(AK$114," ("),IFERROR(_xlpm.x,AK$114)))&amp;" "&amp;AK$115),0)))</f>
        <v>0</v>
      </c>
      <c r="AL253" s="157" cm="1">
        <f t="array" aca="1" ref="AL253" ca="1">IF(OR($E253="X",$E253="",$E253=0,$B253="X",$B253="",$B253=0),0,SUM(_xlfn._xlws.FILTER(FrmBB1[Cur],(FrmBB1[PrjId]=TEXT($B253,"@"))*(FrmBB1[Row]=$E253)*(FrmBB1[Column]=UPPER(_xlfn.LET(_xlpm.x,_xlfn.TEXTBEFORE(AK$114," ("),IFERROR(_xlpm.x,AK$114)))&amp;" "&amp;AL$115),0)))</f>
        <v>0</v>
      </c>
      <c r="AM253" s="158" cm="1">
        <f t="array" aca="1" ref="AM253" ca="1">IF(OR($E253="X",$E253="",$E253=0,$B253="X",$B253="",$B253=0),0,SUM(_xlfn._xlws.FILTER(FrmBB1[Cur],(FrmBB1[PrjId]=TEXT($B253,"@"))*(FrmBB1[Row]=$E253)*(FrmBB1[Column]=UPPER(_xlfn.LET(_xlpm.x,_xlfn.TEXTBEFORE(AM$114," ("),IFERROR(_xlpm.x,AM$114)))&amp;" "&amp;AM$115),0)))</f>
        <v>0</v>
      </c>
      <c r="AN253" s="157" cm="1">
        <f t="array" aca="1" ref="AN253" ca="1">IF(OR($E253="X",$E253="",$E253=0,$B253="X",$B253="",$B253=0),0,SUM(_xlfn._xlws.FILTER(FrmBB1[Cur],(FrmBB1[PrjId]=TEXT($B253,"@"))*(FrmBB1[Row]=$E253)*(FrmBB1[Column]=UPPER(_xlfn.LET(_xlpm.x,_xlfn.TEXTBEFORE(AM$114," ("),IFERROR(_xlpm.x,AM$114)))&amp;" "&amp;AN$115),0)))</f>
        <v>0</v>
      </c>
      <c r="AO253" s="158" cm="1">
        <f t="array" aca="1" ref="AO253" ca="1">IF(OR($E253="X",$E253="",$E253=0,$B253="X",$B253="",$B253=0),0,SUM(_xlfn._xlws.FILTER(FrmBB1[Cur],(FrmBB1[PrjId]=TEXT($B253,"@"))*(FrmBB1[Row]=$E253)*(FrmBB1[Column]=UPPER(_xlfn.LET(_xlpm.x,_xlfn.TEXTBEFORE(AO$114," ("),IFERROR(_xlpm.x,AO$114)))&amp;" "&amp;AO$115),0)))</f>
        <v>0</v>
      </c>
      <c r="AP253" s="157" cm="1">
        <f t="array" aca="1" ref="AP253" ca="1">IF(OR($E253="X",$E253="",$E253=0,$B253="X",$B253="",$B253=0),0,SUM(_xlfn._xlws.FILTER(FrmBB1[Cur],(FrmBB1[PrjId]=TEXT($B253,"@"))*(FrmBB1[Row]=$E253)*(FrmBB1[Column]=UPPER(_xlfn.LET(_xlpm.x,_xlfn.TEXTBEFORE(AO$114," ("),IFERROR(_xlpm.x,AO$114)))&amp;" "&amp;AP$115),0)))</f>
        <v>0</v>
      </c>
      <c r="AQ253" s="157" cm="1">
        <f t="array" aca="1" ref="AQ253" ca="1">SUM(IF(INDIRECT($AS$115)=AQ$115,INDIRECT($AS253)))</f>
        <v>0</v>
      </c>
      <c r="AR253" s="157" cm="1">
        <f t="array" aca="1" ref="AR253" ca="1">SUM(IF(INDIRECT($AS$115)=AR$115,INDIRECT($AS253)))</f>
        <v>0</v>
      </c>
      <c r="AS253" s="286" t="str">
        <f t="shared" ca="1" si="19"/>
        <v>G253:AP253</v>
      </c>
      <c r="AT253" s="403">
        <f t="shared" ca="1" si="20"/>
        <v>0</v>
      </c>
      <c r="AV253" s="142" cm="1">
        <f t="array" aca="1" ref="AV253" ca="1">IF(AND(_xlfn.LET(_xlpm.x,SUM(ROW()),OR(AND(MATCH("SOT",$A:$A,0)&lt;_xlpm.x,MATCH("EOT",$A:$A,0)&gt;_xlpm.x),AND(MATCH("SOS",$A:$A,0)&lt;_xlpm.x,MATCH("EOS",$A:$A,0)&gt;_xlpm.x),AND(MATCH("SOR",$A:$A,0)&lt;_xlpm.x,MATCH("EOR",$A:$A,0)&gt;_xlpm.x))),INDIRECT("rc"&amp;MATCH("SCD",$1:$1,0),FALSE)="PPTO"),1,0)</f>
        <v>0</v>
      </c>
      <c r="AW253" s="142" cm="1">
        <f t="array" aca="1" ref="AW25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3</v>
      </c>
    </row>
    <row r="254" spans="1:49" ht="13" outlineLevel="1">
      <c r="A254" s="155" t="s">
        <v>406</v>
      </c>
      <c r="B254" s="156"/>
      <c r="D254" s="159"/>
      <c r="G254" s="157"/>
      <c r="H254" s="160"/>
      <c r="I254" s="157"/>
      <c r="J254" s="160"/>
      <c r="K254" s="157"/>
      <c r="L254" s="160"/>
      <c r="M254" s="157"/>
      <c r="N254" s="160"/>
      <c r="O254" s="157"/>
      <c r="P254" s="160"/>
      <c r="Q254" s="157"/>
      <c r="R254" s="160"/>
      <c r="S254" s="157"/>
      <c r="T254" s="160"/>
      <c r="U254" s="157"/>
      <c r="V254" s="160"/>
      <c r="W254" s="157"/>
      <c r="X254" s="160"/>
      <c r="Y254" s="157"/>
      <c r="Z254" s="160"/>
      <c r="AA254" s="157"/>
      <c r="AB254" s="160"/>
      <c r="AC254" s="157"/>
      <c r="AD254" s="160"/>
      <c r="AE254" s="157"/>
      <c r="AF254" s="160"/>
      <c r="AG254" s="157"/>
      <c r="AH254" s="160"/>
      <c r="AI254" s="157"/>
      <c r="AJ254" s="160"/>
      <c r="AK254" s="157"/>
      <c r="AL254" s="160"/>
      <c r="AM254" s="157"/>
      <c r="AN254" s="160"/>
      <c r="AO254" s="157"/>
      <c r="AP254" s="160"/>
      <c r="AQ254" s="157"/>
      <c r="AR254" s="160"/>
      <c r="AS254" s="286" t="str">
        <f t="shared" si="19"/>
        <v>X</v>
      </c>
      <c r="AV254" s="142" cm="1">
        <f t="array" aca="1" ref="AV254" ca="1">IF(AND(_xlfn.LET(_xlpm.x,SUM(ROW()),OR(AND(MATCH("SOT",$A:$A,0)&lt;_xlpm.x,MATCH("EOT",$A:$A,0)&gt;_xlpm.x),AND(MATCH("SOS",$A:$A,0)&lt;_xlpm.x,MATCH("EOS",$A:$A,0)&gt;_xlpm.x),AND(MATCH("SOR",$A:$A,0)&lt;_xlpm.x,MATCH("EOR",$A:$A,0)&gt;_xlpm.x))),INDIRECT("rc"&amp;MATCH("SCD",$1:$1,0),FALSE)="PPTO"),1,0)</f>
        <v>0</v>
      </c>
      <c r="AW254" s="142" cm="1">
        <f t="array" aca="1" ref="AW25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55" spans="1:49">
      <c r="B255" s="485" t="s">
        <v>2073</v>
      </c>
      <c r="C255" s="485"/>
      <c r="D255" s="485"/>
      <c r="E255" s="485"/>
      <c r="F255" s="485"/>
      <c r="G255" s="485"/>
      <c r="H255" s="485"/>
      <c r="I255" s="485"/>
      <c r="J255" s="485"/>
      <c r="K255" s="485"/>
      <c r="L255" s="485"/>
      <c r="M255" s="485"/>
      <c r="N255" s="485"/>
      <c r="O255" s="485"/>
      <c r="P255" s="485"/>
      <c r="Q255" s="485"/>
      <c r="R255" s="485"/>
      <c r="S255" s="485"/>
      <c r="T255" s="485"/>
      <c r="U255" s="485"/>
      <c r="V255" s="485"/>
      <c r="W255" s="485"/>
      <c r="X255" s="485"/>
      <c r="Y255" s="485"/>
      <c r="Z255" s="485"/>
      <c r="AA255" s="485"/>
      <c r="AB255" s="485"/>
      <c r="AC255" s="485"/>
      <c r="AD255" s="485"/>
      <c r="AE255" s="485"/>
      <c r="AF255" s="485"/>
      <c r="AG255" s="485"/>
      <c r="AH255" s="485"/>
      <c r="AI255" s="485"/>
      <c r="AJ255" s="485"/>
      <c r="AK255" s="485"/>
      <c r="AL255" s="485"/>
      <c r="AM255" s="485"/>
      <c r="AN255" s="485"/>
      <c r="AO255" s="485"/>
      <c r="AP255" s="485"/>
      <c r="AQ255" s="485"/>
      <c r="AR255" s="485"/>
      <c r="AS255" s="485"/>
      <c r="AV255" s="142" cm="1">
        <f t="array" aca="1" ref="AV255" ca="1">IF(AND(_xlfn.LET(_xlpm.x,SUM(ROW()),OR(AND(MATCH("SOT",$A:$A,0)&lt;_xlpm.x,MATCH("EOT",$A:$A,0)&gt;_xlpm.x),AND(MATCH("SOS",$A:$A,0)&lt;_xlpm.x,MATCH("EOS",$A:$A,0)&gt;_xlpm.x),AND(MATCH("SOR",$A:$A,0)&lt;_xlpm.x,MATCH("EOR",$A:$A,0)&gt;_xlpm.x))),INDIRECT("rc"&amp;MATCH("SCD",$1:$1,0),FALSE)="PPTO"),1,0)</f>
        <v>0</v>
      </c>
      <c r="AW255" s="142" cm="1">
        <f t="array" aca="1" ref="AW25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56" spans="1:49" ht="13" outlineLevel="1">
      <c r="A256" s="155" t="s">
        <v>2070</v>
      </c>
      <c r="B256" s="198" t="str">
        <f t="shared" ref="B256:AT256" ca="1" si="21">ADDRESS(MATCH("SO"&amp;RIGHT($A256,1),$A:$A,0)+1,SUM(COLUMN()),4,1,$B$9)&amp;":"&amp;ADDRESS(MATCH("EO"&amp;RIGHT($A256,1),$A:$A,0)-1,SUM(COLUMN()),4)</f>
        <v>PPR!B260:B306</v>
      </c>
      <c r="C256" s="198" t="str">
        <f t="shared" ca="1" si="21"/>
        <v>PPR!C260:C306</v>
      </c>
      <c r="D256" s="198" t="str">
        <f t="shared" ca="1" si="21"/>
        <v>PPR!D260:D306</v>
      </c>
      <c r="E256" s="348" t="str">
        <f t="shared" ca="1" si="21"/>
        <v>PPR!E260:E306</v>
      </c>
      <c r="F256" s="198" t="str">
        <f t="shared" ca="1" si="21"/>
        <v>PPR!F260:F306</v>
      </c>
      <c r="G256" s="198" t="str">
        <f t="shared" ca="1" si="21"/>
        <v>PPR!G260:G306</v>
      </c>
      <c r="H256" s="198" t="str">
        <f t="shared" ca="1" si="21"/>
        <v>PPR!H260:H306</v>
      </c>
      <c r="I256" s="198" t="str">
        <f t="shared" ca="1" si="21"/>
        <v>PPR!I260:I306</v>
      </c>
      <c r="J256" s="198" t="str">
        <f t="shared" ca="1" si="21"/>
        <v>PPR!J260:J306</v>
      </c>
      <c r="K256" s="198" t="str">
        <f t="shared" ca="1" si="21"/>
        <v>PPR!K260:K306</v>
      </c>
      <c r="L256" s="198" t="str">
        <f t="shared" ca="1" si="21"/>
        <v>PPR!L260:L306</v>
      </c>
      <c r="M256" s="198" t="str">
        <f t="shared" ca="1" si="21"/>
        <v>PPR!M260:M306</v>
      </c>
      <c r="N256" s="198" t="str">
        <f t="shared" ca="1" si="21"/>
        <v>PPR!N260:N306</v>
      </c>
      <c r="O256" s="198" t="str">
        <f t="shared" ca="1" si="21"/>
        <v>PPR!O260:O306</v>
      </c>
      <c r="P256" s="198" t="str">
        <f t="shared" ca="1" si="21"/>
        <v>PPR!P260:P306</v>
      </c>
      <c r="Q256" s="198" t="str">
        <f t="shared" ca="1" si="21"/>
        <v>PPR!Q260:Q306</v>
      </c>
      <c r="R256" s="198" t="str">
        <f t="shared" ca="1" si="21"/>
        <v>PPR!R260:R306</v>
      </c>
      <c r="S256" s="198" t="str">
        <f t="shared" ca="1" si="21"/>
        <v>PPR!S260:S306</v>
      </c>
      <c r="T256" s="198" t="str">
        <f t="shared" ca="1" si="21"/>
        <v>PPR!T260:T306</v>
      </c>
      <c r="U256" s="198" t="str">
        <f t="shared" ca="1" si="21"/>
        <v>PPR!U260:U306</v>
      </c>
      <c r="V256" s="198" t="str">
        <f t="shared" ca="1" si="21"/>
        <v>PPR!V260:V306</v>
      </c>
      <c r="W256" s="198" t="str">
        <f t="shared" ca="1" si="21"/>
        <v>PPR!W260:W306</v>
      </c>
      <c r="X256" s="198" t="str">
        <f t="shared" ca="1" si="21"/>
        <v>PPR!X260:X306</v>
      </c>
      <c r="Y256" s="198" t="str">
        <f t="shared" ca="1" si="21"/>
        <v>PPR!Y260:Y306</v>
      </c>
      <c r="Z256" s="198" t="str">
        <f t="shared" ca="1" si="21"/>
        <v>PPR!Z260:Z306</v>
      </c>
      <c r="AA256" s="198" t="str">
        <f t="shared" ca="1" si="21"/>
        <v>PPR!AA260:AA306</v>
      </c>
      <c r="AB256" s="198" t="str">
        <f t="shared" ca="1" si="21"/>
        <v>PPR!AB260:AB306</v>
      </c>
      <c r="AC256" s="198" t="str">
        <f t="shared" ca="1" si="21"/>
        <v>PPR!AC260:AC306</v>
      </c>
      <c r="AD256" s="198" t="str">
        <f t="shared" ca="1" si="21"/>
        <v>PPR!AD260:AD306</v>
      </c>
      <c r="AE256" s="198" t="str">
        <f t="shared" ca="1" si="21"/>
        <v>PPR!AE260:AE306</v>
      </c>
      <c r="AF256" s="198" t="str">
        <f t="shared" ca="1" si="21"/>
        <v>PPR!AF260:AF306</v>
      </c>
      <c r="AG256" s="198" t="str">
        <f t="shared" ca="1" si="21"/>
        <v>PPR!AG260:AG306</v>
      </c>
      <c r="AH256" s="198" t="str">
        <f t="shared" ca="1" si="21"/>
        <v>PPR!AH260:AH306</v>
      </c>
      <c r="AI256" s="198" t="str">
        <f t="shared" ca="1" si="21"/>
        <v>PPR!AI260:AI306</v>
      </c>
      <c r="AJ256" s="198" t="str">
        <f t="shared" ca="1" si="21"/>
        <v>PPR!AJ260:AJ306</v>
      </c>
      <c r="AK256" s="198" t="str">
        <f t="shared" ca="1" si="21"/>
        <v>PPR!AK260:AK306</v>
      </c>
      <c r="AL256" s="198" t="str">
        <f t="shared" ca="1" si="21"/>
        <v>PPR!AL260:AL306</v>
      </c>
      <c r="AM256" s="198" t="str">
        <f t="shared" ca="1" si="21"/>
        <v>PPR!AM260:AM306</v>
      </c>
      <c r="AN256" s="198" t="str">
        <f t="shared" ca="1" si="21"/>
        <v>PPR!AN260:AN306</v>
      </c>
      <c r="AO256" s="198" t="str">
        <f t="shared" ca="1" si="21"/>
        <v>PPR!AO260:AO306</v>
      </c>
      <c r="AP256" s="198" t="str">
        <f t="shared" ca="1" si="21"/>
        <v>PPR!AP260:AP306</v>
      </c>
      <c r="AQ256" s="198" t="str">
        <f t="shared" ca="1" si="21"/>
        <v>PPR!AQ260:AQ306</v>
      </c>
      <c r="AR256" s="198" t="str">
        <f t="shared" ca="1" si="21"/>
        <v>PPR!AR260:AR306</v>
      </c>
      <c r="AS256" s="198" t="str">
        <f t="shared" ca="1" si="21"/>
        <v>PPR!AS260:AS306</v>
      </c>
      <c r="AT256" s="198" t="str">
        <f t="shared" ca="1" si="21"/>
        <v>PPR!AT260:AT306</v>
      </c>
      <c r="AV256" s="142" cm="1">
        <f t="array" aca="1" ref="AV256" ca="1">IF(AND(_xlfn.LET(_xlpm.x,SUM(ROW()),OR(AND(MATCH("SOT",$A:$A,0)&lt;_xlpm.x,MATCH("EOT",$A:$A,0)&gt;_xlpm.x),AND(MATCH("SOS",$A:$A,0)&lt;_xlpm.x,MATCH("EOS",$A:$A,0)&gt;_xlpm.x),AND(MATCH("SOR",$A:$A,0)&lt;_xlpm.x,MATCH("EOR",$A:$A,0)&gt;_xlpm.x))),INDIRECT("rc"&amp;MATCH("SCD",$1:$1,0),FALSE)="PPTO"),1,0)</f>
        <v>0</v>
      </c>
      <c r="AW256" s="142" cm="1">
        <f t="array" aca="1" ref="AW25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57" spans="1:49" s="153" customFormat="1" outlineLevel="2">
      <c r="A257" s="152" t="s">
        <v>2092</v>
      </c>
      <c r="B257" s="289" t="s">
        <v>1299</v>
      </c>
      <c r="C257" s="290" t="s">
        <v>11</v>
      </c>
      <c r="D257" s="290" t="s">
        <v>12</v>
      </c>
      <c r="E257" s="349" t="s">
        <v>64</v>
      </c>
      <c r="F257" s="290" t="s">
        <v>1392</v>
      </c>
      <c r="G257" s="486" t="s">
        <v>24</v>
      </c>
      <c r="H257" s="486"/>
      <c r="I257" s="489" t="s">
        <v>14</v>
      </c>
      <c r="J257" s="489"/>
      <c r="K257" s="489" t="s">
        <v>506</v>
      </c>
      <c r="L257" s="489"/>
      <c r="M257" s="486" t="s">
        <v>3</v>
      </c>
      <c r="N257" s="486"/>
      <c r="O257" s="489" t="s">
        <v>5</v>
      </c>
      <c r="P257" s="489"/>
      <c r="Q257" s="489" t="s">
        <v>16</v>
      </c>
      <c r="R257" s="489"/>
      <c r="S257" s="486" t="s">
        <v>4</v>
      </c>
      <c r="T257" s="486"/>
      <c r="U257" s="489" t="s">
        <v>294</v>
      </c>
      <c r="V257" s="489"/>
      <c r="W257" s="489" t="s">
        <v>2</v>
      </c>
      <c r="X257" s="489"/>
      <c r="Y257" s="489" t="s">
        <v>1</v>
      </c>
      <c r="Z257" s="489"/>
      <c r="AA257" s="489" t="s">
        <v>388</v>
      </c>
      <c r="AB257" s="489"/>
      <c r="AC257" s="489" t="s">
        <v>8</v>
      </c>
      <c r="AD257" s="489"/>
      <c r="AE257" s="489" t="s">
        <v>25</v>
      </c>
      <c r="AF257" s="489"/>
      <c r="AG257" s="486" t="s">
        <v>17</v>
      </c>
      <c r="AH257" s="486"/>
      <c r="AI257" s="486" t="s">
        <v>1665</v>
      </c>
      <c r="AJ257" s="486"/>
      <c r="AK257" s="486" t="s">
        <v>1666</v>
      </c>
      <c r="AL257" s="486"/>
      <c r="AM257" s="486" t="s">
        <v>75</v>
      </c>
      <c r="AN257" s="486"/>
      <c r="AO257" s="487" t="s">
        <v>21</v>
      </c>
      <c r="AP257" s="487"/>
      <c r="AQ257" s="488" t="s">
        <v>7</v>
      </c>
      <c r="AR257" s="488"/>
      <c r="AS257" s="286" t="str">
        <f>IF($B257="","X",ADDRESS(SUM(ROW()),MATCH("SCD",$1:$1,0)+1,4)&amp;":"&amp;ADDRESS(SUM(ROW()),MATCH("ECD",$1:$1,0)-1,4))</f>
        <v>G257:AP257</v>
      </c>
      <c r="AT257" s="486" t="s">
        <v>1750</v>
      </c>
      <c r="AV257" s="142" cm="1">
        <f t="array" aca="1" ref="AV257" ca="1">IF(AND(_xlfn.LET(_xlpm.x,SUM(ROW()),OR(AND(MATCH("SOT",$A:$A,0)&lt;_xlpm.x,MATCH("EOT",$A:$A,0)&gt;_xlpm.x),AND(MATCH("SOS",$A:$A,0)&lt;_xlpm.x,MATCH("EOS",$A:$A,0)&gt;_xlpm.x),AND(MATCH("SOR",$A:$A,0)&lt;_xlpm.x,MATCH("EOR",$A:$A,0)&gt;_xlpm.x))),INDIRECT("rc"&amp;MATCH("SCD",$1:$1,0),FALSE)="PPTO"),1,0)</f>
        <v>0</v>
      </c>
      <c r="AW257" s="142" cm="1">
        <f t="array" aca="1" ref="AW25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58" spans="1:49" s="153" customFormat="1" ht="14" outlineLevel="2">
      <c r="A258" s="152" t="s">
        <v>2093</v>
      </c>
      <c r="B258" s="345">
        <v>31200</v>
      </c>
      <c r="C258" s="290"/>
      <c r="D258" s="290"/>
      <c r="E258" s="349"/>
      <c r="F258" s="290"/>
      <c r="G258" s="291" t="s">
        <v>28</v>
      </c>
      <c r="H258" s="291" t="s">
        <v>1384</v>
      </c>
      <c r="I258" s="291" t="s">
        <v>28</v>
      </c>
      <c r="J258" s="291" t="s">
        <v>1384</v>
      </c>
      <c r="K258" s="291" t="s">
        <v>28</v>
      </c>
      <c r="L258" s="291" t="s">
        <v>1384</v>
      </c>
      <c r="M258" s="291" t="s">
        <v>28</v>
      </c>
      <c r="N258" s="291" t="s">
        <v>1384</v>
      </c>
      <c r="O258" s="291" t="s">
        <v>28</v>
      </c>
      <c r="P258" s="291" t="s">
        <v>1384</v>
      </c>
      <c r="Q258" s="291" t="s">
        <v>28</v>
      </c>
      <c r="R258" s="291" t="s">
        <v>1384</v>
      </c>
      <c r="S258" s="291" t="s">
        <v>28</v>
      </c>
      <c r="T258" s="291" t="s">
        <v>1384</v>
      </c>
      <c r="U258" s="291" t="s">
        <v>28</v>
      </c>
      <c r="V258" s="291" t="s">
        <v>1384</v>
      </c>
      <c r="W258" s="291" t="s">
        <v>28</v>
      </c>
      <c r="X258" s="291" t="s">
        <v>1384</v>
      </c>
      <c r="Y258" s="291" t="s">
        <v>28</v>
      </c>
      <c r="Z258" s="291" t="s">
        <v>1384</v>
      </c>
      <c r="AA258" s="291" t="s">
        <v>28</v>
      </c>
      <c r="AB258" s="291" t="s">
        <v>1384</v>
      </c>
      <c r="AC258" s="291" t="s">
        <v>28</v>
      </c>
      <c r="AD258" s="291" t="s">
        <v>1384</v>
      </c>
      <c r="AE258" s="291" t="s">
        <v>28</v>
      </c>
      <c r="AF258" s="291" t="s">
        <v>1384</v>
      </c>
      <c r="AG258" s="291" t="s">
        <v>28</v>
      </c>
      <c r="AH258" s="291" t="s">
        <v>1384</v>
      </c>
      <c r="AI258" s="291" t="s">
        <v>28</v>
      </c>
      <c r="AJ258" s="291" t="s">
        <v>1384</v>
      </c>
      <c r="AK258" s="291" t="s">
        <v>28</v>
      </c>
      <c r="AL258" s="291" t="s">
        <v>1384</v>
      </c>
      <c r="AM258" s="291" t="s">
        <v>28</v>
      </c>
      <c r="AN258" s="291" t="s">
        <v>1384</v>
      </c>
      <c r="AO258" s="291" t="s">
        <v>28</v>
      </c>
      <c r="AP258" s="291" t="s">
        <v>1384</v>
      </c>
      <c r="AQ258" s="291" t="s">
        <v>28</v>
      </c>
      <c r="AR258" s="291" t="s">
        <v>1384</v>
      </c>
      <c r="AS258" s="286"/>
      <c r="AT258" s="486"/>
      <c r="AV258" s="142" cm="1">
        <f t="array" aca="1" ref="AV258" ca="1">IF(AND(_xlfn.LET(_xlpm.x,SUM(ROW()),OR(AND(MATCH("SOT",$A:$A,0)&lt;_xlpm.x,MATCH("EOT",$A:$A,0)&gt;_xlpm.x),AND(MATCH("SOS",$A:$A,0)&lt;_xlpm.x,MATCH("EOS",$A:$A,0)&gt;_xlpm.x),AND(MATCH("SOR",$A:$A,0)&lt;_xlpm.x,MATCH("EOR",$A:$A,0)&gt;_xlpm.x))),INDIRECT("rc"&amp;MATCH("SCD",$1:$1,0),FALSE)="PPTO"),1,0)</f>
        <v>0</v>
      </c>
      <c r="AW258" s="142" cm="1">
        <f t="array" aca="1" ref="AW25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59" spans="1:49" ht="12" outlineLevel="2">
      <c r="A259" s="155" t="s">
        <v>2071</v>
      </c>
      <c r="B259" s="287" t="str" cm="1">
        <f t="array" aca="1" ref="B259" ca="1">_xlfn.TEXTAFTER(CELL("filename",INDIRECT("A1")),"]")</f>
        <v>PPR</v>
      </c>
      <c r="D259" s="288">
        <f ca="1">COUNTIF(INDIRECT($E$256),"&lt;&gt;X")</f>
        <v>24</v>
      </c>
      <c r="G259" s="157"/>
      <c r="H259" s="160"/>
      <c r="I259" s="157"/>
      <c r="J259" s="160"/>
      <c r="K259" s="157"/>
      <c r="L259" s="160"/>
      <c r="M259" s="157"/>
      <c r="N259" s="160"/>
      <c r="O259" s="157"/>
      <c r="P259" s="160"/>
      <c r="Q259" s="157"/>
      <c r="R259" s="160"/>
      <c r="S259" s="157"/>
      <c r="T259" s="160"/>
      <c r="U259" s="157"/>
      <c r="V259" s="160"/>
      <c r="W259" s="157"/>
      <c r="X259" s="160"/>
      <c r="Y259" s="157"/>
      <c r="Z259" s="160"/>
      <c r="AA259" s="157"/>
      <c r="AB259" s="160"/>
      <c r="AC259" s="157"/>
      <c r="AD259" s="160"/>
      <c r="AE259" s="157"/>
      <c r="AF259" s="160"/>
      <c r="AG259" s="157"/>
      <c r="AH259" s="160"/>
      <c r="AI259" s="157"/>
      <c r="AJ259" s="160"/>
      <c r="AK259" s="157"/>
      <c r="AL259" s="160"/>
      <c r="AM259" s="157"/>
      <c r="AN259" s="160"/>
      <c r="AO259" s="157"/>
      <c r="AP259" s="160"/>
      <c r="AQ259" s="157"/>
      <c r="AR259" s="160"/>
      <c r="AS259" s="148"/>
      <c r="AV259" s="142" cm="1">
        <f t="array" aca="1" ref="AV259" ca="1">IF(AND(_xlfn.LET(_xlpm.x,SUM(ROW()),OR(AND(MATCH("SOT",$A:$A,0)&lt;_xlpm.x,MATCH("EOT",$A:$A,0)&gt;_xlpm.x),AND(MATCH("SOS",$A:$A,0)&lt;_xlpm.x,MATCH("EOS",$A:$A,0)&gt;_xlpm.x),AND(MATCH("SOR",$A:$A,0)&lt;_xlpm.x,MATCH("EOR",$A:$A,0)&gt;_xlpm.x))),INDIRECT("rc"&amp;MATCH("SCD",$1:$1,0),FALSE)="PPTO"),1,0)</f>
        <v>0</v>
      </c>
      <c r="AW259" s="142" cm="1">
        <f t="array" aca="1" ref="AW25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60" spans="1:49" s="153" customFormat="1" outlineLevel="2">
      <c r="A260" s="152"/>
      <c r="B260" s="156" t="str">
        <f t="shared" ref="B260:B306" si="22">IF($E260&lt;&gt;"X",TEXT($B$258,"@"),"X")</f>
        <v>31200</v>
      </c>
      <c r="C260" s="148"/>
      <c r="D260" s="401" t="str" cm="1">
        <f t="array" ref="D260">_xlfn.TAKE(INDEX(_xlfn.UNIQUE(_xlfn._xlws.SORT(TbStd[Row5])),1+(SUM(ROW()-MATCH("SOP",$A:$A,0)-1)/2),0),1)</f>
        <v>DISC</v>
      </c>
      <c r="E260" s="350" t="str" cm="1">
        <f t="array" ref="E260">UPPER(_xlfn.UNIQUE(_xlfn._xlws.FILTER(TbRowMacro[RowMacroName],TbRowMacro[RowMcroId]=$D260,"X")))</f>
        <v>DISEÑO CELL/HARDWARE</v>
      </c>
      <c r="F260" s="402" t="s">
        <v>2074</v>
      </c>
      <c r="G260" s="377" cm="1">
        <f t="array" aca="1" ref="G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H260" s="377" cm="1">
        <f t="array" aca="1" ref="H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I260" s="377" cm="1">
        <f t="array" aca="1" ref="I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J260" s="377" cm="1">
        <f t="array" aca="1" ref="J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K260" s="377" cm="1">
        <f t="array" aca="1" ref="K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-4672.6382004937404</v>
      </c>
      <c r="L260" s="377" cm="1">
        <f t="array" aca="1" ref="L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7892.9137802875002</v>
      </c>
      <c r="M260" s="377" cm="1">
        <f t="array" aca="1" ref="M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-36262.744001792082</v>
      </c>
      <c r="N260" s="377" cm="1">
        <f t="array" aca="1" ref="N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64767.944087670418</v>
      </c>
      <c r="O260" s="377" cm="1">
        <f t="array" aca="1" ref="O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-582.08654989999923</v>
      </c>
      <c r="P260" s="377" cm="1">
        <f t="array" aca="1" ref="P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1.7605929000019387</v>
      </c>
      <c r="Q260" s="377" cm="1">
        <f t="array" aca="1" ref="Q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10435.265996187498</v>
      </c>
      <c r="R260" s="377" cm="1">
        <f t="array" aca="1" ref="R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S260" s="377" cm="1">
        <f t="array" aca="1" ref="S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T260" s="377" cm="1">
        <f t="array" aca="1" ref="T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U260" s="377" cm="1">
        <f t="array" aca="1" ref="U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V260" s="377" cm="1">
        <f t="array" aca="1" ref="V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W260" s="377" cm="1">
        <f t="array" aca="1" ref="W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X260" s="377" cm="1">
        <f t="array" aca="1" ref="X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Y260" s="377" cm="1">
        <f t="array" aca="1" ref="Y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Z260" s="377" cm="1">
        <f t="array" aca="1" ref="Z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AA260" s="377" cm="1">
        <f t="array" aca="1" ref="AA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AB260" s="377" cm="1">
        <f t="array" aca="1" ref="AB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AC260" s="377" cm="1">
        <f t="array" aca="1" ref="AC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AD260" s="377" cm="1">
        <f t="array" aca="1" ref="AD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AE260" s="377" cm="1">
        <f t="array" aca="1" ref="AE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AF260" s="377" cm="1">
        <f t="array" aca="1" ref="AF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AG260" s="377" cm="1">
        <f t="array" aca="1" ref="AG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AH260" s="377" cm="1">
        <f t="array" aca="1" ref="AH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AI260" s="377" cm="1">
        <f t="array" aca="1" ref="AI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AJ260" s="377" cm="1">
        <f t="array" aca="1" ref="AJ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AK260" s="377" cm="1">
        <f t="array" aca="1" ref="AK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AL260" s="377" cm="1">
        <f t="array" aca="1" ref="AL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AM260" s="377" cm="1">
        <f t="array" aca="1" ref="AM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AN260" s="377" cm="1">
        <f t="array" aca="1" ref="AN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AO260" s="377" cm="1">
        <f t="array" aca="1" ref="AO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AP260" s="377" cm="1">
        <f t="array" aca="1" ref="AP26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260)*(ISNUMBER(FIND(_xlpm.v,_xlfn.TEXTJOIN(":",TRUE,_xlfn.UNIQUE(_xlfn._xlws.FILTER(TbStd[RowGrp],TbStd[Row5]=$D260,"X"))))))),0)),0)</f>
        <v>0</v>
      </c>
      <c r="AQ260" s="377" cm="1">
        <f t="array" aca="1" ref="AQ260" ca="1">SUM(IF(INDIRECT($AS$115)=AQ$115,INDIRECT($AS260)))</f>
        <v>-31082.202755998325</v>
      </c>
      <c r="AR260" s="377" cm="1">
        <f t="array" aca="1" ref="AR260" ca="1">SUM(IF(INDIRECT($AS$115)=AR$115,INDIRECT($AS260)))</f>
        <v>72662.618460857921</v>
      </c>
      <c r="AS260" s="286" t="str">
        <f t="shared" ref="AS260:AS306" si="23">IF($B260="","X",ADDRESS(SUM(ROW()),MATCH("SCD",$1:$1,0)+1,4)&amp;":"&amp;ADDRESS(SUM(ROW()),MATCH("ECD",$1:$1,0)-1,4))</f>
        <v>G260:AP260</v>
      </c>
      <c r="AT260" s="403">
        <f t="shared" ref="AT260:AT306" ca="1" si="24">SUM(INDIRECT("rc"&amp;MATCH("ECD",$1:$1,0)&amp;":rc"&amp;(MATCH("EOC",$1:$1,0)-1),FALSE))</f>
        <v>41580.415704859595</v>
      </c>
      <c r="AV260" s="142" cm="1">
        <f t="array" aca="1" ref="AV260" ca="1">IF(AND(_xlfn.LET(_xlpm.x,SUM(ROW()),OR(AND(MATCH("SOT",$A:$A,0)&lt;_xlpm.x,MATCH("EOT",$A:$A,0)&gt;_xlpm.x),AND(MATCH("SOS",$A:$A,0)&lt;_xlpm.x,MATCH("EOS",$A:$A,0)&gt;_xlpm.x),AND(MATCH("SOR",$A:$A,0)&lt;_xlpm.x,MATCH("EOR",$A:$A,0)&gt;_xlpm.x))),INDIRECT("rc"&amp;MATCH("SCD",$1:$1,0),FALSE)="PPTO"),1,0)</f>
        <v>0</v>
      </c>
      <c r="AW260" s="142" cm="1">
        <f t="array" aca="1" ref="AW26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61" spans="1:49" s="153" customFormat="1" outlineLevel="2">
      <c r="A261" s="152"/>
      <c r="B261" s="156" t="str">
        <f t="shared" si="22"/>
        <v>31200</v>
      </c>
      <c r="C261" s="148"/>
      <c r="D261" s="401" t="str" cm="1">
        <f t="array" ref="D261">_xlfn.TAKE(INDEX(_xlfn.UNIQUE(_xlfn._xlws.SORT(TbStd[Row5])),1+(SUM(ROW()-MATCH("SOP",$A:$A,0)-1)/2),0),1)</f>
        <v>DISC</v>
      </c>
      <c r="E261" s="350" t="str" cm="1">
        <f t="array" ref="E261">UPPER(_xlfn.UNIQUE(_xlfn._xlws.FILTER(TbRowMacro[RowMacroName],TbRowMacro[RowMcroId]=$D261,"X")))</f>
        <v>DISEÑO CELL/HARDWARE</v>
      </c>
      <c r="F261" s="402" t="s">
        <v>2055</v>
      </c>
      <c r="G261" s="377" cm="1">
        <f t="array" aca="1" ref="G261" ca="1">IFERROR(SUM(_xlfn._xlws.FILTER(SchPdt3[Value],(SchPdt3[PrjId]=$B261)*(SchPdt3[Row]=$D261)*(SchPdt3[Column]=_xlfn.LET(_xlpm.x,SUBSTITUTE(UPPER(INDIRECT("r"&amp;MATCH("TIP",$A:$A,0)&amp;"c"&amp;IF(INDIRECT("r"&amp;MATCH("TAP",$A:$A,0)&amp;"c",FALSE)="SERRA","","[-1]"),FALSE)),".",""),IFERROR(_xlfn.TEXTBEFORE(_xlpm.x," ("),_xlpm.x))),0)),0)</f>
        <v>0</v>
      </c>
      <c r="H261" s="378" cm="1">
        <f t="array" aca="1" ref="H261" ca="1">_xlfn.LET(_xlpm.x,INDIRECT("rc[-1]",FALSE),_xlpm.y,SUM(INDIRECT("r[-1]c[-1]:r[-1]c",FALSE)),IF(_xlpm.y=0,IF(_xlpm.x=0,0,1),_xlpm.x/_xlpm.y))</f>
        <v>0</v>
      </c>
      <c r="I261" s="377" cm="1">
        <f t="array" aca="1" ref="I261" ca="1">IFERROR(SUM(_xlfn._xlws.FILTER(SchPdt3[Value],(SchPdt3[PrjId]=$B261)*(SchPdt3[Row]=$D261)*(SchPdt3[Column]=_xlfn.LET(_xlpm.x,SUBSTITUTE(UPPER(INDIRECT("r"&amp;MATCH("TIP",$A:$A,0)&amp;"c"&amp;IF(INDIRECT("r"&amp;MATCH("TAP",$A:$A,0)&amp;"c",FALSE)="SERRA","","[-1]"),FALSE)),".",""),IFERROR(_xlfn.TEXTBEFORE(_xlpm.x," ("),_xlpm.x))),0)),0)</f>
        <v>0</v>
      </c>
      <c r="J261" s="378" cm="1">
        <f t="array" aca="1" ref="J261" ca="1">_xlfn.LET(_xlpm.x,INDIRECT("rc[-1]",FALSE),_xlpm.y,SUM(INDIRECT("r[-1]c[-1]:r[-1]c",FALSE)),IF(_xlpm.y=0,IF(_xlpm.x=0,0,1),_xlpm.x/_xlpm.y))</f>
        <v>0</v>
      </c>
      <c r="K261" s="377" cm="1">
        <f t="array" aca="1" ref="K261" ca="1">IFERROR(SUM(_xlfn._xlws.FILTER(SchPdt3[Value],(SchPdt3[PrjId]=$B261)*(SchPdt3[Row]=$D261)*(SchPdt3[Column]=_xlfn.LET(_xlpm.x,SUBSTITUTE(UPPER(INDIRECT("r"&amp;MATCH("TIP",$A:$A,0)&amp;"c"&amp;IF(INDIRECT("r"&amp;MATCH("TAP",$A:$A,0)&amp;"c",FALSE)="SERRA","","[-1]"),FALSE)),".",""),IFERROR(_xlfn.TEXTBEFORE(_xlpm.x," ("),_xlpm.x))),0)),0)</f>
        <v>11383.7968</v>
      </c>
      <c r="L261" s="378" cm="1">
        <f t="array" aca="1" ref="L261" ca="1">_xlfn.LET(_xlpm.x,INDIRECT("rc[-1]",FALSE),_xlpm.y,SUM(INDIRECT("r[-1]c[-1]:r[-1]c",FALSE)),IF(_xlpm.y=0,IF(_xlpm.x=0,0,1),_xlpm.x/_xlpm.y))</f>
        <v>3.5350380791724252</v>
      </c>
      <c r="M261" s="377" cm="1">
        <f t="array" aca="1" ref="M261" ca="1">IFERROR(SUM(_xlfn._xlws.FILTER(SchPdt3[Value],(SchPdt3[PrjId]=$B261)*(SchPdt3[Row]=$D261)*(SchPdt3[Column]=_xlfn.LET(_xlpm.x,SUBSTITUTE(UPPER(INDIRECT("r"&amp;MATCH("TIP",$A:$A,0)&amp;"c"&amp;IF(INDIRECT("r"&amp;MATCH("TAP",$A:$A,0)&amp;"c",FALSE)="SERRA","","[-1]"),FALSE)),".",""),IFERROR(_xlfn.TEXTBEFORE(_xlpm.x," ("),_xlpm.x))),0)),0)</f>
        <v>0</v>
      </c>
      <c r="N261" s="378" cm="1">
        <f t="array" aca="1" ref="N261" ca="1">_xlfn.LET(_xlpm.x,INDIRECT("rc[-1]",FALSE),_xlpm.y,SUM(INDIRECT("r[-1]c[-1]:r[-1]c",FALSE)),IF(_xlpm.y=0,IF(_xlpm.x=0,0,1),_xlpm.x/_xlpm.y))</f>
        <v>0</v>
      </c>
      <c r="O261" s="377" cm="1">
        <f t="array" aca="1" ref="O261" ca="1">IFERROR(SUM(_xlfn._xlws.FILTER(SchPdt3[Value],(SchPdt3[PrjId]=$B261)*(SchPdt3[Row]=$D261)*(SchPdt3[Column]=_xlfn.LET(_xlpm.x,SUBSTITUTE(UPPER(INDIRECT("r"&amp;MATCH("TIP",$A:$A,0)&amp;"c"&amp;IF(INDIRECT("r"&amp;MATCH("TAP",$A:$A,0)&amp;"c",FALSE)="SERRA","","[-1]"),FALSE)),".",""),IFERROR(_xlfn.TEXTBEFORE(_xlpm.x," ("),_xlpm.x))),0)),0)</f>
        <v>1886.9847999999993</v>
      </c>
      <c r="P261" s="378" cm="1">
        <f t="array" aca="1" ref="P261" ca="1">_xlfn.LET(_xlpm.x,INDIRECT("rc[-1]",FALSE),_xlpm.y,SUM(INDIRECT("r[-1]c[-1]:r[-1]c",FALSE)),IF(_xlpm.y=0,IF(_xlpm.x=0,0,1),_xlpm.x/_xlpm.y))</f>
        <v>-3.251594689568587</v>
      </c>
      <c r="Q261" s="377" cm="1">
        <f t="array" aca="1" ref="Q261" ca="1">IFERROR(SUM(_xlfn._xlws.FILTER(SchPdt3[Value],(SchPdt3[PrjId]=$B261)*(SchPdt3[Row]=$D261)*(SchPdt3[Column]=_xlfn.LET(_xlpm.x,SUBSTITUTE(UPPER(INDIRECT("r"&amp;MATCH("TIP",$A:$A,0)&amp;"c"&amp;IF(INDIRECT("r"&amp;MATCH("TAP",$A:$A,0)&amp;"c",FALSE)="SERRA","","[-1]"),FALSE)),".",""),IFERROR(_xlfn.TEXTBEFORE(_xlpm.x," ("),_xlpm.x))),0)),0)</f>
        <v>0</v>
      </c>
      <c r="R261" s="378" cm="1">
        <f t="array" aca="1" ref="R261" ca="1">_xlfn.LET(_xlpm.x,INDIRECT("rc[-1]",FALSE),_xlpm.y,SUM(INDIRECT("r[-1]c[-1]:r[-1]c",FALSE)),IF(_xlpm.y=0,IF(_xlpm.x=0,0,1),_xlpm.x/_xlpm.y))</f>
        <v>0</v>
      </c>
      <c r="S261" s="377" cm="1">
        <f t="array" aca="1" ref="S261" ca="1">IFERROR(SUM(_xlfn._xlws.FILTER(SchPdt3[Value],(SchPdt3[PrjId]=$B261)*(SchPdt3[Row]=$D261)*(SchPdt3[Column]=_xlfn.LET(_xlpm.x,SUBSTITUTE(UPPER(INDIRECT("r"&amp;MATCH("TIP",$A:$A,0)&amp;"c"&amp;IF(INDIRECT("r"&amp;MATCH("TAP",$A:$A,0)&amp;"c",FALSE)="SERRA","","[-1]"),FALSE)),".",""),IFERROR(_xlfn.TEXTBEFORE(_xlpm.x," ("),_xlpm.x))),0)),0)</f>
        <v>3328.1010000000001</v>
      </c>
      <c r="T261" s="378" cm="1">
        <f t="array" aca="1" ref="T261" ca="1">_xlfn.LET(_xlpm.x,INDIRECT("rc[-1]",FALSE),_xlpm.y,SUM(INDIRECT("r[-1]c[-1]:r[-1]c",FALSE)),IF(_xlpm.y=0,IF(_xlpm.x=0,0,1),_xlpm.x/_xlpm.y))</f>
        <v>1</v>
      </c>
      <c r="U261" s="377" cm="1">
        <f t="array" aca="1" ref="U261" ca="1">IFERROR(SUM(_xlfn._xlws.FILTER(SchPdt3[Value],(SchPdt3[PrjId]=$B261)*(SchPdt3[Row]=$D261)*(SchPdt3[Column]=_xlfn.LET(_xlpm.x,SUBSTITUTE(UPPER(INDIRECT("r"&amp;MATCH("TIP",$A:$A,0)&amp;"c"&amp;IF(INDIRECT("r"&amp;MATCH("TAP",$A:$A,0)&amp;"c",FALSE)="SERRA","","[-1]"),FALSE)),".",""),IFERROR(_xlfn.TEXTBEFORE(_xlpm.x," ("),_xlpm.x))),0)),0)</f>
        <v>0</v>
      </c>
      <c r="V261" s="378" cm="1">
        <f t="array" aca="1" ref="V261" ca="1">_xlfn.LET(_xlpm.x,INDIRECT("rc[-1]",FALSE),_xlpm.y,SUM(INDIRECT("r[-1]c[-1]:r[-1]c",FALSE)),IF(_xlpm.y=0,IF(_xlpm.x=0,0,1),_xlpm.x/_xlpm.y))</f>
        <v>0</v>
      </c>
      <c r="W261" s="377" cm="1">
        <f t="array" aca="1" ref="W261" ca="1">IFERROR(SUM(_xlfn._xlws.FILTER(SchPdt3[Value],(SchPdt3[PrjId]=$B261)*(SchPdt3[Row]=$D261)*(SchPdt3[Column]=_xlfn.LET(_xlpm.x,SUBSTITUTE(UPPER(INDIRECT("r"&amp;MATCH("TIP",$A:$A,0)&amp;"c"&amp;IF(INDIRECT("r"&amp;MATCH("TAP",$A:$A,0)&amp;"c",FALSE)="SERRA","","[-1]"),FALSE)),".",""),IFERROR(_xlfn.TEXTBEFORE(_xlpm.x," ("),_xlpm.x))),0)),0)</f>
        <v>0</v>
      </c>
      <c r="X261" s="378" cm="1">
        <f t="array" aca="1" ref="X261" ca="1">_xlfn.LET(_xlpm.x,INDIRECT("rc[-1]",FALSE),_xlpm.y,SUM(INDIRECT("r[-1]c[-1]:r[-1]c",FALSE)),IF(_xlpm.y=0,IF(_xlpm.x=0,0,1),_xlpm.x/_xlpm.y))</f>
        <v>0</v>
      </c>
      <c r="Y261" s="377" cm="1">
        <f t="array" aca="1" ref="Y261" ca="1">IFERROR(SUM(_xlfn._xlws.FILTER(SchPdt3[Value],(SchPdt3[PrjId]=$B261)*(SchPdt3[Row]=$D261)*(SchPdt3[Column]=_xlfn.LET(_xlpm.x,SUBSTITUTE(UPPER(INDIRECT("r"&amp;MATCH("TIP",$A:$A,0)&amp;"c"&amp;IF(INDIRECT("r"&amp;MATCH("TAP",$A:$A,0)&amp;"c",FALSE)="SERRA","","[-1]"),FALSE)),".",""),IFERROR(_xlfn.TEXTBEFORE(_xlpm.x," ("),_xlpm.x))),0)),0)</f>
        <v>0</v>
      </c>
      <c r="Z261" s="378" cm="1">
        <f t="array" aca="1" ref="Z261" ca="1">_xlfn.LET(_xlpm.x,INDIRECT("rc[-1]",FALSE),_xlpm.y,SUM(INDIRECT("r[-1]c[-1]:r[-1]c",FALSE)),IF(_xlpm.y=0,IF(_xlpm.x=0,0,1),_xlpm.x/_xlpm.y))</f>
        <v>0</v>
      </c>
      <c r="AA261" s="377" cm="1">
        <f t="array" aca="1" ref="AA261" ca="1">IFERROR(SUM(_xlfn._xlws.FILTER(SchPdt3[Value],(SchPdt3[PrjId]=$B261)*(SchPdt3[Row]=$D261)*(SchPdt3[Column]=_xlfn.LET(_xlpm.x,SUBSTITUTE(UPPER(INDIRECT("r"&amp;MATCH("TIP",$A:$A,0)&amp;"c"&amp;IF(INDIRECT("r"&amp;MATCH("TAP",$A:$A,0)&amp;"c",FALSE)="SERRA","","[-1]"),FALSE)),".",""),IFERROR(_xlfn.TEXTBEFORE(_xlpm.x," ("),_xlpm.x))),0)),0)</f>
        <v>0</v>
      </c>
      <c r="AB261" s="378" cm="1">
        <f t="array" aca="1" ref="AB261" ca="1">_xlfn.LET(_xlpm.x,INDIRECT("rc[-1]",FALSE),_xlpm.y,SUM(INDIRECT("r[-1]c[-1]:r[-1]c",FALSE)),IF(_xlpm.y=0,IF(_xlpm.x=0,0,1),_xlpm.x/_xlpm.y))</f>
        <v>0</v>
      </c>
      <c r="AC261" s="377" cm="1">
        <f t="array" aca="1" ref="AC261" ca="1">IFERROR(SUM(_xlfn._xlws.FILTER(SchPdt3[Value],(SchPdt3[PrjId]=$B261)*(SchPdt3[Row]=$D261)*(SchPdt3[Column]=_xlfn.LET(_xlpm.x,SUBSTITUTE(UPPER(INDIRECT("r"&amp;MATCH("TIP",$A:$A,0)&amp;"c"&amp;IF(INDIRECT("r"&amp;MATCH("TAP",$A:$A,0)&amp;"c",FALSE)="SERRA","","[-1]"),FALSE)),".",""),IFERROR(_xlfn.TEXTBEFORE(_xlpm.x," ("),_xlpm.x))),0)),0)</f>
        <v>0</v>
      </c>
      <c r="AD261" s="378" cm="1">
        <f t="array" aca="1" ref="AD261" ca="1">_xlfn.LET(_xlpm.x,INDIRECT("rc[-1]",FALSE),_xlpm.y,SUM(INDIRECT("r[-1]c[-1]:r[-1]c",FALSE)),IF(_xlpm.y=0,IF(_xlpm.x=0,0,1),_xlpm.x/_xlpm.y))</f>
        <v>0</v>
      </c>
      <c r="AE261" s="377" cm="1">
        <f t="array" aca="1" ref="AE261" ca="1">IFERROR(SUM(_xlfn._xlws.FILTER(SchPdt3[Value],(SchPdt3[PrjId]=$B261)*(SchPdt3[Row]=$D261)*(SchPdt3[Column]=_xlfn.LET(_xlpm.x,SUBSTITUTE(UPPER(INDIRECT("r"&amp;MATCH("TIP",$A:$A,0)&amp;"c"&amp;IF(INDIRECT("r"&amp;MATCH("TAP",$A:$A,0)&amp;"c",FALSE)="SERRA","","[-1]"),FALSE)),".",""),IFERROR(_xlfn.TEXTBEFORE(_xlpm.x," ("),_xlpm.x))),0)),0)</f>
        <v>0</v>
      </c>
      <c r="AF261" s="378" cm="1">
        <f t="array" aca="1" ref="AF261" ca="1">_xlfn.LET(_xlpm.x,INDIRECT("rc[-1]",FALSE),_xlpm.y,SUM(INDIRECT("r[-1]c[-1]:r[-1]c",FALSE)),IF(_xlpm.y=0,IF(_xlpm.x=0,0,1),_xlpm.x/_xlpm.y))</f>
        <v>0</v>
      </c>
      <c r="AG261" s="377" cm="1">
        <f t="array" aca="1" ref="AG261" ca="1">IFERROR(SUM(_xlfn._xlws.FILTER(SchPdt3[Value],(SchPdt3[PrjId]=$B261)*(SchPdt3[Row]=$D261)*(SchPdt3[Column]=_xlfn.LET(_xlpm.x,SUBSTITUTE(UPPER(INDIRECT("r"&amp;MATCH("TIP",$A:$A,0)&amp;"c"&amp;IF(INDIRECT("r"&amp;MATCH("TAP",$A:$A,0)&amp;"c",FALSE)="SERRA","","[-1]"),FALSE)),".",""),IFERROR(_xlfn.TEXTBEFORE(_xlpm.x," ("),_xlpm.x))),0)),0)</f>
        <v>0</v>
      </c>
      <c r="AH261" s="378" cm="1">
        <f t="array" aca="1" ref="AH261" ca="1">_xlfn.LET(_xlpm.x,INDIRECT("rc[-1]",FALSE),_xlpm.y,SUM(INDIRECT("r[-1]c[-1]:r[-1]c",FALSE)),IF(_xlpm.y=0,IF(_xlpm.x=0,0,1),_xlpm.x/_xlpm.y))</f>
        <v>0</v>
      </c>
      <c r="AI261" s="377" cm="1">
        <f t="array" aca="1" ref="AI261" ca="1">IFERROR(SUM(_xlfn._xlws.FILTER(SchPdt3[Value],(SchPdt3[PrjId]=$B261)*(SchPdt3[Row]=$D261)*(SchPdt3[Column]=_xlfn.LET(_xlpm.x,SUBSTITUTE(UPPER(INDIRECT("r"&amp;MATCH("TIP",$A:$A,0)&amp;"c"&amp;IF(INDIRECT("r"&amp;MATCH("TAP",$A:$A,0)&amp;"c",FALSE)="SERRA","","[-1]"),FALSE)),".",""),IFERROR(_xlfn.TEXTBEFORE(_xlpm.x," ("),_xlpm.x))),0)),0)</f>
        <v>0</v>
      </c>
      <c r="AJ261" s="378" cm="1">
        <f t="array" aca="1" ref="AJ261" ca="1">_xlfn.LET(_xlpm.x,INDIRECT("rc[-1]",FALSE),_xlpm.y,SUM(INDIRECT("r[-1]c[-1]:r[-1]c",FALSE)),IF(_xlpm.y=0,IF(_xlpm.x=0,0,1),_xlpm.x/_xlpm.y))</f>
        <v>0</v>
      </c>
      <c r="AK261" s="377" cm="1">
        <f t="array" aca="1" ref="AK261" ca="1">IFERROR(SUM(_xlfn._xlws.FILTER(SchPdt3[Value],(SchPdt3[PrjId]=$B261)*(SchPdt3[Row]=$D261)*(SchPdt3[Column]=_xlfn.LET(_xlpm.x,SUBSTITUTE(UPPER(INDIRECT("r"&amp;MATCH("TIP",$A:$A,0)&amp;"c"&amp;IF(INDIRECT("r"&amp;MATCH("TAP",$A:$A,0)&amp;"c",FALSE)="SERRA","","[-1]"),FALSE)),".",""),IFERROR(_xlfn.TEXTBEFORE(_xlpm.x," ("),_xlpm.x))),0)),0)</f>
        <v>0</v>
      </c>
      <c r="AL261" s="378" cm="1">
        <f t="array" aca="1" ref="AL261" ca="1">_xlfn.LET(_xlpm.x,INDIRECT("rc[-1]",FALSE),_xlpm.y,SUM(INDIRECT("r[-1]c[-1]:r[-1]c",FALSE)),IF(_xlpm.y=0,IF(_xlpm.x=0,0,1),_xlpm.x/_xlpm.y))</f>
        <v>0</v>
      </c>
      <c r="AM261" s="377" cm="1">
        <f t="array" aca="1" ref="AM261" ca="1">IFERROR(SUM(_xlfn._xlws.FILTER(SchPdt3[Value],(SchPdt3[PrjId]=$B261)*(SchPdt3[Row]=$D261)*(SchPdt3[Column]=_xlfn.LET(_xlpm.x,SUBSTITUTE(UPPER(INDIRECT("r"&amp;MATCH("TIP",$A:$A,0)&amp;"c"&amp;IF(INDIRECT("r"&amp;MATCH("TAP",$A:$A,0)&amp;"c",FALSE)="SERRA","","[-1]"),FALSE)),".",""),IFERROR(_xlfn.TEXTBEFORE(_xlpm.x," ("),_xlpm.x))),0)),0)</f>
        <v>0</v>
      </c>
      <c r="AN261" s="378" cm="1">
        <f t="array" aca="1" ref="AN261" ca="1">_xlfn.LET(_xlpm.x,INDIRECT("rc[-1]",FALSE),_xlpm.y,SUM(INDIRECT("r[-1]c[-1]:r[-1]c",FALSE)),IF(_xlpm.y=0,IF(_xlpm.x=0,0,1),_xlpm.x/_xlpm.y))</f>
        <v>0</v>
      </c>
      <c r="AO261" s="377" cm="1">
        <f t="array" aca="1" ref="AO261" ca="1">IFERROR(SUM(_xlfn._xlws.FILTER(SchPdt3[Value],(SchPdt3[PrjId]=$B261)*(SchPdt3[Row]=$D261)*(SchPdt3[Column]=_xlfn.LET(_xlpm.x,SUBSTITUTE(UPPER(INDIRECT("r"&amp;MATCH("TIP",$A:$A,0)&amp;"c"&amp;IF(INDIRECT("r"&amp;MATCH("TAP",$A:$A,0)&amp;"c",FALSE)="SERRA","","[-1]"),FALSE)),".",""),IFERROR(_xlfn.TEXTBEFORE(_xlpm.x," ("),_xlpm.x))),0)),0)</f>
        <v>0</v>
      </c>
      <c r="AP261" s="378" cm="1">
        <f t="array" aca="1" ref="AP261" ca="1">_xlfn.LET(_xlpm.x,INDIRECT("rc[-1]",FALSE),_xlpm.y,SUM(INDIRECT("r[-1]c[-1]:r[-1]c",FALSE)),IF(_xlpm.y=0,IF(_xlpm.x=0,0,1),_xlpm.x/_xlpm.y))</f>
        <v>0</v>
      </c>
      <c r="AQ261" s="377" cm="1">
        <f t="array" aca="1" ref="AQ261" ca="1">SUM(IF(INDIRECT($AS$115)=AQ$115,INDIRECT($AS261)))</f>
        <v>16598.882599999997</v>
      </c>
      <c r="AR261" s="378" cm="1">
        <f t="array" aca="1" ref="AR261" ca="1">_xlfn.LET(_xlpm.x,INDIRECT("rc[-1]",FALSE),_xlpm.y,SUM(INDIRECT("r[-1]c[-1]:r[-1]c",FALSE)),IF(_xlpm.y=0,IF(_xlpm.x=0,0,1),_xlpm.x/_xlpm.y))</f>
        <v>0.39919953465159919</v>
      </c>
      <c r="AS261" s="286" t="str">
        <f t="shared" si="23"/>
        <v>G261:AP261</v>
      </c>
      <c r="AT261" s="403">
        <f ca="1">SUM(INDIRECT("rc"&amp;MATCH("ECD",$1:$1,0)&amp;":rc"&amp;(MATCH("EOC",$1:$1,0)-2),FALSE))</f>
        <v>16598.882599999997</v>
      </c>
      <c r="AV261" s="142" cm="1">
        <f t="array" aca="1" ref="AV261" ca="1">IF(AND(_xlfn.LET(_xlpm.x,SUM(ROW()),OR(AND(MATCH("SOT",$A:$A,0)&lt;_xlpm.x,MATCH("EOT",$A:$A,0)&gt;_xlpm.x),AND(MATCH("SOS",$A:$A,0)&lt;_xlpm.x,MATCH("EOS",$A:$A,0)&gt;_xlpm.x),AND(MATCH("SOR",$A:$A,0)&lt;_xlpm.x,MATCH("EOR",$A:$A,0)&gt;_xlpm.x))),INDIRECT("rc"&amp;MATCH("SCD",$1:$1,0),FALSE)="PPTO"),1,0)</f>
        <v>0</v>
      </c>
      <c r="AW261" s="142" cm="1">
        <f t="array" aca="1" ref="AW26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62" spans="1:49" s="153" customFormat="1" outlineLevel="2">
      <c r="A262" s="152"/>
      <c r="B262" s="401" t="str">
        <f t="shared" si="22"/>
        <v>31200</v>
      </c>
      <c r="C262" s="148"/>
      <c r="D262" s="401" t="str" cm="1">
        <f t="array" ref="D262">_xlfn.TAKE(INDEX(_xlfn.UNIQUE(_xlfn._xlws.SORT(TbStd[Row5])),1+(SUM(ROW()-MATCH("SOP",$A:$A,0)-1)/2),0),1)</f>
        <v>DIST</v>
      </c>
      <c r="E262" s="350" t="str" cm="1">
        <f t="array" ref="E262">UPPER(_xlfn.UNIQUE(_xlfn._xlws.FILTER(TbRowMacro[RowMacroName],TbRowMacro[RowMcroId]=$D262,"X")))</f>
        <v>DISEÑO TOOL/SOFTWARE</v>
      </c>
      <c r="F262" s="402" t="s">
        <v>2074</v>
      </c>
      <c r="G262" s="377" cm="1">
        <f t="array" aca="1" ref="G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H262" s="377" cm="1">
        <f t="array" aca="1" ref="H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I262" s="377" cm="1">
        <f t="array" aca="1" ref="I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J262" s="377" cm="1">
        <f t="array" aca="1" ref="J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K262" s="377" cm="1">
        <f t="array" aca="1" ref="K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-1074.7216651749623</v>
      </c>
      <c r="L262" s="377" cm="1">
        <f t="array" aca="1" ref="L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36767.119797949999</v>
      </c>
      <c r="M262" s="377" cm="1">
        <f t="array" aca="1" ref="M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N262" s="377" cm="1">
        <f t="array" aca="1" ref="N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O262" s="377" cm="1">
        <f t="array" aca="1" ref="O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-27658.130602690017</v>
      </c>
      <c r="P262" s="377" cm="1">
        <f t="array" aca="1" ref="P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36769.80199598999</v>
      </c>
      <c r="Q262" s="377" cm="1">
        <f t="array" aca="1" ref="Q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R262" s="377" cm="1">
        <f t="array" aca="1" ref="R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S262" s="377" cm="1">
        <f t="array" aca="1" ref="S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-33972.088596712223</v>
      </c>
      <c r="T262" s="377" cm="1">
        <f t="array" aca="1" ref="T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42185.798574126115</v>
      </c>
      <c r="U262" s="377" cm="1">
        <f t="array" aca="1" ref="U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V262" s="377" cm="1">
        <f t="array" aca="1" ref="V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W262" s="377" cm="1">
        <f t="array" aca="1" ref="W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X262" s="377" cm="1">
        <f t="array" aca="1" ref="X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Y262" s="377" cm="1">
        <f t="array" aca="1" ref="Y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Z262" s="377" cm="1">
        <f t="array" aca="1" ref="Z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AA262" s="377" cm="1">
        <f t="array" aca="1" ref="AA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AB262" s="377" cm="1">
        <f t="array" aca="1" ref="AB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AC262" s="377" cm="1">
        <f t="array" aca="1" ref="AC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982.56999999999971</v>
      </c>
      <c r="AD262" s="377" cm="1">
        <f t="array" aca="1" ref="AD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AE262" s="377" cm="1">
        <f t="array" aca="1" ref="AE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AF262" s="377" cm="1">
        <f t="array" aca="1" ref="AF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AG262" s="377" cm="1">
        <f t="array" aca="1" ref="AG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AH262" s="377" cm="1">
        <f t="array" aca="1" ref="AH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AI262" s="377" cm="1">
        <f t="array" aca="1" ref="AI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AJ262" s="377" cm="1">
        <f t="array" aca="1" ref="AJ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AK262" s="377" cm="1">
        <f t="array" aca="1" ref="AK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AL262" s="377" cm="1">
        <f t="array" aca="1" ref="AL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AM262" s="377" cm="1">
        <f t="array" aca="1" ref="AM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AN262" s="377" cm="1">
        <f t="array" aca="1" ref="AN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AO262" s="377" cm="1">
        <f t="array" aca="1" ref="AO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AP262" s="377" cm="1">
        <f t="array" aca="1" ref="AP26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262)*(ISNUMBER(FIND(_xlpm.v,_xlfn.TEXTJOIN(":",TRUE,_xlfn.UNIQUE(_xlfn._xlws.FILTER(TbStd[RowGrp],TbStd[Row5]=$D262,"X"))))))),0)),0)</f>
        <v>0</v>
      </c>
      <c r="AQ262" s="377" cm="1">
        <f t="array" aca="1" ref="AQ262" ca="1">SUM(IF(INDIRECT($AS$115)=AQ$115,INDIRECT($AS262)))</f>
        <v>-61722.370864577206</v>
      </c>
      <c r="AR262" s="377" cm="1">
        <f t="array" aca="1" ref="AR262" ca="1">SUM(IF(INDIRECT($AS$115)=AR$115,INDIRECT($AS262)))</f>
        <v>115722.7203680661</v>
      </c>
      <c r="AS262" s="286" t="str">
        <f t="shared" si="23"/>
        <v>G262:AP262</v>
      </c>
      <c r="AT262" s="403">
        <f t="shared" ca="1" si="24"/>
        <v>54000.349503488898</v>
      </c>
      <c r="AV262" s="142" cm="1">
        <f t="array" aca="1" ref="AV262" ca="1">IF(AND(_xlfn.LET(_xlpm.x,SUM(ROW()),OR(AND(MATCH("SOT",$A:$A,0)&lt;_xlpm.x,MATCH("EOT",$A:$A,0)&gt;_xlpm.x),AND(MATCH("SOS",$A:$A,0)&lt;_xlpm.x,MATCH("EOS",$A:$A,0)&gt;_xlpm.x),AND(MATCH("SOR",$A:$A,0)&lt;_xlpm.x,MATCH("EOR",$A:$A,0)&gt;_xlpm.x))),INDIRECT("rc"&amp;MATCH("SCD",$1:$1,0),FALSE)="PPTO"),1,0)</f>
        <v>0</v>
      </c>
      <c r="AW262" s="142" cm="1">
        <f t="array" aca="1" ref="AW26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63" spans="1:49" s="153" customFormat="1" outlineLevel="2">
      <c r="A263" s="152"/>
      <c r="B263" s="401" t="str">
        <f t="shared" si="22"/>
        <v>31200</v>
      </c>
      <c r="C263" s="148"/>
      <c r="D263" s="401" t="str" cm="1">
        <f t="array" ref="D263">_xlfn.TAKE(INDEX(_xlfn.UNIQUE(_xlfn._xlws.SORT(TbStd[Row5])),1+(SUM(ROW()-MATCH("SOP",$A:$A,0)-1)/2),0),1)</f>
        <v>DIST</v>
      </c>
      <c r="E263" s="350" t="str" cm="1">
        <f t="array" ref="E263">UPPER(_xlfn.UNIQUE(_xlfn._xlws.FILTER(TbRowMacro[RowMacroName],TbRowMacro[RowMcroId]=$D263,"X")))</f>
        <v>DISEÑO TOOL/SOFTWARE</v>
      </c>
      <c r="F263" s="402" t="s">
        <v>2055</v>
      </c>
      <c r="G263" s="377" cm="1">
        <f t="array" aca="1" ref="G263" ca="1">IFERROR(SUM(_xlfn._xlws.FILTER(SchPdt3[Value],(SchPdt3[PrjId]=$B263)*(SchPdt3[Row]=$D263)*(SchPdt3[Column]=_xlfn.LET(_xlpm.x,SUBSTITUTE(UPPER(INDIRECT("r"&amp;MATCH("TIP",$A:$A,0)&amp;"c"&amp;IF(INDIRECT("r"&amp;MATCH("TAP",$A:$A,0)&amp;"c",FALSE)="SERRA","","[-1]"),FALSE)),".",""),IFERROR(_xlfn.TEXTBEFORE(_xlpm.x," ("),_xlpm.x))),0)),0)</f>
        <v>109.37439999999999</v>
      </c>
      <c r="H263" s="378" cm="1">
        <f t="array" aca="1" ref="H263" ca="1">_xlfn.LET(_xlpm.x,INDIRECT("rc[-1]",FALSE),_xlpm.y,SUM(INDIRECT("r[-1]c[-1]:r[-1]c",FALSE)),IF(_xlpm.y=0,IF(_xlpm.x=0,0,1),_xlpm.x/_xlpm.y))</f>
        <v>1</v>
      </c>
      <c r="I263" s="377" cm="1">
        <f t="array" aca="1" ref="I263" ca="1">IFERROR(SUM(_xlfn._xlws.FILTER(SchPdt3[Value],(SchPdt3[PrjId]=$B263)*(SchPdt3[Row]=$D263)*(SchPdt3[Column]=_xlfn.LET(_xlpm.x,SUBSTITUTE(UPPER(INDIRECT("r"&amp;MATCH("TIP",$A:$A,0)&amp;"c"&amp;IF(INDIRECT("r"&amp;MATCH("TAP",$A:$A,0)&amp;"c",FALSE)="SERRA","","[-1]"),FALSE)),".",""),IFERROR(_xlfn.TEXTBEFORE(_xlpm.x," ("),_xlpm.x))),0)),0)</f>
        <v>0</v>
      </c>
      <c r="J263" s="378" cm="1">
        <f t="array" aca="1" ref="J263" ca="1">_xlfn.LET(_xlpm.x,INDIRECT("rc[-1]",FALSE),_xlpm.y,SUM(INDIRECT("r[-1]c[-1]:r[-1]c",FALSE)),IF(_xlpm.y=0,IF(_xlpm.x=0,0,1),_xlpm.x/_xlpm.y))</f>
        <v>0</v>
      </c>
      <c r="K263" s="377" cm="1">
        <f t="array" aca="1" ref="K263" ca="1">IFERROR(SUM(_xlfn._xlws.FILTER(SchPdt3[Value],(SchPdt3[PrjId]=$B263)*(SchPdt3[Row]=$D263)*(SchPdt3[Column]=_xlfn.LET(_xlpm.x,SUBSTITUTE(UPPER(INDIRECT("r"&amp;MATCH("TIP",$A:$A,0)&amp;"c"&amp;IF(INDIRECT("r"&amp;MATCH("TAP",$A:$A,0)&amp;"c",FALSE)="SERRA","","[-1]"),FALSE)),".",""),IFERROR(_xlfn.TEXTBEFORE(_xlpm.x," ("),_xlpm.x))),0)),0)</f>
        <v>0</v>
      </c>
      <c r="L263" s="378" cm="1">
        <f t="array" aca="1" ref="L263" ca="1">_xlfn.LET(_xlpm.x,INDIRECT("rc[-1]",FALSE),_xlpm.y,SUM(INDIRECT("r[-1]c[-1]:r[-1]c",FALSE)),IF(_xlpm.y=0,IF(_xlpm.x=0,0,1),_xlpm.x/_xlpm.y))</f>
        <v>0</v>
      </c>
      <c r="M263" s="377" cm="1">
        <f t="array" aca="1" ref="M263" ca="1">IFERROR(SUM(_xlfn._xlws.FILTER(SchPdt3[Value],(SchPdt3[PrjId]=$B263)*(SchPdt3[Row]=$D263)*(SchPdt3[Column]=_xlfn.LET(_xlpm.x,SUBSTITUTE(UPPER(INDIRECT("r"&amp;MATCH("TIP",$A:$A,0)&amp;"c"&amp;IF(INDIRECT("r"&amp;MATCH("TAP",$A:$A,0)&amp;"c",FALSE)="SERRA","","[-1]"),FALSE)),".",""),IFERROR(_xlfn.TEXTBEFORE(_xlpm.x," ("),_xlpm.x))),0)),0)</f>
        <v>0</v>
      </c>
      <c r="N263" s="378" cm="1">
        <f t="array" aca="1" ref="N263" ca="1">_xlfn.LET(_xlpm.x,INDIRECT("rc[-1]",FALSE),_xlpm.y,SUM(INDIRECT("r[-1]c[-1]:r[-1]c",FALSE)),IF(_xlpm.y=0,IF(_xlpm.x=0,0,1),_xlpm.x/_xlpm.y))</f>
        <v>0</v>
      </c>
      <c r="O263" s="377" cm="1">
        <f t="array" aca="1" ref="O263" ca="1">IFERROR(SUM(_xlfn._xlws.FILTER(SchPdt3[Value],(SchPdt3[PrjId]=$B263)*(SchPdt3[Row]=$D263)*(SchPdt3[Column]=_xlfn.LET(_xlpm.x,SUBSTITUTE(UPPER(INDIRECT("r"&amp;MATCH("TIP",$A:$A,0)&amp;"c"&amp;IF(INDIRECT("r"&amp;MATCH("TAP",$A:$A,0)&amp;"c",FALSE)="SERRA","","[-1]"),FALSE)),".",""),IFERROR(_xlfn.TEXTBEFORE(_xlpm.x," ("),_xlpm.x))),0)),0)</f>
        <v>28212.356000000003</v>
      </c>
      <c r="P263" s="378" cm="1">
        <f t="array" aca="1" ref="P263" ca="1">_xlfn.LET(_xlpm.x,INDIRECT("rc[-1]",FALSE),_xlpm.y,SUM(INDIRECT("r[-1]c[-1]:r[-1]c",FALSE)),IF(_xlpm.y=0,IF(_xlpm.x=0,0,1),_xlpm.x/_xlpm.y))</f>
        <v>3.096287693248597</v>
      </c>
      <c r="Q263" s="377" cm="1">
        <f t="array" aca="1" ref="Q263" ca="1">IFERROR(SUM(_xlfn._xlws.FILTER(SchPdt3[Value],(SchPdt3[PrjId]=$B263)*(SchPdt3[Row]=$D263)*(SchPdt3[Column]=_xlfn.LET(_xlpm.x,SUBSTITUTE(UPPER(INDIRECT("r"&amp;MATCH("TIP",$A:$A,0)&amp;"c"&amp;IF(INDIRECT("r"&amp;MATCH("TAP",$A:$A,0)&amp;"c",FALSE)="SERRA","","[-1]"),FALSE)),".",""),IFERROR(_xlfn.TEXTBEFORE(_xlpm.x," ("),_xlpm.x))),0)),0)</f>
        <v>0</v>
      </c>
      <c r="R263" s="378" cm="1">
        <f t="array" aca="1" ref="R263" ca="1">_xlfn.LET(_xlpm.x,INDIRECT("rc[-1]",FALSE),_xlpm.y,SUM(INDIRECT("r[-1]c[-1]:r[-1]c",FALSE)),IF(_xlpm.y=0,IF(_xlpm.x=0,0,1),_xlpm.x/_xlpm.y))</f>
        <v>0</v>
      </c>
      <c r="S263" s="377" cm="1">
        <f t="array" aca="1" ref="S263" ca="1">IFERROR(SUM(_xlfn._xlws.FILTER(SchPdt3[Value],(SchPdt3[PrjId]=$B263)*(SchPdt3[Row]=$D263)*(SchPdt3[Column]=_xlfn.LET(_xlpm.x,SUBSTITUTE(UPPER(INDIRECT("r"&amp;MATCH("TIP",$A:$A,0)&amp;"c"&amp;IF(INDIRECT("r"&amp;MATCH("TAP",$A:$A,0)&amp;"c",FALSE)="SERRA","","[-1]"),FALSE)),".",""),IFERROR(_xlfn.TEXTBEFORE(_xlpm.x," ("),_xlpm.x))),0)),0)</f>
        <v>0</v>
      </c>
      <c r="T263" s="378" cm="1">
        <f t="array" aca="1" ref="T263" ca="1">_xlfn.LET(_xlpm.x,INDIRECT("rc[-1]",FALSE),_xlpm.y,SUM(INDIRECT("r[-1]c[-1]:r[-1]c",FALSE)),IF(_xlpm.y=0,IF(_xlpm.x=0,0,1),_xlpm.x/_xlpm.y))</f>
        <v>0</v>
      </c>
      <c r="U263" s="377" cm="1">
        <f t="array" aca="1" ref="U263" ca="1">IFERROR(SUM(_xlfn._xlws.FILTER(SchPdt3[Value],(SchPdt3[PrjId]=$B263)*(SchPdt3[Row]=$D263)*(SchPdt3[Column]=_xlfn.LET(_xlpm.x,SUBSTITUTE(UPPER(INDIRECT("r"&amp;MATCH("TIP",$A:$A,0)&amp;"c"&amp;IF(INDIRECT("r"&amp;MATCH("TAP",$A:$A,0)&amp;"c",FALSE)="SERRA","","[-1]"),FALSE)),".",""),IFERROR(_xlfn.TEXTBEFORE(_xlpm.x," ("),_xlpm.x))),0)),0)</f>
        <v>0</v>
      </c>
      <c r="V263" s="378" cm="1">
        <f t="array" aca="1" ref="V263" ca="1">_xlfn.LET(_xlpm.x,INDIRECT("rc[-1]",FALSE),_xlpm.y,SUM(INDIRECT("r[-1]c[-1]:r[-1]c",FALSE)),IF(_xlpm.y=0,IF(_xlpm.x=0,0,1),_xlpm.x/_xlpm.y))</f>
        <v>0</v>
      </c>
      <c r="W263" s="377" cm="1">
        <f t="array" aca="1" ref="W263" ca="1">IFERROR(SUM(_xlfn._xlws.FILTER(SchPdt3[Value],(SchPdt3[PrjId]=$B263)*(SchPdt3[Row]=$D263)*(SchPdt3[Column]=_xlfn.LET(_xlpm.x,SUBSTITUTE(UPPER(INDIRECT("r"&amp;MATCH("TIP",$A:$A,0)&amp;"c"&amp;IF(INDIRECT("r"&amp;MATCH("TAP",$A:$A,0)&amp;"c",FALSE)="SERRA","","[-1]"),FALSE)),".",""),IFERROR(_xlfn.TEXTBEFORE(_xlpm.x," ("),_xlpm.x))),0)),0)</f>
        <v>0</v>
      </c>
      <c r="X263" s="378" cm="1">
        <f t="array" aca="1" ref="X263" ca="1">_xlfn.LET(_xlpm.x,INDIRECT("rc[-1]",FALSE),_xlpm.y,SUM(INDIRECT("r[-1]c[-1]:r[-1]c",FALSE)),IF(_xlpm.y=0,IF(_xlpm.x=0,0,1),_xlpm.x/_xlpm.y))</f>
        <v>0</v>
      </c>
      <c r="Y263" s="377" cm="1">
        <f t="array" aca="1" ref="Y263" ca="1">IFERROR(SUM(_xlfn._xlws.FILTER(SchPdt3[Value],(SchPdt3[PrjId]=$B263)*(SchPdt3[Row]=$D263)*(SchPdt3[Column]=_xlfn.LET(_xlpm.x,SUBSTITUTE(UPPER(INDIRECT("r"&amp;MATCH("TIP",$A:$A,0)&amp;"c"&amp;IF(INDIRECT("r"&amp;MATCH("TAP",$A:$A,0)&amp;"c",FALSE)="SERRA","","[-1]"),FALSE)),".",""),IFERROR(_xlfn.TEXTBEFORE(_xlpm.x," ("),_xlpm.x))),0)),0)</f>
        <v>0</v>
      </c>
      <c r="Z263" s="378" cm="1">
        <f t="array" aca="1" ref="Z263" ca="1">_xlfn.LET(_xlpm.x,INDIRECT("rc[-1]",FALSE),_xlpm.y,SUM(INDIRECT("r[-1]c[-1]:r[-1]c",FALSE)),IF(_xlpm.y=0,IF(_xlpm.x=0,0,1),_xlpm.x/_xlpm.y))</f>
        <v>0</v>
      </c>
      <c r="AA263" s="377" cm="1">
        <f t="array" aca="1" ref="AA263" ca="1">IFERROR(SUM(_xlfn._xlws.FILTER(SchPdt3[Value],(SchPdt3[PrjId]=$B263)*(SchPdt3[Row]=$D263)*(SchPdt3[Column]=_xlfn.LET(_xlpm.x,SUBSTITUTE(UPPER(INDIRECT("r"&amp;MATCH("TIP",$A:$A,0)&amp;"c"&amp;IF(INDIRECT("r"&amp;MATCH("TAP",$A:$A,0)&amp;"c",FALSE)="SERRA","","[-1]"),FALSE)),".",""),IFERROR(_xlfn.TEXTBEFORE(_xlpm.x," ("),_xlpm.x))),0)),0)</f>
        <v>0</v>
      </c>
      <c r="AB263" s="378" cm="1">
        <f t="array" aca="1" ref="AB263" ca="1">_xlfn.LET(_xlpm.x,INDIRECT("rc[-1]",FALSE),_xlpm.y,SUM(INDIRECT("r[-1]c[-1]:r[-1]c",FALSE)),IF(_xlpm.y=0,IF(_xlpm.x=0,0,1),_xlpm.x/_xlpm.y))</f>
        <v>0</v>
      </c>
      <c r="AC263" s="377" cm="1">
        <f t="array" aca="1" ref="AC263" ca="1">IFERROR(SUM(_xlfn._xlws.FILTER(SchPdt3[Value],(SchPdt3[PrjId]=$B263)*(SchPdt3[Row]=$D263)*(SchPdt3[Column]=_xlfn.LET(_xlpm.x,SUBSTITUTE(UPPER(INDIRECT("r"&amp;MATCH("TIP",$A:$A,0)&amp;"c"&amp;IF(INDIRECT("r"&amp;MATCH("TAP",$A:$A,0)&amp;"c",FALSE)="SERRA","","[-1]"),FALSE)),".",""),IFERROR(_xlfn.TEXTBEFORE(_xlpm.x," ("),_xlpm.x))),0)),0)</f>
        <v>0</v>
      </c>
      <c r="AD263" s="378" cm="1">
        <f t="array" aca="1" ref="AD263" ca="1">_xlfn.LET(_xlpm.x,INDIRECT("rc[-1]",FALSE),_xlpm.y,SUM(INDIRECT("r[-1]c[-1]:r[-1]c",FALSE)),IF(_xlpm.y=0,IF(_xlpm.x=0,0,1),_xlpm.x/_xlpm.y))</f>
        <v>0</v>
      </c>
      <c r="AE263" s="377" cm="1">
        <f t="array" aca="1" ref="AE263" ca="1">IFERROR(SUM(_xlfn._xlws.FILTER(SchPdt3[Value],(SchPdt3[PrjId]=$B263)*(SchPdt3[Row]=$D263)*(SchPdt3[Column]=_xlfn.LET(_xlpm.x,SUBSTITUTE(UPPER(INDIRECT("r"&amp;MATCH("TIP",$A:$A,0)&amp;"c"&amp;IF(INDIRECT("r"&amp;MATCH("TAP",$A:$A,0)&amp;"c",FALSE)="SERRA","","[-1]"),FALSE)),".",""),IFERROR(_xlfn.TEXTBEFORE(_xlpm.x," ("),_xlpm.x))),0)),0)</f>
        <v>0</v>
      </c>
      <c r="AF263" s="378" cm="1">
        <f t="array" aca="1" ref="AF263" ca="1">_xlfn.LET(_xlpm.x,INDIRECT("rc[-1]",FALSE),_xlpm.y,SUM(INDIRECT("r[-1]c[-1]:r[-1]c",FALSE)),IF(_xlpm.y=0,IF(_xlpm.x=0,0,1),_xlpm.x/_xlpm.y))</f>
        <v>0</v>
      </c>
      <c r="AG263" s="377" cm="1">
        <f t="array" aca="1" ref="AG263" ca="1">IFERROR(SUM(_xlfn._xlws.FILTER(SchPdt3[Value],(SchPdt3[PrjId]=$B263)*(SchPdt3[Row]=$D263)*(SchPdt3[Column]=_xlfn.LET(_xlpm.x,SUBSTITUTE(UPPER(INDIRECT("r"&amp;MATCH("TIP",$A:$A,0)&amp;"c"&amp;IF(INDIRECT("r"&amp;MATCH("TAP",$A:$A,0)&amp;"c",FALSE)="SERRA","","[-1]"),FALSE)),".",""),IFERROR(_xlfn.TEXTBEFORE(_xlpm.x," ("),_xlpm.x))),0)),0)</f>
        <v>0</v>
      </c>
      <c r="AH263" s="378" cm="1">
        <f t="array" aca="1" ref="AH263" ca="1">_xlfn.LET(_xlpm.x,INDIRECT("rc[-1]",FALSE),_xlpm.y,SUM(INDIRECT("r[-1]c[-1]:r[-1]c",FALSE)),IF(_xlpm.y=0,IF(_xlpm.x=0,0,1),_xlpm.x/_xlpm.y))</f>
        <v>0</v>
      </c>
      <c r="AI263" s="377" cm="1">
        <f t="array" aca="1" ref="AI263" ca="1">IFERROR(SUM(_xlfn._xlws.FILTER(SchPdt3[Value],(SchPdt3[PrjId]=$B263)*(SchPdt3[Row]=$D263)*(SchPdt3[Column]=_xlfn.LET(_xlpm.x,SUBSTITUTE(UPPER(INDIRECT("r"&amp;MATCH("TIP",$A:$A,0)&amp;"c"&amp;IF(INDIRECT("r"&amp;MATCH("TAP",$A:$A,0)&amp;"c",FALSE)="SERRA","","[-1]"),FALSE)),".",""),IFERROR(_xlfn.TEXTBEFORE(_xlpm.x," ("),_xlpm.x))),0)),0)</f>
        <v>0</v>
      </c>
      <c r="AJ263" s="378" cm="1">
        <f t="array" aca="1" ref="AJ263" ca="1">_xlfn.LET(_xlpm.x,INDIRECT("rc[-1]",FALSE),_xlpm.y,SUM(INDIRECT("r[-1]c[-1]:r[-1]c",FALSE)),IF(_xlpm.y=0,IF(_xlpm.x=0,0,1),_xlpm.x/_xlpm.y))</f>
        <v>0</v>
      </c>
      <c r="AK263" s="377" cm="1">
        <f t="array" aca="1" ref="AK263" ca="1">IFERROR(SUM(_xlfn._xlws.FILTER(SchPdt3[Value],(SchPdt3[PrjId]=$B263)*(SchPdt3[Row]=$D263)*(SchPdt3[Column]=_xlfn.LET(_xlpm.x,SUBSTITUTE(UPPER(INDIRECT("r"&amp;MATCH("TIP",$A:$A,0)&amp;"c"&amp;IF(INDIRECT("r"&amp;MATCH("TAP",$A:$A,0)&amp;"c",FALSE)="SERRA","","[-1]"),FALSE)),".",""),IFERROR(_xlfn.TEXTBEFORE(_xlpm.x," ("),_xlpm.x))),0)),0)</f>
        <v>0</v>
      </c>
      <c r="AL263" s="378" cm="1">
        <f t="array" aca="1" ref="AL263" ca="1">_xlfn.LET(_xlpm.x,INDIRECT("rc[-1]",FALSE),_xlpm.y,SUM(INDIRECT("r[-1]c[-1]:r[-1]c",FALSE)),IF(_xlpm.y=0,IF(_xlpm.x=0,0,1),_xlpm.x/_xlpm.y))</f>
        <v>0</v>
      </c>
      <c r="AM263" s="377" cm="1">
        <f t="array" aca="1" ref="AM263" ca="1">IFERROR(SUM(_xlfn._xlws.FILTER(SchPdt3[Value],(SchPdt3[PrjId]=$B263)*(SchPdt3[Row]=$D263)*(SchPdt3[Column]=_xlfn.LET(_xlpm.x,SUBSTITUTE(UPPER(INDIRECT("r"&amp;MATCH("TIP",$A:$A,0)&amp;"c"&amp;IF(INDIRECT("r"&amp;MATCH("TAP",$A:$A,0)&amp;"c",FALSE)="SERRA","","[-1]"),FALSE)),".",""),IFERROR(_xlfn.TEXTBEFORE(_xlpm.x," ("),_xlpm.x))),0)),0)</f>
        <v>0</v>
      </c>
      <c r="AN263" s="378" cm="1">
        <f t="array" aca="1" ref="AN263" ca="1">_xlfn.LET(_xlpm.x,INDIRECT("rc[-1]",FALSE),_xlpm.y,SUM(INDIRECT("r[-1]c[-1]:r[-1]c",FALSE)),IF(_xlpm.y=0,IF(_xlpm.x=0,0,1),_xlpm.x/_xlpm.y))</f>
        <v>0</v>
      </c>
      <c r="AO263" s="377" cm="1">
        <f t="array" aca="1" ref="AO263" ca="1">IFERROR(SUM(_xlfn._xlws.FILTER(SchPdt3[Value],(SchPdt3[PrjId]=$B263)*(SchPdt3[Row]=$D263)*(SchPdt3[Column]=_xlfn.LET(_xlpm.x,SUBSTITUTE(UPPER(INDIRECT("r"&amp;MATCH("TIP",$A:$A,0)&amp;"c"&amp;IF(INDIRECT("r"&amp;MATCH("TAP",$A:$A,0)&amp;"c",FALSE)="SERRA","","[-1]"),FALSE)),".",""),IFERROR(_xlfn.TEXTBEFORE(_xlpm.x," ("),_xlpm.x))),0)),0)</f>
        <v>0</v>
      </c>
      <c r="AP263" s="378" cm="1">
        <f t="array" aca="1" ref="AP263" ca="1">_xlfn.LET(_xlpm.x,INDIRECT("rc[-1]",FALSE),_xlpm.y,SUM(INDIRECT("r[-1]c[-1]:r[-1]c",FALSE)),IF(_xlpm.y=0,IF(_xlpm.x=0,0,1),_xlpm.x/_xlpm.y))</f>
        <v>0</v>
      </c>
      <c r="AQ263" s="377" cm="1">
        <f t="array" aca="1" ref="AQ263" ca="1">SUM(IF(INDIRECT($AS$115)=AQ$115,INDIRECT($AS263)))</f>
        <v>28321.730400000004</v>
      </c>
      <c r="AR263" s="378" cm="1">
        <f t="array" aca="1" ref="AR263" ca="1">_xlfn.LET(_xlpm.x,INDIRECT("rc[-1]",FALSE),_xlpm.y,SUM(INDIRECT("r[-1]c[-1]:r[-1]c",FALSE)),IF(_xlpm.y=0,IF(_xlpm.x=0,0,1),_xlpm.x/_xlpm.y))</f>
        <v>0.52447309434858691</v>
      </c>
      <c r="AS263" s="286" t="str">
        <f t="shared" si="23"/>
        <v>G263:AP263</v>
      </c>
      <c r="AT263" s="403">
        <f ca="1">SUM(INDIRECT("rc"&amp;MATCH("ECD",$1:$1,0)&amp;":rc"&amp;(MATCH("EOC",$1:$1,0)-2),FALSE))</f>
        <v>28321.730400000004</v>
      </c>
      <c r="AV263" s="142" cm="1">
        <f t="array" aca="1" ref="AV263" ca="1">IF(AND(_xlfn.LET(_xlpm.x,SUM(ROW()),OR(AND(MATCH("SOT",$A:$A,0)&lt;_xlpm.x,MATCH("EOT",$A:$A,0)&gt;_xlpm.x),AND(MATCH("SOS",$A:$A,0)&lt;_xlpm.x,MATCH("EOS",$A:$A,0)&gt;_xlpm.x),AND(MATCH("SOR",$A:$A,0)&lt;_xlpm.x,MATCH("EOR",$A:$A,0)&gt;_xlpm.x))),INDIRECT("rc"&amp;MATCH("SCD",$1:$1,0),FALSE)="PPTO"),1,0)</f>
        <v>0</v>
      </c>
      <c r="AW263" s="142" cm="1">
        <f t="array" aca="1" ref="AW26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64" spans="1:49" s="153" customFormat="1" outlineLevel="2">
      <c r="A264" s="152"/>
      <c r="B264" s="401" t="str">
        <f t="shared" si="22"/>
        <v>31200</v>
      </c>
      <c r="C264" s="148"/>
      <c r="D264" s="401" t="str" cm="1">
        <f t="array" ref="D264">_xlfn.TAKE(INDEX(_xlfn.UNIQUE(_xlfn._xlws.SORT(TbStd[Row5])),1+(SUM(ROW()-MATCH("SOP",$A:$A,0)-1)/2),0),1)</f>
        <v>FABC</v>
      </c>
      <c r="E264" s="350" t="str" cm="1">
        <f t="array" ref="E264">UPPER(_xlfn.UNIQUE(_xlfn._xlws.FILTER(TbRowMacro[RowMacroName],TbRowMacro[RowMcroId]=$D264,"X")))</f>
        <v>FABRICACION CELL/ARM.ENR</v>
      </c>
      <c r="F264" s="402" t="s">
        <v>2074</v>
      </c>
      <c r="G264" s="377" cm="1">
        <f t="array" aca="1" ref="G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H264" s="377" cm="1">
        <f t="array" aca="1" ref="H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I264" s="377" cm="1">
        <f t="array" aca="1" ref="I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J264" s="377" cm="1">
        <f t="array" aca="1" ref="J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K264" s="377" cm="1">
        <f t="array" aca="1" ref="K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L264" s="377" cm="1">
        <f t="array" aca="1" ref="L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M264" s="377" cm="1">
        <f t="array" aca="1" ref="M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N264" s="377" cm="1">
        <f t="array" aca="1" ref="N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O264" s="377" cm="1">
        <f t="array" aca="1" ref="O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P264" s="377" cm="1">
        <f t="array" aca="1" ref="P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Q264" s="377" cm="1">
        <f t="array" aca="1" ref="Q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R264" s="377" cm="1">
        <f t="array" aca="1" ref="R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S264" s="377" cm="1">
        <f t="array" aca="1" ref="S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T264" s="377" cm="1">
        <f t="array" aca="1" ref="T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U264" s="377" cm="1">
        <f t="array" aca="1" ref="U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19009.700878386426</v>
      </c>
      <c r="V264" s="377" cm="1">
        <f t="array" aca="1" ref="V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-25673.712188704463</v>
      </c>
      <c r="W264" s="377" cm="1">
        <f t="array" aca="1" ref="W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X264" s="377" cm="1">
        <f t="array" aca="1" ref="X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Y264" s="377" cm="1">
        <f t="array" aca="1" ref="Y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Z264" s="377" cm="1">
        <f t="array" aca="1" ref="Z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AA264" s="377" cm="1">
        <f t="array" aca="1" ref="AA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AB264" s="377" cm="1">
        <f t="array" aca="1" ref="AB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AC264" s="377" cm="1">
        <f t="array" aca="1" ref="AC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-2175.6579810860003</v>
      </c>
      <c r="AD264" s="377" cm="1">
        <f t="array" aca="1" ref="AD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10439.205862033992</v>
      </c>
      <c r="AE264" s="377" cm="1">
        <f t="array" aca="1" ref="AE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2649.84</v>
      </c>
      <c r="AF264" s="377" cm="1">
        <f t="array" aca="1" ref="AF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-2649.84</v>
      </c>
      <c r="AG264" s="377" cm="1">
        <f t="array" aca="1" ref="AG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AH264" s="377" cm="1">
        <f t="array" aca="1" ref="AH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AI264" s="377" cm="1">
        <f t="array" aca="1" ref="AI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AJ264" s="377" cm="1">
        <f t="array" aca="1" ref="AJ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45009.669499999873</v>
      </c>
      <c r="AK264" s="377" cm="1">
        <f t="array" aca="1" ref="AK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AL264" s="377" cm="1">
        <f t="array" aca="1" ref="AL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136857.15</v>
      </c>
      <c r="AM264" s="377" cm="1">
        <f t="array" aca="1" ref="AM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AN264" s="377" cm="1">
        <f t="array" aca="1" ref="AN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-294.73</v>
      </c>
      <c r="AO264" s="377" cm="1">
        <f t="array" aca="1" ref="AO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AP264" s="377" cm="1">
        <f t="array" aca="1" ref="AP26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264)*(ISNUMBER(FIND(_xlpm.v,_xlfn.TEXTJOIN(":",TRUE,_xlfn.UNIQUE(_xlfn._xlws.FILTER(TbStd[RowGrp],TbStd[Row5]=$D264,"X"))))))),0)),0)</f>
        <v>0</v>
      </c>
      <c r="AQ264" s="377" cm="1">
        <f t="array" aca="1" ref="AQ264" ca="1">SUM(IF(INDIRECT($AS$115)=AQ$115,INDIRECT($AS264)))</f>
        <v>19483.882897300424</v>
      </c>
      <c r="AR264" s="377" cm="1">
        <f t="array" aca="1" ref="AR264" ca="1">SUM(IF(INDIRECT($AS$115)=AR$115,INDIRECT($AS264)))</f>
        <v>163687.74317332939</v>
      </c>
      <c r="AS264" s="286" t="str">
        <f t="shared" si="23"/>
        <v>G264:AP264</v>
      </c>
      <c r="AT264" s="403">
        <f t="shared" ca="1" si="24"/>
        <v>183171.62607062981</v>
      </c>
      <c r="AV264" s="142" cm="1">
        <f t="array" aca="1" ref="AV264" ca="1">IF(AND(_xlfn.LET(_xlpm.x,SUM(ROW()),OR(AND(MATCH("SOT",$A:$A,0)&lt;_xlpm.x,MATCH("EOT",$A:$A,0)&gt;_xlpm.x),AND(MATCH("SOS",$A:$A,0)&lt;_xlpm.x,MATCH("EOS",$A:$A,0)&gt;_xlpm.x),AND(MATCH("SOR",$A:$A,0)&lt;_xlpm.x,MATCH("EOR",$A:$A,0)&gt;_xlpm.x))),INDIRECT("rc"&amp;MATCH("SCD",$1:$1,0),FALSE)="PPTO"),1,0)</f>
        <v>0</v>
      </c>
      <c r="AW264" s="142" cm="1">
        <f t="array" aca="1" ref="AW26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65" spans="1:49" s="153" customFormat="1" outlineLevel="2">
      <c r="A265" s="152"/>
      <c r="B265" s="401" t="str">
        <f t="shared" si="22"/>
        <v>31200</v>
      </c>
      <c r="C265" s="148"/>
      <c r="D265" s="401" t="str" cm="1">
        <f t="array" ref="D265">_xlfn.TAKE(INDEX(_xlfn.UNIQUE(_xlfn._xlws.SORT(TbStd[Row5])),1+(SUM(ROW()-MATCH("SOP",$A:$A,0)-1)/2),0),1)</f>
        <v>FABC</v>
      </c>
      <c r="E265" s="350" t="str" cm="1">
        <f t="array" ref="E265">UPPER(_xlfn.UNIQUE(_xlfn._xlws.FILTER(TbRowMacro[RowMacroName],TbRowMacro[RowMcroId]=$D265,"X")))</f>
        <v>FABRICACION CELL/ARM.ENR</v>
      </c>
      <c r="F265" s="402" t="s">
        <v>2055</v>
      </c>
      <c r="G265" s="377" cm="1">
        <f t="array" aca="1" ref="G265" ca="1">IFERROR(SUM(_xlfn._xlws.FILTER(SchPdt3[Value],(SchPdt3[PrjId]=$B265)*(SchPdt3[Row]=$D265)*(SchPdt3[Column]=_xlfn.LET(_xlpm.x,SUBSTITUTE(UPPER(INDIRECT("r"&amp;MATCH("TIP",$A:$A,0)&amp;"c"&amp;IF(INDIRECT("r"&amp;MATCH("TAP",$A:$A,0)&amp;"c",FALSE)="SERRA","","[-1]"),FALSE)),".",""),IFERROR(_xlfn.TEXTBEFORE(_xlpm.x," ("),_xlpm.x))),0)),0)</f>
        <v>0</v>
      </c>
      <c r="H265" s="378" cm="1">
        <f t="array" aca="1" ref="H265" ca="1">_xlfn.LET(_xlpm.x,INDIRECT("rc[-1]",FALSE),_xlpm.y,SUM(INDIRECT("r[-1]c[-1]:r[-1]c",FALSE)),IF(_xlpm.y=0,IF(_xlpm.x=0,0,1),_xlpm.x/_xlpm.y))</f>
        <v>0</v>
      </c>
      <c r="I265" s="377" cm="1">
        <f t="array" aca="1" ref="I265" ca="1">IFERROR(SUM(_xlfn._xlws.FILTER(SchPdt3[Value],(SchPdt3[PrjId]=$B265)*(SchPdt3[Row]=$D265)*(SchPdt3[Column]=_xlfn.LET(_xlpm.x,SUBSTITUTE(UPPER(INDIRECT("r"&amp;MATCH("TIP",$A:$A,0)&amp;"c"&amp;IF(INDIRECT("r"&amp;MATCH("TAP",$A:$A,0)&amp;"c",FALSE)="SERRA","","[-1]"),FALSE)),".",""),IFERROR(_xlfn.TEXTBEFORE(_xlpm.x," ("),_xlpm.x))),0)),0)</f>
        <v>0</v>
      </c>
      <c r="J265" s="378" cm="1">
        <f t="array" aca="1" ref="J265" ca="1">_xlfn.LET(_xlpm.x,INDIRECT("rc[-1]",FALSE),_xlpm.y,SUM(INDIRECT("r[-1]c[-1]:r[-1]c",FALSE)),IF(_xlpm.y=0,IF(_xlpm.x=0,0,1),_xlpm.x/_xlpm.y))</f>
        <v>0</v>
      </c>
      <c r="K265" s="377" cm="1">
        <f t="array" aca="1" ref="K265" ca="1">IFERROR(SUM(_xlfn._xlws.FILTER(SchPdt3[Value],(SchPdt3[PrjId]=$B265)*(SchPdt3[Row]=$D265)*(SchPdt3[Column]=_xlfn.LET(_xlpm.x,SUBSTITUTE(UPPER(INDIRECT("r"&amp;MATCH("TIP",$A:$A,0)&amp;"c"&amp;IF(INDIRECT("r"&amp;MATCH("TAP",$A:$A,0)&amp;"c",FALSE)="SERRA","","[-1]"),FALSE)),".",""),IFERROR(_xlfn.TEXTBEFORE(_xlpm.x," ("),_xlpm.x))),0)),0)</f>
        <v>0</v>
      </c>
      <c r="L265" s="378" cm="1">
        <f t="array" aca="1" ref="L265" ca="1">_xlfn.LET(_xlpm.x,INDIRECT("rc[-1]",FALSE),_xlpm.y,SUM(INDIRECT("r[-1]c[-1]:r[-1]c",FALSE)),IF(_xlpm.y=0,IF(_xlpm.x=0,0,1),_xlpm.x/_xlpm.y))</f>
        <v>0</v>
      </c>
      <c r="M265" s="377" cm="1">
        <f t="array" aca="1" ref="M265" ca="1">IFERROR(SUM(_xlfn._xlws.FILTER(SchPdt3[Value],(SchPdt3[PrjId]=$B265)*(SchPdt3[Row]=$D265)*(SchPdt3[Column]=_xlfn.LET(_xlpm.x,SUBSTITUTE(UPPER(INDIRECT("r"&amp;MATCH("TIP",$A:$A,0)&amp;"c"&amp;IF(INDIRECT("r"&amp;MATCH("TAP",$A:$A,0)&amp;"c",FALSE)="SERRA","","[-1]"),FALSE)),".",""),IFERROR(_xlfn.TEXTBEFORE(_xlpm.x," ("),_xlpm.x))),0)),0)</f>
        <v>0</v>
      </c>
      <c r="N265" s="378" cm="1">
        <f t="array" aca="1" ref="N265" ca="1">_xlfn.LET(_xlpm.x,INDIRECT("rc[-1]",FALSE),_xlpm.y,SUM(INDIRECT("r[-1]c[-1]:r[-1]c",FALSE)),IF(_xlpm.y=0,IF(_xlpm.x=0,0,1),_xlpm.x/_xlpm.y))</f>
        <v>0</v>
      </c>
      <c r="O265" s="377" cm="1">
        <f t="array" aca="1" ref="O265" ca="1">IFERROR(SUM(_xlfn._xlws.FILTER(SchPdt3[Value],(SchPdt3[PrjId]=$B265)*(SchPdt3[Row]=$D265)*(SchPdt3[Column]=_xlfn.LET(_xlpm.x,SUBSTITUTE(UPPER(INDIRECT("r"&amp;MATCH("TIP",$A:$A,0)&amp;"c"&amp;IF(INDIRECT("r"&amp;MATCH("TAP",$A:$A,0)&amp;"c",FALSE)="SERRA","","[-1]"),FALSE)),".",""),IFERROR(_xlfn.TEXTBEFORE(_xlpm.x," ("),_xlpm.x))),0)),0)</f>
        <v>0</v>
      </c>
      <c r="P265" s="378" cm="1">
        <f t="array" aca="1" ref="P265" ca="1">_xlfn.LET(_xlpm.x,INDIRECT("rc[-1]",FALSE),_xlpm.y,SUM(INDIRECT("r[-1]c[-1]:r[-1]c",FALSE)),IF(_xlpm.y=0,IF(_xlpm.x=0,0,1),_xlpm.x/_xlpm.y))</f>
        <v>0</v>
      </c>
      <c r="Q265" s="377" cm="1">
        <f t="array" aca="1" ref="Q265" ca="1">IFERROR(SUM(_xlfn._xlws.FILTER(SchPdt3[Value],(SchPdt3[PrjId]=$B265)*(SchPdt3[Row]=$D265)*(SchPdt3[Column]=_xlfn.LET(_xlpm.x,SUBSTITUTE(UPPER(INDIRECT("r"&amp;MATCH("TIP",$A:$A,0)&amp;"c"&amp;IF(INDIRECT("r"&amp;MATCH("TAP",$A:$A,0)&amp;"c",FALSE)="SERRA","","[-1]"),FALSE)),".",""),IFERROR(_xlfn.TEXTBEFORE(_xlpm.x," ("),_xlpm.x))),0)),0)</f>
        <v>0</v>
      </c>
      <c r="R265" s="378" cm="1">
        <f t="array" aca="1" ref="R265" ca="1">_xlfn.LET(_xlpm.x,INDIRECT("rc[-1]",FALSE),_xlpm.y,SUM(INDIRECT("r[-1]c[-1]:r[-1]c",FALSE)),IF(_xlpm.y=0,IF(_xlpm.x=0,0,1),_xlpm.x/_xlpm.y))</f>
        <v>0</v>
      </c>
      <c r="S265" s="377" cm="1">
        <f t="array" aca="1" ref="S265" ca="1">IFERROR(SUM(_xlfn._xlws.FILTER(SchPdt3[Value],(SchPdt3[PrjId]=$B265)*(SchPdt3[Row]=$D265)*(SchPdt3[Column]=_xlfn.LET(_xlpm.x,SUBSTITUTE(UPPER(INDIRECT("r"&amp;MATCH("TIP",$A:$A,0)&amp;"c"&amp;IF(INDIRECT("r"&amp;MATCH("TAP",$A:$A,0)&amp;"c",FALSE)="SERRA","","[-1]"),FALSE)),".",""),IFERROR(_xlfn.TEXTBEFORE(_xlpm.x," ("),_xlpm.x))),0)),0)</f>
        <v>0</v>
      </c>
      <c r="T265" s="378" cm="1">
        <f t="array" aca="1" ref="T265" ca="1">_xlfn.LET(_xlpm.x,INDIRECT("rc[-1]",FALSE),_xlpm.y,SUM(INDIRECT("r[-1]c[-1]:r[-1]c",FALSE)),IF(_xlpm.y=0,IF(_xlpm.x=0,0,1),_xlpm.x/_xlpm.y))</f>
        <v>0</v>
      </c>
      <c r="U265" s="377" cm="1">
        <f t="array" aca="1" ref="U265" ca="1">IFERROR(SUM(_xlfn._xlws.FILTER(SchPdt3[Value],(SchPdt3[PrjId]=$B265)*(SchPdt3[Row]=$D265)*(SchPdt3[Column]=_xlfn.LET(_xlpm.x,SUBSTITUTE(UPPER(INDIRECT("r"&amp;MATCH("TIP",$A:$A,0)&amp;"c"&amp;IF(INDIRECT("r"&amp;MATCH("TAP",$A:$A,0)&amp;"c",FALSE)="SERRA","","[-1]"),FALSE)),".",""),IFERROR(_xlfn.TEXTBEFORE(_xlpm.x," ("),_xlpm.x))),0)),0)</f>
        <v>0</v>
      </c>
      <c r="V265" s="378" cm="1">
        <f t="array" aca="1" ref="V265" ca="1">_xlfn.LET(_xlpm.x,INDIRECT("rc[-1]",FALSE),_xlpm.y,SUM(INDIRECT("r[-1]c[-1]:r[-1]c",FALSE)),IF(_xlpm.y=0,IF(_xlpm.x=0,0,1),_xlpm.x/_xlpm.y))</f>
        <v>0</v>
      </c>
      <c r="W265" s="377" cm="1">
        <f t="array" aca="1" ref="W265" ca="1">IFERROR(SUM(_xlfn._xlws.FILTER(SchPdt3[Value],(SchPdt3[PrjId]=$B265)*(SchPdt3[Row]=$D265)*(SchPdt3[Column]=_xlfn.LET(_xlpm.x,SUBSTITUTE(UPPER(INDIRECT("r"&amp;MATCH("TIP",$A:$A,0)&amp;"c"&amp;IF(INDIRECT("r"&amp;MATCH("TAP",$A:$A,0)&amp;"c",FALSE)="SERRA","","[-1]"),FALSE)),".",""),IFERROR(_xlfn.TEXTBEFORE(_xlpm.x," ("),_xlpm.x))),0)),0)</f>
        <v>0</v>
      </c>
      <c r="X265" s="378" cm="1">
        <f t="array" aca="1" ref="X265" ca="1">_xlfn.LET(_xlpm.x,INDIRECT("rc[-1]",FALSE),_xlpm.y,SUM(INDIRECT("r[-1]c[-1]:r[-1]c",FALSE)),IF(_xlpm.y=0,IF(_xlpm.x=0,0,1),_xlpm.x/_xlpm.y))</f>
        <v>0</v>
      </c>
      <c r="Y265" s="377" cm="1">
        <f t="array" aca="1" ref="Y265" ca="1">IFERROR(SUM(_xlfn._xlws.FILTER(SchPdt3[Value],(SchPdt3[PrjId]=$B265)*(SchPdt3[Row]=$D265)*(SchPdt3[Column]=_xlfn.LET(_xlpm.x,SUBSTITUTE(UPPER(INDIRECT("r"&amp;MATCH("TIP",$A:$A,0)&amp;"c"&amp;IF(INDIRECT("r"&amp;MATCH("TAP",$A:$A,0)&amp;"c",FALSE)="SERRA","","[-1]"),FALSE)),".",""),IFERROR(_xlfn.TEXTBEFORE(_xlpm.x," ("),_xlpm.x))),0)),0)</f>
        <v>0</v>
      </c>
      <c r="Z265" s="378" cm="1">
        <f t="array" aca="1" ref="Z265" ca="1">_xlfn.LET(_xlpm.x,INDIRECT("rc[-1]",FALSE),_xlpm.y,SUM(INDIRECT("r[-1]c[-1]:r[-1]c",FALSE)),IF(_xlpm.y=0,IF(_xlpm.x=0,0,1),_xlpm.x/_xlpm.y))</f>
        <v>0</v>
      </c>
      <c r="AA265" s="377" cm="1">
        <f t="array" aca="1" ref="AA265" ca="1">IFERROR(SUM(_xlfn._xlws.FILTER(SchPdt3[Value],(SchPdt3[PrjId]=$B265)*(SchPdt3[Row]=$D265)*(SchPdt3[Column]=_xlfn.LET(_xlpm.x,SUBSTITUTE(UPPER(INDIRECT("r"&amp;MATCH("TIP",$A:$A,0)&amp;"c"&amp;IF(INDIRECT("r"&amp;MATCH("TAP",$A:$A,0)&amp;"c",FALSE)="SERRA","","[-1]"),FALSE)),".",""),IFERROR(_xlfn.TEXTBEFORE(_xlpm.x," ("),_xlpm.x))),0)),0)</f>
        <v>0</v>
      </c>
      <c r="AB265" s="378" cm="1">
        <f t="array" aca="1" ref="AB265" ca="1">_xlfn.LET(_xlpm.x,INDIRECT("rc[-1]",FALSE),_xlpm.y,SUM(INDIRECT("r[-1]c[-1]:r[-1]c",FALSE)),IF(_xlpm.y=0,IF(_xlpm.x=0,0,1),_xlpm.x/_xlpm.y))</f>
        <v>0</v>
      </c>
      <c r="AC265" s="377" cm="1">
        <f t="array" aca="1" ref="AC265" ca="1">IFERROR(SUM(_xlfn._xlws.FILTER(SchPdt3[Value],(SchPdt3[PrjId]=$B265)*(SchPdt3[Row]=$D265)*(SchPdt3[Column]=_xlfn.LET(_xlpm.x,SUBSTITUTE(UPPER(INDIRECT("r"&amp;MATCH("TIP",$A:$A,0)&amp;"c"&amp;IF(INDIRECT("r"&amp;MATCH("TAP",$A:$A,0)&amp;"c",FALSE)="SERRA","","[-1]"),FALSE)),".",""),IFERROR(_xlfn.TEXTBEFORE(_xlpm.x," ("),_xlpm.x))),0)),0)</f>
        <v>0</v>
      </c>
      <c r="AD265" s="378" cm="1">
        <f t="array" aca="1" ref="AD265" ca="1">_xlfn.LET(_xlpm.x,INDIRECT("rc[-1]",FALSE),_xlpm.y,SUM(INDIRECT("r[-1]c[-1]:r[-1]c",FALSE)),IF(_xlpm.y=0,IF(_xlpm.x=0,0,1),_xlpm.x/_xlpm.y))</f>
        <v>0</v>
      </c>
      <c r="AE265" s="377" cm="1">
        <f t="array" aca="1" ref="AE265" ca="1">IFERROR(SUM(_xlfn._xlws.FILTER(SchPdt3[Value],(SchPdt3[PrjId]=$B265)*(SchPdt3[Row]=$D265)*(SchPdt3[Column]=_xlfn.LET(_xlpm.x,SUBSTITUTE(UPPER(INDIRECT("r"&amp;MATCH("TIP",$A:$A,0)&amp;"c"&amp;IF(INDIRECT("r"&amp;MATCH("TAP",$A:$A,0)&amp;"c",FALSE)="SERRA","","[-1]"),FALSE)),".",""),IFERROR(_xlfn.TEXTBEFORE(_xlpm.x," ("),_xlpm.x))),0)),0)</f>
        <v>0</v>
      </c>
      <c r="AF265" s="378" cm="1">
        <f t="array" aca="1" ref="AF265" ca="1">_xlfn.LET(_xlpm.x,INDIRECT("rc[-1]",FALSE),_xlpm.y,SUM(INDIRECT("r[-1]c[-1]:r[-1]c",FALSE)),IF(_xlpm.y=0,IF(_xlpm.x=0,0,1),_xlpm.x/_xlpm.y))</f>
        <v>0</v>
      </c>
      <c r="AG265" s="377" cm="1">
        <f t="array" aca="1" ref="AG265" ca="1">IFERROR(SUM(_xlfn._xlws.FILTER(SchPdt3[Value],(SchPdt3[PrjId]=$B265)*(SchPdt3[Row]=$D265)*(SchPdt3[Column]=_xlfn.LET(_xlpm.x,SUBSTITUTE(UPPER(INDIRECT("r"&amp;MATCH("TIP",$A:$A,0)&amp;"c"&amp;IF(INDIRECT("r"&amp;MATCH("TAP",$A:$A,0)&amp;"c",FALSE)="SERRA","","[-1]"),FALSE)),".",""),IFERROR(_xlfn.TEXTBEFORE(_xlpm.x," ("),_xlpm.x))),0)),0)</f>
        <v>0</v>
      </c>
      <c r="AH265" s="378" cm="1">
        <f t="array" aca="1" ref="AH265" ca="1">_xlfn.LET(_xlpm.x,INDIRECT("rc[-1]",FALSE),_xlpm.y,SUM(INDIRECT("r[-1]c[-1]:r[-1]c",FALSE)),IF(_xlpm.y=0,IF(_xlpm.x=0,0,1),_xlpm.x/_xlpm.y))</f>
        <v>0</v>
      </c>
      <c r="AI265" s="377" cm="1">
        <f t="array" aca="1" ref="AI265" ca="1">IFERROR(SUM(_xlfn._xlws.FILTER(SchPdt3[Value],(SchPdt3[PrjId]=$B265)*(SchPdt3[Row]=$D265)*(SchPdt3[Column]=_xlfn.LET(_xlpm.x,SUBSTITUTE(UPPER(INDIRECT("r"&amp;MATCH("TIP",$A:$A,0)&amp;"c"&amp;IF(INDIRECT("r"&amp;MATCH("TAP",$A:$A,0)&amp;"c",FALSE)="SERRA","","[-1]"),FALSE)),".",""),IFERROR(_xlfn.TEXTBEFORE(_xlpm.x," ("),_xlpm.x))),0)),0)</f>
        <v>0</v>
      </c>
      <c r="AJ265" s="378" cm="1">
        <f t="array" aca="1" ref="AJ265" ca="1">_xlfn.LET(_xlpm.x,INDIRECT("rc[-1]",FALSE),_xlpm.y,SUM(INDIRECT("r[-1]c[-1]:r[-1]c",FALSE)),IF(_xlpm.y=0,IF(_xlpm.x=0,0,1),_xlpm.x/_xlpm.y))</f>
        <v>0</v>
      </c>
      <c r="AK265" s="377" cm="1">
        <f t="array" aca="1" ref="AK265" ca="1">IFERROR(SUM(_xlfn._xlws.FILTER(SchPdt3[Value],(SchPdt3[PrjId]=$B265)*(SchPdt3[Row]=$D265)*(SchPdt3[Column]=_xlfn.LET(_xlpm.x,SUBSTITUTE(UPPER(INDIRECT("r"&amp;MATCH("TIP",$A:$A,0)&amp;"c"&amp;IF(INDIRECT("r"&amp;MATCH("TAP",$A:$A,0)&amp;"c",FALSE)="SERRA","","[-1]"),FALSE)),".",""),IFERROR(_xlfn.TEXTBEFORE(_xlpm.x," ("),_xlpm.x))),0)),0)</f>
        <v>0</v>
      </c>
      <c r="AL265" s="378" cm="1">
        <f t="array" aca="1" ref="AL265" ca="1">_xlfn.LET(_xlpm.x,INDIRECT("rc[-1]",FALSE),_xlpm.y,SUM(INDIRECT("r[-1]c[-1]:r[-1]c",FALSE)),IF(_xlpm.y=0,IF(_xlpm.x=0,0,1),_xlpm.x/_xlpm.y))</f>
        <v>0</v>
      </c>
      <c r="AM265" s="377" cm="1">
        <f t="array" aca="1" ref="AM265" ca="1">IFERROR(SUM(_xlfn._xlws.FILTER(SchPdt3[Value],(SchPdt3[PrjId]=$B265)*(SchPdt3[Row]=$D265)*(SchPdt3[Column]=_xlfn.LET(_xlpm.x,SUBSTITUTE(UPPER(INDIRECT("r"&amp;MATCH("TIP",$A:$A,0)&amp;"c"&amp;IF(INDIRECT("r"&amp;MATCH("TAP",$A:$A,0)&amp;"c",FALSE)="SERRA","","[-1]"),FALSE)),".",""),IFERROR(_xlfn.TEXTBEFORE(_xlpm.x," ("),_xlpm.x))),0)),0)</f>
        <v>0</v>
      </c>
      <c r="AN265" s="378" cm="1">
        <f t="array" aca="1" ref="AN265" ca="1">_xlfn.LET(_xlpm.x,INDIRECT("rc[-1]",FALSE),_xlpm.y,SUM(INDIRECT("r[-1]c[-1]:r[-1]c",FALSE)),IF(_xlpm.y=0,IF(_xlpm.x=0,0,1),_xlpm.x/_xlpm.y))</f>
        <v>0</v>
      </c>
      <c r="AO265" s="377" cm="1">
        <f t="array" aca="1" ref="AO265" ca="1">IFERROR(SUM(_xlfn._xlws.FILTER(SchPdt3[Value],(SchPdt3[PrjId]=$B265)*(SchPdt3[Row]=$D265)*(SchPdt3[Column]=_xlfn.LET(_xlpm.x,SUBSTITUTE(UPPER(INDIRECT("r"&amp;MATCH("TIP",$A:$A,0)&amp;"c"&amp;IF(INDIRECT("r"&amp;MATCH("TAP",$A:$A,0)&amp;"c",FALSE)="SERRA","","[-1]"),FALSE)),".",""),IFERROR(_xlfn.TEXTBEFORE(_xlpm.x," ("),_xlpm.x))),0)),0)</f>
        <v>0</v>
      </c>
      <c r="AP265" s="378" cm="1">
        <f t="array" aca="1" ref="AP265" ca="1">_xlfn.LET(_xlpm.x,INDIRECT("rc[-1]",FALSE),_xlpm.y,SUM(INDIRECT("r[-1]c[-1]:r[-1]c",FALSE)),IF(_xlpm.y=0,IF(_xlpm.x=0,0,1),_xlpm.x/_xlpm.y))</f>
        <v>0</v>
      </c>
      <c r="AQ265" s="377" cm="1">
        <f t="array" aca="1" ref="AQ265" ca="1">SUM(IF(INDIRECT($AS$115)=AQ$115,INDIRECT($AS265)))</f>
        <v>0</v>
      </c>
      <c r="AR265" s="378" cm="1">
        <f t="array" aca="1" ref="AR265" ca="1">_xlfn.LET(_xlpm.x,INDIRECT("rc[-1]",FALSE),_xlpm.y,SUM(INDIRECT("r[-1]c[-1]:r[-1]c",FALSE)),IF(_xlpm.y=0,IF(_xlpm.x=0,0,1),_xlpm.x/_xlpm.y))</f>
        <v>0</v>
      </c>
      <c r="AS265" s="286" t="str">
        <f t="shared" si="23"/>
        <v>G265:AP265</v>
      </c>
      <c r="AT265" s="403">
        <f ca="1">SUM(INDIRECT("rc"&amp;MATCH("ECD",$1:$1,0)&amp;":rc"&amp;(MATCH("EOC",$1:$1,0)-2),FALSE))</f>
        <v>0</v>
      </c>
      <c r="AV265" s="142" cm="1">
        <f t="array" aca="1" ref="AV265" ca="1">IF(AND(_xlfn.LET(_xlpm.x,SUM(ROW()),OR(AND(MATCH("SOT",$A:$A,0)&lt;_xlpm.x,MATCH("EOT",$A:$A,0)&gt;_xlpm.x),AND(MATCH("SOS",$A:$A,0)&lt;_xlpm.x,MATCH("EOS",$A:$A,0)&gt;_xlpm.x),AND(MATCH("SOR",$A:$A,0)&lt;_xlpm.x,MATCH("EOR",$A:$A,0)&gt;_xlpm.x))),INDIRECT("rc"&amp;MATCH("SCD",$1:$1,0),FALSE)="PPTO"),1,0)</f>
        <v>0</v>
      </c>
      <c r="AW265" s="142" cm="1">
        <f t="array" aca="1" ref="AW26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66" spans="1:49" s="153" customFormat="1" outlineLevel="2">
      <c r="A266" s="152"/>
      <c r="B266" s="401" t="str">
        <f t="shared" si="22"/>
        <v>31200</v>
      </c>
      <c r="C266" s="148"/>
      <c r="D266" s="401" t="str" cm="1">
        <f t="array" ref="D266">_xlfn.TAKE(INDEX(_xlfn.UNIQUE(_xlfn._xlws.SORT(TbStd[Row5])),1+(SUM(ROW()-MATCH("SOP",$A:$A,0)-1)/2),0),1)</f>
        <v>FABT</v>
      </c>
      <c r="E266" s="350" t="str" cm="1">
        <f t="array" ref="E266">UPPER(_xlfn.UNIQUE(_xlfn._xlws.FILTER(TbRowMacro[RowMacroName],TbRowMacro[RowMcroId]=$D266,"X")))</f>
        <v>FABRICACION TOOL</v>
      </c>
      <c r="F266" s="402" t="s">
        <v>2074</v>
      </c>
      <c r="G266" s="377" cm="1">
        <f t="array" aca="1" ref="G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H266" s="377" cm="1">
        <f t="array" aca="1" ref="H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I266" s="377" cm="1">
        <f t="array" aca="1" ref="I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J266" s="377" cm="1">
        <f t="array" aca="1" ref="J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K266" s="377" cm="1">
        <f t="array" aca="1" ref="K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L266" s="377" cm="1">
        <f t="array" aca="1" ref="L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M266" s="377" cm="1">
        <f t="array" aca="1" ref="M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N266" s="377" cm="1">
        <f t="array" aca="1" ref="N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O266" s="377" cm="1">
        <f t="array" aca="1" ref="O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P266" s="377" cm="1">
        <f t="array" aca="1" ref="P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Q266" s="377" cm="1">
        <f t="array" aca="1" ref="Q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R266" s="377" cm="1">
        <f t="array" aca="1" ref="R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S266" s="377" cm="1">
        <f t="array" aca="1" ref="S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T266" s="377" cm="1">
        <f t="array" aca="1" ref="T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U266" s="377" cm="1">
        <f t="array" aca="1" ref="U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122621.96425583257</v>
      </c>
      <c r="V266" s="377" cm="1">
        <f t="array" aca="1" ref="V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26621.96574416745</v>
      </c>
      <c r="W266" s="377" cm="1">
        <f t="array" aca="1" ref="W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-2530.6400000000003</v>
      </c>
      <c r="X266" s="377" cm="1">
        <f t="array" aca="1" ref="X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Y266" s="377" cm="1">
        <f t="array" aca="1" ref="Y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-3477.2799999999988</v>
      </c>
      <c r="Z266" s="377" cm="1">
        <f t="array" aca="1" ref="Z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AA266" s="377" cm="1">
        <f t="array" aca="1" ref="AA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AB266" s="377" cm="1">
        <f t="array" aca="1" ref="AB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AC266" s="377" cm="1">
        <f t="array" aca="1" ref="AC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AD266" s="377" cm="1">
        <f t="array" aca="1" ref="AD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AE266" s="377" cm="1">
        <f t="array" aca="1" ref="AE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AF266" s="377" cm="1">
        <f t="array" aca="1" ref="AF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AG266" s="377" cm="1">
        <f t="array" aca="1" ref="AG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AH266" s="377" cm="1">
        <f t="array" aca="1" ref="AH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AI266" s="377" cm="1">
        <f t="array" aca="1" ref="AI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AJ266" s="377" cm="1">
        <f t="array" aca="1" ref="AJ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18720.284900000013</v>
      </c>
      <c r="AK266" s="377" cm="1">
        <f t="array" aca="1" ref="AK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AL266" s="377" cm="1">
        <f t="array" aca="1" ref="AL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AM266" s="377" cm="1">
        <f t="array" aca="1" ref="AM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AN266" s="377" cm="1">
        <f t="array" aca="1" ref="AN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AO266" s="377" cm="1">
        <f t="array" aca="1" ref="AO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AP266" s="377" cm="1">
        <f t="array" aca="1" ref="AP26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266)*(ISNUMBER(FIND(_xlpm.v,_xlfn.TEXTJOIN(":",TRUE,_xlfn.UNIQUE(_xlfn._xlws.FILTER(TbStd[RowGrp],TbStd[Row5]=$D266,"X"))))))),0)),0)</f>
        <v>0</v>
      </c>
      <c r="AQ266" s="377" cm="1">
        <f t="array" aca="1" ref="AQ266" ca="1">SUM(IF(INDIRECT($AS$115)=AQ$115,INDIRECT($AS266)))</f>
        <v>116614.04425583257</v>
      </c>
      <c r="AR266" s="377" cm="1">
        <f t="array" aca="1" ref="AR266" ca="1">SUM(IF(INDIRECT($AS$115)=AR$115,INDIRECT($AS266)))</f>
        <v>45342.250644167463</v>
      </c>
      <c r="AS266" s="286" t="str">
        <f t="shared" si="23"/>
        <v>G266:AP266</v>
      </c>
      <c r="AT266" s="403">
        <f t="shared" ca="1" si="24"/>
        <v>161956.29490000004</v>
      </c>
      <c r="AV266" s="142" cm="1">
        <f t="array" aca="1" ref="AV266" ca="1">IF(AND(_xlfn.LET(_xlpm.x,SUM(ROW()),OR(AND(MATCH("SOT",$A:$A,0)&lt;_xlpm.x,MATCH("EOT",$A:$A,0)&gt;_xlpm.x),AND(MATCH("SOS",$A:$A,0)&lt;_xlpm.x,MATCH("EOS",$A:$A,0)&gt;_xlpm.x),AND(MATCH("SOR",$A:$A,0)&lt;_xlpm.x,MATCH("EOR",$A:$A,0)&gt;_xlpm.x))),INDIRECT("rc"&amp;MATCH("SCD",$1:$1,0),FALSE)="PPTO"),1,0)</f>
        <v>0</v>
      </c>
      <c r="AW266" s="142" cm="1">
        <f t="array" aca="1" ref="AW26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67" spans="1:49" s="153" customFormat="1" outlineLevel="2">
      <c r="A267" s="152"/>
      <c r="B267" s="401" t="str">
        <f t="shared" si="22"/>
        <v>31200</v>
      </c>
      <c r="C267" s="148"/>
      <c r="D267" s="401" t="str" cm="1">
        <f t="array" ref="D267">_xlfn.TAKE(INDEX(_xlfn.UNIQUE(_xlfn._xlws.SORT(TbStd[Row5])),1+(SUM(ROW()-MATCH("SOP",$A:$A,0)-1)/2),0),1)</f>
        <v>FABT</v>
      </c>
      <c r="E267" s="350" t="str" cm="1">
        <f t="array" ref="E267">UPPER(_xlfn.UNIQUE(_xlfn._xlws.FILTER(TbRowMacro[RowMacroName],TbRowMacro[RowMcroId]=$D267,"X")))</f>
        <v>FABRICACION TOOL</v>
      </c>
      <c r="F267" s="402" t="s">
        <v>2055</v>
      </c>
      <c r="G267" s="377" cm="1">
        <f t="array" aca="1" ref="G267" ca="1">IFERROR(SUM(_xlfn._xlws.FILTER(SchPdt3[Value],(SchPdt3[PrjId]=$B267)*(SchPdt3[Row]=$D267)*(SchPdt3[Column]=_xlfn.LET(_xlpm.x,SUBSTITUTE(UPPER(INDIRECT("r"&amp;MATCH("TIP",$A:$A,0)&amp;"c"&amp;IF(INDIRECT("r"&amp;MATCH("TAP",$A:$A,0)&amp;"c",FALSE)="SERRA","","[-1]"),FALSE)),".",""),IFERROR(_xlfn.TEXTBEFORE(_xlpm.x," ("),_xlpm.x))),0)),0)</f>
        <v>0</v>
      </c>
      <c r="H267" s="378" cm="1">
        <f t="array" aca="1" ref="H267" ca="1">_xlfn.LET(_xlpm.x,INDIRECT("rc[-1]",FALSE),_xlpm.y,SUM(INDIRECT("r[-1]c[-1]:r[-1]c",FALSE)),IF(_xlpm.y=0,IF(_xlpm.x=0,0,1),_xlpm.x/_xlpm.y))</f>
        <v>0</v>
      </c>
      <c r="I267" s="377" cm="1">
        <f t="array" aca="1" ref="I267" ca="1">IFERROR(SUM(_xlfn._xlws.FILTER(SchPdt3[Value],(SchPdt3[PrjId]=$B267)*(SchPdt3[Row]=$D267)*(SchPdt3[Column]=_xlfn.LET(_xlpm.x,SUBSTITUTE(UPPER(INDIRECT("r"&amp;MATCH("TIP",$A:$A,0)&amp;"c"&amp;IF(INDIRECT("r"&amp;MATCH("TAP",$A:$A,0)&amp;"c",FALSE)="SERRA","","[-1]"),FALSE)),".",""),IFERROR(_xlfn.TEXTBEFORE(_xlpm.x," ("),_xlpm.x))),0)),0)</f>
        <v>0</v>
      </c>
      <c r="J267" s="378" cm="1">
        <f t="array" aca="1" ref="J267" ca="1">_xlfn.LET(_xlpm.x,INDIRECT("rc[-1]",FALSE),_xlpm.y,SUM(INDIRECT("r[-1]c[-1]:r[-1]c",FALSE)),IF(_xlpm.y=0,IF(_xlpm.x=0,0,1),_xlpm.x/_xlpm.y))</f>
        <v>0</v>
      </c>
      <c r="K267" s="377" cm="1">
        <f t="array" aca="1" ref="K267" ca="1">IFERROR(SUM(_xlfn._xlws.FILTER(SchPdt3[Value],(SchPdt3[PrjId]=$B267)*(SchPdt3[Row]=$D267)*(SchPdt3[Column]=_xlfn.LET(_xlpm.x,SUBSTITUTE(UPPER(INDIRECT("r"&amp;MATCH("TIP",$A:$A,0)&amp;"c"&amp;IF(INDIRECT("r"&amp;MATCH("TAP",$A:$A,0)&amp;"c",FALSE)="SERRA","","[-1]"),FALSE)),".",""),IFERROR(_xlfn.TEXTBEFORE(_xlpm.x," ("),_xlpm.x))),0)),0)</f>
        <v>0</v>
      </c>
      <c r="L267" s="378" cm="1">
        <f t="array" aca="1" ref="L267" ca="1">_xlfn.LET(_xlpm.x,INDIRECT("rc[-1]",FALSE),_xlpm.y,SUM(INDIRECT("r[-1]c[-1]:r[-1]c",FALSE)),IF(_xlpm.y=0,IF(_xlpm.x=0,0,1),_xlpm.x/_xlpm.y))</f>
        <v>0</v>
      </c>
      <c r="M267" s="377" cm="1">
        <f t="array" aca="1" ref="M267" ca="1">IFERROR(SUM(_xlfn._xlws.FILTER(SchPdt3[Value],(SchPdt3[PrjId]=$B267)*(SchPdt3[Row]=$D267)*(SchPdt3[Column]=_xlfn.LET(_xlpm.x,SUBSTITUTE(UPPER(INDIRECT("r"&amp;MATCH("TIP",$A:$A,0)&amp;"c"&amp;IF(INDIRECT("r"&amp;MATCH("TAP",$A:$A,0)&amp;"c",FALSE)="SERRA","","[-1]"),FALSE)),".",""),IFERROR(_xlfn.TEXTBEFORE(_xlpm.x," ("),_xlpm.x))),0)),0)</f>
        <v>0</v>
      </c>
      <c r="N267" s="378" cm="1">
        <f t="array" aca="1" ref="N267" ca="1">_xlfn.LET(_xlpm.x,INDIRECT("rc[-1]",FALSE),_xlpm.y,SUM(INDIRECT("r[-1]c[-1]:r[-1]c",FALSE)),IF(_xlpm.y=0,IF(_xlpm.x=0,0,1),_xlpm.x/_xlpm.y))</f>
        <v>0</v>
      </c>
      <c r="O267" s="377" cm="1">
        <f t="array" aca="1" ref="O267" ca="1">IFERROR(SUM(_xlfn._xlws.FILTER(SchPdt3[Value],(SchPdt3[PrjId]=$B267)*(SchPdt3[Row]=$D267)*(SchPdt3[Column]=_xlfn.LET(_xlpm.x,SUBSTITUTE(UPPER(INDIRECT("r"&amp;MATCH("TIP",$A:$A,0)&amp;"c"&amp;IF(INDIRECT("r"&amp;MATCH("TAP",$A:$A,0)&amp;"c",FALSE)="SERRA","","[-1]"),FALSE)),".",""),IFERROR(_xlfn.TEXTBEFORE(_xlpm.x," ("),_xlpm.x))),0)),0)</f>
        <v>0</v>
      </c>
      <c r="P267" s="378" cm="1">
        <f t="array" aca="1" ref="P267" ca="1">_xlfn.LET(_xlpm.x,INDIRECT("rc[-1]",FALSE),_xlpm.y,SUM(INDIRECT("r[-1]c[-1]:r[-1]c",FALSE)),IF(_xlpm.y=0,IF(_xlpm.x=0,0,1),_xlpm.x/_xlpm.y))</f>
        <v>0</v>
      </c>
      <c r="Q267" s="377" cm="1">
        <f t="array" aca="1" ref="Q267" ca="1">IFERROR(SUM(_xlfn._xlws.FILTER(SchPdt3[Value],(SchPdt3[PrjId]=$B267)*(SchPdt3[Row]=$D267)*(SchPdt3[Column]=_xlfn.LET(_xlpm.x,SUBSTITUTE(UPPER(INDIRECT("r"&amp;MATCH("TIP",$A:$A,0)&amp;"c"&amp;IF(INDIRECT("r"&amp;MATCH("TAP",$A:$A,0)&amp;"c",FALSE)="SERRA","","[-1]"),FALSE)),".",""),IFERROR(_xlfn.TEXTBEFORE(_xlpm.x," ("),_xlpm.x))),0)),0)</f>
        <v>0</v>
      </c>
      <c r="R267" s="378" cm="1">
        <f t="array" aca="1" ref="R267" ca="1">_xlfn.LET(_xlpm.x,INDIRECT("rc[-1]",FALSE),_xlpm.y,SUM(INDIRECT("r[-1]c[-1]:r[-1]c",FALSE)),IF(_xlpm.y=0,IF(_xlpm.x=0,0,1),_xlpm.x/_xlpm.y))</f>
        <v>0</v>
      </c>
      <c r="S267" s="377" cm="1">
        <f t="array" aca="1" ref="S267" ca="1">IFERROR(SUM(_xlfn._xlws.FILTER(SchPdt3[Value],(SchPdt3[PrjId]=$B267)*(SchPdt3[Row]=$D267)*(SchPdt3[Column]=_xlfn.LET(_xlpm.x,SUBSTITUTE(UPPER(INDIRECT("r"&amp;MATCH("TIP",$A:$A,0)&amp;"c"&amp;IF(INDIRECT("r"&amp;MATCH("TAP",$A:$A,0)&amp;"c",FALSE)="SERRA","","[-1]"),FALSE)),".",""),IFERROR(_xlfn.TEXTBEFORE(_xlpm.x," ("),_xlpm.x))),0)),0)</f>
        <v>0</v>
      </c>
      <c r="T267" s="378" cm="1">
        <f t="array" aca="1" ref="T267" ca="1">_xlfn.LET(_xlpm.x,INDIRECT("rc[-1]",FALSE),_xlpm.y,SUM(INDIRECT("r[-1]c[-1]:r[-1]c",FALSE)),IF(_xlpm.y=0,IF(_xlpm.x=0,0,1),_xlpm.x/_xlpm.y))</f>
        <v>0</v>
      </c>
      <c r="U267" s="377" cm="1">
        <f t="array" aca="1" ref="U267" ca="1">IFERROR(SUM(_xlfn._xlws.FILTER(SchPdt3[Value],(SchPdt3[PrjId]=$B267)*(SchPdt3[Row]=$D267)*(SchPdt3[Column]=_xlfn.LET(_xlpm.x,SUBSTITUTE(UPPER(INDIRECT("r"&amp;MATCH("TIP",$A:$A,0)&amp;"c"&amp;IF(INDIRECT("r"&amp;MATCH("TAP",$A:$A,0)&amp;"c",FALSE)="SERRA","","[-1]"),FALSE)),".",""),IFERROR(_xlfn.TEXTBEFORE(_xlpm.x," ("),_xlpm.x))),0)),0)</f>
        <v>0</v>
      </c>
      <c r="V267" s="378" cm="1">
        <f t="array" aca="1" ref="V267" ca="1">_xlfn.LET(_xlpm.x,INDIRECT("rc[-1]",FALSE),_xlpm.y,SUM(INDIRECT("r[-1]c[-1]:r[-1]c",FALSE)),IF(_xlpm.y=0,IF(_xlpm.x=0,0,1),_xlpm.x/_xlpm.y))</f>
        <v>0</v>
      </c>
      <c r="W267" s="377" cm="1">
        <f t="array" aca="1" ref="W267" ca="1">IFERROR(SUM(_xlfn._xlws.FILTER(SchPdt3[Value],(SchPdt3[PrjId]=$B267)*(SchPdt3[Row]=$D267)*(SchPdt3[Column]=_xlfn.LET(_xlpm.x,SUBSTITUTE(UPPER(INDIRECT("r"&amp;MATCH("TIP",$A:$A,0)&amp;"c"&amp;IF(INDIRECT("r"&amp;MATCH("TAP",$A:$A,0)&amp;"c",FALSE)="SERRA","","[-1]"),FALSE)),".",""),IFERROR(_xlfn.TEXTBEFORE(_xlpm.x," ("),_xlpm.x))),0)),0)</f>
        <v>3633.576</v>
      </c>
      <c r="X267" s="378" cm="1">
        <f t="array" aca="1" ref="X267" ca="1">_xlfn.LET(_xlpm.x,INDIRECT("rc[-1]",FALSE),_xlpm.y,SUM(INDIRECT("r[-1]c[-1]:r[-1]c",FALSE)),IF(_xlpm.y=0,IF(_xlpm.x=0,0,1),_xlpm.x/_xlpm.y))</f>
        <v>-1.4358328328011885</v>
      </c>
      <c r="Y267" s="377" cm="1">
        <f t="array" aca="1" ref="Y267" ca="1">IFERROR(SUM(_xlfn._xlws.FILTER(SchPdt3[Value],(SchPdt3[PrjId]=$B267)*(SchPdt3[Row]=$D267)*(SchPdt3[Column]=_xlfn.LET(_xlpm.x,SUBSTITUTE(UPPER(INDIRECT("r"&amp;MATCH("TIP",$A:$A,0)&amp;"c"&amp;IF(INDIRECT("r"&amp;MATCH("TAP",$A:$A,0)&amp;"c",FALSE)="SERRA","","[-1]"),FALSE)),".",""),IFERROR(_xlfn.TEXTBEFORE(_xlpm.x," ("),_xlpm.x))),0)),0)</f>
        <v>0</v>
      </c>
      <c r="Z267" s="378" cm="1">
        <f t="array" aca="1" ref="Z267" ca="1">_xlfn.LET(_xlpm.x,INDIRECT("rc[-1]",FALSE),_xlpm.y,SUM(INDIRECT("r[-1]c[-1]:r[-1]c",FALSE)),IF(_xlpm.y=0,IF(_xlpm.x=0,0,1),_xlpm.x/_xlpm.y))</f>
        <v>0</v>
      </c>
      <c r="AA267" s="377" cm="1">
        <f t="array" aca="1" ref="AA267" ca="1">IFERROR(SUM(_xlfn._xlws.FILTER(SchPdt3[Value],(SchPdt3[PrjId]=$B267)*(SchPdt3[Row]=$D267)*(SchPdt3[Column]=_xlfn.LET(_xlpm.x,SUBSTITUTE(UPPER(INDIRECT("r"&amp;MATCH("TIP",$A:$A,0)&amp;"c"&amp;IF(INDIRECT("r"&amp;MATCH("TAP",$A:$A,0)&amp;"c",FALSE)="SERRA","","[-1]"),FALSE)),".",""),IFERROR(_xlfn.TEXTBEFORE(_xlpm.x," ("),_xlpm.x))),0)),0)</f>
        <v>0</v>
      </c>
      <c r="AB267" s="378" cm="1">
        <f t="array" aca="1" ref="AB267" ca="1">_xlfn.LET(_xlpm.x,INDIRECT("rc[-1]",FALSE),_xlpm.y,SUM(INDIRECT("r[-1]c[-1]:r[-1]c",FALSE)),IF(_xlpm.y=0,IF(_xlpm.x=0,0,1),_xlpm.x/_xlpm.y))</f>
        <v>0</v>
      </c>
      <c r="AC267" s="377" cm="1">
        <f t="array" aca="1" ref="AC267" ca="1">IFERROR(SUM(_xlfn._xlws.FILTER(SchPdt3[Value],(SchPdt3[PrjId]=$B267)*(SchPdt3[Row]=$D267)*(SchPdt3[Column]=_xlfn.LET(_xlpm.x,SUBSTITUTE(UPPER(INDIRECT("r"&amp;MATCH("TIP",$A:$A,0)&amp;"c"&amp;IF(INDIRECT("r"&amp;MATCH("TAP",$A:$A,0)&amp;"c",FALSE)="SERRA","","[-1]"),FALSE)),".",""),IFERROR(_xlfn.TEXTBEFORE(_xlpm.x," ("),_xlpm.x))),0)),0)</f>
        <v>2748.3935999999999</v>
      </c>
      <c r="AD267" s="378" cm="1">
        <f t="array" aca="1" ref="AD267" ca="1">_xlfn.LET(_xlpm.x,INDIRECT("rc[-1]",FALSE),_xlpm.y,SUM(INDIRECT("r[-1]c[-1]:r[-1]c",FALSE)),IF(_xlpm.y=0,IF(_xlpm.x=0,0,1),_xlpm.x/_xlpm.y))</f>
        <v>1</v>
      </c>
      <c r="AE267" s="377" cm="1">
        <f t="array" aca="1" ref="AE267" ca="1">IFERROR(SUM(_xlfn._xlws.FILTER(SchPdt3[Value],(SchPdt3[PrjId]=$B267)*(SchPdt3[Row]=$D267)*(SchPdt3[Column]=_xlfn.LET(_xlpm.x,SUBSTITUTE(UPPER(INDIRECT("r"&amp;MATCH("TIP",$A:$A,0)&amp;"c"&amp;IF(INDIRECT("r"&amp;MATCH("TAP",$A:$A,0)&amp;"c",FALSE)="SERRA","","[-1]"),FALSE)),".",""),IFERROR(_xlfn.TEXTBEFORE(_xlpm.x," ("),_xlpm.x))),0)),0)</f>
        <v>4448.3999999999996</v>
      </c>
      <c r="AF267" s="378" cm="1">
        <f t="array" aca="1" ref="AF267" ca="1">_xlfn.LET(_xlpm.x,INDIRECT("rc[-1]",FALSE),_xlpm.y,SUM(INDIRECT("r[-1]c[-1]:r[-1]c",FALSE)),IF(_xlpm.y=0,IF(_xlpm.x=0,0,1),_xlpm.x/_xlpm.y))</f>
        <v>1</v>
      </c>
      <c r="AG267" s="377" cm="1">
        <f t="array" aca="1" ref="AG267" ca="1">IFERROR(SUM(_xlfn._xlws.FILTER(SchPdt3[Value],(SchPdt3[PrjId]=$B267)*(SchPdt3[Row]=$D267)*(SchPdt3[Column]=_xlfn.LET(_xlpm.x,SUBSTITUTE(UPPER(INDIRECT("r"&amp;MATCH("TIP",$A:$A,0)&amp;"c"&amp;IF(INDIRECT("r"&amp;MATCH("TAP",$A:$A,0)&amp;"c",FALSE)="SERRA","","[-1]"),FALSE)),".",""),IFERROR(_xlfn.TEXTBEFORE(_xlpm.x," ("),_xlpm.x))),0)),0)</f>
        <v>0</v>
      </c>
      <c r="AH267" s="378" cm="1">
        <f t="array" aca="1" ref="AH267" ca="1">_xlfn.LET(_xlpm.x,INDIRECT("rc[-1]",FALSE),_xlpm.y,SUM(INDIRECT("r[-1]c[-1]:r[-1]c",FALSE)),IF(_xlpm.y=0,IF(_xlpm.x=0,0,1),_xlpm.x/_xlpm.y))</f>
        <v>0</v>
      </c>
      <c r="AI267" s="377" cm="1">
        <f t="array" aca="1" ref="AI267" ca="1">IFERROR(SUM(_xlfn._xlws.FILTER(SchPdt3[Value],(SchPdt3[PrjId]=$B267)*(SchPdt3[Row]=$D267)*(SchPdt3[Column]=_xlfn.LET(_xlpm.x,SUBSTITUTE(UPPER(INDIRECT("r"&amp;MATCH("TIP",$A:$A,0)&amp;"c"&amp;IF(INDIRECT("r"&amp;MATCH("TAP",$A:$A,0)&amp;"c",FALSE)="SERRA","","[-1]"),FALSE)),".",""),IFERROR(_xlfn.TEXTBEFORE(_xlpm.x," ("),_xlpm.x))),0)),0)</f>
        <v>0</v>
      </c>
      <c r="AJ267" s="378" cm="1">
        <f t="array" aca="1" ref="AJ267" ca="1">_xlfn.LET(_xlpm.x,INDIRECT("rc[-1]",FALSE),_xlpm.y,SUM(INDIRECT("r[-1]c[-1]:r[-1]c",FALSE)),IF(_xlpm.y=0,IF(_xlpm.x=0,0,1),_xlpm.x/_xlpm.y))</f>
        <v>0</v>
      </c>
      <c r="AK267" s="377" cm="1">
        <f t="array" aca="1" ref="AK267" ca="1">IFERROR(SUM(_xlfn._xlws.FILTER(SchPdt3[Value],(SchPdt3[PrjId]=$B267)*(SchPdt3[Row]=$D267)*(SchPdt3[Column]=_xlfn.LET(_xlpm.x,SUBSTITUTE(UPPER(INDIRECT("r"&amp;MATCH("TIP",$A:$A,0)&amp;"c"&amp;IF(INDIRECT("r"&amp;MATCH("TAP",$A:$A,0)&amp;"c",FALSE)="SERRA","","[-1]"),FALSE)),".",""),IFERROR(_xlfn.TEXTBEFORE(_xlpm.x," ("),_xlpm.x))),0)),0)</f>
        <v>0</v>
      </c>
      <c r="AL267" s="378" cm="1">
        <f t="array" aca="1" ref="AL267" ca="1">_xlfn.LET(_xlpm.x,INDIRECT("rc[-1]",FALSE),_xlpm.y,SUM(INDIRECT("r[-1]c[-1]:r[-1]c",FALSE)),IF(_xlpm.y=0,IF(_xlpm.x=0,0,1),_xlpm.x/_xlpm.y))</f>
        <v>0</v>
      </c>
      <c r="AM267" s="377" cm="1">
        <f t="array" aca="1" ref="AM267" ca="1">IFERROR(SUM(_xlfn._xlws.FILTER(SchPdt3[Value],(SchPdt3[PrjId]=$B267)*(SchPdt3[Row]=$D267)*(SchPdt3[Column]=_xlfn.LET(_xlpm.x,SUBSTITUTE(UPPER(INDIRECT("r"&amp;MATCH("TIP",$A:$A,0)&amp;"c"&amp;IF(INDIRECT("r"&amp;MATCH("TAP",$A:$A,0)&amp;"c",FALSE)="SERRA","","[-1]"),FALSE)),".",""),IFERROR(_xlfn.TEXTBEFORE(_xlpm.x," ("),_xlpm.x))),0)),0)</f>
        <v>0</v>
      </c>
      <c r="AN267" s="378" cm="1">
        <f t="array" aca="1" ref="AN267" ca="1">_xlfn.LET(_xlpm.x,INDIRECT("rc[-1]",FALSE),_xlpm.y,SUM(INDIRECT("r[-1]c[-1]:r[-1]c",FALSE)),IF(_xlpm.y=0,IF(_xlpm.x=0,0,1),_xlpm.x/_xlpm.y))</f>
        <v>0</v>
      </c>
      <c r="AO267" s="377" cm="1">
        <f t="array" aca="1" ref="AO267" ca="1">IFERROR(SUM(_xlfn._xlws.FILTER(SchPdt3[Value],(SchPdt3[PrjId]=$B267)*(SchPdt3[Row]=$D267)*(SchPdt3[Column]=_xlfn.LET(_xlpm.x,SUBSTITUTE(UPPER(INDIRECT("r"&amp;MATCH("TIP",$A:$A,0)&amp;"c"&amp;IF(INDIRECT("r"&amp;MATCH("TAP",$A:$A,0)&amp;"c",FALSE)="SERRA","","[-1]"),FALSE)),".",""),IFERROR(_xlfn.TEXTBEFORE(_xlpm.x," ("),_xlpm.x))),0)),0)</f>
        <v>0</v>
      </c>
      <c r="AP267" s="378" cm="1">
        <f t="array" aca="1" ref="AP267" ca="1">_xlfn.LET(_xlpm.x,INDIRECT("rc[-1]",FALSE),_xlpm.y,SUM(INDIRECT("r[-1]c[-1]:r[-1]c",FALSE)),IF(_xlpm.y=0,IF(_xlpm.x=0,0,1),_xlpm.x/_xlpm.y))</f>
        <v>0</v>
      </c>
      <c r="AQ267" s="377" cm="1">
        <f t="array" aca="1" ref="AQ267" ca="1">SUM(IF(INDIRECT($AS$115)=AQ$115,INDIRECT($AS267)))</f>
        <v>10830.3696</v>
      </c>
      <c r="AR267" s="378" cm="1">
        <f t="array" aca="1" ref="AR267" ca="1">_xlfn.LET(_xlpm.x,INDIRECT("rc[-1]",FALSE),_xlpm.y,SUM(INDIRECT("r[-1]c[-1]:r[-1]c",FALSE)),IF(_xlpm.y=0,IF(_xlpm.x=0,0,1),_xlpm.x/_xlpm.y))</f>
        <v>6.687217441401222E-2</v>
      </c>
      <c r="AS267" s="286" t="str">
        <f t="shared" si="23"/>
        <v>G267:AP267</v>
      </c>
      <c r="AT267" s="403">
        <f ca="1">SUM(INDIRECT("rc"&amp;MATCH("ECD",$1:$1,0)&amp;":rc"&amp;(MATCH("EOC",$1:$1,0)-2),FALSE))</f>
        <v>10830.3696</v>
      </c>
      <c r="AV267" s="142" cm="1">
        <f t="array" aca="1" ref="AV267" ca="1">IF(AND(_xlfn.LET(_xlpm.x,SUM(ROW()),OR(AND(MATCH("SOT",$A:$A,0)&lt;_xlpm.x,MATCH("EOT",$A:$A,0)&gt;_xlpm.x),AND(MATCH("SOS",$A:$A,0)&lt;_xlpm.x,MATCH("EOS",$A:$A,0)&gt;_xlpm.x),AND(MATCH("SOR",$A:$A,0)&lt;_xlpm.x,MATCH("EOR",$A:$A,0)&gt;_xlpm.x))),INDIRECT("rc"&amp;MATCH("SCD",$1:$1,0),FALSE)="PPTO"),1,0)</f>
        <v>0</v>
      </c>
      <c r="AW267" s="142" cm="1">
        <f t="array" aca="1" ref="AW26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68" spans="1:49" s="153" customFormat="1" outlineLevel="2">
      <c r="A268" s="152"/>
      <c r="B268" s="401" t="str">
        <f t="shared" si="22"/>
        <v>31200</v>
      </c>
      <c r="C268" s="148"/>
      <c r="D268" s="401" t="str" cm="1">
        <f t="array" ref="D268">_xlfn.TAKE(INDEX(_xlfn.UNIQUE(_xlfn._xlws.SORT(TbStd[Row5])),1+(SUM(ROW()-MATCH("SOP",$A:$A,0)-1)/2),0),1)</f>
        <v>GESC</v>
      </c>
      <c r="E268" s="350" t="str" cm="1">
        <f t="array" ref="E268">UPPER(_xlfn.UNIQUE(_xlfn._xlws.FILTER(TbRowMacro[RowMacroName],TbRowMacro[RowMcroId]=$D268,"X")))</f>
        <v>GESTION COSTES EVIT./DESCUADRES</v>
      </c>
      <c r="F268" s="402" t="s">
        <v>2074</v>
      </c>
      <c r="G268" s="377" cm="1">
        <f t="array" aca="1" ref="G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H268" s="377" cm="1">
        <f t="array" aca="1" ref="H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I268" s="377" cm="1">
        <f t="array" aca="1" ref="I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J268" s="377" cm="1">
        <f t="array" aca="1" ref="J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K268" s="377" cm="1">
        <f t="array" aca="1" ref="K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-98.49</v>
      </c>
      <c r="L268" s="377" cm="1">
        <f t="array" aca="1" ref="L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M268" s="377" cm="1">
        <f t="array" aca="1" ref="M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N268" s="377" cm="1">
        <f t="array" aca="1" ref="N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O268" s="377" cm="1">
        <f t="array" aca="1" ref="O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P268" s="377" cm="1">
        <f t="array" aca="1" ref="P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Q268" s="377" cm="1">
        <f t="array" aca="1" ref="Q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R268" s="377" cm="1">
        <f t="array" aca="1" ref="R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S268" s="377" cm="1">
        <f t="array" aca="1" ref="S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T268" s="377" cm="1">
        <f t="array" aca="1" ref="T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U268" s="377" cm="1">
        <f t="array" aca="1" ref="U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V268" s="377" cm="1">
        <f t="array" aca="1" ref="V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-1114</v>
      </c>
      <c r="W268" s="377" cm="1">
        <f t="array" aca="1" ref="W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-2991.75</v>
      </c>
      <c r="X268" s="377" cm="1">
        <f t="array" aca="1" ref="X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1726.6</v>
      </c>
      <c r="Y268" s="377" cm="1">
        <f t="array" aca="1" ref="Y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-147.64999999999998</v>
      </c>
      <c r="Z268" s="377" cm="1">
        <f t="array" aca="1" ref="Z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78.55</v>
      </c>
      <c r="AA268" s="377" cm="1">
        <f t="array" aca="1" ref="AA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AB268" s="377" cm="1">
        <f t="array" aca="1" ref="AB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AC268" s="377" cm="1">
        <f t="array" aca="1" ref="AC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AD268" s="377" cm="1">
        <f t="array" aca="1" ref="AD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AE268" s="377" cm="1">
        <f t="array" aca="1" ref="AE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-1639.71</v>
      </c>
      <c r="AF268" s="377" cm="1">
        <f t="array" aca="1" ref="AF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AG268" s="377" cm="1">
        <f t="array" aca="1" ref="AG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AH268" s="377" cm="1">
        <f t="array" aca="1" ref="AH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AI268" s="377" cm="1">
        <f t="array" aca="1" ref="AI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AJ268" s="377" cm="1">
        <f t="array" aca="1" ref="AJ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-157.79999999999927</v>
      </c>
      <c r="AK268" s="377" cm="1">
        <f t="array" aca="1" ref="AK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AL268" s="377" cm="1">
        <f t="array" aca="1" ref="AL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AM268" s="377" cm="1">
        <f t="array" aca="1" ref="AM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AN268" s="377" cm="1">
        <f t="array" aca="1" ref="AN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AO268" s="377" cm="1">
        <f t="array" aca="1" ref="AO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AP268" s="377" cm="1">
        <f t="array" aca="1" ref="AP26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268)*(ISNUMBER(FIND(_xlpm.v,_xlfn.TEXTJOIN(":",TRUE,_xlfn.UNIQUE(_xlfn._xlws.FILTER(TbStd[RowGrp],TbStd[Row5]=$D268,"X"))))))),0)),0)</f>
        <v>0</v>
      </c>
      <c r="AQ268" s="377" cm="1">
        <f t="array" aca="1" ref="AQ268" ca="1">SUM(IF(INDIRECT($AS$115)=AQ$115,INDIRECT($AS268)))</f>
        <v>-4877.6000000000004</v>
      </c>
      <c r="AR268" s="377" cm="1">
        <f t="array" aca="1" ref="AR268" ca="1">SUM(IF(INDIRECT($AS$115)=AR$115,INDIRECT($AS268)))</f>
        <v>533.35000000000059</v>
      </c>
      <c r="AS268" s="286" t="str">
        <f t="shared" si="23"/>
        <v>G268:AP268</v>
      </c>
      <c r="AT268" s="403">
        <f t="shared" ca="1" si="24"/>
        <v>-4344.25</v>
      </c>
      <c r="AV268" s="142" cm="1">
        <f t="array" aca="1" ref="AV268" ca="1">IF(AND(_xlfn.LET(_xlpm.x,SUM(ROW()),OR(AND(MATCH("SOT",$A:$A,0)&lt;_xlpm.x,MATCH("EOT",$A:$A,0)&gt;_xlpm.x),AND(MATCH("SOS",$A:$A,0)&lt;_xlpm.x,MATCH("EOS",$A:$A,0)&gt;_xlpm.x),AND(MATCH("SOR",$A:$A,0)&lt;_xlpm.x,MATCH("EOR",$A:$A,0)&gt;_xlpm.x))),INDIRECT("rc"&amp;MATCH("SCD",$1:$1,0),FALSE)="PPTO"),1,0)</f>
        <v>0</v>
      </c>
      <c r="AW268" s="142" cm="1">
        <f t="array" aca="1" ref="AW26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69" spans="1:49" s="153" customFormat="1" outlineLevel="2">
      <c r="A269" s="152"/>
      <c r="B269" s="401" t="str">
        <f t="shared" si="22"/>
        <v>31200</v>
      </c>
      <c r="C269" s="148"/>
      <c r="D269" s="401" t="str" cm="1">
        <f t="array" ref="D269">_xlfn.TAKE(INDEX(_xlfn.UNIQUE(_xlfn._xlws.SORT(TbStd[Row5])),1+(SUM(ROW()-MATCH("SOP",$A:$A,0)-1)/2),0),1)</f>
        <v>GESC</v>
      </c>
      <c r="E269" s="350" t="str" cm="1">
        <f t="array" ref="E269">UPPER(_xlfn.UNIQUE(_xlfn._xlws.FILTER(TbRowMacro[RowMacroName],TbRowMacro[RowMcroId]=$D269,"X")))</f>
        <v>GESTION COSTES EVIT./DESCUADRES</v>
      </c>
      <c r="F269" s="402" t="s">
        <v>2055</v>
      </c>
      <c r="G269" s="377" cm="1">
        <f t="array" aca="1" ref="G269" ca="1">IFERROR(SUM(_xlfn._xlws.FILTER(SchPdt3[Value],(SchPdt3[PrjId]=$B269)*(SchPdt3[Row]=$D269)*(SchPdt3[Column]=_xlfn.LET(_xlpm.x,SUBSTITUTE(UPPER(INDIRECT("r"&amp;MATCH("TIP",$A:$A,0)&amp;"c"&amp;IF(INDIRECT("r"&amp;MATCH("TAP",$A:$A,0)&amp;"c",FALSE)="SERRA","","[-1]"),FALSE)),".",""),IFERROR(_xlfn.TEXTBEFORE(_xlpm.x," ("),_xlpm.x))),0)),0)</f>
        <v>0</v>
      </c>
      <c r="H269" s="378" cm="1">
        <f t="array" aca="1" ref="H269" ca="1">_xlfn.LET(_xlpm.x,INDIRECT("rc[-1]",FALSE),_xlpm.y,SUM(INDIRECT("r[-1]c[-1]:r[-1]c",FALSE)),IF(_xlpm.y=0,IF(_xlpm.x=0,0,1),_xlpm.x/_xlpm.y))</f>
        <v>0</v>
      </c>
      <c r="I269" s="377" cm="1">
        <f t="array" aca="1" ref="I269" ca="1">IFERROR(SUM(_xlfn._xlws.FILTER(SchPdt3[Value],(SchPdt3[PrjId]=$B269)*(SchPdt3[Row]=$D269)*(SchPdt3[Column]=_xlfn.LET(_xlpm.x,SUBSTITUTE(UPPER(INDIRECT("r"&amp;MATCH("TIP",$A:$A,0)&amp;"c"&amp;IF(INDIRECT("r"&amp;MATCH("TAP",$A:$A,0)&amp;"c",FALSE)="SERRA","","[-1]"),FALSE)),".",""),IFERROR(_xlfn.TEXTBEFORE(_xlpm.x," ("),_xlpm.x))),0)),0)</f>
        <v>0</v>
      </c>
      <c r="J269" s="378" cm="1">
        <f t="array" aca="1" ref="J269" ca="1">_xlfn.LET(_xlpm.x,INDIRECT("rc[-1]",FALSE),_xlpm.y,SUM(INDIRECT("r[-1]c[-1]:r[-1]c",FALSE)),IF(_xlpm.y=0,IF(_xlpm.x=0,0,1),_xlpm.x/_xlpm.y))</f>
        <v>0</v>
      </c>
      <c r="K269" s="377" cm="1">
        <f t="array" aca="1" ref="K269" ca="1">IFERROR(SUM(_xlfn._xlws.FILTER(SchPdt3[Value],(SchPdt3[PrjId]=$B269)*(SchPdt3[Row]=$D269)*(SchPdt3[Column]=_xlfn.LET(_xlpm.x,SUBSTITUTE(UPPER(INDIRECT("r"&amp;MATCH("TIP",$A:$A,0)&amp;"c"&amp;IF(INDIRECT("r"&amp;MATCH("TAP",$A:$A,0)&amp;"c",FALSE)="SERRA","","[-1]"),FALSE)),".",""),IFERROR(_xlfn.TEXTBEFORE(_xlpm.x," ("),_xlpm.x))),0)),0)</f>
        <v>0</v>
      </c>
      <c r="L269" s="378" cm="1">
        <f t="array" aca="1" ref="L269" ca="1">_xlfn.LET(_xlpm.x,INDIRECT("rc[-1]",FALSE),_xlpm.y,SUM(INDIRECT("r[-1]c[-1]:r[-1]c",FALSE)),IF(_xlpm.y=0,IF(_xlpm.x=0,0,1),_xlpm.x/_xlpm.y))</f>
        <v>0</v>
      </c>
      <c r="M269" s="377" cm="1">
        <f t="array" aca="1" ref="M269" ca="1">IFERROR(SUM(_xlfn._xlws.FILTER(SchPdt3[Value],(SchPdt3[PrjId]=$B269)*(SchPdt3[Row]=$D269)*(SchPdt3[Column]=_xlfn.LET(_xlpm.x,SUBSTITUTE(UPPER(INDIRECT("r"&amp;MATCH("TIP",$A:$A,0)&amp;"c"&amp;IF(INDIRECT("r"&amp;MATCH("TAP",$A:$A,0)&amp;"c",FALSE)="SERRA","","[-1]"),FALSE)),".",""),IFERROR(_xlfn.TEXTBEFORE(_xlpm.x," ("),_xlpm.x))),0)),0)</f>
        <v>0</v>
      </c>
      <c r="N269" s="378" cm="1">
        <f t="array" aca="1" ref="N269" ca="1">_xlfn.LET(_xlpm.x,INDIRECT("rc[-1]",FALSE),_xlpm.y,SUM(INDIRECT("r[-1]c[-1]:r[-1]c",FALSE)),IF(_xlpm.y=0,IF(_xlpm.x=0,0,1),_xlpm.x/_xlpm.y))</f>
        <v>0</v>
      </c>
      <c r="O269" s="377" cm="1">
        <f t="array" aca="1" ref="O269" ca="1">IFERROR(SUM(_xlfn._xlws.FILTER(SchPdt3[Value],(SchPdt3[PrjId]=$B269)*(SchPdt3[Row]=$D269)*(SchPdt3[Column]=_xlfn.LET(_xlpm.x,SUBSTITUTE(UPPER(INDIRECT("r"&amp;MATCH("TIP",$A:$A,0)&amp;"c"&amp;IF(INDIRECT("r"&amp;MATCH("TAP",$A:$A,0)&amp;"c",FALSE)="SERRA","","[-1]"),FALSE)),".",""),IFERROR(_xlfn.TEXTBEFORE(_xlpm.x," ("),_xlpm.x))),0)),0)</f>
        <v>0</v>
      </c>
      <c r="P269" s="378" cm="1">
        <f t="array" aca="1" ref="P269" ca="1">_xlfn.LET(_xlpm.x,INDIRECT("rc[-1]",FALSE),_xlpm.y,SUM(INDIRECT("r[-1]c[-1]:r[-1]c",FALSE)),IF(_xlpm.y=0,IF(_xlpm.x=0,0,1),_xlpm.x/_xlpm.y))</f>
        <v>0</v>
      </c>
      <c r="Q269" s="377" cm="1">
        <f t="array" aca="1" ref="Q269" ca="1">IFERROR(SUM(_xlfn._xlws.FILTER(SchPdt3[Value],(SchPdt3[PrjId]=$B269)*(SchPdt3[Row]=$D269)*(SchPdt3[Column]=_xlfn.LET(_xlpm.x,SUBSTITUTE(UPPER(INDIRECT("r"&amp;MATCH("TIP",$A:$A,0)&amp;"c"&amp;IF(INDIRECT("r"&amp;MATCH("TAP",$A:$A,0)&amp;"c",FALSE)="SERRA","","[-1]"),FALSE)),".",""),IFERROR(_xlfn.TEXTBEFORE(_xlpm.x," ("),_xlpm.x))),0)),0)</f>
        <v>0</v>
      </c>
      <c r="R269" s="378" cm="1">
        <f t="array" aca="1" ref="R269" ca="1">_xlfn.LET(_xlpm.x,INDIRECT("rc[-1]",FALSE),_xlpm.y,SUM(INDIRECT("r[-1]c[-1]:r[-1]c",FALSE)),IF(_xlpm.y=0,IF(_xlpm.x=0,0,1),_xlpm.x/_xlpm.y))</f>
        <v>0</v>
      </c>
      <c r="S269" s="377" cm="1">
        <f t="array" aca="1" ref="S269" ca="1">IFERROR(SUM(_xlfn._xlws.FILTER(SchPdt3[Value],(SchPdt3[PrjId]=$B269)*(SchPdt3[Row]=$D269)*(SchPdt3[Column]=_xlfn.LET(_xlpm.x,SUBSTITUTE(UPPER(INDIRECT("r"&amp;MATCH("TIP",$A:$A,0)&amp;"c"&amp;IF(INDIRECT("r"&amp;MATCH("TAP",$A:$A,0)&amp;"c",FALSE)="SERRA","","[-1]"),FALSE)),".",""),IFERROR(_xlfn.TEXTBEFORE(_xlpm.x," ("),_xlpm.x))),0)),0)</f>
        <v>0</v>
      </c>
      <c r="T269" s="378" cm="1">
        <f t="array" aca="1" ref="T269" ca="1">_xlfn.LET(_xlpm.x,INDIRECT("rc[-1]",FALSE),_xlpm.y,SUM(INDIRECT("r[-1]c[-1]:r[-1]c",FALSE)),IF(_xlpm.y=0,IF(_xlpm.x=0,0,1),_xlpm.x/_xlpm.y))</f>
        <v>0</v>
      </c>
      <c r="U269" s="377" cm="1">
        <f t="array" aca="1" ref="U269" ca="1">IFERROR(SUM(_xlfn._xlws.FILTER(SchPdt3[Value],(SchPdt3[PrjId]=$B269)*(SchPdt3[Row]=$D269)*(SchPdt3[Column]=_xlfn.LET(_xlpm.x,SUBSTITUTE(UPPER(INDIRECT("r"&amp;MATCH("TIP",$A:$A,0)&amp;"c"&amp;IF(INDIRECT("r"&amp;MATCH("TAP",$A:$A,0)&amp;"c",FALSE)="SERRA","","[-1]"),FALSE)),".",""),IFERROR(_xlfn.TEXTBEFORE(_xlpm.x," ("),_xlpm.x))),0)),0)</f>
        <v>0</v>
      </c>
      <c r="V269" s="378" cm="1">
        <f t="array" aca="1" ref="V269" ca="1">_xlfn.LET(_xlpm.x,INDIRECT("rc[-1]",FALSE),_xlpm.y,SUM(INDIRECT("r[-1]c[-1]:r[-1]c",FALSE)),IF(_xlpm.y=0,IF(_xlpm.x=0,0,1),_xlpm.x/_xlpm.y))</f>
        <v>0</v>
      </c>
      <c r="W269" s="377" cm="1">
        <f t="array" aca="1" ref="W269" ca="1">IFERROR(SUM(_xlfn._xlws.FILTER(SchPdt3[Value],(SchPdt3[PrjId]=$B269)*(SchPdt3[Row]=$D269)*(SchPdt3[Column]=_xlfn.LET(_xlpm.x,SUBSTITUTE(UPPER(INDIRECT("r"&amp;MATCH("TIP",$A:$A,0)&amp;"c"&amp;IF(INDIRECT("r"&amp;MATCH("TAP",$A:$A,0)&amp;"c",FALSE)="SERRA","","[-1]"),FALSE)),".",""),IFERROR(_xlfn.TEXTBEFORE(_xlpm.x," ("),_xlpm.x))),0)),0)</f>
        <v>0</v>
      </c>
      <c r="X269" s="378" cm="1">
        <f t="array" aca="1" ref="X269" ca="1">_xlfn.LET(_xlpm.x,INDIRECT("rc[-1]",FALSE),_xlpm.y,SUM(INDIRECT("r[-1]c[-1]:r[-1]c",FALSE)),IF(_xlpm.y=0,IF(_xlpm.x=0,0,1),_xlpm.x/_xlpm.y))</f>
        <v>0</v>
      </c>
      <c r="Y269" s="377" cm="1">
        <f t="array" aca="1" ref="Y269" ca="1">IFERROR(SUM(_xlfn._xlws.FILTER(SchPdt3[Value],(SchPdt3[PrjId]=$B269)*(SchPdt3[Row]=$D269)*(SchPdt3[Column]=_xlfn.LET(_xlpm.x,SUBSTITUTE(UPPER(INDIRECT("r"&amp;MATCH("TIP",$A:$A,0)&amp;"c"&amp;IF(INDIRECT("r"&amp;MATCH("TAP",$A:$A,0)&amp;"c",FALSE)="SERRA","","[-1]"),FALSE)),".",""),IFERROR(_xlfn.TEXTBEFORE(_xlpm.x," ("),_xlpm.x))),0)),0)</f>
        <v>0</v>
      </c>
      <c r="Z269" s="378" cm="1">
        <f t="array" aca="1" ref="Z269" ca="1">_xlfn.LET(_xlpm.x,INDIRECT("rc[-1]",FALSE),_xlpm.y,SUM(INDIRECT("r[-1]c[-1]:r[-1]c",FALSE)),IF(_xlpm.y=0,IF(_xlpm.x=0,0,1),_xlpm.x/_xlpm.y))</f>
        <v>0</v>
      </c>
      <c r="AA269" s="377" cm="1">
        <f t="array" aca="1" ref="AA269" ca="1">IFERROR(SUM(_xlfn._xlws.FILTER(SchPdt3[Value],(SchPdt3[PrjId]=$B269)*(SchPdt3[Row]=$D269)*(SchPdt3[Column]=_xlfn.LET(_xlpm.x,SUBSTITUTE(UPPER(INDIRECT("r"&amp;MATCH("TIP",$A:$A,0)&amp;"c"&amp;IF(INDIRECT("r"&amp;MATCH("TAP",$A:$A,0)&amp;"c",FALSE)="SERRA","","[-1]"),FALSE)),".",""),IFERROR(_xlfn.TEXTBEFORE(_xlpm.x," ("),_xlpm.x))),0)),0)</f>
        <v>0</v>
      </c>
      <c r="AB269" s="378" cm="1">
        <f t="array" aca="1" ref="AB269" ca="1">_xlfn.LET(_xlpm.x,INDIRECT("rc[-1]",FALSE),_xlpm.y,SUM(INDIRECT("r[-1]c[-1]:r[-1]c",FALSE)),IF(_xlpm.y=0,IF(_xlpm.x=0,0,1),_xlpm.x/_xlpm.y))</f>
        <v>0</v>
      </c>
      <c r="AC269" s="377" cm="1">
        <f t="array" aca="1" ref="AC269" ca="1">IFERROR(SUM(_xlfn._xlws.FILTER(SchPdt3[Value],(SchPdt3[PrjId]=$B269)*(SchPdt3[Row]=$D269)*(SchPdt3[Column]=_xlfn.LET(_xlpm.x,SUBSTITUTE(UPPER(INDIRECT("r"&amp;MATCH("TIP",$A:$A,0)&amp;"c"&amp;IF(INDIRECT("r"&amp;MATCH("TAP",$A:$A,0)&amp;"c",FALSE)="SERRA","","[-1]"),FALSE)),".",""),IFERROR(_xlfn.TEXTBEFORE(_xlpm.x," ("),_xlpm.x))),0)),0)</f>
        <v>0</v>
      </c>
      <c r="AD269" s="378" cm="1">
        <f t="array" aca="1" ref="AD269" ca="1">_xlfn.LET(_xlpm.x,INDIRECT("rc[-1]",FALSE),_xlpm.y,SUM(INDIRECT("r[-1]c[-1]:r[-1]c",FALSE)),IF(_xlpm.y=0,IF(_xlpm.x=0,0,1),_xlpm.x/_xlpm.y))</f>
        <v>0</v>
      </c>
      <c r="AE269" s="377" cm="1">
        <f t="array" aca="1" ref="AE269" ca="1">IFERROR(SUM(_xlfn._xlws.FILTER(SchPdt3[Value],(SchPdt3[PrjId]=$B269)*(SchPdt3[Row]=$D269)*(SchPdt3[Column]=_xlfn.LET(_xlpm.x,SUBSTITUTE(UPPER(INDIRECT("r"&amp;MATCH("TIP",$A:$A,0)&amp;"c"&amp;IF(INDIRECT("r"&amp;MATCH("TAP",$A:$A,0)&amp;"c",FALSE)="SERRA","","[-1]"),FALSE)),".",""),IFERROR(_xlfn.TEXTBEFORE(_xlpm.x," ("),_xlpm.x))),0)),0)</f>
        <v>0</v>
      </c>
      <c r="AF269" s="378" cm="1">
        <f t="array" aca="1" ref="AF269" ca="1">_xlfn.LET(_xlpm.x,INDIRECT("rc[-1]",FALSE),_xlpm.y,SUM(INDIRECT("r[-1]c[-1]:r[-1]c",FALSE)),IF(_xlpm.y=0,IF(_xlpm.x=0,0,1),_xlpm.x/_xlpm.y))</f>
        <v>0</v>
      </c>
      <c r="AG269" s="377" cm="1">
        <f t="array" aca="1" ref="AG269" ca="1">IFERROR(SUM(_xlfn._xlws.FILTER(SchPdt3[Value],(SchPdt3[PrjId]=$B269)*(SchPdt3[Row]=$D269)*(SchPdt3[Column]=_xlfn.LET(_xlpm.x,SUBSTITUTE(UPPER(INDIRECT("r"&amp;MATCH("TIP",$A:$A,0)&amp;"c"&amp;IF(INDIRECT("r"&amp;MATCH("TAP",$A:$A,0)&amp;"c",FALSE)="SERRA","","[-1]"),FALSE)),".",""),IFERROR(_xlfn.TEXTBEFORE(_xlpm.x," ("),_xlpm.x))),0)),0)</f>
        <v>0</v>
      </c>
      <c r="AH269" s="378" cm="1">
        <f t="array" aca="1" ref="AH269" ca="1">_xlfn.LET(_xlpm.x,INDIRECT("rc[-1]",FALSE),_xlpm.y,SUM(INDIRECT("r[-1]c[-1]:r[-1]c",FALSE)),IF(_xlpm.y=0,IF(_xlpm.x=0,0,1),_xlpm.x/_xlpm.y))</f>
        <v>0</v>
      </c>
      <c r="AI269" s="377" cm="1">
        <f t="array" aca="1" ref="AI269" ca="1">IFERROR(SUM(_xlfn._xlws.FILTER(SchPdt3[Value],(SchPdt3[PrjId]=$B269)*(SchPdt3[Row]=$D269)*(SchPdt3[Column]=_xlfn.LET(_xlpm.x,SUBSTITUTE(UPPER(INDIRECT("r"&amp;MATCH("TIP",$A:$A,0)&amp;"c"&amp;IF(INDIRECT("r"&amp;MATCH("TAP",$A:$A,0)&amp;"c",FALSE)="SERRA","","[-1]"),FALSE)),".",""),IFERROR(_xlfn.TEXTBEFORE(_xlpm.x," ("),_xlpm.x))),0)),0)</f>
        <v>0</v>
      </c>
      <c r="AJ269" s="378" cm="1">
        <f t="array" aca="1" ref="AJ269" ca="1">_xlfn.LET(_xlpm.x,INDIRECT("rc[-1]",FALSE),_xlpm.y,SUM(INDIRECT("r[-1]c[-1]:r[-1]c",FALSE)),IF(_xlpm.y=0,IF(_xlpm.x=0,0,1),_xlpm.x/_xlpm.y))</f>
        <v>0</v>
      </c>
      <c r="AK269" s="377" cm="1">
        <f t="array" aca="1" ref="AK269" ca="1">IFERROR(SUM(_xlfn._xlws.FILTER(SchPdt3[Value],(SchPdt3[PrjId]=$B269)*(SchPdt3[Row]=$D269)*(SchPdt3[Column]=_xlfn.LET(_xlpm.x,SUBSTITUTE(UPPER(INDIRECT("r"&amp;MATCH("TIP",$A:$A,0)&amp;"c"&amp;IF(INDIRECT("r"&amp;MATCH("TAP",$A:$A,0)&amp;"c",FALSE)="SERRA","","[-1]"),FALSE)),".",""),IFERROR(_xlfn.TEXTBEFORE(_xlpm.x," ("),_xlpm.x))),0)),0)</f>
        <v>0</v>
      </c>
      <c r="AL269" s="378" cm="1">
        <f t="array" aca="1" ref="AL269" ca="1">_xlfn.LET(_xlpm.x,INDIRECT("rc[-1]",FALSE),_xlpm.y,SUM(INDIRECT("r[-1]c[-1]:r[-1]c",FALSE)),IF(_xlpm.y=0,IF(_xlpm.x=0,0,1),_xlpm.x/_xlpm.y))</f>
        <v>0</v>
      </c>
      <c r="AM269" s="377" cm="1">
        <f t="array" aca="1" ref="AM269" ca="1">IFERROR(SUM(_xlfn._xlws.FILTER(SchPdt3[Value],(SchPdt3[PrjId]=$B269)*(SchPdt3[Row]=$D269)*(SchPdt3[Column]=_xlfn.LET(_xlpm.x,SUBSTITUTE(UPPER(INDIRECT("r"&amp;MATCH("TIP",$A:$A,0)&amp;"c"&amp;IF(INDIRECT("r"&amp;MATCH("TAP",$A:$A,0)&amp;"c",FALSE)="SERRA","","[-1]"),FALSE)),".",""),IFERROR(_xlfn.TEXTBEFORE(_xlpm.x," ("),_xlpm.x))),0)),0)</f>
        <v>0</v>
      </c>
      <c r="AN269" s="378" cm="1">
        <f t="array" aca="1" ref="AN269" ca="1">_xlfn.LET(_xlpm.x,INDIRECT("rc[-1]",FALSE),_xlpm.y,SUM(INDIRECT("r[-1]c[-1]:r[-1]c",FALSE)),IF(_xlpm.y=0,IF(_xlpm.x=0,0,1),_xlpm.x/_xlpm.y))</f>
        <v>0</v>
      </c>
      <c r="AO269" s="377" cm="1">
        <f t="array" aca="1" ref="AO269" ca="1">IFERROR(SUM(_xlfn._xlws.FILTER(SchPdt3[Value],(SchPdt3[PrjId]=$B269)*(SchPdt3[Row]=$D269)*(SchPdt3[Column]=_xlfn.LET(_xlpm.x,SUBSTITUTE(UPPER(INDIRECT("r"&amp;MATCH("TIP",$A:$A,0)&amp;"c"&amp;IF(INDIRECT("r"&amp;MATCH("TAP",$A:$A,0)&amp;"c",FALSE)="SERRA","","[-1]"),FALSE)),".",""),IFERROR(_xlfn.TEXTBEFORE(_xlpm.x," ("),_xlpm.x))),0)),0)</f>
        <v>0</v>
      </c>
      <c r="AP269" s="378" cm="1">
        <f t="array" aca="1" ref="AP269" ca="1">_xlfn.LET(_xlpm.x,INDIRECT("rc[-1]",FALSE),_xlpm.y,SUM(INDIRECT("r[-1]c[-1]:r[-1]c",FALSE)),IF(_xlpm.y=0,IF(_xlpm.x=0,0,1),_xlpm.x/_xlpm.y))</f>
        <v>0</v>
      </c>
      <c r="AQ269" s="377" cm="1">
        <f t="array" aca="1" ref="AQ269" ca="1">SUM(IF(INDIRECT($AS$115)=AQ$115,INDIRECT($AS269)))</f>
        <v>0</v>
      </c>
      <c r="AR269" s="378" cm="1">
        <f t="array" aca="1" ref="AR269" ca="1">_xlfn.LET(_xlpm.x,INDIRECT("rc[-1]",FALSE),_xlpm.y,SUM(INDIRECT("r[-1]c[-1]:r[-1]c",FALSE)),IF(_xlpm.y=0,IF(_xlpm.x=0,0,1),_xlpm.x/_xlpm.y))</f>
        <v>0</v>
      </c>
      <c r="AS269" s="286" t="str">
        <f t="shared" si="23"/>
        <v>G269:AP269</v>
      </c>
      <c r="AT269" s="403">
        <f ca="1">SUM(INDIRECT("rc"&amp;MATCH("ECD",$1:$1,0)&amp;":rc"&amp;(MATCH("EOC",$1:$1,0)-2),FALSE))</f>
        <v>0</v>
      </c>
      <c r="AV269" s="142" cm="1">
        <f t="array" aca="1" ref="AV269" ca="1">IF(AND(_xlfn.LET(_xlpm.x,SUM(ROW()),OR(AND(MATCH("SOT",$A:$A,0)&lt;_xlpm.x,MATCH("EOT",$A:$A,0)&gt;_xlpm.x),AND(MATCH("SOS",$A:$A,0)&lt;_xlpm.x,MATCH("EOS",$A:$A,0)&gt;_xlpm.x),AND(MATCH("SOR",$A:$A,0)&lt;_xlpm.x,MATCH("EOR",$A:$A,0)&gt;_xlpm.x))),INDIRECT("rc"&amp;MATCH("SCD",$1:$1,0),FALSE)="PPTO"),1,0)</f>
        <v>0</v>
      </c>
      <c r="AW269" s="142" cm="1">
        <f t="array" aca="1" ref="AW26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70" spans="1:49" s="153" customFormat="1" outlineLevel="2">
      <c r="A270" s="152"/>
      <c r="B270" s="401" t="str">
        <f t="shared" si="22"/>
        <v>31200</v>
      </c>
      <c r="C270" s="148"/>
      <c r="D270" s="401" t="str" cm="1">
        <f t="array" ref="D270">_xlfn.TAKE(INDEX(_xlfn.UNIQUE(_xlfn._xlws.SORT(TbStd[Row5])),1+(SUM(ROW()-MATCH("SOP",$A:$A,0)-1)/2),0),1)</f>
        <v>GESG</v>
      </c>
      <c r="E270" s="350" t="str" cm="1">
        <f t="array" ref="E270">UPPER(_xlfn.UNIQUE(_xlfn._xlws.FILTER(TbRowMacro[RowMacroName],TbRowMacro[RowMcroId]=$D270,"X")))</f>
        <v>GASTOS GRAL/EN PLANTA</v>
      </c>
      <c r="F270" s="402" t="s">
        <v>2074</v>
      </c>
      <c r="G270" s="377" cm="1">
        <f t="array" aca="1" ref="G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H270" s="377" cm="1">
        <f t="array" aca="1" ref="H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I270" s="377" cm="1">
        <f t="array" aca="1" ref="I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J270" s="377" cm="1">
        <f t="array" aca="1" ref="J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K270" s="377" cm="1">
        <f t="array" aca="1" ref="K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L270" s="377" cm="1">
        <f t="array" aca="1" ref="L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M270" s="377" cm="1">
        <f t="array" aca="1" ref="M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N270" s="377" cm="1">
        <f t="array" aca="1" ref="N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O270" s="377" cm="1">
        <f t="array" aca="1" ref="O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P270" s="377" cm="1">
        <f t="array" aca="1" ref="P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Q270" s="377" cm="1">
        <f t="array" aca="1" ref="Q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R270" s="377" cm="1">
        <f t="array" aca="1" ref="R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S270" s="377" cm="1">
        <f t="array" aca="1" ref="S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T270" s="377" cm="1">
        <f t="array" aca="1" ref="T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U270" s="377" cm="1">
        <f t="array" aca="1" ref="U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V270" s="377" cm="1">
        <f t="array" aca="1" ref="V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W270" s="377" cm="1">
        <f t="array" aca="1" ref="W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X270" s="377" cm="1">
        <f t="array" aca="1" ref="X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Y270" s="377" cm="1">
        <f t="array" aca="1" ref="Y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Z270" s="377" cm="1">
        <f t="array" aca="1" ref="Z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AA270" s="377" cm="1">
        <f t="array" aca="1" ref="AA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AB270" s="377" cm="1">
        <f t="array" aca="1" ref="AB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AC270" s="377" cm="1">
        <f t="array" aca="1" ref="AC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AD270" s="377" cm="1">
        <f t="array" aca="1" ref="AD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AE270" s="377" cm="1">
        <f t="array" aca="1" ref="AE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AF270" s="377" cm="1">
        <f t="array" aca="1" ref="AF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AG270" s="377" cm="1">
        <f t="array" aca="1" ref="AG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AH270" s="377" cm="1">
        <f t="array" aca="1" ref="AH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AI270" s="377" cm="1">
        <f t="array" aca="1" ref="AI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AJ270" s="377" cm="1">
        <f t="array" aca="1" ref="AJ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AK270" s="377" cm="1">
        <f t="array" aca="1" ref="AK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AL270" s="377" cm="1">
        <f t="array" aca="1" ref="AL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AM270" s="377" cm="1">
        <f t="array" aca="1" ref="AM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AN270" s="377" cm="1">
        <f t="array" aca="1" ref="AN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0</v>
      </c>
      <c r="AO270" s="377" cm="1">
        <f t="array" aca="1" ref="AO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-4343.2300000000032</v>
      </c>
      <c r="AP270" s="377" cm="1">
        <f t="array" aca="1" ref="AP27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270)*(ISNUMBER(FIND(_xlpm.v,_xlfn.TEXTJOIN(":",TRUE,_xlfn.UNIQUE(_xlfn._xlws.FILTER(TbStd[RowGrp],TbStd[Row5]=$D270,"X"))))))),0)),0)</f>
        <v>388788.60680000001</v>
      </c>
      <c r="AQ270" s="377" cm="1">
        <f t="array" aca="1" ref="AQ270" ca="1">SUM(IF(INDIRECT($AS$115)=AQ$115,INDIRECT($AS270)))</f>
        <v>-4343.2300000000032</v>
      </c>
      <c r="AR270" s="377" cm="1">
        <f t="array" aca="1" ref="AR270" ca="1">SUM(IF(INDIRECT($AS$115)=AR$115,INDIRECT($AS270)))</f>
        <v>388788.60680000001</v>
      </c>
      <c r="AS270" s="286" t="str">
        <f t="shared" si="23"/>
        <v>G270:AP270</v>
      </c>
      <c r="AT270" s="403">
        <f t="shared" ca="1" si="24"/>
        <v>384445.37680000003</v>
      </c>
      <c r="AV270" s="142" cm="1">
        <f t="array" aca="1" ref="AV270" ca="1">IF(AND(_xlfn.LET(_xlpm.x,SUM(ROW()),OR(AND(MATCH("SOT",$A:$A,0)&lt;_xlpm.x,MATCH("EOT",$A:$A,0)&gt;_xlpm.x),AND(MATCH("SOS",$A:$A,0)&lt;_xlpm.x,MATCH("EOS",$A:$A,0)&gt;_xlpm.x),AND(MATCH("SOR",$A:$A,0)&lt;_xlpm.x,MATCH("EOR",$A:$A,0)&gt;_xlpm.x))),INDIRECT("rc"&amp;MATCH("SCD",$1:$1,0),FALSE)="PPTO"),1,0)</f>
        <v>0</v>
      </c>
      <c r="AW270" s="142" cm="1">
        <f t="array" aca="1" ref="AW27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71" spans="1:49" s="153" customFormat="1" outlineLevel="2">
      <c r="A271" s="152"/>
      <c r="B271" s="401" t="str">
        <f t="shared" si="22"/>
        <v>31200</v>
      </c>
      <c r="C271" s="148"/>
      <c r="D271" s="401" t="str" cm="1">
        <f t="array" ref="D271">_xlfn.TAKE(INDEX(_xlfn.UNIQUE(_xlfn._xlws.SORT(TbStd[Row5])),1+(SUM(ROW()-MATCH("SOP",$A:$A,0)-1)/2),0),1)</f>
        <v>GESG</v>
      </c>
      <c r="E271" s="350" t="str" cm="1">
        <f t="array" ref="E271">UPPER(_xlfn.UNIQUE(_xlfn._xlws.FILTER(TbRowMacro[RowMacroName],TbRowMacro[RowMcroId]=$D271,"X")))</f>
        <v>GASTOS GRAL/EN PLANTA</v>
      </c>
      <c r="F271" s="402" t="s">
        <v>2055</v>
      </c>
      <c r="G271" s="377" cm="1">
        <f t="array" aca="1" ref="G271" ca="1">IFERROR(SUM(_xlfn._xlws.FILTER(SchPdt3[Value],(SchPdt3[PrjId]=$B271)*(SchPdt3[Row]=$D271)*(SchPdt3[Column]=_xlfn.LET(_xlpm.x,SUBSTITUTE(UPPER(INDIRECT("r"&amp;MATCH("TIP",$A:$A,0)&amp;"c"&amp;IF(INDIRECT("r"&amp;MATCH("TAP",$A:$A,0)&amp;"c",FALSE)="SERRA","","[-1]"),FALSE)),".",""),IFERROR(_xlfn.TEXTBEFORE(_xlpm.x," ("),_xlpm.x))),0)),0)</f>
        <v>0</v>
      </c>
      <c r="H271" s="378" cm="1">
        <f t="array" aca="1" ref="H271" ca="1">_xlfn.LET(_xlpm.x,INDIRECT("rc[-1]",FALSE),_xlpm.y,SUM(INDIRECT("r[-1]c[-1]:r[-1]c",FALSE)),IF(_xlpm.y=0,IF(_xlpm.x=0,0,1),_xlpm.x/_xlpm.y))</f>
        <v>0</v>
      </c>
      <c r="I271" s="377" cm="1">
        <f t="array" aca="1" ref="I271" ca="1">IFERROR(SUM(_xlfn._xlws.FILTER(SchPdt3[Value],(SchPdt3[PrjId]=$B271)*(SchPdt3[Row]=$D271)*(SchPdt3[Column]=_xlfn.LET(_xlpm.x,SUBSTITUTE(UPPER(INDIRECT("r"&amp;MATCH("TIP",$A:$A,0)&amp;"c"&amp;IF(INDIRECT("r"&amp;MATCH("TAP",$A:$A,0)&amp;"c",FALSE)="SERRA","","[-1]"),FALSE)),".",""),IFERROR(_xlfn.TEXTBEFORE(_xlpm.x," ("),_xlpm.x))),0)),0)</f>
        <v>0</v>
      </c>
      <c r="J271" s="378" cm="1">
        <f t="array" aca="1" ref="J271" ca="1">_xlfn.LET(_xlpm.x,INDIRECT("rc[-1]",FALSE),_xlpm.y,SUM(INDIRECT("r[-1]c[-1]:r[-1]c",FALSE)),IF(_xlpm.y=0,IF(_xlpm.x=0,0,1),_xlpm.x/_xlpm.y))</f>
        <v>0</v>
      </c>
      <c r="K271" s="377" cm="1">
        <f t="array" aca="1" ref="K271" ca="1">IFERROR(SUM(_xlfn._xlws.FILTER(SchPdt3[Value],(SchPdt3[PrjId]=$B271)*(SchPdt3[Row]=$D271)*(SchPdt3[Column]=_xlfn.LET(_xlpm.x,SUBSTITUTE(UPPER(INDIRECT("r"&amp;MATCH("TIP",$A:$A,0)&amp;"c"&amp;IF(INDIRECT("r"&amp;MATCH("TAP",$A:$A,0)&amp;"c",FALSE)="SERRA","","[-1]"),FALSE)),".",""),IFERROR(_xlfn.TEXTBEFORE(_xlpm.x," ("),_xlpm.x))),0)),0)</f>
        <v>0</v>
      </c>
      <c r="L271" s="378" cm="1">
        <f t="array" aca="1" ref="L271" ca="1">_xlfn.LET(_xlpm.x,INDIRECT("rc[-1]",FALSE),_xlpm.y,SUM(INDIRECT("r[-1]c[-1]:r[-1]c",FALSE)),IF(_xlpm.y=0,IF(_xlpm.x=0,0,1),_xlpm.x/_xlpm.y))</f>
        <v>0</v>
      </c>
      <c r="M271" s="377" cm="1">
        <f t="array" aca="1" ref="M271" ca="1">IFERROR(SUM(_xlfn._xlws.FILTER(SchPdt3[Value],(SchPdt3[PrjId]=$B271)*(SchPdt3[Row]=$D271)*(SchPdt3[Column]=_xlfn.LET(_xlpm.x,SUBSTITUTE(UPPER(INDIRECT("r"&amp;MATCH("TIP",$A:$A,0)&amp;"c"&amp;IF(INDIRECT("r"&amp;MATCH("TAP",$A:$A,0)&amp;"c",FALSE)="SERRA","","[-1]"),FALSE)),".",""),IFERROR(_xlfn.TEXTBEFORE(_xlpm.x," ("),_xlpm.x))),0)),0)</f>
        <v>0</v>
      </c>
      <c r="N271" s="378" cm="1">
        <f t="array" aca="1" ref="N271" ca="1">_xlfn.LET(_xlpm.x,INDIRECT("rc[-1]",FALSE),_xlpm.y,SUM(INDIRECT("r[-1]c[-1]:r[-1]c",FALSE)),IF(_xlpm.y=0,IF(_xlpm.x=0,0,1),_xlpm.x/_xlpm.y))</f>
        <v>0</v>
      </c>
      <c r="O271" s="377" cm="1">
        <f t="array" aca="1" ref="O271" ca="1">IFERROR(SUM(_xlfn._xlws.FILTER(SchPdt3[Value],(SchPdt3[PrjId]=$B271)*(SchPdt3[Row]=$D271)*(SchPdt3[Column]=_xlfn.LET(_xlpm.x,SUBSTITUTE(UPPER(INDIRECT("r"&amp;MATCH("TIP",$A:$A,0)&amp;"c"&amp;IF(INDIRECT("r"&amp;MATCH("TAP",$A:$A,0)&amp;"c",FALSE)="SERRA","","[-1]"),FALSE)),".",""),IFERROR(_xlfn.TEXTBEFORE(_xlpm.x," ("),_xlpm.x))),0)),0)</f>
        <v>0</v>
      </c>
      <c r="P271" s="378" cm="1">
        <f t="array" aca="1" ref="P271" ca="1">_xlfn.LET(_xlpm.x,INDIRECT("rc[-1]",FALSE),_xlpm.y,SUM(INDIRECT("r[-1]c[-1]:r[-1]c",FALSE)),IF(_xlpm.y=0,IF(_xlpm.x=0,0,1),_xlpm.x/_xlpm.y))</f>
        <v>0</v>
      </c>
      <c r="Q271" s="377" cm="1">
        <f t="array" aca="1" ref="Q271" ca="1">IFERROR(SUM(_xlfn._xlws.FILTER(SchPdt3[Value],(SchPdt3[PrjId]=$B271)*(SchPdt3[Row]=$D271)*(SchPdt3[Column]=_xlfn.LET(_xlpm.x,SUBSTITUTE(UPPER(INDIRECT("r"&amp;MATCH("TIP",$A:$A,0)&amp;"c"&amp;IF(INDIRECT("r"&amp;MATCH("TAP",$A:$A,0)&amp;"c",FALSE)="SERRA","","[-1]"),FALSE)),".",""),IFERROR(_xlfn.TEXTBEFORE(_xlpm.x," ("),_xlpm.x))),0)),0)</f>
        <v>0</v>
      </c>
      <c r="R271" s="378" cm="1">
        <f t="array" aca="1" ref="R271" ca="1">_xlfn.LET(_xlpm.x,INDIRECT("rc[-1]",FALSE),_xlpm.y,SUM(INDIRECT("r[-1]c[-1]:r[-1]c",FALSE)),IF(_xlpm.y=0,IF(_xlpm.x=0,0,1),_xlpm.x/_xlpm.y))</f>
        <v>0</v>
      </c>
      <c r="S271" s="377" cm="1">
        <f t="array" aca="1" ref="S271" ca="1">IFERROR(SUM(_xlfn._xlws.FILTER(SchPdt3[Value],(SchPdt3[PrjId]=$B271)*(SchPdt3[Row]=$D271)*(SchPdt3[Column]=_xlfn.LET(_xlpm.x,SUBSTITUTE(UPPER(INDIRECT("r"&amp;MATCH("TIP",$A:$A,0)&amp;"c"&amp;IF(INDIRECT("r"&amp;MATCH("TAP",$A:$A,0)&amp;"c",FALSE)="SERRA","","[-1]"),FALSE)),".",""),IFERROR(_xlfn.TEXTBEFORE(_xlpm.x," ("),_xlpm.x))),0)),0)</f>
        <v>0</v>
      </c>
      <c r="T271" s="378" cm="1">
        <f t="array" aca="1" ref="T271" ca="1">_xlfn.LET(_xlpm.x,INDIRECT("rc[-1]",FALSE),_xlpm.y,SUM(INDIRECT("r[-1]c[-1]:r[-1]c",FALSE)),IF(_xlpm.y=0,IF(_xlpm.x=0,0,1),_xlpm.x/_xlpm.y))</f>
        <v>0</v>
      </c>
      <c r="U271" s="377" cm="1">
        <f t="array" aca="1" ref="U271" ca="1">IFERROR(SUM(_xlfn._xlws.FILTER(SchPdt3[Value],(SchPdt3[PrjId]=$B271)*(SchPdt3[Row]=$D271)*(SchPdt3[Column]=_xlfn.LET(_xlpm.x,SUBSTITUTE(UPPER(INDIRECT("r"&amp;MATCH("TIP",$A:$A,0)&amp;"c"&amp;IF(INDIRECT("r"&amp;MATCH("TAP",$A:$A,0)&amp;"c",FALSE)="SERRA","","[-1]"),FALSE)),".",""),IFERROR(_xlfn.TEXTBEFORE(_xlpm.x," ("),_xlpm.x))),0)),0)</f>
        <v>0</v>
      </c>
      <c r="V271" s="378" cm="1">
        <f t="array" aca="1" ref="V271" ca="1">_xlfn.LET(_xlpm.x,INDIRECT("rc[-1]",FALSE),_xlpm.y,SUM(INDIRECT("r[-1]c[-1]:r[-1]c",FALSE)),IF(_xlpm.y=0,IF(_xlpm.x=0,0,1),_xlpm.x/_xlpm.y))</f>
        <v>0</v>
      </c>
      <c r="W271" s="377" cm="1">
        <f t="array" aca="1" ref="W271" ca="1">IFERROR(SUM(_xlfn._xlws.FILTER(SchPdt3[Value],(SchPdt3[PrjId]=$B271)*(SchPdt3[Row]=$D271)*(SchPdt3[Column]=_xlfn.LET(_xlpm.x,SUBSTITUTE(UPPER(INDIRECT("r"&amp;MATCH("TIP",$A:$A,0)&amp;"c"&amp;IF(INDIRECT("r"&amp;MATCH("TAP",$A:$A,0)&amp;"c",FALSE)="SERRA","","[-1]"),FALSE)),".",""),IFERROR(_xlfn.TEXTBEFORE(_xlpm.x," ("),_xlpm.x))),0)),0)</f>
        <v>0</v>
      </c>
      <c r="X271" s="378" cm="1">
        <f t="array" aca="1" ref="X271" ca="1">_xlfn.LET(_xlpm.x,INDIRECT("rc[-1]",FALSE),_xlpm.y,SUM(INDIRECT("r[-1]c[-1]:r[-1]c",FALSE)),IF(_xlpm.y=0,IF(_xlpm.x=0,0,1),_xlpm.x/_xlpm.y))</f>
        <v>0</v>
      </c>
      <c r="Y271" s="377" cm="1">
        <f t="array" aca="1" ref="Y271" ca="1">IFERROR(SUM(_xlfn._xlws.FILTER(SchPdt3[Value],(SchPdt3[PrjId]=$B271)*(SchPdt3[Row]=$D271)*(SchPdt3[Column]=_xlfn.LET(_xlpm.x,SUBSTITUTE(UPPER(INDIRECT("r"&amp;MATCH("TIP",$A:$A,0)&amp;"c"&amp;IF(INDIRECT("r"&amp;MATCH("TAP",$A:$A,0)&amp;"c",FALSE)="SERRA","","[-1]"),FALSE)),".",""),IFERROR(_xlfn.TEXTBEFORE(_xlpm.x," ("),_xlpm.x))),0)),0)</f>
        <v>0</v>
      </c>
      <c r="Z271" s="378" cm="1">
        <f t="array" aca="1" ref="Z271" ca="1">_xlfn.LET(_xlpm.x,INDIRECT("rc[-1]",FALSE),_xlpm.y,SUM(INDIRECT("r[-1]c[-1]:r[-1]c",FALSE)),IF(_xlpm.y=0,IF(_xlpm.x=0,0,1),_xlpm.x/_xlpm.y))</f>
        <v>0</v>
      </c>
      <c r="AA271" s="377" cm="1">
        <f t="array" aca="1" ref="AA271" ca="1">IFERROR(SUM(_xlfn._xlws.FILTER(SchPdt3[Value],(SchPdt3[PrjId]=$B271)*(SchPdt3[Row]=$D271)*(SchPdt3[Column]=_xlfn.LET(_xlpm.x,SUBSTITUTE(UPPER(INDIRECT("r"&amp;MATCH("TIP",$A:$A,0)&amp;"c"&amp;IF(INDIRECT("r"&amp;MATCH("TAP",$A:$A,0)&amp;"c",FALSE)="SERRA","","[-1]"),FALSE)),".",""),IFERROR(_xlfn.TEXTBEFORE(_xlpm.x," ("),_xlpm.x))),0)),0)</f>
        <v>0</v>
      </c>
      <c r="AB271" s="378" cm="1">
        <f t="array" aca="1" ref="AB271" ca="1">_xlfn.LET(_xlpm.x,INDIRECT("rc[-1]",FALSE),_xlpm.y,SUM(INDIRECT("r[-1]c[-1]:r[-1]c",FALSE)),IF(_xlpm.y=0,IF(_xlpm.x=0,0,1),_xlpm.x/_xlpm.y))</f>
        <v>0</v>
      </c>
      <c r="AC271" s="377" cm="1">
        <f t="array" aca="1" ref="AC271" ca="1">IFERROR(SUM(_xlfn._xlws.FILTER(SchPdt3[Value],(SchPdt3[PrjId]=$B271)*(SchPdt3[Row]=$D271)*(SchPdt3[Column]=_xlfn.LET(_xlpm.x,SUBSTITUTE(UPPER(INDIRECT("r"&amp;MATCH("TIP",$A:$A,0)&amp;"c"&amp;IF(INDIRECT("r"&amp;MATCH("TAP",$A:$A,0)&amp;"c",FALSE)="SERRA","","[-1]"),FALSE)),".",""),IFERROR(_xlfn.TEXTBEFORE(_xlpm.x," ("),_xlpm.x))),0)),0)</f>
        <v>0</v>
      </c>
      <c r="AD271" s="378" cm="1">
        <f t="array" aca="1" ref="AD271" ca="1">_xlfn.LET(_xlpm.x,INDIRECT("rc[-1]",FALSE),_xlpm.y,SUM(INDIRECT("r[-1]c[-1]:r[-1]c",FALSE)),IF(_xlpm.y=0,IF(_xlpm.x=0,0,1),_xlpm.x/_xlpm.y))</f>
        <v>0</v>
      </c>
      <c r="AE271" s="377" cm="1">
        <f t="array" aca="1" ref="AE271" ca="1">IFERROR(SUM(_xlfn._xlws.FILTER(SchPdt3[Value],(SchPdt3[PrjId]=$B271)*(SchPdt3[Row]=$D271)*(SchPdt3[Column]=_xlfn.LET(_xlpm.x,SUBSTITUTE(UPPER(INDIRECT("r"&amp;MATCH("TIP",$A:$A,0)&amp;"c"&amp;IF(INDIRECT("r"&amp;MATCH("TAP",$A:$A,0)&amp;"c",FALSE)="SERRA","","[-1]"),FALSE)),".",""),IFERROR(_xlfn.TEXTBEFORE(_xlpm.x," ("),_xlpm.x))),0)),0)</f>
        <v>0</v>
      </c>
      <c r="AF271" s="378" cm="1">
        <f t="array" aca="1" ref="AF271" ca="1">_xlfn.LET(_xlpm.x,INDIRECT("rc[-1]",FALSE),_xlpm.y,SUM(INDIRECT("r[-1]c[-1]:r[-1]c",FALSE)),IF(_xlpm.y=0,IF(_xlpm.x=0,0,1),_xlpm.x/_xlpm.y))</f>
        <v>0</v>
      </c>
      <c r="AG271" s="377" cm="1">
        <f t="array" aca="1" ref="AG271" ca="1">IFERROR(SUM(_xlfn._xlws.FILTER(SchPdt3[Value],(SchPdt3[PrjId]=$B271)*(SchPdt3[Row]=$D271)*(SchPdt3[Column]=_xlfn.LET(_xlpm.x,SUBSTITUTE(UPPER(INDIRECT("r"&amp;MATCH("TIP",$A:$A,0)&amp;"c"&amp;IF(INDIRECT("r"&amp;MATCH("TAP",$A:$A,0)&amp;"c",FALSE)="SERRA","","[-1]"),FALSE)),".",""),IFERROR(_xlfn.TEXTBEFORE(_xlpm.x," ("),_xlpm.x))),0)),0)</f>
        <v>0</v>
      </c>
      <c r="AH271" s="378" cm="1">
        <f t="array" aca="1" ref="AH271" ca="1">_xlfn.LET(_xlpm.x,INDIRECT("rc[-1]",FALSE),_xlpm.y,SUM(INDIRECT("r[-1]c[-1]:r[-1]c",FALSE)),IF(_xlpm.y=0,IF(_xlpm.x=0,0,1),_xlpm.x/_xlpm.y))</f>
        <v>0</v>
      </c>
      <c r="AI271" s="377" cm="1">
        <f t="array" aca="1" ref="AI271" ca="1">IFERROR(SUM(_xlfn._xlws.FILTER(SchPdt3[Value],(SchPdt3[PrjId]=$B271)*(SchPdt3[Row]=$D271)*(SchPdt3[Column]=_xlfn.LET(_xlpm.x,SUBSTITUTE(UPPER(INDIRECT("r"&amp;MATCH("TIP",$A:$A,0)&amp;"c"&amp;IF(INDIRECT("r"&amp;MATCH("TAP",$A:$A,0)&amp;"c",FALSE)="SERRA","","[-1]"),FALSE)),".",""),IFERROR(_xlfn.TEXTBEFORE(_xlpm.x," ("),_xlpm.x))),0)),0)</f>
        <v>0</v>
      </c>
      <c r="AJ271" s="378" cm="1">
        <f t="array" aca="1" ref="AJ271" ca="1">_xlfn.LET(_xlpm.x,INDIRECT("rc[-1]",FALSE),_xlpm.y,SUM(INDIRECT("r[-1]c[-1]:r[-1]c",FALSE)),IF(_xlpm.y=0,IF(_xlpm.x=0,0,1),_xlpm.x/_xlpm.y))</f>
        <v>0</v>
      </c>
      <c r="AK271" s="377" cm="1">
        <f t="array" aca="1" ref="AK271" ca="1">IFERROR(SUM(_xlfn._xlws.FILTER(SchPdt3[Value],(SchPdt3[PrjId]=$B271)*(SchPdt3[Row]=$D271)*(SchPdt3[Column]=_xlfn.LET(_xlpm.x,SUBSTITUTE(UPPER(INDIRECT("r"&amp;MATCH("TIP",$A:$A,0)&amp;"c"&amp;IF(INDIRECT("r"&amp;MATCH("TAP",$A:$A,0)&amp;"c",FALSE)="SERRA","","[-1]"),FALSE)),".",""),IFERROR(_xlfn.TEXTBEFORE(_xlpm.x," ("),_xlpm.x))),0)),0)</f>
        <v>0</v>
      </c>
      <c r="AL271" s="378" cm="1">
        <f t="array" aca="1" ref="AL271" ca="1">_xlfn.LET(_xlpm.x,INDIRECT("rc[-1]",FALSE),_xlpm.y,SUM(INDIRECT("r[-1]c[-1]:r[-1]c",FALSE)),IF(_xlpm.y=0,IF(_xlpm.x=0,0,1),_xlpm.x/_xlpm.y))</f>
        <v>0</v>
      </c>
      <c r="AM271" s="377" cm="1">
        <f t="array" aca="1" ref="AM271" ca="1">IFERROR(SUM(_xlfn._xlws.FILTER(SchPdt3[Value],(SchPdt3[PrjId]=$B271)*(SchPdt3[Row]=$D271)*(SchPdt3[Column]=_xlfn.LET(_xlpm.x,SUBSTITUTE(UPPER(INDIRECT("r"&amp;MATCH("TIP",$A:$A,0)&amp;"c"&amp;IF(INDIRECT("r"&amp;MATCH("TAP",$A:$A,0)&amp;"c",FALSE)="SERRA","","[-1]"),FALSE)),".",""),IFERROR(_xlfn.TEXTBEFORE(_xlpm.x," ("),_xlpm.x))),0)),0)</f>
        <v>0</v>
      </c>
      <c r="AN271" s="378" cm="1">
        <f t="array" aca="1" ref="AN271" ca="1">_xlfn.LET(_xlpm.x,INDIRECT("rc[-1]",FALSE),_xlpm.y,SUM(INDIRECT("r[-1]c[-1]:r[-1]c",FALSE)),IF(_xlpm.y=0,IF(_xlpm.x=0,0,1),_xlpm.x/_xlpm.y))</f>
        <v>0</v>
      </c>
      <c r="AO271" s="377" cm="1">
        <f t="array" aca="1" ref="AO271" ca="1">IFERROR(SUM(_xlfn._xlws.FILTER(SchPdt3[Value],(SchPdt3[PrjId]=$B271)*(SchPdt3[Row]=$D271)*(SchPdt3[Column]=_xlfn.LET(_xlpm.x,SUBSTITUTE(UPPER(INDIRECT("r"&amp;MATCH("TIP",$A:$A,0)&amp;"c"&amp;IF(INDIRECT("r"&amp;MATCH("TAP",$A:$A,0)&amp;"c",FALSE)="SERRA","","[-1]"),FALSE)),".",""),IFERROR(_xlfn.TEXTBEFORE(_xlpm.x," ("),_xlpm.x))),0)),0)</f>
        <v>0</v>
      </c>
      <c r="AP271" s="378" cm="1">
        <f t="array" aca="1" ref="AP271" ca="1">_xlfn.LET(_xlpm.x,INDIRECT("rc[-1]",FALSE),_xlpm.y,SUM(INDIRECT("r[-1]c[-1]:r[-1]c",FALSE)),IF(_xlpm.y=0,IF(_xlpm.x=0,0,1),_xlpm.x/_xlpm.y))</f>
        <v>0</v>
      </c>
      <c r="AQ271" s="377" cm="1">
        <f t="array" aca="1" ref="AQ271" ca="1">SUM(IF(INDIRECT($AS$115)=AQ$115,INDIRECT($AS271)))</f>
        <v>0</v>
      </c>
      <c r="AR271" s="378" cm="1">
        <f t="array" aca="1" ref="AR271" ca="1">_xlfn.LET(_xlpm.x,INDIRECT("rc[-1]",FALSE),_xlpm.y,SUM(INDIRECT("r[-1]c[-1]:r[-1]c",FALSE)),IF(_xlpm.y=0,IF(_xlpm.x=0,0,1),_xlpm.x/_xlpm.y))</f>
        <v>0</v>
      </c>
      <c r="AS271" s="286" t="str">
        <f t="shared" si="23"/>
        <v>G271:AP271</v>
      </c>
      <c r="AT271" s="403">
        <f ca="1">SUM(INDIRECT("rc"&amp;MATCH("ECD",$1:$1,0)&amp;":rc"&amp;(MATCH("EOC",$1:$1,0)-2),FALSE))</f>
        <v>0</v>
      </c>
      <c r="AV271" s="142" cm="1">
        <f t="array" aca="1" ref="AV271" ca="1">IF(AND(_xlfn.LET(_xlpm.x,SUM(ROW()),OR(AND(MATCH("SOT",$A:$A,0)&lt;_xlpm.x,MATCH("EOT",$A:$A,0)&gt;_xlpm.x),AND(MATCH("SOS",$A:$A,0)&lt;_xlpm.x,MATCH("EOS",$A:$A,0)&gt;_xlpm.x),AND(MATCH("SOR",$A:$A,0)&lt;_xlpm.x,MATCH("EOR",$A:$A,0)&gt;_xlpm.x))),INDIRECT("rc"&amp;MATCH("SCD",$1:$1,0),FALSE)="PPTO"),1,0)</f>
        <v>0</v>
      </c>
      <c r="AW271" s="142" cm="1">
        <f t="array" aca="1" ref="AW27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72" spans="1:49" s="153" customFormat="1" outlineLevel="2">
      <c r="A272" s="152"/>
      <c r="B272" s="401" t="str">
        <f t="shared" si="22"/>
        <v>31200</v>
      </c>
      <c r="C272" s="148"/>
      <c r="D272" s="401" t="str" cm="1">
        <f t="array" ref="D272">_xlfn.TAKE(INDEX(_xlfn.UNIQUE(_xlfn._xlws.SORT(TbStd[Row5])),1+(SUM(ROW()-MATCH("SOP",$A:$A,0)-1)/2),0),1)</f>
        <v>GESH</v>
      </c>
      <c r="E272" s="350" t="str" cm="1">
        <f t="array" ref="E272">UPPER(_xlfn.UNIQUE(_xlfn._xlws.FILTER(TbRowMacro[RowMacroName],TbRowMacro[RowMcroId]=$D272,"X")))</f>
        <v>GESTION/COORDINACION</v>
      </c>
      <c r="F272" s="402" t="s">
        <v>2074</v>
      </c>
      <c r="G272" s="377" cm="1">
        <f t="array" aca="1" ref="G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-14995.395835499992</v>
      </c>
      <c r="H272" s="377" cm="1">
        <f t="array" aca="1" ref="H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0</v>
      </c>
      <c r="I272" s="377" cm="1">
        <f t="array" aca="1" ref="I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-1573.7050559999916</v>
      </c>
      <c r="J272" s="377" cm="1">
        <f t="array" aca="1" ref="J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0</v>
      </c>
      <c r="K272" s="377" cm="1">
        <f t="array" aca="1" ref="K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0</v>
      </c>
      <c r="L272" s="377" cm="1">
        <f t="array" aca="1" ref="L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0</v>
      </c>
      <c r="M272" s="377" cm="1">
        <f t="array" aca="1" ref="M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0</v>
      </c>
      <c r="N272" s="377" cm="1">
        <f t="array" aca="1" ref="N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0</v>
      </c>
      <c r="O272" s="377" cm="1">
        <f t="array" aca="1" ref="O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-9432.2912911921885</v>
      </c>
      <c r="P272" s="377" cm="1">
        <f t="array" aca="1" ref="P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31882.659492614061</v>
      </c>
      <c r="Q272" s="377" cm="1">
        <f t="array" aca="1" ref="Q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0</v>
      </c>
      <c r="R272" s="377" cm="1">
        <f t="array" aca="1" ref="R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0</v>
      </c>
      <c r="S272" s="377" cm="1">
        <f t="array" aca="1" ref="S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-166.2</v>
      </c>
      <c r="T272" s="377" cm="1">
        <f t="array" aca="1" ref="T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166.3</v>
      </c>
      <c r="U272" s="377" cm="1">
        <f t="array" aca="1" ref="U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123.42135738628699</v>
      </c>
      <c r="V272" s="377" cm="1">
        <f t="array" aca="1" ref="V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1247.3689620928537</v>
      </c>
      <c r="W272" s="377" cm="1">
        <f t="array" aca="1" ref="W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-12203.913188709794</v>
      </c>
      <c r="X272" s="377" cm="1">
        <f t="array" aca="1" ref="X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12203.913188709794</v>
      </c>
      <c r="Y272" s="377" cm="1">
        <f t="array" aca="1" ref="Y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19514.204708656864</v>
      </c>
      <c r="Z272" s="377" cm="1">
        <f t="array" aca="1" ref="Z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4413.156343873331</v>
      </c>
      <c r="AA272" s="377" cm="1">
        <f t="array" aca="1" ref="AA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0</v>
      </c>
      <c r="AB272" s="377" cm="1">
        <f t="array" aca="1" ref="AB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0</v>
      </c>
      <c r="AC272" s="377" cm="1">
        <f t="array" aca="1" ref="AC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0</v>
      </c>
      <c r="AD272" s="377" cm="1">
        <f t="array" aca="1" ref="AD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0</v>
      </c>
      <c r="AE272" s="377" cm="1">
        <f t="array" aca="1" ref="AE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-13386.1</v>
      </c>
      <c r="AF272" s="377" cm="1">
        <f t="array" aca="1" ref="AF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11564.6</v>
      </c>
      <c r="AG272" s="377" cm="1">
        <f t="array" aca="1" ref="AG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0</v>
      </c>
      <c r="AH272" s="377" cm="1">
        <f t="array" aca="1" ref="AH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0</v>
      </c>
      <c r="AI272" s="377" cm="1">
        <f t="array" aca="1" ref="AI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0</v>
      </c>
      <c r="AJ272" s="377" cm="1">
        <f t="array" aca="1" ref="AJ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0</v>
      </c>
      <c r="AK272" s="377" cm="1">
        <f t="array" aca="1" ref="AK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0</v>
      </c>
      <c r="AL272" s="377" cm="1">
        <f t="array" aca="1" ref="AL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0</v>
      </c>
      <c r="AM272" s="377" cm="1">
        <f t="array" aca="1" ref="AM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0</v>
      </c>
      <c r="AN272" s="377" cm="1">
        <f t="array" aca="1" ref="AN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0</v>
      </c>
      <c r="AO272" s="377" cm="1">
        <f t="array" aca="1" ref="AO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0</v>
      </c>
      <c r="AP272" s="377" cm="1">
        <f t="array" aca="1" ref="AP27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272)*(ISNUMBER(FIND(_xlpm.v,_xlfn.TEXTJOIN(":",TRUE,_xlfn.UNIQUE(_xlfn._xlws.FILTER(TbStd[RowGrp],TbStd[Row5]=$D272,"X"))))))),0)),0)</f>
        <v>0</v>
      </c>
      <c r="AQ272" s="377" cm="1">
        <f t="array" aca="1" ref="AQ272" ca="1">SUM(IF(INDIRECT($AS$115)=AQ$115,INDIRECT($AS272)))</f>
        <v>-32119.979305358815</v>
      </c>
      <c r="AR272" s="377" cm="1">
        <f t="array" aca="1" ref="AR272" ca="1">SUM(IF(INDIRECT($AS$115)=AR$115,INDIRECT($AS272)))</f>
        <v>61477.997987290037</v>
      </c>
      <c r="AS272" s="286" t="str">
        <f t="shared" si="23"/>
        <v>G272:AP272</v>
      </c>
      <c r="AT272" s="403">
        <f t="shared" ca="1" si="24"/>
        <v>29358.018681931222</v>
      </c>
      <c r="AV272" s="142" cm="1">
        <f t="array" aca="1" ref="AV272" ca="1">IF(AND(_xlfn.LET(_xlpm.x,SUM(ROW()),OR(AND(MATCH("SOT",$A:$A,0)&lt;_xlpm.x,MATCH("EOT",$A:$A,0)&gt;_xlpm.x),AND(MATCH("SOS",$A:$A,0)&lt;_xlpm.x,MATCH("EOS",$A:$A,0)&gt;_xlpm.x),AND(MATCH("SOR",$A:$A,0)&lt;_xlpm.x,MATCH("EOR",$A:$A,0)&gt;_xlpm.x))),INDIRECT("rc"&amp;MATCH("SCD",$1:$1,0),FALSE)="PPTO"),1,0)</f>
        <v>0</v>
      </c>
      <c r="AW272" s="142" cm="1">
        <f t="array" aca="1" ref="AW27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73" spans="1:49" s="153" customFormat="1" outlineLevel="2">
      <c r="A273" s="152"/>
      <c r="B273" s="401" t="str">
        <f t="shared" si="22"/>
        <v>31200</v>
      </c>
      <c r="C273" s="148"/>
      <c r="D273" s="401" t="str" cm="1">
        <f t="array" ref="D273">_xlfn.TAKE(INDEX(_xlfn.UNIQUE(_xlfn._xlws.SORT(TbStd[Row5])),1+(SUM(ROW()-MATCH("SOP",$A:$A,0)-1)/2),0),1)</f>
        <v>GESH</v>
      </c>
      <c r="E273" s="350" t="str" cm="1">
        <f t="array" ref="E273">UPPER(_xlfn.UNIQUE(_xlfn._xlws.FILTER(TbRowMacro[RowMacroName],TbRowMacro[RowMcroId]=$D273,"X")))</f>
        <v>GESTION/COORDINACION</v>
      </c>
      <c r="F273" s="402" t="s">
        <v>2055</v>
      </c>
      <c r="G273" s="377" cm="1">
        <f t="array" aca="1" ref="G273" ca="1">IFERROR(SUM(_xlfn._xlws.FILTER(SchPdt3[Value],(SchPdt3[PrjId]=$B273)*(SchPdt3[Row]=$D273)*(SchPdt3[Column]=_xlfn.LET(_xlpm.x,SUBSTITUTE(UPPER(INDIRECT("r"&amp;MATCH("TIP",$A:$A,0)&amp;"c"&amp;IF(INDIRECT("r"&amp;MATCH("TAP",$A:$A,0)&amp;"c",FALSE)="SERRA","","[-1]"),FALSE)),".",""),IFERROR(_xlfn.TEXTBEFORE(_xlpm.x," ("),_xlpm.x))),0)),0)</f>
        <v>5869.0625</v>
      </c>
      <c r="H273" s="378" cm="1">
        <f t="array" aca="1" ref="H273" ca="1">_xlfn.LET(_xlpm.x,INDIRECT("rc[-1]",FALSE),_xlpm.y,SUM(INDIRECT("r[-1]c[-1]:r[-1]c",FALSE)),IF(_xlpm.y=0,IF(_xlpm.x=0,0,1),_xlpm.x/_xlpm.y))</f>
        <v>-0.39139096856020456</v>
      </c>
      <c r="I273" s="377" cm="1">
        <f t="array" aca="1" ref="I273" ca="1">IFERROR(SUM(_xlfn._xlws.FILTER(SchPdt3[Value],(SchPdt3[PrjId]=$B273)*(SchPdt3[Row]=$D273)*(SchPdt3[Column]=_xlfn.LET(_xlpm.x,SUBSTITUTE(UPPER(INDIRECT("r"&amp;MATCH("TIP",$A:$A,0)&amp;"c"&amp;IF(INDIRECT("r"&amp;MATCH("TAP",$A:$A,0)&amp;"c",FALSE)="SERRA","","[-1]"),FALSE)),".",""),IFERROR(_xlfn.TEXTBEFORE(_xlpm.x," ("),_xlpm.x))),0)),0)</f>
        <v>0</v>
      </c>
      <c r="J273" s="378" cm="1">
        <f t="array" aca="1" ref="J273" ca="1">_xlfn.LET(_xlpm.x,INDIRECT("rc[-1]",FALSE),_xlpm.y,SUM(INDIRECT("r[-1]c[-1]:r[-1]c",FALSE)),IF(_xlpm.y=0,IF(_xlpm.x=0,0,1),_xlpm.x/_xlpm.y))</f>
        <v>0</v>
      </c>
      <c r="K273" s="377" cm="1">
        <f t="array" aca="1" ref="K273" ca="1">IFERROR(SUM(_xlfn._xlws.FILTER(SchPdt3[Value],(SchPdt3[PrjId]=$B273)*(SchPdt3[Row]=$D273)*(SchPdt3[Column]=_xlfn.LET(_xlpm.x,SUBSTITUTE(UPPER(INDIRECT("r"&amp;MATCH("TIP",$A:$A,0)&amp;"c"&amp;IF(INDIRECT("r"&amp;MATCH("TAP",$A:$A,0)&amp;"c",FALSE)="SERRA","","[-1]"),FALSE)),".",""),IFERROR(_xlfn.TEXTBEFORE(_xlpm.x," ("),_xlpm.x))),0)),0)</f>
        <v>0</v>
      </c>
      <c r="L273" s="378" cm="1">
        <f t="array" aca="1" ref="L273" ca="1">_xlfn.LET(_xlpm.x,INDIRECT("rc[-1]",FALSE),_xlpm.y,SUM(INDIRECT("r[-1]c[-1]:r[-1]c",FALSE)),IF(_xlpm.y=0,IF(_xlpm.x=0,0,1),_xlpm.x/_xlpm.y))</f>
        <v>0</v>
      </c>
      <c r="M273" s="377" cm="1">
        <f t="array" aca="1" ref="M273" ca="1">IFERROR(SUM(_xlfn._xlws.FILTER(SchPdt3[Value],(SchPdt3[PrjId]=$B273)*(SchPdt3[Row]=$D273)*(SchPdt3[Column]=_xlfn.LET(_xlpm.x,SUBSTITUTE(UPPER(INDIRECT("r"&amp;MATCH("TIP",$A:$A,0)&amp;"c"&amp;IF(INDIRECT("r"&amp;MATCH("TAP",$A:$A,0)&amp;"c",FALSE)="SERRA","","[-1]"),FALSE)),".",""),IFERROR(_xlfn.TEXTBEFORE(_xlpm.x," ("),_xlpm.x))),0)),0)</f>
        <v>0</v>
      </c>
      <c r="N273" s="378" cm="1">
        <f t="array" aca="1" ref="N273" ca="1">_xlfn.LET(_xlpm.x,INDIRECT("rc[-1]",FALSE),_xlpm.y,SUM(INDIRECT("r[-1]c[-1]:r[-1]c",FALSE)),IF(_xlpm.y=0,IF(_xlpm.x=0,0,1),_xlpm.x/_xlpm.y))</f>
        <v>0</v>
      </c>
      <c r="O273" s="377" cm="1">
        <f t="array" aca="1" ref="O273" ca="1">IFERROR(SUM(_xlfn._xlws.FILTER(SchPdt3[Value],(SchPdt3[PrjId]=$B273)*(SchPdt3[Row]=$D273)*(SchPdt3[Column]=_xlfn.LET(_xlpm.x,SUBSTITUTE(UPPER(INDIRECT("r"&amp;MATCH("TIP",$A:$A,0)&amp;"c"&amp;IF(INDIRECT("r"&amp;MATCH("TAP",$A:$A,0)&amp;"c",FALSE)="SERRA","","[-1]"),FALSE)),".",""),IFERROR(_xlfn.TEXTBEFORE(_xlpm.x," ("),_xlpm.x))),0)),0)</f>
        <v>433.00500000000005</v>
      </c>
      <c r="P273" s="378" cm="1">
        <f t="array" aca="1" ref="P273" ca="1">_xlfn.LET(_xlpm.x,INDIRECT("rc[-1]",FALSE),_xlpm.y,SUM(INDIRECT("r[-1]c[-1]:r[-1]c",FALSE)),IF(_xlpm.y=0,IF(_xlpm.x=0,0,1),_xlpm.x/_xlpm.y))</f>
        <v>1.9287211510970948E-2</v>
      </c>
      <c r="Q273" s="377" cm="1">
        <f t="array" aca="1" ref="Q273" ca="1">IFERROR(SUM(_xlfn._xlws.FILTER(SchPdt3[Value],(SchPdt3[PrjId]=$B273)*(SchPdt3[Row]=$D273)*(SchPdt3[Column]=_xlfn.LET(_xlpm.x,SUBSTITUTE(UPPER(INDIRECT("r"&amp;MATCH("TIP",$A:$A,0)&amp;"c"&amp;IF(INDIRECT("r"&amp;MATCH("TAP",$A:$A,0)&amp;"c",FALSE)="SERRA","","[-1]"),FALSE)),".",""),IFERROR(_xlfn.TEXTBEFORE(_xlpm.x," ("),_xlpm.x))),0)),0)</f>
        <v>0</v>
      </c>
      <c r="R273" s="378" cm="1">
        <f t="array" aca="1" ref="R273" ca="1">_xlfn.LET(_xlpm.x,INDIRECT("rc[-1]",FALSE),_xlpm.y,SUM(INDIRECT("r[-1]c[-1]:r[-1]c",FALSE)),IF(_xlpm.y=0,IF(_xlpm.x=0,0,1),_xlpm.x/_xlpm.y))</f>
        <v>0</v>
      </c>
      <c r="S273" s="377" cm="1">
        <f t="array" aca="1" ref="S273" ca="1">IFERROR(SUM(_xlfn._xlws.FILTER(SchPdt3[Value],(SchPdt3[PrjId]=$B273)*(SchPdt3[Row]=$D273)*(SchPdt3[Column]=_xlfn.LET(_xlpm.x,SUBSTITUTE(UPPER(INDIRECT("r"&amp;MATCH("TIP",$A:$A,0)&amp;"c"&amp;IF(INDIRECT("r"&amp;MATCH("TAP",$A:$A,0)&amp;"c",FALSE)="SERRA","","[-1]"),FALSE)),".",""),IFERROR(_xlfn.TEXTBEFORE(_xlpm.x," ("),_xlpm.x))),0)),0)</f>
        <v>0</v>
      </c>
      <c r="T273" s="378" cm="1">
        <f t="array" aca="1" ref="T273" ca="1">_xlfn.LET(_xlpm.x,INDIRECT("rc[-1]",FALSE),_xlpm.y,SUM(INDIRECT("r[-1]c[-1]:r[-1]c",FALSE)),IF(_xlpm.y=0,IF(_xlpm.x=0,0,1),_xlpm.x/_xlpm.y))</f>
        <v>0</v>
      </c>
      <c r="U273" s="377" cm="1">
        <f t="array" aca="1" ref="U273" ca="1">IFERROR(SUM(_xlfn._xlws.FILTER(SchPdt3[Value],(SchPdt3[PrjId]=$B273)*(SchPdt3[Row]=$D273)*(SchPdt3[Column]=_xlfn.LET(_xlpm.x,SUBSTITUTE(UPPER(INDIRECT("r"&amp;MATCH("TIP",$A:$A,0)&amp;"c"&amp;IF(INDIRECT("r"&amp;MATCH("TAP",$A:$A,0)&amp;"c",FALSE)="SERRA","","[-1]"),FALSE)),".",""),IFERROR(_xlfn.TEXTBEFORE(_xlpm.x," ("),_xlpm.x))),0)),0)</f>
        <v>0</v>
      </c>
      <c r="V273" s="378" cm="1">
        <f t="array" aca="1" ref="V273" ca="1">_xlfn.LET(_xlpm.x,INDIRECT("rc[-1]",FALSE),_xlpm.y,SUM(INDIRECT("r[-1]c[-1]:r[-1]c",FALSE)),IF(_xlpm.y=0,IF(_xlpm.x=0,0,1),_xlpm.x/_xlpm.y))</f>
        <v>0</v>
      </c>
      <c r="W273" s="377" cm="1">
        <f t="array" aca="1" ref="W273" ca="1">IFERROR(SUM(_xlfn._xlws.FILTER(SchPdt3[Value],(SchPdt3[PrjId]=$B273)*(SchPdt3[Row]=$D273)*(SchPdt3[Column]=_xlfn.LET(_xlpm.x,SUBSTITUTE(UPPER(INDIRECT("r"&amp;MATCH("TIP",$A:$A,0)&amp;"c"&amp;IF(INDIRECT("r"&amp;MATCH("TAP",$A:$A,0)&amp;"c",FALSE)="SERRA","","[-1]"),FALSE)),".",""),IFERROR(_xlfn.TEXTBEFORE(_xlpm.x," ("),_xlpm.x))),0)),0)</f>
        <v>0</v>
      </c>
      <c r="X273" s="378" cm="1">
        <f t="array" aca="1" ref="X273" ca="1">_xlfn.LET(_xlpm.x,INDIRECT("rc[-1]",FALSE),_xlpm.y,SUM(INDIRECT("r[-1]c[-1]:r[-1]c",FALSE)),IF(_xlpm.y=0,IF(_xlpm.x=0,0,1),_xlpm.x/_xlpm.y))</f>
        <v>0</v>
      </c>
      <c r="Y273" s="377" cm="1">
        <f t="array" aca="1" ref="Y273" ca="1">IFERROR(SUM(_xlfn._xlws.FILTER(SchPdt3[Value],(SchPdt3[PrjId]=$B273)*(SchPdt3[Row]=$D273)*(SchPdt3[Column]=_xlfn.LET(_xlpm.x,SUBSTITUTE(UPPER(INDIRECT("r"&amp;MATCH("TIP",$A:$A,0)&amp;"c"&amp;IF(INDIRECT("r"&amp;MATCH("TAP",$A:$A,0)&amp;"c",FALSE)="SERRA","","[-1]"),FALSE)),".",""),IFERROR(_xlfn.TEXTBEFORE(_xlpm.x," ("),_xlpm.x))),0)),0)</f>
        <v>606.41039999999987</v>
      </c>
      <c r="Z273" s="378" cm="1">
        <f t="array" aca="1" ref="Z273" ca="1">_xlfn.LET(_xlpm.x,INDIRECT("rc[-1]",FALSE),_xlpm.y,SUM(INDIRECT("r[-1]c[-1]:r[-1]c",FALSE)),IF(_xlpm.y=0,IF(_xlpm.x=0,0,1),_xlpm.x/_xlpm.y))</f>
        <v>2.5343806141792435E-2</v>
      </c>
      <c r="AA273" s="377" cm="1">
        <f t="array" aca="1" ref="AA273" ca="1">IFERROR(SUM(_xlfn._xlws.FILTER(SchPdt3[Value],(SchPdt3[PrjId]=$B273)*(SchPdt3[Row]=$D273)*(SchPdt3[Column]=_xlfn.LET(_xlpm.x,SUBSTITUTE(UPPER(INDIRECT("r"&amp;MATCH("TIP",$A:$A,0)&amp;"c"&amp;IF(INDIRECT("r"&amp;MATCH("TAP",$A:$A,0)&amp;"c",FALSE)="SERRA","","[-1]"),FALSE)),".",""),IFERROR(_xlfn.TEXTBEFORE(_xlpm.x," ("),_xlpm.x))),0)),0)</f>
        <v>0</v>
      </c>
      <c r="AB273" s="378" cm="1">
        <f t="array" aca="1" ref="AB273" ca="1">_xlfn.LET(_xlpm.x,INDIRECT("rc[-1]",FALSE),_xlpm.y,SUM(INDIRECT("r[-1]c[-1]:r[-1]c",FALSE)),IF(_xlpm.y=0,IF(_xlpm.x=0,0,1),_xlpm.x/_xlpm.y))</f>
        <v>0</v>
      </c>
      <c r="AC273" s="377" cm="1">
        <f t="array" aca="1" ref="AC273" ca="1">IFERROR(SUM(_xlfn._xlws.FILTER(SchPdt3[Value],(SchPdt3[PrjId]=$B273)*(SchPdt3[Row]=$D273)*(SchPdt3[Column]=_xlfn.LET(_xlpm.x,SUBSTITUTE(UPPER(INDIRECT("r"&amp;MATCH("TIP",$A:$A,0)&amp;"c"&amp;IF(INDIRECT("r"&amp;MATCH("TAP",$A:$A,0)&amp;"c",FALSE)="SERRA","","[-1]"),FALSE)),".",""),IFERROR(_xlfn.TEXTBEFORE(_xlpm.x," ("),_xlpm.x))),0)),0)</f>
        <v>0</v>
      </c>
      <c r="AD273" s="378" cm="1">
        <f t="array" aca="1" ref="AD273" ca="1">_xlfn.LET(_xlpm.x,INDIRECT("rc[-1]",FALSE),_xlpm.y,SUM(INDIRECT("r[-1]c[-1]:r[-1]c",FALSE)),IF(_xlpm.y=0,IF(_xlpm.x=0,0,1),_xlpm.x/_xlpm.y))</f>
        <v>0</v>
      </c>
      <c r="AE273" s="377" cm="1">
        <f t="array" aca="1" ref="AE273" ca="1">IFERROR(SUM(_xlfn._xlws.FILTER(SchPdt3[Value],(SchPdt3[PrjId]=$B273)*(SchPdt3[Row]=$D273)*(SchPdt3[Column]=_xlfn.LET(_xlpm.x,SUBSTITUTE(UPPER(INDIRECT("r"&amp;MATCH("TIP",$A:$A,0)&amp;"c"&amp;IF(INDIRECT("r"&amp;MATCH("TAP",$A:$A,0)&amp;"c",FALSE)="SERRA","","[-1]"),FALSE)),".",""),IFERROR(_xlfn.TEXTBEFORE(_xlpm.x," ("),_xlpm.x))),0)),0)</f>
        <v>0</v>
      </c>
      <c r="AF273" s="378" cm="1">
        <f t="array" aca="1" ref="AF273" ca="1">_xlfn.LET(_xlpm.x,INDIRECT("rc[-1]",FALSE),_xlpm.y,SUM(INDIRECT("r[-1]c[-1]:r[-1]c",FALSE)),IF(_xlpm.y=0,IF(_xlpm.x=0,0,1),_xlpm.x/_xlpm.y))</f>
        <v>0</v>
      </c>
      <c r="AG273" s="377" cm="1">
        <f t="array" aca="1" ref="AG273" ca="1">IFERROR(SUM(_xlfn._xlws.FILTER(SchPdt3[Value],(SchPdt3[PrjId]=$B273)*(SchPdt3[Row]=$D273)*(SchPdt3[Column]=_xlfn.LET(_xlpm.x,SUBSTITUTE(UPPER(INDIRECT("r"&amp;MATCH("TIP",$A:$A,0)&amp;"c"&amp;IF(INDIRECT("r"&amp;MATCH("TAP",$A:$A,0)&amp;"c",FALSE)="SERRA","","[-1]"),FALSE)),".",""),IFERROR(_xlfn.TEXTBEFORE(_xlpm.x," ("),_xlpm.x))),0)),0)</f>
        <v>0</v>
      </c>
      <c r="AH273" s="378" cm="1">
        <f t="array" aca="1" ref="AH273" ca="1">_xlfn.LET(_xlpm.x,INDIRECT("rc[-1]",FALSE),_xlpm.y,SUM(INDIRECT("r[-1]c[-1]:r[-1]c",FALSE)),IF(_xlpm.y=0,IF(_xlpm.x=0,0,1),_xlpm.x/_xlpm.y))</f>
        <v>0</v>
      </c>
      <c r="AI273" s="377" cm="1">
        <f t="array" aca="1" ref="AI273" ca="1">IFERROR(SUM(_xlfn._xlws.FILTER(SchPdt3[Value],(SchPdt3[PrjId]=$B273)*(SchPdt3[Row]=$D273)*(SchPdt3[Column]=_xlfn.LET(_xlpm.x,SUBSTITUTE(UPPER(INDIRECT("r"&amp;MATCH("TIP",$A:$A,0)&amp;"c"&amp;IF(INDIRECT("r"&amp;MATCH("TAP",$A:$A,0)&amp;"c",FALSE)="SERRA","","[-1]"),FALSE)),".",""),IFERROR(_xlfn.TEXTBEFORE(_xlpm.x," ("),_xlpm.x))),0)),0)</f>
        <v>0</v>
      </c>
      <c r="AJ273" s="378" cm="1">
        <f t="array" aca="1" ref="AJ273" ca="1">_xlfn.LET(_xlpm.x,INDIRECT("rc[-1]",FALSE),_xlpm.y,SUM(INDIRECT("r[-1]c[-1]:r[-1]c",FALSE)),IF(_xlpm.y=0,IF(_xlpm.x=0,0,1),_xlpm.x/_xlpm.y))</f>
        <v>0</v>
      </c>
      <c r="AK273" s="377" cm="1">
        <f t="array" aca="1" ref="AK273" ca="1">IFERROR(SUM(_xlfn._xlws.FILTER(SchPdt3[Value],(SchPdt3[PrjId]=$B273)*(SchPdt3[Row]=$D273)*(SchPdt3[Column]=_xlfn.LET(_xlpm.x,SUBSTITUTE(UPPER(INDIRECT("r"&amp;MATCH("TIP",$A:$A,0)&amp;"c"&amp;IF(INDIRECT("r"&amp;MATCH("TAP",$A:$A,0)&amp;"c",FALSE)="SERRA","","[-1]"),FALSE)),".",""),IFERROR(_xlfn.TEXTBEFORE(_xlpm.x," ("),_xlpm.x))),0)),0)</f>
        <v>0</v>
      </c>
      <c r="AL273" s="378" cm="1">
        <f t="array" aca="1" ref="AL273" ca="1">_xlfn.LET(_xlpm.x,INDIRECT("rc[-1]",FALSE),_xlpm.y,SUM(INDIRECT("r[-1]c[-1]:r[-1]c",FALSE)),IF(_xlpm.y=0,IF(_xlpm.x=0,0,1),_xlpm.x/_xlpm.y))</f>
        <v>0</v>
      </c>
      <c r="AM273" s="377" cm="1">
        <f t="array" aca="1" ref="AM273" ca="1">IFERROR(SUM(_xlfn._xlws.FILTER(SchPdt3[Value],(SchPdt3[PrjId]=$B273)*(SchPdt3[Row]=$D273)*(SchPdt3[Column]=_xlfn.LET(_xlpm.x,SUBSTITUTE(UPPER(INDIRECT("r"&amp;MATCH("TIP",$A:$A,0)&amp;"c"&amp;IF(INDIRECT("r"&amp;MATCH("TAP",$A:$A,0)&amp;"c",FALSE)="SERRA","","[-1]"),FALSE)),".",""),IFERROR(_xlfn.TEXTBEFORE(_xlpm.x," ("),_xlpm.x))),0)),0)</f>
        <v>0</v>
      </c>
      <c r="AN273" s="378" cm="1">
        <f t="array" aca="1" ref="AN273" ca="1">_xlfn.LET(_xlpm.x,INDIRECT("rc[-1]",FALSE),_xlpm.y,SUM(INDIRECT("r[-1]c[-1]:r[-1]c",FALSE)),IF(_xlpm.y=0,IF(_xlpm.x=0,0,1),_xlpm.x/_xlpm.y))</f>
        <v>0</v>
      </c>
      <c r="AO273" s="377" cm="1">
        <f t="array" aca="1" ref="AO273" ca="1">IFERROR(SUM(_xlfn._xlws.FILTER(SchPdt3[Value],(SchPdt3[PrjId]=$B273)*(SchPdt3[Row]=$D273)*(SchPdt3[Column]=_xlfn.LET(_xlpm.x,SUBSTITUTE(UPPER(INDIRECT("r"&amp;MATCH("TIP",$A:$A,0)&amp;"c"&amp;IF(INDIRECT("r"&amp;MATCH("TAP",$A:$A,0)&amp;"c",FALSE)="SERRA","","[-1]"),FALSE)),".",""),IFERROR(_xlfn.TEXTBEFORE(_xlpm.x," ("),_xlpm.x))),0)),0)</f>
        <v>0</v>
      </c>
      <c r="AP273" s="378" cm="1">
        <f t="array" aca="1" ref="AP273" ca="1">_xlfn.LET(_xlpm.x,INDIRECT("rc[-1]",FALSE),_xlpm.y,SUM(INDIRECT("r[-1]c[-1]:r[-1]c",FALSE)),IF(_xlpm.y=0,IF(_xlpm.x=0,0,1),_xlpm.x/_xlpm.y))</f>
        <v>0</v>
      </c>
      <c r="AQ273" s="377" cm="1">
        <f t="array" aca="1" ref="AQ273" ca="1">SUM(IF(INDIRECT($AS$115)=AQ$115,INDIRECT($AS273)))</f>
        <v>6908.4778999999999</v>
      </c>
      <c r="AR273" s="378" cm="1">
        <f t="array" aca="1" ref="AR273" ca="1">_xlfn.LET(_xlpm.x,INDIRECT("rc[-1]",FALSE),_xlpm.y,SUM(INDIRECT("r[-1]c[-1]:r[-1]c",FALSE)),IF(_xlpm.y=0,IF(_xlpm.x=0,0,1),_xlpm.x/_xlpm.y))</f>
        <v>0.23531826091015853</v>
      </c>
      <c r="AS273" s="286" t="str">
        <f t="shared" si="23"/>
        <v>G273:AP273</v>
      </c>
      <c r="AT273" s="403">
        <f ca="1">SUM(INDIRECT("rc"&amp;MATCH("ECD",$1:$1,0)&amp;":rc"&amp;(MATCH("EOC",$1:$1,0)-2),FALSE))</f>
        <v>6908.4778999999999</v>
      </c>
      <c r="AV273" s="142" cm="1">
        <f t="array" aca="1" ref="AV273" ca="1">IF(AND(_xlfn.LET(_xlpm.x,SUM(ROW()),OR(AND(MATCH("SOT",$A:$A,0)&lt;_xlpm.x,MATCH("EOT",$A:$A,0)&gt;_xlpm.x),AND(MATCH("SOS",$A:$A,0)&lt;_xlpm.x,MATCH("EOS",$A:$A,0)&gt;_xlpm.x),AND(MATCH("SOR",$A:$A,0)&lt;_xlpm.x,MATCH("EOR",$A:$A,0)&gt;_xlpm.x))),INDIRECT("rc"&amp;MATCH("SCD",$1:$1,0),FALSE)="PPTO"),1,0)</f>
        <v>0</v>
      </c>
      <c r="AW273" s="142" cm="1">
        <f t="array" aca="1" ref="AW27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74" spans="1:49" s="153" customFormat="1" outlineLevel="2">
      <c r="A274" s="152"/>
      <c r="B274" s="401" t="str">
        <f t="shared" si="22"/>
        <v>31200</v>
      </c>
      <c r="C274" s="148"/>
      <c r="D274" s="401" t="str" cm="1">
        <f t="array" ref="D274">_xlfn.TAKE(INDEX(_xlfn.UNIQUE(_xlfn._xlws.SORT(TbStd[Row5])),1+(SUM(ROW()-MATCH("SOP",$A:$A,0)-1)/2),0),1)</f>
        <v>GESM</v>
      </c>
      <c r="E274" s="350" t="str" cm="1">
        <f t="array" ref="E274">UPPER(_xlfn.UNIQUE(_xlfn._xlws.FILTER(TbRowMacro[RowMacroName],TbRowMacro[RowMcroId]=$D274,"X")))</f>
        <v>GRAN COMPRA/GEST.MATERIALES</v>
      </c>
      <c r="F274" s="402" t="s">
        <v>2074</v>
      </c>
      <c r="G274" s="377" cm="1">
        <f t="array" aca="1" ref="G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H274" s="377" cm="1">
        <f t="array" aca="1" ref="H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I274" s="377" cm="1">
        <f t="array" aca="1" ref="I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J274" s="377" cm="1">
        <f t="array" aca="1" ref="J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K274" s="377" cm="1">
        <f t="array" aca="1" ref="K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L274" s="377" cm="1">
        <f t="array" aca="1" ref="L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M274" s="377" cm="1">
        <f t="array" aca="1" ref="M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N274" s="377" cm="1">
        <f t="array" aca="1" ref="N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O274" s="377" cm="1">
        <f t="array" aca="1" ref="O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P274" s="377" cm="1">
        <f t="array" aca="1" ref="P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Q274" s="377" cm="1">
        <f t="array" aca="1" ref="Q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R274" s="377" cm="1">
        <f t="array" aca="1" ref="R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S274" s="377" cm="1">
        <f t="array" aca="1" ref="S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T274" s="377" cm="1">
        <f t="array" aca="1" ref="T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U274" s="377" cm="1">
        <f t="array" aca="1" ref="U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V274" s="377" cm="1">
        <f t="array" aca="1" ref="V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W274" s="377" cm="1">
        <f t="array" aca="1" ref="W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X274" s="377" cm="1">
        <f t="array" aca="1" ref="X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Y274" s="377" cm="1">
        <f t="array" aca="1" ref="Y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Z274" s="377" cm="1">
        <f t="array" aca="1" ref="Z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AA274" s="377" cm="1">
        <f t="array" aca="1" ref="AA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AB274" s="377" cm="1">
        <f t="array" aca="1" ref="AB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AC274" s="377" cm="1">
        <f t="array" aca="1" ref="AC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AD274" s="377" cm="1">
        <f t="array" aca="1" ref="AD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AE274" s="377" cm="1">
        <f t="array" aca="1" ref="AE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AF274" s="377" cm="1">
        <f t="array" aca="1" ref="AF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AG274" s="377" cm="1">
        <f t="array" aca="1" ref="AG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AH274" s="377" cm="1">
        <f t="array" aca="1" ref="AH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AI274" s="377" cm="1">
        <f t="array" aca="1" ref="AI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AJ274" s="377" cm="1">
        <f t="array" aca="1" ref="AJ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97096.665599999949</v>
      </c>
      <c r="AK274" s="377" cm="1">
        <f t="array" aca="1" ref="AK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AL274" s="377" cm="1">
        <f t="array" aca="1" ref="AL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AM274" s="377" cm="1">
        <f t="array" aca="1" ref="AM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AN274" s="377" cm="1">
        <f t="array" aca="1" ref="AN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AO274" s="377" cm="1">
        <f t="array" aca="1" ref="AO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AP274" s="377" cm="1">
        <f t="array" aca="1" ref="AP27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274)*(ISNUMBER(FIND(_xlpm.v,_xlfn.TEXTJOIN(":",TRUE,_xlfn.UNIQUE(_xlfn._xlws.FILTER(TbStd[RowGrp],TbStd[Row5]=$D274,"X"))))))),0)),0)</f>
        <v>0</v>
      </c>
      <c r="AQ274" s="377" cm="1">
        <f t="array" aca="1" ref="AQ274" ca="1">SUM(IF(INDIRECT($AS$115)=AQ$115,INDIRECT($AS274)))</f>
        <v>0</v>
      </c>
      <c r="AR274" s="377" cm="1">
        <f t="array" aca="1" ref="AR274" ca="1">SUM(IF(INDIRECT($AS$115)=AR$115,INDIRECT($AS274)))</f>
        <v>97096.665599999949</v>
      </c>
      <c r="AS274" s="286" t="str">
        <f t="shared" si="23"/>
        <v>G274:AP274</v>
      </c>
      <c r="AT274" s="403">
        <f t="shared" ca="1" si="24"/>
        <v>97096.665599999949</v>
      </c>
      <c r="AV274" s="142" cm="1">
        <f t="array" aca="1" ref="AV274" ca="1">IF(AND(_xlfn.LET(_xlpm.x,SUM(ROW()),OR(AND(MATCH("SOT",$A:$A,0)&lt;_xlpm.x,MATCH("EOT",$A:$A,0)&gt;_xlpm.x),AND(MATCH("SOS",$A:$A,0)&lt;_xlpm.x,MATCH("EOS",$A:$A,0)&gt;_xlpm.x),AND(MATCH("SOR",$A:$A,0)&lt;_xlpm.x,MATCH("EOR",$A:$A,0)&gt;_xlpm.x))),INDIRECT("rc"&amp;MATCH("SCD",$1:$1,0),FALSE)="PPTO"),1,0)</f>
        <v>0</v>
      </c>
      <c r="AW274" s="142" cm="1">
        <f t="array" aca="1" ref="AW27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75" spans="1:49" s="153" customFormat="1" outlineLevel="2">
      <c r="A275" s="152"/>
      <c r="B275" s="401" t="str">
        <f t="shared" si="22"/>
        <v>31200</v>
      </c>
      <c r="C275" s="148"/>
      <c r="D275" s="401" t="str" cm="1">
        <f t="array" ref="D275">_xlfn.TAKE(INDEX(_xlfn.UNIQUE(_xlfn._xlws.SORT(TbStd[Row5])),1+(SUM(ROW()-MATCH("SOP",$A:$A,0)-1)/2),0),1)</f>
        <v>GESM</v>
      </c>
      <c r="E275" s="350" t="str" cm="1">
        <f t="array" ref="E275">UPPER(_xlfn.UNIQUE(_xlfn._xlws.FILTER(TbRowMacro[RowMacroName],TbRowMacro[RowMcroId]=$D275,"X")))</f>
        <v>GRAN COMPRA/GEST.MATERIALES</v>
      </c>
      <c r="F275" s="402" t="s">
        <v>2055</v>
      </c>
      <c r="G275" s="377" cm="1">
        <f t="array" aca="1" ref="G275" ca="1">IFERROR(SUM(_xlfn._xlws.FILTER(SchPdt3[Value],(SchPdt3[PrjId]=$B275)*(SchPdt3[Row]=$D275)*(SchPdt3[Column]=_xlfn.LET(_xlpm.x,SUBSTITUTE(UPPER(INDIRECT("r"&amp;MATCH("TIP",$A:$A,0)&amp;"c"&amp;IF(INDIRECT("r"&amp;MATCH("TAP",$A:$A,0)&amp;"c",FALSE)="SERRA","","[-1]"),FALSE)),".",""),IFERROR(_xlfn.TEXTBEFORE(_xlpm.x," ("),_xlpm.x))),0)),0)</f>
        <v>0</v>
      </c>
      <c r="H275" s="378" cm="1">
        <f t="array" aca="1" ref="H275" ca="1">_xlfn.LET(_xlpm.x,INDIRECT("rc[-1]",FALSE),_xlpm.y,SUM(INDIRECT("r[-1]c[-1]:r[-1]c",FALSE)),IF(_xlpm.y=0,IF(_xlpm.x=0,0,1),_xlpm.x/_xlpm.y))</f>
        <v>0</v>
      </c>
      <c r="I275" s="377" cm="1">
        <f t="array" aca="1" ref="I275" ca="1">IFERROR(SUM(_xlfn._xlws.FILTER(SchPdt3[Value],(SchPdt3[PrjId]=$B275)*(SchPdt3[Row]=$D275)*(SchPdt3[Column]=_xlfn.LET(_xlpm.x,SUBSTITUTE(UPPER(INDIRECT("r"&amp;MATCH("TIP",$A:$A,0)&amp;"c"&amp;IF(INDIRECT("r"&amp;MATCH("TAP",$A:$A,0)&amp;"c",FALSE)="SERRA","","[-1]"),FALSE)),".",""),IFERROR(_xlfn.TEXTBEFORE(_xlpm.x," ("),_xlpm.x))),0)),0)</f>
        <v>0</v>
      </c>
      <c r="J275" s="378" cm="1">
        <f t="array" aca="1" ref="J275" ca="1">_xlfn.LET(_xlpm.x,INDIRECT("rc[-1]",FALSE),_xlpm.y,SUM(INDIRECT("r[-1]c[-1]:r[-1]c",FALSE)),IF(_xlpm.y=0,IF(_xlpm.x=0,0,1),_xlpm.x/_xlpm.y))</f>
        <v>0</v>
      </c>
      <c r="K275" s="377" cm="1">
        <f t="array" aca="1" ref="K275" ca="1">IFERROR(SUM(_xlfn._xlws.FILTER(SchPdt3[Value],(SchPdt3[PrjId]=$B275)*(SchPdt3[Row]=$D275)*(SchPdt3[Column]=_xlfn.LET(_xlpm.x,SUBSTITUTE(UPPER(INDIRECT("r"&amp;MATCH("TIP",$A:$A,0)&amp;"c"&amp;IF(INDIRECT("r"&amp;MATCH("TAP",$A:$A,0)&amp;"c",FALSE)="SERRA","","[-1]"),FALSE)),".",""),IFERROR(_xlfn.TEXTBEFORE(_xlpm.x," ("),_xlpm.x))),0)),0)</f>
        <v>0</v>
      </c>
      <c r="L275" s="378" cm="1">
        <f t="array" aca="1" ref="L275" ca="1">_xlfn.LET(_xlpm.x,INDIRECT("rc[-1]",FALSE),_xlpm.y,SUM(INDIRECT("r[-1]c[-1]:r[-1]c",FALSE)),IF(_xlpm.y=0,IF(_xlpm.x=0,0,1),_xlpm.x/_xlpm.y))</f>
        <v>0</v>
      </c>
      <c r="M275" s="377" cm="1">
        <f t="array" aca="1" ref="M275" ca="1">IFERROR(SUM(_xlfn._xlws.FILTER(SchPdt3[Value],(SchPdt3[PrjId]=$B275)*(SchPdt3[Row]=$D275)*(SchPdt3[Column]=_xlfn.LET(_xlpm.x,SUBSTITUTE(UPPER(INDIRECT("r"&amp;MATCH("TIP",$A:$A,0)&amp;"c"&amp;IF(INDIRECT("r"&amp;MATCH("TAP",$A:$A,0)&amp;"c",FALSE)="SERRA","","[-1]"),FALSE)),".",""),IFERROR(_xlfn.TEXTBEFORE(_xlpm.x," ("),_xlpm.x))),0)),0)</f>
        <v>0</v>
      </c>
      <c r="N275" s="378" cm="1">
        <f t="array" aca="1" ref="N275" ca="1">_xlfn.LET(_xlpm.x,INDIRECT("rc[-1]",FALSE),_xlpm.y,SUM(INDIRECT("r[-1]c[-1]:r[-1]c",FALSE)),IF(_xlpm.y=0,IF(_xlpm.x=0,0,1),_xlpm.x/_xlpm.y))</f>
        <v>0</v>
      </c>
      <c r="O275" s="377" cm="1">
        <f t="array" aca="1" ref="O275" ca="1">IFERROR(SUM(_xlfn._xlws.FILTER(SchPdt3[Value],(SchPdt3[PrjId]=$B275)*(SchPdt3[Row]=$D275)*(SchPdt3[Column]=_xlfn.LET(_xlpm.x,SUBSTITUTE(UPPER(INDIRECT("r"&amp;MATCH("TIP",$A:$A,0)&amp;"c"&amp;IF(INDIRECT("r"&amp;MATCH("TAP",$A:$A,0)&amp;"c",FALSE)="SERRA","","[-1]"),FALSE)),".",""),IFERROR(_xlfn.TEXTBEFORE(_xlpm.x," ("),_xlpm.x))),0)),0)</f>
        <v>0</v>
      </c>
      <c r="P275" s="378" cm="1">
        <f t="array" aca="1" ref="P275" ca="1">_xlfn.LET(_xlpm.x,INDIRECT("rc[-1]",FALSE),_xlpm.y,SUM(INDIRECT("r[-1]c[-1]:r[-1]c",FALSE)),IF(_xlpm.y=0,IF(_xlpm.x=0,0,1),_xlpm.x/_xlpm.y))</f>
        <v>0</v>
      </c>
      <c r="Q275" s="377" cm="1">
        <f t="array" aca="1" ref="Q275" ca="1">IFERROR(SUM(_xlfn._xlws.FILTER(SchPdt3[Value],(SchPdt3[PrjId]=$B275)*(SchPdt3[Row]=$D275)*(SchPdt3[Column]=_xlfn.LET(_xlpm.x,SUBSTITUTE(UPPER(INDIRECT("r"&amp;MATCH("TIP",$A:$A,0)&amp;"c"&amp;IF(INDIRECT("r"&amp;MATCH("TAP",$A:$A,0)&amp;"c",FALSE)="SERRA","","[-1]"),FALSE)),".",""),IFERROR(_xlfn.TEXTBEFORE(_xlpm.x," ("),_xlpm.x))),0)),0)</f>
        <v>0</v>
      </c>
      <c r="R275" s="378" cm="1">
        <f t="array" aca="1" ref="R275" ca="1">_xlfn.LET(_xlpm.x,INDIRECT("rc[-1]",FALSE),_xlpm.y,SUM(INDIRECT("r[-1]c[-1]:r[-1]c",FALSE)),IF(_xlpm.y=0,IF(_xlpm.x=0,0,1),_xlpm.x/_xlpm.y))</f>
        <v>0</v>
      </c>
      <c r="S275" s="377" cm="1">
        <f t="array" aca="1" ref="S275" ca="1">IFERROR(SUM(_xlfn._xlws.FILTER(SchPdt3[Value],(SchPdt3[PrjId]=$B275)*(SchPdt3[Row]=$D275)*(SchPdt3[Column]=_xlfn.LET(_xlpm.x,SUBSTITUTE(UPPER(INDIRECT("r"&amp;MATCH("TIP",$A:$A,0)&amp;"c"&amp;IF(INDIRECT("r"&amp;MATCH("TAP",$A:$A,0)&amp;"c",FALSE)="SERRA","","[-1]"),FALSE)),".",""),IFERROR(_xlfn.TEXTBEFORE(_xlpm.x," ("),_xlpm.x))),0)),0)</f>
        <v>0</v>
      </c>
      <c r="T275" s="378" cm="1">
        <f t="array" aca="1" ref="T275" ca="1">_xlfn.LET(_xlpm.x,INDIRECT("rc[-1]",FALSE),_xlpm.y,SUM(INDIRECT("r[-1]c[-1]:r[-1]c",FALSE)),IF(_xlpm.y=0,IF(_xlpm.x=0,0,1),_xlpm.x/_xlpm.y))</f>
        <v>0</v>
      </c>
      <c r="U275" s="377" cm="1">
        <f t="array" aca="1" ref="U275" ca="1">IFERROR(SUM(_xlfn._xlws.FILTER(SchPdt3[Value],(SchPdt3[PrjId]=$B275)*(SchPdt3[Row]=$D275)*(SchPdt3[Column]=_xlfn.LET(_xlpm.x,SUBSTITUTE(UPPER(INDIRECT("r"&amp;MATCH("TIP",$A:$A,0)&amp;"c"&amp;IF(INDIRECT("r"&amp;MATCH("TAP",$A:$A,0)&amp;"c",FALSE)="SERRA","","[-1]"),FALSE)),".",""),IFERROR(_xlfn.TEXTBEFORE(_xlpm.x," ("),_xlpm.x))),0)),0)</f>
        <v>0</v>
      </c>
      <c r="V275" s="378" cm="1">
        <f t="array" aca="1" ref="V275" ca="1">_xlfn.LET(_xlpm.x,INDIRECT("rc[-1]",FALSE),_xlpm.y,SUM(INDIRECT("r[-1]c[-1]:r[-1]c",FALSE)),IF(_xlpm.y=0,IF(_xlpm.x=0,0,1),_xlpm.x/_xlpm.y))</f>
        <v>0</v>
      </c>
      <c r="W275" s="377" cm="1">
        <f t="array" aca="1" ref="W275" ca="1">IFERROR(SUM(_xlfn._xlws.FILTER(SchPdt3[Value],(SchPdt3[PrjId]=$B275)*(SchPdt3[Row]=$D275)*(SchPdt3[Column]=_xlfn.LET(_xlpm.x,SUBSTITUTE(UPPER(INDIRECT("r"&amp;MATCH("TIP",$A:$A,0)&amp;"c"&amp;IF(INDIRECT("r"&amp;MATCH("TAP",$A:$A,0)&amp;"c",FALSE)="SERRA","","[-1]"),FALSE)),".",""),IFERROR(_xlfn.TEXTBEFORE(_xlpm.x," ("),_xlpm.x))),0)),0)</f>
        <v>0</v>
      </c>
      <c r="X275" s="378" cm="1">
        <f t="array" aca="1" ref="X275" ca="1">_xlfn.LET(_xlpm.x,INDIRECT("rc[-1]",FALSE),_xlpm.y,SUM(INDIRECT("r[-1]c[-1]:r[-1]c",FALSE)),IF(_xlpm.y=0,IF(_xlpm.x=0,0,1),_xlpm.x/_xlpm.y))</f>
        <v>0</v>
      </c>
      <c r="Y275" s="377" cm="1">
        <f t="array" aca="1" ref="Y275" ca="1">IFERROR(SUM(_xlfn._xlws.FILTER(SchPdt3[Value],(SchPdt3[PrjId]=$B275)*(SchPdt3[Row]=$D275)*(SchPdt3[Column]=_xlfn.LET(_xlpm.x,SUBSTITUTE(UPPER(INDIRECT("r"&amp;MATCH("TIP",$A:$A,0)&amp;"c"&amp;IF(INDIRECT("r"&amp;MATCH("TAP",$A:$A,0)&amp;"c",FALSE)="SERRA","","[-1]"),FALSE)),".",""),IFERROR(_xlfn.TEXTBEFORE(_xlpm.x," ("),_xlpm.x))),0)),0)</f>
        <v>0</v>
      </c>
      <c r="Z275" s="378" cm="1">
        <f t="array" aca="1" ref="Z275" ca="1">_xlfn.LET(_xlpm.x,INDIRECT("rc[-1]",FALSE),_xlpm.y,SUM(INDIRECT("r[-1]c[-1]:r[-1]c",FALSE)),IF(_xlpm.y=0,IF(_xlpm.x=0,0,1),_xlpm.x/_xlpm.y))</f>
        <v>0</v>
      </c>
      <c r="AA275" s="377" cm="1">
        <f t="array" aca="1" ref="AA275" ca="1">IFERROR(SUM(_xlfn._xlws.FILTER(SchPdt3[Value],(SchPdt3[PrjId]=$B275)*(SchPdt3[Row]=$D275)*(SchPdt3[Column]=_xlfn.LET(_xlpm.x,SUBSTITUTE(UPPER(INDIRECT("r"&amp;MATCH("TIP",$A:$A,0)&amp;"c"&amp;IF(INDIRECT("r"&amp;MATCH("TAP",$A:$A,0)&amp;"c",FALSE)="SERRA","","[-1]"),FALSE)),".",""),IFERROR(_xlfn.TEXTBEFORE(_xlpm.x," ("),_xlpm.x))),0)),0)</f>
        <v>0</v>
      </c>
      <c r="AB275" s="378" cm="1">
        <f t="array" aca="1" ref="AB275" ca="1">_xlfn.LET(_xlpm.x,INDIRECT("rc[-1]",FALSE),_xlpm.y,SUM(INDIRECT("r[-1]c[-1]:r[-1]c",FALSE)),IF(_xlpm.y=0,IF(_xlpm.x=0,0,1),_xlpm.x/_xlpm.y))</f>
        <v>0</v>
      </c>
      <c r="AC275" s="377" cm="1">
        <f t="array" aca="1" ref="AC275" ca="1">IFERROR(SUM(_xlfn._xlws.FILTER(SchPdt3[Value],(SchPdt3[PrjId]=$B275)*(SchPdt3[Row]=$D275)*(SchPdt3[Column]=_xlfn.LET(_xlpm.x,SUBSTITUTE(UPPER(INDIRECT("r"&amp;MATCH("TIP",$A:$A,0)&amp;"c"&amp;IF(INDIRECT("r"&amp;MATCH("TAP",$A:$A,0)&amp;"c",FALSE)="SERRA","","[-1]"),FALSE)),".",""),IFERROR(_xlfn.TEXTBEFORE(_xlpm.x," ("),_xlpm.x))),0)),0)</f>
        <v>0</v>
      </c>
      <c r="AD275" s="378" cm="1">
        <f t="array" aca="1" ref="AD275" ca="1">_xlfn.LET(_xlpm.x,INDIRECT("rc[-1]",FALSE),_xlpm.y,SUM(INDIRECT("r[-1]c[-1]:r[-1]c",FALSE)),IF(_xlpm.y=0,IF(_xlpm.x=0,0,1),_xlpm.x/_xlpm.y))</f>
        <v>0</v>
      </c>
      <c r="AE275" s="377" cm="1">
        <f t="array" aca="1" ref="AE275" ca="1">IFERROR(SUM(_xlfn._xlws.FILTER(SchPdt3[Value],(SchPdt3[PrjId]=$B275)*(SchPdt3[Row]=$D275)*(SchPdt3[Column]=_xlfn.LET(_xlpm.x,SUBSTITUTE(UPPER(INDIRECT("r"&amp;MATCH("TIP",$A:$A,0)&amp;"c"&amp;IF(INDIRECT("r"&amp;MATCH("TAP",$A:$A,0)&amp;"c",FALSE)="SERRA","","[-1]"),FALSE)),".",""),IFERROR(_xlfn.TEXTBEFORE(_xlpm.x," ("),_xlpm.x))),0)),0)</f>
        <v>0</v>
      </c>
      <c r="AF275" s="378" cm="1">
        <f t="array" aca="1" ref="AF275" ca="1">_xlfn.LET(_xlpm.x,INDIRECT("rc[-1]",FALSE),_xlpm.y,SUM(INDIRECT("r[-1]c[-1]:r[-1]c",FALSE)),IF(_xlpm.y=0,IF(_xlpm.x=0,0,1),_xlpm.x/_xlpm.y))</f>
        <v>0</v>
      </c>
      <c r="AG275" s="377" cm="1">
        <f t="array" aca="1" ref="AG275" ca="1">IFERROR(SUM(_xlfn._xlws.FILTER(SchPdt3[Value],(SchPdt3[PrjId]=$B275)*(SchPdt3[Row]=$D275)*(SchPdt3[Column]=_xlfn.LET(_xlpm.x,SUBSTITUTE(UPPER(INDIRECT("r"&amp;MATCH("TIP",$A:$A,0)&amp;"c"&amp;IF(INDIRECT("r"&amp;MATCH("TAP",$A:$A,0)&amp;"c",FALSE)="SERRA","","[-1]"),FALSE)),".",""),IFERROR(_xlfn.TEXTBEFORE(_xlpm.x," ("),_xlpm.x))),0)),0)</f>
        <v>0</v>
      </c>
      <c r="AH275" s="378" cm="1">
        <f t="array" aca="1" ref="AH275" ca="1">_xlfn.LET(_xlpm.x,INDIRECT("rc[-1]",FALSE),_xlpm.y,SUM(INDIRECT("r[-1]c[-1]:r[-1]c",FALSE)),IF(_xlpm.y=0,IF(_xlpm.x=0,0,1),_xlpm.x/_xlpm.y))</f>
        <v>0</v>
      </c>
      <c r="AI275" s="377" cm="1">
        <f t="array" aca="1" ref="AI275" ca="1">IFERROR(SUM(_xlfn._xlws.FILTER(SchPdt3[Value],(SchPdt3[PrjId]=$B275)*(SchPdt3[Row]=$D275)*(SchPdt3[Column]=_xlfn.LET(_xlpm.x,SUBSTITUTE(UPPER(INDIRECT("r"&amp;MATCH("TIP",$A:$A,0)&amp;"c"&amp;IF(INDIRECT("r"&amp;MATCH("TAP",$A:$A,0)&amp;"c",FALSE)="SERRA","","[-1]"),FALSE)),".",""),IFERROR(_xlfn.TEXTBEFORE(_xlpm.x," ("),_xlpm.x))),0)),0)</f>
        <v>0</v>
      </c>
      <c r="AJ275" s="378" cm="1">
        <f t="array" aca="1" ref="AJ275" ca="1">_xlfn.LET(_xlpm.x,INDIRECT("rc[-1]",FALSE),_xlpm.y,SUM(INDIRECT("r[-1]c[-1]:r[-1]c",FALSE)),IF(_xlpm.y=0,IF(_xlpm.x=0,0,1),_xlpm.x/_xlpm.y))</f>
        <v>0</v>
      </c>
      <c r="AK275" s="377" cm="1">
        <f t="array" aca="1" ref="AK275" ca="1">IFERROR(SUM(_xlfn._xlws.FILTER(SchPdt3[Value],(SchPdt3[PrjId]=$B275)*(SchPdt3[Row]=$D275)*(SchPdt3[Column]=_xlfn.LET(_xlpm.x,SUBSTITUTE(UPPER(INDIRECT("r"&amp;MATCH("TIP",$A:$A,0)&amp;"c"&amp;IF(INDIRECT("r"&amp;MATCH("TAP",$A:$A,0)&amp;"c",FALSE)="SERRA","","[-1]"),FALSE)),".",""),IFERROR(_xlfn.TEXTBEFORE(_xlpm.x," ("),_xlpm.x))),0)),0)</f>
        <v>0</v>
      </c>
      <c r="AL275" s="378" cm="1">
        <f t="array" aca="1" ref="AL275" ca="1">_xlfn.LET(_xlpm.x,INDIRECT("rc[-1]",FALSE),_xlpm.y,SUM(INDIRECT("r[-1]c[-1]:r[-1]c",FALSE)),IF(_xlpm.y=0,IF(_xlpm.x=0,0,1),_xlpm.x/_xlpm.y))</f>
        <v>0</v>
      </c>
      <c r="AM275" s="377" cm="1">
        <f t="array" aca="1" ref="AM275" ca="1">IFERROR(SUM(_xlfn._xlws.FILTER(SchPdt3[Value],(SchPdt3[PrjId]=$B275)*(SchPdt3[Row]=$D275)*(SchPdt3[Column]=_xlfn.LET(_xlpm.x,SUBSTITUTE(UPPER(INDIRECT("r"&amp;MATCH("TIP",$A:$A,0)&amp;"c"&amp;IF(INDIRECT("r"&amp;MATCH("TAP",$A:$A,0)&amp;"c",FALSE)="SERRA","","[-1]"),FALSE)),".",""),IFERROR(_xlfn.TEXTBEFORE(_xlpm.x," ("),_xlpm.x))),0)),0)</f>
        <v>0</v>
      </c>
      <c r="AN275" s="378" cm="1">
        <f t="array" aca="1" ref="AN275" ca="1">_xlfn.LET(_xlpm.x,INDIRECT("rc[-1]",FALSE),_xlpm.y,SUM(INDIRECT("r[-1]c[-1]:r[-1]c",FALSE)),IF(_xlpm.y=0,IF(_xlpm.x=0,0,1),_xlpm.x/_xlpm.y))</f>
        <v>0</v>
      </c>
      <c r="AO275" s="377" cm="1">
        <f t="array" aca="1" ref="AO275" ca="1">IFERROR(SUM(_xlfn._xlws.FILTER(SchPdt3[Value],(SchPdt3[PrjId]=$B275)*(SchPdt3[Row]=$D275)*(SchPdt3[Column]=_xlfn.LET(_xlpm.x,SUBSTITUTE(UPPER(INDIRECT("r"&amp;MATCH("TIP",$A:$A,0)&amp;"c"&amp;IF(INDIRECT("r"&amp;MATCH("TAP",$A:$A,0)&amp;"c",FALSE)="SERRA","","[-1]"),FALSE)),".",""),IFERROR(_xlfn.TEXTBEFORE(_xlpm.x," ("),_xlpm.x))),0)),0)</f>
        <v>0</v>
      </c>
      <c r="AP275" s="378" cm="1">
        <f t="array" aca="1" ref="AP275" ca="1">_xlfn.LET(_xlpm.x,INDIRECT("rc[-1]",FALSE),_xlpm.y,SUM(INDIRECT("r[-1]c[-1]:r[-1]c",FALSE)),IF(_xlpm.y=0,IF(_xlpm.x=0,0,1),_xlpm.x/_xlpm.y))</f>
        <v>0</v>
      </c>
      <c r="AQ275" s="377" cm="1">
        <f t="array" aca="1" ref="AQ275" ca="1">SUM(IF(INDIRECT($AS$115)=AQ$115,INDIRECT($AS275)))</f>
        <v>0</v>
      </c>
      <c r="AR275" s="378" cm="1">
        <f t="array" aca="1" ref="AR275" ca="1">_xlfn.LET(_xlpm.x,INDIRECT("rc[-1]",FALSE),_xlpm.y,SUM(INDIRECT("r[-1]c[-1]:r[-1]c",FALSE)),IF(_xlpm.y=0,IF(_xlpm.x=0,0,1),_xlpm.x/_xlpm.y))</f>
        <v>0</v>
      </c>
      <c r="AS275" s="286" t="str">
        <f t="shared" si="23"/>
        <v>G275:AP275</v>
      </c>
      <c r="AT275" s="403">
        <f ca="1">SUM(INDIRECT("rc"&amp;MATCH("ECD",$1:$1,0)&amp;":rc"&amp;(MATCH("EOC",$1:$1,0)-2),FALSE))</f>
        <v>0</v>
      </c>
      <c r="AV275" s="142" cm="1">
        <f t="array" aca="1" ref="AV275" ca="1">IF(AND(_xlfn.LET(_xlpm.x,SUM(ROW()),OR(AND(MATCH("SOT",$A:$A,0)&lt;_xlpm.x,MATCH("EOT",$A:$A,0)&gt;_xlpm.x),AND(MATCH("SOS",$A:$A,0)&lt;_xlpm.x,MATCH("EOS",$A:$A,0)&gt;_xlpm.x),AND(MATCH("SOR",$A:$A,0)&lt;_xlpm.x,MATCH("EOR",$A:$A,0)&gt;_xlpm.x))),INDIRECT("rc"&amp;MATCH("SCD",$1:$1,0),FALSE)="PPTO"),1,0)</f>
        <v>0</v>
      </c>
      <c r="AW275" s="142" cm="1">
        <f t="array" aca="1" ref="AW27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76" spans="1:49" s="153" customFormat="1" outlineLevel="2">
      <c r="A276" s="152"/>
      <c r="B276" s="401" t="str">
        <f t="shared" si="22"/>
        <v>31200</v>
      </c>
      <c r="C276" s="148"/>
      <c r="D276" s="401" t="str" cm="1">
        <f t="array" ref="D276">_xlfn.TAKE(INDEX(_xlfn.UNIQUE(_xlfn._xlws.SORT(TbStd[Row5])),1+(SUM(ROW()-MATCH("SOP",$A:$A,0)-1)/2),0),1)</f>
        <v>IMPC</v>
      </c>
      <c r="E276" s="350" t="str" cm="1">
        <f t="array" ref="E276">UPPER(_xlfn.UNIQUE(_xlfn._xlws.FILTER(TbRowMacro[RowMacroName],TbRowMacro[RowMcroId]=$D276,"X")))</f>
        <v>IMPLANTACION CELDA/MONTAJE SERRA</v>
      </c>
      <c r="F276" s="402" t="s">
        <v>2074</v>
      </c>
      <c r="G276" s="377" cm="1">
        <f t="array" aca="1" ref="G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H276" s="377" cm="1">
        <f t="array" aca="1" ref="H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I276" s="377" cm="1">
        <f t="array" aca="1" ref="I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J276" s="377" cm="1">
        <f t="array" aca="1" ref="J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K276" s="377" cm="1">
        <f t="array" aca="1" ref="K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L276" s="377" cm="1">
        <f t="array" aca="1" ref="L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M276" s="377" cm="1">
        <f t="array" aca="1" ref="M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N276" s="377" cm="1">
        <f t="array" aca="1" ref="N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O276" s="377" cm="1">
        <f t="array" aca="1" ref="O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P276" s="377" cm="1">
        <f t="array" aca="1" ref="P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Q276" s="377" cm="1">
        <f t="array" aca="1" ref="Q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R276" s="377" cm="1">
        <f t="array" aca="1" ref="R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S276" s="377" cm="1">
        <f t="array" aca="1" ref="S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T276" s="377" cm="1">
        <f t="array" aca="1" ref="T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U276" s="377" cm="1">
        <f t="array" aca="1" ref="U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V276" s="377" cm="1">
        <f t="array" aca="1" ref="V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-93.930000000000035</v>
      </c>
      <c r="W276" s="377" cm="1">
        <f t="array" aca="1" ref="W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39754.212134608119</v>
      </c>
      <c r="X276" s="377" cm="1">
        <f t="array" aca="1" ref="X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102562.26377477997</v>
      </c>
      <c r="Y276" s="377" cm="1">
        <f t="array" aca="1" ref="Y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Z276" s="377" cm="1">
        <f t="array" aca="1" ref="Z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AA276" s="377" cm="1">
        <f t="array" aca="1" ref="AA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AB276" s="377" cm="1">
        <f t="array" aca="1" ref="AB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AC276" s="377" cm="1">
        <f t="array" aca="1" ref="AC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691.33934900999975</v>
      </c>
      <c r="AD276" s="377" cm="1">
        <f t="array" aca="1" ref="AD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-691.33934901000009</v>
      </c>
      <c r="AE276" s="377" cm="1">
        <f t="array" aca="1" ref="AE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16757.147914831003</v>
      </c>
      <c r="AF276" s="377" cm="1">
        <f t="array" aca="1" ref="AF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51406.429568311025</v>
      </c>
      <c r="AG276" s="377" cm="1">
        <f t="array" aca="1" ref="AG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AH276" s="377" cm="1">
        <f t="array" aca="1" ref="AH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AI276" s="377" cm="1">
        <f t="array" aca="1" ref="AI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AJ276" s="377" cm="1">
        <f t="array" aca="1" ref="AJ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-604.22000000000116</v>
      </c>
      <c r="AK276" s="377" cm="1">
        <f t="array" aca="1" ref="AK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AL276" s="377" cm="1">
        <f t="array" aca="1" ref="AL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3877.320000000007</v>
      </c>
      <c r="AM276" s="377" cm="1">
        <f t="array" aca="1" ref="AM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AN276" s="377" cm="1">
        <f t="array" aca="1" ref="AN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50266.299999999996</v>
      </c>
      <c r="AO276" s="377" cm="1">
        <f t="array" aca="1" ref="AO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AP276" s="377" cm="1">
        <f t="array" aca="1" ref="AP27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276)*(ISNUMBER(FIND(_xlpm.v,_xlfn.TEXTJOIN(":",TRUE,_xlfn.UNIQUE(_xlfn._xlws.FILTER(TbStd[RowGrp],TbStd[Row5]=$D276,"X"))))))),0)),0)</f>
        <v>0</v>
      </c>
      <c r="AQ276" s="377" cm="1">
        <f t="array" aca="1" ref="AQ276" ca="1">SUM(IF(INDIRECT($AS$115)=AQ$115,INDIRECT($AS276)))</f>
        <v>57202.69939844912</v>
      </c>
      <c r="AR276" s="377" cm="1">
        <f t="array" aca="1" ref="AR276" ca="1">SUM(IF(INDIRECT($AS$115)=AR$115,INDIRECT($AS276)))</f>
        <v>206722.823994081</v>
      </c>
      <c r="AS276" s="286" t="str">
        <f t="shared" si="23"/>
        <v>G276:AP276</v>
      </c>
      <c r="AT276" s="403">
        <f t="shared" ca="1" si="24"/>
        <v>263925.5233925301</v>
      </c>
      <c r="AV276" s="142" cm="1">
        <f t="array" aca="1" ref="AV276" ca="1">IF(AND(_xlfn.LET(_xlpm.x,SUM(ROW()),OR(AND(MATCH("SOT",$A:$A,0)&lt;_xlpm.x,MATCH("EOT",$A:$A,0)&gt;_xlpm.x),AND(MATCH("SOS",$A:$A,0)&lt;_xlpm.x,MATCH("EOS",$A:$A,0)&gt;_xlpm.x),AND(MATCH("SOR",$A:$A,0)&lt;_xlpm.x,MATCH("EOR",$A:$A,0)&gt;_xlpm.x))),INDIRECT("rc"&amp;MATCH("SCD",$1:$1,0),FALSE)="PPTO"),1,0)</f>
        <v>0</v>
      </c>
      <c r="AW276" s="142" cm="1">
        <f t="array" aca="1" ref="AW27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77" spans="1:49" s="153" customFormat="1" outlineLevel="2">
      <c r="A277" s="152"/>
      <c r="B277" s="401" t="str">
        <f t="shared" si="22"/>
        <v>31200</v>
      </c>
      <c r="C277" s="148"/>
      <c r="D277" s="401" t="str" cm="1">
        <f t="array" ref="D277">_xlfn.TAKE(INDEX(_xlfn.UNIQUE(_xlfn._xlws.SORT(TbStd[Row5])),1+(SUM(ROW()-MATCH("SOP",$A:$A,0)-1)/2),0),1)</f>
        <v>IMPC</v>
      </c>
      <c r="E277" s="350" t="str" cm="1">
        <f t="array" ref="E277">UPPER(_xlfn.UNIQUE(_xlfn._xlws.FILTER(TbRowMacro[RowMacroName],TbRowMacro[RowMcroId]=$D277,"X")))</f>
        <v>IMPLANTACION CELDA/MONTAJE SERRA</v>
      </c>
      <c r="F277" s="402" t="s">
        <v>2055</v>
      </c>
      <c r="G277" s="377" cm="1">
        <f t="array" aca="1" ref="G277" ca="1">IFERROR(SUM(_xlfn._xlws.FILTER(SchPdt3[Value],(SchPdt3[PrjId]=$B277)*(SchPdt3[Row]=$D277)*(SchPdt3[Column]=_xlfn.LET(_xlpm.x,SUBSTITUTE(UPPER(INDIRECT("r"&amp;MATCH("TIP",$A:$A,0)&amp;"c"&amp;IF(INDIRECT("r"&amp;MATCH("TAP",$A:$A,0)&amp;"c",FALSE)="SERRA","","[-1]"),FALSE)),".",""),IFERROR(_xlfn.TEXTBEFORE(_xlpm.x," ("),_xlpm.x))),0)),0)</f>
        <v>39467.425000000003</v>
      </c>
      <c r="H277" s="378" cm="1">
        <f t="array" aca="1" ref="H277" ca="1">_xlfn.LET(_xlpm.x,INDIRECT("rc[-1]",FALSE),_xlpm.y,SUM(INDIRECT("r[-1]c[-1]:r[-1]c",FALSE)),IF(_xlpm.y=0,IF(_xlpm.x=0,0,1),_xlpm.x/_xlpm.y))</f>
        <v>1</v>
      </c>
      <c r="I277" s="377" cm="1">
        <f t="array" aca="1" ref="I277" ca="1">IFERROR(SUM(_xlfn._xlws.FILTER(SchPdt3[Value],(SchPdt3[PrjId]=$B277)*(SchPdt3[Row]=$D277)*(SchPdt3[Column]=_xlfn.LET(_xlpm.x,SUBSTITUTE(UPPER(INDIRECT("r"&amp;MATCH("TIP",$A:$A,0)&amp;"c"&amp;IF(INDIRECT("r"&amp;MATCH("TAP",$A:$A,0)&amp;"c",FALSE)="SERRA","","[-1]"),FALSE)),".",""),IFERROR(_xlfn.TEXTBEFORE(_xlpm.x," ("),_xlpm.x))),0)),0)</f>
        <v>0</v>
      </c>
      <c r="J277" s="378" cm="1">
        <f t="array" aca="1" ref="J277" ca="1">_xlfn.LET(_xlpm.x,INDIRECT("rc[-1]",FALSE),_xlpm.y,SUM(INDIRECT("r[-1]c[-1]:r[-1]c",FALSE)),IF(_xlpm.y=0,IF(_xlpm.x=0,0,1),_xlpm.x/_xlpm.y))</f>
        <v>0</v>
      </c>
      <c r="K277" s="377" cm="1">
        <f t="array" aca="1" ref="K277" ca="1">IFERROR(SUM(_xlfn._xlws.FILTER(SchPdt3[Value],(SchPdt3[PrjId]=$B277)*(SchPdt3[Row]=$D277)*(SchPdt3[Column]=_xlfn.LET(_xlpm.x,SUBSTITUTE(UPPER(INDIRECT("r"&amp;MATCH("TIP",$A:$A,0)&amp;"c"&amp;IF(INDIRECT("r"&amp;MATCH("TAP",$A:$A,0)&amp;"c",FALSE)="SERRA","","[-1]"),FALSE)),".",""),IFERROR(_xlfn.TEXTBEFORE(_xlpm.x," ("),_xlpm.x))),0)),0)</f>
        <v>9286.7816000000003</v>
      </c>
      <c r="L277" s="378" cm="1">
        <f t="array" aca="1" ref="L277" ca="1">_xlfn.LET(_xlpm.x,INDIRECT("rc[-1]",FALSE),_xlpm.y,SUM(INDIRECT("r[-1]c[-1]:r[-1]c",FALSE)),IF(_xlpm.y=0,IF(_xlpm.x=0,0,1),_xlpm.x/_xlpm.y))</f>
        <v>1</v>
      </c>
      <c r="M277" s="377" cm="1">
        <f t="array" aca="1" ref="M277" ca="1">IFERROR(SUM(_xlfn._xlws.FILTER(SchPdt3[Value],(SchPdt3[PrjId]=$B277)*(SchPdt3[Row]=$D277)*(SchPdt3[Column]=_xlfn.LET(_xlpm.x,SUBSTITUTE(UPPER(INDIRECT("r"&amp;MATCH("TIP",$A:$A,0)&amp;"c"&amp;IF(INDIRECT("r"&amp;MATCH("TAP",$A:$A,0)&amp;"c",FALSE)="SERRA","","[-1]"),FALSE)),".",""),IFERROR(_xlfn.TEXTBEFORE(_xlpm.x," ("),_xlpm.x))),0)),0)</f>
        <v>0</v>
      </c>
      <c r="N277" s="378" cm="1">
        <f t="array" aca="1" ref="N277" ca="1">_xlfn.LET(_xlpm.x,INDIRECT("rc[-1]",FALSE),_xlpm.y,SUM(INDIRECT("r[-1]c[-1]:r[-1]c",FALSE)),IF(_xlpm.y=0,IF(_xlpm.x=0,0,1),_xlpm.x/_xlpm.y))</f>
        <v>0</v>
      </c>
      <c r="O277" s="377" cm="1">
        <f t="array" aca="1" ref="O277" ca="1">IFERROR(SUM(_xlfn._xlws.FILTER(SchPdt3[Value],(SchPdt3[PrjId]=$B277)*(SchPdt3[Row]=$D277)*(SchPdt3[Column]=_xlfn.LET(_xlpm.x,SUBSTITUTE(UPPER(INDIRECT("r"&amp;MATCH("TIP",$A:$A,0)&amp;"c"&amp;IF(INDIRECT("r"&amp;MATCH("TAP",$A:$A,0)&amp;"c",FALSE)="SERRA","","[-1]"),FALSE)),".",""),IFERROR(_xlfn.TEXTBEFORE(_xlpm.x," ("),_xlpm.x))),0)),0)</f>
        <v>52576.140600000006</v>
      </c>
      <c r="P277" s="378" cm="1">
        <f t="array" aca="1" ref="P277" ca="1">_xlfn.LET(_xlpm.x,INDIRECT("rc[-1]",FALSE),_xlpm.y,SUM(INDIRECT("r[-1]c[-1]:r[-1]c",FALSE)),IF(_xlpm.y=0,IF(_xlpm.x=0,0,1),_xlpm.x/_xlpm.y))</f>
        <v>1</v>
      </c>
      <c r="Q277" s="377" cm="1">
        <f t="array" aca="1" ref="Q277" ca="1">IFERROR(SUM(_xlfn._xlws.FILTER(SchPdt3[Value],(SchPdt3[PrjId]=$B277)*(SchPdt3[Row]=$D277)*(SchPdt3[Column]=_xlfn.LET(_xlpm.x,SUBSTITUTE(UPPER(INDIRECT("r"&amp;MATCH("TIP",$A:$A,0)&amp;"c"&amp;IF(INDIRECT("r"&amp;MATCH("TAP",$A:$A,0)&amp;"c",FALSE)="SERRA","","[-1]"),FALSE)),".",""),IFERROR(_xlfn.TEXTBEFORE(_xlpm.x," ("),_xlpm.x))),0)),0)</f>
        <v>0</v>
      </c>
      <c r="R277" s="378" cm="1">
        <f t="array" aca="1" ref="R277" ca="1">_xlfn.LET(_xlpm.x,INDIRECT("rc[-1]",FALSE),_xlpm.y,SUM(INDIRECT("r[-1]c[-1]:r[-1]c",FALSE)),IF(_xlpm.y=0,IF(_xlpm.x=0,0,1),_xlpm.x/_xlpm.y))</f>
        <v>0</v>
      </c>
      <c r="S277" s="377" cm="1">
        <f t="array" aca="1" ref="S277" ca="1">IFERROR(SUM(_xlfn._xlws.FILTER(SchPdt3[Value],(SchPdt3[PrjId]=$B277)*(SchPdt3[Row]=$D277)*(SchPdt3[Column]=_xlfn.LET(_xlpm.x,SUBSTITUTE(UPPER(INDIRECT("r"&amp;MATCH("TIP",$A:$A,0)&amp;"c"&amp;IF(INDIRECT("r"&amp;MATCH("TAP",$A:$A,0)&amp;"c",FALSE)="SERRA","","[-1]"),FALSE)),".",""),IFERROR(_xlfn.TEXTBEFORE(_xlpm.x," ("),_xlpm.x))),0)),0)</f>
        <v>37370.646000000008</v>
      </c>
      <c r="T277" s="378" cm="1">
        <f t="array" aca="1" ref="T277" ca="1">_xlfn.LET(_xlpm.x,INDIRECT("rc[-1]",FALSE),_xlpm.y,SUM(INDIRECT("r[-1]c[-1]:r[-1]c",FALSE)),IF(_xlpm.y=0,IF(_xlpm.x=0,0,1),_xlpm.x/_xlpm.y))</f>
        <v>1</v>
      </c>
      <c r="U277" s="377" cm="1">
        <f t="array" aca="1" ref="U277" ca="1">IFERROR(SUM(_xlfn._xlws.FILTER(SchPdt3[Value],(SchPdt3[PrjId]=$B277)*(SchPdt3[Row]=$D277)*(SchPdt3[Column]=_xlfn.LET(_xlpm.x,SUBSTITUTE(UPPER(INDIRECT("r"&amp;MATCH("TIP",$A:$A,0)&amp;"c"&amp;IF(INDIRECT("r"&amp;MATCH("TAP",$A:$A,0)&amp;"c",FALSE)="SERRA","","[-1]"),FALSE)),".",""),IFERROR(_xlfn.TEXTBEFORE(_xlpm.x," ("),_xlpm.x))),0)),0)</f>
        <v>0</v>
      </c>
      <c r="V277" s="378" cm="1">
        <f t="array" aca="1" ref="V277" ca="1">_xlfn.LET(_xlpm.x,INDIRECT("rc[-1]",FALSE),_xlpm.y,SUM(INDIRECT("r[-1]c[-1]:r[-1]c",FALSE)),IF(_xlpm.y=0,IF(_xlpm.x=0,0,1),_xlpm.x/_xlpm.y))</f>
        <v>0</v>
      </c>
      <c r="W277" s="377" cm="1">
        <f t="array" aca="1" ref="W277" ca="1">IFERROR(SUM(_xlfn._xlws.FILTER(SchPdt3[Value],(SchPdt3[PrjId]=$B277)*(SchPdt3[Row]=$D277)*(SchPdt3[Column]=_xlfn.LET(_xlpm.x,SUBSTITUTE(UPPER(INDIRECT("r"&amp;MATCH("TIP",$A:$A,0)&amp;"c"&amp;IF(INDIRECT("r"&amp;MATCH("TAP",$A:$A,0)&amp;"c",FALSE)="SERRA","","[-1]"),FALSE)),".",""),IFERROR(_xlfn.TEXTBEFORE(_xlpm.x," ("),_xlpm.x))),0)),0)</f>
        <v>146552.79800000001</v>
      </c>
      <c r="X277" s="378" cm="1">
        <f t="array" aca="1" ref="X277" ca="1">_xlfn.LET(_xlpm.x,INDIRECT("rc[-1]",FALSE),_xlpm.y,SUM(INDIRECT("r[-1]c[-1]:r[-1]c",FALSE)),IF(_xlpm.y=0,IF(_xlpm.x=0,0,1),_xlpm.x/_xlpm.y))</f>
        <v>1.0297669125344922</v>
      </c>
      <c r="Y277" s="377" cm="1">
        <f t="array" aca="1" ref="Y277" ca="1">IFERROR(SUM(_xlfn._xlws.FILTER(SchPdt3[Value],(SchPdt3[PrjId]=$B277)*(SchPdt3[Row]=$D277)*(SchPdt3[Column]=_xlfn.LET(_xlpm.x,SUBSTITUTE(UPPER(INDIRECT("r"&amp;MATCH("TIP",$A:$A,0)&amp;"c"&amp;IF(INDIRECT("r"&amp;MATCH("TAP",$A:$A,0)&amp;"c",FALSE)="SERRA","","[-1]"),FALSE)),".",""),IFERROR(_xlfn.TEXTBEFORE(_xlpm.x," ("),_xlpm.x))),0)),0)</f>
        <v>0</v>
      </c>
      <c r="Z277" s="378" cm="1">
        <f t="array" aca="1" ref="Z277" ca="1">_xlfn.LET(_xlpm.x,INDIRECT("rc[-1]",FALSE),_xlpm.y,SUM(INDIRECT("r[-1]c[-1]:r[-1]c",FALSE)),IF(_xlpm.y=0,IF(_xlpm.x=0,0,1),_xlpm.x/_xlpm.y))</f>
        <v>0</v>
      </c>
      <c r="AA277" s="377" cm="1">
        <f t="array" aca="1" ref="AA277" ca="1">IFERROR(SUM(_xlfn._xlws.FILTER(SchPdt3[Value],(SchPdt3[PrjId]=$B277)*(SchPdt3[Row]=$D277)*(SchPdt3[Column]=_xlfn.LET(_xlpm.x,SUBSTITUTE(UPPER(INDIRECT("r"&amp;MATCH("TIP",$A:$A,0)&amp;"c"&amp;IF(INDIRECT("r"&amp;MATCH("TAP",$A:$A,0)&amp;"c",FALSE)="SERRA","","[-1]"),FALSE)),".",""),IFERROR(_xlfn.TEXTBEFORE(_xlpm.x," ("),_xlpm.x))),0)),0)</f>
        <v>0</v>
      </c>
      <c r="AB277" s="378" cm="1">
        <f t="array" aca="1" ref="AB277" ca="1">_xlfn.LET(_xlpm.x,INDIRECT("rc[-1]",FALSE),_xlpm.y,SUM(INDIRECT("r[-1]c[-1]:r[-1]c",FALSE)),IF(_xlpm.y=0,IF(_xlpm.x=0,0,1),_xlpm.x/_xlpm.y))</f>
        <v>0</v>
      </c>
      <c r="AC277" s="377" cm="1">
        <f t="array" aca="1" ref="AC277" ca="1">IFERROR(SUM(_xlfn._xlws.FILTER(SchPdt3[Value],(SchPdt3[PrjId]=$B277)*(SchPdt3[Row]=$D277)*(SchPdt3[Column]=_xlfn.LET(_xlpm.x,SUBSTITUTE(UPPER(INDIRECT("r"&amp;MATCH("TIP",$A:$A,0)&amp;"c"&amp;IF(INDIRECT("r"&amp;MATCH("TAP",$A:$A,0)&amp;"c",FALSE)="SERRA","","[-1]"),FALSE)),".",""),IFERROR(_xlfn.TEXTBEFORE(_xlpm.x," ("),_xlpm.x))),0)),0)</f>
        <v>0</v>
      </c>
      <c r="AD277" s="378" cm="1">
        <f t="array" aca="1" ref="AD277" ca="1">_xlfn.LET(_xlpm.x,INDIRECT("rc[-1]",FALSE),_xlpm.y,SUM(INDIRECT("r[-1]c[-1]:r[-1]c",FALSE)),IF(_xlpm.y=0,IF(_xlpm.x=0,0,1),_xlpm.x/_xlpm.y))</f>
        <v>0</v>
      </c>
      <c r="AE277" s="377" cm="1">
        <f t="array" aca="1" ref="AE277" ca="1">IFERROR(SUM(_xlfn._xlws.FILTER(SchPdt3[Value],(SchPdt3[PrjId]=$B277)*(SchPdt3[Row]=$D277)*(SchPdt3[Column]=_xlfn.LET(_xlpm.x,SUBSTITUTE(UPPER(INDIRECT("r"&amp;MATCH("TIP",$A:$A,0)&amp;"c"&amp;IF(INDIRECT("r"&amp;MATCH("TAP",$A:$A,0)&amp;"c",FALSE)="SERRA","","[-1]"),FALSE)),".",""),IFERROR(_xlfn.TEXTBEFORE(_xlpm.x," ("),_xlpm.x))),0)),0)</f>
        <v>157229.264</v>
      </c>
      <c r="AF277" s="378" cm="1">
        <f t="array" aca="1" ref="AF277" ca="1">_xlfn.LET(_xlpm.x,INDIRECT("rc[-1]",FALSE),_xlpm.y,SUM(INDIRECT("r[-1]c[-1]:r[-1]c",FALSE)),IF(_xlpm.y=0,IF(_xlpm.x=0,0,1),_xlpm.x/_xlpm.y))</f>
        <v>2.3066463029890909</v>
      </c>
      <c r="AG277" s="377" cm="1">
        <f t="array" aca="1" ref="AG277" ca="1">IFERROR(SUM(_xlfn._xlws.FILTER(SchPdt3[Value],(SchPdt3[PrjId]=$B277)*(SchPdt3[Row]=$D277)*(SchPdt3[Column]=_xlfn.LET(_xlpm.x,SUBSTITUTE(UPPER(INDIRECT("r"&amp;MATCH("TIP",$A:$A,0)&amp;"c"&amp;IF(INDIRECT("r"&amp;MATCH("TAP",$A:$A,0)&amp;"c",FALSE)="SERRA","","[-1]"),FALSE)),".",""),IFERROR(_xlfn.TEXTBEFORE(_xlpm.x," ("),_xlpm.x))),0)),0)</f>
        <v>0</v>
      </c>
      <c r="AH277" s="378" cm="1">
        <f t="array" aca="1" ref="AH277" ca="1">_xlfn.LET(_xlpm.x,INDIRECT("rc[-1]",FALSE),_xlpm.y,SUM(INDIRECT("r[-1]c[-1]:r[-1]c",FALSE)),IF(_xlpm.y=0,IF(_xlpm.x=0,0,1),_xlpm.x/_xlpm.y))</f>
        <v>0</v>
      </c>
      <c r="AI277" s="377" cm="1">
        <f t="array" aca="1" ref="AI277" ca="1">IFERROR(SUM(_xlfn._xlws.FILTER(SchPdt3[Value],(SchPdt3[PrjId]=$B277)*(SchPdt3[Row]=$D277)*(SchPdt3[Column]=_xlfn.LET(_xlpm.x,SUBSTITUTE(UPPER(INDIRECT("r"&amp;MATCH("TIP",$A:$A,0)&amp;"c"&amp;IF(INDIRECT("r"&amp;MATCH("TAP",$A:$A,0)&amp;"c",FALSE)="SERRA","","[-1]"),FALSE)),".",""),IFERROR(_xlfn.TEXTBEFORE(_xlpm.x," ("),_xlpm.x))),0)),0)</f>
        <v>0</v>
      </c>
      <c r="AJ277" s="378" cm="1">
        <f t="array" aca="1" ref="AJ277" ca="1">_xlfn.LET(_xlpm.x,INDIRECT("rc[-1]",FALSE),_xlpm.y,SUM(INDIRECT("r[-1]c[-1]:r[-1]c",FALSE)),IF(_xlpm.y=0,IF(_xlpm.x=0,0,1),_xlpm.x/_xlpm.y))</f>
        <v>0</v>
      </c>
      <c r="AK277" s="377" cm="1">
        <f t="array" aca="1" ref="AK277" ca="1">IFERROR(SUM(_xlfn._xlws.FILTER(SchPdt3[Value],(SchPdt3[PrjId]=$B277)*(SchPdt3[Row]=$D277)*(SchPdt3[Column]=_xlfn.LET(_xlpm.x,SUBSTITUTE(UPPER(INDIRECT("r"&amp;MATCH("TIP",$A:$A,0)&amp;"c"&amp;IF(INDIRECT("r"&amp;MATCH("TAP",$A:$A,0)&amp;"c",FALSE)="SERRA","","[-1]"),FALSE)),".",""),IFERROR(_xlfn.TEXTBEFORE(_xlpm.x," ("),_xlpm.x))),0)),0)</f>
        <v>0</v>
      </c>
      <c r="AL277" s="378" cm="1">
        <f t="array" aca="1" ref="AL277" ca="1">_xlfn.LET(_xlpm.x,INDIRECT("rc[-1]",FALSE),_xlpm.y,SUM(INDIRECT("r[-1]c[-1]:r[-1]c",FALSE)),IF(_xlpm.y=0,IF(_xlpm.x=0,0,1),_xlpm.x/_xlpm.y))</f>
        <v>0</v>
      </c>
      <c r="AM277" s="377" cm="1">
        <f t="array" aca="1" ref="AM277" ca="1">IFERROR(SUM(_xlfn._xlws.FILTER(SchPdt3[Value],(SchPdt3[PrjId]=$B277)*(SchPdt3[Row]=$D277)*(SchPdt3[Column]=_xlfn.LET(_xlpm.x,SUBSTITUTE(UPPER(INDIRECT("r"&amp;MATCH("TIP",$A:$A,0)&amp;"c"&amp;IF(INDIRECT("r"&amp;MATCH("TAP",$A:$A,0)&amp;"c",FALSE)="SERRA","","[-1]"),FALSE)),".",""),IFERROR(_xlfn.TEXTBEFORE(_xlpm.x," ("),_xlpm.x))),0)),0)</f>
        <v>0</v>
      </c>
      <c r="AN277" s="378" cm="1">
        <f t="array" aca="1" ref="AN277" ca="1">_xlfn.LET(_xlpm.x,INDIRECT("rc[-1]",FALSE),_xlpm.y,SUM(INDIRECT("r[-1]c[-1]:r[-1]c",FALSE)),IF(_xlpm.y=0,IF(_xlpm.x=0,0,1),_xlpm.x/_xlpm.y))</f>
        <v>0</v>
      </c>
      <c r="AO277" s="377" cm="1">
        <f t="array" aca="1" ref="AO277" ca="1">IFERROR(SUM(_xlfn._xlws.FILTER(SchPdt3[Value],(SchPdt3[PrjId]=$B277)*(SchPdt3[Row]=$D277)*(SchPdt3[Column]=_xlfn.LET(_xlpm.x,SUBSTITUTE(UPPER(INDIRECT("r"&amp;MATCH("TIP",$A:$A,0)&amp;"c"&amp;IF(INDIRECT("r"&amp;MATCH("TAP",$A:$A,0)&amp;"c",FALSE)="SERRA","","[-1]"),FALSE)),".",""),IFERROR(_xlfn.TEXTBEFORE(_xlpm.x," ("),_xlpm.x))),0)),0)</f>
        <v>0</v>
      </c>
      <c r="AP277" s="378" cm="1">
        <f t="array" aca="1" ref="AP277" ca="1">_xlfn.LET(_xlpm.x,INDIRECT("rc[-1]",FALSE),_xlpm.y,SUM(INDIRECT("r[-1]c[-1]:r[-1]c",FALSE)),IF(_xlpm.y=0,IF(_xlpm.x=0,0,1),_xlpm.x/_xlpm.y))</f>
        <v>0</v>
      </c>
      <c r="AQ277" s="377" cm="1">
        <f t="array" aca="1" ref="AQ277" ca="1">SUM(IF(INDIRECT($AS$115)=AQ$115,INDIRECT($AS277)))</f>
        <v>442483.05520000006</v>
      </c>
      <c r="AR277" s="378" cm="1">
        <f t="array" aca="1" ref="AR277" ca="1">_xlfn.LET(_xlpm.x,INDIRECT("rc[-1]",FALSE),_xlpm.y,SUM(INDIRECT("r[-1]c[-1]:r[-1]c",FALSE)),IF(_xlpm.y=0,IF(_xlpm.x=0,0,1),_xlpm.x/_xlpm.y))</f>
        <v>1.6765451461922674</v>
      </c>
      <c r="AS277" s="286" t="str">
        <f t="shared" si="23"/>
        <v>G277:AP277</v>
      </c>
      <c r="AT277" s="403">
        <f ca="1">SUM(INDIRECT("rc"&amp;MATCH("ECD",$1:$1,0)&amp;":rc"&amp;(MATCH("EOC",$1:$1,0)-2),FALSE))</f>
        <v>442483.05520000006</v>
      </c>
      <c r="AV277" s="142" cm="1">
        <f t="array" aca="1" ref="AV277" ca="1">IF(AND(_xlfn.LET(_xlpm.x,SUM(ROW()),OR(AND(MATCH("SOT",$A:$A,0)&lt;_xlpm.x,MATCH("EOT",$A:$A,0)&gt;_xlpm.x),AND(MATCH("SOS",$A:$A,0)&lt;_xlpm.x,MATCH("EOS",$A:$A,0)&gt;_xlpm.x),AND(MATCH("SOR",$A:$A,0)&lt;_xlpm.x,MATCH("EOR",$A:$A,0)&gt;_xlpm.x))),INDIRECT("rc"&amp;MATCH("SCD",$1:$1,0),FALSE)="PPTO"),1,0)</f>
        <v>0</v>
      </c>
      <c r="AW277" s="142" cm="1">
        <f t="array" aca="1" ref="AW27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78" spans="1:49" s="153" customFormat="1" outlineLevel="2">
      <c r="A278" s="152"/>
      <c r="B278" s="401" t="str">
        <f t="shared" si="22"/>
        <v>31200</v>
      </c>
      <c r="C278" s="148"/>
      <c r="D278" s="401" t="str" cm="1">
        <f t="array" ref="D278">_xlfn.TAKE(INDEX(_xlfn.UNIQUE(_xlfn._xlws.SORT(TbStd[Row5])),1+(SUM(ROW()-MATCH("SOP",$A:$A,0)-1)/2),0),1)</f>
        <v>IMPT</v>
      </c>
      <c r="E278" s="350" t="str" cm="1">
        <f t="array" ref="E278">UPPER(_xlfn.UNIQUE(_xlfn._xlws.FILTER(TbRowMacro[RowMacroName],TbRowMacro[RowMcroId]=$D278,"X")))</f>
        <v>IMPLANTACION TOOL/ENR</v>
      </c>
      <c r="F278" s="402" t="s">
        <v>2074</v>
      </c>
      <c r="G278" s="377" cm="1">
        <f t="array" aca="1" ref="G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H278" s="377" cm="1">
        <f t="array" aca="1" ref="H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I278" s="377" cm="1">
        <f t="array" aca="1" ref="I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J278" s="377" cm="1">
        <f t="array" aca="1" ref="J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K278" s="377" cm="1">
        <f t="array" aca="1" ref="K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L278" s="377" cm="1">
        <f t="array" aca="1" ref="L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M278" s="377" cm="1">
        <f t="array" aca="1" ref="M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N278" s="377" cm="1">
        <f t="array" aca="1" ref="N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O278" s="377" cm="1">
        <f t="array" aca="1" ref="O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P278" s="377" cm="1">
        <f t="array" aca="1" ref="P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Q278" s="377" cm="1">
        <f t="array" aca="1" ref="Q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R278" s="377" cm="1">
        <f t="array" aca="1" ref="R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S278" s="377" cm="1">
        <f t="array" aca="1" ref="S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T278" s="377" cm="1">
        <f t="array" aca="1" ref="T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U278" s="377" cm="1">
        <f t="array" aca="1" ref="U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V278" s="377" cm="1">
        <f t="array" aca="1" ref="V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-624</v>
      </c>
      <c r="W278" s="377" cm="1">
        <f t="array" aca="1" ref="W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X278" s="377" cm="1">
        <f t="array" aca="1" ref="X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Y278" s="377" cm="1">
        <f t="array" aca="1" ref="Y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Z278" s="377" cm="1">
        <f t="array" aca="1" ref="Z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AA278" s="377" cm="1">
        <f t="array" aca="1" ref="AA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AB278" s="377" cm="1">
        <f t="array" aca="1" ref="AB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AC278" s="377" cm="1">
        <f t="array" aca="1" ref="AC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AD278" s="377" cm="1">
        <f t="array" aca="1" ref="AD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AE278" s="377" cm="1">
        <f t="array" aca="1" ref="AE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4090.0352135730009</v>
      </c>
      <c r="AF278" s="377" cm="1">
        <f t="array" aca="1" ref="AF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2513.8614844130061</v>
      </c>
      <c r="AG278" s="377" cm="1">
        <f t="array" aca="1" ref="AG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AH278" s="377" cm="1">
        <f t="array" aca="1" ref="AH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AI278" s="377" cm="1">
        <f t="array" aca="1" ref="AI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AJ278" s="377" cm="1">
        <f t="array" aca="1" ref="AJ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-796.25</v>
      </c>
      <c r="AK278" s="377" cm="1">
        <f t="array" aca="1" ref="AK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AL278" s="377" cm="1">
        <f t="array" aca="1" ref="AL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-198.01999999998952</v>
      </c>
      <c r="AM278" s="377" cm="1">
        <f t="array" aca="1" ref="AM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AN278" s="377" cm="1">
        <f t="array" aca="1" ref="AN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10320.829999999987</v>
      </c>
      <c r="AO278" s="377" cm="1">
        <f t="array" aca="1" ref="AO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AP278" s="377" cm="1">
        <f t="array" aca="1" ref="AP27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278)*(ISNUMBER(FIND(_xlpm.v,_xlfn.TEXTJOIN(":",TRUE,_xlfn.UNIQUE(_xlfn._xlws.FILTER(TbStd[RowGrp],TbStd[Row5]=$D278,"X"))))))),0)),0)</f>
        <v>0</v>
      </c>
      <c r="AQ278" s="377" cm="1">
        <f t="array" aca="1" ref="AQ278" ca="1">SUM(IF(INDIRECT($AS$115)=AQ$115,INDIRECT($AS278)))</f>
        <v>4090.0352135730009</v>
      </c>
      <c r="AR278" s="377" cm="1">
        <f t="array" aca="1" ref="AR278" ca="1">SUM(IF(INDIRECT($AS$115)=AR$115,INDIRECT($AS278)))</f>
        <v>11216.421484413004</v>
      </c>
      <c r="AS278" s="286" t="str">
        <f t="shared" si="23"/>
        <v>G278:AP278</v>
      </c>
      <c r="AT278" s="403">
        <f t="shared" ca="1" si="24"/>
        <v>15306.456697986005</v>
      </c>
      <c r="AV278" s="142" cm="1">
        <f t="array" aca="1" ref="AV278" ca="1">IF(AND(_xlfn.LET(_xlpm.x,SUM(ROW()),OR(AND(MATCH("SOT",$A:$A,0)&lt;_xlpm.x,MATCH("EOT",$A:$A,0)&gt;_xlpm.x),AND(MATCH("SOS",$A:$A,0)&lt;_xlpm.x,MATCH("EOS",$A:$A,0)&gt;_xlpm.x),AND(MATCH("SOR",$A:$A,0)&lt;_xlpm.x,MATCH("EOR",$A:$A,0)&gt;_xlpm.x))),INDIRECT("rc"&amp;MATCH("SCD",$1:$1,0),FALSE)="PPTO"),1,0)</f>
        <v>0</v>
      </c>
      <c r="AW278" s="142" cm="1">
        <f t="array" aca="1" ref="AW27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79" spans="1:49" s="153" customFormat="1" outlineLevel="2">
      <c r="A279" s="152"/>
      <c r="B279" s="401" t="str">
        <f t="shared" si="22"/>
        <v>31200</v>
      </c>
      <c r="C279" s="148"/>
      <c r="D279" s="401" t="str" cm="1">
        <f t="array" ref="D279">_xlfn.TAKE(INDEX(_xlfn.UNIQUE(_xlfn._xlws.SORT(TbStd[Row5])),1+(SUM(ROW()-MATCH("SOP",$A:$A,0)-1)/2),0),1)</f>
        <v>IMPT</v>
      </c>
      <c r="E279" s="350" t="str" cm="1">
        <f t="array" ref="E279">UPPER(_xlfn.UNIQUE(_xlfn._xlws.FILTER(TbRowMacro[RowMacroName],TbRowMacro[RowMcroId]=$D279,"X")))</f>
        <v>IMPLANTACION TOOL/ENR</v>
      </c>
      <c r="F279" s="402" t="s">
        <v>2055</v>
      </c>
      <c r="G279" s="377" cm="1">
        <f t="array" aca="1" ref="G279" ca="1">IFERROR(SUM(_xlfn._xlws.FILTER(SchPdt3[Value],(SchPdt3[PrjId]=$B279)*(SchPdt3[Row]=$D279)*(SchPdt3[Column]=_xlfn.LET(_xlpm.x,SUBSTITUTE(UPPER(INDIRECT("r"&amp;MATCH("TIP",$A:$A,0)&amp;"c"&amp;IF(INDIRECT("r"&amp;MATCH("TAP",$A:$A,0)&amp;"c",FALSE)="SERRA","","[-1]"),FALSE)),".",""),IFERROR(_xlfn.TEXTBEFORE(_xlpm.x," ("),_xlpm.x))),0)),0)</f>
        <v>0</v>
      </c>
      <c r="H279" s="378" cm="1">
        <f t="array" aca="1" ref="H279" ca="1">_xlfn.LET(_xlpm.x,INDIRECT("rc[-1]",FALSE),_xlpm.y,SUM(INDIRECT("r[-1]c[-1]:r[-1]c",FALSE)),IF(_xlpm.y=0,IF(_xlpm.x=0,0,1),_xlpm.x/_xlpm.y))</f>
        <v>0</v>
      </c>
      <c r="I279" s="377" cm="1">
        <f t="array" aca="1" ref="I279" ca="1">IFERROR(SUM(_xlfn._xlws.FILTER(SchPdt3[Value],(SchPdt3[PrjId]=$B279)*(SchPdt3[Row]=$D279)*(SchPdt3[Column]=_xlfn.LET(_xlpm.x,SUBSTITUTE(UPPER(INDIRECT("r"&amp;MATCH("TIP",$A:$A,0)&amp;"c"&amp;IF(INDIRECT("r"&amp;MATCH("TAP",$A:$A,0)&amp;"c",FALSE)="SERRA","","[-1]"),FALSE)),".",""),IFERROR(_xlfn.TEXTBEFORE(_xlpm.x," ("),_xlpm.x))),0)),0)</f>
        <v>0</v>
      </c>
      <c r="J279" s="378" cm="1">
        <f t="array" aca="1" ref="J279" ca="1">_xlfn.LET(_xlpm.x,INDIRECT("rc[-1]",FALSE),_xlpm.y,SUM(INDIRECT("r[-1]c[-1]:r[-1]c",FALSE)),IF(_xlpm.y=0,IF(_xlpm.x=0,0,1),_xlpm.x/_xlpm.y))</f>
        <v>0</v>
      </c>
      <c r="K279" s="377" cm="1">
        <f t="array" aca="1" ref="K279" ca="1">IFERROR(SUM(_xlfn._xlws.FILTER(SchPdt3[Value],(SchPdt3[PrjId]=$B279)*(SchPdt3[Row]=$D279)*(SchPdt3[Column]=_xlfn.LET(_xlpm.x,SUBSTITUTE(UPPER(INDIRECT("r"&amp;MATCH("TIP",$A:$A,0)&amp;"c"&amp;IF(INDIRECT("r"&amp;MATCH("TAP",$A:$A,0)&amp;"c",FALSE)="SERRA","","[-1]"),FALSE)),".",""),IFERROR(_xlfn.TEXTBEFORE(_xlpm.x," ("),_xlpm.x))),0)),0)</f>
        <v>0</v>
      </c>
      <c r="L279" s="378" cm="1">
        <f t="array" aca="1" ref="L279" ca="1">_xlfn.LET(_xlpm.x,INDIRECT("rc[-1]",FALSE),_xlpm.y,SUM(INDIRECT("r[-1]c[-1]:r[-1]c",FALSE)),IF(_xlpm.y=0,IF(_xlpm.x=0,0,1),_xlpm.x/_xlpm.y))</f>
        <v>0</v>
      </c>
      <c r="M279" s="377" cm="1">
        <f t="array" aca="1" ref="M279" ca="1">IFERROR(SUM(_xlfn._xlws.FILTER(SchPdt3[Value],(SchPdt3[PrjId]=$B279)*(SchPdt3[Row]=$D279)*(SchPdt3[Column]=_xlfn.LET(_xlpm.x,SUBSTITUTE(UPPER(INDIRECT("r"&amp;MATCH("TIP",$A:$A,0)&amp;"c"&amp;IF(INDIRECT("r"&amp;MATCH("TAP",$A:$A,0)&amp;"c",FALSE)="SERRA","","[-1]"),FALSE)),".",""),IFERROR(_xlfn.TEXTBEFORE(_xlpm.x," ("),_xlpm.x))),0)),0)</f>
        <v>0</v>
      </c>
      <c r="N279" s="378" cm="1">
        <f t="array" aca="1" ref="N279" ca="1">_xlfn.LET(_xlpm.x,INDIRECT("rc[-1]",FALSE),_xlpm.y,SUM(INDIRECT("r[-1]c[-1]:r[-1]c",FALSE)),IF(_xlpm.y=0,IF(_xlpm.x=0,0,1),_xlpm.x/_xlpm.y))</f>
        <v>0</v>
      </c>
      <c r="O279" s="377" cm="1">
        <f t="array" aca="1" ref="O279" ca="1">IFERROR(SUM(_xlfn._xlws.FILTER(SchPdt3[Value],(SchPdt3[PrjId]=$B279)*(SchPdt3[Row]=$D279)*(SchPdt3[Column]=_xlfn.LET(_xlpm.x,SUBSTITUTE(UPPER(INDIRECT("r"&amp;MATCH("TIP",$A:$A,0)&amp;"c"&amp;IF(INDIRECT("r"&amp;MATCH("TAP",$A:$A,0)&amp;"c",FALSE)="SERRA","","[-1]"),FALSE)),".",""),IFERROR(_xlfn.TEXTBEFORE(_xlpm.x," ("),_xlpm.x))),0)),0)</f>
        <v>0</v>
      </c>
      <c r="P279" s="378" cm="1">
        <f t="array" aca="1" ref="P279" ca="1">_xlfn.LET(_xlpm.x,INDIRECT("rc[-1]",FALSE),_xlpm.y,SUM(INDIRECT("r[-1]c[-1]:r[-1]c",FALSE)),IF(_xlpm.y=0,IF(_xlpm.x=0,0,1),_xlpm.x/_xlpm.y))</f>
        <v>0</v>
      </c>
      <c r="Q279" s="377" cm="1">
        <f t="array" aca="1" ref="Q279" ca="1">IFERROR(SUM(_xlfn._xlws.FILTER(SchPdt3[Value],(SchPdt3[PrjId]=$B279)*(SchPdt3[Row]=$D279)*(SchPdt3[Column]=_xlfn.LET(_xlpm.x,SUBSTITUTE(UPPER(INDIRECT("r"&amp;MATCH("TIP",$A:$A,0)&amp;"c"&amp;IF(INDIRECT("r"&amp;MATCH("TAP",$A:$A,0)&amp;"c",FALSE)="SERRA","","[-1]"),FALSE)),".",""),IFERROR(_xlfn.TEXTBEFORE(_xlpm.x," ("),_xlpm.x))),0)),0)</f>
        <v>0</v>
      </c>
      <c r="R279" s="378" cm="1">
        <f t="array" aca="1" ref="R279" ca="1">_xlfn.LET(_xlpm.x,INDIRECT("rc[-1]",FALSE),_xlpm.y,SUM(INDIRECT("r[-1]c[-1]:r[-1]c",FALSE)),IF(_xlpm.y=0,IF(_xlpm.x=0,0,1),_xlpm.x/_xlpm.y))</f>
        <v>0</v>
      </c>
      <c r="S279" s="377" cm="1">
        <f t="array" aca="1" ref="S279" ca="1">IFERROR(SUM(_xlfn._xlws.FILTER(SchPdt3[Value],(SchPdt3[PrjId]=$B279)*(SchPdt3[Row]=$D279)*(SchPdt3[Column]=_xlfn.LET(_xlpm.x,SUBSTITUTE(UPPER(INDIRECT("r"&amp;MATCH("TIP",$A:$A,0)&amp;"c"&amp;IF(INDIRECT("r"&amp;MATCH("TAP",$A:$A,0)&amp;"c",FALSE)="SERRA","","[-1]"),FALSE)),".",""),IFERROR(_xlfn.TEXTBEFORE(_xlpm.x," ("),_xlpm.x))),0)),0)</f>
        <v>0</v>
      </c>
      <c r="T279" s="378" cm="1">
        <f t="array" aca="1" ref="T279" ca="1">_xlfn.LET(_xlpm.x,INDIRECT("rc[-1]",FALSE),_xlpm.y,SUM(INDIRECT("r[-1]c[-1]:r[-1]c",FALSE)),IF(_xlpm.y=0,IF(_xlpm.x=0,0,1),_xlpm.x/_xlpm.y))</f>
        <v>0</v>
      </c>
      <c r="U279" s="377" cm="1">
        <f t="array" aca="1" ref="U279" ca="1">IFERROR(SUM(_xlfn._xlws.FILTER(SchPdt3[Value],(SchPdt3[PrjId]=$B279)*(SchPdt3[Row]=$D279)*(SchPdt3[Column]=_xlfn.LET(_xlpm.x,SUBSTITUTE(UPPER(INDIRECT("r"&amp;MATCH("TIP",$A:$A,0)&amp;"c"&amp;IF(INDIRECT("r"&amp;MATCH("TAP",$A:$A,0)&amp;"c",FALSE)="SERRA","","[-1]"),FALSE)),".",""),IFERROR(_xlfn.TEXTBEFORE(_xlpm.x," ("),_xlpm.x))),0)),0)</f>
        <v>0</v>
      </c>
      <c r="V279" s="378" cm="1">
        <f t="array" aca="1" ref="V279" ca="1">_xlfn.LET(_xlpm.x,INDIRECT("rc[-1]",FALSE),_xlpm.y,SUM(INDIRECT("r[-1]c[-1]:r[-1]c",FALSE)),IF(_xlpm.y=0,IF(_xlpm.x=0,0,1),_xlpm.x/_xlpm.y))</f>
        <v>0</v>
      </c>
      <c r="W279" s="377" cm="1">
        <f t="array" aca="1" ref="W279" ca="1">IFERROR(SUM(_xlfn._xlws.FILTER(SchPdt3[Value],(SchPdt3[PrjId]=$B279)*(SchPdt3[Row]=$D279)*(SchPdt3[Column]=_xlfn.LET(_xlpm.x,SUBSTITUTE(UPPER(INDIRECT("r"&amp;MATCH("TIP",$A:$A,0)&amp;"c"&amp;IF(INDIRECT("r"&amp;MATCH("TAP",$A:$A,0)&amp;"c",FALSE)="SERRA","","[-1]"),FALSE)),".",""),IFERROR(_xlfn.TEXTBEFORE(_xlpm.x," ("),_xlpm.x))),0)),0)</f>
        <v>0</v>
      </c>
      <c r="X279" s="378" cm="1">
        <f t="array" aca="1" ref="X279" ca="1">_xlfn.LET(_xlpm.x,INDIRECT("rc[-1]",FALSE),_xlpm.y,SUM(INDIRECT("r[-1]c[-1]:r[-1]c",FALSE)),IF(_xlpm.y=0,IF(_xlpm.x=0,0,1),_xlpm.x/_xlpm.y))</f>
        <v>0</v>
      </c>
      <c r="Y279" s="377" cm="1">
        <f t="array" aca="1" ref="Y279" ca="1">IFERROR(SUM(_xlfn._xlws.FILTER(SchPdt3[Value],(SchPdt3[PrjId]=$B279)*(SchPdt3[Row]=$D279)*(SchPdt3[Column]=_xlfn.LET(_xlpm.x,SUBSTITUTE(UPPER(INDIRECT("r"&amp;MATCH("TIP",$A:$A,0)&amp;"c"&amp;IF(INDIRECT("r"&amp;MATCH("TAP",$A:$A,0)&amp;"c",FALSE)="SERRA","","[-1]"),FALSE)),".",""),IFERROR(_xlfn.TEXTBEFORE(_xlpm.x," ("),_xlpm.x))),0)),0)</f>
        <v>0</v>
      </c>
      <c r="Z279" s="378" cm="1">
        <f t="array" aca="1" ref="Z279" ca="1">_xlfn.LET(_xlpm.x,INDIRECT("rc[-1]",FALSE),_xlpm.y,SUM(INDIRECT("r[-1]c[-1]:r[-1]c",FALSE)),IF(_xlpm.y=0,IF(_xlpm.x=0,0,1),_xlpm.x/_xlpm.y))</f>
        <v>0</v>
      </c>
      <c r="AA279" s="377" cm="1">
        <f t="array" aca="1" ref="AA279" ca="1">IFERROR(SUM(_xlfn._xlws.FILTER(SchPdt3[Value],(SchPdt3[PrjId]=$B279)*(SchPdt3[Row]=$D279)*(SchPdt3[Column]=_xlfn.LET(_xlpm.x,SUBSTITUTE(UPPER(INDIRECT("r"&amp;MATCH("TIP",$A:$A,0)&amp;"c"&amp;IF(INDIRECT("r"&amp;MATCH("TAP",$A:$A,0)&amp;"c",FALSE)="SERRA","","[-1]"),FALSE)),".",""),IFERROR(_xlfn.TEXTBEFORE(_xlpm.x," ("),_xlpm.x))),0)),0)</f>
        <v>0</v>
      </c>
      <c r="AB279" s="378" cm="1">
        <f t="array" aca="1" ref="AB279" ca="1">_xlfn.LET(_xlpm.x,INDIRECT("rc[-1]",FALSE),_xlpm.y,SUM(INDIRECT("r[-1]c[-1]:r[-1]c",FALSE)),IF(_xlpm.y=0,IF(_xlpm.x=0,0,1),_xlpm.x/_xlpm.y))</f>
        <v>0</v>
      </c>
      <c r="AC279" s="377" cm="1">
        <f t="array" aca="1" ref="AC279" ca="1">IFERROR(SUM(_xlfn._xlws.FILTER(SchPdt3[Value],(SchPdt3[PrjId]=$B279)*(SchPdt3[Row]=$D279)*(SchPdt3[Column]=_xlfn.LET(_xlpm.x,SUBSTITUTE(UPPER(INDIRECT("r"&amp;MATCH("TIP",$A:$A,0)&amp;"c"&amp;IF(INDIRECT("r"&amp;MATCH("TAP",$A:$A,0)&amp;"c",FALSE)="SERRA","","[-1]"),FALSE)),".",""),IFERROR(_xlfn.TEXTBEFORE(_xlpm.x," ("),_xlpm.x))),0)),0)</f>
        <v>0</v>
      </c>
      <c r="AD279" s="378" cm="1">
        <f t="array" aca="1" ref="AD279" ca="1">_xlfn.LET(_xlpm.x,INDIRECT("rc[-1]",FALSE),_xlpm.y,SUM(INDIRECT("r[-1]c[-1]:r[-1]c",FALSE)),IF(_xlpm.y=0,IF(_xlpm.x=0,0,1),_xlpm.x/_xlpm.y))</f>
        <v>0</v>
      </c>
      <c r="AE279" s="377" cm="1">
        <f t="array" aca="1" ref="AE279" ca="1">IFERROR(SUM(_xlfn._xlws.FILTER(SchPdt3[Value],(SchPdt3[PrjId]=$B279)*(SchPdt3[Row]=$D279)*(SchPdt3[Column]=_xlfn.LET(_xlpm.x,SUBSTITUTE(UPPER(INDIRECT("r"&amp;MATCH("TIP",$A:$A,0)&amp;"c"&amp;IF(INDIRECT("r"&amp;MATCH("TAP",$A:$A,0)&amp;"c",FALSE)="SERRA","","[-1]"),FALSE)),".",""),IFERROR(_xlfn.TEXTBEFORE(_xlpm.x," ("),_xlpm.x))),0)),0)</f>
        <v>42259.8</v>
      </c>
      <c r="AF279" s="378" cm="1">
        <f t="array" aca="1" ref="AF279" ca="1">_xlfn.LET(_xlpm.x,INDIRECT("rc[-1]",FALSE),_xlpm.y,SUM(INDIRECT("r[-1]c[-1]:r[-1]c",FALSE)),IF(_xlpm.y=0,IF(_xlpm.x=0,0,1),_xlpm.x/_xlpm.y))</f>
        <v>6.3992218432017554</v>
      </c>
      <c r="AG279" s="377" cm="1">
        <f t="array" aca="1" ref="AG279" ca="1">IFERROR(SUM(_xlfn._xlws.FILTER(SchPdt3[Value],(SchPdt3[PrjId]=$B279)*(SchPdt3[Row]=$D279)*(SchPdt3[Column]=_xlfn.LET(_xlpm.x,SUBSTITUTE(UPPER(INDIRECT("r"&amp;MATCH("TIP",$A:$A,0)&amp;"c"&amp;IF(INDIRECT("r"&amp;MATCH("TAP",$A:$A,0)&amp;"c",FALSE)="SERRA","","[-1]"),FALSE)),".",""),IFERROR(_xlfn.TEXTBEFORE(_xlpm.x," ("),_xlpm.x))),0)),0)</f>
        <v>0</v>
      </c>
      <c r="AH279" s="378" cm="1">
        <f t="array" aca="1" ref="AH279" ca="1">_xlfn.LET(_xlpm.x,INDIRECT("rc[-1]",FALSE),_xlpm.y,SUM(INDIRECT("r[-1]c[-1]:r[-1]c",FALSE)),IF(_xlpm.y=0,IF(_xlpm.x=0,0,1),_xlpm.x/_xlpm.y))</f>
        <v>0</v>
      </c>
      <c r="AI279" s="377" cm="1">
        <f t="array" aca="1" ref="AI279" ca="1">IFERROR(SUM(_xlfn._xlws.FILTER(SchPdt3[Value],(SchPdt3[PrjId]=$B279)*(SchPdt3[Row]=$D279)*(SchPdt3[Column]=_xlfn.LET(_xlpm.x,SUBSTITUTE(UPPER(INDIRECT("r"&amp;MATCH("TIP",$A:$A,0)&amp;"c"&amp;IF(INDIRECT("r"&amp;MATCH("TAP",$A:$A,0)&amp;"c",FALSE)="SERRA","","[-1]"),FALSE)),".",""),IFERROR(_xlfn.TEXTBEFORE(_xlpm.x," ("),_xlpm.x))),0)),0)</f>
        <v>0</v>
      </c>
      <c r="AJ279" s="378" cm="1">
        <f t="array" aca="1" ref="AJ279" ca="1">_xlfn.LET(_xlpm.x,INDIRECT("rc[-1]",FALSE),_xlpm.y,SUM(INDIRECT("r[-1]c[-1]:r[-1]c",FALSE)),IF(_xlpm.y=0,IF(_xlpm.x=0,0,1),_xlpm.x/_xlpm.y))</f>
        <v>0</v>
      </c>
      <c r="AK279" s="377" cm="1">
        <f t="array" aca="1" ref="AK279" ca="1">IFERROR(SUM(_xlfn._xlws.FILTER(SchPdt3[Value],(SchPdt3[PrjId]=$B279)*(SchPdt3[Row]=$D279)*(SchPdt3[Column]=_xlfn.LET(_xlpm.x,SUBSTITUTE(UPPER(INDIRECT("r"&amp;MATCH("TIP",$A:$A,0)&amp;"c"&amp;IF(INDIRECT("r"&amp;MATCH("TAP",$A:$A,0)&amp;"c",FALSE)="SERRA","","[-1]"),FALSE)),".",""),IFERROR(_xlfn.TEXTBEFORE(_xlpm.x," ("),_xlpm.x))),0)),0)</f>
        <v>0</v>
      </c>
      <c r="AL279" s="378" cm="1">
        <f t="array" aca="1" ref="AL279" ca="1">_xlfn.LET(_xlpm.x,INDIRECT("rc[-1]",FALSE),_xlpm.y,SUM(INDIRECT("r[-1]c[-1]:r[-1]c",FALSE)),IF(_xlpm.y=0,IF(_xlpm.x=0,0,1),_xlpm.x/_xlpm.y))</f>
        <v>0</v>
      </c>
      <c r="AM279" s="377" cm="1">
        <f t="array" aca="1" ref="AM279" ca="1">IFERROR(SUM(_xlfn._xlws.FILTER(SchPdt3[Value],(SchPdt3[PrjId]=$B279)*(SchPdt3[Row]=$D279)*(SchPdt3[Column]=_xlfn.LET(_xlpm.x,SUBSTITUTE(UPPER(INDIRECT("r"&amp;MATCH("TIP",$A:$A,0)&amp;"c"&amp;IF(INDIRECT("r"&amp;MATCH("TAP",$A:$A,0)&amp;"c",FALSE)="SERRA","","[-1]"),FALSE)),".",""),IFERROR(_xlfn.TEXTBEFORE(_xlpm.x," ("),_xlpm.x))),0)),0)</f>
        <v>0</v>
      </c>
      <c r="AN279" s="378" cm="1">
        <f t="array" aca="1" ref="AN279" ca="1">_xlfn.LET(_xlpm.x,INDIRECT("rc[-1]",FALSE),_xlpm.y,SUM(INDIRECT("r[-1]c[-1]:r[-1]c",FALSE)),IF(_xlpm.y=0,IF(_xlpm.x=0,0,1),_xlpm.x/_xlpm.y))</f>
        <v>0</v>
      </c>
      <c r="AO279" s="377" cm="1">
        <f t="array" aca="1" ref="AO279" ca="1">IFERROR(SUM(_xlfn._xlws.FILTER(SchPdt3[Value],(SchPdt3[PrjId]=$B279)*(SchPdt3[Row]=$D279)*(SchPdt3[Column]=_xlfn.LET(_xlpm.x,SUBSTITUTE(UPPER(INDIRECT("r"&amp;MATCH("TIP",$A:$A,0)&amp;"c"&amp;IF(INDIRECT("r"&amp;MATCH("TAP",$A:$A,0)&amp;"c",FALSE)="SERRA","","[-1]"),FALSE)),".",""),IFERROR(_xlfn.TEXTBEFORE(_xlpm.x," ("),_xlpm.x))),0)),0)</f>
        <v>0</v>
      </c>
      <c r="AP279" s="378" cm="1">
        <f t="array" aca="1" ref="AP279" ca="1">_xlfn.LET(_xlpm.x,INDIRECT("rc[-1]",FALSE),_xlpm.y,SUM(INDIRECT("r[-1]c[-1]:r[-1]c",FALSE)),IF(_xlpm.y=0,IF(_xlpm.x=0,0,1),_xlpm.x/_xlpm.y))</f>
        <v>0</v>
      </c>
      <c r="AQ279" s="377" cm="1">
        <f t="array" aca="1" ref="AQ279" ca="1">SUM(IF(INDIRECT($AS$115)=AQ$115,INDIRECT($AS279)))</f>
        <v>42259.8</v>
      </c>
      <c r="AR279" s="378" cm="1">
        <f t="array" aca="1" ref="AR279" ca="1">_xlfn.LET(_xlpm.x,INDIRECT("rc[-1]",FALSE),_xlpm.y,SUM(INDIRECT("r[-1]c[-1]:r[-1]c",FALSE)),IF(_xlpm.y=0,IF(_xlpm.x=0,0,1),_xlpm.x/_xlpm.y))</f>
        <v>2.7609133082747013</v>
      </c>
      <c r="AS279" s="286" t="str">
        <f t="shared" si="23"/>
        <v>G279:AP279</v>
      </c>
      <c r="AT279" s="403">
        <f ca="1">SUM(INDIRECT("rc"&amp;MATCH("ECD",$1:$1,0)&amp;":rc"&amp;(MATCH("EOC",$1:$1,0)-2),FALSE))</f>
        <v>42259.8</v>
      </c>
      <c r="AV279" s="142" cm="1">
        <f t="array" aca="1" ref="AV279" ca="1">IF(AND(_xlfn.LET(_xlpm.x,SUM(ROW()),OR(AND(MATCH("SOT",$A:$A,0)&lt;_xlpm.x,MATCH("EOT",$A:$A,0)&gt;_xlpm.x),AND(MATCH("SOS",$A:$A,0)&lt;_xlpm.x,MATCH("EOS",$A:$A,0)&gt;_xlpm.x),AND(MATCH("SOR",$A:$A,0)&lt;_xlpm.x,MATCH("EOR",$A:$A,0)&gt;_xlpm.x))),INDIRECT("rc"&amp;MATCH("SCD",$1:$1,0),FALSE)="PPTO"),1,0)</f>
        <v>0</v>
      </c>
      <c r="AW279" s="142" cm="1">
        <f t="array" aca="1" ref="AW27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80" spans="1:49" s="153" customFormat="1" outlineLevel="2">
      <c r="A280" s="152"/>
      <c r="B280" s="401" t="str">
        <f t="shared" si="22"/>
        <v>31200</v>
      </c>
      <c r="C280" s="148"/>
      <c r="D280" s="401" t="str" cm="1">
        <f t="array" ref="D280">_xlfn.TAKE(INDEX(_xlfn.UNIQUE(_xlfn._xlws.SORT(TbStd[Row5])),1+(SUM(ROW()-MATCH("SOP",$A:$A,0)-1)/2),0),1)</f>
        <v>PEMC</v>
      </c>
      <c r="E280" s="350" t="str" cm="1">
        <f t="array" ref="E280">UPPER(_xlfn.UNIQUE(_xlfn._xlws.FILTER(TbRowMacro[RowMacroName],TbRowMacro[RowMcroId]=$D280,"X")))</f>
        <v>PUESTA EN MARCHA CELDA/PROCESO</v>
      </c>
      <c r="F280" s="402" t="s">
        <v>2074</v>
      </c>
      <c r="G280" s="377" cm="1">
        <f t="array" aca="1" ref="G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71623.265636449985</v>
      </c>
      <c r="H280" s="377" cm="1">
        <f t="array" aca="1" ref="H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I280" s="377" cm="1">
        <f t="array" aca="1" ref="I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5000</v>
      </c>
      <c r="J280" s="377" cm="1">
        <f t="array" aca="1" ref="J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K280" s="377" cm="1">
        <f t="array" aca="1" ref="K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L280" s="377" cm="1">
        <f t="array" aca="1" ref="L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M280" s="377" cm="1">
        <f t="array" aca="1" ref="M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N280" s="377" cm="1">
        <f t="array" aca="1" ref="N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O280" s="377" cm="1">
        <f t="array" aca="1" ref="O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112949.18019499999</v>
      </c>
      <c r="P280" s="377" cm="1">
        <f t="array" aca="1" ref="P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102220.59865499999</v>
      </c>
      <c r="Q280" s="377" cm="1">
        <f t="array" aca="1" ref="Q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R280" s="377" cm="1">
        <f t="array" aca="1" ref="R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S280" s="377" cm="1">
        <f t="array" aca="1" ref="S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84233.156674706246</v>
      </c>
      <c r="T280" s="377" cm="1">
        <f t="array" aca="1" ref="T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188966.54368544999</v>
      </c>
      <c r="U280" s="377" cm="1">
        <f t="array" aca="1" ref="U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V280" s="377" cm="1">
        <f t="array" aca="1" ref="V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-1530</v>
      </c>
      <c r="W280" s="377" cm="1">
        <f t="array" aca="1" ref="W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36428.61124744</v>
      </c>
      <c r="X280" s="377" cm="1">
        <f t="array" aca="1" ref="X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103704.45672718501</v>
      </c>
      <c r="Y280" s="377" cm="1">
        <f t="array" aca="1" ref="Y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9186.5900347199986</v>
      </c>
      <c r="Z280" s="377" cm="1">
        <f t="array" aca="1" ref="Z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1828.8753100799997</v>
      </c>
      <c r="AA280" s="377" cm="1">
        <f t="array" aca="1" ref="AA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AB280" s="377" cm="1">
        <f t="array" aca="1" ref="AB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AC280" s="377" cm="1">
        <f t="array" aca="1" ref="AC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AD280" s="377" cm="1">
        <f t="array" aca="1" ref="AD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AE280" s="377" cm="1">
        <f t="array" aca="1" ref="AE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AF280" s="377" cm="1">
        <f t="array" aca="1" ref="AF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AG280" s="377" cm="1">
        <f t="array" aca="1" ref="AG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AH280" s="377" cm="1">
        <f t="array" aca="1" ref="AH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AI280" s="377" cm="1">
        <f t="array" aca="1" ref="AI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AJ280" s="377" cm="1">
        <f t="array" aca="1" ref="AJ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AK280" s="377" cm="1">
        <f t="array" aca="1" ref="AK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AL280" s="377" cm="1">
        <f t="array" aca="1" ref="AL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AM280" s="377" cm="1">
        <f t="array" aca="1" ref="AM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AN280" s="377" cm="1">
        <f t="array" aca="1" ref="AN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AO280" s="377" cm="1">
        <f t="array" aca="1" ref="AO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AP280" s="377" cm="1">
        <f t="array" aca="1" ref="AP28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280)*(ISNUMBER(FIND(_xlpm.v,_xlfn.TEXTJOIN(":",TRUE,_xlfn.UNIQUE(_xlfn._xlws.FILTER(TbStd[RowGrp],TbStd[Row5]=$D280,"X"))))))),0)),0)</f>
        <v>0</v>
      </c>
      <c r="AQ280" s="377" cm="1">
        <f t="array" aca="1" ref="AQ280" ca="1">SUM(IF(INDIRECT($AS$115)=AQ$115,INDIRECT($AS280)))</f>
        <v>319420.80378831626</v>
      </c>
      <c r="AR280" s="377" cm="1">
        <f t="array" aca="1" ref="AR280" ca="1">SUM(IF(INDIRECT($AS$115)=AR$115,INDIRECT($AS280)))</f>
        <v>395190.47437771497</v>
      </c>
      <c r="AS280" s="286" t="str">
        <f t="shared" si="23"/>
        <v>G280:AP280</v>
      </c>
      <c r="AT280" s="403">
        <f t="shared" ca="1" si="24"/>
        <v>714611.27816603123</v>
      </c>
      <c r="AV280" s="142" cm="1">
        <f t="array" aca="1" ref="AV280" ca="1">IF(AND(_xlfn.LET(_xlpm.x,SUM(ROW()),OR(AND(MATCH("SOT",$A:$A,0)&lt;_xlpm.x,MATCH("EOT",$A:$A,0)&gt;_xlpm.x),AND(MATCH("SOS",$A:$A,0)&lt;_xlpm.x,MATCH("EOS",$A:$A,0)&gt;_xlpm.x),AND(MATCH("SOR",$A:$A,0)&lt;_xlpm.x,MATCH("EOR",$A:$A,0)&gt;_xlpm.x))),INDIRECT("rc"&amp;MATCH("SCD",$1:$1,0),FALSE)="PPTO"),1,0)</f>
        <v>0</v>
      </c>
      <c r="AW280" s="142" cm="1">
        <f t="array" aca="1" ref="AW28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81" spans="1:49" s="153" customFormat="1" outlineLevel="2">
      <c r="A281" s="152"/>
      <c r="B281" s="401" t="str">
        <f t="shared" si="22"/>
        <v>31200</v>
      </c>
      <c r="C281" s="148"/>
      <c r="D281" s="401" t="str" cm="1">
        <f t="array" ref="D281">_xlfn.TAKE(INDEX(_xlfn.UNIQUE(_xlfn._xlws.SORT(TbStd[Row5])),1+(SUM(ROW()-MATCH("SOP",$A:$A,0)-1)/2),0),1)</f>
        <v>PEMC</v>
      </c>
      <c r="E281" s="350" t="str" cm="1">
        <f t="array" ref="E281">UPPER(_xlfn.UNIQUE(_xlfn._xlws.FILTER(TbRowMacro[RowMacroName],TbRowMacro[RowMcroId]=$D281,"X")))</f>
        <v>PUESTA EN MARCHA CELDA/PROCESO</v>
      </c>
      <c r="F281" s="402" t="s">
        <v>2055</v>
      </c>
      <c r="G281" s="377" cm="1">
        <f t="array" aca="1" ref="G281" ca="1">IFERROR(SUM(_xlfn._xlws.FILTER(SchPdt3[Value],(SchPdt3[PrjId]=$B281)*(SchPdt3[Row]=$D281)*(SchPdt3[Column]=_xlfn.LET(_xlpm.x,SUBSTITUTE(UPPER(INDIRECT("r"&amp;MATCH("TIP",$A:$A,0)&amp;"c"&amp;IF(INDIRECT("r"&amp;MATCH("TAP",$A:$A,0)&amp;"c",FALSE)="SERRA","","[-1]"),FALSE)),".",""),IFERROR(_xlfn.TEXTBEFORE(_xlpm.x," ("),_xlpm.x))),0)),0)</f>
        <v>35125.834999999992</v>
      </c>
      <c r="H281" s="378" cm="1">
        <f t="array" aca="1" ref="H281" ca="1">_xlfn.LET(_xlpm.x,INDIRECT("rc[-1]",FALSE),_xlpm.y,SUM(INDIRECT("r[-1]c[-1]:r[-1]c",FALSE)),IF(_xlpm.y=0,IF(_xlpm.x=0,0,1),_xlpm.x/_xlpm.y))</f>
        <v>0.4904249294955913</v>
      </c>
      <c r="I281" s="377" cm="1">
        <f t="array" aca="1" ref="I281" ca="1">IFERROR(SUM(_xlfn._xlws.FILTER(SchPdt3[Value],(SchPdt3[PrjId]=$B281)*(SchPdt3[Row]=$D281)*(SchPdt3[Column]=_xlfn.LET(_xlpm.x,SUBSTITUTE(UPPER(INDIRECT("r"&amp;MATCH("TIP",$A:$A,0)&amp;"c"&amp;IF(INDIRECT("r"&amp;MATCH("TAP",$A:$A,0)&amp;"c",FALSE)="SERRA","","[-1]"),FALSE)),".",""),IFERROR(_xlfn.TEXTBEFORE(_xlpm.x," ("),_xlpm.x))),0)),0)</f>
        <v>0</v>
      </c>
      <c r="J281" s="378" cm="1">
        <f t="array" aca="1" ref="J281" ca="1">_xlfn.LET(_xlpm.x,INDIRECT("rc[-1]",FALSE),_xlpm.y,SUM(INDIRECT("r[-1]c[-1]:r[-1]c",FALSE)),IF(_xlpm.y=0,IF(_xlpm.x=0,0,1),_xlpm.x/_xlpm.y))</f>
        <v>0</v>
      </c>
      <c r="K281" s="377" cm="1">
        <f t="array" aca="1" ref="K281" ca="1">IFERROR(SUM(_xlfn._xlws.FILTER(SchPdt3[Value],(SchPdt3[PrjId]=$B281)*(SchPdt3[Row]=$D281)*(SchPdt3[Column]=_xlfn.LET(_xlpm.x,SUBSTITUTE(UPPER(INDIRECT("r"&amp;MATCH("TIP",$A:$A,0)&amp;"c"&amp;IF(INDIRECT("r"&amp;MATCH("TAP",$A:$A,0)&amp;"c",FALSE)="SERRA","","[-1]"),FALSE)),".",""),IFERROR(_xlfn.TEXTBEFORE(_xlpm.x," ("),_xlpm.x))),0)),0)</f>
        <v>5092.7512000000006</v>
      </c>
      <c r="L281" s="378" cm="1">
        <f t="array" aca="1" ref="L281" ca="1">_xlfn.LET(_xlpm.x,INDIRECT("rc[-1]",FALSE),_xlpm.y,SUM(INDIRECT("r[-1]c[-1]:r[-1]c",FALSE)),IF(_xlpm.y=0,IF(_xlpm.x=0,0,1),_xlpm.x/_xlpm.y))</f>
        <v>1</v>
      </c>
      <c r="M281" s="377" cm="1">
        <f t="array" aca="1" ref="M281" ca="1">IFERROR(SUM(_xlfn._xlws.FILTER(SchPdt3[Value],(SchPdt3[PrjId]=$B281)*(SchPdt3[Row]=$D281)*(SchPdt3[Column]=_xlfn.LET(_xlpm.x,SUBSTITUTE(UPPER(INDIRECT("r"&amp;MATCH("TIP",$A:$A,0)&amp;"c"&amp;IF(INDIRECT("r"&amp;MATCH("TAP",$A:$A,0)&amp;"c",FALSE)="SERRA","","[-1]"),FALSE)),".",""),IFERROR(_xlfn.TEXTBEFORE(_xlpm.x," ("),_xlpm.x))),0)),0)</f>
        <v>0</v>
      </c>
      <c r="N281" s="378" cm="1">
        <f t="array" aca="1" ref="N281" ca="1">_xlfn.LET(_xlpm.x,INDIRECT("rc[-1]",FALSE),_xlpm.y,SUM(INDIRECT("r[-1]c[-1]:r[-1]c",FALSE)),IF(_xlpm.y=0,IF(_xlpm.x=0,0,1),_xlpm.x/_xlpm.y))</f>
        <v>0</v>
      </c>
      <c r="O281" s="377" cm="1">
        <f t="array" aca="1" ref="O281" ca="1">IFERROR(SUM(_xlfn._xlws.FILTER(SchPdt3[Value],(SchPdt3[PrjId]=$B281)*(SchPdt3[Row]=$D281)*(SchPdt3[Column]=_xlfn.LET(_xlpm.x,SUBSTITUTE(UPPER(INDIRECT("r"&amp;MATCH("TIP",$A:$A,0)&amp;"c"&amp;IF(INDIRECT("r"&amp;MATCH("TAP",$A:$A,0)&amp;"c",FALSE)="SERRA","","[-1]"),FALSE)),".",""),IFERROR(_xlfn.TEXTBEFORE(_xlpm.x," ("),_xlpm.x))),0)),0)</f>
        <v>88042.525199999989</v>
      </c>
      <c r="P281" s="378" cm="1">
        <f t="array" aca="1" ref="P281" ca="1">_xlfn.LET(_xlpm.x,INDIRECT("rc[-1]",FALSE),_xlpm.y,SUM(INDIRECT("r[-1]c[-1]:r[-1]c",FALSE)),IF(_xlpm.y=0,IF(_xlpm.x=0,0,1),_xlpm.x/_xlpm.y))</f>
        <v>0.40917700278614189</v>
      </c>
      <c r="Q281" s="377" cm="1">
        <f t="array" aca="1" ref="Q281" ca="1">IFERROR(SUM(_xlfn._xlws.FILTER(SchPdt3[Value],(SchPdt3[PrjId]=$B281)*(SchPdt3[Row]=$D281)*(SchPdt3[Column]=_xlfn.LET(_xlpm.x,SUBSTITUTE(UPPER(INDIRECT("r"&amp;MATCH("TIP",$A:$A,0)&amp;"c"&amp;IF(INDIRECT("r"&amp;MATCH("TAP",$A:$A,0)&amp;"c",FALSE)="SERRA","","[-1]"),FALSE)),".",""),IFERROR(_xlfn.TEXTBEFORE(_xlpm.x," ("),_xlpm.x))),0)),0)</f>
        <v>0</v>
      </c>
      <c r="R281" s="378" cm="1">
        <f t="array" aca="1" ref="R281" ca="1">_xlfn.LET(_xlpm.x,INDIRECT("rc[-1]",FALSE),_xlpm.y,SUM(INDIRECT("r[-1]c[-1]:r[-1]c",FALSE)),IF(_xlpm.y=0,IF(_xlpm.x=0,0,1),_xlpm.x/_xlpm.y))</f>
        <v>0</v>
      </c>
      <c r="S281" s="377" cm="1">
        <f t="array" aca="1" ref="S281" ca="1">IFERROR(SUM(_xlfn._xlws.FILTER(SchPdt3[Value],(SchPdt3[PrjId]=$B281)*(SchPdt3[Row]=$D281)*(SchPdt3[Column]=_xlfn.LET(_xlpm.x,SUBSTITUTE(UPPER(INDIRECT("r"&amp;MATCH("TIP",$A:$A,0)&amp;"c"&amp;IF(INDIRECT("r"&amp;MATCH("TAP",$A:$A,0)&amp;"c",FALSE)="SERRA","","[-1]"),FALSE)),".",""),IFERROR(_xlfn.TEXTBEFORE(_xlpm.x," ("),_xlpm.x))),0)),0)</f>
        <v>88211.717999999979</v>
      </c>
      <c r="T281" s="378" cm="1">
        <f t="array" aca="1" ref="T281" ca="1">_xlfn.LET(_xlpm.x,INDIRECT("rc[-1]",FALSE),_xlpm.y,SUM(INDIRECT("r[-1]c[-1]:r[-1]c",FALSE)),IF(_xlpm.y=0,IF(_xlpm.x=0,0,1),_xlpm.x/_xlpm.y))</f>
        <v>0.32288365574234312</v>
      </c>
      <c r="U281" s="377" cm="1">
        <f t="array" aca="1" ref="U281" ca="1">IFERROR(SUM(_xlfn._xlws.FILTER(SchPdt3[Value],(SchPdt3[PrjId]=$B281)*(SchPdt3[Row]=$D281)*(SchPdt3[Column]=_xlfn.LET(_xlpm.x,SUBSTITUTE(UPPER(INDIRECT("r"&amp;MATCH("TIP",$A:$A,0)&amp;"c"&amp;IF(INDIRECT("r"&amp;MATCH("TAP",$A:$A,0)&amp;"c",FALSE)="SERRA","","[-1]"),FALSE)),".",""),IFERROR(_xlfn.TEXTBEFORE(_xlpm.x," ("),_xlpm.x))),0)),0)</f>
        <v>0</v>
      </c>
      <c r="V281" s="378" cm="1">
        <f t="array" aca="1" ref="V281" ca="1">_xlfn.LET(_xlpm.x,INDIRECT("rc[-1]",FALSE),_xlpm.y,SUM(INDIRECT("r[-1]c[-1]:r[-1]c",FALSE)),IF(_xlpm.y=0,IF(_xlpm.x=0,0,1),_xlpm.x/_xlpm.y))</f>
        <v>0</v>
      </c>
      <c r="W281" s="377" cm="1">
        <f t="array" aca="1" ref="W281" ca="1">IFERROR(SUM(_xlfn._xlws.FILTER(SchPdt3[Value],(SchPdt3[PrjId]=$B281)*(SchPdt3[Row]=$D281)*(SchPdt3[Column]=_xlfn.LET(_xlpm.x,SUBSTITUTE(UPPER(INDIRECT("r"&amp;MATCH("TIP",$A:$A,0)&amp;"c"&amp;IF(INDIRECT("r"&amp;MATCH("TAP",$A:$A,0)&amp;"c",FALSE)="SERRA","","[-1]"),FALSE)),".",""),IFERROR(_xlfn.TEXTBEFORE(_xlpm.x," ("),_xlpm.x))),0)),0)</f>
        <v>31164.239999999994</v>
      </c>
      <c r="X281" s="378" cm="1">
        <f t="array" aca="1" ref="X281" ca="1">_xlfn.LET(_xlpm.x,INDIRECT("rc[-1]",FALSE),_xlpm.y,SUM(INDIRECT("r[-1]c[-1]:r[-1]c",FALSE)),IF(_xlpm.y=0,IF(_xlpm.x=0,0,1),_xlpm.x/_xlpm.y))</f>
        <v>0.22239033548914483</v>
      </c>
      <c r="Y281" s="377" cm="1">
        <f t="array" aca="1" ref="Y281" ca="1">IFERROR(SUM(_xlfn._xlws.FILTER(SchPdt3[Value],(SchPdt3[PrjId]=$B281)*(SchPdt3[Row]=$D281)*(SchPdt3[Column]=_xlfn.LET(_xlpm.x,SUBSTITUTE(UPPER(INDIRECT("r"&amp;MATCH("TIP",$A:$A,0)&amp;"c"&amp;IF(INDIRECT("r"&amp;MATCH("TAP",$A:$A,0)&amp;"c",FALSE)="SERRA","","[-1]"),FALSE)),".",""),IFERROR(_xlfn.TEXTBEFORE(_xlpm.x," ("),_xlpm.x))),0)),0)</f>
        <v>0</v>
      </c>
      <c r="Z281" s="378" cm="1">
        <f t="array" aca="1" ref="Z281" ca="1">_xlfn.LET(_xlpm.x,INDIRECT("rc[-1]",FALSE),_xlpm.y,SUM(INDIRECT("r[-1]c[-1]:r[-1]c",FALSE)),IF(_xlpm.y=0,IF(_xlpm.x=0,0,1),_xlpm.x/_xlpm.y))</f>
        <v>0</v>
      </c>
      <c r="AA281" s="377" cm="1">
        <f t="array" aca="1" ref="AA281" ca="1">IFERROR(SUM(_xlfn._xlws.FILTER(SchPdt3[Value],(SchPdt3[PrjId]=$B281)*(SchPdt3[Row]=$D281)*(SchPdt3[Column]=_xlfn.LET(_xlpm.x,SUBSTITUTE(UPPER(INDIRECT("r"&amp;MATCH("TIP",$A:$A,0)&amp;"c"&amp;IF(INDIRECT("r"&amp;MATCH("TAP",$A:$A,0)&amp;"c",FALSE)="SERRA","","[-1]"),FALSE)),".",""),IFERROR(_xlfn.TEXTBEFORE(_xlpm.x," ("),_xlpm.x))),0)),0)</f>
        <v>0</v>
      </c>
      <c r="AB281" s="378" cm="1">
        <f t="array" aca="1" ref="AB281" ca="1">_xlfn.LET(_xlpm.x,INDIRECT("rc[-1]",FALSE),_xlpm.y,SUM(INDIRECT("r[-1]c[-1]:r[-1]c",FALSE)),IF(_xlpm.y=0,IF(_xlpm.x=0,0,1),_xlpm.x/_xlpm.y))</f>
        <v>0</v>
      </c>
      <c r="AC281" s="377" cm="1">
        <f t="array" aca="1" ref="AC281" ca="1">IFERROR(SUM(_xlfn._xlws.FILTER(SchPdt3[Value],(SchPdt3[PrjId]=$B281)*(SchPdt3[Row]=$D281)*(SchPdt3[Column]=_xlfn.LET(_xlpm.x,SUBSTITUTE(UPPER(INDIRECT("r"&amp;MATCH("TIP",$A:$A,0)&amp;"c"&amp;IF(INDIRECT("r"&amp;MATCH("TAP",$A:$A,0)&amp;"c",FALSE)="SERRA","","[-1]"),FALSE)),".",""),IFERROR(_xlfn.TEXTBEFORE(_xlpm.x," ("),_xlpm.x))),0)),0)</f>
        <v>0</v>
      </c>
      <c r="AD281" s="378" cm="1">
        <f t="array" aca="1" ref="AD281" ca="1">_xlfn.LET(_xlpm.x,INDIRECT("rc[-1]",FALSE),_xlpm.y,SUM(INDIRECT("r[-1]c[-1]:r[-1]c",FALSE)),IF(_xlpm.y=0,IF(_xlpm.x=0,0,1),_xlpm.x/_xlpm.y))</f>
        <v>0</v>
      </c>
      <c r="AE281" s="377" cm="1">
        <f t="array" aca="1" ref="AE281" ca="1">IFERROR(SUM(_xlfn._xlws.FILTER(SchPdt3[Value],(SchPdt3[PrjId]=$B281)*(SchPdt3[Row]=$D281)*(SchPdt3[Column]=_xlfn.LET(_xlpm.x,SUBSTITUTE(UPPER(INDIRECT("r"&amp;MATCH("TIP",$A:$A,0)&amp;"c"&amp;IF(INDIRECT("r"&amp;MATCH("TAP",$A:$A,0)&amp;"c",FALSE)="SERRA","","[-1]"),FALSE)),".",""),IFERROR(_xlfn.TEXTBEFORE(_xlpm.x," ("),_xlpm.x))),0)),0)</f>
        <v>0</v>
      </c>
      <c r="AF281" s="378" cm="1">
        <f t="array" aca="1" ref="AF281" ca="1">_xlfn.LET(_xlpm.x,INDIRECT("rc[-1]",FALSE),_xlpm.y,SUM(INDIRECT("r[-1]c[-1]:r[-1]c",FALSE)),IF(_xlpm.y=0,IF(_xlpm.x=0,0,1),_xlpm.x/_xlpm.y))</f>
        <v>0</v>
      </c>
      <c r="AG281" s="377" cm="1">
        <f t="array" aca="1" ref="AG281" ca="1">IFERROR(SUM(_xlfn._xlws.FILTER(SchPdt3[Value],(SchPdt3[PrjId]=$B281)*(SchPdt3[Row]=$D281)*(SchPdt3[Column]=_xlfn.LET(_xlpm.x,SUBSTITUTE(UPPER(INDIRECT("r"&amp;MATCH("TIP",$A:$A,0)&amp;"c"&amp;IF(INDIRECT("r"&amp;MATCH("TAP",$A:$A,0)&amp;"c",FALSE)="SERRA","","[-1]"),FALSE)),".",""),IFERROR(_xlfn.TEXTBEFORE(_xlpm.x," ("),_xlpm.x))),0)),0)</f>
        <v>0</v>
      </c>
      <c r="AH281" s="378" cm="1">
        <f t="array" aca="1" ref="AH281" ca="1">_xlfn.LET(_xlpm.x,INDIRECT("rc[-1]",FALSE),_xlpm.y,SUM(INDIRECT("r[-1]c[-1]:r[-1]c",FALSE)),IF(_xlpm.y=0,IF(_xlpm.x=0,0,1),_xlpm.x/_xlpm.y))</f>
        <v>0</v>
      </c>
      <c r="AI281" s="377" cm="1">
        <f t="array" aca="1" ref="AI281" ca="1">IFERROR(SUM(_xlfn._xlws.FILTER(SchPdt3[Value],(SchPdt3[PrjId]=$B281)*(SchPdt3[Row]=$D281)*(SchPdt3[Column]=_xlfn.LET(_xlpm.x,SUBSTITUTE(UPPER(INDIRECT("r"&amp;MATCH("TIP",$A:$A,0)&amp;"c"&amp;IF(INDIRECT("r"&amp;MATCH("TAP",$A:$A,0)&amp;"c",FALSE)="SERRA","","[-1]"),FALSE)),".",""),IFERROR(_xlfn.TEXTBEFORE(_xlpm.x," ("),_xlpm.x))),0)),0)</f>
        <v>0</v>
      </c>
      <c r="AJ281" s="378" cm="1">
        <f t="array" aca="1" ref="AJ281" ca="1">_xlfn.LET(_xlpm.x,INDIRECT("rc[-1]",FALSE),_xlpm.y,SUM(INDIRECT("r[-1]c[-1]:r[-1]c",FALSE)),IF(_xlpm.y=0,IF(_xlpm.x=0,0,1),_xlpm.x/_xlpm.y))</f>
        <v>0</v>
      </c>
      <c r="AK281" s="377" cm="1">
        <f t="array" aca="1" ref="AK281" ca="1">IFERROR(SUM(_xlfn._xlws.FILTER(SchPdt3[Value],(SchPdt3[PrjId]=$B281)*(SchPdt3[Row]=$D281)*(SchPdt3[Column]=_xlfn.LET(_xlpm.x,SUBSTITUTE(UPPER(INDIRECT("r"&amp;MATCH("TIP",$A:$A,0)&amp;"c"&amp;IF(INDIRECT("r"&amp;MATCH("TAP",$A:$A,0)&amp;"c",FALSE)="SERRA","","[-1]"),FALSE)),".",""),IFERROR(_xlfn.TEXTBEFORE(_xlpm.x," ("),_xlpm.x))),0)),0)</f>
        <v>0</v>
      </c>
      <c r="AL281" s="378" cm="1">
        <f t="array" aca="1" ref="AL281" ca="1">_xlfn.LET(_xlpm.x,INDIRECT("rc[-1]",FALSE),_xlpm.y,SUM(INDIRECT("r[-1]c[-1]:r[-1]c",FALSE)),IF(_xlpm.y=0,IF(_xlpm.x=0,0,1),_xlpm.x/_xlpm.y))</f>
        <v>0</v>
      </c>
      <c r="AM281" s="377" cm="1">
        <f t="array" aca="1" ref="AM281" ca="1">IFERROR(SUM(_xlfn._xlws.FILTER(SchPdt3[Value],(SchPdt3[PrjId]=$B281)*(SchPdt3[Row]=$D281)*(SchPdt3[Column]=_xlfn.LET(_xlpm.x,SUBSTITUTE(UPPER(INDIRECT("r"&amp;MATCH("TIP",$A:$A,0)&amp;"c"&amp;IF(INDIRECT("r"&amp;MATCH("TAP",$A:$A,0)&amp;"c",FALSE)="SERRA","","[-1]"),FALSE)),".",""),IFERROR(_xlfn.TEXTBEFORE(_xlpm.x," ("),_xlpm.x))),0)),0)</f>
        <v>0</v>
      </c>
      <c r="AN281" s="378" cm="1">
        <f t="array" aca="1" ref="AN281" ca="1">_xlfn.LET(_xlpm.x,INDIRECT("rc[-1]",FALSE),_xlpm.y,SUM(INDIRECT("r[-1]c[-1]:r[-1]c",FALSE)),IF(_xlpm.y=0,IF(_xlpm.x=0,0,1),_xlpm.x/_xlpm.y))</f>
        <v>0</v>
      </c>
      <c r="AO281" s="377" cm="1">
        <f t="array" aca="1" ref="AO281" ca="1">IFERROR(SUM(_xlfn._xlws.FILTER(SchPdt3[Value],(SchPdt3[PrjId]=$B281)*(SchPdt3[Row]=$D281)*(SchPdt3[Column]=_xlfn.LET(_xlpm.x,SUBSTITUTE(UPPER(INDIRECT("r"&amp;MATCH("TIP",$A:$A,0)&amp;"c"&amp;IF(INDIRECT("r"&amp;MATCH("TAP",$A:$A,0)&amp;"c",FALSE)="SERRA","","[-1]"),FALSE)),".",""),IFERROR(_xlfn.TEXTBEFORE(_xlpm.x," ("),_xlpm.x))),0)),0)</f>
        <v>0</v>
      </c>
      <c r="AP281" s="378" cm="1">
        <f t="array" aca="1" ref="AP281" ca="1">_xlfn.LET(_xlpm.x,INDIRECT("rc[-1]",FALSE),_xlpm.y,SUM(INDIRECT("r[-1]c[-1]:r[-1]c",FALSE)),IF(_xlpm.y=0,IF(_xlpm.x=0,0,1),_xlpm.x/_xlpm.y))</f>
        <v>0</v>
      </c>
      <c r="AQ281" s="377" cm="1">
        <f t="array" aca="1" ref="AQ281" ca="1">SUM(IF(INDIRECT($AS$115)=AQ$115,INDIRECT($AS281)))</f>
        <v>247637.06939999995</v>
      </c>
      <c r="AR281" s="378" cm="1">
        <f t="array" aca="1" ref="AR281" ca="1">_xlfn.LET(_xlpm.x,INDIRECT("rc[-1]",FALSE),_xlpm.y,SUM(INDIRECT("r[-1]c[-1]:r[-1]c",FALSE)),IF(_xlpm.y=0,IF(_xlpm.x=0,0,1),_xlpm.x/_xlpm.y))</f>
        <v>0.34653395064731191</v>
      </c>
      <c r="AS281" s="286" t="str">
        <f t="shared" si="23"/>
        <v>G281:AP281</v>
      </c>
      <c r="AT281" s="403">
        <f ca="1">SUM(INDIRECT("rc"&amp;MATCH("ECD",$1:$1,0)&amp;":rc"&amp;(MATCH("EOC",$1:$1,0)-2),FALSE))</f>
        <v>247637.06939999995</v>
      </c>
      <c r="AV281" s="142" cm="1">
        <f t="array" aca="1" ref="AV281" ca="1">IF(AND(_xlfn.LET(_xlpm.x,SUM(ROW()),OR(AND(MATCH("SOT",$A:$A,0)&lt;_xlpm.x,MATCH("EOT",$A:$A,0)&gt;_xlpm.x),AND(MATCH("SOS",$A:$A,0)&lt;_xlpm.x,MATCH("EOS",$A:$A,0)&gt;_xlpm.x),AND(MATCH("SOR",$A:$A,0)&lt;_xlpm.x,MATCH("EOR",$A:$A,0)&gt;_xlpm.x))),INDIRECT("rc"&amp;MATCH("SCD",$1:$1,0),FALSE)="PPTO"),1,0)</f>
        <v>0</v>
      </c>
      <c r="AW281" s="142" cm="1">
        <f t="array" aca="1" ref="AW28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82" spans="1:49" s="153" customFormat="1" outlineLevel="2">
      <c r="A282" s="152"/>
      <c r="B282" s="401" t="str">
        <f t="shared" si="22"/>
        <v>31200</v>
      </c>
      <c r="C282" s="148"/>
      <c r="D282" s="401" t="str" cm="1">
        <f t="array" ref="D282">_xlfn.TAKE(INDEX(_xlfn.UNIQUE(_xlfn._xlws.SORT(TbStd[Row5])),1+(SUM(ROW()-MATCH("SOP",$A:$A,0)-1)/2),0),1)</f>
        <v>PEMT</v>
      </c>
      <c r="E282" s="350" t="str" cm="1">
        <f t="array" ref="E282">UPPER(_xlfn.UNIQUE(_xlfn._xlws.FILTER(TbRowMacro[RowMacroName],TbRowMacro[RowMcroId]=$D282,"X")))</f>
        <v>PUESTA EN MARCHA TOOL/RECEPCION</v>
      </c>
      <c r="F282" s="402" t="s">
        <v>2074</v>
      </c>
      <c r="G282" s="377" cm="1">
        <f t="array" aca="1" ref="G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H282" s="377" cm="1">
        <f t="array" aca="1" ref="H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I282" s="377" cm="1">
        <f t="array" aca="1" ref="I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J282" s="377" cm="1">
        <f t="array" aca="1" ref="J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K282" s="377" cm="1">
        <f t="array" aca="1" ref="K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L282" s="377" cm="1">
        <f t="array" aca="1" ref="L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M282" s="377" cm="1">
        <f t="array" aca="1" ref="M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N282" s="377" cm="1">
        <f t="array" aca="1" ref="N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O282" s="377" cm="1">
        <f t="array" aca="1" ref="O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P282" s="377" cm="1">
        <f t="array" aca="1" ref="P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Q282" s="377" cm="1">
        <f t="array" aca="1" ref="Q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R282" s="377" cm="1">
        <f t="array" aca="1" ref="R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S282" s="377" cm="1">
        <f t="array" aca="1" ref="S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T282" s="377" cm="1">
        <f t="array" aca="1" ref="T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U282" s="377" cm="1">
        <f t="array" aca="1" ref="U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185.79286879999998</v>
      </c>
      <c r="V282" s="377" cm="1">
        <f t="array" aca="1" ref="V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1857.9822079999999</v>
      </c>
      <c r="W282" s="377" cm="1">
        <f t="array" aca="1" ref="W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-24427.936953520002</v>
      </c>
      <c r="X282" s="377" cm="1">
        <f t="array" aca="1" ref="X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23937.824515394997</v>
      </c>
      <c r="Y282" s="377" cm="1">
        <f t="array" aca="1" ref="Y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-238.48</v>
      </c>
      <c r="Z282" s="377" cm="1">
        <f t="array" aca="1" ref="Z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AA282" s="377" cm="1">
        <f t="array" aca="1" ref="AA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AB282" s="377" cm="1">
        <f t="array" aca="1" ref="AB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AC282" s="377" cm="1">
        <f t="array" aca="1" ref="AC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AD282" s="377" cm="1">
        <f t="array" aca="1" ref="AD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AE282" s="377" cm="1">
        <f t="array" aca="1" ref="AE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AF282" s="377" cm="1">
        <f t="array" aca="1" ref="AF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AG282" s="377" cm="1">
        <f t="array" aca="1" ref="AG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AH282" s="377" cm="1">
        <f t="array" aca="1" ref="AH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AI282" s="377" cm="1">
        <f t="array" aca="1" ref="AI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AJ282" s="377" cm="1">
        <f t="array" aca="1" ref="AJ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-77.769999999999982</v>
      </c>
      <c r="AK282" s="377" cm="1">
        <f t="array" aca="1" ref="AK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AL282" s="377" cm="1">
        <f t="array" aca="1" ref="AL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-12</v>
      </c>
      <c r="AM282" s="377" cm="1">
        <f t="array" aca="1" ref="AM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AN282" s="377" cm="1">
        <f t="array" aca="1" ref="AN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-4.8700000000000045</v>
      </c>
      <c r="AO282" s="377" cm="1">
        <f t="array" aca="1" ref="AO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AP282" s="377" cm="1">
        <f t="array" aca="1" ref="AP28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282)*(ISNUMBER(FIND(_xlpm.v,_xlfn.TEXTJOIN(":",TRUE,_xlfn.UNIQUE(_xlfn._xlws.FILTER(TbStd[RowGrp],TbStd[Row5]=$D282,"X"))))))),0)),0)</f>
        <v>0</v>
      </c>
      <c r="AQ282" s="377" cm="1">
        <f t="array" aca="1" ref="AQ282" ca="1">SUM(IF(INDIRECT($AS$115)=AQ$115,INDIRECT($AS282)))</f>
        <v>-24480.624084720002</v>
      </c>
      <c r="AR282" s="377" cm="1">
        <f t="array" aca="1" ref="AR282" ca="1">SUM(IF(INDIRECT($AS$115)=AR$115,INDIRECT($AS282)))</f>
        <v>25701.166723394999</v>
      </c>
      <c r="AS282" s="286" t="str">
        <f t="shared" si="23"/>
        <v>G282:AP282</v>
      </c>
      <c r="AT282" s="403">
        <f t="shared" ca="1" si="24"/>
        <v>1220.5426386749969</v>
      </c>
      <c r="AV282" s="142" cm="1">
        <f t="array" aca="1" ref="AV282" ca="1">IF(AND(_xlfn.LET(_xlpm.x,SUM(ROW()),OR(AND(MATCH("SOT",$A:$A,0)&lt;_xlpm.x,MATCH("EOT",$A:$A,0)&gt;_xlpm.x),AND(MATCH("SOS",$A:$A,0)&lt;_xlpm.x,MATCH("EOS",$A:$A,0)&gt;_xlpm.x),AND(MATCH("SOR",$A:$A,0)&lt;_xlpm.x,MATCH("EOR",$A:$A,0)&gt;_xlpm.x))),INDIRECT("rc"&amp;MATCH("SCD",$1:$1,0),FALSE)="PPTO"),1,0)</f>
        <v>0</v>
      </c>
      <c r="AW282" s="142" cm="1">
        <f t="array" aca="1" ref="AW28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83" spans="1:49" s="153" customFormat="1" outlineLevel="2">
      <c r="A283" s="152"/>
      <c r="B283" s="401" t="str">
        <f t="shared" si="22"/>
        <v>31200</v>
      </c>
      <c r="C283" s="148"/>
      <c r="D283" s="401" t="str" cm="1">
        <f t="array" ref="D283">_xlfn.TAKE(INDEX(_xlfn.UNIQUE(_xlfn._xlws.SORT(TbStd[Row5])),1+(SUM(ROW()-MATCH("SOP",$A:$A,0)-1)/2),0),1)</f>
        <v>PEMT</v>
      </c>
      <c r="E283" s="350" t="str" cm="1">
        <f t="array" ref="E283">UPPER(_xlfn.UNIQUE(_xlfn._xlws.FILTER(TbRowMacro[RowMacroName],TbRowMacro[RowMcroId]=$D283,"X")))</f>
        <v>PUESTA EN MARCHA TOOL/RECEPCION</v>
      </c>
      <c r="F283" s="402" t="s">
        <v>2055</v>
      </c>
      <c r="G283" s="377" cm="1">
        <f t="array" aca="1" ref="G283" ca="1">IFERROR(SUM(_xlfn._xlws.FILTER(SchPdt3[Value],(SchPdt3[PrjId]=$B283)*(SchPdt3[Row]=$D283)*(SchPdt3[Column]=_xlfn.LET(_xlpm.x,SUBSTITUTE(UPPER(INDIRECT("r"&amp;MATCH("TIP",$A:$A,0)&amp;"c"&amp;IF(INDIRECT("r"&amp;MATCH("TAP",$A:$A,0)&amp;"c",FALSE)="SERRA","","[-1]"),FALSE)),".",""),IFERROR(_xlfn.TEXTBEFORE(_xlpm.x," ("),_xlpm.x))),0)),0)</f>
        <v>35577.987000000001</v>
      </c>
      <c r="H283" s="378" cm="1">
        <f t="array" aca="1" ref="H283" ca="1">_xlfn.LET(_xlpm.x,INDIRECT("rc[-1]",FALSE),_xlpm.y,SUM(INDIRECT("r[-1]c[-1]:r[-1]c",FALSE)),IF(_xlpm.y=0,IF(_xlpm.x=0,0,1),_xlpm.x/_xlpm.y))</f>
        <v>1</v>
      </c>
      <c r="I283" s="377" cm="1">
        <f t="array" aca="1" ref="I283" ca="1">IFERROR(SUM(_xlfn._xlws.FILTER(SchPdt3[Value],(SchPdt3[PrjId]=$B283)*(SchPdt3[Row]=$D283)*(SchPdt3[Column]=_xlfn.LET(_xlpm.x,SUBSTITUTE(UPPER(INDIRECT("r"&amp;MATCH("TIP",$A:$A,0)&amp;"c"&amp;IF(INDIRECT("r"&amp;MATCH("TAP",$A:$A,0)&amp;"c",FALSE)="SERRA","","[-1]"),FALSE)),".",""),IFERROR(_xlfn.TEXTBEFORE(_xlpm.x," ("),_xlpm.x))),0)),0)</f>
        <v>0</v>
      </c>
      <c r="J283" s="378" cm="1">
        <f t="array" aca="1" ref="J283" ca="1">_xlfn.LET(_xlpm.x,INDIRECT("rc[-1]",FALSE),_xlpm.y,SUM(INDIRECT("r[-1]c[-1]:r[-1]c",FALSE)),IF(_xlpm.y=0,IF(_xlpm.x=0,0,1),_xlpm.x/_xlpm.y))</f>
        <v>0</v>
      </c>
      <c r="K283" s="377" cm="1">
        <f t="array" aca="1" ref="K283" ca="1">IFERROR(SUM(_xlfn._xlws.FILTER(SchPdt3[Value],(SchPdt3[PrjId]=$B283)*(SchPdt3[Row]=$D283)*(SchPdt3[Column]=_xlfn.LET(_xlpm.x,SUBSTITUTE(UPPER(INDIRECT("r"&amp;MATCH("TIP",$A:$A,0)&amp;"c"&amp;IF(INDIRECT("r"&amp;MATCH("TAP",$A:$A,0)&amp;"c",FALSE)="SERRA","","[-1]"),FALSE)),".",""),IFERROR(_xlfn.TEXTBEFORE(_xlpm.x," ("),_xlpm.x))),0)),0)</f>
        <v>2995.7359999999999</v>
      </c>
      <c r="L283" s="378" cm="1">
        <f t="array" aca="1" ref="L283" ca="1">_xlfn.LET(_xlpm.x,INDIRECT("rc[-1]",FALSE),_xlpm.y,SUM(INDIRECT("r[-1]c[-1]:r[-1]c",FALSE)),IF(_xlpm.y=0,IF(_xlpm.x=0,0,1),_xlpm.x/_xlpm.y))</f>
        <v>1</v>
      </c>
      <c r="M283" s="377" cm="1">
        <f t="array" aca="1" ref="M283" ca="1">IFERROR(SUM(_xlfn._xlws.FILTER(SchPdt3[Value],(SchPdt3[PrjId]=$B283)*(SchPdt3[Row]=$D283)*(SchPdt3[Column]=_xlfn.LET(_xlpm.x,SUBSTITUTE(UPPER(INDIRECT("r"&amp;MATCH("TIP",$A:$A,0)&amp;"c"&amp;IF(INDIRECT("r"&amp;MATCH("TAP",$A:$A,0)&amp;"c",FALSE)="SERRA","","[-1]"),FALSE)),".",""),IFERROR(_xlfn.TEXTBEFORE(_xlpm.x," ("),_xlpm.x))),0)),0)</f>
        <v>0</v>
      </c>
      <c r="N283" s="378" cm="1">
        <f t="array" aca="1" ref="N283" ca="1">_xlfn.LET(_xlpm.x,INDIRECT("rc[-1]",FALSE),_xlpm.y,SUM(INDIRECT("r[-1]c[-1]:r[-1]c",FALSE)),IF(_xlpm.y=0,IF(_xlpm.x=0,0,1),_xlpm.x/_xlpm.y))</f>
        <v>0</v>
      </c>
      <c r="O283" s="377" cm="1">
        <f t="array" aca="1" ref="O283" ca="1">IFERROR(SUM(_xlfn._xlws.FILTER(SchPdt3[Value],(SchPdt3[PrjId]=$B283)*(SchPdt3[Row]=$D283)*(SchPdt3[Column]=_xlfn.LET(_xlpm.x,SUBSTITUTE(UPPER(INDIRECT("r"&amp;MATCH("TIP",$A:$A,0)&amp;"c"&amp;IF(INDIRECT("r"&amp;MATCH("TAP",$A:$A,0)&amp;"c",FALSE)="SERRA","","[-1]"),FALSE)),".",""),IFERROR(_xlfn.TEXTBEFORE(_xlpm.x," ("),_xlpm.x))),0)),0)</f>
        <v>48422.087999999996</v>
      </c>
      <c r="P283" s="378" cm="1">
        <f t="array" aca="1" ref="P283" ca="1">_xlfn.LET(_xlpm.x,INDIRECT("rc[-1]",FALSE),_xlpm.y,SUM(INDIRECT("r[-1]c[-1]:r[-1]c",FALSE)),IF(_xlpm.y=0,IF(_xlpm.x=0,0,1),_xlpm.x/_xlpm.y))</f>
        <v>1</v>
      </c>
      <c r="Q283" s="377" cm="1">
        <f t="array" aca="1" ref="Q283" ca="1">IFERROR(SUM(_xlfn._xlws.FILTER(SchPdt3[Value],(SchPdt3[PrjId]=$B283)*(SchPdt3[Row]=$D283)*(SchPdt3[Column]=_xlfn.LET(_xlpm.x,SUBSTITUTE(UPPER(INDIRECT("r"&amp;MATCH("TIP",$A:$A,0)&amp;"c"&amp;IF(INDIRECT("r"&amp;MATCH("TAP",$A:$A,0)&amp;"c",FALSE)="SERRA","","[-1]"),FALSE)),".",""),IFERROR(_xlfn.TEXTBEFORE(_xlpm.x," ("),_xlpm.x))),0)),0)</f>
        <v>0</v>
      </c>
      <c r="R283" s="378" cm="1">
        <f t="array" aca="1" ref="R283" ca="1">_xlfn.LET(_xlpm.x,INDIRECT("rc[-1]",FALSE),_xlpm.y,SUM(INDIRECT("r[-1]c[-1]:r[-1]c",FALSE)),IF(_xlpm.y=0,IF(_xlpm.x=0,0,1),_xlpm.x/_xlpm.y))</f>
        <v>0</v>
      </c>
      <c r="S283" s="377" cm="1">
        <f t="array" aca="1" ref="S283" ca="1">IFERROR(SUM(_xlfn._xlws.FILTER(SchPdt3[Value],(SchPdt3[PrjId]=$B283)*(SchPdt3[Row]=$D283)*(SchPdt3[Column]=_xlfn.LET(_xlpm.x,SUBSTITUTE(UPPER(INDIRECT("r"&amp;MATCH("TIP",$A:$A,0)&amp;"c"&amp;IF(INDIRECT("r"&amp;MATCH("TAP",$A:$A,0)&amp;"c",FALSE)="SERRA","","[-1]"),FALSE)),".",""),IFERROR(_xlfn.TEXTBEFORE(_xlpm.x," ("),_xlpm.x))),0)),0)</f>
        <v>61332.146999999997</v>
      </c>
      <c r="T283" s="378" cm="1">
        <f t="array" aca="1" ref="T283" ca="1">_xlfn.LET(_xlpm.x,INDIRECT("rc[-1]",FALSE),_xlpm.y,SUM(INDIRECT("r[-1]c[-1]:r[-1]c",FALSE)),IF(_xlpm.y=0,IF(_xlpm.x=0,0,1),_xlpm.x/_xlpm.y))</f>
        <v>1</v>
      </c>
      <c r="U283" s="377" cm="1">
        <f t="array" aca="1" ref="U283" ca="1">IFERROR(SUM(_xlfn._xlws.FILTER(SchPdt3[Value],(SchPdt3[PrjId]=$B283)*(SchPdt3[Row]=$D283)*(SchPdt3[Column]=_xlfn.LET(_xlpm.x,SUBSTITUTE(UPPER(INDIRECT("r"&amp;MATCH("TIP",$A:$A,0)&amp;"c"&amp;IF(INDIRECT("r"&amp;MATCH("TAP",$A:$A,0)&amp;"c",FALSE)="SERRA","","[-1]"),FALSE)),".",""),IFERROR(_xlfn.TEXTBEFORE(_xlpm.x," ("),_xlpm.x))),0)),0)</f>
        <v>0</v>
      </c>
      <c r="V283" s="378" cm="1">
        <f t="array" aca="1" ref="V283" ca="1">_xlfn.LET(_xlpm.x,INDIRECT("rc[-1]",FALSE),_xlpm.y,SUM(INDIRECT("r[-1]c[-1]:r[-1]c",FALSE)),IF(_xlpm.y=0,IF(_xlpm.x=0,0,1),_xlpm.x/_xlpm.y))</f>
        <v>0</v>
      </c>
      <c r="W283" s="377" cm="1">
        <f t="array" aca="1" ref="W283" ca="1">IFERROR(SUM(_xlfn._xlws.FILTER(SchPdt3[Value],(SchPdt3[PrjId]=$B283)*(SchPdt3[Row]=$D283)*(SchPdt3[Column]=_xlfn.LET(_xlpm.x,SUBSTITUTE(UPPER(INDIRECT("r"&amp;MATCH("TIP",$A:$A,0)&amp;"c"&amp;IF(INDIRECT("r"&amp;MATCH("TAP",$A:$A,0)&amp;"c",FALSE)="SERRA","","[-1]"),FALSE)),".",""),IFERROR(_xlfn.TEXTBEFORE(_xlpm.x," ("),_xlpm.x))),0)),0)</f>
        <v>49053.275999999998</v>
      </c>
      <c r="X283" s="378" cm="1">
        <f t="array" aca="1" ref="X283" ca="1">_xlfn.LET(_xlpm.x,INDIRECT("rc[-1]",FALSE),_xlpm.y,SUM(INDIRECT("r[-1]c[-1]:r[-1]c",FALSE)),IF(_xlpm.y=0,IF(_xlpm.x=0,0,1),_xlpm.x/_xlpm.y))</f>
        <v>-100.08576029545451</v>
      </c>
      <c r="Y283" s="377" cm="1">
        <f t="array" aca="1" ref="Y283" ca="1">IFERROR(SUM(_xlfn._xlws.FILTER(SchPdt3[Value],(SchPdt3[PrjId]=$B283)*(SchPdt3[Row]=$D283)*(SchPdt3[Column]=_xlfn.LET(_xlpm.x,SUBSTITUTE(UPPER(INDIRECT("r"&amp;MATCH("TIP",$A:$A,0)&amp;"c"&amp;IF(INDIRECT("r"&amp;MATCH("TAP",$A:$A,0)&amp;"c",FALSE)="SERRA","","[-1]"),FALSE)),".",""),IFERROR(_xlfn.TEXTBEFORE(_xlpm.x," ("),_xlpm.x))),0)),0)</f>
        <v>0</v>
      </c>
      <c r="Z283" s="378" cm="1">
        <f t="array" aca="1" ref="Z283" ca="1">_xlfn.LET(_xlpm.x,INDIRECT("rc[-1]",FALSE),_xlpm.y,SUM(INDIRECT("r[-1]c[-1]:r[-1]c",FALSE)),IF(_xlpm.y=0,IF(_xlpm.x=0,0,1),_xlpm.x/_xlpm.y))</f>
        <v>0</v>
      </c>
      <c r="AA283" s="377" cm="1">
        <f t="array" aca="1" ref="AA283" ca="1">IFERROR(SUM(_xlfn._xlws.FILTER(SchPdt3[Value],(SchPdt3[PrjId]=$B283)*(SchPdt3[Row]=$D283)*(SchPdt3[Column]=_xlfn.LET(_xlpm.x,SUBSTITUTE(UPPER(INDIRECT("r"&amp;MATCH("TIP",$A:$A,0)&amp;"c"&amp;IF(INDIRECT("r"&amp;MATCH("TAP",$A:$A,0)&amp;"c",FALSE)="SERRA","","[-1]"),FALSE)),".",""),IFERROR(_xlfn.TEXTBEFORE(_xlpm.x," ("),_xlpm.x))),0)),0)</f>
        <v>0</v>
      </c>
      <c r="AB283" s="378" cm="1">
        <f t="array" aca="1" ref="AB283" ca="1">_xlfn.LET(_xlpm.x,INDIRECT("rc[-1]",FALSE),_xlpm.y,SUM(INDIRECT("r[-1]c[-1]:r[-1]c",FALSE)),IF(_xlpm.y=0,IF(_xlpm.x=0,0,1),_xlpm.x/_xlpm.y))</f>
        <v>0</v>
      </c>
      <c r="AC283" s="377" cm="1">
        <f t="array" aca="1" ref="AC283" ca="1">IFERROR(SUM(_xlfn._xlws.FILTER(SchPdt3[Value],(SchPdt3[PrjId]=$B283)*(SchPdt3[Row]=$D283)*(SchPdt3[Column]=_xlfn.LET(_xlpm.x,SUBSTITUTE(UPPER(INDIRECT("r"&amp;MATCH("TIP",$A:$A,0)&amp;"c"&amp;IF(INDIRECT("r"&amp;MATCH("TAP",$A:$A,0)&amp;"c",FALSE)="SERRA","","[-1]"),FALSE)),".",""),IFERROR(_xlfn.TEXTBEFORE(_xlpm.x," ("),_xlpm.x))),0)),0)</f>
        <v>0</v>
      </c>
      <c r="AD283" s="378" cm="1">
        <f t="array" aca="1" ref="AD283" ca="1">_xlfn.LET(_xlpm.x,INDIRECT("rc[-1]",FALSE),_xlpm.y,SUM(INDIRECT("r[-1]c[-1]:r[-1]c",FALSE)),IF(_xlpm.y=0,IF(_xlpm.x=0,0,1),_xlpm.x/_xlpm.y))</f>
        <v>0</v>
      </c>
      <c r="AE283" s="377" cm="1">
        <f t="array" aca="1" ref="AE283" ca="1">IFERROR(SUM(_xlfn._xlws.FILTER(SchPdt3[Value],(SchPdt3[PrjId]=$B283)*(SchPdt3[Row]=$D283)*(SchPdt3[Column]=_xlfn.LET(_xlpm.x,SUBSTITUTE(UPPER(INDIRECT("r"&amp;MATCH("TIP",$A:$A,0)&amp;"c"&amp;IF(INDIRECT("r"&amp;MATCH("TAP",$A:$A,0)&amp;"c",FALSE)="SERRA","","[-1]"),FALSE)),".",""),IFERROR(_xlfn.TEXTBEFORE(_xlpm.x," ("),_xlpm.x))),0)),0)</f>
        <v>4448.3999999999996</v>
      </c>
      <c r="AF283" s="378" cm="1">
        <f t="array" aca="1" ref="AF283" ca="1">_xlfn.LET(_xlpm.x,INDIRECT("rc[-1]",FALSE),_xlpm.y,SUM(INDIRECT("r[-1]c[-1]:r[-1]c",FALSE)),IF(_xlpm.y=0,IF(_xlpm.x=0,0,1),_xlpm.x/_xlpm.y))</f>
        <v>1</v>
      </c>
      <c r="AG283" s="377" cm="1">
        <f t="array" aca="1" ref="AG283" ca="1">IFERROR(SUM(_xlfn._xlws.FILTER(SchPdt3[Value],(SchPdt3[PrjId]=$B283)*(SchPdt3[Row]=$D283)*(SchPdt3[Column]=_xlfn.LET(_xlpm.x,SUBSTITUTE(UPPER(INDIRECT("r"&amp;MATCH("TIP",$A:$A,0)&amp;"c"&amp;IF(INDIRECT("r"&amp;MATCH("TAP",$A:$A,0)&amp;"c",FALSE)="SERRA","","[-1]"),FALSE)),".",""),IFERROR(_xlfn.TEXTBEFORE(_xlpm.x," ("),_xlpm.x))),0)),0)</f>
        <v>0</v>
      </c>
      <c r="AH283" s="378" cm="1">
        <f t="array" aca="1" ref="AH283" ca="1">_xlfn.LET(_xlpm.x,INDIRECT("rc[-1]",FALSE),_xlpm.y,SUM(INDIRECT("r[-1]c[-1]:r[-1]c",FALSE)),IF(_xlpm.y=0,IF(_xlpm.x=0,0,1),_xlpm.x/_xlpm.y))</f>
        <v>0</v>
      </c>
      <c r="AI283" s="377" cm="1">
        <f t="array" aca="1" ref="AI283" ca="1">IFERROR(SUM(_xlfn._xlws.FILTER(SchPdt3[Value],(SchPdt3[PrjId]=$B283)*(SchPdt3[Row]=$D283)*(SchPdt3[Column]=_xlfn.LET(_xlpm.x,SUBSTITUTE(UPPER(INDIRECT("r"&amp;MATCH("TIP",$A:$A,0)&amp;"c"&amp;IF(INDIRECT("r"&amp;MATCH("TAP",$A:$A,0)&amp;"c",FALSE)="SERRA","","[-1]"),FALSE)),".",""),IFERROR(_xlfn.TEXTBEFORE(_xlpm.x," ("),_xlpm.x))),0)),0)</f>
        <v>0</v>
      </c>
      <c r="AJ283" s="378" cm="1">
        <f t="array" aca="1" ref="AJ283" ca="1">_xlfn.LET(_xlpm.x,INDIRECT("rc[-1]",FALSE),_xlpm.y,SUM(INDIRECT("r[-1]c[-1]:r[-1]c",FALSE)),IF(_xlpm.y=0,IF(_xlpm.x=0,0,1),_xlpm.x/_xlpm.y))</f>
        <v>0</v>
      </c>
      <c r="AK283" s="377" cm="1">
        <f t="array" aca="1" ref="AK283" ca="1">IFERROR(SUM(_xlfn._xlws.FILTER(SchPdt3[Value],(SchPdt3[PrjId]=$B283)*(SchPdt3[Row]=$D283)*(SchPdt3[Column]=_xlfn.LET(_xlpm.x,SUBSTITUTE(UPPER(INDIRECT("r"&amp;MATCH("TIP",$A:$A,0)&amp;"c"&amp;IF(INDIRECT("r"&amp;MATCH("TAP",$A:$A,0)&amp;"c",FALSE)="SERRA","","[-1]"),FALSE)),".",""),IFERROR(_xlfn.TEXTBEFORE(_xlpm.x," ("),_xlpm.x))),0)),0)</f>
        <v>0</v>
      </c>
      <c r="AL283" s="378" cm="1">
        <f t="array" aca="1" ref="AL283" ca="1">_xlfn.LET(_xlpm.x,INDIRECT("rc[-1]",FALSE),_xlpm.y,SUM(INDIRECT("r[-1]c[-1]:r[-1]c",FALSE)),IF(_xlpm.y=0,IF(_xlpm.x=0,0,1),_xlpm.x/_xlpm.y))</f>
        <v>0</v>
      </c>
      <c r="AM283" s="377" cm="1">
        <f t="array" aca="1" ref="AM283" ca="1">IFERROR(SUM(_xlfn._xlws.FILTER(SchPdt3[Value],(SchPdt3[PrjId]=$B283)*(SchPdt3[Row]=$D283)*(SchPdt3[Column]=_xlfn.LET(_xlpm.x,SUBSTITUTE(UPPER(INDIRECT("r"&amp;MATCH("TIP",$A:$A,0)&amp;"c"&amp;IF(INDIRECT("r"&amp;MATCH("TAP",$A:$A,0)&amp;"c",FALSE)="SERRA","","[-1]"),FALSE)),".",""),IFERROR(_xlfn.TEXTBEFORE(_xlpm.x," ("),_xlpm.x))),0)),0)</f>
        <v>0</v>
      </c>
      <c r="AN283" s="378" cm="1">
        <f t="array" aca="1" ref="AN283" ca="1">_xlfn.LET(_xlpm.x,INDIRECT("rc[-1]",FALSE),_xlpm.y,SUM(INDIRECT("r[-1]c[-1]:r[-1]c",FALSE)),IF(_xlpm.y=0,IF(_xlpm.x=0,0,1),_xlpm.x/_xlpm.y))</f>
        <v>0</v>
      </c>
      <c r="AO283" s="377" cm="1">
        <f t="array" aca="1" ref="AO283" ca="1">IFERROR(SUM(_xlfn._xlws.FILTER(SchPdt3[Value],(SchPdt3[PrjId]=$B283)*(SchPdt3[Row]=$D283)*(SchPdt3[Column]=_xlfn.LET(_xlpm.x,SUBSTITUTE(UPPER(INDIRECT("r"&amp;MATCH("TIP",$A:$A,0)&amp;"c"&amp;IF(INDIRECT("r"&amp;MATCH("TAP",$A:$A,0)&amp;"c",FALSE)="SERRA","","[-1]"),FALSE)),".",""),IFERROR(_xlfn.TEXTBEFORE(_xlpm.x," ("),_xlpm.x))),0)),0)</f>
        <v>0</v>
      </c>
      <c r="AP283" s="378" cm="1">
        <f t="array" aca="1" ref="AP283" ca="1">_xlfn.LET(_xlpm.x,INDIRECT("rc[-1]",FALSE),_xlpm.y,SUM(INDIRECT("r[-1]c[-1]:r[-1]c",FALSE)),IF(_xlpm.y=0,IF(_xlpm.x=0,0,1),_xlpm.x/_xlpm.y))</f>
        <v>0</v>
      </c>
      <c r="AQ283" s="377" cm="1">
        <f t="array" aca="1" ref="AQ283" ca="1">SUM(IF(INDIRECT($AS$115)=AQ$115,INDIRECT($AS283)))</f>
        <v>201829.63399999999</v>
      </c>
      <c r="AR283" s="378" cm="1">
        <f t="array" aca="1" ref="AR283" ca="1">_xlfn.LET(_xlpm.x,INDIRECT("rc[-1]",FALSE),_xlpm.y,SUM(INDIRECT("r[-1]c[-1]:r[-1]c",FALSE)),IF(_xlpm.y=0,IF(_xlpm.x=0,0,1),_xlpm.x/_xlpm.y))</f>
        <v>165.36057619347349</v>
      </c>
      <c r="AS283" s="286" t="str">
        <f t="shared" si="23"/>
        <v>G283:AP283</v>
      </c>
      <c r="AT283" s="403">
        <f ca="1">SUM(INDIRECT("rc"&amp;MATCH("ECD",$1:$1,0)&amp;":rc"&amp;(MATCH("EOC",$1:$1,0)-2),FALSE))</f>
        <v>201829.63399999999</v>
      </c>
      <c r="AV283" s="142" cm="1">
        <f t="array" aca="1" ref="AV283" ca="1">IF(AND(_xlfn.LET(_xlpm.x,SUM(ROW()),OR(AND(MATCH("SOT",$A:$A,0)&lt;_xlpm.x,MATCH("EOT",$A:$A,0)&gt;_xlpm.x),AND(MATCH("SOS",$A:$A,0)&lt;_xlpm.x,MATCH("EOS",$A:$A,0)&gt;_xlpm.x),AND(MATCH("SOR",$A:$A,0)&lt;_xlpm.x,MATCH("EOR",$A:$A,0)&gt;_xlpm.x))),INDIRECT("rc"&amp;MATCH("SCD",$1:$1,0),FALSE)="PPTO"),1,0)</f>
        <v>0</v>
      </c>
      <c r="AW283" s="142" cm="1">
        <f t="array" aca="1" ref="AW28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84" spans="1:49" s="153" customFormat="1" outlineLevel="2">
      <c r="A284" s="152"/>
      <c r="B284" s="401" t="str">
        <f t="shared" si="22"/>
        <v>X</v>
      </c>
      <c r="C284" s="148"/>
      <c r="D284" s="404"/>
      <c r="E284" s="350" t="str" cm="1">
        <f t="array" ref="E284">UPPER(_xlfn.UNIQUE(_xlfn._xlws.FILTER(TbRowMacro[RowMacroName],TbRowMacro[RowMcroId]=$D284,"X")))</f>
        <v>X</v>
      </c>
      <c r="F284" s="402"/>
      <c r="G284" s="377" cm="1">
        <f t="array" aca="1" ref="G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H284" s="377" cm="1">
        <f t="array" aca="1" ref="H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I284" s="377" cm="1">
        <f t="array" aca="1" ref="I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J284" s="377" cm="1">
        <f t="array" aca="1" ref="J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K284" s="377" cm="1">
        <f t="array" aca="1" ref="K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L284" s="377" cm="1">
        <f t="array" aca="1" ref="L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M284" s="377" cm="1">
        <f t="array" aca="1" ref="M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N284" s="377" cm="1">
        <f t="array" aca="1" ref="N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O284" s="377" cm="1">
        <f t="array" aca="1" ref="O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P284" s="377" cm="1">
        <f t="array" aca="1" ref="P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Q284" s="377" cm="1">
        <f t="array" aca="1" ref="Q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R284" s="377" cm="1">
        <f t="array" aca="1" ref="R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S284" s="377" cm="1">
        <f t="array" aca="1" ref="S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T284" s="377" cm="1">
        <f t="array" aca="1" ref="T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U284" s="377" cm="1">
        <f t="array" aca="1" ref="U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V284" s="377" cm="1">
        <f t="array" aca="1" ref="V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W284" s="377" cm="1">
        <f t="array" aca="1" ref="W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X284" s="377" cm="1">
        <f t="array" aca="1" ref="X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Y284" s="377" cm="1">
        <f t="array" aca="1" ref="Y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Z284" s="377" cm="1">
        <f t="array" aca="1" ref="Z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AA284" s="377" cm="1">
        <f t="array" aca="1" ref="AA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AB284" s="377" cm="1">
        <f t="array" aca="1" ref="AB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AC284" s="377" cm="1">
        <f t="array" aca="1" ref="AC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AD284" s="377" cm="1">
        <f t="array" aca="1" ref="AD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AE284" s="377" cm="1">
        <f t="array" aca="1" ref="AE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AF284" s="377" cm="1">
        <f t="array" aca="1" ref="AF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AG284" s="377" cm="1">
        <f t="array" aca="1" ref="AG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AH284" s="377" cm="1">
        <f t="array" aca="1" ref="AH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AI284" s="377" cm="1">
        <f t="array" aca="1" ref="AI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AJ284" s="377" cm="1">
        <f t="array" aca="1" ref="AJ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AK284" s="377" cm="1">
        <f t="array" aca="1" ref="AK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AL284" s="377" cm="1">
        <f t="array" aca="1" ref="AL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AM284" s="377" cm="1">
        <f t="array" aca="1" ref="AM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AN284" s="377" cm="1">
        <f t="array" aca="1" ref="AN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AO284" s="377" cm="1">
        <f t="array" aca="1" ref="AO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AP284" s="377" cm="1">
        <f t="array" aca="1" ref="AP28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284)*(ISNUMBER(FIND(_xlpm.v,_xlfn.TEXTJOIN(":",TRUE,_xlfn.UNIQUE(_xlfn._xlws.FILTER(TbStd[RowGrp],TbStd[Row5]=$D284,"X"))))))),0)),0)</f>
        <v>0</v>
      </c>
      <c r="AQ284" s="377" cm="1">
        <f t="array" aca="1" ref="AQ284" ca="1">SUM(IF(INDIRECT($AS$115)=AQ$115,INDIRECT($AS284)))</f>
        <v>0</v>
      </c>
      <c r="AR284" s="377" cm="1">
        <f t="array" aca="1" ref="AR284" ca="1">SUM(IF(INDIRECT($AS$115)=AR$115,INDIRECT($AS284)))</f>
        <v>0</v>
      </c>
      <c r="AS284" s="286" t="str">
        <f t="shared" si="23"/>
        <v>G284:AP284</v>
      </c>
      <c r="AT284" s="403">
        <f t="shared" ca="1" si="24"/>
        <v>0</v>
      </c>
      <c r="AV284" s="142" cm="1">
        <f t="array" aca="1" ref="AV284" ca="1">IF(AND(_xlfn.LET(_xlpm.x,SUM(ROW()),OR(AND(MATCH("SOT",$A:$A,0)&lt;_xlpm.x,MATCH("EOT",$A:$A,0)&gt;_xlpm.x),AND(MATCH("SOS",$A:$A,0)&lt;_xlpm.x,MATCH("EOS",$A:$A,0)&gt;_xlpm.x),AND(MATCH("SOR",$A:$A,0)&lt;_xlpm.x,MATCH("EOR",$A:$A,0)&gt;_xlpm.x))),INDIRECT("rc"&amp;MATCH("SCD",$1:$1,0),FALSE)="PPTO"),1,0)</f>
        <v>0</v>
      </c>
      <c r="AW284" s="142" cm="1">
        <f t="array" aca="1" ref="AW28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85" spans="1:49" s="153" customFormat="1" outlineLevel="2">
      <c r="A285" s="152"/>
      <c r="B285" s="401" t="str">
        <f t="shared" si="22"/>
        <v>X</v>
      </c>
      <c r="C285" s="148"/>
      <c r="D285" s="404"/>
      <c r="E285" s="350" t="str" cm="1">
        <f t="array" ref="E285">UPPER(_xlfn.UNIQUE(_xlfn._xlws.FILTER(TbRowMacro[RowMacroName],TbRowMacro[RowMcroId]=$D285,"X")))</f>
        <v>X</v>
      </c>
      <c r="F285" s="402"/>
      <c r="G285" s="377" cm="1">
        <f t="array" aca="1" ref="G285" ca="1">IFERROR(SUM(_xlfn._xlws.FILTER(SchPdt3[Value],(SchPdt3[PrjId]=$B285)*(SchPdt3[Row]=$D285)*(SchPdt3[Column]=_xlfn.LET(_xlpm.x,SUBSTITUTE(UPPER(INDIRECT("r"&amp;MATCH("TIP",$A:$A,0)&amp;"c"&amp;IF(INDIRECT("r"&amp;MATCH("TAP",$A:$A,0)&amp;"c",FALSE)="SERRA","","[-1]"),FALSE)),".",""),IFERROR(_xlfn.TEXTBEFORE(_xlpm.x," ("),_xlpm.x))),0)),0)</f>
        <v>0</v>
      </c>
      <c r="H285" s="378" cm="1">
        <f t="array" aca="1" ref="H285" ca="1">_xlfn.LET(_xlpm.x,INDIRECT("rc[-1]",FALSE),_xlpm.y,SUM(INDIRECT("r[-1]c[-1]:r[-1]c",FALSE)),IF(_xlpm.y=0,IF(_xlpm.x=0,0,1),_xlpm.x/_xlpm.y))</f>
        <v>0</v>
      </c>
      <c r="I285" s="377" cm="1">
        <f t="array" aca="1" ref="I285" ca="1">IFERROR(SUM(_xlfn._xlws.FILTER(SchPdt3[Value],(SchPdt3[PrjId]=$B285)*(SchPdt3[Row]=$D285)*(SchPdt3[Column]=_xlfn.LET(_xlpm.x,SUBSTITUTE(UPPER(INDIRECT("r"&amp;MATCH("TIP",$A:$A,0)&amp;"c"&amp;IF(INDIRECT("r"&amp;MATCH("TAP",$A:$A,0)&amp;"c",FALSE)="SERRA","","[-1]"),FALSE)),".",""),IFERROR(_xlfn.TEXTBEFORE(_xlpm.x," ("),_xlpm.x))),0)),0)</f>
        <v>0</v>
      </c>
      <c r="J285" s="378" cm="1">
        <f t="array" aca="1" ref="J285" ca="1">_xlfn.LET(_xlpm.x,INDIRECT("rc[-1]",FALSE),_xlpm.y,SUM(INDIRECT("r[-1]c[-1]:r[-1]c",FALSE)),IF(_xlpm.y=0,IF(_xlpm.x=0,0,1),_xlpm.x/_xlpm.y))</f>
        <v>0</v>
      </c>
      <c r="K285" s="377" cm="1">
        <f t="array" aca="1" ref="K285" ca="1">IFERROR(SUM(_xlfn._xlws.FILTER(SchPdt3[Value],(SchPdt3[PrjId]=$B285)*(SchPdt3[Row]=$D285)*(SchPdt3[Column]=_xlfn.LET(_xlpm.x,SUBSTITUTE(UPPER(INDIRECT("r"&amp;MATCH("TIP",$A:$A,0)&amp;"c"&amp;IF(INDIRECT("r"&amp;MATCH("TAP",$A:$A,0)&amp;"c",FALSE)="SERRA","","[-1]"),FALSE)),".",""),IFERROR(_xlfn.TEXTBEFORE(_xlpm.x," ("),_xlpm.x))),0)),0)</f>
        <v>0</v>
      </c>
      <c r="L285" s="378" cm="1">
        <f t="array" aca="1" ref="L285" ca="1">_xlfn.LET(_xlpm.x,INDIRECT("rc[-1]",FALSE),_xlpm.y,SUM(INDIRECT("r[-1]c[-1]:r[-1]c",FALSE)),IF(_xlpm.y=0,IF(_xlpm.x=0,0,1),_xlpm.x/_xlpm.y))</f>
        <v>0</v>
      </c>
      <c r="M285" s="377" cm="1">
        <f t="array" aca="1" ref="M285" ca="1">IFERROR(SUM(_xlfn._xlws.FILTER(SchPdt3[Value],(SchPdt3[PrjId]=$B285)*(SchPdt3[Row]=$D285)*(SchPdt3[Column]=_xlfn.LET(_xlpm.x,SUBSTITUTE(UPPER(INDIRECT("r"&amp;MATCH("TIP",$A:$A,0)&amp;"c"&amp;IF(INDIRECT("r"&amp;MATCH("TAP",$A:$A,0)&amp;"c",FALSE)="SERRA","","[-1]"),FALSE)),".",""),IFERROR(_xlfn.TEXTBEFORE(_xlpm.x," ("),_xlpm.x))),0)),0)</f>
        <v>0</v>
      </c>
      <c r="N285" s="378" cm="1">
        <f t="array" aca="1" ref="N285" ca="1">_xlfn.LET(_xlpm.x,INDIRECT("rc[-1]",FALSE),_xlpm.y,SUM(INDIRECT("r[-1]c[-1]:r[-1]c",FALSE)),IF(_xlpm.y=0,IF(_xlpm.x=0,0,1),_xlpm.x/_xlpm.y))</f>
        <v>0</v>
      </c>
      <c r="O285" s="377" cm="1">
        <f t="array" aca="1" ref="O285" ca="1">IFERROR(SUM(_xlfn._xlws.FILTER(SchPdt3[Value],(SchPdt3[PrjId]=$B285)*(SchPdt3[Row]=$D285)*(SchPdt3[Column]=_xlfn.LET(_xlpm.x,SUBSTITUTE(UPPER(INDIRECT("r"&amp;MATCH("TIP",$A:$A,0)&amp;"c"&amp;IF(INDIRECT("r"&amp;MATCH("TAP",$A:$A,0)&amp;"c",FALSE)="SERRA","","[-1]"),FALSE)),".",""),IFERROR(_xlfn.TEXTBEFORE(_xlpm.x," ("),_xlpm.x))),0)),0)</f>
        <v>0</v>
      </c>
      <c r="P285" s="378" cm="1">
        <f t="array" aca="1" ref="P285" ca="1">_xlfn.LET(_xlpm.x,INDIRECT("rc[-1]",FALSE),_xlpm.y,SUM(INDIRECT("r[-1]c[-1]:r[-1]c",FALSE)),IF(_xlpm.y=0,IF(_xlpm.x=0,0,1),_xlpm.x/_xlpm.y))</f>
        <v>0</v>
      </c>
      <c r="Q285" s="377" cm="1">
        <f t="array" aca="1" ref="Q285" ca="1">IFERROR(SUM(_xlfn._xlws.FILTER(SchPdt3[Value],(SchPdt3[PrjId]=$B285)*(SchPdt3[Row]=$D285)*(SchPdt3[Column]=_xlfn.LET(_xlpm.x,SUBSTITUTE(UPPER(INDIRECT("r"&amp;MATCH("TIP",$A:$A,0)&amp;"c"&amp;IF(INDIRECT("r"&amp;MATCH("TAP",$A:$A,0)&amp;"c",FALSE)="SERRA","","[-1]"),FALSE)),".",""),IFERROR(_xlfn.TEXTBEFORE(_xlpm.x," ("),_xlpm.x))),0)),0)</f>
        <v>0</v>
      </c>
      <c r="R285" s="378" cm="1">
        <f t="array" aca="1" ref="R285" ca="1">_xlfn.LET(_xlpm.x,INDIRECT("rc[-1]",FALSE),_xlpm.y,SUM(INDIRECT("r[-1]c[-1]:r[-1]c",FALSE)),IF(_xlpm.y=0,IF(_xlpm.x=0,0,1),_xlpm.x/_xlpm.y))</f>
        <v>0</v>
      </c>
      <c r="S285" s="377" cm="1">
        <f t="array" aca="1" ref="S285" ca="1">IFERROR(SUM(_xlfn._xlws.FILTER(SchPdt3[Value],(SchPdt3[PrjId]=$B285)*(SchPdt3[Row]=$D285)*(SchPdt3[Column]=_xlfn.LET(_xlpm.x,SUBSTITUTE(UPPER(INDIRECT("r"&amp;MATCH("TIP",$A:$A,0)&amp;"c"&amp;IF(INDIRECT("r"&amp;MATCH("TAP",$A:$A,0)&amp;"c",FALSE)="SERRA","","[-1]"),FALSE)),".",""),IFERROR(_xlfn.TEXTBEFORE(_xlpm.x," ("),_xlpm.x))),0)),0)</f>
        <v>0</v>
      </c>
      <c r="T285" s="378" cm="1">
        <f t="array" aca="1" ref="T285" ca="1">_xlfn.LET(_xlpm.x,INDIRECT("rc[-1]",FALSE),_xlpm.y,SUM(INDIRECT("r[-1]c[-1]:r[-1]c",FALSE)),IF(_xlpm.y=0,IF(_xlpm.x=0,0,1),_xlpm.x/_xlpm.y))</f>
        <v>0</v>
      </c>
      <c r="U285" s="377" cm="1">
        <f t="array" aca="1" ref="U285" ca="1">IFERROR(SUM(_xlfn._xlws.FILTER(SchPdt3[Value],(SchPdt3[PrjId]=$B285)*(SchPdt3[Row]=$D285)*(SchPdt3[Column]=_xlfn.LET(_xlpm.x,SUBSTITUTE(UPPER(INDIRECT("r"&amp;MATCH("TIP",$A:$A,0)&amp;"c"&amp;IF(INDIRECT("r"&amp;MATCH("TAP",$A:$A,0)&amp;"c",FALSE)="SERRA","","[-1]"),FALSE)),".",""),IFERROR(_xlfn.TEXTBEFORE(_xlpm.x," ("),_xlpm.x))),0)),0)</f>
        <v>0</v>
      </c>
      <c r="V285" s="378" cm="1">
        <f t="array" aca="1" ref="V285" ca="1">_xlfn.LET(_xlpm.x,INDIRECT("rc[-1]",FALSE),_xlpm.y,SUM(INDIRECT("r[-1]c[-1]:r[-1]c",FALSE)),IF(_xlpm.y=0,IF(_xlpm.x=0,0,1),_xlpm.x/_xlpm.y))</f>
        <v>0</v>
      </c>
      <c r="W285" s="377" cm="1">
        <f t="array" aca="1" ref="W285" ca="1">IFERROR(SUM(_xlfn._xlws.FILTER(SchPdt3[Value],(SchPdt3[PrjId]=$B285)*(SchPdt3[Row]=$D285)*(SchPdt3[Column]=_xlfn.LET(_xlpm.x,SUBSTITUTE(UPPER(INDIRECT("r"&amp;MATCH("TIP",$A:$A,0)&amp;"c"&amp;IF(INDIRECT("r"&amp;MATCH("TAP",$A:$A,0)&amp;"c",FALSE)="SERRA","","[-1]"),FALSE)),".",""),IFERROR(_xlfn.TEXTBEFORE(_xlpm.x," ("),_xlpm.x))),0)),0)</f>
        <v>0</v>
      </c>
      <c r="X285" s="378" cm="1">
        <f t="array" aca="1" ref="X285" ca="1">_xlfn.LET(_xlpm.x,INDIRECT("rc[-1]",FALSE),_xlpm.y,SUM(INDIRECT("r[-1]c[-1]:r[-1]c",FALSE)),IF(_xlpm.y=0,IF(_xlpm.x=0,0,1),_xlpm.x/_xlpm.y))</f>
        <v>0</v>
      </c>
      <c r="Y285" s="377" cm="1">
        <f t="array" aca="1" ref="Y285" ca="1">IFERROR(SUM(_xlfn._xlws.FILTER(SchPdt3[Value],(SchPdt3[PrjId]=$B285)*(SchPdt3[Row]=$D285)*(SchPdt3[Column]=_xlfn.LET(_xlpm.x,SUBSTITUTE(UPPER(INDIRECT("r"&amp;MATCH("TIP",$A:$A,0)&amp;"c"&amp;IF(INDIRECT("r"&amp;MATCH("TAP",$A:$A,0)&amp;"c",FALSE)="SERRA","","[-1]"),FALSE)),".",""),IFERROR(_xlfn.TEXTBEFORE(_xlpm.x," ("),_xlpm.x))),0)),0)</f>
        <v>0</v>
      </c>
      <c r="Z285" s="378" cm="1">
        <f t="array" aca="1" ref="Z285" ca="1">_xlfn.LET(_xlpm.x,INDIRECT("rc[-1]",FALSE),_xlpm.y,SUM(INDIRECT("r[-1]c[-1]:r[-1]c",FALSE)),IF(_xlpm.y=0,IF(_xlpm.x=0,0,1),_xlpm.x/_xlpm.y))</f>
        <v>0</v>
      </c>
      <c r="AA285" s="377" cm="1">
        <f t="array" aca="1" ref="AA285" ca="1">IFERROR(SUM(_xlfn._xlws.FILTER(SchPdt3[Value],(SchPdt3[PrjId]=$B285)*(SchPdt3[Row]=$D285)*(SchPdt3[Column]=_xlfn.LET(_xlpm.x,SUBSTITUTE(UPPER(INDIRECT("r"&amp;MATCH("TIP",$A:$A,0)&amp;"c"&amp;IF(INDIRECT("r"&amp;MATCH("TAP",$A:$A,0)&amp;"c",FALSE)="SERRA","","[-1]"),FALSE)),".",""),IFERROR(_xlfn.TEXTBEFORE(_xlpm.x," ("),_xlpm.x))),0)),0)</f>
        <v>0</v>
      </c>
      <c r="AB285" s="378" cm="1">
        <f t="array" aca="1" ref="AB285" ca="1">_xlfn.LET(_xlpm.x,INDIRECT("rc[-1]",FALSE),_xlpm.y,SUM(INDIRECT("r[-1]c[-1]:r[-1]c",FALSE)),IF(_xlpm.y=0,IF(_xlpm.x=0,0,1),_xlpm.x/_xlpm.y))</f>
        <v>0</v>
      </c>
      <c r="AC285" s="377" cm="1">
        <f t="array" aca="1" ref="AC285" ca="1">IFERROR(SUM(_xlfn._xlws.FILTER(SchPdt3[Value],(SchPdt3[PrjId]=$B285)*(SchPdt3[Row]=$D285)*(SchPdt3[Column]=_xlfn.LET(_xlpm.x,SUBSTITUTE(UPPER(INDIRECT("r"&amp;MATCH("TIP",$A:$A,0)&amp;"c"&amp;IF(INDIRECT("r"&amp;MATCH("TAP",$A:$A,0)&amp;"c",FALSE)="SERRA","","[-1]"),FALSE)),".",""),IFERROR(_xlfn.TEXTBEFORE(_xlpm.x," ("),_xlpm.x))),0)),0)</f>
        <v>0</v>
      </c>
      <c r="AD285" s="378" cm="1">
        <f t="array" aca="1" ref="AD285" ca="1">_xlfn.LET(_xlpm.x,INDIRECT("rc[-1]",FALSE),_xlpm.y,SUM(INDIRECT("r[-1]c[-1]:r[-1]c",FALSE)),IF(_xlpm.y=0,IF(_xlpm.x=0,0,1),_xlpm.x/_xlpm.y))</f>
        <v>0</v>
      </c>
      <c r="AE285" s="377" cm="1">
        <f t="array" aca="1" ref="AE285" ca="1">IFERROR(SUM(_xlfn._xlws.FILTER(SchPdt3[Value],(SchPdt3[PrjId]=$B285)*(SchPdt3[Row]=$D285)*(SchPdt3[Column]=_xlfn.LET(_xlpm.x,SUBSTITUTE(UPPER(INDIRECT("r"&amp;MATCH("TIP",$A:$A,0)&amp;"c"&amp;IF(INDIRECT("r"&amp;MATCH("TAP",$A:$A,0)&amp;"c",FALSE)="SERRA","","[-1]"),FALSE)),".",""),IFERROR(_xlfn.TEXTBEFORE(_xlpm.x," ("),_xlpm.x))),0)),0)</f>
        <v>0</v>
      </c>
      <c r="AF285" s="378" cm="1">
        <f t="array" aca="1" ref="AF285" ca="1">_xlfn.LET(_xlpm.x,INDIRECT("rc[-1]",FALSE),_xlpm.y,SUM(INDIRECT("r[-1]c[-1]:r[-1]c",FALSE)),IF(_xlpm.y=0,IF(_xlpm.x=0,0,1),_xlpm.x/_xlpm.y))</f>
        <v>0</v>
      </c>
      <c r="AG285" s="377" cm="1">
        <f t="array" aca="1" ref="AG285" ca="1">IFERROR(SUM(_xlfn._xlws.FILTER(SchPdt3[Value],(SchPdt3[PrjId]=$B285)*(SchPdt3[Row]=$D285)*(SchPdt3[Column]=_xlfn.LET(_xlpm.x,SUBSTITUTE(UPPER(INDIRECT("r"&amp;MATCH("TIP",$A:$A,0)&amp;"c"&amp;IF(INDIRECT("r"&amp;MATCH("TAP",$A:$A,0)&amp;"c",FALSE)="SERRA","","[-1]"),FALSE)),".",""),IFERROR(_xlfn.TEXTBEFORE(_xlpm.x," ("),_xlpm.x))),0)),0)</f>
        <v>0</v>
      </c>
      <c r="AH285" s="378" cm="1">
        <f t="array" aca="1" ref="AH285" ca="1">_xlfn.LET(_xlpm.x,INDIRECT("rc[-1]",FALSE),_xlpm.y,SUM(INDIRECT("r[-1]c[-1]:r[-1]c",FALSE)),IF(_xlpm.y=0,IF(_xlpm.x=0,0,1),_xlpm.x/_xlpm.y))</f>
        <v>0</v>
      </c>
      <c r="AI285" s="377" cm="1">
        <f t="array" aca="1" ref="AI285" ca="1">IFERROR(SUM(_xlfn._xlws.FILTER(SchPdt3[Value],(SchPdt3[PrjId]=$B285)*(SchPdt3[Row]=$D285)*(SchPdt3[Column]=_xlfn.LET(_xlpm.x,SUBSTITUTE(UPPER(INDIRECT("r"&amp;MATCH("TIP",$A:$A,0)&amp;"c"&amp;IF(INDIRECT("r"&amp;MATCH("TAP",$A:$A,0)&amp;"c",FALSE)="SERRA","","[-1]"),FALSE)),".",""),IFERROR(_xlfn.TEXTBEFORE(_xlpm.x," ("),_xlpm.x))),0)),0)</f>
        <v>0</v>
      </c>
      <c r="AJ285" s="378" cm="1">
        <f t="array" aca="1" ref="AJ285" ca="1">_xlfn.LET(_xlpm.x,INDIRECT("rc[-1]",FALSE),_xlpm.y,SUM(INDIRECT("r[-1]c[-1]:r[-1]c",FALSE)),IF(_xlpm.y=0,IF(_xlpm.x=0,0,1),_xlpm.x/_xlpm.y))</f>
        <v>0</v>
      </c>
      <c r="AK285" s="377" cm="1">
        <f t="array" aca="1" ref="AK285" ca="1">IFERROR(SUM(_xlfn._xlws.FILTER(SchPdt3[Value],(SchPdt3[PrjId]=$B285)*(SchPdt3[Row]=$D285)*(SchPdt3[Column]=_xlfn.LET(_xlpm.x,SUBSTITUTE(UPPER(INDIRECT("r"&amp;MATCH("TIP",$A:$A,0)&amp;"c"&amp;IF(INDIRECT("r"&amp;MATCH("TAP",$A:$A,0)&amp;"c",FALSE)="SERRA","","[-1]"),FALSE)),".",""),IFERROR(_xlfn.TEXTBEFORE(_xlpm.x," ("),_xlpm.x))),0)),0)</f>
        <v>0</v>
      </c>
      <c r="AL285" s="378" cm="1">
        <f t="array" aca="1" ref="AL285" ca="1">_xlfn.LET(_xlpm.x,INDIRECT("rc[-1]",FALSE),_xlpm.y,SUM(INDIRECT("r[-1]c[-1]:r[-1]c",FALSE)),IF(_xlpm.y=0,IF(_xlpm.x=0,0,1),_xlpm.x/_xlpm.y))</f>
        <v>0</v>
      </c>
      <c r="AM285" s="377" cm="1">
        <f t="array" aca="1" ref="AM285" ca="1">IFERROR(SUM(_xlfn._xlws.FILTER(SchPdt3[Value],(SchPdt3[PrjId]=$B285)*(SchPdt3[Row]=$D285)*(SchPdt3[Column]=_xlfn.LET(_xlpm.x,SUBSTITUTE(UPPER(INDIRECT("r"&amp;MATCH("TIP",$A:$A,0)&amp;"c"&amp;IF(INDIRECT("r"&amp;MATCH("TAP",$A:$A,0)&amp;"c",FALSE)="SERRA","","[-1]"),FALSE)),".",""),IFERROR(_xlfn.TEXTBEFORE(_xlpm.x," ("),_xlpm.x))),0)),0)</f>
        <v>0</v>
      </c>
      <c r="AN285" s="378" cm="1">
        <f t="array" aca="1" ref="AN285" ca="1">_xlfn.LET(_xlpm.x,INDIRECT("rc[-1]",FALSE),_xlpm.y,SUM(INDIRECT("r[-1]c[-1]:r[-1]c",FALSE)),IF(_xlpm.y=0,IF(_xlpm.x=0,0,1),_xlpm.x/_xlpm.y))</f>
        <v>0</v>
      </c>
      <c r="AO285" s="377" cm="1">
        <f t="array" aca="1" ref="AO285" ca="1">IFERROR(SUM(_xlfn._xlws.FILTER(SchPdt3[Value],(SchPdt3[PrjId]=$B285)*(SchPdt3[Row]=$D285)*(SchPdt3[Column]=_xlfn.LET(_xlpm.x,SUBSTITUTE(UPPER(INDIRECT("r"&amp;MATCH("TIP",$A:$A,0)&amp;"c"&amp;IF(INDIRECT("r"&amp;MATCH("TAP",$A:$A,0)&amp;"c",FALSE)="SERRA","","[-1]"),FALSE)),".",""),IFERROR(_xlfn.TEXTBEFORE(_xlpm.x," ("),_xlpm.x))),0)),0)</f>
        <v>0</v>
      </c>
      <c r="AP285" s="378" cm="1">
        <f t="array" aca="1" ref="AP285" ca="1">_xlfn.LET(_xlpm.x,INDIRECT("rc[-1]",FALSE),_xlpm.y,SUM(INDIRECT("r[-1]c[-1]:r[-1]c",FALSE)),IF(_xlpm.y=0,IF(_xlpm.x=0,0,1),_xlpm.x/_xlpm.y))</f>
        <v>0</v>
      </c>
      <c r="AQ285" s="377" cm="1">
        <f t="array" aca="1" ref="AQ285" ca="1">SUM(IF(INDIRECT($AS$115)=AQ$115,INDIRECT($AS285)))</f>
        <v>0</v>
      </c>
      <c r="AR285" s="378" cm="1">
        <f t="array" aca="1" ref="AR285" ca="1">_xlfn.LET(_xlpm.x,INDIRECT("rc[-1]",FALSE),_xlpm.y,SUM(INDIRECT("r[-1]c[-1]:r[-1]c",FALSE)),IF(_xlpm.y=0,IF(_xlpm.x=0,0,1),_xlpm.x/_xlpm.y))</f>
        <v>0</v>
      </c>
      <c r="AS285" s="286" t="str">
        <f t="shared" si="23"/>
        <v>G285:AP285</v>
      </c>
      <c r="AT285" s="403">
        <f ca="1">SUM(INDIRECT("rc"&amp;MATCH("ECD",$1:$1,0)&amp;":rc"&amp;(MATCH("EOC",$1:$1,0)-2),FALSE))</f>
        <v>0</v>
      </c>
      <c r="AV285" s="142" cm="1">
        <f t="array" aca="1" ref="AV285" ca="1">IF(AND(_xlfn.LET(_xlpm.x,SUM(ROW()),OR(AND(MATCH("SOT",$A:$A,0)&lt;_xlpm.x,MATCH("EOT",$A:$A,0)&gt;_xlpm.x),AND(MATCH("SOS",$A:$A,0)&lt;_xlpm.x,MATCH("EOS",$A:$A,0)&gt;_xlpm.x),AND(MATCH("SOR",$A:$A,0)&lt;_xlpm.x,MATCH("EOR",$A:$A,0)&gt;_xlpm.x))),INDIRECT("rc"&amp;MATCH("SCD",$1:$1,0),FALSE)="PPTO"),1,0)</f>
        <v>0</v>
      </c>
      <c r="AW285" s="142" cm="1">
        <f t="array" aca="1" ref="AW28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86" spans="1:49" s="153" customFormat="1" outlineLevel="2">
      <c r="A286" s="152"/>
      <c r="B286" s="401" t="str">
        <f t="shared" si="22"/>
        <v>X</v>
      </c>
      <c r="C286" s="148"/>
      <c r="D286" s="404"/>
      <c r="E286" s="350" t="str" cm="1">
        <f t="array" ref="E286">UPPER(_xlfn.UNIQUE(_xlfn._xlws.FILTER(TbRowMacro[RowMacroName],TbRowMacro[RowMcroId]=$D286,"X")))</f>
        <v>X</v>
      </c>
      <c r="F286" s="402"/>
      <c r="G286" s="377" cm="1">
        <f t="array" aca="1" ref="G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H286" s="377" cm="1">
        <f t="array" aca="1" ref="H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I286" s="377" cm="1">
        <f t="array" aca="1" ref="I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J286" s="377" cm="1">
        <f t="array" aca="1" ref="J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K286" s="377" cm="1">
        <f t="array" aca="1" ref="K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L286" s="377" cm="1">
        <f t="array" aca="1" ref="L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M286" s="377" cm="1">
        <f t="array" aca="1" ref="M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N286" s="377" cm="1">
        <f t="array" aca="1" ref="N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O286" s="377" cm="1">
        <f t="array" aca="1" ref="O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P286" s="377" cm="1">
        <f t="array" aca="1" ref="P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Q286" s="377" cm="1">
        <f t="array" aca="1" ref="Q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R286" s="377" cm="1">
        <f t="array" aca="1" ref="R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S286" s="377" cm="1">
        <f t="array" aca="1" ref="S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T286" s="377" cm="1">
        <f t="array" aca="1" ref="T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U286" s="377" cm="1">
        <f t="array" aca="1" ref="U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V286" s="377" cm="1">
        <f t="array" aca="1" ref="V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W286" s="377" cm="1">
        <f t="array" aca="1" ref="W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X286" s="377" cm="1">
        <f t="array" aca="1" ref="X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Y286" s="377" cm="1">
        <f t="array" aca="1" ref="Y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Z286" s="377" cm="1">
        <f t="array" aca="1" ref="Z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AA286" s="377" cm="1">
        <f t="array" aca="1" ref="AA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AB286" s="377" cm="1">
        <f t="array" aca="1" ref="AB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AC286" s="377" cm="1">
        <f t="array" aca="1" ref="AC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AD286" s="377" cm="1">
        <f t="array" aca="1" ref="AD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AE286" s="377" cm="1">
        <f t="array" aca="1" ref="AE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AF286" s="377" cm="1">
        <f t="array" aca="1" ref="AF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AG286" s="377" cm="1">
        <f t="array" aca="1" ref="AG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AH286" s="377" cm="1">
        <f t="array" aca="1" ref="AH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AI286" s="377" cm="1">
        <f t="array" aca="1" ref="AI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AJ286" s="377" cm="1">
        <f t="array" aca="1" ref="AJ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AK286" s="377" cm="1">
        <f t="array" aca="1" ref="AK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AL286" s="377" cm="1">
        <f t="array" aca="1" ref="AL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AM286" s="377" cm="1">
        <f t="array" aca="1" ref="AM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AN286" s="377" cm="1">
        <f t="array" aca="1" ref="AN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AO286" s="377" cm="1">
        <f t="array" aca="1" ref="AO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AP286" s="377" cm="1">
        <f t="array" aca="1" ref="AP28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286)*(ISNUMBER(FIND(_xlpm.v,_xlfn.TEXTJOIN(":",TRUE,_xlfn.UNIQUE(_xlfn._xlws.FILTER(TbStd[RowGrp],TbStd[Row5]=$D286,"X"))))))),0)),0)</f>
        <v>0</v>
      </c>
      <c r="AQ286" s="377" cm="1">
        <f t="array" aca="1" ref="AQ286" ca="1">SUM(IF(INDIRECT($AS$115)=AQ$115,INDIRECT($AS286)))</f>
        <v>0</v>
      </c>
      <c r="AR286" s="377" cm="1">
        <f t="array" aca="1" ref="AR286" ca="1">SUM(IF(INDIRECT($AS$115)=AR$115,INDIRECT($AS286)))</f>
        <v>0</v>
      </c>
      <c r="AS286" s="286" t="str">
        <f t="shared" si="23"/>
        <v>G286:AP286</v>
      </c>
      <c r="AT286" s="403">
        <f t="shared" ca="1" si="24"/>
        <v>0</v>
      </c>
      <c r="AV286" s="142" cm="1">
        <f t="array" aca="1" ref="AV286" ca="1">IF(AND(_xlfn.LET(_xlpm.x,SUM(ROW()),OR(AND(MATCH("SOT",$A:$A,0)&lt;_xlpm.x,MATCH("EOT",$A:$A,0)&gt;_xlpm.x),AND(MATCH("SOS",$A:$A,0)&lt;_xlpm.x,MATCH("EOS",$A:$A,0)&gt;_xlpm.x),AND(MATCH("SOR",$A:$A,0)&lt;_xlpm.x,MATCH("EOR",$A:$A,0)&gt;_xlpm.x))),INDIRECT("rc"&amp;MATCH("SCD",$1:$1,0),FALSE)="PPTO"),1,0)</f>
        <v>0</v>
      </c>
      <c r="AW286" s="142" cm="1">
        <f t="array" aca="1" ref="AW28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87" spans="1:49" s="153" customFormat="1" outlineLevel="2">
      <c r="A287" s="152"/>
      <c r="B287" s="401" t="str">
        <f t="shared" si="22"/>
        <v>X</v>
      </c>
      <c r="C287" s="148"/>
      <c r="D287" s="404"/>
      <c r="E287" s="350" t="str" cm="1">
        <f t="array" ref="E287">UPPER(_xlfn.UNIQUE(_xlfn._xlws.FILTER(TbRowMacro[RowMacroName],TbRowMacro[RowMcroId]=$D287,"X")))</f>
        <v>X</v>
      </c>
      <c r="F287" s="402"/>
      <c r="G287" s="377" cm="1">
        <f t="array" aca="1" ref="G287" ca="1">IFERROR(SUM(_xlfn._xlws.FILTER(SchPdt3[Value],(SchPdt3[PrjId]=$B287)*(SchPdt3[Row]=$D287)*(SchPdt3[Column]=_xlfn.LET(_xlpm.x,SUBSTITUTE(UPPER(INDIRECT("r"&amp;MATCH("TIP",$A:$A,0)&amp;"c"&amp;IF(INDIRECT("r"&amp;MATCH("TAP",$A:$A,0)&amp;"c",FALSE)="SERRA","","[-1]"),FALSE)),".",""),IFERROR(_xlfn.TEXTBEFORE(_xlpm.x," ("),_xlpm.x))),0)),0)</f>
        <v>0</v>
      </c>
      <c r="H287" s="378" cm="1">
        <f t="array" aca="1" ref="H287" ca="1">_xlfn.LET(_xlpm.x,INDIRECT("rc[-1]",FALSE),_xlpm.y,SUM(INDIRECT("r[-1]c[-1]:r[-1]c",FALSE)),IF(_xlpm.y=0,IF(_xlpm.x=0,0,1),_xlpm.x/_xlpm.y))</f>
        <v>0</v>
      </c>
      <c r="I287" s="377" cm="1">
        <f t="array" aca="1" ref="I287" ca="1">IFERROR(SUM(_xlfn._xlws.FILTER(SchPdt3[Value],(SchPdt3[PrjId]=$B287)*(SchPdt3[Row]=$D287)*(SchPdt3[Column]=_xlfn.LET(_xlpm.x,SUBSTITUTE(UPPER(INDIRECT("r"&amp;MATCH("TIP",$A:$A,0)&amp;"c"&amp;IF(INDIRECT("r"&amp;MATCH("TAP",$A:$A,0)&amp;"c",FALSE)="SERRA","","[-1]"),FALSE)),".",""),IFERROR(_xlfn.TEXTBEFORE(_xlpm.x," ("),_xlpm.x))),0)),0)</f>
        <v>0</v>
      </c>
      <c r="J287" s="378" cm="1">
        <f t="array" aca="1" ref="J287" ca="1">_xlfn.LET(_xlpm.x,INDIRECT("rc[-1]",FALSE),_xlpm.y,SUM(INDIRECT("r[-1]c[-1]:r[-1]c",FALSE)),IF(_xlpm.y=0,IF(_xlpm.x=0,0,1),_xlpm.x/_xlpm.y))</f>
        <v>0</v>
      </c>
      <c r="K287" s="377" cm="1">
        <f t="array" aca="1" ref="K287" ca="1">IFERROR(SUM(_xlfn._xlws.FILTER(SchPdt3[Value],(SchPdt3[PrjId]=$B287)*(SchPdt3[Row]=$D287)*(SchPdt3[Column]=_xlfn.LET(_xlpm.x,SUBSTITUTE(UPPER(INDIRECT("r"&amp;MATCH("TIP",$A:$A,0)&amp;"c"&amp;IF(INDIRECT("r"&amp;MATCH("TAP",$A:$A,0)&amp;"c",FALSE)="SERRA","","[-1]"),FALSE)),".",""),IFERROR(_xlfn.TEXTBEFORE(_xlpm.x," ("),_xlpm.x))),0)),0)</f>
        <v>0</v>
      </c>
      <c r="L287" s="378" cm="1">
        <f t="array" aca="1" ref="L287" ca="1">_xlfn.LET(_xlpm.x,INDIRECT("rc[-1]",FALSE),_xlpm.y,SUM(INDIRECT("r[-1]c[-1]:r[-1]c",FALSE)),IF(_xlpm.y=0,IF(_xlpm.x=0,0,1),_xlpm.x/_xlpm.y))</f>
        <v>0</v>
      </c>
      <c r="M287" s="377" cm="1">
        <f t="array" aca="1" ref="M287" ca="1">IFERROR(SUM(_xlfn._xlws.FILTER(SchPdt3[Value],(SchPdt3[PrjId]=$B287)*(SchPdt3[Row]=$D287)*(SchPdt3[Column]=_xlfn.LET(_xlpm.x,SUBSTITUTE(UPPER(INDIRECT("r"&amp;MATCH("TIP",$A:$A,0)&amp;"c"&amp;IF(INDIRECT("r"&amp;MATCH("TAP",$A:$A,0)&amp;"c",FALSE)="SERRA","","[-1]"),FALSE)),".",""),IFERROR(_xlfn.TEXTBEFORE(_xlpm.x," ("),_xlpm.x))),0)),0)</f>
        <v>0</v>
      </c>
      <c r="N287" s="378" cm="1">
        <f t="array" aca="1" ref="N287" ca="1">_xlfn.LET(_xlpm.x,INDIRECT("rc[-1]",FALSE),_xlpm.y,SUM(INDIRECT("r[-1]c[-1]:r[-1]c",FALSE)),IF(_xlpm.y=0,IF(_xlpm.x=0,0,1),_xlpm.x/_xlpm.y))</f>
        <v>0</v>
      </c>
      <c r="O287" s="377" cm="1">
        <f t="array" aca="1" ref="O287" ca="1">IFERROR(SUM(_xlfn._xlws.FILTER(SchPdt3[Value],(SchPdt3[PrjId]=$B287)*(SchPdt3[Row]=$D287)*(SchPdt3[Column]=_xlfn.LET(_xlpm.x,SUBSTITUTE(UPPER(INDIRECT("r"&amp;MATCH("TIP",$A:$A,0)&amp;"c"&amp;IF(INDIRECT("r"&amp;MATCH("TAP",$A:$A,0)&amp;"c",FALSE)="SERRA","","[-1]"),FALSE)),".",""),IFERROR(_xlfn.TEXTBEFORE(_xlpm.x," ("),_xlpm.x))),0)),0)</f>
        <v>0</v>
      </c>
      <c r="P287" s="378" cm="1">
        <f t="array" aca="1" ref="P287" ca="1">_xlfn.LET(_xlpm.x,INDIRECT("rc[-1]",FALSE),_xlpm.y,SUM(INDIRECT("r[-1]c[-1]:r[-1]c",FALSE)),IF(_xlpm.y=0,IF(_xlpm.x=0,0,1),_xlpm.x/_xlpm.y))</f>
        <v>0</v>
      </c>
      <c r="Q287" s="377" cm="1">
        <f t="array" aca="1" ref="Q287" ca="1">IFERROR(SUM(_xlfn._xlws.FILTER(SchPdt3[Value],(SchPdt3[PrjId]=$B287)*(SchPdt3[Row]=$D287)*(SchPdt3[Column]=_xlfn.LET(_xlpm.x,SUBSTITUTE(UPPER(INDIRECT("r"&amp;MATCH("TIP",$A:$A,0)&amp;"c"&amp;IF(INDIRECT("r"&amp;MATCH("TAP",$A:$A,0)&amp;"c",FALSE)="SERRA","","[-1]"),FALSE)),".",""),IFERROR(_xlfn.TEXTBEFORE(_xlpm.x," ("),_xlpm.x))),0)),0)</f>
        <v>0</v>
      </c>
      <c r="R287" s="378" cm="1">
        <f t="array" aca="1" ref="R287" ca="1">_xlfn.LET(_xlpm.x,INDIRECT("rc[-1]",FALSE),_xlpm.y,SUM(INDIRECT("r[-1]c[-1]:r[-1]c",FALSE)),IF(_xlpm.y=0,IF(_xlpm.x=0,0,1),_xlpm.x/_xlpm.y))</f>
        <v>0</v>
      </c>
      <c r="S287" s="377" cm="1">
        <f t="array" aca="1" ref="S287" ca="1">IFERROR(SUM(_xlfn._xlws.FILTER(SchPdt3[Value],(SchPdt3[PrjId]=$B287)*(SchPdt3[Row]=$D287)*(SchPdt3[Column]=_xlfn.LET(_xlpm.x,SUBSTITUTE(UPPER(INDIRECT("r"&amp;MATCH("TIP",$A:$A,0)&amp;"c"&amp;IF(INDIRECT("r"&amp;MATCH("TAP",$A:$A,0)&amp;"c",FALSE)="SERRA","","[-1]"),FALSE)),".",""),IFERROR(_xlfn.TEXTBEFORE(_xlpm.x," ("),_xlpm.x))),0)),0)</f>
        <v>0</v>
      </c>
      <c r="T287" s="378" cm="1">
        <f t="array" aca="1" ref="T287" ca="1">_xlfn.LET(_xlpm.x,INDIRECT("rc[-1]",FALSE),_xlpm.y,SUM(INDIRECT("r[-1]c[-1]:r[-1]c",FALSE)),IF(_xlpm.y=0,IF(_xlpm.x=0,0,1),_xlpm.x/_xlpm.y))</f>
        <v>0</v>
      </c>
      <c r="U287" s="377" cm="1">
        <f t="array" aca="1" ref="U287" ca="1">IFERROR(SUM(_xlfn._xlws.FILTER(SchPdt3[Value],(SchPdt3[PrjId]=$B287)*(SchPdt3[Row]=$D287)*(SchPdt3[Column]=_xlfn.LET(_xlpm.x,SUBSTITUTE(UPPER(INDIRECT("r"&amp;MATCH("TIP",$A:$A,0)&amp;"c"&amp;IF(INDIRECT("r"&amp;MATCH("TAP",$A:$A,0)&amp;"c",FALSE)="SERRA","","[-1]"),FALSE)),".",""),IFERROR(_xlfn.TEXTBEFORE(_xlpm.x," ("),_xlpm.x))),0)),0)</f>
        <v>0</v>
      </c>
      <c r="V287" s="378" cm="1">
        <f t="array" aca="1" ref="V287" ca="1">_xlfn.LET(_xlpm.x,INDIRECT("rc[-1]",FALSE),_xlpm.y,SUM(INDIRECT("r[-1]c[-1]:r[-1]c",FALSE)),IF(_xlpm.y=0,IF(_xlpm.x=0,0,1),_xlpm.x/_xlpm.y))</f>
        <v>0</v>
      </c>
      <c r="W287" s="377" cm="1">
        <f t="array" aca="1" ref="W287" ca="1">IFERROR(SUM(_xlfn._xlws.FILTER(SchPdt3[Value],(SchPdt3[PrjId]=$B287)*(SchPdt3[Row]=$D287)*(SchPdt3[Column]=_xlfn.LET(_xlpm.x,SUBSTITUTE(UPPER(INDIRECT("r"&amp;MATCH("TIP",$A:$A,0)&amp;"c"&amp;IF(INDIRECT("r"&amp;MATCH("TAP",$A:$A,0)&amp;"c",FALSE)="SERRA","","[-1]"),FALSE)),".",""),IFERROR(_xlfn.TEXTBEFORE(_xlpm.x," ("),_xlpm.x))),0)),0)</f>
        <v>0</v>
      </c>
      <c r="X287" s="378" cm="1">
        <f t="array" aca="1" ref="X287" ca="1">_xlfn.LET(_xlpm.x,INDIRECT("rc[-1]",FALSE),_xlpm.y,SUM(INDIRECT("r[-1]c[-1]:r[-1]c",FALSE)),IF(_xlpm.y=0,IF(_xlpm.x=0,0,1),_xlpm.x/_xlpm.y))</f>
        <v>0</v>
      </c>
      <c r="Y287" s="377" cm="1">
        <f t="array" aca="1" ref="Y287" ca="1">IFERROR(SUM(_xlfn._xlws.FILTER(SchPdt3[Value],(SchPdt3[PrjId]=$B287)*(SchPdt3[Row]=$D287)*(SchPdt3[Column]=_xlfn.LET(_xlpm.x,SUBSTITUTE(UPPER(INDIRECT("r"&amp;MATCH("TIP",$A:$A,0)&amp;"c"&amp;IF(INDIRECT("r"&amp;MATCH("TAP",$A:$A,0)&amp;"c",FALSE)="SERRA","","[-1]"),FALSE)),".",""),IFERROR(_xlfn.TEXTBEFORE(_xlpm.x," ("),_xlpm.x))),0)),0)</f>
        <v>0</v>
      </c>
      <c r="Z287" s="378" cm="1">
        <f t="array" aca="1" ref="Z287" ca="1">_xlfn.LET(_xlpm.x,INDIRECT("rc[-1]",FALSE),_xlpm.y,SUM(INDIRECT("r[-1]c[-1]:r[-1]c",FALSE)),IF(_xlpm.y=0,IF(_xlpm.x=0,0,1),_xlpm.x/_xlpm.y))</f>
        <v>0</v>
      </c>
      <c r="AA287" s="377" cm="1">
        <f t="array" aca="1" ref="AA287" ca="1">IFERROR(SUM(_xlfn._xlws.FILTER(SchPdt3[Value],(SchPdt3[PrjId]=$B287)*(SchPdt3[Row]=$D287)*(SchPdt3[Column]=_xlfn.LET(_xlpm.x,SUBSTITUTE(UPPER(INDIRECT("r"&amp;MATCH("TIP",$A:$A,0)&amp;"c"&amp;IF(INDIRECT("r"&amp;MATCH("TAP",$A:$A,0)&amp;"c",FALSE)="SERRA","","[-1]"),FALSE)),".",""),IFERROR(_xlfn.TEXTBEFORE(_xlpm.x," ("),_xlpm.x))),0)),0)</f>
        <v>0</v>
      </c>
      <c r="AB287" s="378" cm="1">
        <f t="array" aca="1" ref="AB287" ca="1">_xlfn.LET(_xlpm.x,INDIRECT("rc[-1]",FALSE),_xlpm.y,SUM(INDIRECT("r[-1]c[-1]:r[-1]c",FALSE)),IF(_xlpm.y=0,IF(_xlpm.x=0,0,1),_xlpm.x/_xlpm.y))</f>
        <v>0</v>
      </c>
      <c r="AC287" s="377" cm="1">
        <f t="array" aca="1" ref="AC287" ca="1">IFERROR(SUM(_xlfn._xlws.FILTER(SchPdt3[Value],(SchPdt3[PrjId]=$B287)*(SchPdt3[Row]=$D287)*(SchPdt3[Column]=_xlfn.LET(_xlpm.x,SUBSTITUTE(UPPER(INDIRECT("r"&amp;MATCH("TIP",$A:$A,0)&amp;"c"&amp;IF(INDIRECT("r"&amp;MATCH("TAP",$A:$A,0)&amp;"c",FALSE)="SERRA","","[-1]"),FALSE)),".",""),IFERROR(_xlfn.TEXTBEFORE(_xlpm.x," ("),_xlpm.x))),0)),0)</f>
        <v>0</v>
      </c>
      <c r="AD287" s="378" cm="1">
        <f t="array" aca="1" ref="AD287" ca="1">_xlfn.LET(_xlpm.x,INDIRECT("rc[-1]",FALSE),_xlpm.y,SUM(INDIRECT("r[-1]c[-1]:r[-1]c",FALSE)),IF(_xlpm.y=0,IF(_xlpm.x=0,0,1),_xlpm.x/_xlpm.y))</f>
        <v>0</v>
      </c>
      <c r="AE287" s="377" cm="1">
        <f t="array" aca="1" ref="AE287" ca="1">IFERROR(SUM(_xlfn._xlws.FILTER(SchPdt3[Value],(SchPdt3[PrjId]=$B287)*(SchPdt3[Row]=$D287)*(SchPdt3[Column]=_xlfn.LET(_xlpm.x,SUBSTITUTE(UPPER(INDIRECT("r"&amp;MATCH("TIP",$A:$A,0)&amp;"c"&amp;IF(INDIRECT("r"&amp;MATCH("TAP",$A:$A,0)&amp;"c",FALSE)="SERRA","","[-1]"),FALSE)),".",""),IFERROR(_xlfn.TEXTBEFORE(_xlpm.x," ("),_xlpm.x))),0)),0)</f>
        <v>0</v>
      </c>
      <c r="AF287" s="378" cm="1">
        <f t="array" aca="1" ref="AF287" ca="1">_xlfn.LET(_xlpm.x,INDIRECT("rc[-1]",FALSE),_xlpm.y,SUM(INDIRECT("r[-1]c[-1]:r[-1]c",FALSE)),IF(_xlpm.y=0,IF(_xlpm.x=0,0,1),_xlpm.x/_xlpm.y))</f>
        <v>0</v>
      </c>
      <c r="AG287" s="377" cm="1">
        <f t="array" aca="1" ref="AG287" ca="1">IFERROR(SUM(_xlfn._xlws.FILTER(SchPdt3[Value],(SchPdt3[PrjId]=$B287)*(SchPdt3[Row]=$D287)*(SchPdt3[Column]=_xlfn.LET(_xlpm.x,SUBSTITUTE(UPPER(INDIRECT("r"&amp;MATCH("TIP",$A:$A,0)&amp;"c"&amp;IF(INDIRECT("r"&amp;MATCH("TAP",$A:$A,0)&amp;"c",FALSE)="SERRA","","[-1]"),FALSE)),".",""),IFERROR(_xlfn.TEXTBEFORE(_xlpm.x," ("),_xlpm.x))),0)),0)</f>
        <v>0</v>
      </c>
      <c r="AH287" s="378" cm="1">
        <f t="array" aca="1" ref="AH287" ca="1">_xlfn.LET(_xlpm.x,INDIRECT("rc[-1]",FALSE),_xlpm.y,SUM(INDIRECT("r[-1]c[-1]:r[-1]c",FALSE)),IF(_xlpm.y=0,IF(_xlpm.x=0,0,1),_xlpm.x/_xlpm.y))</f>
        <v>0</v>
      </c>
      <c r="AI287" s="377" cm="1">
        <f t="array" aca="1" ref="AI287" ca="1">IFERROR(SUM(_xlfn._xlws.FILTER(SchPdt3[Value],(SchPdt3[PrjId]=$B287)*(SchPdt3[Row]=$D287)*(SchPdt3[Column]=_xlfn.LET(_xlpm.x,SUBSTITUTE(UPPER(INDIRECT("r"&amp;MATCH("TIP",$A:$A,0)&amp;"c"&amp;IF(INDIRECT("r"&amp;MATCH("TAP",$A:$A,0)&amp;"c",FALSE)="SERRA","","[-1]"),FALSE)),".",""),IFERROR(_xlfn.TEXTBEFORE(_xlpm.x," ("),_xlpm.x))),0)),0)</f>
        <v>0</v>
      </c>
      <c r="AJ287" s="378" cm="1">
        <f t="array" aca="1" ref="AJ287" ca="1">_xlfn.LET(_xlpm.x,INDIRECT("rc[-1]",FALSE),_xlpm.y,SUM(INDIRECT("r[-1]c[-1]:r[-1]c",FALSE)),IF(_xlpm.y=0,IF(_xlpm.x=0,0,1),_xlpm.x/_xlpm.y))</f>
        <v>0</v>
      </c>
      <c r="AK287" s="377" cm="1">
        <f t="array" aca="1" ref="AK287" ca="1">IFERROR(SUM(_xlfn._xlws.FILTER(SchPdt3[Value],(SchPdt3[PrjId]=$B287)*(SchPdt3[Row]=$D287)*(SchPdt3[Column]=_xlfn.LET(_xlpm.x,SUBSTITUTE(UPPER(INDIRECT("r"&amp;MATCH("TIP",$A:$A,0)&amp;"c"&amp;IF(INDIRECT("r"&amp;MATCH("TAP",$A:$A,0)&amp;"c",FALSE)="SERRA","","[-1]"),FALSE)),".",""),IFERROR(_xlfn.TEXTBEFORE(_xlpm.x," ("),_xlpm.x))),0)),0)</f>
        <v>0</v>
      </c>
      <c r="AL287" s="378" cm="1">
        <f t="array" aca="1" ref="AL287" ca="1">_xlfn.LET(_xlpm.x,INDIRECT("rc[-1]",FALSE),_xlpm.y,SUM(INDIRECT("r[-1]c[-1]:r[-1]c",FALSE)),IF(_xlpm.y=0,IF(_xlpm.x=0,0,1),_xlpm.x/_xlpm.y))</f>
        <v>0</v>
      </c>
      <c r="AM287" s="377" cm="1">
        <f t="array" aca="1" ref="AM287" ca="1">IFERROR(SUM(_xlfn._xlws.FILTER(SchPdt3[Value],(SchPdt3[PrjId]=$B287)*(SchPdt3[Row]=$D287)*(SchPdt3[Column]=_xlfn.LET(_xlpm.x,SUBSTITUTE(UPPER(INDIRECT("r"&amp;MATCH("TIP",$A:$A,0)&amp;"c"&amp;IF(INDIRECT("r"&amp;MATCH("TAP",$A:$A,0)&amp;"c",FALSE)="SERRA","","[-1]"),FALSE)),".",""),IFERROR(_xlfn.TEXTBEFORE(_xlpm.x," ("),_xlpm.x))),0)),0)</f>
        <v>0</v>
      </c>
      <c r="AN287" s="378" cm="1">
        <f t="array" aca="1" ref="AN287" ca="1">_xlfn.LET(_xlpm.x,INDIRECT("rc[-1]",FALSE),_xlpm.y,SUM(INDIRECT("r[-1]c[-1]:r[-1]c",FALSE)),IF(_xlpm.y=0,IF(_xlpm.x=0,0,1),_xlpm.x/_xlpm.y))</f>
        <v>0</v>
      </c>
      <c r="AO287" s="377" cm="1">
        <f t="array" aca="1" ref="AO287" ca="1">IFERROR(SUM(_xlfn._xlws.FILTER(SchPdt3[Value],(SchPdt3[PrjId]=$B287)*(SchPdt3[Row]=$D287)*(SchPdt3[Column]=_xlfn.LET(_xlpm.x,SUBSTITUTE(UPPER(INDIRECT("r"&amp;MATCH("TIP",$A:$A,0)&amp;"c"&amp;IF(INDIRECT("r"&amp;MATCH("TAP",$A:$A,0)&amp;"c",FALSE)="SERRA","","[-1]"),FALSE)),".",""),IFERROR(_xlfn.TEXTBEFORE(_xlpm.x," ("),_xlpm.x))),0)),0)</f>
        <v>0</v>
      </c>
      <c r="AP287" s="378" cm="1">
        <f t="array" aca="1" ref="AP287" ca="1">_xlfn.LET(_xlpm.x,INDIRECT("rc[-1]",FALSE),_xlpm.y,SUM(INDIRECT("r[-1]c[-1]:r[-1]c",FALSE)),IF(_xlpm.y=0,IF(_xlpm.x=0,0,1),_xlpm.x/_xlpm.y))</f>
        <v>0</v>
      </c>
      <c r="AQ287" s="377" cm="1">
        <f t="array" aca="1" ref="AQ287" ca="1">SUM(IF(INDIRECT($AS$115)=AQ$115,INDIRECT($AS287)))</f>
        <v>0</v>
      </c>
      <c r="AR287" s="378" cm="1">
        <f t="array" aca="1" ref="AR287" ca="1">_xlfn.LET(_xlpm.x,INDIRECT("rc[-1]",FALSE),_xlpm.y,SUM(INDIRECT("r[-1]c[-1]:r[-1]c",FALSE)),IF(_xlpm.y=0,IF(_xlpm.x=0,0,1),_xlpm.x/_xlpm.y))</f>
        <v>0</v>
      </c>
      <c r="AS287" s="286" t="str">
        <f t="shared" si="23"/>
        <v>G287:AP287</v>
      </c>
      <c r="AT287" s="403">
        <f ca="1">SUM(INDIRECT("rc"&amp;MATCH("ECD",$1:$1,0)&amp;":rc"&amp;(MATCH("EOC",$1:$1,0)-2),FALSE))</f>
        <v>0</v>
      </c>
      <c r="AV287" s="142" cm="1">
        <f t="array" aca="1" ref="AV287" ca="1">IF(AND(_xlfn.LET(_xlpm.x,SUM(ROW()),OR(AND(MATCH("SOT",$A:$A,0)&lt;_xlpm.x,MATCH("EOT",$A:$A,0)&gt;_xlpm.x),AND(MATCH("SOS",$A:$A,0)&lt;_xlpm.x,MATCH("EOS",$A:$A,0)&gt;_xlpm.x),AND(MATCH("SOR",$A:$A,0)&lt;_xlpm.x,MATCH("EOR",$A:$A,0)&gt;_xlpm.x))),INDIRECT("rc"&amp;MATCH("SCD",$1:$1,0),FALSE)="PPTO"),1,0)</f>
        <v>0</v>
      </c>
      <c r="AW287" s="142" cm="1">
        <f t="array" aca="1" ref="AW28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88" spans="1:49" s="153" customFormat="1" outlineLevel="2">
      <c r="A288" s="152"/>
      <c r="B288" s="401" t="str">
        <f t="shared" si="22"/>
        <v>X</v>
      </c>
      <c r="C288" s="148"/>
      <c r="D288" s="404"/>
      <c r="E288" s="350" t="str" cm="1">
        <f t="array" ref="E288">UPPER(_xlfn.UNIQUE(_xlfn._xlws.FILTER(TbRowMacro[RowMacroName],TbRowMacro[RowMcroId]=$D288,"X")))</f>
        <v>X</v>
      </c>
      <c r="F288" s="402"/>
      <c r="G288" s="377" cm="1">
        <f t="array" aca="1" ref="G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H288" s="377" cm="1">
        <f t="array" aca="1" ref="H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I288" s="377" cm="1">
        <f t="array" aca="1" ref="I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J288" s="377" cm="1">
        <f t="array" aca="1" ref="J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K288" s="377" cm="1">
        <f t="array" aca="1" ref="K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L288" s="377" cm="1">
        <f t="array" aca="1" ref="L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M288" s="377" cm="1">
        <f t="array" aca="1" ref="M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N288" s="377" cm="1">
        <f t="array" aca="1" ref="N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O288" s="377" cm="1">
        <f t="array" aca="1" ref="O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P288" s="377" cm="1">
        <f t="array" aca="1" ref="P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Q288" s="377" cm="1">
        <f t="array" aca="1" ref="Q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R288" s="377" cm="1">
        <f t="array" aca="1" ref="R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S288" s="377" cm="1">
        <f t="array" aca="1" ref="S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T288" s="377" cm="1">
        <f t="array" aca="1" ref="T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U288" s="377" cm="1">
        <f t="array" aca="1" ref="U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V288" s="377" cm="1">
        <f t="array" aca="1" ref="V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W288" s="377" cm="1">
        <f t="array" aca="1" ref="W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X288" s="377" cm="1">
        <f t="array" aca="1" ref="X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Y288" s="377" cm="1">
        <f t="array" aca="1" ref="Y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Z288" s="377" cm="1">
        <f t="array" aca="1" ref="Z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AA288" s="377" cm="1">
        <f t="array" aca="1" ref="AA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AB288" s="377" cm="1">
        <f t="array" aca="1" ref="AB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AC288" s="377" cm="1">
        <f t="array" aca="1" ref="AC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AD288" s="377" cm="1">
        <f t="array" aca="1" ref="AD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AE288" s="377" cm="1">
        <f t="array" aca="1" ref="AE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AF288" s="377" cm="1">
        <f t="array" aca="1" ref="AF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AG288" s="377" cm="1">
        <f t="array" aca="1" ref="AG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AH288" s="377" cm="1">
        <f t="array" aca="1" ref="AH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AI288" s="377" cm="1">
        <f t="array" aca="1" ref="AI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AJ288" s="377" cm="1">
        <f t="array" aca="1" ref="AJ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AK288" s="377" cm="1">
        <f t="array" aca="1" ref="AK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AL288" s="377" cm="1">
        <f t="array" aca="1" ref="AL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AM288" s="377" cm="1">
        <f t="array" aca="1" ref="AM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AN288" s="377" cm="1">
        <f t="array" aca="1" ref="AN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AO288" s="377" cm="1">
        <f t="array" aca="1" ref="AO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AP288" s="377" cm="1">
        <f t="array" aca="1" ref="AP28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288)*(ISNUMBER(FIND(_xlpm.v,_xlfn.TEXTJOIN(":",TRUE,_xlfn.UNIQUE(_xlfn._xlws.FILTER(TbStd[RowGrp],TbStd[Row5]=$D288,"X"))))))),0)),0)</f>
        <v>0</v>
      </c>
      <c r="AQ288" s="377" cm="1">
        <f t="array" aca="1" ref="AQ288" ca="1">SUM(IF(INDIRECT($AS$115)=AQ$115,INDIRECT($AS288)))</f>
        <v>0</v>
      </c>
      <c r="AR288" s="377" cm="1">
        <f t="array" aca="1" ref="AR288" ca="1">SUM(IF(INDIRECT($AS$115)=AR$115,INDIRECT($AS288)))</f>
        <v>0</v>
      </c>
      <c r="AS288" s="286" t="str">
        <f t="shared" si="23"/>
        <v>G288:AP288</v>
      </c>
      <c r="AT288" s="403">
        <f t="shared" ca="1" si="24"/>
        <v>0</v>
      </c>
      <c r="AV288" s="142" cm="1">
        <f t="array" aca="1" ref="AV288" ca="1">IF(AND(_xlfn.LET(_xlpm.x,SUM(ROW()),OR(AND(MATCH("SOT",$A:$A,0)&lt;_xlpm.x,MATCH("EOT",$A:$A,0)&gt;_xlpm.x),AND(MATCH("SOS",$A:$A,0)&lt;_xlpm.x,MATCH("EOS",$A:$A,0)&gt;_xlpm.x),AND(MATCH("SOR",$A:$A,0)&lt;_xlpm.x,MATCH("EOR",$A:$A,0)&gt;_xlpm.x))),INDIRECT("rc"&amp;MATCH("SCD",$1:$1,0),FALSE)="PPTO"),1,0)</f>
        <v>0</v>
      </c>
      <c r="AW288" s="142" cm="1">
        <f t="array" aca="1" ref="AW28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89" spans="1:49" s="153" customFormat="1" outlineLevel="2">
      <c r="A289" s="152"/>
      <c r="B289" s="401" t="str">
        <f t="shared" si="22"/>
        <v>X</v>
      </c>
      <c r="C289" s="148"/>
      <c r="D289" s="404"/>
      <c r="E289" s="350" t="str" cm="1">
        <f t="array" ref="E289">UPPER(_xlfn.UNIQUE(_xlfn._xlws.FILTER(TbRowMacro[RowMacroName],TbRowMacro[RowMcroId]=$D289,"X")))</f>
        <v>X</v>
      </c>
      <c r="F289" s="402"/>
      <c r="G289" s="377" cm="1">
        <f t="array" aca="1" ref="G289" ca="1">IFERROR(SUM(_xlfn._xlws.FILTER(SchPdt3[Value],(SchPdt3[PrjId]=$B289)*(SchPdt3[Row]=$D289)*(SchPdt3[Column]=_xlfn.LET(_xlpm.x,SUBSTITUTE(UPPER(INDIRECT("r"&amp;MATCH("TIP",$A:$A,0)&amp;"c"&amp;IF(INDIRECT("r"&amp;MATCH("TAP",$A:$A,0)&amp;"c",FALSE)="SERRA","","[-1]"),FALSE)),".",""),IFERROR(_xlfn.TEXTBEFORE(_xlpm.x," ("),_xlpm.x))),0)),0)</f>
        <v>0</v>
      </c>
      <c r="H289" s="378" cm="1">
        <f t="array" aca="1" ref="H289" ca="1">_xlfn.LET(_xlpm.x,INDIRECT("rc[-1]",FALSE),_xlpm.y,SUM(INDIRECT("r[-1]c[-1]:r[-1]c",FALSE)),IF(_xlpm.y=0,IF(_xlpm.x=0,0,1),_xlpm.x/_xlpm.y))</f>
        <v>0</v>
      </c>
      <c r="I289" s="377" cm="1">
        <f t="array" aca="1" ref="I289" ca="1">IFERROR(SUM(_xlfn._xlws.FILTER(SchPdt3[Value],(SchPdt3[PrjId]=$B289)*(SchPdt3[Row]=$D289)*(SchPdt3[Column]=_xlfn.LET(_xlpm.x,SUBSTITUTE(UPPER(INDIRECT("r"&amp;MATCH("TIP",$A:$A,0)&amp;"c"&amp;IF(INDIRECT("r"&amp;MATCH("TAP",$A:$A,0)&amp;"c",FALSE)="SERRA","","[-1]"),FALSE)),".",""),IFERROR(_xlfn.TEXTBEFORE(_xlpm.x," ("),_xlpm.x))),0)),0)</f>
        <v>0</v>
      </c>
      <c r="J289" s="378" cm="1">
        <f t="array" aca="1" ref="J289" ca="1">_xlfn.LET(_xlpm.x,INDIRECT("rc[-1]",FALSE),_xlpm.y,SUM(INDIRECT("r[-1]c[-1]:r[-1]c",FALSE)),IF(_xlpm.y=0,IF(_xlpm.x=0,0,1),_xlpm.x/_xlpm.y))</f>
        <v>0</v>
      </c>
      <c r="K289" s="377" cm="1">
        <f t="array" aca="1" ref="K289" ca="1">IFERROR(SUM(_xlfn._xlws.FILTER(SchPdt3[Value],(SchPdt3[PrjId]=$B289)*(SchPdt3[Row]=$D289)*(SchPdt3[Column]=_xlfn.LET(_xlpm.x,SUBSTITUTE(UPPER(INDIRECT("r"&amp;MATCH("TIP",$A:$A,0)&amp;"c"&amp;IF(INDIRECT("r"&amp;MATCH("TAP",$A:$A,0)&amp;"c",FALSE)="SERRA","","[-1]"),FALSE)),".",""),IFERROR(_xlfn.TEXTBEFORE(_xlpm.x," ("),_xlpm.x))),0)),0)</f>
        <v>0</v>
      </c>
      <c r="L289" s="378" cm="1">
        <f t="array" aca="1" ref="L289" ca="1">_xlfn.LET(_xlpm.x,INDIRECT("rc[-1]",FALSE),_xlpm.y,SUM(INDIRECT("r[-1]c[-1]:r[-1]c",FALSE)),IF(_xlpm.y=0,IF(_xlpm.x=0,0,1),_xlpm.x/_xlpm.y))</f>
        <v>0</v>
      </c>
      <c r="M289" s="377" cm="1">
        <f t="array" aca="1" ref="M289" ca="1">IFERROR(SUM(_xlfn._xlws.FILTER(SchPdt3[Value],(SchPdt3[PrjId]=$B289)*(SchPdt3[Row]=$D289)*(SchPdt3[Column]=_xlfn.LET(_xlpm.x,SUBSTITUTE(UPPER(INDIRECT("r"&amp;MATCH("TIP",$A:$A,0)&amp;"c"&amp;IF(INDIRECT("r"&amp;MATCH("TAP",$A:$A,0)&amp;"c",FALSE)="SERRA","","[-1]"),FALSE)),".",""),IFERROR(_xlfn.TEXTBEFORE(_xlpm.x," ("),_xlpm.x))),0)),0)</f>
        <v>0</v>
      </c>
      <c r="N289" s="378" cm="1">
        <f t="array" aca="1" ref="N289" ca="1">_xlfn.LET(_xlpm.x,INDIRECT("rc[-1]",FALSE),_xlpm.y,SUM(INDIRECT("r[-1]c[-1]:r[-1]c",FALSE)),IF(_xlpm.y=0,IF(_xlpm.x=0,0,1),_xlpm.x/_xlpm.y))</f>
        <v>0</v>
      </c>
      <c r="O289" s="377" cm="1">
        <f t="array" aca="1" ref="O289" ca="1">IFERROR(SUM(_xlfn._xlws.FILTER(SchPdt3[Value],(SchPdt3[PrjId]=$B289)*(SchPdt3[Row]=$D289)*(SchPdt3[Column]=_xlfn.LET(_xlpm.x,SUBSTITUTE(UPPER(INDIRECT("r"&amp;MATCH("TIP",$A:$A,0)&amp;"c"&amp;IF(INDIRECT("r"&amp;MATCH("TAP",$A:$A,0)&amp;"c",FALSE)="SERRA","","[-1]"),FALSE)),".",""),IFERROR(_xlfn.TEXTBEFORE(_xlpm.x," ("),_xlpm.x))),0)),0)</f>
        <v>0</v>
      </c>
      <c r="P289" s="378" cm="1">
        <f t="array" aca="1" ref="P289" ca="1">_xlfn.LET(_xlpm.x,INDIRECT("rc[-1]",FALSE),_xlpm.y,SUM(INDIRECT("r[-1]c[-1]:r[-1]c",FALSE)),IF(_xlpm.y=0,IF(_xlpm.x=0,0,1),_xlpm.x/_xlpm.y))</f>
        <v>0</v>
      </c>
      <c r="Q289" s="377" cm="1">
        <f t="array" aca="1" ref="Q289" ca="1">IFERROR(SUM(_xlfn._xlws.FILTER(SchPdt3[Value],(SchPdt3[PrjId]=$B289)*(SchPdt3[Row]=$D289)*(SchPdt3[Column]=_xlfn.LET(_xlpm.x,SUBSTITUTE(UPPER(INDIRECT("r"&amp;MATCH("TIP",$A:$A,0)&amp;"c"&amp;IF(INDIRECT("r"&amp;MATCH("TAP",$A:$A,0)&amp;"c",FALSE)="SERRA","","[-1]"),FALSE)),".",""),IFERROR(_xlfn.TEXTBEFORE(_xlpm.x," ("),_xlpm.x))),0)),0)</f>
        <v>0</v>
      </c>
      <c r="R289" s="378" cm="1">
        <f t="array" aca="1" ref="R289" ca="1">_xlfn.LET(_xlpm.x,INDIRECT("rc[-1]",FALSE),_xlpm.y,SUM(INDIRECT("r[-1]c[-1]:r[-1]c",FALSE)),IF(_xlpm.y=0,IF(_xlpm.x=0,0,1),_xlpm.x/_xlpm.y))</f>
        <v>0</v>
      </c>
      <c r="S289" s="377" cm="1">
        <f t="array" aca="1" ref="S289" ca="1">IFERROR(SUM(_xlfn._xlws.FILTER(SchPdt3[Value],(SchPdt3[PrjId]=$B289)*(SchPdt3[Row]=$D289)*(SchPdt3[Column]=_xlfn.LET(_xlpm.x,SUBSTITUTE(UPPER(INDIRECT("r"&amp;MATCH("TIP",$A:$A,0)&amp;"c"&amp;IF(INDIRECT("r"&amp;MATCH("TAP",$A:$A,0)&amp;"c",FALSE)="SERRA","","[-1]"),FALSE)),".",""),IFERROR(_xlfn.TEXTBEFORE(_xlpm.x," ("),_xlpm.x))),0)),0)</f>
        <v>0</v>
      </c>
      <c r="T289" s="378" cm="1">
        <f t="array" aca="1" ref="T289" ca="1">_xlfn.LET(_xlpm.x,INDIRECT("rc[-1]",FALSE),_xlpm.y,SUM(INDIRECT("r[-1]c[-1]:r[-1]c",FALSE)),IF(_xlpm.y=0,IF(_xlpm.x=0,0,1),_xlpm.x/_xlpm.y))</f>
        <v>0</v>
      </c>
      <c r="U289" s="377" cm="1">
        <f t="array" aca="1" ref="U289" ca="1">IFERROR(SUM(_xlfn._xlws.FILTER(SchPdt3[Value],(SchPdt3[PrjId]=$B289)*(SchPdt3[Row]=$D289)*(SchPdt3[Column]=_xlfn.LET(_xlpm.x,SUBSTITUTE(UPPER(INDIRECT("r"&amp;MATCH("TIP",$A:$A,0)&amp;"c"&amp;IF(INDIRECT("r"&amp;MATCH("TAP",$A:$A,0)&amp;"c",FALSE)="SERRA","","[-1]"),FALSE)),".",""),IFERROR(_xlfn.TEXTBEFORE(_xlpm.x," ("),_xlpm.x))),0)),0)</f>
        <v>0</v>
      </c>
      <c r="V289" s="378" cm="1">
        <f t="array" aca="1" ref="V289" ca="1">_xlfn.LET(_xlpm.x,INDIRECT("rc[-1]",FALSE),_xlpm.y,SUM(INDIRECT("r[-1]c[-1]:r[-1]c",FALSE)),IF(_xlpm.y=0,IF(_xlpm.x=0,0,1),_xlpm.x/_xlpm.y))</f>
        <v>0</v>
      </c>
      <c r="W289" s="377" cm="1">
        <f t="array" aca="1" ref="W289" ca="1">IFERROR(SUM(_xlfn._xlws.FILTER(SchPdt3[Value],(SchPdt3[PrjId]=$B289)*(SchPdt3[Row]=$D289)*(SchPdt3[Column]=_xlfn.LET(_xlpm.x,SUBSTITUTE(UPPER(INDIRECT("r"&amp;MATCH("TIP",$A:$A,0)&amp;"c"&amp;IF(INDIRECT("r"&amp;MATCH("TAP",$A:$A,0)&amp;"c",FALSE)="SERRA","","[-1]"),FALSE)),".",""),IFERROR(_xlfn.TEXTBEFORE(_xlpm.x," ("),_xlpm.x))),0)),0)</f>
        <v>0</v>
      </c>
      <c r="X289" s="378" cm="1">
        <f t="array" aca="1" ref="X289" ca="1">_xlfn.LET(_xlpm.x,INDIRECT("rc[-1]",FALSE),_xlpm.y,SUM(INDIRECT("r[-1]c[-1]:r[-1]c",FALSE)),IF(_xlpm.y=0,IF(_xlpm.x=0,0,1),_xlpm.x/_xlpm.y))</f>
        <v>0</v>
      </c>
      <c r="Y289" s="377" cm="1">
        <f t="array" aca="1" ref="Y289" ca="1">IFERROR(SUM(_xlfn._xlws.FILTER(SchPdt3[Value],(SchPdt3[PrjId]=$B289)*(SchPdt3[Row]=$D289)*(SchPdt3[Column]=_xlfn.LET(_xlpm.x,SUBSTITUTE(UPPER(INDIRECT("r"&amp;MATCH("TIP",$A:$A,0)&amp;"c"&amp;IF(INDIRECT("r"&amp;MATCH("TAP",$A:$A,0)&amp;"c",FALSE)="SERRA","","[-1]"),FALSE)),".",""),IFERROR(_xlfn.TEXTBEFORE(_xlpm.x," ("),_xlpm.x))),0)),0)</f>
        <v>0</v>
      </c>
      <c r="Z289" s="378" cm="1">
        <f t="array" aca="1" ref="Z289" ca="1">_xlfn.LET(_xlpm.x,INDIRECT("rc[-1]",FALSE),_xlpm.y,SUM(INDIRECT("r[-1]c[-1]:r[-1]c",FALSE)),IF(_xlpm.y=0,IF(_xlpm.x=0,0,1),_xlpm.x/_xlpm.y))</f>
        <v>0</v>
      </c>
      <c r="AA289" s="377" cm="1">
        <f t="array" aca="1" ref="AA289" ca="1">IFERROR(SUM(_xlfn._xlws.FILTER(SchPdt3[Value],(SchPdt3[PrjId]=$B289)*(SchPdt3[Row]=$D289)*(SchPdt3[Column]=_xlfn.LET(_xlpm.x,SUBSTITUTE(UPPER(INDIRECT("r"&amp;MATCH("TIP",$A:$A,0)&amp;"c"&amp;IF(INDIRECT("r"&amp;MATCH("TAP",$A:$A,0)&amp;"c",FALSE)="SERRA","","[-1]"),FALSE)),".",""),IFERROR(_xlfn.TEXTBEFORE(_xlpm.x," ("),_xlpm.x))),0)),0)</f>
        <v>0</v>
      </c>
      <c r="AB289" s="378" cm="1">
        <f t="array" aca="1" ref="AB289" ca="1">_xlfn.LET(_xlpm.x,INDIRECT("rc[-1]",FALSE),_xlpm.y,SUM(INDIRECT("r[-1]c[-1]:r[-1]c",FALSE)),IF(_xlpm.y=0,IF(_xlpm.x=0,0,1),_xlpm.x/_xlpm.y))</f>
        <v>0</v>
      </c>
      <c r="AC289" s="377" cm="1">
        <f t="array" aca="1" ref="AC289" ca="1">IFERROR(SUM(_xlfn._xlws.FILTER(SchPdt3[Value],(SchPdt3[PrjId]=$B289)*(SchPdt3[Row]=$D289)*(SchPdt3[Column]=_xlfn.LET(_xlpm.x,SUBSTITUTE(UPPER(INDIRECT("r"&amp;MATCH("TIP",$A:$A,0)&amp;"c"&amp;IF(INDIRECT("r"&amp;MATCH("TAP",$A:$A,0)&amp;"c",FALSE)="SERRA","","[-1]"),FALSE)),".",""),IFERROR(_xlfn.TEXTBEFORE(_xlpm.x," ("),_xlpm.x))),0)),0)</f>
        <v>0</v>
      </c>
      <c r="AD289" s="378" cm="1">
        <f t="array" aca="1" ref="AD289" ca="1">_xlfn.LET(_xlpm.x,INDIRECT("rc[-1]",FALSE),_xlpm.y,SUM(INDIRECT("r[-1]c[-1]:r[-1]c",FALSE)),IF(_xlpm.y=0,IF(_xlpm.x=0,0,1),_xlpm.x/_xlpm.y))</f>
        <v>0</v>
      </c>
      <c r="AE289" s="377" cm="1">
        <f t="array" aca="1" ref="AE289" ca="1">IFERROR(SUM(_xlfn._xlws.FILTER(SchPdt3[Value],(SchPdt3[PrjId]=$B289)*(SchPdt3[Row]=$D289)*(SchPdt3[Column]=_xlfn.LET(_xlpm.x,SUBSTITUTE(UPPER(INDIRECT("r"&amp;MATCH("TIP",$A:$A,0)&amp;"c"&amp;IF(INDIRECT("r"&amp;MATCH("TAP",$A:$A,0)&amp;"c",FALSE)="SERRA","","[-1]"),FALSE)),".",""),IFERROR(_xlfn.TEXTBEFORE(_xlpm.x," ("),_xlpm.x))),0)),0)</f>
        <v>0</v>
      </c>
      <c r="AF289" s="378" cm="1">
        <f t="array" aca="1" ref="AF289" ca="1">_xlfn.LET(_xlpm.x,INDIRECT("rc[-1]",FALSE),_xlpm.y,SUM(INDIRECT("r[-1]c[-1]:r[-1]c",FALSE)),IF(_xlpm.y=0,IF(_xlpm.x=0,0,1),_xlpm.x/_xlpm.y))</f>
        <v>0</v>
      </c>
      <c r="AG289" s="377" cm="1">
        <f t="array" aca="1" ref="AG289" ca="1">IFERROR(SUM(_xlfn._xlws.FILTER(SchPdt3[Value],(SchPdt3[PrjId]=$B289)*(SchPdt3[Row]=$D289)*(SchPdt3[Column]=_xlfn.LET(_xlpm.x,SUBSTITUTE(UPPER(INDIRECT("r"&amp;MATCH("TIP",$A:$A,0)&amp;"c"&amp;IF(INDIRECT("r"&amp;MATCH("TAP",$A:$A,0)&amp;"c",FALSE)="SERRA","","[-1]"),FALSE)),".",""),IFERROR(_xlfn.TEXTBEFORE(_xlpm.x," ("),_xlpm.x))),0)),0)</f>
        <v>0</v>
      </c>
      <c r="AH289" s="378" cm="1">
        <f t="array" aca="1" ref="AH289" ca="1">_xlfn.LET(_xlpm.x,INDIRECT("rc[-1]",FALSE),_xlpm.y,SUM(INDIRECT("r[-1]c[-1]:r[-1]c",FALSE)),IF(_xlpm.y=0,IF(_xlpm.x=0,0,1),_xlpm.x/_xlpm.y))</f>
        <v>0</v>
      </c>
      <c r="AI289" s="377" cm="1">
        <f t="array" aca="1" ref="AI289" ca="1">IFERROR(SUM(_xlfn._xlws.FILTER(SchPdt3[Value],(SchPdt3[PrjId]=$B289)*(SchPdt3[Row]=$D289)*(SchPdt3[Column]=_xlfn.LET(_xlpm.x,SUBSTITUTE(UPPER(INDIRECT("r"&amp;MATCH("TIP",$A:$A,0)&amp;"c"&amp;IF(INDIRECT("r"&amp;MATCH("TAP",$A:$A,0)&amp;"c",FALSE)="SERRA","","[-1]"),FALSE)),".",""),IFERROR(_xlfn.TEXTBEFORE(_xlpm.x," ("),_xlpm.x))),0)),0)</f>
        <v>0</v>
      </c>
      <c r="AJ289" s="378" cm="1">
        <f t="array" aca="1" ref="AJ289" ca="1">_xlfn.LET(_xlpm.x,INDIRECT("rc[-1]",FALSE),_xlpm.y,SUM(INDIRECT("r[-1]c[-1]:r[-1]c",FALSE)),IF(_xlpm.y=0,IF(_xlpm.x=0,0,1),_xlpm.x/_xlpm.y))</f>
        <v>0</v>
      </c>
      <c r="AK289" s="377" cm="1">
        <f t="array" aca="1" ref="AK289" ca="1">IFERROR(SUM(_xlfn._xlws.FILTER(SchPdt3[Value],(SchPdt3[PrjId]=$B289)*(SchPdt3[Row]=$D289)*(SchPdt3[Column]=_xlfn.LET(_xlpm.x,SUBSTITUTE(UPPER(INDIRECT("r"&amp;MATCH("TIP",$A:$A,0)&amp;"c"&amp;IF(INDIRECT("r"&amp;MATCH("TAP",$A:$A,0)&amp;"c",FALSE)="SERRA","","[-1]"),FALSE)),".",""),IFERROR(_xlfn.TEXTBEFORE(_xlpm.x," ("),_xlpm.x))),0)),0)</f>
        <v>0</v>
      </c>
      <c r="AL289" s="378" cm="1">
        <f t="array" aca="1" ref="AL289" ca="1">_xlfn.LET(_xlpm.x,INDIRECT("rc[-1]",FALSE),_xlpm.y,SUM(INDIRECT("r[-1]c[-1]:r[-1]c",FALSE)),IF(_xlpm.y=0,IF(_xlpm.x=0,0,1),_xlpm.x/_xlpm.y))</f>
        <v>0</v>
      </c>
      <c r="AM289" s="377" cm="1">
        <f t="array" aca="1" ref="AM289" ca="1">IFERROR(SUM(_xlfn._xlws.FILTER(SchPdt3[Value],(SchPdt3[PrjId]=$B289)*(SchPdt3[Row]=$D289)*(SchPdt3[Column]=_xlfn.LET(_xlpm.x,SUBSTITUTE(UPPER(INDIRECT("r"&amp;MATCH("TIP",$A:$A,0)&amp;"c"&amp;IF(INDIRECT("r"&amp;MATCH("TAP",$A:$A,0)&amp;"c",FALSE)="SERRA","","[-1]"),FALSE)),".",""),IFERROR(_xlfn.TEXTBEFORE(_xlpm.x," ("),_xlpm.x))),0)),0)</f>
        <v>0</v>
      </c>
      <c r="AN289" s="378" cm="1">
        <f t="array" aca="1" ref="AN289" ca="1">_xlfn.LET(_xlpm.x,INDIRECT("rc[-1]",FALSE),_xlpm.y,SUM(INDIRECT("r[-1]c[-1]:r[-1]c",FALSE)),IF(_xlpm.y=0,IF(_xlpm.x=0,0,1),_xlpm.x/_xlpm.y))</f>
        <v>0</v>
      </c>
      <c r="AO289" s="377" cm="1">
        <f t="array" aca="1" ref="AO289" ca="1">IFERROR(SUM(_xlfn._xlws.FILTER(SchPdt3[Value],(SchPdt3[PrjId]=$B289)*(SchPdt3[Row]=$D289)*(SchPdt3[Column]=_xlfn.LET(_xlpm.x,SUBSTITUTE(UPPER(INDIRECT("r"&amp;MATCH("TIP",$A:$A,0)&amp;"c"&amp;IF(INDIRECT("r"&amp;MATCH("TAP",$A:$A,0)&amp;"c",FALSE)="SERRA","","[-1]"),FALSE)),".",""),IFERROR(_xlfn.TEXTBEFORE(_xlpm.x," ("),_xlpm.x))),0)),0)</f>
        <v>0</v>
      </c>
      <c r="AP289" s="378" cm="1">
        <f t="array" aca="1" ref="AP289" ca="1">_xlfn.LET(_xlpm.x,INDIRECT("rc[-1]",FALSE),_xlpm.y,SUM(INDIRECT("r[-1]c[-1]:r[-1]c",FALSE)),IF(_xlpm.y=0,IF(_xlpm.x=0,0,1),_xlpm.x/_xlpm.y))</f>
        <v>0</v>
      </c>
      <c r="AQ289" s="377" cm="1">
        <f t="array" aca="1" ref="AQ289" ca="1">SUM(IF(INDIRECT($AS$115)=AQ$115,INDIRECT($AS289)))</f>
        <v>0</v>
      </c>
      <c r="AR289" s="378" cm="1">
        <f t="array" aca="1" ref="AR289" ca="1">_xlfn.LET(_xlpm.x,INDIRECT("rc[-1]",FALSE),_xlpm.y,SUM(INDIRECT("r[-1]c[-1]:r[-1]c",FALSE)),IF(_xlpm.y=0,IF(_xlpm.x=0,0,1),_xlpm.x/_xlpm.y))</f>
        <v>0</v>
      </c>
      <c r="AS289" s="286" t="str">
        <f t="shared" si="23"/>
        <v>G289:AP289</v>
      </c>
      <c r="AT289" s="403">
        <f ca="1">SUM(INDIRECT("rc"&amp;MATCH("ECD",$1:$1,0)&amp;":rc"&amp;(MATCH("EOC",$1:$1,0)-2),FALSE))</f>
        <v>0</v>
      </c>
      <c r="AV289" s="142" cm="1">
        <f t="array" aca="1" ref="AV289" ca="1">IF(AND(_xlfn.LET(_xlpm.x,SUM(ROW()),OR(AND(MATCH("SOT",$A:$A,0)&lt;_xlpm.x,MATCH("EOT",$A:$A,0)&gt;_xlpm.x),AND(MATCH("SOS",$A:$A,0)&lt;_xlpm.x,MATCH("EOS",$A:$A,0)&gt;_xlpm.x),AND(MATCH("SOR",$A:$A,0)&lt;_xlpm.x,MATCH("EOR",$A:$A,0)&gt;_xlpm.x))),INDIRECT("rc"&amp;MATCH("SCD",$1:$1,0),FALSE)="PPTO"),1,0)</f>
        <v>0</v>
      </c>
      <c r="AW289" s="142" cm="1">
        <f t="array" aca="1" ref="AW28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90" spans="1:49" s="153" customFormat="1" outlineLevel="2">
      <c r="A290" s="152"/>
      <c r="B290" s="401" t="str">
        <f t="shared" si="22"/>
        <v>X</v>
      </c>
      <c r="C290" s="148"/>
      <c r="D290" s="404"/>
      <c r="E290" s="350" t="str" cm="1">
        <f t="array" ref="E290">UPPER(_xlfn.UNIQUE(_xlfn._xlws.FILTER(TbRowMacro[RowMacroName],TbRowMacro[RowMcroId]=$D290,"X")))</f>
        <v>X</v>
      </c>
      <c r="F290" s="402"/>
      <c r="G290" s="377" cm="1">
        <f t="array" aca="1" ref="G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H290" s="377" cm="1">
        <f t="array" aca="1" ref="H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I290" s="377" cm="1">
        <f t="array" aca="1" ref="I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J290" s="377" cm="1">
        <f t="array" aca="1" ref="J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K290" s="377" cm="1">
        <f t="array" aca="1" ref="K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L290" s="377" cm="1">
        <f t="array" aca="1" ref="L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M290" s="377" cm="1">
        <f t="array" aca="1" ref="M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N290" s="377" cm="1">
        <f t="array" aca="1" ref="N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O290" s="377" cm="1">
        <f t="array" aca="1" ref="O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P290" s="377" cm="1">
        <f t="array" aca="1" ref="P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Q290" s="377" cm="1">
        <f t="array" aca="1" ref="Q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R290" s="377" cm="1">
        <f t="array" aca="1" ref="R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S290" s="377" cm="1">
        <f t="array" aca="1" ref="S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T290" s="377" cm="1">
        <f t="array" aca="1" ref="T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U290" s="377" cm="1">
        <f t="array" aca="1" ref="U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V290" s="377" cm="1">
        <f t="array" aca="1" ref="V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W290" s="377" cm="1">
        <f t="array" aca="1" ref="W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X290" s="377" cm="1">
        <f t="array" aca="1" ref="X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Y290" s="377" cm="1">
        <f t="array" aca="1" ref="Y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Z290" s="377" cm="1">
        <f t="array" aca="1" ref="Z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AA290" s="377" cm="1">
        <f t="array" aca="1" ref="AA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AB290" s="377" cm="1">
        <f t="array" aca="1" ref="AB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AC290" s="377" cm="1">
        <f t="array" aca="1" ref="AC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AD290" s="377" cm="1">
        <f t="array" aca="1" ref="AD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AE290" s="377" cm="1">
        <f t="array" aca="1" ref="AE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AF290" s="377" cm="1">
        <f t="array" aca="1" ref="AF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AG290" s="377" cm="1">
        <f t="array" aca="1" ref="AG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AH290" s="377" cm="1">
        <f t="array" aca="1" ref="AH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AI290" s="377" cm="1">
        <f t="array" aca="1" ref="AI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AJ290" s="377" cm="1">
        <f t="array" aca="1" ref="AJ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AK290" s="377" cm="1">
        <f t="array" aca="1" ref="AK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AL290" s="377" cm="1">
        <f t="array" aca="1" ref="AL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AM290" s="377" cm="1">
        <f t="array" aca="1" ref="AM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AN290" s="377" cm="1">
        <f t="array" aca="1" ref="AN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AO290" s="377" cm="1">
        <f t="array" aca="1" ref="AO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AP290" s="377" cm="1">
        <f t="array" aca="1" ref="AP29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290)*(ISNUMBER(FIND(_xlpm.v,_xlfn.TEXTJOIN(":",TRUE,_xlfn.UNIQUE(_xlfn._xlws.FILTER(TbStd[RowGrp],TbStd[Row5]=$D290,"X"))))))),0)),0)</f>
        <v>0</v>
      </c>
      <c r="AQ290" s="377" cm="1">
        <f t="array" aca="1" ref="AQ290" ca="1">SUM(IF(INDIRECT($AS$115)=AQ$115,INDIRECT($AS290)))</f>
        <v>0</v>
      </c>
      <c r="AR290" s="377" cm="1">
        <f t="array" aca="1" ref="AR290" ca="1">SUM(IF(INDIRECT($AS$115)=AR$115,INDIRECT($AS290)))</f>
        <v>0</v>
      </c>
      <c r="AS290" s="286" t="str">
        <f t="shared" si="23"/>
        <v>G290:AP290</v>
      </c>
      <c r="AT290" s="403">
        <f t="shared" ca="1" si="24"/>
        <v>0</v>
      </c>
      <c r="AV290" s="142" cm="1">
        <f t="array" aca="1" ref="AV290" ca="1">IF(AND(_xlfn.LET(_xlpm.x,SUM(ROW()),OR(AND(MATCH("SOT",$A:$A,0)&lt;_xlpm.x,MATCH("EOT",$A:$A,0)&gt;_xlpm.x),AND(MATCH("SOS",$A:$A,0)&lt;_xlpm.x,MATCH("EOS",$A:$A,0)&gt;_xlpm.x),AND(MATCH("SOR",$A:$A,0)&lt;_xlpm.x,MATCH("EOR",$A:$A,0)&gt;_xlpm.x))),INDIRECT("rc"&amp;MATCH("SCD",$1:$1,0),FALSE)="PPTO"),1,0)</f>
        <v>0</v>
      </c>
      <c r="AW290" s="142" cm="1">
        <f t="array" aca="1" ref="AW29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91" spans="1:49" s="153" customFormat="1" outlineLevel="2">
      <c r="A291" s="152"/>
      <c r="B291" s="401" t="str">
        <f t="shared" si="22"/>
        <v>X</v>
      </c>
      <c r="C291" s="148"/>
      <c r="D291" s="404"/>
      <c r="E291" s="350" t="str" cm="1">
        <f t="array" ref="E291">UPPER(_xlfn.UNIQUE(_xlfn._xlws.FILTER(TbRowMacro[RowMacroName],TbRowMacro[RowMcroId]=$D291,"X")))</f>
        <v>X</v>
      </c>
      <c r="F291" s="402"/>
      <c r="G291" s="377" cm="1">
        <f t="array" aca="1" ref="G291" ca="1">IFERROR(SUM(_xlfn._xlws.FILTER(SchPdt3[Value],(SchPdt3[PrjId]=$B291)*(SchPdt3[Row]=$D291)*(SchPdt3[Column]=_xlfn.LET(_xlpm.x,SUBSTITUTE(UPPER(INDIRECT("r"&amp;MATCH("TIP",$A:$A,0)&amp;"c"&amp;IF(INDIRECT("r"&amp;MATCH("TAP",$A:$A,0)&amp;"c",FALSE)="SERRA","","[-1]"),FALSE)),".",""),IFERROR(_xlfn.TEXTBEFORE(_xlpm.x," ("),_xlpm.x)))*(#REF!=INDIRECT("r"&amp;MATCH("TAP",$A:$A,0)&amp;"c",FALSE)),0)),0)</f>
        <v>0</v>
      </c>
      <c r="H291" s="377" cm="1">
        <f t="array" aca="1" ref="H291" ca="1">IFERROR(SUM(_xlfn._xlws.FILTER(SchPdt3[Value],(SchPdt3[PrjId]=$B291)*(SchPdt3[Row]=$D291)*(SchPdt3[Column]=_xlfn.LET(_xlpm.x,SUBSTITUTE(UPPER(INDIRECT("r"&amp;MATCH("TIP",$A:$A,0)&amp;"c"&amp;IF(INDIRECT("r"&amp;MATCH("TAP",$A:$A,0)&amp;"c",FALSE)="SERRA","","[-1]"),FALSE)),".",""),IFERROR(_xlfn.TEXTBEFORE(_xlpm.x," ("),_xlpm.x)))*(#REF!=INDIRECT("r"&amp;MATCH("TAP",$A:$A,0)&amp;"c",FALSE)),0)),0)</f>
        <v>0</v>
      </c>
      <c r="I291" s="377" cm="1">
        <f t="array" aca="1" ref="I291" ca="1">IFERROR(SUM(_xlfn._xlws.FILTER(SchPdt3[Value],(SchPdt3[PrjId]=$B291)*(SchPdt3[Row]=$D291)*(SchPdt3[Column]=_xlfn.LET(_xlpm.x,SUBSTITUTE(UPPER(INDIRECT("r"&amp;MATCH("TIP",$A:$A,0)&amp;"c"&amp;IF(INDIRECT("r"&amp;MATCH("TAP",$A:$A,0)&amp;"c",FALSE)="SERRA","","[-1]"),FALSE)),".",""),IFERROR(_xlfn.TEXTBEFORE(_xlpm.x," ("),_xlpm.x)))*(#REF!=INDIRECT("r"&amp;MATCH("TAP",$A:$A,0)&amp;"c",FALSE)),0)),0)</f>
        <v>0</v>
      </c>
      <c r="J291" s="377" cm="1">
        <f t="array" aca="1" ref="J291" ca="1">IFERROR(SUM(_xlfn._xlws.FILTER(SchPdt3[Value],(SchPdt3[PrjId]=$B291)*(SchPdt3[Row]=$D291)*(SchPdt3[Column]=_xlfn.LET(_xlpm.x,SUBSTITUTE(UPPER(INDIRECT("r"&amp;MATCH("TIP",$A:$A,0)&amp;"c"&amp;IF(INDIRECT("r"&amp;MATCH("TAP",$A:$A,0)&amp;"c",FALSE)="SERRA","","[-1]"),FALSE)),".",""),IFERROR(_xlfn.TEXTBEFORE(_xlpm.x," ("),_xlpm.x)))*(#REF!=INDIRECT("r"&amp;MATCH("TAP",$A:$A,0)&amp;"c",FALSE)),0)),0)</f>
        <v>0</v>
      </c>
      <c r="K291" s="377" cm="1">
        <f t="array" aca="1" ref="K291" ca="1">IFERROR(SUM(_xlfn._xlws.FILTER(SchPdt3[Value],(SchPdt3[PrjId]=$B291)*(SchPdt3[Row]=$D291)*(SchPdt3[Column]=_xlfn.LET(_xlpm.x,SUBSTITUTE(UPPER(INDIRECT("r"&amp;MATCH("TIP",$A:$A,0)&amp;"c"&amp;IF(INDIRECT("r"&amp;MATCH("TAP",$A:$A,0)&amp;"c",FALSE)="SERRA","","[-1]"),FALSE)),".",""),IFERROR(_xlfn.TEXTBEFORE(_xlpm.x," ("),_xlpm.x)))*(#REF!=INDIRECT("r"&amp;MATCH("TAP",$A:$A,0)&amp;"c",FALSE)),0)),0)</f>
        <v>0</v>
      </c>
      <c r="L291" s="377" cm="1">
        <f t="array" aca="1" ref="L291" ca="1">IFERROR(SUM(_xlfn._xlws.FILTER(SchPdt3[Value],(SchPdt3[PrjId]=$B291)*(SchPdt3[Row]=$D291)*(SchPdt3[Column]=_xlfn.LET(_xlpm.x,SUBSTITUTE(UPPER(INDIRECT("r"&amp;MATCH("TIP",$A:$A,0)&amp;"c"&amp;IF(INDIRECT("r"&amp;MATCH("TAP",$A:$A,0)&amp;"c",FALSE)="SERRA","","[-1]"),FALSE)),".",""),IFERROR(_xlfn.TEXTBEFORE(_xlpm.x," ("),_xlpm.x)))*(#REF!=INDIRECT("r"&amp;MATCH("TAP",$A:$A,0)&amp;"c",FALSE)),0)),0)</f>
        <v>0</v>
      </c>
      <c r="M291" s="377" cm="1">
        <f t="array" aca="1" ref="M291" ca="1">IFERROR(SUM(_xlfn._xlws.FILTER(SchPdt3[Value],(SchPdt3[PrjId]=$B291)*(SchPdt3[Row]=$D291)*(SchPdt3[Column]=_xlfn.LET(_xlpm.x,SUBSTITUTE(UPPER(INDIRECT("r"&amp;MATCH("TIP",$A:$A,0)&amp;"c"&amp;IF(INDIRECT("r"&amp;MATCH("TAP",$A:$A,0)&amp;"c",FALSE)="SERRA","","[-1]"),FALSE)),".",""),IFERROR(_xlfn.TEXTBEFORE(_xlpm.x," ("),_xlpm.x)))*(#REF!=INDIRECT("r"&amp;MATCH("TAP",$A:$A,0)&amp;"c",FALSE)),0)),0)</f>
        <v>0</v>
      </c>
      <c r="N291" s="377" cm="1">
        <f t="array" aca="1" ref="N291" ca="1">IFERROR(SUM(_xlfn._xlws.FILTER(SchPdt3[Value],(SchPdt3[PrjId]=$B291)*(SchPdt3[Row]=$D291)*(SchPdt3[Column]=_xlfn.LET(_xlpm.x,SUBSTITUTE(UPPER(INDIRECT("r"&amp;MATCH("TIP",$A:$A,0)&amp;"c"&amp;IF(INDIRECT("r"&amp;MATCH("TAP",$A:$A,0)&amp;"c",FALSE)="SERRA","","[-1]"),FALSE)),".",""),IFERROR(_xlfn.TEXTBEFORE(_xlpm.x," ("),_xlpm.x)))*(#REF!=INDIRECT("r"&amp;MATCH("TAP",$A:$A,0)&amp;"c",FALSE)),0)),0)</f>
        <v>0</v>
      </c>
      <c r="O291" s="377" cm="1">
        <f t="array" aca="1" ref="O291" ca="1">IFERROR(SUM(_xlfn._xlws.FILTER(SchPdt3[Value],(SchPdt3[PrjId]=$B291)*(SchPdt3[Row]=$D291)*(SchPdt3[Column]=_xlfn.LET(_xlpm.x,SUBSTITUTE(UPPER(INDIRECT("r"&amp;MATCH("TIP",$A:$A,0)&amp;"c"&amp;IF(INDIRECT("r"&amp;MATCH("TAP",$A:$A,0)&amp;"c",FALSE)="SERRA","","[-1]"),FALSE)),".",""),IFERROR(_xlfn.TEXTBEFORE(_xlpm.x," ("),_xlpm.x)))*(#REF!=INDIRECT("r"&amp;MATCH("TAP",$A:$A,0)&amp;"c",FALSE)),0)),0)</f>
        <v>0</v>
      </c>
      <c r="P291" s="377" cm="1">
        <f t="array" aca="1" ref="P291" ca="1">IFERROR(SUM(_xlfn._xlws.FILTER(SchPdt3[Value],(SchPdt3[PrjId]=$B291)*(SchPdt3[Row]=$D291)*(SchPdt3[Column]=_xlfn.LET(_xlpm.x,SUBSTITUTE(UPPER(INDIRECT("r"&amp;MATCH("TIP",$A:$A,0)&amp;"c"&amp;IF(INDIRECT("r"&amp;MATCH("TAP",$A:$A,0)&amp;"c",FALSE)="SERRA","","[-1]"),FALSE)),".",""),IFERROR(_xlfn.TEXTBEFORE(_xlpm.x," ("),_xlpm.x)))*(#REF!=INDIRECT("r"&amp;MATCH("TAP",$A:$A,0)&amp;"c",FALSE)),0)),0)</f>
        <v>0</v>
      </c>
      <c r="Q291" s="377" cm="1">
        <f t="array" aca="1" ref="Q291" ca="1">IFERROR(SUM(_xlfn._xlws.FILTER(SchPdt3[Value],(SchPdt3[PrjId]=$B291)*(SchPdt3[Row]=$D291)*(SchPdt3[Column]=_xlfn.LET(_xlpm.x,SUBSTITUTE(UPPER(INDIRECT("r"&amp;MATCH("TIP",$A:$A,0)&amp;"c"&amp;IF(INDIRECT("r"&amp;MATCH("TAP",$A:$A,0)&amp;"c",FALSE)="SERRA","","[-1]"),FALSE)),".",""),IFERROR(_xlfn.TEXTBEFORE(_xlpm.x," ("),_xlpm.x)))*(#REF!=INDIRECT("r"&amp;MATCH("TAP",$A:$A,0)&amp;"c",FALSE)),0)),0)</f>
        <v>0</v>
      </c>
      <c r="R291" s="377" cm="1">
        <f t="array" aca="1" ref="R291" ca="1">IFERROR(SUM(_xlfn._xlws.FILTER(SchPdt3[Value],(SchPdt3[PrjId]=$B291)*(SchPdt3[Row]=$D291)*(SchPdt3[Column]=_xlfn.LET(_xlpm.x,SUBSTITUTE(UPPER(INDIRECT("r"&amp;MATCH("TIP",$A:$A,0)&amp;"c"&amp;IF(INDIRECT("r"&amp;MATCH("TAP",$A:$A,0)&amp;"c",FALSE)="SERRA","","[-1]"),FALSE)),".",""),IFERROR(_xlfn.TEXTBEFORE(_xlpm.x," ("),_xlpm.x)))*(#REF!=INDIRECT("r"&amp;MATCH("TAP",$A:$A,0)&amp;"c",FALSE)),0)),0)</f>
        <v>0</v>
      </c>
      <c r="S291" s="377" cm="1">
        <f t="array" aca="1" ref="S291" ca="1">IFERROR(SUM(_xlfn._xlws.FILTER(SchPdt3[Value],(SchPdt3[PrjId]=$B291)*(SchPdt3[Row]=$D291)*(SchPdt3[Column]=_xlfn.LET(_xlpm.x,SUBSTITUTE(UPPER(INDIRECT("r"&amp;MATCH("TIP",$A:$A,0)&amp;"c"&amp;IF(INDIRECT("r"&amp;MATCH("TAP",$A:$A,0)&amp;"c",FALSE)="SERRA","","[-1]"),FALSE)),".",""),IFERROR(_xlfn.TEXTBEFORE(_xlpm.x," ("),_xlpm.x)))*(#REF!=INDIRECT("r"&amp;MATCH("TAP",$A:$A,0)&amp;"c",FALSE)),0)),0)</f>
        <v>0</v>
      </c>
      <c r="T291" s="377" cm="1">
        <f t="array" aca="1" ref="T291" ca="1">IFERROR(SUM(_xlfn._xlws.FILTER(SchPdt3[Value],(SchPdt3[PrjId]=$B291)*(SchPdt3[Row]=$D291)*(SchPdt3[Column]=_xlfn.LET(_xlpm.x,SUBSTITUTE(UPPER(INDIRECT("r"&amp;MATCH("TIP",$A:$A,0)&amp;"c"&amp;IF(INDIRECT("r"&amp;MATCH("TAP",$A:$A,0)&amp;"c",FALSE)="SERRA","","[-1]"),FALSE)),".",""),IFERROR(_xlfn.TEXTBEFORE(_xlpm.x," ("),_xlpm.x)))*(#REF!=INDIRECT("r"&amp;MATCH("TAP",$A:$A,0)&amp;"c",FALSE)),0)),0)</f>
        <v>0</v>
      </c>
      <c r="U291" s="377" cm="1">
        <f t="array" aca="1" ref="U291" ca="1">IFERROR(SUM(_xlfn._xlws.FILTER(SchPdt3[Value],(SchPdt3[PrjId]=$B291)*(SchPdt3[Row]=$D291)*(SchPdt3[Column]=_xlfn.LET(_xlpm.x,SUBSTITUTE(UPPER(INDIRECT("r"&amp;MATCH("TIP",$A:$A,0)&amp;"c"&amp;IF(INDIRECT("r"&amp;MATCH("TAP",$A:$A,0)&amp;"c",FALSE)="SERRA","","[-1]"),FALSE)),".",""),IFERROR(_xlfn.TEXTBEFORE(_xlpm.x," ("),_xlpm.x)))*(#REF!=INDIRECT("r"&amp;MATCH("TAP",$A:$A,0)&amp;"c",FALSE)),0)),0)</f>
        <v>0</v>
      </c>
      <c r="V291" s="377" cm="1">
        <f t="array" aca="1" ref="V291" ca="1">IFERROR(SUM(_xlfn._xlws.FILTER(SchPdt3[Value],(SchPdt3[PrjId]=$B291)*(SchPdt3[Row]=$D291)*(SchPdt3[Column]=_xlfn.LET(_xlpm.x,SUBSTITUTE(UPPER(INDIRECT("r"&amp;MATCH("TIP",$A:$A,0)&amp;"c"&amp;IF(INDIRECT("r"&amp;MATCH("TAP",$A:$A,0)&amp;"c",FALSE)="SERRA","","[-1]"),FALSE)),".",""),IFERROR(_xlfn.TEXTBEFORE(_xlpm.x," ("),_xlpm.x)))*(#REF!=INDIRECT("r"&amp;MATCH("TAP",$A:$A,0)&amp;"c",FALSE)),0)),0)</f>
        <v>0</v>
      </c>
      <c r="W291" s="377" cm="1">
        <f t="array" aca="1" ref="W291" ca="1">IFERROR(SUM(_xlfn._xlws.FILTER(SchPdt3[Value],(SchPdt3[PrjId]=$B291)*(SchPdt3[Row]=$D291)*(SchPdt3[Column]=_xlfn.LET(_xlpm.x,SUBSTITUTE(UPPER(INDIRECT("r"&amp;MATCH("TIP",$A:$A,0)&amp;"c"&amp;IF(INDIRECT("r"&amp;MATCH("TAP",$A:$A,0)&amp;"c",FALSE)="SERRA","","[-1]"),FALSE)),".",""),IFERROR(_xlfn.TEXTBEFORE(_xlpm.x," ("),_xlpm.x)))*(#REF!=INDIRECT("r"&amp;MATCH("TAP",$A:$A,0)&amp;"c",FALSE)),0)),0)</f>
        <v>0</v>
      </c>
      <c r="X291" s="377" cm="1">
        <f t="array" aca="1" ref="X291" ca="1">IFERROR(SUM(_xlfn._xlws.FILTER(SchPdt3[Value],(SchPdt3[PrjId]=$B291)*(SchPdt3[Row]=$D291)*(SchPdt3[Column]=_xlfn.LET(_xlpm.x,SUBSTITUTE(UPPER(INDIRECT("r"&amp;MATCH("TIP",$A:$A,0)&amp;"c"&amp;IF(INDIRECT("r"&amp;MATCH("TAP",$A:$A,0)&amp;"c",FALSE)="SERRA","","[-1]"),FALSE)),".",""),IFERROR(_xlfn.TEXTBEFORE(_xlpm.x," ("),_xlpm.x)))*(#REF!=INDIRECT("r"&amp;MATCH("TAP",$A:$A,0)&amp;"c",FALSE)),0)),0)</f>
        <v>0</v>
      </c>
      <c r="Y291" s="377" cm="1">
        <f t="array" aca="1" ref="Y291" ca="1">IFERROR(SUM(_xlfn._xlws.FILTER(SchPdt3[Value],(SchPdt3[PrjId]=$B291)*(SchPdt3[Row]=$D291)*(SchPdt3[Column]=_xlfn.LET(_xlpm.x,SUBSTITUTE(UPPER(INDIRECT("r"&amp;MATCH("TIP",$A:$A,0)&amp;"c"&amp;IF(INDIRECT("r"&amp;MATCH("TAP",$A:$A,0)&amp;"c",FALSE)="SERRA","","[-1]"),FALSE)),".",""),IFERROR(_xlfn.TEXTBEFORE(_xlpm.x," ("),_xlpm.x)))*(#REF!=INDIRECT("r"&amp;MATCH("TAP",$A:$A,0)&amp;"c",FALSE)),0)),0)</f>
        <v>0</v>
      </c>
      <c r="Z291" s="377" cm="1">
        <f t="array" aca="1" ref="Z291" ca="1">IFERROR(SUM(_xlfn._xlws.FILTER(SchPdt3[Value],(SchPdt3[PrjId]=$B291)*(SchPdt3[Row]=$D291)*(SchPdt3[Column]=_xlfn.LET(_xlpm.x,SUBSTITUTE(UPPER(INDIRECT("r"&amp;MATCH("TIP",$A:$A,0)&amp;"c"&amp;IF(INDIRECT("r"&amp;MATCH("TAP",$A:$A,0)&amp;"c",FALSE)="SERRA","","[-1]"),FALSE)),".",""),IFERROR(_xlfn.TEXTBEFORE(_xlpm.x," ("),_xlpm.x)))*(#REF!=INDIRECT("r"&amp;MATCH("TAP",$A:$A,0)&amp;"c",FALSE)),0)),0)</f>
        <v>0</v>
      </c>
      <c r="AA291" s="377" cm="1">
        <f t="array" aca="1" ref="AA291" ca="1">IFERROR(SUM(_xlfn._xlws.FILTER(SchPdt3[Value],(SchPdt3[PrjId]=$B291)*(SchPdt3[Row]=$D291)*(SchPdt3[Column]=_xlfn.LET(_xlpm.x,SUBSTITUTE(UPPER(INDIRECT("r"&amp;MATCH("TIP",$A:$A,0)&amp;"c"&amp;IF(INDIRECT("r"&amp;MATCH("TAP",$A:$A,0)&amp;"c",FALSE)="SERRA","","[-1]"),FALSE)),".",""),IFERROR(_xlfn.TEXTBEFORE(_xlpm.x," ("),_xlpm.x)))*(#REF!=INDIRECT("r"&amp;MATCH("TAP",$A:$A,0)&amp;"c",FALSE)),0)),0)</f>
        <v>0</v>
      </c>
      <c r="AB291" s="377" cm="1">
        <f t="array" aca="1" ref="AB291" ca="1">IFERROR(SUM(_xlfn._xlws.FILTER(SchPdt3[Value],(SchPdt3[PrjId]=$B291)*(SchPdt3[Row]=$D291)*(SchPdt3[Column]=_xlfn.LET(_xlpm.x,SUBSTITUTE(UPPER(INDIRECT("r"&amp;MATCH("TIP",$A:$A,0)&amp;"c"&amp;IF(INDIRECT("r"&amp;MATCH("TAP",$A:$A,0)&amp;"c",FALSE)="SERRA","","[-1]"),FALSE)),".",""),IFERROR(_xlfn.TEXTBEFORE(_xlpm.x," ("),_xlpm.x)))*(#REF!=INDIRECT("r"&amp;MATCH("TAP",$A:$A,0)&amp;"c",FALSE)),0)),0)</f>
        <v>0</v>
      </c>
      <c r="AC291" s="377" cm="1">
        <f t="array" aca="1" ref="AC291" ca="1">IFERROR(SUM(_xlfn._xlws.FILTER(SchPdt3[Value],(SchPdt3[PrjId]=$B291)*(SchPdt3[Row]=$D291)*(SchPdt3[Column]=_xlfn.LET(_xlpm.x,SUBSTITUTE(UPPER(INDIRECT("r"&amp;MATCH("TIP",$A:$A,0)&amp;"c"&amp;IF(INDIRECT("r"&amp;MATCH("TAP",$A:$A,0)&amp;"c",FALSE)="SERRA","","[-1]"),FALSE)),".",""),IFERROR(_xlfn.TEXTBEFORE(_xlpm.x," ("),_xlpm.x)))*(#REF!=INDIRECT("r"&amp;MATCH("TAP",$A:$A,0)&amp;"c",FALSE)),0)),0)</f>
        <v>0</v>
      </c>
      <c r="AD291" s="377" cm="1">
        <f t="array" aca="1" ref="AD291" ca="1">IFERROR(SUM(_xlfn._xlws.FILTER(SchPdt3[Value],(SchPdt3[PrjId]=$B291)*(SchPdt3[Row]=$D291)*(SchPdt3[Column]=_xlfn.LET(_xlpm.x,SUBSTITUTE(UPPER(INDIRECT("r"&amp;MATCH("TIP",$A:$A,0)&amp;"c"&amp;IF(INDIRECT("r"&amp;MATCH("TAP",$A:$A,0)&amp;"c",FALSE)="SERRA","","[-1]"),FALSE)),".",""),IFERROR(_xlfn.TEXTBEFORE(_xlpm.x," ("),_xlpm.x)))*(#REF!=INDIRECT("r"&amp;MATCH("TAP",$A:$A,0)&amp;"c",FALSE)),0)),0)</f>
        <v>0</v>
      </c>
      <c r="AE291" s="377" cm="1">
        <f t="array" aca="1" ref="AE291" ca="1">IFERROR(SUM(_xlfn._xlws.FILTER(SchPdt3[Value],(SchPdt3[PrjId]=$B291)*(SchPdt3[Row]=$D291)*(SchPdt3[Column]=_xlfn.LET(_xlpm.x,SUBSTITUTE(UPPER(INDIRECT("r"&amp;MATCH("TIP",$A:$A,0)&amp;"c"&amp;IF(INDIRECT("r"&amp;MATCH("TAP",$A:$A,0)&amp;"c",FALSE)="SERRA","","[-1]"),FALSE)),".",""),IFERROR(_xlfn.TEXTBEFORE(_xlpm.x," ("),_xlpm.x)))*(#REF!=INDIRECT("r"&amp;MATCH("TAP",$A:$A,0)&amp;"c",FALSE)),0)),0)</f>
        <v>0</v>
      </c>
      <c r="AF291" s="377" cm="1">
        <f t="array" aca="1" ref="AF291" ca="1">IFERROR(SUM(_xlfn._xlws.FILTER(SchPdt3[Value],(SchPdt3[PrjId]=$B291)*(SchPdt3[Row]=$D291)*(SchPdt3[Column]=_xlfn.LET(_xlpm.x,SUBSTITUTE(UPPER(INDIRECT("r"&amp;MATCH("TIP",$A:$A,0)&amp;"c"&amp;IF(INDIRECT("r"&amp;MATCH("TAP",$A:$A,0)&amp;"c",FALSE)="SERRA","","[-1]"),FALSE)),".",""),IFERROR(_xlfn.TEXTBEFORE(_xlpm.x," ("),_xlpm.x)))*(#REF!=INDIRECT("r"&amp;MATCH("TAP",$A:$A,0)&amp;"c",FALSE)),0)),0)</f>
        <v>0</v>
      </c>
      <c r="AG291" s="377" cm="1">
        <f t="array" aca="1" ref="AG291" ca="1">IFERROR(SUM(_xlfn._xlws.FILTER(SchPdt3[Value],(SchPdt3[PrjId]=$B291)*(SchPdt3[Row]=$D291)*(SchPdt3[Column]=_xlfn.LET(_xlpm.x,SUBSTITUTE(UPPER(INDIRECT("r"&amp;MATCH("TIP",$A:$A,0)&amp;"c"&amp;IF(INDIRECT("r"&amp;MATCH("TAP",$A:$A,0)&amp;"c",FALSE)="SERRA","","[-1]"),FALSE)),".",""),IFERROR(_xlfn.TEXTBEFORE(_xlpm.x," ("),_xlpm.x)))*(#REF!=INDIRECT("r"&amp;MATCH("TAP",$A:$A,0)&amp;"c",FALSE)),0)),0)</f>
        <v>0</v>
      </c>
      <c r="AH291" s="377" cm="1">
        <f t="array" aca="1" ref="AH291" ca="1">IFERROR(SUM(_xlfn._xlws.FILTER(SchPdt3[Value],(SchPdt3[PrjId]=$B291)*(SchPdt3[Row]=$D291)*(SchPdt3[Column]=_xlfn.LET(_xlpm.x,SUBSTITUTE(UPPER(INDIRECT("r"&amp;MATCH("TIP",$A:$A,0)&amp;"c"&amp;IF(INDIRECT("r"&amp;MATCH("TAP",$A:$A,0)&amp;"c",FALSE)="SERRA","","[-1]"),FALSE)),".",""),IFERROR(_xlfn.TEXTBEFORE(_xlpm.x," ("),_xlpm.x)))*(#REF!=INDIRECT("r"&amp;MATCH("TAP",$A:$A,0)&amp;"c",FALSE)),0)),0)</f>
        <v>0</v>
      </c>
      <c r="AI291" s="377" cm="1">
        <f t="array" aca="1" ref="AI291" ca="1">IFERROR(SUM(_xlfn._xlws.FILTER(SchPdt3[Value],(SchPdt3[PrjId]=$B291)*(SchPdt3[Row]=$D291)*(SchPdt3[Column]=_xlfn.LET(_xlpm.x,SUBSTITUTE(UPPER(INDIRECT("r"&amp;MATCH("TIP",$A:$A,0)&amp;"c"&amp;IF(INDIRECT("r"&amp;MATCH("TAP",$A:$A,0)&amp;"c",FALSE)="SERRA","","[-1]"),FALSE)),".",""),IFERROR(_xlfn.TEXTBEFORE(_xlpm.x," ("),_xlpm.x)))*(#REF!=INDIRECT("r"&amp;MATCH("TAP",$A:$A,0)&amp;"c",FALSE)),0)),0)</f>
        <v>0</v>
      </c>
      <c r="AJ291" s="377" cm="1">
        <f t="array" aca="1" ref="AJ291" ca="1">IFERROR(SUM(_xlfn._xlws.FILTER(SchPdt3[Value],(SchPdt3[PrjId]=$B291)*(SchPdt3[Row]=$D291)*(SchPdt3[Column]=_xlfn.LET(_xlpm.x,SUBSTITUTE(UPPER(INDIRECT("r"&amp;MATCH("TIP",$A:$A,0)&amp;"c"&amp;IF(INDIRECT("r"&amp;MATCH("TAP",$A:$A,0)&amp;"c",FALSE)="SERRA","","[-1]"),FALSE)),".",""),IFERROR(_xlfn.TEXTBEFORE(_xlpm.x," ("),_xlpm.x)))*(#REF!=INDIRECT("r"&amp;MATCH("TAP",$A:$A,0)&amp;"c",FALSE)),0)),0)</f>
        <v>0</v>
      </c>
      <c r="AK291" s="377" cm="1">
        <f t="array" aca="1" ref="AK291" ca="1">IFERROR(SUM(_xlfn._xlws.FILTER(SchPdt3[Value],(SchPdt3[PrjId]=$B291)*(SchPdt3[Row]=$D291)*(SchPdt3[Column]=_xlfn.LET(_xlpm.x,SUBSTITUTE(UPPER(INDIRECT("r"&amp;MATCH("TIP",$A:$A,0)&amp;"c"&amp;IF(INDIRECT("r"&amp;MATCH("TAP",$A:$A,0)&amp;"c",FALSE)="SERRA","","[-1]"),FALSE)),".",""),IFERROR(_xlfn.TEXTBEFORE(_xlpm.x," ("),_xlpm.x)))*(#REF!=INDIRECT("r"&amp;MATCH("TAP",$A:$A,0)&amp;"c",FALSE)),0)),0)</f>
        <v>0</v>
      </c>
      <c r="AL291" s="377" cm="1">
        <f t="array" aca="1" ref="AL291" ca="1">IFERROR(SUM(_xlfn._xlws.FILTER(SchPdt3[Value],(SchPdt3[PrjId]=$B291)*(SchPdt3[Row]=$D291)*(SchPdt3[Column]=_xlfn.LET(_xlpm.x,SUBSTITUTE(UPPER(INDIRECT("r"&amp;MATCH("TIP",$A:$A,0)&amp;"c"&amp;IF(INDIRECT("r"&amp;MATCH("TAP",$A:$A,0)&amp;"c",FALSE)="SERRA","","[-1]"),FALSE)),".",""),IFERROR(_xlfn.TEXTBEFORE(_xlpm.x," ("),_xlpm.x)))*(#REF!=INDIRECT("r"&amp;MATCH("TAP",$A:$A,0)&amp;"c",FALSE)),0)),0)</f>
        <v>0</v>
      </c>
      <c r="AM291" s="377" cm="1">
        <f t="array" aca="1" ref="AM291" ca="1">IFERROR(SUM(_xlfn._xlws.FILTER(SchPdt3[Value],(SchPdt3[PrjId]=$B291)*(SchPdt3[Row]=$D291)*(SchPdt3[Column]=_xlfn.LET(_xlpm.x,SUBSTITUTE(UPPER(INDIRECT("r"&amp;MATCH("TIP",$A:$A,0)&amp;"c"&amp;IF(INDIRECT("r"&amp;MATCH("TAP",$A:$A,0)&amp;"c",FALSE)="SERRA","","[-1]"),FALSE)),".",""),IFERROR(_xlfn.TEXTBEFORE(_xlpm.x," ("),_xlpm.x)))*(#REF!=INDIRECT("r"&amp;MATCH("TAP",$A:$A,0)&amp;"c",FALSE)),0)),0)</f>
        <v>0</v>
      </c>
      <c r="AN291" s="377" cm="1">
        <f t="array" aca="1" ref="AN291" ca="1">IFERROR(SUM(_xlfn._xlws.FILTER(SchPdt3[Value],(SchPdt3[PrjId]=$B291)*(SchPdt3[Row]=$D291)*(SchPdt3[Column]=_xlfn.LET(_xlpm.x,SUBSTITUTE(UPPER(INDIRECT("r"&amp;MATCH("TIP",$A:$A,0)&amp;"c"&amp;IF(INDIRECT("r"&amp;MATCH("TAP",$A:$A,0)&amp;"c",FALSE)="SERRA","","[-1]"),FALSE)),".",""),IFERROR(_xlfn.TEXTBEFORE(_xlpm.x," ("),_xlpm.x)))*(#REF!=INDIRECT("r"&amp;MATCH("TAP",$A:$A,0)&amp;"c",FALSE)),0)),0)</f>
        <v>0</v>
      </c>
      <c r="AO291" s="377" cm="1">
        <f t="array" aca="1" ref="AO291" ca="1">IFERROR(SUM(_xlfn._xlws.FILTER(SchPdt3[Value],(SchPdt3[PrjId]=$B291)*(SchPdt3[Row]=$D291)*(SchPdt3[Column]=_xlfn.LET(_xlpm.x,SUBSTITUTE(UPPER(INDIRECT("r"&amp;MATCH("TIP",$A:$A,0)&amp;"c"&amp;IF(INDIRECT("r"&amp;MATCH("TAP",$A:$A,0)&amp;"c",FALSE)="SERRA","","[-1]"),FALSE)),".",""),IFERROR(_xlfn.TEXTBEFORE(_xlpm.x," ("),_xlpm.x)))*(#REF!=INDIRECT("r"&amp;MATCH("TAP",$A:$A,0)&amp;"c",FALSE)),0)),0)</f>
        <v>0</v>
      </c>
      <c r="AP291" s="377" cm="1">
        <f t="array" aca="1" ref="AP291" ca="1">IFERROR(SUM(_xlfn._xlws.FILTER(SchPdt3[Value],(SchPdt3[PrjId]=$B291)*(SchPdt3[Row]=$D291)*(SchPdt3[Column]=_xlfn.LET(_xlpm.x,SUBSTITUTE(UPPER(INDIRECT("r"&amp;MATCH("TIP",$A:$A,0)&amp;"c"&amp;IF(INDIRECT("r"&amp;MATCH("TAP",$A:$A,0)&amp;"c",FALSE)="SERRA","","[-1]"),FALSE)),".",""),IFERROR(_xlfn.TEXTBEFORE(_xlpm.x," ("),_xlpm.x)))*(#REF!=INDIRECT("r"&amp;MATCH("TAP",$A:$A,0)&amp;"c",FALSE)),0)),0)</f>
        <v>0</v>
      </c>
      <c r="AQ291" s="377" cm="1">
        <f t="array" aca="1" ref="AQ291" ca="1">SUM(IF(INDIRECT($AS$115)=AQ$115,INDIRECT($AS291)))</f>
        <v>0</v>
      </c>
      <c r="AR291" s="377" cm="1">
        <f t="array" aca="1" ref="AR291" ca="1">SUM(IF(INDIRECT($AS$115)=AR$115,INDIRECT($AS291)))</f>
        <v>0</v>
      </c>
      <c r="AS291" s="286" t="str">
        <f t="shared" si="23"/>
        <v>G291:AP291</v>
      </c>
      <c r="AT291" s="403">
        <f t="shared" ca="1" si="24"/>
        <v>0</v>
      </c>
      <c r="AV291" s="142" cm="1">
        <f t="array" aca="1" ref="AV291" ca="1">IF(AND(_xlfn.LET(_xlpm.x,SUM(ROW()),OR(AND(MATCH("SOT",$A:$A,0)&lt;_xlpm.x,MATCH("EOT",$A:$A,0)&gt;_xlpm.x),AND(MATCH("SOS",$A:$A,0)&lt;_xlpm.x,MATCH("EOS",$A:$A,0)&gt;_xlpm.x),AND(MATCH("SOR",$A:$A,0)&lt;_xlpm.x,MATCH("EOR",$A:$A,0)&gt;_xlpm.x))),INDIRECT("rc"&amp;MATCH("SCD",$1:$1,0),FALSE)="PPTO"),1,0)</f>
        <v>0</v>
      </c>
      <c r="AW291" s="142" cm="1">
        <f t="array" aca="1" ref="AW29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92" spans="1:49" s="153" customFormat="1" outlineLevel="2">
      <c r="A292" s="152"/>
      <c r="B292" s="401" t="str">
        <f t="shared" si="22"/>
        <v>X</v>
      </c>
      <c r="C292" s="148"/>
      <c r="D292" s="404"/>
      <c r="E292" s="350" t="str" cm="1">
        <f t="array" ref="E292">UPPER(_xlfn.UNIQUE(_xlfn._xlws.FILTER(TbRowMacro[RowMacroName],TbRowMacro[RowMcroId]=$D292,"X")))</f>
        <v>X</v>
      </c>
      <c r="F292" s="402"/>
      <c r="G292" s="377" cm="1">
        <f t="array" aca="1" ref="G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H292" s="377" cm="1">
        <f t="array" aca="1" ref="H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I292" s="377" cm="1">
        <f t="array" aca="1" ref="I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J292" s="377" cm="1">
        <f t="array" aca="1" ref="J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K292" s="377" cm="1">
        <f t="array" aca="1" ref="K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L292" s="377" cm="1">
        <f t="array" aca="1" ref="L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M292" s="377" cm="1">
        <f t="array" aca="1" ref="M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N292" s="377" cm="1">
        <f t="array" aca="1" ref="N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O292" s="377" cm="1">
        <f t="array" aca="1" ref="O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P292" s="377" cm="1">
        <f t="array" aca="1" ref="P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Q292" s="377" cm="1">
        <f t="array" aca="1" ref="Q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R292" s="377" cm="1">
        <f t="array" aca="1" ref="R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S292" s="377" cm="1">
        <f t="array" aca="1" ref="S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T292" s="377" cm="1">
        <f t="array" aca="1" ref="T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U292" s="377" cm="1">
        <f t="array" aca="1" ref="U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V292" s="377" cm="1">
        <f t="array" aca="1" ref="V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W292" s="377" cm="1">
        <f t="array" aca="1" ref="W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X292" s="377" cm="1">
        <f t="array" aca="1" ref="X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Y292" s="377" cm="1">
        <f t="array" aca="1" ref="Y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Z292" s="377" cm="1">
        <f t="array" aca="1" ref="Z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AA292" s="377" cm="1">
        <f t="array" aca="1" ref="AA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AB292" s="377" cm="1">
        <f t="array" aca="1" ref="AB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AC292" s="377" cm="1">
        <f t="array" aca="1" ref="AC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AD292" s="377" cm="1">
        <f t="array" aca="1" ref="AD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AE292" s="377" cm="1">
        <f t="array" aca="1" ref="AE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AF292" s="377" cm="1">
        <f t="array" aca="1" ref="AF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AG292" s="377" cm="1">
        <f t="array" aca="1" ref="AG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AH292" s="377" cm="1">
        <f t="array" aca="1" ref="AH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AI292" s="377" cm="1">
        <f t="array" aca="1" ref="AI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AJ292" s="377" cm="1">
        <f t="array" aca="1" ref="AJ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AK292" s="377" cm="1">
        <f t="array" aca="1" ref="AK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AL292" s="377" cm="1">
        <f t="array" aca="1" ref="AL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AM292" s="377" cm="1">
        <f t="array" aca="1" ref="AM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AN292" s="377" cm="1">
        <f t="array" aca="1" ref="AN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AO292" s="377" cm="1">
        <f t="array" aca="1" ref="AO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AP292" s="377" cm="1">
        <f t="array" aca="1" ref="AP292"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292)*(ISNUMBER(FIND(_xlpm.v,_xlfn.TEXTJOIN(":",TRUE,_xlfn.UNIQUE(_xlfn._xlws.FILTER(TbStd[RowGrp],TbStd[Row5]=$D292,"X"))))))),0)),0)</f>
        <v>0</v>
      </c>
      <c r="AQ292" s="377" cm="1">
        <f t="array" aca="1" ref="AQ292" ca="1">SUM(IF(INDIRECT($AS$115)=AQ$115,INDIRECT($AS292)))</f>
        <v>0</v>
      </c>
      <c r="AR292" s="377" cm="1">
        <f t="array" aca="1" ref="AR292" ca="1">SUM(IF(INDIRECT($AS$115)=AR$115,INDIRECT($AS292)))</f>
        <v>0</v>
      </c>
      <c r="AS292" s="286" t="str">
        <f t="shared" si="23"/>
        <v>G292:AP292</v>
      </c>
      <c r="AT292" s="403">
        <f t="shared" ca="1" si="24"/>
        <v>0</v>
      </c>
      <c r="AV292" s="142" cm="1">
        <f t="array" aca="1" ref="AV292" ca="1">IF(AND(_xlfn.LET(_xlpm.x,SUM(ROW()),OR(AND(MATCH("SOT",$A:$A,0)&lt;_xlpm.x,MATCH("EOT",$A:$A,0)&gt;_xlpm.x),AND(MATCH("SOS",$A:$A,0)&lt;_xlpm.x,MATCH("EOS",$A:$A,0)&gt;_xlpm.x),AND(MATCH("SOR",$A:$A,0)&lt;_xlpm.x,MATCH("EOR",$A:$A,0)&gt;_xlpm.x))),INDIRECT("rc"&amp;MATCH("SCD",$1:$1,0),FALSE)="PPTO"),1,0)</f>
        <v>0</v>
      </c>
      <c r="AW292" s="142" cm="1">
        <f t="array" aca="1" ref="AW29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93" spans="1:49" s="153" customFormat="1" outlineLevel="2">
      <c r="A293" s="152"/>
      <c r="B293" s="401" t="str">
        <f t="shared" si="22"/>
        <v>X</v>
      </c>
      <c r="C293" s="148"/>
      <c r="D293" s="404"/>
      <c r="E293" s="350" t="str" cm="1">
        <f t="array" ref="E293">UPPER(_xlfn.UNIQUE(_xlfn._xlws.FILTER(TbRowMacro[RowMacroName],TbRowMacro[RowMcroId]=$D293,"X")))</f>
        <v>X</v>
      </c>
      <c r="F293" s="402"/>
      <c r="G293" s="377" cm="1">
        <f t="array" aca="1" ref="G293" ca="1">IFERROR(SUM(_xlfn._xlws.FILTER(SchPdt3[Value],(SchPdt3[PrjId]=$B293)*(SchPdt3[Row]=$D293)*(SchPdt3[Column]=_xlfn.LET(_xlpm.x,SUBSTITUTE(UPPER(INDIRECT("r"&amp;MATCH("TIP",$A:$A,0)&amp;"c"&amp;IF(INDIRECT("r"&amp;MATCH("TAP",$A:$A,0)&amp;"c",FALSE)="SERRA","","[-1]"),FALSE)),".",""),IFERROR(_xlfn.TEXTBEFORE(_xlpm.x," ("),_xlpm.x)))*(#REF!=INDIRECT("r"&amp;MATCH("TAP",$A:$A,0)&amp;"c",FALSE)),0)),0)</f>
        <v>0</v>
      </c>
      <c r="H293" s="377" cm="1">
        <f t="array" aca="1" ref="H293" ca="1">IFERROR(SUM(_xlfn._xlws.FILTER(SchPdt3[Value],(SchPdt3[PrjId]=$B293)*(SchPdt3[Row]=$D293)*(SchPdt3[Column]=_xlfn.LET(_xlpm.x,SUBSTITUTE(UPPER(INDIRECT("r"&amp;MATCH("TIP",$A:$A,0)&amp;"c"&amp;IF(INDIRECT("r"&amp;MATCH("TAP",$A:$A,0)&amp;"c",FALSE)="SERRA","","[-1]"),FALSE)),".",""),IFERROR(_xlfn.TEXTBEFORE(_xlpm.x," ("),_xlpm.x)))*(#REF!=INDIRECT("r"&amp;MATCH("TAP",$A:$A,0)&amp;"c",FALSE)),0)),0)</f>
        <v>0</v>
      </c>
      <c r="I293" s="377" cm="1">
        <f t="array" aca="1" ref="I293" ca="1">IFERROR(SUM(_xlfn._xlws.FILTER(SchPdt3[Value],(SchPdt3[PrjId]=$B293)*(SchPdt3[Row]=$D293)*(SchPdt3[Column]=_xlfn.LET(_xlpm.x,SUBSTITUTE(UPPER(INDIRECT("r"&amp;MATCH("TIP",$A:$A,0)&amp;"c"&amp;IF(INDIRECT("r"&amp;MATCH("TAP",$A:$A,0)&amp;"c",FALSE)="SERRA","","[-1]"),FALSE)),".",""),IFERROR(_xlfn.TEXTBEFORE(_xlpm.x," ("),_xlpm.x)))*(#REF!=INDIRECT("r"&amp;MATCH("TAP",$A:$A,0)&amp;"c",FALSE)),0)),0)</f>
        <v>0</v>
      </c>
      <c r="J293" s="377" cm="1">
        <f t="array" aca="1" ref="J293" ca="1">IFERROR(SUM(_xlfn._xlws.FILTER(SchPdt3[Value],(SchPdt3[PrjId]=$B293)*(SchPdt3[Row]=$D293)*(SchPdt3[Column]=_xlfn.LET(_xlpm.x,SUBSTITUTE(UPPER(INDIRECT("r"&amp;MATCH("TIP",$A:$A,0)&amp;"c"&amp;IF(INDIRECT("r"&amp;MATCH("TAP",$A:$A,0)&amp;"c",FALSE)="SERRA","","[-1]"),FALSE)),".",""),IFERROR(_xlfn.TEXTBEFORE(_xlpm.x," ("),_xlpm.x)))*(#REF!=INDIRECT("r"&amp;MATCH("TAP",$A:$A,0)&amp;"c",FALSE)),0)),0)</f>
        <v>0</v>
      </c>
      <c r="K293" s="377" cm="1">
        <f t="array" aca="1" ref="K293" ca="1">IFERROR(SUM(_xlfn._xlws.FILTER(SchPdt3[Value],(SchPdt3[PrjId]=$B293)*(SchPdt3[Row]=$D293)*(SchPdt3[Column]=_xlfn.LET(_xlpm.x,SUBSTITUTE(UPPER(INDIRECT("r"&amp;MATCH("TIP",$A:$A,0)&amp;"c"&amp;IF(INDIRECT("r"&amp;MATCH("TAP",$A:$A,0)&amp;"c",FALSE)="SERRA","","[-1]"),FALSE)),".",""),IFERROR(_xlfn.TEXTBEFORE(_xlpm.x," ("),_xlpm.x)))*(#REF!=INDIRECT("r"&amp;MATCH("TAP",$A:$A,0)&amp;"c",FALSE)),0)),0)</f>
        <v>0</v>
      </c>
      <c r="L293" s="377" cm="1">
        <f t="array" aca="1" ref="L293" ca="1">IFERROR(SUM(_xlfn._xlws.FILTER(SchPdt3[Value],(SchPdt3[PrjId]=$B293)*(SchPdt3[Row]=$D293)*(SchPdt3[Column]=_xlfn.LET(_xlpm.x,SUBSTITUTE(UPPER(INDIRECT("r"&amp;MATCH("TIP",$A:$A,0)&amp;"c"&amp;IF(INDIRECT("r"&amp;MATCH("TAP",$A:$A,0)&amp;"c",FALSE)="SERRA","","[-1]"),FALSE)),".",""),IFERROR(_xlfn.TEXTBEFORE(_xlpm.x," ("),_xlpm.x)))*(#REF!=INDIRECT("r"&amp;MATCH("TAP",$A:$A,0)&amp;"c",FALSE)),0)),0)</f>
        <v>0</v>
      </c>
      <c r="M293" s="377" cm="1">
        <f t="array" aca="1" ref="M293" ca="1">IFERROR(SUM(_xlfn._xlws.FILTER(SchPdt3[Value],(SchPdt3[PrjId]=$B293)*(SchPdt3[Row]=$D293)*(SchPdt3[Column]=_xlfn.LET(_xlpm.x,SUBSTITUTE(UPPER(INDIRECT("r"&amp;MATCH("TIP",$A:$A,0)&amp;"c"&amp;IF(INDIRECT("r"&amp;MATCH("TAP",$A:$A,0)&amp;"c",FALSE)="SERRA","","[-1]"),FALSE)),".",""),IFERROR(_xlfn.TEXTBEFORE(_xlpm.x," ("),_xlpm.x)))*(#REF!=INDIRECT("r"&amp;MATCH("TAP",$A:$A,0)&amp;"c",FALSE)),0)),0)</f>
        <v>0</v>
      </c>
      <c r="N293" s="377" cm="1">
        <f t="array" aca="1" ref="N293" ca="1">IFERROR(SUM(_xlfn._xlws.FILTER(SchPdt3[Value],(SchPdt3[PrjId]=$B293)*(SchPdt3[Row]=$D293)*(SchPdt3[Column]=_xlfn.LET(_xlpm.x,SUBSTITUTE(UPPER(INDIRECT("r"&amp;MATCH("TIP",$A:$A,0)&amp;"c"&amp;IF(INDIRECT("r"&amp;MATCH("TAP",$A:$A,0)&amp;"c",FALSE)="SERRA","","[-1]"),FALSE)),".",""),IFERROR(_xlfn.TEXTBEFORE(_xlpm.x," ("),_xlpm.x)))*(#REF!=INDIRECT("r"&amp;MATCH("TAP",$A:$A,0)&amp;"c",FALSE)),0)),0)</f>
        <v>0</v>
      </c>
      <c r="O293" s="377" cm="1">
        <f t="array" aca="1" ref="O293" ca="1">IFERROR(SUM(_xlfn._xlws.FILTER(SchPdt3[Value],(SchPdt3[PrjId]=$B293)*(SchPdt3[Row]=$D293)*(SchPdt3[Column]=_xlfn.LET(_xlpm.x,SUBSTITUTE(UPPER(INDIRECT("r"&amp;MATCH("TIP",$A:$A,0)&amp;"c"&amp;IF(INDIRECT("r"&amp;MATCH("TAP",$A:$A,0)&amp;"c",FALSE)="SERRA","","[-1]"),FALSE)),".",""),IFERROR(_xlfn.TEXTBEFORE(_xlpm.x," ("),_xlpm.x)))*(#REF!=INDIRECT("r"&amp;MATCH("TAP",$A:$A,0)&amp;"c",FALSE)),0)),0)</f>
        <v>0</v>
      </c>
      <c r="P293" s="377" cm="1">
        <f t="array" aca="1" ref="P293" ca="1">IFERROR(SUM(_xlfn._xlws.FILTER(SchPdt3[Value],(SchPdt3[PrjId]=$B293)*(SchPdt3[Row]=$D293)*(SchPdt3[Column]=_xlfn.LET(_xlpm.x,SUBSTITUTE(UPPER(INDIRECT("r"&amp;MATCH("TIP",$A:$A,0)&amp;"c"&amp;IF(INDIRECT("r"&amp;MATCH("TAP",$A:$A,0)&amp;"c",FALSE)="SERRA","","[-1]"),FALSE)),".",""),IFERROR(_xlfn.TEXTBEFORE(_xlpm.x," ("),_xlpm.x)))*(#REF!=INDIRECT("r"&amp;MATCH("TAP",$A:$A,0)&amp;"c",FALSE)),0)),0)</f>
        <v>0</v>
      </c>
      <c r="Q293" s="377" cm="1">
        <f t="array" aca="1" ref="Q293" ca="1">IFERROR(SUM(_xlfn._xlws.FILTER(SchPdt3[Value],(SchPdt3[PrjId]=$B293)*(SchPdt3[Row]=$D293)*(SchPdt3[Column]=_xlfn.LET(_xlpm.x,SUBSTITUTE(UPPER(INDIRECT("r"&amp;MATCH("TIP",$A:$A,0)&amp;"c"&amp;IF(INDIRECT("r"&amp;MATCH("TAP",$A:$A,0)&amp;"c",FALSE)="SERRA","","[-1]"),FALSE)),".",""),IFERROR(_xlfn.TEXTBEFORE(_xlpm.x," ("),_xlpm.x)))*(#REF!=INDIRECT("r"&amp;MATCH("TAP",$A:$A,0)&amp;"c",FALSE)),0)),0)</f>
        <v>0</v>
      </c>
      <c r="R293" s="377" cm="1">
        <f t="array" aca="1" ref="R293" ca="1">IFERROR(SUM(_xlfn._xlws.FILTER(SchPdt3[Value],(SchPdt3[PrjId]=$B293)*(SchPdt3[Row]=$D293)*(SchPdt3[Column]=_xlfn.LET(_xlpm.x,SUBSTITUTE(UPPER(INDIRECT("r"&amp;MATCH("TIP",$A:$A,0)&amp;"c"&amp;IF(INDIRECT("r"&amp;MATCH("TAP",$A:$A,0)&amp;"c",FALSE)="SERRA","","[-1]"),FALSE)),".",""),IFERROR(_xlfn.TEXTBEFORE(_xlpm.x," ("),_xlpm.x)))*(#REF!=INDIRECT("r"&amp;MATCH("TAP",$A:$A,0)&amp;"c",FALSE)),0)),0)</f>
        <v>0</v>
      </c>
      <c r="S293" s="377" cm="1">
        <f t="array" aca="1" ref="S293" ca="1">IFERROR(SUM(_xlfn._xlws.FILTER(SchPdt3[Value],(SchPdt3[PrjId]=$B293)*(SchPdt3[Row]=$D293)*(SchPdt3[Column]=_xlfn.LET(_xlpm.x,SUBSTITUTE(UPPER(INDIRECT("r"&amp;MATCH("TIP",$A:$A,0)&amp;"c"&amp;IF(INDIRECT("r"&amp;MATCH("TAP",$A:$A,0)&amp;"c",FALSE)="SERRA","","[-1]"),FALSE)),".",""),IFERROR(_xlfn.TEXTBEFORE(_xlpm.x," ("),_xlpm.x)))*(#REF!=INDIRECT("r"&amp;MATCH("TAP",$A:$A,0)&amp;"c",FALSE)),0)),0)</f>
        <v>0</v>
      </c>
      <c r="T293" s="377" cm="1">
        <f t="array" aca="1" ref="T293" ca="1">IFERROR(SUM(_xlfn._xlws.FILTER(SchPdt3[Value],(SchPdt3[PrjId]=$B293)*(SchPdt3[Row]=$D293)*(SchPdt3[Column]=_xlfn.LET(_xlpm.x,SUBSTITUTE(UPPER(INDIRECT("r"&amp;MATCH("TIP",$A:$A,0)&amp;"c"&amp;IF(INDIRECT("r"&amp;MATCH("TAP",$A:$A,0)&amp;"c",FALSE)="SERRA","","[-1]"),FALSE)),".",""),IFERROR(_xlfn.TEXTBEFORE(_xlpm.x," ("),_xlpm.x)))*(#REF!=INDIRECT("r"&amp;MATCH("TAP",$A:$A,0)&amp;"c",FALSE)),0)),0)</f>
        <v>0</v>
      </c>
      <c r="U293" s="377" cm="1">
        <f t="array" aca="1" ref="U293" ca="1">IFERROR(SUM(_xlfn._xlws.FILTER(SchPdt3[Value],(SchPdt3[PrjId]=$B293)*(SchPdt3[Row]=$D293)*(SchPdt3[Column]=_xlfn.LET(_xlpm.x,SUBSTITUTE(UPPER(INDIRECT("r"&amp;MATCH("TIP",$A:$A,0)&amp;"c"&amp;IF(INDIRECT("r"&amp;MATCH("TAP",$A:$A,0)&amp;"c",FALSE)="SERRA","","[-1]"),FALSE)),".",""),IFERROR(_xlfn.TEXTBEFORE(_xlpm.x," ("),_xlpm.x)))*(#REF!=INDIRECT("r"&amp;MATCH("TAP",$A:$A,0)&amp;"c",FALSE)),0)),0)</f>
        <v>0</v>
      </c>
      <c r="V293" s="377" cm="1">
        <f t="array" aca="1" ref="V293" ca="1">IFERROR(SUM(_xlfn._xlws.FILTER(SchPdt3[Value],(SchPdt3[PrjId]=$B293)*(SchPdt3[Row]=$D293)*(SchPdt3[Column]=_xlfn.LET(_xlpm.x,SUBSTITUTE(UPPER(INDIRECT("r"&amp;MATCH("TIP",$A:$A,0)&amp;"c"&amp;IF(INDIRECT("r"&amp;MATCH("TAP",$A:$A,0)&amp;"c",FALSE)="SERRA","","[-1]"),FALSE)),".",""),IFERROR(_xlfn.TEXTBEFORE(_xlpm.x," ("),_xlpm.x)))*(#REF!=INDIRECT("r"&amp;MATCH("TAP",$A:$A,0)&amp;"c",FALSE)),0)),0)</f>
        <v>0</v>
      </c>
      <c r="W293" s="377" cm="1">
        <f t="array" aca="1" ref="W293" ca="1">IFERROR(SUM(_xlfn._xlws.FILTER(SchPdt3[Value],(SchPdt3[PrjId]=$B293)*(SchPdt3[Row]=$D293)*(SchPdt3[Column]=_xlfn.LET(_xlpm.x,SUBSTITUTE(UPPER(INDIRECT("r"&amp;MATCH("TIP",$A:$A,0)&amp;"c"&amp;IF(INDIRECT("r"&amp;MATCH("TAP",$A:$A,0)&amp;"c",FALSE)="SERRA","","[-1]"),FALSE)),".",""),IFERROR(_xlfn.TEXTBEFORE(_xlpm.x," ("),_xlpm.x)))*(#REF!=INDIRECT("r"&amp;MATCH("TAP",$A:$A,0)&amp;"c",FALSE)),0)),0)</f>
        <v>0</v>
      </c>
      <c r="X293" s="377" cm="1">
        <f t="array" aca="1" ref="X293" ca="1">IFERROR(SUM(_xlfn._xlws.FILTER(SchPdt3[Value],(SchPdt3[PrjId]=$B293)*(SchPdt3[Row]=$D293)*(SchPdt3[Column]=_xlfn.LET(_xlpm.x,SUBSTITUTE(UPPER(INDIRECT("r"&amp;MATCH("TIP",$A:$A,0)&amp;"c"&amp;IF(INDIRECT("r"&amp;MATCH("TAP",$A:$A,0)&amp;"c",FALSE)="SERRA","","[-1]"),FALSE)),".",""),IFERROR(_xlfn.TEXTBEFORE(_xlpm.x," ("),_xlpm.x)))*(#REF!=INDIRECT("r"&amp;MATCH("TAP",$A:$A,0)&amp;"c",FALSE)),0)),0)</f>
        <v>0</v>
      </c>
      <c r="Y293" s="377" cm="1">
        <f t="array" aca="1" ref="Y293" ca="1">IFERROR(SUM(_xlfn._xlws.FILTER(SchPdt3[Value],(SchPdt3[PrjId]=$B293)*(SchPdt3[Row]=$D293)*(SchPdt3[Column]=_xlfn.LET(_xlpm.x,SUBSTITUTE(UPPER(INDIRECT("r"&amp;MATCH("TIP",$A:$A,0)&amp;"c"&amp;IF(INDIRECT("r"&amp;MATCH("TAP",$A:$A,0)&amp;"c",FALSE)="SERRA","","[-1]"),FALSE)),".",""),IFERROR(_xlfn.TEXTBEFORE(_xlpm.x," ("),_xlpm.x)))*(#REF!=INDIRECT("r"&amp;MATCH("TAP",$A:$A,0)&amp;"c",FALSE)),0)),0)</f>
        <v>0</v>
      </c>
      <c r="Z293" s="377" cm="1">
        <f t="array" aca="1" ref="Z293" ca="1">IFERROR(SUM(_xlfn._xlws.FILTER(SchPdt3[Value],(SchPdt3[PrjId]=$B293)*(SchPdt3[Row]=$D293)*(SchPdt3[Column]=_xlfn.LET(_xlpm.x,SUBSTITUTE(UPPER(INDIRECT("r"&amp;MATCH("TIP",$A:$A,0)&amp;"c"&amp;IF(INDIRECT("r"&amp;MATCH("TAP",$A:$A,0)&amp;"c",FALSE)="SERRA","","[-1]"),FALSE)),".",""),IFERROR(_xlfn.TEXTBEFORE(_xlpm.x," ("),_xlpm.x)))*(#REF!=INDIRECT("r"&amp;MATCH("TAP",$A:$A,0)&amp;"c",FALSE)),0)),0)</f>
        <v>0</v>
      </c>
      <c r="AA293" s="377" cm="1">
        <f t="array" aca="1" ref="AA293" ca="1">IFERROR(SUM(_xlfn._xlws.FILTER(SchPdt3[Value],(SchPdt3[PrjId]=$B293)*(SchPdt3[Row]=$D293)*(SchPdt3[Column]=_xlfn.LET(_xlpm.x,SUBSTITUTE(UPPER(INDIRECT("r"&amp;MATCH("TIP",$A:$A,0)&amp;"c"&amp;IF(INDIRECT("r"&amp;MATCH("TAP",$A:$A,0)&amp;"c",FALSE)="SERRA","","[-1]"),FALSE)),".",""),IFERROR(_xlfn.TEXTBEFORE(_xlpm.x," ("),_xlpm.x)))*(#REF!=INDIRECT("r"&amp;MATCH("TAP",$A:$A,0)&amp;"c",FALSE)),0)),0)</f>
        <v>0</v>
      </c>
      <c r="AB293" s="377" cm="1">
        <f t="array" aca="1" ref="AB293" ca="1">IFERROR(SUM(_xlfn._xlws.FILTER(SchPdt3[Value],(SchPdt3[PrjId]=$B293)*(SchPdt3[Row]=$D293)*(SchPdt3[Column]=_xlfn.LET(_xlpm.x,SUBSTITUTE(UPPER(INDIRECT("r"&amp;MATCH("TIP",$A:$A,0)&amp;"c"&amp;IF(INDIRECT("r"&amp;MATCH("TAP",$A:$A,0)&amp;"c",FALSE)="SERRA","","[-1]"),FALSE)),".",""),IFERROR(_xlfn.TEXTBEFORE(_xlpm.x," ("),_xlpm.x)))*(#REF!=INDIRECT("r"&amp;MATCH("TAP",$A:$A,0)&amp;"c",FALSE)),0)),0)</f>
        <v>0</v>
      </c>
      <c r="AC293" s="377" cm="1">
        <f t="array" aca="1" ref="AC293" ca="1">IFERROR(SUM(_xlfn._xlws.FILTER(SchPdt3[Value],(SchPdt3[PrjId]=$B293)*(SchPdt3[Row]=$D293)*(SchPdt3[Column]=_xlfn.LET(_xlpm.x,SUBSTITUTE(UPPER(INDIRECT("r"&amp;MATCH("TIP",$A:$A,0)&amp;"c"&amp;IF(INDIRECT("r"&amp;MATCH("TAP",$A:$A,0)&amp;"c",FALSE)="SERRA","","[-1]"),FALSE)),".",""),IFERROR(_xlfn.TEXTBEFORE(_xlpm.x," ("),_xlpm.x)))*(#REF!=INDIRECT("r"&amp;MATCH("TAP",$A:$A,0)&amp;"c",FALSE)),0)),0)</f>
        <v>0</v>
      </c>
      <c r="AD293" s="377" cm="1">
        <f t="array" aca="1" ref="AD293" ca="1">IFERROR(SUM(_xlfn._xlws.FILTER(SchPdt3[Value],(SchPdt3[PrjId]=$B293)*(SchPdt3[Row]=$D293)*(SchPdt3[Column]=_xlfn.LET(_xlpm.x,SUBSTITUTE(UPPER(INDIRECT("r"&amp;MATCH("TIP",$A:$A,0)&amp;"c"&amp;IF(INDIRECT("r"&amp;MATCH("TAP",$A:$A,0)&amp;"c",FALSE)="SERRA","","[-1]"),FALSE)),".",""),IFERROR(_xlfn.TEXTBEFORE(_xlpm.x," ("),_xlpm.x)))*(#REF!=INDIRECT("r"&amp;MATCH("TAP",$A:$A,0)&amp;"c",FALSE)),0)),0)</f>
        <v>0</v>
      </c>
      <c r="AE293" s="377" cm="1">
        <f t="array" aca="1" ref="AE293" ca="1">IFERROR(SUM(_xlfn._xlws.FILTER(SchPdt3[Value],(SchPdt3[PrjId]=$B293)*(SchPdt3[Row]=$D293)*(SchPdt3[Column]=_xlfn.LET(_xlpm.x,SUBSTITUTE(UPPER(INDIRECT("r"&amp;MATCH("TIP",$A:$A,0)&amp;"c"&amp;IF(INDIRECT("r"&amp;MATCH("TAP",$A:$A,0)&amp;"c",FALSE)="SERRA","","[-1]"),FALSE)),".",""),IFERROR(_xlfn.TEXTBEFORE(_xlpm.x," ("),_xlpm.x)))*(#REF!=INDIRECT("r"&amp;MATCH("TAP",$A:$A,0)&amp;"c",FALSE)),0)),0)</f>
        <v>0</v>
      </c>
      <c r="AF293" s="377" cm="1">
        <f t="array" aca="1" ref="AF293" ca="1">IFERROR(SUM(_xlfn._xlws.FILTER(SchPdt3[Value],(SchPdt3[PrjId]=$B293)*(SchPdt3[Row]=$D293)*(SchPdt3[Column]=_xlfn.LET(_xlpm.x,SUBSTITUTE(UPPER(INDIRECT("r"&amp;MATCH("TIP",$A:$A,0)&amp;"c"&amp;IF(INDIRECT("r"&amp;MATCH("TAP",$A:$A,0)&amp;"c",FALSE)="SERRA","","[-1]"),FALSE)),".",""),IFERROR(_xlfn.TEXTBEFORE(_xlpm.x," ("),_xlpm.x)))*(#REF!=INDIRECT("r"&amp;MATCH("TAP",$A:$A,0)&amp;"c",FALSE)),0)),0)</f>
        <v>0</v>
      </c>
      <c r="AG293" s="377" cm="1">
        <f t="array" aca="1" ref="AG293" ca="1">IFERROR(SUM(_xlfn._xlws.FILTER(SchPdt3[Value],(SchPdt3[PrjId]=$B293)*(SchPdt3[Row]=$D293)*(SchPdt3[Column]=_xlfn.LET(_xlpm.x,SUBSTITUTE(UPPER(INDIRECT("r"&amp;MATCH("TIP",$A:$A,0)&amp;"c"&amp;IF(INDIRECT("r"&amp;MATCH("TAP",$A:$A,0)&amp;"c",FALSE)="SERRA","","[-1]"),FALSE)),".",""),IFERROR(_xlfn.TEXTBEFORE(_xlpm.x," ("),_xlpm.x)))*(#REF!=INDIRECT("r"&amp;MATCH("TAP",$A:$A,0)&amp;"c",FALSE)),0)),0)</f>
        <v>0</v>
      </c>
      <c r="AH293" s="377" cm="1">
        <f t="array" aca="1" ref="AH293" ca="1">IFERROR(SUM(_xlfn._xlws.FILTER(SchPdt3[Value],(SchPdt3[PrjId]=$B293)*(SchPdt3[Row]=$D293)*(SchPdt3[Column]=_xlfn.LET(_xlpm.x,SUBSTITUTE(UPPER(INDIRECT("r"&amp;MATCH("TIP",$A:$A,0)&amp;"c"&amp;IF(INDIRECT("r"&amp;MATCH("TAP",$A:$A,0)&amp;"c",FALSE)="SERRA","","[-1]"),FALSE)),".",""),IFERROR(_xlfn.TEXTBEFORE(_xlpm.x," ("),_xlpm.x)))*(#REF!=INDIRECT("r"&amp;MATCH("TAP",$A:$A,0)&amp;"c",FALSE)),0)),0)</f>
        <v>0</v>
      </c>
      <c r="AI293" s="377" cm="1">
        <f t="array" aca="1" ref="AI293" ca="1">IFERROR(SUM(_xlfn._xlws.FILTER(SchPdt3[Value],(SchPdt3[PrjId]=$B293)*(SchPdt3[Row]=$D293)*(SchPdt3[Column]=_xlfn.LET(_xlpm.x,SUBSTITUTE(UPPER(INDIRECT("r"&amp;MATCH("TIP",$A:$A,0)&amp;"c"&amp;IF(INDIRECT("r"&amp;MATCH("TAP",$A:$A,0)&amp;"c",FALSE)="SERRA","","[-1]"),FALSE)),".",""),IFERROR(_xlfn.TEXTBEFORE(_xlpm.x," ("),_xlpm.x)))*(#REF!=INDIRECT("r"&amp;MATCH("TAP",$A:$A,0)&amp;"c",FALSE)),0)),0)</f>
        <v>0</v>
      </c>
      <c r="AJ293" s="377" cm="1">
        <f t="array" aca="1" ref="AJ293" ca="1">IFERROR(SUM(_xlfn._xlws.FILTER(SchPdt3[Value],(SchPdt3[PrjId]=$B293)*(SchPdt3[Row]=$D293)*(SchPdt3[Column]=_xlfn.LET(_xlpm.x,SUBSTITUTE(UPPER(INDIRECT("r"&amp;MATCH("TIP",$A:$A,0)&amp;"c"&amp;IF(INDIRECT("r"&amp;MATCH("TAP",$A:$A,0)&amp;"c",FALSE)="SERRA","","[-1]"),FALSE)),".",""),IFERROR(_xlfn.TEXTBEFORE(_xlpm.x," ("),_xlpm.x)))*(#REF!=INDIRECT("r"&amp;MATCH("TAP",$A:$A,0)&amp;"c",FALSE)),0)),0)</f>
        <v>0</v>
      </c>
      <c r="AK293" s="377" cm="1">
        <f t="array" aca="1" ref="AK293" ca="1">IFERROR(SUM(_xlfn._xlws.FILTER(SchPdt3[Value],(SchPdt3[PrjId]=$B293)*(SchPdt3[Row]=$D293)*(SchPdt3[Column]=_xlfn.LET(_xlpm.x,SUBSTITUTE(UPPER(INDIRECT("r"&amp;MATCH("TIP",$A:$A,0)&amp;"c"&amp;IF(INDIRECT("r"&amp;MATCH("TAP",$A:$A,0)&amp;"c",FALSE)="SERRA","","[-1]"),FALSE)),".",""),IFERROR(_xlfn.TEXTBEFORE(_xlpm.x," ("),_xlpm.x)))*(#REF!=INDIRECT("r"&amp;MATCH("TAP",$A:$A,0)&amp;"c",FALSE)),0)),0)</f>
        <v>0</v>
      </c>
      <c r="AL293" s="377" cm="1">
        <f t="array" aca="1" ref="AL293" ca="1">IFERROR(SUM(_xlfn._xlws.FILTER(SchPdt3[Value],(SchPdt3[PrjId]=$B293)*(SchPdt3[Row]=$D293)*(SchPdt3[Column]=_xlfn.LET(_xlpm.x,SUBSTITUTE(UPPER(INDIRECT("r"&amp;MATCH("TIP",$A:$A,0)&amp;"c"&amp;IF(INDIRECT("r"&amp;MATCH("TAP",$A:$A,0)&amp;"c",FALSE)="SERRA","","[-1]"),FALSE)),".",""),IFERROR(_xlfn.TEXTBEFORE(_xlpm.x," ("),_xlpm.x)))*(#REF!=INDIRECT("r"&amp;MATCH("TAP",$A:$A,0)&amp;"c",FALSE)),0)),0)</f>
        <v>0</v>
      </c>
      <c r="AM293" s="377" cm="1">
        <f t="array" aca="1" ref="AM293" ca="1">IFERROR(SUM(_xlfn._xlws.FILTER(SchPdt3[Value],(SchPdt3[PrjId]=$B293)*(SchPdt3[Row]=$D293)*(SchPdt3[Column]=_xlfn.LET(_xlpm.x,SUBSTITUTE(UPPER(INDIRECT("r"&amp;MATCH("TIP",$A:$A,0)&amp;"c"&amp;IF(INDIRECT("r"&amp;MATCH("TAP",$A:$A,0)&amp;"c",FALSE)="SERRA","","[-1]"),FALSE)),".",""),IFERROR(_xlfn.TEXTBEFORE(_xlpm.x," ("),_xlpm.x)))*(#REF!=INDIRECT("r"&amp;MATCH("TAP",$A:$A,0)&amp;"c",FALSE)),0)),0)</f>
        <v>0</v>
      </c>
      <c r="AN293" s="377" cm="1">
        <f t="array" aca="1" ref="AN293" ca="1">IFERROR(SUM(_xlfn._xlws.FILTER(SchPdt3[Value],(SchPdt3[PrjId]=$B293)*(SchPdt3[Row]=$D293)*(SchPdt3[Column]=_xlfn.LET(_xlpm.x,SUBSTITUTE(UPPER(INDIRECT("r"&amp;MATCH("TIP",$A:$A,0)&amp;"c"&amp;IF(INDIRECT("r"&amp;MATCH("TAP",$A:$A,0)&amp;"c",FALSE)="SERRA","","[-1]"),FALSE)),".",""),IFERROR(_xlfn.TEXTBEFORE(_xlpm.x," ("),_xlpm.x)))*(#REF!=INDIRECT("r"&amp;MATCH("TAP",$A:$A,0)&amp;"c",FALSE)),0)),0)</f>
        <v>0</v>
      </c>
      <c r="AO293" s="377" cm="1">
        <f t="array" aca="1" ref="AO293" ca="1">IFERROR(SUM(_xlfn._xlws.FILTER(SchPdt3[Value],(SchPdt3[PrjId]=$B293)*(SchPdt3[Row]=$D293)*(SchPdt3[Column]=_xlfn.LET(_xlpm.x,SUBSTITUTE(UPPER(INDIRECT("r"&amp;MATCH("TIP",$A:$A,0)&amp;"c"&amp;IF(INDIRECT("r"&amp;MATCH("TAP",$A:$A,0)&amp;"c",FALSE)="SERRA","","[-1]"),FALSE)),".",""),IFERROR(_xlfn.TEXTBEFORE(_xlpm.x," ("),_xlpm.x)))*(#REF!=INDIRECT("r"&amp;MATCH("TAP",$A:$A,0)&amp;"c",FALSE)),0)),0)</f>
        <v>0</v>
      </c>
      <c r="AP293" s="377" cm="1">
        <f t="array" aca="1" ref="AP293" ca="1">IFERROR(SUM(_xlfn._xlws.FILTER(SchPdt3[Value],(SchPdt3[PrjId]=$B293)*(SchPdt3[Row]=$D293)*(SchPdt3[Column]=_xlfn.LET(_xlpm.x,SUBSTITUTE(UPPER(INDIRECT("r"&amp;MATCH("TIP",$A:$A,0)&amp;"c"&amp;IF(INDIRECT("r"&amp;MATCH("TAP",$A:$A,0)&amp;"c",FALSE)="SERRA","","[-1]"),FALSE)),".",""),IFERROR(_xlfn.TEXTBEFORE(_xlpm.x," ("),_xlpm.x)))*(#REF!=INDIRECT("r"&amp;MATCH("TAP",$A:$A,0)&amp;"c",FALSE)),0)),0)</f>
        <v>0</v>
      </c>
      <c r="AQ293" s="377" cm="1">
        <f t="array" aca="1" ref="AQ293" ca="1">SUM(IF(INDIRECT($AS$115)=AQ$115,INDIRECT($AS293)))</f>
        <v>0</v>
      </c>
      <c r="AR293" s="377" cm="1">
        <f t="array" aca="1" ref="AR293" ca="1">SUM(IF(INDIRECT($AS$115)=AR$115,INDIRECT($AS293)))</f>
        <v>0</v>
      </c>
      <c r="AS293" s="286" t="str">
        <f t="shared" si="23"/>
        <v>G293:AP293</v>
      </c>
      <c r="AT293" s="403">
        <f t="shared" ca="1" si="24"/>
        <v>0</v>
      </c>
      <c r="AV293" s="142" cm="1">
        <f t="array" aca="1" ref="AV293" ca="1">IF(AND(_xlfn.LET(_xlpm.x,SUM(ROW()),OR(AND(MATCH("SOT",$A:$A,0)&lt;_xlpm.x,MATCH("EOT",$A:$A,0)&gt;_xlpm.x),AND(MATCH("SOS",$A:$A,0)&lt;_xlpm.x,MATCH("EOS",$A:$A,0)&gt;_xlpm.x),AND(MATCH("SOR",$A:$A,0)&lt;_xlpm.x,MATCH("EOR",$A:$A,0)&gt;_xlpm.x))),INDIRECT("rc"&amp;MATCH("SCD",$1:$1,0),FALSE)="PPTO"),1,0)</f>
        <v>0</v>
      </c>
      <c r="AW293" s="142" cm="1">
        <f t="array" aca="1" ref="AW29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94" spans="1:49" s="153" customFormat="1" outlineLevel="2">
      <c r="A294" s="152"/>
      <c r="B294" s="401" t="str">
        <f t="shared" si="22"/>
        <v>X</v>
      </c>
      <c r="C294" s="148"/>
      <c r="D294" s="404"/>
      <c r="E294" s="350" t="str" cm="1">
        <f t="array" ref="E294">UPPER(_xlfn.UNIQUE(_xlfn._xlws.FILTER(TbRowMacro[RowMacroName],TbRowMacro[RowMcroId]=$D294,"X")))</f>
        <v>X</v>
      </c>
      <c r="F294" s="402"/>
      <c r="G294" s="377" cm="1">
        <f t="array" aca="1" ref="G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H294" s="377" cm="1">
        <f t="array" aca="1" ref="H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I294" s="377" cm="1">
        <f t="array" aca="1" ref="I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J294" s="377" cm="1">
        <f t="array" aca="1" ref="J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K294" s="377" cm="1">
        <f t="array" aca="1" ref="K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L294" s="377" cm="1">
        <f t="array" aca="1" ref="L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M294" s="377" cm="1">
        <f t="array" aca="1" ref="M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N294" s="377" cm="1">
        <f t="array" aca="1" ref="N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O294" s="377" cm="1">
        <f t="array" aca="1" ref="O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P294" s="377" cm="1">
        <f t="array" aca="1" ref="P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Q294" s="377" cm="1">
        <f t="array" aca="1" ref="Q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R294" s="377" cm="1">
        <f t="array" aca="1" ref="R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S294" s="377" cm="1">
        <f t="array" aca="1" ref="S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T294" s="377" cm="1">
        <f t="array" aca="1" ref="T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U294" s="377" cm="1">
        <f t="array" aca="1" ref="U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V294" s="377" cm="1">
        <f t="array" aca="1" ref="V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W294" s="377" cm="1">
        <f t="array" aca="1" ref="W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X294" s="377" cm="1">
        <f t="array" aca="1" ref="X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Y294" s="377" cm="1">
        <f t="array" aca="1" ref="Y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Z294" s="377" cm="1">
        <f t="array" aca="1" ref="Z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AA294" s="377" cm="1">
        <f t="array" aca="1" ref="AA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AB294" s="377" cm="1">
        <f t="array" aca="1" ref="AB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AC294" s="377" cm="1">
        <f t="array" aca="1" ref="AC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AD294" s="377" cm="1">
        <f t="array" aca="1" ref="AD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AE294" s="377" cm="1">
        <f t="array" aca="1" ref="AE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AF294" s="377" cm="1">
        <f t="array" aca="1" ref="AF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AG294" s="377" cm="1">
        <f t="array" aca="1" ref="AG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AH294" s="377" cm="1">
        <f t="array" aca="1" ref="AH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AI294" s="377" cm="1">
        <f t="array" aca="1" ref="AI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AJ294" s="377" cm="1">
        <f t="array" aca="1" ref="AJ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AK294" s="377" cm="1">
        <f t="array" aca="1" ref="AK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AL294" s="377" cm="1">
        <f t="array" aca="1" ref="AL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AM294" s="377" cm="1">
        <f t="array" aca="1" ref="AM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AN294" s="377" cm="1">
        <f t="array" aca="1" ref="AN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AO294" s="377" cm="1">
        <f t="array" aca="1" ref="AO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AP294" s="377" cm="1">
        <f t="array" aca="1" ref="AP294"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294)*(ISNUMBER(FIND(_xlpm.v,_xlfn.TEXTJOIN(":",TRUE,_xlfn.UNIQUE(_xlfn._xlws.FILTER(TbStd[RowGrp],TbStd[Row5]=$D294,"X"))))))),0)),0)</f>
        <v>0</v>
      </c>
      <c r="AQ294" s="377" cm="1">
        <f t="array" aca="1" ref="AQ294" ca="1">SUM(IF(INDIRECT($AS$115)=AQ$115,INDIRECT($AS294)))</f>
        <v>0</v>
      </c>
      <c r="AR294" s="377" cm="1">
        <f t="array" aca="1" ref="AR294" ca="1">SUM(IF(INDIRECT($AS$115)=AR$115,INDIRECT($AS294)))</f>
        <v>0</v>
      </c>
      <c r="AS294" s="286" t="str">
        <f t="shared" si="23"/>
        <v>G294:AP294</v>
      </c>
      <c r="AT294" s="403">
        <f t="shared" ca="1" si="24"/>
        <v>0</v>
      </c>
      <c r="AV294" s="142" cm="1">
        <f t="array" aca="1" ref="AV294" ca="1">IF(AND(_xlfn.LET(_xlpm.x,SUM(ROW()),OR(AND(MATCH("SOT",$A:$A,0)&lt;_xlpm.x,MATCH("EOT",$A:$A,0)&gt;_xlpm.x),AND(MATCH("SOS",$A:$A,0)&lt;_xlpm.x,MATCH("EOS",$A:$A,0)&gt;_xlpm.x),AND(MATCH("SOR",$A:$A,0)&lt;_xlpm.x,MATCH("EOR",$A:$A,0)&gt;_xlpm.x))),INDIRECT("rc"&amp;MATCH("SCD",$1:$1,0),FALSE)="PPTO"),1,0)</f>
        <v>0</v>
      </c>
      <c r="AW294" s="142" cm="1">
        <f t="array" aca="1" ref="AW29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95" spans="1:49" s="153" customFormat="1" outlineLevel="2">
      <c r="A295" s="152"/>
      <c r="B295" s="401" t="str">
        <f t="shared" si="22"/>
        <v>X</v>
      </c>
      <c r="C295" s="148"/>
      <c r="D295" s="404"/>
      <c r="E295" s="350" t="str" cm="1">
        <f t="array" ref="E295">UPPER(_xlfn.UNIQUE(_xlfn._xlws.FILTER(TbRowMacro[RowMacroName],TbRowMacro[RowMcroId]=$D295,"X")))</f>
        <v>X</v>
      </c>
      <c r="F295" s="402"/>
      <c r="G295" s="377" cm="1">
        <f t="array" aca="1" ref="G295" ca="1">IFERROR(SUM(_xlfn._xlws.FILTER(SchPdt3[Value],(SchPdt3[PrjId]=$B295)*(SchPdt3[Row]=$D295)*(SchPdt3[Column]=_xlfn.LET(_xlpm.x,SUBSTITUTE(UPPER(INDIRECT("r"&amp;MATCH("TIP",$A:$A,0)&amp;"c"&amp;IF(INDIRECT("r"&amp;MATCH("TAP",$A:$A,0)&amp;"c",FALSE)="SERRA","","[-1]"),FALSE)),".",""),IFERROR(_xlfn.TEXTBEFORE(_xlpm.x," ("),_xlpm.x)))*(#REF!=INDIRECT("r"&amp;MATCH("TAP",$A:$A,0)&amp;"c",FALSE)),0)),0)</f>
        <v>0</v>
      </c>
      <c r="H295" s="377" cm="1">
        <f t="array" aca="1" ref="H295" ca="1">IFERROR(SUM(_xlfn._xlws.FILTER(SchPdt3[Value],(SchPdt3[PrjId]=$B295)*(SchPdt3[Row]=$D295)*(SchPdt3[Column]=_xlfn.LET(_xlpm.x,SUBSTITUTE(UPPER(INDIRECT("r"&amp;MATCH("TIP",$A:$A,0)&amp;"c"&amp;IF(INDIRECT("r"&amp;MATCH("TAP",$A:$A,0)&amp;"c",FALSE)="SERRA","","[-1]"),FALSE)),".",""),IFERROR(_xlfn.TEXTBEFORE(_xlpm.x," ("),_xlpm.x)))*(#REF!=INDIRECT("r"&amp;MATCH("TAP",$A:$A,0)&amp;"c",FALSE)),0)),0)</f>
        <v>0</v>
      </c>
      <c r="I295" s="377" cm="1">
        <f t="array" aca="1" ref="I295" ca="1">IFERROR(SUM(_xlfn._xlws.FILTER(SchPdt3[Value],(SchPdt3[PrjId]=$B295)*(SchPdt3[Row]=$D295)*(SchPdt3[Column]=_xlfn.LET(_xlpm.x,SUBSTITUTE(UPPER(INDIRECT("r"&amp;MATCH("TIP",$A:$A,0)&amp;"c"&amp;IF(INDIRECT("r"&amp;MATCH("TAP",$A:$A,0)&amp;"c",FALSE)="SERRA","","[-1]"),FALSE)),".",""),IFERROR(_xlfn.TEXTBEFORE(_xlpm.x," ("),_xlpm.x)))*(#REF!=INDIRECT("r"&amp;MATCH("TAP",$A:$A,0)&amp;"c",FALSE)),0)),0)</f>
        <v>0</v>
      </c>
      <c r="J295" s="377" cm="1">
        <f t="array" aca="1" ref="J295" ca="1">IFERROR(SUM(_xlfn._xlws.FILTER(SchPdt3[Value],(SchPdt3[PrjId]=$B295)*(SchPdt3[Row]=$D295)*(SchPdt3[Column]=_xlfn.LET(_xlpm.x,SUBSTITUTE(UPPER(INDIRECT("r"&amp;MATCH("TIP",$A:$A,0)&amp;"c"&amp;IF(INDIRECT("r"&amp;MATCH("TAP",$A:$A,0)&amp;"c",FALSE)="SERRA","","[-1]"),FALSE)),".",""),IFERROR(_xlfn.TEXTBEFORE(_xlpm.x," ("),_xlpm.x)))*(#REF!=INDIRECT("r"&amp;MATCH("TAP",$A:$A,0)&amp;"c",FALSE)),0)),0)</f>
        <v>0</v>
      </c>
      <c r="K295" s="377" cm="1">
        <f t="array" aca="1" ref="K295" ca="1">IFERROR(SUM(_xlfn._xlws.FILTER(SchPdt3[Value],(SchPdt3[PrjId]=$B295)*(SchPdt3[Row]=$D295)*(SchPdt3[Column]=_xlfn.LET(_xlpm.x,SUBSTITUTE(UPPER(INDIRECT("r"&amp;MATCH("TIP",$A:$A,0)&amp;"c"&amp;IF(INDIRECT("r"&amp;MATCH("TAP",$A:$A,0)&amp;"c",FALSE)="SERRA","","[-1]"),FALSE)),".",""),IFERROR(_xlfn.TEXTBEFORE(_xlpm.x," ("),_xlpm.x)))*(#REF!=INDIRECT("r"&amp;MATCH("TAP",$A:$A,0)&amp;"c",FALSE)),0)),0)</f>
        <v>0</v>
      </c>
      <c r="L295" s="377" cm="1">
        <f t="array" aca="1" ref="L295" ca="1">IFERROR(SUM(_xlfn._xlws.FILTER(SchPdt3[Value],(SchPdt3[PrjId]=$B295)*(SchPdt3[Row]=$D295)*(SchPdt3[Column]=_xlfn.LET(_xlpm.x,SUBSTITUTE(UPPER(INDIRECT("r"&amp;MATCH("TIP",$A:$A,0)&amp;"c"&amp;IF(INDIRECT("r"&amp;MATCH("TAP",$A:$A,0)&amp;"c",FALSE)="SERRA","","[-1]"),FALSE)),".",""),IFERROR(_xlfn.TEXTBEFORE(_xlpm.x," ("),_xlpm.x)))*(#REF!=INDIRECT("r"&amp;MATCH("TAP",$A:$A,0)&amp;"c",FALSE)),0)),0)</f>
        <v>0</v>
      </c>
      <c r="M295" s="377" cm="1">
        <f t="array" aca="1" ref="M295" ca="1">IFERROR(SUM(_xlfn._xlws.FILTER(SchPdt3[Value],(SchPdt3[PrjId]=$B295)*(SchPdt3[Row]=$D295)*(SchPdt3[Column]=_xlfn.LET(_xlpm.x,SUBSTITUTE(UPPER(INDIRECT("r"&amp;MATCH("TIP",$A:$A,0)&amp;"c"&amp;IF(INDIRECT("r"&amp;MATCH("TAP",$A:$A,0)&amp;"c",FALSE)="SERRA","","[-1]"),FALSE)),".",""),IFERROR(_xlfn.TEXTBEFORE(_xlpm.x," ("),_xlpm.x)))*(#REF!=INDIRECT("r"&amp;MATCH("TAP",$A:$A,0)&amp;"c",FALSE)),0)),0)</f>
        <v>0</v>
      </c>
      <c r="N295" s="377" cm="1">
        <f t="array" aca="1" ref="N295" ca="1">IFERROR(SUM(_xlfn._xlws.FILTER(SchPdt3[Value],(SchPdt3[PrjId]=$B295)*(SchPdt3[Row]=$D295)*(SchPdt3[Column]=_xlfn.LET(_xlpm.x,SUBSTITUTE(UPPER(INDIRECT("r"&amp;MATCH("TIP",$A:$A,0)&amp;"c"&amp;IF(INDIRECT("r"&amp;MATCH("TAP",$A:$A,0)&amp;"c",FALSE)="SERRA","","[-1]"),FALSE)),".",""),IFERROR(_xlfn.TEXTBEFORE(_xlpm.x," ("),_xlpm.x)))*(#REF!=INDIRECT("r"&amp;MATCH("TAP",$A:$A,0)&amp;"c",FALSE)),0)),0)</f>
        <v>0</v>
      </c>
      <c r="O295" s="377" cm="1">
        <f t="array" aca="1" ref="O295" ca="1">IFERROR(SUM(_xlfn._xlws.FILTER(SchPdt3[Value],(SchPdt3[PrjId]=$B295)*(SchPdt3[Row]=$D295)*(SchPdt3[Column]=_xlfn.LET(_xlpm.x,SUBSTITUTE(UPPER(INDIRECT("r"&amp;MATCH("TIP",$A:$A,0)&amp;"c"&amp;IF(INDIRECT("r"&amp;MATCH("TAP",$A:$A,0)&amp;"c",FALSE)="SERRA","","[-1]"),FALSE)),".",""),IFERROR(_xlfn.TEXTBEFORE(_xlpm.x," ("),_xlpm.x)))*(#REF!=INDIRECT("r"&amp;MATCH("TAP",$A:$A,0)&amp;"c",FALSE)),0)),0)</f>
        <v>0</v>
      </c>
      <c r="P295" s="377" cm="1">
        <f t="array" aca="1" ref="P295" ca="1">IFERROR(SUM(_xlfn._xlws.FILTER(SchPdt3[Value],(SchPdt3[PrjId]=$B295)*(SchPdt3[Row]=$D295)*(SchPdt3[Column]=_xlfn.LET(_xlpm.x,SUBSTITUTE(UPPER(INDIRECT("r"&amp;MATCH("TIP",$A:$A,0)&amp;"c"&amp;IF(INDIRECT("r"&amp;MATCH("TAP",$A:$A,0)&amp;"c",FALSE)="SERRA","","[-1]"),FALSE)),".",""),IFERROR(_xlfn.TEXTBEFORE(_xlpm.x," ("),_xlpm.x)))*(#REF!=INDIRECT("r"&amp;MATCH("TAP",$A:$A,0)&amp;"c",FALSE)),0)),0)</f>
        <v>0</v>
      </c>
      <c r="Q295" s="377" cm="1">
        <f t="array" aca="1" ref="Q295" ca="1">IFERROR(SUM(_xlfn._xlws.FILTER(SchPdt3[Value],(SchPdt3[PrjId]=$B295)*(SchPdt3[Row]=$D295)*(SchPdt3[Column]=_xlfn.LET(_xlpm.x,SUBSTITUTE(UPPER(INDIRECT("r"&amp;MATCH("TIP",$A:$A,0)&amp;"c"&amp;IF(INDIRECT("r"&amp;MATCH("TAP",$A:$A,0)&amp;"c",FALSE)="SERRA","","[-1]"),FALSE)),".",""),IFERROR(_xlfn.TEXTBEFORE(_xlpm.x," ("),_xlpm.x)))*(#REF!=INDIRECT("r"&amp;MATCH("TAP",$A:$A,0)&amp;"c",FALSE)),0)),0)</f>
        <v>0</v>
      </c>
      <c r="R295" s="377" cm="1">
        <f t="array" aca="1" ref="R295" ca="1">IFERROR(SUM(_xlfn._xlws.FILTER(SchPdt3[Value],(SchPdt3[PrjId]=$B295)*(SchPdt3[Row]=$D295)*(SchPdt3[Column]=_xlfn.LET(_xlpm.x,SUBSTITUTE(UPPER(INDIRECT("r"&amp;MATCH("TIP",$A:$A,0)&amp;"c"&amp;IF(INDIRECT("r"&amp;MATCH("TAP",$A:$A,0)&amp;"c",FALSE)="SERRA","","[-1]"),FALSE)),".",""),IFERROR(_xlfn.TEXTBEFORE(_xlpm.x," ("),_xlpm.x)))*(#REF!=INDIRECT("r"&amp;MATCH("TAP",$A:$A,0)&amp;"c",FALSE)),0)),0)</f>
        <v>0</v>
      </c>
      <c r="S295" s="377" cm="1">
        <f t="array" aca="1" ref="S295" ca="1">IFERROR(SUM(_xlfn._xlws.FILTER(SchPdt3[Value],(SchPdt3[PrjId]=$B295)*(SchPdt3[Row]=$D295)*(SchPdt3[Column]=_xlfn.LET(_xlpm.x,SUBSTITUTE(UPPER(INDIRECT("r"&amp;MATCH("TIP",$A:$A,0)&amp;"c"&amp;IF(INDIRECT("r"&amp;MATCH("TAP",$A:$A,0)&amp;"c",FALSE)="SERRA","","[-1]"),FALSE)),".",""),IFERROR(_xlfn.TEXTBEFORE(_xlpm.x," ("),_xlpm.x)))*(#REF!=INDIRECT("r"&amp;MATCH("TAP",$A:$A,0)&amp;"c",FALSE)),0)),0)</f>
        <v>0</v>
      </c>
      <c r="T295" s="377" cm="1">
        <f t="array" aca="1" ref="T295" ca="1">IFERROR(SUM(_xlfn._xlws.FILTER(SchPdt3[Value],(SchPdt3[PrjId]=$B295)*(SchPdt3[Row]=$D295)*(SchPdt3[Column]=_xlfn.LET(_xlpm.x,SUBSTITUTE(UPPER(INDIRECT("r"&amp;MATCH("TIP",$A:$A,0)&amp;"c"&amp;IF(INDIRECT("r"&amp;MATCH("TAP",$A:$A,0)&amp;"c",FALSE)="SERRA","","[-1]"),FALSE)),".",""),IFERROR(_xlfn.TEXTBEFORE(_xlpm.x," ("),_xlpm.x)))*(#REF!=INDIRECT("r"&amp;MATCH("TAP",$A:$A,0)&amp;"c",FALSE)),0)),0)</f>
        <v>0</v>
      </c>
      <c r="U295" s="377" cm="1">
        <f t="array" aca="1" ref="U295" ca="1">IFERROR(SUM(_xlfn._xlws.FILTER(SchPdt3[Value],(SchPdt3[PrjId]=$B295)*(SchPdt3[Row]=$D295)*(SchPdt3[Column]=_xlfn.LET(_xlpm.x,SUBSTITUTE(UPPER(INDIRECT("r"&amp;MATCH("TIP",$A:$A,0)&amp;"c"&amp;IF(INDIRECT("r"&amp;MATCH("TAP",$A:$A,0)&amp;"c",FALSE)="SERRA","","[-1]"),FALSE)),".",""),IFERROR(_xlfn.TEXTBEFORE(_xlpm.x," ("),_xlpm.x)))*(#REF!=INDIRECT("r"&amp;MATCH("TAP",$A:$A,0)&amp;"c",FALSE)),0)),0)</f>
        <v>0</v>
      </c>
      <c r="V295" s="377" cm="1">
        <f t="array" aca="1" ref="V295" ca="1">IFERROR(SUM(_xlfn._xlws.FILTER(SchPdt3[Value],(SchPdt3[PrjId]=$B295)*(SchPdt3[Row]=$D295)*(SchPdt3[Column]=_xlfn.LET(_xlpm.x,SUBSTITUTE(UPPER(INDIRECT("r"&amp;MATCH("TIP",$A:$A,0)&amp;"c"&amp;IF(INDIRECT("r"&amp;MATCH("TAP",$A:$A,0)&amp;"c",FALSE)="SERRA","","[-1]"),FALSE)),".",""),IFERROR(_xlfn.TEXTBEFORE(_xlpm.x," ("),_xlpm.x)))*(#REF!=INDIRECT("r"&amp;MATCH("TAP",$A:$A,0)&amp;"c",FALSE)),0)),0)</f>
        <v>0</v>
      </c>
      <c r="W295" s="377" cm="1">
        <f t="array" aca="1" ref="W295" ca="1">IFERROR(SUM(_xlfn._xlws.FILTER(SchPdt3[Value],(SchPdt3[PrjId]=$B295)*(SchPdt3[Row]=$D295)*(SchPdt3[Column]=_xlfn.LET(_xlpm.x,SUBSTITUTE(UPPER(INDIRECT("r"&amp;MATCH("TIP",$A:$A,0)&amp;"c"&amp;IF(INDIRECT("r"&amp;MATCH("TAP",$A:$A,0)&amp;"c",FALSE)="SERRA","","[-1]"),FALSE)),".",""),IFERROR(_xlfn.TEXTBEFORE(_xlpm.x," ("),_xlpm.x)))*(#REF!=INDIRECT("r"&amp;MATCH("TAP",$A:$A,0)&amp;"c",FALSE)),0)),0)</f>
        <v>0</v>
      </c>
      <c r="X295" s="377" cm="1">
        <f t="array" aca="1" ref="X295" ca="1">IFERROR(SUM(_xlfn._xlws.FILTER(SchPdt3[Value],(SchPdt3[PrjId]=$B295)*(SchPdt3[Row]=$D295)*(SchPdt3[Column]=_xlfn.LET(_xlpm.x,SUBSTITUTE(UPPER(INDIRECT("r"&amp;MATCH("TIP",$A:$A,0)&amp;"c"&amp;IF(INDIRECT("r"&amp;MATCH("TAP",$A:$A,0)&amp;"c",FALSE)="SERRA","","[-1]"),FALSE)),".",""),IFERROR(_xlfn.TEXTBEFORE(_xlpm.x," ("),_xlpm.x)))*(#REF!=INDIRECT("r"&amp;MATCH("TAP",$A:$A,0)&amp;"c",FALSE)),0)),0)</f>
        <v>0</v>
      </c>
      <c r="Y295" s="377" cm="1">
        <f t="array" aca="1" ref="Y295" ca="1">IFERROR(SUM(_xlfn._xlws.FILTER(SchPdt3[Value],(SchPdt3[PrjId]=$B295)*(SchPdt3[Row]=$D295)*(SchPdt3[Column]=_xlfn.LET(_xlpm.x,SUBSTITUTE(UPPER(INDIRECT("r"&amp;MATCH("TIP",$A:$A,0)&amp;"c"&amp;IF(INDIRECT("r"&amp;MATCH("TAP",$A:$A,0)&amp;"c",FALSE)="SERRA","","[-1]"),FALSE)),".",""),IFERROR(_xlfn.TEXTBEFORE(_xlpm.x," ("),_xlpm.x)))*(#REF!=INDIRECT("r"&amp;MATCH("TAP",$A:$A,0)&amp;"c",FALSE)),0)),0)</f>
        <v>0</v>
      </c>
      <c r="Z295" s="377" cm="1">
        <f t="array" aca="1" ref="Z295" ca="1">IFERROR(SUM(_xlfn._xlws.FILTER(SchPdt3[Value],(SchPdt3[PrjId]=$B295)*(SchPdt3[Row]=$D295)*(SchPdt3[Column]=_xlfn.LET(_xlpm.x,SUBSTITUTE(UPPER(INDIRECT("r"&amp;MATCH("TIP",$A:$A,0)&amp;"c"&amp;IF(INDIRECT("r"&amp;MATCH("TAP",$A:$A,0)&amp;"c",FALSE)="SERRA","","[-1]"),FALSE)),".",""),IFERROR(_xlfn.TEXTBEFORE(_xlpm.x," ("),_xlpm.x)))*(#REF!=INDIRECT("r"&amp;MATCH("TAP",$A:$A,0)&amp;"c",FALSE)),0)),0)</f>
        <v>0</v>
      </c>
      <c r="AA295" s="377" cm="1">
        <f t="array" aca="1" ref="AA295" ca="1">IFERROR(SUM(_xlfn._xlws.FILTER(SchPdt3[Value],(SchPdt3[PrjId]=$B295)*(SchPdt3[Row]=$D295)*(SchPdt3[Column]=_xlfn.LET(_xlpm.x,SUBSTITUTE(UPPER(INDIRECT("r"&amp;MATCH("TIP",$A:$A,0)&amp;"c"&amp;IF(INDIRECT("r"&amp;MATCH("TAP",$A:$A,0)&amp;"c",FALSE)="SERRA","","[-1]"),FALSE)),".",""),IFERROR(_xlfn.TEXTBEFORE(_xlpm.x," ("),_xlpm.x)))*(#REF!=INDIRECT("r"&amp;MATCH("TAP",$A:$A,0)&amp;"c",FALSE)),0)),0)</f>
        <v>0</v>
      </c>
      <c r="AB295" s="377" cm="1">
        <f t="array" aca="1" ref="AB295" ca="1">IFERROR(SUM(_xlfn._xlws.FILTER(SchPdt3[Value],(SchPdt3[PrjId]=$B295)*(SchPdt3[Row]=$D295)*(SchPdt3[Column]=_xlfn.LET(_xlpm.x,SUBSTITUTE(UPPER(INDIRECT("r"&amp;MATCH("TIP",$A:$A,0)&amp;"c"&amp;IF(INDIRECT("r"&amp;MATCH("TAP",$A:$A,0)&amp;"c",FALSE)="SERRA","","[-1]"),FALSE)),".",""),IFERROR(_xlfn.TEXTBEFORE(_xlpm.x," ("),_xlpm.x)))*(#REF!=INDIRECT("r"&amp;MATCH("TAP",$A:$A,0)&amp;"c",FALSE)),0)),0)</f>
        <v>0</v>
      </c>
      <c r="AC295" s="377" cm="1">
        <f t="array" aca="1" ref="AC295" ca="1">IFERROR(SUM(_xlfn._xlws.FILTER(SchPdt3[Value],(SchPdt3[PrjId]=$B295)*(SchPdt3[Row]=$D295)*(SchPdt3[Column]=_xlfn.LET(_xlpm.x,SUBSTITUTE(UPPER(INDIRECT("r"&amp;MATCH("TIP",$A:$A,0)&amp;"c"&amp;IF(INDIRECT("r"&amp;MATCH("TAP",$A:$A,0)&amp;"c",FALSE)="SERRA","","[-1]"),FALSE)),".",""),IFERROR(_xlfn.TEXTBEFORE(_xlpm.x," ("),_xlpm.x)))*(#REF!=INDIRECT("r"&amp;MATCH("TAP",$A:$A,0)&amp;"c",FALSE)),0)),0)</f>
        <v>0</v>
      </c>
      <c r="AD295" s="377" cm="1">
        <f t="array" aca="1" ref="AD295" ca="1">IFERROR(SUM(_xlfn._xlws.FILTER(SchPdt3[Value],(SchPdt3[PrjId]=$B295)*(SchPdt3[Row]=$D295)*(SchPdt3[Column]=_xlfn.LET(_xlpm.x,SUBSTITUTE(UPPER(INDIRECT("r"&amp;MATCH("TIP",$A:$A,0)&amp;"c"&amp;IF(INDIRECT("r"&amp;MATCH("TAP",$A:$A,0)&amp;"c",FALSE)="SERRA","","[-1]"),FALSE)),".",""),IFERROR(_xlfn.TEXTBEFORE(_xlpm.x," ("),_xlpm.x)))*(#REF!=INDIRECT("r"&amp;MATCH("TAP",$A:$A,0)&amp;"c",FALSE)),0)),0)</f>
        <v>0</v>
      </c>
      <c r="AE295" s="377" cm="1">
        <f t="array" aca="1" ref="AE295" ca="1">IFERROR(SUM(_xlfn._xlws.FILTER(SchPdt3[Value],(SchPdt3[PrjId]=$B295)*(SchPdt3[Row]=$D295)*(SchPdt3[Column]=_xlfn.LET(_xlpm.x,SUBSTITUTE(UPPER(INDIRECT("r"&amp;MATCH("TIP",$A:$A,0)&amp;"c"&amp;IF(INDIRECT("r"&amp;MATCH("TAP",$A:$A,0)&amp;"c",FALSE)="SERRA","","[-1]"),FALSE)),".",""),IFERROR(_xlfn.TEXTBEFORE(_xlpm.x," ("),_xlpm.x)))*(#REF!=INDIRECT("r"&amp;MATCH("TAP",$A:$A,0)&amp;"c",FALSE)),0)),0)</f>
        <v>0</v>
      </c>
      <c r="AF295" s="377" cm="1">
        <f t="array" aca="1" ref="AF295" ca="1">IFERROR(SUM(_xlfn._xlws.FILTER(SchPdt3[Value],(SchPdt3[PrjId]=$B295)*(SchPdt3[Row]=$D295)*(SchPdt3[Column]=_xlfn.LET(_xlpm.x,SUBSTITUTE(UPPER(INDIRECT("r"&amp;MATCH("TIP",$A:$A,0)&amp;"c"&amp;IF(INDIRECT("r"&amp;MATCH("TAP",$A:$A,0)&amp;"c",FALSE)="SERRA","","[-1]"),FALSE)),".",""),IFERROR(_xlfn.TEXTBEFORE(_xlpm.x," ("),_xlpm.x)))*(#REF!=INDIRECT("r"&amp;MATCH("TAP",$A:$A,0)&amp;"c",FALSE)),0)),0)</f>
        <v>0</v>
      </c>
      <c r="AG295" s="377" cm="1">
        <f t="array" aca="1" ref="AG295" ca="1">IFERROR(SUM(_xlfn._xlws.FILTER(SchPdt3[Value],(SchPdt3[PrjId]=$B295)*(SchPdt3[Row]=$D295)*(SchPdt3[Column]=_xlfn.LET(_xlpm.x,SUBSTITUTE(UPPER(INDIRECT("r"&amp;MATCH("TIP",$A:$A,0)&amp;"c"&amp;IF(INDIRECT("r"&amp;MATCH("TAP",$A:$A,0)&amp;"c",FALSE)="SERRA","","[-1]"),FALSE)),".",""),IFERROR(_xlfn.TEXTBEFORE(_xlpm.x," ("),_xlpm.x)))*(#REF!=INDIRECT("r"&amp;MATCH("TAP",$A:$A,0)&amp;"c",FALSE)),0)),0)</f>
        <v>0</v>
      </c>
      <c r="AH295" s="377" cm="1">
        <f t="array" aca="1" ref="AH295" ca="1">IFERROR(SUM(_xlfn._xlws.FILTER(SchPdt3[Value],(SchPdt3[PrjId]=$B295)*(SchPdt3[Row]=$D295)*(SchPdt3[Column]=_xlfn.LET(_xlpm.x,SUBSTITUTE(UPPER(INDIRECT("r"&amp;MATCH("TIP",$A:$A,0)&amp;"c"&amp;IF(INDIRECT("r"&amp;MATCH("TAP",$A:$A,0)&amp;"c",FALSE)="SERRA","","[-1]"),FALSE)),".",""),IFERROR(_xlfn.TEXTBEFORE(_xlpm.x," ("),_xlpm.x)))*(#REF!=INDIRECT("r"&amp;MATCH("TAP",$A:$A,0)&amp;"c",FALSE)),0)),0)</f>
        <v>0</v>
      </c>
      <c r="AI295" s="377" cm="1">
        <f t="array" aca="1" ref="AI295" ca="1">IFERROR(SUM(_xlfn._xlws.FILTER(SchPdt3[Value],(SchPdt3[PrjId]=$B295)*(SchPdt3[Row]=$D295)*(SchPdt3[Column]=_xlfn.LET(_xlpm.x,SUBSTITUTE(UPPER(INDIRECT("r"&amp;MATCH("TIP",$A:$A,0)&amp;"c"&amp;IF(INDIRECT("r"&amp;MATCH("TAP",$A:$A,0)&amp;"c",FALSE)="SERRA","","[-1]"),FALSE)),".",""),IFERROR(_xlfn.TEXTBEFORE(_xlpm.x," ("),_xlpm.x)))*(#REF!=INDIRECT("r"&amp;MATCH("TAP",$A:$A,0)&amp;"c",FALSE)),0)),0)</f>
        <v>0</v>
      </c>
      <c r="AJ295" s="377" cm="1">
        <f t="array" aca="1" ref="AJ295" ca="1">IFERROR(SUM(_xlfn._xlws.FILTER(SchPdt3[Value],(SchPdt3[PrjId]=$B295)*(SchPdt3[Row]=$D295)*(SchPdt3[Column]=_xlfn.LET(_xlpm.x,SUBSTITUTE(UPPER(INDIRECT("r"&amp;MATCH("TIP",$A:$A,0)&amp;"c"&amp;IF(INDIRECT("r"&amp;MATCH("TAP",$A:$A,0)&amp;"c",FALSE)="SERRA","","[-1]"),FALSE)),".",""),IFERROR(_xlfn.TEXTBEFORE(_xlpm.x," ("),_xlpm.x)))*(#REF!=INDIRECT("r"&amp;MATCH("TAP",$A:$A,0)&amp;"c",FALSE)),0)),0)</f>
        <v>0</v>
      </c>
      <c r="AK295" s="377" cm="1">
        <f t="array" aca="1" ref="AK295" ca="1">IFERROR(SUM(_xlfn._xlws.FILTER(SchPdt3[Value],(SchPdt3[PrjId]=$B295)*(SchPdt3[Row]=$D295)*(SchPdt3[Column]=_xlfn.LET(_xlpm.x,SUBSTITUTE(UPPER(INDIRECT("r"&amp;MATCH("TIP",$A:$A,0)&amp;"c"&amp;IF(INDIRECT("r"&amp;MATCH("TAP",$A:$A,0)&amp;"c",FALSE)="SERRA","","[-1]"),FALSE)),".",""),IFERROR(_xlfn.TEXTBEFORE(_xlpm.x," ("),_xlpm.x)))*(#REF!=INDIRECT("r"&amp;MATCH("TAP",$A:$A,0)&amp;"c",FALSE)),0)),0)</f>
        <v>0</v>
      </c>
      <c r="AL295" s="377" cm="1">
        <f t="array" aca="1" ref="AL295" ca="1">IFERROR(SUM(_xlfn._xlws.FILTER(SchPdt3[Value],(SchPdt3[PrjId]=$B295)*(SchPdt3[Row]=$D295)*(SchPdt3[Column]=_xlfn.LET(_xlpm.x,SUBSTITUTE(UPPER(INDIRECT("r"&amp;MATCH("TIP",$A:$A,0)&amp;"c"&amp;IF(INDIRECT("r"&amp;MATCH("TAP",$A:$A,0)&amp;"c",FALSE)="SERRA","","[-1]"),FALSE)),".",""),IFERROR(_xlfn.TEXTBEFORE(_xlpm.x," ("),_xlpm.x)))*(#REF!=INDIRECT("r"&amp;MATCH("TAP",$A:$A,0)&amp;"c",FALSE)),0)),0)</f>
        <v>0</v>
      </c>
      <c r="AM295" s="377" cm="1">
        <f t="array" aca="1" ref="AM295" ca="1">IFERROR(SUM(_xlfn._xlws.FILTER(SchPdt3[Value],(SchPdt3[PrjId]=$B295)*(SchPdt3[Row]=$D295)*(SchPdt3[Column]=_xlfn.LET(_xlpm.x,SUBSTITUTE(UPPER(INDIRECT("r"&amp;MATCH("TIP",$A:$A,0)&amp;"c"&amp;IF(INDIRECT("r"&amp;MATCH("TAP",$A:$A,0)&amp;"c",FALSE)="SERRA","","[-1]"),FALSE)),".",""),IFERROR(_xlfn.TEXTBEFORE(_xlpm.x," ("),_xlpm.x)))*(#REF!=INDIRECT("r"&amp;MATCH("TAP",$A:$A,0)&amp;"c",FALSE)),0)),0)</f>
        <v>0</v>
      </c>
      <c r="AN295" s="377" cm="1">
        <f t="array" aca="1" ref="AN295" ca="1">IFERROR(SUM(_xlfn._xlws.FILTER(SchPdt3[Value],(SchPdt3[PrjId]=$B295)*(SchPdt3[Row]=$D295)*(SchPdt3[Column]=_xlfn.LET(_xlpm.x,SUBSTITUTE(UPPER(INDIRECT("r"&amp;MATCH("TIP",$A:$A,0)&amp;"c"&amp;IF(INDIRECT("r"&amp;MATCH("TAP",$A:$A,0)&amp;"c",FALSE)="SERRA","","[-1]"),FALSE)),".",""),IFERROR(_xlfn.TEXTBEFORE(_xlpm.x," ("),_xlpm.x)))*(#REF!=INDIRECT("r"&amp;MATCH("TAP",$A:$A,0)&amp;"c",FALSE)),0)),0)</f>
        <v>0</v>
      </c>
      <c r="AO295" s="377" cm="1">
        <f t="array" aca="1" ref="AO295" ca="1">IFERROR(SUM(_xlfn._xlws.FILTER(SchPdt3[Value],(SchPdt3[PrjId]=$B295)*(SchPdt3[Row]=$D295)*(SchPdt3[Column]=_xlfn.LET(_xlpm.x,SUBSTITUTE(UPPER(INDIRECT("r"&amp;MATCH("TIP",$A:$A,0)&amp;"c"&amp;IF(INDIRECT("r"&amp;MATCH("TAP",$A:$A,0)&amp;"c",FALSE)="SERRA","","[-1]"),FALSE)),".",""),IFERROR(_xlfn.TEXTBEFORE(_xlpm.x," ("),_xlpm.x)))*(#REF!=INDIRECT("r"&amp;MATCH("TAP",$A:$A,0)&amp;"c",FALSE)),0)),0)</f>
        <v>0</v>
      </c>
      <c r="AP295" s="377" cm="1">
        <f t="array" aca="1" ref="AP295" ca="1">IFERROR(SUM(_xlfn._xlws.FILTER(SchPdt3[Value],(SchPdt3[PrjId]=$B295)*(SchPdt3[Row]=$D295)*(SchPdt3[Column]=_xlfn.LET(_xlpm.x,SUBSTITUTE(UPPER(INDIRECT("r"&amp;MATCH("TIP",$A:$A,0)&amp;"c"&amp;IF(INDIRECT("r"&amp;MATCH("TAP",$A:$A,0)&amp;"c",FALSE)="SERRA","","[-1]"),FALSE)),".",""),IFERROR(_xlfn.TEXTBEFORE(_xlpm.x," ("),_xlpm.x)))*(#REF!=INDIRECT("r"&amp;MATCH("TAP",$A:$A,0)&amp;"c",FALSE)),0)),0)</f>
        <v>0</v>
      </c>
      <c r="AQ295" s="377" cm="1">
        <f t="array" aca="1" ref="AQ295" ca="1">SUM(IF(INDIRECT($AS$115)=AQ$115,INDIRECT($AS295)))</f>
        <v>0</v>
      </c>
      <c r="AR295" s="377" cm="1">
        <f t="array" aca="1" ref="AR295" ca="1">SUM(IF(INDIRECT($AS$115)=AR$115,INDIRECT($AS295)))</f>
        <v>0</v>
      </c>
      <c r="AS295" s="286" t="str">
        <f t="shared" si="23"/>
        <v>G295:AP295</v>
      </c>
      <c r="AT295" s="403">
        <f t="shared" ca="1" si="24"/>
        <v>0</v>
      </c>
      <c r="AV295" s="142" cm="1">
        <f t="array" aca="1" ref="AV295" ca="1">IF(AND(_xlfn.LET(_xlpm.x,SUM(ROW()),OR(AND(MATCH("SOT",$A:$A,0)&lt;_xlpm.x,MATCH("EOT",$A:$A,0)&gt;_xlpm.x),AND(MATCH("SOS",$A:$A,0)&lt;_xlpm.x,MATCH("EOS",$A:$A,0)&gt;_xlpm.x),AND(MATCH("SOR",$A:$A,0)&lt;_xlpm.x,MATCH("EOR",$A:$A,0)&gt;_xlpm.x))),INDIRECT("rc"&amp;MATCH("SCD",$1:$1,0),FALSE)="PPTO"),1,0)</f>
        <v>0</v>
      </c>
      <c r="AW295" s="142" cm="1">
        <f t="array" aca="1" ref="AW29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96" spans="1:49" s="153" customFormat="1" outlineLevel="2">
      <c r="A296" s="152"/>
      <c r="B296" s="401" t="str">
        <f t="shared" si="22"/>
        <v>X</v>
      </c>
      <c r="C296" s="148"/>
      <c r="D296" s="404"/>
      <c r="E296" s="350" t="str" cm="1">
        <f t="array" ref="E296">UPPER(_xlfn.UNIQUE(_xlfn._xlws.FILTER(TbRowMacro[RowMacroName],TbRowMacro[RowMcroId]=$D296,"X")))</f>
        <v>X</v>
      </c>
      <c r="F296" s="402"/>
      <c r="G296" s="377" cm="1">
        <f t="array" aca="1" ref="G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H296" s="377" cm="1">
        <f t="array" aca="1" ref="H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I296" s="377" cm="1">
        <f t="array" aca="1" ref="I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J296" s="377" cm="1">
        <f t="array" aca="1" ref="J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K296" s="377" cm="1">
        <f t="array" aca="1" ref="K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L296" s="377" cm="1">
        <f t="array" aca="1" ref="L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M296" s="377" cm="1">
        <f t="array" aca="1" ref="M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N296" s="377" cm="1">
        <f t="array" aca="1" ref="N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O296" s="377" cm="1">
        <f t="array" aca="1" ref="O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P296" s="377" cm="1">
        <f t="array" aca="1" ref="P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Q296" s="377" cm="1">
        <f t="array" aca="1" ref="Q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R296" s="377" cm="1">
        <f t="array" aca="1" ref="R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S296" s="377" cm="1">
        <f t="array" aca="1" ref="S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T296" s="377" cm="1">
        <f t="array" aca="1" ref="T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U296" s="377" cm="1">
        <f t="array" aca="1" ref="U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V296" s="377" cm="1">
        <f t="array" aca="1" ref="V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W296" s="377" cm="1">
        <f t="array" aca="1" ref="W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X296" s="377" cm="1">
        <f t="array" aca="1" ref="X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Y296" s="377" cm="1">
        <f t="array" aca="1" ref="Y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Z296" s="377" cm="1">
        <f t="array" aca="1" ref="Z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AA296" s="377" cm="1">
        <f t="array" aca="1" ref="AA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AB296" s="377" cm="1">
        <f t="array" aca="1" ref="AB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AC296" s="377" cm="1">
        <f t="array" aca="1" ref="AC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AD296" s="377" cm="1">
        <f t="array" aca="1" ref="AD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AE296" s="377" cm="1">
        <f t="array" aca="1" ref="AE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AF296" s="377" cm="1">
        <f t="array" aca="1" ref="AF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AG296" s="377" cm="1">
        <f t="array" aca="1" ref="AG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AH296" s="377" cm="1">
        <f t="array" aca="1" ref="AH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AI296" s="377" cm="1">
        <f t="array" aca="1" ref="AI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AJ296" s="377" cm="1">
        <f t="array" aca="1" ref="AJ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AK296" s="377" cm="1">
        <f t="array" aca="1" ref="AK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AL296" s="377" cm="1">
        <f t="array" aca="1" ref="AL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AM296" s="377" cm="1">
        <f t="array" aca="1" ref="AM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AN296" s="377" cm="1">
        <f t="array" aca="1" ref="AN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AO296" s="377" cm="1">
        <f t="array" aca="1" ref="AO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AP296" s="377" cm="1">
        <f t="array" aca="1" ref="AP296"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296)*(ISNUMBER(FIND(_xlpm.v,_xlfn.TEXTJOIN(":",TRUE,_xlfn.UNIQUE(_xlfn._xlws.FILTER(TbStd[RowGrp],TbStd[Row5]=$D296,"X"))))))),0)),0)</f>
        <v>0</v>
      </c>
      <c r="AQ296" s="377" cm="1">
        <f t="array" aca="1" ref="AQ296" ca="1">SUM(IF(INDIRECT($AS$115)=AQ$115,INDIRECT($AS296)))</f>
        <v>0</v>
      </c>
      <c r="AR296" s="377" cm="1">
        <f t="array" aca="1" ref="AR296" ca="1">SUM(IF(INDIRECT($AS$115)=AR$115,INDIRECT($AS296)))</f>
        <v>0</v>
      </c>
      <c r="AS296" s="286" t="str">
        <f t="shared" si="23"/>
        <v>G296:AP296</v>
      </c>
      <c r="AT296" s="403">
        <f t="shared" ca="1" si="24"/>
        <v>0</v>
      </c>
      <c r="AV296" s="142" cm="1">
        <f t="array" aca="1" ref="AV296" ca="1">IF(AND(_xlfn.LET(_xlpm.x,SUM(ROW()),OR(AND(MATCH("SOT",$A:$A,0)&lt;_xlpm.x,MATCH("EOT",$A:$A,0)&gt;_xlpm.x),AND(MATCH("SOS",$A:$A,0)&lt;_xlpm.x,MATCH("EOS",$A:$A,0)&gt;_xlpm.x),AND(MATCH("SOR",$A:$A,0)&lt;_xlpm.x,MATCH("EOR",$A:$A,0)&gt;_xlpm.x))),INDIRECT("rc"&amp;MATCH("SCD",$1:$1,0),FALSE)="PPTO"),1,0)</f>
        <v>0</v>
      </c>
      <c r="AW296" s="142" cm="1">
        <f t="array" aca="1" ref="AW29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97" spans="1:49" s="153" customFormat="1" outlineLevel="2">
      <c r="A297" s="152"/>
      <c r="B297" s="401" t="str">
        <f t="shared" si="22"/>
        <v>X</v>
      </c>
      <c r="C297" s="148"/>
      <c r="D297" s="404"/>
      <c r="E297" s="350" t="str" cm="1">
        <f t="array" ref="E297">UPPER(_xlfn.UNIQUE(_xlfn._xlws.FILTER(TbRowMacro[RowMacroName],TbRowMacro[RowMcroId]=$D297,"X")))</f>
        <v>X</v>
      </c>
      <c r="F297" s="402"/>
      <c r="G297" s="377" cm="1">
        <f t="array" aca="1" ref="G297" ca="1">IFERROR(SUM(_xlfn._xlws.FILTER(SchPdt3[Value],(SchPdt3[PrjId]=$B297)*(SchPdt3[Row]=$D297)*(SchPdt3[Column]=_xlfn.LET(_xlpm.x,SUBSTITUTE(UPPER(INDIRECT("r"&amp;MATCH("TIP",$A:$A,0)&amp;"c"&amp;IF(INDIRECT("r"&amp;MATCH("TAP",$A:$A,0)&amp;"c",FALSE)="SERRA","","[-1]"),FALSE)),".",""),IFERROR(_xlfn.TEXTBEFORE(_xlpm.x," ("),_xlpm.x)))*(#REF!=INDIRECT("r"&amp;MATCH("TAP",$A:$A,0)&amp;"c",FALSE)),0)),0)</f>
        <v>0</v>
      </c>
      <c r="H297" s="377" cm="1">
        <f t="array" aca="1" ref="H297" ca="1">IFERROR(SUM(_xlfn._xlws.FILTER(SchPdt3[Value],(SchPdt3[PrjId]=$B297)*(SchPdt3[Row]=$D297)*(SchPdt3[Column]=_xlfn.LET(_xlpm.x,SUBSTITUTE(UPPER(INDIRECT("r"&amp;MATCH("TIP",$A:$A,0)&amp;"c"&amp;IF(INDIRECT("r"&amp;MATCH("TAP",$A:$A,0)&amp;"c",FALSE)="SERRA","","[-1]"),FALSE)),".",""),IFERROR(_xlfn.TEXTBEFORE(_xlpm.x," ("),_xlpm.x)))*(#REF!=INDIRECT("r"&amp;MATCH("TAP",$A:$A,0)&amp;"c",FALSE)),0)),0)</f>
        <v>0</v>
      </c>
      <c r="I297" s="377" cm="1">
        <f t="array" aca="1" ref="I297" ca="1">IFERROR(SUM(_xlfn._xlws.FILTER(SchPdt3[Value],(SchPdt3[PrjId]=$B297)*(SchPdt3[Row]=$D297)*(SchPdt3[Column]=_xlfn.LET(_xlpm.x,SUBSTITUTE(UPPER(INDIRECT("r"&amp;MATCH("TIP",$A:$A,0)&amp;"c"&amp;IF(INDIRECT("r"&amp;MATCH("TAP",$A:$A,0)&amp;"c",FALSE)="SERRA","","[-1]"),FALSE)),".",""),IFERROR(_xlfn.TEXTBEFORE(_xlpm.x," ("),_xlpm.x)))*(#REF!=INDIRECT("r"&amp;MATCH("TAP",$A:$A,0)&amp;"c",FALSE)),0)),0)</f>
        <v>0</v>
      </c>
      <c r="J297" s="377" cm="1">
        <f t="array" aca="1" ref="J297" ca="1">IFERROR(SUM(_xlfn._xlws.FILTER(SchPdt3[Value],(SchPdt3[PrjId]=$B297)*(SchPdt3[Row]=$D297)*(SchPdt3[Column]=_xlfn.LET(_xlpm.x,SUBSTITUTE(UPPER(INDIRECT("r"&amp;MATCH("TIP",$A:$A,0)&amp;"c"&amp;IF(INDIRECT("r"&amp;MATCH("TAP",$A:$A,0)&amp;"c",FALSE)="SERRA","","[-1]"),FALSE)),".",""),IFERROR(_xlfn.TEXTBEFORE(_xlpm.x," ("),_xlpm.x)))*(#REF!=INDIRECT("r"&amp;MATCH("TAP",$A:$A,0)&amp;"c",FALSE)),0)),0)</f>
        <v>0</v>
      </c>
      <c r="K297" s="377" cm="1">
        <f t="array" aca="1" ref="K297" ca="1">IFERROR(SUM(_xlfn._xlws.FILTER(SchPdt3[Value],(SchPdt3[PrjId]=$B297)*(SchPdt3[Row]=$D297)*(SchPdt3[Column]=_xlfn.LET(_xlpm.x,SUBSTITUTE(UPPER(INDIRECT("r"&amp;MATCH("TIP",$A:$A,0)&amp;"c"&amp;IF(INDIRECT("r"&amp;MATCH("TAP",$A:$A,0)&amp;"c",FALSE)="SERRA","","[-1]"),FALSE)),".",""),IFERROR(_xlfn.TEXTBEFORE(_xlpm.x," ("),_xlpm.x)))*(#REF!=INDIRECT("r"&amp;MATCH("TAP",$A:$A,0)&amp;"c",FALSE)),0)),0)</f>
        <v>0</v>
      </c>
      <c r="L297" s="377" cm="1">
        <f t="array" aca="1" ref="L297" ca="1">IFERROR(SUM(_xlfn._xlws.FILTER(SchPdt3[Value],(SchPdt3[PrjId]=$B297)*(SchPdt3[Row]=$D297)*(SchPdt3[Column]=_xlfn.LET(_xlpm.x,SUBSTITUTE(UPPER(INDIRECT("r"&amp;MATCH("TIP",$A:$A,0)&amp;"c"&amp;IF(INDIRECT("r"&amp;MATCH("TAP",$A:$A,0)&amp;"c",FALSE)="SERRA","","[-1]"),FALSE)),".",""),IFERROR(_xlfn.TEXTBEFORE(_xlpm.x," ("),_xlpm.x)))*(#REF!=INDIRECT("r"&amp;MATCH("TAP",$A:$A,0)&amp;"c",FALSE)),0)),0)</f>
        <v>0</v>
      </c>
      <c r="M297" s="377" cm="1">
        <f t="array" aca="1" ref="M297" ca="1">IFERROR(SUM(_xlfn._xlws.FILTER(SchPdt3[Value],(SchPdt3[PrjId]=$B297)*(SchPdt3[Row]=$D297)*(SchPdt3[Column]=_xlfn.LET(_xlpm.x,SUBSTITUTE(UPPER(INDIRECT("r"&amp;MATCH("TIP",$A:$A,0)&amp;"c"&amp;IF(INDIRECT("r"&amp;MATCH("TAP",$A:$A,0)&amp;"c",FALSE)="SERRA","","[-1]"),FALSE)),".",""),IFERROR(_xlfn.TEXTBEFORE(_xlpm.x," ("),_xlpm.x)))*(#REF!=INDIRECT("r"&amp;MATCH("TAP",$A:$A,0)&amp;"c",FALSE)),0)),0)</f>
        <v>0</v>
      </c>
      <c r="N297" s="377" cm="1">
        <f t="array" aca="1" ref="N297" ca="1">IFERROR(SUM(_xlfn._xlws.FILTER(SchPdt3[Value],(SchPdt3[PrjId]=$B297)*(SchPdt3[Row]=$D297)*(SchPdt3[Column]=_xlfn.LET(_xlpm.x,SUBSTITUTE(UPPER(INDIRECT("r"&amp;MATCH("TIP",$A:$A,0)&amp;"c"&amp;IF(INDIRECT("r"&amp;MATCH("TAP",$A:$A,0)&amp;"c",FALSE)="SERRA","","[-1]"),FALSE)),".",""),IFERROR(_xlfn.TEXTBEFORE(_xlpm.x," ("),_xlpm.x)))*(#REF!=INDIRECT("r"&amp;MATCH("TAP",$A:$A,0)&amp;"c",FALSE)),0)),0)</f>
        <v>0</v>
      </c>
      <c r="O297" s="377" cm="1">
        <f t="array" aca="1" ref="O297" ca="1">IFERROR(SUM(_xlfn._xlws.FILTER(SchPdt3[Value],(SchPdt3[PrjId]=$B297)*(SchPdt3[Row]=$D297)*(SchPdt3[Column]=_xlfn.LET(_xlpm.x,SUBSTITUTE(UPPER(INDIRECT("r"&amp;MATCH("TIP",$A:$A,0)&amp;"c"&amp;IF(INDIRECT("r"&amp;MATCH("TAP",$A:$A,0)&amp;"c",FALSE)="SERRA","","[-1]"),FALSE)),".",""),IFERROR(_xlfn.TEXTBEFORE(_xlpm.x," ("),_xlpm.x)))*(#REF!=INDIRECT("r"&amp;MATCH("TAP",$A:$A,0)&amp;"c",FALSE)),0)),0)</f>
        <v>0</v>
      </c>
      <c r="P297" s="377" cm="1">
        <f t="array" aca="1" ref="P297" ca="1">IFERROR(SUM(_xlfn._xlws.FILTER(SchPdt3[Value],(SchPdt3[PrjId]=$B297)*(SchPdt3[Row]=$D297)*(SchPdt3[Column]=_xlfn.LET(_xlpm.x,SUBSTITUTE(UPPER(INDIRECT("r"&amp;MATCH("TIP",$A:$A,0)&amp;"c"&amp;IF(INDIRECT("r"&amp;MATCH("TAP",$A:$A,0)&amp;"c",FALSE)="SERRA","","[-1]"),FALSE)),".",""),IFERROR(_xlfn.TEXTBEFORE(_xlpm.x," ("),_xlpm.x)))*(#REF!=INDIRECT("r"&amp;MATCH("TAP",$A:$A,0)&amp;"c",FALSE)),0)),0)</f>
        <v>0</v>
      </c>
      <c r="Q297" s="377" cm="1">
        <f t="array" aca="1" ref="Q297" ca="1">IFERROR(SUM(_xlfn._xlws.FILTER(SchPdt3[Value],(SchPdt3[PrjId]=$B297)*(SchPdt3[Row]=$D297)*(SchPdt3[Column]=_xlfn.LET(_xlpm.x,SUBSTITUTE(UPPER(INDIRECT("r"&amp;MATCH("TIP",$A:$A,0)&amp;"c"&amp;IF(INDIRECT("r"&amp;MATCH("TAP",$A:$A,0)&amp;"c",FALSE)="SERRA","","[-1]"),FALSE)),".",""),IFERROR(_xlfn.TEXTBEFORE(_xlpm.x," ("),_xlpm.x)))*(#REF!=INDIRECT("r"&amp;MATCH("TAP",$A:$A,0)&amp;"c",FALSE)),0)),0)</f>
        <v>0</v>
      </c>
      <c r="R297" s="377" cm="1">
        <f t="array" aca="1" ref="R297" ca="1">IFERROR(SUM(_xlfn._xlws.FILTER(SchPdt3[Value],(SchPdt3[PrjId]=$B297)*(SchPdt3[Row]=$D297)*(SchPdt3[Column]=_xlfn.LET(_xlpm.x,SUBSTITUTE(UPPER(INDIRECT("r"&amp;MATCH("TIP",$A:$A,0)&amp;"c"&amp;IF(INDIRECT("r"&amp;MATCH("TAP",$A:$A,0)&amp;"c",FALSE)="SERRA","","[-1]"),FALSE)),".",""),IFERROR(_xlfn.TEXTBEFORE(_xlpm.x," ("),_xlpm.x)))*(#REF!=INDIRECT("r"&amp;MATCH("TAP",$A:$A,0)&amp;"c",FALSE)),0)),0)</f>
        <v>0</v>
      </c>
      <c r="S297" s="377" cm="1">
        <f t="array" aca="1" ref="S297" ca="1">IFERROR(SUM(_xlfn._xlws.FILTER(SchPdt3[Value],(SchPdt3[PrjId]=$B297)*(SchPdt3[Row]=$D297)*(SchPdt3[Column]=_xlfn.LET(_xlpm.x,SUBSTITUTE(UPPER(INDIRECT("r"&amp;MATCH("TIP",$A:$A,0)&amp;"c"&amp;IF(INDIRECT("r"&amp;MATCH("TAP",$A:$A,0)&amp;"c",FALSE)="SERRA","","[-1]"),FALSE)),".",""),IFERROR(_xlfn.TEXTBEFORE(_xlpm.x," ("),_xlpm.x)))*(#REF!=INDIRECT("r"&amp;MATCH("TAP",$A:$A,0)&amp;"c",FALSE)),0)),0)</f>
        <v>0</v>
      </c>
      <c r="T297" s="377" cm="1">
        <f t="array" aca="1" ref="T297" ca="1">IFERROR(SUM(_xlfn._xlws.FILTER(SchPdt3[Value],(SchPdt3[PrjId]=$B297)*(SchPdt3[Row]=$D297)*(SchPdt3[Column]=_xlfn.LET(_xlpm.x,SUBSTITUTE(UPPER(INDIRECT("r"&amp;MATCH("TIP",$A:$A,0)&amp;"c"&amp;IF(INDIRECT("r"&amp;MATCH("TAP",$A:$A,0)&amp;"c",FALSE)="SERRA","","[-1]"),FALSE)),".",""),IFERROR(_xlfn.TEXTBEFORE(_xlpm.x," ("),_xlpm.x)))*(#REF!=INDIRECT("r"&amp;MATCH("TAP",$A:$A,0)&amp;"c",FALSE)),0)),0)</f>
        <v>0</v>
      </c>
      <c r="U297" s="377" cm="1">
        <f t="array" aca="1" ref="U297" ca="1">IFERROR(SUM(_xlfn._xlws.FILTER(SchPdt3[Value],(SchPdt3[PrjId]=$B297)*(SchPdt3[Row]=$D297)*(SchPdt3[Column]=_xlfn.LET(_xlpm.x,SUBSTITUTE(UPPER(INDIRECT("r"&amp;MATCH("TIP",$A:$A,0)&amp;"c"&amp;IF(INDIRECT("r"&amp;MATCH("TAP",$A:$A,0)&amp;"c",FALSE)="SERRA","","[-1]"),FALSE)),".",""),IFERROR(_xlfn.TEXTBEFORE(_xlpm.x," ("),_xlpm.x)))*(#REF!=INDIRECT("r"&amp;MATCH("TAP",$A:$A,0)&amp;"c",FALSE)),0)),0)</f>
        <v>0</v>
      </c>
      <c r="V297" s="377" cm="1">
        <f t="array" aca="1" ref="V297" ca="1">IFERROR(SUM(_xlfn._xlws.FILTER(SchPdt3[Value],(SchPdt3[PrjId]=$B297)*(SchPdt3[Row]=$D297)*(SchPdt3[Column]=_xlfn.LET(_xlpm.x,SUBSTITUTE(UPPER(INDIRECT("r"&amp;MATCH("TIP",$A:$A,0)&amp;"c"&amp;IF(INDIRECT("r"&amp;MATCH("TAP",$A:$A,0)&amp;"c",FALSE)="SERRA","","[-1]"),FALSE)),".",""),IFERROR(_xlfn.TEXTBEFORE(_xlpm.x," ("),_xlpm.x)))*(#REF!=INDIRECT("r"&amp;MATCH("TAP",$A:$A,0)&amp;"c",FALSE)),0)),0)</f>
        <v>0</v>
      </c>
      <c r="W297" s="377" cm="1">
        <f t="array" aca="1" ref="W297" ca="1">IFERROR(SUM(_xlfn._xlws.FILTER(SchPdt3[Value],(SchPdt3[PrjId]=$B297)*(SchPdt3[Row]=$D297)*(SchPdt3[Column]=_xlfn.LET(_xlpm.x,SUBSTITUTE(UPPER(INDIRECT("r"&amp;MATCH("TIP",$A:$A,0)&amp;"c"&amp;IF(INDIRECT("r"&amp;MATCH("TAP",$A:$A,0)&amp;"c",FALSE)="SERRA","","[-1]"),FALSE)),".",""),IFERROR(_xlfn.TEXTBEFORE(_xlpm.x," ("),_xlpm.x)))*(#REF!=INDIRECT("r"&amp;MATCH("TAP",$A:$A,0)&amp;"c",FALSE)),0)),0)</f>
        <v>0</v>
      </c>
      <c r="X297" s="377" cm="1">
        <f t="array" aca="1" ref="X297" ca="1">IFERROR(SUM(_xlfn._xlws.FILTER(SchPdt3[Value],(SchPdt3[PrjId]=$B297)*(SchPdt3[Row]=$D297)*(SchPdt3[Column]=_xlfn.LET(_xlpm.x,SUBSTITUTE(UPPER(INDIRECT("r"&amp;MATCH("TIP",$A:$A,0)&amp;"c"&amp;IF(INDIRECT("r"&amp;MATCH("TAP",$A:$A,0)&amp;"c",FALSE)="SERRA","","[-1]"),FALSE)),".",""),IFERROR(_xlfn.TEXTBEFORE(_xlpm.x," ("),_xlpm.x)))*(#REF!=INDIRECT("r"&amp;MATCH("TAP",$A:$A,0)&amp;"c",FALSE)),0)),0)</f>
        <v>0</v>
      </c>
      <c r="Y297" s="377" cm="1">
        <f t="array" aca="1" ref="Y297" ca="1">IFERROR(SUM(_xlfn._xlws.FILTER(SchPdt3[Value],(SchPdt3[PrjId]=$B297)*(SchPdt3[Row]=$D297)*(SchPdt3[Column]=_xlfn.LET(_xlpm.x,SUBSTITUTE(UPPER(INDIRECT("r"&amp;MATCH("TIP",$A:$A,0)&amp;"c"&amp;IF(INDIRECT("r"&amp;MATCH("TAP",$A:$A,0)&amp;"c",FALSE)="SERRA","","[-1]"),FALSE)),".",""),IFERROR(_xlfn.TEXTBEFORE(_xlpm.x," ("),_xlpm.x)))*(#REF!=INDIRECT("r"&amp;MATCH("TAP",$A:$A,0)&amp;"c",FALSE)),0)),0)</f>
        <v>0</v>
      </c>
      <c r="Z297" s="377" cm="1">
        <f t="array" aca="1" ref="Z297" ca="1">IFERROR(SUM(_xlfn._xlws.FILTER(SchPdt3[Value],(SchPdt3[PrjId]=$B297)*(SchPdt3[Row]=$D297)*(SchPdt3[Column]=_xlfn.LET(_xlpm.x,SUBSTITUTE(UPPER(INDIRECT("r"&amp;MATCH("TIP",$A:$A,0)&amp;"c"&amp;IF(INDIRECT("r"&amp;MATCH("TAP",$A:$A,0)&amp;"c",FALSE)="SERRA","","[-1]"),FALSE)),".",""),IFERROR(_xlfn.TEXTBEFORE(_xlpm.x," ("),_xlpm.x)))*(#REF!=INDIRECT("r"&amp;MATCH("TAP",$A:$A,0)&amp;"c",FALSE)),0)),0)</f>
        <v>0</v>
      </c>
      <c r="AA297" s="377" cm="1">
        <f t="array" aca="1" ref="AA297" ca="1">IFERROR(SUM(_xlfn._xlws.FILTER(SchPdt3[Value],(SchPdt3[PrjId]=$B297)*(SchPdt3[Row]=$D297)*(SchPdt3[Column]=_xlfn.LET(_xlpm.x,SUBSTITUTE(UPPER(INDIRECT("r"&amp;MATCH("TIP",$A:$A,0)&amp;"c"&amp;IF(INDIRECT("r"&amp;MATCH("TAP",$A:$A,0)&amp;"c",FALSE)="SERRA","","[-1]"),FALSE)),".",""),IFERROR(_xlfn.TEXTBEFORE(_xlpm.x," ("),_xlpm.x)))*(#REF!=INDIRECT("r"&amp;MATCH("TAP",$A:$A,0)&amp;"c",FALSE)),0)),0)</f>
        <v>0</v>
      </c>
      <c r="AB297" s="377" cm="1">
        <f t="array" aca="1" ref="AB297" ca="1">IFERROR(SUM(_xlfn._xlws.FILTER(SchPdt3[Value],(SchPdt3[PrjId]=$B297)*(SchPdt3[Row]=$D297)*(SchPdt3[Column]=_xlfn.LET(_xlpm.x,SUBSTITUTE(UPPER(INDIRECT("r"&amp;MATCH("TIP",$A:$A,0)&amp;"c"&amp;IF(INDIRECT("r"&amp;MATCH("TAP",$A:$A,0)&amp;"c",FALSE)="SERRA","","[-1]"),FALSE)),".",""),IFERROR(_xlfn.TEXTBEFORE(_xlpm.x," ("),_xlpm.x)))*(#REF!=INDIRECT("r"&amp;MATCH("TAP",$A:$A,0)&amp;"c",FALSE)),0)),0)</f>
        <v>0</v>
      </c>
      <c r="AC297" s="377" cm="1">
        <f t="array" aca="1" ref="AC297" ca="1">IFERROR(SUM(_xlfn._xlws.FILTER(SchPdt3[Value],(SchPdt3[PrjId]=$B297)*(SchPdt3[Row]=$D297)*(SchPdt3[Column]=_xlfn.LET(_xlpm.x,SUBSTITUTE(UPPER(INDIRECT("r"&amp;MATCH("TIP",$A:$A,0)&amp;"c"&amp;IF(INDIRECT("r"&amp;MATCH("TAP",$A:$A,0)&amp;"c",FALSE)="SERRA","","[-1]"),FALSE)),".",""),IFERROR(_xlfn.TEXTBEFORE(_xlpm.x," ("),_xlpm.x)))*(#REF!=INDIRECT("r"&amp;MATCH("TAP",$A:$A,0)&amp;"c",FALSE)),0)),0)</f>
        <v>0</v>
      </c>
      <c r="AD297" s="377" cm="1">
        <f t="array" aca="1" ref="AD297" ca="1">IFERROR(SUM(_xlfn._xlws.FILTER(SchPdt3[Value],(SchPdt3[PrjId]=$B297)*(SchPdt3[Row]=$D297)*(SchPdt3[Column]=_xlfn.LET(_xlpm.x,SUBSTITUTE(UPPER(INDIRECT("r"&amp;MATCH("TIP",$A:$A,0)&amp;"c"&amp;IF(INDIRECT("r"&amp;MATCH("TAP",$A:$A,0)&amp;"c",FALSE)="SERRA","","[-1]"),FALSE)),".",""),IFERROR(_xlfn.TEXTBEFORE(_xlpm.x," ("),_xlpm.x)))*(#REF!=INDIRECT("r"&amp;MATCH("TAP",$A:$A,0)&amp;"c",FALSE)),0)),0)</f>
        <v>0</v>
      </c>
      <c r="AE297" s="377" cm="1">
        <f t="array" aca="1" ref="AE297" ca="1">IFERROR(SUM(_xlfn._xlws.FILTER(SchPdt3[Value],(SchPdt3[PrjId]=$B297)*(SchPdt3[Row]=$D297)*(SchPdt3[Column]=_xlfn.LET(_xlpm.x,SUBSTITUTE(UPPER(INDIRECT("r"&amp;MATCH("TIP",$A:$A,0)&amp;"c"&amp;IF(INDIRECT("r"&amp;MATCH("TAP",$A:$A,0)&amp;"c",FALSE)="SERRA","","[-1]"),FALSE)),".",""),IFERROR(_xlfn.TEXTBEFORE(_xlpm.x," ("),_xlpm.x)))*(#REF!=INDIRECT("r"&amp;MATCH("TAP",$A:$A,0)&amp;"c",FALSE)),0)),0)</f>
        <v>0</v>
      </c>
      <c r="AF297" s="377" cm="1">
        <f t="array" aca="1" ref="AF297" ca="1">IFERROR(SUM(_xlfn._xlws.FILTER(SchPdt3[Value],(SchPdt3[PrjId]=$B297)*(SchPdt3[Row]=$D297)*(SchPdt3[Column]=_xlfn.LET(_xlpm.x,SUBSTITUTE(UPPER(INDIRECT("r"&amp;MATCH("TIP",$A:$A,0)&amp;"c"&amp;IF(INDIRECT("r"&amp;MATCH("TAP",$A:$A,0)&amp;"c",FALSE)="SERRA","","[-1]"),FALSE)),".",""),IFERROR(_xlfn.TEXTBEFORE(_xlpm.x," ("),_xlpm.x)))*(#REF!=INDIRECT("r"&amp;MATCH("TAP",$A:$A,0)&amp;"c",FALSE)),0)),0)</f>
        <v>0</v>
      </c>
      <c r="AG297" s="377" cm="1">
        <f t="array" aca="1" ref="AG297" ca="1">IFERROR(SUM(_xlfn._xlws.FILTER(SchPdt3[Value],(SchPdt3[PrjId]=$B297)*(SchPdt3[Row]=$D297)*(SchPdt3[Column]=_xlfn.LET(_xlpm.x,SUBSTITUTE(UPPER(INDIRECT("r"&amp;MATCH("TIP",$A:$A,0)&amp;"c"&amp;IF(INDIRECT("r"&amp;MATCH("TAP",$A:$A,0)&amp;"c",FALSE)="SERRA","","[-1]"),FALSE)),".",""),IFERROR(_xlfn.TEXTBEFORE(_xlpm.x," ("),_xlpm.x)))*(#REF!=INDIRECT("r"&amp;MATCH("TAP",$A:$A,0)&amp;"c",FALSE)),0)),0)</f>
        <v>0</v>
      </c>
      <c r="AH297" s="377" cm="1">
        <f t="array" aca="1" ref="AH297" ca="1">IFERROR(SUM(_xlfn._xlws.FILTER(SchPdt3[Value],(SchPdt3[PrjId]=$B297)*(SchPdt3[Row]=$D297)*(SchPdt3[Column]=_xlfn.LET(_xlpm.x,SUBSTITUTE(UPPER(INDIRECT("r"&amp;MATCH("TIP",$A:$A,0)&amp;"c"&amp;IF(INDIRECT("r"&amp;MATCH("TAP",$A:$A,0)&amp;"c",FALSE)="SERRA","","[-1]"),FALSE)),".",""),IFERROR(_xlfn.TEXTBEFORE(_xlpm.x," ("),_xlpm.x)))*(#REF!=INDIRECT("r"&amp;MATCH("TAP",$A:$A,0)&amp;"c",FALSE)),0)),0)</f>
        <v>0</v>
      </c>
      <c r="AI297" s="377" cm="1">
        <f t="array" aca="1" ref="AI297" ca="1">IFERROR(SUM(_xlfn._xlws.FILTER(SchPdt3[Value],(SchPdt3[PrjId]=$B297)*(SchPdt3[Row]=$D297)*(SchPdt3[Column]=_xlfn.LET(_xlpm.x,SUBSTITUTE(UPPER(INDIRECT("r"&amp;MATCH("TIP",$A:$A,0)&amp;"c"&amp;IF(INDIRECT("r"&amp;MATCH("TAP",$A:$A,0)&amp;"c",FALSE)="SERRA","","[-1]"),FALSE)),".",""),IFERROR(_xlfn.TEXTBEFORE(_xlpm.x," ("),_xlpm.x)))*(#REF!=INDIRECT("r"&amp;MATCH("TAP",$A:$A,0)&amp;"c",FALSE)),0)),0)</f>
        <v>0</v>
      </c>
      <c r="AJ297" s="377" cm="1">
        <f t="array" aca="1" ref="AJ297" ca="1">IFERROR(SUM(_xlfn._xlws.FILTER(SchPdt3[Value],(SchPdt3[PrjId]=$B297)*(SchPdt3[Row]=$D297)*(SchPdt3[Column]=_xlfn.LET(_xlpm.x,SUBSTITUTE(UPPER(INDIRECT("r"&amp;MATCH("TIP",$A:$A,0)&amp;"c"&amp;IF(INDIRECT("r"&amp;MATCH("TAP",$A:$A,0)&amp;"c",FALSE)="SERRA","","[-1]"),FALSE)),".",""),IFERROR(_xlfn.TEXTBEFORE(_xlpm.x," ("),_xlpm.x)))*(#REF!=INDIRECT("r"&amp;MATCH("TAP",$A:$A,0)&amp;"c",FALSE)),0)),0)</f>
        <v>0</v>
      </c>
      <c r="AK297" s="377" cm="1">
        <f t="array" aca="1" ref="AK297" ca="1">IFERROR(SUM(_xlfn._xlws.FILTER(SchPdt3[Value],(SchPdt3[PrjId]=$B297)*(SchPdt3[Row]=$D297)*(SchPdt3[Column]=_xlfn.LET(_xlpm.x,SUBSTITUTE(UPPER(INDIRECT("r"&amp;MATCH("TIP",$A:$A,0)&amp;"c"&amp;IF(INDIRECT("r"&amp;MATCH("TAP",$A:$A,0)&amp;"c",FALSE)="SERRA","","[-1]"),FALSE)),".",""),IFERROR(_xlfn.TEXTBEFORE(_xlpm.x," ("),_xlpm.x)))*(#REF!=INDIRECT("r"&amp;MATCH("TAP",$A:$A,0)&amp;"c",FALSE)),0)),0)</f>
        <v>0</v>
      </c>
      <c r="AL297" s="377" cm="1">
        <f t="array" aca="1" ref="AL297" ca="1">IFERROR(SUM(_xlfn._xlws.FILTER(SchPdt3[Value],(SchPdt3[PrjId]=$B297)*(SchPdt3[Row]=$D297)*(SchPdt3[Column]=_xlfn.LET(_xlpm.x,SUBSTITUTE(UPPER(INDIRECT("r"&amp;MATCH("TIP",$A:$A,0)&amp;"c"&amp;IF(INDIRECT("r"&amp;MATCH("TAP",$A:$A,0)&amp;"c",FALSE)="SERRA","","[-1]"),FALSE)),".",""),IFERROR(_xlfn.TEXTBEFORE(_xlpm.x," ("),_xlpm.x)))*(#REF!=INDIRECT("r"&amp;MATCH("TAP",$A:$A,0)&amp;"c",FALSE)),0)),0)</f>
        <v>0</v>
      </c>
      <c r="AM297" s="377" cm="1">
        <f t="array" aca="1" ref="AM297" ca="1">IFERROR(SUM(_xlfn._xlws.FILTER(SchPdt3[Value],(SchPdt3[PrjId]=$B297)*(SchPdt3[Row]=$D297)*(SchPdt3[Column]=_xlfn.LET(_xlpm.x,SUBSTITUTE(UPPER(INDIRECT("r"&amp;MATCH("TIP",$A:$A,0)&amp;"c"&amp;IF(INDIRECT("r"&amp;MATCH("TAP",$A:$A,0)&amp;"c",FALSE)="SERRA","","[-1]"),FALSE)),".",""),IFERROR(_xlfn.TEXTBEFORE(_xlpm.x," ("),_xlpm.x)))*(#REF!=INDIRECT("r"&amp;MATCH("TAP",$A:$A,0)&amp;"c",FALSE)),0)),0)</f>
        <v>0</v>
      </c>
      <c r="AN297" s="377" cm="1">
        <f t="array" aca="1" ref="AN297" ca="1">IFERROR(SUM(_xlfn._xlws.FILTER(SchPdt3[Value],(SchPdt3[PrjId]=$B297)*(SchPdt3[Row]=$D297)*(SchPdt3[Column]=_xlfn.LET(_xlpm.x,SUBSTITUTE(UPPER(INDIRECT("r"&amp;MATCH("TIP",$A:$A,0)&amp;"c"&amp;IF(INDIRECT("r"&amp;MATCH("TAP",$A:$A,0)&amp;"c",FALSE)="SERRA","","[-1]"),FALSE)),".",""),IFERROR(_xlfn.TEXTBEFORE(_xlpm.x," ("),_xlpm.x)))*(#REF!=INDIRECT("r"&amp;MATCH("TAP",$A:$A,0)&amp;"c",FALSE)),0)),0)</f>
        <v>0</v>
      </c>
      <c r="AO297" s="377" cm="1">
        <f t="array" aca="1" ref="AO297" ca="1">IFERROR(SUM(_xlfn._xlws.FILTER(SchPdt3[Value],(SchPdt3[PrjId]=$B297)*(SchPdt3[Row]=$D297)*(SchPdt3[Column]=_xlfn.LET(_xlpm.x,SUBSTITUTE(UPPER(INDIRECT("r"&amp;MATCH("TIP",$A:$A,0)&amp;"c"&amp;IF(INDIRECT("r"&amp;MATCH("TAP",$A:$A,0)&amp;"c",FALSE)="SERRA","","[-1]"),FALSE)),".",""),IFERROR(_xlfn.TEXTBEFORE(_xlpm.x," ("),_xlpm.x)))*(#REF!=INDIRECT("r"&amp;MATCH("TAP",$A:$A,0)&amp;"c",FALSE)),0)),0)</f>
        <v>0</v>
      </c>
      <c r="AP297" s="377" cm="1">
        <f t="array" aca="1" ref="AP297" ca="1">IFERROR(SUM(_xlfn._xlws.FILTER(SchPdt3[Value],(SchPdt3[PrjId]=$B297)*(SchPdt3[Row]=$D297)*(SchPdt3[Column]=_xlfn.LET(_xlpm.x,SUBSTITUTE(UPPER(INDIRECT("r"&amp;MATCH("TIP",$A:$A,0)&amp;"c"&amp;IF(INDIRECT("r"&amp;MATCH("TAP",$A:$A,0)&amp;"c",FALSE)="SERRA","","[-1]"),FALSE)),".",""),IFERROR(_xlfn.TEXTBEFORE(_xlpm.x," ("),_xlpm.x)))*(#REF!=INDIRECT("r"&amp;MATCH("TAP",$A:$A,0)&amp;"c",FALSE)),0)),0)</f>
        <v>0</v>
      </c>
      <c r="AQ297" s="377" cm="1">
        <f t="array" aca="1" ref="AQ297" ca="1">SUM(IF(INDIRECT($AS$115)=AQ$115,INDIRECT($AS297)))</f>
        <v>0</v>
      </c>
      <c r="AR297" s="377" cm="1">
        <f t="array" aca="1" ref="AR297" ca="1">SUM(IF(INDIRECT($AS$115)=AR$115,INDIRECT($AS297)))</f>
        <v>0</v>
      </c>
      <c r="AS297" s="286" t="str">
        <f t="shared" si="23"/>
        <v>G297:AP297</v>
      </c>
      <c r="AT297" s="403">
        <f t="shared" ca="1" si="24"/>
        <v>0</v>
      </c>
      <c r="AV297" s="142" cm="1">
        <f t="array" aca="1" ref="AV297" ca="1">IF(AND(_xlfn.LET(_xlpm.x,SUM(ROW()),OR(AND(MATCH("SOT",$A:$A,0)&lt;_xlpm.x,MATCH("EOT",$A:$A,0)&gt;_xlpm.x),AND(MATCH("SOS",$A:$A,0)&lt;_xlpm.x,MATCH("EOS",$A:$A,0)&gt;_xlpm.x),AND(MATCH("SOR",$A:$A,0)&lt;_xlpm.x,MATCH("EOR",$A:$A,0)&gt;_xlpm.x))),INDIRECT("rc"&amp;MATCH("SCD",$1:$1,0),FALSE)="PPTO"),1,0)</f>
        <v>0</v>
      </c>
      <c r="AW297" s="142" cm="1">
        <f t="array" aca="1" ref="AW29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98" spans="1:49" s="153" customFormat="1" outlineLevel="2">
      <c r="A298" s="152"/>
      <c r="B298" s="401" t="str">
        <f t="shared" si="22"/>
        <v>X</v>
      </c>
      <c r="C298" s="148"/>
      <c r="D298" s="404"/>
      <c r="E298" s="350" t="str" cm="1">
        <f t="array" ref="E298">UPPER(_xlfn.UNIQUE(_xlfn._xlws.FILTER(TbRowMacro[RowMacroName],TbRowMacro[RowMcroId]=$D298,"X")))</f>
        <v>X</v>
      </c>
      <c r="F298" s="402"/>
      <c r="G298" s="377" cm="1">
        <f t="array" aca="1" ref="G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H298" s="377" cm="1">
        <f t="array" aca="1" ref="H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I298" s="377" cm="1">
        <f t="array" aca="1" ref="I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J298" s="377" cm="1">
        <f t="array" aca="1" ref="J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K298" s="377" cm="1">
        <f t="array" aca="1" ref="K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L298" s="377" cm="1">
        <f t="array" aca="1" ref="L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M298" s="377" cm="1">
        <f t="array" aca="1" ref="M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N298" s="377" cm="1">
        <f t="array" aca="1" ref="N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O298" s="377" cm="1">
        <f t="array" aca="1" ref="O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P298" s="377" cm="1">
        <f t="array" aca="1" ref="P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Q298" s="377" cm="1">
        <f t="array" aca="1" ref="Q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R298" s="377" cm="1">
        <f t="array" aca="1" ref="R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S298" s="377" cm="1">
        <f t="array" aca="1" ref="S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T298" s="377" cm="1">
        <f t="array" aca="1" ref="T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U298" s="377" cm="1">
        <f t="array" aca="1" ref="U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V298" s="377" cm="1">
        <f t="array" aca="1" ref="V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W298" s="377" cm="1">
        <f t="array" aca="1" ref="W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X298" s="377" cm="1">
        <f t="array" aca="1" ref="X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Y298" s="377" cm="1">
        <f t="array" aca="1" ref="Y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Z298" s="377" cm="1">
        <f t="array" aca="1" ref="Z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AA298" s="377" cm="1">
        <f t="array" aca="1" ref="AA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AB298" s="377" cm="1">
        <f t="array" aca="1" ref="AB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AC298" s="377" cm="1">
        <f t="array" aca="1" ref="AC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AD298" s="377" cm="1">
        <f t="array" aca="1" ref="AD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AE298" s="377" cm="1">
        <f t="array" aca="1" ref="AE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AF298" s="377" cm="1">
        <f t="array" aca="1" ref="AF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AG298" s="377" cm="1">
        <f t="array" aca="1" ref="AG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AH298" s="377" cm="1">
        <f t="array" aca="1" ref="AH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AI298" s="377" cm="1">
        <f t="array" aca="1" ref="AI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AJ298" s="377" cm="1">
        <f t="array" aca="1" ref="AJ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AK298" s="377" cm="1">
        <f t="array" aca="1" ref="AK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AL298" s="377" cm="1">
        <f t="array" aca="1" ref="AL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AM298" s="377" cm="1">
        <f t="array" aca="1" ref="AM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AN298" s="377" cm="1">
        <f t="array" aca="1" ref="AN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AO298" s="377" cm="1">
        <f t="array" aca="1" ref="AO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AP298" s="377" cm="1">
        <f t="array" aca="1" ref="AP298"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298)*(ISNUMBER(FIND(_xlpm.v,_xlfn.TEXTJOIN(":",TRUE,_xlfn.UNIQUE(_xlfn._xlws.FILTER(TbStd[RowGrp],TbStd[Row5]=$D298,"X"))))))),0)),0)</f>
        <v>0</v>
      </c>
      <c r="AQ298" s="377" cm="1">
        <f t="array" aca="1" ref="AQ298" ca="1">SUM(IF(INDIRECT($AS$115)=AQ$115,INDIRECT($AS298)))</f>
        <v>0</v>
      </c>
      <c r="AR298" s="377" cm="1">
        <f t="array" aca="1" ref="AR298" ca="1">SUM(IF(INDIRECT($AS$115)=AR$115,INDIRECT($AS298)))</f>
        <v>0</v>
      </c>
      <c r="AS298" s="286" t="str">
        <f t="shared" si="23"/>
        <v>G298:AP298</v>
      </c>
      <c r="AT298" s="403">
        <f t="shared" ca="1" si="24"/>
        <v>0</v>
      </c>
      <c r="AV298" s="142" cm="1">
        <f t="array" aca="1" ref="AV298" ca="1">IF(AND(_xlfn.LET(_xlpm.x,SUM(ROW()),OR(AND(MATCH("SOT",$A:$A,0)&lt;_xlpm.x,MATCH("EOT",$A:$A,0)&gt;_xlpm.x),AND(MATCH("SOS",$A:$A,0)&lt;_xlpm.x,MATCH("EOS",$A:$A,0)&gt;_xlpm.x),AND(MATCH("SOR",$A:$A,0)&lt;_xlpm.x,MATCH("EOR",$A:$A,0)&gt;_xlpm.x))),INDIRECT("rc"&amp;MATCH("SCD",$1:$1,0),FALSE)="PPTO"),1,0)</f>
        <v>0</v>
      </c>
      <c r="AW298" s="142" cm="1">
        <f t="array" aca="1" ref="AW29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299" spans="1:49" s="153" customFormat="1" outlineLevel="2">
      <c r="A299" s="152"/>
      <c r="B299" s="401" t="str">
        <f t="shared" si="22"/>
        <v>X</v>
      </c>
      <c r="C299" s="148"/>
      <c r="D299" s="404"/>
      <c r="E299" s="350" t="str" cm="1">
        <f t="array" ref="E299">UPPER(_xlfn.UNIQUE(_xlfn._xlws.FILTER(TbRowMacro[RowMacroName],TbRowMacro[RowMcroId]=$D299,"X")))</f>
        <v>X</v>
      </c>
      <c r="F299" s="402"/>
      <c r="G299" s="377" cm="1">
        <f t="array" aca="1" ref="G299" ca="1">IFERROR(SUM(_xlfn._xlws.FILTER(SchPdt3[Value],(SchPdt3[PrjId]=$B299)*(SchPdt3[Row]=$D299)*(SchPdt3[Column]=_xlfn.LET(_xlpm.x,SUBSTITUTE(UPPER(INDIRECT("r"&amp;MATCH("TIP",$A:$A,0)&amp;"c"&amp;IF(INDIRECT("r"&amp;MATCH("TAP",$A:$A,0)&amp;"c",FALSE)="SERRA","","[-1]"),FALSE)),".",""),IFERROR(_xlfn.TEXTBEFORE(_xlpm.x," ("),_xlpm.x)))*(#REF!=INDIRECT("r"&amp;MATCH("TAP",$A:$A,0)&amp;"c",FALSE)),0)),0)</f>
        <v>0</v>
      </c>
      <c r="H299" s="377" cm="1">
        <f t="array" aca="1" ref="H299" ca="1">IFERROR(SUM(_xlfn._xlws.FILTER(SchPdt3[Value],(SchPdt3[PrjId]=$B299)*(SchPdt3[Row]=$D299)*(SchPdt3[Column]=_xlfn.LET(_xlpm.x,SUBSTITUTE(UPPER(INDIRECT("r"&amp;MATCH("TIP",$A:$A,0)&amp;"c"&amp;IF(INDIRECT("r"&amp;MATCH("TAP",$A:$A,0)&amp;"c",FALSE)="SERRA","","[-1]"),FALSE)),".",""),IFERROR(_xlfn.TEXTBEFORE(_xlpm.x," ("),_xlpm.x)))*(#REF!=INDIRECT("r"&amp;MATCH("TAP",$A:$A,0)&amp;"c",FALSE)),0)),0)</f>
        <v>0</v>
      </c>
      <c r="I299" s="377" cm="1">
        <f t="array" aca="1" ref="I299" ca="1">IFERROR(SUM(_xlfn._xlws.FILTER(SchPdt3[Value],(SchPdt3[PrjId]=$B299)*(SchPdt3[Row]=$D299)*(SchPdt3[Column]=_xlfn.LET(_xlpm.x,SUBSTITUTE(UPPER(INDIRECT("r"&amp;MATCH("TIP",$A:$A,0)&amp;"c"&amp;IF(INDIRECT("r"&amp;MATCH("TAP",$A:$A,0)&amp;"c",FALSE)="SERRA","","[-1]"),FALSE)),".",""),IFERROR(_xlfn.TEXTBEFORE(_xlpm.x," ("),_xlpm.x)))*(#REF!=INDIRECT("r"&amp;MATCH("TAP",$A:$A,0)&amp;"c",FALSE)),0)),0)</f>
        <v>0</v>
      </c>
      <c r="J299" s="377" cm="1">
        <f t="array" aca="1" ref="J299" ca="1">IFERROR(SUM(_xlfn._xlws.FILTER(SchPdt3[Value],(SchPdt3[PrjId]=$B299)*(SchPdt3[Row]=$D299)*(SchPdt3[Column]=_xlfn.LET(_xlpm.x,SUBSTITUTE(UPPER(INDIRECT("r"&amp;MATCH("TIP",$A:$A,0)&amp;"c"&amp;IF(INDIRECT("r"&amp;MATCH("TAP",$A:$A,0)&amp;"c",FALSE)="SERRA","","[-1]"),FALSE)),".",""),IFERROR(_xlfn.TEXTBEFORE(_xlpm.x," ("),_xlpm.x)))*(#REF!=INDIRECT("r"&amp;MATCH("TAP",$A:$A,0)&amp;"c",FALSE)),0)),0)</f>
        <v>0</v>
      </c>
      <c r="K299" s="377" cm="1">
        <f t="array" aca="1" ref="K299" ca="1">IFERROR(SUM(_xlfn._xlws.FILTER(SchPdt3[Value],(SchPdt3[PrjId]=$B299)*(SchPdt3[Row]=$D299)*(SchPdt3[Column]=_xlfn.LET(_xlpm.x,SUBSTITUTE(UPPER(INDIRECT("r"&amp;MATCH("TIP",$A:$A,0)&amp;"c"&amp;IF(INDIRECT("r"&amp;MATCH("TAP",$A:$A,0)&amp;"c",FALSE)="SERRA","","[-1]"),FALSE)),".",""),IFERROR(_xlfn.TEXTBEFORE(_xlpm.x," ("),_xlpm.x)))*(#REF!=INDIRECT("r"&amp;MATCH("TAP",$A:$A,0)&amp;"c",FALSE)),0)),0)</f>
        <v>0</v>
      </c>
      <c r="L299" s="377" cm="1">
        <f t="array" aca="1" ref="L299" ca="1">IFERROR(SUM(_xlfn._xlws.FILTER(SchPdt3[Value],(SchPdt3[PrjId]=$B299)*(SchPdt3[Row]=$D299)*(SchPdt3[Column]=_xlfn.LET(_xlpm.x,SUBSTITUTE(UPPER(INDIRECT("r"&amp;MATCH("TIP",$A:$A,0)&amp;"c"&amp;IF(INDIRECT("r"&amp;MATCH("TAP",$A:$A,0)&amp;"c",FALSE)="SERRA","","[-1]"),FALSE)),".",""),IFERROR(_xlfn.TEXTBEFORE(_xlpm.x," ("),_xlpm.x)))*(#REF!=INDIRECT("r"&amp;MATCH("TAP",$A:$A,0)&amp;"c",FALSE)),0)),0)</f>
        <v>0</v>
      </c>
      <c r="M299" s="377" cm="1">
        <f t="array" aca="1" ref="M299" ca="1">IFERROR(SUM(_xlfn._xlws.FILTER(SchPdt3[Value],(SchPdt3[PrjId]=$B299)*(SchPdt3[Row]=$D299)*(SchPdt3[Column]=_xlfn.LET(_xlpm.x,SUBSTITUTE(UPPER(INDIRECT("r"&amp;MATCH("TIP",$A:$A,0)&amp;"c"&amp;IF(INDIRECT("r"&amp;MATCH("TAP",$A:$A,0)&amp;"c",FALSE)="SERRA","","[-1]"),FALSE)),".",""),IFERROR(_xlfn.TEXTBEFORE(_xlpm.x," ("),_xlpm.x)))*(#REF!=INDIRECT("r"&amp;MATCH("TAP",$A:$A,0)&amp;"c",FALSE)),0)),0)</f>
        <v>0</v>
      </c>
      <c r="N299" s="377" cm="1">
        <f t="array" aca="1" ref="N299" ca="1">IFERROR(SUM(_xlfn._xlws.FILTER(SchPdt3[Value],(SchPdt3[PrjId]=$B299)*(SchPdt3[Row]=$D299)*(SchPdt3[Column]=_xlfn.LET(_xlpm.x,SUBSTITUTE(UPPER(INDIRECT("r"&amp;MATCH("TIP",$A:$A,0)&amp;"c"&amp;IF(INDIRECT("r"&amp;MATCH("TAP",$A:$A,0)&amp;"c",FALSE)="SERRA","","[-1]"),FALSE)),".",""),IFERROR(_xlfn.TEXTBEFORE(_xlpm.x," ("),_xlpm.x)))*(#REF!=INDIRECT("r"&amp;MATCH("TAP",$A:$A,0)&amp;"c",FALSE)),0)),0)</f>
        <v>0</v>
      </c>
      <c r="O299" s="377" cm="1">
        <f t="array" aca="1" ref="O299" ca="1">IFERROR(SUM(_xlfn._xlws.FILTER(SchPdt3[Value],(SchPdt3[PrjId]=$B299)*(SchPdt3[Row]=$D299)*(SchPdt3[Column]=_xlfn.LET(_xlpm.x,SUBSTITUTE(UPPER(INDIRECT("r"&amp;MATCH("TIP",$A:$A,0)&amp;"c"&amp;IF(INDIRECT("r"&amp;MATCH("TAP",$A:$A,0)&amp;"c",FALSE)="SERRA","","[-1]"),FALSE)),".",""),IFERROR(_xlfn.TEXTBEFORE(_xlpm.x," ("),_xlpm.x)))*(#REF!=INDIRECT("r"&amp;MATCH("TAP",$A:$A,0)&amp;"c",FALSE)),0)),0)</f>
        <v>0</v>
      </c>
      <c r="P299" s="377" cm="1">
        <f t="array" aca="1" ref="P299" ca="1">IFERROR(SUM(_xlfn._xlws.FILTER(SchPdt3[Value],(SchPdt3[PrjId]=$B299)*(SchPdt3[Row]=$D299)*(SchPdt3[Column]=_xlfn.LET(_xlpm.x,SUBSTITUTE(UPPER(INDIRECT("r"&amp;MATCH("TIP",$A:$A,0)&amp;"c"&amp;IF(INDIRECT("r"&amp;MATCH("TAP",$A:$A,0)&amp;"c",FALSE)="SERRA","","[-1]"),FALSE)),".",""),IFERROR(_xlfn.TEXTBEFORE(_xlpm.x," ("),_xlpm.x)))*(#REF!=INDIRECT("r"&amp;MATCH("TAP",$A:$A,0)&amp;"c",FALSE)),0)),0)</f>
        <v>0</v>
      </c>
      <c r="Q299" s="377" cm="1">
        <f t="array" aca="1" ref="Q299" ca="1">IFERROR(SUM(_xlfn._xlws.FILTER(SchPdt3[Value],(SchPdt3[PrjId]=$B299)*(SchPdt3[Row]=$D299)*(SchPdt3[Column]=_xlfn.LET(_xlpm.x,SUBSTITUTE(UPPER(INDIRECT("r"&amp;MATCH("TIP",$A:$A,0)&amp;"c"&amp;IF(INDIRECT("r"&amp;MATCH("TAP",$A:$A,0)&amp;"c",FALSE)="SERRA","","[-1]"),FALSE)),".",""),IFERROR(_xlfn.TEXTBEFORE(_xlpm.x," ("),_xlpm.x)))*(#REF!=INDIRECT("r"&amp;MATCH("TAP",$A:$A,0)&amp;"c",FALSE)),0)),0)</f>
        <v>0</v>
      </c>
      <c r="R299" s="377" cm="1">
        <f t="array" aca="1" ref="R299" ca="1">IFERROR(SUM(_xlfn._xlws.FILTER(SchPdt3[Value],(SchPdt3[PrjId]=$B299)*(SchPdt3[Row]=$D299)*(SchPdt3[Column]=_xlfn.LET(_xlpm.x,SUBSTITUTE(UPPER(INDIRECT("r"&amp;MATCH("TIP",$A:$A,0)&amp;"c"&amp;IF(INDIRECT("r"&amp;MATCH("TAP",$A:$A,0)&amp;"c",FALSE)="SERRA","","[-1]"),FALSE)),".",""),IFERROR(_xlfn.TEXTBEFORE(_xlpm.x," ("),_xlpm.x)))*(#REF!=INDIRECT("r"&amp;MATCH("TAP",$A:$A,0)&amp;"c",FALSE)),0)),0)</f>
        <v>0</v>
      </c>
      <c r="S299" s="377" cm="1">
        <f t="array" aca="1" ref="S299" ca="1">IFERROR(SUM(_xlfn._xlws.FILTER(SchPdt3[Value],(SchPdt3[PrjId]=$B299)*(SchPdt3[Row]=$D299)*(SchPdt3[Column]=_xlfn.LET(_xlpm.x,SUBSTITUTE(UPPER(INDIRECT("r"&amp;MATCH("TIP",$A:$A,0)&amp;"c"&amp;IF(INDIRECT("r"&amp;MATCH("TAP",$A:$A,0)&amp;"c",FALSE)="SERRA","","[-1]"),FALSE)),".",""),IFERROR(_xlfn.TEXTBEFORE(_xlpm.x," ("),_xlpm.x)))*(#REF!=INDIRECT("r"&amp;MATCH("TAP",$A:$A,0)&amp;"c",FALSE)),0)),0)</f>
        <v>0</v>
      </c>
      <c r="T299" s="377" cm="1">
        <f t="array" aca="1" ref="T299" ca="1">IFERROR(SUM(_xlfn._xlws.FILTER(SchPdt3[Value],(SchPdt3[PrjId]=$B299)*(SchPdt3[Row]=$D299)*(SchPdt3[Column]=_xlfn.LET(_xlpm.x,SUBSTITUTE(UPPER(INDIRECT("r"&amp;MATCH("TIP",$A:$A,0)&amp;"c"&amp;IF(INDIRECT("r"&amp;MATCH("TAP",$A:$A,0)&amp;"c",FALSE)="SERRA","","[-1]"),FALSE)),".",""),IFERROR(_xlfn.TEXTBEFORE(_xlpm.x," ("),_xlpm.x)))*(#REF!=INDIRECT("r"&amp;MATCH("TAP",$A:$A,0)&amp;"c",FALSE)),0)),0)</f>
        <v>0</v>
      </c>
      <c r="U299" s="377" cm="1">
        <f t="array" aca="1" ref="U299" ca="1">IFERROR(SUM(_xlfn._xlws.FILTER(SchPdt3[Value],(SchPdt3[PrjId]=$B299)*(SchPdt3[Row]=$D299)*(SchPdt3[Column]=_xlfn.LET(_xlpm.x,SUBSTITUTE(UPPER(INDIRECT("r"&amp;MATCH("TIP",$A:$A,0)&amp;"c"&amp;IF(INDIRECT("r"&amp;MATCH("TAP",$A:$A,0)&amp;"c",FALSE)="SERRA","","[-1]"),FALSE)),".",""),IFERROR(_xlfn.TEXTBEFORE(_xlpm.x," ("),_xlpm.x)))*(#REF!=INDIRECT("r"&amp;MATCH("TAP",$A:$A,0)&amp;"c",FALSE)),0)),0)</f>
        <v>0</v>
      </c>
      <c r="V299" s="377" cm="1">
        <f t="array" aca="1" ref="V299" ca="1">IFERROR(SUM(_xlfn._xlws.FILTER(SchPdt3[Value],(SchPdt3[PrjId]=$B299)*(SchPdt3[Row]=$D299)*(SchPdt3[Column]=_xlfn.LET(_xlpm.x,SUBSTITUTE(UPPER(INDIRECT("r"&amp;MATCH("TIP",$A:$A,0)&amp;"c"&amp;IF(INDIRECT("r"&amp;MATCH("TAP",$A:$A,0)&amp;"c",FALSE)="SERRA","","[-1]"),FALSE)),".",""),IFERROR(_xlfn.TEXTBEFORE(_xlpm.x," ("),_xlpm.x)))*(#REF!=INDIRECT("r"&amp;MATCH("TAP",$A:$A,0)&amp;"c",FALSE)),0)),0)</f>
        <v>0</v>
      </c>
      <c r="W299" s="377" cm="1">
        <f t="array" aca="1" ref="W299" ca="1">IFERROR(SUM(_xlfn._xlws.FILTER(SchPdt3[Value],(SchPdt3[PrjId]=$B299)*(SchPdt3[Row]=$D299)*(SchPdt3[Column]=_xlfn.LET(_xlpm.x,SUBSTITUTE(UPPER(INDIRECT("r"&amp;MATCH("TIP",$A:$A,0)&amp;"c"&amp;IF(INDIRECT("r"&amp;MATCH("TAP",$A:$A,0)&amp;"c",FALSE)="SERRA","","[-1]"),FALSE)),".",""),IFERROR(_xlfn.TEXTBEFORE(_xlpm.x," ("),_xlpm.x)))*(#REF!=INDIRECT("r"&amp;MATCH("TAP",$A:$A,0)&amp;"c",FALSE)),0)),0)</f>
        <v>0</v>
      </c>
      <c r="X299" s="377" cm="1">
        <f t="array" aca="1" ref="X299" ca="1">IFERROR(SUM(_xlfn._xlws.FILTER(SchPdt3[Value],(SchPdt3[PrjId]=$B299)*(SchPdt3[Row]=$D299)*(SchPdt3[Column]=_xlfn.LET(_xlpm.x,SUBSTITUTE(UPPER(INDIRECT("r"&amp;MATCH("TIP",$A:$A,0)&amp;"c"&amp;IF(INDIRECT("r"&amp;MATCH("TAP",$A:$A,0)&amp;"c",FALSE)="SERRA","","[-1]"),FALSE)),".",""),IFERROR(_xlfn.TEXTBEFORE(_xlpm.x," ("),_xlpm.x)))*(#REF!=INDIRECT("r"&amp;MATCH("TAP",$A:$A,0)&amp;"c",FALSE)),0)),0)</f>
        <v>0</v>
      </c>
      <c r="Y299" s="377" cm="1">
        <f t="array" aca="1" ref="Y299" ca="1">IFERROR(SUM(_xlfn._xlws.FILTER(SchPdt3[Value],(SchPdt3[PrjId]=$B299)*(SchPdt3[Row]=$D299)*(SchPdt3[Column]=_xlfn.LET(_xlpm.x,SUBSTITUTE(UPPER(INDIRECT("r"&amp;MATCH("TIP",$A:$A,0)&amp;"c"&amp;IF(INDIRECT("r"&amp;MATCH("TAP",$A:$A,0)&amp;"c",FALSE)="SERRA","","[-1]"),FALSE)),".",""),IFERROR(_xlfn.TEXTBEFORE(_xlpm.x," ("),_xlpm.x)))*(#REF!=INDIRECT("r"&amp;MATCH("TAP",$A:$A,0)&amp;"c",FALSE)),0)),0)</f>
        <v>0</v>
      </c>
      <c r="Z299" s="377" cm="1">
        <f t="array" aca="1" ref="Z299" ca="1">IFERROR(SUM(_xlfn._xlws.FILTER(SchPdt3[Value],(SchPdt3[PrjId]=$B299)*(SchPdt3[Row]=$D299)*(SchPdt3[Column]=_xlfn.LET(_xlpm.x,SUBSTITUTE(UPPER(INDIRECT("r"&amp;MATCH("TIP",$A:$A,0)&amp;"c"&amp;IF(INDIRECT("r"&amp;MATCH("TAP",$A:$A,0)&amp;"c",FALSE)="SERRA","","[-1]"),FALSE)),".",""),IFERROR(_xlfn.TEXTBEFORE(_xlpm.x," ("),_xlpm.x)))*(#REF!=INDIRECT("r"&amp;MATCH("TAP",$A:$A,0)&amp;"c",FALSE)),0)),0)</f>
        <v>0</v>
      </c>
      <c r="AA299" s="377" cm="1">
        <f t="array" aca="1" ref="AA299" ca="1">IFERROR(SUM(_xlfn._xlws.FILTER(SchPdt3[Value],(SchPdt3[PrjId]=$B299)*(SchPdt3[Row]=$D299)*(SchPdt3[Column]=_xlfn.LET(_xlpm.x,SUBSTITUTE(UPPER(INDIRECT("r"&amp;MATCH("TIP",$A:$A,0)&amp;"c"&amp;IF(INDIRECT("r"&amp;MATCH("TAP",$A:$A,0)&amp;"c",FALSE)="SERRA","","[-1]"),FALSE)),".",""),IFERROR(_xlfn.TEXTBEFORE(_xlpm.x," ("),_xlpm.x)))*(#REF!=INDIRECT("r"&amp;MATCH("TAP",$A:$A,0)&amp;"c",FALSE)),0)),0)</f>
        <v>0</v>
      </c>
      <c r="AB299" s="377" cm="1">
        <f t="array" aca="1" ref="AB299" ca="1">IFERROR(SUM(_xlfn._xlws.FILTER(SchPdt3[Value],(SchPdt3[PrjId]=$B299)*(SchPdt3[Row]=$D299)*(SchPdt3[Column]=_xlfn.LET(_xlpm.x,SUBSTITUTE(UPPER(INDIRECT("r"&amp;MATCH("TIP",$A:$A,0)&amp;"c"&amp;IF(INDIRECT("r"&amp;MATCH("TAP",$A:$A,0)&amp;"c",FALSE)="SERRA","","[-1]"),FALSE)),".",""),IFERROR(_xlfn.TEXTBEFORE(_xlpm.x," ("),_xlpm.x)))*(#REF!=INDIRECT("r"&amp;MATCH("TAP",$A:$A,0)&amp;"c",FALSE)),0)),0)</f>
        <v>0</v>
      </c>
      <c r="AC299" s="377" cm="1">
        <f t="array" aca="1" ref="AC299" ca="1">IFERROR(SUM(_xlfn._xlws.FILTER(SchPdt3[Value],(SchPdt3[PrjId]=$B299)*(SchPdt3[Row]=$D299)*(SchPdt3[Column]=_xlfn.LET(_xlpm.x,SUBSTITUTE(UPPER(INDIRECT("r"&amp;MATCH("TIP",$A:$A,0)&amp;"c"&amp;IF(INDIRECT("r"&amp;MATCH("TAP",$A:$A,0)&amp;"c",FALSE)="SERRA","","[-1]"),FALSE)),".",""),IFERROR(_xlfn.TEXTBEFORE(_xlpm.x," ("),_xlpm.x)))*(#REF!=INDIRECT("r"&amp;MATCH("TAP",$A:$A,0)&amp;"c",FALSE)),0)),0)</f>
        <v>0</v>
      </c>
      <c r="AD299" s="377" cm="1">
        <f t="array" aca="1" ref="AD299" ca="1">IFERROR(SUM(_xlfn._xlws.FILTER(SchPdt3[Value],(SchPdt3[PrjId]=$B299)*(SchPdt3[Row]=$D299)*(SchPdt3[Column]=_xlfn.LET(_xlpm.x,SUBSTITUTE(UPPER(INDIRECT("r"&amp;MATCH("TIP",$A:$A,0)&amp;"c"&amp;IF(INDIRECT("r"&amp;MATCH("TAP",$A:$A,0)&amp;"c",FALSE)="SERRA","","[-1]"),FALSE)),".",""),IFERROR(_xlfn.TEXTBEFORE(_xlpm.x," ("),_xlpm.x)))*(#REF!=INDIRECT("r"&amp;MATCH("TAP",$A:$A,0)&amp;"c",FALSE)),0)),0)</f>
        <v>0</v>
      </c>
      <c r="AE299" s="377" cm="1">
        <f t="array" aca="1" ref="AE299" ca="1">IFERROR(SUM(_xlfn._xlws.FILTER(SchPdt3[Value],(SchPdt3[PrjId]=$B299)*(SchPdt3[Row]=$D299)*(SchPdt3[Column]=_xlfn.LET(_xlpm.x,SUBSTITUTE(UPPER(INDIRECT("r"&amp;MATCH("TIP",$A:$A,0)&amp;"c"&amp;IF(INDIRECT("r"&amp;MATCH("TAP",$A:$A,0)&amp;"c",FALSE)="SERRA","","[-1]"),FALSE)),".",""),IFERROR(_xlfn.TEXTBEFORE(_xlpm.x," ("),_xlpm.x)))*(#REF!=INDIRECT("r"&amp;MATCH("TAP",$A:$A,0)&amp;"c",FALSE)),0)),0)</f>
        <v>0</v>
      </c>
      <c r="AF299" s="377" cm="1">
        <f t="array" aca="1" ref="AF299" ca="1">IFERROR(SUM(_xlfn._xlws.FILTER(SchPdt3[Value],(SchPdt3[PrjId]=$B299)*(SchPdt3[Row]=$D299)*(SchPdt3[Column]=_xlfn.LET(_xlpm.x,SUBSTITUTE(UPPER(INDIRECT("r"&amp;MATCH("TIP",$A:$A,0)&amp;"c"&amp;IF(INDIRECT("r"&amp;MATCH("TAP",$A:$A,0)&amp;"c",FALSE)="SERRA","","[-1]"),FALSE)),".",""),IFERROR(_xlfn.TEXTBEFORE(_xlpm.x," ("),_xlpm.x)))*(#REF!=INDIRECT("r"&amp;MATCH("TAP",$A:$A,0)&amp;"c",FALSE)),0)),0)</f>
        <v>0</v>
      </c>
      <c r="AG299" s="377" cm="1">
        <f t="array" aca="1" ref="AG299" ca="1">IFERROR(SUM(_xlfn._xlws.FILTER(SchPdt3[Value],(SchPdt3[PrjId]=$B299)*(SchPdt3[Row]=$D299)*(SchPdt3[Column]=_xlfn.LET(_xlpm.x,SUBSTITUTE(UPPER(INDIRECT("r"&amp;MATCH("TIP",$A:$A,0)&amp;"c"&amp;IF(INDIRECT("r"&amp;MATCH("TAP",$A:$A,0)&amp;"c",FALSE)="SERRA","","[-1]"),FALSE)),".",""),IFERROR(_xlfn.TEXTBEFORE(_xlpm.x," ("),_xlpm.x)))*(#REF!=INDIRECT("r"&amp;MATCH("TAP",$A:$A,0)&amp;"c",FALSE)),0)),0)</f>
        <v>0</v>
      </c>
      <c r="AH299" s="377" cm="1">
        <f t="array" aca="1" ref="AH299" ca="1">IFERROR(SUM(_xlfn._xlws.FILTER(SchPdt3[Value],(SchPdt3[PrjId]=$B299)*(SchPdt3[Row]=$D299)*(SchPdt3[Column]=_xlfn.LET(_xlpm.x,SUBSTITUTE(UPPER(INDIRECT("r"&amp;MATCH("TIP",$A:$A,0)&amp;"c"&amp;IF(INDIRECT("r"&amp;MATCH("TAP",$A:$A,0)&amp;"c",FALSE)="SERRA","","[-1]"),FALSE)),".",""),IFERROR(_xlfn.TEXTBEFORE(_xlpm.x," ("),_xlpm.x)))*(#REF!=INDIRECT("r"&amp;MATCH("TAP",$A:$A,0)&amp;"c",FALSE)),0)),0)</f>
        <v>0</v>
      </c>
      <c r="AI299" s="377" cm="1">
        <f t="array" aca="1" ref="AI299" ca="1">IFERROR(SUM(_xlfn._xlws.FILTER(SchPdt3[Value],(SchPdt3[PrjId]=$B299)*(SchPdt3[Row]=$D299)*(SchPdt3[Column]=_xlfn.LET(_xlpm.x,SUBSTITUTE(UPPER(INDIRECT("r"&amp;MATCH("TIP",$A:$A,0)&amp;"c"&amp;IF(INDIRECT("r"&amp;MATCH("TAP",$A:$A,0)&amp;"c",FALSE)="SERRA","","[-1]"),FALSE)),".",""),IFERROR(_xlfn.TEXTBEFORE(_xlpm.x," ("),_xlpm.x)))*(#REF!=INDIRECT("r"&amp;MATCH("TAP",$A:$A,0)&amp;"c",FALSE)),0)),0)</f>
        <v>0</v>
      </c>
      <c r="AJ299" s="377" cm="1">
        <f t="array" aca="1" ref="AJ299" ca="1">IFERROR(SUM(_xlfn._xlws.FILTER(SchPdt3[Value],(SchPdt3[PrjId]=$B299)*(SchPdt3[Row]=$D299)*(SchPdt3[Column]=_xlfn.LET(_xlpm.x,SUBSTITUTE(UPPER(INDIRECT("r"&amp;MATCH("TIP",$A:$A,0)&amp;"c"&amp;IF(INDIRECT("r"&amp;MATCH("TAP",$A:$A,0)&amp;"c",FALSE)="SERRA","","[-1]"),FALSE)),".",""),IFERROR(_xlfn.TEXTBEFORE(_xlpm.x," ("),_xlpm.x)))*(#REF!=INDIRECT("r"&amp;MATCH("TAP",$A:$A,0)&amp;"c",FALSE)),0)),0)</f>
        <v>0</v>
      </c>
      <c r="AK299" s="377" cm="1">
        <f t="array" aca="1" ref="AK299" ca="1">IFERROR(SUM(_xlfn._xlws.FILTER(SchPdt3[Value],(SchPdt3[PrjId]=$B299)*(SchPdt3[Row]=$D299)*(SchPdt3[Column]=_xlfn.LET(_xlpm.x,SUBSTITUTE(UPPER(INDIRECT("r"&amp;MATCH("TIP",$A:$A,0)&amp;"c"&amp;IF(INDIRECT("r"&amp;MATCH("TAP",$A:$A,0)&amp;"c",FALSE)="SERRA","","[-1]"),FALSE)),".",""),IFERROR(_xlfn.TEXTBEFORE(_xlpm.x," ("),_xlpm.x)))*(#REF!=INDIRECT("r"&amp;MATCH("TAP",$A:$A,0)&amp;"c",FALSE)),0)),0)</f>
        <v>0</v>
      </c>
      <c r="AL299" s="377" cm="1">
        <f t="array" aca="1" ref="AL299" ca="1">IFERROR(SUM(_xlfn._xlws.FILTER(SchPdt3[Value],(SchPdt3[PrjId]=$B299)*(SchPdt3[Row]=$D299)*(SchPdt3[Column]=_xlfn.LET(_xlpm.x,SUBSTITUTE(UPPER(INDIRECT("r"&amp;MATCH("TIP",$A:$A,0)&amp;"c"&amp;IF(INDIRECT("r"&amp;MATCH("TAP",$A:$A,0)&amp;"c",FALSE)="SERRA","","[-1]"),FALSE)),".",""),IFERROR(_xlfn.TEXTBEFORE(_xlpm.x," ("),_xlpm.x)))*(#REF!=INDIRECT("r"&amp;MATCH("TAP",$A:$A,0)&amp;"c",FALSE)),0)),0)</f>
        <v>0</v>
      </c>
      <c r="AM299" s="377" cm="1">
        <f t="array" aca="1" ref="AM299" ca="1">IFERROR(SUM(_xlfn._xlws.FILTER(SchPdt3[Value],(SchPdt3[PrjId]=$B299)*(SchPdt3[Row]=$D299)*(SchPdt3[Column]=_xlfn.LET(_xlpm.x,SUBSTITUTE(UPPER(INDIRECT("r"&amp;MATCH("TIP",$A:$A,0)&amp;"c"&amp;IF(INDIRECT("r"&amp;MATCH("TAP",$A:$A,0)&amp;"c",FALSE)="SERRA","","[-1]"),FALSE)),".",""),IFERROR(_xlfn.TEXTBEFORE(_xlpm.x," ("),_xlpm.x)))*(#REF!=INDIRECT("r"&amp;MATCH("TAP",$A:$A,0)&amp;"c",FALSE)),0)),0)</f>
        <v>0</v>
      </c>
      <c r="AN299" s="377" cm="1">
        <f t="array" aca="1" ref="AN299" ca="1">IFERROR(SUM(_xlfn._xlws.FILTER(SchPdt3[Value],(SchPdt3[PrjId]=$B299)*(SchPdt3[Row]=$D299)*(SchPdt3[Column]=_xlfn.LET(_xlpm.x,SUBSTITUTE(UPPER(INDIRECT("r"&amp;MATCH("TIP",$A:$A,0)&amp;"c"&amp;IF(INDIRECT("r"&amp;MATCH("TAP",$A:$A,0)&amp;"c",FALSE)="SERRA","","[-1]"),FALSE)),".",""),IFERROR(_xlfn.TEXTBEFORE(_xlpm.x," ("),_xlpm.x)))*(#REF!=INDIRECT("r"&amp;MATCH("TAP",$A:$A,0)&amp;"c",FALSE)),0)),0)</f>
        <v>0</v>
      </c>
      <c r="AO299" s="377" cm="1">
        <f t="array" aca="1" ref="AO299" ca="1">IFERROR(SUM(_xlfn._xlws.FILTER(SchPdt3[Value],(SchPdt3[PrjId]=$B299)*(SchPdt3[Row]=$D299)*(SchPdt3[Column]=_xlfn.LET(_xlpm.x,SUBSTITUTE(UPPER(INDIRECT("r"&amp;MATCH("TIP",$A:$A,0)&amp;"c"&amp;IF(INDIRECT("r"&amp;MATCH("TAP",$A:$A,0)&amp;"c",FALSE)="SERRA","","[-1]"),FALSE)),".",""),IFERROR(_xlfn.TEXTBEFORE(_xlpm.x," ("),_xlpm.x)))*(#REF!=INDIRECT("r"&amp;MATCH("TAP",$A:$A,0)&amp;"c",FALSE)),0)),0)</f>
        <v>0</v>
      </c>
      <c r="AP299" s="377" cm="1">
        <f t="array" aca="1" ref="AP299" ca="1">IFERROR(SUM(_xlfn._xlws.FILTER(SchPdt3[Value],(SchPdt3[PrjId]=$B299)*(SchPdt3[Row]=$D299)*(SchPdt3[Column]=_xlfn.LET(_xlpm.x,SUBSTITUTE(UPPER(INDIRECT("r"&amp;MATCH("TIP",$A:$A,0)&amp;"c"&amp;IF(INDIRECT("r"&amp;MATCH("TAP",$A:$A,0)&amp;"c",FALSE)="SERRA","","[-1]"),FALSE)),".",""),IFERROR(_xlfn.TEXTBEFORE(_xlpm.x," ("),_xlpm.x)))*(#REF!=INDIRECT("r"&amp;MATCH("TAP",$A:$A,0)&amp;"c",FALSE)),0)),0)</f>
        <v>0</v>
      </c>
      <c r="AQ299" s="377" cm="1">
        <f t="array" aca="1" ref="AQ299" ca="1">SUM(IF(INDIRECT($AS$115)=AQ$115,INDIRECT($AS299)))</f>
        <v>0</v>
      </c>
      <c r="AR299" s="377" cm="1">
        <f t="array" aca="1" ref="AR299" ca="1">SUM(IF(INDIRECT($AS$115)=AR$115,INDIRECT($AS299)))</f>
        <v>0</v>
      </c>
      <c r="AS299" s="286" t="str">
        <f t="shared" si="23"/>
        <v>G299:AP299</v>
      </c>
      <c r="AT299" s="403">
        <f t="shared" ca="1" si="24"/>
        <v>0</v>
      </c>
      <c r="AV299" s="142" cm="1">
        <f t="array" aca="1" ref="AV299" ca="1">IF(AND(_xlfn.LET(_xlpm.x,SUM(ROW()),OR(AND(MATCH("SOT",$A:$A,0)&lt;_xlpm.x,MATCH("EOT",$A:$A,0)&gt;_xlpm.x),AND(MATCH("SOS",$A:$A,0)&lt;_xlpm.x,MATCH("EOS",$A:$A,0)&gt;_xlpm.x),AND(MATCH("SOR",$A:$A,0)&lt;_xlpm.x,MATCH("EOR",$A:$A,0)&gt;_xlpm.x))),INDIRECT("rc"&amp;MATCH("SCD",$1:$1,0),FALSE)="PPTO"),1,0)</f>
        <v>0</v>
      </c>
      <c r="AW299" s="142" cm="1">
        <f t="array" aca="1" ref="AW29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300" spans="1:49" s="153" customFormat="1" outlineLevel="2">
      <c r="A300" s="152"/>
      <c r="B300" s="401" t="str">
        <f t="shared" si="22"/>
        <v>X</v>
      </c>
      <c r="C300" s="148"/>
      <c r="D300" s="404"/>
      <c r="E300" s="350" t="str" cm="1">
        <f t="array" ref="E300">UPPER(_xlfn.UNIQUE(_xlfn._xlws.FILTER(TbRowMacro[RowMacroName],TbRowMacro[RowMcroId]=$D300,"X")))</f>
        <v>X</v>
      </c>
      <c r="F300" s="402"/>
      <c r="G300" s="377" cm="1">
        <f t="array" aca="1" ref="G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H300" s="377" cm="1">
        <f t="array" aca="1" ref="H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I300" s="377" cm="1">
        <f t="array" aca="1" ref="I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J300" s="377" cm="1">
        <f t="array" aca="1" ref="J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K300" s="377" cm="1">
        <f t="array" aca="1" ref="K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L300" s="377" cm="1">
        <f t="array" aca="1" ref="L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M300" s="377" cm="1">
        <f t="array" aca="1" ref="M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N300" s="377" cm="1">
        <f t="array" aca="1" ref="N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O300" s="377" cm="1">
        <f t="array" aca="1" ref="O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P300" s="377" cm="1">
        <f t="array" aca="1" ref="P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Q300" s="377" cm="1">
        <f t="array" aca="1" ref="Q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R300" s="377" cm="1">
        <f t="array" aca="1" ref="R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S300" s="377" cm="1">
        <f t="array" aca="1" ref="S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T300" s="377" cm="1">
        <f t="array" aca="1" ref="T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U300" s="377" cm="1">
        <f t="array" aca="1" ref="U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V300" s="377" cm="1">
        <f t="array" aca="1" ref="V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W300" s="377" cm="1">
        <f t="array" aca="1" ref="W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X300" s="377" cm="1">
        <f t="array" aca="1" ref="X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Y300" s="377" cm="1">
        <f t="array" aca="1" ref="Y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Z300" s="377" cm="1">
        <f t="array" aca="1" ref="Z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AA300" s="377" cm="1">
        <f t="array" aca="1" ref="AA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AB300" s="377" cm="1">
        <f t="array" aca="1" ref="AB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AC300" s="377" cm="1">
        <f t="array" aca="1" ref="AC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AD300" s="377" cm="1">
        <f t="array" aca="1" ref="AD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AE300" s="377" cm="1">
        <f t="array" aca="1" ref="AE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AF300" s="377" cm="1">
        <f t="array" aca="1" ref="AF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AG300" s="377" cm="1">
        <f t="array" aca="1" ref="AG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AH300" s="377" cm="1">
        <f t="array" aca="1" ref="AH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AI300" s="377" cm="1">
        <f t="array" aca="1" ref="AI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AJ300" s="377" cm="1">
        <f t="array" aca="1" ref="AJ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AK300" s="377" cm="1">
        <f t="array" aca="1" ref="AK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AL300" s="377" cm="1">
        <f t="array" aca="1" ref="AL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AM300" s="377" cm="1">
        <f t="array" aca="1" ref="AM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AN300" s="377" cm="1">
        <f t="array" aca="1" ref="AN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AO300" s="377" cm="1">
        <f t="array" aca="1" ref="AO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AP300" s="377" cm="1">
        <f t="array" aca="1" ref="AP300" ca="1">IFERROR(_xlfn.LET(_xlpm.x,"r"&amp;MATCH("ADT",$A:$A,0),_xlpm.y,"c"&amp;MATCH("SCD",$1:$1,0),_xlpm.z,INDIRECT(INDIRECT("r"&amp;MATCH("ADT",$A:$A,0)&amp;"c"&amp;MATCH("PID",$1:$1,0),FALSE)),_xlpm.v,INDIRECT(INDIRECT("r"&amp;MATCH("ADT",$A:$A,0)&amp;"c"&amp;MATCH("MOD",$1:$1,0),FALSE)),SUM(_xlfn._xlws.FILTER(INDIRECT(INDIRECT(_xlpm.x&amp;"c",FALSE))*(IF(INDIRECT(INDIRECT(_xlpm.x&amp;_xlpm.y,FALSE))="REAL",-1,1)),(_xlpm.z=$B300)*(ISNUMBER(FIND(_xlpm.v,_xlfn.TEXTJOIN(":",TRUE,_xlfn.UNIQUE(_xlfn._xlws.FILTER(TbStd[RowGrp],TbStd[Row5]=$D300,"X"))))))),0)),0)</f>
        <v>0</v>
      </c>
      <c r="AQ300" s="377" cm="1">
        <f t="array" aca="1" ref="AQ300" ca="1">SUM(IF(INDIRECT($AS$115)=AQ$115,INDIRECT($AS300)))</f>
        <v>0</v>
      </c>
      <c r="AR300" s="377" cm="1">
        <f t="array" aca="1" ref="AR300" ca="1">SUM(IF(INDIRECT($AS$115)=AR$115,INDIRECT($AS300)))</f>
        <v>0</v>
      </c>
      <c r="AS300" s="286" t="str">
        <f t="shared" si="23"/>
        <v>G300:AP300</v>
      </c>
      <c r="AT300" s="403">
        <f t="shared" ca="1" si="24"/>
        <v>0</v>
      </c>
      <c r="AV300" s="142" cm="1">
        <f t="array" aca="1" ref="AV300" ca="1">IF(AND(_xlfn.LET(_xlpm.x,SUM(ROW()),OR(AND(MATCH("SOT",$A:$A,0)&lt;_xlpm.x,MATCH("EOT",$A:$A,0)&gt;_xlpm.x),AND(MATCH("SOS",$A:$A,0)&lt;_xlpm.x,MATCH("EOS",$A:$A,0)&gt;_xlpm.x),AND(MATCH("SOR",$A:$A,0)&lt;_xlpm.x,MATCH("EOR",$A:$A,0)&gt;_xlpm.x))),INDIRECT("rc"&amp;MATCH("SCD",$1:$1,0),FALSE)="PPTO"),1,0)</f>
        <v>0</v>
      </c>
      <c r="AW300" s="142" cm="1">
        <f t="array" aca="1" ref="AW30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301" spans="1:49" s="153" customFormat="1" outlineLevel="2">
      <c r="A301" s="152"/>
      <c r="B301" s="401" t="str">
        <f t="shared" si="22"/>
        <v>X</v>
      </c>
      <c r="C301" s="148"/>
      <c r="D301" s="404"/>
      <c r="E301" s="350" t="str" cm="1">
        <f t="array" ref="E301">UPPER(_xlfn.UNIQUE(_xlfn._xlws.FILTER(TbRowMacro[RowMacroName],TbRowMacro[RowMcroId]=$D301,"X")))</f>
        <v>X</v>
      </c>
      <c r="F301" s="402"/>
      <c r="G301" s="377" cm="1">
        <f t="array" aca="1" ref="G301" ca="1">IFERROR(SUM(_xlfn._xlws.FILTER(SchPdt3[Value],(SchPdt3[PrjId]=$B301)*(SchPdt3[Row]=$D301)*(SchPdt3[Column]=_xlfn.LET(_xlpm.x,SUBSTITUTE(UPPER(INDIRECT("r"&amp;MATCH("TIP",$A:$A,0)&amp;"c"&amp;IF(INDIRECT("r"&amp;MATCH("TAP",$A:$A,0)&amp;"c",FALSE)="SERRA","","[-1]"),FALSE)),".",""),IFERROR(_xlfn.TEXTBEFORE(_xlpm.x," ("),_xlpm.x)))*(#REF!=INDIRECT("r"&amp;MATCH("TAP",$A:$A,0)&amp;"c",FALSE)),0)),0)</f>
        <v>0</v>
      </c>
      <c r="H301" s="377" cm="1">
        <f t="array" aca="1" ref="H301" ca="1">IFERROR(SUM(_xlfn._xlws.FILTER(SchPdt3[Value],(SchPdt3[PrjId]=$B301)*(SchPdt3[Row]=$D301)*(SchPdt3[Column]=_xlfn.LET(_xlpm.x,SUBSTITUTE(UPPER(INDIRECT("r"&amp;MATCH("TIP",$A:$A,0)&amp;"c"&amp;IF(INDIRECT("r"&amp;MATCH("TAP",$A:$A,0)&amp;"c",FALSE)="SERRA","","[-1]"),FALSE)),".",""),IFERROR(_xlfn.TEXTBEFORE(_xlpm.x," ("),_xlpm.x)))*(#REF!=INDIRECT("r"&amp;MATCH("TAP",$A:$A,0)&amp;"c",FALSE)),0)),0)</f>
        <v>0</v>
      </c>
      <c r="I301" s="377" cm="1">
        <f t="array" aca="1" ref="I301" ca="1">IFERROR(SUM(_xlfn._xlws.FILTER(SchPdt3[Value],(SchPdt3[PrjId]=$B301)*(SchPdt3[Row]=$D301)*(SchPdt3[Column]=_xlfn.LET(_xlpm.x,SUBSTITUTE(UPPER(INDIRECT("r"&amp;MATCH("TIP",$A:$A,0)&amp;"c"&amp;IF(INDIRECT("r"&amp;MATCH("TAP",$A:$A,0)&amp;"c",FALSE)="SERRA","","[-1]"),FALSE)),".",""),IFERROR(_xlfn.TEXTBEFORE(_xlpm.x," ("),_xlpm.x)))*(#REF!=INDIRECT("r"&amp;MATCH("TAP",$A:$A,0)&amp;"c",FALSE)),0)),0)</f>
        <v>0</v>
      </c>
      <c r="J301" s="377" cm="1">
        <f t="array" aca="1" ref="J301" ca="1">IFERROR(SUM(_xlfn._xlws.FILTER(SchPdt3[Value],(SchPdt3[PrjId]=$B301)*(SchPdt3[Row]=$D301)*(SchPdt3[Column]=_xlfn.LET(_xlpm.x,SUBSTITUTE(UPPER(INDIRECT("r"&amp;MATCH("TIP",$A:$A,0)&amp;"c"&amp;IF(INDIRECT("r"&amp;MATCH("TAP",$A:$A,0)&amp;"c",FALSE)="SERRA","","[-1]"),FALSE)),".",""),IFERROR(_xlfn.TEXTBEFORE(_xlpm.x," ("),_xlpm.x)))*(#REF!=INDIRECT("r"&amp;MATCH("TAP",$A:$A,0)&amp;"c",FALSE)),0)),0)</f>
        <v>0</v>
      </c>
      <c r="K301" s="377" cm="1">
        <f t="array" aca="1" ref="K301" ca="1">IFERROR(SUM(_xlfn._xlws.FILTER(SchPdt3[Value],(SchPdt3[PrjId]=$B301)*(SchPdt3[Row]=$D301)*(SchPdt3[Column]=_xlfn.LET(_xlpm.x,SUBSTITUTE(UPPER(INDIRECT("r"&amp;MATCH("TIP",$A:$A,0)&amp;"c"&amp;IF(INDIRECT("r"&amp;MATCH("TAP",$A:$A,0)&amp;"c",FALSE)="SERRA","","[-1]"),FALSE)),".",""),IFERROR(_xlfn.TEXTBEFORE(_xlpm.x," ("),_xlpm.x)))*(#REF!=INDIRECT("r"&amp;MATCH("TAP",$A:$A,0)&amp;"c",FALSE)),0)),0)</f>
        <v>0</v>
      </c>
      <c r="L301" s="377" cm="1">
        <f t="array" aca="1" ref="L301" ca="1">IFERROR(SUM(_xlfn._xlws.FILTER(SchPdt3[Value],(SchPdt3[PrjId]=$B301)*(SchPdt3[Row]=$D301)*(SchPdt3[Column]=_xlfn.LET(_xlpm.x,SUBSTITUTE(UPPER(INDIRECT("r"&amp;MATCH("TIP",$A:$A,0)&amp;"c"&amp;IF(INDIRECT("r"&amp;MATCH("TAP",$A:$A,0)&amp;"c",FALSE)="SERRA","","[-1]"),FALSE)),".",""),IFERROR(_xlfn.TEXTBEFORE(_xlpm.x," ("),_xlpm.x)))*(#REF!=INDIRECT("r"&amp;MATCH("TAP",$A:$A,0)&amp;"c",FALSE)),0)),0)</f>
        <v>0</v>
      </c>
      <c r="M301" s="377" cm="1">
        <f t="array" aca="1" ref="M301" ca="1">IFERROR(SUM(_xlfn._xlws.FILTER(SchPdt3[Value],(SchPdt3[PrjId]=$B301)*(SchPdt3[Row]=$D301)*(SchPdt3[Column]=_xlfn.LET(_xlpm.x,SUBSTITUTE(UPPER(INDIRECT("r"&amp;MATCH("TIP",$A:$A,0)&amp;"c"&amp;IF(INDIRECT("r"&amp;MATCH("TAP",$A:$A,0)&amp;"c",FALSE)="SERRA","","[-1]"),FALSE)),".",""),IFERROR(_xlfn.TEXTBEFORE(_xlpm.x," ("),_xlpm.x)))*(#REF!=INDIRECT("r"&amp;MATCH("TAP",$A:$A,0)&amp;"c",FALSE)),0)),0)</f>
        <v>0</v>
      </c>
      <c r="N301" s="377" cm="1">
        <f t="array" aca="1" ref="N301" ca="1">IFERROR(SUM(_xlfn._xlws.FILTER(SchPdt3[Value],(SchPdt3[PrjId]=$B301)*(SchPdt3[Row]=$D301)*(SchPdt3[Column]=_xlfn.LET(_xlpm.x,SUBSTITUTE(UPPER(INDIRECT("r"&amp;MATCH("TIP",$A:$A,0)&amp;"c"&amp;IF(INDIRECT("r"&amp;MATCH("TAP",$A:$A,0)&amp;"c",FALSE)="SERRA","","[-1]"),FALSE)),".",""),IFERROR(_xlfn.TEXTBEFORE(_xlpm.x," ("),_xlpm.x)))*(#REF!=INDIRECT("r"&amp;MATCH("TAP",$A:$A,0)&amp;"c",FALSE)),0)),0)</f>
        <v>0</v>
      </c>
      <c r="O301" s="377" cm="1">
        <f t="array" aca="1" ref="O301" ca="1">IFERROR(SUM(_xlfn._xlws.FILTER(SchPdt3[Value],(SchPdt3[PrjId]=$B301)*(SchPdt3[Row]=$D301)*(SchPdt3[Column]=_xlfn.LET(_xlpm.x,SUBSTITUTE(UPPER(INDIRECT("r"&amp;MATCH("TIP",$A:$A,0)&amp;"c"&amp;IF(INDIRECT("r"&amp;MATCH("TAP",$A:$A,0)&amp;"c",FALSE)="SERRA","","[-1]"),FALSE)),".",""),IFERROR(_xlfn.TEXTBEFORE(_xlpm.x," ("),_xlpm.x)))*(#REF!=INDIRECT("r"&amp;MATCH("TAP",$A:$A,0)&amp;"c",FALSE)),0)),0)</f>
        <v>0</v>
      </c>
      <c r="P301" s="377" cm="1">
        <f t="array" aca="1" ref="P301" ca="1">IFERROR(SUM(_xlfn._xlws.FILTER(SchPdt3[Value],(SchPdt3[PrjId]=$B301)*(SchPdt3[Row]=$D301)*(SchPdt3[Column]=_xlfn.LET(_xlpm.x,SUBSTITUTE(UPPER(INDIRECT("r"&amp;MATCH("TIP",$A:$A,0)&amp;"c"&amp;IF(INDIRECT("r"&amp;MATCH("TAP",$A:$A,0)&amp;"c",FALSE)="SERRA","","[-1]"),FALSE)),".",""),IFERROR(_xlfn.TEXTBEFORE(_xlpm.x," ("),_xlpm.x)))*(#REF!=INDIRECT("r"&amp;MATCH("TAP",$A:$A,0)&amp;"c",FALSE)),0)),0)</f>
        <v>0</v>
      </c>
      <c r="Q301" s="377" cm="1">
        <f t="array" aca="1" ref="Q301" ca="1">IFERROR(SUM(_xlfn._xlws.FILTER(SchPdt3[Value],(SchPdt3[PrjId]=$B301)*(SchPdt3[Row]=$D301)*(SchPdt3[Column]=_xlfn.LET(_xlpm.x,SUBSTITUTE(UPPER(INDIRECT("r"&amp;MATCH("TIP",$A:$A,0)&amp;"c"&amp;IF(INDIRECT("r"&amp;MATCH("TAP",$A:$A,0)&amp;"c",FALSE)="SERRA","","[-1]"),FALSE)),".",""),IFERROR(_xlfn.TEXTBEFORE(_xlpm.x," ("),_xlpm.x)))*(#REF!=INDIRECT("r"&amp;MATCH("TAP",$A:$A,0)&amp;"c",FALSE)),0)),0)</f>
        <v>0</v>
      </c>
      <c r="R301" s="377" cm="1">
        <f t="array" aca="1" ref="R301" ca="1">IFERROR(SUM(_xlfn._xlws.FILTER(SchPdt3[Value],(SchPdt3[PrjId]=$B301)*(SchPdt3[Row]=$D301)*(SchPdt3[Column]=_xlfn.LET(_xlpm.x,SUBSTITUTE(UPPER(INDIRECT("r"&amp;MATCH("TIP",$A:$A,0)&amp;"c"&amp;IF(INDIRECT("r"&amp;MATCH("TAP",$A:$A,0)&amp;"c",FALSE)="SERRA","","[-1]"),FALSE)),".",""),IFERROR(_xlfn.TEXTBEFORE(_xlpm.x," ("),_xlpm.x)))*(#REF!=INDIRECT("r"&amp;MATCH("TAP",$A:$A,0)&amp;"c",FALSE)),0)),0)</f>
        <v>0</v>
      </c>
      <c r="S301" s="377" cm="1">
        <f t="array" aca="1" ref="S301" ca="1">IFERROR(SUM(_xlfn._xlws.FILTER(SchPdt3[Value],(SchPdt3[PrjId]=$B301)*(SchPdt3[Row]=$D301)*(SchPdt3[Column]=_xlfn.LET(_xlpm.x,SUBSTITUTE(UPPER(INDIRECT("r"&amp;MATCH("TIP",$A:$A,0)&amp;"c"&amp;IF(INDIRECT("r"&amp;MATCH("TAP",$A:$A,0)&amp;"c",FALSE)="SERRA","","[-1]"),FALSE)),".",""),IFERROR(_xlfn.TEXTBEFORE(_xlpm.x," ("),_xlpm.x)))*(#REF!=INDIRECT("r"&amp;MATCH("TAP",$A:$A,0)&amp;"c",FALSE)),0)),0)</f>
        <v>0</v>
      </c>
      <c r="T301" s="377" cm="1">
        <f t="array" aca="1" ref="T301" ca="1">IFERROR(SUM(_xlfn._xlws.FILTER(SchPdt3[Value],(SchPdt3[PrjId]=$B301)*(SchPdt3[Row]=$D301)*(SchPdt3[Column]=_xlfn.LET(_xlpm.x,SUBSTITUTE(UPPER(INDIRECT("r"&amp;MATCH("TIP",$A:$A,0)&amp;"c"&amp;IF(INDIRECT("r"&amp;MATCH("TAP",$A:$A,0)&amp;"c",FALSE)="SERRA","","[-1]"),FALSE)),".",""),IFERROR(_xlfn.TEXTBEFORE(_xlpm.x," ("),_xlpm.x)))*(#REF!=INDIRECT("r"&amp;MATCH("TAP",$A:$A,0)&amp;"c",FALSE)),0)),0)</f>
        <v>0</v>
      </c>
      <c r="U301" s="377" cm="1">
        <f t="array" aca="1" ref="U301" ca="1">IFERROR(SUM(_xlfn._xlws.FILTER(SchPdt3[Value],(SchPdt3[PrjId]=$B301)*(SchPdt3[Row]=$D301)*(SchPdt3[Column]=_xlfn.LET(_xlpm.x,SUBSTITUTE(UPPER(INDIRECT("r"&amp;MATCH("TIP",$A:$A,0)&amp;"c"&amp;IF(INDIRECT("r"&amp;MATCH("TAP",$A:$A,0)&amp;"c",FALSE)="SERRA","","[-1]"),FALSE)),".",""),IFERROR(_xlfn.TEXTBEFORE(_xlpm.x," ("),_xlpm.x)))*(#REF!=INDIRECT("r"&amp;MATCH("TAP",$A:$A,0)&amp;"c",FALSE)),0)),0)</f>
        <v>0</v>
      </c>
      <c r="V301" s="377" cm="1">
        <f t="array" aca="1" ref="V301" ca="1">IFERROR(SUM(_xlfn._xlws.FILTER(SchPdt3[Value],(SchPdt3[PrjId]=$B301)*(SchPdt3[Row]=$D301)*(SchPdt3[Column]=_xlfn.LET(_xlpm.x,SUBSTITUTE(UPPER(INDIRECT("r"&amp;MATCH("TIP",$A:$A,0)&amp;"c"&amp;IF(INDIRECT("r"&amp;MATCH("TAP",$A:$A,0)&amp;"c",FALSE)="SERRA","","[-1]"),FALSE)),".",""),IFERROR(_xlfn.TEXTBEFORE(_xlpm.x," ("),_xlpm.x)))*(#REF!=INDIRECT("r"&amp;MATCH("TAP",$A:$A,0)&amp;"c",FALSE)),0)),0)</f>
        <v>0</v>
      </c>
      <c r="W301" s="377" cm="1">
        <f t="array" aca="1" ref="W301" ca="1">IFERROR(SUM(_xlfn._xlws.FILTER(SchPdt3[Value],(SchPdt3[PrjId]=$B301)*(SchPdt3[Row]=$D301)*(SchPdt3[Column]=_xlfn.LET(_xlpm.x,SUBSTITUTE(UPPER(INDIRECT("r"&amp;MATCH("TIP",$A:$A,0)&amp;"c"&amp;IF(INDIRECT("r"&amp;MATCH("TAP",$A:$A,0)&amp;"c",FALSE)="SERRA","","[-1]"),FALSE)),".",""),IFERROR(_xlfn.TEXTBEFORE(_xlpm.x," ("),_xlpm.x)))*(#REF!=INDIRECT("r"&amp;MATCH("TAP",$A:$A,0)&amp;"c",FALSE)),0)),0)</f>
        <v>0</v>
      </c>
      <c r="X301" s="377" cm="1">
        <f t="array" aca="1" ref="X301" ca="1">IFERROR(SUM(_xlfn._xlws.FILTER(SchPdt3[Value],(SchPdt3[PrjId]=$B301)*(SchPdt3[Row]=$D301)*(SchPdt3[Column]=_xlfn.LET(_xlpm.x,SUBSTITUTE(UPPER(INDIRECT("r"&amp;MATCH("TIP",$A:$A,0)&amp;"c"&amp;IF(INDIRECT("r"&amp;MATCH("TAP",$A:$A,0)&amp;"c",FALSE)="SERRA","","[-1]"),FALSE)),".",""),IFERROR(_xlfn.TEXTBEFORE(_xlpm.x," ("),_xlpm.x)))*(#REF!=INDIRECT("r"&amp;MATCH("TAP",$A:$A,0)&amp;"c",FALSE)),0)),0)</f>
        <v>0</v>
      </c>
      <c r="Y301" s="377" cm="1">
        <f t="array" aca="1" ref="Y301" ca="1">IFERROR(SUM(_xlfn._xlws.FILTER(SchPdt3[Value],(SchPdt3[PrjId]=$B301)*(SchPdt3[Row]=$D301)*(SchPdt3[Column]=_xlfn.LET(_xlpm.x,SUBSTITUTE(UPPER(INDIRECT("r"&amp;MATCH("TIP",$A:$A,0)&amp;"c"&amp;IF(INDIRECT("r"&amp;MATCH("TAP",$A:$A,0)&amp;"c",FALSE)="SERRA","","[-1]"),FALSE)),".",""),IFERROR(_xlfn.TEXTBEFORE(_xlpm.x," ("),_xlpm.x)))*(#REF!=INDIRECT("r"&amp;MATCH("TAP",$A:$A,0)&amp;"c",FALSE)),0)),0)</f>
        <v>0</v>
      </c>
      <c r="Z301" s="377" cm="1">
        <f t="array" aca="1" ref="Z301" ca="1">IFERROR(SUM(_xlfn._xlws.FILTER(SchPdt3[Value],(SchPdt3[PrjId]=$B301)*(SchPdt3[Row]=$D301)*(SchPdt3[Column]=_xlfn.LET(_xlpm.x,SUBSTITUTE(UPPER(INDIRECT("r"&amp;MATCH("TIP",$A:$A,0)&amp;"c"&amp;IF(INDIRECT("r"&amp;MATCH("TAP",$A:$A,0)&amp;"c",FALSE)="SERRA","","[-1]"),FALSE)),".",""),IFERROR(_xlfn.TEXTBEFORE(_xlpm.x," ("),_xlpm.x)))*(#REF!=INDIRECT("r"&amp;MATCH("TAP",$A:$A,0)&amp;"c",FALSE)),0)),0)</f>
        <v>0</v>
      </c>
      <c r="AA301" s="377" cm="1">
        <f t="array" aca="1" ref="AA301" ca="1">IFERROR(SUM(_xlfn._xlws.FILTER(SchPdt3[Value],(SchPdt3[PrjId]=$B301)*(SchPdt3[Row]=$D301)*(SchPdt3[Column]=_xlfn.LET(_xlpm.x,SUBSTITUTE(UPPER(INDIRECT("r"&amp;MATCH("TIP",$A:$A,0)&amp;"c"&amp;IF(INDIRECT("r"&amp;MATCH("TAP",$A:$A,0)&amp;"c",FALSE)="SERRA","","[-1]"),FALSE)),".",""),IFERROR(_xlfn.TEXTBEFORE(_xlpm.x," ("),_xlpm.x)))*(#REF!=INDIRECT("r"&amp;MATCH("TAP",$A:$A,0)&amp;"c",FALSE)),0)),0)</f>
        <v>0</v>
      </c>
      <c r="AB301" s="377" cm="1">
        <f t="array" aca="1" ref="AB301" ca="1">IFERROR(SUM(_xlfn._xlws.FILTER(SchPdt3[Value],(SchPdt3[PrjId]=$B301)*(SchPdt3[Row]=$D301)*(SchPdt3[Column]=_xlfn.LET(_xlpm.x,SUBSTITUTE(UPPER(INDIRECT("r"&amp;MATCH("TIP",$A:$A,0)&amp;"c"&amp;IF(INDIRECT("r"&amp;MATCH("TAP",$A:$A,0)&amp;"c",FALSE)="SERRA","","[-1]"),FALSE)),".",""),IFERROR(_xlfn.TEXTBEFORE(_xlpm.x," ("),_xlpm.x)))*(#REF!=INDIRECT("r"&amp;MATCH("TAP",$A:$A,0)&amp;"c",FALSE)),0)),0)</f>
        <v>0</v>
      </c>
      <c r="AC301" s="377" cm="1">
        <f t="array" aca="1" ref="AC301" ca="1">IFERROR(SUM(_xlfn._xlws.FILTER(SchPdt3[Value],(SchPdt3[PrjId]=$B301)*(SchPdt3[Row]=$D301)*(SchPdt3[Column]=_xlfn.LET(_xlpm.x,SUBSTITUTE(UPPER(INDIRECT("r"&amp;MATCH("TIP",$A:$A,0)&amp;"c"&amp;IF(INDIRECT("r"&amp;MATCH("TAP",$A:$A,0)&amp;"c",FALSE)="SERRA","","[-1]"),FALSE)),".",""),IFERROR(_xlfn.TEXTBEFORE(_xlpm.x," ("),_xlpm.x)))*(#REF!=INDIRECT("r"&amp;MATCH("TAP",$A:$A,0)&amp;"c",FALSE)),0)),0)</f>
        <v>0</v>
      </c>
      <c r="AD301" s="377" cm="1">
        <f t="array" aca="1" ref="AD301" ca="1">IFERROR(SUM(_xlfn._xlws.FILTER(SchPdt3[Value],(SchPdt3[PrjId]=$B301)*(SchPdt3[Row]=$D301)*(SchPdt3[Column]=_xlfn.LET(_xlpm.x,SUBSTITUTE(UPPER(INDIRECT("r"&amp;MATCH("TIP",$A:$A,0)&amp;"c"&amp;IF(INDIRECT("r"&amp;MATCH("TAP",$A:$A,0)&amp;"c",FALSE)="SERRA","","[-1]"),FALSE)),".",""),IFERROR(_xlfn.TEXTBEFORE(_xlpm.x," ("),_xlpm.x)))*(#REF!=INDIRECT("r"&amp;MATCH("TAP",$A:$A,0)&amp;"c",FALSE)),0)),0)</f>
        <v>0</v>
      </c>
      <c r="AE301" s="377" cm="1">
        <f t="array" aca="1" ref="AE301" ca="1">IFERROR(SUM(_xlfn._xlws.FILTER(SchPdt3[Value],(SchPdt3[PrjId]=$B301)*(SchPdt3[Row]=$D301)*(SchPdt3[Column]=_xlfn.LET(_xlpm.x,SUBSTITUTE(UPPER(INDIRECT("r"&amp;MATCH("TIP",$A:$A,0)&amp;"c"&amp;IF(INDIRECT("r"&amp;MATCH("TAP",$A:$A,0)&amp;"c",FALSE)="SERRA","","[-1]"),FALSE)),".",""),IFERROR(_xlfn.TEXTBEFORE(_xlpm.x," ("),_xlpm.x)))*(#REF!=INDIRECT("r"&amp;MATCH("TAP",$A:$A,0)&amp;"c",FALSE)),0)),0)</f>
        <v>0</v>
      </c>
      <c r="AF301" s="377" cm="1">
        <f t="array" aca="1" ref="AF301" ca="1">IFERROR(SUM(_xlfn._xlws.FILTER(SchPdt3[Value],(SchPdt3[PrjId]=$B301)*(SchPdt3[Row]=$D301)*(SchPdt3[Column]=_xlfn.LET(_xlpm.x,SUBSTITUTE(UPPER(INDIRECT("r"&amp;MATCH("TIP",$A:$A,0)&amp;"c"&amp;IF(INDIRECT("r"&amp;MATCH("TAP",$A:$A,0)&amp;"c",FALSE)="SERRA","","[-1]"),FALSE)),".",""),IFERROR(_xlfn.TEXTBEFORE(_xlpm.x," ("),_xlpm.x)))*(#REF!=INDIRECT("r"&amp;MATCH("TAP",$A:$A,0)&amp;"c",FALSE)),0)),0)</f>
        <v>0</v>
      </c>
      <c r="AG301" s="377" cm="1">
        <f t="array" aca="1" ref="AG301" ca="1">IFERROR(SUM(_xlfn._xlws.FILTER(SchPdt3[Value],(SchPdt3[PrjId]=$B301)*(SchPdt3[Row]=$D301)*(SchPdt3[Column]=_xlfn.LET(_xlpm.x,SUBSTITUTE(UPPER(INDIRECT("r"&amp;MATCH("TIP",$A:$A,0)&amp;"c"&amp;IF(INDIRECT("r"&amp;MATCH("TAP",$A:$A,0)&amp;"c",FALSE)="SERRA","","[-1]"),FALSE)),".",""),IFERROR(_xlfn.TEXTBEFORE(_xlpm.x," ("),_xlpm.x)))*(#REF!=INDIRECT("r"&amp;MATCH("TAP",$A:$A,0)&amp;"c",FALSE)),0)),0)</f>
        <v>0</v>
      </c>
      <c r="AH301" s="377" cm="1">
        <f t="array" aca="1" ref="AH301" ca="1">IFERROR(SUM(_xlfn._xlws.FILTER(SchPdt3[Value],(SchPdt3[PrjId]=$B301)*(SchPdt3[Row]=$D301)*(SchPdt3[Column]=_xlfn.LET(_xlpm.x,SUBSTITUTE(UPPER(INDIRECT("r"&amp;MATCH("TIP",$A:$A,0)&amp;"c"&amp;IF(INDIRECT("r"&amp;MATCH("TAP",$A:$A,0)&amp;"c",FALSE)="SERRA","","[-1]"),FALSE)),".",""),IFERROR(_xlfn.TEXTBEFORE(_xlpm.x," ("),_xlpm.x)))*(#REF!=INDIRECT("r"&amp;MATCH("TAP",$A:$A,0)&amp;"c",FALSE)),0)),0)</f>
        <v>0</v>
      </c>
      <c r="AI301" s="377" cm="1">
        <f t="array" aca="1" ref="AI301" ca="1">IFERROR(SUM(_xlfn._xlws.FILTER(SchPdt3[Value],(SchPdt3[PrjId]=$B301)*(SchPdt3[Row]=$D301)*(SchPdt3[Column]=_xlfn.LET(_xlpm.x,SUBSTITUTE(UPPER(INDIRECT("r"&amp;MATCH("TIP",$A:$A,0)&amp;"c"&amp;IF(INDIRECT("r"&amp;MATCH("TAP",$A:$A,0)&amp;"c",FALSE)="SERRA","","[-1]"),FALSE)),".",""),IFERROR(_xlfn.TEXTBEFORE(_xlpm.x," ("),_xlpm.x)))*(#REF!=INDIRECT("r"&amp;MATCH("TAP",$A:$A,0)&amp;"c",FALSE)),0)),0)</f>
        <v>0</v>
      </c>
      <c r="AJ301" s="377" cm="1">
        <f t="array" aca="1" ref="AJ301" ca="1">IFERROR(SUM(_xlfn._xlws.FILTER(SchPdt3[Value],(SchPdt3[PrjId]=$B301)*(SchPdt3[Row]=$D301)*(SchPdt3[Column]=_xlfn.LET(_xlpm.x,SUBSTITUTE(UPPER(INDIRECT("r"&amp;MATCH("TIP",$A:$A,0)&amp;"c"&amp;IF(INDIRECT("r"&amp;MATCH("TAP",$A:$A,0)&amp;"c",FALSE)="SERRA","","[-1]"),FALSE)),".",""),IFERROR(_xlfn.TEXTBEFORE(_xlpm.x," ("),_xlpm.x)))*(#REF!=INDIRECT("r"&amp;MATCH("TAP",$A:$A,0)&amp;"c",FALSE)),0)),0)</f>
        <v>0</v>
      </c>
      <c r="AK301" s="377" cm="1">
        <f t="array" aca="1" ref="AK301" ca="1">IFERROR(SUM(_xlfn._xlws.FILTER(SchPdt3[Value],(SchPdt3[PrjId]=$B301)*(SchPdt3[Row]=$D301)*(SchPdt3[Column]=_xlfn.LET(_xlpm.x,SUBSTITUTE(UPPER(INDIRECT("r"&amp;MATCH("TIP",$A:$A,0)&amp;"c"&amp;IF(INDIRECT("r"&amp;MATCH("TAP",$A:$A,0)&amp;"c",FALSE)="SERRA","","[-1]"),FALSE)),".",""),IFERROR(_xlfn.TEXTBEFORE(_xlpm.x," ("),_xlpm.x)))*(#REF!=INDIRECT("r"&amp;MATCH("TAP",$A:$A,0)&amp;"c",FALSE)),0)),0)</f>
        <v>0</v>
      </c>
      <c r="AL301" s="377" cm="1">
        <f t="array" aca="1" ref="AL301" ca="1">IFERROR(SUM(_xlfn._xlws.FILTER(SchPdt3[Value],(SchPdt3[PrjId]=$B301)*(SchPdt3[Row]=$D301)*(SchPdt3[Column]=_xlfn.LET(_xlpm.x,SUBSTITUTE(UPPER(INDIRECT("r"&amp;MATCH("TIP",$A:$A,0)&amp;"c"&amp;IF(INDIRECT("r"&amp;MATCH("TAP",$A:$A,0)&amp;"c",FALSE)="SERRA","","[-1]"),FALSE)),".",""),IFERROR(_xlfn.TEXTBEFORE(_xlpm.x," ("),_xlpm.x)))*(#REF!=INDIRECT("r"&amp;MATCH("TAP",$A:$A,0)&amp;"c",FALSE)),0)),0)</f>
        <v>0</v>
      </c>
      <c r="AM301" s="377" cm="1">
        <f t="array" aca="1" ref="AM301" ca="1">IFERROR(SUM(_xlfn._xlws.FILTER(SchPdt3[Value],(SchPdt3[PrjId]=$B301)*(SchPdt3[Row]=$D301)*(SchPdt3[Column]=_xlfn.LET(_xlpm.x,SUBSTITUTE(UPPER(INDIRECT("r"&amp;MATCH("TIP",$A:$A,0)&amp;"c"&amp;IF(INDIRECT("r"&amp;MATCH("TAP",$A:$A,0)&amp;"c",FALSE)="SERRA","","[-1]"),FALSE)),".",""),IFERROR(_xlfn.TEXTBEFORE(_xlpm.x," ("),_xlpm.x)))*(#REF!=INDIRECT("r"&amp;MATCH("TAP",$A:$A,0)&amp;"c",FALSE)),0)),0)</f>
        <v>0</v>
      </c>
      <c r="AN301" s="377" cm="1">
        <f t="array" aca="1" ref="AN301" ca="1">IFERROR(SUM(_xlfn._xlws.FILTER(SchPdt3[Value],(SchPdt3[PrjId]=$B301)*(SchPdt3[Row]=$D301)*(SchPdt3[Column]=_xlfn.LET(_xlpm.x,SUBSTITUTE(UPPER(INDIRECT("r"&amp;MATCH("TIP",$A:$A,0)&amp;"c"&amp;IF(INDIRECT("r"&amp;MATCH("TAP",$A:$A,0)&amp;"c",FALSE)="SERRA","","[-1]"),FALSE)),".",""),IFERROR(_xlfn.TEXTBEFORE(_xlpm.x," ("),_xlpm.x)))*(#REF!=INDIRECT("r"&amp;MATCH("TAP",$A:$A,0)&amp;"c",FALSE)),0)),0)</f>
        <v>0</v>
      </c>
      <c r="AO301" s="377" cm="1">
        <f t="array" aca="1" ref="AO301" ca="1">IFERROR(SUM(_xlfn._xlws.FILTER(SchPdt3[Value],(SchPdt3[PrjId]=$B301)*(SchPdt3[Row]=$D301)*(SchPdt3[Column]=_xlfn.LET(_xlpm.x,SUBSTITUTE(UPPER(INDIRECT("r"&amp;MATCH("TIP",$A:$A,0)&amp;"c"&amp;IF(INDIRECT("r"&amp;MATCH("TAP",$A:$A,0)&amp;"c",FALSE)="SERRA","","[-1]"),FALSE)),".",""),IFERROR(_xlfn.TEXTBEFORE(_xlpm.x," ("),_xlpm.x)))*(#REF!=INDIRECT("r"&amp;MATCH("TAP",$A:$A,0)&amp;"c",FALSE)),0)),0)</f>
        <v>0</v>
      </c>
      <c r="AP301" s="377" cm="1">
        <f t="array" aca="1" ref="AP301" ca="1">IFERROR(SUM(_xlfn._xlws.FILTER(SchPdt3[Value],(SchPdt3[PrjId]=$B301)*(SchPdt3[Row]=$D301)*(SchPdt3[Column]=_xlfn.LET(_xlpm.x,SUBSTITUTE(UPPER(INDIRECT("r"&amp;MATCH("TIP",$A:$A,0)&amp;"c"&amp;IF(INDIRECT("r"&amp;MATCH("TAP",$A:$A,0)&amp;"c",FALSE)="SERRA","","[-1]"),FALSE)),".",""),IFERROR(_xlfn.TEXTBEFORE(_xlpm.x," ("),_xlpm.x)))*(#REF!=INDIRECT("r"&amp;MATCH("TAP",$A:$A,0)&amp;"c",FALSE)),0)),0)</f>
        <v>0</v>
      </c>
      <c r="AQ301" s="377" cm="1">
        <f t="array" aca="1" ref="AQ301" ca="1">SUM(IF(INDIRECT($AS$115)=AQ$115,INDIRECT($AS301)))</f>
        <v>0</v>
      </c>
      <c r="AR301" s="377" cm="1">
        <f t="array" aca="1" ref="AR301" ca="1">SUM(IF(INDIRECT($AS$115)=AR$115,INDIRECT($AS301)))</f>
        <v>0</v>
      </c>
      <c r="AS301" s="286" t="str">
        <f t="shared" si="23"/>
        <v>G301:AP301</v>
      </c>
      <c r="AT301" s="403">
        <f t="shared" ca="1" si="24"/>
        <v>0</v>
      </c>
      <c r="AV301" s="142" cm="1">
        <f t="array" aca="1" ref="AV301" ca="1">IF(AND(_xlfn.LET(_xlpm.x,SUM(ROW()),OR(AND(MATCH("SOT",$A:$A,0)&lt;_xlpm.x,MATCH("EOT",$A:$A,0)&gt;_xlpm.x),AND(MATCH("SOS",$A:$A,0)&lt;_xlpm.x,MATCH("EOS",$A:$A,0)&gt;_xlpm.x),AND(MATCH("SOR",$A:$A,0)&lt;_xlpm.x,MATCH("EOR",$A:$A,0)&gt;_xlpm.x))),INDIRECT("rc"&amp;MATCH("SCD",$1:$1,0),FALSE)="PPTO"),1,0)</f>
        <v>0</v>
      </c>
      <c r="AW301" s="142" cm="1">
        <f t="array" aca="1" ref="AW30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302" spans="1:49" s="153" customFormat="1" outlineLevel="2">
      <c r="A302" s="152"/>
      <c r="B302" s="401" t="str">
        <f t="shared" si="22"/>
        <v>X</v>
      </c>
      <c r="C302" s="148"/>
      <c r="D302" s="404"/>
      <c r="E302" s="350" t="str" cm="1">
        <f t="array" ref="E302">UPPER(_xlfn.UNIQUE(_xlfn._xlws.FILTER(TbRowMacro[RowMacroName],TbRowMacro[RowMcroId]=$D302,"X")))</f>
        <v>X</v>
      </c>
      <c r="F302" s="402"/>
      <c r="G302" s="377" cm="1">
        <f t="array" aca="1" ref="G302" ca="1">IFERROR(SUM(_xlfn._xlws.FILTER(INDIRECT(G$112),(INDIRECT($B$112)=$B302)*(INDIRECT($D$112)=$D302)*(INDIRECT($F$112)=$F302),0)),0)</f>
        <v>0</v>
      </c>
      <c r="H302" s="377" cm="1">
        <f t="array" aca="1" ref="H302" ca="1">IFERROR(SUM(_xlfn._xlws.FILTER(INDIRECT(H$112),(INDIRECT($B$112)=$B302)*(INDIRECT($D$112)=$D302)*(INDIRECT($F$112)=$F302),0)),0)</f>
        <v>0</v>
      </c>
      <c r="I302" s="377" cm="1">
        <f t="array" aca="1" ref="I302" ca="1">IFERROR(SUM(_xlfn._xlws.FILTER(INDIRECT(I$112),(INDIRECT($B$112)=$B302)*(INDIRECT($D$112)=$D302)*(INDIRECT($F$112)=$F302),0)),0)</f>
        <v>0</v>
      </c>
      <c r="J302" s="377" cm="1">
        <f t="array" aca="1" ref="J302" ca="1">IFERROR(SUM(_xlfn._xlws.FILTER(INDIRECT(J$112),(INDIRECT($B$112)=$B302)*(INDIRECT($D$112)=$D302)*(INDIRECT($F$112)=$F302),0)),0)</f>
        <v>0</v>
      </c>
      <c r="K302" s="377" cm="1">
        <f t="array" aca="1" ref="K302" ca="1">IFERROR(SUM(_xlfn._xlws.FILTER(INDIRECT(K$112),(INDIRECT($B$112)=$B302)*(INDIRECT($D$112)=$D302)*(INDIRECT($F$112)=$F302),0)),0)</f>
        <v>0</v>
      </c>
      <c r="L302" s="377" cm="1">
        <f t="array" aca="1" ref="L302" ca="1">IFERROR(SUM(_xlfn._xlws.FILTER(INDIRECT(L$112),(INDIRECT($B$112)=$B302)*(INDIRECT($D$112)=$D302)*(INDIRECT($F$112)=$F302),0)),0)</f>
        <v>0</v>
      </c>
      <c r="M302" s="377" cm="1">
        <f t="array" aca="1" ref="M302" ca="1">IFERROR(SUM(_xlfn._xlws.FILTER(INDIRECT(M$112),(INDIRECT($B$112)=$B302)*(INDIRECT($D$112)=$D302)*(INDIRECT($F$112)=$F302),0)),0)</f>
        <v>0</v>
      </c>
      <c r="N302" s="377" cm="1">
        <f t="array" aca="1" ref="N302" ca="1">IFERROR(SUM(_xlfn._xlws.FILTER(INDIRECT(N$112),(INDIRECT($B$112)=$B302)*(INDIRECT($D$112)=$D302)*(INDIRECT($F$112)=$F302),0)),0)</f>
        <v>0</v>
      </c>
      <c r="O302" s="377" cm="1">
        <f t="array" aca="1" ref="O302" ca="1">IFERROR(SUM(_xlfn._xlws.FILTER(INDIRECT(O$112),(INDIRECT($B$112)=$B302)*(INDIRECT($D$112)=$D302)*(INDIRECT($F$112)=$F302),0)),0)</f>
        <v>0</v>
      </c>
      <c r="P302" s="377" cm="1">
        <f t="array" aca="1" ref="P302" ca="1">IFERROR(SUM(_xlfn._xlws.FILTER(INDIRECT(P$112),(INDIRECT($B$112)=$B302)*(INDIRECT($D$112)=$D302)*(INDIRECT($F$112)=$F302),0)),0)</f>
        <v>0</v>
      </c>
      <c r="Q302" s="377" cm="1">
        <f t="array" aca="1" ref="Q302" ca="1">IFERROR(SUM(_xlfn._xlws.FILTER(INDIRECT(Q$112),(INDIRECT($B$112)=$B302)*(INDIRECT($D$112)=$D302)*(INDIRECT($F$112)=$F302),0)),0)</f>
        <v>0</v>
      </c>
      <c r="R302" s="377" cm="1">
        <f t="array" aca="1" ref="R302" ca="1">IFERROR(SUM(_xlfn._xlws.FILTER(INDIRECT(R$112),(INDIRECT($B$112)=$B302)*(INDIRECT($D$112)=$D302)*(INDIRECT($F$112)=$F302),0)),0)</f>
        <v>0</v>
      </c>
      <c r="S302" s="377" cm="1">
        <f t="array" aca="1" ref="S302" ca="1">IFERROR(SUM(_xlfn._xlws.FILTER(INDIRECT(S$112),(INDIRECT($B$112)=$B302)*(INDIRECT($D$112)=$D302)*(INDIRECT($F$112)=$F302),0)),0)</f>
        <v>0</v>
      </c>
      <c r="T302" s="377" cm="1">
        <f t="array" aca="1" ref="T302" ca="1">IFERROR(SUM(_xlfn._xlws.FILTER(INDIRECT(T$112),(INDIRECT($B$112)=$B302)*(INDIRECT($D$112)=$D302)*(INDIRECT($F$112)=$F302),0)),0)</f>
        <v>0</v>
      </c>
      <c r="U302" s="377" cm="1">
        <f t="array" aca="1" ref="U302" ca="1">IFERROR(SUM(_xlfn._xlws.FILTER(INDIRECT(U$112),(INDIRECT($B$112)=$B302)*(INDIRECT($D$112)=$D302)*(INDIRECT($F$112)=$F302),0)),0)</f>
        <v>0</v>
      </c>
      <c r="V302" s="377" cm="1">
        <f t="array" aca="1" ref="V302" ca="1">IFERROR(SUM(_xlfn._xlws.FILTER(INDIRECT(V$112),(INDIRECT($B$112)=$B302)*(INDIRECT($D$112)=$D302)*(INDIRECT($F$112)=$F302),0)),0)</f>
        <v>0</v>
      </c>
      <c r="W302" s="377" cm="1">
        <f t="array" aca="1" ref="W302" ca="1">IFERROR(SUM(_xlfn._xlws.FILTER(INDIRECT(W$112),(INDIRECT($B$112)=$B302)*(INDIRECT($D$112)=$D302)*(INDIRECT($F$112)=$F302),0)),0)</f>
        <v>0</v>
      </c>
      <c r="X302" s="377" cm="1">
        <f t="array" aca="1" ref="X302" ca="1">IFERROR(SUM(_xlfn._xlws.FILTER(INDIRECT(X$112),(INDIRECT($B$112)=$B302)*(INDIRECT($D$112)=$D302)*(INDIRECT($F$112)=$F302),0)),0)</f>
        <v>0</v>
      </c>
      <c r="Y302" s="377" cm="1">
        <f t="array" aca="1" ref="Y302" ca="1">IFERROR(SUM(_xlfn._xlws.FILTER(INDIRECT(Y$112),(INDIRECT($B$112)=$B302)*(INDIRECT($D$112)=$D302)*(INDIRECT($F$112)=$F302),0)),0)</f>
        <v>0</v>
      </c>
      <c r="Z302" s="377" cm="1">
        <f t="array" aca="1" ref="Z302" ca="1">IFERROR(SUM(_xlfn._xlws.FILTER(INDIRECT(Z$112),(INDIRECT($B$112)=$B302)*(INDIRECT($D$112)=$D302)*(INDIRECT($F$112)=$F302),0)),0)</f>
        <v>0</v>
      </c>
      <c r="AA302" s="377" cm="1">
        <f t="array" aca="1" ref="AA302" ca="1">IFERROR(SUM(_xlfn._xlws.FILTER(INDIRECT(AA$112),(INDIRECT($B$112)=$B302)*(INDIRECT($D$112)=$D302)*(INDIRECT($F$112)=$F302),0)),0)</f>
        <v>0</v>
      </c>
      <c r="AB302" s="377" cm="1">
        <f t="array" aca="1" ref="AB302" ca="1">IFERROR(SUM(_xlfn._xlws.FILTER(INDIRECT(AB$112),(INDIRECT($B$112)=$B302)*(INDIRECT($D$112)=$D302)*(INDIRECT($F$112)=$F302),0)),0)</f>
        <v>0</v>
      </c>
      <c r="AC302" s="377" cm="1">
        <f t="array" aca="1" ref="AC302" ca="1">IFERROR(SUM(_xlfn._xlws.FILTER(INDIRECT(AC$112),(INDIRECT($B$112)=$B302)*(INDIRECT($D$112)=$D302)*(INDIRECT($F$112)=$F302),0)),0)</f>
        <v>0</v>
      </c>
      <c r="AD302" s="377" cm="1">
        <f t="array" aca="1" ref="AD302" ca="1">IFERROR(SUM(_xlfn._xlws.FILTER(INDIRECT(AD$112),(INDIRECT($B$112)=$B302)*(INDIRECT($D$112)=$D302)*(INDIRECT($F$112)=$F302),0)),0)</f>
        <v>0</v>
      </c>
      <c r="AE302" s="377" cm="1">
        <f t="array" aca="1" ref="AE302" ca="1">IFERROR(SUM(_xlfn._xlws.FILTER(INDIRECT(AE$112),(INDIRECT($B$112)=$B302)*(INDIRECT($D$112)=$D302)*(INDIRECT($F$112)=$F302),0)),0)</f>
        <v>0</v>
      </c>
      <c r="AF302" s="377" cm="1">
        <f t="array" aca="1" ref="AF302" ca="1">IFERROR(SUM(_xlfn._xlws.FILTER(INDIRECT(AF$112),(INDIRECT($B$112)=$B302)*(INDIRECT($D$112)=$D302)*(INDIRECT($F$112)=$F302),0)),0)</f>
        <v>0</v>
      </c>
      <c r="AG302" s="377" cm="1">
        <f t="array" aca="1" ref="AG302" ca="1">IFERROR(SUM(_xlfn._xlws.FILTER(INDIRECT(AG$112),(INDIRECT($B$112)=$B302)*(INDIRECT($D$112)=$D302)*(INDIRECT($F$112)=$F302),0)),0)</f>
        <v>0</v>
      </c>
      <c r="AH302" s="377" cm="1">
        <f t="array" aca="1" ref="AH302" ca="1">IFERROR(SUM(_xlfn._xlws.FILTER(INDIRECT(AH$112),(INDIRECT($B$112)=$B302)*(INDIRECT($D$112)=$D302)*(INDIRECT($F$112)=$F302),0)),0)</f>
        <v>0</v>
      </c>
      <c r="AI302" s="377" cm="1">
        <f t="array" aca="1" ref="AI302" ca="1">IFERROR(SUM(_xlfn._xlws.FILTER(INDIRECT(AI$112),(INDIRECT($B$112)=$B302)*(INDIRECT($D$112)=$D302)*(INDIRECT($F$112)=$F302),0)),0)</f>
        <v>0</v>
      </c>
      <c r="AJ302" s="377" cm="1">
        <f t="array" aca="1" ref="AJ302" ca="1">IFERROR(SUM(_xlfn._xlws.FILTER(INDIRECT(AJ$112),(INDIRECT($B$112)=$B302)*(INDIRECT($D$112)=$D302)*(INDIRECT($F$112)=$F302),0)),0)</f>
        <v>0</v>
      </c>
      <c r="AK302" s="377" cm="1">
        <f t="array" aca="1" ref="AK302" ca="1">IFERROR(SUM(_xlfn._xlws.FILTER(INDIRECT(AK$112),(INDIRECT($B$112)=$B302)*(INDIRECT($D$112)=$D302)*(INDIRECT($F$112)=$F302),0)),0)</f>
        <v>0</v>
      </c>
      <c r="AL302" s="377" cm="1">
        <f t="array" aca="1" ref="AL302" ca="1">IFERROR(SUM(_xlfn._xlws.FILTER(INDIRECT(AL$112),(INDIRECT($B$112)=$B302)*(INDIRECT($D$112)=$D302)*(INDIRECT($F$112)=$F302),0)),0)</f>
        <v>0</v>
      </c>
      <c r="AM302" s="377" cm="1">
        <f t="array" aca="1" ref="AM302" ca="1">IFERROR(SUM(_xlfn._xlws.FILTER(INDIRECT(AM$112),(INDIRECT($B$112)=$B302)*(INDIRECT($D$112)=$D302)*(INDIRECT($F$112)=$F302),0)),0)</f>
        <v>0</v>
      </c>
      <c r="AN302" s="377" cm="1">
        <f t="array" aca="1" ref="AN302" ca="1">IFERROR(SUM(_xlfn._xlws.FILTER(INDIRECT(AN$112),(INDIRECT($B$112)=$B302)*(INDIRECT($D$112)=$D302)*(INDIRECT($F$112)=$F302),0)),0)</f>
        <v>0</v>
      </c>
      <c r="AO302" s="377" cm="1">
        <f t="array" aca="1" ref="AO302" ca="1">IFERROR(SUM(_xlfn._xlws.FILTER(INDIRECT(AO$112),(INDIRECT($B$112)=$B302)*(INDIRECT($D$112)=$D302)*(INDIRECT($F$112)=$F302),0)),0)</f>
        <v>0</v>
      </c>
      <c r="AP302" s="377" cm="1">
        <f t="array" aca="1" ref="AP302" ca="1">IFERROR(SUM(_xlfn._xlws.FILTER(INDIRECT(AP$112),(INDIRECT($B$112)=$B302)*(INDIRECT($D$112)=$D302)*(INDIRECT($F$112)=$F302),0)),0)</f>
        <v>0</v>
      </c>
      <c r="AQ302" s="377" cm="1">
        <f t="array" aca="1" ref="AQ302" ca="1">SUM(IF(INDIRECT($AS$115)=AQ$115,INDIRECT($AS302)))</f>
        <v>0</v>
      </c>
      <c r="AR302" s="377" cm="1">
        <f t="array" aca="1" ref="AR302" ca="1">SUM(IF(INDIRECT($AS$115)=AR$115,INDIRECT($AS302)))</f>
        <v>0</v>
      </c>
      <c r="AS302" s="286" t="str">
        <f t="shared" si="23"/>
        <v>G302:AP302</v>
      </c>
      <c r="AT302" s="403">
        <f t="shared" ca="1" si="24"/>
        <v>0</v>
      </c>
      <c r="AV302" s="142" cm="1">
        <f t="array" aca="1" ref="AV302" ca="1">IF(AND(_xlfn.LET(_xlpm.x,SUM(ROW()),OR(AND(MATCH("SOT",$A:$A,0)&lt;_xlpm.x,MATCH("EOT",$A:$A,0)&gt;_xlpm.x),AND(MATCH("SOS",$A:$A,0)&lt;_xlpm.x,MATCH("EOS",$A:$A,0)&gt;_xlpm.x),AND(MATCH("SOR",$A:$A,0)&lt;_xlpm.x,MATCH("EOR",$A:$A,0)&gt;_xlpm.x))),INDIRECT("rc"&amp;MATCH("SCD",$1:$1,0),FALSE)="PPTO"),1,0)</f>
        <v>0</v>
      </c>
      <c r="AW302" s="142" cm="1">
        <f t="array" aca="1" ref="AW30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303" spans="1:49" s="153" customFormat="1" outlineLevel="2">
      <c r="A303" s="152"/>
      <c r="B303" s="401" t="str">
        <f t="shared" si="22"/>
        <v>X</v>
      </c>
      <c r="C303" s="148"/>
      <c r="D303" s="404"/>
      <c r="E303" s="350" t="str" cm="1">
        <f t="array" ref="E303">UPPER(_xlfn.UNIQUE(_xlfn._xlws.FILTER(TbRowMacro[RowMacroName],TbRowMacro[RowMcroId]=$D303,"X")))</f>
        <v>X</v>
      </c>
      <c r="F303" s="402"/>
      <c r="G303" s="377" cm="1">
        <f t="array" aca="1" ref="G303" ca="1">IFERROR(SUM(_xlfn._xlws.FILTER(INDIRECT(G$112),(INDIRECT($B$112)=$B303)*(INDIRECT($D$112)=$D303)*(INDIRECT($F$112)=$F303),0)),0)</f>
        <v>0</v>
      </c>
      <c r="H303" s="377" cm="1">
        <f t="array" aca="1" ref="H303" ca="1">IFERROR(SUM(_xlfn._xlws.FILTER(INDIRECT(H$112),(INDIRECT($B$112)=$B303)*(INDIRECT($D$112)=$D303)*(INDIRECT($F$112)=$F303),0)),0)</f>
        <v>0</v>
      </c>
      <c r="I303" s="377" cm="1">
        <f t="array" aca="1" ref="I303" ca="1">IFERROR(SUM(_xlfn._xlws.FILTER(INDIRECT(I$112),(INDIRECT($B$112)=$B303)*(INDIRECT($D$112)=$D303)*(INDIRECT($F$112)=$F303),0)),0)</f>
        <v>0</v>
      </c>
      <c r="J303" s="377" cm="1">
        <f t="array" aca="1" ref="J303" ca="1">IFERROR(SUM(_xlfn._xlws.FILTER(INDIRECT(J$112),(INDIRECT($B$112)=$B303)*(INDIRECT($D$112)=$D303)*(INDIRECT($F$112)=$F303),0)),0)</f>
        <v>0</v>
      </c>
      <c r="K303" s="377" cm="1">
        <f t="array" aca="1" ref="K303" ca="1">IFERROR(SUM(_xlfn._xlws.FILTER(INDIRECT(K$112),(INDIRECT($B$112)=$B303)*(INDIRECT($D$112)=$D303)*(INDIRECT($F$112)=$F303),0)),0)</f>
        <v>0</v>
      </c>
      <c r="L303" s="377" cm="1">
        <f t="array" aca="1" ref="L303" ca="1">IFERROR(SUM(_xlfn._xlws.FILTER(INDIRECT(L$112),(INDIRECT($B$112)=$B303)*(INDIRECT($D$112)=$D303)*(INDIRECT($F$112)=$F303),0)),0)</f>
        <v>0</v>
      </c>
      <c r="M303" s="377" cm="1">
        <f t="array" aca="1" ref="M303" ca="1">IFERROR(SUM(_xlfn._xlws.FILTER(INDIRECT(M$112),(INDIRECT($B$112)=$B303)*(INDIRECT($D$112)=$D303)*(INDIRECT($F$112)=$F303),0)),0)</f>
        <v>0</v>
      </c>
      <c r="N303" s="377" cm="1">
        <f t="array" aca="1" ref="N303" ca="1">IFERROR(SUM(_xlfn._xlws.FILTER(INDIRECT(N$112),(INDIRECT($B$112)=$B303)*(INDIRECT($D$112)=$D303)*(INDIRECT($F$112)=$F303),0)),0)</f>
        <v>0</v>
      </c>
      <c r="O303" s="377" cm="1">
        <f t="array" aca="1" ref="O303" ca="1">IFERROR(SUM(_xlfn._xlws.FILTER(INDIRECT(O$112),(INDIRECT($B$112)=$B303)*(INDIRECT($D$112)=$D303)*(INDIRECT($F$112)=$F303),0)),0)</f>
        <v>0</v>
      </c>
      <c r="P303" s="377" cm="1">
        <f t="array" aca="1" ref="P303" ca="1">IFERROR(SUM(_xlfn._xlws.FILTER(INDIRECT(P$112),(INDIRECT($B$112)=$B303)*(INDIRECT($D$112)=$D303)*(INDIRECT($F$112)=$F303),0)),0)</f>
        <v>0</v>
      </c>
      <c r="Q303" s="377" cm="1">
        <f t="array" aca="1" ref="Q303" ca="1">IFERROR(SUM(_xlfn._xlws.FILTER(INDIRECT(Q$112),(INDIRECT($B$112)=$B303)*(INDIRECT($D$112)=$D303)*(INDIRECT($F$112)=$F303),0)),0)</f>
        <v>0</v>
      </c>
      <c r="R303" s="377" cm="1">
        <f t="array" aca="1" ref="R303" ca="1">IFERROR(SUM(_xlfn._xlws.FILTER(INDIRECT(R$112),(INDIRECT($B$112)=$B303)*(INDIRECT($D$112)=$D303)*(INDIRECT($F$112)=$F303),0)),0)</f>
        <v>0</v>
      </c>
      <c r="S303" s="377" cm="1">
        <f t="array" aca="1" ref="S303" ca="1">IFERROR(SUM(_xlfn._xlws.FILTER(INDIRECT(S$112),(INDIRECT($B$112)=$B303)*(INDIRECT($D$112)=$D303)*(INDIRECT($F$112)=$F303),0)),0)</f>
        <v>0</v>
      </c>
      <c r="T303" s="377" cm="1">
        <f t="array" aca="1" ref="T303" ca="1">IFERROR(SUM(_xlfn._xlws.FILTER(INDIRECT(T$112),(INDIRECT($B$112)=$B303)*(INDIRECT($D$112)=$D303)*(INDIRECT($F$112)=$F303),0)),0)</f>
        <v>0</v>
      </c>
      <c r="U303" s="377" cm="1">
        <f t="array" aca="1" ref="U303" ca="1">IFERROR(SUM(_xlfn._xlws.FILTER(INDIRECT(U$112),(INDIRECT($B$112)=$B303)*(INDIRECT($D$112)=$D303)*(INDIRECT($F$112)=$F303),0)),0)</f>
        <v>0</v>
      </c>
      <c r="V303" s="377" cm="1">
        <f t="array" aca="1" ref="V303" ca="1">IFERROR(SUM(_xlfn._xlws.FILTER(INDIRECT(V$112),(INDIRECT($B$112)=$B303)*(INDIRECT($D$112)=$D303)*(INDIRECT($F$112)=$F303),0)),0)</f>
        <v>0</v>
      </c>
      <c r="W303" s="377" cm="1">
        <f t="array" aca="1" ref="W303" ca="1">IFERROR(SUM(_xlfn._xlws.FILTER(INDIRECT(W$112),(INDIRECT($B$112)=$B303)*(INDIRECT($D$112)=$D303)*(INDIRECT($F$112)=$F303),0)),0)</f>
        <v>0</v>
      </c>
      <c r="X303" s="377" cm="1">
        <f t="array" aca="1" ref="X303" ca="1">IFERROR(SUM(_xlfn._xlws.FILTER(INDIRECT(X$112),(INDIRECT($B$112)=$B303)*(INDIRECT($D$112)=$D303)*(INDIRECT($F$112)=$F303),0)),0)</f>
        <v>0</v>
      </c>
      <c r="Y303" s="377" cm="1">
        <f t="array" aca="1" ref="Y303" ca="1">IFERROR(SUM(_xlfn._xlws.FILTER(INDIRECT(Y$112),(INDIRECT($B$112)=$B303)*(INDIRECT($D$112)=$D303)*(INDIRECT($F$112)=$F303),0)),0)</f>
        <v>0</v>
      </c>
      <c r="Z303" s="377" cm="1">
        <f t="array" aca="1" ref="Z303" ca="1">IFERROR(SUM(_xlfn._xlws.FILTER(INDIRECT(Z$112),(INDIRECT($B$112)=$B303)*(INDIRECT($D$112)=$D303)*(INDIRECT($F$112)=$F303),0)),0)</f>
        <v>0</v>
      </c>
      <c r="AA303" s="377" cm="1">
        <f t="array" aca="1" ref="AA303" ca="1">IFERROR(SUM(_xlfn._xlws.FILTER(INDIRECT(AA$112),(INDIRECT($B$112)=$B303)*(INDIRECT($D$112)=$D303)*(INDIRECT($F$112)=$F303),0)),0)</f>
        <v>0</v>
      </c>
      <c r="AB303" s="377" cm="1">
        <f t="array" aca="1" ref="AB303" ca="1">IFERROR(SUM(_xlfn._xlws.FILTER(INDIRECT(AB$112),(INDIRECT($B$112)=$B303)*(INDIRECT($D$112)=$D303)*(INDIRECT($F$112)=$F303),0)),0)</f>
        <v>0</v>
      </c>
      <c r="AC303" s="377" cm="1">
        <f t="array" aca="1" ref="AC303" ca="1">IFERROR(SUM(_xlfn._xlws.FILTER(INDIRECT(AC$112),(INDIRECT($B$112)=$B303)*(INDIRECT($D$112)=$D303)*(INDIRECT($F$112)=$F303),0)),0)</f>
        <v>0</v>
      </c>
      <c r="AD303" s="377" cm="1">
        <f t="array" aca="1" ref="AD303" ca="1">IFERROR(SUM(_xlfn._xlws.FILTER(INDIRECT(AD$112),(INDIRECT($B$112)=$B303)*(INDIRECT($D$112)=$D303)*(INDIRECT($F$112)=$F303),0)),0)</f>
        <v>0</v>
      </c>
      <c r="AE303" s="377" cm="1">
        <f t="array" aca="1" ref="AE303" ca="1">IFERROR(SUM(_xlfn._xlws.FILTER(INDIRECT(AE$112),(INDIRECT($B$112)=$B303)*(INDIRECT($D$112)=$D303)*(INDIRECT($F$112)=$F303),0)),0)</f>
        <v>0</v>
      </c>
      <c r="AF303" s="377" cm="1">
        <f t="array" aca="1" ref="AF303" ca="1">IFERROR(SUM(_xlfn._xlws.FILTER(INDIRECT(AF$112),(INDIRECT($B$112)=$B303)*(INDIRECT($D$112)=$D303)*(INDIRECT($F$112)=$F303),0)),0)</f>
        <v>0</v>
      </c>
      <c r="AG303" s="377" cm="1">
        <f t="array" aca="1" ref="AG303" ca="1">IFERROR(SUM(_xlfn._xlws.FILTER(INDIRECT(AG$112),(INDIRECT($B$112)=$B303)*(INDIRECT($D$112)=$D303)*(INDIRECT($F$112)=$F303),0)),0)</f>
        <v>0</v>
      </c>
      <c r="AH303" s="377" cm="1">
        <f t="array" aca="1" ref="AH303" ca="1">IFERROR(SUM(_xlfn._xlws.FILTER(INDIRECT(AH$112),(INDIRECT($B$112)=$B303)*(INDIRECT($D$112)=$D303)*(INDIRECT($F$112)=$F303),0)),0)</f>
        <v>0</v>
      </c>
      <c r="AI303" s="377" cm="1">
        <f t="array" aca="1" ref="AI303" ca="1">IFERROR(SUM(_xlfn._xlws.FILTER(INDIRECT(AI$112),(INDIRECT($B$112)=$B303)*(INDIRECT($D$112)=$D303)*(INDIRECT($F$112)=$F303),0)),0)</f>
        <v>0</v>
      </c>
      <c r="AJ303" s="377" cm="1">
        <f t="array" aca="1" ref="AJ303" ca="1">IFERROR(SUM(_xlfn._xlws.FILTER(INDIRECT(AJ$112),(INDIRECT($B$112)=$B303)*(INDIRECT($D$112)=$D303)*(INDIRECT($F$112)=$F303),0)),0)</f>
        <v>0</v>
      </c>
      <c r="AK303" s="377" cm="1">
        <f t="array" aca="1" ref="AK303" ca="1">IFERROR(SUM(_xlfn._xlws.FILTER(INDIRECT(AK$112),(INDIRECT($B$112)=$B303)*(INDIRECT($D$112)=$D303)*(INDIRECT($F$112)=$F303),0)),0)</f>
        <v>0</v>
      </c>
      <c r="AL303" s="377" cm="1">
        <f t="array" aca="1" ref="AL303" ca="1">IFERROR(SUM(_xlfn._xlws.FILTER(INDIRECT(AL$112),(INDIRECT($B$112)=$B303)*(INDIRECT($D$112)=$D303)*(INDIRECT($F$112)=$F303),0)),0)</f>
        <v>0</v>
      </c>
      <c r="AM303" s="377" cm="1">
        <f t="array" aca="1" ref="AM303" ca="1">IFERROR(SUM(_xlfn._xlws.FILTER(INDIRECT(AM$112),(INDIRECT($B$112)=$B303)*(INDIRECT($D$112)=$D303)*(INDIRECT($F$112)=$F303),0)),0)</f>
        <v>0</v>
      </c>
      <c r="AN303" s="377" cm="1">
        <f t="array" aca="1" ref="AN303" ca="1">IFERROR(SUM(_xlfn._xlws.FILTER(INDIRECT(AN$112),(INDIRECT($B$112)=$B303)*(INDIRECT($D$112)=$D303)*(INDIRECT($F$112)=$F303),0)),0)</f>
        <v>0</v>
      </c>
      <c r="AO303" s="377" cm="1">
        <f t="array" aca="1" ref="AO303" ca="1">IFERROR(SUM(_xlfn._xlws.FILTER(INDIRECT(AO$112),(INDIRECT($B$112)=$B303)*(INDIRECT($D$112)=$D303)*(INDIRECT($F$112)=$F303),0)),0)</f>
        <v>0</v>
      </c>
      <c r="AP303" s="377" cm="1">
        <f t="array" aca="1" ref="AP303" ca="1">IFERROR(SUM(_xlfn._xlws.FILTER(INDIRECT(AP$112),(INDIRECT($B$112)=$B303)*(INDIRECT($D$112)=$D303)*(INDIRECT($F$112)=$F303),0)),0)</f>
        <v>0</v>
      </c>
      <c r="AQ303" s="377" cm="1">
        <f t="array" aca="1" ref="AQ303" ca="1">SUM(IF(INDIRECT($AS$115)=AQ$115,INDIRECT($AS303)))</f>
        <v>0</v>
      </c>
      <c r="AR303" s="377" cm="1">
        <f t="array" aca="1" ref="AR303" ca="1">SUM(IF(INDIRECT($AS$115)=AR$115,INDIRECT($AS303)))</f>
        <v>0</v>
      </c>
      <c r="AS303" s="286" t="str">
        <f t="shared" si="23"/>
        <v>G303:AP303</v>
      </c>
      <c r="AT303" s="403">
        <f t="shared" ca="1" si="24"/>
        <v>0</v>
      </c>
      <c r="AV303" s="142" cm="1">
        <f t="array" aca="1" ref="AV303" ca="1">IF(AND(_xlfn.LET(_xlpm.x,SUM(ROW()),OR(AND(MATCH("SOT",$A:$A,0)&lt;_xlpm.x,MATCH("EOT",$A:$A,0)&gt;_xlpm.x),AND(MATCH("SOS",$A:$A,0)&lt;_xlpm.x,MATCH("EOS",$A:$A,0)&gt;_xlpm.x),AND(MATCH("SOR",$A:$A,0)&lt;_xlpm.x,MATCH("EOR",$A:$A,0)&gt;_xlpm.x))),INDIRECT("rc"&amp;MATCH("SCD",$1:$1,0),FALSE)="PPTO"),1,0)</f>
        <v>0</v>
      </c>
      <c r="AW303" s="142" cm="1">
        <f t="array" aca="1" ref="AW30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304" spans="1:49" s="153" customFormat="1" outlineLevel="2">
      <c r="A304" s="152"/>
      <c r="B304" s="401" t="str">
        <f t="shared" si="22"/>
        <v>X</v>
      </c>
      <c r="C304" s="148"/>
      <c r="D304" s="404"/>
      <c r="E304" s="350" t="str" cm="1">
        <f t="array" ref="E304">UPPER(_xlfn.UNIQUE(_xlfn._xlws.FILTER(TbRowMacro[RowMacroName],TbRowMacro[RowMcroId]=$D304,"X")))</f>
        <v>X</v>
      </c>
      <c r="F304" s="402"/>
      <c r="G304" s="377" cm="1">
        <f t="array" aca="1" ref="G304" ca="1">IFERROR(SUM(_xlfn._xlws.FILTER(INDIRECT(G$112),(INDIRECT($B$112)=$B304)*(INDIRECT($D$112)=$D304)*(INDIRECT($F$112)=$F304),0)),0)</f>
        <v>0</v>
      </c>
      <c r="H304" s="377" cm="1">
        <f t="array" aca="1" ref="H304" ca="1">IFERROR(SUM(_xlfn._xlws.FILTER(INDIRECT(H$112),(INDIRECT($B$112)=$B304)*(INDIRECT($D$112)=$D304)*(INDIRECT($F$112)=$F304),0)),0)</f>
        <v>0</v>
      </c>
      <c r="I304" s="377" cm="1">
        <f t="array" aca="1" ref="I304" ca="1">IFERROR(SUM(_xlfn._xlws.FILTER(INDIRECT(I$112),(INDIRECT($B$112)=$B304)*(INDIRECT($D$112)=$D304)*(INDIRECT($F$112)=$F304),0)),0)</f>
        <v>0</v>
      </c>
      <c r="J304" s="377" cm="1">
        <f t="array" aca="1" ref="J304" ca="1">IFERROR(SUM(_xlfn._xlws.FILTER(INDIRECT(J$112),(INDIRECT($B$112)=$B304)*(INDIRECT($D$112)=$D304)*(INDIRECT($F$112)=$F304),0)),0)</f>
        <v>0</v>
      </c>
      <c r="K304" s="377" cm="1">
        <f t="array" aca="1" ref="K304" ca="1">IFERROR(SUM(_xlfn._xlws.FILTER(INDIRECT(K$112),(INDIRECT($B$112)=$B304)*(INDIRECT($D$112)=$D304)*(INDIRECT($F$112)=$F304),0)),0)</f>
        <v>0</v>
      </c>
      <c r="L304" s="377" cm="1">
        <f t="array" aca="1" ref="L304" ca="1">IFERROR(SUM(_xlfn._xlws.FILTER(INDIRECT(L$112),(INDIRECT($B$112)=$B304)*(INDIRECT($D$112)=$D304)*(INDIRECT($F$112)=$F304),0)),0)</f>
        <v>0</v>
      </c>
      <c r="M304" s="377" cm="1">
        <f t="array" aca="1" ref="M304" ca="1">IFERROR(SUM(_xlfn._xlws.FILTER(INDIRECT(M$112),(INDIRECT($B$112)=$B304)*(INDIRECT($D$112)=$D304)*(INDIRECT($F$112)=$F304),0)),0)</f>
        <v>0</v>
      </c>
      <c r="N304" s="377" cm="1">
        <f t="array" aca="1" ref="N304" ca="1">IFERROR(SUM(_xlfn._xlws.FILTER(INDIRECT(N$112),(INDIRECT($B$112)=$B304)*(INDIRECT($D$112)=$D304)*(INDIRECT($F$112)=$F304),0)),0)</f>
        <v>0</v>
      </c>
      <c r="O304" s="377" cm="1">
        <f t="array" aca="1" ref="O304" ca="1">IFERROR(SUM(_xlfn._xlws.FILTER(INDIRECT(O$112),(INDIRECT($B$112)=$B304)*(INDIRECT($D$112)=$D304)*(INDIRECT($F$112)=$F304),0)),0)</f>
        <v>0</v>
      </c>
      <c r="P304" s="377" cm="1">
        <f t="array" aca="1" ref="P304" ca="1">IFERROR(SUM(_xlfn._xlws.FILTER(INDIRECT(P$112),(INDIRECT($B$112)=$B304)*(INDIRECT($D$112)=$D304)*(INDIRECT($F$112)=$F304),0)),0)</f>
        <v>0</v>
      </c>
      <c r="Q304" s="377" cm="1">
        <f t="array" aca="1" ref="Q304" ca="1">IFERROR(SUM(_xlfn._xlws.FILTER(INDIRECT(Q$112),(INDIRECT($B$112)=$B304)*(INDIRECT($D$112)=$D304)*(INDIRECT($F$112)=$F304),0)),0)</f>
        <v>0</v>
      </c>
      <c r="R304" s="377" cm="1">
        <f t="array" aca="1" ref="R304" ca="1">IFERROR(SUM(_xlfn._xlws.FILTER(INDIRECT(R$112),(INDIRECT($B$112)=$B304)*(INDIRECT($D$112)=$D304)*(INDIRECT($F$112)=$F304),0)),0)</f>
        <v>0</v>
      </c>
      <c r="S304" s="377" cm="1">
        <f t="array" aca="1" ref="S304" ca="1">IFERROR(SUM(_xlfn._xlws.FILTER(INDIRECT(S$112),(INDIRECT($B$112)=$B304)*(INDIRECT($D$112)=$D304)*(INDIRECT($F$112)=$F304),0)),0)</f>
        <v>0</v>
      </c>
      <c r="T304" s="377" cm="1">
        <f t="array" aca="1" ref="T304" ca="1">IFERROR(SUM(_xlfn._xlws.FILTER(INDIRECT(T$112),(INDIRECT($B$112)=$B304)*(INDIRECT($D$112)=$D304)*(INDIRECT($F$112)=$F304),0)),0)</f>
        <v>0</v>
      </c>
      <c r="U304" s="377" cm="1">
        <f t="array" aca="1" ref="U304" ca="1">IFERROR(SUM(_xlfn._xlws.FILTER(INDIRECT(U$112),(INDIRECT($B$112)=$B304)*(INDIRECT($D$112)=$D304)*(INDIRECT($F$112)=$F304),0)),0)</f>
        <v>0</v>
      </c>
      <c r="V304" s="377" cm="1">
        <f t="array" aca="1" ref="V304" ca="1">IFERROR(SUM(_xlfn._xlws.FILTER(INDIRECT(V$112),(INDIRECT($B$112)=$B304)*(INDIRECT($D$112)=$D304)*(INDIRECT($F$112)=$F304),0)),0)</f>
        <v>0</v>
      </c>
      <c r="W304" s="377" cm="1">
        <f t="array" aca="1" ref="W304" ca="1">IFERROR(SUM(_xlfn._xlws.FILTER(INDIRECT(W$112),(INDIRECT($B$112)=$B304)*(INDIRECT($D$112)=$D304)*(INDIRECT($F$112)=$F304),0)),0)</f>
        <v>0</v>
      </c>
      <c r="X304" s="377" cm="1">
        <f t="array" aca="1" ref="X304" ca="1">IFERROR(SUM(_xlfn._xlws.FILTER(INDIRECT(X$112),(INDIRECT($B$112)=$B304)*(INDIRECT($D$112)=$D304)*(INDIRECT($F$112)=$F304),0)),0)</f>
        <v>0</v>
      </c>
      <c r="Y304" s="377" cm="1">
        <f t="array" aca="1" ref="Y304" ca="1">IFERROR(SUM(_xlfn._xlws.FILTER(INDIRECT(Y$112),(INDIRECT($B$112)=$B304)*(INDIRECT($D$112)=$D304)*(INDIRECT($F$112)=$F304),0)),0)</f>
        <v>0</v>
      </c>
      <c r="Z304" s="377" cm="1">
        <f t="array" aca="1" ref="Z304" ca="1">IFERROR(SUM(_xlfn._xlws.FILTER(INDIRECT(Z$112),(INDIRECT($B$112)=$B304)*(INDIRECT($D$112)=$D304)*(INDIRECT($F$112)=$F304),0)),0)</f>
        <v>0</v>
      </c>
      <c r="AA304" s="377" cm="1">
        <f t="array" aca="1" ref="AA304" ca="1">IFERROR(SUM(_xlfn._xlws.FILTER(INDIRECT(AA$112),(INDIRECT($B$112)=$B304)*(INDIRECT($D$112)=$D304)*(INDIRECT($F$112)=$F304),0)),0)</f>
        <v>0</v>
      </c>
      <c r="AB304" s="377" cm="1">
        <f t="array" aca="1" ref="AB304" ca="1">IFERROR(SUM(_xlfn._xlws.FILTER(INDIRECT(AB$112),(INDIRECT($B$112)=$B304)*(INDIRECT($D$112)=$D304)*(INDIRECT($F$112)=$F304),0)),0)</f>
        <v>0</v>
      </c>
      <c r="AC304" s="377" cm="1">
        <f t="array" aca="1" ref="AC304" ca="1">IFERROR(SUM(_xlfn._xlws.FILTER(INDIRECT(AC$112),(INDIRECT($B$112)=$B304)*(INDIRECT($D$112)=$D304)*(INDIRECT($F$112)=$F304),0)),0)</f>
        <v>0</v>
      </c>
      <c r="AD304" s="377" cm="1">
        <f t="array" aca="1" ref="AD304" ca="1">IFERROR(SUM(_xlfn._xlws.FILTER(INDIRECT(AD$112),(INDIRECT($B$112)=$B304)*(INDIRECT($D$112)=$D304)*(INDIRECT($F$112)=$F304),0)),0)</f>
        <v>0</v>
      </c>
      <c r="AE304" s="377" cm="1">
        <f t="array" aca="1" ref="AE304" ca="1">IFERROR(SUM(_xlfn._xlws.FILTER(INDIRECT(AE$112),(INDIRECT($B$112)=$B304)*(INDIRECT($D$112)=$D304)*(INDIRECT($F$112)=$F304),0)),0)</f>
        <v>0</v>
      </c>
      <c r="AF304" s="377" cm="1">
        <f t="array" aca="1" ref="AF304" ca="1">IFERROR(SUM(_xlfn._xlws.FILTER(INDIRECT(AF$112),(INDIRECT($B$112)=$B304)*(INDIRECT($D$112)=$D304)*(INDIRECT($F$112)=$F304),0)),0)</f>
        <v>0</v>
      </c>
      <c r="AG304" s="377" cm="1">
        <f t="array" aca="1" ref="AG304" ca="1">IFERROR(SUM(_xlfn._xlws.FILTER(INDIRECT(AG$112),(INDIRECT($B$112)=$B304)*(INDIRECT($D$112)=$D304)*(INDIRECT($F$112)=$F304),0)),0)</f>
        <v>0</v>
      </c>
      <c r="AH304" s="377" cm="1">
        <f t="array" aca="1" ref="AH304" ca="1">IFERROR(SUM(_xlfn._xlws.FILTER(INDIRECT(AH$112),(INDIRECT($B$112)=$B304)*(INDIRECT($D$112)=$D304)*(INDIRECT($F$112)=$F304),0)),0)</f>
        <v>0</v>
      </c>
      <c r="AI304" s="377" cm="1">
        <f t="array" aca="1" ref="AI304" ca="1">IFERROR(SUM(_xlfn._xlws.FILTER(INDIRECT(AI$112),(INDIRECT($B$112)=$B304)*(INDIRECT($D$112)=$D304)*(INDIRECT($F$112)=$F304),0)),0)</f>
        <v>0</v>
      </c>
      <c r="AJ304" s="377" cm="1">
        <f t="array" aca="1" ref="AJ304" ca="1">IFERROR(SUM(_xlfn._xlws.FILTER(INDIRECT(AJ$112),(INDIRECT($B$112)=$B304)*(INDIRECT($D$112)=$D304)*(INDIRECT($F$112)=$F304),0)),0)</f>
        <v>0</v>
      </c>
      <c r="AK304" s="377" cm="1">
        <f t="array" aca="1" ref="AK304" ca="1">IFERROR(SUM(_xlfn._xlws.FILTER(INDIRECT(AK$112),(INDIRECT($B$112)=$B304)*(INDIRECT($D$112)=$D304)*(INDIRECT($F$112)=$F304),0)),0)</f>
        <v>0</v>
      </c>
      <c r="AL304" s="377" cm="1">
        <f t="array" aca="1" ref="AL304" ca="1">IFERROR(SUM(_xlfn._xlws.FILTER(INDIRECT(AL$112),(INDIRECT($B$112)=$B304)*(INDIRECT($D$112)=$D304)*(INDIRECT($F$112)=$F304),0)),0)</f>
        <v>0</v>
      </c>
      <c r="AM304" s="377" cm="1">
        <f t="array" aca="1" ref="AM304" ca="1">IFERROR(SUM(_xlfn._xlws.FILTER(INDIRECT(AM$112),(INDIRECT($B$112)=$B304)*(INDIRECT($D$112)=$D304)*(INDIRECT($F$112)=$F304),0)),0)</f>
        <v>0</v>
      </c>
      <c r="AN304" s="377" cm="1">
        <f t="array" aca="1" ref="AN304" ca="1">IFERROR(SUM(_xlfn._xlws.FILTER(INDIRECT(AN$112),(INDIRECT($B$112)=$B304)*(INDIRECT($D$112)=$D304)*(INDIRECT($F$112)=$F304),0)),0)</f>
        <v>0</v>
      </c>
      <c r="AO304" s="377" cm="1">
        <f t="array" aca="1" ref="AO304" ca="1">IFERROR(SUM(_xlfn._xlws.FILTER(INDIRECT(AO$112),(INDIRECT($B$112)=$B304)*(INDIRECT($D$112)=$D304)*(INDIRECT($F$112)=$F304),0)),0)</f>
        <v>0</v>
      </c>
      <c r="AP304" s="377" cm="1">
        <f t="array" aca="1" ref="AP304" ca="1">IFERROR(SUM(_xlfn._xlws.FILTER(INDIRECT(AP$112),(INDIRECT($B$112)=$B304)*(INDIRECT($D$112)=$D304)*(INDIRECT($F$112)=$F304),0)),0)</f>
        <v>0</v>
      </c>
      <c r="AQ304" s="377" cm="1">
        <f t="array" aca="1" ref="AQ304" ca="1">SUM(IF(INDIRECT($AS$115)=AQ$115,INDIRECT($AS304)))</f>
        <v>0</v>
      </c>
      <c r="AR304" s="377" cm="1">
        <f t="array" aca="1" ref="AR304" ca="1">SUM(IF(INDIRECT($AS$115)=AR$115,INDIRECT($AS304)))</f>
        <v>0</v>
      </c>
      <c r="AS304" s="286" t="str">
        <f t="shared" si="23"/>
        <v>G304:AP304</v>
      </c>
      <c r="AT304" s="403">
        <f t="shared" ca="1" si="24"/>
        <v>0</v>
      </c>
      <c r="AV304" s="142" cm="1">
        <f t="array" aca="1" ref="AV304" ca="1">IF(AND(_xlfn.LET(_xlpm.x,SUM(ROW()),OR(AND(MATCH("SOT",$A:$A,0)&lt;_xlpm.x,MATCH("EOT",$A:$A,0)&gt;_xlpm.x),AND(MATCH("SOS",$A:$A,0)&lt;_xlpm.x,MATCH("EOS",$A:$A,0)&gt;_xlpm.x),AND(MATCH("SOR",$A:$A,0)&lt;_xlpm.x,MATCH("EOR",$A:$A,0)&gt;_xlpm.x))),INDIRECT("rc"&amp;MATCH("SCD",$1:$1,0),FALSE)="PPTO"),1,0)</f>
        <v>0</v>
      </c>
      <c r="AW304" s="142" cm="1">
        <f t="array" aca="1" ref="AW30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305" spans="1:49" s="153" customFormat="1" outlineLevel="2">
      <c r="A305" s="152"/>
      <c r="B305" s="401" t="str">
        <f t="shared" si="22"/>
        <v>X</v>
      </c>
      <c r="C305" s="148"/>
      <c r="D305" s="404"/>
      <c r="E305" s="350" t="str" cm="1">
        <f t="array" ref="E305">UPPER(_xlfn.UNIQUE(_xlfn._xlws.FILTER(TbRowMacro[RowMacroName],TbRowMacro[RowMcroId]=$D305,"X")))</f>
        <v>X</v>
      </c>
      <c r="F305" s="402"/>
      <c r="G305" s="377" cm="1">
        <f t="array" aca="1" ref="G305" ca="1">IFERROR(SUM(_xlfn._xlws.FILTER(INDIRECT(G$112),(INDIRECT($B$112)=$B305)*(INDIRECT($D$112)=$D305)*(INDIRECT($F$112)=$F305),0)),0)</f>
        <v>0</v>
      </c>
      <c r="H305" s="377" cm="1">
        <f t="array" aca="1" ref="H305" ca="1">IFERROR(SUM(_xlfn._xlws.FILTER(INDIRECT(H$112),(INDIRECT($B$112)=$B305)*(INDIRECT($D$112)=$D305)*(INDIRECT($F$112)=$F305),0)),0)</f>
        <v>0</v>
      </c>
      <c r="I305" s="377" cm="1">
        <f t="array" aca="1" ref="I305" ca="1">IFERROR(SUM(_xlfn._xlws.FILTER(INDIRECT(I$112),(INDIRECT($B$112)=$B305)*(INDIRECT($D$112)=$D305)*(INDIRECT($F$112)=$F305),0)),0)</f>
        <v>0</v>
      </c>
      <c r="J305" s="377" cm="1">
        <f t="array" aca="1" ref="J305" ca="1">IFERROR(SUM(_xlfn._xlws.FILTER(INDIRECT(J$112),(INDIRECT($B$112)=$B305)*(INDIRECT($D$112)=$D305)*(INDIRECT($F$112)=$F305),0)),0)</f>
        <v>0</v>
      </c>
      <c r="K305" s="377" cm="1">
        <f t="array" aca="1" ref="K305" ca="1">IFERROR(SUM(_xlfn._xlws.FILTER(INDIRECT(K$112),(INDIRECT($B$112)=$B305)*(INDIRECT($D$112)=$D305)*(INDIRECT($F$112)=$F305),0)),0)</f>
        <v>0</v>
      </c>
      <c r="L305" s="377" cm="1">
        <f t="array" aca="1" ref="L305" ca="1">IFERROR(SUM(_xlfn._xlws.FILTER(INDIRECT(L$112),(INDIRECT($B$112)=$B305)*(INDIRECT($D$112)=$D305)*(INDIRECT($F$112)=$F305),0)),0)</f>
        <v>0</v>
      </c>
      <c r="M305" s="377" cm="1">
        <f t="array" aca="1" ref="M305" ca="1">IFERROR(SUM(_xlfn._xlws.FILTER(INDIRECT(M$112),(INDIRECT($B$112)=$B305)*(INDIRECT($D$112)=$D305)*(INDIRECT($F$112)=$F305),0)),0)</f>
        <v>0</v>
      </c>
      <c r="N305" s="377" cm="1">
        <f t="array" aca="1" ref="N305" ca="1">IFERROR(SUM(_xlfn._xlws.FILTER(INDIRECT(N$112),(INDIRECT($B$112)=$B305)*(INDIRECT($D$112)=$D305)*(INDIRECT($F$112)=$F305),0)),0)</f>
        <v>0</v>
      </c>
      <c r="O305" s="377" cm="1">
        <f t="array" aca="1" ref="O305" ca="1">IFERROR(SUM(_xlfn._xlws.FILTER(INDIRECT(O$112),(INDIRECT($B$112)=$B305)*(INDIRECT($D$112)=$D305)*(INDIRECT($F$112)=$F305),0)),0)</f>
        <v>0</v>
      </c>
      <c r="P305" s="377" cm="1">
        <f t="array" aca="1" ref="P305" ca="1">IFERROR(SUM(_xlfn._xlws.FILTER(INDIRECT(P$112),(INDIRECT($B$112)=$B305)*(INDIRECT($D$112)=$D305)*(INDIRECT($F$112)=$F305),0)),0)</f>
        <v>0</v>
      </c>
      <c r="Q305" s="377" cm="1">
        <f t="array" aca="1" ref="Q305" ca="1">IFERROR(SUM(_xlfn._xlws.FILTER(INDIRECT(Q$112),(INDIRECT($B$112)=$B305)*(INDIRECT($D$112)=$D305)*(INDIRECT($F$112)=$F305),0)),0)</f>
        <v>0</v>
      </c>
      <c r="R305" s="377" cm="1">
        <f t="array" aca="1" ref="R305" ca="1">IFERROR(SUM(_xlfn._xlws.FILTER(INDIRECT(R$112),(INDIRECT($B$112)=$B305)*(INDIRECT($D$112)=$D305)*(INDIRECT($F$112)=$F305),0)),0)</f>
        <v>0</v>
      </c>
      <c r="S305" s="377" cm="1">
        <f t="array" aca="1" ref="S305" ca="1">IFERROR(SUM(_xlfn._xlws.FILTER(INDIRECT(S$112),(INDIRECT($B$112)=$B305)*(INDIRECT($D$112)=$D305)*(INDIRECT($F$112)=$F305),0)),0)</f>
        <v>0</v>
      </c>
      <c r="T305" s="377" cm="1">
        <f t="array" aca="1" ref="T305" ca="1">IFERROR(SUM(_xlfn._xlws.FILTER(INDIRECT(T$112),(INDIRECT($B$112)=$B305)*(INDIRECT($D$112)=$D305)*(INDIRECT($F$112)=$F305),0)),0)</f>
        <v>0</v>
      </c>
      <c r="U305" s="377" cm="1">
        <f t="array" aca="1" ref="U305" ca="1">IFERROR(SUM(_xlfn._xlws.FILTER(INDIRECT(U$112),(INDIRECT($B$112)=$B305)*(INDIRECT($D$112)=$D305)*(INDIRECT($F$112)=$F305),0)),0)</f>
        <v>0</v>
      </c>
      <c r="V305" s="377" cm="1">
        <f t="array" aca="1" ref="V305" ca="1">IFERROR(SUM(_xlfn._xlws.FILTER(INDIRECT(V$112),(INDIRECT($B$112)=$B305)*(INDIRECT($D$112)=$D305)*(INDIRECT($F$112)=$F305),0)),0)</f>
        <v>0</v>
      </c>
      <c r="W305" s="377" cm="1">
        <f t="array" aca="1" ref="W305" ca="1">IFERROR(SUM(_xlfn._xlws.FILTER(INDIRECT(W$112),(INDIRECT($B$112)=$B305)*(INDIRECT($D$112)=$D305)*(INDIRECT($F$112)=$F305),0)),0)</f>
        <v>0</v>
      </c>
      <c r="X305" s="377" cm="1">
        <f t="array" aca="1" ref="X305" ca="1">IFERROR(SUM(_xlfn._xlws.FILTER(INDIRECT(X$112),(INDIRECT($B$112)=$B305)*(INDIRECT($D$112)=$D305)*(INDIRECT($F$112)=$F305),0)),0)</f>
        <v>0</v>
      </c>
      <c r="Y305" s="377" cm="1">
        <f t="array" aca="1" ref="Y305" ca="1">IFERROR(SUM(_xlfn._xlws.FILTER(INDIRECT(Y$112),(INDIRECT($B$112)=$B305)*(INDIRECT($D$112)=$D305)*(INDIRECT($F$112)=$F305),0)),0)</f>
        <v>0</v>
      </c>
      <c r="Z305" s="377" cm="1">
        <f t="array" aca="1" ref="Z305" ca="1">IFERROR(SUM(_xlfn._xlws.FILTER(INDIRECT(Z$112),(INDIRECT($B$112)=$B305)*(INDIRECT($D$112)=$D305)*(INDIRECT($F$112)=$F305),0)),0)</f>
        <v>0</v>
      </c>
      <c r="AA305" s="377" cm="1">
        <f t="array" aca="1" ref="AA305" ca="1">IFERROR(SUM(_xlfn._xlws.FILTER(INDIRECT(AA$112),(INDIRECT($B$112)=$B305)*(INDIRECT($D$112)=$D305)*(INDIRECT($F$112)=$F305),0)),0)</f>
        <v>0</v>
      </c>
      <c r="AB305" s="377" cm="1">
        <f t="array" aca="1" ref="AB305" ca="1">IFERROR(SUM(_xlfn._xlws.FILTER(INDIRECT(AB$112),(INDIRECT($B$112)=$B305)*(INDIRECT($D$112)=$D305)*(INDIRECT($F$112)=$F305),0)),0)</f>
        <v>0</v>
      </c>
      <c r="AC305" s="377" cm="1">
        <f t="array" aca="1" ref="AC305" ca="1">IFERROR(SUM(_xlfn._xlws.FILTER(INDIRECT(AC$112),(INDIRECT($B$112)=$B305)*(INDIRECT($D$112)=$D305)*(INDIRECT($F$112)=$F305),0)),0)</f>
        <v>0</v>
      </c>
      <c r="AD305" s="377" cm="1">
        <f t="array" aca="1" ref="AD305" ca="1">IFERROR(SUM(_xlfn._xlws.FILTER(INDIRECT(AD$112),(INDIRECT($B$112)=$B305)*(INDIRECT($D$112)=$D305)*(INDIRECT($F$112)=$F305),0)),0)</f>
        <v>0</v>
      </c>
      <c r="AE305" s="377" cm="1">
        <f t="array" aca="1" ref="AE305" ca="1">IFERROR(SUM(_xlfn._xlws.FILTER(INDIRECT(AE$112),(INDIRECT($B$112)=$B305)*(INDIRECT($D$112)=$D305)*(INDIRECT($F$112)=$F305),0)),0)</f>
        <v>0</v>
      </c>
      <c r="AF305" s="377" cm="1">
        <f t="array" aca="1" ref="AF305" ca="1">IFERROR(SUM(_xlfn._xlws.FILTER(INDIRECT(AF$112),(INDIRECT($B$112)=$B305)*(INDIRECT($D$112)=$D305)*(INDIRECT($F$112)=$F305),0)),0)</f>
        <v>0</v>
      </c>
      <c r="AG305" s="377" cm="1">
        <f t="array" aca="1" ref="AG305" ca="1">IFERROR(SUM(_xlfn._xlws.FILTER(INDIRECT(AG$112),(INDIRECT($B$112)=$B305)*(INDIRECT($D$112)=$D305)*(INDIRECT($F$112)=$F305),0)),0)</f>
        <v>0</v>
      </c>
      <c r="AH305" s="377" cm="1">
        <f t="array" aca="1" ref="AH305" ca="1">IFERROR(SUM(_xlfn._xlws.FILTER(INDIRECT(AH$112),(INDIRECT($B$112)=$B305)*(INDIRECT($D$112)=$D305)*(INDIRECT($F$112)=$F305),0)),0)</f>
        <v>0</v>
      </c>
      <c r="AI305" s="377" cm="1">
        <f t="array" aca="1" ref="AI305" ca="1">IFERROR(SUM(_xlfn._xlws.FILTER(INDIRECT(AI$112),(INDIRECT($B$112)=$B305)*(INDIRECT($D$112)=$D305)*(INDIRECT($F$112)=$F305),0)),0)</f>
        <v>0</v>
      </c>
      <c r="AJ305" s="377" cm="1">
        <f t="array" aca="1" ref="AJ305" ca="1">IFERROR(SUM(_xlfn._xlws.FILTER(INDIRECT(AJ$112),(INDIRECT($B$112)=$B305)*(INDIRECT($D$112)=$D305)*(INDIRECT($F$112)=$F305),0)),0)</f>
        <v>0</v>
      </c>
      <c r="AK305" s="377" cm="1">
        <f t="array" aca="1" ref="AK305" ca="1">IFERROR(SUM(_xlfn._xlws.FILTER(INDIRECT(AK$112),(INDIRECT($B$112)=$B305)*(INDIRECT($D$112)=$D305)*(INDIRECT($F$112)=$F305),0)),0)</f>
        <v>0</v>
      </c>
      <c r="AL305" s="377" cm="1">
        <f t="array" aca="1" ref="AL305" ca="1">IFERROR(SUM(_xlfn._xlws.FILTER(INDIRECT(AL$112),(INDIRECT($B$112)=$B305)*(INDIRECT($D$112)=$D305)*(INDIRECT($F$112)=$F305),0)),0)</f>
        <v>0</v>
      </c>
      <c r="AM305" s="377" cm="1">
        <f t="array" aca="1" ref="AM305" ca="1">IFERROR(SUM(_xlfn._xlws.FILTER(INDIRECT(AM$112),(INDIRECT($B$112)=$B305)*(INDIRECT($D$112)=$D305)*(INDIRECT($F$112)=$F305),0)),0)</f>
        <v>0</v>
      </c>
      <c r="AN305" s="377" cm="1">
        <f t="array" aca="1" ref="AN305" ca="1">IFERROR(SUM(_xlfn._xlws.FILTER(INDIRECT(AN$112),(INDIRECT($B$112)=$B305)*(INDIRECT($D$112)=$D305)*(INDIRECT($F$112)=$F305),0)),0)</f>
        <v>0</v>
      </c>
      <c r="AO305" s="377" cm="1">
        <f t="array" aca="1" ref="AO305" ca="1">IFERROR(SUM(_xlfn._xlws.FILTER(INDIRECT(AO$112),(INDIRECT($B$112)=$B305)*(INDIRECT($D$112)=$D305)*(INDIRECT($F$112)=$F305),0)),0)</f>
        <v>0</v>
      </c>
      <c r="AP305" s="377" cm="1">
        <f t="array" aca="1" ref="AP305" ca="1">IFERROR(SUM(_xlfn._xlws.FILTER(INDIRECT(AP$112),(INDIRECT($B$112)=$B305)*(INDIRECT($D$112)=$D305)*(INDIRECT($F$112)=$F305),0)),0)</f>
        <v>0</v>
      </c>
      <c r="AQ305" s="377" cm="1">
        <f t="array" aca="1" ref="AQ305" ca="1">SUM(IF(INDIRECT($AS$115)=AQ$115,INDIRECT($AS305)))</f>
        <v>0</v>
      </c>
      <c r="AR305" s="377" cm="1">
        <f t="array" aca="1" ref="AR305" ca="1">SUM(IF(INDIRECT($AS$115)=AR$115,INDIRECT($AS305)))</f>
        <v>0</v>
      </c>
      <c r="AS305" s="286" t="str">
        <f t="shared" si="23"/>
        <v>G305:AP305</v>
      </c>
      <c r="AT305" s="403">
        <f t="shared" ca="1" si="24"/>
        <v>0</v>
      </c>
      <c r="AV305" s="142" cm="1">
        <f t="array" aca="1" ref="AV305" ca="1">IF(AND(_xlfn.LET(_xlpm.x,SUM(ROW()),OR(AND(MATCH("SOT",$A:$A,0)&lt;_xlpm.x,MATCH("EOT",$A:$A,0)&gt;_xlpm.x),AND(MATCH("SOS",$A:$A,0)&lt;_xlpm.x,MATCH("EOS",$A:$A,0)&gt;_xlpm.x),AND(MATCH("SOR",$A:$A,0)&lt;_xlpm.x,MATCH("EOR",$A:$A,0)&gt;_xlpm.x))),INDIRECT("rc"&amp;MATCH("SCD",$1:$1,0),FALSE)="PPTO"),1,0)</f>
        <v>0</v>
      </c>
      <c r="AW305" s="142" cm="1">
        <f t="array" aca="1" ref="AW305"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306" spans="1:49" s="153" customFormat="1" outlineLevel="2">
      <c r="A306" s="152"/>
      <c r="B306" s="401" t="str">
        <f t="shared" si="22"/>
        <v>X</v>
      </c>
      <c r="C306" s="148"/>
      <c r="D306" s="404"/>
      <c r="E306" s="350" t="str" cm="1">
        <f t="array" ref="E306">UPPER(_xlfn.UNIQUE(_xlfn._xlws.FILTER(TbRowMacro[RowMacroName],TbRowMacro[RowMcroId]=$D306,"X")))</f>
        <v>X</v>
      </c>
      <c r="F306" s="402"/>
      <c r="G306" s="377" cm="1">
        <f t="array" aca="1" ref="G306" ca="1">IFERROR(SUM(_xlfn._xlws.FILTER(INDIRECT(G$112),(INDIRECT($B$112)=$B306)*(INDIRECT($D$112)=$D306)*(INDIRECT($F$112)=$F306),0)),0)</f>
        <v>0</v>
      </c>
      <c r="H306" s="377" cm="1">
        <f t="array" aca="1" ref="H306" ca="1">IFERROR(SUM(_xlfn._xlws.FILTER(INDIRECT(H$112),(INDIRECT($B$112)=$B306)*(INDIRECT($D$112)=$D306)*(INDIRECT($F$112)=$F306),0)),0)</f>
        <v>0</v>
      </c>
      <c r="I306" s="377" cm="1">
        <f t="array" aca="1" ref="I306" ca="1">IFERROR(SUM(_xlfn._xlws.FILTER(INDIRECT(I$112),(INDIRECT($B$112)=$B306)*(INDIRECT($D$112)=$D306)*(INDIRECT($F$112)=$F306),0)),0)</f>
        <v>0</v>
      </c>
      <c r="J306" s="377" cm="1">
        <f t="array" aca="1" ref="J306" ca="1">IFERROR(SUM(_xlfn._xlws.FILTER(INDIRECT(J$112),(INDIRECT($B$112)=$B306)*(INDIRECT($D$112)=$D306)*(INDIRECT($F$112)=$F306),0)),0)</f>
        <v>0</v>
      </c>
      <c r="K306" s="377" cm="1">
        <f t="array" aca="1" ref="K306" ca="1">IFERROR(SUM(_xlfn._xlws.FILTER(INDIRECT(K$112),(INDIRECT($B$112)=$B306)*(INDIRECT($D$112)=$D306)*(INDIRECT($F$112)=$F306),0)),0)</f>
        <v>0</v>
      </c>
      <c r="L306" s="377" cm="1">
        <f t="array" aca="1" ref="L306" ca="1">IFERROR(SUM(_xlfn._xlws.FILTER(INDIRECT(L$112),(INDIRECT($B$112)=$B306)*(INDIRECT($D$112)=$D306)*(INDIRECT($F$112)=$F306),0)),0)</f>
        <v>0</v>
      </c>
      <c r="M306" s="377" cm="1">
        <f t="array" aca="1" ref="M306" ca="1">IFERROR(SUM(_xlfn._xlws.FILTER(INDIRECT(M$112),(INDIRECT($B$112)=$B306)*(INDIRECT($D$112)=$D306)*(INDIRECT($F$112)=$F306),0)),0)</f>
        <v>0</v>
      </c>
      <c r="N306" s="377" cm="1">
        <f t="array" aca="1" ref="N306" ca="1">IFERROR(SUM(_xlfn._xlws.FILTER(INDIRECT(N$112),(INDIRECT($B$112)=$B306)*(INDIRECT($D$112)=$D306)*(INDIRECT($F$112)=$F306),0)),0)</f>
        <v>0</v>
      </c>
      <c r="O306" s="377" cm="1">
        <f t="array" aca="1" ref="O306" ca="1">IFERROR(SUM(_xlfn._xlws.FILTER(INDIRECT(O$112),(INDIRECT($B$112)=$B306)*(INDIRECT($D$112)=$D306)*(INDIRECT($F$112)=$F306),0)),0)</f>
        <v>0</v>
      </c>
      <c r="P306" s="377" cm="1">
        <f t="array" aca="1" ref="P306" ca="1">IFERROR(SUM(_xlfn._xlws.FILTER(INDIRECT(P$112),(INDIRECT($B$112)=$B306)*(INDIRECT($D$112)=$D306)*(INDIRECT($F$112)=$F306),0)),0)</f>
        <v>0</v>
      </c>
      <c r="Q306" s="377" cm="1">
        <f t="array" aca="1" ref="Q306" ca="1">IFERROR(SUM(_xlfn._xlws.FILTER(INDIRECT(Q$112),(INDIRECT($B$112)=$B306)*(INDIRECT($D$112)=$D306)*(INDIRECT($F$112)=$F306),0)),0)</f>
        <v>0</v>
      </c>
      <c r="R306" s="377" cm="1">
        <f t="array" aca="1" ref="R306" ca="1">IFERROR(SUM(_xlfn._xlws.FILTER(INDIRECT(R$112),(INDIRECT($B$112)=$B306)*(INDIRECT($D$112)=$D306)*(INDIRECT($F$112)=$F306),0)),0)</f>
        <v>0</v>
      </c>
      <c r="S306" s="377" cm="1">
        <f t="array" aca="1" ref="S306" ca="1">IFERROR(SUM(_xlfn._xlws.FILTER(INDIRECT(S$112),(INDIRECT($B$112)=$B306)*(INDIRECT($D$112)=$D306)*(INDIRECT($F$112)=$F306),0)),0)</f>
        <v>0</v>
      </c>
      <c r="T306" s="377" cm="1">
        <f t="array" aca="1" ref="T306" ca="1">IFERROR(SUM(_xlfn._xlws.FILTER(INDIRECT(T$112),(INDIRECT($B$112)=$B306)*(INDIRECT($D$112)=$D306)*(INDIRECT($F$112)=$F306),0)),0)</f>
        <v>0</v>
      </c>
      <c r="U306" s="377" cm="1">
        <f t="array" aca="1" ref="U306" ca="1">IFERROR(SUM(_xlfn._xlws.FILTER(INDIRECT(U$112),(INDIRECT($B$112)=$B306)*(INDIRECT($D$112)=$D306)*(INDIRECT($F$112)=$F306),0)),0)</f>
        <v>0</v>
      </c>
      <c r="V306" s="377" cm="1">
        <f t="array" aca="1" ref="V306" ca="1">IFERROR(SUM(_xlfn._xlws.FILTER(INDIRECT(V$112),(INDIRECT($B$112)=$B306)*(INDIRECT($D$112)=$D306)*(INDIRECT($F$112)=$F306),0)),0)</f>
        <v>0</v>
      </c>
      <c r="W306" s="377" cm="1">
        <f t="array" aca="1" ref="W306" ca="1">IFERROR(SUM(_xlfn._xlws.FILTER(INDIRECT(W$112),(INDIRECT($B$112)=$B306)*(INDIRECT($D$112)=$D306)*(INDIRECT($F$112)=$F306),0)),0)</f>
        <v>0</v>
      </c>
      <c r="X306" s="377" cm="1">
        <f t="array" aca="1" ref="X306" ca="1">IFERROR(SUM(_xlfn._xlws.FILTER(INDIRECT(X$112),(INDIRECT($B$112)=$B306)*(INDIRECT($D$112)=$D306)*(INDIRECT($F$112)=$F306),0)),0)</f>
        <v>0</v>
      </c>
      <c r="Y306" s="377" cm="1">
        <f t="array" aca="1" ref="Y306" ca="1">IFERROR(SUM(_xlfn._xlws.FILTER(INDIRECT(Y$112),(INDIRECT($B$112)=$B306)*(INDIRECT($D$112)=$D306)*(INDIRECT($F$112)=$F306),0)),0)</f>
        <v>0</v>
      </c>
      <c r="Z306" s="377" cm="1">
        <f t="array" aca="1" ref="Z306" ca="1">IFERROR(SUM(_xlfn._xlws.FILTER(INDIRECT(Z$112),(INDIRECT($B$112)=$B306)*(INDIRECT($D$112)=$D306)*(INDIRECT($F$112)=$F306),0)),0)</f>
        <v>0</v>
      </c>
      <c r="AA306" s="377" cm="1">
        <f t="array" aca="1" ref="AA306" ca="1">IFERROR(SUM(_xlfn._xlws.FILTER(INDIRECT(AA$112),(INDIRECT($B$112)=$B306)*(INDIRECT($D$112)=$D306)*(INDIRECT($F$112)=$F306),0)),0)</f>
        <v>0</v>
      </c>
      <c r="AB306" s="377" cm="1">
        <f t="array" aca="1" ref="AB306" ca="1">IFERROR(SUM(_xlfn._xlws.FILTER(INDIRECT(AB$112),(INDIRECT($B$112)=$B306)*(INDIRECT($D$112)=$D306)*(INDIRECT($F$112)=$F306),0)),0)</f>
        <v>0</v>
      </c>
      <c r="AC306" s="377" cm="1">
        <f t="array" aca="1" ref="AC306" ca="1">IFERROR(SUM(_xlfn._xlws.FILTER(INDIRECT(AC$112),(INDIRECT($B$112)=$B306)*(INDIRECT($D$112)=$D306)*(INDIRECT($F$112)=$F306),0)),0)</f>
        <v>0</v>
      </c>
      <c r="AD306" s="377" cm="1">
        <f t="array" aca="1" ref="AD306" ca="1">IFERROR(SUM(_xlfn._xlws.FILTER(INDIRECT(AD$112),(INDIRECT($B$112)=$B306)*(INDIRECT($D$112)=$D306)*(INDIRECT($F$112)=$F306),0)),0)</f>
        <v>0</v>
      </c>
      <c r="AE306" s="377" cm="1">
        <f t="array" aca="1" ref="AE306" ca="1">IFERROR(SUM(_xlfn._xlws.FILTER(INDIRECT(AE$112),(INDIRECT($B$112)=$B306)*(INDIRECT($D$112)=$D306)*(INDIRECT($F$112)=$F306),0)),0)</f>
        <v>0</v>
      </c>
      <c r="AF306" s="377" cm="1">
        <f t="array" aca="1" ref="AF306" ca="1">IFERROR(SUM(_xlfn._xlws.FILTER(INDIRECT(AF$112),(INDIRECT($B$112)=$B306)*(INDIRECT($D$112)=$D306)*(INDIRECT($F$112)=$F306),0)),0)</f>
        <v>0</v>
      </c>
      <c r="AG306" s="377" cm="1">
        <f t="array" aca="1" ref="AG306" ca="1">IFERROR(SUM(_xlfn._xlws.FILTER(INDIRECT(AG$112),(INDIRECT($B$112)=$B306)*(INDIRECT($D$112)=$D306)*(INDIRECT($F$112)=$F306),0)),0)</f>
        <v>0</v>
      </c>
      <c r="AH306" s="377" cm="1">
        <f t="array" aca="1" ref="AH306" ca="1">IFERROR(SUM(_xlfn._xlws.FILTER(INDIRECT(AH$112),(INDIRECT($B$112)=$B306)*(INDIRECT($D$112)=$D306)*(INDIRECT($F$112)=$F306),0)),0)</f>
        <v>0</v>
      </c>
      <c r="AI306" s="377" cm="1">
        <f t="array" aca="1" ref="AI306" ca="1">IFERROR(SUM(_xlfn._xlws.FILTER(INDIRECT(AI$112),(INDIRECT($B$112)=$B306)*(INDIRECT($D$112)=$D306)*(INDIRECT($F$112)=$F306),0)),0)</f>
        <v>0</v>
      </c>
      <c r="AJ306" s="377" cm="1">
        <f t="array" aca="1" ref="AJ306" ca="1">IFERROR(SUM(_xlfn._xlws.FILTER(INDIRECT(AJ$112),(INDIRECT($B$112)=$B306)*(INDIRECT($D$112)=$D306)*(INDIRECT($F$112)=$F306),0)),0)</f>
        <v>0</v>
      </c>
      <c r="AK306" s="377" cm="1">
        <f t="array" aca="1" ref="AK306" ca="1">IFERROR(SUM(_xlfn._xlws.FILTER(INDIRECT(AK$112),(INDIRECT($B$112)=$B306)*(INDIRECT($D$112)=$D306)*(INDIRECT($F$112)=$F306),0)),0)</f>
        <v>0</v>
      </c>
      <c r="AL306" s="377" cm="1">
        <f t="array" aca="1" ref="AL306" ca="1">IFERROR(SUM(_xlfn._xlws.FILTER(INDIRECT(AL$112),(INDIRECT($B$112)=$B306)*(INDIRECT($D$112)=$D306)*(INDIRECT($F$112)=$F306),0)),0)</f>
        <v>0</v>
      </c>
      <c r="AM306" s="377" cm="1">
        <f t="array" aca="1" ref="AM306" ca="1">IFERROR(SUM(_xlfn._xlws.FILTER(INDIRECT(AM$112),(INDIRECT($B$112)=$B306)*(INDIRECT($D$112)=$D306)*(INDIRECT($F$112)=$F306),0)),0)</f>
        <v>0</v>
      </c>
      <c r="AN306" s="377" cm="1">
        <f t="array" aca="1" ref="AN306" ca="1">IFERROR(SUM(_xlfn._xlws.FILTER(INDIRECT(AN$112),(INDIRECT($B$112)=$B306)*(INDIRECT($D$112)=$D306)*(INDIRECT($F$112)=$F306),0)),0)</f>
        <v>0</v>
      </c>
      <c r="AO306" s="377" cm="1">
        <f t="array" aca="1" ref="AO306" ca="1">IFERROR(SUM(_xlfn._xlws.FILTER(INDIRECT(AO$112),(INDIRECT($B$112)=$B306)*(INDIRECT($D$112)=$D306)*(INDIRECT($F$112)=$F306),0)),0)</f>
        <v>0</v>
      </c>
      <c r="AP306" s="377" cm="1">
        <f t="array" aca="1" ref="AP306" ca="1">IFERROR(SUM(_xlfn._xlws.FILTER(INDIRECT(AP$112),(INDIRECT($B$112)=$B306)*(INDIRECT($D$112)=$D306)*(INDIRECT($F$112)=$F306),0)),0)</f>
        <v>0</v>
      </c>
      <c r="AQ306" s="377" cm="1">
        <f t="array" aca="1" ref="AQ306" ca="1">SUM(IF(INDIRECT($AS$115)=AQ$115,INDIRECT($AS306)))</f>
        <v>0</v>
      </c>
      <c r="AR306" s="377" cm="1">
        <f t="array" aca="1" ref="AR306" ca="1">SUM(IF(INDIRECT($AS$115)=AR$115,INDIRECT($AS306)))</f>
        <v>0</v>
      </c>
      <c r="AS306" s="286" t="str">
        <f t="shared" si="23"/>
        <v>G306:AP306</v>
      </c>
      <c r="AT306" s="403">
        <f t="shared" ca="1" si="24"/>
        <v>0</v>
      </c>
      <c r="AV306" s="142" cm="1">
        <f t="array" aca="1" ref="AV306" ca="1">IF(AND(_xlfn.LET(_xlpm.x,SUM(ROW()),OR(AND(MATCH("SOT",$A:$A,0)&lt;_xlpm.x,MATCH("EOT",$A:$A,0)&gt;_xlpm.x),AND(MATCH("SOS",$A:$A,0)&lt;_xlpm.x,MATCH("EOS",$A:$A,0)&gt;_xlpm.x),AND(MATCH("SOR",$A:$A,0)&lt;_xlpm.x,MATCH("EOR",$A:$A,0)&gt;_xlpm.x))),INDIRECT("rc"&amp;MATCH("SCD",$1:$1,0),FALSE)="PPTO"),1,0)</f>
        <v>0</v>
      </c>
      <c r="AW306" s="142" cm="1">
        <f t="array" aca="1" ref="AW306"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307" spans="1:49" s="153" customFormat="1" ht="12" outlineLevel="2">
      <c r="A307" s="152" t="s">
        <v>2072</v>
      </c>
      <c r="B307" s="401"/>
      <c r="C307" s="148"/>
      <c r="D307" s="404"/>
      <c r="E307" s="405"/>
      <c r="F307" s="402"/>
      <c r="G307" s="402"/>
      <c r="H307" s="403"/>
      <c r="I307" s="403"/>
      <c r="J307" s="403"/>
      <c r="K307" s="403"/>
      <c r="L307" s="403"/>
      <c r="M307" s="403"/>
      <c r="N307" s="403"/>
      <c r="O307" s="403"/>
      <c r="P307" s="403"/>
      <c r="Q307" s="403"/>
      <c r="R307" s="403"/>
      <c r="S307" s="403"/>
      <c r="T307" s="403"/>
      <c r="U307" s="403"/>
      <c r="V307" s="403"/>
      <c r="W307" s="403"/>
      <c r="X307" s="403"/>
      <c r="Y307" s="403"/>
      <c r="Z307" s="403"/>
      <c r="AA307" s="403"/>
      <c r="AB307" s="403"/>
      <c r="AC307" s="403"/>
      <c r="AD307" s="403"/>
      <c r="AE307" s="403"/>
      <c r="AF307" s="403"/>
      <c r="AG307" s="403"/>
      <c r="AH307" s="403"/>
      <c r="AI307" s="403"/>
      <c r="AJ307" s="403"/>
      <c r="AK307" s="403"/>
      <c r="AL307" s="403"/>
      <c r="AM307" s="403"/>
      <c r="AN307" s="403"/>
      <c r="AO307" s="403"/>
      <c r="AP307" s="403"/>
      <c r="AQ307" s="403"/>
      <c r="AR307" s="403"/>
      <c r="AS307" s="286" t="str">
        <f>IF($B307="","X",ADDRESS(SUM(ROW()),MATCH("SCD",$1:$1,0)+1,4)&amp;":"&amp;ADDRESS(SUM(ROW()),MATCH("ECD",$1:$1,0)-1,4))</f>
        <v>X</v>
      </c>
      <c r="AV307" s="142" cm="1">
        <f t="array" aca="1" ref="AV307" ca="1">IF(AND(_xlfn.LET(_xlpm.x,SUM(ROW()),OR(AND(MATCH("SOT",$A:$A,0)&lt;_xlpm.x,MATCH("EOT",$A:$A,0)&gt;_xlpm.x),AND(MATCH("SOS",$A:$A,0)&lt;_xlpm.x,MATCH("EOS",$A:$A,0)&gt;_xlpm.x),AND(MATCH("SOR",$A:$A,0)&lt;_xlpm.x,MATCH("EOR",$A:$A,0)&gt;_xlpm.x))),INDIRECT("rc"&amp;MATCH("SCD",$1:$1,0),FALSE)="PPTO"),1,0)</f>
        <v>0</v>
      </c>
      <c r="AW307" s="142" cm="1">
        <f t="array" aca="1" ref="AW307"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308" spans="1:49" outlineLevel="1">
      <c r="B308" s="485" t="s">
        <v>2100</v>
      </c>
      <c r="C308" s="485"/>
      <c r="D308" s="485"/>
      <c r="E308" s="485"/>
      <c r="F308" s="485"/>
      <c r="G308" s="485"/>
      <c r="H308" s="485"/>
      <c r="I308" s="485"/>
      <c r="J308" s="485"/>
      <c r="K308" s="485"/>
      <c r="L308" s="485"/>
      <c r="M308" s="485"/>
      <c r="N308" s="485"/>
      <c r="O308" s="485"/>
      <c r="P308" s="485"/>
      <c r="Q308" s="485"/>
      <c r="R308" s="485"/>
      <c r="S308" s="485"/>
      <c r="T308" s="485"/>
      <c r="U308" s="485"/>
      <c r="V308" s="485"/>
      <c r="W308" s="485"/>
      <c r="X308" s="485"/>
      <c r="Y308" s="485"/>
      <c r="Z308" s="485"/>
      <c r="AA308" s="485"/>
      <c r="AB308" s="485"/>
      <c r="AC308" s="485"/>
      <c r="AD308" s="485"/>
      <c r="AE308" s="485"/>
      <c r="AF308" s="485"/>
      <c r="AG308" s="485"/>
      <c r="AH308" s="485"/>
      <c r="AI308" s="485"/>
      <c r="AJ308" s="485"/>
      <c r="AK308" s="485"/>
      <c r="AL308" s="485"/>
      <c r="AM308" s="485"/>
      <c r="AN308" s="485"/>
      <c r="AO308" s="485"/>
      <c r="AP308" s="485"/>
      <c r="AQ308" s="485"/>
      <c r="AR308" s="485"/>
      <c r="AS308" s="485"/>
      <c r="AV308" s="142" cm="1">
        <f t="array" aca="1" ref="AV308" ca="1">IF(AND(_xlfn.LET(_xlpm.x,SUM(ROW()),OR(AND(MATCH("SOT",$A:$A,0)&lt;_xlpm.x,MATCH("EOT",$A:$A,0)&gt;_xlpm.x),AND(MATCH("SOS",$A:$A,0)&lt;_xlpm.x,MATCH("EOS",$A:$A,0)&gt;_xlpm.x),AND(MATCH("SOR",$A:$A,0)&lt;_xlpm.x,MATCH("EOR",$A:$A,0)&gt;_xlpm.x))),INDIRECT("rc"&amp;MATCH("SCD",$1:$1,0),FALSE)="PPTO"),1,0)</f>
        <v>0</v>
      </c>
      <c r="AW308" s="142" cm="1">
        <f t="array" aca="1" ref="AW308"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309" spans="1:49" ht="13" outlineLevel="1">
      <c r="A309" s="155" t="s">
        <v>2095</v>
      </c>
      <c r="B309" s="198" t="str">
        <f t="shared" ref="B309:AT309" ca="1" si="25">ADDRESS(MATCH("SO"&amp;RIGHT($A309,1),$A:$A,0)+1,SUM(COLUMN()),4,1,$B$9)&amp;":"&amp;ADDRESS(MATCH("EO"&amp;RIGHT($A309,1),$A:$A,0)-1,SUM(COLUMN()),4)</f>
        <v>PPR!B312:B314</v>
      </c>
      <c r="C309" s="198" t="str">
        <f t="shared" ca="1" si="25"/>
        <v>PPR!C312:C314</v>
      </c>
      <c r="D309" s="198" t="str">
        <f t="shared" ca="1" si="25"/>
        <v>PPR!D312:D314</v>
      </c>
      <c r="E309" s="348" t="str">
        <f t="shared" ca="1" si="25"/>
        <v>PPR!E312:E314</v>
      </c>
      <c r="F309" s="198" t="str">
        <f t="shared" ca="1" si="25"/>
        <v>PPR!F312:F314</v>
      </c>
      <c r="G309" s="198" t="str">
        <f t="shared" ca="1" si="25"/>
        <v>PPR!G312:G314</v>
      </c>
      <c r="H309" s="198" t="str">
        <f t="shared" ca="1" si="25"/>
        <v>PPR!H312:H314</v>
      </c>
      <c r="I309" s="198" t="str">
        <f t="shared" ca="1" si="25"/>
        <v>PPR!I312:I314</v>
      </c>
      <c r="J309" s="198" t="str">
        <f t="shared" ca="1" si="25"/>
        <v>PPR!J312:J314</v>
      </c>
      <c r="K309" s="198" t="str">
        <f t="shared" ca="1" si="25"/>
        <v>PPR!K312:K314</v>
      </c>
      <c r="L309" s="198" t="str">
        <f t="shared" ca="1" si="25"/>
        <v>PPR!L312:L314</v>
      </c>
      <c r="M309" s="198" t="str">
        <f t="shared" ca="1" si="25"/>
        <v>PPR!M312:M314</v>
      </c>
      <c r="N309" s="198" t="str">
        <f t="shared" ca="1" si="25"/>
        <v>PPR!N312:N314</v>
      </c>
      <c r="O309" s="198" t="str">
        <f t="shared" ca="1" si="25"/>
        <v>PPR!O312:O314</v>
      </c>
      <c r="P309" s="198" t="str">
        <f t="shared" ca="1" si="25"/>
        <v>PPR!P312:P314</v>
      </c>
      <c r="Q309" s="198" t="str">
        <f t="shared" ca="1" si="25"/>
        <v>PPR!Q312:Q314</v>
      </c>
      <c r="R309" s="198" t="str">
        <f t="shared" ca="1" si="25"/>
        <v>PPR!R312:R314</v>
      </c>
      <c r="S309" s="198" t="str">
        <f t="shared" ca="1" si="25"/>
        <v>PPR!S312:S314</v>
      </c>
      <c r="T309" s="198" t="str">
        <f t="shared" ca="1" si="25"/>
        <v>PPR!T312:T314</v>
      </c>
      <c r="U309" s="198" t="str">
        <f t="shared" ca="1" si="25"/>
        <v>PPR!U312:U314</v>
      </c>
      <c r="V309" s="198" t="str">
        <f t="shared" ca="1" si="25"/>
        <v>PPR!V312:V314</v>
      </c>
      <c r="W309" s="198" t="str">
        <f t="shared" ca="1" si="25"/>
        <v>PPR!W312:W314</v>
      </c>
      <c r="X309" s="198" t="str">
        <f t="shared" ca="1" si="25"/>
        <v>PPR!X312:X314</v>
      </c>
      <c r="Y309" s="198" t="str">
        <f t="shared" ca="1" si="25"/>
        <v>PPR!Y312:Y314</v>
      </c>
      <c r="Z309" s="198" t="str">
        <f t="shared" ca="1" si="25"/>
        <v>PPR!Z312:Z314</v>
      </c>
      <c r="AA309" s="198" t="str">
        <f t="shared" ca="1" si="25"/>
        <v>PPR!AA312:AA314</v>
      </c>
      <c r="AB309" s="198" t="str">
        <f t="shared" ca="1" si="25"/>
        <v>PPR!AB312:AB314</v>
      </c>
      <c r="AC309" s="198" t="str">
        <f t="shared" ca="1" si="25"/>
        <v>PPR!AC312:AC314</v>
      </c>
      <c r="AD309" s="198" t="str">
        <f t="shared" ca="1" si="25"/>
        <v>PPR!AD312:AD314</v>
      </c>
      <c r="AE309" s="198" t="str">
        <f t="shared" ca="1" si="25"/>
        <v>PPR!AE312:AE314</v>
      </c>
      <c r="AF309" s="198" t="str">
        <f t="shared" ca="1" si="25"/>
        <v>PPR!AF312:AF314</v>
      </c>
      <c r="AG309" s="198" t="str">
        <f t="shared" ca="1" si="25"/>
        <v>PPR!AG312:AG314</v>
      </c>
      <c r="AH309" s="198" t="str">
        <f t="shared" ca="1" si="25"/>
        <v>PPR!AH312:AH314</v>
      </c>
      <c r="AI309" s="198" t="str">
        <f t="shared" ca="1" si="25"/>
        <v>PPR!AI312:AI314</v>
      </c>
      <c r="AJ309" s="198" t="str">
        <f t="shared" ca="1" si="25"/>
        <v>PPR!AJ312:AJ314</v>
      </c>
      <c r="AK309" s="198" t="str">
        <f t="shared" ca="1" si="25"/>
        <v>PPR!AK312:AK314</v>
      </c>
      <c r="AL309" s="198" t="str">
        <f t="shared" ca="1" si="25"/>
        <v>PPR!AL312:AL314</v>
      </c>
      <c r="AM309" s="198" t="str">
        <f t="shared" ca="1" si="25"/>
        <v>PPR!AM312:AM314</v>
      </c>
      <c r="AN309" s="198" t="str">
        <f t="shared" ca="1" si="25"/>
        <v>PPR!AN312:AN314</v>
      </c>
      <c r="AO309" s="198" t="str">
        <f t="shared" ca="1" si="25"/>
        <v>PPR!AO312:AO314</v>
      </c>
      <c r="AP309" s="198" t="str">
        <f t="shared" ca="1" si="25"/>
        <v>PPR!AP312:AP314</v>
      </c>
      <c r="AQ309" s="198" t="str">
        <f t="shared" ca="1" si="25"/>
        <v>PPR!AQ312:AQ314</v>
      </c>
      <c r="AR309" s="198" t="str">
        <f t="shared" ca="1" si="25"/>
        <v>PPR!AR312:AR314</v>
      </c>
      <c r="AS309" s="198" t="str">
        <f t="shared" ca="1" si="25"/>
        <v>PPR!AS312:AS314</v>
      </c>
      <c r="AT309" s="198" t="str">
        <f t="shared" ca="1" si="25"/>
        <v>PPR!AT312:AT314</v>
      </c>
      <c r="AV309" s="142" cm="1">
        <f t="array" aca="1" ref="AV309" ca="1">IF(AND(_xlfn.LET(_xlpm.x,SUM(ROW()),OR(AND(MATCH("SOT",$A:$A,0)&lt;_xlpm.x,MATCH("EOT",$A:$A,0)&gt;_xlpm.x),AND(MATCH("SOS",$A:$A,0)&lt;_xlpm.x,MATCH("EOS",$A:$A,0)&gt;_xlpm.x),AND(MATCH("SOR",$A:$A,0)&lt;_xlpm.x,MATCH("EOR",$A:$A,0)&gt;_xlpm.x))),INDIRECT("rc"&amp;MATCH("SCD",$1:$1,0),FALSE)="PPTO"),1,0)</f>
        <v>0</v>
      </c>
      <c r="AW309" s="142" cm="1">
        <f t="array" aca="1" ref="AW309"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310" spans="1:49" outlineLevel="1">
      <c r="B310" s="198"/>
      <c r="C310" s="198" t="str">
        <f ca="1">ADDRESS(MATCH("SOS",$A:$A,0)+1,MATCH("SOC",$1:$1,0)+1,4,1,$B$9)&amp;":"&amp;ADDRESS(MATCH("EOS",$A:$A,0)-1,MATCH("EOC",$1:$1,0)-1,4)</f>
        <v>PPR!B89:AR94</v>
      </c>
      <c r="D310" s="198"/>
      <c r="E310" s="348"/>
      <c r="F310" s="198"/>
      <c r="G310" s="198"/>
      <c r="H310" s="198"/>
      <c r="I310" s="198"/>
      <c r="J310" s="198"/>
      <c r="K310" s="198"/>
      <c r="L310" s="198"/>
      <c r="M310" s="198"/>
      <c r="N310" s="198"/>
      <c r="O310" s="198"/>
      <c r="P310" s="198"/>
      <c r="Q310" s="198"/>
      <c r="R310" s="198"/>
      <c r="S310" s="198"/>
      <c r="T310" s="198"/>
      <c r="U310" s="198"/>
      <c r="V310" s="198"/>
      <c r="W310" s="198"/>
      <c r="X310" s="198"/>
      <c r="Y310" s="198"/>
      <c r="Z310" s="198"/>
      <c r="AA310" s="198"/>
      <c r="AB310" s="198"/>
      <c r="AC310" s="198"/>
      <c r="AD310" s="198"/>
      <c r="AE310" s="198"/>
      <c r="AF310" s="198"/>
      <c r="AG310" s="198"/>
      <c r="AH310" s="198"/>
      <c r="AI310" s="198"/>
      <c r="AJ310" s="198"/>
      <c r="AK310" s="198"/>
      <c r="AL310" s="198"/>
      <c r="AM310" s="198"/>
      <c r="AN310" s="198"/>
      <c r="AO310" s="198"/>
      <c r="AP310" s="198"/>
      <c r="AQ310" s="198"/>
      <c r="AR310" s="198"/>
      <c r="AS310" s="198"/>
      <c r="AT310" s="198"/>
      <c r="AV310" s="142" cm="1">
        <f t="array" aca="1" ref="AV310" ca="1">IF(AND(_xlfn.LET(_xlpm.x,SUM(ROW()),OR(AND(MATCH("SOT",$A:$A,0)&lt;_xlpm.x,MATCH("EOT",$A:$A,0)&gt;_xlpm.x),AND(MATCH("SOS",$A:$A,0)&lt;_xlpm.x,MATCH("EOS",$A:$A,0)&gt;_xlpm.x),AND(MATCH("SOR",$A:$A,0)&lt;_xlpm.x,MATCH("EOR",$A:$A,0)&gt;_xlpm.x))),INDIRECT("rc"&amp;MATCH("SCD",$1:$1,0),FALSE)="PPTO"),1,0)</f>
        <v>0</v>
      </c>
      <c r="AW310" s="142" cm="1">
        <f t="array" aca="1" ref="AW310"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311" spans="1:49" s="153" customFormat="1" ht="12" outlineLevel="2">
      <c r="A311" s="152" t="s">
        <v>2096</v>
      </c>
      <c r="B311" s="401"/>
      <c r="C311" s="148"/>
      <c r="D311" s="288">
        <f>COUNTIF(_xlfn.ANCHORARRAY(B312),"&lt;&gt;X")</f>
        <v>1</v>
      </c>
      <c r="E311" s="405"/>
      <c r="F311" s="402"/>
      <c r="G311" s="403"/>
      <c r="H311" s="403"/>
      <c r="I311" s="403"/>
      <c r="J311" s="403"/>
      <c r="K311" s="403"/>
      <c r="L311" s="403"/>
      <c r="M311" s="403"/>
      <c r="N311" s="403"/>
      <c r="O311" s="403"/>
      <c r="P311" s="403"/>
      <c r="Q311" s="403"/>
      <c r="R311" s="403"/>
      <c r="S311" s="403"/>
      <c r="T311" s="403"/>
      <c r="U311" s="403"/>
      <c r="V311" s="403"/>
      <c r="W311" s="403"/>
      <c r="X311" s="403"/>
      <c r="Y311" s="403"/>
      <c r="Z311" s="403"/>
      <c r="AA311" s="403"/>
      <c r="AB311" s="403"/>
      <c r="AC311" s="403"/>
      <c r="AD311" s="403"/>
      <c r="AE311" s="403"/>
      <c r="AF311" s="403"/>
      <c r="AG311" s="403"/>
      <c r="AH311" s="403"/>
      <c r="AI311" s="403"/>
      <c r="AJ311" s="403"/>
      <c r="AK311" s="403"/>
      <c r="AL311" s="403"/>
      <c r="AM311" s="403"/>
      <c r="AN311" s="403"/>
      <c r="AO311" s="403"/>
      <c r="AP311" s="403"/>
      <c r="AQ311" s="403"/>
      <c r="AR311" s="403"/>
      <c r="AS311" s="286" t="str">
        <f>IF($B311="","X",ADDRESS(SUM(ROW()),MATCH("SCD",$1:$1,0)+1,4)&amp;":"&amp;ADDRESS(SUM(ROW()),MATCH("ECD",$1:$1,0)-1,4))</f>
        <v>X</v>
      </c>
      <c r="AV311" s="142" cm="1">
        <f t="array" aca="1" ref="AV311" ca="1">IF(AND(_xlfn.LET(_xlpm.x,SUM(ROW()),OR(AND(MATCH("SOT",$A:$A,0)&lt;_xlpm.x,MATCH("EOT",$A:$A,0)&gt;_xlpm.x),AND(MATCH("SOS",$A:$A,0)&lt;_xlpm.x,MATCH("EOS",$A:$A,0)&gt;_xlpm.x),AND(MATCH("SOR",$A:$A,0)&lt;_xlpm.x,MATCH("EOR",$A:$A,0)&gt;_xlpm.x))),INDIRECT("rc"&amp;MATCH("SCD",$1:$1,0),FALSE)="PPTO"),1,0)</f>
        <v>0</v>
      </c>
      <c r="AW311" s="142" cm="1">
        <f t="array" aca="1" ref="AW311"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312" spans="1:49" s="153" customFormat="1" outlineLevel="2">
      <c r="A312" s="152"/>
      <c r="B312" s="401" t="str">
        <f>IF($E312&lt;&gt;"X",TEXT($B$258,"@"),"X")</f>
        <v>31200</v>
      </c>
      <c r="C312" s="148"/>
      <c r="D312" s="404"/>
      <c r="E312" s="405" t="s">
        <v>1677</v>
      </c>
      <c r="F312" s="402" t="s">
        <v>2074</v>
      </c>
      <c r="G312" s="403" cm="1">
        <f t="array" aca="1" ref="G312" ca="1">IFERROR(_xlfn.LET(_xlpm.x,"r"&amp;MATCH("ADP",$A:$A,0)&amp;"c",SUM(_xlfn._xlws.FILTER(INDIRECT(INDIRECT(_xlpm.x,FALSE)),(INDIRECT(INDIRECT(_xlpm.x&amp;MATCH("PID",$1:$1,0),FALSE))=$B312)*(INDIRECT(INDIRECT(_xlpm.x&amp;MATCH("SCD",$1:$1,0),FALSE))=$F312),0))),0)</f>
        <v>56627.869800949993</v>
      </c>
      <c r="H312" s="403" cm="1">
        <f t="array" aca="1" ref="H312" ca="1">IFERROR(_xlfn.LET(_xlpm.x,"r"&amp;MATCH("ADP",$A:$A,0)&amp;"c",SUM(_xlfn._xlws.FILTER(INDIRECT(INDIRECT(_xlpm.x,FALSE)),(INDIRECT(INDIRECT(_xlpm.x&amp;MATCH("PID",$1:$1,0),FALSE))=$B312)*(INDIRECT(INDIRECT(_xlpm.x&amp;MATCH("SCD",$1:$1,0),FALSE))=$F312),0))),0)</f>
        <v>0</v>
      </c>
      <c r="I312" s="403" cm="1">
        <f t="array" aca="1" ref="I312" ca="1">IFERROR(_xlfn.LET(_xlpm.x,"r"&amp;MATCH("ADP",$A:$A,0)&amp;"c",SUM(_xlfn._xlws.FILTER(INDIRECT(INDIRECT(_xlpm.x,FALSE)),(INDIRECT(INDIRECT(_xlpm.x&amp;MATCH("PID",$1:$1,0),FALSE))=$B312)*(INDIRECT(INDIRECT(_xlpm.x&amp;MATCH("SCD",$1:$1,0),FALSE))=$F312),0))),0)</f>
        <v>3426.2949440000084</v>
      </c>
      <c r="J312" s="403" cm="1">
        <f t="array" aca="1" ref="J312" ca="1">IFERROR(_xlfn.LET(_xlpm.x,"r"&amp;MATCH("ADP",$A:$A,0)&amp;"c",SUM(_xlfn._xlws.FILTER(INDIRECT(INDIRECT(_xlpm.x,FALSE)),(INDIRECT(INDIRECT(_xlpm.x&amp;MATCH("PID",$1:$1,0),FALSE))=$B312)*(INDIRECT(INDIRECT(_xlpm.x&amp;MATCH("SCD",$1:$1,0),FALSE))=$F312),0))),0)</f>
        <v>0</v>
      </c>
      <c r="K312" s="403" cm="1">
        <f t="array" aca="1" ref="K312" ca="1">IFERROR(_xlfn.LET(_xlpm.x,"r"&amp;MATCH("ADP",$A:$A,0)&amp;"c",SUM(_xlfn._xlws.FILTER(INDIRECT(INDIRECT(_xlpm.x,FALSE)),(INDIRECT(INDIRECT(_xlpm.x&amp;MATCH("PID",$1:$1,0),FALSE))=$B312)*(INDIRECT(INDIRECT(_xlpm.x&amp;MATCH("SCD",$1:$1,0),FALSE))=$F312),0))),0)</f>
        <v>-5845.8498656687025</v>
      </c>
      <c r="L312" s="403" cm="1">
        <f t="array" aca="1" ref="L312" ca="1">IFERROR(_xlfn.LET(_xlpm.x,"r"&amp;MATCH("ADP",$A:$A,0)&amp;"c",SUM(_xlfn._xlws.FILTER(INDIRECT(INDIRECT(_xlpm.x,FALSE)),(INDIRECT(INDIRECT(_xlpm.x&amp;MATCH("PID",$1:$1,0),FALSE))=$B312)*(INDIRECT(INDIRECT(_xlpm.x&amp;MATCH("SCD",$1:$1,0),FALSE))=$F312),0))),0)</f>
        <v>44660.033578237497</v>
      </c>
      <c r="M312" s="403" cm="1">
        <f t="array" aca="1" ref="M312" ca="1">IFERROR(_xlfn.LET(_xlpm.x,"r"&amp;MATCH("ADP",$A:$A,0)&amp;"c",SUM(_xlfn._xlws.FILTER(INDIRECT(INDIRECT(_xlpm.x,FALSE)),(INDIRECT(INDIRECT(_xlpm.x&amp;MATCH("PID",$1:$1,0),FALSE))=$B312)*(INDIRECT(INDIRECT(_xlpm.x&amp;MATCH("SCD",$1:$1,0),FALSE))=$F312),0))),0)</f>
        <v>-36262.744001792082</v>
      </c>
      <c r="N312" s="403" cm="1">
        <f t="array" aca="1" ref="N312" ca="1">IFERROR(_xlfn.LET(_xlpm.x,"r"&amp;MATCH("ADP",$A:$A,0)&amp;"c",SUM(_xlfn._xlws.FILTER(INDIRECT(INDIRECT(_xlpm.x,FALSE)),(INDIRECT(INDIRECT(_xlpm.x&amp;MATCH("PID",$1:$1,0),FALSE))=$B312)*(INDIRECT(INDIRECT(_xlpm.x&amp;MATCH("SCD",$1:$1,0),FALSE))=$F312),0))),0)</f>
        <v>64767.944087670418</v>
      </c>
      <c r="O312" s="403" cm="1">
        <f t="array" aca="1" ref="O312" ca="1">IFERROR(_xlfn.LET(_xlpm.x,"r"&amp;MATCH("ADP",$A:$A,0)&amp;"c",SUM(_xlfn._xlws.FILTER(INDIRECT(INDIRECT(_xlpm.x,FALSE)),(INDIRECT(INDIRECT(_xlpm.x&amp;MATCH("PID",$1:$1,0),FALSE))=$B312)*(INDIRECT(INDIRECT(_xlpm.x&amp;MATCH("SCD",$1:$1,0),FALSE))=$F312),0))),0)</f>
        <v>75276.671751217786</v>
      </c>
      <c r="P312" s="403" cm="1">
        <f t="array" aca="1" ref="P312" ca="1">IFERROR(_xlfn.LET(_xlpm.x,"r"&amp;MATCH("ADP",$A:$A,0)&amp;"c",SUM(_xlfn._xlws.FILTER(INDIRECT(INDIRECT(_xlpm.x,FALSE)),(INDIRECT(INDIRECT(_xlpm.x&amp;MATCH("PID",$1:$1,0),FALSE))=$B312)*(INDIRECT(INDIRECT(_xlpm.x&amp;MATCH("SCD",$1:$1,0),FALSE))=$F312),0))),0)</f>
        <v>170874.82073650404</v>
      </c>
      <c r="Q312" s="403" cm="1">
        <f t="array" aca="1" ref="Q312" ca="1">IFERROR(_xlfn.LET(_xlpm.x,"r"&amp;MATCH("ADP",$A:$A,0)&amp;"c",SUM(_xlfn._xlws.FILTER(INDIRECT(INDIRECT(_xlpm.x,FALSE)),(INDIRECT(INDIRECT(_xlpm.x&amp;MATCH("PID",$1:$1,0),FALSE))=$B312)*(INDIRECT(INDIRECT(_xlpm.x&amp;MATCH("SCD",$1:$1,0),FALSE))=$F312),0))),0)</f>
        <v>10435.265996187498</v>
      </c>
      <c r="R312" s="403" cm="1">
        <f t="array" aca="1" ref="R312" ca="1">IFERROR(_xlfn.LET(_xlpm.x,"r"&amp;MATCH("ADP",$A:$A,0)&amp;"c",SUM(_xlfn._xlws.FILTER(INDIRECT(INDIRECT(_xlpm.x,FALSE)),(INDIRECT(INDIRECT(_xlpm.x&amp;MATCH("PID",$1:$1,0),FALSE))=$B312)*(INDIRECT(INDIRECT(_xlpm.x&amp;MATCH("SCD",$1:$1,0),FALSE))=$F312),0))),0)</f>
        <v>0</v>
      </c>
      <c r="S312" s="403" cm="1">
        <f t="array" aca="1" ref="S312" ca="1">IFERROR(_xlfn.LET(_xlpm.x,"r"&amp;MATCH("ADP",$A:$A,0)&amp;"c",SUM(_xlfn._xlws.FILTER(INDIRECT(INDIRECT(_xlpm.x,FALSE)),(INDIRECT(INDIRECT(_xlpm.x&amp;MATCH("PID",$1:$1,0),FALSE))=$B312)*(INDIRECT(INDIRECT(_xlpm.x&amp;MATCH("SCD",$1:$1,0),FALSE))=$F312),0))),0)</f>
        <v>50094.868077994026</v>
      </c>
      <c r="T312" s="403" cm="1">
        <f t="array" aca="1" ref="T312" ca="1">IFERROR(_xlfn.LET(_xlpm.x,"r"&amp;MATCH("ADP",$A:$A,0)&amp;"c",SUM(_xlfn._xlws.FILTER(INDIRECT(INDIRECT(_xlpm.x,FALSE)),(INDIRECT(INDIRECT(_xlpm.x&amp;MATCH("PID",$1:$1,0),FALSE))=$B312)*(INDIRECT(INDIRECT(_xlpm.x&amp;MATCH("SCD",$1:$1,0),FALSE))=$F312),0))),0)</f>
        <v>231318.6422595761</v>
      </c>
      <c r="U312" s="403" cm="1">
        <f t="array" aca="1" ref="U312" ca="1">IFERROR(_xlfn.LET(_xlpm.x,"r"&amp;MATCH("ADP",$A:$A,0)&amp;"c",SUM(_xlfn._xlws.FILTER(INDIRECT(INDIRECT(_xlpm.x,FALSE)),(INDIRECT(INDIRECT(_xlpm.x&amp;MATCH("PID",$1:$1,0),FALSE))=$B312)*(INDIRECT(INDIRECT(_xlpm.x&amp;MATCH("SCD",$1:$1,0),FALSE))=$F312),0))),0)</f>
        <v>141940.87936040526</v>
      </c>
      <c r="V312" s="403" cm="1">
        <f t="array" aca="1" ref="V312" ca="1">IFERROR(_xlfn.LET(_xlpm.x,"r"&amp;MATCH("ADP",$A:$A,0)&amp;"c",SUM(_xlfn._xlws.FILTER(INDIRECT(INDIRECT(_xlpm.x,FALSE)),(INDIRECT(INDIRECT(_xlpm.x&amp;MATCH("PID",$1:$1,0),FALSE))=$B312)*(INDIRECT(INDIRECT(_xlpm.x&amp;MATCH("SCD",$1:$1,0),FALSE))=$F312),0))),0)</f>
        <v>691.67472555584027</v>
      </c>
      <c r="W312" s="403" cm="1">
        <f t="array" aca="1" ref="W312" ca="1">IFERROR(_xlfn.LET(_xlpm.x,"r"&amp;MATCH("ADP",$A:$A,0)&amp;"c",SUM(_xlfn._xlws.FILTER(INDIRECT(INDIRECT(_xlpm.x,FALSE)),(INDIRECT(INDIRECT(_xlpm.x&amp;MATCH("PID",$1:$1,0),FALSE))=$B312)*(INDIRECT(INDIRECT(_xlpm.x&amp;MATCH("SCD",$1:$1,0),FALSE))=$F312),0))),0)</f>
        <v>34028.583239818319</v>
      </c>
      <c r="X312" s="403" cm="1">
        <f t="array" aca="1" ref="X312" ca="1">IFERROR(_xlfn.LET(_xlpm.x,"r"&amp;MATCH("ADP",$A:$A,0)&amp;"c",SUM(_xlfn._xlws.FILTER(INDIRECT(INDIRECT(_xlpm.x,FALSE)),(INDIRECT(INDIRECT(_xlpm.x&amp;MATCH("PID",$1:$1,0),FALSE))=$B312)*(INDIRECT(INDIRECT(_xlpm.x&amp;MATCH("SCD",$1:$1,0),FALSE))=$F312),0))),0)</f>
        <v>244135.05820606975</v>
      </c>
      <c r="Y312" s="403" cm="1">
        <f t="array" aca="1" ref="Y312" ca="1">IFERROR(_xlfn.LET(_xlpm.x,"r"&amp;MATCH("ADP",$A:$A,0)&amp;"c",SUM(_xlfn._xlws.FILTER(INDIRECT(INDIRECT(_xlpm.x,FALSE)),(INDIRECT(INDIRECT(_xlpm.x&amp;MATCH("PID",$1:$1,0),FALSE))=$B312)*(INDIRECT(INDIRECT(_xlpm.x&amp;MATCH("SCD",$1:$1,0),FALSE))=$F312),0))),0)</f>
        <v>24837.384743376864</v>
      </c>
      <c r="Z312" s="403" cm="1">
        <f t="array" aca="1" ref="Z312" ca="1">IFERROR(_xlfn.LET(_xlpm.x,"r"&amp;MATCH("ADP",$A:$A,0)&amp;"c",SUM(_xlfn._xlws.FILTER(INDIRECT(INDIRECT(_xlpm.x,FALSE)),(INDIRECT(INDIRECT(_xlpm.x&amp;MATCH("PID",$1:$1,0),FALSE))=$B312)*(INDIRECT(INDIRECT(_xlpm.x&amp;MATCH("SCD",$1:$1,0),FALSE))=$F312),0))),0)</f>
        <v>6320.5816539533307</v>
      </c>
      <c r="AA312" s="403" cm="1">
        <f t="array" aca="1" ref="AA312" ca="1">IFERROR(_xlfn.LET(_xlpm.x,"r"&amp;MATCH("ADP",$A:$A,0)&amp;"c",SUM(_xlfn._xlws.FILTER(INDIRECT(INDIRECT(_xlpm.x,FALSE)),(INDIRECT(INDIRECT(_xlpm.x&amp;MATCH("PID",$1:$1,0),FALSE))=$B312)*(INDIRECT(INDIRECT(_xlpm.x&amp;MATCH("SCD",$1:$1,0),FALSE))=$F312),0))),0)</f>
        <v>0</v>
      </c>
      <c r="AB312" s="403" cm="1">
        <f t="array" aca="1" ref="AB312" ca="1">IFERROR(_xlfn.LET(_xlpm.x,"r"&amp;MATCH("ADP",$A:$A,0)&amp;"c",SUM(_xlfn._xlws.FILTER(INDIRECT(INDIRECT(_xlpm.x,FALSE)),(INDIRECT(INDIRECT(_xlpm.x&amp;MATCH("PID",$1:$1,0),FALSE))=$B312)*(INDIRECT(INDIRECT(_xlpm.x&amp;MATCH("SCD",$1:$1,0),FALSE))=$F312),0))),0)</f>
        <v>0</v>
      </c>
      <c r="AC312" s="403" cm="1">
        <f t="array" aca="1" ref="AC312" ca="1">IFERROR(_xlfn.LET(_xlpm.x,"r"&amp;MATCH("ADP",$A:$A,0)&amp;"c",SUM(_xlfn._xlws.FILTER(INDIRECT(INDIRECT(_xlpm.x,FALSE)),(INDIRECT(INDIRECT(_xlpm.x&amp;MATCH("PID",$1:$1,0),FALSE))=$B312)*(INDIRECT(INDIRECT(_xlpm.x&amp;MATCH("SCD",$1:$1,0),FALSE))=$F312),0))),0)</f>
        <v>-501.74863207600083</v>
      </c>
      <c r="AD312" s="403" cm="1">
        <f t="array" aca="1" ref="AD312" ca="1">IFERROR(_xlfn.LET(_xlpm.x,"r"&amp;MATCH("ADP",$A:$A,0)&amp;"c",SUM(_xlfn._xlws.FILTER(INDIRECT(INDIRECT(_xlpm.x,FALSE)),(INDIRECT(INDIRECT(_xlpm.x&amp;MATCH("PID",$1:$1,0),FALSE))=$B312)*(INDIRECT(INDIRECT(_xlpm.x&amp;MATCH("SCD",$1:$1,0),FALSE))=$F312),0))),0)</f>
        <v>9747.8665130239915</v>
      </c>
      <c r="AE312" s="403" cm="1">
        <f t="array" aca="1" ref="AE312" ca="1">IFERROR(_xlfn.LET(_xlpm.x,"r"&amp;MATCH("ADP",$A:$A,0)&amp;"c",SUM(_xlfn._xlws.FILTER(INDIRECT(INDIRECT(_xlpm.x,FALSE)),(INDIRECT(INDIRECT(_xlpm.x&amp;MATCH("PID",$1:$1,0),FALSE))=$B312)*(INDIRECT(INDIRECT(_xlpm.x&amp;MATCH("SCD",$1:$1,0),FALSE))=$F312),0))),0)</f>
        <v>8471.2131284040024</v>
      </c>
      <c r="AF312" s="403" cm="1">
        <f t="array" aca="1" ref="AF312" ca="1">IFERROR(_xlfn.LET(_xlpm.x,"r"&amp;MATCH("ADP",$A:$A,0)&amp;"c",SUM(_xlfn._xlws.FILTER(INDIRECT(INDIRECT(_xlpm.x,FALSE)),(INDIRECT(INDIRECT(_xlpm.x&amp;MATCH("PID",$1:$1,0),FALSE))=$B312)*(INDIRECT(INDIRECT(_xlpm.x&amp;MATCH("SCD",$1:$1,0),FALSE))=$F312),0))),0)</f>
        <v>62835.051052724033</v>
      </c>
      <c r="AG312" s="403" cm="1">
        <f t="array" aca="1" ref="AG312" ca="1">IFERROR(_xlfn.LET(_xlpm.x,"r"&amp;MATCH("ADP",$A:$A,0)&amp;"c",SUM(_xlfn._xlws.FILTER(INDIRECT(INDIRECT(_xlpm.x,FALSE)),(INDIRECT(INDIRECT(_xlpm.x&amp;MATCH("PID",$1:$1,0),FALSE))=$B312)*(INDIRECT(INDIRECT(_xlpm.x&amp;MATCH("SCD",$1:$1,0),FALSE))=$F312),0))),0)</f>
        <v>0</v>
      </c>
      <c r="AH312" s="403" cm="1">
        <f t="array" aca="1" ref="AH312" ca="1">IFERROR(_xlfn.LET(_xlpm.x,"r"&amp;MATCH("ADP",$A:$A,0)&amp;"c",SUM(_xlfn._xlws.FILTER(INDIRECT(INDIRECT(_xlpm.x,FALSE)),(INDIRECT(INDIRECT(_xlpm.x&amp;MATCH("PID",$1:$1,0),FALSE))=$B312)*(INDIRECT(INDIRECT(_xlpm.x&amp;MATCH("SCD",$1:$1,0),FALSE))=$F312),0))),0)</f>
        <v>0</v>
      </c>
      <c r="AI312" s="403" cm="1">
        <f t="array" aca="1" ref="AI312" ca="1">IFERROR(_xlfn.LET(_xlpm.x,"r"&amp;MATCH("ADP",$A:$A,0)&amp;"c",SUM(_xlfn._xlws.FILTER(INDIRECT(INDIRECT(_xlpm.x,FALSE)),(INDIRECT(INDIRECT(_xlpm.x&amp;MATCH("PID",$1:$1,0),FALSE))=$B312)*(INDIRECT(INDIRECT(_xlpm.x&amp;MATCH("SCD",$1:$1,0),FALSE))=$F312),0))),0)</f>
        <v>0</v>
      </c>
      <c r="AJ312" s="403" cm="1">
        <f t="array" aca="1" ref="AJ312" ca="1">IFERROR(_xlfn.LET(_xlpm.x,"r"&amp;MATCH("ADP",$A:$A,0)&amp;"c",SUM(_xlfn._xlws.FILTER(INDIRECT(INDIRECT(_xlpm.x,FALSE)),(INDIRECT(INDIRECT(_xlpm.x&amp;MATCH("PID",$1:$1,0),FALSE))=$B312)*(INDIRECT(INDIRECT(_xlpm.x&amp;MATCH("SCD",$1:$1,0),FALSE))=$F312),0))),0)</f>
        <v>159190.57999999984</v>
      </c>
      <c r="AK312" s="403" cm="1">
        <f t="array" aca="1" ref="AK312" ca="1">IFERROR(_xlfn.LET(_xlpm.x,"r"&amp;MATCH("ADP",$A:$A,0)&amp;"c",SUM(_xlfn._xlws.FILTER(INDIRECT(INDIRECT(_xlpm.x,FALSE)),(INDIRECT(INDIRECT(_xlpm.x&amp;MATCH("PID",$1:$1,0),FALSE))=$B312)*(INDIRECT(INDIRECT(_xlpm.x&amp;MATCH("SCD",$1:$1,0),FALSE))=$F312),0))),0)</f>
        <v>0</v>
      </c>
      <c r="AL312" s="403" cm="1">
        <f t="array" aca="1" ref="AL312" ca="1">IFERROR(_xlfn.LET(_xlpm.x,"r"&amp;MATCH("ADP",$A:$A,0)&amp;"c",SUM(_xlfn._xlws.FILTER(INDIRECT(INDIRECT(_xlpm.x,FALSE)),(INDIRECT(INDIRECT(_xlpm.x&amp;MATCH("PID",$1:$1,0),FALSE))=$B312)*(INDIRECT(INDIRECT(_xlpm.x&amp;MATCH("SCD",$1:$1,0),FALSE))=$F312),0))),0)</f>
        <v>140524.45000000001</v>
      </c>
      <c r="AM312" s="403" cm="1">
        <f t="array" aca="1" ref="AM312" ca="1">IFERROR(_xlfn.LET(_xlpm.x,"r"&amp;MATCH("ADP",$A:$A,0)&amp;"c",SUM(_xlfn._xlws.FILTER(INDIRECT(INDIRECT(_xlpm.x,FALSE)),(INDIRECT(INDIRECT(_xlpm.x&amp;MATCH("PID",$1:$1,0),FALSE))=$B312)*(INDIRECT(INDIRECT(_xlpm.x&amp;MATCH("SCD",$1:$1,0),FALSE))=$F312),0))),0)</f>
        <v>0</v>
      </c>
      <c r="AN312" s="403" cm="1">
        <f t="array" aca="1" ref="AN312" ca="1">IFERROR(_xlfn.LET(_xlpm.x,"r"&amp;MATCH("ADP",$A:$A,0)&amp;"c",SUM(_xlfn._xlws.FILTER(INDIRECT(INDIRECT(_xlpm.x,FALSE)),(INDIRECT(INDIRECT(_xlpm.x&amp;MATCH("PID",$1:$1,0),FALSE))=$B312)*(INDIRECT(INDIRECT(_xlpm.x&amp;MATCH("SCD",$1:$1,0),FALSE))=$F312),0))),0)</f>
        <v>60287.529999999977</v>
      </c>
      <c r="AO312" s="403" cm="1">
        <f t="array" aca="1" ref="AO312" ca="1">IFERROR(_xlfn.LET(_xlpm.x,"r"&amp;MATCH("ADP",$A:$A,0)&amp;"c",SUM(_xlfn._xlws.FILTER(INDIRECT(INDIRECT(_xlpm.x,FALSE)),(INDIRECT(INDIRECT(_xlpm.x&amp;MATCH("PID",$1:$1,0),FALSE))=$B312)*(INDIRECT(INDIRECT(_xlpm.x&amp;MATCH("SCD",$1:$1,0),FALSE))=$F312),0))),0)</f>
        <v>-4343.2300000000032</v>
      </c>
      <c r="AP312" s="403" cm="1">
        <f t="array" aca="1" ref="AP312" ca="1">IFERROR(_xlfn.LET(_xlpm.x,"r"&amp;MATCH("ADP",$A:$A,0)&amp;"c",SUM(_xlfn._xlws.FILTER(INDIRECT(INDIRECT(_xlpm.x,FALSE)),(INDIRECT(INDIRECT(_xlpm.x&amp;MATCH("PID",$1:$1,0),FALSE))=$B312)*(INDIRECT(INDIRECT(_xlpm.x&amp;MATCH("SCD",$1:$1,0),FALSE))=$F312),0))),0)</f>
        <v>388788.60680000001</v>
      </c>
      <c r="AQ312" s="377" cm="1">
        <f t="array" aca="1" ref="AQ312" ca="1">SUM(IF(INDIRECT($AS$115)=AQ$115,INDIRECT($AS312)))</f>
        <v>358185.45854281698</v>
      </c>
      <c r="AR312" s="377" cm="1">
        <f t="array" aca="1" ref="AR312" ca="1">SUM(IF(INDIRECT($AS$115)=AR$115,INDIRECT($AS312)))</f>
        <v>1584142.8396133147</v>
      </c>
      <c r="AS312" s="286" t="str">
        <f>IF($B312="","X",ADDRESS(SUM(ROW()),MATCH("SCD",$1:$1,0)+1,4)&amp;":"&amp;ADDRESS(SUM(ROW()),MATCH("ECD",$1:$1,0)-1,4))</f>
        <v>G312:AP312</v>
      </c>
      <c r="AT312" s="403">
        <f ca="1">SUM(INDIRECT("rc"&amp;MATCH("ECD",$1:$1,0)&amp;":rc"&amp;(MATCH("EOC",$1:$1,0)-1),FALSE))</f>
        <v>1942328.2981561318</v>
      </c>
      <c r="AV312" s="142" cm="1">
        <f t="array" aca="1" ref="AV312" ca="1">IF(AND(_xlfn.LET(_xlpm.x,SUM(ROW()),OR(AND(MATCH("SOT",$A:$A,0)&lt;_xlpm.x,MATCH("EOT",$A:$A,0)&gt;_xlpm.x),AND(MATCH("SOS",$A:$A,0)&lt;_xlpm.x,MATCH("EOS",$A:$A,0)&gt;_xlpm.x),AND(MATCH("SOR",$A:$A,0)&lt;_xlpm.x,MATCH("EOR",$A:$A,0)&gt;_xlpm.x))),INDIRECT("rc"&amp;MATCH("SCD",$1:$1,0),FALSE)="PPTO"),1,0)</f>
        <v>0</v>
      </c>
      <c r="AW312" s="142" cm="1">
        <f t="array" aca="1" ref="AW312"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313" spans="1:49" s="153" customFormat="1" outlineLevel="2">
      <c r="A313" s="152"/>
      <c r="B313" s="401" t="str">
        <f>IF($E313&lt;&gt;"X",TEXT($B$258,"@"),"X")</f>
        <v>31200</v>
      </c>
      <c r="C313" s="148"/>
      <c r="D313" s="404"/>
      <c r="E313" s="405" t="s">
        <v>1677</v>
      </c>
      <c r="F313" s="402" t="s">
        <v>2055</v>
      </c>
      <c r="G313" s="403" cm="1">
        <f t="array" aca="1" ref="G313" ca="1">IFERROR(_xlfn.LET(_xlpm.x,"r"&amp;MATCH("ADP",$A:$A,0)&amp;"c",SUM(_xlfn._xlws.FILTER(INDIRECT(INDIRECT(_xlpm.x,FALSE)),(INDIRECT(INDIRECT(_xlpm.x&amp;MATCH("PID",$1:$1,0),FALSE))=$B313)*(INDIRECT(INDIRECT(_xlpm.x&amp;MATCH("SCD",$1:$1,0),FALSE))=$F313),0))),0)</f>
        <v>116149.6839</v>
      </c>
      <c r="H313" s="403" cm="1">
        <f t="array" aca="1" ref="H313" ca="1">IFERROR(_xlfn.LET(_xlpm.x,"r"&amp;MATCH("ADP",$A:$A,0)&amp;"c",SUM(_xlfn._xlws.FILTER(INDIRECT(INDIRECT(_xlpm.x,FALSE)),(INDIRECT(INDIRECT(_xlpm.x&amp;MATCH("PID",$1:$1,0),FALSE))=$B313)*(INDIRECT(INDIRECT(_xlpm.x&amp;MATCH("SCD",$1:$1,0),FALSE))=$F313),0))),0)</f>
        <v>3.0990339609353867</v>
      </c>
      <c r="I313" s="403" cm="1">
        <f t="array" aca="1" ref="I313" ca="1">IFERROR(_xlfn.LET(_xlpm.x,"r"&amp;MATCH("ADP",$A:$A,0)&amp;"c",SUM(_xlfn._xlws.FILTER(INDIRECT(INDIRECT(_xlpm.x,FALSE)),(INDIRECT(INDIRECT(_xlpm.x&amp;MATCH("PID",$1:$1,0),FALSE))=$B313)*(INDIRECT(INDIRECT(_xlpm.x&amp;MATCH("SCD",$1:$1,0),FALSE))=$F313),0))),0)</f>
        <v>0</v>
      </c>
      <c r="J313" s="403" cm="1">
        <f t="array" aca="1" ref="J313" ca="1">IFERROR(_xlfn.LET(_xlpm.x,"r"&amp;MATCH("ADP",$A:$A,0)&amp;"c",SUM(_xlfn._xlws.FILTER(INDIRECT(INDIRECT(_xlpm.x,FALSE)),(INDIRECT(INDIRECT(_xlpm.x&amp;MATCH("PID",$1:$1,0),FALSE))=$B313)*(INDIRECT(INDIRECT(_xlpm.x&amp;MATCH("SCD",$1:$1,0),FALSE))=$F313),0))),0)</f>
        <v>0</v>
      </c>
      <c r="K313" s="403" cm="1">
        <f t="array" aca="1" ref="K313" ca="1">IFERROR(_xlfn.LET(_xlpm.x,"r"&amp;MATCH("ADP",$A:$A,0)&amp;"c",SUM(_xlfn._xlws.FILTER(INDIRECT(INDIRECT(_xlpm.x,FALSE)),(INDIRECT(INDIRECT(_xlpm.x&amp;MATCH("PID",$1:$1,0),FALSE))=$B313)*(INDIRECT(INDIRECT(_xlpm.x&amp;MATCH("SCD",$1:$1,0),FALSE))=$F313),0))),0)</f>
        <v>28759.065599999998</v>
      </c>
      <c r="L313" s="403" cm="1">
        <f t="array" aca="1" ref="L313" ca="1">IFERROR(_xlfn.LET(_xlpm.x,"r"&amp;MATCH("ADP",$A:$A,0)&amp;"c",SUM(_xlfn._xlws.FILTER(INDIRECT(INDIRECT(_xlpm.x,FALSE)),(INDIRECT(INDIRECT(_xlpm.x&amp;MATCH("PID",$1:$1,0),FALSE))=$B313)*(INDIRECT(INDIRECT(_xlpm.x&amp;MATCH("SCD",$1:$1,0),FALSE))=$F313),0))),0)</f>
        <v>6.5350380791724252</v>
      </c>
      <c r="M313" s="403" cm="1">
        <f t="array" aca="1" ref="M313" ca="1">IFERROR(_xlfn.LET(_xlpm.x,"r"&amp;MATCH("ADP",$A:$A,0)&amp;"c",SUM(_xlfn._xlws.FILTER(INDIRECT(INDIRECT(_xlpm.x,FALSE)),(INDIRECT(INDIRECT(_xlpm.x&amp;MATCH("PID",$1:$1,0),FALSE))=$B313)*(INDIRECT(INDIRECT(_xlpm.x&amp;MATCH("SCD",$1:$1,0),FALSE))=$F313),0))),0)</f>
        <v>0</v>
      </c>
      <c r="N313" s="403" cm="1">
        <f t="array" aca="1" ref="N313" ca="1">IFERROR(_xlfn.LET(_xlpm.x,"r"&amp;MATCH("ADP",$A:$A,0)&amp;"c",SUM(_xlfn._xlws.FILTER(INDIRECT(INDIRECT(_xlpm.x,FALSE)),(INDIRECT(INDIRECT(_xlpm.x&amp;MATCH("PID",$1:$1,0),FALSE))=$B313)*(INDIRECT(INDIRECT(_xlpm.x&amp;MATCH("SCD",$1:$1,0),FALSE))=$F313),0))),0)</f>
        <v>0</v>
      </c>
      <c r="O313" s="403" cm="1">
        <f t="array" aca="1" ref="O313" ca="1">IFERROR(_xlfn.LET(_xlpm.x,"r"&amp;MATCH("ADP",$A:$A,0)&amp;"c",SUM(_xlfn._xlws.FILTER(INDIRECT(INDIRECT(_xlpm.x,FALSE)),(INDIRECT(INDIRECT(_xlpm.x&amp;MATCH("PID",$1:$1,0),FALSE))=$B313)*(INDIRECT(INDIRECT(_xlpm.x&amp;MATCH("SCD",$1:$1,0),FALSE))=$F313),0))),0)</f>
        <v>219573.09959999999</v>
      </c>
      <c r="P313" s="403" cm="1">
        <f t="array" aca="1" ref="P313" ca="1">IFERROR(_xlfn.LET(_xlpm.x,"r"&amp;MATCH("ADP",$A:$A,0)&amp;"c",SUM(_xlfn._xlws.FILTER(INDIRECT(INDIRECT(_xlpm.x,FALSE)),(INDIRECT(INDIRECT(_xlpm.x&amp;MATCH("PID",$1:$1,0),FALSE))=$B313)*(INDIRECT(INDIRECT(_xlpm.x&amp;MATCH("SCD",$1:$1,0),FALSE))=$F313),0))),0)</f>
        <v>2.2731572179771229</v>
      </c>
      <c r="Q313" s="403" cm="1">
        <f t="array" aca="1" ref="Q313" ca="1">IFERROR(_xlfn.LET(_xlpm.x,"r"&amp;MATCH("ADP",$A:$A,0)&amp;"c",SUM(_xlfn._xlws.FILTER(INDIRECT(INDIRECT(_xlpm.x,FALSE)),(INDIRECT(INDIRECT(_xlpm.x&amp;MATCH("PID",$1:$1,0),FALSE))=$B313)*(INDIRECT(INDIRECT(_xlpm.x&amp;MATCH("SCD",$1:$1,0),FALSE))=$F313),0))),0)</f>
        <v>0</v>
      </c>
      <c r="R313" s="403" cm="1">
        <f t="array" aca="1" ref="R313" ca="1">IFERROR(_xlfn.LET(_xlpm.x,"r"&amp;MATCH("ADP",$A:$A,0)&amp;"c",SUM(_xlfn._xlws.FILTER(INDIRECT(INDIRECT(_xlpm.x,FALSE)),(INDIRECT(INDIRECT(_xlpm.x&amp;MATCH("PID",$1:$1,0),FALSE))=$B313)*(INDIRECT(INDIRECT(_xlpm.x&amp;MATCH("SCD",$1:$1,0),FALSE))=$F313),0))),0)</f>
        <v>0</v>
      </c>
      <c r="S313" s="403" cm="1">
        <f t="array" aca="1" ref="S313" ca="1">IFERROR(_xlfn.LET(_xlpm.x,"r"&amp;MATCH("ADP",$A:$A,0)&amp;"c",SUM(_xlfn._xlws.FILTER(INDIRECT(INDIRECT(_xlpm.x,FALSE)),(INDIRECT(INDIRECT(_xlpm.x&amp;MATCH("PID",$1:$1,0),FALSE))=$B313)*(INDIRECT(INDIRECT(_xlpm.x&amp;MATCH("SCD",$1:$1,0),FALSE))=$F313),0))),0)</f>
        <v>190242.61199999999</v>
      </c>
      <c r="T313" s="403" cm="1">
        <f t="array" aca="1" ref="T313" ca="1">IFERROR(_xlfn.LET(_xlpm.x,"r"&amp;MATCH("ADP",$A:$A,0)&amp;"c",SUM(_xlfn._xlws.FILTER(INDIRECT(INDIRECT(_xlpm.x,FALSE)),(INDIRECT(INDIRECT(_xlpm.x&amp;MATCH("PID",$1:$1,0),FALSE))=$B313)*(INDIRECT(INDIRECT(_xlpm.x&amp;MATCH("SCD",$1:$1,0),FALSE))=$F313),0))),0)</f>
        <v>3.3228836557423431</v>
      </c>
      <c r="U313" s="403" cm="1">
        <f t="array" aca="1" ref="U313" ca="1">IFERROR(_xlfn.LET(_xlpm.x,"r"&amp;MATCH("ADP",$A:$A,0)&amp;"c",SUM(_xlfn._xlws.FILTER(INDIRECT(INDIRECT(_xlpm.x,FALSE)),(INDIRECT(INDIRECT(_xlpm.x&amp;MATCH("PID",$1:$1,0),FALSE))=$B313)*(INDIRECT(INDIRECT(_xlpm.x&amp;MATCH("SCD",$1:$1,0),FALSE))=$F313),0))),0)</f>
        <v>0</v>
      </c>
      <c r="V313" s="403" cm="1">
        <f t="array" aca="1" ref="V313" ca="1">IFERROR(_xlfn.LET(_xlpm.x,"r"&amp;MATCH("ADP",$A:$A,0)&amp;"c",SUM(_xlfn._xlws.FILTER(INDIRECT(INDIRECT(_xlpm.x,FALSE)),(INDIRECT(INDIRECT(_xlpm.x&amp;MATCH("PID",$1:$1,0),FALSE))=$B313)*(INDIRECT(INDIRECT(_xlpm.x&amp;MATCH("SCD",$1:$1,0),FALSE))=$F313),0))),0)</f>
        <v>0</v>
      </c>
      <c r="W313" s="403" cm="1">
        <f t="array" aca="1" ref="W313" ca="1">IFERROR(_xlfn.LET(_xlpm.x,"r"&amp;MATCH("ADP",$A:$A,0)&amp;"c",SUM(_xlfn._xlws.FILTER(INDIRECT(INDIRECT(_xlpm.x,FALSE)),(INDIRECT(INDIRECT(_xlpm.x&amp;MATCH("PID",$1:$1,0),FALSE))=$B313)*(INDIRECT(INDIRECT(_xlpm.x&amp;MATCH("SCD",$1:$1,0),FALSE))=$F313),0))),0)</f>
        <v>230403.89</v>
      </c>
      <c r="X313" s="403" cm="1">
        <f t="array" aca="1" ref="X313" ca="1">IFERROR(_xlfn.LET(_xlpm.x,"r"&amp;MATCH("ADP",$A:$A,0)&amp;"c",SUM(_xlfn._xlws.FILTER(INDIRECT(INDIRECT(_xlpm.x,FALSE)),(INDIRECT(INDIRECT(_xlpm.x&amp;MATCH("PID",$1:$1,0),FALSE))=$B313)*(INDIRECT(INDIRECT(_xlpm.x&amp;MATCH("SCD",$1:$1,0),FALSE))=$F313),0))),0)</f>
        <v>-100.26943588023205</v>
      </c>
      <c r="Y313" s="403" cm="1">
        <f t="array" aca="1" ref="Y313" ca="1">IFERROR(_xlfn.LET(_xlpm.x,"r"&amp;MATCH("ADP",$A:$A,0)&amp;"c",SUM(_xlfn._xlws.FILTER(INDIRECT(INDIRECT(_xlpm.x,FALSE)),(INDIRECT(INDIRECT(_xlpm.x&amp;MATCH("PID",$1:$1,0),FALSE))=$B313)*(INDIRECT(INDIRECT(_xlpm.x&amp;MATCH("SCD",$1:$1,0),FALSE))=$F313),0))),0)</f>
        <v>606.41039999999987</v>
      </c>
      <c r="Z313" s="403" cm="1">
        <f t="array" aca="1" ref="Z313" ca="1">IFERROR(_xlfn.LET(_xlpm.x,"r"&amp;MATCH("ADP",$A:$A,0)&amp;"c",SUM(_xlfn._xlws.FILTER(INDIRECT(INDIRECT(_xlpm.x,FALSE)),(INDIRECT(INDIRECT(_xlpm.x&amp;MATCH("PID",$1:$1,0),FALSE))=$B313)*(INDIRECT(INDIRECT(_xlpm.x&amp;MATCH("SCD",$1:$1,0),FALSE))=$F313),0))),0)</f>
        <v>2.5343806141792435E-2</v>
      </c>
      <c r="AA313" s="403" cm="1">
        <f t="array" aca="1" ref="AA313" ca="1">IFERROR(_xlfn.LET(_xlpm.x,"r"&amp;MATCH("ADP",$A:$A,0)&amp;"c",SUM(_xlfn._xlws.FILTER(INDIRECT(INDIRECT(_xlpm.x,FALSE)),(INDIRECT(INDIRECT(_xlpm.x&amp;MATCH("PID",$1:$1,0),FALSE))=$B313)*(INDIRECT(INDIRECT(_xlpm.x&amp;MATCH("SCD",$1:$1,0),FALSE))=$F313),0))),0)</f>
        <v>0</v>
      </c>
      <c r="AB313" s="403" cm="1">
        <f t="array" aca="1" ref="AB313" ca="1">IFERROR(_xlfn.LET(_xlpm.x,"r"&amp;MATCH("ADP",$A:$A,0)&amp;"c",SUM(_xlfn._xlws.FILTER(INDIRECT(INDIRECT(_xlpm.x,FALSE)),(INDIRECT(INDIRECT(_xlpm.x&amp;MATCH("PID",$1:$1,0),FALSE))=$B313)*(INDIRECT(INDIRECT(_xlpm.x&amp;MATCH("SCD",$1:$1,0),FALSE))=$F313),0))),0)</f>
        <v>0</v>
      </c>
      <c r="AC313" s="403" cm="1">
        <f t="array" aca="1" ref="AC313" ca="1">IFERROR(_xlfn.LET(_xlpm.x,"r"&amp;MATCH("ADP",$A:$A,0)&amp;"c",SUM(_xlfn._xlws.FILTER(INDIRECT(INDIRECT(_xlpm.x,FALSE)),(INDIRECT(INDIRECT(_xlpm.x&amp;MATCH("PID",$1:$1,0),FALSE))=$B313)*(INDIRECT(INDIRECT(_xlpm.x&amp;MATCH("SCD",$1:$1,0),FALSE))=$F313),0))),0)</f>
        <v>2748.3935999999999</v>
      </c>
      <c r="AD313" s="403" cm="1">
        <f t="array" aca="1" ref="AD313" ca="1">IFERROR(_xlfn.LET(_xlpm.x,"r"&amp;MATCH("ADP",$A:$A,0)&amp;"c",SUM(_xlfn._xlws.FILTER(INDIRECT(INDIRECT(_xlpm.x,FALSE)),(INDIRECT(INDIRECT(_xlpm.x&amp;MATCH("PID",$1:$1,0),FALSE))=$B313)*(INDIRECT(INDIRECT(_xlpm.x&amp;MATCH("SCD",$1:$1,0),FALSE))=$F313),0))),0)</f>
        <v>1</v>
      </c>
      <c r="AE313" s="403" cm="1">
        <f t="array" aca="1" ref="AE313" ca="1">IFERROR(_xlfn.LET(_xlpm.x,"r"&amp;MATCH("ADP",$A:$A,0)&amp;"c",SUM(_xlfn._xlws.FILTER(INDIRECT(INDIRECT(_xlpm.x,FALSE)),(INDIRECT(INDIRECT(_xlpm.x&amp;MATCH("PID",$1:$1,0),FALSE))=$B313)*(INDIRECT(INDIRECT(_xlpm.x&amp;MATCH("SCD",$1:$1,0),FALSE))=$F313),0))),0)</f>
        <v>208385.86399999997</v>
      </c>
      <c r="AF313" s="403" cm="1">
        <f t="array" aca="1" ref="AF313" ca="1">IFERROR(_xlfn.LET(_xlpm.x,"r"&amp;MATCH("ADP",$A:$A,0)&amp;"c",SUM(_xlfn._xlws.FILTER(INDIRECT(INDIRECT(_xlpm.x,FALSE)),(INDIRECT(INDIRECT(_xlpm.x&amp;MATCH("PID",$1:$1,0),FALSE))=$B313)*(INDIRECT(INDIRECT(_xlpm.x&amp;MATCH("SCD",$1:$1,0),FALSE))=$F313),0))),0)</f>
        <v>10.705868146190847</v>
      </c>
      <c r="AG313" s="403" cm="1">
        <f t="array" aca="1" ref="AG313" ca="1">IFERROR(_xlfn.LET(_xlpm.x,"r"&amp;MATCH("ADP",$A:$A,0)&amp;"c",SUM(_xlfn._xlws.FILTER(INDIRECT(INDIRECT(_xlpm.x,FALSE)),(INDIRECT(INDIRECT(_xlpm.x&amp;MATCH("PID",$1:$1,0),FALSE))=$B313)*(INDIRECT(INDIRECT(_xlpm.x&amp;MATCH("SCD",$1:$1,0),FALSE))=$F313),0))),0)</f>
        <v>0</v>
      </c>
      <c r="AH313" s="403" cm="1">
        <f t="array" aca="1" ref="AH313" ca="1">IFERROR(_xlfn.LET(_xlpm.x,"r"&amp;MATCH("ADP",$A:$A,0)&amp;"c",SUM(_xlfn._xlws.FILTER(INDIRECT(INDIRECT(_xlpm.x,FALSE)),(INDIRECT(INDIRECT(_xlpm.x&amp;MATCH("PID",$1:$1,0),FALSE))=$B313)*(INDIRECT(INDIRECT(_xlpm.x&amp;MATCH("SCD",$1:$1,0),FALSE))=$F313),0))),0)</f>
        <v>0</v>
      </c>
      <c r="AI313" s="403" cm="1">
        <f t="array" aca="1" ref="AI313" ca="1">IFERROR(_xlfn.LET(_xlpm.x,"r"&amp;MATCH("ADP",$A:$A,0)&amp;"c",SUM(_xlfn._xlws.FILTER(INDIRECT(INDIRECT(_xlpm.x,FALSE)),(INDIRECT(INDIRECT(_xlpm.x&amp;MATCH("PID",$1:$1,0),FALSE))=$B313)*(INDIRECT(INDIRECT(_xlpm.x&amp;MATCH("SCD",$1:$1,0),FALSE))=$F313),0))),0)</f>
        <v>0</v>
      </c>
      <c r="AJ313" s="403" cm="1">
        <f t="array" aca="1" ref="AJ313" ca="1">IFERROR(_xlfn.LET(_xlpm.x,"r"&amp;MATCH("ADP",$A:$A,0)&amp;"c",SUM(_xlfn._xlws.FILTER(INDIRECT(INDIRECT(_xlpm.x,FALSE)),(INDIRECT(INDIRECT(_xlpm.x&amp;MATCH("PID",$1:$1,0),FALSE))=$B313)*(INDIRECT(INDIRECT(_xlpm.x&amp;MATCH("SCD",$1:$1,0),FALSE))=$F313),0))),0)</f>
        <v>0</v>
      </c>
      <c r="AK313" s="403" cm="1">
        <f t="array" aca="1" ref="AK313" ca="1">IFERROR(_xlfn.LET(_xlpm.x,"r"&amp;MATCH("ADP",$A:$A,0)&amp;"c",SUM(_xlfn._xlws.FILTER(INDIRECT(INDIRECT(_xlpm.x,FALSE)),(INDIRECT(INDIRECT(_xlpm.x&amp;MATCH("PID",$1:$1,0),FALSE))=$B313)*(INDIRECT(INDIRECT(_xlpm.x&amp;MATCH("SCD",$1:$1,0),FALSE))=$F313),0))),0)</f>
        <v>0</v>
      </c>
      <c r="AL313" s="403" cm="1">
        <f t="array" aca="1" ref="AL313" ca="1">IFERROR(_xlfn.LET(_xlpm.x,"r"&amp;MATCH("ADP",$A:$A,0)&amp;"c",SUM(_xlfn._xlws.FILTER(INDIRECT(INDIRECT(_xlpm.x,FALSE)),(INDIRECT(INDIRECT(_xlpm.x&amp;MATCH("PID",$1:$1,0),FALSE))=$B313)*(INDIRECT(INDIRECT(_xlpm.x&amp;MATCH("SCD",$1:$1,0),FALSE))=$F313),0))),0)</f>
        <v>0</v>
      </c>
      <c r="AM313" s="403" cm="1">
        <f t="array" aca="1" ref="AM313" ca="1">IFERROR(_xlfn.LET(_xlpm.x,"r"&amp;MATCH("ADP",$A:$A,0)&amp;"c",SUM(_xlfn._xlws.FILTER(INDIRECT(INDIRECT(_xlpm.x,FALSE)),(INDIRECT(INDIRECT(_xlpm.x&amp;MATCH("PID",$1:$1,0),FALSE))=$B313)*(INDIRECT(INDIRECT(_xlpm.x&amp;MATCH("SCD",$1:$1,0),FALSE))=$F313),0))),0)</f>
        <v>0</v>
      </c>
      <c r="AN313" s="403" cm="1">
        <f t="array" aca="1" ref="AN313" ca="1">IFERROR(_xlfn.LET(_xlpm.x,"r"&amp;MATCH("ADP",$A:$A,0)&amp;"c",SUM(_xlfn._xlws.FILTER(INDIRECT(INDIRECT(_xlpm.x,FALSE)),(INDIRECT(INDIRECT(_xlpm.x&amp;MATCH("PID",$1:$1,0),FALSE))=$B313)*(INDIRECT(INDIRECT(_xlpm.x&amp;MATCH("SCD",$1:$1,0),FALSE))=$F313),0))),0)</f>
        <v>0</v>
      </c>
      <c r="AO313" s="403" cm="1">
        <f t="array" aca="1" ref="AO313" ca="1">IFERROR(_xlfn.LET(_xlpm.x,"r"&amp;MATCH("ADP",$A:$A,0)&amp;"c",SUM(_xlfn._xlws.FILTER(INDIRECT(INDIRECT(_xlpm.x,FALSE)),(INDIRECT(INDIRECT(_xlpm.x&amp;MATCH("PID",$1:$1,0),FALSE))=$B313)*(INDIRECT(INDIRECT(_xlpm.x&amp;MATCH("SCD",$1:$1,0),FALSE))=$F313),0))),0)</f>
        <v>0</v>
      </c>
      <c r="AP313" s="403" cm="1">
        <f t="array" aca="1" ref="AP313" ca="1">IFERROR(_xlfn.LET(_xlpm.x,"r"&amp;MATCH("ADP",$A:$A,0)&amp;"c",SUM(_xlfn._xlws.FILTER(INDIRECT(INDIRECT(_xlpm.x,FALSE)),(INDIRECT(INDIRECT(_xlpm.x&amp;MATCH("PID",$1:$1,0),FALSE))=$B313)*(INDIRECT(INDIRECT(_xlpm.x&amp;MATCH("SCD",$1:$1,0),FALSE))=$F313),0))),0)</f>
        <v>0</v>
      </c>
      <c r="AQ313" s="377" cm="1">
        <f t="array" aca="1" ref="AQ313" ca="1">SUM(IF(INDIRECT($AS$115)=AQ$115,INDIRECT($AS313)))</f>
        <v>996869.01909999992</v>
      </c>
      <c r="AR313" s="377" cm="1">
        <f t="array" aca="1" ref="AR313" ca="1">SUM(IF(INDIRECT($AS$115)=AR$115,INDIRECT($AS313)))</f>
        <v>-73.308111014072125</v>
      </c>
      <c r="AS313" s="286" t="str">
        <f>IF($B313="","X",ADDRESS(SUM(ROW()),MATCH("SCD",$1:$1,0)+1,4)&amp;":"&amp;ADDRESS(SUM(ROW()),MATCH("ECD",$1:$1,0)-1,4))</f>
        <v>G313:AP313</v>
      </c>
      <c r="AT313" s="403">
        <f ca="1">SUM(INDIRECT("rc"&amp;MATCH("ECD",$1:$1,0)&amp;":rc"&amp;(MATCH("EOC",$1:$1,0)-1),FALSE))</f>
        <v>996795.71098898584</v>
      </c>
      <c r="AV313" s="142" cm="1">
        <f t="array" aca="1" ref="AV313" ca="1">IF(AND(_xlfn.LET(_xlpm.x,SUM(ROW()),OR(AND(MATCH("SOT",$A:$A,0)&lt;_xlpm.x,MATCH("EOT",$A:$A,0)&gt;_xlpm.x),AND(MATCH("SOS",$A:$A,0)&lt;_xlpm.x,MATCH("EOS",$A:$A,0)&gt;_xlpm.x),AND(MATCH("SOR",$A:$A,0)&lt;_xlpm.x,MATCH("EOR",$A:$A,0)&gt;_xlpm.x))),INDIRECT("rc"&amp;MATCH("SCD",$1:$1,0),FALSE)="PPTO"),1,0)</f>
        <v>0</v>
      </c>
      <c r="AW313" s="142" cm="1">
        <f t="array" aca="1" ref="AW313"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314" spans="1:49" s="153" customFormat="1" outlineLevel="2">
      <c r="A314" s="152"/>
      <c r="B314" s="401" t="str">
        <f>IF($E314&lt;&gt;"X",TEXT($B$258,"@"),"X")</f>
        <v>31200</v>
      </c>
      <c r="C314" s="148"/>
      <c r="D314" s="404"/>
      <c r="E314" s="405" t="s">
        <v>1677</v>
      </c>
      <c r="F314" s="402" t="s">
        <v>2099</v>
      </c>
      <c r="G314" s="403" cm="1">
        <f t="array" aca="1" ref="G314" ca="1">SUM(INDIRECT("r[-2]c:r[-2]c[+1]",FALSE),-INDIRECT("r[-1]c:r[-1]c[+1]",FALSE))</f>
        <v>-59524.913133010945</v>
      </c>
      <c r="H314" s="411" cm="1">
        <f t="array" aca="1" ref="H314" ca="1">_xlfn.LET(_xlpm.x,SUM(INDIRECT("r[-2]c[-1]:r[-2]c",FALSE)),_xlpm.y,INDIRECT("rc[-1]",FALSE),IF(_xlpm.x=0,IF(_xlpm.y=0,0,1),_xlpm.y/_xlpm.x))</f>
        <v>-1.0511593203531091</v>
      </c>
      <c r="I314" s="403" cm="1">
        <f t="array" aca="1" ref="I314" ca="1">SUM(INDIRECT("r[-2]c:r[-2]c[+1]",FALSE),-INDIRECT("r[-1]c:r[-1]c[+1]",FALSE))</f>
        <v>3426.2949440000084</v>
      </c>
      <c r="J314" s="411" cm="1">
        <f t="array" aca="1" ref="J314" ca="1">_xlfn.LET(_xlpm.x,SUM(INDIRECT("r[-2]c[-1]:r[-2]c",FALSE)),_xlpm.y,INDIRECT("rc[-1]",FALSE),IF(_xlpm.x=0,IF(_xlpm.y=0,0,1),_xlpm.y/_xlpm.x))</f>
        <v>1</v>
      </c>
      <c r="K314" s="403" cm="1">
        <f t="array" aca="1" ref="K314" ca="1">SUM(INDIRECT("r[-2]c:r[-2]c[+1]",FALSE),-INDIRECT("r[-1]c:r[-1]c[+1]",FALSE))</f>
        <v>10048.583074489625</v>
      </c>
      <c r="L314" s="411" cm="1">
        <f t="array" aca="1" ref="L314" ca="1">_xlfn.LET(_xlpm.x,SUM(INDIRECT("r[-2]c[-1]:r[-2]c",FALSE)),_xlpm.y,INDIRECT("rc[-1]",FALSE),IF(_xlpm.x=0,IF(_xlpm.y=0,0,1),_xlpm.y/_xlpm.x))</f>
        <v>0.25888946032982513</v>
      </c>
      <c r="M314" s="403" cm="1">
        <f t="array" aca="1" ref="M314" ca="1">SUM(INDIRECT("r[-2]c:r[-2]c[+1]",FALSE),-INDIRECT("r[-1]c:r[-1]c[+1]",FALSE))</f>
        <v>28505.200085878336</v>
      </c>
      <c r="N314" s="411" cm="1">
        <f t="array" aca="1" ref="N314" ca="1">_xlfn.LET(_xlpm.x,SUM(INDIRECT("r[-2]c[-1]:r[-2]c",FALSE)),_xlpm.y,INDIRECT("rc[-1]",FALSE),IF(_xlpm.x=0,IF(_xlpm.y=0,0,1),_xlpm.y/_xlpm.x))</f>
        <v>1</v>
      </c>
      <c r="O314" s="403" cm="1">
        <f t="array" aca="1" ref="O314" ca="1">SUM(INDIRECT("r[-2]c:r[-2]c[+1]",FALSE),-INDIRECT("r[-1]c:r[-1]c[+1]",FALSE))</f>
        <v>26576.11973050388</v>
      </c>
      <c r="P314" s="411" cm="1">
        <f t="array" aca="1" ref="P314" ca="1">_xlfn.LET(_xlpm.x,SUM(INDIRECT("r[-2]c[-1]:r[-2]c",FALSE)),_xlpm.y,INDIRECT("rc[-1]",FALSE),IF(_xlpm.x=0,IF(_xlpm.y=0,0,1),_xlpm.y/_xlpm.x))</f>
        <v>0.10796651875604414</v>
      </c>
      <c r="Q314" s="403" cm="1">
        <f t="array" aca="1" ref="Q314" ca="1">SUM(INDIRECT("r[-2]c:r[-2]c[+1]",FALSE),-INDIRECT("r[-1]c:r[-1]c[+1]",FALSE))</f>
        <v>10435.265996187498</v>
      </c>
      <c r="R314" s="411" cm="1">
        <f t="array" aca="1" ref="R314" ca="1">_xlfn.LET(_xlpm.x,SUM(INDIRECT("r[-2]c[-1]:r[-2]c",FALSE)),_xlpm.y,INDIRECT("rc[-1]",FALSE),IF(_xlpm.x=0,IF(_xlpm.y=0,0,1),_xlpm.y/_xlpm.x))</f>
        <v>1</v>
      </c>
      <c r="S314" s="403" cm="1">
        <f t="array" aca="1" ref="S314" ca="1">SUM(INDIRECT("r[-2]c:r[-2]c[+1]",FALSE),-INDIRECT("r[-1]c:r[-1]c[+1]",FALSE))</f>
        <v>91167.575453914367</v>
      </c>
      <c r="T314" s="411" cm="1">
        <f t="array" aca="1" ref="T314" ca="1">_xlfn.LET(_xlpm.x,SUM(INDIRECT("r[-2]c[-1]:r[-2]c",FALSE)),_xlpm.y,INDIRECT("rc[-1]",FALSE),IF(_xlpm.x=0,IF(_xlpm.y=0,0,1),_xlpm.y/_xlpm.x))</f>
        <v>0.32396303697201367</v>
      </c>
      <c r="U314" s="403" cm="1">
        <f t="array" aca="1" ref="U314" ca="1">SUM(INDIRECT("r[-2]c:r[-2]c[+1]",FALSE),-INDIRECT("r[-1]c:r[-1]c[+1]",FALSE))</f>
        <v>142632.55408596111</v>
      </c>
      <c r="V314" s="411" cm="1">
        <f t="array" aca="1" ref="V314" ca="1">_xlfn.LET(_xlpm.x,SUM(INDIRECT("r[-2]c[-1]:r[-2]c",FALSE)),_xlpm.y,INDIRECT("rc[-1]",FALSE),IF(_xlpm.x=0,IF(_xlpm.y=0,0,1),_xlpm.y/_xlpm.x))</f>
        <v>1</v>
      </c>
      <c r="W314" s="403" cm="1">
        <f t="array" aca="1" ref="W314" ca="1">SUM(INDIRECT("r[-2]c:r[-2]c[+1]",FALSE),-INDIRECT("r[-1]c:r[-1]c[+1]",FALSE))</f>
        <v>47860.020881768309</v>
      </c>
      <c r="X314" s="411" cm="1">
        <f t="array" aca="1" ref="X314" ca="1">_xlfn.LET(_xlpm.x,SUM(INDIRECT("r[-2]c[-1]:r[-2]c",FALSE)),_xlpm.y,INDIRECT("rc[-1]",FALSE),IF(_xlpm.x=0,IF(_xlpm.y=0,0,1),_xlpm.y/_xlpm.x))</f>
        <v>0.17205706911583787</v>
      </c>
      <c r="Y314" s="403" cm="1">
        <f t="array" aca="1" ref="Y314" ca="1">SUM(INDIRECT("r[-2]c:r[-2]c[+1]",FALSE),-INDIRECT("r[-1]c:r[-1]c[+1]",FALSE))</f>
        <v>30551.530653524052</v>
      </c>
      <c r="Z314" s="411" cm="1">
        <f t="array" aca="1" ref="Z314" ca="1">_xlfn.LET(_xlpm.x,SUM(INDIRECT("r[-2]c[-1]:r[-2]c",FALSE)),_xlpm.y,INDIRECT("rc[-1]",FALSE),IF(_xlpm.x=0,IF(_xlpm.y=0,0,1),_xlpm.y/_xlpm.x))</f>
        <v>0.98053673541871122</v>
      </c>
      <c r="AA314" s="403" cm="1">
        <f t="array" aca="1" ref="AA314" ca="1">SUM(INDIRECT("r[-2]c:r[-2]c[+1]",FALSE),-INDIRECT("r[-1]c:r[-1]c[+1]",FALSE))</f>
        <v>0</v>
      </c>
      <c r="AB314" s="411" cm="1">
        <f t="array" aca="1" ref="AB314" ca="1">_xlfn.LET(_xlpm.x,SUM(INDIRECT("r[-2]c[-1]:r[-2]c",FALSE)),_xlpm.y,INDIRECT("rc[-1]",FALSE),IF(_xlpm.x=0,IF(_xlpm.y=0,0,1),_xlpm.y/_xlpm.x))</f>
        <v>0</v>
      </c>
      <c r="AC314" s="403" cm="1">
        <f t="array" aca="1" ref="AC314" ca="1">SUM(INDIRECT("r[-2]c:r[-2]c[+1]",FALSE),-INDIRECT("r[-1]c:r[-1]c[+1]",FALSE))</f>
        <v>6496.7242809479903</v>
      </c>
      <c r="AD314" s="411" cm="1">
        <f t="array" aca="1" ref="AD314" ca="1">_xlfn.LET(_xlpm.x,SUM(INDIRECT("r[-2]c[-1]:r[-2]c",FALSE)),_xlpm.y,INDIRECT("rc[-1]",FALSE),IF(_xlpm.x=0,IF(_xlpm.y=0,0,1),_xlpm.y/_xlpm.x))</f>
        <v>0.70264346232647112</v>
      </c>
      <c r="AE314" s="403" cm="1">
        <f t="array" aca="1" ref="AE314" ca="1">SUM(INDIRECT("r[-2]c:r[-2]c[+1]",FALSE),-INDIRECT("r[-1]c:r[-1]c[+1]",FALSE))</f>
        <v>-137090.30568701812</v>
      </c>
      <c r="AF314" s="411" cm="1">
        <f t="array" aca="1" ref="AF314" ca="1">_xlfn.LET(_xlpm.x,SUM(INDIRECT("r[-2]c[-1]:r[-2]c",FALSE)),_xlpm.y,INDIRECT("rc[-1]",FALSE),IF(_xlpm.x=0,IF(_xlpm.y=0,0,1),_xlpm.y/_xlpm.x))</f>
        <v>-1.9225562755438887</v>
      </c>
      <c r="AG314" s="403" cm="1">
        <f t="array" aca="1" ref="AG314" ca="1">SUM(INDIRECT("r[-2]c:r[-2]c[+1]",FALSE),-INDIRECT("r[-1]c:r[-1]c[+1]",FALSE))</f>
        <v>0</v>
      </c>
      <c r="AH314" s="411" cm="1">
        <f t="array" aca="1" ref="AH314" ca="1">_xlfn.LET(_xlpm.x,SUM(INDIRECT("r[-2]c[-1]:r[-2]c",FALSE)),_xlpm.y,INDIRECT("rc[-1]",FALSE),IF(_xlpm.x=0,IF(_xlpm.y=0,0,1),_xlpm.y/_xlpm.x))</f>
        <v>0</v>
      </c>
      <c r="AI314" s="403" cm="1">
        <f t="array" aca="1" ref="AI314" ca="1">SUM(INDIRECT("r[-2]c:r[-2]c[+1]",FALSE),-INDIRECT("r[-1]c:r[-1]c[+1]",FALSE))</f>
        <v>159190.57999999984</v>
      </c>
      <c r="AJ314" s="411" cm="1">
        <f t="array" aca="1" ref="AJ314" ca="1">_xlfn.LET(_xlpm.x,SUM(INDIRECT("r[-2]c[-1]:r[-2]c",FALSE)),_xlpm.y,INDIRECT("rc[-1]",FALSE),IF(_xlpm.x=0,IF(_xlpm.y=0,0,1),_xlpm.y/_xlpm.x))</f>
        <v>1</v>
      </c>
      <c r="AK314" s="403" cm="1">
        <f t="array" aca="1" ref="AK314" ca="1">SUM(INDIRECT("r[-2]c:r[-2]c[+1]",FALSE),-INDIRECT("r[-1]c:r[-1]c[+1]",FALSE))</f>
        <v>140524.45000000001</v>
      </c>
      <c r="AL314" s="411" cm="1">
        <f t="array" aca="1" ref="AL314" ca="1">_xlfn.LET(_xlpm.x,SUM(INDIRECT("r[-2]c[-1]:r[-2]c",FALSE)),_xlpm.y,INDIRECT("rc[-1]",FALSE),IF(_xlpm.x=0,IF(_xlpm.y=0,0,1),_xlpm.y/_xlpm.x))</f>
        <v>1</v>
      </c>
      <c r="AM314" s="403" cm="1">
        <f t="array" aca="1" ref="AM314" ca="1">SUM(INDIRECT("r[-2]c:r[-2]c[+1]",FALSE),-INDIRECT("r[-1]c:r[-1]c[+1]",FALSE))</f>
        <v>60287.529999999977</v>
      </c>
      <c r="AN314" s="411" cm="1">
        <f t="array" aca="1" ref="AN314" ca="1">_xlfn.LET(_xlpm.x,SUM(INDIRECT("r[-2]c[-1]:r[-2]c",FALSE)),_xlpm.y,INDIRECT("rc[-1]",FALSE),IF(_xlpm.x=0,IF(_xlpm.y=0,0,1),_xlpm.y/_xlpm.x))</f>
        <v>1</v>
      </c>
      <c r="AO314" s="403" cm="1">
        <f t="array" aca="1" ref="AO314" ca="1">SUM(INDIRECT("r[-2]c:r[-2]c[+1]",FALSE),-INDIRECT("r[-1]c:r[-1]c[+1]",FALSE))</f>
        <v>384445.37680000003</v>
      </c>
      <c r="AP314" s="411" cm="1">
        <f t="array" aca="1" ref="AP314" ca="1">_xlfn.LET(_xlpm.x,SUM(INDIRECT("r[-2]c[-1]:r[-2]c",FALSE)),_xlpm.y,INDIRECT("rc[-1]",FALSE),IF(_xlpm.x=0,IF(_xlpm.y=0,0,1),_xlpm.y/_xlpm.x))</f>
        <v>1</v>
      </c>
      <c r="AQ314" s="403" cm="1">
        <f t="array" aca="1" ref="AQ314" ca="1">SUM(INDIRECT("r[-2]c:r[-2]c[+1]",FALSE),-INDIRECT("r[-1]c:r[-1]c[+1]",FALSE))</f>
        <v>945532.58716714592</v>
      </c>
      <c r="AR314" s="411" cm="1">
        <f t="array" aca="1" ref="AR314" ca="1">_xlfn.LET(_xlpm.x,SUM(INDIRECT("r[-2]c[-1]:r[-2]c",FALSE)),_xlpm.y,INDIRECT("rc[-1]",FALSE),IF(_xlpm.x=0,IF(_xlpm.y=0,0,1),_xlpm.y/_xlpm.x))</f>
        <v>0.48680369228247755</v>
      </c>
      <c r="AS314" s="286" t="str">
        <f>IF($B314="","X",ADDRESS(SUM(ROW()),MATCH("SCD",$1:$1,0)+1,4)&amp;":"&amp;ADDRESS(SUM(ROW()),MATCH("ECD",$1:$1,0)-1,4))</f>
        <v>G314:AP314</v>
      </c>
      <c r="AT314" s="403">
        <f ca="1">AT312-AT313</f>
        <v>945532.58716714592</v>
      </c>
      <c r="AV314" s="142" cm="1">
        <f t="array" aca="1" ref="AV314" ca="1">IF(AND(_xlfn.LET(_xlpm.x,SUM(ROW()),OR(AND(MATCH("SOT",$A:$A,0)&lt;_xlpm.x,MATCH("EOT",$A:$A,0)&gt;_xlpm.x),AND(MATCH("SOS",$A:$A,0)&lt;_xlpm.x,MATCH("EOS",$A:$A,0)&gt;_xlpm.x),AND(MATCH("SOR",$A:$A,0)&lt;_xlpm.x,MATCH("EOR",$A:$A,0)&gt;_xlpm.x))),INDIRECT("rc"&amp;MATCH("SCD",$1:$1,0),FALSE)="PPTO"),1,0)</f>
        <v>0</v>
      </c>
      <c r="AW314" s="142" cm="1">
        <f t="array" aca="1" ref="AW314" ca="1">IF(AND(_xlfn.LET(_xlpm.x,SUM(ROW()),OR(AND(MATCH("SOT",$A:$A,0)&lt;_xlpm.x,MATCH("EOT",$A:$A,0)&gt;_xlpm.x),AND(MATCH("SOS",$A:$A,0)&lt;_xlpm.x,MATCH("EOS",$A:$A,0)&gt;_xlpm.x),AND(MATCH("SOR",$A:$A,0)&lt;_xlpm.x,MATCH("EOR",$A:$A,0)&gt;_xlpm.x)))),IF(OR(INDIRECT("rc"&amp;MATCH("SCD",$1:$1,0),FALSE)="PPTO",INDIRECT("rc"&amp;MATCH("SCD",$1:$1,0),FALSE)="PDTE"),1,IF(OR(INDIRECT("rc"&amp;MATCH("SCD",$1:$1,0),FALSE)="PREV",INDIRECT("rc"&amp;MATCH("SCD",$1:$1,0),FALSE)="SCHD"),2,IF(INDIRECT("rc"&amp;MATCH("SCD",$1:$1,0),FALSE)="REAL",3,0))),0)</f>
        <v>0</v>
      </c>
    </row>
    <row r="315" spans="1:49" ht="12">
      <c r="A315" s="155" t="s">
        <v>2098</v>
      </c>
    </row>
  </sheetData>
  <autoFilter ref="C114:AS315" xr:uid="{00000000-0001-0000-0900-000000000000}">
    <filterColumn colId="4" showButton="0"/>
    <filterColumn colId="6" showButton="0"/>
    <filterColumn colId="8" showButton="0"/>
    <filterColumn colId="10" showButton="0"/>
    <filterColumn colId="12" showButton="0"/>
    <filterColumn colId="14" showButton="0"/>
    <filterColumn colId="16" showButton="0"/>
    <filterColumn colId="18" showButton="0"/>
    <filterColumn colId="20" showButton="0"/>
    <filterColumn colId="22" showButton="0"/>
    <filterColumn colId="24" showButton="0"/>
    <filterColumn colId="26" showButton="0"/>
    <filterColumn colId="28" showButton="0"/>
    <filterColumn colId="30" showButton="0"/>
    <filterColumn colId="32" showButton="0"/>
    <filterColumn colId="34" showButton="0"/>
    <filterColumn colId="36" showButton="0"/>
    <filterColumn colId="38" showButton="0"/>
    <filterColumn colId="40" showButton="0"/>
  </autoFilter>
  <dataConsolidate/>
  <mergeCells count="69">
    <mergeCell ref="W114:X114"/>
    <mergeCell ref="O114:P114"/>
    <mergeCell ref="Q114:R114"/>
    <mergeCell ref="S114:T114"/>
    <mergeCell ref="G114:H114"/>
    <mergeCell ref="I114:J114"/>
    <mergeCell ref="K114:L114"/>
    <mergeCell ref="M114:N114"/>
    <mergeCell ref="AG1:AH1"/>
    <mergeCell ref="AN1:AO1"/>
    <mergeCell ref="AI114:AJ114"/>
    <mergeCell ref="AK114:AL114"/>
    <mergeCell ref="AM114:AN114"/>
    <mergeCell ref="AO114:AP114"/>
    <mergeCell ref="B111:AS111"/>
    <mergeCell ref="B104:AS104"/>
    <mergeCell ref="B97:AS97"/>
    <mergeCell ref="B85:AS85"/>
    <mergeCell ref="B5:AS5"/>
    <mergeCell ref="G7:H7"/>
    <mergeCell ref="U114:V114"/>
    <mergeCell ref="Y114:Z114"/>
    <mergeCell ref="AC114:AD114"/>
    <mergeCell ref="AA114:AB114"/>
    <mergeCell ref="AT114:AT115"/>
    <mergeCell ref="AC7:AD7"/>
    <mergeCell ref="AE7:AF7"/>
    <mergeCell ref="AG7:AH7"/>
    <mergeCell ref="AI7:AJ7"/>
    <mergeCell ref="AK7:AL7"/>
    <mergeCell ref="AE114:AF114"/>
    <mergeCell ref="AQ114:AR114"/>
    <mergeCell ref="AG114:AH114"/>
    <mergeCell ref="AM7:AN7"/>
    <mergeCell ref="AO7:AP7"/>
    <mergeCell ref="AQ7:AR7"/>
    <mergeCell ref="AT7:AT8"/>
    <mergeCell ref="I7:J7"/>
    <mergeCell ref="K7:L7"/>
    <mergeCell ref="M7:N7"/>
    <mergeCell ref="O7:P7"/>
    <mergeCell ref="Q7:R7"/>
    <mergeCell ref="S7:T7"/>
    <mergeCell ref="U7:V7"/>
    <mergeCell ref="W7:X7"/>
    <mergeCell ref="Y7:Z7"/>
    <mergeCell ref="AA7:AB7"/>
    <mergeCell ref="AT257:AT258"/>
    <mergeCell ref="AA257:AB257"/>
    <mergeCell ref="AC257:AD257"/>
    <mergeCell ref="AE257:AF257"/>
    <mergeCell ref="AG257:AH257"/>
    <mergeCell ref="AI257:AJ257"/>
    <mergeCell ref="B308:AS308"/>
    <mergeCell ref="B255:AS255"/>
    <mergeCell ref="AK257:AL257"/>
    <mergeCell ref="AM257:AN257"/>
    <mergeCell ref="AO257:AP257"/>
    <mergeCell ref="AQ257:AR257"/>
    <mergeCell ref="Q257:R257"/>
    <mergeCell ref="S257:T257"/>
    <mergeCell ref="U257:V257"/>
    <mergeCell ref="W257:X257"/>
    <mergeCell ref="Y257:Z257"/>
    <mergeCell ref="G257:H257"/>
    <mergeCell ref="I257:J257"/>
    <mergeCell ref="K257:L257"/>
    <mergeCell ref="M257:N257"/>
    <mergeCell ref="O257:P257"/>
  </mergeCells>
  <phoneticPr fontId="0" type="noConversion"/>
  <conditionalFormatting sqref="G314:AR314">
    <cfRule type="expression" dxfId="21" priority="10">
      <formula>AND(G$258="EXT.",G314&gt;=0)</formula>
    </cfRule>
    <cfRule type="expression" dxfId="20" priority="11">
      <formula>AND(G$258="EXT.",G314&lt;0)</formula>
    </cfRule>
  </conditionalFormatting>
  <conditionalFormatting sqref="H261 H263 H265 H267 H269 H271 H273 H275 H277 H279 H281 H283 H285 H287 H289 J261 J263 J265 J267 J269 J271 J273 J275 J277 J279 J281 J283 J285 J287 J289 L261 L263 L265 L267 L269 L271 L273 L275 L277 L279 L281 L283 L285 L287 L289 N261 N263 N265 N267 N269 N271 N273 N275 N277 N279 N281 N283 N285 N287 N289 P261 P263 P265 P267 P269 P271 P273 P275 P277 P279 P281 P283 P285 P287 P289 R261 R263 R265 R267 R269 R271 R273 R275 R277 R279 R281 R283 R285 R287 R289 T261 T263 T265 T267 T269 T271 T273 T275 T277 T279 T281 T283 T285 T287 T289 V261 V263 V265 V267 V269 V271 V273 V275 V277 V279 V281 V283 V285 V287 V289 X261 X263 X265 X267 X269 X271 X273 X275 X277 X279 X281 X283 X285 X287 X289 Z261 Z263 Z265 Z267 Z269 Z271 Z273 Z275 Z277 Z279 Z281 Z283 Z285 Z287 Z289 AB261 AB263 AB265 AB267 AB269 AB271 AB273 AB275 AB277 AB279 AB281 AB283 AB285 AB287 AB289 AD261 AD263 AD265 AD267 AD269 AD271 AD273 AD275 AD277 AD279 AD281 AD283 AD285 AD287 AD289 AF261 AF263 AF265 AF267 AF269 AF271 AF273 AF275 AF277 AF279 AF281 AF283 AF285 AF287 AF289 AH261 AH263 AH265 AH267 AH269 AH271 AH273 AH275 AH277 AH279 AH281 AH283 AH285 AH287 AH289 AJ261 AJ263 AJ265 AJ267 AJ269 AJ271 AJ273 AJ275 AJ277 AJ279 AJ281 AJ283 AJ285 AJ287 AJ289 AL261 AL263 AL265 AL267 AL269 AL271 AL273 AL275 AL277 AL279 AL281 AL283 AL285 AL287 AL289 AN261 AN263 AN265 AN267 AN269 AN271 AN273 AN275 AN277 AN279 AN281 AN283 AN285 AN287 AN289 AP261 AP263 AP265 AP267 AP269 AP271 AP273 AP275 AP277 AP279 AP281 AP283 AP285 AP287 AP289">
    <cfRule type="colorScale" priority="9">
      <colorScale>
        <cfvo type="num" val="-1"/>
        <cfvo type="num" val="0"/>
        <cfvo type="num" val="1"/>
        <color rgb="FFF8696B"/>
        <color rgb="FFFFEB84"/>
        <color rgb="FF63BE7B"/>
      </colorScale>
    </cfRule>
  </conditionalFormatting>
  <conditionalFormatting sqref="AR261">
    <cfRule type="colorScale" priority="8">
      <colorScale>
        <cfvo type="num" val="-1"/>
        <cfvo type="num" val="0"/>
        <cfvo type="num" val="1"/>
        <color rgb="FFF8696B"/>
        <color rgb="FFFFEB84"/>
        <color rgb="FF63BE7B"/>
      </colorScale>
    </cfRule>
  </conditionalFormatting>
  <conditionalFormatting sqref="AR265 AR263 AR267 AR269 AR271 AR273 AR275 AR277 AR279 AR281 AR283 AR285 AR287 AR289">
    <cfRule type="colorScale" priority="7">
      <colorScale>
        <cfvo type="num" val="-1"/>
        <cfvo type="num" val="0"/>
        <cfvo type="num" val="1"/>
        <color rgb="FFF8696B"/>
        <color rgb="FFFFEB84"/>
        <color rgb="FF63BE7B"/>
      </colorScale>
    </cfRule>
  </conditionalFormatting>
  <conditionalFormatting sqref="B101:AT102 B108:AT109">
    <cfRule type="expression" dxfId="19" priority="15">
      <formula>AND(B$6="EXT.",AND(B130&gt;-0.05,B130&lt;0.05))</formula>
    </cfRule>
  </conditionalFormatting>
  <conditionalFormatting sqref="B101:AT102 B108:AT109">
    <cfRule type="expression" dxfId="18" priority="16">
      <formula>AND(B$6="EXT.",B130&gt;=0.05)</formula>
    </cfRule>
  </conditionalFormatting>
  <conditionalFormatting sqref="B101:AT102 B108:AT109">
    <cfRule type="expression" dxfId="17" priority="17">
      <formula>AND(B$6="EXT.",B130&lt;=-0.05)</formula>
    </cfRule>
  </conditionalFormatting>
  <conditionalFormatting sqref="A1:XFD1048576">
    <cfRule type="expression" dxfId="16" priority="1">
      <formula>(INDIRECT("r"&amp;MATCH("FLR",$A:$A,0)&amp;"c",FALSE)=1)</formula>
    </cfRule>
    <cfRule type="expression" dxfId="15" priority="2">
      <formula>AND(SUM(INDIRECT("r[0]c:r[+2]c[+1]",FALSE))=0,INDIRECT("r"&amp;MATCH("FLR",$A:$A,0)&amp;"c",FALSE)=1,INDIRECT("rc"&amp;MATCH("FLC",$1:$1,0),FALSE)=1)</formula>
    </cfRule>
    <cfRule type="expression" dxfId="14" priority="3">
      <formula>AND(IFERROR(SUM(INDIRECT("r[+2]c:r[+2]c[+1]",FALSE))/SUM(INDIRECT("r[0]c:r[+1]c[+1]",FALSE)),IF(SUM(INDIRECT("r[+2]c:r[+2]c[+1]",FALSE))&gt;0,1.1))&gt;1,INDIRECT("r"&amp;MATCH("FLR",$A:$A,0)&amp;"c",FALSE)=1,INDIRECT("rc"&amp;MATCH("FLC",$1:$1,0),FALSE)=1)</formula>
    </cfRule>
    <cfRule type="expression" dxfId="13" priority="4">
      <formula>AND(IFERROR(SUM(INDIRECT("r[+2]c:r[+2]c[+1]",FALSE))/SUM(INDIRECT("r[0]c:r[+1]c[+1]",FALSE)),IF(SUM(INDIRECT("r[+2]c:r[+2]c[+1]",FALSE))&gt;0,1.1))&gt;0.9,INDIRECT("r"&amp;MATCH("FLR",$A:$A,0)&amp;"c",FALSE)=1,INDIRECT("rc"&amp;MATCH("FLC",$1:$1,0),FALSE)=1)</formula>
    </cfRule>
    <cfRule type="expression" dxfId="12" priority="5">
      <formula>AND(IFERROR(SUM(INDIRECT("r[+2]c:r[+2]c[+1]",FALSE))/SUM(INDIRECT("r[0]c:r[+1]c[+1]",FALSE)),IF(SUM(INDIRECT("r[+2]c:r[+2]c[+1]",FALSE))&gt;0,1.1))=0,INDIRECT("r"&amp;MATCH("FLR",$A:$A,0)&amp;"c",FALSE)=1,INDIRECT("rc"&amp;MATCH("FLC",$1:$1,0),FALSE)=1,SUM(COLUMN())&lt;MATCH("EOL",1:1,0))</formula>
    </cfRule>
    <cfRule type="expression" dxfId="11" priority="6">
      <formula>AND(IFERROR(SUM(INDIRECT("r[+2]c:r[+2]c[+1]",FALSE))/SUM(INDIRECT("r[0]c:r[+1]c[+1]",FALSE)),IF(SUM(INDIRECT("r[+2]c:r[+2]c[+1]",FALSE))&gt;0,1.1))&lt;=0.9,INDIRECT("r"&amp;MATCH("FLR",$A:$A,0)&amp;"c",FALSE)=1,INDIRECT("rc"&amp;MATCH("FLC",$1:$1,0),FALSE)=1)</formula>
    </cfRule>
    <cfRule type="expression" dxfId="10" priority="12">
      <formula>AND(MATCH("EOL",$1:$1,0)&gt;SUM(COLUMN()),INDIRECT("rc"&amp;MATCH("FLG",$1:$1,0),FALSE)=1)</formula>
    </cfRule>
    <cfRule type="expression" dxfId="9" priority="13">
      <formula>AND(MATCH("EOL",$1:$1,0)&gt;SUM(COLUMN()),INDIRECT("rc"&amp;MATCH("FLG",$1:$1,0),FALSE)=2)</formula>
    </cfRule>
    <cfRule type="expression" dxfId="8" priority="14">
      <formula>AND(MATCH("EOL",$1:$1,0)&gt;SUM(COLUMN()),INDIRECT("rc"&amp;MATCH("FLG",$1:$1,0),FALSE)=3)</formula>
    </cfRule>
  </conditionalFormatting>
  <dataValidations disablePrompts="1" count="1">
    <dataValidation type="list" allowBlank="1" showInputMessage="1" showErrorMessage="1" sqref="E4" xr:uid="{AF1F875C-0354-4C46-91D5-475B775F98D0}">
      <formula1>"X,Ppto,IntExt"</formula1>
    </dataValidation>
  </dataValidations>
  <printOptions horizontalCentered="1" verticalCentered="1"/>
  <pageMargins left="0.62992125984251968" right="0.39370078740157483" top="0.55118110236220474" bottom="0.39370078740157483" header="0" footer="0"/>
  <pageSetup paperSize="9" scale="22" orientation="landscape" r:id="rId1"/>
  <headerFooter alignWithMargins="0">
    <oddFooter>&amp;C&amp;1#&amp;"Calibri"&amp;8&amp;K000000Aernnova Group confidential information. Limited use on a need-to-know basis. All rights reserved.</oddFooter>
  </headerFooter>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B77DAAB-7E7C-4CEF-9431-B08075AEE2F2}">
          <x14:formula1>
            <xm:f>_xlfn.ANCHORARRAY(InData!$G$3)</xm:f>
          </x14:formula1>
          <xm:sqref>C4 B258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pageSetUpPr fitToPage="1"/>
  </sheetPr>
  <dimension ref="A1:AL64"/>
  <sheetViews>
    <sheetView workbookViewId="0">
      <selection activeCell="E18" sqref="E18"/>
    </sheetView>
  </sheetViews>
  <sheetFormatPr baseColWidth="10" defaultColWidth="11.5" defaultRowHeight="13" outlineLevelRow="1" outlineLevelCol="1"/>
  <cols>
    <col min="1" max="1" width="1.83203125" style="278" bestFit="1" customWidth="1"/>
    <col min="2" max="3" width="9.83203125" style="278" customWidth="1"/>
    <col min="4" max="4" width="9.1640625" style="278" bestFit="1" customWidth="1"/>
    <col min="5" max="5" width="76.33203125" style="278" customWidth="1"/>
    <col min="6" max="6" width="14.6640625" style="278" customWidth="1" outlineLevel="1"/>
    <col min="7" max="7" width="12.5" style="278" customWidth="1" outlineLevel="1"/>
    <col min="8" max="8" width="14.6640625" style="278" customWidth="1" outlineLevel="1"/>
    <col min="9" max="9" width="8.83203125" style="278" customWidth="1" outlineLevel="1"/>
    <col min="10" max="10" width="12.6640625" style="278" customWidth="1" outlineLevel="1"/>
    <col min="11" max="11" width="10.33203125" style="278" customWidth="1" outlineLevel="1"/>
    <col min="12" max="12" width="10.83203125" style="278" customWidth="1" outlineLevel="1"/>
    <col min="13" max="13" width="11.33203125" style="278" customWidth="1" outlineLevel="1"/>
    <col min="14" max="14" width="7.83203125" style="278" customWidth="1" outlineLevel="1"/>
    <col min="15" max="15" width="15" style="278" customWidth="1" outlineLevel="1"/>
    <col min="16" max="18" width="15.5" style="278" customWidth="1" outlineLevel="1"/>
    <col min="19" max="19" width="6.5" style="278" customWidth="1" outlineLevel="1"/>
    <col min="20" max="20" width="10.5" style="278" customWidth="1"/>
    <col min="21" max="37" width="10.6640625" style="278" customWidth="1"/>
    <col min="38" max="38" width="5.33203125" style="278" bestFit="1" customWidth="1"/>
    <col min="39" max="16384" width="11.5" style="278"/>
  </cols>
  <sheetData>
    <row r="1" spans="1:38" s="222" customFormat="1" outlineLevel="1">
      <c r="A1" s="222" t="s">
        <v>1314</v>
      </c>
      <c r="B1" s="222" t="s">
        <v>370</v>
      </c>
      <c r="C1" s="225"/>
      <c r="D1" s="225"/>
      <c r="E1" s="226"/>
      <c r="G1" s="229"/>
      <c r="I1" s="227"/>
      <c r="J1" s="228"/>
      <c r="L1" s="223"/>
      <c r="M1" s="223"/>
      <c r="N1" s="222" t="s">
        <v>1758</v>
      </c>
      <c r="S1" s="229" t="s">
        <v>1759</v>
      </c>
      <c r="T1" s="222" t="s">
        <v>1726</v>
      </c>
      <c r="Y1" s="230"/>
      <c r="Z1" s="230"/>
      <c r="AL1" s="222" t="s">
        <v>1315</v>
      </c>
    </row>
    <row r="2" spans="1:38" s="236" customFormat="1" ht="25.5" customHeight="1" outlineLevel="1">
      <c r="A2" s="223"/>
      <c r="B2" s="33" t="str">
        <f ca="1">ADDRESS(MATCH("SOR",$A:$A,0)+1,MATCH("SOC",$1:$1,0)+1,4,1,$C$2)&amp;":"&amp;ADDRESS(MATCH("EOR",$A:$A,0)-1,MATCH("EOC",$1:$1,0)-1,4)</f>
        <v>Mods!B6:AK39</v>
      </c>
      <c r="C2" s="232" t="str" cm="1">
        <f t="array" aca="1" ref="C2" ca="1">RIGHT(CELL("filename",INDIRECT("A1")),LEN(CELL("filename",INDIRECT("A1")))-FIND("]",CELL("filename",INDIRECT("A1"))))</f>
        <v>Mods</v>
      </c>
      <c r="D2" s="231"/>
      <c r="E2" s="233"/>
      <c r="F2" s="235"/>
      <c r="G2" s="238"/>
      <c r="H2" s="235"/>
      <c r="I2" s="234"/>
      <c r="J2" s="235"/>
      <c r="L2" s="237"/>
      <c r="M2" s="237"/>
      <c r="S2" s="235"/>
      <c r="U2" s="239"/>
      <c r="V2" s="239"/>
      <c r="W2" s="239"/>
      <c r="X2" s="239"/>
      <c r="Y2" s="239"/>
      <c r="Z2" s="239"/>
      <c r="AA2" s="239"/>
      <c r="AB2" s="239"/>
      <c r="AC2" s="239"/>
      <c r="AD2" s="239"/>
      <c r="AE2" s="239"/>
      <c r="AF2" s="239"/>
      <c r="AG2" s="239"/>
      <c r="AH2" s="239"/>
      <c r="AI2" s="239"/>
      <c r="AJ2" s="239"/>
      <c r="AK2" s="239"/>
      <c r="AL2" s="264" t="str">
        <f>TEXT(MATCH("SOR",$A:$A,0)+1,"0")&amp;":"&amp;TEXT(MATCH("EOR",$A:$A,0)-1,"0")</f>
        <v>6:39</v>
      </c>
    </row>
    <row r="3" spans="1:38" s="249" customFormat="1" ht="33" outlineLevel="1">
      <c r="A3" s="222"/>
      <c r="B3" s="240" t="s">
        <v>1716</v>
      </c>
      <c r="C3" s="240" t="s">
        <v>1299</v>
      </c>
      <c r="D3" s="240"/>
      <c r="E3" s="240" t="s">
        <v>1353</v>
      </c>
      <c r="F3" s="247" t="s">
        <v>1395</v>
      </c>
      <c r="G3" s="247" t="s">
        <v>1539</v>
      </c>
      <c r="H3" s="246" t="s">
        <v>1402</v>
      </c>
      <c r="I3" s="241" t="s">
        <v>391</v>
      </c>
      <c r="J3" s="242" t="s">
        <v>1303</v>
      </c>
      <c r="K3" s="243" t="s">
        <v>1304</v>
      </c>
      <c r="L3" s="244" t="s">
        <v>1310</v>
      </c>
      <c r="M3" s="244" t="s">
        <v>1311</v>
      </c>
      <c r="N3" s="245" t="s">
        <v>1717</v>
      </c>
      <c r="O3" s="245" t="s">
        <v>1349</v>
      </c>
      <c r="P3" s="245" t="s">
        <v>1358</v>
      </c>
      <c r="Q3" s="245" t="s">
        <v>1302</v>
      </c>
      <c r="R3" s="245"/>
      <c r="S3" s="247"/>
      <c r="T3" s="248" t="s">
        <v>7</v>
      </c>
      <c r="U3" s="248" t="s">
        <v>1641</v>
      </c>
      <c r="V3" s="248" t="s">
        <v>1642</v>
      </c>
      <c r="W3" s="248" t="s">
        <v>1274</v>
      </c>
      <c r="X3" s="248" t="s">
        <v>360</v>
      </c>
      <c r="Y3" s="248" t="s">
        <v>1643</v>
      </c>
      <c r="Z3" s="248" t="s">
        <v>1644</v>
      </c>
      <c r="AA3" s="248" t="s">
        <v>372</v>
      </c>
      <c r="AB3" s="248" t="s">
        <v>379</v>
      </c>
      <c r="AC3" s="248" t="s">
        <v>380</v>
      </c>
      <c r="AD3" s="248" t="s">
        <v>373</v>
      </c>
      <c r="AE3" s="248" t="s">
        <v>374</v>
      </c>
      <c r="AF3" s="248" t="s">
        <v>1980</v>
      </c>
      <c r="AG3" s="248" t="s">
        <v>384</v>
      </c>
      <c r="AH3" s="248" t="s">
        <v>1639</v>
      </c>
      <c r="AI3" s="248" t="s">
        <v>1646</v>
      </c>
      <c r="AJ3" s="248" t="s">
        <v>1647</v>
      </c>
      <c r="AK3" s="248" t="s">
        <v>386</v>
      </c>
      <c r="AL3" s="264" t="str">
        <f ca="1">ADDRESS(SUM(ROW()),MATCH("SOC",$1:$1,0)+1,4,1,$C$2)&amp;":"&amp;ADDRESS(SUM(ROW()),MATCH("EOC",$1:$1,0)-1,4)</f>
        <v>Mods!B3:AK3</v>
      </c>
    </row>
    <row r="4" spans="1:38" s="254" customFormat="1" ht="17.25" customHeight="1" outlineLevel="1">
      <c r="A4" s="224" t="s">
        <v>407</v>
      </c>
      <c r="B4" s="250" t="str" cm="1">
        <f t="array" aca="1" ref="B4" ca="1">ADDRESS(VALUE(INDEX(_xlfn.TEXTSPLIT($AL$2,":"),1)),SUM(COLUMN()),4,1,$C$2)&amp;":"&amp;ADDRESS(VALUE(INDEX(_xlfn.TEXTSPLIT($AL$2,":"),2)),SUM(COLUMN()),4)</f>
        <v>Mods!B6:B39</v>
      </c>
      <c r="C4" s="250" t="str" cm="1">
        <f t="array" aca="1" ref="C4" ca="1">ADDRESS(VALUE(INDEX(_xlfn.TEXTSPLIT($AL$2,":"),1)),SUM(COLUMN()),4,1,$C$2)&amp;":"&amp;ADDRESS(VALUE(INDEX(_xlfn.TEXTSPLIT($AL$2,":"),2)),SUM(COLUMN()),4)</f>
        <v>Mods!C6:C39</v>
      </c>
      <c r="D4" s="250"/>
      <c r="E4" s="250" t="str" cm="1">
        <f t="array" aca="1" ref="E4" ca="1">ADDRESS(VALUE(INDEX(_xlfn.TEXTSPLIT($AL$2,":"),1)),SUM(COLUMN()),4,1,$C$2)&amp;":"&amp;ADDRESS(VALUE(INDEX(_xlfn.TEXTSPLIT($AL$2,":"),2)),SUM(COLUMN()),4)</f>
        <v>Mods!E6:E39</v>
      </c>
      <c r="F4" s="250" t="str" cm="1">
        <f t="array" aca="1" ref="F4" ca="1">ADDRESS(VALUE(INDEX(_xlfn.TEXTSPLIT($AL$2,":"),1)),SUM(COLUMN()),4,1,$C$2)&amp;":"&amp;ADDRESS(VALUE(INDEX(_xlfn.TEXTSPLIT($AL$2,":"),2)),SUM(COLUMN()),4)</f>
        <v>Mods!F6:F39</v>
      </c>
      <c r="G4" s="250" t="str" cm="1">
        <f t="array" aca="1" ref="G4" ca="1">ADDRESS(VALUE(INDEX(_xlfn.TEXTSPLIT($AL$2,":"),1)),SUM(COLUMN()),4,1,$C$2)&amp;":"&amp;ADDRESS(VALUE(INDEX(_xlfn.TEXTSPLIT($AL$2,":"),2)),SUM(COLUMN()),4)</f>
        <v>Mods!G6:G39</v>
      </c>
      <c r="H4" s="250" t="str" cm="1">
        <f t="array" aca="1" ref="H4" ca="1">ADDRESS(VALUE(INDEX(_xlfn.TEXTSPLIT($AL$2,":"),1)),SUM(COLUMN()),4,1,$C$2)&amp;":"&amp;ADDRESS(VALUE(INDEX(_xlfn.TEXTSPLIT($AL$2,":"),2)),SUM(COLUMN()),4)</f>
        <v>Mods!H6:H39</v>
      </c>
      <c r="I4" s="251" t="str" cm="1">
        <f t="array" aca="1" ref="I4" ca="1">ADDRESS(VALUE(INDEX(_xlfn.TEXTSPLIT($AL$2,":"),1)),SUM(COLUMN()),4,1,$C$2)&amp;":"&amp;ADDRESS(VALUE(INDEX(_xlfn.TEXTSPLIT($AL$2,":"),2)),SUM(COLUMN()),4)</f>
        <v>Mods!I6:I39</v>
      </c>
      <c r="J4" s="252" t="str" cm="1">
        <f t="array" aca="1" ref="J4" ca="1">ADDRESS(VALUE(INDEX(_xlfn.TEXTSPLIT($AL$2,":"),1)),SUM(COLUMN()),4,1,$C$2)&amp;":"&amp;ADDRESS(VALUE(INDEX(_xlfn.TEXTSPLIT($AL$2,":"),2)),SUM(COLUMN()),4)</f>
        <v>Mods!J6:J39</v>
      </c>
      <c r="K4" s="250" t="str" cm="1">
        <f t="array" aca="1" ref="K4" ca="1">ADDRESS(VALUE(INDEX(_xlfn.TEXTSPLIT($AL$2,":"),1)),SUM(COLUMN()),4,1,$C$2)&amp;":"&amp;ADDRESS(VALUE(INDEX(_xlfn.TEXTSPLIT($AL$2,":"),2)),SUM(COLUMN()),4)</f>
        <v>Mods!K6:K39</v>
      </c>
      <c r="L4" s="253" t="str" cm="1">
        <f t="array" aca="1" ref="L4" ca="1">ADDRESS(VALUE(INDEX(_xlfn.TEXTSPLIT($AL$2,":"),1)),SUM(COLUMN()),4,1,$C$2)&amp;":"&amp;ADDRESS(VALUE(INDEX(_xlfn.TEXTSPLIT($AL$2,":"),2)),SUM(COLUMN()),4)</f>
        <v>Mods!L6:L39</v>
      </c>
      <c r="M4" s="253" t="str" cm="1">
        <f t="array" aca="1" ref="M4" ca="1">ADDRESS(VALUE(INDEX(_xlfn.TEXTSPLIT($AL$2,":"),1)),SUM(COLUMN()),4,1,$C$2)&amp;":"&amp;ADDRESS(VALUE(INDEX(_xlfn.TEXTSPLIT($AL$2,":"),2)),SUM(COLUMN()),4)</f>
        <v>Mods!M6:M39</v>
      </c>
      <c r="N4" s="250" t="str" cm="1">
        <f t="array" aca="1" ref="N4" ca="1">ADDRESS(VALUE(INDEX(_xlfn.TEXTSPLIT($AL$2,":"),1)),SUM(COLUMN()),4,1,$C$2)&amp;":"&amp;ADDRESS(VALUE(INDEX(_xlfn.TEXTSPLIT($AL$2,":"),2)),SUM(COLUMN()),4)</f>
        <v>Mods!N6:N39</v>
      </c>
      <c r="O4" s="250" t="str" cm="1">
        <f t="array" aca="1" ref="O4" ca="1">ADDRESS(VALUE(INDEX(_xlfn.TEXTSPLIT($AL$2,":"),1)),SUM(COLUMN()),4,1,$C$2)&amp;":"&amp;ADDRESS(VALUE(INDEX(_xlfn.TEXTSPLIT($AL$2,":"),2)),SUM(COLUMN()),4)</f>
        <v>Mods!O6:O39</v>
      </c>
      <c r="P4" s="250" t="str" cm="1">
        <f t="array" aca="1" ref="P4" ca="1">ADDRESS(VALUE(INDEX(_xlfn.TEXTSPLIT($AL$2,":"),1)),SUM(COLUMN()),4,1,$C$2)&amp;":"&amp;ADDRESS(VALUE(INDEX(_xlfn.TEXTSPLIT($AL$2,":"),2)),SUM(COLUMN()),4)</f>
        <v>Mods!P6:P39</v>
      </c>
      <c r="Q4" s="250" t="str" cm="1">
        <f t="array" aca="1" ref="Q4" ca="1">ADDRESS(VALUE(INDEX(_xlfn.TEXTSPLIT($AL$2,":"),1)),SUM(COLUMN()),4,1,$C$2)&amp;":"&amp;ADDRESS(VALUE(INDEX(_xlfn.TEXTSPLIT($AL$2,":"),2)),SUM(COLUMN()),4)</f>
        <v>Mods!Q6:Q39</v>
      </c>
      <c r="R4" s="250"/>
      <c r="S4" s="250" t="str" cm="1">
        <f t="array" aca="1" ref="S4" ca="1">ADDRESS(VALUE(INDEX(_xlfn.TEXTSPLIT($AL$2,":"),1)),SUM(COLUMN()),4,1,$C$2)&amp;":"&amp;ADDRESS(VALUE(INDEX(_xlfn.TEXTSPLIT($AL$2,":"),2)),SUM(COLUMN()),4)</f>
        <v>Mods!S6:S39</v>
      </c>
      <c r="T4" s="250" t="str" cm="1">
        <f t="array" aca="1" ref="T4" ca="1">ADDRESS(VALUE(INDEX(_xlfn.TEXTSPLIT($AL$2,":"),1)),SUM(COLUMN()),4,1,$C$2)&amp;":"&amp;ADDRESS(VALUE(INDEX(_xlfn.TEXTSPLIT($AL$2,":"),2)),SUM(COLUMN()),4)</f>
        <v>Mods!T6:T39</v>
      </c>
      <c r="U4" s="250" t="str" cm="1">
        <f t="array" aca="1" ref="U4" ca="1">ADDRESS(VALUE(INDEX(_xlfn.TEXTSPLIT($AL$2,":"),1)),SUM(COLUMN()),4,1,$C$2)&amp;":"&amp;ADDRESS(VALUE(INDEX(_xlfn.TEXTSPLIT($AL$2,":"),2)),SUM(COLUMN()),4)</f>
        <v>Mods!U6:U39</v>
      </c>
      <c r="V4" s="250" t="str" cm="1">
        <f t="array" aca="1" ref="V4" ca="1">ADDRESS(VALUE(INDEX(_xlfn.TEXTSPLIT($AL$2,":"),1)),SUM(COLUMN()),4,1,$C$2)&amp;":"&amp;ADDRESS(VALUE(INDEX(_xlfn.TEXTSPLIT($AL$2,":"),2)),SUM(COLUMN()),4)</f>
        <v>Mods!V6:V39</v>
      </c>
      <c r="W4" s="250" t="str" cm="1">
        <f t="array" aca="1" ref="W4" ca="1">ADDRESS(VALUE(INDEX(_xlfn.TEXTSPLIT($AL$2,":"),1)),SUM(COLUMN()),4,1,$C$2)&amp;":"&amp;ADDRESS(VALUE(INDEX(_xlfn.TEXTSPLIT($AL$2,":"),2)),SUM(COLUMN()),4)</f>
        <v>Mods!W6:W39</v>
      </c>
      <c r="X4" s="250" t="str" cm="1">
        <f t="array" aca="1" ref="X4" ca="1">ADDRESS(VALUE(INDEX(_xlfn.TEXTSPLIT($AL$2,":"),1)),SUM(COLUMN()),4,1,$C$2)&amp;":"&amp;ADDRESS(VALUE(INDEX(_xlfn.TEXTSPLIT($AL$2,":"),2)),SUM(COLUMN()),4)</f>
        <v>Mods!X6:X39</v>
      </c>
      <c r="Y4" s="250" t="str" cm="1">
        <f t="array" aca="1" ref="Y4" ca="1">ADDRESS(VALUE(INDEX(_xlfn.TEXTSPLIT($AL$2,":"),1)),SUM(COLUMN()),4,1,$C$2)&amp;":"&amp;ADDRESS(VALUE(INDEX(_xlfn.TEXTSPLIT($AL$2,":"),2)),SUM(COLUMN()),4)</f>
        <v>Mods!Y6:Y39</v>
      </c>
      <c r="Z4" s="250" t="str" cm="1">
        <f t="array" aca="1" ref="Z4" ca="1">ADDRESS(VALUE(INDEX(_xlfn.TEXTSPLIT($AL$2,":"),1)),SUM(COLUMN()),4,1,$C$2)&amp;":"&amp;ADDRESS(VALUE(INDEX(_xlfn.TEXTSPLIT($AL$2,":"),2)),SUM(COLUMN()),4)</f>
        <v>Mods!Z6:Z39</v>
      </c>
      <c r="AA4" s="250" t="str" cm="1">
        <f t="array" aca="1" ref="AA4" ca="1">ADDRESS(VALUE(INDEX(_xlfn.TEXTSPLIT($AL$2,":"),1)),SUM(COLUMN()),4,1,$C$2)&amp;":"&amp;ADDRESS(VALUE(INDEX(_xlfn.TEXTSPLIT($AL$2,":"),2)),SUM(COLUMN()),4)</f>
        <v>Mods!AA6:AA39</v>
      </c>
      <c r="AB4" s="250" t="str" cm="1">
        <f t="array" aca="1" ref="AB4" ca="1">ADDRESS(VALUE(INDEX(_xlfn.TEXTSPLIT($AL$2,":"),1)),SUM(COLUMN()),4,1,$C$2)&amp;":"&amp;ADDRESS(VALUE(INDEX(_xlfn.TEXTSPLIT($AL$2,":"),2)),SUM(COLUMN()),4)</f>
        <v>Mods!AB6:AB39</v>
      </c>
      <c r="AC4" s="250" t="str" cm="1">
        <f t="array" aca="1" ref="AC4" ca="1">ADDRESS(VALUE(INDEX(_xlfn.TEXTSPLIT($AL$2,":"),1)),SUM(COLUMN()),4,1,$C$2)&amp;":"&amp;ADDRESS(VALUE(INDEX(_xlfn.TEXTSPLIT($AL$2,":"),2)),SUM(COLUMN()),4)</f>
        <v>Mods!AC6:AC39</v>
      </c>
      <c r="AD4" s="250" t="str" cm="1">
        <f t="array" aca="1" ref="AD4" ca="1">ADDRESS(VALUE(INDEX(_xlfn.TEXTSPLIT($AL$2,":"),1)),SUM(COLUMN()),4,1,$C$2)&amp;":"&amp;ADDRESS(VALUE(INDEX(_xlfn.TEXTSPLIT($AL$2,":"),2)),SUM(COLUMN()),4)</f>
        <v>Mods!AD6:AD39</v>
      </c>
      <c r="AE4" s="250" t="str" cm="1">
        <f t="array" aca="1" ref="AE4" ca="1">ADDRESS(VALUE(INDEX(_xlfn.TEXTSPLIT($AL$2,":"),1)),SUM(COLUMN()),4,1,$C$2)&amp;":"&amp;ADDRESS(VALUE(INDEX(_xlfn.TEXTSPLIT($AL$2,":"),2)),SUM(COLUMN()),4)</f>
        <v>Mods!AE6:AE39</v>
      </c>
      <c r="AF4" s="250" t="str" cm="1">
        <f t="array" aca="1" ref="AF4" ca="1">ADDRESS(VALUE(INDEX(_xlfn.TEXTSPLIT($AL$2,":"),1)),SUM(COLUMN()),4,1,$C$2)&amp;":"&amp;ADDRESS(VALUE(INDEX(_xlfn.TEXTSPLIT($AL$2,":"),2)),SUM(COLUMN()),4)</f>
        <v>Mods!AF6:AF39</v>
      </c>
      <c r="AG4" s="250" t="str" cm="1">
        <f t="array" aca="1" ref="AG4" ca="1">ADDRESS(VALUE(INDEX(_xlfn.TEXTSPLIT($AL$2,":"),1)),SUM(COLUMN()),4,1,$C$2)&amp;":"&amp;ADDRESS(VALUE(INDEX(_xlfn.TEXTSPLIT($AL$2,":"),2)),SUM(COLUMN()),4)</f>
        <v>Mods!AG6:AG39</v>
      </c>
      <c r="AH4" s="250" t="str" cm="1">
        <f t="array" aca="1" ref="AH4" ca="1">ADDRESS(VALUE(INDEX(_xlfn.TEXTSPLIT($AL$2,":"),1)),SUM(COLUMN()),4,1,$C$2)&amp;":"&amp;ADDRESS(VALUE(INDEX(_xlfn.TEXTSPLIT($AL$2,":"),2)),SUM(COLUMN()),4)</f>
        <v>Mods!AH6:AH39</v>
      </c>
      <c r="AI4" s="250" t="str" cm="1">
        <f t="array" aca="1" ref="AI4" ca="1">ADDRESS(VALUE(INDEX(_xlfn.TEXTSPLIT($AL$2,":"),1)),SUM(COLUMN()),4,1,$C$2)&amp;":"&amp;ADDRESS(VALUE(INDEX(_xlfn.TEXTSPLIT($AL$2,":"),2)),SUM(COLUMN()),4)</f>
        <v>Mods!AI6:AI39</v>
      </c>
      <c r="AJ4" s="250" t="str" cm="1">
        <f t="array" aca="1" ref="AJ4" ca="1">ADDRESS(VALUE(INDEX(_xlfn.TEXTSPLIT($AL$2,":"),1)),SUM(COLUMN()),4,1,$C$2)&amp;":"&amp;ADDRESS(VALUE(INDEX(_xlfn.TEXTSPLIT($AL$2,":"),2)),SUM(COLUMN()),4)</f>
        <v>Mods!AJ6:AJ39</v>
      </c>
      <c r="AK4" s="250" t="str" cm="1">
        <f t="array" aca="1" ref="AK4" ca="1">ADDRESS(VALUE(INDEX(_xlfn.TEXTSPLIT($AL$2,":"),1)),SUM(COLUMN()),4,1,$C$2)&amp;":"&amp;ADDRESS(VALUE(INDEX(_xlfn.TEXTSPLIT($AL$2,":"),2)),SUM(COLUMN()),4)</f>
        <v>Mods!AK6:AK39</v>
      </c>
      <c r="AL4" s="264" t="str">
        <f ca="1">ADDRESS(SUM(ROW()),MATCH("SOC",$1:$1,0)+1,4,1,$C$2)&amp;":"&amp;ADDRESS(SUM(ROW()),MATCH("EOC",$1:$1,0)-1,4)</f>
        <v>Mods!B4:AK4</v>
      </c>
    </row>
    <row r="5" spans="1:38" s="249" customFormat="1" ht="39" customHeight="1">
      <c r="A5" s="222" t="s">
        <v>390</v>
      </c>
      <c r="B5" s="255" t="s">
        <v>32</v>
      </c>
      <c r="C5" s="255" t="s">
        <v>1325</v>
      </c>
      <c r="D5" s="255" t="s">
        <v>2129</v>
      </c>
      <c r="E5" s="256" t="s">
        <v>34</v>
      </c>
      <c r="F5" s="255" t="s">
        <v>1564</v>
      </c>
      <c r="G5" s="255" t="s">
        <v>37</v>
      </c>
      <c r="H5" s="255" t="s">
        <v>1757</v>
      </c>
      <c r="I5" s="257" t="s">
        <v>1376</v>
      </c>
      <c r="J5" s="258" t="s">
        <v>1313</v>
      </c>
      <c r="K5" s="259" t="s">
        <v>33</v>
      </c>
      <c r="L5" s="260" t="s">
        <v>414</v>
      </c>
      <c r="M5" s="260" t="s">
        <v>415</v>
      </c>
      <c r="N5" s="261" t="s">
        <v>1756</v>
      </c>
      <c r="O5" s="261" t="s">
        <v>35</v>
      </c>
      <c r="P5" s="261" t="s">
        <v>36</v>
      </c>
      <c r="Q5" s="261" t="s">
        <v>1327</v>
      </c>
      <c r="R5" s="261" t="s">
        <v>1755</v>
      </c>
      <c r="S5" s="261" t="s">
        <v>63</v>
      </c>
      <c r="T5" s="255" t="s">
        <v>7</v>
      </c>
      <c r="U5" s="262" t="s">
        <v>45</v>
      </c>
      <c r="V5" s="262" t="s">
        <v>52</v>
      </c>
      <c r="W5" s="255" t="s">
        <v>43</v>
      </c>
      <c r="X5" s="255" t="s">
        <v>3</v>
      </c>
      <c r="Y5" s="263" t="s">
        <v>53</v>
      </c>
      <c r="Z5" s="263" t="s">
        <v>54</v>
      </c>
      <c r="AA5" s="255" t="s">
        <v>4</v>
      </c>
      <c r="AB5" s="255" t="s">
        <v>38</v>
      </c>
      <c r="AC5" s="255" t="s">
        <v>55</v>
      </c>
      <c r="AD5" s="255" t="s">
        <v>1</v>
      </c>
      <c r="AE5" s="262" t="s">
        <v>292</v>
      </c>
      <c r="AF5" s="255" t="s">
        <v>39</v>
      </c>
      <c r="AG5" s="255" t="s">
        <v>40</v>
      </c>
      <c r="AH5" s="255" t="s">
        <v>56</v>
      </c>
      <c r="AI5" s="255" t="s">
        <v>57</v>
      </c>
      <c r="AJ5" s="255" t="s">
        <v>58</v>
      </c>
      <c r="AK5" s="255" t="s">
        <v>42</v>
      </c>
      <c r="AL5" s="264" t="str">
        <f t="shared" ref="AL5:AL39" si="0">ADDRESS(SUM(ROW()),MATCH("CD2",$1:$1,0)+1,4)&amp;":"&amp;ADDRESS(SUM(ROW()),MATCH("EOC",$1:$1,0)-1,4)</f>
        <v>U5:AK5</v>
      </c>
    </row>
    <row r="6" spans="1:38" s="249" customFormat="1" ht="27" customHeight="1">
      <c r="A6" s="222"/>
      <c r="B6" s="265" t="str" cm="1">
        <f t="array" ref="B6">_xlfn.LET(_xlpm.x,IFERROR(INDEX(TbRsmIn[Enquiry No],SUM(ROW()-MATCH("SOR",$A:$A,0))),"X"),IF(_xlpm.x=0,"X",_xlpm.x))</f>
        <v>0CT001</v>
      </c>
      <c r="C6" s="265" t="str">
        <f>IF($B6="X","X",INDEX(F_PI2[PrjId],MATCH(VALUE(LEFT($B6,1)),F_PI2[PrjOrd],0)))</f>
        <v>31200</v>
      </c>
      <c r="D6" s="265" t="str">
        <f>IF($B6="X","X",IF(RIGHT(C6,1)="M","Mx","Sp"))</f>
        <v>Sp</v>
      </c>
      <c r="E6" s="266" t="str" cm="1">
        <f t="array" ref="E6">IF($B6="","X",UPPER(_xlfn._xlws.FILTER(CstClcData[Value],(CstClcData[Name]=$B6)*(CstClcData[Attribute]=E$3),"X")))</f>
        <v>PW OFFLINE ACCORDING GESTAMP EUR STANDARD</v>
      </c>
      <c r="F6" s="233" t="str" cm="1">
        <f t="array" ref="F6">IF($B6="X","X",_xlfn.UNIQUE(_xlfn._xlws.FILTER(PInt2[VtaId],(ISNUMBER(FIND(RIGHT($B6,LEN($B6)-1),SUBSTITUTE(PInt2[PInNxm],"-",""))))*(PInt2[PrjId]=TEXT($C6,"@")),"X")))</f>
        <v>X</v>
      </c>
      <c r="G6" s="269" t="str" cm="1">
        <f t="array" ref="G6">IF($F6="X","X",_xlfn.UNIQUE(_xlfn._xlws.FILTER(PInt2[OrdIds],(PInt2[VtaId]=$F6)*(PInt2[PrjId]=TEXT($C6,"@")),"X")))</f>
        <v>X</v>
      </c>
      <c r="H6" s="233" t="str" cm="1">
        <f t="array" ref="H6">IF($F6="X","X",_xlfn.UNIQUE(_xlfn._xlws.FILTER(PInt2[CusOrdId],(PInt2[VtaId]=$F6)*(PInt2[PrjId]=TEXT($C6,"@")),"X")))</f>
        <v>X</v>
      </c>
      <c r="I6" s="234" cm="1">
        <f t="array" ref="I6">IF($B6="","X",_xlfn._xlws.FILTER(TbRsmIn[Date],(TbRsmIn[Enquiry No]=$B6),"X"))</f>
        <v>45141</v>
      </c>
      <c r="J6" s="265">
        <f>IFERROR(YEAR(I6)*100+_xlfn.ISOWEEKNUM(I6),"X")</f>
        <v>202331</v>
      </c>
      <c r="K6" s="234" t="str" cm="1">
        <f t="array" ref="K6">IF($B6="","X",_xlfn._xlws.FILTER(TbRsmIn[Causality],(TbRsmIn[Enquiry No]=$B6),"X"))</f>
        <v>DEFINICION</v>
      </c>
      <c r="L6" s="267" t="str" cm="1">
        <f t="array" ref="L6">_xlfn._xlws.FILTER(PInt2[OrdMin],PInt2[VtaId]=$F6,"X")</f>
        <v>X</v>
      </c>
      <c r="M6" s="267" t="str" cm="1">
        <f t="array" ref="M6">_xlfn._xlws.FILTER(PInt2[PayMax],PInt2[VtaId]=$F6,"X")</f>
        <v>X</v>
      </c>
      <c r="N6" s="122" t="str" cm="1">
        <f t="array" ref="N6">IFERROR(_xlfn.TEXTAFTER(INDEX(O$5:R$5,MAX(_xlfn._xlws.FILTER(COLUMN($O6:$R6),($O6:$R6&lt;&gt;0)*($O6:$R6&lt;"")*(UPPER($O6:$R6)&lt;&gt;"X")))-MATCH("SOV",$1:$1,0))," "),"X")</f>
        <v>Ofertado</v>
      </c>
      <c r="O6" s="268" cm="1">
        <f t="array" ref="O6">IF($B6="","X",_xlfn._xlws.FILTER(TbRsmIn[Offered],(TbRsmIn[Enquiry No]=$B6),"X"))</f>
        <v>-16536.84</v>
      </c>
      <c r="P6" s="268" t="str" cm="1">
        <f t="array" ref="P6">IF($B6="","X",IF(Q6&lt;&gt;0,Q6,_xlfn._xlws.FILTER(CstClcData[Value],(CstClcData[Name]=$B6)*(CstClcData[Attribute]=P$3),"X")))</f>
        <v>X</v>
      </c>
      <c r="Q6" s="268" cm="1">
        <f t="array" ref="Q6">IF($B6="","X",_xlfn._xlws.FILTER(TbRsmIn[Ordered],(TbRsmIn[Enquiry No]=$B6),"X"))</f>
        <v>0</v>
      </c>
      <c r="R6" s="268" cm="1">
        <f t="array" ref="R6">SUM(_xlfn._xlws.FILTER(PInt2[InvCur],(PInt2[PInNxm]&lt;&gt;0)*(PInt2[PrjId]=$C6)*(IFERROR(_xlfn.TEXTBEFORE(SUBSTITUTE(PInt2[PInNxm],"-",""),"/"),"X")=RIGHT($B6,LEN($B6)-1)),0))</f>
        <v>0</v>
      </c>
      <c r="S6" s="122" t="str" cm="1">
        <f t="array" ref="S6">IF($B6="","X",_xlfn._xlws.FILTER(TbRsmIn[Alive]&amp;CHAR(10)&amp;TEXT(TbRsmIn[Ongoing],"000%"),(TbRsmIn[Enquiry No]=$B6),"X"))</f>
        <v>C
000%</v>
      </c>
      <c r="T6" s="292">
        <f t="shared" ref="T6:T39" ca="1" si="1">SUM(INDIRECT($AL6))</f>
        <v>-16363.205900000001</v>
      </c>
      <c r="U6" s="270" cm="1">
        <f t="array" ref="U6">SUM(_xlfn._xlws.FILTER(CstClcCur[[Value]:[Value]],(CstClcCur[[Name]:[Name]]=$B6)*(ISNUMBER(FIND(CstClcCur[[Attribute]:[Attribute]],U$3))),0))</f>
        <v>0</v>
      </c>
      <c r="V6" s="270" cm="1">
        <f t="array" ref="V6">SUM(_xlfn._xlws.FILTER(CstClcCur[[Value]:[Value]],(CstClcCur[[Name]:[Name]]=$B6)*(ISNUMBER(FIND(CstClcCur[[Attribute]:[Attribute]],V$3))),0))</f>
        <v>0</v>
      </c>
      <c r="W6" s="270" cm="1">
        <f t="array" ref="W6">SUM(_xlfn._xlws.FILTER(CstClcCur[[Value]:[Value]],(CstClcCur[[Name]:[Name]]=$B6)*(ISNUMBER(FIND(CstClcCur[[Attribute]:[Attribute]],W$3))),0))</f>
        <v>0</v>
      </c>
      <c r="X6" s="270" cm="1">
        <f t="array" ref="X6">SUM(_xlfn._xlws.FILTER(CstClcCur[[Value]:[Value]],(CstClcCur[[Name]:[Name]]=$B6)*(ISNUMBER(FIND(CstClcCur[[Attribute]:[Attribute]],X$3))),0))</f>
        <v>0</v>
      </c>
      <c r="Y6" s="270" cm="1">
        <f t="array" ref="Y6">SUM(_xlfn._xlws.FILTER(CstClcCur[[Value]:[Value]],(CstClcCur[[Name]:[Name]]=$B6)*(ISNUMBER(FIND(CstClcCur[[Attribute]:[Attribute]],Y$3))),0))</f>
        <v>0</v>
      </c>
      <c r="Z6" s="270" cm="1">
        <f t="array" ref="Z6">SUM(_xlfn._xlws.FILTER(CstClcCur[[Value]:[Value]],(CstClcCur[[Name]:[Name]]=$B6)*(ISNUMBER(FIND(CstClcCur[[Attribute]:[Attribute]],Z$3))),0))</f>
        <v>0</v>
      </c>
      <c r="AA6" s="270" cm="1">
        <f t="array" ref="AA6">SUM(_xlfn._xlws.FILTER(CstClcCur[[Value]:[Value]],(CstClcCur[[Name]:[Name]]=$B6)*(ISNUMBER(FIND(CstClcCur[[Attribute]:[Attribute]],AA$3))),0))</f>
        <v>0</v>
      </c>
      <c r="AB6" s="270" cm="1">
        <f t="array" ref="AB6">SUM(_xlfn._xlws.FILTER(CstClcCur[[Value]:[Value]],(CstClcCur[[Name]:[Name]]=$B6)*(ISNUMBER(FIND(CstClcCur[[Attribute]:[Attribute]],AB$3))),0))</f>
        <v>0</v>
      </c>
      <c r="AC6" s="270" cm="1">
        <f t="array" ref="AC6">SUM(_xlfn._xlws.FILTER(CstClcCur[[Value]:[Value]],(CstClcCur[[Name]:[Name]]=$B6)*(ISNUMBER(FIND(CstClcCur[[Attribute]:[Attribute]],AC$3))),0))</f>
        <v>0</v>
      </c>
      <c r="AD6" s="270" cm="1">
        <f t="array" ref="AD6">SUM(_xlfn._xlws.FILTER(CstClcCur[[Value]:[Value]],(CstClcCur[[Name]:[Name]]=$B6)*(ISNUMBER(FIND(CstClcCur[[Attribute]:[Attribute]],AD$3))),0))</f>
        <v>0</v>
      </c>
      <c r="AE6" s="270" cm="1">
        <f t="array" ref="AE6">SUM(_xlfn._xlws.FILTER(CstClcCur[[Value]:[Value]],(CstClcCur[[Name]:[Name]]=$B6)*(ISNUMBER(FIND(CstClcCur[[Attribute]:[Attribute]],AE$3))),0))</f>
        <v>-16363.205900000001</v>
      </c>
      <c r="AF6" s="270" cm="1">
        <f t="array" ref="AF6">SUM(_xlfn._xlws.FILTER(CstClcCur[[Value]:[Value]],(CstClcCur[[Name]:[Name]]=$B6)*(ISNUMBER(FIND(CstClcCur[[Attribute]:[Attribute]],AF$3))),0))</f>
        <v>0</v>
      </c>
      <c r="AG6" s="270" cm="1">
        <f t="array" ref="AG6">SUM(_xlfn._xlws.FILTER(CstClcCur[[Value]:[Value]],(CstClcCur[[Name]:[Name]]=$B6)*(ISNUMBER(FIND(CstClcCur[[Attribute]:[Attribute]],AG$3))),0))</f>
        <v>0</v>
      </c>
      <c r="AH6" s="270" cm="1">
        <f t="array" ref="AH6">SUM(_xlfn._xlws.FILTER(CstClcCur[[Value]:[Value]],(CstClcCur[[Name]:[Name]]=$B6)*(ISNUMBER(FIND(CstClcCur[[Attribute]:[Attribute]],AH$3))),0))</f>
        <v>0</v>
      </c>
      <c r="AI6" s="270" cm="1">
        <f t="array" ref="AI6">SUM(_xlfn._xlws.FILTER(CstClcCur[[Value]:[Value]],(CstClcCur[[Name]:[Name]]=$B6)*(ISNUMBER(FIND(CstClcCur[[Attribute]:[Attribute]],AI$3))),0))</f>
        <v>0</v>
      </c>
      <c r="AJ6" s="270" cm="1">
        <f t="array" ref="AJ6">SUM(_xlfn._xlws.FILTER(CstClcCur[[Value]:[Value]],(CstClcCur[[Name]:[Name]]=$B6)*(ISNUMBER(FIND(CstClcCur[[Attribute]:[Attribute]],AJ$3))),0))</f>
        <v>0</v>
      </c>
      <c r="AK6" s="270" cm="1">
        <f t="array" ref="AK6">SUM(_xlfn._xlws.FILTER(CstClcCur[[Value]:[Value]],(CstClcCur[[Name]:[Name]]=$B6)*(ISNUMBER(FIND(CstClcCur[[Attribute]:[Attribute]],AK$3))),0))</f>
        <v>0</v>
      </c>
      <c r="AL6" s="264" t="str">
        <f t="shared" si="0"/>
        <v>U6:AK6</v>
      </c>
    </row>
    <row r="7" spans="1:38" s="249" customFormat="1" ht="27" customHeight="1">
      <c r="A7" s="222"/>
      <c r="B7" s="265" t="str" cm="1">
        <f t="array" ref="B7">_xlfn.LET(_xlpm.x,IFERROR(INDEX(TbRsmIn[Enquiry No],SUM(ROW()-MATCH("SOR",$A:$A,0))),"X"),IF(_xlpm.x=0,"X",_xlpm.x))</f>
        <v>0CT002</v>
      </c>
      <c r="C7" s="265" t="str">
        <f>IF($B7="X","X",INDEX(F_PI2[PrjId],MATCH(VALUE(LEFT($B7,1)),F_PI2[PrjOrd],0)))</f>
        <v>31200</v>
      </c>
      <c r="D7" s="265" t="str">
        <f t="shared" ref="D7:D39" si="2">IF($B7="X","X",IF(RIGHT(C7,1)="M","Mx","Sp"))</f>
        <v>Sp</v>
      </c>
      <c r="E7" s="266" t="str" cm="1">
        <f t="array" ref="E7">IF($B7="","X",UPPER(_xlfn._xlws.FILTER(CstClcData[Value],(CstClcData[Name]=$B7)*(CstClcData[Attribute]=E$3),"X")))</f>
        <v>EMA RR EOL AUTO UNLOAD AGV RACK (PENDING AGV CONCEPT). EMAIL 26/09/23.</v>
      </c>
      <c r="F7" s="233" t="str" cm="1">
        <f t="array" ref="F7">IF($B7="X","X",_xlfn.UNIQUE(_xlfn._xlws.FILTER(PInt2[VtaId],(ISNUMBER(FIND(RIGHT($B7,LEN($B7)-1),SUBSTITUTE(PInt2[PInNxm],"-",""))))*(PInt2[PrjId]=TEXT($C7,"@")),"X")))</f>
        <v>X</v>
      </c>
      <c r="G7" s="269" t="str" cm="1">
        <f t="array" ref="G7">IF($F7="X","X",_xlfn.UNIQUE(_xlfn._xlws.FILTER(PInt2[OrdIds],(PInt2[VtaId]=$F7)*(PInt2[PrjId]=TEXT($C7,"@")),"X")))</f>
        <v>X</v>
      </c>
      <c r="H7" s="233" t="str" cm="1">
        <f t="array" ref="H7">IF($F7="X","X",_xlfn.UNIQUE(_xlfn._xlws.FILTER(PInt2[CusOrdId],(PInt2[VtaId]=$F7)*(PInt2[PrjId]=TEXT($C7,"@")),"X")))</f>
        <v>X</v>
      </c>
      <c r="I7" s="234" cm="1">
        <f t="array" ref="I7">IF($B7="","X",_xlfn._xlws.FILTER(TbRsmIn[Date],(TbRsmIn[Enquiry No]=$B7),"X"))</f>
        <v>45195</v>
      </c>
      <c r="J7" s="265">
        <f t="shared" ref="J7:J39" si="3">IFERROR(YEAR(I7)*100+_xlfn.ISOWEEKNUM(I7),"X")</f>
        <v>202339</v>
      </c>
      <c r="K7" s="234" t="str" cm="1">
        <f t="array" ref="K7">IF($B7="","X",_xlfn._xlws.FILTER(TbRsmIn[Causality],(TbRsmIn[Enquiry No]=$B7),"X"))</f>
        <v>DEFINICION</v>
      </c>
      <c r="L7" s="267" t="str" cm="1">
        <f t="array" ref="L7">_xlfn._xlws.FILTER(PInt2[OrdMin],PInt2[VtaId]=$F7,"X")</f>
        <v>X</v>
      </c>
      <c r="M7" s="267" t="str" cm="1">
        <f t="array" ref="M7">_xlfn._xlws.FILTER(PInt2[PayMax],PInt2[VtaId]=$F7,"X")</f>
        <v>X</v>
      </c>
      <c r="N7" s="122" t="str" cm="1">
        <f t="array" ref="N7">IFERROR(_xlfn.TEXTAFTER(INDEX(O$5:R$5,MAX(_xlfn._xlws.FILTER(COLUMN($O7:$R7),($O7:$R7&lt;&gt;0)*($O7:$R7&lt;"")*(UPPER($O7:$R7)&lt;&gt;"X")))-MATCH("SOV",$1:$1,0))," "),"X")</f>
        <v>Ofertado</v>
      </c>
      <c r="O7" s="268" cm="1">
        <f t="array" ref="O7">IF($B7="","X",_xlfn._xlws.FILTER(TbRsmIn[Offered],(TbRsmIn[Enquiry No]=$B7),"X"))</f>
        <v>-16536.84</v>
      </c>
      <c r="P7" s="268" t="str" cm="1">
        <f t="array" ref="P7">IF($B7="","X",IF(Q7&lt;&gt;0,Q7,_xlfn._xlws.FILTER(CstClcData[Value],(CstClcData[Name]=$B7)*(CstClcData[Attribute]=P$3),"X")))</f>
        <v>X</v>
      </c>
      <c r="Q7" s="268" cm="1">
        <f t="array" ref="Q7">IF($B7="","X",_xlfn._xlws.FILTER(TbRsmIn[Ordered],(TbRsmIn[Enquiry No]=$B7),"X"))</f>
        <v>0</v>
      </c>
      <c r="R7" s="268" cm="1">
        <f t="array" ref="R7">SUM(_xlfn._xlws.FILTER(PInt2[InvCur],(PInt2[PInNxm]&lt;&gt;0)*(PInt2[PrjId]=$C7)*(IFERROR(_xlfn.TEXTBEFORE(SUBSTITUTE(PInt2[PInNxm],"-",""),"/"),"X")=RIGHT($B7,LEN($B7)-1)),0))</f>
        <v>0</v>
      </c>
      <c r="S7" s="122" t="str" cm="1">
        <f t="array" ref="S7">IF($B7="","X",_xlfn._xlws.FILTER(TbRsmIn[Alive]&amp;CHAR(10)&amp;TEXT(TbRsmIn[Ongoing],"000%"),(TbRsmIn[Enquiry No]=$B7),"X"))</f>
        <v>C
000%</v>
      </c>
      <c r="T7" s="292">
        <f t="shared" ca="1" si="1"/>
        <v>-16363.205900000001</v>
      </c>
      <c r="U7" s="270" cm="1">
        <f t="array" ref="U7">SUM(_xlfn._xlws.FILTER(CstClcCur[[Value]:[Value]],(CstClcCur[[Name]:[Name]]=$B7)*(ISNUMBER(FIND(CstClcCur[[Attribute]:[Attribute]],U$3))),0))</f>
        <v>0</v>
      </c>
      <c r="V7" s="270" cm="1">
        <f t="array" ref="V7">SUM(_xlfn._xlws.FILTER(CstClcCur[[Value]:[Value]],(CstClcCur[[Name]:[Name]]=$B7)*(ISNUMBER(FIND(CstClcCur[[Attribute]:[Attribute]],V$3))),0))</f>
        <v>0</v>
      </c>
      <c r="W7" s="270" cm="1">
        <f t="array" ref="W7">SUM(_xlfn._xlws.FILTER(CstClcCur[[Value]:[Value]],(CstClcCur[[Name]:[Name]]=$B7)*(ISNUMBER(FIND(CstClcCur[[Attribute]:[Attribute]],W$3))),0))</f>
        <v>0</v>
      </c>
      <c r="X7" s="270" cm="1">
        <f t="array" ref="X7">SUM(_xlfn._xlws.FILTER(CstClcCur[[Value]:[Value]],(CstClcCur[[Name]:[Name]]=$B7)*(ISNUMBER(FIND(CstClcCur[[Attribute]:[Attribute]],X$3))),0))</f>
        <v>0</v>
      </c>
      <c r="Y7" s="270" cm="1">
        <f t="array" ref="Y7">SUM(_xlfn._xlws.FILTER(CstClcCur[[Value]:[Value]],(CstClcCur[[Name]:[Name]]=$B7)*(ISNUMBER(FIND(CstClcCur[[Attribute]:[Attribute]],Y$3))),0))</f>
        <v>0</v>
      </c>
      <c r="Z7" s="270" cm="1">
        <f t="array" ref="Z7">SUM(_xlfn._xlws.FILTER(CstClcCur[[Value]:[Value]],(CstClcCur[[Name]:[Name]]=$B7)*(ISNUMBER(FIND(CstClcCur[[Attribute]:[Attribute]],Z$3))),0))</f>
        <v>0</v>
      </c>
      <c r="AA7" s="270" cm="1">
        <f t="array" ref="AA7">SUM(_xlfn._xlws.FILTER(CstClcCur[[Value]:[Value]],(CstClcCur[[Name]:[Name]]=$B7)*(ISNUMBER(FIND(CstClcCur[[Attribute]:[Attribute]],AA$3))),0))</f>
        <v>0</v>
      </c>
      <c r="AB7" s="270" cm="1">
        <f t="array" ref="AB7">SUM(_xlfn._xlws.FILTER(CstClcCur[[Value]:[Value]],(CstClcCur[[Name]:[Name]]=$B7)*(ISNUMBER(FIND(CstClcCur[[Attribute]:[Attribute]],AB$3))),0))</f>
        <v>0</v>
      </c>
      <c r="AC7" s="270" cm="1">
        <f t="array" ref="AC7">SUM(_xlfn._xlws.FILTER(CstClcCur[[Value]:[Value]],(CstClcCur[[Name]:[Name]]=$B7)*(ISNUMBER(FIND(CstClcCur[[Attribute]:[Attribute]],AC$3))),0))</f>
        <v>0</v>
      </c>
      <c r="AD7" s="270" cm="1">
        <f t="array" ref="AD7">SUM(_xlfn._xlws.FILTER(CstClcCur[[Value]:[Value]],(CstClcCur[[Name]:[Name]]=$B7)*(ISNUMBER(FIND(CstClcCur[[Attribute]:[Attribute]],AD$3))),0))</f>
        <v>0</v>
      </c>
      <c r="AE7" s="270" cm="1">
        <f t="array" ref="AE7">SUM(_xlfn._xlws.FILTER(CstClcCur[[Value]:[Value]],(CstClcCur[[Name]:[Name]]=$B7)*(ISNUMBER(FIND(CstClcCur[[Attribute]:[Attribute]],AE$3))),0))</f>
        <v>-16363.205900000001</v>
      </c>
      <c r="AF7" s="270" cm="1">
        <f t="array" ref="AF7">SUM(_xlfn._xlws.FILTER(CstClcCur[[Value]:[Value]],(CstClcCur[[Name]:[Name]]=$B7)*(ISNUMBER(FIND(CstClcCur[[Attribute]:[Attribute]],AF$3))),0))</f>
        <v>0</v>
      </c>
      <c r="AG7" s="270" cm="1">
        <f t="array" ref="AG7">SUM(_xlfn._xlws.FILTER(CstClcCur[[Value]:[Value]],(CstClcCur[[Name]:[Name]]=$B7)*(ISNUMBER(FIND(CstClcCur[[Attribute]:[Attribute]],AG$3))),0))</f>
        <v>0</v>
      </c>
      <c r="AH7" s="270" cm="1">
        <f t="array" ref="AH7">SUM(_xlfn._xlws.FILTER(CstClcCur[[Value]:[Value]],(CstClcCur[[Name]:[Name]]=$B7)*(ISNUMBER(FIND(CstClcCur[[Attribute]:[Attribute]],AH$3))),0))</f>
        <v>0</v>
      </c>
      <c r="AI7" s="270" cm="1">
        <f t="array" ref="AI7">SUM(_xlfn._xlws.FILTER(CstClcCur[[Value]:[Value]],(CstClcCur[[Name]:[Name]]=$B7)*(ISNUMBER(FIND(CstClcCur[[Attribute]:[Attribute]],AI$3))),0))</f>
        <v>0</v>
      </c>
      <c r="AJ7" s="270" cm="1">
        <f t="array" ref="AJ7">SUM(_xlfn._xlws.FILTER(CstClcCur[[Value]:[Value]],(CstClcCur[[Name]:[Name]]=$B7)*(ISNUMBER(FIND(CstClcCur[[Attribute]:[Attribute]],AJ$3))),0))</f>
        <v>0</v>
      </c>
      <c r="AK7" s="270" cm="1">
        <f t="array" ref="AK7">SUM(_xlfn._xlws.FILTER(CstClcCur[[Value]:[Value]],(CstClcCur[[Name]:[Name]]=$B7)*(ISNUMBER(FIND(CstClcCur[[Attribute]:[Attribute]],AK$3))),0))</f>
        <v>0</v>
      </c>
      <c r="AL7" s="264" t="str">
        <f t="shared" si="0"/>
        <v>U7:AK7</v>
      </c>
    </row>
    <row r="8" spans="1:38" s="249" customFormat="1" ht="27" customHeight="1">
      <c r="A8" s="222"/>
      <c r="B8" s="265" t="str" cm="1">
        <f t="array" ref="B8">_xlfn.LET(_xlpm.x,IFERROR(INDEX(TbRsmIn[Enquiry No],SUM(ROW()-MATCH("SOR",$A:$A,0))),"X"),IF(_xlpm.x=0,"X",_xlpm.x))</f>
        <v>0CT003</v>
      </c>
      <c r="C8" s="265" t="str">
        <f>IF($B8="X","X",INDEX(F_PI2[PrjId],MATCH(VALUE(LEFT($B8,1)),F_PI2[PrjOrd],0)))</f>
        <v>31200</v>
      </c>
      <c r="D8" s="265" t="str">
        <f t="shared" si="2"/>
        <v>Sp</v>
      </c>
      <c r="E8" s="266" t="str" cm="1">
        <f t="array" ref="E8">IF($B8="","X",UPPER(_xlfn._xlws.FILTER(CstClcData[Value],(CstClcData[Name]=$B8)*(CstClcData[Attribute]=E$3),"X")))</f>
        <v>ELECTRICAL HARDWARE COMPONENTS FREE ISSUE BARCELONA. EMAIL 27/09/23.</v>
      </c>
      <c r="F8" s="233" t="str" cm="1">
        <f t="array" ref="F8">IF($B8="X","X",_xlfn.UNIQUE(_xlfn._xlws.FILTER(PInt2[VtaId],(ISNUMBER(FIND(RIGHT($B8,LEN($B8)-1),SUBSTITUTE(PInt2[PInNxm],"-",""))))*(PInt2[PrjId]=TEXT($C8,"@")),"X")))</f>
        <v>X</v>
      </c>
      <c r="G8" s="269" t="str" cm="1">
        <f t="array" ref="G8">IF($F8="X","X",_xlfn.UNIQUE(_xlfn._xlws.FILTER(PInt2[OrdIds],(PInt2[VtaId]=$F8)*(PInt2[PrjId]=TEXT($C8,"@")),"X")))</f>
        <v>X</v>
      </c>
      <c r="H8" s="233" t="str" cm="1">
        <f t="array" ref="H8">IF($F8="X","X",_xlfn.UNIQUE(_xlfn._xlws.FILTER(PInt2[CusOrdId],(PInt2[VtaId]=$F8)*(PInt2[PrjId]=TEXT($C8,"@")),"X")))</f>
        <v>X</v>
      </c>
      <c r="I8" s="234" cm="1">
        <f t="array" ref="I8">IF($B8="","X",_xlfn._xlws.FILTER(TbRsmIn[Date],(TbRsmIn[Enquiry No]=$B8),"X"))</f>
        <v>45196</v>
      </c>
      <c r="J8" s="265">
        <f t="shared" si="3"/>
        <v>202339</v>
      </c>
      <c r="K8" s="234" t="str" cm="1">
        <f t="array" ref="K8">IF($B8="","X",_xlfn._xlws.FILTER(TbRsmIn[Causality],(TbRsmIn[Enquiry No]=$B8),"X"))</f>
        <v>FREE ISSUE</v>
      </c>
      <c r="L8" s="267" t="str" cm="1">
        <f t="array" ref="L8">_xlfn._xlws.FILTER(PInt2[OrdMin],PInt2[VtaId]=$F8,"X")</f>
        <v>X</v>
      </c>
      <c r="M8" s="267" t="str" cm="1">
        <f t="array" ref="M8">_xlfn._xlws.FILTER(PInt2[PayMax],PInt2[VtaId]=$F8,"X")</f>
        <v>X</v>
      </c>
      <c r="N8" s="122" t="str" cm="1">
        <f t="array" ref="N8">IFERROR(_xlfn.TEXTAFTER(INDEX(O$5:R$5,MAX(_xlfn._xlws.FILTER(COLUMN($O8:$R8),($O8:$R8&lt;&gt;0)*($O8:$R8&lt;"")*(UPPER($O8:$R8)&lt;&gt;"X")))-MATCH("SOV",$1:$1,0))," "),"X")</f>
        <v>Ofertado</v>
      </c>
      <c r="O8" s="268" cm="1">
        <f t="array" ref="O8">IF($B8="","X",_xlfn._xlws.FILTER(TbRsmIn[Offered],(TbRsmIn[Enquiry No]=$B8),"X"))</f>
        <v>-126454.13</v>
      </c>
      <c r="P8" s="268" t="str" cm="1">
        <f t="array" ref="P8">IF($B8="","X",IF(Q8&lt;&gt;0,Q8,_xlfn._xlws.FILTER(CstClcData[Value],(CstClcData[Name]=$B8)*(CstClcData[Attribute]=P$3),"X")))</f>
        <v>X</v>
      </c>
      <c r="Q8" s="268" cm="1">
        <f t="array" ref="Q8">IF($B8="","X",_xlfn._xlws.FILTER(TbRsmIn[Ordered],(TbRsmIn[Enquiry No]=$B8),"X"))</f>
        <v>0</v>
      </c>
      <c r="R8" s="268" cm="1">
        <f t="array" ref="R8">SUM(_xlfn._xlws.FILTER(PInt2[InvCur],(PInt2[PInNxm]&lt;&gt;0)*(PInt2[PrjId]=$C8)*(IFERROR(_xlfn.TEXTBEFORE(SUBSTITUTE(PInt2[PInNxm],"-",""),"/"),"X")=RIGHT($B8,LEN($B8)-1)),0))</f>
        <v>0</v>
      </c>
      <c r="S8" s="122" t="str" cm="1">
        <f t="array" ref="S8">IF($B8="","X",_xlfn._xlws.FILTER(TbRsmIn[Alive]&amp;CHAR(10)&amp;TEXT(TbRsmIn[Ongoing],"000%"),(TbRsmIn[Enquiry No]=$B8),"X"))</f>
        <v>N
000%</v>
      </c>
      <c r="T8" s="292">
        <f t="shared" ca="1" si="1"/>
        <v>-116024.3731</v>
      </c>
      <c r="U8" s="270" cm="1">
        <f t="array" ref="U8">SUM(_xlfn._xlws.FILTER(CstClcCur[[Value]:[Value]],(CstClcCur[[Name]:[Name]]=$B8)*(ISNUMBER(FIND(CstClcCur[[Attribute]:[Attribute]],U$3))),0))</f>
        <v>0</v>
      </c>
      <c r="V8" s="270" cm="1">
        <f t="array" ref="V8">SUM(_xlfn._xlws.FILTER(CstClcCur[[Value]:[Value]],(CstClcCur[[Name]:[Name]]=$B8)*(ISNUMBER(FIND(CstClcCur[[Attribute]:[Attribute]],V$3))),0))</f>
        <v>0</v>
      </c>
      <c r="W8" s="270" cm="1">
        <f t="array" ref="W8">SUM(_xlfn._xlws.FILTER(CstClcCur[[Value]:[Value]],(CstClcCur[[Name]:[Name]]=$B8)*(ISNUMBER(FIND(CstClcCur[[Attribute]:[Attribute]],W$3))),0))</f>
        <v>0</v>
      </c>
      <c r="X8" s="270" cm="1">
        <f t="array" ref="X8">SUM(_xlfn._xlws.FILTER(CstClcCur[[Value]:[Value]],(CstClcCur[[Name]:[Name]]=$B8)*(ISNUMBER(FIND(CstClcCur[[Attribute]:[Attribute]],X$3))),0))</f>
        <v>0</v>
      </c>
      <c r="Y8" s="270" cm="1">
        <f t="array" ref="Y8">SUM(_xlfn._xlws.FILTER(CstClcCur[[Value]:[Value]],(CstClcCur[[Name]:[Name]]=$B8)*(ISNUMBER(FIND(CstClcCur[[Attribute]:[Attribute]],Y$3))),0))</f>
        <v>0</v>
      </c>
      <c r="Z8" s="270" cm="1">
        <f t="array" ref="Z8">SUM(_xlfn._xlws.FILTER(CstClcCur[[Value]:[Value]],(CstClcCur[[Name]:[Name]]=$B8)*(ISNUMBER(FIND(CstClcCur[[Attribute]:[Attribute]],Z$3))),0))</f>
        <v>0</v>
      </c>
      <c r="AA8" s="270" cm="1">
        <f t="array" ref="AA8">SUM(_xlfn._xlws.FILTER(CstClcCur[[Value]:[Value]],(CstClcCur[[Name]:[Name]]=$B8)*(ISNUMBER(FIND(CstClcCur[[Attribute]:[Attribute]],AA$3))),0))</f>
        <v>0</v>
      </c>
      <c r="AB8" s="270" cm="1">
        <f t="array" ref="AB8">SUM(_xlfn._xlws.FILTER(CstClcCur[[Value]:[Value]],(CstClcCur[[Name]:[Name]]=$B8)*(ISNUMBER(FIND(CstClcCur[[Attribute]:[Attribute]],AB$3))),0))</f>
        <v>0</v>
      </c>
      <c r="AC8" s="270" cm="1">
        <f t="array" ref="AC8">SUM(_xlfn._xlws.FILTER(CstClcCur[[Value]:[Value]],(CstClcCur[[Name]:[Name]]=$B8)*(ISNUMBER(FIND(CstClcCur[[Attribute]:[Attribute]],AC$3))),0))</f>
        <v>0</v>
      </c>
      <c r="AD8" s="270" cm="1">
        <f t="array" ref="AD8">SUM(_xlfn._xlws.FILTER(CstClcCur[[Value]:[Value]],(CstClcCur[[Name]:[Name]]=$B8)*(ISNUMBER(FIND(CstClcCur[[Attribute]:[Attribute]],AD$3))),0))</f>
        <v>0</v>
      </c>
      <c r="AE8" s="270" cm="1">
        <f t="array" ref="AE8">SUM(_xlfn._xlws.FILTER(CstClcCur[[Value]:[Value]],(CstClcCur[[Name]:[Name]]=$B8)*(ISNUMBER(FIND(CstClcCur[[Attribute]:[Attribute]],AE$3))),0))</f>
        <v>-116024.3731</v>
      </c>
      <c r="AF8" s="270" cm="1">
        <f t="array" ref="AF8">SUM(_xlfn._xlws.FILTER(CstClcCur[[Value]:[Value]],(CstClcCur[[Name]:[Name]]=$B8)*(ISNUMBER(FIND(CstClcCur[[Attribute]:[Attribute]],AF$3))),0))</f>
        <v>0</v>
      </c>
      <c r="AG8" s="270" cm="1">
        <f t="array" ref="AG8">SUM(_xlfn._xlws.FILTER(CstClcCur[[Value]:[Value]],(CstClcCur[[Name]:[Name]]=$B8)*(ISNUMBER(FIND(CstClcCur[[Attribute]:[Attribute]],AG$3))),0))</f>
        <v>0</v>
      </c>
      <c r="AH8" s="270" cm="1">
        <f t="array" ref="AH8">SUM(_xlfn._xlws.FILTER(CstClcCur[[Value]:[Value]],(CstClcCur[[Name]:[Name]]=$B8)*(ISNUMBER(FIND(CstClcCur[[Attribute]:[Attribute]],AH$3))),0))</f>
        <v>0</v>
      </c>
      <c r="AI8" s="270" cm="1">
        <f t="array" ref="AI8">SUM(_xlfn._xlws.FILTER(CstClcCur[[Value]:[Value]],(CstClcCur[[Name]:[Name]]=$B8)*(ISNUMBER(FIND(CstClcCur[[Attribute]:[Attribute]],AI$3))),0))</f>
        <v>0</v>
      </c>
      <c r="AJ8" s="270" cm="1">
        <f t="array" ref="AJ8">SUM(_xlfn._xlws.FILTER(CstClcCur[[Value]:[Value]],(CstClcCur[[Name]:[Name]]=$B8)*(ISNUMBER(FIND(CstClcCur[[Attribute]:[Attribute]],AJ$3))),0))</f>
        <v>0</v>
      </c>
      <c r="AK8" s="270" cm="1">
        <f t="array" ref="AK8">SUM(_xlfn._xlws.FILTER(CstClcCur[[Value]:[Value]],(CstClcCur[[Name]:[Name]]=$B8)*(ISNUMBER(FIND(CstClcCur[[Attribute]:[Attribute]],AK$3))),0))</f>
        <v>0</v>
      </c>
      <c r="AL8" s="264" t="str">
        <f t="shared" si="0"/>
        <v>U8:AK8</v>
      </c>
    </row>
    <row r="9" spans="1:38" s="249" customFormat="1" ht="27" customHeight="1">
      <c r="A9" s="222"/>
      <c r="B9" s="265" t="str" cm="1">
        <f t="array" ref="B9">_xlfn.LET(_xlpm.x,IFERROR(INDEX(TbRsmIn[Enquiry No],SUM(ROW()-MATCH("SOR",$A:$A,0))),"X"),IF(_xlpm.x=0,"X",_xlpm.x))</f>
        <v>0CT004</v>
      </c>
      <c r="C9" s="265" t="str">
        <f>IF($B9="X","X",INDEX(F_PI2[PrjId],MATCH(VALUE(LEFT($B9,1)),F_PI2[PrjOrd],0)))</f>
        <v>31200</v>
      </c>
      <c r="D9" s="265" t="str">
        <f t="shared" si="2"/>
        <v>Sp</v>
      </c>
      <c r="E9" s="266" t="str" cm="1">
        <f t="array" ref="E9">IF($B9="","X",UPPER(_xlfn._xlws.FILTER(CstClcData[Value],(CstClcData[Name]=$B9)*(CstClcData[Attribute]=E$3),"X")))</f>
        <v>SOFTWARE DEVELOPMENT PLC, EXCL. SICAR &gt; OMRON TO SIEMENS</v>
      </c>
      <c r="F9" s="233" t="str" cm="1">
        <f t="array" ref="F9">IF($B9="X","X",_xlfn.UNIQUE(_xlfn._xlws.FILTER(PInt2[VtaId],(ISNUMBER(FIND(RIGHT($B9,LEN($B9)-1),SUBSTITUTE(PInt2[PInNxm],"-",""))))*(PInt2[PrjId]=TEXT($C9,"@")),"X")))</f>
        <v>X</v>
      </c>
      <c r="G9" s="269" t="str" cm="1">
        <f t="array" ref="G9">IF($F9="X","X",_xlfn.UNIQUE(_xlfn._xlws.FILTER(PInt2[OrdIds],(PInt2[VtaId]=$F9)*(PInt2[PrjId]=TEXT($C9,"@")),"X")))</f>
        <v>X</v>
      </c>
      <c r="H9" s="233" t="str" cm="1">
        <f t="array" ref="H9">IF($F9="X","X",_xlfn.UNIQUE(_xlfn._xlws.FILTER(PInt2[CusOrdId],(PInt2[VtaId]=$F9)*(PInt2[PrjId]=TEXT($C9,"@")),"X")))</f>
        <v>X</v>
      </c>
      <c r="I9" s="234" cm="1">
        <f t="array" ref="I9">IF($B9="","X",_xlfn._xlws.FILTER(TbRsmIn[Date],(TbRsmIn[Enquiry No]=$B9),"X"))</f>
        <v>45202</v>
      </c>
      <c r="J9" s="265">
        <f t="shared" si="3"/>
        <v>202340</v>
      </c>
      <c r="K9" s="234" t="str" cm="1">
        <f t="array" ref="K9">IF($B9="","X",_xlfn._xlws.FILTER(TbRsmIn[Causality],(TbRsmIn[Enquiry No]=$B9),"X"))</f>
        <v>DEFINICION</v>
      </c>
      <c r="L9" s="267" t="str" cm="1">
        <f t="array" ref="L9">_xlfn._xlws.FILTER(PInt2[OrdMin],PInt2[VtaId]=$F9,"X")</f>
        <v>X</v>
      </c>
      <c r="M9" s="267" t="str" cm="1">
        <f t="array" ref="M9">_xlfn._xlws.FILTER(PInt2[PayMax],PInt2[VtaId]=$F9,"X")</f>
        <v>X</v>
      </c>
      <c r="N9" s="122" t="str" cm="1">
        <f t="array" ref="N9">IFERROR(_xlfn.TEXTAFTER(INDEX(O$5:R$5,MAX(_xlfn._xlws.FILTER(COLUMN($O9:$R9),($O9:$R9&lt;&gt;0)*($O9:$R9&lt;"")*(UPPER($O9:$R9)&lt;&gt;"X")))-MATCH("SOV",$1:$1,0))," "),"X")</f>
        <v>Ofertado</v>
      </c>
      <c r="O9" s="268" cm="1">
        <f t="array" ref="O9">IF($B9="","X",_xlfn._xlws.FILTER(TbRsmIn[Offered],(TbRsmIn[Enquiry No]=$B9),"X"))</f>
        <v>53394.64</v>
      </c>
      <c r="P9" s="268" t="str" cm="1">
        <f t="array" ref="P9">IF($B9="","X",IF(Q9&lt;&gt;0,Q9,_xlfn._xlws.FILTER(CstClcData[Value],(CstClcData[Name]=$B9)*(CstClcData[Attribute]=P$3),"X")))</f>
        <v>X</v>
      </c>
      <c r="Q9" s="268" cm="1">
        <f t="array" ref="Q9">IF($B9="","X",_xlfn._xlws.FILTER(TbRsmIn[Ordered],(TbRsmIn[Enquiry No]=$B9),"X"))</f>
        <v>0</v>
      </c>
      <c r="R9" s="268" cm="1">
        <f t="array" ref="R9">SUM(_xlfn._xlws.FILTER(PInt2[InvCur],(PInt2[PInNxm]&lt;&gt;0)*(PInt2[PrjId]=$C9)*(IFERROR(_xlfn.TEXTBEFORE(SUBSTITUTE(PInt2[PInNxm],"-",""),"/"),"X")=RIGHT($B9,LEN($B9)-1)),0))</f>
        <v>0</v>
      </c>
      <c r="S9" s="122" t="str" cm="1">
        <f t="array" ref="S9">IF($B9="","X",_xlfn._xlws.FILTER(TbRsmIn[Alive]&amp;CHAR(10)&amp;TEXT(TbRsmIn[Ongoing],"000%"),(TbRsmIn[Enquiry No]=$B9),"X"))</f>
        <v>C
000%</v>
      </c>
      <c r="T9" s="292">
        <f t="shared" ca="1" si="1"/>
        <v>36316.565999999999</v>
      </c>
      <c r="U9" s="270" cm="1">
        <f t="array" ref="U9">SUM(_xlfn._xlws.FILTER(CstClcCur[[Value]:[Value]],(CstClcCur[[Name]:[Name]]=$B9)*(ISNUMBER(FIND(CstClcCur[[Attribute]:[Attribute]],U$3))),0))</f>
        <v>0</v>
      </c>
      <c r="V9" s="270" cm="1">
        <f t="array" ref="V9">SUM(_xlfn._xlws.FILTER(CstClcCur[[Value]:[Value]],(CstClcCur[[Name]:[Name]]=$B9)*(ISNUMBER(FIND(CstClcCur[[Attribute]:[Attribute]],V$3))),0))</f>
        <v>0</v>
      </c>
      <c r="W9" s="270" cm="1">
        <f t="array" ref="W9">SUM(_xlfn._xlws.FILTER(CstClcCur[[Value]:[Value]],(CstClcCur[[Name]:[Name]]=$B9)*(ISNUMBER(FIND(CstClcCur[[Attribute]:[Attribute]],W$3))),0))</f>
        <v>0</v>
      </c>
      <c r="X9" s="270" cm="1">
        <f t="array" ref="X9">SUM(_xlfn._xlws.FILTER(CstClcCur[[Value]:[Value]],(CstClcCur[[Name]:[Name]]=$B9)*(ISNUMBER(FIND(CstClcCur[[Attribute]:[Attribute]],X$3))),0))</f>
        <v>0</v>
      </c>
      <c r="Y9" s="270" cm="1">
        <f t="array" ref="Y9">SUM(_xlfn._xlws.FILTER(CstClcCur[[Value]:[Value]],(CstClcCur[[Name]:[Name]]=$B9)*(ISNUMBER(FIND(CstClcCur[[Attribute]:[Attribute]],Y$3))),0))</f>
        <v>36316.565999999999</v>
      </c>
      <c r="Z9" s="270" cm="1">
        <f t="array" ref="Z9">SUM(_xlfn._xlws.FILTER(CstClcCur[[Value]:[Value]],(CstClcCur[[Name]:[Name]]=$B9)*(ISNUMBER(FIND(CstClcCur[[Attribute]:[Attribute]],Z$3))),0))</f>
        <v>0</v>
      </c>
      <c r="AA9" s="270" cm="1">
        <f t="array" ref="AA9">SUM(_xlfn._xlws.FILTER(CstClcCur[[Value]:[Value]],(CstClcCur[[Name]:[Name]]=$B9)*(ISNUMBER(FIND(CstClcCur[[Attribute]:[Attribute]],AA$3))),0))</f>
        <v>0</v>
      </c>
      <c r="AB9" s="270" cm="1">
        <f t="array" ref="AB9">SUM(_xlfn._xlws.FILTER(CstClcCur[[Value]:[Value]],(CstClcCur[[Name]:[Name]]=$B9)*(ISNUMBER(FIND(CstClcCur[[Attribute]:[Attribute]],AB$3))),0))</f>
        <v>0</v>
      </c>
      <c r="AC9" s="270" cm="1">
        <f t="array" ref="AC9">SUM(_xlfn._xlws.FILTER(CstClcCur[[Value]:[Value]],(CstClcCur[[Name]:[Name]]=$B9)*(ISNUMBER(FIND(CstClcCur[[Attribute]:[Attribute]],AC$3))),0))</f>
        <v>0</v>
      </c>
      <c r="AD9" s="270" cm="1">
        <f t="array" ref="AD9">SUM(_xlfn._xlws.FILTER(CstClcCur[[Value]:[Value]],(CstClcCur[[Name]:[Name]]=$B9)*(ISNUMBER(FIND(CstClcCur[[Attribute]:[Attribute]],AD$3))),0))</f>
        <v>0</v>
      </c>
      <c r="AE9" s="270" cm="1">
        <f t="array" ref="AE9">SUM(_xlfn._xlws.FILTER(CstClcCur[[Value]:[Value]],(CstClcCur[[Name]:[Name]]=$B9)*(ISNUMBER(FIND(CstClcCur[[Attribute]:[Attribute]],AE$3))),0))</f>
        <v>0</v>
      </c>
      <c r="AF9" s="270" cm="1">
        <f t="array" ref="AF9">SUM(_xlfn._xlws.FILTER(CstClcCur[[Value]:[Value]],(CstClcCur[[Name]:[Name]]=$B9)*(ISNUMBER(FIND(CstClcCur[[Attribute]:[Attribute]],AF$3))),0))</f>
        <v>0</v>
      </c>
      <c r="AG9" s="270" cm="1">
        <f t="array" ref="AG9">SUM(_xlfn._xlws.FILTER(CstClcCur[[Value]:[Value]],(CstClcCur[[Name]:[Name]]=$B9)*(ISNUMBER(FIND(CstClcCur[[Attribute]:[Attribute]],AG$3))),0))</f>
        <v>0</v>
      </c>
      <c r="AH9" s="270" cm="1">
        <f t="array" ref="AH9">SUM(_xlfn._xlws.FILTER(CstClcCur[[Value]:[Value]],(CstClcCur[[Name]:[Name]]=$B9)*(ISNUMBER(FIND(CstClcCur[[Attribute]:[Attribute]],AH$3))),0))</f>
        <v>0</v>
      </c>
      <c r="AI9" s="270" cm="1">
        <f t="array" ref="AI9">SUM(_xlfn._xlws.FILTER(CstClcCur[[Value]:[Value]],(CstClcCur[[Name]:[Name]]=$B9)*(ISNUMBER(FIND(CstClcCur[[Attribute]:[Attribute]],AI$3))),0))</f>
        <v>0</v>
      </c>
      <c r="AJ9" s="270" cm="1">
        <f t="array" ref="AJ9">SUM(_xlfn._xlws.FILTER(CstClcCur[[Value]:[Value]],(CstClcCur[[Name]:[Name]]=$B9)*(ISNUMBER(FIND(CstClcCur[[Attribute]:[Attribute]],AJ$3))),0))</f>
        <v>0</v>
      </c>
      <c r="AK9" s="270" cm="1">
        <f t="array" ref="AK9">SUM(_xlfn._xlws.FILTER(CstClcCur[[Value]:[Value]],(CstClcCur[[Name]:[Name]]=$B9)*(ISNUMBER(FIND(CstClcCur[[Attribute]:[Attribute]],AK$3))),0))</f>
        <v>0</v>
      </c>
      <c r="AL9" s="264" t="str">
        <f t="shared" si="0"/>
        <v>U9:AK9</v>
      </c>
    </row>
    <row r="10" spans="1:38" s="249" customFormat="1" ht="27" customHeight="1">
      <c r="A10" s="222"/>
      <c r="B10" s="265" t="str" cm="1">
        <f t="array" ref="B10">_xlfn.LET(_xlpm.x,IFERROR(INDEX(TbRsmIn[Enquiry No],SUM(ROW()-MATCH("SOR",$A:$A,0))),"X"),IF(_xlpm.x=0,"X",_xlpm.x))</f>
        <v>0CT005</v>
      </c>
      <c r="C10" s="265" t="str">
        <f>IF($B10="X","X",INDEX(F_PI2[PrjId],MATCH(VALUE(LEFT($B10,1)),F_PI2[PrjOrd],0)))</f>
        <v>31200</v>
      </c>
      <c r="D10" s="265" t="str">
        <f t="shared" si="2"/>
        <v>Sp</v>
      </c>
      <c r="E10" s="266" t="str" cm="1">
        <f t="array" ref="E10">IF($B10="","X",UPPER(_xlfn._xlws.FILTER(CstClcData[Value],(CstClcData[Name]=$B10)*(CstClcData[Attribute]=E$3),"X")))</f>
        <v>X</v>
      </c>
      <c r="F10" s="233" t="str" cm="1">
        <f t="array" ref="F10">IF($B10="X","X",_xlfn.UNIQUE(_xlfn._xlws.FILTER(PInt2[VtaId],(ISNUMBER(FIND(RIGHT($B10,LEN($B10)-1),SUBSTITUTE(PInt2[PInNxm],"-",""))))*(PInt2[PrjId]=TEXT($C10,"@")),"X")))</f>
        <v>X</v>
      </c>
      <c r="G10" s="269" t="str" cm="1">
        <f t="array" ref="G10">IF($F10="X","X",_xlfn.UNIQUE(_xlfn._xlws.FILTER(PInt2[OrdIds],(PInt2[VtaId]=$F10)*(PInt2[PrjId]=TEXT($C10,"@")),"X")))</f>
        <v>X</v>
      </c>
      <c r="H10" s="233" t="str" cm="1">
        <f t="array" ref="H10">IF($F10="X","X",_xlfn.UNIQUE(_xlfn._xlws.FILTER(PInt2[CusOrdId],(PInt2[VtaId]=$F10)*(PInt2[PrjId]=TEXT($C10,"@")),"X")))</f>
        <v>X</v>
      </c>
      <c r="I10" s="234" cm="1">
        <f t="array" ref="I10">IF($B10="","X",_xlfn._xlws.FILTER(TbRsmIn[Date],(TbRsmIn[Enquiry No]=$B10),"X"))</f>
        <v>45208</v>
      </c>
      <c r="J10" s="265">
        <f t="shared" si="3"/>
        <v>202341</v>
      </c>
      <c r="K10" s="234" t="str" cm="1">
        <f t="array" ref="K10">IF($B10="","X",_xlfn._xlws.FILTER(TbRsmIn[Causality],(TbRsmIn[Enquiry No]=$B10),"X"))</f>
        <v>DEFINICION</v>
      </c>
      <c r="L10" s="267" t="str" cm="1">
        <f t="array" ref="L10">_xlfn._xlws.FILTER(PInt2[OrdMin],PInt2[VtaId]=$F10,"X")</f>
        <v>X</v>
      </c>
      <c r="M10" s="267" t="str" cm="1">
        <f t="array" ref="M10">_xlfn._xlws.FILTER(PInt2[PayMax],PInt2[VtaId]=$F10,"X")</f>
        <v>X</v>
      </c>
      <c r="N10" s="122" t="str" cm="1">
        <f t="array" ref="N10">IFERROR(_xlfn.TEXTAFTER(INDEX(O$5:R$5,MAX(_xlfn._xlws.FILTER(COLUMN($O10:$R10),($O10:$R10&lt;&gt;0)*($O10:$R10&lt;"")*(UPPER($O10:$R10)&lt;&gt;"X")))-MATCH("SOV",$1:$1,0))," "),"X")</f>
        <v>X</v>
      </c>
      <c r="O10" s="268" cm="1">
        <f t="array" ref="O10">IF($B10="","X",_xlfn._xlws.FILTER(TbRsmIn[Offered],(TbRsmIn[Enquiry No]=$B10),"X"))</f>
        <v>0</v>
      </c>
      <c r="P10" s="268" t="str" cm="1">
        <f t="array" ref="P10">IF($B10="","X",IF(Q10&lt;&gt;0,Q10,_xlfn._xlws.FILTER(CstClcData[Value],(CstClcData[Name]=$B10)*(CstClcData[Attribute]=P$3),"X")))</f>
        <v>X</v>
      </c>
      <c r="Q10" s="268" cm="1">
        <f t="array" ref="Q10">IF($B10="","X",_xlfn._xlws.FILTER(TbRsmIn[Ordered],(TbRsmIn[Enquiry No]=$B10),"X"))</f>
        <v>0</v>
      </c>
      <c r="R10" s="268" cm="1">
        <f t="array" ref="R10">SUM(_xlfn._xlws.FILTER(PInt2[InvCur],(PInt2[PInNxm]&lt;&gt;0)*(PInt2[PrjId]=$C10)*(IFERROR(_xlfn.TEXTBEFORE(SUBSTITUTE(PInt2[PInNxm],"-",""),"/"),"X")=RIGHT($B10,LEN($B10)-1)),0))</f>
        <v>0</v>
      </c>
      <c r="S10" s="122" t="str" cm="1">
        <f t="array" ref="S10">IF($B10="","X",_xlfn._xlws.FILTER(TbRsmIn[Alive]&amp;CHAR(10)&amp;TEXT(TbRsmIn[Ongoing],"000%"),(TbRsmIn[Enquiry No]=$B10),"X"))</f>
        <v>C
000%</v>
      </c>
      <c r="T10" s="292">
        <f t="shared" ca="1" si="1"/>
        <v>0</v>
      </c>
      <c r="U10" s="270" cm="1">
        <f t="array" ref="U10">SUM(_xlfn._xlws.FILTER(CstClcCur[[Value]:[Value]],(CstClcCur[[Name]:[Name]]=$B10)*(ISNUMBER(FIND(CstClcCur[[Attribute]:[Attribute]],U$3))),0))</f>
        <v>0</v>
      </c>
      <c r="V10" s="270" cm="1">
        <f t="array" ref="V10">SUM(_xlfn._xlws.FILTER(CstClcCur[[Value]:[Value]],(CstClcCur[[Name]:[Name]]=$B10)*(ISNUMBER(FIND(CstClcCur[[Attribute]:[Attribute]],V$3))),0))</f>
        <v>0</v>
      </c>
      <c r="W10" s="270" cm="1">
        <f t="array" ref="W10">SUM(_xlfn._xlws.FILTER(CstClcCur[[Value]:[Value]],(CstClcCur[[Name]:[Name]]=$B10)*(ISNUMBER(FIND(CstClcCur[[Attribute]:[Attribute]],W$3))),0))</f>
        <v>0</v>
      </c>
      <c r="X10" s="270" cm="1">
        <f t="array" ref="X10">SUM(_xlfn._xlws.FILTER(CstClcCur[[Value]:[Value]],(CstClcCur[[Name]:[Name]]=$B10)*(ISNUMBER(FIND(CstClcCur[[Attribute]:[Attribute]],X$3))),0))</f>
        <v>0</v>
      </c>
      <c r="Y10" s="270" cm="1">
        <f t="array" ref="Y10">SUM(_xlfn._xlws.FILTER(CstClcCur[[Value]:[Value]],(CstClcCur[[Name]:[Name]]=$B10)*(ISNUMBER(FIND(CstClcCur[[Attribute]:[Attribute]],Y$3))),0))</f>
        <v>0</v>
      </c>
      <c r="Z10" s="270" cm="1">
        <f t="array" ref="Z10">SUM(_xlfn._xlws.FILTER(CstClcCur[[Value]:[Value]],(CstClcCur[[Name]:[Name]]=$B10)*(ISNUMBER(FIND(CstClcCur[[Attribute]:[Attribute]],Z$3))),0))</f>
        <v>0</v>
      </c>
      <c r="AA10" s="270" cm="1">
        <f t="array" ref="AA10">SUM(_xlfn._xlws.FILTER(CstClcCur[[Value]:[Value]],(CstClcCur[[Name]:[Name]]=$B10)*(ISNUMBER(FIND(CstClcCur[[Attribute]:[Attribute]],AA$3))),0))</f>
        <v>0</v>
      </c>
      <c r="AB10" s="270" cm="1">
        <f t="array" ref="AB10">SUM(_xlfn._xlws.FILTER(CstClcCur[[Value]:[Value]],(CstClcCur[[Name]:[Name]]=$B10)*(ISNUMBER(FIND(CstClcCur[[Attribute]:[Attribute]],AB$3))),0))</f>
        <v>0</v>
      </c>
      <c r="AC10" s="270" cm="1">
        <f t="array" ref="AC10">SUM(_xlfn._xlws.FILTER(CstClcCur[[Value]:[Value]],(CstClcCur[[Name]:[Name]]=$B10)*(ISNUMBER(FIND(CstClcCur[[Attribute]:[Attribute]],AC$3))),0))</f>
        <v>0</v>
      </c>
      <c r="AD10" s="270" cm="1">
        <f t="array" ref="AD10">SUM(_xlfn._xlws.FILTER(CstClcCur[[Value]:[Value]],(CstClcCur[[Name]:[Name]]=$B10)*(ISNUMBER(FIND(CstClcCur[[Attribute]:[Attribute]],AD$3))),0))</f>
        <v>0</v>
      </c>
      <c r="AE10" s="270" cm="1">
        <f t="array" ref="AE10">SUM(_xlfn._xlws.FILTER(CstClcCur[[Value]:[Value]],(CstClcCur[[Name]:[Name]]=$B10)*(ISNUMBER(FIND(CstClcCur[[Attribute]:[Attribute]],AE$3))),0))</f>
        <v>0</v>
      </c>
      <c r="AF10" s="270" cm="1">
        <f t="array" ref="AF10">SUM(_xlfn._xlws.FILTER(CstClcCur[[Value]:[Value]],(CstClcCur[[Name]:[Name]]=$B10)*(ISNUMBER(FIND(CstClcCur[[Attribute]:[Attribute]],AF$3))),0))</f>
        <v>0</v>
      </c>
      <c r="AG10" s="270" cm="1">
        <f t="array" ref="AG10">SUM(_xlfn._xlws.FILTER(CstClcCur[[Value]:[Value]],(CstClcCur[[Name]:[Name]]=$B10)*(ISNUMBER(FIND(CstClcCur[[Attribute]:[Attribute]],AG$3))),0))</f>
        <v>0</v>
      </c>
      <c r="AH10" s="270" cm="1">
        <f t="array" ref="AH10">SUM(_xlfn._xlws.FILTER(CstClcCur[[Value]:[Value]],(CstClcCur[[Name]:[Name]]=$B10)*(ISNUMBER(FIND(CstClcCur[[Attribute]:[Attribute]],AH$3))),0))</f>
        <v>0</v>
      </c>
      <c r="AI10" s="270" cm="1">
        <f t="array" ref="AI10">SUM(_xlfn._xlws.FILTER(CstClcCur[[Value]:[Value]],(CstClcCur[[Name]:[Name]]=$B10)*(ISNUMBER(FIND(CstClcCur[[Attribute]:[Attribute]],AI$3))),0))</f>
        <v>0</v>
      </c>
      <c r="AJ10" s="270" cm="1">
        <f t="array" ref="AJ10">SUM(_xlfn._xlws.FILTER(CstClcCur[[Value]:[Value]],(CstClcCur[[Name]:[Name]]=$B10)*(ISNUMBER(FIND(CstClcCur[[Attribute]:[Attribute]],AJ$3))),0))</f>
        <v>0</v>
      </c>
      <c r="AK10" s="270" cm="1">
        <f t="array" ref="AK10">SUM(_xlfn._xlws.FILTER(CstClcCur[[Value]:[Value]],(CstClcCur[[Name]:[Name]]=$B10)*(ISNUMBER(FIND(CstClcCur[[Attribute]:[Attribute]],AK$3))),0))</f>
        <v>0</v>
      </c>
      <c r="AL10" s="264" t="str">
        <f t="shared" si="0"/>
        <v>U10:AK10</v>
      </c>
    </row>
    <row r="11" spans="1:38" s="249" customFormat="1" ht="27" customHeight="1">
      <c r="A11" s="222"/>
      <c r="B11" s="265" t="str" cm="1">
        <f t="array" ref="B11">_xlfn.LET(_xlpm.x,IFERROR(INDEX(TbRsmIn[Enquiry No],SUM(ROW()-MATCH("SOR",$A:$A,0))),"X"),IF(_xlpm.x=0,"X",_xlpm.x))</f>
        <v>0CT006</v>
      </c>
      <c r="C11" s="265" t="str">
        <f>IF($B11="X","X",INDEX(F_PI2[PrjId],MATCH(VALUE(LEFT($B11,1)),F_PI2[PrjOrd],0)))</f>
        <v>31200</v>
      </c>
      <c r="D11" s="265" t="str">
        <f t="shared" si="2"/>
        <v>Sp</v>
      </c>
      <c r="E11" s="266" t="str" cm="1">
        <f t="array" ref="E11">IF($B11="","X",UPPER(_xlfn._xlws.FILTER(CstClcData[Value],(CstClcData[Name]=$B11)*(CstClcData[Attribute]=E$3),"X")))</f>
        <v>EMA RR EOL AUTO UNLOAD AGV RACK (REVISITED). EMAIL 04/12/23.  V14 FILE INCLUDED.</v>
      </c>
      <c r="F11" s="233" t="str" cm="1">
        <f t="array" ref="F11">IF($B11="X","X",_xlfn.UNIQUE(_xlfn._xlws.FILTER(PInt2[VtaId],(ISNUMBER(FIND(RIGHT($B11,LEN($B11)-1),SUBSTITUTE(PInt2[PInNxm],"-",""))))*(PInt2[PrjId]=TEXT($C11,"@")),"X")))</f>
        <v>X</v>
      </c>
      <c r="G11" s="269" t="str" cm="1">
        <f t="array" ref="G11">IF($F11="X","X",_xlfn.UNIQUE(_xlfn._xlws.FILTER(PInt2[OrdIds],(PInt2[VtaId]=$F11)*(PInt2[PrjId]=TEXT($C11,"@")),"X")))</f>
        <v>X</v>
      </c>
      <c r="H11" s="233" t="str" cm="1">
        <f t="array" ref="H11">IF($F11="X","X",_xlfn.UNIQUE(_xlfn._xlws.FILTER(PInt2[CusOrdId],(PInt2[VtaId]=$F11)*(PInt2[PrjId]=TEXT($C11,"@")),"X")))</f>
        <v>X</v>
      </c>
      <c r="I11" s="234" cm="1">
        <f t="array" ref="I11">IF($B11="","X",_xlfn._xlws.FILTER(TbRsmIn[Date],(TbRsmIn[Enquiry No]=$B11),"X"))</f>
        <v>45264</v>
      </c>
      <c r="J11" s="265">
        <f t="shared" si="3"/>
        <v>202349</v>
      </c>
      <c r="K11" s="234" t="str" cm="1">
        <f t="array" ref="K11">IF($B11="","X",_xlfn._xlws.FILTER(TbRsmIn[Causality],(TbRsmIn[Enquiry No]=$B11),"X"))</f>
        <v>DEFINICION</v>
      </c>
      <c r="L11" s="267" t="str" cm="1">
        <f t="array" ref="L11">_xlfn._xlws.FILTER(PInt2[OrdMin],PInt2[VtaId]=$F11,"X")</f>
        <v>X</v>
      </c>
      <c r="M11" s="267" t="str" cm="1">
        <f t="array" ref="M11">_xlfn._xlws.FILTER(PInt2[PayMax],PInt2[VtaId]=$F11,"X")</f>
        <v>X</v>
      </c>
      <c r="N11" s="122" t="str" cm="1">
        <f t="array" ref="N11">IFERROR(_xlfn.TEXTAFTER(INDEX(O$5:R$5,MAX(_xlfn._xlws.FILTER(COLUMN($O11:$R11),($O11:$R11&lt;&gt;0)*($O11:$R11&lt;"")*(UPPER($O11:$R11)&lt;&gt;"X")))-MATCH("SOV",$1:$1,0))," "),"X")</f>
        <v>Ofertado</v>
      </c>
      <c r="O11" s="268" cm="1">
        <f t="array" ref="O11">IF($B11="","X",_xlfn._xlws.FILTER(TbRsmIn[Offered],(TbRsmIn[Enquiry No]=$B11),"X"))</f>
        <v>570349.15</v>
      </c>
      <c r="P11" s="268" t="str" cm="1">
        <f t="array" ref="P11">IF($B11="","X",IF(Q11&lt;&gt;0,Q11,_xlfn._xlws.FILTER(CstClcData[Value],(CstClcData[Name]=$B11)*(CstClcData[Attribute]=P$3),"X")))</f>
        <v>X</v>
      </c>
      <c r="Q11" s="268" cm="1">
        <f t="array" ref="Q11">IF($B11="","X",_xlfn._xlws.FILTER(TbRsmIn[Ordered],(TbRsmIn[Enquiry No]=$B11),"X"))</f>
        <v>0</v>
      </c>
      <c r="R11" s="268" cm="1">
        <f t="array" ref="R11">SUM(_xlfn._xlws.FILTER(PInt2[InvCur],(PInt2[PInNxm]&lt;&gt;0)*(PInt2[PrjId]=$C11)*(IFERROR(_xlfn.TEXTBEFORE(SUBSTITUTE(PInt2[PInNxm],"-",""),"/"),"X")=RIGHT($B11,LEN($B11)-1)),0))</f>
        <v>0</v>
      </c>
      <c r="S11" s="122" t="str" cm="1">
        <f t="array" ref="S11">IF($B11="","X",_xlfn._xlws.FILTER(TbRsmIn[Alive]&amp;CHAR(10)&amp;TEXT(TbRsmIn[Ongoing],"000%"),(TbRsmIn[Enquiry No]=$B11),"X"))</f>
        <v>C
000%</v>
      </c>
      <c r="T11" s="292">
        <f t="shared" ca="1" si="1"/>
        <v>356187.31599999999</v>
      </c>
      <c r="U11" s="270" cm="1">
        <f t="array" ref="U11">SUM(_xlfn._xlws.FILTER(CstClcCur[[Value]:[Value]],(CstClcCur[[Name]:[Name]]=$B11)*(ISNUMBER(FIND(CstClcCur[[Attribute]:[Attribute]],U$3))),0))</f>
        <v>19927.8845</v>
      </c>
      <c r="V11" s="270" cm="1">
        <f t="array" ref="V11">SUM(_xlfn._xlws.FILTER(CstClcCur[[Value]:[Value]],(CstClcCur[[Name]:[Name]]=$B11)*(ISNUMBER(FIND(CstClcCur[[Attribute]:[Attribute]],V$3))),0))</f>
        <v>6259.3960999999999</v>
      </c>
      <c r="W11" s="270" cm="1">
        <f t="array" ref="W11">SUM(_xlfn._xlws.FILTER(CstClcCur[[Value]:[Value]],(CstClcCur[[Name]:[Name]]=$B11)*(ISNUMBER(FIND(CstClcCur[[Attribute]:[Attribute]],W$3))),0))</f>
        <v>16011.3202</v>
      </c>
      <c r="X11" s="270" cm="1">
        <f t="array" ref="X11">SUM(_xlfn._xlws.FILTER(CstClcCur[[Value]:[Value]],(CstClcCur[[Name]:[Name]]=$B11)*(ISNUMBER(FIND(CstClcCur[[Attribute]:[Attribute]],X$3))),0))</f>
        <v>26604.713899999999</v>
      </c>
      <c r="Y11" s="270" cm="1">
        <f t="array" ref="Y11">SUM(_xlfn._xlws.FILTER(CstClcCur[[Value]:[Value]],(CstClcCur[[Name]:[Name]]=$B11)*(ISNUMBER(FIND(CstClcCur[[Attribute]:[Attribute]],Y$3))),0))</f>
        <v>66497.551000000007</v>
      </c>
      <c r="Z11" s="270" cm="1">
        <f t="array" ref="Z11">SUM(_xlfn._xlws.FILTER(CstClcCur[[Value]:[Value]],(CstClcCur[[Name]:[Name]]=$B11)*(ISNUMBER(FIND(CstClcCur[[Attribute]:[Attribute]],Z$3))),0))</f>
        <v>0</v>
      </c>
      <c r="AA11" s="270" cm="1">
        <f t="array" ref="AA11">SUM(_xlfn._xlws.FILTER(CstClcCur[[Value]:[Value]],(CstClcCur[[Name]:[Name]]=$B11)*(ISNUMBER(FIND(CstClcCur[[Attribute]:[Attribute]],AA$3))),0))</f>
        <v>8613.6872000000003</v>
      </c>
      <c r="AB11" s="270" cm="1">
        <f t="array" ref="AB11">SUM(_xlfn._xlws.FILTER(CstClcCur[[Value]:[Value]],(CstClcCur[[Name]:[Name]]=$B11)*(ISNUMBER(FIND(CstClcCur[[Attribute]:[Attribute]],AB$3))),0))</f>
        <v>-13023.6404</v>
      </c>
      <c r="AC11" s="270" cm="1">
        <f t="array" ref="AC11">SUM(_xlfn._xlws.FILTER(CstClcCur[[Value]:[Value]],(CstClcCur[[Name]:[Name]]=$B11)*(ISNUMBER(FIND(CstClcCur[[Attribute]:[Attribute]],AC$3))),0))</f>
        <v>-10614.328299999999</v>
      </c>
      <c r="AD11" s="270" cm="1">
        <f t="array" ref="AD11">SUM(_xlfn._xlws.FILTER(CstClcCur[[Value]:[Value]],(CstClcCur[[Name]:[Name]]=$B11)*(ISNUMBER(FIND(CstClcCur[[Attribute]:[Attribute]],AD$3))),0))</f>
        <v>0</v>
      </c>
      <c r="AE11" s="270" cm="1">
        <f t="array" ref="AE11">SUM(_xlfn._xlws.FILTER(CstClcCur[[Value]:[Value]],(CstClcCur[[Name]:[Name]]=$B11)*(ISNUMBER(FIND(CstClcCur[[Attribute]:[Attribute]],AE$3))),0))</f>
        <v>0</v>
      </c>
      <c r="AF11" s="270" cm="1">
        <f t="array" ref="AF11">SUM(_xlfn._xlws.FILTER(CstClcCur[[Value]:[Value]],(CstClcCur[[Name]:[Name]]=$B11)*(ISNUMBER(FIND(CstClcCur[[Attribute]:[Attribute]],AF$3))),0))</f>
        <v>109454.6329</v>
      </c>
      <c r="AG11" s="270" cm="1">
        <f t="array" ref="AG11">SUM(_xlfn._xlws.FILTER(CstClcCur[[Value]:[Value]],(CstClcCur[[Name]:[Name]]=$B11)*(ISNUMBER(FIND(CstClcCur[[Attribute]:[Attribute]],AG$3))),0))</f>
        <v>0</v>
      </c>
      <c r="AH11" s="270" cm="1">
        <f t="array" ref="AH11">SUM(_xlfn._xlws.FILTER(CstClcCur[[Value]:[Value]],(CstClcCur[[Name]:[Name]]=$B11)*(ISNUMBER(FIND(CstClcCur[[Attribute]:[Attribute]],AH$3))),0))</f>
        <v>20034.685700000002</v>
      </c>
      <c r="AI11" s="270" cm="1">
        <f t="array" ref="AI11">SUM(_xlfn._xlws.FILTER(CstClcCur[[Value]:[Value]],(CstClcCur[[Name]:[Name]]=$B11)*(ISNUMBER(FIND(CstClcCur[[Attribute]:[Attribute]],AI$3))),0))</f>
        <v>106900.5958</v>
      </c>
      <c r="AJ11" s="270" cm="1">
        <f t="array" ref="AJ11">SUM(_xlfn._xlws.FILTER(CstClcCur[[Value]:[Value]],(CstClcCur[[Name]:[Name]]=$B11)*(ISNUMBER(FIND(CstClcCur[[Attribute]:[Attribute]],AJ$3))),0))</f>
        <v>0</v>
      </c>
      <c r="AK11" s="270" cm="1">
        <f t="array" ref="AK11">SUM(_xlfn._xlws.FILTER(CstClcCur[[Value]:[Value]],(CstClcCur[[Name]:[Name]]=$B11)*(ISNUMBER(FIND(CstClcCur[[Attribute]:[Attribute]],AK$3))),0))</f>
        <v>-479.18259999999998</v>
      </c>
      <c r="AL11" s="264" t="str">
        <f t="shared" si="0"/>
        <v>U11:AK11</v>
      </c>
    </row>
    <row r="12" spans="1:38" s="249" customFormat="1" ht="27" customHeight="1">
      <c r="A12" s="222"/>
      <c r="B12" s="265" t="str" cm="1">
        <f t="array" ref="B12">_xlfn.LET(_xlpm.x,IFERROR(INDEX(TbRsmIn[Enquiry No],SUM(ROW()-MATCH("SOR",$A:$A,0))),"X"),IF(_xlpm.x=0,"X",_xlpm.x))</f>
        <v>0CT007</v>
      </c>
      <c r="C12" s="265" t="str">
        <f>IF($B12="X","X",INDEX(F_PI2[PrjId],MATCH(VALUE(LEFT($B12,1)),F_PI2[PrjOrd],0)))</f>
        <v>31200</v>
      </c>
      <c r="D12" s="265" t="str">
        <f t="shared" si="2"/>
        <v>Sp</v>
      </c>
      <c r="E12" s="266" t="str" cm="1">
        <f t="array" ref="E12">IF($B12="","X",UPPER(_xlfn._xlws.FILTER(CstClcData[Value],(CstClcData[Name]=$B12)*(CstClcData[Attribute]=E$3),"X")))</f>
        <v>EMA RR EOL CHANGE PRODUCT AND LAYOUT PROCESS. EMAIL 16/12/23.  V14 FILE INCLUDED.</v>
      </c>
      <c r="F12" s="233" t="str" cm="1">
        <f t="array" ref="F12">IF($B12="X","X",_xlfn.UNIQUE(_xlfn._xlws.FILTER(PInt2[VtaId],(ISNUMBER(FIND(RIGHT($B12,LEN($B12)-1),SUBSTITUTE(PInt2[PInNxm],"-",""))))*(PInt2[PrjId]=TEXT($C12,"@")),"X")))</f>
        <v>X</v>
      </c>
      <c r="G12" s="269" t="str" cm="1">
        <f t="array" ref="G12">IF($F12="X","X",_xlfn.UNIQUE(_xlfn._xlws.FILTER(PInt2[OrdIds],(PInt2[VtaId]=$F12)*(PInt2[PrjId]=TEXT($C12,"@")),"X")))</f>
        <v>X</v>
      </c>
      <c r="H12" s="233" t="str" cm="1">
        <f t="array" ref="H12">IF($F12="X","X",_xlfn.UNIQUE(_xlfn._xlws.FILTER(PInt2[CusOrdId],(PInt2[VtaId]=$F12)*(PInt2[PrjId]=TEXT($C12,"@")),"X")))</f>
        <v>X</v>
      </c>
      <c r="I12" s="234" cm="1">
        <f t="array" ref="I12">IF($B12="","X",_xlfn._xlws.FILTER(TbRsmIn[Date],(TbRsmIn[Enquiry No]=$B12),"X"))</f>
        <v>45276</v>
      </c>
      <c r="J12" s="265">
        <f t="shared" si="3"/>
        <v>202350</v>
      </c>
      <c r="K12" s="234" t="str" cm="1">
        <f t="array" ref="K12">IF($B12="","X",_xlfn._xlws.FILTER(TbRsmIn[Causality],(TbRsmIn[Enquiry No]=$B12),"X"))</f>
        <v>DEFINICION</v>
      </c>
      <c r="L12" s="267" t="str" cm="1">
        <f t="array" ref="L12">_xlfn._xlws.FILTER(PInt2[OrdMin],PInt2[VtaId]=$F12,"X")</f>
        <v>X</v>
      </c>
      <c r="M12" s="267" t="str" cm="1">
        <f t="array" ref="M12">_xlfn._xlws.FILTER(PInt2[PayMax],PInt2[VtaId]=$F12,"X")</f>
        <v>X</v>
      </c>
      <c r="N12" s="122" t="str" cm="1">
        <f t="array" ref="N12">IFERROR(_xlfn.TEXTAFTER(INDEX(O$5:R$5,MAX(_xlfn._xlws.FILTER(COLUMN($O12:$R12),($O12:$R12&lt;&gt;0)*($O12:$R12&lt;"")*(UPPER($O12:$R12)&lt;&gt;"X")))-MATCH("SOV",$1:$1,0))," "),"X")</f>
        <v>Ofertado</v>
      </c>
      <c r="O12" s="268" cm="1">
        <f t="array" ref="O12">IF($B12="","X",_xlfn._xlws.FILTER(TbRsmIn[Offered],(TbRsmIn[Enquiry No]=$B12),"X"))</f>
        <v>825235.61</v>
      </c>
      <c r="P12" s="268" t="str" cm="1">
        <f t="array" ref="P12">IF($B12="","X",IF(Q12&lt;&gt;0,Q12,_xlfn._xlws.FILTER(CstClcData[Value],(CstClcData[Name]=$B12)*(CstClcData[Attribute]=P$3),"X")))</f>
        <v>X</v>
      </c>
      <c r="Q12" s="268" cm="1">
        <f t="array" ref="Q12">IF($B12="","X",_xlfn._xlws.FILTER(TbRsmIn[Ordered],(TbRsmIn[Enquiry No]=$B12),"X"))</f>
        <v>0</v>
      </c>
      <c r="R12" s="268" cm="1">
        <f t="array" ref="R12">SUM(_xlfn._xlws.FILTER(PInt2[InvCur],(PInt2[PInNxm]&lt;&gt;0)*(PInt2[PrjId]=$C12)*(IFERROR(_xlfn.TEXTBEFORE(SUBSTITUTE(PInt2[PInNxm],"-",""),"/"),"X")=RIGHT($B12,LEN($B12)-1)),0))</f>
        <v>0</v>
      </c>
      <c r="S12" s="122" t="str" cm="1">
        <f t="array" ref="S12">IF($B12="","X",_xlfn._xlws.FILTER(TbRsmIn[Alive]&amp;CHAR(10)&amp;TEXT(TbRsmIn[Ongoing],"000%"),(TbRsmIn[Enquiry No]=$B12),"X"))</f>
        <v>C
000%</v>
      </c>
      <c r="T12" s="292">
        <f t="shared" ca="1" si="1"/>
        <v>548057.20120000001</v>
      </c>
      <c r="U12" s="270" cm="1">
        <f t="array" ref="U12">SUM(_xlfn._xlws.FILTER(CstClcCur[[Value]:[Value]],(CstClcCur[[Name]:[Name]]=$B12)*(ISNUMBER(FIND(CstClcCur[[Attribute]:[Attribute]],U$3))),0))</f>
        <v>26515.608800000002</v>
      </c>
      <c r="V12" s="270" cm="1">
        <f t="array" ref="V12">SUM(_xlfn._xlws.FILTER(CstClcCur[[Value]:[Value]],(CstClcCur[[Name]:[Name]]=$B12)*(ISNUMBER(FIND(CstClcCur[[Attribute]:[Attribute]],V$3))),0))</f>
        <v>8328.616</v>
      </c>
      <c r="W12" s="270" cm="1">
        <f t="array" ref="W12">SUM(_xlfn._xlws.FILTER(CstClcCur[[Value]:[Value]],(CstClcCur[[Name]:[Name]]=$B12)*(ISNUMBER(FIND(CstClcCur[[Attribute]:[Attribute]],W$3))),0))</f>
        <v>21304.313699999999</v>
      </c>
      <c r="X12" s="270" cm="1">
        <f t="array" ref="X12">SUM(_xlfn._xlws.FILTER(CstClcCur[[Value]:[Value]],(CstClcCur[[Name]:[Name]]=$B12)*(ISNUMBER(FIND(CstClcCur[[Attribute]:[Attribute]],X$3))),0))</f>
        <v>35399.652399999999</v>
      </c>
      <c r="Y12" s="270" cm="1">
        <f t="array" ref="Y12">SUM(_xlfn._xlws.FILTER(CstClcCur[[Value]:[Value]],(CstClcCur[[Name]:[Name]]=$B12)*(ISNUMBER(FIND(CstClcCur[[Attribute]:[Attribute]],Y$3))),0))</f>
        <v>88480.191699999996</v>
      </c>
      <c r="Z12" s="270" cm="1">
        <f t="array" ref="Z12">SUM(_xlfn._xlws.FILTER(CstClcCur[[Value]:[Value]],(CstClcCur[[Name]:[Name]]=$B12)*(ISNUMBER(FIND(CstClcCur[[Attribute]:[Attribute]],Z$3))),0))</f>
        <v>0</v>
      </c>
      <c r="AA12" s="270" cm="1">
        <f t="array" ref="AA12">SUM(_xlfn._xlws.FILTER(CstClcCur[[Value]:[Value]],(CstClcCur[[Name]:[Name]]=$B12)*(ISNUMBER(FIND(CstClcCur[[Attribute]:[Attribute]],AA$3))),0))</f>
        <v>11461.1844</v>
      </c>
      <c r="AB12" s="270" cm="1">
        <f t="array" ref="AB12">SUM(_xlfn._xlws.FILTER(CstClcCur[[Value]:[Value]],(CstClcCur[[Name]:[Name]]=$B12)*(ISNUMBER(FIND(CstClcCur[[Attribute]:[Attribute]],AB$3))),0))</f>
        <v>-17328.972099999999</v>
      </c>
      <c r="AC12" s="270" cm="1">
        <f t="array" ref="AC12">SUM(_xlfn._xlws.FILTER(CstClcCur[[Value]:[Value]],(CstClcCur[[Name]:[Name]]=$B12)*(ISNUMBER(FIND(CstClcCur[[Attribute]:[Attribute]],AC$3))),0))</f>
        <v>-14123.193799999999</v>
      </c>
      <c r="AD12" s="270" cm="1">
        <f t="array" ref="AD12">SUM(_xlfn._xlws.FILTER(CstClcCur[[Value]:[Value]],(CstClcCur[[Name]:[Name]]=$B12)*(ISNUMBER(FIND(CstClcCur[[Attribute]:[Attribute]],AD$3))),0))</f>
        <v>0</v>
      </c>
      <c r="AE12" s="270" cm="1">
        <f t="array" ref="AE12">SUM(_xlfn._xlws.FILTER(CstClcCur[[Value]:[Value]],(CstClcCur[[Name]:[Name]]=$B12)*(ISNUMBER(FIND(CstClcCur[[Attribute]:[Attribute]],AE$3))),0))</f>
        <v>74113</v>
      </c>
      <c r="AF12" s="270" cm="1">
        <f t="array" ref="AF12">SUM(_xlfn._xlws.FILTER(CstClcCur[[Value]:[Value]],(CstClcCur[[Name]:[Name]]=$B12)*(ISNUMBER(FIND(CstClcCur[[Attribute]:[Attribute]],AF$3))),0))</f>
        <v>145637.94870000001</v>
      </c>
      <c r="AG12" s="270" cm="1">
        <f t="array" ref="AG12">SUM(_xlfn._xlws.FILTER(CstClcCur[[Value]:[Value]],(CstClcCur[[Name]:[Name]]=$B12)*(ISNUMBER(FIND(CstClcCur[[Attribute]:[Attribute]],AG$3))),0))</f>
        <v>0</v>
      </c>
      <c r="AH12" s="270" cm="1">
        <f t="array" ref="AH12">SUM(_xlfn._xlws.FILTER(CstClcCur[[Value]:[Value]],(CstClcCur[[Name]:[Name]]=$B12)*(ISNUMBER(FIND(CstClcCur[[Attribute]:[Attribute]],AH$3))),0))</f>
        <v>26657.716100000001</v>
      </c>
      <c r="AI12" s="270" cm="1">
        <f t="array" ref="AI12">SUM(_xlfn._xlws.FILTER(CstClcCur[[Value]:[Value]],(CstClcCur[[Name]:[Name]]=$B12)*(ISNUMBER(FIND(CstClcCur[[Attribute]:[Attribute]],AI$3))),0))</f>
        <v>142239.60260000001</v>
      </c>
      <c r="AJ12" s="270" cm="1">
        <f t="array" ref="AJ12">SUM(_xlfn._xlws.FILTER(CstClcCur[[Value]:[Value]],(CstClcCur[[Name]:[Name]]=$B12)*(ISNUMBER(FIND(CstClcCur[[Attribute]:[Attribute]],AJ$3))),0))</f>
        <v>0</v>
      </c>
      <c r="AK12" s="270" cm="1">
        <f t="array" ref="AK12">SUM(_xlfn._xlws.FILTER(CstClcCur[[Value]:[Value]],(CstClcCur[[Name]:[Name]]=$B12)*(ISNUMBER(FIND(CstClcCur[[Attribute]:[Attribute]],AK$3))),0))</f>
        <v>-628.46730000000002</v>
      </c>
      <c r="AL12" s="264" t="str">
        <f t="shared" si="0"/>
        <v>U12:AK12</v>
      </c>
    </row>
    <row r="13" spans="1:38" s="249" customFormat="1" ht="27" customHeight="1">
      <c r="A13" s="222"/>
      <c r="B13" s="265" t="str" cm="1">
        <f t="array" ref="B13">_xlfn.LET(_xlpm.x,IFERROR(INDEX(TbRsmIn[Enquiry No],SUM(ROW()-MATCH("SOR",$A:$A,0))),"X"),IF(_xlpm.x=0,"X",_xlpm.x))</f>
        <v>0CT008</v>
      </c>
      <c r="C13" s="265" t="str">
        <f>IF($B13="X","X",INDEX(F_PI2[PrjId],MATCH(VALUE(LEFT($B13,1)),F_PI2[PrjOrd],0)))</f>
        <v>31200</v>
      </c>
      <c r="D13" s="265" t="str">
        <f t="shared" si="2"/>
        <v>Sp</v>
      </c>
      <c r="E13" s="266" t="str" cm="1">
        <f t="array" ref="E13">IF($B13="","X",UPPER(_xlfn._xlws.FILTER(CstClcData[Value],(CstClcData[Name]=$B13)*(CstClcData[Attribute]=E$3),"X")))</f>
        <v>CHANGE OF PNEUMATIC COMPONENTS TO SANDFIELD FROM DESTACO (JUST MANUAL DOUBLE BAR SLIDE GUIDED)</v>
      </c>
      <c r="F13" s="233" t="str" cm="1">
        <f t="array" ref="F13">IF($B13="X","X",_xlfn.UNIQUE(_xlfn._xlws.FILTER(PInt2[VtaId],(ISNUMBER(FIND(RIGHT($B13,LEN($B13)-1),SUBSTITUTE(PInt2[PInNxm],"-",""))))*(PInt2[PrjId]=TEXT($C13,"@")),"X")))</f>
        <v>X</v>
      </c>
      <c r="G13" s="269" t="str" cm="1">
        <f t="array" ref="G13">IF($F13="X","X",_xlfn.UNIQUE(_xlfn._xlws.FILTER(PInt2[OrdIds],(PInt2[VtaId]=$F13)*(PInt2[PrjId]=TEXT($C13,"@")),"X")))</f>
        <v>X</v>
      </c>
      <c r="H13" s="233" t="str" cm="1">
        <f t="array" ref="H13">IF($F13="X","X",_xlfn.UNIQUE(_xlfn._xlws.FILTER(PInt2[CusOrdId],(PInt2[VtaId]=$F13)*(PInt2[PrjId]=TEXT($C13,"@")),"X")))</f>
        <v>X</v>
      </c>
      <c r="I13" s="234" cm="1">
        <f t="array" ref="I13">IF($B13="","X",_xlfn._xlws.FILTER(TbRsmIn[Date],(TbRsmIn[Enquiry No]=$B13),"X"))</f>
        <v>45305</v>
      </c>
      <c r="J13" s="265">
        <f t="shared" si="3"/>
        <v>202402</v>
      </c>
      <c r="K13" s="234" t="str" cm="1">
        <f t="array" ref="K13">IF($B13="","X",_xlfn._xlws.FILTER(TbRsmIn[Causality],(TbRsmIn[Enquiry No]=$B13),"X"))</f>
        <v>PROCESO</v>
      </c>
      <c r="L13" s="267" t="str" cm="1">
        <f t="array" ref="L13">_xlfn._xlws.FILTER(PInt2[OrdMin],PInt2[VtaId]=$F13,"X")</f>
        <v>X</v>
      </c>
      <c r="M13" s="267" t="str" cm="1">
        <f t="array" ref="M13">_xlfn._xlws.FILTER(PInt2[PayMax],PInt2[VtaId]=$F13,"X")</f>
        <v>X</v>
      </c>
      <c r="N13" s="122" t="str" cm="1">
        <f t="array" ref="N13">IFERROR(_xlfn.TEXTAFTER(INDEX(O$5:R$5,MAX(_xlfn._xlws.FILTER(COLUMN($O13:$R13),($O13:$R13&lt;&gt;0)*($O13:$R13&lt;"")*(UPPER($O13:$R13)&lt;&gt;"X")))-MATCH("SOV",$1:$1,0))," "),"X")</f>
        <v>Ofertado</v>
      </c>
      <c r="O13" s="268" cm="1">
        <f t="array" ref="O13">IF($B13="","X",_xlfn._xlws.FILTER(TbRsmIn[Offered],(TbRsmIn[Enquiry No]=$B13),"X"))</f>
        <v>13779.41</v>
      </c>
      <c r="P13" s="268" t="str" cm="1">
        <f t="array" ref="P13">IF($B13="","X",IF(Q13&lt;&gt;0,Q13,_xlfn._xlws.FILTER(CstClcData[Value],(CstClcData[Name]=$B13)*(CstClcData[Attribute]=P$3),"X")))</f>
        <v>X</v>
      </c>
      <c r="Q13" s="268" cm="1">
        <f t="array" ref="Q13">IF($B13="","X",_xlfn._xlws.FILTER(TbRsmIn[Ordered],(TbRsmIn[Enquiry No]=$B13),"X"))</f>
        <v>0</v>
      </c>
      <c r="R13" s="268" cm="1">
        <f t="array" ref="R13">SUM(_xlfn._xlws.FILTER(PInt2[InvCur],(PInt2[PInNxm]&lt;&gt;0)*(PInt2[PrjId]=$C13)*(IFERROR(_xlfn.TEXTBEFORE(SUBSTITUTE(PInt2[PInNxm],"-",""),"/"),"X")=RIGHT($B13,LEN($B13)-1)),0))</f>
        <v>0</v>
      </c>
      <c r="S13" s="122" t="str" cm="1">
        <f t="array" ref="S13">IF($B13="","X",_xlfn._xlws.FILTER(TbRsmIn[Alive]&amp;CHAR(10)&amp;TEXT(TbRsmIn[Ongoing],"000%"),(TbRsmIn[Enquiry No]=$B13),"X"))</f>
        <v>C
000%</v>
      </c>
      <c r="T13" s="292">
        <f t="shared" ca="1" si="1"/>
        <v>11195.7672</v>
      </c>
      <c r="U13" s="270" cm="1">
        <f t="array" ref="U13">SUM(_xlfn._xlws.FILTER(CstClcCur[[Value]:[Value]],(CstClcCur[[Name]:[Name]]=$B13)*(ISNUMBER(FIND(CstClcCur[[Attribute]:[Attribute]],U$3))),0))</f>
        <v>0</v>
      </c>
      <c r="V13" s="270" cm="1">
        <f t="array" ref="V13">SUM(_xlfn._xlws.FILTER(CstClcCur[[Value]:[Value]],(CstClcCur[[Name]:[Name]]=$B13)*(ISNUMBER(FIND(CstClcCur[[Attribute]:[Attribute]],V$3))),0))</f>
        <v>0</v>
      </c>
      <c r="W13" s="270" cm="1">
        <f t="array" ref="W13">SUM(_xlfn._xlws.FILTER(CstClcCur[[Value]:[Value]],(CstClcCur[[Name]:[Name]]=$B13)*(ISNUMBER(FIND(CstClcCur[[Attribute]:[Attribute]],W$3))),0))</f>
        <v>0</v>
      </c>
      <c r="X13" s="270" cm="1">
        <f t="array" ref="X13">SUM(_xlfn._xlws.FILTER(CstClcCur[[Value]:[Value]],(CstClcCur[[Name]:[Name]]=$B13)*(ISNUMBER(FIND(CstClcCur[[Attribute]:[Attribute]],X$3))),0))</f>
        <v>0</v>
      </c>
      <c r="Y13" s="270" cm="1">
        <f t="array" ref="Y13">SUM(_xlfn._xlws.FILTER(CstClcCur[[Value]:[Value]],(CstClcCur[[Name]:[Name]]=$B13)*(ISNUMBER(FIND(CstClcCur[[Attribute]:[Attribute]],Y$3))),0))</f>
        <v>0</v>
      </c>
      <c r="Z13" s="270" cm="1">
        <f t="array" ref="Z13">SUM(_xlfn._xlws.FILTER(CstClcCur[[Value]:[Value]],(CstClcCur[[Name]:[Name]]=$B13)*(ISNUMBER(FIND(CstClcCur[[Attribute]:[Attribute]],Z$3))),0))</f>
        <v>0</v>
      </c>
      <c r="AA13" s="270" cm="1">
        <f t="array" ref="AA13">SUM(_xlfn._xlws.FILTER(CstClcCur[[Value]:[Value]],(CstClcCur[[Name]:[Name]]=$B13)*(ISNUMBER(FIND(CstClcCur[[Attribute]:[Attribute]],AA$3))),0))</f>
        <v>0</v>
      </c>
      <c r="AB13" s="270" cm="1">
        <f t="array" ref="AB13">SUM(_xlfn._xlws.FILTER(CstClcCur[[Value]:[Value]],(CstClcCur[[Name]:[Name]]=$B13)*(ISNUMBER(FIND(CstClcCur[[Attribute]:[Attribute]],AB$3))),0))</f>
        <v>0</v>
      </c>
      <c r="AC13" s="270" cm="1">
        <f t="array" ref="AC13">SUM(_xlfn._xlws.FILTER(CstClcCur[[Value]:[Value]],(CstClcCur[[Name]:[Name]]=$B13)*(ISNUMBER(FIND(CstClcCur[[Attribute]:[Attribute]],AC$3))),0))</f>
        <v>0</v>
      </c>
      <c r="AD13" s="270" cm="1">
        <f t="array" ref="AD13">SUM(_xlfn._xlws.FILTER(CstClcCur[[Value]:[Value]],(CstClcCur[[Name]:[Name]]=$B13)*(ISNUMBER(FIND(CstClcCur[[Attribute]:[Attribute]],AD$3))),0))</f>
        <v>0</v>
      </c>
      <c r="AE13" s="270" cm="1">
        <f t="array" ref="AE13">SUM(_xlfn._xlws.FILTER(CstClcCur[[Value]:[Value]],(CstClcCur[[Name]:[Name]]=$B13)*(ISNUMBER(FIND(CstClcCur[[Attribute]:[Attribute]],AE$3))),0))</f>
        <v>0</v>
      </c>
      <c r="AF13" s="270" cm="1">
        <f t="array" ref="AF13">SUM(_xlfn._xlws.FILTER(CstClcCur[[Value]:[Value]],(CstClcCur[[Name]:[Name]]=$B13)*(ISNUMBER(FIND(CstClcCur[[Attribute]:[Attribute]],AF$3))),0))</f>
        <v>0</v>
      </c>
      <c r="AG13" s="270" cm="1">
        <f t="array" ref="AG13">SUM(_xlfn._xlws.FILTER(CstClcCur[[Value]:[Value]],(CstClcCur[[Name]:[Name]]=$B13)*(ISNUMBER(FIND(CstClcCur[[Attribute]:[Attribute]],AG$3))),0))</f>
        <v>0</v>
      </c>
      <c r="AH13" s="270" cm="1">
        <f t="array" ref="AH13">SUM(_xlfn._xlws.FILTER(CstClcCur[[Value]:[Value]],(CstClcCur[[Name]:[Name]]=$B13)*(ISNUMBER(FIND(CstClcCur[[Attribute]:[Attribute]],AH$3))),0))</f>
        <v>11195.7672</v>
      </c>
      <c r="AI13" s="270" cm="1">
        <f t="array" ref="AI13">SUM(_xlfn._xlws.FILTER(CstClcCur[[Value]:[Value]],(CstClcCur[[Name]:[Name]]=$B13)*(ISNUMBER(FIND(CstClcCur[[Attribute]:[Attribute]],AI$3))),0))</f>
        <v>0</v>
      </c>
      <c r="AJ13" s="270" cm="1">
        <f t="array" ref="AJ13">SUM(_xlfn._xlws.FILTER(CstClcCur[[Value]:[Value]],(CstClcCur[[Name]:[Name]]=$B13)*(ISNUMBER(FIND(CstClcCur[[Attribute]:[Attribute]],AJ$3))),0))</f>
        <v>0</v>
      </c>
      <c r="AK13" s="270" cm="1">
        <f t="array" ref="AK13">SUM(_xlfn._xlws.FILTER(CstClcCur[[Value]:[Value]],(CstClcCur[[Name]:[Name]]=$B13)*(ISNUMBER(FIND(CstClcCur[[Attribute]:[Attribute]],AK$3))),0))</f>
        <v>0</v>
      </c>
      <c r="AL13" s="264" t="str">
        <f t="shared" si="0"/>
        <v>U13:AK13</v>
      </c>
    </row>
    <row r="14" spans="1:38" s="249" customFormat="1" ht="27" customHeight="1">
      <c r="A14" s="222"/>
      <c r="B14" s="265" t="str" cm="1">
        <f t="array" ref="B14">_xlfn.LET(_xlpm.x,IFERROR(INDEX(TbRsmIn[Enquiry No],SUM(ROW()-MATCH("SOR",$A:$A,0))),"X"),IF(_xlpm.x=0,"X",_xlpm.x))</f>
        <v>0CT009</v>
      </c>
      <c r="C14" s="265" t="str">
        <f>IF($B14="X","X",INDEX(F_PI2[PrjId],MATCH(VALUE(LEFT($B14,1)),F_PI2[PrjOrd],0)))</f>
        <v>31200</v>
      </c>
      <c r="D14" s="265" t="str">
        <f t="shared" si="2"/>
        <v>Sp</v>
      </c>
      <c r="E14" s="266" t="str" cm="1">
        <f t="array" ref="E14">IF($B14="","X",UPPER(_xlfn._xlws.FILTER(CstClcData[Value],(CstClcData[Name]=$B14)*(CstClcData[Attribute]=E$3),"X")))</f>
        <v>SUPPORT COST FOR PAYMENT TEMPORAL IMPORT TAXES AND MANAGEMENT</v>
      </c>
      <c r="F14" s="233" t="str" cm="1">
        <f t="array" ref="F14">IF($B14="X","X",_xlfn.UNIQUE(_xlfn._xlws.FILTER(PInt2[VtaId],(ISNUMBER(FIND(RIGHT($B14,LEN($B14)-1),SUBSTITUTE(PInt2[PInNxm],"-",""))))*(PInt2[PrjId]=TEXT($C14,"@")),"X")))</f>
        <v>X</v>
      </c>
      <c r="G14" s="269" t="str" cm="1">
        <f t="array" ref="G14">IF($F14="X","X",_xlfn.UNIQUE(_xlfn._xlws.FILTER(PInt2[OrdIds],(PInt2[VtaId]=$F14)*(PInt2[PrjId]=TEXT($C14,"@")),"X")))</f>
        <v>X</v>
      </c>
      <c r="H14" s="233" t="str" cm="1">
        <f t="array" ref="H14">IF($F14="X","X",_xlfn.UNIQUE(_xlfn._xlws.FILTER(PInt2[CusOrdId],(PInt2[VtaId]=$F14)*(PInt2[PrjId]=TEXT($C14,"@")),"X")))</f>
        <v>X</v>
      </c>
      <c r="I14" s="234" cm="1">
        <f t="array" ref="I14">IF($B14="","X",_xlfn._xlws.FILTER(TbRsmIn[Date],(TbRsmIn[Enquiry No]=$B14),"X"))</f>
        <v>45308</v>
      </c>
      <c r="J14" s="265">
        <f t="shared" si="3"/>
        <v>202403</v>
      </c>
      <c r="K14" s="234" t="str" cm="1">
        <f t="array" ref="K14">IF($B14="","X",_xlfn._xlws.FILTER(TbRsmIn[Causality],(TbRsmIn[Enquiry No]=$B14),"X"))</f>
        <v>PROCESO</v>
      </c>
      <c r="L14" s="267" t="str" cm="1">
        <f t="array" ref="L14">_xlfn._xlws.FILTER(PInt2[OrdMin],PInt2[VtaId]=$F14,"X")</f>
        <v>X</v>
      </c>
      <c r="M14" s="267" t="str" cm="1">
        <f t="array" ref="M14">_xlfn._xlws.FILTER(PInt2[PayMax],PInt2[VtaId]=$F14,"X")</f>
        <v>X</v>
      </c>
      <c r="N14" s="122" t="str" cm="1">
        <f t="array" ref="N14">IFERROR(_xlfn.TEXTAFTER(INDEX(O$5:R$5,MAX(_xlfn._xlws.FILTER(COLUMN($O14:$R14),($O14:$R14&lt;&gt;0)*($O14:$R14&lt;"")*(UPPER($O14:$R14)&lt;&gt;"X")))-MATCH("SOV",$1:$1,0))," "),"X")</f>
        <v>Ofertado</v>
      </c>
      <c r="O14" s="268" cm="1">
        <f t="array" ref="O14">IF($B14="","X",_xlfn._xlws.FILTER(TbRsmIn[Offered],(TbRsmIn[Enquiry No]=$B14),"X"))</f>
        <v>56990.6</v>
      </c>
      <c r="P14" s="268" t="str" cm="1">
        <f t="array" ref="P14">IF($B14="","X",IF(Q14&lt;&gt;0,Q14,_xlfn._xlws.FILTER(CstClcData[Value],(CstClcData[Name]=$B14)*(CstClcData[Attribute]=P$3),"X")))</f>
        <v>X</v>
      </c>
      <c r="Q14" s="268" cm="1">
        <f t="array" ref="Q14">IF($B14="","X",_xlfn._xlws.FILTER(TbRsmIn[Ordered],(TbRsmIn[Enquiry No]=$B14),"X"))</f>
        <v>0</v>
      </c>
      <c r="R14" s="268" cm="1">
        <f t="array" ref="R14">SUM(_xlfn._xlws.FILTER(PInt2[InvCur],(PInt2[PInNxm]&lt;&gt;0)*(PInt2[PrjId]=$C14)*(IFERROR(_xlfn.TEXTBEFORE(SUBSTITUTE(PInt2[PInNxm],"-",""),"/"),"X")=RIGHT($B14,LEN($B14)-1)),0))</f>
        <v>0</v>
      </c>
      <c r="S14" s="122" t="str" cm="1">
        <f t="array" ref="S14">IF($B14="","X",_xlfn._xlws.FILTER(TbRsmIn[Alive]&amp;CHAR(10)&amp;TEXT(TbRsmIn[Ongoing],"000%"),(TbRsmIn[Enquiry No]=$B14),"X"))</f>
        <v>C
000%</v>
      </c>
      <c r="T14" s="292">
        <f t="shared" ca="1" si="1"/>
        <v>49385.2065</v>
      </c>
      <c r="U14" s="270" cm="1">
        <f t="array" ref="U14">SUM(_xlfn._xlws.FILTER(CstClcCur[[Value]:[Value]],(CstClcCur[[Name]:[Name]]=$B14)*(ISNUMBER(FIND(CstClcCur[[Attribute]:[Attribute]],U$3))),0))</f>
        <v>0</v>
      </c>
      <c r="V14" s="270" cm="1">
        <f t="array" ref="V14">SUM(_xlfn._xlws.FILTER(CstClcCur[[Value]:[Value]],(CstClcCur[[Name]:[Name]]=$B14)*(ISNUMBER(FIND(CstClcCur[[Attribute]:[Attribute]],V$3))),0))</f>
        <v>0</v>
      </c>
      <c r="W14" s="270" cm="1">
        <f t="array" ref="W14">SUM(_xlfn._xlws.FILTER(CstClcCur[[Value]:[Value]],(CstClcCur[[Name]:[Name]]=$B14)*(ISNUMBER(FIND(CstClcCur[[Attribute]:[Attribute]],W$3))),0))</f>
        <v>0</v>
      </c>
      <c r="X14" s="270" cm="1">
        <f t="array" ref="X14">SUM(_xlfn._xlws.FILTER(CstClcCur[[Value]:[Value]],(CstClcCur[[Name]:[Name]]=$B14)*(ISNUMBER(FIND(CstClcCur[[Attribute]:[Attribute]],X$3))),0))</f>
        <v>0</v>
      </c>
      <c r="Y14" s="270" cm="1">
        <f t="array" ref="Y14">SUM(_xlfn._xlws.FILTER(CstClcCur[[Value]:[Value]],(CstClcCur[[Name]:[Name]]=$B14)*(ISNUMBER(FIND(CstClcCur[[Attribute]:[Attribute]],Y$3))),0))</f>
        <v>0</v>
      </c>
      <c r="Z14" s="270" cm="1">
        <f t="array" ref="Z14">SUM(_xlfn._xlws.FILTER(CstClcCur[[Value]:[Value]],(CstClcCur[[Name]:[Name]]=$B14)*(ISNUMBER(FIND(CstClcCur[[Attribute]:[Attribute]],Z$3))),0))</f>
        <v>0</v>
      </c>
      <c r="AA14" s="270" cm="1">
        <f t="array" ref="AA14">SUM(_xlfn._xlws.FILTER(CstClcCur[[Value]:[Value]],(CstClcCur[[Name]:[Name]]=$B14)*(ISNUMBER(FIND(CstClcCur[[Attribute]:[Attribute]],AA$3))),0))</f>
        <v>0</v>
      </c>
      <c r="AB14" s="270" cm="1">
        <f t="array" ref="AB14">SUM(_xlfn._xlws.FILTER(CstClcCur[[Value]:[Value]],(CstClcCur[[Name]:[Name]]=$B14)*(ISNUMBER(FIND(CstClcCur[[Attribute]:[Attribute]],AB$3))),0))</f>
        <v>0</v>
      </c>
      <c r="AC14" s="270" cm="1">
        <f t="array" ref="AC14">SUM(_xlfn._xlws.FILTER(CstClcCur[[Value]:[Value]],(CstClcCur[[Name]:[Name]]=$B14)*(ISNUMBER(FIND(CstClcCur[[Attribute]:[Attribute]],AC$3))),0))</f>
        <v>0</v>
      </c>
      <c r="AD14" s="270" cm="1">
        <f t="array" ref="AD14">SUM(_xlfn._xlws.FILTER(CstClcCur[[Value]:[Value]],(CstClcCur[[Name]:[Name]]=$B14)*(ISNUMBER(FIND(CstClcCur[[Attribute]:[Attribute]],AD$3))),0))</f>
        <v>0</v>
      </c>
      <c r="AE14" s="270" cm="1">
        <f t="array" ref="AE14">SUM(_xlfn._xlws.FILTER(CstClcCur[[Value]:[Value]],(CstClcCur[[Name]:[Name]]=$B14)*(ISNUMBER(FIND(CstClcCur[[Attribute]:[Attribute]],AE$3))),0))</f>
        <v>0</v>
      </c>
      <c r="AF14" s="270" cm="1">
        <f t="array" ref="AF14">SUM(_xlfn._xlws.FILTER(CstClcCur[[Value]:[Value]],(CstClcCur[[Name]:[Name]]=$B14)*(ISNUMBER(FIND(CstClcCur[[Attribute]:[Attribute]],AF$3))),0))</f>
        <v>0</v>
      </c>
      <c r="AG14" s="270" cm="1">
        <f t="array" ref="AG14">SUM(_xlfn._xlws.FILTER(CstClcCur[[Value]:[Value]],(CstClcCur[[Name]:[Name]]=$B14)*(ISNUMBER(FIND(CstClcCur[[Attribute]:[Attribute]],AG$3))),0))</f>
        <v>0</v>
      </c>
      <c r="AH14" s="270" cm="1">
        <f t="array" ref="AH14">SUM(_xlfn._xlws.FILTER(CstClcCur[[Value]:[Value]],(CstClcCur[[Name]:[Name]]=$B14)*(ISNUMBER(FIND(CstClcCur[[Attribute]:[Attribute]],AH$3))),0))</f>
        <v>0</v>
      </c>
      <c r="AI14" s="270" cm="1">
        <f t="array" ref="AI14">SUM(_xlfn._xlws.FILTER(CstClcCur[[Value]:[Value]],(CstClcCur[[Name]:[Name]]=$B14)*(ISNUMBER(FIND(CstClcCur[[Attribute]:[Attribute]],AI$3))),0))</f>
        <v>0</v>
      </c>
      <c r="AJ14" s="270" cm="1">
        <f t="array" ref="AJ14">SUM(_xlfn._xlws.FILTER(CstClcCur[[Value]:[Value]],(CstClcCur[[Name]:[Name]]=$B14)*(ISNUMBER(FIND(CstClcCur[[Attribute]:[Attribute]],AJ$3))),0))</f>
        <v>0</v>
      </c>
      <c r="AK14" s="270" cm="1">
        <f t="array" ref="AK14">SUM(_xlfn._xlws.FILTER(CstClcCur[[Value]:[Value]],(CstClcCur[[Name]:[Name]]=$B14)*(ISNUMBER(FIND(CstClcCur[[Attribute]:[Attribute]],AK$3))),0))</f>
        <v>49385.2065</v>
      </c>
      <c r="AL14" s="264" t="str">
        <f t="shared" si="0"/>
        <v>U14:AK14</v>
      </c>
    </row>
    <row r="15" spans="1:38" s="249" customFormat="1" ht="27" customHeight="1">
      <c r="A15" s="222"/>
      <c r="B15" s="265" t="str" cm="1">
        <f t="array" ref="B15">_xlfn.LET(_xlpm.x,IFERROR(INDEX(TbRsmIn[Enquiry No],SUM(ROW()-MATCH("SOR",$A:$A,0))),"X"),IF(_xlpm.x=0,"X",_xlpm.x))</f>
        <v>0CT010</v>
      </c>
      <c r="C15" s="265" t="str">
        <f>IF($B15="X","X",INDEX(F_PI2[PrjId],MATCH(VALUE(LEFT($B15,1)),F_PI2[PrjOrd],0)))</f>
        <v>31200</v>
      </c>
      <c r="D15" s="265" t="str">
        <f t="shared" si="2"/>
        <v>Sp</v>
      </c>
      <c r="E15" s="266" t="str" cm="1">
        <f t="array" ref="E15">IF($B15="","X",UPPER(_xlfn._xlws.FILTER(CstClcData[Value],(CstClcData[Name]=$B15)*(CstClcData[Attribute]=E$3),"X")))</f>
        <v>EMA RR EOL CHANGE PRODUCT ISOLATED IMPACT PW5 REMOVED FROM PO.</v>
      </c>
      <c r="F15" s="233" t="str" cm="1">
        <f t="array" ref="F15">IF($B15="X","X",_xlfn.UNIQUE(_xlfn._xlws.FILTER(PInt2[VtaId],(ISNUMBER(FIND(RIGHT($B15,LEN($B15)-1),SUBSTITUTE(PInt2[PInNxm],"-",""))))*(PInt2[PrjId]=TEXT($C15,"@")),"X")))</f>
        <v>X</v>
      </c>
      <c r="G15" s="269" t="str" cm="1">
        <f t="array" ref="G15">IF($F15="X","X",_xlfn.UNIQUE(_xlfn._xlws.FILTER(PInt2[OrdIds],(PInt2[VtaId]=$F15)*(PInt2[PrjId]=TEXT($C15,"@")),"X")))</f>
        <v>X</v>
      </c>
      <c r="H15" s="233" t="str" cm="1">
        <f t="array" ref="H15">IF($F15="X","X",_xlfn.UNIQUE(_xlfn._xlws.FILTER(PInt2[CusOrdId],(PInt2[VtaId]=$F15)*(PInt2[PrjId]=TEXT($C15,"@")),"X")))</f>
        <v>X</v>
      </c>
      <c r="I15" s="234" cm="1">
        <f t="array" ref="I15">IF($B15="","X",_xlfn._xlws.FILTER(TbRsmIn[Date],(TbRsmIn[Enquiry No]=$B15),"X"))</f>
        <v>45305</v>
      </c>
      <c r="J15" s="265">
        <f t="shared" si="3"/>
        <v>202402</v>
      </c>
      <c r="K15" s="234" t="str" cm="1">
        <f t="array" ref="K15">IF($B15="","X",_xlfn._xlws.FILTER(TbRsmIn[Causality],(TbRsmIn[Enquiry No]=$B15),"X"))</f>
        <v>PROCESO</v>
      </c>
      <c r="L15" s="267" t="str" cm="1">
        <f t="array" ref="L15">_xlfn._xlws.FILTER(PInt2[OrdMin],PInt2[VtaId]=$F15,"X")</f>
        <v>X</v>
      </c>
      <c r="M15" s="267" t="str" cm="1">
        <f t="array" ref="M15">_xlfn._xlws.FILTER(PInt2[PayMax],PInt2[VtaId]=$F15,"X")</f>
        <v>X</v>
      </c>
      <c r="N15" s="122" t="str" cm="1">
        <f t="array" ref="N15">IFERROR(_xlfn.TEXTAFTER(INDEX(O$5:R$5,MAX(_xlfn._xlws.FILTER(COLUMN($O15:$R15),($O15:$R15&lt;&gt;0)*($O15:$R15&lt;"")*(UPPER($O15:$R15)&lt;&gt;"X")))-MATCH("SOV",$1:$1,0))," "),"X")</f>
        <v>Ofertado</v>
      </c>
      <c r="O15" s="268" cm="1">
        <f t="array" ref="O15">IF($B15="","X",_xlfn._xlws.FILTER(TbRsmIn[Offered],(TbRsmIn[Enquiry No]=$B15),"X"))</f>
        <v>-74113</v>
      </c>
      <c r="P15" s="268" t="str" cm="1">
        <f t="array" ref="P15">IF($B15="","X",IF(Q15&lt;&gt;0,Q15,_xlfn._xlws.FILTER(CstClcData[Value],(CstClcData[Name]=$B15)*(CstClcData[Attribute]=P$3),"X")))</f>
        <v>X</v>
      </c>
      <c r="Q15" s="268" cm="1">
        <f t="array" ref="Q15">IF($B15="","X",_xlfn._xlws.FILTER(TbRsmIn[Ordered],(TbRsmIn[Enquiry No]=$B15),"X"))</f>
        <v>0</v>
      </c>
      <c r="R15" s="268" cm="1">
        <f t="array" ref="R15">SUM(_xlfn._xlws.FILTER(PInt2[InvCur],(PInt2[PInNxm]&lt;&gt;0)*(PInt2[PrjId]=$C15)*(IFERROR(_xlfn.TEXTBEFORE(SUBSTITUTE(PInt2[PInNxm],"-",""),"/"),"X")=RIGHT($B15,LEN($B15)-1)),0))</f>
        <v>0</v>
      </c>
      <c r="S15" s="122" t="str" cm="1">
        <f t="array" ref="S15">IF($B15="","X",_xlfn._xlws.FILTER(TbRsmIn[Alive]&amp;CHAR(10)&amp;TEXT(TbRsmIn[Ongoing],"000%"),(TbRsmIn[Enquiry No]=$B15),"X"))</f>
        <v>C
000%</v>
      </c>
      <c r="T15" s="292">
        <f t="shared" ca="1" si="1"/>
        <v>-74113</v>
      </c>
      <c r="U15" s="270" cm="1">
        <f t="array" ref="U15">SUM(_xlfn._xlws.FILTER(CstClcCur[[Value]:[Value]],(CstClcCur[[Name]:[Name]]=$B15)*(ISNUMBER(FIND(CstClcCur[[Attribute]:[Attribute]],U$3))),0))</f>
        <v>0</v>
      </c>
      <c r="V15" s="270" cm="1">
        <f t="array" ref="V15">SUM(_xlfn._xlws.FILTER(CstClcCur[[Value]:[Value]],(CstClcCur[[Name]:[Name]]=$B15)*(ISNUMBER(FIND(CstClcCur[[Attribute]:[Attribute]],V$3))),0))</f>
        <v>0</v>
      </c>
      <c r="W15" s="270" cm="1">
        <f t="array" ref="W15">SUM(_xlfn._xlws.FILTER(CstClcCur[[Value]:[Value]],(CstClcCur[[Name]:[Name]]=$B15)*(ISNUMBER(FIND(CstClcCur[[Attribute]:[Attribute]],W$3))),0))</f>
        <v>0</v>
      </c>
      <c r="X15" s="270" cm="1">
        <f t="array" ref="X15">SUM(_xlfn._xlws.FILTER(CstClcCur[[Value]:[Value]],(CstClcCur[[Name]:[Name]]=$B15)*(ISNUMBER(FIND(CstClcCur[[Attribute]:[Attribute]],X$3))),0))</f>
        <v>0</v>
      </c>
      <c r="Y15" s="270" cm="1">
        <f t="array" ref="Y15">SUM(_xlfn._xlws.FILTER(CstClcCur[[Value]:[Value]],(CstClcCur[[Name]:[Name]]=$B15)*(ISNUMBER(FIND(CstClcCur[[Attribute]:[Attribute]],Y$3))),0))</f>
        <v>0</v>
      </c>
      <c r="Z15" s="270" cm="1">
        <f t="array" ref="Z15">SUM(_xlfn._xlws.FILTER(CstClcCur[[Value]:[Value]],(CstClcCur[[Name]:[Name]]=$B15)*(ISNUMBER(FIND(CstClcCur[[Attribute]:[Attribute]],Z$3))),0))</f>
        <v>0</v>
      </c>
      <c r="AA15" s="270" cm="1">
        <f t="array" ref="AA15">SUM(_xlfn._xlws.FILTER(CstClcCur[[Value]:[Value]],(CstClcCur[[Name]:[Name]]=$B15)*(ISNUMBER(FIND(CstClcCur[[Attribute]:[Attribute]],AA$3))),0))</f>
        <v>0</v>
      </c>
      <c r="AB15" s="270" cm="1">
        <f t="array" ref="AB15">SUM(_xlfn._xlws.FILTER(CstClcCur[[Value]:[Value]],(CstClcCur[[Name]:[Name]]=$B15)*(ISNUMBER(FIND(CstClcCur[[Attribute]:[Attribute]],AB$3))),0))</f>
        <v>0</v>
      </c>
      <c r="AC15" s="270" cm="1">
        <f t="array" ref="AC15">SUM(_xlfn._xlws.FILTER(CstClcCur[[Value]:[Value]],(CstClcCur[[Name]:[Name]]=$B15)*(ISNUMBER(FIND(CstClcCur[[Attribute]:[Attribute]],AC$3))),0))</f>
        <v>0</v>
      </c>
      <c r="AD15" s="270" cm="1">
        <f t="array" ref="AD15">SUM(_xlfn._xlws.FILTER(CstClcCur[[Value]:[Value]],(CstClcCur[[Name]:[Name]]=$B15)*(ISNUMBER(FIND(CstClcCur[[Attribute]:[Attribute]],AD$3))),0))</f>
        <v>0</v>
      </c>
      <c r="AE15" s="270" cm="1">
        <f t="array" ref="AE15">SUM(_xlfn._xlws.FILTER(CstClcCur[[Value]:[Value]],(CstClcCur[[Name]:[Name]]=$B15)*(ISNUMBER(FIND(CstClcCur[[Attribute]:[Attribute]],AE$3))),0))</f>
        <v>-74113</v>
      </c>
      <c r="AF15" s="270" cm="1">
        <f t="array" ref="AF15">SUM(_xlfn._xlws.FILTER(CstClcCur[[Value]:[Value]],(CstClcCur[[Name]:[Name]]=$B15)*(ISNUMBER(FIND(CstClcCur[[Attribute]:[Attribute]],AF$3))),0))</f>
        <v>0</v>
      </c>
      <c r="AG15" s="270" cm="1">
        <f t="array" ref="AG15">SUM(_xlfn._xlws.FILTER(CstClcCur[[Value]:[Value]],(CstClcCur[[Name]:[Name]]=$B15)*(ISNUMBER(FIND(CstClcCur[[Attribute]:[Attribute]],AG$3))),0))</f>
        <v>0</v>
      </c>
      <c r="AH15" s="270" cm="1">
        <f t="array" ref="AH15">SUM(_xlfn._xlws.FILTER(CstClcCur[[Value]:[Value]],(CstClcCur[[Name]:[Name]]=$B15)*(ISNUMBER(FIND(CstClcCur[[Attribute]:[Attribute]],AH$3))),0))</f>
        <v>0</v>
      </c>
      <c r="AI15" s="270" cm="1">
        <f t="array" ref="AI15">SUM(_xlfn._xlws.FILTER(CstClcCur[[Value]:[Value]],(CstClcCur[[Name]:[Name]]=$B15)*(ISNUMBER(FIND(CstClcCur[[Attribute]:[Attribute]],AI$3))),0))</f>
        <v>0</v>
      </c>
      <c r="AJ15" s="270" cm="1">
        <f t="array" ref="AJ15">SUM(_xlfn._xlws.FILTER(CstClcCur[[Value]:[Value]],(CstClcCur[[Name]:[Name]]=$B15)*(ISNUMBER(FIND(CstClcCur[[Attribute]:[Attribute]],AJ$3))),0))</f>
        <v>0</v>
      </c>
      <c r="AK15" s="270" cm="1">
        <f t="array" ref="AK15">SUM(_xlfn._xlws.FILTER(CstClcCur[[Value]:[Value]],(CstClcCur[[Name]:[Name]]=$B15)*(ISNUMBER(FIND(CstClcCur[[Attribute]:[Attribute]],AK$3))),0))</f>
        <v>0</v>
      </c>
      <c r="AL15" s="264" t="str">
        <f t="shared" si="0"/>
        <v>U15:AK15</v>
      </c>
    </row>
    <row r="16" spans="1:38" s="249" customFormat="1" ht="27" customHeight="1">
      <c r="A16" s="222"/>
      <c r="B16" s="265" t="str" cm="1">
        <f t="array" ref="B16">_xlfn.LET(_xlpm.x,IFERROR(INDEX(TbRsmIn[Enquiry No],SUM(ROW()-MATCH("SOR",$A:$A,0))),"X"),IF(_xlpm.x=0,"X",_xlpm.x))</f>
        <v>0CT011</v>
      </c>
      <c r="C16" s="265" t="str">
        <f>IF($B16="X","X",INDEX(F_PI2[PrjId],MATCH(VALUE(LEFT($B16,1)),F_PI2[PrjOrd],0)))</f>
        <v>31200</v>
      </c>
      <c r="D16" s="265" t="str">
        <f t="shared" si="2"/>
        <v>Sp</v>
      </c>
      <c r="E16" s="266" t="str" cm="1">
        <f t="array" ref="E16">IF($B16="","X",UPPER(_xlfn._xlws.FILTER(CstClcData[Value],(CstClcData[Name]=$B16)*(CstClcData[Attribute]=E$3),"X")))</f>
        <v>OUT OF SCOPE WELDING WIRE CONDUIT PURCHASED BY SERRA</v>
      </c>
      <c r="F16" s="233" t="str" cm="1">
        <f t="array" ref="F16">IF($B16="X","X",_xlfn.UNIQUE(_xlfn._xlws.FILTER(PInt2[VtaId],(ISNUMBER(FIND(RIGHT($B16,LEN($B16)-1),SUBSTITUTE(PInt2[PInNxm],"-",""))))*(PInt2[PrjId]=TEXT($C16,"@")),"X")))</f>
        <v>X</v>
      </c>
      <c r="G16" s="269" t="str" cm="1">
        <f t="array" ref="G16">IF($F16="X","X",_xlfn.UNIQUE(_xlfn._xlws.FILTER(PInt2[OrdIds],(PInt2[VtaId]=$F16)*(PInt2[PrjId]=TEXT($C16,"@")),"X")))</f>
        <v>X</v>
      </c>
      <c r="H16" s="233" t="str" cm="1">
        <f t="array" ref="H16">IF($F16="X","X",_xlfn.UNIQUE(_xlfn._xlws.FILTER(PInt2[CusOrdId],(PInt2[VtaId]=$F16)*(PInt2[PrjId]=TEXT($C16,"@")),"X")))</f>
        <v>X</v>
      </c>
      <c r="I16" s="234" cm="1">
        <f t="array" ref="I16">IF($B16="","X",_xlfn._xlws.FILTER(TbRsmIn[Date],(TbRsmIn[Enquiry No]=$B16),"X"))</f>
        <v>45365</v>
      </c>
      <c r="J16" s="265">
        <f t="shared" si="3"/>
        <v>202411</v>
      </c>
      <c r="K16" s="234" t="str" cm="1">
        <f t="array" ref="K16">IF($B16="","X",_xlfn._xlws.FILTER(TbRsmIn[Causality],(TbRsmIn[Enquiry No]=$B16),"X"))</f>
        <v>DEFINICION</v>
      </c>
      <c r="L16" s="267" t="str" cm="1">
        <f t="array" ref="L16">_xlfn._xlws.FILTER(PInt2[OrdMin],PInt2[VtaId]=$F16,"X")</f>
        <v>X</v>
      </c>
      <c r="M16" s="267" t="str" cm="1">
        <f t="array" ref="M16">_xlfn._xlws.FILTER(PInt2[PayMax],PInt2[VtaId]=$F16,"X")</f>
        <v>X</v>
      </c>
      <c r="N16" s="122" t="str" cm="1">
        <f t="array" ref="N16">IFERROR(_xlfn.TEXTAFTER(INDEX(O$5:R$5,MAX(_xlfn._xlws.FILTER(COLUMN($O16:$R16),($O16:$R16&lt;&gt;0)*($O16:$R16&lt;"")*(UPPER($O16:$R16)&lt;&gt;"X")))-MATCH("SOV",$1:$1,0))," "),"X")</f>
        <v>Ofertado</v>
      </c>
      <c r="O16" s="268" cm="1">
        <f t="array" ref="O16">IF($B16="","X",_xlfn._xlws.FILTER(TbRsmIn[Offered],(TbRsmIn[Enquiry No]=$B16),"X"))</f>
        <v>2133.17</v>
      </c>
      <c r="P16" s="268" t="str" cm="1">
        <f t="array" ref="P16">IF($B16="","X",IF(Q16&lt;&gt;0,Q16,_xlfn._xlws.FILTER(CstClcData[Value],(CstClcData[Name]=$B16)*(CstClcData[Attribute]=P$3),"X")))</f>
        <v>X</v>
      </c>
      <c r="Q16" s="268" cm="1">
        <f t="array" ref="Q16">IF($B16="","X",_xlfn._xlws.FILTER(TbRsmIn[Ordered],(TbRsmIn[Enquiry No]=$B16),"X"))</f>
        <v>0</v>
      </c>
      <c r="R16" s="268" cm="1">
        <f t="array" ref="R16">SUM(_xlfn._xlws.FILTER(PInt2[InvCur],(PInt2[PInNxm]&lt;&gt;0)*(PInt2[PrjId]=$C16)*(IFERROR(_xlfn.TEXTBEFORE(SUBSTITUTE(PInt2[PInNxm],"-",""),"/"),"X")=RIGHT($B16,LEN($B16)-1)),0))</f>
        <v>0</v>
      </c>
      <c r="S16" s="122" t="str" cm="1">
        <f t="array" ref="S16">IF($B16="","X",_xlfn._xlws.FILTER(TbRsmIn[Alive]&amp;CHAR(10)&amp;TEXT(TbRsmIn[Ongoing],"000%"),(TbRsmIn[Enquiry No]=$B16),"X"))</f>
        <v>N
000%</v>
      </c>
      <c r="T16" s="292">
        <f t="shared" ca="1" si="1"/>
        <v>1798.2652</v>
      </c>
      <c r="U16" s="270" cm="1">
        <f t="array" ref="U16">SUM(_xlfn._xlws.FILTER(CstClcCur[[Value]:[Value]],(CstClcCur[[Name]:[Name]]=$B16)*(ISNUMBER(FIND(CstClcCur[[Attribute]:[Attribute]],U$3))),0))</f>
        <v>0</v>
      </c>
      <c r="V16" s="270" cm="1">
        <f t="array" ref="V16">SUM(_xlfn._xlws.FILTER(CstClcCur[[Value]:[Value]],(CstClcCur[[Name]:[Name]]=$B16)*(ISNUMBER(FIND(CstClcCur[[Attribute]:[Attribute]],V$3))),0))</f>
        <v>0</v>
      </c>
      <c r="W16" s="270" cm="1">
        <f t="array" ref="W16">SUM(_xlfn._xlws.FILTER(CstClcCur[[Value]:[Value]],(CstClcCur[[Name]:[Name]]=$B16)*(ISNUMBER(FIND(CstClcCur[[Attribute]:[Attribute]],W$3))),0))</f>
        <v>0</v>
      </c>
      <c r="X16" s="270" cm="1">
        <f t="array" ref="X16">SUM(_xlfn._xlws.FILTER(CstClcCur[[Value]:[Value]],(CstClcCur[[Name]:[Name]]=$B16)*(ISNUMBER(FIND(CstClcCur[[Attribute]:[Attribute]],X$3))),0))</f>
        <v>0</v>
      </c>
      <c r="Y16" s="270" cm="1">
        <f t="array" ref="Y16">SUM(_xlfn._xlws.FILTER(CstClcCur[[Value]:[Value]],(CstClcCur[[Name]:[Name]]=$B16)*(ISNUMBER(FIND(CstClcCur[[Attribute]:[Attribute]],Y$3))),0))</f>
        <v>0</v>
      </c>
      <c r="Z16" s="270" cm="1">
        <f t="array" ref="Z16">SUM(_xlfn._xlws.FILTER(CstClcCur[[Value]:[Value]],(CstClcCur[[Name]:[Name]]=$B16)*(ISNUMBER(FIND(CstClcCur[[Attribute]:[Attribute]],Z$3))),0))</f>
        <v>0</v>
      </c>
      <c r="AA16" s="270" cm="1">
        <f t="array" ref="AA16">SUM(_xlfn._xlws.FILTER(CstClcCur[[Value]:[Value]],(CstClcCur[[Name]:[Name]]=$B16)*(ISNUMBER(FIND(CstClcCur[[Attribute]:[Attribute]],AA$3))),0))</f>
        <v>0</v>
      </c>
      <c r="AB16" s="270" cm="1">
        <f t="array" ref="AB16">SUM(_xlfn._xlws.FILTER(CstClcCur[[Value]:[Value]],(CstClcCur[[Name]:[Name]]=$B16)*(ISNUMBER(FIND(CstClcCur[[Attribute]:[Attribute]],AB$3))),0))</f>
        <v>0</v>
      </c>
      <c r="AC16" s="270" cm="1">
        <f t="array" ref="AC16">SUM(_xlfn._xlws.FILTER(CstClcCur[[Value]:[Value]],(CstClcCur[[Name]:[Name]]=$B16)*(ISNUMBER(FIND(CstClcCur[[Attribute]:[Attribute]],AC$3))),0))</f>
        <v>0</v>
      </c>
      <c r="AD16" s="270" cm="1">
        <f t="array" ref="AD16">SUM(_xlfn._xlws.FILTER(CstClcCur[[Value]:[Value]],(CstClcCur[[Name]:[Name]]=$B16)*(ISNUMBER(FIND(CstClcCur[[Attribute]:[Attribute]],AD$3))),0))</f>
        <v>0</v>
      </c>
      <c r="AE16" s="270" cm="1">
        <f t="array" ref="AE16">SUM(_xlfn._xlws.FILTER(CstClcCur[[Value]:[Value]],(CstClcCur[[Name]:[Name]]=$B16)*(ISNUMBER(FIND(CstClcCur[[Attribute]:[Attribute]],AE$3))),0))</f>
        <v>0</v>
      </c>
      <c r="AF16" s="270" cm="1">
        <f t="array" ref="AF16">SUM(_xlfn._xlws.FILTER(CstClcCur[[Value]:[Value]],(CstClcCur[[Name]:[Name]]=$B16)*(ISNUMBER(FIND(CstClcCur[[Attribute]:[Attribute]],AF$3))),0))</f>
        <v>0</v>
      </c>
      <c r="AG16" s="270" cm="1">
        <f t="array" ref="AG16">SUM(_xlfn._xlws.FILTER(CstClcCur[[Value]:[Value]],(CstClcCur[[Name]:[Name]]=$B16)*(ISNUMBER(FIND(CstClcCur[[Attribute]:[Attribute]],AG$3))),0))</f>
        <v>0</v>
      </c>
      <c r="AH16" s="270" cm="1">
        <f t="array" ref="AH16">SUM(_xlfn._xlws.FILTER(CstClcCur[[Value]:[Value]],(CstClcCur[[Name]:[Name]]=$B16)*(ISNUMBER(FIND(CstClcCur[[Attribute]:[Attribute]],AH$3))),0))</f>
        <v>0</v>
      </c>
      <c r="AI16" s="270" cm="1">
        <f t="array" ref="AI16">SUM(_xlfn._xlws.FILTER(CstClcCur[[Value]:[Value]],(CstClcCur[[Name]:[Name]]=$B16)*(ISNUMBER(FIND(CstClcCur[[Attribute]:[Attribute]],AI$3))),0))</f>
        <v>1798.2652</v>
      </c>
      <c r="AJ16" s="270" cm="1">
        <f t="array" ref="AJ16">SUM(_xlfn._xlws.FILTER(CstClcCur[[Value]:[Value]],(CstClcCur[[Name]:[Name]]=$B16)*(ISNUMBER(FIND(CstClcCur[[Attribute]:[Attribute]],AJ$3))),0))</f>
        <v>0</v>
      </c>
      <c r="AK16" s="270" cm="1">
        <f t="array" ref="AK16">SUM(_xlfn._xlws.FILTER(CstClcCur[[Value]:[Value]],(CstClcCur[[Name]:[Name]]=$B16)*(ISNUMBER(FIND(CstClcCur[[Attribute]:[Attribute]],AK$3))),0))</f>
        <v>0</v>
      </c>
      <c r="AL16" s="264" t="str">
        <f t="shared" si="0"/>
        <v>U16:AK16</v>
      </c>
    </row>
    <row r="17" spans="1:38" s="249" customFormat="1" ht="27" customHeight="1">
      <c r="A17" s="222"/>
      <c r="B17" s="265" t="str" cm="1">
        <f t="array" ref="B17">_xlfn.LET(_xlpm.x,IFERROR(INDEX(TbRsmIn[Enquiry No],SUM(ROW()-MATCH("SOR",$A:$A,0))),"X"),IF(_xlpm.x=0,"X",_xlpm.x))</f>
        <v>0CT012</v>
      </c>
      <c r="C17" s="265" t="str">
        <f>IF($B17="X","X",INDEX(F_PI2[PrjId],MATCH(VALUE(LEFT($B17,1)),F_PI2[PrjOrd],0)))</f>
        <v>31200</v>
      </c>
      <c r="D17" s="265" t="str">
        <f t="shared" si="2"/>
        <v>Sp</v>
      </c>
      <c r="E17" s="266" t="str" cm="1">
        <f t="array" ref="E17">IF($B17="","X",UPPER(_xlfn._xlws.FILTER(CstClcData[Value],(CstClcData[Name]=$B17)*(CstClcData[Attribute]=E$3),"X")))</f>
        <v>HOURS OF ASSISTENCE 900 FROM PO ORIGINAL</v>
      </c>
      <c r="F17" s="233" t="str" cm="1">
        <f t="array" ref="F17">IF($B17="X","X",_xlfn.UNIQUE(_xlfn._xlws.FILTER(PInt2[VtaId],(ISNUMBER(FIND(RIGHT($B17,LEN($B17)-1),SUBSTITUTE(PInt2[PInNxm],"-",""))))*(PInt2[PrjId]=TEXT($C17,"@")),"X")))</f>
        <v>X</v>
      </c>
      <c r="G17" s="269" t="str" cm="1">
        <f t="array" ref="G17">IF($F17="X","X",_xlfn.UNIQUE(_xlfn._xlws.FILTER(PInt2[OrdIds],(PInt2[VtaId]=$F17)*(PInt2[PrjId]=TEXT($C17,"@")),"X")))</f>
        <v>X</v>
      </c>
      <c r="H17" s="233" t="str" cm="1">
        <f t="array" ref="H17">IF($F17="X","X",_xlfn.UNIQUE(_xlfn._xlws.FILTER(PInt2[CusOrdId],(PInt2[VtaId]=$F17)*(PInt2[PrjId]=TEXT($C17,"@")),"X")))</f>
        <v>X</v>
      </c>
      <c r="I17" s="234" cm="1">
        <f t="array" ref="I17">IF($B17="","X",_xlfn._xlws.FILTER(TbRsmIn[Date],(TbRsmIn[Enquiry No]=$B17),"X"))</f>
        <v>45365</v>
      </c>
      <c r="J17" s="265">
        <f t="shared" si="3"/>
        <v>202411</v>
      </c>
      <c r="K17" s="234" t="str" cm="1">
        <f t="array" ref="K17">IF($B17="","X",_xlfn._xlws.FILTER(TbRsmIn[Causality],(TbRsmIn[Enquiry No]=$B17),"X"))</f>
        <v>DEFINICION</v>
      </c>
      <c r="L17" s="267" t="str" cm="1">
        <f t="array" ref="L17">_xlfn._xlws.FILTER(PInt2[OrdMin],PInt2[VtaId]=$F17,"X")</f>
        <v>X</v>
      </c>
      <c r="M17" s="267" t="str" cm="1">
        <f t="array" ref="M17">_xlfn._xlws.FILTER(PInt2[PayMax],PInt2[VtaId]=$F17,"X")</f>
        <v>X</v>
      </c>
      <c r="N17" s="122" t="str" cm="1">
        <f t="array" ref="N17">IFERROR(_xlfn.TEXTAFTER(INDEX(O$5:R$5,MAX(_xlfn._xlws.FILTER(COLUMN($O17:$R17),($O17:$R17&lt;&gt;0)*($O17:$R17&lt;"")*(UPPER($O17:$R17)&lt;&gt;"X")))-MATCH("SOV",$1:$1,0))," "),"X")</f>
        <v>Pedido</v>
      </c>
      <c r="O17" s="268" cm="1">
        <f t="array" ref="O17">IF($B17="","X",_xlfn._xlws.FILTER(TbRsmIn[Offered],(TbRsmIn[Enquiry No]=$B17),"X"))</f>
        <v>110923.75</v>
      </c>
      <c r="P17" s="268" cm="1">
        <f t="array" ref="P17">IF($B17="","X",IF(Q17&lt;&gt;0,Q17,_xlfn._xlws.FILTER(CstClcData[Value],(CstClcData[Name]=$B17)*(CstClcData[Attribute]=P$3),"X")))</f>
        <v>77735.039999999994</v>
      </c>
      <c r="Q17" s="268" cm="1">
        <f t="array" ref="Q17">IF($B17="","X",_xlfn._xlws.FILTER(TbRsmIn[Ordered],(TbRsmIn[Enquiry No]=$B17),"X"))</f>
        <v>77735.039999999994</v>
      </c>
      <c r="R17" s="268" cm="1">
        <f t="array" ref="R17">SUM(_xlfn._xlws.FILTER(PInt2[InvCur],(PInt2[PInNxm]&lt;&gt;0)*(PInt2[PrjId]=$C17)*(IFERROR(_xlfn.TEXTBEFORE(SUBSTITUTE(PInt2[PInNxm],"-",""),"/"),"X")=RIGHT($B17,LEN($B17)-1)),0))</f>
        <v>0</v>
      </c>
      <c r="S17" s="122" t="str" cm="1">
        <f t="array" ref="S17">IF($B17="","X",_xlfn._xlws.FILTER(TbRsmIn[Alive]&amp;CHAR(10)&amp;TEXT(TbRsmIn[Ongoing],"000%"),(TbRsmIn[Enquiry No]=$B17),"X"))</f>
        <v>C
000%</v>
      </c>
      <c r="T17" s="292">
        <f t="shared" ca="1" si="1"/>
        <v>64421.671500000004</v>
      </c>
      <c r="U17" s="270" cm="1">
        <f t="array" ref="U17">SUM(_xlfn._xlws.FILTER(CstClcCur[[Value]:[Value]],(CstClcCur[[Name]:[Name]]=$B17)*(ISNUMBER(FIND(CstClcCur[[Attribute]:[Attribute]],U$3))),0))</f>
        <v>0</v>
      </c>
      <c r="V17" s="270" cm="1">
        <f t="array" ref="V17">SUM(_xlfn._xlws.FILTER(CstClcCur[[Value]:[Value]],(CstClcCur[[Name]:[Name]]=$B17)*(ISNUMBER(FIND(CstClcCur[[Attribute]:[Attribute]],V$3))),0))</f>
        <v>0</v>
      </c>
      <c r="W17" s="270" cm="1">
        <f t="array" ref="W17">SUM(_xlfn._xlws.FILTER(CstClcCur[[Value]:[Value]],(CstClcCur[[Name]:[Name]]=$B17)*(ISNUMBER(FIND(CstClcCur[[Attribute]:[Attribute]],W$3))),0))</f>
        <v>0</v>
      </c>
      <c r="X17" s="270" cm="1">
        <f t="array" ref="X17">SUM(_xlfn._xlws.FILTER(CstClcCur[[Value]:[Value]],(CstClcCur[[Name]:[Name]]=$B17)*(ISNUMBER(FIND(CstClcCur[[Attribute]:[Attribute]],X$3))),0))</f>
        <v>0</v>
      </c>
      <c r="Y17" s="270" cm="1">
        <f t="array" ref="Y17">SUM(_xlfn._xlws.FILTER(CstClcCur[[Value]:[Value]],(CstClcCur[[Name]:[Name]]=$B17)*(ISNUMBER(FIND(CstClcCur[[Attribute]:[Attribute]],Y$3))),0))</f>
        <v>8216.1008999999995</v>
      </c>
      <c r="Z17" s="270" cm="1">
        <f t="array" ref="Z17">SUM(_xlfn._xlws.FILTER(CstClcCur[[Value]:[Value]],(CstClcCur[[Name]:[Name]]=$B17)*(ISNUMBER(FIND(CstClcCur[[Attribute]:[Attribute]],Z$3))),0))</f>
        <v>0</v>
      </c>
      <c r="AA17" s="270" cm="1">
        <f t="array" ref="AA17">SUM(_xlfn._xlws.FILTER(CstClcCur[[Value]:[Value]],(CstClcCur[[Name]:[Name]]=$B17)*(ISNUMBER(FIND(CstClcCur[[Attribute]:[Attribute]],AA$3))),0))</f>
        <v>8371.0116999999991</v>
      </c>
      <c r="AB17" s="270" cm="1">
        <f t="array" ref="AB17">SUM(_xlfn._xlws.FILTER(CstClcCur[[Value]:[Value]],(CstClcCur[[Name]:[Name]]=$B17)*(ISNUMBER(FIND(CstClcCur[[Attribute]:[Attribute]],AB$3))),0))</f>
        <v>0</v>
      </c>
      <c r="AC17" s="270" cm="1">
        <f t="array" ref="AC17">SUM(_xlfn._xlws.FILTER(CstClcCur[[Value]:[Value]],(CstClcCur[[Name]:[Name]]=$B17)*(ISNUMBER(FIND(CstClcCur[[Attribute]:[Attribute]],AC$3))),0))</f>
        <v>5607.2203</v>
      </c>
      <c r="AD17" s="270" cm="1">
        <f t="array" ref="AD17">SUM(_xlfn._xlws.FILTER(CstClcCur[[Value]:[Value]],(CstClcCur[[Name]:[Name]]=$B17)*(ISNUMBER(FIND(CstClcCur[[Attribute]:[Attribute]],AD$3))),0))</f>
        <v>0</v>
      </c>
      <c r="AE17" s="270" cm="1">
        <f t="array" ref="AE17">SUM(_xlfn._xlws.FILTER(CstClcCur[[Value]:[Value]],(CstClcCur[[Name]:[Name]]=$B17)*(ISNUMBER(FIND(CstClcCur[[Attribute]:[Attribute]],AE$3))),0))</f>
        <v>0</v>
      </c>
      <c r="AF17" s="270" cm="1">
        <f t="array" ref="AF17">SUM(_xlfn._xlws.FILTER(CstClcCur[[Value]:[Value]],(CstClcCur[[Name]:[Name]]=$B17)*(ISNUMBER(FIND(CstClcCur[[Attribute]:[Attribute]],AF$3))),0))</f>
        <v>0</v>
      </c>
      <c r="AG17" s="270" cm="1">
        <f t="array" ref="AG17">SUM(_xlfn._xlws.FILTER(CstClcCur[[Value]:[Value]],(CstClcCur[[Name]:[Name]]=$B17)*(ISNUMBER(FIND(CstClcCur[[Attribute]:[Attribute]],AG$3))),0))</f>
        <v>0</v>
      </c>
      <c r="AH17" s="270" cm="1">
        <f t="array" ref="AH17">SUM(_xlfn._xlws.FILTER(CstClcCur[[Value]:[Value]],(CstClcCur[[Name]:[Name]]=$B17)*(ISNUMBER(FIND(CstClcCur[[Attribute]:[Attribute]],AH$3))),0))</f>
        <v>0</v>
      </c>
      <c r="AI17" s="270" cm="1">
        <f t="array" ref="AI17">SUM(_xlfn._xlws.FILTER(CstClcCur[[Value]:[Value]],(CstClcCur[[Name]:[Name]]=$B17)*(ISNUMBER(FIND(CstClcCur[[Attribute]:[Attribute]],AI$3))),0))</f>
        <v>0</v>
      </c>
      <c r="AJ17" s="270" cm="1">
        <f t="array" ref="AJ17">SUM(_xlfn._xlws.FILTER(CstClcCur[[Value]:[Value]],(CstClcCur[[Name]:[Name]]=$B17)*(ISNUMBER(FIND(CstClcCur[[Attribute]:[Attribute]],AJ$3))),0))</f>
        <v>0</v>
      </c>
      <c r="AK17" s="270" cm="1">
        <f t="array" ref="AK17">SUM(_xlfn._xlws.FILTER(CstClcCur[[Value]:[Value]],(CstClcCur[[Name]:[Name]]=$B17)*(ISNUMBER(FIND(CstClcCur[[Attribute]:[Attribute]],AK$3))),0))</f>
        <v>42227.338600000003</v>
      </c>
      <c r="AL17" s="264" t="str">
        <f t="shared" si="0"/>
        <v>U17:AK17</v>
      </c>
    </row>
    <row r="18" spans="1:38" s="249" customFormat="1" ht="27" customHeight="1">
      <c r="A18" s="222"/>
      <c r="B18" s="265" t="str" cm="1">
        <f t="array" ref="B18">_xlfn.LET(_xlpm.x,IFERROR(INDEX(TbRsmIn[Enquiry No],SUM(ROW()-MATCH("SOR",$A:$A,0))),"X"),IF(_xlpm.x=0,"X",_xlpm.x))</f>
        <v>0CT013</v>
      </c>
      <c r="C18" s="265" t="str">
        <f>IF($B18="X","X",INDEX(F_PI2[PrjId],MATCH(VALUE(LEFT($B18,1)),F_PI2[PrjOrd],0)))</f>
        <v>31200</v>
      </c>
      <c r="D18" s="265" t="str">
        <f t="shared" si="2"/>
        <v>Sp</v>
      </c>
      <c r="E18" s="266" t="str" cm="1">
        <f t="array" ref="E18">IF($B18="","X",UPPER(_xlfn._xlws.FILTER(CstClcData[Value],(CstClcData[Name]=$B18)*(CstClcData[Attribute]=E$3),"X")))</f>
        <v>IMPACT ON MARKER SUPPLY FROM PRODUCT CHANGES 20241216</v>
      </c>
      <c r="F18" s="233" t="str" cm="1">
        <f t="array" ref="F18">IF($B18="X","X",_xlfn.UNIQUE(_xlfn._xlws.FILTER(PInt2[VtaId],(ISNUMBER(FIND(RIGHT($B18,LEN($B18)-1),SUBSTITUTE(PInt2[PInNxm],"-",""))))*(PInt2[PrjId]=TEXT($C18,"@")),"X")))</f>
        <v>X</v>
      </c>
      <c r="G18" s="269" t="str" cm="1">
        <f t="array" ref="G18">IF($F18="X","X",_xlfn.UNIQUE(_xlfn._xlws.FILTER(PInt2[OrdIds],(PInt2[VtaId]=$F18)*(PInt2[PrjId]=TEXT($C18,"@")),"X")))</f>
        <v>X</v>
      </c>
      <c r="H18" s="233" t="str" cm="1">
        <f t="array" ref="H18">IF($F18="X","X",_xlfn.UNIQUE(_xlfn._xlws.FILTER(PInt2[CusOrdId],(PInt2[VtaId]=$F18)*(PInt2[PrjId]=TEXT($C18,"@")),"X")))</f>
        <v>X</v>
      </c>
      <c r="I18" s="234" cm="1">
        <f t="array" ref="I18">IF($B18="","X",_xlfn._xlws.FILTER(TbRsmIn[Date],(TbRsmIn[Enquiry No]=$B18),"X"))</f>
        <v>45670</v>
      </c>
      <c r="J18" s="265">
        <f t="shared" si="3"/>
        <v>202503</v>
      </c>
      <c r="K18" s="234" t="str" cm="1">
        <f t="array" ref="K18">IF($B18="","X",_xlfn._xlws.FILTER(TbRsmIn[Causality],(TbRsmIn[Enquiry No]=$B18),"X"))</f>
        <v>PRODUCTO</v>
      </c>
      <c r="L18" s="267" t="str" cm="1">
        <f t="array" ref="L18">_xlfn._xlws.FILTER(PInt2[OrdMin],PInt2[VtaId]=$F18,"X")</f>
        <v>X</v>
      </c>
      <c r="M18" s="267" t="str" cm="1">
        <f t="array" ref="M18">_xlfn._xlws.FILTER(PInt2[PayMax],PInt2[VtaId]=$F18,"X")</f>
        <v>X</v>
      </c>
      <c r="N18" s="122" t="str" cm="1">
        <f t="array" ref="N18">IFERROR(_xlfn.TEXTAFTER(INDEX(O$5:R$5,MAX(_xlfn._xlws.FILTER(COLUMN($O18:$R18),($O18:$R18&lt;&gt;0)*($O18:$R18&lt;"")*(UPPER($O18:$R18)&lt;&gt;"X")))-MATCH("SOV",$1:$1,0))," "),"X")</f>
        <v>Ofertado</v>
      </c>
      <c r="O18" s="268" cm="1">
        <f t="array" ref="O18">IF($B18="","X",_xlfn._xlws.FILTER(TbRsmIn[Offered],(TbRsmIn[Enquiry No]=$B18),"X"))</f>
        <v>5756.82</v>
      </c>
      <c r="P18" s="268" t="str" cm="1">
        <f t="array" ref="P18">IF($B18="","X",IF(Q18&lt;&gt;0,Q18,_xlfn._xlws.FILTER(CstClcData[Value],(CstClcData[Name]=$B18)*(CstClcData[Attribute]=P$3),"X")))</f>
        <v>X</v>
      </c>
      <c r="Q18" s="268" cm="1">
        <f t="array" ref="Q18">IF($B18="","X",_xlfn._xlws.FILTER(TbRsmIn[Ordered],(TbRsmIn[Enquiry No]=$B18),"X"))</f>
        <v>0</v>
      </c>
      <c r="R18" s="268" cm="1">
        <f t="array" ref="R18">SUM(_xlfn._xlws.FILTER(PInt2[InvCur],(PInt2[PInNxm]&lt;&gt;0)*(PInt2[PrjId]=$C18)*(IFERROR(_xlfn.TEXTBEFORE(SUBSTITUTE(PInt2[PInNxm],"-",""),"/"),"X")=RIGHT($B18,LEN($B18)-1)),0))</f>
        <v>0</v>
      </c>
      <c r="S18" s="122" t="str" cm="1">
        <f t="array" ref="S18">IF($B18="","X",_xlfn._xlws.FILTER(TbRsmIn[Alive]&amp;CHAR(10)&amp;TEXT(TbRsmIn[Ongoing],"000%"),(TbRsmIn[Enquiry No]=$B18),"X"))</f>
        <v>O
000%</v>
      </c>
      <c r="T18" s="292">
        <f t="shared" ca="1" si="1"/>
        <v>3741.9672999999998</v>
      </c>
      <c r="U18" s="270" cm="1">
        <f t="array" ref="U18">SUM(_xlfn._xlws.FILTER(CstClcCur[[Value]:[Value]],(CstClcCur[[Name]:[Name]]=$B18)*(ISNUMBER(FIND(CstClcCur[[Attribute]:[Attribute]],U$3))),0))</f>
        <v>103.1246</v>
      </c>
      <c r="V18" s="270" cm="1">
        <f t="array" ref="V18">SUM(_xlfn._xlws.FILTER(CstClcCur[[Value]:[Value]],(CstClcCur[[Name]:[Name]]=$B18)*(ISNUMBER(FIND(CstClcCur[[Attribute]:[Attribute]],V$3))),0))</f>
        <v>121.35429999999999</v>
      </c>
      <c r="W18" s="270" cm="1">
        <f t="array" ref="W18">SUM(_xlfn._xlws.FILTER(CstClcCur[[Value]:[Value]],(CstClcCur[[Name]:[Name]]=$B18)*(ISNUMBER(FIND(CstClcCur[[Attribute]:[Attribute]],W$3))),0))</f>
        <v>369.26499999999999</v>
      </c>
      <c r="X18" s="270" cm="1">
        <f t="array" ref="X18">SUM(_xlfn._xlws.FILTER(CstClcCur[[Value]:[Value]],(CstClcCur[[Name]:[Name]]=$B18)*(ISNUMBER(FIND(CstClcCur[[Attribute]:[Attribute]],X$3))),0))</f>
        <v>0</v>
      </c>
      <c r="Y18" s="270" cm="1">
        <f t="array" ref="Y18">SUM(_xlfn._xlws.FILTER(CstClcCur[[Value]:[Value]],(CstClcCur[[Name]:[Name]]=$B18)*(ISNUMBER(FIND(CstClcCur[[Attribute]:[Attribute]],Y$3))),0))</f>
        <v>0</v>
      </c>
      <c r="Z18" s="270" cm="1">
        <f t="array" ref="Z18">SUM(_xlfn._xlws.FILTER(CstClcCur[[Value]:[Value]],(CstClcCur[[Name]:[Name]]=$B18)*(ISNUMBER(FIND(CstClcCur[[Attribute]:[Attribute]],Z$3))),0))</f>
        <v>0</v>
      </c>
      <c r="AA18" s="270" cm="1">
        <f t="array" ref="AA18">SUM(_xlfn._xlws.FILTER(CstClcCur[[Value]:[Value]],(CstClcCur[[Name]:[Name]]=$B18)*(ISNUMBER(FIND(CstClcCur[[Attribute]:[Attribute]],AA$3))),0))</f>
        <v>0</v>
      </c>
      <c r="AB18" s="270" cm="1">
        <f t="array" ref="AB18">SUM(_xlfn._xlws.FILTER(CstClcCur[[Value]:[Value]],(CstClcCur[[Name]:[Name]]=$B18)*(ISNUMBER(FIND(CstClcCur[[Attribute]:[Attribute]],AB$3))),0))</f>
        <v>0</v>
      </c>
      <c r="AC18" s="270" cm="1">
        <f t="array" ref="AC18">SUM(_xlfn._xlws.FILTER(CstClcCur[[Value]:[Value]],(CstClcCur[[Name]:[Name]]=$B18)*(ISNUMBER(FIND(CstClcCur[[Attribute]:[Attribute]],AC$3))),0))</f>
        <v>0</v>
      </c>
      <c r="AD18" s="270" cm="1">
        <f t="array" ref="AD18">SUM(_xlfn._xlws.FILTER(CstClcCur[[Value]:[Value]],(CstClcCur[[Name]:[Name]]=$B18)*(ISNUMBER(FIND(CstClcCur[[Attribute]:[Attribute]],AD$3))),0))</f>
        <v>0</v>
      </c>
      <c r="AE18" s="270" cm="1">
        <f t="array" ref="AE18">SUM(_xlfn._xlws.FILTER(CstClcCur[[Value]:[Value]],(CstClcCur[[Name]:[Name]]=$B18)*(ISNUMBER(FIND(CstClcCur[[Attribute]:[Attribute]],AE$3))),0))</f>
        <v>3148.2233999999999</v>
      </c>
      <c r="AF18" s="270" cm="1">
        <f t="array" ref="AF18">SUM(_xlfn._xlws.FILTER(CstClcCur[[Value]:[Value]],(CstClcCur[[Name]:[Name]]=$B18)*(ISNUMBER(FIND(CstClcCur[[Attribute]:[Attribute]],AF$3))),0))</f>
        <v>0</v>
      </c>
      <c r="AG18" s="270" cm="1">
        <f t="array" ref="AG18">SUM(_xlfn._xlws.FILTER(CstClcCur[[Value]:[Value]],(CstClcCur[[Name]:[Name]]=$B18)*(ISNUMBER(FIND(CstClcCur[[Attribute]:[Attribute]],AG$3))),0))</f>
        <v>0</v>
      </c>
      <c r="AH18" s="270" cm="1">
        <f t="array" ref="AH18">SUM(_xlfn._xlws.FILTER(CstClcCur[[Value]:[Value]],(CstClcCur[[Name]:[Name]]=$B18)*(ISNUMBER(FIND(CstClcCur[[Attribute]:[Attribute]],AH$3))),0))</f>
        <v>0</v>
      </c>
      <c r="AI18" s="270" cm="1">
        <f t="array" ref="AI18">SUM(_xlfn._xlws.FILTER(CstClcCur[[Value]:[Value]],(CstClcCur[[Name]:[Name]]=$B18)*(ISNUMBER(FIND(CstClcCur[[Attribute]:[Attribute]],AI$3))),0))</f>
        <v>0</v>
      </c>
      <c r="AJ18" s="270" cm="1">
        <f t="array" ref="AJ18">SUM(_xlfn._xlws.FILTER(CstClcCur[[Value]:[Value]],(CstClcCur[[Name]:[Name]]=$B18)*(ISNUMBER(FIND(CstClcCur[[Attribute]:[Attribute]],AJ$3))),0))</f>
        <v>0</v>
      </c>
      <c r="AK18" s="270" cm="1">
        <f t="array" ref="AK18">SUM(_xlfn._xlws.FILTER(CstClcCur[[Value]:[Value]],(CstClcCur[[Name]:[Name]]=$B18)*(ISNUMBER(FIND(CstClcCur[[Attribute]:[Attribute]],AK$3))),0))</f>
        <v>0</v>
      </c>
      <c r="AL18" s="264" t="str">
        <f t="shared" si="0"/>
        <v>U18:AK18</v>
      </c>
    </row>
    <row r="19" spans="1:38" s="249" customFormat="1" ht="27" customHeight="1">
      <c r="A19" s="222"/>
      <c r="B19" s="265" t="str" cm="1">
        <f t="array" ref="B19">_xlfn.LET(_xlpm.x,IFERROR(INDEX(TbRsmIn[Enquiry No],SUM(ROW()-MATCH("SOR",$A:$A,0))),"X"),IF(_xlpm.x=0,"X",_xlpm.x))</f>
        <v>0CT014</v>
      </c>
      <c r="C19" s="265" t="str">
        <f>IF($B19="X","X",INDEX(F_PI2[PrjId],MATCH(VALUE(LEFT($B19,1)),F_PI2[PrjOrd],0)))</f>
        <v>31200</v>
      </c>
      <c r="D19" s="265" t="str">
        <f t="shared" si="2"/>
        <v>Sp</v>
      </c>
      <c r="E19" s="266" t="str" cm="1">
        <f t="array" ref="E19">IF($B19="","X",UPPER(_xlfn._xlws.FILTER(CstClcData[Value],(CstClcData[Name]=$B19)*(CstClcData[Attribute]=E$3),"X")))</f>
        <v>IMPACT ON PROJECTION WELDER SUPPLY FROM PRODUCT CHANGES 20241216</v>
      </c>
      <c r="F19" s="233" t="str" cm="1">
        <f t="array" ref="F19">IF($B19="X","X",_xlfn.UNIQUE(_xlfn._xlws.FILTER(PInt2[VtaId],(ISNUMBER(FIND(RIGHT($B19,LEN($B19)-1),SUBSTITUTE(PInt2[PInNxm],"-",""))))*(PInt2[PrjId]=TEXT($C19,"@")),"X")))</f>
        <v>X</v>
      </c>
      <c r="G19" s="269" t="str" cm="1">
        <f t="array" ref="G19">IF($F19="X","X",_xlfn.UNIQUE(_xlfn._xlws.FILTER(PInt2[OrdIds],(PInt2[VtaId]=$F19)*(PInt2[PrjId]=TEXT($C19,"@")),"X")))</f>
        <v>X</v>
      </c>
      <c r="H19" s="233" t="str" cm="1">
        <f t="array" ref="H19">IF($F19="X","X",_xlfn.UNIQUE(_xlfn._xlws.FILTER(PInt2[CusOrdId],(PInt2[VtaId]=$F19)*(PInt2[PrjId]=TEXT($C19,"@")),"X")))</f>
        <v>X</v>
      </c>
      <c r="I19" s="234" cm="1">
        <f t="array" ref="I19">IF($B19="","X",_xlfn._xlws.FILTER(TbRsmIn[Date],(TbRsmIn[Enquiry No]=$B19),"X"))</f>
        <v>45670</v>
      </c>
      <c r="J19" s="265">
        <f t="shared" si="3"/>
        <v>202503</v>
      </c>
      <c r="K19" s="234" t="str" cm="1">
        <f t="array" ref="K19">IF($B19="","X",_xlfn._xlws.FILTER(TbRsmIn[Causality],(TbRsmIn[Enquiry No]=$B19),"X"))</f>
        <v>PRODUCTO</v>
      </c>
      <c r="L19" s="267" t="str" cm="1">
        <f t="array" ref="L19">_xlfn._xlws.FILTER(PInt2[OrdMin],PInt2[VtaId]=$F19,"X")</f>
        <v>X</v>
      </c>
      <c r="M19" s="267" t="str" cm="1">
        <f t="array" ref="M19">_xlfn._xlws.FILTER(PInt2[PayMax],PInt2[VtaId]=$F19,"X")</f>
        <v>X</v>
      </c>
      <c r="N19" s="122" t="str" cm="1">
        <f t="array" ref="N19">IFERROR(_xlfn.TEXTAFTER(INDEX(O$5:R$5,MAX(_xlfn._xlws.FILTER(COLUMN($O19:$R19),($O19:$R19&lt;&gt;0)*($O19:$R19&lt;"")*(UPPER($O19:$R19)&lt;&gt;"X")))-MATCH("SOV",$1:$1,0))," "),"X")</f>
        <v>Ofertado</v>
      </c>
      <c r="O19" s="268" cm="1">
        <f t="array" ref="O19">IF($B19="","X",_xlfn._xlws.FILTER(TbRsmIn[Offered],(TbRsmIn[Enquiry No]=$B19),"X"))</f>
        <v>80729.48</v>
      </c>
      <c r="P19" s="268" t="str" cm="1">
        <f t="array" ref="P19">IF($B19="","X",IF(Q19&lt;&gt;0,Q19,_xlfn._xlws.FILTER(CstClcData[Value],(CstClcData[Name]=$B19)*(CstClcData[Attribute]=P$3),"X")))</f>
        <v>X</v>
      </c>
      <c r="Q19" s="268" cm="1">
        <f t="array" ref="Q19">IF($B19="","X",_xlfn._xlws.FILTER(TbRsmIn[Ordered],(TbRsmIn[Enquiry No]=$B19),"X"))</f>
        <v>0</v>
      </c>
      <c r="R19" s="268" cm="1">
        <f t="array" ref="R19">SUM(_xlfn._xlws.FILTER(PInt2[InvCur],(PInt2[PInNxm]&lt;&gt;0)*(PInt2[PrjId]=$C19)*(IFERROR(_xlfn.TEXTBEFORE(SUBSTITUTE(PInt2[PInNxm],"-",""),"/"),"X")=RIGHT($B19,LEN($B19)-1)),0))</f>
        <v>0</v>
      </c>
      <c r="S19" s="122" t="str" cm="1">
        <f t="array" ref="S19">IF($B19="","X",_xlfn._xlws.FILTER(TbRsmIn[Alive]&amp;CHAR(10)&amp;TEXT(TbRsmIn[Ongoing],"000%"),(TbRsmIn[Enquiry No]=$B19),"X"))</f>
        <v>O
000%</v>
      </c>
      <c r="T19" s="292">
        <f t="shared" ca="1" si="1"/>
        <v>75653.1008</v>
      </c>
      <c r="U19" s="270" cm="1">
        <f t="array" ref="U19">SUM(_xlfn._xlws.FILTER(CstClcCur[[Value]:[Value]],(CstClcCur[[Name]:[Name]]=$B19)*(ISNUMBER(FIND(CstClcCur[[Attribute]:[Attribute]],U$3))),0))</f>
        <v>257.81150000000002</v>
      </c>
      <c r="V19" s="270" cm="1">
        <f t="array" ref="V19">SUM(_xlfn._xlws.FILTER(CstClcCur[[Value]:[Value]],(CstClcCur[[Name]:[Name]]=$B19)*(ISNUMBER(FIND(CstClcCur[[Attribute]:[Attribute]],V$3))),0))</f>
        <v>151.69290000000001</v>
      </c>
      <c r="W19" s="270" cm="1">
        <f t="array" ref="W19">SUM(_xlfn._xlws.FILTER(CstClcCur[[Value]:[Value]],(CstClcCur[[Name]:[Name]]=$B19)*(ISNUMBER(FIND(CstClcCur[[Attribute]:[Attribute]],W$3))),0))</f>
        <v>976.47329999999999</v>
      </c>
      <c r="X19" s="270" cm="1">
        <f t="array" ref="X19">SUM(_xlfn._xlws.FILTER(CstClcCur[[Value]:[Value]],(CstClcCur[[Name]:[Name]]=$B19)*(ISNUMBER(FIND(CstClcCur[[Attribute]:[Attribute]],X$3))),0))</f>
        <v>0</v>
      </c>
      <c r="Y19" s="270" cm="1">
        <f t="array" ref="Y19">SUM(_xlfn._xlws.FILTER(CstClcCur[[Value]:[Value]],(CstClcCur[[Name]:[Name]]=$B19)*(ISNUMBER(FIND(CstClcCur[[Attribute]:[Attribute]],Y$3))),0))</f>
        <v>273.87</v>
      </c>
      <c r="Z19" s="270" cm="1">
        <f t="array" ref="Z19">SUM(_xlfn._xlws.FILTER(CstClcCur[[Value]:[Value]],(CstClcCur[[Name]:[Name]]=$B19)*(ISNUMBER(FIND(CstClcCur[[Attribute]:[Attribute]],Z$3))),0))</f>
        <v>0</v>
      </c>
      <c r="AA19" s="270" cm="1">
        <f t="array" ref="AA19">SUM(_xlfn._xlws.FILTER(CstClcCur[[Value]:[Value]],(CstClcCur[[Name]:[Name]]=$B19)*(ISNUMBER(FIND(CstClcCur[[Attribute]:[Attribute]],AA$3))),0))</f>
        <v>0</v>
      </c>
      <c r="AB19" s="270" cm="1">
        <f t="array" ref="AB19">SUM(_xlfn._xlws.FILTER(CstClcCur[[Value]:[Value]],(CstClcCur[[Name]:[Name]]=$B19)*(ISNUMBER(FIND(CstClcCur[[Attribute]:[Attribute]],AB$3))),0))</f>
        <v>0</v>
      </c>
      <c r="AC19" s="270" cm="1">
        <f t="array" ref="AC19">SUM(_xlfn._xlws.FILTER(CstClcCur[[Value]:[Value]],(CstClcCur[[Name]:[Name]]=$B19)*(ISNUMBER(FIND(CstClcCur[[Attribute]:[Attribute]],AC$3))),0))</f>
        <v>374.57650000000001</v>
      </c>
      <c r="AD19" s="270" cm="1">
        <f t="array" ref="AD19">SUM(_xlfn._xlws.FILTER(CstClcCur[[Value]:[Value]],(CstClcCur[[Name]:[Name]]=$B19)*(ISNUMBER(FIND(CstClcCur[[Attribute]:[Attribute]],AD$3))),0))</f>
        <v>0</v>
      </c>
      <c r="AE19" s="270" cm="1">
        <f t="array" ref="AE19">SUM(_xlfn._xlws.FILTER(CstClcCur[[Value]:[Value]],(CstClcCur[[Name]:[Name]]=$B19)*(ISNUMBER(FIND(CstClcCur[[Attribute]:[Attribute]],AE$3))),0))</f>
        <v>70201.184099999999</v>
      </c>
      <c r="AF19" s="270" cm="1">
        <f t="array" ref="AF19">SUM(_xlfn._xlws.FILTER(CstClcCur[[Value]:[Value]],(CstClcCur[[Name]:[Name]]=$B19)*(ISNUMBER(FIND(CstClcCur[[Attribute]:[Attribute]],AF$3))),0))</f>
        <v>223.85429999999999</v>
      </c>
      <c r="AG19" s="270" cm="1">
        <f t="array" ref="AG19">SUM(_xlfn._xlws.FILTER(CstClcCur[[Value]:[Value]],(CstClcCur[[Name]:[Name]]=$B19)*(ISNUMBER(FIND(CstClcCur[[Attribute]:[Attribute]],AG$3))),0))</f>
        <v>0</v>
      </c>
      <c r="AH19" s="270" cm="1">
        <f t="array" ref="AH19">SUM(_xlfn._xlws.FILTER(CstClcCur[[Value]:[Value]],(CstClcCur[[Name]:[Name]]=$B19)*(ISNUMBER(FIND(CstClcCur[[Attribute]:[Attribute]],AH$3))),0))</f>
        <v>0</v>
      </c>
      <c r="AI19" s="270" cm="1">
        <f t="array" ref="AI19">SUM(_xlfn._xlws.FILTER(CstClcCur[[Value]:[Value]],(CstClcCur[[Name]:[Name]]=$B19)*(ISNUMBER(FIND(CstClcCur[[Attribute]:[Attribute]],AI$3))),0))</f>
        <v>0</v>
      </c>
      <c r="AJ19" s="270" cm="1">
        <f t="array" ref="AJ19">SUM(_xlfn._xlws.FILTER(CstClcCur[[Value]:[Value]],(CstClcCur[[Name]:[Name]]=$B19)*(ISNUMBER(FIND(CstClcCur[[Attribute]:[Attribute]],AJ$3))),0))</f>
        <v>0</v>
      </c>
      <c r="AK19" s="270" cm="1">
        <f t="array" ref="AK19">SUM(_xlfn._xlws.FILTER(CstClcCur[[Value]:[Value]],(CstClcCur[[Name]:[Name]]=$B19)*(ISNUMBER(FIND(CstClcCur[[Attribute]:[Attribute]],AK$3))),0))</f>
        <v>3193.6381999999999</v>
      </c>
      <c r="AL19" s="264" t="str">
        <f t="shared" si="0"/>
        <v>U19:AK19</v>
      </c>
    </row>
    <row r="20" spans="1:38" s="249" customFormat="1" ht="27" customHeight="1">
      <c r="A20" s="222"/>
      <c r="B20" s="265" t="str" cm="1">
        <f t="array" ref="B20">_xlfn.LET(_xlpm.x,IFERROR(INDEX(TbRsmIn[Enquiry No],SUM(ROW()-MATCH("SOR",$A:$A,0))),"X"),IF(_xlpm.x=0,"X",_xlpm.x))</f>
        <v>0CT015</v>
      </c>
      <c r="C20" s="265" t="str">
        <f>IF($B20="X","X",INDEX(F_PI2[PrjId],MATCH(VALUE(LEFT($B20,1)),F_PI2[PrjOrd],0)))</f>
        <v>31200</v>
      </c>
      <c r="D20" s="265" t="str">
        <f t="shared" si="2"/>
        <v>Sp</v>
      </c>
      <c r="E20" s="266" t="str" cm="1">
        <f t="array" ref="E20">IF($B20="","X",UPPER(_xlfn._xlws.FILTER(CstClcData[Value],(CstClcData[Name]=$B20)*(CstClcData[Attribute]=E$3),"X")))</f>
        <v>IMPACT ON MIG WELDING PROCESS FROM PRODUCT CHANGES 20241216</v>
      </c>
      <c r="F20" s="233" t="str" cm="1">
        <f t="array" ref="F20">IF($B20="X","X",_xlfn.UNIQUE(_xlfn._xlws.FILTER(PInt2[VtaId],(ISNUMBER(FIND(RIGHT($B20,LEN($B20)-1),SUBSTITUTE(PInt2[PInNxm],"-",""))))*(PInt2[PrjId]=TEXT($C20,"@")),"X")))</f>
        <v>X</v>
      </c>
      <c r="G20" s="269" t="str" cm="1">
        <f t="array" ref="G20">IF($F20="X","X",_xlfn.UNIQUE(_xlfn._xlws.FILTER(PInt2[OrdIds],(PInt2[VtaId]=$F20)*(PInt2[PrjId]=TEXT($C20,"@")),"X")))</f>
        <v>X</v>
      </c>
      <c r="H20" s="233" t="str" cm="1">
        <f t="array" ref="H20">IF($F20="X","X",_xlfn.UNIQUE(_xlfn._xlws.FILTER(PInt2[CusOrdId],(PInt2[VtaId]=$F20)*(PInt2[PrjId]=TEXT($C20,"@")),"X")))</f>
        <v>X</v>
      </c>
      <c r="I20" s="234" cm="1">
        <f t="array" ref="I20">IF($B20="","X",_xlfn._xlws.FILTER(TbRsmIn[Date],(TbRsmIn[Enquiry No]=$B20),"X"))</f>
        <v>45670</v>
      </c>
      <c r="J20" s="265">
        <f t="shared" si="3"/>
        <v>202503</v>
      </c>
      <c r="K20" s="234" t="str" cm="1">
        <f t="array" ref="K20">IF($B20="","X",_xlfn._xlws.FILTER(TbRsmIn[Causality],(TbRsmIn[Enquiry No]=$B20),"X"))</f>
        <v>PRODUCTO</v>
      </c>
      <c r="L20" s="267" t="str" cm="1">
        <f t="array" ref="L20">_xlfn._xlws.FILTER(PInt2[OrdMin],PInt2[VtaId]=$F20,"X")</f>
        <v>X</v>
      </c>
      <c r="M20" s="267" t="str" cm="1">
        <f t="array" ref="M20">_xlfn._xlws.FILTER(PInt2[PayMax],PInt2[VtaId]=$F20,"X")</f>
        <v>X</v>
      </c>
      <c r="N20" s="122" t="str" cm="1">
        <f t="array" ref="N20">IFERROR(_xlfn.TEXTAFTER(INDEX(O$5:R$5,MAX(_xlfn._xlws.FILTER(COLUMN($O20:$R20),($O20:$R20&lt;&gt;0)*($O20:$R20&lt;"")*(UPPER($O20:$R20)&lt;&gt;"X")))-MATCH("SOV",$1:$1,0))," "),"X")</f>
        <v>Ofertado</v>
      </c>
      <c r="O20" s="268" cm="1">
        <f t="array" ref="O20">IF($B20="","X",_xlfn._xlws.FILTER(TbRsmIn[Offered],(TbRsmIn[Enquiry No]=$B20),"X"))</f>
        <v>53093.04</v>
      </c>
      <c r="P20" s="268" t="str" cm="1">
        <f t="array" ref="P20">IF($B20="","X",IF(Q20&lt;&gt;0,Q20,_xlfn._xlws.FILTER(CstClcData[Value],(CstClcData[Name]=$B20)*(CstClcData[Attribute]=P$3),"X")))</f>
        <v>X</v>
      </c>
      <c r="Q20" s="268" cm="1">
        <f t="array" ref="Q20">IF($B20="","X",_xlfn._xlws.FILTER(TbRsmIn[Ordered],(TbRsmIn[Enquiry No]=$B20),"X"))</f>
        <v>0</v>
      </c>
      <c r="R20" s="268" cm="1">
        <f t="array" ref="R20">SUM(_xlfn._xlws.FILTER(PInt2[InvCur],(PInt2[PInNxm]&lt;&gt;0)*(PInt2[PrjId]=$C20)*(IFERROR(_xlfn.TEXTBEFORE(SUBSTITUTE(PInt2[PInNxm],"-",""),"/"),"X")=RIGHT($B20,LEN($B20)-1)),0))</f>
        <v>0</v>
      </c>
      <c r="S20" s="122" t="str" cm="1">
        <f t="array" ref="S20">IF($B20="","X",_xlfn._xlws.FILTER(TbRsmIn[Alive]&amp;CHAR(10)&amp;TEXT(TbRsmIn[Ongoing],"000%"),(TbRsmIn[Enquiry No]=$B20),"X"))</f>
        <v>O
000%</v>
      </c>
      <c r="T20" s="292">
        <f t="shared" ca="1" si="1"/>
        <v>39007.376799999998</v>
      </c>
      <c r="U20" s="270" cm="1">
        <f t="array" ref="U20">SUM(_xlfn._xlws.FILTER(CstClcCur[[Value]:[Value]],(CstClcCur[[Name]:[Name]]=$B20)*(ISNUMBER(FIND(CstClcCur[[Attribute]:[Attribute]],U$3))),0))</f>
        <v>1289.0574999999999</v>
      </c>
      <c r="V20" s="270" cm="1">
        <f t="array" ref="V20">SUM(_xlfn._xlws.FILTER(CstClcCur[[Value]:[Value]],(CstClcCur[[Name]:[Name]]=$B20)*(ISNUMBER(FIND(CstClcCur[[Attribute]:[Attribute]],V$3))),0))</f>
        <v>2654.6253999999999</v>
      </c>
      <c r="W20" s="270" cm="1">
        <f t="array" ref="W20">SUM(_xlfn._xlws.FILTER(CstClcCur[[Value]:[Value]],(CstClcCur[[Name]:[Name]]=$B20)*(ISNUMBER(FIND(CstClcCur[[Attribute]:[Attribute]],W$3))),0))</f>
        <v>8438.0954000000002</v>
      </c>
      <c r="X20" s="270" cm="1">
        <f t="array" ref="X20">SUM(_xlfn._xlws.FILTER(CstClcCur[[Value]:[Value]],(CstClcCur[[Name]:[Name]]=$B20)*(ISNUMBER(FIND(CstClcCur[[Attribute]:[Attribute]],X$3))),0))</f>
        <v>1793.7156</v>
      </c>
      <c r="Y20" s="270" cm="1">
        <f t="array" ref="Y20">SUM(_xlfn._xlws.FILTER(CstClcCur[[Value]:[Value]],(CstClcCur[[Name]:[Name]]=$B20)*(ISNUMBER(FIND(CstClcCur[[Attribute]:[Attribute]],Y$3))),0))</f>
        <v>1024.3134</v>
      </c>
      <c r="Z20" s="270" cm="1">
        <f t="array" ref="Z20">SUM(_xlfn._xlws.FILTER(CstClcCur[[Value]:[Value]],(CstClcCur[[Name]:[Name]]=$B20)*(ISNUMBER(FIND(CstClcCur[[Attribute]:[Attribute]],Z$3))),0))</f>
        <v>0</v>
      </c>
      <c r="AA20" s="270" cm="1">
        <f t="array" ref="AA20">SUM(_xlfn._xlws.FILTER(CstClcCur[[Value]:[Value]],(CstClcCur[[Name]:[Name]]=$B20)*(ISNUMBER(FIND(CstClcCur[[Attribute]:[Attribute]],AA$3))),0))</f>
        <v>0</v>
      </c>
      <c r="AB20" s="270" cm="1">
        <f t="array" ref="AB20">SUM(_xlfn._xlws.FILTER(CstClcCur[[Value]:[Value]],(CstClcCur[[Name]:[Name]]=$B20)*(ISNUMBER(FIND(CstClcCur[[Attribute]:[Attribute]],AB$3))),0))</f>
        <v>11116.358</v>
      </c>
      <c r="AC20" s="270" cm="1">
        <f t="array" ref="AC20">SUM(_xlfn._xlws.FILTER(CstClcCur[[Value]:[Value]],(CstClcCur[[Name]:[Name]]=$B20)*(ISNUMBER(FIND(CstClcCur[[Attribute]:[Attribute]],AC$3))),0))</f>
        <v>4663.0892000000003</v>
      </c>
      <c r="AD20" s="270" cm="1">
        <f t="array" ref="AD20">SUM(_xlfn._xlws.FILTER(CstClcCur[[Value]:[Value]],(CstClcCur[[Name]:[Name]]=$B20)*(ISNUMBER(FIND(CstClcCur[[Attribute]:[Attribute]],AD$3))),0))</f>
        <v>2320.4499999999998</v>
      </c>
      <c r="AE20" s="270" cm="1">
        <f t="array" ref="AE20">SUM(_xlfn._xlws.FILTER(CstClcCur[[Value]:[Value]],(CstClcCur[[Name]:[Name]]=$B20)*(ISNUMBER(FIND(CstClcCur[[Attribute]:[Attribute]],AE$3))),0))</f>
        <v>0</v>
      </c>
      <c r="AF20" s="270" cm="1">
        <f t="array" ref="AF20">SUM(_xlfn._xlws.FILTER(CstClcCur[[Value]:[Value]],(CstClcCur[[Name]:[Name]]=$B20)*(ISNUMBER(FIND(CstClcCur[[Attribute]:[Attribute]],AF$3))),0))</f>
        <v>1887.8279</v>
      </c>
      <c r="AG20" s="270" cm="1">
        <f t="array" ref="AG20">SUM(_xlfn._xlws.FILTER(CstClcCur[[Value]:[Value]],(CstClcCur[[Name]:[Name]]=$B20)*(ISNUMBER(FIND(CstClcCur[[Attribute]:[Attribute]],AG$3))),0))</f>
        <v>0</v>
      </c>
      <c r="AH20" s="270" cm="1">
        <f t="array" ref="AH20">SUM(_xlfn._xlws.FILTER(CstClcCur[[Value]:[Value]],(CstClcCur[[Name]:[Name]]=$B20)*(ISNUMBER(FIND(CstClcCur[[Attribute]:[Attribute]],AH$3))),0))</f>
        <v>2644.5077000000001</v>
      </c>
      <c r="AI20" s="270" cm="1">
        <f t="array" ref="AI20">SUM(_xlfn._xlws.FILTER(CstClcCur[[Value]:[Value]],(CstClcCur[[Name]:[Name]]=$B20)*(ISNUMBER(FIND(CstClcCur[[Attribute]:[Attribute]],AI$3))),0))</f>
        <v>1175.3367000000001</v>
      </c>
      <c r="AJ20" s="270" cm="1">
        <f t="array" ref="AJ20">SUM(_xlfn._xlws.FILTER(CstClcCur[[Value]:[Value]],(CstClcCur[[Name]:[Name]]=$B20)*(ISNUMBER(FIND(CstClcCur[[Attribute]:[Attribute]],AJ$3))),0))</f>
        <v>0</v>
      </c>
      <c r="AK20" s="270" cm="1">
        <f t="array" ref="AK20">SUM(_xlfn._xlws.FILTER(CstClcCur[[Value]:[Value]],(CstClcCur[[Name]:[Name]]=$B20)*(ISNUMBER(FIND(CstClcCur[[Attribute]:[Attribute]],AK$3))),0))</f>
        <v>0</v>
      </c>
      <c r="AL20" s="264" t="str">
        <f t="shared" si="0"/>
        <v>U20:AK20</v>
      </c>
    </row>
    <row r="21" spans="1:38" s="249" customFormat="1" ht="27" customHeight="1">
      <c r="A21" s="222"/>
      <c r="B21" s="265" t="str" cm="1">
        <f t="array" ref="B21">_xlfn.LET(_xlpm.x,IFERROR(INDEX(TbRsmIn[Enquiry No],SUM(ROW()-MATCH("SOR",$A:$A,0))),"X"),IF(_xlpm.x=0,"X",_xlpm.x))</f>
        <v>0CT016</v>
      </c>
      <c r="C21" s="265" t="str">
        <f>IF($B21="X","X",INDEX(F_PI2[PrjId],MATCH(VALUE(LEFT($B21,1)),F_PI2[PrjOrd],0)))</f>
        <v>31200</v>
      </c>
      <c r="D21" s="265" t="str">
        <f t="shared" si="2"/>
        <v>Sp</v>
      </c>
      <c r="E21" s="266" t="str" cm="1">
        <f t="array" ref="E21">IF($B21="","X",UPPER(_xlfn._xlws.FILTER(CstClcData[Value],(CstClcData[Name]=$B21)*(CstClcData[Attribute]=E$3),"X")))</f>
        <v>IMPACT ON PROGRAME AND COMMISSIONING FROM PRODUCT CHANGES 20241216 ECR 5883</v>
      </c>
      <c r="F21" s="233" t="str" cm="1">
        <f t="array" ref="F21">IF($B21="X","X",_xlfn.UNIQUE(_xlfn._xlws.FILTER(PInt2[VtaId],(ISNUMBER(FIND(RIGHT($B21,LEN($B21)-1),SUBSTITUTE(PInt2[PInNxm],"-",""))))*(PInt2[PrjId]=TEXT($C21,"@")),"X")))</f>
        <v>X</v>
      </c>
      <c r="G21" s="269" t="str" cm="1">
        <f t="array" ref="G21">IF($F21="X","X",_xlfn.UNIQUE(_xlfn._xlws.FILTER(PInt2[OrdIds],(PInt2[VtaId]=$F21)*(PInt2[PrjId]=TEXT($C21,"@")),"X")))</f>
        <v>X</v>
      </c>
      <c r="H21" s="233" t="str" cm="1">
        <f t="array" ref="H21">IF($F21="X","X",_xlfn.UNIQUE(_xlfn._xlws.FILTER(PInt2[CusOrdId],(PInt2[VtaId]=$F21)*(PInt2[PrjId]=TEXT($C21,"@")),"X")))</f>
        <v>X</v>
      </c>
      <c r="I21" s="234" cm="1">
        <f t="array" ref="I21">IF($B21="","X",_xlfn._xlws.FILTER(TbRsmIn[Date],(TbRsmIn[Enquiry No]=$B21),"X"))</f>
        <v>45670</v>
      </c>
      <c r="J21" s="265">
        <f t="shared" si="3"/>
        <v>202503</v>
      </c>
      <c r="K21" s="234" t="str" cm="1">
        <f t="array" ref="K21">IF($B21="","X",_xlfn._xlws.FILTER(TbRsmIn[Causality],(TbRsmIn[Enquiry No]=$B21),"X"))</f>
        <v>PRODUCTO</v>
      </c>
      <c r="L21" s="267" t="str" cm="1">
        <f t="array" ref="L21">_xlfn._xlws.FILTER(PInt2[OrdMin],PInt2[VtaId]=$F21,"X")</f>
        <v>X</v>
      </c>
      <c r="M21" s="267" t="str" cm="1">
        <f t="array" ref="M21">_xlfn._xlws.FILTER(PInt2[PayMax],PInt2[VtaId]=$F21,"X")</f>
        <v>X</v>
      </c>
      <c r="N21" s="122" t="str" cm="1">
        <f t="array" ref="N21">IFERROR(_xlfn.TEXTAFTER(INDEX(O$5:R$5,MAX(_xlfn._xlws.FILTER(COLUMN($O21:$R21),($O21:$R21&lt;&gt;0)*($O21:$R21&lt;"")*(UPPER($O21:$R21)&lt;&gt;"X")))-MATCH("SOV",$1:$1,0))," "),"X")</f>
        <v>Ofertado</v>
      </c>
      <c r="O21" s="268" cm="1">
        <f t="array" ref="O21">IF($B21="","X",_xlfn._xlws.FILTER(TbRsmIn[Offered],(TbRsmIn[Enquiry No]=$B21),"X"))</f>
        <v>35458.81</v>
      </c>
      <c r="P21" s="268" t="str" cm="1">
        <f t="array" ref="P21">IF($B21="","X",IF(Q21&lt;&gt;0,Q21,_xlfn._xlws.FILTER(CstClcData[Value],(CstClcData[Name]=$B21)*(CstClcData[Attribute]=P$3),"X")))</f>
        <v>X</v>
      </c>
      <c r="Q21" s="268" cm="1">
        <f t="array" ref="Q21">IF($B21="","X",_xlfn._xlws.FILTER(TbRsmIn[Ordered],(TbRsmIn[Enquiry No]=$B21),"X"))</f>
        <v>0</v>
      </c>
      <c r="R21" s="268" cm="1">
        <f t="array" ref="R21">SUM(_xlfn._xlws.FILTER(PInt2[InvCur],(PInt2[PInNxm]&lt;&gt;0)*(PInt2[PrjId]=$C21)*(IFERROR(_xlfn.TEXTBEFORE(SUBSTITUTE(PInt2[PInNxm],"-",""),"/"),"X")=RIGHT($B21,LEN($B21)-1)),0))</f>
        <v>0</v>
      </c>
      <c r="S21" s="122" t="str" cm="1">
        <f t="array" ref="S21">IF($B21="","X",_xlfn._xlws.FILTER(TbRsmIn[Alive]&amp;CHAR(10)&amp;TEXT(TbRsmIn[Ongoing],"000%"),(TbRsmIn[Enquiry No]=$B21),"X"))</f>
        <v>O
000%</v>
      </c>
      <c r="T21" s="292">
        <f t="shared" ca="1" si="1"/>
        <v>23656.128799999999</v>
      </c>
      <c r="U21" s="270" cm="1">
        <f t="array" ref="U21">SUM(_xlfn._xlws.FILTER(CstClcCur[[Value]:[Value]],(CstClcCur[[Name]:[Name]]=$B21)*(ISNUMBER(FIND(CstClcCur[[Attribute]:[Attribute]],U$3))),0))</f>
        <v>0</v>
      </c>
      <c r="V21" s="270" cm="1">
        <f t="array" ref="V21">SUM(_xlfn._xlws.FILTER(CstClcCur[[Value]:[Value]],(CstClcCur[[Name]:[Name]]=$B21)*(ISNUMBER(FIND(CstClcCur[[Attribute]:[Attribute]],V$3))),0))</f>
        <v>0</v>
      </c>
      <c r="W21" s="270" cm="1">
        <f t="array" ref="W21">SUM(_xlfn._xlws.FILTER(CstClcCur[[Value]:[Value]],(CstClcCur[[Name]:[Name]]=$B21)*(ISNUMBER(FIND(CstClcCur[[Attribute]:[Attribute]],W$3))),0))</f>
        <v>0</v>
      </c>
      <c r="X21" s="270" cm="1">
        <f t="array" ref="X21">SUM(_xlfn._xlws.FILTER(CstClcCur[[Value]:[Value]],(CstClcCur[[Name]:[Name]]=$B21)*(ISNUMBER(FIND(CstClcCur[[Attribute]:[Attribute]],X$3))),0))</f>
        <v>0</v>
      </c>
      <c r="Y21" s="270" cm="1">
        <f t="array" ref="Y21">SUM(_xlfn._xlws.FILTER(CstClcCur[[Value]:[Value]],(CstClcCur[[Name]:[Name]]=$B21)*(ISNUMBER(FIND(CstClcCur[[Attribute]:[Attribute]],Y$3))),0))</f>
        <v>4516.2909</v>
      </c>
      <c r="Z21" s="270" cm="1">
        <f t="array" ref="Z21">SUM(_xlfn._xlws.FILTER(CstClcCur[[Value]:[Value]],(CstClcCur[[Name]:[Name]]=$B21)*(ISNUMBER(FIND(CstClcCur[[Attribute]:[Attribute]],Z$3))),0))</f>
        <v>0</v>
      </c>
      <c r="AA21" s="270" cm="1">
        <f t="array" ref="AA21">SUM(_xlfn._xlws.FILTER(CstClcCur[[Value]:[Value]],(CstClcCur[[Name]:[Name]]=$B21)*(ISNUMBER(FIND(CstClcCur[[Attribute]:[Attribute]],AA$3))),0))</f>
        <v>6323.3918999999996</v>
      </c>
      <c r="AB21" s="270" cm="1">
        <f t="array" ref="AB21">SUM(_xlfn._xlws.FILTER(CstClcCur[[Value]:[Value]],(CstClcCur[[Name]:[Name]]=$B21)*(ISNUMBER(FIND(CstClcCur[[Attribute]:[Attribute]],AB$3))),0))</f>
        <v>0</v>
      </c>
      <c r="AC21" s="270" cm="1">
        <f t="array" ref="AC21">SUM(_xlfn._xlws.FILTER(CstClcCur[[Value]:[Value]],(CstClcCur[[Name]:[Name]]=$B21)*(ISNUMBER(FIND(CstClcCur[[Attribute]:[Attribute]],AC$3))),0))</f>
        <v>8175.5460000000003</v>
      </c>
      <c r="AD21" s="270" cm="1">
        <f t="array" ref="AD21">SUM(_xlfn._xlws.FILTER(CstClcCur[[Value]:[Value]],(CstClcCur[[Name]:[Name]]=$B21)*(ISNUMBER(FIND(CstClcCur[[Attribute]:[Attribute]],AD$3))),0))</f>
        <v>4640.8999999999996</v>
      </c>
      <c r="AE21" s="270" cm="1">
        <f t="array" ref="AE21">SUM(_xlfn._xlws.FILTER(CstClcCur[[Value]:[Value]],(CstClcCur[[Name]:[Name]]=$B21)*(ISNUMBER(FIND(CstClcCur[[Attribute]:[Attribute]],AE$3))),0))</f>
        <v>0</v>
      </c>
      <c r="AF21" s="270" cm="1">
        <f t="array" ref="AF21">SUM(_xlfn._xlws.FILTER(CstClcCur[[Value]:[Value]],(CstClcCur[[Name]:[Name]]=$B21)*(ISNUMBER(FIND(CstClcCur[[Attribute]:[Attribute]],AF$3))),0))</f>
        <v>0</v>
      </c>
      <c r="AG21" s="270" cm="1">
        <f t="array" ref="AG21">SUM(_xlfn._xlws.FILTER(CstClcCur[[Value]:[Value]],(CstClcCur[[Name]:[Name]]=$B21)*(ISNUMBER(FIND(CstClcCur[[Attribute]:[Attribute]],AG$3))),0))</f>
        <v>0</v>
      </c>
      <c r="AH21" s="270" cm="1">
        <f t="array" ref="AH21">SUM(_xlfn._xlws.FILTER(CstClcCur[[Value]:[Value]],(CstClcCur[[Name]:[Name]]=$B21)*(ISNUMBER(FIND(CstClcCur[[Attribute]:[Attribute]],AH$3))),0))</f>
        <v>0</v>
      </c>
      <c r="AI21" s="270" cm="1">
        <f t="array" ref="AI21">SUM(_xlfn._xlws.FILTER(CstClcCur[[Value]:[Value]],(CstClcCur[[Name]:[Name]]=$B21)*(ISNUMBER(FIND(CstClcCur[[Attribute]:[Attribute]],AI$3))),0))</f>
        <v>0</v>
      </c>
      <c r="AJ21" s="270" cm="1">
        <f t="array" ref="AJ21">SUM(_xlfn._xlws.FILTER(CstClcCur[[Value]:[Value]],(CstClcCur[[Name]:[Name]]=$B21)*(ISNUMBER(FIND(CstClcCur[[Attribute]:[Attribute]],AJ$3))),0))</f>
        <v>0</v>
      </c>
      <c r="AK21" s="270" cm="1">
        <f t="array" ref="AK21">SUM(_xlfn._xlws.FILTER(CstClcCur[[Value]:[Value]],(CstClcCur[[Name]:[Name]]=$B21)*(ISNUMBER(FIND(CstClcCur[[Attribute]:[Attribute]],AK$3))),0))</f>
        <v>0</v>
      </c>
      <c r="AL21" s="264" t="str">
        <f t="shared" si="0"/>
        <v>U21:AK21</v>
      </c>
    </row>
    <row r="22" spans="1:38" s="249" customFormat="1" ht="27" customHeight="1">
      <c r="A22" s="222"/>
      <c r="B22" s="265" t="str" cm="1">
        <f t="array" ref="B22">_xlfn.LET(_xlpm.x,IFERROR(INDEX(TbRsmIn[Enquiry No],SUM(ROW()-MATCH("SOR",$A:$A,0))),"X"),IF(_xlpm.x=0,"X",_xlpm.x))</f>
        <v>0CT017</v>
      </c>
      <c r="C22" s="265" t="str">
        <f>IF($B22="X","X",INDEX(F_PI2[PrjId],MATCH(VALUE(LEFT($B22,1)),F_PI2[PrjOrd],0)))</f>
        <v>31200</v>
      </c>
      <c r="D22" s="265" t="str">
        <f t="shared" si="2"/>
        <v>Sp</v>
      </c>
      <c r="E22" s="266" t="str" cm="1">
        <f t="array" ref="E22">IF($B22="","X",UPPER(_xlfn._xlws.FILTER(CstClcData[Value],(CstClcData[Name]=$B22)*(CstClcData[Attribute]=E$3),"X")))</f>
        <v>I4.0 ADDITIONAL PERFORMANCE TO TAKE FEEDBACK INFO FROM QUALITY INSPECTION OPERATOR AT EOL CELL</v>
      </c>
      <c r="F22" s="233" t="str" cm="1">
        <f t="array" ref="F22">IF($B22="X","X",_xlfn.UNIQUE(_xlfn._xlws.FILTER(PInt2[VtaId],(ISNUMBER(FIND(RIGHT($B22,LEN($B22)-1),SUBSTITUTE(PInt2[PInNxm],"-",""))))*(PInt2[PrjId]=TEXT($C22,"@")),"X")))</f>
        <v>X</v>
      </c>
      <c r="G22" s="269" t="str" cm="1">
        <f t="array" ref="G22">IF($F22="X","X",_xlfn.UNIQUE(_xlfn._xlws.FILTER(PInt2[OrdIds],(PInt2[VtaId]=$F22)*(PInt2[PrjId]=TEXT($C22,"@")),"X")))</f>
        <v>X</v>
      </c>
      <c r="H22" s="233" t="str" cm="1">
        <f t="array" ref="H22">IF($F22="X","X",_xlfn.UNIQUE(_xlfn._xlws.FILTER(PInt2[CusOrdId],(PInt2[VtaId]=$F22)*(PInt2[PrjId]=TEXT($C22,"@")),"X")))</f>
        <v>X</v>
      </c>
      <c r="I22" s="234" cm="1">
        <f t="array" ref="I22">IF($B22="","X",_xlfn._xlws.FILTER(TbRsmIn[Date],(TbRsmIn[Enquiry No]=$B22),"X"))</f>
        <v>45678</v>
      </c>
      <c r="J22" s="265">
        <f t="shared" si="3"/>
        <v>202504</v>
      </c>
      <c r="K22" s="234" t="str" cm="1">
        <f t="array" ref="K22">IF($B22="","X",_xlfn._xlws.FILTER(TbRsmIn[Causality],(TbRsmIn[Enquiry No]=$B22),"X"))</f>
        <v>DEFINICION</v>
      </c>
      <c r="L22" s="267" t="str" cm="1">
        <f t="array" ref="L22">_xlfn._xlws.FILTER(PInt2[OrdMin],PInt2[VtaId]=$F22,"X")</f>
        <v>X</v>
      </c>
      <c r="M22" s="267" t="str" cm="1">
        <f t="array" ref="M22">_xlfn._xlws.FILTER(PInt2[PayMax],PInt2[VtaId]=$F22,"X")</f>
        <v>X</v>
      </c>
      <c r="N22" s="122" t="str" cm="1">
        <f t="array" ref="N22">IFERROR(_xlfn.TEXTAFTER(INDEX(O$5:R$5,MAX(_xlfn._xlws.FILTER(COLUMN($O22:$R22),($O22:$R22&lt;&gt;0)*($O22:$R22&lt;"")*(UPPER($O22:$R22)&lt;&gt;"X")))-MATCH("SOV",$1:$1,0))," "),"X")</f>
        <v>Ofertado</v>
      </c>
      <c r="O22" s="268" cm="1">
        <f t="array" ref="O22">IF($B22="","X",_xlfn._xlws.FILTER(TbRsmIn[Offered],(TbRsmIn[Enquiry No]=$B22),"X"))</f>
        <v>7739.39</v>
      </c>
      <c r="P22" s="268" t="str" cm="1">
        <f t="array" ref="P22">IF($B22="","X",IF(Q22&lt;&gt;0,Q22,_xlfn._xlws.FILTER(CstClcData[Value],(CstClcData[Name]=$B22)*(CstClcData[Attribute]=P$3),"X")))</f>
        <v>X</v>
      </c>
      <c r="Q22" s="268" cm="1">
        <f t="array" ref="Q22">IF($B22="","X",_xlfn._xlws.FILTER(TbRsmIn[Ordered],(TbRsmIn[Enquiry No]=$B22),"X"))</f>
        <v>0</v>
      </c>
      <c r="R22" s="268" cm="1">
        <f t="array" ref="R22">SUM(_xlfn._xlws.FILTER(PInt2[InvCur],(PInt2[PInNxm]&lt;&gt;0)*(PInt2[PrjId]=$C22)*(IFERROR(_xlfn.TEXTBEFORE(SUBSTITUTE(PInt2[PInNxm],"-",""),"/"),"X")=RIGHT($B22,LEN($B22)-1)),0))</f>
        <v>0</v>
      </c>
      <c r="S22" s="122" t="str" cm="1">
        <f t="array" ref="S22">IF($B22="","X",_xlfn._xlws.FILTER(TbRsmIn[Alive]&amp;CHAR(10)&amp;TEXT(TbRsmIn[Ongoing],"000%"),(TbRsmIn[Enquiry No]=$B22),"X"))</f>
        <v>O
000%</v>
      </c>
      <c r="T22" s="292">
        <f t="shared" ca="1" si="1"/>
        <v>5494.5722999999998</v>
      </c>
      <c r="U22" s="270" cm="1">
        <f t="array" ref="U22">SUM(_xlfn._xlws.FILTER(CstClcCur[[Value]:[Value]],(CstClcCur[[Name]:[Name]]=$B22)*(ISNUMBER(FIND(CstClcCur[[Attribute]:[Attribute]],U$3))),0))</f>
        <v>103.1246</v>
      </c>
      <c r="V22" s="270" cm="1">
        <f t="array" ref="V22">SUM(_xlfn._xlws.FILTER(CstClcCur[[Value]:[Value]],(CstClcCur[[Name]:[Name]]=$B22)*(ISNUMBER(FIND(CstClcCur[[Attribute]:[Attribute]],V$3))),0))</f>
        <v>0</v>
      </c>
      <c r="W22" s="270" cm="1">
        <f t="array" ref="W22">SUM(_xlfn._xlws.FILTER(CstClcCur[[Value]:[Value]],(CstClcCur[[Name]:[Name]]=$B22)*(ISNUMBER(FIND(CstClcCur[[Attribute]:[Attribute]],W$3))),0))</f>
        <v>74.8934</v>
      </c>
      <c r="X22" s="270" cm="1">
        <f t="array" ref="X22">SUM(_xlfn._xlws.FILTER(CstClcCur[[Value]:[Value]],(CstClcCur[[Name]:[Name]]=$B22)*(ISNUMBER(FIND(CstClcCur[[Attribute]:[Attribute]],X$3))),0))</f>
        <v>0</v>
      </c>
      <c r="Y22" s="270" cm="1">
        <f t="array" ref="Y22">SUM(_xlfn._xlws.FILTER(CstClcCur[[Value]:[Value]],(CstClcCur[[Name]:[Name]]=$B22)*(ISNUMBER(FIND(CstClcCur[[Attribute]:[Attribute]],Y$3))),0))</f>
        <v>1070.8731</v>
      </c>
      <c r="Z22" s="270" cm="1">
        <f t="array" ref="Z22">SUM(_xlfn._xlws.FILTER(CstClcCur[[Value]:[Value]],(CstClcCur[[Name]:[Name]]=$B22)*(ISNUMBER(FIND(CstClcCur[[Attribute]:[Attribute]],Z$3))),0))</f>
        <v>0</v>
      </c>
      <c r="AA22" s="270" cm="1">
        <f t="array" ref="AA22">SUM(_xlfn._xlws.FILTER(CstClcCur[[Value]:[Value]],(CstClcCur[[Name]:[Name]]=$B22)*(ISNUMBER(FIND(CstClcCur[[Attribute]:[Attribute]],AA$3))),0))</f>
        <v>0</v>
      </c>
      <c r="AB22" s="270" cm="1">
        <f t="array" ref="AB22">SUM(_xlfn._xlws.FILTER(CstClcCur[[Value]:[Value]],(CstClcCur[[Name]:[Name]]=$B22)*(ISNUMBER(FIND(CstClcCur[[Attribute]:[Attribute]],AB$3))),0))</f>
        <v>253.22</v>
      </c>
      <c r="AC22" s="270" cm="1">
        <f t="array" ref="AC22">SUM(_xlfn._xlws.FILTER(CstClcCur[[Value]:[Value]],(CstClcCur[[Name]:[Name]]=$B22)*(ISNUMBER(FIND(CstClcCur[[Attribute]:[Attribute]],AC$3))),0))</f>
        <v>211.95859999999999</v>
      </c>
      <c r="AD22" s="270" cm="1">
        <f t="array" ref="AD22">SUM(_xlfn._xlws.FILTER(CstClcCur[[Value]:[Value]],(CstClcCur[[Name]:[Name]]=$B22)*(ISNUMBER(FIND(CstClcCur[[Attribute]:[Attribute]],AD$3))),0))</f>
        <v>0</v>
      </c>
      <c r="AE22" s="270" cm="1">
        <f t="array" ref="AE22">SUM(_xlfn._xlws.FILTER(CstClcCur[[Value]:[Value]],(CstClcCur[[Name]:[Name]]=$B22)*(ISNUMBER(FIND(CstClcCur[[Attribute]:[Attribute]],AE$3))),0))</f>
        <v>0</v>
      </c>
      <c r="AF22" s="270" cm="1">
        <f t="array" ref="AF22">SUM(_xlfn._xlws.FILTER(CstClcCur[[Value]:[Value]],(CstClcCur[[Name]:[Name]]=$B22)*(ISNUMBER(FIND(CstClcCur[[Attribute]:[Attribute]],AF$3))),0))</f>
        <v>279.6782</v>
      </c>
      <c r="AG22" s="270" cm="1">
        <f t="array" ref="AG22">SUM(_xlfn._xlws.FILTER(CstClcCur[[Value]:[Value]],(CstClcCur[[Name]:[Name]]=$B22)*(ISNUMBER(FIND(CstClcCur[[Attribute]:[Attribute]],AG$3))),0))</f>
        <v>0</v>
      </c>
      <c r="AH22" s="270" cm="1">
        <f t="array" ref="AH22">SUM(_xlfn._xlws.FILTER(CstClcCur[[Value]:[Value]],(CstClcCur[[Name]:[Name]]=$B22)*(ISNUMBER(FIND(CstClcCur[[Attribute]:[Attribute]],AH$3))),0))</f>
        <v>100.7431</v>
      </c>
      <c r="AI22" s="270" cm="1">
        <f t="array" ref="AI22">SUM(_xlfn._xlws.FILTER(CstClcCur[[Value]:[Value]],(CstClcCur[[Name]:[Name]]=$B22)*(ISNUMBER(FIND(CstClcCur[[Attribute]:[Attribute]],AI$3))),0))</f>
        <v>3400.0812999999998</v>
      </c>
      <c r="AJ22" s="270" cm="1">
        <f t="array" ref="AJ22">SUM(_xlfn._xlws.FILTER(CstClcCur[[Value]:[Value]],(CstClcCur[[Name]:[Name]]=$B22)*(ISNUMBER(FIND(CstClcCur[[Attribute]:[Attribute]],AJ$3))),0))</f>
        <v>0</v>
      </c>
      <c r="AK22" s="270" cm="1">
        <f t="array" ref="AK22">SUM(_xlfn._xlws.FILTER(CstClcCur[[Value]:[Value]],(CstClcCur[[Name]:[Name]]=$B22)*(ISNUMBER(FIND(CstClcCur[[Attribute]:[Attribute]],AK$3))),0))</f>
        <v>0</v>
      </c>
      <c r="AL22" s="264" t="str">
        <f t="shared" si="0"/>
        <v>U22:AK22</v>
      </c>
    </row>
    <row r="23" spans="1:38" s="249" customFormat="1" ht="27" customHeight="1">
      <c r="A23" s="222"/>
      <c r="B23" s="265" t="str" cm="1">
        <f t="array" ref="B23">_xlfn.LET(_xlpm.x,IFERROR(INDEX(TbRsmIn[Enquiry No],SUM(ROW()-MATCH("SOR",$A:$A,0))),"X"),IF(_xlpm.x=0,"X",_xlpm.x))</f>
        <v>0CT018</v>
      </c>
      <c r="C23" s="265" t="str">
        <f>IF($B23="X","X",INDEX(F_PI2[PrjId],MATCH(VALUE(LEFT($B23,1)),F_PI2[PrjOrd],0)))</f>
        <v>31200</v>
      </c>
      <c r="D23" s="265" t="str">
        <f t="shared" si="2"/>
        <v>Sp</v>
      </c>
      <c r="E23" s="266" t="str" cm="1">
        <f t="array" ref="E23">IF($B23="","X",UPPER(_xlfn._xlws.FILTER(CstClcData[Value],(CstClcData[Name]=$B23)*(CstClcData[Attribute]=E$3),"X")))</f>
        <v>MISCELLANEOUS LOGISTIC SUPPORT TO CUSTOMER FOR STAMPING FIRST BATCH DELIVERY (2ND BATCH INCLUDED)</v>
      </c>
      <c r="F23" s="233" t="str" cm="1">
        <f t="array" ref="F23">IF($B23="X","X",_xlfn.UNIQUE(_xlfn._xlws.FILTER(PInt2[VtaId],(ISNUMBER(FIND(RIGHT($B23,LEN($B23)-1),SUBSTITUTE(PInt2[PInNxm],"-",""))))*(PInt2[PrjId]=TEXT($C23,"@")),"X")))</f>
        <v>X</v>
      </c>
      <c r="G23" s="269" t="str" cm="1">
        <f t="array" ref="G23">IF($F23="X","X",_xlfn.UNIQUE(_xlfn._xlws.FILTER(PInt2[OrdIds],(PInt2[VtaId]=$F23)*(PInt2[PrjId]=TEXT($C23,"@")),"X")))</f>
        <v>X</v>
      </c>
      <c r="H23" s="233" t="str" cm="1">
        <f t="array" ref="H23">IF($F23="X","X",_xlfn.UNIQUE(_xlfn._xlws.FILTER(PInt2[CusOrdId],(PInt2[VtaId]=$F23)*(PInt2[PrjId]=TEXT($C23,"@")),"X")))</f>
        <v>X</v>
      </c>
      <c r="I23" s="234" cm="1">
        <f t="array" ref="I23">IF($B23="","X",_xlfn._xlws.FILTER(TbRsmIn[Date],(TbRsmIn[Enquiry No]=$B23),"X"))</f>
        <v>45678</v>
      </c>
      <c r="J23" s="265">
        <f t="shared" si="3"/>
        <v>202504</v>
      </c>
      <c r="K23" s="234" t="str" cm="1">
        <f t="array" ref="K23">IF($B23="","X",_xlfn._xlws.FILTER(TbRsmIn[Causality],(TbRsmIn[Enquiry No]=$B23),"X"))</f>
        <v>DEFINICION</v>
      </c>
      <c r="L23" s="267" t="str" cm="1">
        <f t="array" ref="L23">_xlfn._xlws.FILTER(PInt2[OrdMin],PInt2[VtaId]=$F23,"X")</f>
        <v>X</v>
      </c>
      <c r="M23" s="267" t="str" cm="1">
        <f t="array" ref="M23">_xlfn._xlws.FILTER(PInt2[PayMax],PInt2[VtaId]=$F23,"X")</f>
        <v>X</v>
      </c>
      <c r="N23" s="122" t="str" cm="1">
        <f t="array" ref="N23">IFERROR(_xlfn.TEXTAFTER(INDEX(O$5:R$5,MAX(_xlfn._xlws.FILTER(COLUMN($O23:$R23),($O23:$R23&lt;&gt;0)*($O23:$R23&lt;"")*(UPPER($O23:$R23)&lt;&gt;"X")))-MATCH("SOV",$1:$1,0))," "),"X")</f>
        <v>Ofertado</v>
      </c>
      <c r="O23" s="268" cm="1">
        <f t="array" ref="O23">IF($B23="","X",_xlfn._xlws.FILTER(TbRsmIn[Offered],(TbRsmIn[Enquiry No]=$B23),"X"))</f>
        <v>10776.46</v>
      </c>
      <c r="P23" s="268" t="str" cm="1">
        <f t="array" ref="P23">IF($B23="","X",IF(Q23&lt;&gt;0,Q23,_xlfn._xlws.FILTER(CstClcData[Value],(CstClcData[Name]=$B23)*(CstClcData[Attribute]=P$3),"X")))</f>
        <v>X</v>
      </c>
      <c r="Q23" s="268" cm="1">
        <f t="array" ref="Q23">IF($B23="","X",_xlfn._xlws.FILTER(TbRsmIn[Ordered],(TbRsmIn[Enquiry No]=$B23),"X"))</f>
        <v>0</v>
      </c>
      <c r="R23" s="268" cm="1">
        <f t="array" ref="R23">SUM(_xlfn._xlws.FILTER(PInt2[InvCur],(PInt2[PInNxm]&lt;&gt;0)*(PInt2[PrjId]=$C23)*(IFERROR(_xlfn.TEXTBEFORE(SUBSTITUTE(PInt2[PInNxm],"-",""),"/"),"X")=RIGHT($B23,LEN($B23)-1)),0))</f>
        <v>0</v>
      </c>
      <c r="S23" s="122" t="str" cm="1">
        <f t="array" ref="S23">IF($B23="","X",_xlfn._xlws.FILTER(TbRsmIn[Alive]&amp;CHAR(10)&amp;TEXT(TbRsmIn[Ongoing],"000%"),(TbRsmIn[Enquiry No]=$B23),"X"))</f>
        <v>O
000%</v>
      </c>
      <c r="T23" s="292">
        <f t="shared" ca="1" si="1"/>
        <v>1386.1372000000001</v>
      </c>
      <c r="U23" s="270" cm="1">
        <f t="array" ref="U23">SUM(_xlfn._xlws.FILTER(CstClcCur[[Value]:[Value]],(CstClcCur[[Name]:[Name]]=$B23)*(ISNUMBER(FIND(CstClcCur[[Attribute]:[Attribute]],U$3))),0))</f>
        <v>0</v>
      </c>
      <c r="V23" s="270" cm="1">
        <f t="array" ref="V23">SUM(_xlfn._xlws.FILTER(CstClcCur[[Value]:[Value]],(CstClcCur[[Name]:[Name]]=$B23)*(ISNUMBER(FIND(CstClcCur[[Attribute]:[Attribute]],V$3))),0))</f>
        <v>0</v>
      </c>
      <c r="W23" s="270" cm="1">
        <f t="array" ref="W23">SUM(_xlfn._xlws.FILTER(CstClcCur[[Value]:[Value]],(CstClcCur[[Name]:[Name]]=$B23)*(ISNUMBER(FIND(CstClcCur[[Attribute]:[Attribute]],W$3))),0))</f>
        <v>37.4467</v>
      </c>
      <c r="X23" s="270" cm="1">
        <f t="array" ref="X23">SUM(_xlfn._xlws.FILTER(CstClcCur[[Value]:[Value]],(CstClcCur[[Name]:[Name]]=$B23)*(ISNUMBER(FIND(CstClcCur[[Attribute]:[Attribute]],X$3))),0))</f>
        <v>0</v>
      </c>
      <c r="Y23" s="270" cm="1">
        <f t="array" ref="Y23">SUM(_xlfn._xlws.FILTER(CstClcCur[[Value]:[Value]],(CstClcCur[[Name]:[Name]]=$B23)*(ISNUMBER(FIND(CstClcCur[[Attribute]:[Attribute]],Y$3))),0))</f>
        <v>0</v>
      </c>
      <c r="Z23" s="270" cm="1">
        <f t="array" ref="Z23">SUM(_xlfn._xlws.FILTER(CstClcCur[[Value]:[Value]],(CstClcCur[[Name]:[Name]]=$B23)*(ISNUMBER(FIND(CstClcCur[[Attribute]:[Attribute]],Z$3))),0))</f>
        <v>0</v>
      </c>
      <c r="AA23" s="270" cm="1">
        <f t="array" ref="AA23">SUM(_xlfn._xlws.FILTER(CstClcCur[[Value]:[Value]],(CstClcCur[[Name]:[Name]]=$B23)*(ISNUMBER(FIND(CstClcCur[[Attribute]:[Attribute]],AA$3))),0))</f>
        <v>0</v>
      </c>
      <c r="AB23" s="270" cm="1">
        <f t="array" ref="AB23">SUM(_xlfn._xlws.FILTER(CstClcCur[[Value]:[Value]],(CstClcCur[[Name]:[Name]]=$B23)*(ISNUMBER(FIND(CstClcCur[[Attribute]:[Attribute]],AB$3))),0))</f>
        <v>1012.88</v>
      </c>
      <c r="AC23" s="270" cm="1">
        <f t="array" ref="AC23">SUM(_xlfn._xlws.FILTER(CstClcCur[[Value]:[Value]],(CstClcCur[[Name]:[Name]]=$B23)*(ISNUMBER(FIND(CstClcCur[[Attribute]:[Attribute]],AC$3))),0))</f>
        <v>0</v>
      </c>
      <c r="AD23" s="270" cm="1">
        <f t="array" ref="AD23">SUM(_xlfn._xlws.FILTER(CstClcCur[[Value]:[Value]],(CstClcCur[[Name]:[Name]]=$B23)*(ISNUMBER(FIND(CstClcCur[[Attribute]:[Attribute]],AD$3))),0))</f>
        <v>0</v>
      </c>
      <c r="AE23" s="270" cm="1">
        <f t="array" ref="AE23">SUM(_xlfn._xlws.FILTER(CstClcCur[[Value]:[Value]],(CstClcCur[[Name]:[Name]]=$B23)*(ISNUMBER(FIND(CstClcCur[[Attribute]:[Attribute]],AE$3))),0))</f>
        <v>0</v>
      </c>
      <c r="AF23" s="270" cm="1">
        <f t="array" ref="AF23">SUM(_xlfn._xlws.FILTER(CstClcCur[[Value]:[Value]],(CstClcCur[[Name]:[Name]]=$B23)*(ISNUMBER(FIND(CstClcCur[[Attribute]:[Attribute]],AF$3))),0))</f>
        <v>0</v>
      </c>
      <c r="AG23" s="270" cm="1">
        <f t="array" ref="AG23">SUM(_xlfn._xlws.FILTER(CstClcCur[[Value]:[Value]],(CstClcCur[[Name]:[Name]]=$B23)*(ISNUMBER(FIND(CstClcCur[[Attribute]:[Attribute]],AG$3))),0))</f>
        <v>0</v>
      </c>
      <c r="AH23" s="270" cm="1">
        <f t="array" ref="AH23">SUM(_xlfn._xlws.FILTER(CstClcCur[[Value]:[Value]],(CstClcCur[[Name]:[Name]]=$B23)*(ISNUMBER(FIND(CstClcCur[[Attribute]:[Attribute]],AH$3))),0))</f>
        <v>83.952600000000004</v>
      </c>
      <c r="AI23" s="270" cm="1">
        <f t="array" ref="AI23">SUM(_xlfn._xlws.FILTER(CstClcCur[[Value]:[Value]],(CstClcCur[[Name]:[Name]]=$B23)*(ISNUMBER(FIND(CstClcCur[[Attribute]:[Attribute]],AI$3))),0))</f>
        <v>0</v>
      </c>
      <c r="AJ23" s="270" cm="1">
        <f t="array" ref="AJ23">SUM(_xlfn._xlws.FILTER(CstClcCur[[Value]:[Value]],(CstClcCur[[Name]:[Name]]=$B23)*(ISNUMBER(FIND(CstClcCur[[Attribute]:[Attribute]],AJ$3))),0))</f>
        <v>0</v>
      </c>
      <c r="AK23" s="270" cm="1">
        <f t="array" ref="AK23">SUM(_xlfn._xlws.FILTER(CstClcCur[[Value]:[Value]],(CstClcCur[[Name]:[Name]]=$B23)*(ISNUMBER(FIND(CstClcCur[[Attribute]:[Attribute]],AK$3))),0))</f>
        <v>251.8579</v>
      </c>
      <c r="AL23" s="264" t="str">
        <f t="shared" si="0"/>
        <v>U23:AK23</v>
      </c>
    </row>
    <row r="24" spans="1:38" s="249" customFormat="1" ht="27" customHeight="1">
      <c r="A24" s="222"/>
      <c r="B24" s="265" t="str" cm="1">
        <f t="array" ref="B24">_xlfn.LET(_xlpm.x,IFERROR(INDEX(TbRsmIn[Enquiry No],SUM(ROW()-MATCH("SOR",$A:$A,0))),"X"),IF(_xlpm.x=0,"X",_xlpm.x))</f>
        <v>0CT019</v>
      </c>
      <c r="C24" s="265" t="str">
        <f>IF($B24="X","X",INDEX(F_PI2[PrjId],MATCH(VALUE(LEFT($B24,1)),F_PI2[PrjOrd],0)))</f>
        <v>31200</v>
      </c>
      <c r="D24" s="265" t="str">
        <f t="shared" si="2"/>
        <v>Sp</v>
      </c>
      <c r="E24" s="266" t="str" cm="1">
        <f t="array" ref="E24">IF($B24="","X",UPPER(_xlfn._xlws.FILTER(CstClcData[Value],(CstClcData[Name]=$B24)*(CstClcData[Attribute]=E$3),"X")))</f>
        <v>COST BY DELAY STAMPING'S FOR 4WA (2ND RELEASE BECAUSE GEO+1ST WELD WILL NOT BE @SERRA SITE)</v>
      </c>
      <c r="F24" s="233" t="str" cm="1">
        <f t="array" ref="F24">IF($B24="X","X",_xlfn.UNIQUE(_xlfn._xlws.FILTER(PInt2[VtaId],(ISNUMBER(FIND(RIGHT($B24,LEN($B24)-1),SUBSTITUTE(PInt2[PInNxm],"-",""))))*(PInt2[PrjId]=TEXT($C24,"@")),"X")))</f>
        <v>X</v>
      </c>
      <c r="G24" s="269" t="str" cm="1">
        <f t="array" ref="G24">IF($F24="X","X",_xlfn.UNIQUE(_xlfn._xlws.FILTER(PInt2[OrdIds],(PInt2[VtaId]=$F24)*(PInt2[PrjId]=TEXT($C24,"@")),"X")))</f>
        <v>X</v>
      </c>
      <c r="H24" s="233" t="str" cm="1">
        <f t="array" ref="H24">IF($F24="X","X",_xlfn.UNIQUE(_xlfn._xlws.FILTER(PInt2[CusOrdId],(PInt2[VtaId]=$F24)*(PInt2[PrjId]=TEXT($C24,"@")),"X")))</f>
        <v>X</v>
      </c>
      <c r="I24" s="234" cm="1">
        <f t="array" ref="I24">IF($B24="","X",_xlfn._xlws.FILTER(TbRsmIn[Date],(TbRsmIn[Enquiry No]=$B24),"X"))</f>
        <v>45687</v>
      </c>
      <c r="J24" s="265">
        <f t="shared" si="3"/>
        <v>202505</v>
      </c>
      <c r="K24" s="234" t="str" cm="1">
        <f t="array" ref="K24">IF($B24="","X",_xlfn._xlws.FILTER(TbRsmIn[Causality],(TbRsmIn[Enquiry No]=$B24),"X"))</f>
        <v>OTROS</v>
      </c>
      <c r="L24" s="267" t="str" cm="1">
        <f t="array" ref="L24">_xlfn._xlws.FILTER(PInt2[OrdMin],PInt2[VtaId]=$F24,"X")</f>
        <v>X</v>
      </c>
      <c r="M24" s="267" t="str" cm="1">
        <f t="array" ref="M24">_xlfn._xlws.FILTER(PInt2[PayMax],PInt2[VtaId]=$F24,"X")</f>
        <v>X</v>
      </c>
      <c r="N24" s="122" t="str" cm="1">
        <f t="array" ref="N24">IFERROR(_xlfn.TEXTAFTER(INDEX(O$5:R$5,MAX(_xlfn._xlws.FILTER(COLUMN($O24:$R24),($O24:$R24&lt;&gt;0)*($O24:$R24&lt;"")*(UPPER($O24:$R24)&lt;&gt;"X")))-MATCH("SOV",$1:$1,0))," "),"X")</f>
        <v>Ofertado</v>
      </c>
      <c r="O24" s="268" cm="1">
        <f t="array" ref="O24">IF($B24="","X",_xlfn._xlws.FILTER(TbRsmIn[Offered],(TbRsmIn[Enquiry No]=$B24),"X"))</f>
        <v>30113.13</v>
      </c>
      <c r="P24" s="268" t="str" cm="1">
        <f t="array" ref="P24">IF($B24="","X",IF(Q24&lt;&gt;0,Q24,_xlfn._xlws.FILTER(CstClcData[Value],(CstClcData[Name]=$B24)*(CstClcData[Attribute]=P$3),"X")))</f>
        <v>X</v>
      </c>
      <c r="Q24" s="268" cm="1">
        <f t="array" ref="Q24">IF($B24="","X",_xlfn._xlws.FILTER(TbRsmIn[Ordered],(TbRsmIn[Enquiry No]=$B24),"X"))</f>
        <v>0</v>
      </c>
      <c r="R24" s="268" cm="1">
        <f t="array" ref="R24">SUM(_xlfn._xlws.FILTER(PInt2[InvCur],(PInt2[PInNxm]&lt;&gt;0)*(PInt2[PrjId]=$C24)*(IFERROR(_xlfn.TEXTBEFORE(SUBSTITUTE(PInt2[PInNxm],"-",""),"/"),"X")=RIGHT($B24,LEN($B24)-1)),0))</f>
        <v>0</v>
      </c>
      <c r="S24" s="122" t="str" cm="1">
        <f t="array" ref="S24">IF($B24="","X",_xlfn._xlws.FILTER(TbRsmIn[Alive]&amp;CHAR(10)&amp;TEXT(TbRsmIn[Ongoing],"000%"),(TbRsmIn[Enquiry No]=$B24),"X"))</f>
        <v>O
000%</v>
      </c>
      <c r="T24" s="292">
        <f t="shared" ca="1" si="1"/>
        <v>0</v>
      </c>
      <c r="U24" s="270" cm="1">
        <f t="array" ref="U24">SUM(_xlfn._xlws.FILTER(CstClcCur[[Value]:[Value]],(CstClcCur[[Name]:[Name]]=$B24)*(ISNUMBER(FIND(CstClcCur[[Attribute]:[Attribute]],U$3))),0))</f>
        <v>0</v>
      </c>
      <c r="V24" s="270" cm="1">
        <f t="array" ref="V24">SUM(_xlfn._xlws.FILTER(CstClcCur[[Value]:[Value]],(CstClcCur[[Name]:[Name]]=$B24)*(ISNUMBER(FIND(CstClcCur[[Attribute]:[Attribute]],V$3))),0))</f>
        <v>0</v>
      </c>
      <c r="W24" s="270" cm="1">
        <f t="array" ref="W24">SUM(_xlfn._xlws.FILTER(CstClcCur[[Value]:[Value]],(CstClcCur[[Name]:[Name]]=$B24)*(ISNUMBER(FIND(CstClcCur[[Attribute]:[Attribute]],W$3))),0))</f>
        <v>0</v>
      </c>
      <c r="X24" s="270" cm="1">
        <f t="array" ref="X24">SUM(_xlfn._xlws.FILTER(CstClcCur[[Value]:[Value]],(CstClcCur[[Name]:[Name]]=$B24)*(ISNUMBER(FIND(CstClcCur[[Attribute]:[Attribute]],X$3))),0))</f>
        <v>0</v>
      </c>
      <c r="Y24" s="270" cm="1">
        <f t="array" ref="Y24">SUM(_xlfn._xlws.FILTER(CstClcCur[[Value]:[Value]],(CstClcCur[[Name]:[Name]]=$B24)*(ISNUMBER(FIND(CstClcCur[[Attribute]:[Attribute]],Y$3))),0))</f>
        <v>0</v>
      </c>
      <c r="Z24" s="270" cm="1">
        <f t="array" ref="Z24">SUM(_xlfn._xlws.FILTER(CstClcCur[[Value]:[Value]],(CstClcCur[[Name]:[Name]]=$B24)*(ISNUMBER(FIND(CstClcCur[[Attribute]:[Attribute]],Z$3))),0))</f>
        <v>0</v>
      </c>
      <c r="AA24" s="270" cm="1">
        <f t="array" ref="AA24">SUM(_xlfn._xlws.FILTER(CstClcCur[[Value]:[Value]],(CstClcCur[[Name]:[Name]]=$B24)*(ISNUMBER(FIND(CstClcCur[[Attribute]:[Attribute]],AA$3))),0))</f>
        <v>0</v>
      </c>
      <c r="AB24" s="270" cm="1">
        <f t="array" ref="AB24">SUM(_xlfn._xlws.FILTER(CstClcCur[[Value]:[Value]],(CstClcCur[[Name]:[Name]]=$B24)*(ISNUMBER(FIND(CstClcCur[[Attribute]:[Attribute]],AB$3))),0))</f>
        <v>0</v>
      </c>
      <c r="AC24" s="270" cm="1">
        <f t="array" ref="AC24">SUM(_xlfn._xlws.FILTER(CstClcCur[[Value]:[Value]],(CstClcCur[[Name]:[Name]]=$B24)*(ISNUMBER(FIND(CstClcCur[[Attribute]:[Attribute]],AC$3))),0))</f>
        <v>0</v>
      </c>
      <c r="AD24" s="270" cm="1">
        <f t="array" ref="AD24">SUM(_xlfn._xlws.FILTER(CstClcCur[[Value]:[Value]],(CstClcCur[[Name]:[Name]]=$B24)*(ISNUMBER(FIND(CstClcCur[[Attribute]:[Attribute]],AD$3))),0))</f>
        <v>0</v>
      </c>
      <c r="AE24" s="270" cm="1">
        <f t="array" ref="AE24">SUM(_xlfn._xlws.FILTER(CstClcCur[[Value]:[Value]],(CstClcCur[[Name]:[Name]]=$B24)*(ISNUMBER(FIND(CstClcCur[[Attribute]:[Attribute]],AE$3))),0))</f>
        <v>0</v>
      </c>
      <c r="AF24" s="270" cm="1">
        <f t="array" ref="AF24">SUM(_xlfn._xlws.FILTER(CstClcCur[[Value]:[Value]],(CstClcCur[[Name]:[Name]]=$B24)*(ISNUMBER(FIND(CstClcCur[[Attribute]:[Attribute]],AF$3))),0))</f>
        <v>0</v>
      </c>
      <c r="AG24" s="270" cm="1">
        <f t="array" ref="AG24">SUM(_xlfn._xlws.FILTER(CstClcCur[[Value]:[Value]],(CstClcCur[[Name]:[Name]]=$B24)*(ISNUMBER(FIND(CstClcCur[[Attribute]:[Attribute]],AG$3))),0))</f>
        <v>0</v>
      </c>
      <c r="AH24" s="270" cm="1">
        <f t="array" ref="AH24">SUM(_xlfn._xlws.FILTER(CstClcCur[[Value]:[Value]],(CstClcCur[[Name]:[Name]]=$B24)*(ISNUMBER(FIND(CstClcCur[[Attribute]:[Attribute]],AH$3))),0))</f>
        <v>0</v>
      </c>
      <c r="AI24" s="270" cm="1">
        <f t="array" ref="AI24">SUM(_xlfn._xlws.FILTER(CstClcCur[[Value]:[Value]],(CstClcCur[[Name]:[Name]]=$B24)*(ISNUMBER(FIND(CstClcCur[[Attribute]:[Attribute]],AI$3))),0))</f>
        <v>0</v>
      </c>
      <c r="AJ24" s="270" cm="1">
        <f t="array" ref="AJ24">SUM(_xlfn._xlws.FILTER(CstClcCur[[Value]:[Value]],(CstClcCur[[Name]:[Name]]=$B24)*(ISNUMBER(FIND(CstClcCur[[Attribute]:[Attribute]],AJ$3))),0))</f>
        <v>0</v>
      </c>
      <c r="AK24" s="270" cm="1">
        <f t="array" ref="AK24">SUM(_xlfn._xlws.FILTER(CstClcCur[[Value]:[Value]],(CstClcCur[[Name]:[Name]]=$B24)*(ISNUMBER(FIND(CstClcCur[[Attribute]:[Attribute]],AK$3))),0))</f>
        <v>0</v>
      </c>
      <c r="AL24" s="264" t="str">
        <f t="shared" si="0"/>
        <v>U24:AK24</v>
      </c>
    </row>
    <row r="25" spans="1:38" s="249" customFormat="1" ht="27" customHeight="1">
      <c r="A25" s="222"/>
      <c r="B25" s="265" t="str" cm="1">
        <f t="array" ref="B25">_xlfn.LET(_xlpm.x,IFERROR(INDEX(TbRsmIn[Enquiry No],SUM(ROW()-MATCH("SOR",$A:$A,0))),"X"),IF(_xlpm.x=0,"X",_xlpm.x))</f>
        <v>0CT020</v>
      </c>
      <c r="C25" s="265" t="str">
        <f>IF($B25="X","X",INDEX(F_PI2[PrjId],MATCH(VALUE(LEFT($B25,1)),F_PI2[PrjOrd],0)))</f>
        <v>31200</v>
      </c>
      <c r="D25" s="265" t="str">
        <f t="shared" si="2"/>
        <v>Sp</v>
      </c>
      <c r="E25" s="266" t="str" cm="1">
        <f t="array" ref="E25">IF($B25="","X",UPPER(_xlfn._xlws.FILTER(CstClcData[Value],(CstClcData[Name]=$B25)*(CstClcData[Attribute]=E$3),"X")))</f>
        <v>ECR 7137 IMPACTS GEO UNITS FOR STRAPS AT OP610 AND EMHARD TUCKER APPLICATION AT OP780</v>
      </c>
      <c r="F25" s="233" t="str" cm="1">
        <f t="array" ref="F25">IF($B25="X","X",_xlfn.UNIQUE(_xlfn._xlws.FILTER(PInt2[VtaId],(ISNUMBER(FIND(RIGHT($B25,LEN($B25)-1),SUBSTITUTE(PInt2[PInNxm],"-",""))))*(PInt2[PrjId]=TEXT($C25,"@")),"X")))</f>
        <v>X</v>
      </c>
      <c r="G25" s="269" t="str" cm="1">
        <f t="array" ref="G25">IF($F25="X","X",_xlfn.UNIQUE(_xlfn._xlws.FILTER(PInt2[OrdIds],(PInt2[VtaId]=$F25)*(PInt2[PrjId]=TEXT($C25,"@")),"X")))</f>
        <v>X</v>
      </c>
      <c r="H25" s="233" t="str" cm="1">
        <f t="array" ref="H25">IF($F25="X","X",_xlfn.UNIQUE(_xlfn._xlws.FILTER(PInt2[CusOrdId],(PInt2[VtaId]=$F25)*(PInt2[PrjId]=TEXT($C25,"@")),"X")))</f>
        <v>X</v>
      </c>
      <c r="I25" s="234" cm="1">
        <f t="array" ref="I25">IF($B25="","X",_xlfn._xlws.FILTER(TbRsmIn[Date],(TbRsmIn[Enquiry No]=$B25),"X"))</f>
        <v>45687</v>
      </c>
      <c r="J25" s="265">
        <f t="shared" si="3"/>
        <v>202505</v>
      </c>
      <c r="K25" s="234" t="str" cm="1">
        <f t="array" ref="K25">IF($B25="","X",_xlfn._xlws.FILTER(TbRsmIn[Causality],(TbRsmIn[Enquiry No]=$B25),"X"))</f>
        <v>OTROS</v>
      </c>
      <c r="L25" s="267" t="str" cm="1">
        <f t="array" ref="L25">_xlfn._xlws.FILTER(PInt2[OrdMin],PInt2[VtaId]=$F25,"X")</f>
        <v>X</v>
      </c>
      <c r="M25" s="267" t="str" cm="1">
        <f t="array" ref="M25">_xlfn._xlws.FILTER(PInt2[PayMax],PInt2[VtaId]=$F25,"X")</f>
        <v>X</v>
      </c>
      <c r="N25" s="122" t="str" cm="1">
        <f t="array" ref="N25">IFERROR(_xlfn.TEXTAFTER(INDEX(O$5:R$5,MAX(_xlfn._xlws.FILTER(COLUMN($O25:$R25),($O25:$R25&lt;&gt;0)*($O25:$R25&lt;"")*(UPPER($O25:$R25)&lt;&gt;"X")))-MATCH("SOV",$1:$1,0))," "),"X")</f>
        <v>Ofertado</v>
      </c>
      <c r="O25" s="268" cm="1">
        <f t="array" ref="O25">IF($B25="","X",_xlfn._xlws.FILTER(TbRsmIn[Offered],(TbRsmIn[Enquiry No]=$B25),"X"))</f>
        <v>447.75</v>
      </c>
      <c r="P25" s="268" t="str" cm="1">
        <f t="array" ref="P25">IF($B25="","X",IF(Q25&lt;&gt;0,Q25,_xlfn._xlws.FILTER(CstClcData[Value],(CstClcData[Name]=$B25)*(CstClcData[Attribute]=P$3),"X")))</f>
        <v>X</v>
      </c>
      <c r="Q25" s="268" cm="1">
        <f t="array" ref="Q25">IF($B25="","X",_xlfn._xlws.FILTER(TbRsmIn[Ordered],(TbRsmIn[Enquiry No]=$B25),"X"))</f>
        <v>0</v>
      </c>
      <c r="R25" s="268" cm="1">
        <f t="array" ref="R25">SUM(_xlfn._xlws.FILTER(PInt2[InvCur],(PInt2[PInNxm]&lt;&gt;0)*(PInt2[PrjId]=$C25)*(IFERROR(_xlfn.TEXTBEFORE(SUBSTITUTE(PInt2[PInNxm],"-",""),"/"),"X")=RIGHT($B25,LEN($B25)-1)),0))</f>
        <v>0</v>
      </c>
      <c r="S25" s="122" t="str" cm="1">
        <f t="array" ref="S25">IF($B25="","X",_xlfn._xlws.FILTER(TbRsmIn[Alive]&amp;CHAR(10)&amp;TEXT(TbRsmIn[Ongoing],"000%"),(TbRsmIn[Enquiry No]=$B25),"X"))</f>
        <v>O
000%</v>
      </c>
      <c r="T25" s="292">
        <f t="shared" ca="1" si="1"/>
        <v>0</v>
      </c>
      <c r="U25" s="270" cm="1">
        <f t="array" ref="U25">SUM(_xlfn._xlws.FILTER(CstClcCur[[Value]:[Value]],(CstClcCur[[Name]:[Name]]=$B25)*(ISNUMBER(FIND(CstClcCur[[Attribute]:[Attribute]],U$3))),0))</f>
        <v>0</v>
      </c>
      <c r="V25" s="270" cm="1">
        <f t="array" ref="V25">SUM(_xlfn._xlws.FILTER(CstClcCur[[Value]:[Value]],(CstClcCur[[Name]:[Name]]=$B25)*(ISNUMBER(FIND(CstClcCur[[Attribute]:[Attribute]],V$3))),0))</f>
        <v>0</v>
      </c>
      <c r="W25" s="270" cm="1">
        <f t="array" ref="W25">SUM(_xlfn._xlws.FILTER(CstClcCur[[Value]:[Value]],(CstClcCur[[Name]:[Name]]=$B25)*(ISNUMBER(FIND(CstClcCur[[Attribute]:[Attribute]],W$3))),0))</f>
        <v>0</v>
      </c>
      <c r="X25" s="270" cm="1">
        <f t="array" ref="X25">SUM(_xlfn._xlws.FILTER(CstClcCur[[Value]:[Value]],(CstClcCur[[Name]:[Name]]=$B25)*(ISNUMBER(FIND(CstClcCur[[Attribute]:[Attribute]],X$3))),0))</f>
        <v>0</v>
      </c>
      <c r="Y25" s="270" cm="1">
        <f t="array" ref="Y25">SUM(_xlfn._xlws.FILTER(CstClcCur[[Value]:[Value]],(CstClcCur[[Name]:[Name]]=$B25)*(ISNUMBER(FIND(CstClcCur[[Attribute]:[Attribute]],Y$3))),0))</f>
        <v>0</v>
      </c>
      <c r="Z25" s="270" cm="1">
        <f t="array" ref="Z25">SUM(_xlfn._xlws.FILTER(CstClcCur[[Value]:[Value]],(CstClcCur[[Name]:[Name]]=$B25)*(ISNUMBER(FIND(CstClcCur[[Attribute]:[Attribute]],Z$3))),0))</f>
        <v>0</v>
      </c>
      <c r="AA25" s="270" cm="1">
        <f t="array" ref="AA25">SUM(_xlfn._xlws.FILTER(CstClcCur[[Value]:[Value]],(CstClcCur[[Name]:[Name]]=$B25)*(ISNUMBER(FIND(CstClcCur[[Attribute]:[Attribute]],AA$3))),0))</f>
        <v>0</v>
      </c>
      <c r="AB25" s="270" cm="1">
        <f t="array" ref="AB25">SUM(_xlfn._xlws.FILTER(CstClcCur[[Value]:[Value]],(CstClcCur[[Name]:[Name]]=$B25)*(ISNUMBER(FIND(CstClcCur[[Attribute]:[Attribute]],AB$3))),0))</f>
        <v>0</v>
      </c>
      <c r="AC25" s="270" cm="1">
        <f t="array" ref="AC25">SUM(_xlfn._xlws.FILTER(CstClcCur[[Value]:[Value]],(CstClcCur[[Name]:[Name]]=$B25)*(ISNUMBER(FIND(CstClcCur[[Attribute]:[Attribute]],AC$3))),0))</f>
        <v>0</v>
      </c>
      <c r="AD25" s="270" cm="1">
        <f t="array" ref="AD25">SUM(_xlfn._xlws.FILTER(CstClcCur[[Value]:[Value]],(CstClcCur[[Name]:[Name]]=$B25)*(ISNUMBER(FIND(CstClcCur[[Attribute]:[Attribute]],AD$3))),0))</f>
        <v>0</v>
      </c>
      <c r="AE25" s="270" cm="1">
        <f t="array" ref="AE25">SUM(_xlfn._xlws.FILTER(CstClcCur[[Value]:[Value]],(CstClcCur[[Name]:[Name]]=$B25)*(ISNUMBER(FIND(CstClcCur[[Attribute]:[Attribute]],AE$3))),0))</f>
        <v>0</v>
      </c>
      <c r="AF25" s="270" cm="1">
        <f t="array" ref="AF25">SUM(_xlfn._xlws.FILTER(CstClcCur[[Value]:[Value]],(CstClcCur[[Name]:[Name]]=$B25)*(ISNUMBER(FIND(CstClcCur[[Attribute]:[Attribute]],AF$3))),0))</f>
        <v>0</v>
      </c>
      <c r="AG25" s="270" cm="1">
        <f t="array" ref="AG25">SUM(_xlfn._xlws.FILTER(CstClcCur[[Value]:[Value]],(CstClcCur[[Name]:[Name]]=$B25)*(ISNUMBER(FIND(CstClcCur[[Attribute]:[Attribute]],AG$3))),0))</f>
        <v>0</v>
      </c>
      <c r="AH25" s="270" cm="1">
        <f t="array" ref="AH25">SUM(_xlfn._xlws.FILTER(CstClcCur[[Value]:[Value]],(CstClcCur[[Name]:[Name]]=$B25)*(ISNUMBER(FIND(CstClcCur[[Attribute]:[Attribute]],AH$3))),0))</f>
        <v>0</v>
      </c>
      <c r="AI25" s="270" cm="1">
        <f t="array" ref="AI25">SUM(_xlfn._xlws.FILTER(CstClcCur[[Value]:[Value]],(CstClcCur[[Name]:[Name]]=$B25)*(ISNUMBER(FIND(CstClcCur[[Attribute]:[Attribute]],AI$3))),0))</f>
        <v>0</v>
      </c>
      <c r="AJ25" s="270" cm="1">
        <f t="array" ref="AJ25">SUM(_xlfn._xlws.FILTER(CstClcCur[[Value]:[Value]],(CstClcCur[[Name]:[Name]]=$B25)*(ISNUMBER(FIND(CstClcCur[[Attribute]:[Attribute]],AJ$3))),0))</f>
        <v>0</v>
      </c>
      <c r="AK25" s="270" cm="1">
        <f t="array" ref="AK25">SUM(_xlfn._xlws.FILTER(CstClcCur[[Value]:[Value]],(CstClcCur[[Name]:[Name]]=$B25)*(ISNUMBER(FIND(CstClcCur[[Attribute]:[Attribute]],AK$3))),0))</f>
        <v>0</v>
      </c>
      <c r="AL25" s="264" t="str">
        <f t="shared" si="0"/>
        <v>U25:AK25</v>
      </c>
    </row>
    <row r="26" spans="1:38" s="249" customFormat="1" ht="27" customHeight="1">
      <c r="A26" s="222"/>
      <c r="B26" s="265" t="str" cm="1">
        <f t="array" ref="B26">_xlfn.LET(_xlpm.x,IFERROR(INDEX(TbRsmIn[Enquiry No],SUM(ROW()-MATCH("SOR",$A:$A,0))),"X"),IF(_xlpm.x=0,"X",_xlpm.x))</f>
        <v>0CT021</v>
      </c>
      <c r="C26" s="265" t="str">
        <f>IF($B26="X","X",INDEX(F_PI2[PrjId],MATCH(VALUE(LEFT($B26,1)),F_PI2[PrjOrd],0)))</f>
        <v>31200</v>
      </c>
      <c r="D26" s="265" t="str">
        <f t="shared" si="2"/>
        <v>Sp</v>
      </c>
      <c r="E26" s="266" t="str" cm="1">
        <f t="array" ref="E26">IF($B26="","X",UPPER(_xlfn._xlws.FILTER(CstClcData[Value],(CstClcData[Name]=$B26)*(CstClcData[Attribute]=E$3),"X")))</f>
        <v>X</v>
      </c>
      <c r="F26" s="233" t="str" cm="1">
        <f t="array" ref="F26">IF($B26="X","X",_xlfn.UNIQUE(_xlfn._xlws.FILTER(PInt2[VtaId],(ISNUMBER(FIND(RIGHT($B26,LEN($B26)-1),SUBSTITUTE(PInt2[PInNxm],"-",""))))*(PInt2[PrjId]=TEXT($C26,"@")),"X")))</f>
        <v>X</v>
      </c>
      <c r="G26" s="269" t="str" cm="1">
        <f t="array" ref="G26">IF($F26="X","X",_xlfn.UNIQUE(_xlfn._xlws.FILTER(PInt2[OrdIds],(PInt2[VtaId]=$F26)*(PInt2[PrjId]=TEXT($C26,"@")),"X")))</f>
        <v>X</v>
      </c>
      <c r="H26" s="233" t="str" cm="1">
        <f t="array" ref="H26">IF($F26="X","X",_xlfn.UNIQUE(_xlfn._xlws.FILTER(PInt2[CusOrdId],(PInt2[VtaId]=$F26)*(PInt2[PrjId]=TEXT($C26,"@")),"X")))</f>
        <v>X</v>
      </c>
      <c r="I26" s="234" cm="1">
        <f t="array" ref="I26">IF($B26="","X",_xlfn._xlws.FILTER(TbRsmIn[Date],(TbRsmIn[Enquiry No]=$B26),"X"))</f>
        <v>45687</v>
      </c>
      <c r="J26" s="265">
        <f t="shared" si="3"/>
        <v>202505</v>
      </c>
      <c r="K26" s="234" t="str" cm="1">
        <f t="array" ref="K26">IF($B26="","X",_xlfn._xlws.FILTER(TbRsmIn[Causality],(TbRsmIn[Enquiry No]=$B26),"X"))</f>
        <v>OTROS</v>
      </c>
      <c r="L26" s="267" t="str" cm="1">
        <f t="array" ref="L26">_xlfn._xlws.FILTER(PInt2[OrdMin],PInt2[VtaId]=$F26,"X")</f>
        <v>X</v>
      </c>
      <c r="M26" s="267" t="str" cm="1">
        <f t="array" ref="M26">_xlfn._xlws.FILTER(PInt2[PayMax],PInt2[VtaId]=$F26,"X")</f>
        <v>X</v>
      </c>
      <c r="N26" s="122" t="str" cm="1">
        <f t="array" ref="N26">IFERROR(_xlfn.TEXTAFTER(INDEX(O$5:R$5,MAX(_xlfn._xlws.FILTER(COLUMN($O26:$R26),($O26:$R26&lt;&gt;0)*($O26:$R26&lt;"")*(UPPER($O26:$R26)&lt;&gt;"X")))-MATCH("SOV",$1:$1,0))," "),"X")</f>
        <v>X</v>
      </c>
      <c r="O26" s="268" cm="1">
        <f t="array" ref="O26">IF($B26="","X",_xlfn._xlws.FILTER(TbRsmIn[Offered],(TbRsmIn[Enquiry No]=$B26),"X"))</f>
        <v>0</v>
      </c>
      <c r="P26" s="268" t="str" cm="1">
        <f t="array" ref="P26">IF($B26="","X",IF(Q26&lt;&gt;0,Q26,_xlfn._xlws.FILTER(CstClcData[Value],(CstClcData[Name]=$B26)*(CstClcData[Attribute]=P$3),"X")))</f>
        <v>X</v>
      </c>
      <c r="Q26" s="268" cm="1">
        <f t="array" ref="Q26">IF($B26="","X",_xlfn._xlws.FILTER(TbRsmIn[Ordered],(TbRsmIn[Enquiry No]=$B26),"X"))</f>
        <v>0</v>
      </c>
      <c r="R26" s="268" cm="1">
        <f t="array" ref="R26">SUM(_xlfn._xlws.FILTER(PInt2[InvCur],(PInt2[PInNxm]&lt;&gt;0)*(PInt2[PrjId]=$C26)*(IFERROR(_xlfn.TEXTBEFORE(SUBSTITUTE(PInt2[PInNxm],"-",""),"/"),"X")=RIGHT($B26,LEN($B26)-1)),0))</f>
        <v>0</v>
      </c>
      <c r="S26" s="122" t="str" cm="1">
        <f t="array" ref="S26">IF($B26="","X",_xlfn._xlws.FILTER(TbRsmIn[Alive]&amp;CHAR(10)&amp;TEXT(TbRsmIn[Ongoing],"000%"),(TbRsmIn[Enquiry No]=$B26),"X"))</f>
        <v>O
000%</v>
      </c>
      <c r="T26" s="292">
        <f t="shared" ca="1" si="1"/>
        <v>0</v>
      </c>
      <c r="U26" s="270" cm="1">
        <f t="array" ref="U26">SUM(_xlfn._xlws.FILTER(CstClcCur[[Value]:[Value]],(CstClcCur[[Name]:[Name]]=$B26)*(ISNUMBER(FIND(CstClcCur[[Attribute]:[Attribute]],U$3))),0))</f>
        <v>0</v>
      </c>
      <c r="V26" s="270" cm="1">
        <f t="array" ref="V26">SUM(_xlfn._xlws.FILTER(CstClcCur[[Value]:[Value]],(CstClcCur[[Name]:[Name]]=$B26)*(ISNUMBER(FIND(CstClcCur[[Attribute]:[Attribute]],V$3))),0))</f>
        <v>0</v>
      </c>
      <c r="W26" s="270" cm="1">
        <f t="array" ref="W26">SUM(_xlfn._xlws.FILTER(CstClcCur[[Value]:[Value]],(CstClcCur[[Name]:[Name]]=$B26)*(ISNUMBER(FIND(CstClcCur[[Attribute]:[Attribute]],W$3))),0))</f>
        <v>0</v>
      </c>
      <c r="X26" s="270" cm="1">
        <f t="array" ref="X26">SUM(_xlfn._xlws.FILTER(CstClcCur[[Value]:[Value]],(CstClcCur[[Name]:[Name]]=$B26)*(ISNUMBER(FIND(CstClcCur[[Attribute]:[Attribute]],X$3))),0))</f>
        <v>0</v>
      </c>
      <c r="Y26" s="270" cm="1">
        <f t="array" ref="Y26">SUM(_xlfn._xlws.FILTER(CstClcCur[[Value]:[Value]],(CstClcCur[[Name]:[Name]]=$B26)*(ISNUMBER(FIND(CstClcCur[[Attribute]:[Attribute]],Y$3))),0))</f>
        <v>0</v>
      </c>
      <c r="Z26" s="270" cm="1">
        <f t="array" ref="Z26">SUM(_xlfn._xlws.FILTER(CstClcCur[[Value]:[Value]],(CstClcCur[[Name]:[Name]]=$B26)*(ISNUMBER(FIND(CstClcCur[[Attribute]:[Attribute]],Z$3))),0))</f>
        <v>0</v>
      </c>
      <c r="AA26" s="270" cm="1">
        <f t="array" ref="AA26">SUM(_xlfn._xlws.FILTER(CstClcCur[[Value]:[Value]],(CstClcCur[[Name]:[Name]]=$B26)*(ISNUMBER(FIND(CstClcCur[[Attribute]:[Attribute]],AA$3))),0))</f>
        <v>0</v>
      </c>
      <c r="AB26" s="270" cm="1">
        <f t="array" ref="AB26">SUM(_xlfn._xlws.FILTER(CstClcCur[[Value]:[Value]],(CstClcCur[[Name]:[Name]]=$B26)*(ISNUMBER(FIND(CstClcCur[[Attribute]:[Attribute]],AB$3))),0))</f>
        <v>0</v>
      </c>
      <c r="AC26" s="270" cm="1">
        <f t="array" ref="AC26">SUM(_xlfn._xlws.FILTER(CstClcCur[[Value]:[Value]],(CstClcCur[[Name]:[Name]]=$B26)*(ISNUMBER(FIND(CstClcCur[[Attribute]:[Attribute]],AC$3))),0))</f>
        <v>0</v>
      </c>
      <c r="AD26" s="270" cm="1">
        <f t="array" ref="AD26">SUM(_xlfn._xlws.FILTER(CstClcCur[[Value]:[Value]],(CstClcCur[[Name]:[Name]]=$B26)*(ISNUMBER(FIND(CstClcCur[[Attribute]:[Attribute]],AD$3))),0))</f>
        <v>0</v>
      </c>
      <c r="AE26" s="270" cm="1">
        <f t="array" ref="AE26">SUM(_xlfn._xlws.FILTER(CstClcCur[[Value]:[Value]],(CstClcCur[[Name]:[Name]]=$B26)*(ISNUMBER(FIND(CstClcCur[[Attribute]:[Attribute]],AE$3))),0))</f>
        <v>0</v>
      </c>
      <c r="AF26" s="270" cm="1">
        <f t="array" ref="AF26">SUM(_xlfn._xlws.FILTER(CstClcCur[[Value]:[Value]],(CstClcCur[[Name]:[Name]]=$B26)*(ISNUMBER(FIND(CstClcCur[[Attribute]:[Attribute]],AF$3))),0))</f>
        <v>0</v>
      </c>
      <c r="AG26" s="270" cm="1">
        <f t="array" ref="AG26">SUM(_xlfn._xlws.FILTER(CstClcCur[[Value]:[Value]],(CstClcCur[[Name]:[Name]]=$B26)*(ISNUMBER(FIND(CstClcCur[[Attribute]:[Attribute]],AG$3))),0))</f>
        <v>0</v>
      </c>
      <c r="AH26" s="270" cm="1">
        <f t="array" ref="AH26">SUM(_xlfn._xlws.FILTER(CstClcCur[[Value]:[Value]],(CstClcCur[[Name]:[Name]]=$B26)*(ISNUMBER(FIND(CstClcCur[[Attribute]:[Attribute]],AH$3))),0))</f>
        <v>0</v>
      </c>
      <c r="AI26" s="270" cm="1">
        <f t="array" ref="AI26">SUM(_xlfn._xlws.FILTER(CstClcCur[[Value]:[Value]],(CstClcCur[[Name]:[Name]]=$B26)*(ISNUMBER(FIND(CstClcCur[[Attribute]:[Attribute]],AI$3))),0))</f>
        <v>0</v>
      </c>
      <c r="AJ26" s="270" cm="1">
        <f t="array" ref="AJ26">SUM(_xlfn._xlws.FILTER(CstClcCur[[Value]:[Value]],(CstClcCur[[Name]:[Name]]=$B26)*(ISNUMBER(FIND(CstClcCur[[Attribute]:[Attribute]],AJ$3))),0))</f>
        <v>0</v>
      </c>
      <c r="AK26" s="270" cm="1">
        <f t="array" ref="AK26">SUM(_xlfn._xlws.FILTER(CstClcCur[[Value]:[Value]],(CstClcCur[[Name]:[Name]]=$B26)*(ISNUMBER(FIND(CstClcCur[[Attribute]:[Attribute]],AK$3))),0))</f>
        <v>0</v>
      </c>
      <c r="AL26" s="264" t="str">
        <f t="shared" si="0"/>
        <v>U26:AK26</v>
      </c>
    </row>
    <row r="27" spans="1:38" s="249" customFormat="1" ht="27" customHeight="1">
      <c r="A27" s="222"/>
      <c r="B27" s="265" t="str" cm="1">
        <f t="array" ref="B27">_xlfn.LET(_xlpm.x,IFERROR(INDEX(TbRsmIn[Enquiry No],SUM(ROW()-MATCH("SOR",$A:$A,0))),"X"),IF(_xlpm.x=0,"X",_xlpm.x))</f>
        <v>2CT001</v>
      </c>
      <c r="C27" s="265" t="str">
        <f>IF($B27="X","X",INDEX(F_PI2[PrjId],MATCH(VALUE(LEFT($B27,1)),F_PI2[PrjOrd],0)))</f>
        <v>31199</v>
      </c>
      <c r="D27" s="265" t="str">
        <f t="shared" si="2"/>
        <v>Sp</v>
      </c>
      <c r="E27" s="266" t="str" cm="1">
        <f t="array" ref="E27">IF($B27="","X",UPPER(_xlfn._xlws.FILTER(CstClcData[Value],(CstClcData[Name]=$B27)*(CstClcData[Attribute]=E$3),"X")))</f>
        <v>ECR 7137 STRAP CHANGE FOR STAMPING DATUM AND BOLT TO STUCK</v>
      </c>
      <c r="F27" s="233" cm="1">
        <f t="array" ref="F27">IF($B27="X","X",_xlfn.UNIQUE(_xlfn._xlws.FILTER(PInt2[VtaId],(ISNUMBER(FIND(RIGHT($B27,LEN($B27)-1),SUBSTITUTE(PInt2[PInNxm],"-",""))))*(PInt2[PrjId]=TEXT($C27,"@")),"X")))</f>
        <v>161908</v>
      </c>
      <c r="G27" s="269" cm="1">
        <f t="array" ref="G27">IF($F27="X","X",_xlfn.UNIQUE(_xlfn._xlws.FILTER(PInt2[OrdIds],(PInt2[VtaId]=$F27)*(PInt2[PrjId]=TEXT($C27,"@")),"X")))</f>
        <v>0</v>
      </c>
      <c r="H27" s="233" cm="1">
        <f t="array" ref="H27">IF($F27="X","X",_xlfn.UNIQUE(_xlfn._xlws.FILTER(PInt2[CusOrdId],(PInt2[VtaId]=$F27)*(PInt2[PrjId]=TEXT($C27,"@")),"X")))</f>
        <v>0</v>
      </c>
      <c r="I27" s="234" cm="1">
        <f t="array" ref="I27">IF($B27="","X",_xlfn._xlws.FILTER(TbRsmIn[Date],(TbRsmIn[Enquiry No]=$B27),"X"))</f>
        <v>45112</v>
      </c>
      <c r="J27" s="265">
        <f t="shared" si="3"/>
        <v>202327</v>
      </c>
      <c r="K27" s="234" t="str" cm="1">
        <f t="array" ref="K27">IF($B27="","X",_xlfn._xlws.FILTER(TbRsmIn[Causality],(TbRsmIn[Enquiry No]=$B27),"X"))</f>
        <v>ERRORES</v>
      </c>
      <c r="L27" s="267" cm="1">
        <f t="array" ref="L27">_xlfn._xlws.FILTER(PInt2[OrdMin],PInt2[VtaId]=$F27,"X")</f>
        <v>0</v>
      </c>
      <c r="M27" s="267" cm="1">
        <f t="array" ref="M27">_xlfn._xlws.FILTER(PInt2[PayMax],PInt2[VtaId]=$F27,"X")</f>
        <v>45553</v>
      </c>
      <c r="N27" s="122" t="str" cm="1">
        <f t="array" ref="N27">IFERROR(_xlfn.TEXTAFTER(INDEX(O$5:R$5,MAX(_xlfn._xlws.FILTER(COLUMN($O27:$R27),($O27:$R27&lt;&gt;0)*($O27:$R27&lt;"")*(UPPER($O27:$R27)&lt;&gt;"X")))-MATCH("SOV",$1:$1,0))," "),"X")</f>
        <v>Facturado</v>
      </c>
      <c r="O27" s="268" cm="1">
        <f t="array" ref="O27">IF($B27="","X",_xlfn._xlws.FILTER(TbRsmIn[Offered],(TbRsmIn[Enquiry No]=$B27),"X"))</f>
        <v>9701.8799999999992</v>
      </c>
      <c r="P27" s="268" t="str" cm="1">
        <f t="array" ref="P27">IF($B27="","X",IF(Q27&lt;&gt;0,Q27,_xlfn._xlws.FILTER(CstClcData[Value],(CstClcData[Name]=$B27)*(CstClcData[Attribute]=P$3),"X")))</f>
        <v>X</v>
      </c>
      <c r="Q27" s="268" cm="1">
        <f t="array" ref="Q27">IF($B27="","X",_xlfn._xlws.FILTER(TbRsmIn[Ordered],(TbRsmIn[Enquiry No]=$B27),"X"))</f>
        <v>0</v>
      </c>
      <c r="R27" s="268" cm="1">
        <f t="array" ref="R27">SUM(_xlfn._xlws.FILTER(PInt2[InvCur],(PInt2[PInNxm]&lt;&gt;0)*(PInt2[PrjId]=$C27)*(IFERROR(_xlfn.TEXTBEFORE(SUBSTITUTE(PInt2[PInNxm],"-",""),"/"),"X")=RIGHT($B27,LEN($B27)-1)),0))</f>
        <v>10335</v>
      </c>
      <c r="S27" s="122" t="str" cm="1">
        <f t="array" ref="S27">IF($B27="","X",_xlfn._xlws.FILTER(TbRsmIn[Alive]&amp;CHAR(10)&amp;TEXT(TbRsmIn[Ongoing],"000%"),(TbRsmIn[Enquiry No]=$B27),"X"))</f>
        <v>R
100%</v>
      </c>
      <c r="T27" s="292">
        <f t="shared" ca="1" si="1"/>
        <v>6507.0971</v>
      </c>
      <c r="U27" s="270" cm="1">
        <f t="array" ref="U27">SUM(_xlfn._xlws.FILTER(CstClcCur[[Value]:[Value]],(CstClcCur[[Name]:[Name]]=$B27)*(ISNUMBER(FIND(CstClcCur[[Attribute]:[Attribute]],U$3))),0))</f>
        <v>0</v>
      </c>
      <c r="V27" s="270" cm="1">
        <f t="array" ref="V27">SUM(_xlfn._xlws.FILTER(CstClcCur[[Value]:[Value]],(CstClcCur[[Name]:[Name]]=$B27)*(ISNUMBER(FIND(CstClcCur[[Attribute]:[Attribute]],V$3))),0))</f>
        <v>0</v>
      </c>
      <c r="W27" s="270" cm="1">
        <f t="array" ref="W27">SUM(_xlfn._xlws.FILTER(CstClcCur[[Value]:[Value]],(CstClcCur[[Name]:[Name]]=$B27)*(ISNUMBER(FIND(CstClcCur[[Attribute]:[Attribute]],W$3))),0))</f>
        <v>0</v>
      </c>
      <c r="X27" s="270" cm="1">
        <f t="array" ref="X27">SUM(_xlfn._xlws.FILTER(CstClcCur[[Value]:[Value]],(CstClcCur[[Name]:[Name]]=$B27)*(ISNUMBER(FIND(CstClcCur[[Attribute]:[Attribute]],X$3))),0))</f>
        <v>0</v>
      </c>
      <c r="Y27" s="270" cm="1">
        <f t="array" ref="Y27">SUM(_xlfn._xlws.FILTER(CstClcCur[[Value]:[Value]],(CstClcCur[[Name]:[Name]]=$B27)*(ISNUMBER(FIND(CstClcCur[[Attribute]:[Attribute]],Y$3))),0))</f>
        <v>0</v>
      </c>
      <c r="Z27" s="270" cm="1">
        <f t="array" ref="Z27">SUM(_xlfn._xlws.FILTER(CstClcCur[[Value]:[Value]],(CstClcCur[[Name]:[Name]]=$B27)*(ISNUMBER(FIND(CstClcCur[[Attribute]:[Attribute]],Z$3))),0))</f>
        <v>0</v>
      </c>
      <c r="AA27" s="270" cm="1">
        <f t="array" ref="AA27">SUM(_xlfn._xlws.FILTER(CstClcCur[[Value]:[Value]],(CstClcCur[[Name]:[Name]]=$B27)*(ISNUMBER(FIND(CstClcCur[[Attribute]:[Attribute]],AA$3))),0))</f>
        <v>0</v>
      </c>
      <c r="AB27" s="270" cm="1">
        <f t="array" ref="AB27">SUM(_xlfn._xlws.FILTER(CstClcCur[[Value]:[Value]],(CstClcCur[[Name]:[Name]]=$B27)*(ISNUMBER(FIND(CstClcCur[[Attribute]:[Attribute]],AB$3))),0))</f>
        <v>0</v>
      </c>
      <c r="AC27" s="270" cm="1">
        <f t="array" ref="AC27">SUM(_xlfn._xlws.FILTER(CstClcCur[[Value]:[Value]],(CstClcCur[[Name]:[Name]]=$B27)*(ISNUMBER(FIND(CstClcCur[[Attribute]:[Attribute]],AC$3))),0))</f>
        <v>0</v>
      </c>
      <c r="AD27" s="270" cm="1">
        <f t="array" ref="AD27">SUM(_xlfn._xlws.FILTER(CstClcCur[[Value]:[Value]],(CstClcCur[[Name]:[Name]]=$B27)*(ISNUMBER(FIND(CstClcCur[[Attribute]:[Attribute]],AD$3))),0))</f>
        <v>0</v>
      </c>
      <c r="AE27" s="270" cm="1">
        <f t="array" ref="AE27">SUM(_xlfn._xlws.FILTER(CstClcCur[[Value]:[Value]],(CstClcCur[[Name]:[Name]]=$B27)*(ISNUMBER(FIND(CstClcCur[[Attribute]:[Attribute]],AE$3))),0))</f>
        <v>0</v>
      </c>
      <c r="AF27" s="270" cm="1">
        <f t="array" ref="AF27">SUM(_xlfn._xlws.FILTER(CstClcCur[[Value]:[Value]],(CstClcCur[[Name]:[Name]]=$B27)*(ISNUMBER(FIND(CstClcCur[[Attribute]:[Attribute]],AF$3))),0))</f>
        <v>0</v>
      </c>
      <c r="AG27" s="270" cm="1">
        <f t="array" ref="AG27">SUM(_xlfn._xlws.FILTER(CstClcCur[[Value]:[Value]],(CstClcCur[[Name]:[Name]]=$B27)*(ISNUMBER(FIND(CstClcCur[[Attribute]:[Attribute]],AG$3))),0))</f>
        <v>0</v>
      </c>
      <c r="AH27" s="270" cm="1">
        <f t="array" ref="AH27">SUM(_xlfn._xlws.FILTER(CstClcCur[[Value]:[Value]],(CstClcCur[[Name]:[Name]]=$B27)*(ISNUMBER(FIND(CstClcCur[[Attribute]:[Attribute]],AH$3))),0))</f>
        <v>6507.0971</v>
      </c>
      <c r="AI27" s="270" cm="1">
        <f t="array" ref="AI27">SUM(_xlfn._xlws.FILTER(CstClcCur[[Value]:[Value]],(CstClcCur[[Name]:[Name]]=$B27)*(ISNUMBER(FIND(CstClcCur[[Attribute]:[Attribute]],AI$3))),0))</f>
        <v>0</v>
      </c>
      <c r="AJ27" s="270" cm="1">
        <f t="array" ref="AJ27">SUM(_xlfn._xlws.FILTER(CstClcCur[[Value]:[Value]],(CstClcCur[[Name]:[Name]]=$B27)*(ISNUMBER(FIND(CstClcCur[[Attribute]:[Attribute]],AJ$3))),0))</f>
        <v>0</v>
      </c>
      <c r="AK27" s="270" cm="1">
        <f t="array" ref="AK27">SUM(_xlfn._xlws.FILTER(CstClcCur[[Value]:[Value]],(CstClcCur[[Name]:[Name]]=$B27)*(ISNUMBER(FIND(CstClcCur[[Attribute]:[Attribute]],AK$3))),0))</f>
        <v>0</v>
      </c>
      <c r="AL27" s="264" t="str">
        <f t="shared" si="0"/>
        <v>U27:AK27</v>
      </c>
    </row>
    <row r="28" spans="1:38" s="249" customFormat="1" ht="27" customHeight="1">
      <c r="A28" s="222"/>
      <c r="B28" s="265" t="str" cm="1">
        <f t="array" ref="B28">_xlfn.LET(_xlpm.x,IFERROR(INDEX(TbRsmIn[Enquiry No],SUM(ROW()-MATCH("SOR",$A:$A,0))),"X"),IF(_xlpm.x=0,"X",_xlpm.x))</f>
        <v>2CT002</v>
      </c>
      <c r="C28" s="265" t="str">
        <f>IF($B28="X","X",INDEX(F_PI2[PrjId],MATCH(VALUE(LEFT($B28,1)),F_PI2[PrjOrd],0)))</f>
        <v>31199</v>
      </c>
      <c r="D28" s="265" t="str">
        <f t="shared" si="2"/>
        <v>Sp</v>
      </c>
      <c r="E28" s="266" t="str" cm="1">
        <f t="array" ref="E28">IF($B28="","X",UPPER(_xlfn._xlws.FILTER(CstClcData[Value],(CstClcData[Name]=$B28)*(CstClcData[Attribute]=E$3),"X")))</f>
        <v>20 UNITS OF MANUAL TACK-WELDING SUB-CAR SETS 200'S AND 300'S TO BE MANFACTURED AT SERRA.</v>
      </c>
      <c r="F28" s="233" t="str" cm="1">
        <f t="array" ref="F28">IF($B28="X","X",_xlfn.UNIQUE(_xlfn._xlws.FILTER(PInt2[VtaId],(ISNUMBER(FIND(RIGHT($B28,LEN($B28)-1),SUBSTITUTE(PInt2[PInNxm],"-",""))))*(PInt2[PrjId]=TEXT($C28,"@")),"X")))</f>
        <v>X</v>
      </c>
      <c r="G28" s="269" t="str" cm="1">
        <f t="array" ref="G28">IF($F28="X","X",_xlfn.UNIQUE(_xlfn._xlws.FILTER(PInt2[OrdIds],(PInt2[VtaId]=$F28)*(PInt2[PrjId]=TEXT($C28,"@")),"X")))</f>
        <v>X</v>
      </c>
      <c r="H28" s="233" t="str" cm="1">
        <f t="array" ref="H28">IF($F28="X","X",_xlfn.UNIQUE(_xlfn._xlws.FILTER(PInt2[CusOrdId],(PInt2[VtaId]=$F28)*(PInt2[PrjId]=TEXT($C28,"@")),"X")))</f>
        <v>X</v>
      </c>
      <c r="I28" s="234" cm="1">
        <f t="array" ref="I28">IF($B28="","X",_xlfn._xlws.FILTER(TbRsmIn[Date],(TbRsmIn[Enquiry No]=$B28),"X"))</f>
        <v>45117</v>
      </c>
      <c r="J28" s="265">
        <f t="shared" si="3"/>
        <v>202328</v>
      </c>
      <c r="K28" s="234" t="str" cm="1">
        <f t="array" ref="K28">IF($B28="","X",_xlfn._xlws.FILTER(TbRsmIn[Causality],(TbRsmIn[Enquiry No]=$B28),"X"))</f>
        <v>ERRORES</v>
      </c>
      <c r="L28" s="267" t="str" cm="1">
        <f t="array" ref="L28">_xlfn._xlws.FILTER(PInt2[OrdMin],PInt2[VtaId]=$F28,"X")</f>
        <v>X</v>
      </c>
      <c r="M28" s="267" t="str" cm="1">
        <f t="array" ref="M28">_xlfn._xlws.FILTER(PInt2[PayMax],PInt2[VtaId]=$F28,"X")</f>
        <v>X</v>
      </c>
      <c r="N28" s="122" t="str" cm="1">
        <f t="array" ref="N28">IFERROR(_xlfn.TEXTAFTER(INDEX(O$5:R$5,MAX(_xlfn._xlws.FILTER(COLUMN($O28:$R28),($O28:$R28&lt;&gt;0)*($O28:$R28&lt;"")*(UPPER($O28:$R28)&lt;&gt;"X")))-MATCH("SOV",$1:$1,0))," "),"X")</f>
        <v>Ofertado</v>
      </c>
      <c r="O28" s="268" cm="1">
        <f t="array" ref="O28">IF($B28="","X",_xlfn._xlws.FILTER(TbRsmIn[Offered],(TbRsmIn[Enquiry No]=$B28),"X"))</f>
        <v>8864.33</v>
      </c>
      <c r="P28" s="268" t="str" cm="1">
        <f t="array" ref="P28">IF($B28="","X",IF(Q28&lt;&gt;0,Q28,_xlfn._xlws.FILTER(CstClcData[Value],(CstClcData[Name]=$B28)*(CstClcData[Attribute]=P$3),"X")))</f>
        <v>X</v>
      </c>
      <c r="Q28" s="268" cm="1">
        <f t="array" ref="Q28">IF($B28="","X",_xlfn._xlws.FILTER(TbRsmIn[Ordered],(TbRsmIn[Enquiry No]=$B28),"X"))</f>
        <v>0</v>
      </c>
      <c r="R28" s="268" cm="1">
        <f t="array" ref="R28">SUM(_xlfn._xlws.FILTER(PInt2[InvCur],(PInt2[PInNxm]&lt;&gt;0)*(PInt2[PrjId]=$C28)*(IFERROR(_xlfn.TEXTBEFORE(SUBSTITUTE(PInt2[PInNxm],"-",""),"/"),"X")=RIGHT($B28,LEN($B28)-1)),0))</f>
        <v>0</v>
      </c>
      <c r="S28" s="122" t="str" cm="1">
        <f t="array" ref="S28">IF($B28="","X",_xlfn._xlws.FILTER(TbRsmIn[Alive]&amp;CHAR(10)&amp;TEXT(TbRsmIn[Ongoing],"000%"),(TbRsmIn[Enquiry No]=$B28),"X"))</f>
        <v>C
000%</v>
      </c>
      <c r="T28" s="292">
        <f t="shared" ca="1" si="1"/>
        <v>5183.5025999999998</v>
      </c>
      <c r="U28" s="270" cm="1">
        <f t="array" ref="U28">SUM(_xlfn._xlws.FILTER(CstClcCur[[Value]:[Value]],(CstClcCur[[Name]:[Name]]=$B28)*(ISNUMBER(FIND(CstClcCur[[Attribute]:[Attribute]],U$3))),0))</f>
        <v>0</v>
      </c>
      <c r="V28" s="270" cm="1">
        <f t="array" ref="V28">SUM(_xlfn._xlws.FILTER(CstClcCur[[Value]:[Value]],(CstClcCur[[Name]:[Name]]=$B28)*(ISNUMBER(FIND(CstClcCur[[Attribute]:[Attribute]],V$3))),0))</f>
        <v>0</v>
      </c>
      <c r="W28" s="270" cm="1">
        <f t="array" ref="W28">SUM(_xlfn._xlws.FILTER(CstClcCur[[Value]:[Value]],(CstClcCur[[Name]:[Name]]=$B28)*(ISNUMBER(FIND(CstClcCur[[Attribute]:[Attribute]],W$3))),0))</f>
        <v>0</v>
      </c>
      <c r="X28" s="270" cm="1">
        <f t="array" ref="X28">SUM(_xlfn._xlws.FILTER(CstClcCur[[Value]:[Value]],(CstClcCur[[Name]:[Name]]=$B28)*(ISNUMBER(FIND(CstClcCur[[Attribute]:[Attribute]],X$3))),0))</f>
        <v>0</v>
      </c>
      <c r="Y28" s="270" cm="1">
        <f t="array" ref="Y28">SUM(_xlfn._xlws.FILTER(CstClcCur[[Value]:[Value]],(CstClcCur[[Name]:[Name]]=$B28)*(ISNUMBER(FIND(CstClcCur[[Attribute]:[Attribute]],Y$3))),0))</f>
        <v>0</v>
      </c>
      <c r="Z28" s="270" cm="1">
        <f t="array" ref="Z28">SUM(_xlfn._xlws.FILTER(CstClcCur[[Value]:[Value]],(CstClcCur[[Name]:[Name]]=$B28)*(ISNUMBER(FIND(CstClcCur[[Attribute]:[Attribute]],Z$3))),0))</f>
        <v>0</v>
      </c>
      <c r="AA28" s="270" cm="1">
        <f t="array" ref="AA28">SUM(_xlfn._xlws.FILTER(CstClcCur[[Value]:[Value]],(CstClcCur[[Name]:[Name]]=$B28)*(ISNUMBER(FIND(CstClcCur[[Attribute]:[Attribute]],AA$3))),0))</f>
        <v>0</v>
      </c>
      <c r="AB28" s="270" cm="1">
        <f t="array" ref="AB28">SUM(_xlfn._xlws.FILTER(CstClcCur[[Value]:[Value]],(CstClcCur[[Name]:[Name]]=$B28)*(ISNUMBER(FIND(CstClcCur[[Attribute]:[Attribute]],AB$3))),0))</f>
        <v>0</v>
      </c>
      <c r="AC28" s="270" cm="1">
        <f t="array" ref="AC28">SUM(_xlfn._xlws.FILTER(CstClcCur[[Value]:[Value]],(CstClcCur[[Name]:[Name]]=$B28)*(ISNUMBER(FIND(CstClcCur[[Attribute]:[Attribute]],AC$3))),0))</f>
        <v>2937.77</v>
      </c>
      <c r="AD28" s="270" cm="1">
        <f t="array" ref="AD28">SUM(_xlfn._xlws.FILTER(CstClcCur[[Value]:[Value]],(CstClcCur[[Name]:[Name]]=$B28)*(ISNUMBER(FIND(CstClcCur[[Attribute]:[Attribute]],AD$3))),0))</f>
        <v>0</v>
      </c>
      <c r="AE28" s="270" cm="1">
        <f t="array" ref="AE28">SUM(_xlfn._xlws.FILTER(CstClcCur[[Value]:[Value]],(CstClcCur[[Name]:[Name]]=$B28)*(ISNUMBER(FIND(CstClcCur[[Attribute]:[Attribute]],AE$3))),0))</f>
        <v>0</v>
      </c>
      <c r="AF28" s="270" cm="1">
        <f t="array" ref="AF28">SUM(_xlfn._xlws.FILTER(CstClcCur[[Value]:[Value]],(CstClcCur[[Name]:[Name]]=$B28)*(ISNUMBER(FIND(CstClcCur[[Attribute]:[Attribute]],AF$3))),0))</f>
        <v>0</v>
      </c>
      <c r="AG28" s="270" cm="1">
        <f t="array" ref="AG28">SUM(_xlfn._xlws.FILTER(CstClcCur[[Value]:[Value]],(CstClcCur[[Name]:[Name]]=$B28)*(ISNUMBER(FIND(CstClcCur[[Attribute]:[Attribute]],AG$3))),0))</f>
        <v>0</v>
      </c>
      <c r="AH28" s="270" cm="1">
        <f t="array" ref="AH28">SUM(_xlfn._xlws.FILTER(CstClcCur[[Value]:[Value]],(CstClcCur[[Name]:[Name]]=$B28)*(ISNUMBER(FIND(CstClcCur[[Attribute]:[Attribute]],AH$3))),0))</f>
        <v>314.82229999999998</v>
      </c>
      <c r="AI28" s="270" cm="1">
        <f t="array" ref="AI28">SUM(_xlfn._xlws.FILTER(CstClcCur[[Value]:[Value]],(CstClcCur[[Name]:[Name]]=$B28)*(ISNUMBER(FIND(CstClcCur[[Attribute]:[Attribute]],AI$3))),0))</f>
        <v>0</v>
      </c>
      <c r="AJ28" s="270" cm="1">
        <f t="array" ref="AJ28">SUM(_xlfn._xlws.FILTER(CstClcCur[[Value]:[Value]],(CstClcCur[[Name]:[Name]]=$B28)*(ISNUMBER(FIND(CstClcCur[[Attribute]:[Attribute]],AJ$3))),0))</f>
        <v>0</v>
      </c>
      <c r="AK28" s="270" cm="1">
        <f t="array" ref="AK28">SUM(_xlfn._xlws.FILTER(CstClcCur[[Value]:[Value]],(CstClcCur[[Name]:[Name]]=$B28)*(ISNUMBER(FIND(CstClcCur[[Attribute]:[Attribute]],AK$3))),0))</f>
        <v>1930.9103</v>
      </c>
      <c r="AL28" s="264" t="str">
        <f t="shared" si="0"/>
        <v>U28:AK28</v>
      </c>
    </row>
    <row r="29" spans="1:38" s="249" customFormat="1" ht="27" customHeight="1">
      <c r="A29" s="222"/>
      <c r="B29" s="265" t="str" cm="1">
        <f t="array" ref="B29">_xlfn.LET(_xlpm.x,IFERROR(INDEX(TbRsmIn[Enquiry No],SUM(ROW()-MATCH("SOR",$A:$A,0))),"X"),IF(_xlpm.x=0,"X",_xlpm.x))</f>
        <v>2CT003</v>
      </c>
      <c r="C29" s="265" t="str">
        <f>IF($B29="X","X",INDEX(F_PI2[PrjId],MATCH(VALUE(LEFT($B29,1)),F_PI2[PrjOrd],0)))</f>
        <v>31199</v>
      </c>
      <c r="D29" s="265" t="str">
        <f t="shared" si="2"/>
        <v>Sp</v>
      </c>
      <c r="E29" s="266" t="str" cm="1">
        <f t="array" ref="E29">IF($B29="","X",UPPER(_xlfn._xlws.FILTER(CstClcData[Value],(CstClcData[Name]=$B29)*(CstClcData[Attribute]=E$3),"X")))</f>
        <v>OP600 GRAVITY RAMP TO BE INSTALLED MOVING OUT FINISHED PARTS</v>
      </c>
      <c r="F29" s="233" cm="1">
        <f t="array" ref="F29">IF($B29="X","X",_xlfn.UNIQUE(_xlfn._xlws.FILTER(PInt2[VtaId],(ISNUMBER(FIND(RIGHT($B29,LEN($B29)-1),SUBSTITUTE(PInt2[PInNxm],"-",""))))*(PInt2[PrjId]=TEXT($C29,"@")),"X")))</f>
        <v>162090</v>
      </c>
      <c r="G29" s="269" cm="1">
        <f t="array" ref="G29">IF($F29="X","X",_xlfn.UNIQUE(_xlfn._xlws.FILTER(PInt2[OrdIds],(PInt2[VtaId]=$F29)*(PInt2[PrjId]=TEXT($C29,"@")),"X")))</f>
        <v>0</v>
      </c>
      <c r="H29" s="233" cm="1">
        <f t="array" ref="H29">IF($F29="X","X",_xlfn.UNIQUE(_xlfn._xlws.FILTER(PInt2[CusOrdId],(PInt2[VtaId]=$F29)*(PInt2[PrjId]=TEXT($C29,"@")),"X")))</f>
        <v>0</v>
      </c>
      <c r="I29" s="234" cm="1">
        <f t="array" ref="I29">IF($B29="","X",_xlfn._xlws.FILTER(TbRsmIn[Date],(TbRsmIn[Enquiry No]=$B29),"X"))</f>
        <v>45184</v>
      </c>
      <c r="J29" s="265">
        <f t="shared" si="3"/>
        <v>202337</v>
      </c>
      <c r="K29" s="234" t="str" cm="1">
        <f t="array" ref="K29">IF($B29="","X",_xlfn._xlws.FILTER(TbRsmIn[Causality],(TbRsmIn[Enquiry No]=$B29),"X"))</f>
        <v>NORMATIVA</v>
      </c>
      <c r="L29" s="267" cm="1">
        <f t="array" ref="L29">_xlfn._xlws.FILTER(PInt2[OrdMin],PInt2[VtaId]=$F29,"X")</f>
        <v>0</v>
      </c>
      <c r="M29" s="267" cm="1">
        <f t="array" ref="M29">_xlfn._xlws.FILTER(PInt2[PayMax],PInt2[VtaId]=$F29,"X")</f>
        <v>45553</v>
      </c>
      <c r="N29" s="122" t="str" cm="1">
        <f t="array" ref="N29">IFERROR(_xlfn.TEXTAFTER(INDEX(O$5:R$5,MAX(_xlfn._xlws.FILTER(COLUMN($O29:$R29),($O29:$R29&lt;&gt;0)*($O29:$R29&lt;"")*(UPPER($O29:$R29)&lt;&gt;"X")))-MATCH("SOV",$1:$1,0))," "),"X")</f>
        <v>Facturado</v>
      </c>
      <c r="O29" s="268" cm="1">
        <f t="array" ref="O29">IF($B29="","X",_xlfn._xlws.FILTER(TbRsmIn[Offered],(TbRsmIn[Enquiry No]=$B29),"X"))</f>
        <v>11832.47</v>
      </c>
      <c r="P29" s="268" t="str" cm="1">
        <f t="array" ref="P29">IF($B29="","X",IF(Q29&lt;&gt;0,Q29,_xlfn._xlws.FILTER(CstClcData[Value],(CstClcData[Name]=$B29)*(CstClcData[Attribute]=P$3),"X")))</f>
        <v>X</v>
      </c>
      <c r="Q29" s="268" cm="1">
        <f t="array" ref="Q29">IF($B29="","X",_xlfn._xlws.FILTER(TbRsmIn[Ordered],(TbRsmIn[Enquiry No]=$B29),"X"))</f>
        <v>0</v>
      </c>
      <c r="R29" s="268" cm="1">
        <f t="array" ref="R29">SUM(_xlfn._xlws.FILTER(PInt2[InvCur],(PInt2[PInNxm]&lt;&gt;0)*(PInt2[PrjId]=$C29)*(IFERROR(_xlfn.TEXTBEFORE(SUBSTITUTE(PInt2[PInNxm],"-",""),"/"),"X")=RIGHT($B29,LEN($B29)-1)),0))</f>
        <v>18165</v>
      </c>
      <c r="S29" s="122" t="str" cm="1">
        <f t="array" ref="S29">IF($B29="","X",_xlfn._xlws.FILTER(TbRsmIn[Alive]&amp;CHAR(10)&amp;TEXT(TbRsmIn[Ongoing],"000%"),(TbRsmIn[Enquiry No]=$B29),"X"))</f>
        <v>R
100%</v>
      </c>
      <c r="T29" s="292">
        <f t="shared" ca="1" si="1"/>
        <v>10137.0674</v>
      </c>
      <c r="U29" s="270" cm="1">
        <f t="array" ref="U29">SUM(_xlfn._xlws.FILTER(CstClcCur[[Value]:[Value]],(CstClcCur[[Name]:[Name]]=$B29)*(ISNUMBER(FIND(CstClcCur[[Attribute]:[Attribute]],U$3))),0))</f>
        <v>0</v>
      </c>
      <c r="V29" s="270" cm="1">
        <f t="array" ref="V29">SUM(_xlfn._xlws.FILTER(CstClcCur[[Value]:[Value]],(CstClcCur[[Name]:[Name]]=$B29)*(ISNUMBER(FIND(CstClcCur[[Attribute]:[Attribute]],V$3))),0))</f>
        <v>0</v>
      </c>
      <c r="W29" s="270" cm="1">
        <f t="array" ref="W29">SUM(_xlfn._xlws.FILTER(CstClcCur[[Value]:[Value]],(CstClcCur[[Name]:[Name]]=$B29)*(ISNUMBER(FIND(CstClcCur[[Attribute]:[Attribute]],W$3))),0))</f>
        <v>658.53039999999999</v>
      </c>
      <c r="X29" s="270" cm="1">
        <f t="array" ref="X29">SUM(_xlfn._xlws.FILTER(CstClcCur[[Value]:[Value]],(CstClcCur[[Name]:[Name]]=$B29)*(ISNUMBER(FIND(CstClcCur[[Attribute]:[Attribute]],X$3))),0))</f>
        <v>109.9212</v>
      </c>
      <c r="Y29" s="270" cm="1">
        <f t="array" ref="Y29">SUM(_xlfn._xlws.FILTER(CstClcCur[[Value]:[Value]],(CstClcCur[[Name]:[Name]]=$B29)*(ISNUMBER(FIND(CstClcCur[[Attribute]:[Attribute]],Y$3))),0))</f>
        <v>0</v>
      </c>
      <c r="Z29" s="270" cm="1">
        <f t="array" ref="Z29">SUM(_xlfn._xlws.FILTER(CstClcCur[[Value]:[Value]],(CstClcCur[[Name]:[Name]]=$B29)*(ISNUMBER(FIND(CstClcCur[[Attribute]:[Attribute]],Z$3))),0))</f>
        <v>0</v>
      </c>
      <c r="AA29" s="270" cm="1">
        <f t="array" ref="AA29">SUM(_xlfn._xlws.FILTER(CstClcCur[[Value]:[Value]],(CstClcCur[[Name]:[Name]]=$B29)*(ISNUMBER(FIND(CstClcCur[[Attribute]:[Attribute]],AA$3))),0))</f>
        <v>0</v>
      </c>
      <c r="AB29" s="270" cm="1">
        <f t="array" ref="AB29">SUM(_xlfn._xlws.FILTER(CstClcCur[[Value]:[Value]],(CstClcCur[[Name]:[Name]]=$B29)*(ISNUMBER(FIND(CstClcCur[[Attribute]:[Attribute]],AB$3))),0))</f>
        <v>146.04349999999999</v>
      </c>
      <c r="AC29" s="270" cm="1">
        <f t="array" ref="AC29">SUM(_xlfn._xlws.FILTER(CstClcCur[[Value]:[Value]],(CstClcCur[[Name]:[Name]]=$B29)*(ISNUMBER(FIND(CstClcCur[[Attribute]:[Attribute]],AC$3))),0))</f>
        <v>3672.4839000000002</v>
      </c>
      <c r="AD29" s="270" cm="1">
        <f t="array" ref="AD29">SUM(_xlfn._xlws.FILTER(CstClcCur[[Value]:[Value]],(CstClcCur[[Name]:[Name]]=$B29)*(ISNUMBER(FIND(CstClcCur[[Attribute]:[Attribute]],AD$3))),0))</f>
        <v>0</v>
      </c>
      <c r="AE29" s="270" cm="1">
        <f t="array" ref="AE29">SUM(_xlfn._xlws.FILTER(CstClcCur[[Value]:[Value]],(CstClcCur[[Name]:[Name]]=$B29)*(ISNUMBER(FIND(CstClcCur[[Attribute]:[Attribute]],AE$3))),0))</f>
        <v>0</v>
      </c>
      <c r="AF29" s="270" cm="1">
        <f t="array" ref="AF29">SUM(_xlfn._xlws.FILTER(CstClcCur[[Value]:[Value]],(CstClcCur[[Name]:[Name]]=$B29)*(ISNUMBER(FIND(CstClcCur[[Attribute]:[Attribute]],AF$3))),0))</f>
        <v>0</v>
      </c>
      <c r="AG29" s="270" cm="1">
        <f t="array" ref="AG29">SUM(_xlfn._xlws.FILTER(CstClcCur[[Value]:[Value]],(CstClcCur[[Name]:[Name]]=$B29)*(ISNUMBER(FIND(CstClcCur[[Attribute]:[Attribute]],AG$3))),0))</f>
        <v>0</v>
      </c>
      <c r="AH29" s="270" cm="1">
        <f t="array" ref="AH29">SUM(_xlfn._xlws.FILTER(CstClcCur[[Value]:[Value]],(CstClcCur[[Name]:[Name]]=$B29)*(ISNUMBER(FIND(CstClcCur[[Attribute]:[Attribute]],AH$3))),0))</f>
        <v>2728.4603000000002</v>
      </c>
      <c r="AI29" s="270" cm="1">
        <f t="array" ref="AI29">SUM(_xlfn._xlws.FILTER(CstClcCur[[Value]:[Value]],(CstClcCur[[Name]:[Name]]=$B29)*(ISNUMBER(FIND(CstClcCur[[Attribute]:[Attribute]],AI$3))),0))</f>
        <v>0</v>
      </c>
      <c r="AJ29" s="270" cm="1">
        <f t="array" ref="AJ29">SUM(_xlfn._xlws.FILTER(CstClcCur[[Value]:[Value]],(CstClcCur[[Name]:[Name]]=$B29)*(ISNUMBER(FIND(CstClcCur[[Attribute]:[Attribute]],AJ$3))),0))</f>
        <v>0</v>
      </c>
      <c r="AK29" s="270" cm="1">
        <f t="array" ref="AK29">SUM(_xlfn._xlws.FILTER(CstClcCur[[Value]:[Value]],(CstClcCur[[Name]:[Name]]=$B29)*(ISNUMBER(FIND(CstClcCur[[Attribute]:[Attribute]],AK$3))),0))</f>
        <v>2821.6280999999999</v>
      </c>
      <c r="AL29" s="264" t="str">
        <f t="shared" si="0"/>
        <v>U29:AK29</v>
      </c>
    </row>
    <row r="30" spans="1:38" s="249" customFormat="1" ht="27" customHeight="1">
      <c r="A30" s="222"/>
      <c r="B30" s="265" t="str" cm="1">
        <f t="array" ref="B30">_xlfn.LET(_xlpm.x,IFERROR(INDEX(TbRsmIn[Enquiry No],SUM(ROW()-MATCH("SOR",$A:$A,0))),"X"),IF(_xlpm.x=0,"X",_xlpm.x))</f>
        <v>2CT004</v>
      </c>
      <c r="C30" s="265" t="str">
        <f>IF($B30="X","X",INDEX(F_PI2[PrjId],MATCH(VALUE(LEFT($B30,1)),F_PI2[PrjOrd],0)))</f>
        <v>31199</v>
      </c>
      <c r="D30" s="265" t="str">
        <f t="shared" si="2"/>
        <v>Sp</v>
      </c>
      <c r="E30" s="271" t="str" cm="1">
        <f t="array" ref="E30">IF($B30="","X",UPPER(_xlfn._xlws.FILTER(CstClcData[Value],(CstClcData[Name]=$B30)*(CstClcData[Attribute]=E$3),"X")))</f>
        <v>OP500 EXTERNAL LASER SENSORS ON CELL STRUCTURE</v>
      </c>
      <c r="F30" s="275" t="str" cm="1">
        <f t="array" ref="F30">IF($B30="X","X",_xlfn.UNIQUE(_xlfn._xlws.FILTER(PInt2[VtaId],(ISNUMBER(FIND(RIGHT($B30,LEN($B30)-1),SUBSTITUTE(PInt2[PInNxm],"-",""))))*(PInt2[PrjId]=TEXT($C30,"@")),"X")))</f>
        <v>X</v>
      </c>
      <c r="G30" s="276" t="str" cm="1">
        <f t="array" ref="G30">IF($F30="X","X",_xlfn.UNIQUE(_xlfn._xlws.FILTER(PInt2[OrdIds],(PInt2[VtaId]=$F30)*(PInt2[PrjId]=TEXT($C30,"@")),"X")))</f>
        <v>X</v>
      </c>
      <c r="H30" s="275" t="str" cm="1">
        <f t="array" ref="H30">IF($F30="X","X",_xlfn.UNIQUE(_xlfn._xlws.FILTER(PInt2[CusOrdId],(PInt2[VtaId]=$F30)*(PInt2[PrjId]=TEXT($C30,"@")),"X")))</f>
        <v>X</v>
      </c>
      <c r="I30" s="272" cm="1">
        <f t="array" ref="I30">IF($B30="","X",_xlfn._xlws.FILTER(TbRsmIn[Date],(TbRsmIn[Enquiry No]=$B30),"X"))</f>
        <v>45184</v>
      </c>
      <c r="J30" s="273">
        <f t="shared" si="3"/>
        <v>202337</v>
      </c>
      <c r="K30" s="272" t="str" cm="1">
        <f t="array" ref="K30">IF($B30="","X",_xlfn._xlws.FILTER(TbRsmIn[Causality],(TbRsmIn[Enquiry No]=$B30),"X"))</f>
        <v>NORMATIVA</v>
      </c>
      <c r="L30" s="267" t="str" cm="1">
        <f t="array" ref="L30">_xlfn._xlws.FILTER(PInt2[OrdMin],PInt2[VtaId]=$F30,"X")</f>
        <v>X</v>
      </c>
      <c r="M30" s="267" t="str" cm="1">
        <f t="array" ref="M30">_xlfn._xlws.FILTER(PInt2[PayMax],PInt2[VtaId]=$F30,"X")</f>
        <v>X</v>
      </c>
      <c r="N30" s="122" t="str" cm="1">
        <f t="array" ref="N30">IFERROR(_xlfn.TEXTAFTER(INDEX(O$5:R$5,MAX(_xlfn._xlws.FILTER(COLUMN($O30:$R30),($O30:$R30&lt;&gt;0)*($O30:$R30&lt;"")*(UPPER($O30:$R30)&lt;&gt;"X")))-MATCH("SOV",$1:$1,0))," "),"X")</f>
        <v>Ofertado</v>
      </c>
      <c r="O30" s="274" cm="1">
        <f t="array" ref="O30">IF($B30="","X",_xlfn._xlws.FILTER(TbRsmIn[Offered],(TbRsmIn[Enquiry No]=$B30),"X"))</f>
        <v>1304.33</v>
      </c>
      <c r="P30" s="274" t="str" cm="1">
        <f t="array" ref="P30">IF($B30="","X",IF(Q30&lt;&gt;0,Q30,_xlfn._xlws.FILTER(CstClcData[Value],(CstClcData[Name]=$B30)*(CstClcData[Attribute]=P$3),"X")))</f>
        <v>X</v>
      </c>
      <c r="Q30" s="274" cm="1">
        <f t="array" ref="Q30">IF($B30="","X",_xlfn._xlws.FILTER(TbRsmIn[Ordered],(TbRsmIn[Enquiry No]=$B30),"X"))</f>
        <v>0</v>
      </c>
      <c r="R30" s="268" cm="1">
        <f t="array" ref="R30">SUM(_xlfn._xlws.FILTER(PInt2[InvCur],(PInt2[PInNxm]&lt;&gt;0)*(PInt2[PrjId]=$C30)*(IFERROR(_xlfn.TEXTBEFORE(SUBSTITUTE(PInt2[PInNxm],"-",""),"/"),"X")=RIGHT($B30,LEN($B30)-1)),0))</f>
        <v>0</v>
      </c>
      <c r="S30" s="122" t="str" cm="1">
        <f t="array" ref="S30">IF($B30="","X",_xlfn._xlws.FILTER(TbRsmIn[Alive]&amp;CHAR(10)&amp;TEXT(TbRsmIn[Ongoing],"000%"),(TbRsmIn[Enquiry No]=$B30),"X"))</f>
        <v>R
100%</v>
      </c>
      <c r="T30" s="293">
        <f t="shared" ca="1" si="1"/>
        <v>755.57360000000006</v>
      </c>
      <c r="U30" s="277" cm="1">
        <f t="array" ref="U30">SUM(_xlfn._xlws.FILTER(CstClcCur[[Value]:[Value]],(CstClcCur[[Name]:[Name]]=$B30)*(ISNUMBER(FIND(CstClcCur[[Attribute]:[Attribute]],U$3))),0))</f>
        <v>0</v>
      </c>
      <c r="V30" s="277" cm="1">
        <f t="array" ref="V30">SUM(_xlfn._xlws.FILTER(CstClcCur[[Value]:[Value]],(CstClcCur[[Name]:[Name]]=$B30)*(ISNUMBER(FIND(CstClcCur[[Attribute]:[Attribute]],V$3))),0))</f>
        <v>0</v>
      </c>
      <c r="W30" s="277" cm="1">
        <f t="array" ref="W30">SUM(_xlfn._xlws.FILTER(CstClcCur[[Value]:[Value]],(CstClcCur[[Name]:[Name]]=$B30)*(ISNUMBER(FIND(CstClcCur[[Attribute]:[Attribute]],W$3))),0))</f>
        <v>0</v>
      </c>
      <c r="X30" s="277" cm="1">
        <f t="array" ref="X30">SUM(_xlfn._xlws.FILTER(CstClcCur[[Value]:[Value]],(CstClcCur[[Name]:[Name]]=$B30)*(ISNUMBER(FIND(CstClcCur[[Attribute]:[Attribute]],X$3))),0))</f>
        <v>0</v>
      </c>
      <c r="Y30" s="277" cm="1">
        <f t="array" ref="Y30">SUM(_xlfn._xlws.FILTER(CstClcCur[[Value]:[Value]],(CstClcCur[[Name]:[Name]]=$B30)*(ISNUMBER(FIND(CstClcCur[[Attribute]:[Attribute]],Y$3))),0))</f>
        <v>0</v>
      </c>
      <c r="Z30" s="277" cm="1">
        <f t="array" ref="Z30">SUM(_xlfn._xlws.FILTER(CstClcCur[[Value]:[Value]],(CstClcCur[[Name]:[Name]]=$B30)*(ISNUMBER(FIND(CstClcCur[[Attribute]:[Attribute]],Z$3))),0))</f>
        <v>0</v>
      </c>
      <c r="AA30" s="277" cm="1">
        <f t="array" ref="AA30">SUM(_xlfn._xlws.FILTER(CstClcCur[[Value]:[Value]],(CstClcCur[[Name]:[Name]]=$B30)*(ISNUMBER(FIND(CstClcCur[[Attribute]:[Attribute]],AA$3))),0))</f>
        <v>0</v>
      </c>
      <c r="AB30" s="277" cm="1">
        <f t="array" ref="AB30">SUM(_xlfn._xlws.FILTER(CstClcCur[[Value]:[Value]],(CstClcCur[[Name]:[Name]]=$B30)*(ISNUMBER(FIND(CstClcCur[[Attribute]:[Attribute]],AB$3))),0))</f>
        <v>0</v>
      </c>
      <c r="AC30" s="277" cm="1">
        <f t="array" ref="AC30">SUM(_xlfn._xlws.FILTER(CstClcCur[[Value]:[Value]],(CstClcCur[[Name]:[Name]]=$B30)*(ISNUMBER(FIND(CstClcCur[[Attribute]:[Attribute]],AC$3))),0))</f>
        <v>0</v>
      </c>
      <c r="AD30" s="277" cm="1">
        <f t="array" ref="AD30">SUM(_xlfn._xlws.FILTER(CstClcCur[[Value]:[Value]],(CstClcCur[[Name]:[Name]]=$B30)*(ISNUMBER(FIND(CstClcCur[[Attribute]:[Attribute]],AD$3))),0))</f>
        <v>0</v>
      </c>
      <c r="AE30" s="277" cm="1">
        <f t="array" ref="AE30">SUM(_xlfn._xlws.FILTER(CstClcCur[[Value]:[Value]],(CstClcCur[[Name]:[Name]]=$B30)*(ISNUMBER(FIND(CstClcCur[[Attribute]:[Attribute]],AE$3))),0))</f>
        <v>0</v>
      </c>
      <c r="AF30" s="277" cm="1">
        <f t="array" ref="AF30">SUM(_xlfn._xlws.FILTER(CstClcCur[[Value]:[Value]],(CstClcCur[[Name]:[Name]]=$B30)*(ISNUMBER(FIND(CstClcCur[[Attribute]:[Attribute]],AF$3))),0))</f>
        <v>0</v>
      </c>
      <c r="AG30" s="277" cm="1">
        <f t="array" ref="AG30">SUM(_xlfn._xlws.FILTER(CstClcCur[[Value]:[Value]],(CstClcCur[[Name]:[Name]]=$B30)*(ISNUMBER(FIND(CstClcCur[[Attribute]:[Attribute]],AG$3))),0))</f>
        <v>0</v>
      </c>
      <c r="AH30" s="277" cm="1">
        <f t="array" ref="AH30">SUM(_xlfn._xlws.FILTER(CstClcCur[[Value]:[Value]],(CstClcCur[[Name]:[Name]]=$B30)*(ISNUMBER(FIND(CstClcCur[[Attribute]:[Attribute]],AH$3))),0))</f>
        <v>503.71570000000003</v>
      </c>
      <c r="AI30" s="277" cm="1">
        <f t="array" ref="AI30">SUM(_xlfn._xlws.FILTER(CstClcCur[[Value]:[Value]],(CstClcCur[[Name]:[Name]]=$B30)*(ISNUMBER(FIND(CstClcCur[[Attribute]:[Attribute]],AI$3))),0))</f>
        <v>0</v>
      </c>
      <c r="AJ30" s="277" cm="1">
        <f t="array" ref="AJ30">SUM(_xlfn._xlws.FILTER(CstClcCur[[Value]:[Value]],(CstClcCur[[Name]:[Name]]=$B30)*(ISNUMBER(FIND(CstClcCur[[Attribute]:[Attribute]],AJ$3))),0))</f>
        <v>0</v>
      </c>
      <c r="AK30" s="277" cm="1">
        <f t="array" ref="AK30">SUM(_xlfn._xlws.FILTER(CstClcCur[[Value]:[Value]],(CstClcCur[[Name]:[Name]]=$B30)*(ISNUMBER(FIND(CstClcCur[[Attribute]:[Attribute]],AK$3))),0))</f>
        <v>251.8579</v>
      </c>
      <c r="AL30" s="264" t="str">
        <f t="shared" si="0"/>
        <v>U30:AK30</v>
      </c>
    </row>
    <row r="31" spans="1:38" s="249" customFormat="1" ht="27" customHeight="1">
      <c r="A31" s="222"/>
      <c r="B31" s="265" t="str" cm="1">
        <f t="array" ref="B31">_xlfn.LET(_xlpm.x,IFERROR(INDEX(TbRsmIn[Enquiry No],SUM(ROW()-MATCH("SOR",$A:$A,0))),"X"),IF(_xlpm.x=0,"X",_xlpm.x))</f>
        <v>2CT005</v>
      </c>
      <c r="C31" s="265" t="str">
        <f>IF($B31="X","X",INDEX(F_PI2[PrjId],MATCH(VALUE(LEFT($B31,1)),F_PI2[PrjOrd],0)))</f>
        <v>31199</v>
      </c>
      <c r="D31" s="265" t="str">
        <f t="shared" si="2"/>
        <v>Sp</v>
      </c>
      <c r="E31" s="271" t="str" cm="1">
        <f t="array" ref="E31">IF($B31="","X",UPPER(_xlfn._xlws.FILTER(CstClcData[Value],(CstClcData[Name]=$B31)*(CstClcData[Attribute]=E$3),"X")))</f>
        <v>OP300 POKA-YOKE TEMPLATE FOR CROSSMEMBER NUT PREVIOUS TO FIXTURE LOAD.</v>
      </c>
      <c r="F31" s="275" cm="1">
        <f t="array" ref="F31">IF($B31="X","X",_xlfn.UNIQUE(_xlfn._xlws.FILTER(PInt2[VtaId],(ISNUMBER(FIND(RIGHT($B31,LEN($B31)-1),SUBSTITUTE(PInt2[PInNxm],"-",""))))*(PInt2[PrjId]=TEXT($C31,"@")),"X")))</f>
        <v>162089</v>
      </c>
      <c r="G31" s="276" cm="1">
        <f t="array" ref="G31">IF($F31="X","X",_xlfn.UNIQUE(_xlfn._xlws.FILTER(PInt2[OrdIds],(PInt2[VtaId]=$F31)*(PInt2[PrjId]=TEXT($C31,"@")),"X")))</f>
        <v>0</v>
      </c>
      <c r="H31" s="275" cm="1">
        <f t="array" ref="H31">IF($F31="X","X",_xlfn.UNIQUE(_xlfn._xlws.FILTER(PInt2[CusOrdId],(PInt2[VtaId]=$F31)*(PInt2[PrjId]=TEXT($C31,"@")),"X")))</f>
        <v>0</v>
      </c>
      <c r="I31" s="272" cm="1">
        <f t="array" ref="I31">IF($B31="","X",_xlfn._xlws.FILTER(TbRsmIn[Date],(TbRsmIn[Enquiry No]=$B31),"X"))</f>
        <v>45184</v>
      </c>
      <c r="J31" s="273">
        <f t="shared" si="3"/>
        <v>202337</v>
      </c>
      <c r="K31" s="272" t="str" cm="1">
        <f t="array" ref="K31">IF($B31="","X",_xlfn._xlws.FILTER(TbRsmIn[Causality],(TbRsmIn[Enquiry No]=$B31),"X"))</f>
        <v>ERRORES</v>
      </c>
      <c r="L31" s="267" cm="1">
        <f t="array" ref="L31">_xlfn._xlws.FILTER(PInt2[OrdMin],PInt2[VtaId]=$F31,"X")</f>
        <v>0</v>
      </c>
      <c r="M31" s="267" cm="1">
        <f t="array" ref="M31">_xlfn._xlws.FILTER(PInt2[PayMax],PInt2[VtaId]=$F31,"X")</f>
        <v>45553</v>
      </c>
      <c r="N31" s="122" t="str" cm="1">
        <f t="array" ref="N31">IFERROR(_xlfn.TEXTAFTER(INDEX(O$5:R$5,MAX(_xlfn._xlws.FILTER(COLUMN($O31:$R31),($O31:$R31&lt;&gt;0)*($O31:$R31&lt;"")*(UPPER($O31:$R31)&lt;&gt;"X")))-MATCH("SOV",$1:$1,0))," "),"X")</f>
        <v>Facturado</v>
      </c>
      <c r="O31" s="274" cm="1">
        <f t="array" ref="O31">IF($B31="","X",_xlfn._xlws.FILTER(TbRsmIn[Offered],(TbRsmIn[Enquiry No]=$B31),"X"))</f>
        <v>9179.92</v>
      </c>
      <c r="P31" s="274" t="str" cm="1">
        <f t="array" ref="P31">IF($B31="","X",IF(Q31&lt;&gt;0,Q31,_xlfn._xlws.FILTER(CstClcData[Value],(CstClcData[Name]=$B31)*(CstClcData[Attribute]=P$3),"X")))</f>
        <v>X</v>
      </c>
      <c r="Q31" s="274" cm="1">
        <f t="array" ref="Q31">IF($B31="","X",_xlfn._xlws.FILTER(TbRsmIn[Ordered],(TbRsmIn[Enquiry No]=$B31),"X"))</f>
        <v>0</v>
      </c>
      <c r="R31" s="268" cm="1">
        <f t="array" ref="R31">SUM(_xlfn._xlws.FILTER(PInt2[InvCur],(PInt2[PInNxm]&lt;&gt;0)*(PInt2[PrjId]=$C31)*(IFERROR(_xlfn.TEXTBEFORE(SUBSTITUTE(PInt2[PInNxm],"-",""),"/"),"X")=RIGHT($B31,LEN($B31)-1)),0))</f>
        <v>4693</v>
      </c>
      <c r="S31" s="122" t="str" cm="1">
        <f t="array" ref="S31">IF($B31="","X",_xlfn._xlws.FILTER(TbRsmIn[Alive]&amp;CHAR(10)&amp;TEXT(TbRsmIn[Ongoing],"000%"),(TbRsmIn[Enquiry No]=$B31),"X"))</f>
        <v>R
100%</v>
      </c>
      <c r="T31" s="293">
        <f t="shared" ca="1" si="1"/>
        <v>4832.7942999999996</v>
      </c>
      <c r="U31" s="277" cm="1">
        <f t="array" ref="U31">SUM(_xlfn._xlws.FILTER(CstClcCur[[Value]:[Value]],(CstClcCur[[Name]:[Name]]=$B31)*(ISNUMBER(FIND(CstClcCur[[Attribute]:[Attribute]],U$3))),0))</f>
        <v>248.15</v>
      </c>
      <c r="V31" s="277" cm="1">
        <f t="array" ref="V31">SUM(_xlfn._xlws.FILTER(CstClcCur[[Value]:[Value]],(CstClcCur[[Name]:[Name]]=$B31)*(ISNUMBER(FIND(CstClcCur[[Attribute]:[Attribute]],V$3))),0))</f>
        <v>510.66399999999999</v>
      </c>
      <c r="W31" s="277" cm="1">
        <f t="array" ref="W31">SUM(_xlfn._xlws.FILTER(CstClcCur[[Value]:[Value]],(CstClcCur[[Name]:[Name]]=$B31)*(ISNUMBER(FIND(CstClcCur[[Attribute]:[Attribute]],W$3))),0))</f>
        <v>1143.9960000000001</v>
      </c>
      <c r="X31" s="277" cm="1">
        <f t="array" ref="X31">SUM(_xlfn._xlws.FILTER(CstClcCur[[Value]:[Value]],(CstClcCur[[Name]:[Name]]=$B31)*(ISNUMBER(FIND(CstClcCur[[Attribute]:[Attribute]],X$3))),0))</f>
        <v>0</v>
      </c>
      <c r="Y31" s="277" cm="1">
        <f t="array" ref="Y31">SUM(_xlfn._xlws.FILTER(CstClcCur[[Value]:[Value]],(CstClcCur[[Name]:[Name]]=$B31)*(ISNUMBER(FIND(CstClcCur[[Attribute]:[Attribute]],Y$3))),0))</f>
        <v>669.3</v>
      </c>
      <c r="Z31" s="277" cm="1">
        <f t="array" ref="Z31">SUM(_xlfn._xlws.FILTER(CstClcCur[[Value]:[Value]],(CstClcCur[[Name]:[Name]]=$B31)*(ISNUMBER(FIND(CstClcCur[[Attribute]:[Attribute]],Z$3))),0))</f>
        <v>0</v>
      </c>
      <c r="AA31" s="277" cm="1">
        <f t="array" ref="AA31">SUM(_xlfn._xlws.FILTER(CstClcCur[[Value]:[Value]],(CstClcCur[[Name]:[Name]]=$B31)*(ISNUMBER(FIND(CstClcCur[[Attribute]:[Attribute]],AA$3))),0))</f>
        <v>0</v>
      </c>
      <c r="AB31" s="277" cm="1">
        <f t="array" ref="AB31">SUM(_xlfn._xlws.FILTER(CstClcCur[[Value]:[Value]],(CstClcCur[[Name]:[Name]]=$B31)*(ISNUMBER(FIND(CstClcCur[[Attribute]:[Attribute]],AB$3))),0))</f>
        <v>0</v>
      </c>
      <c r="AC31" s="277" cm="1">
        <f t="array" ref="AC31">SUM(_xlfn._xlws.FILTER(CstClcCur[[Value]:[Value]],(CstClcCur[[Name]:[Name]]=$B31)*(ISNUMBER(FIND(CstClcCur[[Attribute]:[Attribute]],AC$3))),0))</f>
        <v>734.4425</v>
      </c>
      <c r="AD31" s="277" cm="1">
        <f t="array" ref="AD31">SUM(_xlfn._xlws.FILTER(CstClcCur[[Value]:[Value]],(CstClcCur[[Name]:[Name]]=$B31)*(ISNUMBER(FIND(CstClcCur[[Attribute]:[Attribute]],AD$3))),0))</f>
        <v>419.08</v>
      </c>
      <c r="AE31" s="277" cm="1">
        <f t="array" ref="AE31">SUM(_xlfn._xlws.FILTER(CstClcCur[[Value]:[Value]],(CstClcCur[[Name]:[Name]]=$B31)*(ISNUMBER(FIND(CstClcCur[[Attribute]:[Attribute]],AE$3))),0))</f>
        <v>-1385.2183</v>
      </c>
      <c r="AF31" s="277" cm="1">
        <f t="array" ref="AF31">SUM(_xlfn._xlws.FILTER(CstClcCur[[Value]:[Value]],(CstClcCur[[Name]:[Name]]=$B31)*(ISNUMBER(FIND(CstClcCur[[Attribute]:[Attribute]],AF$3))),0))</f>
        <v>410.35500000000002</v>
      </c>
      <c r="AG31" s="277" cm="1">
        <f t="array" ref="AG31">SUM(_xlfn._xlws.FILTER(CstClcCur[[Value]:[Value]],(CstClcCur[[Name]:[Name]]=$B31)*(ISNUMBER(FIND(CstClcCur[[Attribute]:[Attribute]],AG$3))),0))</f>
        <v>0</v>
      </c>
      <c r="AH31" s="277" cm="1">
        <f t="array" ref="AH31">SUM(_xlfn._xlws.FILTER(CstClcCur[[Value]:[Value]],(CstClcCur[[Name]:[Name]]=$B31)*(ISNUMBER(FIND(CstClcCur[[Attribute]:[Attribute]],AH$3))),0))</f>
        <v>2040.0488</v>
      </c>
      <c r="AI31" s="277" cm="1">
        <f t="array" ref="AI31">SUM(_xlfn._xlws.FILTER(CstClcCur[[Value]:[Value]],(CstClcCur[[Name]:[Name]]=$B31)*(ISNUMBER(FIND(CstClcCur[[Attribute]:[Attribute]],AI$3))),0))</f>
        <v>0</v>
      </c>
      <c r="AJ31" s="277" cm="1">
        <f t="array" ref="AJ31">SUM(_xlfn._xlws.FILTER(CstClcCur[[Value]:[Value]],(CstClcCur[[Name]:[Name]]=$B31)*(ISNUMBER(FIND(CstClcCur[[Attribute]:[Attribute]],AJ$3))),0))</f>
        <v>0</v>
      </c>
      <c r="AK31" s="277" cm="1">
        <f t="array" ref="AK31">SUM(_xlfn._xlws.FILTER(CstClcCur[[Value]:[Value]],(CstClcCur[[Name]:[Name]]=$B31)*(ISNUMBER(FIND(CstClcCur[[Attribute]:[Attribute]],AK$3))),0))</f>
        <v>41.976300000000002</v>
      </c>
      <c r="AL31" s="264" t="str">
        <f t="shared" si="0"/>
        <v>U31:AK31</v>
      </c>
    </row>
    <row r="32" spans="1:38" s="249" customFormat="1" ht="27" customHeight="1">
      <c r="A32" s="222"/>
      <c r="B32" s="265" t="str" cm="1">
        <f t="array" ref="B32">_xlfn.LET(_xlpm.x,IFERROR(INDEX(TbRsmIn[Enquiry No],SUM(ROW()-MATCH("SOR",$A:$A,0))),"X"),IF(_xlpm.x=0,"X",_xlpm.x))</f>
        <v>2CT006</v>
      </c>
      <c r="C32" s="265" t="str">
        <f>IF($B32="X","X",INDEX(F_PI2[PrjId],MATCH(VALUE(LEFT($B32,1)),F_PI2[PrjOrd],0)))</f>
        <v>31199</v>
      </c>
      <c r="D32" s="265" t="str">
        <f t="shared" si="2"/>
        <v>Sp</v>
      </c>
      <c r="E32" s="271" t="str" cm="1">
        <f t="array" ref="E32">IF($B32="","X",UPPER(_xlfn._xlws.FILTER(CstClcData[Value],(CstClcData[Name]=$B32)*(CstClcData[Attribute]=E$3),"X")))</f>
        <v xml:space="preserve">ARC WELDING ROBOT PLINTH AND ACCESSORIES SUPPLY (X1)+ HANDLING ROBOT OP600 PLINTH (X1). </v>
      </c>
      <c r="F32" s="275" t="str" cm="1">
        <f t="array" ref="F32">IF($B32="X","X",_xlfn.UNIQUE(_xlfn._xlws.FILTER(PInt2[VtaId],(ISNUMBER(FIND(RIGHT($B32,LEN($B32)-1),SUBSTITUTE(PInt2[PInNxm],"-",""))))*(PInt2[PrjId]=TEXT($C32,"@")),"X")))</f>
        <v>X</v>
      </c>
      <c r="G32" s="276" t="str" cm="1">
        <f t="array" ref="G32">IF($F32="X","X",_xlfn.UNIQUE(_xlfn._xlws.FILTER(PInt2[OrdIds],(PInt2[VtaId]=$F32)*(PInt2[PrjId]=TEXT($C32,"@")),"X")))</f>
        <v>X</v>
      </c>
      <c r="H32" s="275" t="str" cm="1">
        <f t="array" ref="H32">IF($F32="X","X",_xlfn.UNIQUE(_xlfn._xlws.FILTER(PInt2[CusOrdId],(PInt2[VtaId]=$F32)*(PInt2[PrjId]=TEXT($C32,"@")),"X")))</f>
        <v>X</v>
      </c>
      <c r="I32" s="272" cm="1">
        <f t="array" ref="I32">IF($B32="","X",_xlfn._xlws.FILTER(TbRsmIn[Date],(TbRsmIn[Enquiry No]=$B32),"X"))</f>
        <v>45189</v>
      </c>
      <c r="J32" s="273">
        <f t="shared" si="3"/>
        <v>202338</v>
      </c>
      <c r="K32" s="272" t="str" cm="1">
        <f t="array" ref="K32">IF($B32="","X",_xlfn._xlws.FILTER(TbRsmIn[Causality],(TbRsmIn[Enquiry No]=$B32),"X"))</f>
        <v>ERRORES</v>
      </c>
      <c r="L32" s="267" t="str" cm="1">
        <f t="array" ref="L32">_xlfn._xlws.FILTER(PInt2[OrdMin],PInt2[VtaId]=$F32,"X")</f>
        <v>X</v>
      </c>
      <c r="M32" s="267" t="str" cm="1">
        <f t="array" ref="M32">_xlfn._xlws.FILTER(PInt2[PayMax],PInt2[VtaId]=$F32,"X")</f>
        <v>X</v>
      </c>
      <c r="N32" s="122" t="str" cm="1">
        <f t="array" ref="N32">IFERROR(_xlfn.TEXTAFTER(INDEX(O$5:R$5,MAX(_xlfn._xlws.FILTER(COLUMN($O32:$R32),($O32:$R32&lt;&gt;0)*($O32:$R32&lt;"")*(UPPER($O32:$R32)&lt;&gt;"X")))-MATCH("SOV",$1:$1,0))," "),"X")</f>
        <v>Ofertado</v>
      </c>
      <c r="O32" s="274" cm="1">
        <f t="array" ref="O32">IF($B32="","X",_xlfn._xlws.FILTER(TbRsmIn[Offered],(TbRsmIn[Enquiry No]=$B32),"X"))</f>
        <v>8802.75</v>
      </c>
      <c r="P32" s="274" t="str" cm="1">
        <f t="array" ref="P32">IF($B32="","X",IF(Q32&lt;&gt;0,Q32,_xlfn._xlws.FILTER(CstClcData[Value],(CstClcData[Name]=$B32)*(CstClcData[Attribute]=P$3),"X")))</f>
        <v>X</v>
      </c>
      <c r="Q32" s="274" cm="1">
        <f t="array" ref="Q32">IF($B32="","X",_xlfn._xlws.FILTER(TbRsmIn[Ordered],(TbRsmIn[Enquiry No]=$B32),"X"))</f>
        <v>0</v>
      </c>
      <c r="R32" s="268" cm="1">
        <f t="array" ref="R32">SUM(_xlfn._xlws.FILTER(PInt2[InvCur],(PInt2[PInNxm]&lt;&gt;0)*(PInt2[PrjId]=$C32)*(IFERROR(_xlfn.TEXTBEFORE(SUBSTITUTE(PInt2[PInNxm],"-",""),"/"),"X")=RIGHT($B32,LEN($B32)-1)),0))</f>
        <v>0</v>
      </c>
      <c r="S32" s="122" t="str" cm="1">
        <f t="array" ref="S32">IF($B32="","X",_xlfn._xlws.FILTER(TbRsmIn[Alive]&amp;CHAR(10)&amp;TEXT(TbRsmIn[Ongoing],"000%"),(TbRsmIn[Enquiry No]=$B32),"X"))</f>
        <v>C
000%</v>
      </c>
      <c r="T32" s="293">
        <f t="shared" ca="1" si="1"/>
        <v>7119.7950999999994</v>
      </c>
      <c r="U32" s="277" cm="1">
        <f t="array" ref="U32">SUM(_xlfn._xlws.FILTER(CstClcCur[[Value]:[Value]],(CstClcCur[[Name]:[Name]]=$B32)*(ISNUMBER(FIND(CstClcCur[[Attribute]:[Attribute]],U$3))),0))</f>
        <v>64.519000000000005</v>
      </c>
      <c r="V32" s="277" cm="1">
        <f t="array" ref="V32">SUM(_xlfn._xlws.FILTER(CstClcCur[[Value]:[Value]],(CstClcCur[[Name]:[Name]]=$B32)*(ISNUMBER(FIND(CstClcCur[[Attribute]:[Attribute]],V$3))),0))</f>
        <v>0</v>
      </c>
      <c r="W32" s="277" cm="1">
        <f t="array" ref="W32">SUM(_xlfn._xlws.FILTER(CstClcCur[[Value]:[Value]],(CstClcCur[[Name]:[Name]]=$B32)*(ISNUMBER(FIND(CstClcCur[[Attribute]:[Attribute]],W$3))),0))</f>
        <v>0</v>
      </c>
      <c r="X32" s="277" cm="1">
        <f t="array" ref="X32">SUM(_xlfn._xlws.FILTER(CstClcCur[[Value]:[Value]],(CstClcCur[[Name]:[Name]]=$B32)*(ISNUMBER(FIND(CstClcCur[[Attribute]:[Attribute]],X$3))),0))</f>
        <v>0</v>
      </c>
      <c r="Y32" s="277" cm="1">
        <f t="array" ref="Y32">SUM(_xlfn._xlws.FILTER(CstClcCur[[Value]:[Value]],(CstClcCur[[Name]:[Name]]=$B32)*(ISNUMBER(FIND(CstClcCur[[Attribute]:[Attribute]],Y$3))),0))</f>
        <v>0</v>
      </c>
      <c r="Z32" s="277" cm="1">
        <f t="array" ref="Z32">SUM(_xlfn._xlws.FILTER(CstClcCur[[Value]:[Value]],(CstClcCur[[Name]:[Name]]=$B32)*(ISNUMBER(FIND(CstClcCur[[Attribute]:[Attribute]],Z$3))),0))</f>
        <v>0</v>
      </c>
      <c r="AA32" s="277" cm="1">
        <f t="array" ref="AA32">SUM(_xlfn._xlws.FILTER(CstClcCur[[Value]:[Value]],(CstClcCur[[Name]:[Name]]=$B32)*(ISNUMBER(FIND(CstClcCur[[Attribute]:[Attribute]],AA$3))),0))</f>
        <v>0</v>
      </c>
      <c r="AB32" s="277" cm="1">
        <f t="array" ref="AB32">SUM(_xlfn._xlws.FILTER(CstClcCur[[Value]:[Value]],(CstClcCur[[Name]:[Name]]=$B32)*(ISNUMBER(FIND(CstClcCur[[Attribute]:[Attribute]],AB$3))),0))</f>
        <v>1736.3262</v>
      </c>
      <c r="AC32" s="277" cm="1">
        <f t="array" ref="AC32">SUM(_xlfn._xlws.FILTER(CstClcCur[[Value]:[Value]],(CstClcCur[[Name]:[Name]]=$B32)*(ISNUMBER(FIND(CstClcCur[[Attribute]:[Attribute]],AC$3))),0))</f>
        <v>1124.3242</v>
      </c>
      <c r="AD32" s="277" cm="1">
        <f t="array" ref="AD32">SUM(_xlfn._xlws.FILTER(CstClcCur[[Value]:[Value]],(CstClcCur[[Name]:[Name]]=$B32)*(ISNUMBER(FIND(CstClcCur[[Attribute]:[Attribute]],AD$3))),0))</f>
        <v>0</v>
      </c>
      <c r="AE32" s="277" cm="1">
        <f t="array" ref="AE32">SUM(_xlfn._xlws.FILTER(CstClcCur[[Value]:[Value]],(CstClcCur[[Name]:[Name]]=$B32)*(ISNUMBER(FIND(CstClcCur[[Attribute]:[Attribute]],AE$3))),0))</f>
        <v>0</v>
      </c>
      <c r="AF32" s="277" cm="1">
        <f t="array" ref="AF32">SUM(_xlfn._xlws.FILTER(CstClcCur[[Value]:[Value]],(CstClcCur[[Name]:[Name]]=$B32)*(ISNUMBER(FIND(CstClcCur[[Attribute]:[Attribute]],AF$3))),0))</f>
        <v>0</v>
      </c>
      <c r="AG32" s="277" cm="1">
        <f t="array" ref="AG32">SUM(_xlfn._xlws.FILTER(CstClcCur[[Value]:[Value]],(CstClcCur[[Name]:[Name]]=$B32)*(ISNUMBER(FIND(CstClcCur[[Attribute]:[Attribute]],AG$3))),0))</f>
        <v>0</v>
      </c>
      <c r="AH32" s="277" cm="1">
        <f t="array" ref="AH32">SUM(_xlfn._xlws.FILTER(CstClcCur[[Value]:[Value]],(CstClcCur[[Name]:[Name]]=$B32)*(ISNUMBER(FIND(CstClcCur[[Attribute]:[Attribute]],AH$3))),0))</f>
        <v>3271.1468</v>
      </c>
      <c r="AI32" s="277" cm="1">
        <f t="array" ref="AI32">SUM(_xlfn._xlws.FILTER(CstClcCur[[Value]:[Value]],(CstClcCur[[Name]:[Name]]=$B32)*(ISNUMBER(FIND(CstClcCur[[Attribute]:[Attribute]],AI$3))),0))</f>
        <v>0</v>
      </c>
      <c r="AJ32" s="277" cm="1">
        <f t="array" ref="AJ32">SUM(_xlfn._xlws.FILTER(CstClcCur[[Value]:[Value]],(CstClcCur[[Name]:[Name]]=$B32)*(ISNUMBER(FIND(CstClcCur[[Attribute]:[Attribute]],AJ$3))),0))</f>
        <v>0</v>
      </c>
      <c r="AK32" s="277" cm="1">
        <f t="array" ref="AK32">SUM(_xlfn._xlws.FILTER(CstClcCur[[Value]:[Value]],(CstClcCur[[Name]:[Name]]=$B32)*(ISNUMBER(FIND(CstClcCur[[Attribute]:[Attribute]],AK$3))),0))</f>
        <v>923.47889999999995</v>
      </c>
      <c r="AL32" s="264" t="str">
        <f t="shared" si="0"/>
        <v>U32:AK32</v>
      </c>
    </row>
    <row r="33" spans="1:38" s="249" customFormat="1" ht="27" customHeight="1">
      <c r="A33" s="222"/>
      <c r="B33" s="265" t="str" cm="1">
        <f t="array" ref="B33">_xlfn.LET(_xlpm.x,IFERROR(INDEX(TbRsmIn[Enquiry No],SUM(ROW()-MATCH("SOR",$A:$A,0))),"X"),IF(_xlpm.x=0,"X",_xlpm.x))</f>
        <v>2CT007</v>
      </c>
      <c r="C33" s="265" t="str">
        <f>IF($B33="X","X",INDEX(F_PI2[PrjId],MATCH(VALUE(LEFT($B33,1)),F_PI2[PrjOrd],0)))</f>
        <v>31199</v>
      </c>
      <c r="D33" s="265" t="str">
        <f t="shared" si="2"/>
        <v>Sp</v>
      </c>
      <c r="E33" s="271" t="str" cm="1">
        <f t="array" ref="E33">IF($B33="","X",UPPER(_xlfn._xlws.FILTER(CstClcData[Value],(CstClcData[Name]=$B33)*(CstClcData[Attribute]=E$3),"X")))</f>
        <v>SUPPORT COST FOR PAYMENT TEMPORAL IMPORT TAXES AND MANAGEMENT</v>
      </c>
      <c r="F33" s="275" t="str" cm="1">
        <f t="array" ref="F33">IF($B33="X","X",_xlfn.UNIQUE(_xlfn._xlws.FILTER(PInt2[VtaId],(ISNUMBER(FIND(RIGHT($B33,LEN($B33)-1),SUBSTITUTE(PInt2[PInNxm],"-",""))))*(PInt2[PrjId]=TEXT($C33,"@")),"X")))</f>
        <v>X</v>
      </c>
      <c r="G33" s="276" t="str" cm="1">
        <f t="array" ref="G33">IF($F33="X","X",_xlfn.UNIQUE(_xlfn._xlws.FILTER(PInt2[OrdIds],(PInt2[VtaId]=$F33)*(PInt2[PrjId]=TEXT($C33,"@")),"X")))</f>
        <v>X</v>
      </c>
      <c r="H33" s="275" t="str" cm="1">
        <f t="array" ref="H33">IF($F33="X","X",_xlfn.UNIQUE(_xlfn._xlws.FILTER(PInt2[CusOrdId],(PInt2[VtaId]=$F33)*(PInt2[PrjId]=TEXT($C33,"@")),"X")))</f>
        <v>X</v>
      </c>
      <c r="I33" s="272" cm="1">
        <f t="array" ref="I33">IF($B33="","X",_xlfn._xlws.FILTER(TbRsmIn[Date],(TbRsmIn[Enquiry No]=$B33),"X"))</f>
        <v>45307</v>
      </c>
      <c r="J33" s="273">
        <f t="shared" si="3"/>
        <v>202403</v>
      </c>
      <c r="K33" s="272" t="str" cm="1">
        <f t="array" ref="K33">IF($B33="","X",_xlfn._xlws.FILTER(TbRsmIn[Causality],(TbRsmIn[Enquiry No]=$B33),"X"))</f>
        <v>ERRORES</v>
      </c>
      <c r="L33" s="267" t="str" cm="1">
        <f t="array" ref="L33">_xlfn._xlws.FILTER(PInt2[OrdMin],PInt2[VtaId]=$F33,"X")</f>
        <v>X</v>
      </c>
      <c r="M33" s="267" t="str" cm="1">
        <f t="array" ref="M33">_xlfn._xlws.FILTER(PInt2[PayMax],PInt2[VtaId]=$F33,"X")</f>
        <v>X</v>
      </c>
      <c r="N33" s="122" t="str" cm="1">
        <f t="array" ref="N33">IFERROR(_xlfn.TEXTAFTER(INDEX(O$5:R$5,MAX(_xlfn._xlws.FILTER(COLUMN($O33:$R33),($O33:$R33&lt;&gt;0)*($O33:$R33&lt;"")*(UPPER($O33:$R33)&lt;&gt;"X")))-MATCH("SOV",$1:$1,0))," "),"X")</f>
        <v>Ofertado</v>
      </c>
      <c r="O33" s="274" cm="1">
        <f t="array" ref="O33">IF($B33="","X",_xlfn._xlws.FILTER(TbRsmIn[Offered],(TbRsmIn[Enquiry No]=$B33),"X"))</f>
        <v>289.64</v>
      </c>
      <c r="P33" s="274" t="str" cm="1">
        <f t="array" ref="P33">IF($B33="","X",IF(Q33&lt;&gt;0,Q33,_xlfn._xlws.FILTER(CstClcData[Value],(CstClcData[Name]=$B33)*(CstClcData[Attribute]=P$3),"X")))</f>
        <v>X</v>
      </c>
      <c r="Q33" s="274" cm="1">
        <f t="array" ref="Q33">IF($B33="","X",_xlfn._xlws.FILTER(TbRsmIn[Ordered],(TbRsmIn[Enquiry No]=$B33),"X"))</f>
        <v>0</v>
      </c>
      <c r="R33" s="268" cm="1">
        <f t="array" ref="R33">SUM(_xlfn._xlws.FILTER(PInt2[InvCur],(PInt2[PInNxm]&lt;&gt;0)*(PInt2[PrjId]=$C33)*(IFERROR(_xlfn.TEXTBEFORE(SUBSTITUTE(PInt2[PInNxm],"-",""),"/"),"X")=RIGHT($B33,LEN($B33)-1)),0))</f>
        <v>0</v>
      </c>
      <c r="S33" s="122" t="str" cm="1">
        <f t="array" ref="S33">IF($B33="","X",_xlfn._xlws.FILTER(TbRsmIn[Alive]&amp;CHAR(10)&amp;TEXT(TbRsmIn[Ongoing],"000%"),(TbRsmIn[Enquiry No]=$B33),"X"))</f>
        <v>R
100%</v>
      </c>
      <c r="T33" s="293">
        <f t="shared" ca="1" si="1"/>
        <v>289.63659999999999</v>
      </c>
      <c r="U33" s="277" cm="1">
        <f t="array" ref="U33">SUM(_xlfn._xlws.FILTER(CstClcCur[[Value]:[Value]],(CstClcCur[[Name]:[Name]]=$B33)*(ISNUMBER(FIND(CstClcCur[[Attribute]:[Attribute]],U$3))),0))</f>
        <v>0</v>
      </c>
      <c r="V33" s="277" cm="1">
        <f t="array" ref="V33">SUM(_xlfn._xlws.FILTER(CstClcCur[[Value]:[Value]],(CstClcCur[[Name]:[Name]]=$B33)*(ISNUMBER(FIND(CstClcCur[[Attribute]:[Attribute]],V$3))),0))</f>
        <v>0</v>
      </c>
      <c r="W33" s="277" cm="1">
        <f t="array" ref="W33">SUM(_xlfn._xlws.FILTER(CstClcCur[[Value]:[Value]],(CstClcCur[[Name]:[Name]]=$B33)*(ISNUMBER(FIND(CstClcCur[[Attribute]:[Attribute]],W$3))),0))</f>
        <v>0</v>
      </c>
      <c r="X33" s="277" cm="1">
        <f t="array" ref="X33">SUM(_xlfn._xlws.FILTER(CstClcCur[[Value]:[Value]],(CstClcCur[[Name]:[Name]]=$B33)*(ISNUMBER(FIND(CstClcCur[[Attribute]:[Attribute]],X$3))),0))</f>
        <v>0</v>
      </c>
      <c r="Y33" s="277" cm="1">
        <f t="array" ref="Y33">SUM(_xlfn._xlws.FILTER(CstClcCur[[Value]:[Value]],(CstClcCur[[Name]:[Name]]=$B33)*(ISNUMBER(FIND(CstClcCur[[Attribute]:[Attribute]],Y$3))),0))</f>
        <v>0</v>
      </c>
      <c r="Z33" s="277" cm="1">
        <f t="array" ref="Z33">SUM(_xlfn._xlws.FILTER(CstClcCur[[Value]:[Value]],(CstClcCur[[Name]:[Name]]=$B33)*(ISNUMBER(FIND(CstClcCur[[Attribute]:[Attribute]],Z$3))),0))</f>
        <v>0</v>
      </c>
      <c r="AA33" s="277" cm="1">
        <f t="array" ref="AA33">SUM(_xlfn._xlws.FILTER(CstClcCur[[Value]:[Value]],(CstClcCur[[Name]:[Name]]=$B33)*(ISNUMBER(FIND(CstClcCur[[Attribute]:[Attribute]],AA$3))),0))</f>
        <v>0</v>
      </c>
      <c r="AB33" s="277" cm="1">
        <f t="array" ref="AB33">SUM(_xlfn._xlws.FILTER(CstClcCur[[Value]:[Value]],(CstClcCur[[Name]:[Name]]=$B33)*(ISNUMBER(FIND(CstClcCur[[Attribute]:[Attribute]],AB$3))),0))</f>
        <v>0</v>
      </c>
      <c r="AC33" s="277" cm="1">
        <f t="array" ref="AC33">SUM(_xlfn._xlws.FILTER(CstClcCur[[Value]:[Value]],(CstClcCur[[Name]:[Name]]=$B33)*(ISNUMBER(FIND(CstClcCur[[Attribute]:[Attribute]],AC$3))),0))</f>
        <v>0</v>
      </c>
      <c r="AD33" s="277" cm="1">
        <f t="array" ref="AD33">SUM(_xlfn._xlws.FILTER(CstClcCur[[Value]:[Value]],(CstClcCur[[Name]:[Name]]=$B33)*(ISNUMBER(FIND(CstClcCur[[Attribute]:[Attribute]],AD$3))),0))</f>
        <v>0</v>
      </c>
      <c r="AE33" s="277" cm="1">
        <f t="array" ref="AE33">SUM(_xlfn._xlws.FILTER(CstClcCur[[Value]:[Value]],(CstClcCur[[Name]:[Name]]=$B33)*(ISNUMBER(FIND(CstClcCur[[Attribute]:[Attribute]],AE$3))),0))</f>
        <v>0</v>
      </c>
      <c r="AF33" s="277" cm="1">
        <f t="array" ref="AF33">SUM(_xlfn._xlws.FILTER(CstClcCur[[Value]:[Value]],(CstClcCur[[Name]:[Name]]=$B33)*(ISNUMBER(FIND(CstClcCur[[Attribute]:[Attribute]],AF$3))),0))</f>
        <v>0</v>
      </c>
      <c r="AG33" s="277" cm="1">
        <f t="array" ref="AG33">SUM(_xlfn._xlws.FILTER(CstClcCur[[Value]:[Value]],(CstClcCur[[Name]:[Name]]=$B33)*(ISNUMBER(FIND(CstClcCur[[Attribute]:[Attribute]],AG$3))),0))</f>
        <v>0</v>
      </c>
      <c r="AH33" s="277" cm="1">
        <f t="array" ref="AH33">SUM(_xlfn._xlws.FILTER(CstClcCur[[Value]:[Value]],(CstClcCur[[Name]:[Name]]=$B33)*(ISNUMBER(FIND(CstClcCur[[Attribute]:[Attribute]],AH$3))),0))</f>
        <v>0</v>
      </c>
      <c r="AI33" s="277" cm="1">
        <f t="array" ref="AI33">SUM(_xlfn._xlws.FILTER(CstClcCur[[Value]:[Value]],(CstClcCur[[Name]:[Name]]=$B33)*(ISNUMBER(FIND(CstClcCur[[Attribute]:[Attribute]],AI$3))),0))</f>
        <v>0</v>
      </c>
      <c r="AJ33" s="277" cm="1">
        <f t="array" ref="AJ33">SUM(_xlfn._xlws.FILTER(CstClcCur[[Value]:[Value]],(CstClcCur[[Name]:[Name]]=$B33)*(ISNUMBER(FIND(CstClcCur[[Attribute]:[Attribute]],AJ$3))),0))</f>
        <v>0</v>
      </c>
      <c r="AK33" s="277" cm="1">
        <f t="array" ref="AK33">SUM(_xlfn._xlws.FILTER(CstClcCur[[Value]:[Value]],(CstClcCur[[Name]:[Name]]=$B33)*(ISNUMBER(FIND(CstClcCur[[Attribute]:[Attribute]],AK$3))),0))</f>
        <v>289.63659999999999</v>
      </c>
      <c r="AL33" s="264" t="str">
        <f t="shared" si="0"/>
        <v>U33:AK33</v>
      </c>
    </row>
    <row r="34" spans="1:38" s="249" customFormat="1" ht="27" customHeight="1">
      <c r="A34" s="222"/>
      <c r="B34" s="265" t="str" cm="1">
        <f t="array" ref="B34">_xlfn.LET(_xlpm.x,IFERROR(INDEX(TbRsmIn[Enquiry No],SUM(ROW()-MATCH("SOR",$A:$A,0))),"X"),IF(_xlpm.x=0,"X",_xlpm.x))</f>
        <v>2CT008</v>
      </c>
      <c r="C34" s="265" t="str">
        <f>IF($B34="X","X",INDEX(F_PI2[PrjId],MATCH(VALUE(LEFT($B34,1)),F_PI2[PrjOrd],0)))</f>
        <v>31199</v>
      </c>
      <c r="D34" s="265" t="str">
        <f t="shared" si="2"/>
        <v>Sp</v>
      </c>
      <c r="E34" s="271" t="str" cm="1">
        <f t="array" ref="E34">IF($B34="","X",UPPER(_xlfn._xlws.FILTER(CstClcData[Value],(CstClcData[Name]=$B34)*(CstClcData[Attribute]=E$3),"X")))</f>
        <v>EMA RR EOL AUTO UNLOAD AGV RACK (REVISITED). EMAIL 04/12/23.  V14 FILE INCLUDED.</v>
      </c>
      <c r="F34" s="275" t="str" cm="1">
        <f t="array" ref="F34">IF($B34="X","X",_xlfn.UNIQUE(_xlfn._xlws.FILTER(PInt2[VtaId],(ISNUMBER(FIND(RIGHT($B34,LEN($B34)-1),SUBSTITUTE(PInt2[PInNxm],"-",""))))*(PInt2[PrjId]=TEXT($C34,"@")),"X")))</f>
        <v>X</v>
      </c>
      <c r="G34" s="276" t="str" cm="1">
        <f t="array" ref="G34">IF($F34="X","X",_xlfn.UNIQUE(_xlfn._xlws.FILTER(PInt2[OrdIds],(PInt2[VtaId]=$F34)*(PInt2[PrjId]=TEXT($C34,"@")),"X")))</f>
        <v>X</v>
      </c>
      <c r="H34" s="275" t="str" cm="1">
        <f t="array" ref="H34">IF($F34="X","X",_xlfn.UNIQUE(_xlfn._xlws.FILTER(PInt2[CusOrdId],(PInt2[VtaId]=$F34)*(PInt2[PrjId]=TEXT($C34,"@")),"X")))</f>
        <v>X</v>
      </c>
      <c r="I34" s="272" cm="1">
        <f t="array" ref="I34">IF($B34="","X",_xlfn._xlws.FILTER(TbRsmIn[Date],(TbRsmIn[Enquiry No]=$B34),"X"))</f>
        <v>45301</v>
      </c>
      <c r="J34" s="273">
        <f t="shared" si="3"/>
        <v>202402</v>
      </c>
      <c r="K34" s="272" t="str" cm="1">
        <f t="array" ref="K34">IF($B34="","X",_xlfn._xlws.FILTER(TbRsmIn[Causality],(TbRsmIn[Enquiry No]=$B34),"X"))</f>
        <v>OTROS</v>
      </c>
      <c r="L34" s="267" t="str" cm="1">
        <f t="array" ref="L34">_xlfn._xlws.FILTER(PInt2[OrdMin],PInt2[VtaId]=$F34,"X")</f>
        <v>X</v>
      </c>
      <c r="M34" s="267" t="str" cm="1">
        <f t="array" ref="M34">_xlfn._xlws.FILTER(PInt2[PayMax],PInt2[VtaId]=$F34,"X")</f>
        <v>X</v>
      </c>
      <c r="N34" s="122" t="str" cm="1">
        <f t="array" ref="N34">IFERROR(_xlfn.TEXTAFTER(INDEX(O$5:R$5,MAX(_xlfn._xlws.FILTER(COLUMN($O34:$R34),($O34:$R34&lt;&gt;0)*($O34:$R34&lt;"")*(UPPER($O34:$R34)&lt;&gt;"X")))-MATCH("SOV",$1:$1,0))," "),"X")</f>
        <v>Ofertado</v>
      </c>
      <c r="O34" s="274" cm="1">
        <f t="array" ref="O34">IF($B34="","X",_xlfn._xlws.FILTER(TbRsmIn[Offered],(TbRsmIn[Enquiry No]=$B34),"X"))</f>
        <v>404400</v>
      </c>
      <c r="P34" s="274" t="str" cm="1">
        <f t="array" ref="P34">IF($B34="","X",IF(Q34&lt;&gt;0,Q34,_xlfn._xlws.FILTER(CstClcData[Value],(CstClcData[Name]=$B34)*(CstClcData[Attribute]=P$3),"X")))</f>
        <v>X</v>
      </c>
      <c r="Q34" s="274" cm="1">
        <f t="array" ref="Q34">IF($B34="","X",_xlfn._xlws.FILTER(TbRsmIn[Ordered],(TbRsmIn[Enquiry No]=$B34),"X"))</f>
        <v>0</v>
      </c>
      <c r="R34" s="268" cm="1">
        <f t="array" ref="R34">SUM(_xlfn._xlws.FILTER(PInt2[InvCur],(PInt2[PInNxm]&lt;&gt;0)*(PInt2[PrjId]=$C34)*(IFERROR(_xlfn.TEXTBEFORE(SUBSTITUTE(PInt2[PInNxm],"-",""),"/"),"X")=RIGHT($B34,LEN($B34)-1)),0))</f>
        <v>0</v>
      </c>
      <c r="S34" s="122" t="str" cm="1">
        <f t="array" ref="S34">IF($B34="","X",_xlfn._xlws.FILTER(TbRsmIn[Alive]&amp;CHAR(10)&amp;TEXT(TbRsmIn[Ongoing],"000%"),(TbRsmIn[Enquiry No]=$B34),"X"))</f>
        <v>C
000%</v>
      </c>
      <c r="T34" s="293">
        <f t="shared" ca="1" si="1"/>
        <v>404400</v>
      </c>
      <c r="U34" s="277" cm="1">
        <f t="array" ref="U34">SUM(_xlfn._xlws.FILTER(CstClcCur[[Value]:[Value]],(CstClcCur[[Name]:[Name]]=$B34)*(ISNUMBER(FIND(CstClcCur[[Attribute]:[Attribute]],U$3))),0))</f>
        <v>0</v>
      </c>
      <c r="V34" s="277" cm="1">
        <f t="array" ref="V34">SUM(_xlfn._xlws.FILTER(CstClcCur[[Value]:[Value]],(CstClcCur[[Name]:[Name]]=$B34)*(ISNUMBER(FIND(CstClcCur[[Attribute]:[Attribute]],V$3))),0))</f>
        <v>0</v>
      </c>
      <c r="W34" s="277" cm="1">
        <f t="array" ref="W34">SUM(_xlfn._xlws.FILTER(CstClcCur[[Value]:[Value]],(CstClcCur[[Name]:[Name]]=$B34)*(ISNUMBER(FIND(CstClcCur[[Attribute]:[Attribute]],W$3))),0))</f>
        <v>0</v>
      </c>
      <c r="X34" s="277" cm="1">
        <f t="array" ref="X34">SUM(_xlfn._xlws.FILTER(CstClcCur[[Value]:[Value]],(CstClcCur[[Name]:[Name]]=$B34)*(ISNUMBER(FIND(CstClcCur[[Attribute]:[Attribute]],X$3))),0))</f>
        <v>0</v>
      </c>
      <c r="Y34" s="277" cm="1">
        <f t="array" ref="Y34">SUM(_xlfn._xlws.FILTER(CstClcCur[[Value]:[Value]],(CstClcCur[[Name]:[Name]]=$B34)*(ISNUMBER(FIND(CstClcCur[[Attribute]:[Attribute]],Y$3))),0))</f>
        <v>0</v>
      </c>
      <c r="Z34" s="277" cm="1">
        <f t="array" ref="Z34">SUM(_xlfn._xlws.FILTER(CstClcCur[[Value]:[Value]],(CstClcCur[[Name]:[Name]]=$B34)*(ISNUMBER(FIND(CstClcCur[[Attribute]:[Attribute]],Z$3))),0))</f>
        <v>0</v>
      </c>
      <c r="AA34" s="277" cm="1">
        <f t="array" ref="AA34">SUM(_xlfn._xlws.FILTER(CstClcCur[[Value]:[Value]],(CstClcCur[[Name]:[Name]]=$B34)*(ISNUMBER(FIND(CstClcCur[[Attribute]:[Attribute]],AA$3))),0))</f>
        <v>0</v>
      </c>
      <c r="AB34" s="277" cm="1">
        <f t="array" ref="AB34">SUM(_xlfn._xlws.FILTER(CstClcCur[[Value]:[Value]],(CstClcCur[[Name]:[Name]]=$B34)*(ISNUMBER(FIND(CstClcCur[[Attribute]:[Attribute]],AB$3))),0))</f>
        <v>0</v>
      </c>
      <c r="AC34" s="277" cm="1">
        <f t="array" ref="AC34">SUM(_xlfn._xlws.FILTER(CstClcCur[[Value]:[Value]],(CstClcCur[[Name]:[Name]]=$B34)*(ISNUMBER(FIND(CstClcCur[[Attribute]:[Attribute]],AC$3))),0))</f>
        <v>0</v>
      </c>
      <c r="AD34" s="277" cm="1">
        <f t="array" ref="AD34">SUM(_xlfn._xlws.FILTER(CstClcCur[[Value]:[Value]],(CstClcCur[[Name]:[Name]]=$B34)*(ISNUMBER(FIND(CstClcCur[[Attribute]:[Attribute]],AD$3))),0))</f>
        <v>0</v>
      </c>
      <c r="AE34" s="277" cm="1">
        <f t="array" ref="AE34">SUM(_xlfn._xlws.FILTER(CstClcCur[[Value]:[Value]],(CstClcCur[[Name]:[Name]]=$B34)*(ISNUMBER(FIND(CstClcCur[[Attribute]:[Attribute]],AE$3))),0))</f>
        <v>404400</v>
      </c>
      <c r="AF34" s="277" cm="1">
        <f t="array" ref="AF34">SUM(_xlfn._xlws.FILTER(CstClcCur[[Value]:[Value]],(CstClcCur[[Name]:[Name]]=$B34)*(ISNUMBER(FIND(CstClcCur[[Attribute]:[Attribute]],AF$3))),0))</f>
        <v>0</v>
      </c>
      <c r="AG34" s="277" cm="1">
        <f t="array" ref="AG34">SUM(_xlfn._xlws.FILTER(CstClcCur[[Value]:[Value]],(CstClcCur[[Name]:[Name]]=$B34)*(ISNUMBER(FIND(CstClcCur[[Attribute]:[Attribute]],AG$3))),0))</f>
        <v>0</v>
      </c>
      <c r="AH34" s="277" cm="1">
        <f t="array" ref="AH34">SUM(_xlfn._xlws.FILTER(CstClcCur[[Value]:[Value]],(CstClcCur[[Name]:[Name]]=$B34)*(ISNUMBER(FIND(CstClcCur[[Attribute]:[Attribute]],AH$3))),0))</f>
        <v>0</v>
      </c>
      <c r="AI34" s="277" cm="1">
        <f t="array" ref="AI34">SUM(_xlfn._xlws.FILTER(CstClcCur[[Value]:[Value]],(CstClcCur[[Name]:[Name]]=$B34)*(ISNUMBER(FIND(CstClcCur[[Attribute]:[Attribute]],AI$3))),0))</f>
        <v>0</v>
      </c>
      <c r="AJ34" s="277" cm="1">
        <f t="array" ref="AJ34">SUM(_xlfn._xlws.FILTER(CstClcCur[[Value]:[Value]],(CstClcCur[[Name]:[Name]]=$B34)*(ISNUMBER(FIND(CstClcCur[[Attribute]:[Attribute]],AJ$3))),0))</f>
        <v>0</v>
      </c>
      <c r="AK34" s="277" cm="1">
        <f t="array" ref="AK34">SUM(_xlfn._xlws.FILTER(CstClcCur[[Value]:[Value]],(CstClcCur[[Name]:[Name]]=$B34)*(ISNUMBER(FIND(CstClcCur[[Attribute]:[Attribute]],AK$3))),0))</f>
        <v>0</v>
      </c>
      <c r="AL34" s="264" t="str">
        <f t="shared" si="0"/>
        <v>U34:AK34</v>
      </c>
    </row>
    <row r="35" spans="1:38" s="249" customFormat="1" ht="27" customHeight="1">
      <c r="A35" s="222"/>
      <c r="B35" s="265" t="str" cm="1">
        <f t="array" ref="B35">_xlfn.LET(_xlpm.x,IFERROR(INDEX(TbRsmIn[Enquiry No],SUM(ROW()-MATCH("SOR",$A:$A,0))),"X"),IF(_xlpm.x=0,"X",_xlpm.x))</f>
        <v>2CT009</v>
      </c>
      <c r="C35" s="265" t="str">
        <f>IF($B35="X","X",INDEX(F_PI2[PrjId],MATCH(VALUE(LEFT($B35,1)),F_PI2[PrjOrd],0)))</f>
        <v>31199</v>
      </c>
      <c r="D35" s="265" t="str">
        <f t="shared" si="2"/>
        <v>Sp</v>
      </c>
      <c r="E35" s="271" t="str" cm="1">
        <f t="array" ref="E35">IF($B35="","X",UPPER(_xlfn._xlws.FILTER(CstClcData[Value],(CstClcData[Name]=$B35)*(CstClcData[Attribute]=E$3),"X")))</f>
        <v>2 UNITS HANDLING ROBOT PLINTHS SUPPLY FOR ROBOTS 180+280. HALF COST DUE TO DELAY ON DESIGN CHANGE.</v>
      </c>
      <c r="F35" s="275" t="str" cm="1">
        <f t="array" ref="F35">IF($B35="X","X",_xlfn.UNIQUE(_xlfn._xlws.FILTER(PInt2[VtaId],(ISNUMBER(FIND(RIGHT($B35,LEN($B35)-1),SUBSTITUTE(PInt2[PInNxm],"-",""))))*(PInt2[PrjId]=TEXT($C35,"@")),"X")))</f>
        <v>X</v>
      </c>
      <c r="G35" s="276" t="str" cm="1">
        <f t="array" ref="G35">IF($F35="X","X",_xlfn.UNIQUE(_xlfn._xlws.FILTER(PInt2[OrdIds],(PInt2[VtaId]=$F35)*(PInt2[PrjId]=TEXT($C35,"@")),"X")))</f>
        <v>X</v>
      </c>
      <c r="H35" s="275" t="str" cm="1">
        <f t="array" ref="H35">IF($F35="X","X",_xlfn.UNIQUE(_xlfn._xlws.FILTER(PInt2[CusOrdId],(PInt2[VtaId]=$F35)*(PInt2[PrjId]=TEXT($C35,"@")),"X")))</f>
        <v>X</v>
      </c>
      <c r="I35" s="272" cm="1">
        <f t="array" ref="I35">IF($B35="","X",_xlfn._xlws.FILTER(TbRsmIn[Date],(TbRsmIn[Enquiry No]=$B35),"X"))</f>
        <v>45361</v>
      </c>
      <c r="J35" s="273">
        <f t="shared" si="3"/>
        <v>202410</v>
      </c>
      <c r="K35" s="272" t="str" cm="1">
        <f t="array" ref="K35">IF($B35="","X",_xlfn._xlws.FILTER(TbRsmIn[Causality],(TbRsmIn[Enquiry No]=$B35),"X"))</f>
        <v>NORMATIVA</v>
      </c>
      <c r="L35" s="267" t="str" cm="1">
        <f t="array" ref="L35">_xlfn._xlws.FILTER(PInt2[OrdMin],PInt2[VtaId]=$F35,"X")</f>
        <v>X</v>
      </c>
      <c r="M35" s="267" t="str" cm="1">
        <f t="array" ref="M35">_xlfn._xlws.FILTER(PInt2[PayMax],PInt2[VtaId]=$F35,"X")</f>
        <v>X</v>
      </c>
      <c r="N35" s="122" t="str" cm="1">
        <f t="array" ref="N35">IFERROR(_xlfn.TEXTAFTER(INDEX(O$5:R$5,MAX(_xlfn._xlws.FILTER(COLUMN($O35:$R35),($O35:$R35&lt;&gt;0)*($O35:$R35&lt;"")*(UPPER($O35:$R35)&lt;&gt;"X")))-MATCH("SOV",$1:$1,0))," "),"X")</f>
        <v>Ofertado</v>
      </c>
      <c r="O35" s="274" cm="1">
        <f t="array" ref="O35">IF($B35="","X",_xlfn._xlws.FILTER(TbRsmIn[Offered],(TbRsmIn[Enquiry No]=$B35),"X"))</f>
        <v>4697.8100000000004</v>
      </c>
      <c r="P35" s="274" t="str" cm="1">
        <f t="array" ref="P35">IF($B35="","X",IF(Q35&lt;&gt;0,Q35,_xlfn._xlws.FILTER(CstClcData[Value],(CstClcData[Name]=$B35)*(CstClcData[Attribute]=P$3),"X")))</f>
        <v>X</v>
      </c>
      <c r="Q35" s="274" cm="1">
        <f t="array" ref="Q35">IF($B35="","X",_xlfn._xlws.FILTER(TbRsmIn[Ordered],(TbRsmIn[Enquiry No]=$B35),"X"))</f>
        <v>0</v>
      </c>
      <c r="R35" s="268" cm="1">
        <f t="array" ref="R35">SUM(_xlfn._xlws.FILTER(PInt2[InvCur],(PInt2[PInNxm]&lt;&gt;0)*(PInt2[PrjId]=$C35)*(IFERROR(_xlfn.TEXTBEFORE(SUBSTITUTE(PInt2[PInNxm],"-",""),"/"),"X")=RIGHT($B35,LEN($B35)-1)),0))</f>
        <v>0</v>
      </c>
      <c r="S35" s="122" t="str" cm="1">
        <f t="array" ref="S35">IF($B35="","X",_xlfn._xlws.FILTER(TbRsmIn[Alive]&amp;CHAR(10)&amp;TEXT(TbRsmIn[Ongoing],"000%"),(TbRsmIn[Enquiry No]=$B35),"X"))</f>
        <v>R
100%</v>
      </c>
      <c r="T35" s="293">
        <f t="shared" ca="1" si="1"/>
        <v>4617.3942999999999</v>
      </c>
      <c r="U35" s="277" cm="1">
        <f t="array" ref="U35">SUM(_xlfn._xlws.FILTER(CstClcCur[[Value]:[Value]],(CstClcCur[[Name]:[Name]]=$B35)*(ISNUMBER(FIND(CstClcCur[[Attribute]:[Attribute]],U$3))),0))</f>
        <v>0</v>
      </c>
      <c r="V35" s="277" cm="1">
        <f t="array" ref="V35">SUM(_xlfn._xlws.FILTER(CstClcCur[[Value]:[Value]],(CstClcCur[[Name]:[Name]]=$B35)*(ISNUMBER(FIND(CstClcCur[[Attribute]:[Attribute]],V$3))),0))</f>
        <v>0</v>
      </c>
      <c r="W35" s="277" cm="1">
        <f t="array" ref="W35">SUM(_xlfn._xlws.FILTER(CstClcCur[[Value]:[Value]],(CstClcCur[[Name]:[Name]]=$B35)*(ISNUMBER(FIND(CstClcCur[[Attribute]:[Attribute]],W$3))),0))</f>
        <v>0</v>
      </c>
      <c r="X35" s="277" cm="1">
        <f t="array" ref="X35">SUM(_xlfn._xlws.FILTER(CstClcCur[[Value]:[Value]],(CstClcCur[[Name]:[Name]]=$B35)*(ISNUMBER(FIND(CstClcCur[[Attribute]:[Attribute]],X$3))),0))</f>
        <v>0</v>
      </c>
      <c r="Y35" s="277" cm="1">
        <f t="array" ref="Y35">SUM(_xlfn._xlws.FILTER(CstClcCur[[Value]:[Value]],(CstClcCur[[Name]:[Name]]=$B35)*(ISNUMBER(FIND(CstClcCur[[Attribute]:[Attribute]],Y$3))),0))</f>
        <v>0</v>
      </c>
      <c r="Z35" s="277" cm="1">
        <f t="array" ref="Z35">SUM(_xlfn._xlws.FILTER(CstClcCur[[Value]:[Value]],(CstClcCur[[Name]:[Name]]=$B35)*(ISNUMBER(FIND(CstClcCur[[Attribute]:[Attribute]],Z$3))),0))</f>
        <v>0</v>
      </c>
      <c r="AA35" s="277" cm="1">
        <f t="array" ref="AA35">SUM(_xlfn._xlws.FILTER(CstClcCur[[Value]:[Value]],(CstClcCur[[Name]:[Name]]=$B35)*(ISNUMBER(FIND(CstClcCur[[Attribute]:[Attribute]],AA$3))),0))</f>
        <v>0</v>
      </c>
      <c r="AB35" s="277" cm="1">
        <f t="array" ref="AB35">SUM(_xlfn._xlws.FILTER(CstClcCur[[Value]:[Value]],(CstClcCur[[Name]:[Name]]=$B35)*(ISNUMBER(FIND(CstClcCur[[Attribute]:[Attribute]],AB$3))),0))</f>
        <v>0</v>
      </c>
      <c r="AC35" s="277" cm="1">
        <f t="array" ref="AC35">SUM(_xlfn._xlws.FILTER(CstClcCur[[Value]:[Value]],(CstClcCur[[Name]:[Name]]=$B35)*(ISNUMBER(FIND(CstClcCur[[Attribute]:[Attribute]],AC$3))),0))</f>
        <v>0</v>
      </c>
      <c r="AD35" s="277" cm="1">
        <f t="array" ref="AD35">SUM(_xlfn._xlws.FILTER(CstClcCur[[Value]:[Value]],(CstClcCur[[Name]:[Name]]=$B35)*(ISNUMBER(FIND(CstClcCur[[Attribute]:[Attribute]],AD$3))),0))</f>
        <v>0</v>
      </c>
      <c r="AE35" s="277" cm="1">
        <f t="array" ref="AE35">SUM(_xlfn._xlws.FILTER(CstClcCur[[Value]:[Value]],(CstClcCur[[Name]:[Name]]=$B35)*(ISNUMBER(FIND(CstClcCur[[Attribute]:[Attribute]],AE$3))),0))</f>
        <v>0</v>
      </c>
      <c r="AF35" s="277" cm="1">
        <f t="array" ref="AF35">SUM(_xlfn._xlws.FILTER(CstClcCur[[Value]:[Value]],(CstClcCur[[Name]:[Name]]=$B35)*(ISNUMBER(FIND(CstClcCur[[Attribute]:[Attribute]],AF$3))),0))</f>
        <v>0</v>
      </c>
      <c r="AG35" s="277" cm="1">
        <f t="array" ref="AG35">SUM(_xlfn._xlws.FILTER(CstClcCur[[Value]:[Value]],(CstClcCur[[Name]:[Name]]=$B35)*(ISNUMBER(FIND(CstClcCur[[Attribute]:[Attribute]],AG$3))),0))</f>
        <v>0</v>
      </c>
      <c r="AH35" s="277" cm="1">
        <f t="array" ref="AH35">SUM(_xlfn._xlws.FILTER(CstClcCur[[Value]:[Value]],(CstClcCur[[Name]:[Name]]=$B35)*(ISNUMBER(FIND(CstClcCur[[Attribute]:[Attribute]],AH$3))),0))</f>
        <v>2098.8155999999999</v>
      </c>
      <c r="AI35" s="277" cm="1">
        <f t="array" ref="AI35">SUM(_xlfn._xlws.FILTER(CstClcCur[[Value]:[Value]],(CstClcCur[[Name]:[Name]]=$B35)*(ISNUMBER(FIND(CstClcCur[[Attribute]:[Attribute]],AI$3))),0))</f>
        <v>0</v>
      </c>
      <c r="AJ35" s="277" cm="1">
        <f t="array" ref="AJ35">SUM(_xlfn._xlws.FILTER(CstClcCur[[Value]:[Value]],(CstClcCur[[Name]:[Name]]=$B35)*(ISNUMBER(FIND(CstClcCur[[Attribute]:[Attribute]],AJ$3))),0))</f>
        <v>0</v>
      </c>
      <c r="AK35" s="277" cm="1">
        <f t="array" ref="AK35">SUM(_xlfn._xlws.FILTER(CstClcCur[[Value]:[Value]],(CstClcCur[[Name]:[Name]]=$B35)*(ISNUMBER(FIND(CstClcCur[[Attribute]:[Attribute]],AK$3))),0))</f>
        <v>2518.5787</v>
      </c>
      <c r="AL35" s="264" t="str">
        <f t="shared" si="0"/>
        <v>U35:AK35</v>
      </c>
    </row>
    <row r="36" spans="1:38" s="249" customFormat="1" ht="27" customHeight="1">
      <c r="A36" s="222"/>
      <c r="B36" s="265" t="str" cm="1">
        <f t="array" ref="B36">_xlfn.LET(_xlpm.x,IFERROR(INDEX(TbRsmIn[Enquiry No],SUM(ROW()-MATCH("SOR",$A:$A,0))),"X"),IF(_xlpm.x=0,"X",_xlpm.x))</f>
        <v>2CT010</v>
      </c>
      <c r="C36" s="265" t="str">
        <f>IF($B36="X","X",INDEX(F_PI2[PrjId],MATCH(VALUE(LEFT($B36,1)),F_PI2[PrjOrd],0)))</f>
        <v>31199</v>
      </c>
      <c r="D36" s="265" t="str">
        <f t="shared" si="2"/>
        <v>Sp</v>
      </c>
      <c r="E36" s="271" t="str" cm="1">
        <f t="array" ref="E36">IF($B36="","X",UPPER(_xlfn._xlws.FILTER(CstClcData[Value],(CstClcData[Name]=$B36)*(CstClcData[Attribute]=E$3),"X")))</f>
        <v>10 PALLETS TO BE DELIVERED FOR RECOVERED FLOOR CONVEYOR FOR PHASE 1 EOL</v>
      </c>
      <c r="F36" s="275" cm="1">
        <f t="array" ref="F36">IF($B36="X","X",_xlfn.UNIQUE(_xlfn._xlws.FILTER(PInt2[VtaId],(ISNUMBER(FIND(RIGHT($B36,LEN($B36)-1),SUBSTITUTE(PInt2[PInNxm],"-",""))))*(PInt2[PrjId]=TEXT($C36,"@")),"X")))</f>
        <v>162433</v>
      </c>
      <c r="G36" s="276" cm="1">
        <f t="array" ref="G36">IF($F36="X","X",_xlfn.UNIQUE(_xlfn._xlws.FILTER(PInt2[OrdIds],(PInt2[VtaId]=$F36)*(PInt2[PrjId]=TEXT($C36,"@")),"X")))</f>
        <v>0</v>
      </c>
      <c r="H36" s="275" cm="1">
        <f t="array" ref="H36">IF($F36="X","X",_xlfn.UNIQUE(_xlfn._xlws.FILTER(PInt2[CusOrdId],(PInt2[VtaId]=$F36)*(PInt2[PrjId]=TEXT($C36,"@")),"X")))</f>
        <v>0</v>
      </c>
      <c r="I36" s="272" cm="1">
        <f t="array" ref="I36">IF($B36="","X",_xlfn._xlws.FILTER(TbRsmIn[Date],(TbRsmIn[Enquiry No]=$B36),"X"))</f>
        <v>45414</v>
      </c>
      <c r="J36" s="273">
        <f t="shared" si="3"/>
        <v>202418</v>
      </c>
      <c r="K36" s="272" t="str" cm="1">
        <f t="array" ref="K36">IF($B36="","X",_xlfn._xlws.FILTER(TbRsmIn[Causality],(TbRsmIn[Enquiry No]=$B36),"X"))</f>
        <v>OTROS</v>
      </c>
      <c r="L36" s="267" cm="1">
        <f t="array" ref="L36">_xlfn._xlws.FILTER(PInt2[OrdMin],PInt2[VtaId]=$F36,"X")</f>
        <v>0</v>
      </c>
      <c r="M36" s="267" cm="1">
        <f t="array" ref="M36">_xlfn._xlws.FILTER(PInt2[PayMax],PInt2[VtaId]=$F36,"X")</f>
        <v>45565</v>
      </c>
      <c r="N36" s="122" t="str" cm="1">
        <f t="array" ref="N36">IFERROR(_xlfn.TEXTAFTER(INDEX(O$5:R$5,MAX(_xlfn._xlws.FILTER(COLUMN($O36:$R36),($O36:$R36&lt;&gt;0)*($O36:$R36&lt;"")*(UPPER($O36:$R36)&lt;&gt;"X")))-MATCH("SOV",$1:$1,0))," "),"X")</f>
        <v>Facturado</v>
      </c>
      <c r="O36" s="274" cm="1">
        <f t="array" ref="O36">IF($B36="","X",_xlfn._xlws.FILTER(TbRsmIn[Offered],(TbRsmIn[Enquiry No]=$B36),"X"))</f>
        <v>19469.060000000001</v>
      </c>
      <c r="P36" s="274" t="str" cm="1">
        <f t="array" ref="P36">IF($B36="","X",IF(Q36&lt;&gt;0,Q36,_xlfn._xlws.FILTER(CstClcData[Value],(CstClcData[Name]=$B36)*(CstClcData[Attribute]=P$3),"X")))</f>
        <v>X</v>
      </c>
      <c r="Q36" s="274" cm="1">
        <f t="array" ref="Q36">IF($B36="","X",_xlfn._xlws.FILTER(TbRsmIn[Ordered],(TbRsmIn[Enquiry No]=$B36),"X"))</f>
        <v>0</v>
      </c>
      <c r="R36" s="268" cm="1">
        <f t="array" ref="R36">SUM(_xlfn._xlws.FILTER(PInt2[InvCur],(PInt2[PInNxm]&lt;&gt;0)*(PInt2[PrjId]=$C36)*(IFERROR(_xlfn.TEXTBEFORE(SUBSTITUTE(PInt2[PInNxm],"-",""),"/"),"X")=RIGHT($B36,LEN($B36)-1)),0))</f>
        <v>18857</v>
      </c>
      <c r="S36" s="122" t="str" cm="1">
        <f t="array" ref="S36">IF($B36="","X",_xlfn._xlws.FILTER(TbRsmIn[Alive]&amp;CHAR(10)&amp;TEXT(TbRsmIn[Ongoing],"000%"),(TbRsmIn[Enquiry No]=$B36),"X"))</f>
        <v>R
100%</v>
      </c>
      <c r="T36" s="293">
        <f t="shared" ca="1" si="1"/>
        <v>15355.938499999998</v>
      </c>
      <c r="U36" s="277" cm="1">
        <f t="array" ref="U36">SUM(_xlfn._xlws.FILTER(CstClcCur[[Value]:[Value]],(CstClcCur[[Name]:[Name]]=$B36)*(ISNUMBER(FIND(CstClcCur[[Attribute]:[Attribute]],U$3))),0))</f>
        <v>0</v>
      </c>
      <c r="V36" s="277" cm="1">
        <f t="array" ref="V36">SUM(_xlfn._xlws.FILTER(CstClcCur[[Value]:[Value]],(CstClcCur[[Name]:[Name]]=$B36)*(ISNUMBER(FIND(CstClcCur[[Attribute]:[Attribute]],V$3))),0))</f>
        <v>88.955500000000001</v>
      </c>
      <c r="W36" s="277" cm="1">
        <f t="array" ref="W36">SUM(_xlfn._xlws.FILTER(CstClcCur[[Value]:[Value]],(CstClcCur[[Name]:[Name]]=$B36)*(ISNUMBER(FIND(CstClcCur[[Attribute]:[Attribute]],W$3))),0))</f>
        <v>133.4332</v>
      </c>
      <c r="X36" s="277" cm="1">
        <f t="array" ref="X36">SUM(_xlfn._xlws.FILTER(CstClcCur[[Value]:[Value]],(CstClcCur[[Name]:[Name]]=$B36)*(ISNUMBER(FIND(CstClcCur[[Attribute]:[Attribute]],X$3))),0))</f>
        <v>464.6</v>
      </c>
      <c r="Y36" s="277" cm="1">
        <f t="array" ref="Y36">SUM(_xlfn._xlws.FILTER(CstClcCur[[Value]:[Value]],(CstClcCur[[Name]:[Name]]=$B36)*(ISNUMBER(FIND(CstClcCur[[Attribute]:[Attribute]],Y$3))),0))</f>
        <v>1181.1974</v>
      </c>
      <c r="Z36" s="277" cm="1">
        <f t="array" ref="Z36">SUM(_xlfn._xlws.FILTER(CstClcCur[[Value]:[Value]],(CstClcCur[[Name]:[Name]]=$B36)*(ISNUMBER(FIND(CstClcCur[[Attribute]:[Attribute]],Z$3))),0))</f>
        <v>0</v>
      </c>
      <c r="AA36" s="277" cm="1">
        <f t="array" ref="AA36">SUM(_xlfn._xlws.FILTER(CstClcCur[[Value]:[Value]],(CstClcCur[[Name]:[Name]]=$B36)*(ISNUMBER(FIND(CstClcCur[[Attribute]:[Attribute]],AA$3))),0))</f>
        <v>0</v>
      </c>
      <c r="AB36" s="277" cm="1">
        <f t="array" ref="AB36">SUM(_xlfn._xlws.FILTER(CstClcCur[[Value]:[Value]],(CstClcCur[[Name]:[Name]]=$B36)*(ISNUMBER(FIND(CstClcCur[[Attribute]:[Attribute]],AB$3))),0))</f>
        <v>5701.6310000000003</v>
      </c>
      <c r="AC36" s="277" cm="1">
        <f t="array" ref="AC36">SUM(_xlfn._xlws.FILTER(CstClcCur[[Value]:[Value]],(CstClcCur[[Name]:[Name]]=$B36)*(ISNUMBER(FIND(CstClcCur[[Attribute]:[Attribute]],AC$3))),0))</f>
        <v>734.4425</v>
      </c>
      <c r="AD36" s="277" cm="1">
        <f t="array" ref="AD36">SUM(_xlfn._xlws.FILTER(CstClcCur[[Value]:[Value]],(CstClcCur[[Name]:[Name]]=$B36)*(ISNUMBER(FIND(CstClcCur[[Attribute]:[Attribute]],AD$3))),0))</f>
        <v>209.54</v>
      </c>
      <c r="AE36" s="277" cm="1">
        <f t="array" ref="AE36">SUM(_xlfn._xlws.FILTER(CstClcCur[[Value]:[Value]],(CstClcCur[[Name]:[Name]]=$B36)*(ISNUMBER(FIND(CstClcCur[[Attribute]:[Attribute]],AE$3))),0))</f>
        <v>0</v>
      </c>
      <c r="AF36" s="277" cm="1">
        <f t="array" ref="AF36">SUM(_xlfn._xlws.FILTER(CstClcCur[[Value]:[Value]],(CstClcCur[[Name]:[Name]]=$B36)*(ISNUMBER(FIND(CstClcCur[[Attribute]:[Attribute]],AF$3))),0))</f>
        <v>0</v>
      </c>
      <c r="AG36" s="277" cm="1">
        <f t="array" ref="AG36">SUM(_xlfn._xlws.FILTER(CstClcCur[[Value]:[Value]],(CstClcCur[[Name]:[Name]]=$B36)*(ISNUMBER(FIND(CstClcCur[[Attribute]:[Attribute]],AG$3))),0))</f>
        <v>0</v>
      </c>
      <c r="AH36" s="277" cm="1">
        <f t="array" ref="AH36">SUM(_xlfn._xlws.FILTER(CstClcCur[[Value]:[Value]],(CstClcCur[[Name]:[Name]]=$B36)*(ISNUMBER(FIND(CstClcCur[[Attribute]:[Attribute]],AH$3))),0))</f>
        <v>5247.0389999999998</v>
      </c>
      <c r="AI36" s="277" cm="1">
        <f t="array" ref="AI36">SUM(_xlfn._xlws.FILTER(CstClcCur[[Value]:[Value]],(CstClcCur[[Name]:[Name]]=$B36)*(ISNUMBER(FIND(CstClcCur[[Attribute]:[Attribute]],AI$3))),0))</f>
        <v>0</v>
      </c>
      <c r="AJ36" s="277" cm="1">
        <f t="array" ref="AJ36">SUM(_xlfn._xlws.FILTER(CstClcCur[[Value]:[Value]],(CstClcCur[[Name]:[Name]]=$B36)*(ISNUMBER(FIND(CstClcCur[[Attribute]:[Attribute]],AJ$3))),0))</f>
        <v>0</v>
      </c>
      <c r="AK36" s="277" cm="1">
        <f t="array" ref="AK36">SUM(_xlfn._xlws.FILTER(CstClcCur[[Value]:[Value]],(CstClcCur[[Name]:[Name]]=$B36)*(ISNUMBER(FIND(CstClcCur[[Attribute]:[Attribute]],AK$3))),0))</f>
        <v>1595.0998999999999</v>
      </c>
      <c r="AL36" s="264" t="str">
        <f t="shared" si="0"/>
        <v>U36:AK36</v>
      </c>
    </row>
    <row r="37" spans="1:38" s="249" customFormat="1" ht="27" customHeight="1">
      <c r="A37" s="222"/>
      <c r="B37" s="265" t="str" cm="1">
        <f t="array" ref="B37">_xlfn.LET(_xlpm.x,IFERROR(INDEX(TbRsmIn[Enquiry No],SUM(ROW()-MATCH("SOR",$A:$A,0))),"X"),IF(_xlpm.x=0,"X",_xlpm.x))</f>
        <v>2CT011</v>
      </c>
      <c r="C37" s="265" t="str">
        <f>IF($B37="X","X",INDEX(F_PI2[PrjId],MATCH(VALUE(LEFT($B37,1)),F_PI2[PrjOrd],0)))</f>
        <v>31199</v>
      </c>
      <c r="D37" s="265" t="str">
        <f t="shared" si="2"/>
        <v>Sp</v>
      </c>
      <c r="E37" s="271" t="str" cm="1">
        <f t="array" ref="E37">IF($B37="","X",UPPER(_xlfn._xlws.FILTER(CstClcData[Value],(CstClcData[Name]=$B37)*(CstClcData[Attribute]=E$3),"X")))</f>
        <v>TO INCLUDE MARKER STATION ON PHASE 1 EOL SUPPLY.  OPTION 1 (NEW)</v>
      </c>
      <c r="F37" s="275" t="str" cm="1">
        <f t="array" ref="F37">IF($B37="X","X",_xlfn.UNIQUE(_xlfn._xlws.FILTER(PInt2[VtaId],(ISNUMBER(FIND(RIGHT($B37,LEN($B37)-1),SUBSTITUTE(PInt2[PInNxm],"-",""))))*(PInt2[PrjId]=TEXT($C37,"@")),"X")))</f>
        <v>X</v>
      </c>
      <c r="G37" s="276" t="str" cm="1">
        <f t="array" ref="G37">IF($F37="X","X",_xlfn.UNIQUE(_xlfn._xlws.FILTER(PInt2[OrdIds],(PInt2[VtaId]=$F37)*(PInt2[PrjId]=TEXT($C37,"@")),"X")))</f>
        <v>X</v>
      </c>
      <c r="H37" s="275" t="str" cm="1">
        <f t="array" ref="H37">IF($F37="X","X",_xlfn.UNIQUE(_xlfn._xlws.FILTER(PInt2[CusOrdId],(PInt2[VtaId]=$F37)*(PInt2[PrjId]=TEXT($C37,"@")),"X")))</f>
        <v>X</v>
      </c>
      <c r="I37" s="272" cm="1">
        <f t="array" ref="I37">IF($B37="","X",_xlfn._xlws.FILTER(TbRsmIn[Date],(TbRsmIn[Enquiry No]=$B37),"X"))</f>
        <v>45414</v>
      </c>
      <c r="J37" s="273">
        <f t="shared" si="3"/>
        <v>202418</v>
      </c>
      <c r="K37" s="272" t="str" cm="1">
        <f t="array" ref="K37">IF($B37="","X",_xlfn._xlws.FILTER(TbRsmIn[Causality],(TbRsmIn[Enquiry No]=$B37),"X"))</f>
        <v>OTROS</v>
      </c>
      <c r="L37" s="267" t="str" cm="1">
        <f t="array" ref="L37">_xlfn._xlws.FILTER(PInt2[OrdMin],PInt2[VtaId]=$F37,"X")</f>
        <v>X</v>
      </c>
      <c r="M37" s="267" t="str" cm="1">
        <f t="array" ref="M37">_xlfn._xlws.FILTER(PInt2[PayMax],PInt2[VtaId]=$F37,"X")</f>
        <v>X</v>
      </c>
      <c r="N37" s="122" t="str" cm="1">
        <f t="array" ref="N37">IFERROR(_xlfn.TEXTAFTER(INDEX(O$5:R$5,MAX(_xlfn._xlws.FILTER(COLUMN($O37:$R37),($O37:$R37&lt;&gt;0)*($O37:$R37&lt;"")*(UPPER($O37:$R37)&lt;&gt;"X")))-MATCH("SOV",$1:$1,0))," "),"X")</f>
        <v>Ofertado</v>
      </c>
      <c r="O37" s="274" cm="1">
        <f t="array" ref="O37">IF($B37="","X",_xlfn._xlws.FILTER(TbRsmIn[Offered],(TbRsmIn[Enquiry No]=$B37),"X"))</f>
        <v>24007.47</v>
      </c>
      <c r="P37" s="274" t="str" cm="1">
        <f t="array" ref="P37">IF($B37="","X",IF(Q37&lt;&gt;0,Q37,_xlfn._xlws.FILTER(CstClcData[Value],(CstClcData[Name]=$B37)*(CstClcData[Attribute]=P$3),"X")))</f>
        <v>X</v>
      </c>
      <c r="Q37" s="274" cm="1">
        <f t="array" ref="Q37">IF($B37="","X",_xlfn._xlws.FILTER(TbRsmIn[Ordered],(TbRsmIn[Enquiry No]=$B37),"X"))</f>
        <v>0</v>
      </c>
      <c r="R37" s="268" cm="1">
        <f t="array" ref="R37">SUM(_xlfn._xlws.FILTER(PInt2[InvCur],(PInt2[PInNxm]&lt;&gt;0)*(PInt2[PrjId]=$C37)*(IFERROR(_xlfn.TEXTBEFORE(SUBSTITUTE(PInt2[PInNxm],"-",""),"/"),"X")=RIGHT($B37,LEN($B37)-1)),0))</f>
        <v>0</v>
      </c>
      <c r="S37" s="122" t="str" cm="1">
        <f t="array" ref="S37">IF($B37="","X",_xlfn._xlws.FILTER(TbRsmIn[Alive]&amp;CHAR(10)&amp;TEXT(TbRsmIn[Ongoing],"000%"),(TbRsmIn[Enquiry No]=$B37),"X"))</f>
        <v>C
000%</v>
      </c>
      <c r="T37" s="293">
        <f t="shared" ca="1" si="1"/>
        <v>14709.0142</v>
      </c>
      <c r="U37" s="277" cm="1">
        <f t="array" ref="U37">SUM(_xlfn._xlws.FILTER(CstClcCur[[Value]:[Value]],(CstClcCur[[Name]:[Name]]=$B37)*(ISNUMBER(FIND(CstClcCur[[Attribute]:[Attribute]],U$3))),0))</f>
        <v>0</v>
      </c>
      <c r="V37" s="277" cm="1">
        <f t="array" ref="V37">SUM(_xlfn._xlws.FILTER(CstClcCur[[Value]:[Value]],(CstClcCur[[Name]:[Name]]=$B37)*(ISNUMBER(FIND(CstClcCur[[Attribute]:[Attribute]],V$3))),0))</f>
        <v>2305.2831999999999</v>
      </c>
      <c r="W37" s="277" cm="1">
        <f t="array" ref="W37">SUM(_xlfn._xlws.FILTER(CstClcCur[[Value]:[Value]],(CstClcCur[[Name]:[Name]]=$B37)*(ISNUMBER(FIND(CstClcCur[[Attribute]:[Attribute]],W$3))),0))</f>
        <v>3457.9247999999998</v>
      </c>
      <c r="X37" s="277" cm="1">
        <f t="array" ref="X37">SUM(_xlfn._xlws.FILTER(CstClcCur[[Value]:[Value]],(CstClcCur[[Name]:[Name]]=$B37)*(ISNUMBER(FIND(CstClcCur[[Attribute]:[Attribute]],X$3))),0))</f>
        <v>232.3</v>
      </c>
      <c r="Y37" s="277" cm="1">
        <f t="array" ref="Y37">SUM(_xlfn._xlws.FILTER(CstClcCur[[Value]:[Value]],(CstClcCur[[Name]:[Name]]=$B37)*(ISNUMBER(FIND(CstClcCur[[Attribute]:[Attribute]],Y$3))),0))</f>
        <v>446.2</v>
      </c>
      <c r="Z37" s="277" cm="1">
        <f t="array" ref="Z37">SUM(_xlfn._xlws.FILTER(CstClcCur[[Value]:[Value]],(CstClcCur[[Name]:[Name]]=$B37)*(ISNUMBER(FIND(CstClcCur[[Attribute]:[Attribute]],Z$3))),0))</f>
        <v>0</v>
      </c>
      <c r="AA37" s="277" cm="1">
        <f t="array" ref="AA37">SUM(_xlfn._xlws.FILTER(CstClcCur[[Value]:[Value]],(CstClcCur[[Name]:[Name]]=$B37)*(ISNUMBER(FIND(CstClcCur[[Attribute]:[Attribute]],AA$3))),0))</f>
        <v>0</v>
      </c>
      <c r="AB37" s="277" cm="1">
        <f t="array" ref="AB37">SUM(_xlfn._xlws.FILTER(CstClcCur[[Value]:[Value]],(CstClcCur[[Name]:[Name]]=$B37)*(ISNUMBER(FIND(CstClcCur[[Attribute]:[Attribute]],AB$3))),0))</f>
        <v>6282.7587000000003</v>
      </c>
      <c r="AC37" s="277" cm="1">
        <f t="array" ref="AC37">SUM(_xlfn._xlws.FILTER(CstClcCur[[Value]:[Value]],(CstClcCur[[Name]:[Name]]=$B37)*(ISNUMBER(FIND(CstClcCur[[Attribute]:[Attribute]],AC$3))),0))</f>
        <v>1703.9066</v>
      </c>
      <c r="AD37" s="277" cm="1">
        <f t="array" ref="AD37">SUM(_xlfn._xlws.FILTER(CstClcCur[[Value]:[Value]],(CstClcCur[[Name]:[Name]]=$B37)*(ISNUMBER(FIND(CstClcCur[[Attribute]:[Attribute]],AD$3))),0))</f>
        <v>544.80399999999997</v>
      </c>
      <c r="AE37" s="277" cm="1">
        <f t="array" ref="AE37">SUM(_xlfn._xlws.FILTER(CstClcCur[[Value]:[Value]],(CstClcCur[[Name]:[Name]]=$B37)*(ISNUMBER(FIND(CstClcCur[[Attribute]:[Attribute]],AE$3))),0))</f>
        <v>-7555.7361000000001</v>
      </c>
      <c r="AF37" s="277" cm="1">
        <f t="array" ref="AF37">SUM(_xlfn._xlws.FILTER(CstClcCur[[Value]:[Value]],(CstClcCur[[Name]:[Name]]=$B37)*(ISNUMBER(FIND(CstClcCur[[Attribute]:[Attribute]],AF$3))),0))</f>
        <v>382.99799999999999</v>
      </c>
      <c r="AG37" s="277" cm="1">
        <f t="array" ref="AG37">SUM(_xlfn._xlws.FILTER(CstClcCur[[Value]:[Value]],(CstClcCur[[Name]:[Name]]=$B37)*(ISNUMBER(FIND(CstClcCur[[Attribute]:[Attribute]],AG$3))),0))</f>
        <v>0</v>
      </c>
      <c r="AH37" s="277" cm="1">
        <f t="array" ref="AH37">SUM(_xlfn._xlws.FILTER(CstClcCur[[Value]:[Value]],(CstClcCur[[Name]:[Name]]=$B37)*(ISNUMBER(FIND(CstClcCur[[Attribute]:[Attribute]],AH$3))),0))</f>
        <v>2186.9782</v>
      </c>
      <c r="AI37" s="277" cm="1">
        <f t="array" ref="AI37">SUM(_xlfn._xlws.FILTER(CstClcCur[[Value]:[Value]],(CstClcCur[[Name]:[Name]]=$B37)*(ISNUMBER(FIND(CstClcCur[[Attribute]:[Attribute]],AI$3))),0))</f>
        <v>2622.7811999999999</v>
      </c>
      <c r="AJ37" s="277" cm="1">
        <f t="array" ref="AJ37">SUM(_xlfn._xlws.FILTER(CstClcCur[[Value]:[Value]],(CstClcCur[[Name]:[Name]]=$B37)*(ISNUMBER(FIND(CstClcCur[[Attribute]:[Attribute]],AJ$3))),0))</f>
        <v>0</v>
      </c>
      <c r="AK37" s="277" cm="1">
        <f t="array" ref="AK37">SUM(_xlfn._xlws.FILTER(CstClcCur[[Value]:[Value]],(CstClcCur[[Name]:[Name]]=$B37)*(ISNUMBER(FIND(CstClcCur[[Attribute]:[Attribute]],AK$3))),0))</f>
        <v>2098.8155999999999</v>
      </c>
      <c r="AL37" s="264" t="str">
        <f t="shared" si="0"/>
        <v>U37:AK37</v>
      </c>
    </row>
    <row r="38" spans="1:38" s="249" customFormat="1" ht="27" customHeight="1">
      <c r="A38" s="222"/>
      <c r="B38" s="265" t="str" cm="1">
        <f t="array" ref="B38">_xlfn.LET(_xlpm.x,IFERROR(INDEX(TbRsmIn[Enquiry No],SUM(ROW()-MATCH("SOR",$A:$A,0))),"X"),IF(_xlpm.x=0,"X",_xlpm.x))</f>
        <v>2CT012</v>
      </c>
      <c r="C38" s="265" t="str">
        <f>IF($B38="X","X",INDEX(F_PI2[PrjId],MATCH(VALUE(LEFT($B38,1)),F_PI2[PrjOrd],0)))</f>
        <v>31199</v>
      </c>
      <c r="D38" s="265" t="str">
        <f t="shared" si="2"/>
        <v>Sp</v>
      </c>
      <c r="E38" s="271" t="str" cm="1">
        <f t="array" ref="E38">IF($B38="","X",UPPER(_xlfn._xlws.FILTER(CstClcData[Value],(CstClcData[Name]=$B38)*(CstClcData[Attribute]=E$3),"X")))</f>
        <v>TO INCLUDE MARKER STATION ON PHASE 1 EOL SUPPLY.  OPTION 2 (RECOVERED)</v>
      </c>
      <c r="F38" s="275" t="str" cm="1">
        <f t="array" ref="F38">IF($B38="X","X",_xlfn.UNIQUE(_xlfn._xlws.FILTER(PInt2[VtaId],(ISNUMBER(FIND(RIGHT($B38,LEN($B38)-1),SUBSTITUTE(PInt2[PInNxm],"-",""))))*(PInt2[PrjId]=TEXT($C38,"@")),"X")))</f>
        <v>X</v>
      </c>
      <c r="G38" s="276" t="str" cm="1">
        <f t="array" ref="G38">IF($F38="X","X",_xlfn.UNIQUE(_xlfn._xlws.FILTER(PInt2[OrdIds],(PInt2[VtaId]=$F38)*(PInt2[PrjId]=TEXT($C38,"@")),"X")))</f>
        <v>X</v>
      </c>
      <c r="H38" s="275" t="str" cm="1">
        <f t="array" ref="H38">IF($F38="X","X",_xlfn.UNIQUE(_xlfn._xlws.FILTER(PInt2[CusOrdId],(PInt2[VtaId]=$F38)*(PInt2[PrjId]=TEXT($C38,"@")),"X")))</f>
        <v>X</v>
      </c>
      <c r="I38" s="272" cm="1">
        <f t="array" ref="I38">IF($B38="","X",_xlfn._xlws.FILTER(TbRsmIn[Date],(TbRsmIn[Enquiry No]=$B38),"X"))</f>
        <v>45414</v>
      </c>
      <c r="J38" s="273">
        <f t="shared" si="3"/>
        <v>202418</v>
      </c>
      <c r="K38" s="272" t="str" cm="1">
        <f t="array" ref="K38">IF($B38="","X",_xlfn._xlws.FILTER(TbRsmIn[Causality],(TbRsmIn[Enquiry No]=$B38),"X"))</f>
        <v>OTROS</v>
      </c>
      <c r="L38" s="267" t="str" cm="1">
        <f t="array" ref="L38">_xlfn._xlws.FILTER(PInt2[OrdMin],PInt2[VtaId]=$F38,"X")</f>
        <v>X</v>
      </c>
      <c r="M38" s="267" t="str" cm="1">
        <f t="array" ref="M38">_xlfn._xlws.FILTER(PInt2[PayMax],PInt2[VtaId]=$F38,"X")</f>
        <v>X</v>
      </c>
      <c r="N38" s="122" t="str" cm="1">
        <f t="array" ref="N38">IFERROR(_xlfn.TEXTAFTER(INDEX(O$5:R$5,MAX(_xlfn._xlws.FILTER(COLUMN($O38:$R38),($O38:$R38&lt;&gt;0)*($O38:$R38&lt;"")*(UPPER($O38:$R38)&lt;&gt;"X")))-MATCH("SOV",$1:$1,0))," "),"X")</f>
        <v>Ofertado</v>
      </c>
      <c r="O38" s="274" cm="1">
        <f t="array" ref="O38">IF($B38="","X",_xlfn._xlws.FILTER(TbRsmIn[Offered],(TbRsmIn[Enquiry No]=$B38),"X"))</f>
        <v>1569.14</v>
      </c>
      <c r="P38" s="274" t="str" cm="1">
        <f t="array" ref="P38">IF($B38="","X",IF(Q38&lt;&gt;0,Q38,_xlfn._xlws.FILTER(CstClcData[Value],(CstClcData[Name]=$B38)*(CstClcData[Attribute]=P$3),"X")))</f>
        <v>X</v>
      </c>
      <c r="Q38" s="274" cm="1">
        <f t="array" ref="Q38">IF($B38="","X",_xlfn._xlws.FILTER(TbRsmIn[Ordered],(TbRsmIn[Enquiry No]=$B38),"X"))</f>
        <v>0</v>
      </c>
      <c r="R38" s="268" cm="1">
        <f t="array" ref="R38">SUM(_xlfn._xlws.FILTER(PInt2[InvCur],(PInt2[PInNxm]&lt;&gt;0)*(PInt2[PrjId]=$C38)*(IFERROR(_xlfn.TEXTBEFORE(SUBSTITUTE(PInt2[PInNxm],"-",""),"/"),"X")=RIGHT($B38,LEN($B38)-1)),0))</f>
        <v>0</v>
      </c>
      <c r="S38" s="122" t="str" cm="1">
        <f t="array" ref="S38">IF($B38="","X",_xlfn._xlws.FILTER(TbRsmIn[Alive]&amp;CHAR(10)&amp;TEXT(TbRsmIn[Ongoing],"000%"),(TbRsmIn[Enquiry No]=$B38),"X"))</f>
        <v>R
100%</v>
      </c>
      <c r="T38" s="293">
        <f t="shared" ca="1" si="1"/>
        <v>-742.53760000000079</v>
      </c>
      <c r="U38" s="277" cm="1">
        <f t="array" ref="U38">SUM(_xlfn._xlws.FILTER(CstClcCur[[Value]:[Value]],(CstClcCur[[Name]:[Name]]=$B38)*(ISNUMBER(FIND(CstClcCur[[Attribute]:[Attribute]],U$3))),0))</f>
        <v>248.15</v>
      </c>
      <c r="V38" s="277" cm="1">
        <f t="array" ref="V38">SUM(_xlfn._xlws.FILTER(CstClcCur[[Value]:[Value]],(CstClcCur[[Name]:[Name]]=$B38)*(ISNUMBER(FIND(CstClcCur[[Attribute]:[Attribute]],V$3))),0))</f>
        <v>437.71199999999999</v>
      </c>
      <c r="W38" s="277" cm="1">
        <f t="array" ref="W38">SUM(_xlfn._xlws.FILTER(CstClcCur[[Value]:[Value]],(CstClcCur[[Name]:[Name]]=$B38)*(ISNUMBER(FIND(CstClcCur[[Attribute]:[Attribute]],W$3))),0))</f>
        <v>656.56799999999998</v>
      </c>
      <c r="X38" s="277" cm="1">
        <f t="array" ref="X38">SUM(_xlfn._xlws.FILTER(CstClcCur[[Value]:[Value]],(CstClcCur[[Name]:[Name]]=$B38)*(ISNUMBER(FIND(CstClcCur[[Attribute]:[Attribute]],X$3))),0))</f>
        <v>464.6</v>
      </c>
      <c r="Y38" s="277" cm="1">
        <f t="array" ref="Y38">SUM(_xlfn._xlws.FILTER(CstClcCur[[Value]:[Value]],(CstClcCur[[Name]:[Name]]=$B38)*(ISNUMBER(FIND(CstClcCur[[Attribute]:[Attribute]],Y$3))),0))</f>
        <v>446.2</v>
      </c>
      <c r="Z38" s="277" cm="1">
        <f t="array" ref="Z38">SUM(_xlfn._xlws.FILTER(CstClcCur[[Value]:[Value]],(CstClcCur[[Name]:[Name]]=$B38)*(ISNUMBER(FIND(CstClcCur[[Attribute]:[Attribute]],Z$3))),0))</f>
        <v>0</v>
      </c>
      <c r="AA38" s="277" cm="1">
        <f t="array" ref="AA38">SUM(_xlfn._xlws.FILTER(CstClcCur[[Value]:[Value]],(CstClcCur[[Name]:[Name]]=$B38)*(ISNUMBER(FIND(CstClcCur[[Attribute]:[Attribute]],AA$3))),0))</f>
        <v>0</v>
      </c>
      <c r="AB38" s="277" cm="1">
        <f t="array" ref="AB38">SUM(_xlfn._xlws.FILTER(CstClcCur[[Value]:[Value]],(CstClcCur[[Name]:[Name]]=$B38)*(ISNUMBER(FIND(CstClcCur[[Attribute]:[Attribute]],AB$3))),0))</f>
        <v>1973.6415</v>
      </c>
      <c r="AC38" s="277" cm="1">
        <f t="array" ref="AC38">SUM(_xlfn._xlws.FILTER(CstClcCur[[Value]:[Value]],(CstClcCur[[Name]:[Name]]=$B38)*(ISNUMBER(FIND(CstClcCur[[Attribute]:[Attribute]],AC$3))),0))</f>
        <v>440.66550000000001</v>
      </c>
      <c r="AD38" s="277" cm="1">
        <f t="array" ref="AD38">SUM(_xlfn._xlws.FILTER(CstClcCur[[Value]:[Value]],(CstClcCur[[Name]:[Name]]=$B38)*(ISNUMBER(FIND(CstClcCur[[Attribute]:[Attribute]],AD$3))),0))</f>
        <v>209.54</v>
      </c>
      <c r="AE38" s="277" cm="1">
        <f t="array" ref="AE38">SUM(_xlfn._xlws.FILTER(CstClcCur[[Value]:[Value]],(CstClcCur[[Name]:[Name]]=$B38)*(ISNUMBER(FIND(CstClcCur[[Attribute]:[Attribute]],AE$3))),0))</f>
        <v>-7555.7361000000001</v>
      </c>
      <c r="AF38" s="277" cm="1">
        <f t="array" ref="AF38">SUM(_xlfn._xlws.FILTER(CstClcCur[[Value]:[Value]],(CstClcCur[[Name]:[Name]]=$B38)*(ISNUMBER(FIND(CstClcCur[[Attribute]:[Attribute]],AF$3))),0))</f>
        <v>382.99799999999999</v>
      </c>
      <c r="AG38" s="277" cm="1">
        <f t="array" ref="AG38">SUM(_xlfn._xlws.FILTER(CstClcCur[[Value]:[Value]],(CstClcCur[[Name]:[Name]]=$B38)*(ISNUMBER(FIND(CstClcCur[[Attribute]:[Attribute]],AG$3))),0))</f>
        <v>0</v>
      </c>
      <c r="AH38" s="277" cm="1">
        <f t="array" ref="AH38">SUM(_xlfn._xlws.FILTER(CstClcCur[[Value]:[Value]],(CstClcCur[[Name]:[Name]]=$B38)*(ISNUMBER(FIND(CstClcCur[[Attribute]:[Attribute]],AH$3))),0))</f>
        <v>713.59730000000002</v>
      </c>
      <c r="AI38" s="277" cm="1">
        <f t="array" ref="AI38">SUM(_xlfn._xlws.FILTER(CstClcCur[[Value]:[Value]],(CstClcCur[[Name]:[Name]]=$B38)*(ISNUMBER(FIND(CstClcCur[[Attribute]:[Attribute]],AI$3))),0))</f>
        <v>0</v>
      </c>
      <c r="AJ38" s="277" cm="1">
        <f t="array" ref="AJ38">SUM(_xlfn._xlws.FILTER(CstClcCur[[Value]:[Value]],(CstClcCur[[Name]:[Name]]=$B38)*(ISNUMBER(FIND(CstClcCur[[Attribute]:[Attribute]],AJ$3))),0))</f>
        <v>0</v>
      </c>
      <c r="AK38" s="277" cm="1">
        <f t="array" ref="AK38">SUM(_xlfn._xlws.FILTER(CstClcCur[[Value]:[Value]],(CstClcCur[[Name]:[Name]]=$B38)*(ISNUMBER(FIND(CstClcCur[[Attribute]:[Attribute]],AK$3))),0))</f>
        <v>839.52620000000002</v>
      </c>
      <c r="AL38" s="264" t="str">
        <f t="shared" si="0"/>
        <v>U38:AK38</v>
      </c>
    </row>
    <row r="39" spans="1:38" s="249" customFormat="1" ht="27" customHeight="1">
      <c r="A39" s="222"/>
      <c r="B39" s="265" t="str" cm="1">
        <f t="array" ref="B39">_xlfn.LET(_xlpm.x,IFERROR(INDEX(TbRsmIn[Enquiry No],SUM(ROW()-MATCH("SOR",$A:$A,0))),"X"),IF(_xlpm.x=0,"X",_xlpm.x))</f>
        <v>2CT013</v>
      </c>
      <c r="C39" s="265" t="str">
        <f>IF($B39="X","X",INDEX(F_PI2[PrjId],MATCH(VALUE(LEFT($B39,1)),F_PI2[PrjOrd],0)))</f>
        <v>31199</v>
      </c>
      <c r="D39" s="265" t="str">
        <f t="shared" si="2"/>
        <v>Sp</v>
      </c>
      <c r="E39" s="271" t="str" cm="1">
        <f t="array" ref="E39">IF($B39="","X",UPPER(_xlfn._xlws.FILTER(CstClcData[Value],(CstClcData[Name]=$B39)*(CstClcData[Attribute]=E$3),"X")))</f>
        <v>COST ENGINEERING, MANUFACTURING, PRE-MOUNTING AND SHIPMENT RELATED TO ECR5883</v>
      </c>
      <c r="F39" s="275" cm="1">
        <f t="array" ref="F39">IF($B39="X","X",_xlfn.UNIQUE(_xlfn._xlws.FILTER(PInt2[VtaId],(ISNUMBER(FIND(RIGHT($B39,LEN($B39)-1),SUBSTITUTE(PInt2[PInNxm],"-",""))))*(PInt2[PrjId]=TEXT($C39,"@")),"X")))</f>
        <v>162511</v>
      </c>
      <c r="G39" s="276" cm="1">
        <f t="array" ref="G39">IF($F39="X","X",_xlfn.UNIQUE(_xlfn._xlws.FILTER(PInt2[OrdIds],(PInt2[VtaId]=$F39)*(PInt2[PrjId]=TEXT($C39,"@")),"X")))</f>
        <v>0</v>
      </c>
      <c r="H39" s="275" cm="1">
        <f t="array" ref="H39">IF($F39="X","X",_xlfn.UNIQUE(_xlfn._xlws.FILTER(PInt2[CusOrdId],(PInt2[VtaId]=$F39)*(PInt2[PrjId]=TEXT($C39,"@")),"X")))</f>
        <v>0</v>
      </c>
      <c r="I39" s="272" cm="1">
        <f t="array" ref="I39">IF($B39="","X",_xlfn._xlws.FILTER(TbRsmIn[Date],(TbRsmIn[Enquiry No]=$B39),"X"))</f>
        <v>45539</v>
      </c>
      <c r="J39" s="273">
        <f t="shared" si="3"/>
        <v>202436</v>
      </c>
      <c r="K39" s="272" t="str" cm="1">
        <f t="array" ref="K39">IF($B39="","X",_xlfn._xlws.FILTER(TbRsmIn[Causality],(TbRsmIn[Enquiry No]=$B39),"X"))</f>
        <v>OTROS</v>
      </c>
      <c r="L39" s="267" cm="1">
        <f t="array" ref="L39">_xlfn._xlws.FILTER(PInt2[OrdMin],PInt2[VtaId]=$F39,"X")</f>
        <v>0</v>
      </c>
      <c r="M39" s="267" cm="1">
        <f t="array" ref="M39">_xlfn._xlws.FILTER(PInt2[PayMax],PInt2[VtaId]=$F39,"X")</f>
        <v>45608</v>
      </c>
      <c r="N39" s="122" t="str" cm="1">
        <f t="array" ref="N39">IFERROR(_xlfn.TEXTAFTER(INDEX(O$5:R$5,MAX(_xlfn._xlws.FILTER(COLUMN($O39:$R39),($O39:$R39&lt;&gt;0)*($O39:$R39&lt;"")*(UPPER($O39:$R39)&lt;&gt;"X")))-MATCH("SOV",$1:$1,0))," "),"X")</f>
        <v>Facturado</v>
      </c>
      <c r="O39" s="274" cm="1">
        <f t="array" ref="O39">IF($B39="","X",_xlfn._xlws.FILTER(TbRsmIn[Offered],(TbRsmIn[Enquiry No]=$B39),"X"))</f>
        <v>9712</v>
      </c>
      <c r="P39" s="274" t="str" cm="1">
        <f t="array" ref="P39">IF($B39="","X",IF(Q39&lt;&gt;0,Q39,_xlfn._xlws.FILTER(CstClcData[Value],(CstClcData[Name]=$B39)*(CstClcData[Attribute]=P$3),"X")))</f>
        <v>X</v>
      </c>
      <c r="Q39" s="274" cm="1">
        <f t="array" ref="Q39">IF($B39="","X",_xlfn._xlws.FILTER(TbRsmIn[Ordered],(TbRsmIn[Enquiry No]=$B39),"X"))</f>
        <v>0</v>
      </c>
      <c r="R39" s="268" cm="1">
        <f t="array" ref="R39">SUM(_xlfn._xlws.FILTER(PInt2[InvCur],(PInt2[PInNxm]&lt;&gt;0)*(PInt2[PrjId]=$C39)*(IFERROR(_xlfn.TEXTBEFORE(SUBSTITUTE(PInt2[PInNxm],"-",""),"/"),"X")=RIGHT($B39,LEN($B39)-1)),0))</f>
        <v>9005</v>
      </c>
      <c r="S39" s="122" t="str" cm="1">
        <f t="array" ref="S39">IF($B39="","X",_xlfn._xlws.FILTER(TbRsmIn[Alive]&amp;CHAR(10)&amp;TEXT(TbRsmIn[Ongoing],"000%"),(TbRsmIn[Enquiry No]=$B39),"X"))</f>
        <v>R
075%</v>
      </c>
      <c r="T39" s="293">
        <f t="shared" ca="1" si="1"/>
        <v>6419.7854000000007</v>
      </c>
      <c r="U39" s="277" cm="1">
        <f t="array" ref="U39">SUM(_xlfn._xlws.FILTER(CstClcCur[[Value]:[Value]],(CstClcCur[[Name]:[Name]]=$B39)*(ISNUMBER(FIND(CstClcCur[[Attribute]:[Attribute]],U$3))),0))</f>
        <v>0</v>
      </c>
      <c r="V39" s="277" cm="1">
        <f t="array" ref="V39">SUM(_xlfn._xlws.FILTER(CstClcCur[[Value]:[Value]],(CstClcCur[[Name]:[Name]]=$B39)*(ISNUMBER(FIND(CstClcCur[[Attribute]:[Attribute]],V$3))),0))</f>
        <v>379.35039999999998</v>
      </c>
      <c r="W39" s="277" cm="1">
        <f t="array" ref="W39">SUM(_xlfn._xlws.FILTER(CstClcCur[[Value]:[Value]],(CstClcCur[[Name]:[Name]]=$B39)*(ISNUMBER(FIND(CstClcCur[[Attribute]:[Attribute]],W$3))),0))</f>
        <v>569.02560000000005</v>
      </c>
      <c r="X39" s="277" cm="1">
        <f t="array" ref="X39">SUM(_xlfn._xlws.FILTER(CstClcCur[[Value]:[Value]],(CstClcCur[[Name]:[Name]]=$B39)*(ISNUMBER(FIND(CstClcCur[[Attribute]:[Attribute]],X$3))),0))</f>
        <v>464.6</v>
      </c>
      <c r="Y39" s="277" cm="1">
        <f t="array" ref="Y39">SUM(_xlfn._xlws.FILTER(CstClcCur[[Value]:[Value]],(CstClcCur[[Name]:[Name]]=$B39)*(ISNUMBER(FIND(CstClcCur[[Attribute]:[Attribute]],Y$3))),0))</f>
        <v>446.2</v>
      </c>
      <c r="Z39" s="277" cm="1">
        <f t="array" ref="Z39">SUM(_xlfn._xlws.FILTER(CstClcCur[[Value]:[Value]],(CstClcCur[[Name]:[Name]]=$B39)*(ISNUMBER(FIND(CstClcCur[[Attribute]:[Attribute]],Z$3))),0))</f>
        <v>0</v>
      </c>
      <c r="AA39" s="277" cm="1">
        <f t="array" ref="AA39">SUM(_xlfn._xlws.FILTER(CstClcCur[[Value]:[Value]],(CstClcCur[[Name]:[Name]]=$B39)*(ISNUMBER(FIND(CstClcCur[[Attribute]:[Attribute]],AA$3))),0))</f>
        <v>0</v>
      </c>
      <c r="AB39" s="277" cm="1">
        <f t="array" ref="AB39">SUM(_xlfn._xlws.FILTER(CstClcCur[[Value]:[Value]],(CstClcCur[[Name]:[Name]]=$B39)*(ISNUMBER(FIND(CstClcCur[[Attribute]:[Attribute]],AB$3))),0))</f>
        <v>2105.2175999999999</v>
      </c>
      <c r="AC39" s="277" cm="1">
        <f t="array" ref="AC39">SUM(_xlfn._xlws.FILTER(CstClcCur[[Value]:[Value]],(CstClcCur[[Name]:[Name]]=$B39)*(ISNUMBER(FIND(CstClcCur[[Attribute]:[Attribute]],AC$3))),0))</f>
        <v>440.66550000000001</v>
      </c>
      <c r="AD39" s="277" cm="1">
        <f t="array" ref="AD39">SUM(_xlfn._xlws.FILTER(CstClcCur[[Value]:[Value]],(CstClcCur[[Name]:[Name]]=$B39)*(ISNUMBER(FIND(CstClcCur[[Attribute]:[Attribute]],AD$3))),0))</f>
        <v>83.816000000000003</v>
      </c>
      <c r="AE39" s="277" cm="1">
        <f t="array" ref="AE39">SUM(_xlfn._xlws.FILTER(CstClcCur[[Value]:[Value]],(CstClcCur[[Name]:[Name]]=$B39)*(ISNUMBER(FIND(CstClcCur[[Attribute]:[Attribute]],AE$3))),0))</f>
        <v>0</v>
      </c>
      <c r="AF39" s="277" cm="1">
        <f t="array" ref="AF39">SUM(_xlfn._xlws.FILTER(CstClcCur[[Value]:[Value]],(CstClcCur[[Name]:[Name]]=$B39)*(ISNUMBER(FIND(CstClcCur[[Attribute]:[Attribute]],AF$3))),0))</f>
        <v>0</v>
      </c>
      <c r="AG39" s="277" cm="1">
        <f t="array" ref="AG39">SUM(_xlfn._xlws.FILTER(CstClcCur[[Value]:[Value]],(CstClcCur[[Name]:[Name]]=$B39)*(ISNUMBER(FIND(CstClcCur[[Attribute]:[Attribute]],AG$3))),0))</f>
        <v>0</v>
      </c>
      <c r="AH39" s="277" cm="1">
        <f t="array" ref="AH39">SUM(_xlfn._xlws.FILTER(CstClcCur[[Value]:[Value]],(CstClcCur[[Name]:[Name]]=$B39)*(ISNUMBER(FIND(CstClcCur[[Attribute]:[Attribute]],AH$3))),0))</f>
        <v>1091.3841</v>
      </c>
      <c r="AI39" s="277" cm="1">
        <f t="array" ref="AI39">SUM(_xlfn._xlws.FILTER(CstClcCur[[Value]:[Value]],(CstClcCur[[Name]:[Name]]=$B39)*(ISNUMBER(FIND(CstClcCur[[Attribute]:[Attribute]],AI$3))),0))</f>
        <v>0</v>
      </c>
      <c r="AJ39" s="277" cm="1">
        <f t="array" ref="AJ39">SUM(_xlfn._xlws.FILTER(CstClcCur[[Value]:[Value]],(CstClcCur[[Name]:[Name]]=$B39)*(ISNUMBER(FIND(CstClcCur[[Attribute]:[Attribute]],AJ$3))),0))</f>
        <v>0</v>
      </c>
      <c r="AK39" s="277" cm="1">
        <f t="array" ref="AK39">SUM(_xlfn._xlws.FILTER(CstClcCur[[Value]:[Value]],(CstClcCur[[Name]:[Name]]=$B39)*(ISNUMBER(FIND(CstClcCur[[Attribute]:[Attribute]],AK$3))),0))</f>
        <v>839.52620000000002</v>
      </c>
      <c r="AL39" s="264" t="str">
        <f t="shared" si="0"/>
        <v>U39:AK39</v>
      </c>
    </row>
    <row r="40" spans="1:38">
      <c r="A40" s="222" t="s">
        <v>406</v>
      </c>
    </row>
    <row r="41" spans="1:38">
      <c r="A41" s="222"/>
    </row>
    <row r="42" spans="1:38">
      <c r="A42" s="222"/>
    </row>
    <row r="43" spans="1:38">
      <c r="A43" s="222"/>
    </row>
    <row r="45" spans="1:38">
      <c r="A45" s="222" t="str">
        <f>"SO"&amp;LEFT(E45,1)</f>
        <v>SOO</v>
      </c>
      <c r="E45" s="278" t="s">
        <v>1752</v>
      </c>
    </row>
    <row r="46" spans="1:38">
      <c r="E46" s="278" t="s">
        <v>1751</v>
      </c>
    </row>
    <row r="47" spans="1:38">
      <c r="E47" s="278" t="s">
        <v>1753</v>
      </c>
    </row>
    <row r="48" spans="1:38">
      <c r="A48" s="222" t="str">
        <f>"E"&amp;RIGHT(A45,2)</f>
        <v>EOO</v>
      </c>
      <c r="E48" s="278" t="s">
        <v>1754</v>
      </c>
    </row>
    <row r="49" spans="1:5">
      <c r="E49" s="278" t="s">
        <v>1312</v>
      </c>
    </row>
    <row r="50" spans="1:5">
      <c r="A50" s="222" t="str">
        <f>"SO"&amp;LEFT(E46,1)</f>
        <v>SON</v>
      </c>
    </row>
    <row r="53" spans="1:5">
      <c r="A53" s="222" t="str">
        <f>"E"&amp;RIGHT(A50,2)</f>
        <v>EON</v>
      </c>
    </row>
    <row r="55" spans="1:5">
      <c r="A55" s="222" t="str">
        <f>"SO"&amp;LEFT(E47,1)</f>
        <v>SOP</v>
      </c>
    </row>
    <row r="64" spans="1:5">
      <c r="A64" s="222" t="str">
        <f>"E"&amp;RIGHT(A55,2)</f>
        <v>EOP</v>
      </c>
    </row>
  </sheetData>
  <autoFilter ref="B5:AP51" xr:uid="{00000000-0001-0000-0A00-000000000000}"/>
  <phoneticPr fontId="0" type="noConversion"/>
  <conditionalFormatting sqref="O7:Q39 B7:M39 T7:AK39">
    <cfRule type="expression" dxfId="7" priority="68">
      <formula>($B7="X")</formula>
    </cfRule>
  </conditionalFormatting>
  <conditionalFormatting sqref="B6:D6">
    <cfRule type="expression" dxfId="6" priority="30">
      <formula>AND(B6&lt;&gt;"",SUM(ROW())&gt;MATCH($B$5,$B:$B,0),SUM(ROW())&lt;MATCH("EOR",$B:$B,0),COUNTIF($B:$B,B6)&gt;1)</formula>
    </cfRule>
  </conditionalFormatting>
  <conditionalFormatting sqref="N6:N39">
    <cfRule type="iconSet" priority="26">
      <iconSet iconSet="5Quarters" showValue="0">
        <cfvo type="percent" val="0"/>
        <cfvo type="num" val="0.2"/>
        <cfvo type="num" val="0.4"/>
        <cfvo type="num" val="0.6"/>
        <cfvo type="num" val="0.8"/>
      </iconSet>
    </cfRule>
  </conditionalFormatting>
  <conditionalFormatting sqref="B6:AK39">
    <cfRule type="expression" dxfId="5" priority="1">
      <formula>(_xlfn.TEXTBEFORE($S6,CHAR(10))="C")</formula>
    </cfRule>
    <cfRule type="expression" dxfId="4" priority="27">
      <formula>OR(B6=0,B6="X",B6="")</formula>
    </cfRule>
  </conditionalFormatting>
  <conditionalFormatting sqref="S6:S39">
    <cfRule type="iconSet" priority="2">
      <iconSet iconSet="5Quarters" showValue="0">
        <cfvo type="percent" val="0"/>
        <cfvo type="num" val="0.2"/>
        <cfvo type="num" val="0.4"/>
        <cfvo type="num" val="0.6"/>
        <cfvo type="num" val="0.8"/>
      </iconSet>
    </cfRule>
  </conditionalFormatting>
  <dataValidations xWindow="252" yWindow="197" count="1">
    <dataValidation type="list" allowBlank="1" showInputMessage="1" showErrorMessage="1" sqref="K8:K39" xr:uid="{00000000-0002-0000-0A00-000001000000}">
      <formula1>"PRODUCTO,PROCESO,ERRORES, NORMATIVA,DEFINICION,OTROS"</formula1>
    </dataValidation>
  </dataValidations>
  <pageMargins left="0.47244094488188981" right="0.38" top="0.39370078740157483" bottom="0.39370078740157483" header="0" footer="0"/>
  <pageSetup paperSize="9" scale="29" orientation="landscape" r:id="rId1"/>
  <headerFooter alignWithMargins="0">
    <oddFooter>&amp;C&amp;1#&amp;"Calibri"&amp;8&amp;K000000Aernnova Group confidential information. Limited use on a need-to-know basis. All rights reserved.</oddFooter>
  </headerFooter>
  <drawing r:id="rId2"/>
  <legacyDrawing r:id="rId3"/>
  <oleObjects>
    <mc:AlternateContent xmlns:mc="http://schemas.openxmlformats.org/markup-compatibility/2006">
      <mc:Choice Requires="x14">
        <oleObject progId="StaticMetafile" shapeId="29698" r:id="rId4">
          <objectPr defaultSize="0" autoPict="0" r:id="rId5">
            <anchor moveWithCells="1">
              <from>
                <xdr:col>4</xdr:col>
                <xdr:colOff>1104900</xdr:colOff>
                <xdr:row>2</xdr:row>
                <xdr:rowOff>215900</xdr:rowOff>
              </from>
              <to>
                <xdr:col>4</xdr:col>
                <xdr:colOff>2844800</xdr:colOff>
                <xdr:row>3</xdr:row>
                <xdr:rowOff>0</xdr:rowOff>
              </to>
            </anchor>
          </objectPr>
        </oleObject>
      </mc:Choice>
      <mc:Fallback>
        <oleObject progId="StaticMetafile" shapeId="29698" r:id="rId4"/>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pageSetUpPr fitToPage="1"/>
  </sheetPr>
  <dimension ref="B2:H57"/>
  <sheetViews>
    <sheetView workbookViewId="0">
      <selection activeCell="E4" sqref="E4"/>
    </sheetView>
  </sheetViews>
  <sheetFormatPr baseColWidth="10" defaultColWidth="11.5" defaultRowHeight="15"/>
  <cols>
    <col min="1" max="1" width="1.6640625" style="76" customWidth="1"/>
    <col min="2" max="2" width="62" style="79" customWidth="1"/>
    <col min="3" max="3" width="11.5" style="80" customWidth="1"/>
    <col min="4" max="4" width="8" style="80" bestFit="1" customWidth="1"/>
    <col min="5" max="5" width="9.5" style="80" bestFit="1" customWidth="1"/>
    <col min="6" max="6" width="9.33203125" style="76" bestFit="1" customWidth="1"/>
    <col min="7" max="7" width="12.1640625" style="76" bestFit="1" customWidth="1"/>
    <col min="8" max="8" width="10.5" style="76" customWidth="1"/>
    <col min="9" max="9" width="11.5" style="76"/>
    <col min="10" max="10" width="11.83203125" style="76" bestFit="1" customWidth="1"/>
    <col min="11" max="16384" width="11.5" style="76"/>
  </cols>
  <sheetData>
    <row r="2" spans="2:8" s="312" customFormat="1" ht="17" thickBot="1">
      <c r="B2" s="307" t="e" cm="1">
        <f t="array" aca="1" ref="B2" ca="1">_xlfn.LET(_xlpm.x,MAX(_xlfn._xlws.FILTER(#REF!,#REF!=B3,0)),IF(_xlpm.x=0,"X",_xlpm.x))</f>
        <v>#REF!</v>
      </c>
      <c r="C2" s="308"/>
      <c r="D2" s="308" t="s">
        <v>1383</v>
      </c>
      <c r="E2" s="309" t="s">
        <v>1763</v>
      </c>
      <c r="F2" s="310" t="s">
        <v>1761</v>
      </c>
      <c r="G2" s="310" t="s">
        <v>1762</v>
      </c>
      <c r="H2" s="311" t="s">
        <v>1769</v>
      </c>
    </row>
    <row r="3" spans="2:8" s="77" customFormat="1">
      <c r="B3" s="297" t="str">
        <f ca="1">Prj0_Id</f>
        <v>31200</v>
      </c>
      <c r="C3" s="299" t="s">
        <v>289</v>
      </c>
      <c r="D3" s="299" t="s">
        <v>1760</v>
      </c>
      <c r="E3" s="299" t="s">
        <v>299</v>
      </c>
      <c r="F3" s="299" t="s">
        <v>299</v>
      </c>
      <c r="G3" s="299" t="s">
        <v>299</v>
      </c>
      <c r="H3" s="298" t="s">
        <v>299</v>
      </c>
    </row>
    <row r="4" spans="2:8" s="77" customFormat="1" ht="15" customHeight="1">
      <c r="B4" s="294" t="s">
        <v>1330</v>
      </c>
      <c r="C4" s="335" t="s">
        <v>1845</v>
      </c>
      <c r="D4" s="301" t="e" cm="1">
        <f t="array" aca="1" ref="D4" ca="1">MAX(_xlfn._xlws.FILTER(#REF!,(#REF!=$B$3)*(ISNUMBER(FIND(#REF!,$B4))),0))</f>
        <v>#REF!</v>
      </c>
      <c r="E4" s="300" t="e" cm="1">
        <f t="array" aca="1" ref="E4" ca="1">F4-SUM(_xlfn._xlws.FILTER(#REF!,(#REF!=$B$3)*(ISNUMBER(FIND(SUBSTITUTE(SUBSTITUTE(#REF!," SERRA","")," EXT.",""),$B4))),0))</f>
        <v>#REF!</v>
      </c>
      <c r="F4" s="300" cm="1">
        <f t="array" aca="1" ref="F4" ca="1">G4+SUM(_xlfn._xlws.FILTER(PrvSty[[DsvValue:SERRA]:[DsvValue:EXT.]],(PrvSty[Project]=$B$3)*(ISNUMBER(FIND(PrvSty[Column],$B4))),0))</f>
        <v>133018.52309278352</v>
      </c>
      <c r="G4" s="300" cm="1">
        <f t="array" aca="1" ref="G4" ca="1">SUM(_xlfn._xlws.FILTER(PptoSty[CurPpto],(PptoSty[Project]=B$3)*(ISNUMBER(FIND(IFERROR(_xlfn.TEXTBEFORE(PptoSty[PptoVsColumn]," ("),PptoSty[PptoVsColumn]),$B4))),0))</f>
        <v>147018.52309278352</v>
      </c>
      <c r="H4" s="103">
        <f ca="1">G4-F4</f>
        <v>14000</v>
      </c>
    </row>
    <row r="5" spans="2:8" s="77" customFormat="1" ht="15" customHeight="1">
      <c r="B5" s="295" t="s">
        <v>1343</v>
      </c>
      <c r="C5" s="300" t="e">
        <f t="shared" ref="C5:C11" ca="1" si="0">IF(D5=0,"N/A",E5/D5)</f>
        <v>#REF!</v>
      </c>
      <c r="D5" s="301" t="e" cm="1">
        <f t="array" aca="1" ref="D5" ca="1">MAX(_xlfn._xlws.FILTER(#REF!,(#REF!=$B$3)*(ISNUMBER(FIND(#REF!,$B5))),0))</f>
        <v>#REF!</v>
      </c>
      <c r="E5" s="300" t="e" cm="1">
        <f t="array" aca="1" ref="E5" ca="1">F5-SUM(_xlfn._xlws.FILTER(#REF!,(#REF!=$B$3)*(ISNUMBER(FIND(SUBSTITUTE(SUBSTITUTE(#REF!," SERRA","")," EXT.",""),$B5))),0))</f>
        <v>#REF!</v>
      </c>
      <c r="F5" s="300" cm="1">
        <f t="array" aca="1" ref="F5" ca="1">G5+SUM(_xlfn._xlws.FILTER(PrvSty[[DsvValue:SERRA]:[DsvValue:EXT.]],(PrvSty[Project]=$B$3)*(ISNUMBER(FIND(PrvSty[Column],$B5))),0))</f>
        <v>400905.30371134018</v>
      </c>
      <c r="G5" s="300" cm="1">
        <f t="array" aca="1" ref="G5" ca="1">SUM(_xlfn._xlws.FILTER(PptoSty[CurPpto],(PptoSty[Project]=B$3)*(ISNUMBER(FIND(IFERROR(_xlfn.TEXTBEFORE(PptoSty[PptoVsColumn]," ("),PptoSty[PptoVsColumn]),$B5))),0))</f>
        <v>640905.30371134018</v>
      </c>
      <c r="H5" s="103">
        <f t="shared" ref="H5:H16" ca="1" si="1">G5-F5</f>
        <v>240000</v>
      </c>
    </row>
    <row r="6" spans="2:8" s="77" customFormat="1" ht="15" customHeight="1">
      <c r="B6" s="294" t="s">
        <v>1333</v>
      </c>
      <c r="C6" s="300" t="e">
        <f t="shared" ca="1" si="0"/>
        <v>#REF!</v>
      </c>
      <c r="D6" s="301" t="e" cm="1">
        <f t="array" aca="1" ref="D6" ca="1">MAX(_xlfn._xlws.FILTER(#REF!,(#REF!=$B$3)*(ISNUMBER(FIND(#REF!,$B6))),0))</f>
        <v>#REF!</v>
      </c>
      <c r="E6" s="300" t="e" cm="1">
        <f t="array" aca="1" ref="E6" ca="1">F6-SUM(_xlfn._xlws.FILTER(#REF!,(#REF!=$B$3)*(ISNUMBER(FIND(SUBSTITUTE(SUBSTITUTE(#REF!," SERRA","")," EXT.",""),$B6))),0))</f>
        <v>#REF!</v>
      </c>
      <c r="F6" s="300" cm="1">
        <f t="array" aca="1" ref="F6" ca="1">G6+SUM(_xlfn._xlws.FILTER(PrvSty[[DsvValue:SERRA]:[DsvValue:EXT.]],(PrvSty[Project]=$B$3)*(ISNUMBER(FIND(PrvSty[Column],$B6))),0))</f>
        <v>73269.748041237122</v>
      </c>
      <c r="G6" s="300" cm="1">
        <f t="array" aca="1" ref="G6" ca="1">SUM(_xlfn._xlws.FILTER(PptoSty[CurPpto],(PptoSty[Project]=B$3)*(ISNUMBER(FIND(IFERROR(_xlfn.TEXTBEFORE(PptoSty[PptoVsColumn]," ("),PptoSty[PptoVsColumn]),$B6))),0))</f>
        <v>123154.74804123712</v>
      </c>
      <c r="H6" s="103">
        <f ca="1">G6-F6</f>
        <v>49885</v>
      </c>
    </row>
    <row r="7" spans="2:8" s="77" customFormat="1" ht="15" customHeight="1">
      <c r="B7" s="295" t="s">
        <v>1344</v>
      </c>
      <c r="C7" s="300" t="e">
        <f t="shared" ca="1" si="0"/>
        <v>#REF!</v>
      </c>
      <c r="D7" s="301" t="e" cm="1">
        <f t="array" aca="1" ref="D7" ca="1">MAX(_xlfn._xlws.FILTER(#REF!,(#REF!=$B$3)*(ISNUMBER(FIND(#REF!,$B7))),0))</f>
        <v>#REF!</v>
      </c>
      <c r="E7" s="300" t="e" cm="1">
        <f t="array" aca="1" ref="E7" ca="1">F7-SUM(_xlfn._xlws.FILTER(#REF!,(#REF!=$B$3)*(ISNUMBER(FIND(SUBSTITUTE(SUBSTITUTE(#REF!," SERRA","")," EXT.",""),$B7))),0))</f>
        <v>#REF!</v>
      </c>
      <c r="F7" s="300" cm="1">
        <f t="array" aca="1" ref="F7" ca="1">G7+SUM(_xlfn._xlws.FILTER(PrvSty[[DsvValue:SERRA]:[DsvValue:EXT.]],(PrvSty[Project]=$B$3)*(ISNUMBER(FIND(PrvSty[Column],$B7))),0))</f>
        <v>387355.07783505146</v>
      </c>
      <c r="G7" s="300" cm="1">
        <f t="array" aca="1" ref="G7" ca="1">SUM(_xlfn._xlws.FILTER(PptoSty[CurPpto],(PptoSty[Project]=B$3)*(ISNUMBER(FIND(IFERROR(_xlfn.TEXTBEFORE(PptoSty[PptoVsColumn]," ("),PptoSty[PptoVsColumn]),$B7))),0))</f>
        <v>412355.07783505146</v>
      </c>
      <c r="H7" s="103">
        <f t="shared" ca="1" si="1"/>
        <v>25000</v>
      </c>
    </row>
    <row r="8" spans="2:8" s="77" customFormat="1" ht="15" customHeight="1">
      <c r="B8" s="294" t="s">
        <v>1335</v>
      </c>
      <c r="C8" s="300" t="e">
        <f t="shared" ca="1" si="0"/>
        <v>#REF!</v>
      </c>
      <c r="D8" s="301" t="e" cm="1">
        <f t="array" aca="1" ref="D8" ca="1">MAX(_xlfn._xlws.FILTER(#REF!,(#REF!=$B$3)*(ISNUMBER(FIND(#REF!,$B8))),0))</f>
        <v>#REF!</v>
      </c>
      <c r="E8" s="300" t="e" cm="1">
        <f t="array" aca="1" ref="E8" ca="1">F8-SUM(_xlfn._xlws.FILTER(#REF!,(#REF!=$B$3)*(ISNUMBER(FIND(SUBSTITUTE(SUBSTITUTE(#REF!," SERRA","")," EXT.",""),$B8))),0))</f>
        <v>#REF!</v>
      </c>
      <c r="F8" s="300" cm="1">
        <f t="array" aca="1" ref="F8" ca="1">G8+SUM(_xlfn._xlws.FILTER(PrvSty[[DsvValue:SERRA]:[DsvValue:EXT.]],(PrvSty[Project]=$B$3)*(ISNUMBER(FIND(PrvSty[Column],$B8))),0))</f>
        <v>436544.0602061855</v>
      </c>
      <c r="G8" s="300" cm="1">
        <f t="array" aca="1" ref="G8" ca="1">SUM(_xlfn._xlws.FILTER(PptoSty[CurPpto],(PptoSty[Project]=B$3)*(ISNUMBER(FIND(IFERROR(_xlfn.TEXTBEFORE(PptoSty[PptoVsColumn]," ("),PptoSty[PptoVsColumn]),$B8))),0))</f>
        <v>396377.76020618551</v>
      </c>
      <c r="H8" s="103">
        <f t="shared" ca="1" si="1"/>
        <v>-40166.299999999988</v>
      </c>
    </row>
    <row r="9" spans="2:8" s="77" customFormat="1" ht="15" customHeight="1">
      <c r="B9" s="294" t="s">
        <v>1336</v>
      </c>
      <c r="C9" s="300" t="e">
        <f t="shared" ca="1" si="0"/>
        <v>#REF!</v>
      </c>
      <c r="D9" s="301" t="e" cm="1">
        <f t="array" aca="1" ref="D9" ca="1">MAX(_xlfn._xlws.FILTER(#REF!,(#REF!=$B$3)*(ISNUMBER(FIND(#REF!,$B9))),0))</f>
        <v>#REF!</v>
      </c>
      <c r="E9" s="300" t="e" cm="1">
        <f t="array" aca="1" ref="E9" ca="1">F9-SUM(_xlfn._xlws.FILTER(#REF!,(#REF!=$B$3)*(ISNUMBER(FIND(SUBSTITUTE(SUBSTITUTE(#REF!," SERRA","")," EXT.",""),$B9))),0))</f>
        <v>#REF!</v>
      </c>
      <c r="F9" s="300" cm="1">
        <f t="array" aca="1" ref="F9" ca="1">G9+SUM(_xlfn._xlws.FILTER(PrvSty[[DsvValue:SERRA]:[DsvValue:EXT.]],(PrvSty[Project]=$B$3)*(ISNUMBER(FIND(PrvSty[Column],$B9))),0))</f>
        <v>1180861.6549649483</v>
      </c>
      <c r="G9" s="300" cm="1">
        <f t="array" aca="1" ref="G9" ca="1">SUM(_xlfn._xlws.FILTER(PptoSty[CurPpto],(PptoSty[Project]=B$3)*(ISNUMBER(FIND(IFERROR(_xlfn.TEXTBEFORE(PptoSty[PptoVsColumn]," ("),PptoSty[PptoVsColumn]),$B9))),0))</f>
        <v>1180861.6549649483</v>
      </c>
      <c r="H9" s="103">
        <f t="shared" ca="1" si="1"/>
        <v>0</v>
      </c>
    </row>
    <row r="10" spans="2:8" s="77" customFormat="1" ht="15" customHeight="1">
      <c r="B10" s="294" t="s">
        <v>1337</v>
      </c>
      <c r="C10" s="300" t="e">
        <f t="shared" ca="1" si="0"/>
        <v>#REF!</v>
      </c>
      <c r="D10" s="301" t="e" cm="1">
        <f t="array" aca="1" ref="D10" ca="1">MAX(_xlfn._xlws.FILTER(#REF!,(#REF!=$B$3)*(ISNUMBER(FIND(#REF!,$B10))),0))</f>
        <v>#REF!</v>
      </c>
      <c r="E10" s="300" t="e" cm="1">
        <f t="array" aca="1" ref="E10" ca="1">F10-SUM(_xlfn._xlws.FILTER(#REF!,(#REF!=$B$3)*(ISNUMBER(FIND(SUBSTITUTE(SUBSTITUTE(#REF!," SERRA","")," EXT.",""),$B10))),0))</f>
        <v>#REF!</v>
      </c>
      <c r="F10" s="300" cm="1">
        <f t="array" aca="1" ref="F10" ca="1">G10+SUM(_xlfn._xlws.FILTER(PrvSty[[DsvValue:SERRA]:[DsvValue:EXT.]],(PrvSty[Project]=$B$3)*(ISNUMBER(FIND(PrvSty[Column],$B10))),0))</f>
        <v>405522.87742268044</v>
      </c>
      <c r="G10" s="300" cm="1">
        <f t="array" aca="1" ref="G10" ca="1">SUM(_xlfn._xlws.FILTER(PptoSty[CurPpto],(PptoSty[Project]=B$3)*(ISNUMBER(FIND(IFERROR(_xlfn.TEXTBEFORE(PptoSty[PptoVsColumn]," ("),PptoSty[PptoVsColumn]),$B10))),0))</f>
        <v>418033.48742268042</v>
      </c>
      <c r="H10" s="103">
        <f t="shared" ca="1" si="1"/>
        <v>12510.609999999986</v>
      </c>
    </row>
    <row r="11" spans="2:8" s="77" customFormat="1" ht="15" customHeight="1">
      <c r="B11" s="294" t="s">
        <v>1338</v>
      </c>
      <c r="C11" s="300" t="e">
        <f t="shared" ca="1" si="0"/>
        <v>#REF!</v>
      </c>
      <c r="D11" s="301" t="e" cm="1">
        <f t="array" aca="1" ref="D11" ca="1">MAX(_xlfn._xlws.FILTER(#REF!,(#REF!=$B$3)*(ISNUMBER(FIND(#REF!,$B11))),0))</f>
        <v>#REF!</v>
      </c>
      <c r="E11" s="300" t="e" cm="1">
        <f t="array" aca="1" ref="E11" ca="1">F11-SUM(_xlfn._xlws.FILTER(#REF!,(#REF!=$B$3)*(ISNUMBER(FIND(SUBSTITUTE(SUBSTITUTE(#REF!," SERRA","")," EXT.",""),$B11))),0))</f>
        <v>#REF!</v>
      </c>
      <c r="F11" s="300" cm="1">
        <f t="array" aca="1" ref="F11" ca="1">G11+SUM(_xlfn._xlws.FILTER(PrvSty[[DsvValue:SERRA]:[DsvValue:EXT.]],(PrvSty[Project]=$B$3)*(ISNUMBER(FIND(PrvSty[Column],$B11))),0))</f>
        <v>47716.960412371132</v>
      </c>
      <c r="G11" s="300" cm="1">
        <f t="array" aca="1" ref="G11" ca="1">SUM(_xlfn._xlws.FILTER(PptoSty[CurPpto],(PptoSty[Project]=B$3)*(ISNUMBER(FIND(IFERROR(_xlfn.TEXTBEFORE(PptoSty[PptoVsColumn]," ("),PptoSty[PptoVsColumn]),$B11))),0))</f>
        <v>37254.690412371136</v>
      </c>
      <c r="H11" s="103">
        <f t="shared" ca="1" si="1"/>
        <v>-10462.269999999997</v>
      </c>
    </row>
    <row r="12" spans="2:8" s="77" customFormat="1" ht="15" customHeight="1">
      <c r="B12" s="295" t="s">
        <v>1345</v>
      </c>
      <c r="C12" s="300" t="e">
        <f ca="1">IF(D12=0,"N/A",E12/D12)</f>
        <v>#REF!</v>
      </c>
      <c r="D12" s="301" t="e" cm="1">
        <f t="array" aca="1" ref="D12" ca="1">MAX(_xlfn._xlws.FILTER(#REF!,(#REF!=$B$3)*(ISNUMBER(FIND(#REF!,$B12))),0))</f>
        <v>#REF!</v>
      </c>
      <c r="E12" s="300" t="e" cm="1">
        <f t="array" aca="1" ref="E12" ca="1">F12-SUM(_xlfn._xlws.FILTER(#REF!,(#REF!=$B$3)*(ISNUMBER(FIND(SUBSTITUTE(SUBSTITUTE(#REF!," SERRA","")," EXT.",""),$B12))),0))</f>
        <v>#REF!</v>
      </c>
      <c r="F12" s="300" cm="1">
        <f t="array" aca="1" ref="F12" ca="1">G12+SUM(_xlfn._xlws.FILTER(PrvSty[[DsvValue:SERRA]:[DsvValue:EXT.]],(PrvSty[Project]=$B$3)*(ISNUMBER(FIND(PrvSty[Column],$B12))),0))</f>
        <v>388474.02837843663</v>
      </c>
      <c r="G12" s="300" cm="1">
        <f t="array" aca="1" ref="G12" ca="1">SUM(_xlfn._xlws.FILTER(PptoSty[CurPpto],(PptoSty[Project]=B$3)*(ISNUMBER(FIND(IFERROR(_xlfn.TEXTBEFORE(PptoSty[PptoVsColumn]," ("),PptoSty[PptoVsColumn]),$B12))),0))</f>
        <v>373698.80690721661</v>
      </c>
      <c r="H12" s="103">
        <f t="shared" ca="1" si="1"/>
        <v>-14775.221471220022</v>
      </c>
    </row>
    <row r="13" spans="2:8" s="77" customFormat="1" ht="15" customHeight="1">
      <c r="B13" s="294" t="s">
        <v>1341</v>
      </c>
      <c r="C13" s="300" t="e">
        <f ca="1">IF(D13=0,"N/A",E13/D13)</f>
        <v>#REF!</v>
      </c>
      <c r="D13" s="301" t="e" cm="1">
        <f t="array" aca="1" ref="D13" ca="1">MAX(_xlfn._xlws.FILTER(#REF!,(#REF!=$B$3)*(ISNUMBER(FIND(#REF!,$B13))),0))</f>
        <v>#REF!</v>
      </c>
      <c r="E13" s="300" t="e" cm="1">
        <f t="array" aca="1" ref="E13" ca="1">F13-SUM(_xlfn._xlws.FILTER(#REF!,(#REF!=$B$3)*(ISNUMBER(FIND(SUBSTITUTE(SUBSTITUTE(#REF!," SERRA","")," EXT.",""),$B13))),0))</f>
        <v>#REF!</v>
      </c>
      <c r="F13" s="300" cm="1">
        <f t="array" aca="1" ref="F13" ca="1">G13+SUM(_xlfn._xlws.FILTER(PrvSty[[DsvValue:SERRA]:[DsvValue:EXT.]],(PrvSty[Project]=$B$3)*(ISNUMBER(FIND(PrvSty[Column],$B13))),0))</f>
        <v>0</v>
      </c>
      <c r="G13" s="300" cm="1">
        <f t="array" aca="1" ref="G13" ca="1">SUM(_xlfn._xlws.FILTER(PptoSty[CurPpto],(PptoSty[Project]=B$3)*(ISNUMBER(FIND(IFERROR(_xlfn.TEXTBEFORE(PptoSty[PptoVsColumn]," ("),PptoSty[PptoVsColumn]),$B13))),0))</f>
        <v>0</v>
      </c>
      <c r="H13" s="103">
        <f t="shared" ca="1" si="1"/>
        <v>0</v>
      </c>
    </row>
    <row r="14" spans="2:8" s="77" customFormat="1" ht="15" customHeight="1">
      <c r="B14" s="295" t="s">
        <v>1393</v>
      </c>
      <c r="C14" s="300"/>
      <c r="D14" s="301"/>
      <c r="E14" s="300" t="e" cm="1">
        <f t="array" aca="1" ref="E14" ca="1">F14-SUM(_xlfn._xlws.FILTER(#REF!,(#REF!=$B$3)*(ISNUMBER(FIND(SUBSTITUTE(SUBSTITUTE(#REF!," SERRA","")," EXT.",""),$B14))),0))</f>
        <v>#REF!</v>
      </c>
      <c r="F14" s="300" cm="1">
        <f t="array" aca="1" ref="F14" ca="1">G14+SUM(_xlfn._xlws.FILTER(PrvSty[[DsvValue:SERRA]:[DsvValue:EXT.]],(PrvSty[Project]=$B$3)*(ISNUMBER(FIND(PrvSty[Column],$B14))),0))</f>
        <v>2272923.5599999996</v>
      </c>
      <c r="G14" s="300" cm="1">
        <f t="array" aca="1" ref="G14" ca="1">SUM(_xlfn._xlws.FILTER(PptoSty[CurPpto],(PptoSty[Project]=B$3)*(ISNUMBER(FIND(IFERROR(_xlfn.TEXTBEFORE(PptoSty[PptoVsColumn]," ("),PptoSty[PptoVsColumn]),$B14))),0))</f>
        <v>2376458.8999999994</v>
      </c>
      <c r="H14" s="103">
        <f t="shared" ca="1" si="1"/>
        <v>103535.33999999985</v>
      </c>
    </row>
    <row r="15" spans="2:8">
      <c r="B15" s="295" t="s">
        <v>1765</v>
      </c>
      <c r="E15" s="300" t="e" cm="1">
        <f t="array" aca="1" ref="E15" ca="1">F15-SUM(_xlfn._xlws.FILTER(#REF!,(#REF!=$B$3)*(ISNUMBER(FIND(SUBSTITUTE(SUBSTITUTE(#REF!," SERRA","")," EXT.",""),$B15)))*(ISNUMBER(FIND(#REF!,$B15))),0))</f>
        <v>#REF!</v>
      </c>
      <c r="F15" s="300" cm="1">
        <f t="array" aca="1" ref="F15" ca="1">G15+SUM(_xlfn._xlws.FILTER(PrvSty[[DsvValue:SERRA]:[DsvValue:EXT.]],(PrvSty[Project]=$B$3)*(ISNUMBER(FIND(PrvSty[Column],$B15)))*(ISNUMBER(FIND(PrvSty[Row],$B15))),0))</f>
        <v>187376.5405</v>
      </c>
      <c r="G15" s="300" cm="1">
        <f t="array" aca="1" ref="G15" ca="1">SUM(_xlfn._xlws.FILTER(PptoSty[CurPpto],(PptoSty[Project]=B$3)*(ISNUMBER(FIND(PptoSty[PptoVsRow],$B15)))*(ISNUMBER(FIND(IFERROR(_xlfn.TEXTBEFORE(PptoSty[PptoVsColumn]," ("),PptoSty[PptoVsColumn]),$B15))),0))</f>
        <v>117376.5405</v>
      </c>
      <c r="H15" s="103">
        <f ca="1">G15-F15</f>
        <v>-70000</v>
      </c>
    </row>
    <row r="16" spans="2:8" s="77" customFormat="1" ht="15" customHeight="1">
      <c r="B16" s="295" t="s">
        <v>1766</v>
      </c>
      <c r="C16" s="300" t="e">
        <f ca="1">IF(D16=0,"N/A",E16/D16)</f>
        <v>#REF!</v>
      </c>
      <c r="D16" s="301">
        <v>30</v>
      </c>
      <c r="E16" s="300" t="e" cm="1">
        <f t="array" aca="1" ref="E16" ca="1">F16-SUM(_xlfn._xlws.FILTER(#REF!,(#REF!=$B$3)*(ISNUMBER(FIND(SUBSTITUTE(SUBSTITUTE(#REF!," SERRA","")," EXT.",""),$B16)))*(ISNUMBER(FIND(#REF!,$B16))),0))</f>
        <v>#REF!</v>
      </c>
      <c r="F16" s="300" cm="1">
        <f t="array" aca="1" ref="F16" ca="1">G16+SUM(_xlfn._xlws.FILTER(PrvSty[[DsvValue:SERRA]:[DsvValue:EXT.]],(PrvSty[Project]=$B$3)*(ISNUMBER(FIND(PrvSty[Column],$B16)))*(ISNUMBER(FIND(PrvSty[Row],$B16))),0))</f>
        <v>283207.6263</v>
      </c>
      <c r="G16" s="300" cm="1">
        <f t="array" aca="1" ref="G16" ca="1">SUM(_xlfn._xlws.FILTER(PptoSty[CurPpto],(PptoSty[Project]=B$3)*(ISNUMBER(FIND(PptoSty[PptoVsRow],$B16)))*(ISNUMBER(FIND(IFERROR(_xlfn.TEXTBEFORE(PptoSty[PptoVsColumn]," ("),PptoSty[PptoVsColumn]),$B16))),0))</f>
        <v>233207.6263</v>
      </c>
      <c r="H16" s="103">
        <f t="shared" ca="1" si="1"/>
        <v>-50000</v>
      </c>
    </row>
    <row r="17" spans="2:8" s="77" customFormat="1" ht="15" customHeight="1">
      <c r="B17" s="295" t="s">
        <v>1767</v>
      </c>
      <c r="E17" s="300"/>
      <c r="F17" s="300"/>
      <c r="G17" s="300" t="e" cm="1">
        <f t="array" aca="1" ref="G17" ca="1">SUM(G4:G16)*AVERAGE(_xlfn._xlws.FILTER(#REF!,(#REF!=$B$3)*(#REF!=_xlfn.TEXTAFTER($B17," ")),0))</f>
        <v>#REF!</v>
      </c>
      <c r="H17" s="103"/>
    </row>
    <row r="18" spans="2:8" s="77" customFormat="1">
      <c r="B18" s="295" t="s">
        <v>1768</v>
      </c>
      <c r="C18" s="302"/>
      <c r="D18" s="302"/>
      <c r="H18" s="78"/>
    </row>
    <row r="19" spans="2:8" s="77" customFormat="1" ht="15" customHeight="1" thickBot="1">
      <c r="B19" s="303" t="s">
        <v>290</v>
      </c>
      <c r="C19" s="296"/>
      <c r="D19" s="304" t="e" cm="1">
        <f t="array" aca="1" ref="D19" ca="1">SUM(_xlfn._xlws.FILTER(#REF!,(#REF!=$B$3),0))</f>
        <v>#REF!</v>
      </c>
      <c r="E19" s="305" t="e">
        <f ca="1">SUM(E4:E17)</f>
        <v>#REF!</v>
      </c>
      <c r="F19" s="305">
        <f ca="1">SUM(F4:F17)</f>
        <v>6197175.9608650338</v>
      </c>
      <c r="G19" s="305" t="e">
        <f ca="1">SUM(G4:G17)</f>
        <v>#REF!</v>
      </c>
      <c r="H19" s="306">
        <f ca="1">SUM(H4:H17)</f>
        <v>259527.15852877981</v>
      </c>
    </row>
    <row r="20" spans="2:8" ht="16" thickBot="1">
      <c r="E20" s="89"/>
      <c r="F20" s="90"/>
      <c r="G20" s="28"/>
    </row>
    <row r="21" spans="2:8" ht="17" thickBot="1">
      <c r="B21" s="307" t="e" cm="1">
        <f t="array" ref="B21">_xlfn.LET(_xlpm.x,MAX(_xlfn._xlws.FILTER(#REF!,#REF!=B22,0)),IF(_xlpm.x=0,"X",_xlpm.x))</f>
        <v>#REF!</v>
      </c>
      <c r="C21" s="308"/>
      <c r="D21" s="308" t="s">
        <v>1383</v>
      </c>
      <c r="E21" s="309" t="s">
        <v>1763</v>
      </c>
      <c r="F21" s="310" t="s">
        <v>1761</v>
      </c>
      <c r="G21" s="310" t="s">
        <v>1762</v>
      </c>
      <c r="H21" s="311" t="s">
        <v>1769</v>
      </c>
    </row>
    <row r="22" spans="2:8">
      <c r="B22" s="297" t="str">
        <f>Prj1_Id</f>
        <v>X</v>
      </c>
      <c r="C22" s="299" t="s">
        <v>289</v>
      </c>
      <c r="D22" s="299" t="s">
        <v>1760</v>
      </c>
      <c r="E22" s="299" t="s">
        <v>299</v>
      </c>
      <c r="F22" s="299" t="s">
        <v>299</v>
      </c>
      <c r="G22" s="299" t="s">
        <v>299</v>
      </c>
      <c r="H22" s="298" t="s">
        <v>299</v>
      </c>
    </row>
    <row r="23" spans="2:8">
      <c r="B23" s="294" t="s">
        <v>1330</v>
      </c>
      <c r="C23" s="300" t="e">
        <f t="shared" ref="C23:C30" si="2">IF(D23=0,"N/A",E23/D23)</f>
        <v>#REF!</v>
      </c>
      <c r="D23" s="301" t="e" cm="1">
        <f t="array" ref="D23">MAX(_xlfn._xlws.FILTER(#REF!,(#REF!=$B$22)*(ISNUMBER(FIND(#REF!,$B23))),0))</f>
        <v>#REF!</v>
      </c>
      <c r="E23" s="300" t="e" cm="1">
        <f t="array" aca="1" ref="E23" ca="1">F23-SUM(_xlfn._xlws.FILTER(#REF!,(#REF!=$B$22)*(ISNUMBER(FIND(SUBSTITUTE(SUBSTITUTE(#REF!," SERRA","")," EXT.",""),$B23))),0))</f>
        <v>#REF!</v>
      </c>
      <c r="F23" s="300" cm="1">
        <f t="array" aca="1" ref="F23" ca="1">G23+SUM(_xlfn._xlws.FILTER(PrvSty[[DsvValue:SERRA]:[DsvValue:EXT.]],(PrvSty[Project]=$B$22)*(ISNUMBER(FIND(PrvSty[Column],$B23))),0))</f>
        <v>0</v>
      </c>
      <c r="G23" s="300" cm="1">
        <f t="array" ref="G23">SUM(_xlfn._xlws.FILTER(PptoSty[CurPpto],(PptoSty[Project]=$B$22)*(ISNUMBER(FIND(IFERROR(_xlfn.TEXTBEFORE(PptoSty[PptoVsColumn]," ("),PptoSty[PptoVsColumn]),$B23))),0))</f>
        <v>0</v>
      </c>
      <c r="H23" s="103">
        <f ca="1">G23-F23</f>
        <v>0</v>
      </c>
    </row>
    <row r="24" spans="2:8">
      <c r="B24" s="295" t="s">
        <v>1343</v>
      </c>
      <c r="C24" s="300" t="e">
        <f t="shared" si="2"/>
        <v>#REF!</v>
      </c>
      <c r="D24" s="301" t="e" cm="1">
        <f t="array" ref="D24">MAX(_xlfn._xlws.FILTER(#REF!,(#REF!=$B$22)*(ISNUMBER(FIND(#REF!,$B24))),0))</f>
        <v>#REF!</v>
      </c>
      <c r="E24" s="300" t="e" cm="1">
        <f t="array" aca="1" ref="E24" ca="1">F24-SUM(_xlfn._xlws.FILTER(#REF!,(#REF!=$B$22)*(ISNUMBER(FIND(SUBSTITUTE(SUBSTITUTE(#REF!," SERRA","")," EXT.",""),$B24))),0))</f>
        <v>#REF!</v>
      </c>
      <c r="F24" s="300" cm="1">
        <f t="array" aca="1" ref="F24" ca="1">G24+SUM(_xlfn._xlws.FILTER(PrvSty[[DsvValue:SERRA]:[DsvValue:EXT.]],(PrvSty[Project]=$B$22)*(ISNUMBER(FIND(PrvSty[Column],$B24))),0))</f>
        <v>0</v>
      </c>
      <c r="G24" s="300" cm="1">
        <f t="array" ref="G24">SUM(_xlfn._xlws.FILTER(PptoSty[CurPpto],(PptoSty[Project]=$B$22)*(ISNUMBER(FIND(IFERROR(_xlfn.TEXTBEFORE(PptoSty[PptoVsColumn]," ("),PptoSty[PptoVsColumn]),$B24))),0))</f>
        <v>0</v>
      </c>
      <c r="H24" s="103">
        <f ca="1">G24-F24</f>
        <v>0</v>
      </c>
    </row>
    <row r="25" spans="2:8">
      <c r="B25" s="294" t="s">
        <v>1333</v>
      </c>
      <c r="C25" s="300" t="e">
        <f t="shared" si="2"/>
        <v>#REF!</v>
      </c>
      <c r="D25" s="301" t="e" cm="1">
        <f t="array" ref="D25">MAX(_xlfn._xlws.FILTER(#REF!,(#REF!=$B$22)*(ISNUMBER(FIND(#REF!,$B25))),0))</f>
        <v>#REF!</v>
      </c>
      <c r="E25" s="300" t="e" cm="1">
        <f t="array" aca="1" ref="E25" ca="1">F25-SUM(_xlfn._xlws.FILTER(#REF!,(#REF!=$B$22)*(ISNUMBER(FIND(SUBSTITUTE(SUBSTITUTE(#REF!," SERRA","")," EXT.",""),$B25))),0))</f>
        <v>#REF!</v>
      </c>
      <c r="F25" s="300" cm="1">
        <f t="array" aca="1" ref="F25" ca="1">G25+SUM(_xlfn._xlws.FILTER(PrvSty[[DsvValue:SERRA]:[DsvValue:EXT.]],(PrvSty[Project]=$B$22)*(ISNUMBER(FIND(PrvSty[Column],$B25))),0))</f>
        <v>0</v>
      </c>
      <c r="G25" s="300" cm="1">
        <f t="array" ref="G25">SUM(_xlfn._xlws.FILTER(PptoSty[CurPpto],(PptoSty[Project]=$B$22)*(ISNUMBER(FIND(IFERROR(_xlfn.TEXTBEFORE(PptoSty[PptoVsColumn]," ("),PptoSty[PptoVsColumn]),$B25))),0))</f>
        <v>0</v>
      </c>
      <c r="H25" s="103">
        <f ca="1">G25-F25</f>
        <v>0</v>
      </c>
    </row>
    <row r="26" spans="2:8">
      <c r="B26" s="295" t="s">
        <v>1344</v>
      </c>
      <c r="C26" s="300" t="e">
        <f t="shared" si="2"/>
        <v>#REF!</v>
      </c>
      <c r="D26" s="301" t="e" cm="1">
        <f t="array" ref="D26">MAX(_xlfn._xlws.FILTER(#REF!,(#REF!=$B$22)*(ISNUMBER(FIND(#REF!,$B26))),0))</f>
        <v>#REF!</v>
      </c>
      <c r="E26" s="300" t="e" cm="1">
        <f t="array" aca="1" ref="E26" ca="1">F26-SUM(_xlfn._xlws.FILTER(#REF!,(#REF!=$B$22)*(ISNUMBER(FIND(SUBSTITUTE(SUBSTITUTE(#REF!," SERRA","")," EXT.",""),$B26))),0))</f>
        <v>#REF!</v>
      </c>
      <c r="F26" s="300" cm="1">
        <f t="array" aca="1" ref="F26" ca="1">G26+SUM(_xlfn._xlws.FILTER(PrvSty[[DsvValue:SERRA]:[DsvValue:EXT.]],(PrvSty[Project]=$B$22)*(ISNUMBER(FIND(PrvSty[Column],$B26))),0))</f>
        <v>0</v>
      </c>
      <c r="G26" s="300" cm="1">
        <f t="array" ref="G26">SUM(_xlfn._xlws.FILTER(PptoSty[CurPpto],(PptoSty[Project]=$B$22)*(ISNUMBER(FIND(IFERROR(_xlfn.TEXTBEFORE(PptoSty[PptoVsColumn]," ("),PptoSty[PptoVsColumn]),$B26))),0))</f>
        <v>0</v>
      </c>
      <c r="H26" s="103">
        <f t="shared" ref="H26:H35" ca="1" si="3">G26-F26</f>
        <v>0</v>
      </c>
    </row>
    <row r="27" spans="2:8">
      <c r="B27" s="294" t="s">
        <v>1335</v>
      </c>
      <c r="C27" s="300" t="e">
        <f t="shared" si="2"/>
        <v>#REF!</v>
      </c>
      <c r="D27" s="301" t="e" cm="1">
        <f t="array" ref="D27">MAX(_xlfn._xlws.FILTER(#REF!,(#REF!=$B$22)*(ISNUMBER(FIND(#REF!,$B27))),0))</f>
        <v>#REF!</v>
      </c>
      <c r="E27" s="300" t="e" cm="1">
        <f t="array" aca="1" ref="E27" ca="1">F27-SUM(_xlfn._xlws.FILTER(#REF!,(#REF!=$B$22)*(ISNUMBER(FIND(SUBSTITUTE(SUBSTITUTE(#REF!," SERRA","")," EXT.",""),$B27))),0))</f>
        <v>#REF!</v>
      </c>
      <c r="F27" s="300" cm="1">
        <f t="array" aca="1" ref="F27" ca="1">G27+SUM(_xlfn._xlws.FILTER(PrvSty[[DsvValue:SERRA]:[DsvValue:EXT.]],(PrvSty[Project]=$B$22)*(ISNUMBER(FIND(PrvSty[Column],$B27))),0))</f>
        <v>0</v>
      </c>
      <c r="G27" s="300" cm="1">
        <f t="array" ref="G27">SUM(_xlfn._xlws.FILTER(PptoSty[CurPpto],(PptoSty[Project]=$B$22)*(ISNUMBER(FIND(IFERROR(_xlfn.TEXTBEFORE(PptoSty[PptoVsColumn]," ("),PptoSty[PptoVsColumn]),$B27))),0))</f>
        <v>0</v>
      </c>
      <c r="H27" s="103">
        <f t="shared" ca="1" si="3"/>
        <v>0</v>
      </c>
    </row>
    <row r="28" spans="2:8">
      <c r="B28" s="294" t="s">
        <v>1336</v>
      </c>
      <c r="C28" s="300" t="e">
        <f t="shared" si="2"/>
        <v>#REF!</v>
      </c>
      <c r="D28" s="301" t="e" cm="1">
        <f t="array" ref="D28">MAX(_xlfn._xlws.FILTER(#REF!,(#REF!=$B$22)*(ISNUMBER(FIND(#REF!,$B28))),0))</f>
        <v>#REF!</v>
      </c>
      <c r="E28" s="300" t="e" cm="1">
        <f t="array" aca="1" ref="E28" ca="1">F28-SUM(_xlfn._xlws.FILTER(#REF!,(#REF!=$B$22)*(ISNUMBER(FIND(SUBSTITUTE(SUBSTITUTE(#REF!," SERRA","")," EXT.",""),$B28))),0))</f>
        <v>#REF!</v>
      </c>
      <c r="F28" s="300" cm="1">
        <f t="array" aca="1" ref="F28" ca="1">G28+SUM(_xlfn._xlws.FILTER(PrvSty[[DsvValue:SERRA]:[DsvValue:EXT.]],(PrvSty[Project]=$B$22)*(ISNUMBER(FIND(PrvSty[Column],$B28))),0))</f>
        <v>0</v>
      </c>
      <c r="G28" s="300" cm="1">
        <f t="array" ref="G28">SUM(_xlfn._xlws.FILTER(PptoSty[CurPpto],(PptoSty[Project]=$B$22)*(ISNUMBER(FIND(IFERROR(_xlfn.TEXTBEFORE(PptoSty[PptoVsColumn]," ("),PptoSty[PptoVsColumn]),$B28))),0))</f>
        <v>0</v>
      </c>
      <c r="H28" s="103">
        <f t="shared" ca="1" si="3"/>
        <v>0</v>
      </c>
    </row>
    <row r="29" spans="2:8">
      <c r="B29" s="294" t="s">
        <v>1337</v>
      </c>
      <c r="C29" s="300" t="e">
        <f t="shared" si="2"/>
        <v>#REF!</v>
      </c>
      <c r="D29" s="301" t="e" cm="1">
        <f t="array" ref="D29">MAX(_xlfn._xlws.FILTER(#REF!,(#REF!=$B$22)*(ISNUMBER(FIND(#REF!,$B29))),0))</f>
        <v>#REF!</v>
      </c>
      <c r="E29" s="300" t="e" cm="1">
        <f t="array" aca="1" ref="E29" ca="1">F29-SUM(_xlfn._xlws.FILTER(#REF!,(#REF!=$B$22)*(ISNUMBER(FIND(SUBSTITUTE(SUBSTITUTE(#REF!," SERRA","")," EXT.",""),$B29))),0))</f>
        <v>#REF!</v>
      </c>
      <c r="F29" s="300" cm="1">
        <f t="array" aca="1" ref="F29" ca="1">G29+SUM(_xlfn._xlws.FILTER(PrvSty[[DsvValue:SERRA]:[DsvValue:EXT.]],(PrvSty[Project]=$B$22)*(ISNUMBER(FIND(PrvSty[Column],$B29))),0))</f>
        <v>0</v>
      </c>
      <c r="G29" s="300" cm="1">
        <f t="array" ref="G29">SUM(_xlfn._xlws.FILTER(PptoSty[CurPpto],(PptoSty[Project]=$B$22)*(ISNUMBER(FIND(IFERROR(_xlfn.TEXTBEFORE(PptoSty[PptoVsColumn]," ("),PptoSty[PptoVsColumn]),$B29))),0))</f>
        <v>0</v>
      </c>
      <c r="H29" s="103">
        <f t="shared" ca="1" si="3"/>
        <v>0</v>
      </c>
    </row>
    <row r="30" spans="2:8">
      <c r="B30" s="294" t="s">
        <v>1338</v>
      </c>
      <c r="C30" s="300" t="e">
        <f t="shared" si="2"/>
        <v>#REF!</v>
      </c>
      <c r="D30" s="301" t="e" cm="1">
        <f t="array" ref="D30">MAX(_xlfn._xlws.FILTER(#REF!,(#REF!=$B$22)*(ISNUMBER(FIND(#REF!,$B30))),0))</f>
        <v>#REF!</v>
      </c>
      <c r="E30" s="300" t="e" cm="1">
        <f t="array" aca="1" ref="E30" ca="1">F30-SUM(_xlfn._xlws.FILTER(#REF!,(#REF!=$B$22)*(ISNUMBER(FIND(SUBSTITUTE(SUBSTITUTE(#REF!," SERRA","")," EXT.",""),$B30))),0))</f>
        <v>#REF!</v>
      </c>
      <c r="F30" s="300" cm="1">
        <f t="array" aca="1" ref="F30" ca="1">G30+SUM(_xlfn._xlws.FILTER(PrvSty[[DsvValue:SERRA]:[DsvValue:EXT.]],(PrvSty[Project]=$B$22)*(ISNUMBER(FIND(PrvSty[Column],$B30))),0))</f>
        <v>0</v>
      </c>
      <c r="G30" s="300" cm="1">
        <f t="array" ref="G30">SUM(_xlfn._xlws.FILTER(PptoSty[CurPpto],(PptoSty[Project]=$B$22)*(ISNUMBER(FIND(IFERROR(_xlfn.TEXTBEFORE(PptoSty[PptoVsColumn]," ("),PptoSty[PptoVsColumn]),$B30))),0))</f>
        <v>0</v>
      </c>
      <c r="H30" s="103">
        <f t="shared" ca="1" si="3"/>
        <v>0</v>
      </c>
    </row>
    <row r="31" spans="2:8">
      <c r="B31" s="295" t="s">
        <v>1345</v>
      </c>
      <c r="C31" s="300" t="e">
        <f>IF(D31=0,"N/A",E31/D31)</f>
        <v>#REF!</v>
      </c>
      <c r="D31" s="301" t="e" cm="1">
        <f t="array" ref="D31">MAX(_xlfn._xlws.FILTER(#REF!,(#REF!=$B$22)*(ISNUMBER(FIND(#REF!,$B31))),0))</f>
        <v>#REF!</v>
      </c>
      <c r="E31" s="300" t="e" cm="1">
        <f t="array" aca="1" ref="E31" ca="1">F31-SUM(_xlfn._xlws.FILTER(#REF!,(#REF!=$B$22)*(ISNUMBER(FIND(SUBSTITUTE(SUBSTITUTE(#REF!," SERRA","")," EXT.",""),$B31))),0))</f>
        <v>#REF!</v>
      </c>
      <c r="F31" s="300" cm="1">
        <f t="array" aca="1" ref="F31" ca="1">G31+SUM(_xlfn._xlws.FILTER(PrvSty[[DsvValue:SERRA]:[DsvValue:EXT.]],(PrvSty[Project]=$B$22)*(ISNUMBER(FIND(PrvSty[Column],$B31))),0))</f>
        <v>0</v>
      </c>
      <c r="G31" s="300" cm="1">
        <f t="array" ref="G31">SUM(_xlfn._xlws.FILTER(PptoSty[CurPpto],(PptoSty[Project]=$B$22)*(ISNUMBER(FIND(IFERROR(_xlfn.TEXTBEFORE(PptoSty[PptoVsColumn]," ("),PptoSty[PptoVsColumn]),$B31))),0))</f>
        <v>0</v>
      </c>
      <c r="H31" s="103">
        <f t="shared" ca="1" si="3"/>
        <v>0</v>
      </c>
    </row>
    <row r="32" spans="2:8">
      <c r="B32" s="294" t="s">
        <v>1341</v>
      </c>
      <c r="C32" s="300" t="e">
        <f>IF(D32=0,"N/A",E32/D32)</f>
        <v>#REF!</v>
      </c>
      <c r="D32" s="301" t="e" cm="1">
        <f t="array" ref="D32">MAX(_xlfn._xlws.FILTER(#REF!,(#REF!=$B$22)*(ISNUMBER(FIND(#REF!,$B32))),0))</f>
        <v>#REF!</v>
      </c>
      <c r="E32" s="300" t="e" cm="1">
        <f t="array" aca="1" ref="E32" ca="1">F32-SUM(_xlfn._xlws.FILTER(#REF!,(#REF!=$B$22)*(ISNUMBER(FIND(SUBSTITUTE(SUBSTITUTE(#REF!," SERRA","")," EXT.",""),$B32))),0))</f>
        <v>#REF!</v>
      </c>
      <c r="F32" s="300" cm="1">
        <f t="array" aca="1" ref="F32" ca="1">G32+SUM(_xlfn._xlws.FILTER(PrvSty[[DsvValue:SERRA]:[DsvValue:EXT.]],(PrvSty[Project]=$B$22)*(ISNUMBER(FIND(PrvSty[Column],$B32))),0))</f>
        <v>0</v>
      </c>
      <c r="G32" s="300" cm="1">
        <f t="array" ref="G32">SUM(_xlfn._xlws.FILTER(PptoSty[CurPpto],(PptoSty[Project]=$B$22)*(ISNUMBER(FIND(IFERROR(_xlfn.TEXTBEFORE(PptoSty[PptoVsColumn]," ("),PptoSty[PptoVsColumn]),$B32))),0))</f>
        <v>0</v>
      </c>
      <c r="H32" s="103">
        <f t="shared" ca="1" si="3"/>
        <v>0</v>
      </c>
    </row>
    <row r="33" spans="2:8">
      <c r="B33" s="295" t="s">
        <v>1393</v>
      </c>
      <c r="C33" s="300"/>
      <c r="D33" s="301"/>
      <c r="E33" s="300" t="e" cm="1">
        <f t="array" aca="1" ref="E33" ca="1">F33-SUM(_xlfn._xlws.FILTER(#REF!,(#REF!=$B$22)*(ISNUMBER(FIND(SUBSTITUTE(SUBSTITUTE(#REF!," SERRA","")," EXT.",""),$B33))),0))</f>
        <v>#REF!</v>
      </c>
      <c r="F33" s="300" cm="1">
        <f t="array" aca="1" ref="F33" ca="1">G33+SUM(_xlfn._xlws.FILTER(PrvSty[[DsvValue:SERRA]:[DsvValue:EXT.]],(PrvSty[Project]=$B$22)*(ISNUMBER(FIND(PrvSty[Column],$B33))),0))</f>
        <v>0</v>
      </c>
      <c r="G33" s="300" cm="1">
        <f t="array" ref="G33">SUM(_xlfn._xlws.FILTER(PptoSty[CurPpto],(PptoSty[Project]=$B$22)*(ISNUMBER(FIND(IFERROR(_xlfn.TEXTBEFORE(PptoSty[PptoVsColumn]," ("),PptoSty[PptoVsColumn]),$B33))),0))</f>
        <v>0</v>
      </c>
      <c r="H33" s="103">
        <f t="shared" ca="1" si="3"/>
        <v>0</v>
      </c>
    </row>
    <row r="34" spans="2:8">
      <c r="B34" s="295" t="s">
        <v>1765</v>
      </c>
      <c r="E34" s="300" t="e" cm="1">
        <f t="array" aca="1" ref="E34" ca="1">F34-SUM(_xlfn._xlws.FILTER(#REF!,(#REF!=$B$22)*(ISNUMBER(FIND(SUBSTITUTE(SUBSTITUTE(#REF!," SERRA","")," EXT.",""),$B34)))*(ISNUMBER(FIND(#REF!,$B34))),0))</f>
        <v>#REF!</v>
      </c>
      <c r="F34" s="300" cm="1">
        <f t="array" aca="1" ref="F34" ca="1">G34+SUM(_xlfn._xlws.FILTER(PrvSty[[DsvValue:SERRA]:[DsvValue:EXT.]],(PrvSty[Project]=$B$22)*(ISNUMBER(FIND(PrvSty[Column],$B34)))*(ISNUMBER(FIND(PrvSty[Row],$B34))),0))</f>
        <v>0</v>
      </c>
      <c r="G34" s="300" cm="1">
        <f t="array" ref="G34">SUM(_xlfn._xlws.FILTER(PptoSty[CurPpto],(PptoSty[Project]=$B$22)*(ISNUMBER(FIND(PptoSty[PptoVsRow],$B34)))*(ISNUMBER(FIND(IFERROR(_xlfn.TEXTBEFORE(PptoSty[PptoVsColumn]," ("),PptoSty[PptoVsColumn]),$B34))),0))</f>
        <v>0</v>
      </c>
      <c r="H34" s="103">
        <f t="shared" ca="1" si="3"/>
        <v>0</v>
      </c>
    </row>
    <row r="35" spans="2:8">
      <c r="B35" s="295" t="s">
        <v>1766</v>
      </c>
      <c r="C35" s="300" t="e">
        <f ca="1">IF(D35=0,"N/A",E35/D35)</f>
        <v>#REF!</v>
      </c>
      <c r="D35" s="301">
        <v>30</v>
      </c>
      <c r="E35" s="300" t="e" cm="1">
        <f t="array" aca="1" ref="E35" ca="1">F35-SUM(_xlfn._xlws.FILTER(#REF!,(#REF!=$B$22)*(ISNUMBER(FIND(SUBSTITUTE(SUBSTITUTE(#REF!," SERRA","")," EXT.",""),$B35)))*(ISNUMBER(FIND(#REF!,$B35))),0))</f>
        <v>#REF!</v>
      </c>
      <c r="F35" s="300" cm="1">
        <f t="array" aca="1" ref="F35" ca="1">G35+SUM(_xlfn._xlws.FILTER(PrvSty[[DsvValue:SERRA]:[DsvValue:EXT.]],(PrvSty[Project]=$B$22)*(ISNUMBER(FIND(PrvSty[Column],$B35)))*(ISNUMBER(FIND(PrvSty[Row],$B35))),0))</f>
        <v>0</v>
      </c>
      <c r="G35" s="300" cm="1">
        <f t="array" ref="G35">SUM(_xlfn._xlws.FILTER(PptoSty[CurPpto],(PptoSty[Project]=$B$22)*(ISNUMBER(FIND(PptoSty[PptoVsRow],$B35)))*(ISNUMBER(FIND(IFERROR(_xlfn.TEXTBEFORE(PptoSty[PptoVsColumn]," ("),PptoSty[PptoVsColumn]),$B35))),0))</f>
        <v>0</v>
      </c>
      <c r="H35" s="103">
        <f t="shared" ca="1" si="3"/>
        <v>0</v>
      </c>
    </row>
    <row r="36" spans="2:8">
      <c r="B36" s="295" t="s">
        <v>1767</v>
      </c>
      <c r="C36" s="77"/>
      <c r="D36" s="77"/>
      <c r="E36" s="300"/>
      <c r="F36" s="300"/>
      <c r="G36" s="300" t="e" cm="1">
        <f t="array" ref="G36">SUM(G23:G35)*AVERAGE(_xlfn._xlws.FILTER(#REF!,(#REF!=$B$22)*(#REF!=_xlfn.TEXTAFTER($B36," ")),0))</f>
        <v>#REF!</v>
      </c>
      <c r="H36" s="103"/>
    </row>
    <row r="37" spans="2:8">
      <c r="B37" s="295" t="s">
        <v>1768</v>
      </c>
      <c r="C37" s="302"/>
      <c r="D37" s="302"/>
      <c r="E37" s="77"/>
      <c r="F37" s="77"/>
      <c r="G37" s="77"/>
      <c r="H37" s="78"/>
    </row>
    <row r="38" spans="2:8" ht="16" thickBot="1">
      <c r="B38" s="303" t="s">
        <v>290</v>
      </c>
      <c r="C38" s="296"/>
      <c r="D38" s="304" t="e" cm="1">
        <f t="array" ref="D38">SUM(_xlfn._xlws.FILTER(#REF!,(#REF!=$B$22),0))</f>
        <v>#REF!</v>
      </c>
      <c r="E38" s="305" t="e">
        <f ca="1">SUM(E23:E36)</f>
        <v>#REF!</v>
      </c>
      <c r="F38" s="305">
        <f ca="1">SUM(F23:F36)</f>
        <v>0</v>
      </c>
      <c r="G38" s="305" t="e">
        <f>SUM(G23:G36)</f>
        <v>#REF!</v>
      </c>
      <c r="H38" s="306">
        <f ca="1">SUM(H23:H36)</f>
        <v>0</v>
      </c>
    </row>
    <row r="39" spans="2:8" ht="16" thickBot="1"/>
    <row r="40" spans="2:8" ht="17" thickBot="1">
      <c r="B40" s="307" t="e" cm="1">
        <f t="array" ref="B40">_xlfn.LET(_xlpm.x,MAX(_xlfn._xlws.FILTER(#REF!,#REF!=B41,0)),IF(_xlpm.x=0,"X",_xlpm.x))</f>
        <v>#REF!</v>
      </c>
      <c r="C40" s="308"/>
      <c r="D40" s="308" t="s">
        <v>1383</v>
      </c>
      <c r="E40" s="309" t="s">
        <v>1763</v>
      </c>
      <c r="F40" s="310" t="s">
        <v>1761</v>
      </c>
      <c r="G40" s="310" t="s">
        <v>1762</v>
      </c>
      <c r="H40" s="311" t="s">
        <v>1769</v>
      </c>
    </row>
    <row r="41" spans="2:8">
      <c r="B41" s="297">
        <f>Prj2_Id</f>
        <v>31199</v>
      </c>
      <c r="C41" s="299" t="s">
        <v>289</v>
      </c>
      <c r="D41" s="299" t="s">
        <v>1760</v>
      </c>
      <c r="E41" s="299" t="s">
        <v>299</v>
      </c>
      <c r="F41" s="299" t="s">
        <v>299</v>
      </c>
      <c r="G41" s="299" t="s">
        <v>299</v>
      </c>
      <c r="H41" s="298" t="s">
        <v>299</v>
      </c>
    </row>
    <row r="42" spans="2:8">
      <c r="B42" s="294" t="s">
        <v>1330</v>
      </c>
      <c r="C42" s="300" t="e">
        <f t="shared" ref="C42:C49" si="4">IF(D42=0,"N/A",E42/D42)</f>
        <v>#REF!</v>
      </c>
      <c r="D42" s="301" t="e" cm="1">
        <f t="array" ref="D42">MAX(_xlfn._xlws.FILTER(#REF!,(#REF!=$B$41)*(ISNUMBER(FIND(#REF!,$B42))),0))</f>
        <v>#REF!</v>
      </c>
      <c r="E42" s="300" t="e" cm="1">
        <f t="array" aca="1" ref="E42" ca="1">F42-SUM(_xlfn._xlws.FILTER(#REF!,(#REF!=$B$41)*(ISNUMBER(FIND(SUBSTITUTE(SUBSTITUTE(#REF!," SERRA","")," EXT.",""),$B42))),0))</f>
        <v>#REF!</v>
      </c>
      <c r="F42" s="300" cm="1">
        <f t="array" aca="1" ref="F42" ca="1">G42+SUM(_xlfn._xlws.FILTER(PrvSty[[DsvValue:SERRA]:[DsvValue:EXT.]],(PrvSty[Project]=$B$41)*(ISNUMBER(FIND(PrvSty[Column],$B42))),0))</f>
        <v>0</v>
      </c>
      <c r="G42" s="300" cm="1">
        <f t="array" ref="G42">SUM(_xlfn._xlws.FILTER(PptoSty[CurPpto],(PptoSty[Project]=$B$41)*(ISNUMBER(FIND(IFERROR(_xlfn.TEXTBEFORE(PptoSty[PptoVsColumn]," ("),PptoSty[PptoVsColumn]),$B42))),0))</f>
        <v>0</v>
      </c>
      <c r="H42" s="103">
        <f ca="1">G42-F42</f>
        <v>0</v>
      </c>
    </row>
    <row r="43" spans="2:8">
      <c r="B43" s="295" t="s">
        <v>1343</v>
      </c>
      <c r="C43" s="300" t="e">
        <f t="shared" si="4"/>
        <v>#REF!</v>
      </c>
      <c r="D43" s="301" t="e" cm="1">
        <f t="array" ref="D43">MAX(_xlfn._xlws.FILTER(#REF!,(#REF!=$B$41)*(ISNUMBER(FIND(#REF!,$B43))),0))</f>
        <v>#REF!</v>
      </c>
      <c r="E43" s="300" t="e" cm="1">
        <f t="array" aca="1" ref="E43" ca="1">F43-SUM(_xlfn._xlws.FILTER(#REF!,(#REF!=$B$41)*(ISNUMBER(FIND(SUBSTITUTE(SUBSTITUTE(#REF!," SERRA","")," EXT.",""),$B43))),0))</f>
        <v>#REF!</v>
      </c>
      <c r="F43" s="300" cm="1">
        <f t="array" aca="1" ref="F43" ca="1">G43+SUM(_xlfn._xlws.FILTER(PrvSty[[DsvValue:SERRA]:[DsvValue:EXT.]],(PrvSty[Project]=$B$41)*(ISNUMBER(FIND(PrvSty[Column],$B43))),0))</f>
        <v>0</v>
      </c>
      <c r="G43" s="300" cm="1">
        <f t="array" ref="G43">SUM(_xlfn._xlws.FILTER(PptoSty[CurPpto],(PptoSty[Project]=$B$41)*(ISNUMBER(FIND(IFERROR(_xlfn.TEXTBEFORE(PptoSty[PptoVsColumn]," ("),PptoSty[PptoVsColumn]),$B43))),0))</f>
        <v>0</v>
      </c>
      <c r="H43" s="103">
        <f ca="1">G43-F43</f>
        <v>0</v>
      </c>
    </row>
    <row r="44" spans="2:8">
      <c r="B44" s="294" t="s">
        <v>1333</v>
      </c>
      <c r="C44" s="300" t="e">
        <f t="shared" si="4"/>
        <v>#REF!</v>
      </c>
      <c r="D44" s="301" t="e" cm="1">
        <f t="array" ref="D44">MAX(_xlfn._xlws.FILTER(#REF!,(#REF!=$B$41)*(ISNUMBER(FIND(#REF!,$B44))),0))</f>
        <v>#REF!</v>
      </c>
      <c r="E44" s="300" t="e" cm="1">
        <f t="array" aca="1" ref="E44" ca="1">F44-SUM(_xlfn._xlws.FILTER(#REF!,(#REF!=$B$41)*(ISNUMBER(FIND(SUBSTITUTE(SUBSTITUTE(#REF!," SERRA","")," EXT.",""),$B44))),0))</f>
        <v>#REF!</v>
      </c>
      <c r="F44" s="300" cm="1">
        <f t="array" aca="1" ref="F44" ca="1">G44+SUM(_xlfn._xlws.FILTER(PrvSty[[DsvValue:SERRA]:[DsvValue:EXT.]],(PrvSty[Project]=$B$41)*(ISNUMBER(FIND(PrvSty[Column],$B44))),0))</f>
        <v>0</v>
      </c>
      <c r="G44" s="300" cm="1">
        <f t="array" ref="G44">SUM(_xlfn._xlws.FILTER(PptoSty[CurPpto],(PptoSty[Project]=$B$41)*(ISNUMBER(FIND(IFERROR(_xlfn.TEXTBEFORE(PptoSty[PptoVsColumn]," ("),PptoSty[PptoVsColumn]),$B44))),0))</f>
        <v>0</v>
      </c>
      <c r="H44" s="103">
        <f ca="1">G44-F44</f>
        <v>0</v>
      </c>
    </row>
    <row r="45" spans="2:8">
      <c r="B45" s="295" t="s">
        <v>1344</v>
      </c>
      <c r="C45" s="300" t="e">
        <f t="shared" si="4"/>
        <v>#REF!</v>
      </c>
      <c r="D45" s="301" t="e" cm="1">
        <f t="array" ref="D45">MAX(_xlfn._xlws.FILTER(#REF!,(#REF!=$B$41)*(ISNUMBER(FIND(#REF!,$B45))),0))</f>
        <v>#REF!</v>
      </c>
      <c r="E45" s="300" t="e" cm="1">
        <f t="array" aca="1" ref="E45" ca="1">F45-SUM(_xlfn._xlws.FILTER(#REF!,(#REF!=$B$41)*(ISNUMBER(FIND(SUBSTITUTE(SUBSTITUTE(#REF!," SERRA","")," EXT.",""),$B45))),0))</f>
        <v>#REF!</v>
      </c>
      <c r="F45" s="300" cm="1">
        <f t="array" aca="1" ref="F45" ca="1">G45+SUM(_xlfn._xlws.FILTER(PrvSty[[DsvValue:SERRA]:[DsvValue:EXT.]],(PrvSty[Project]=$B$41)*(ISNUMBER(FIND(PrvSty[Column],$B45))),0))</f>
        <v>0</v>
      </c>
      <c r="G45" s="300" cm="1">
        <f t="array" ref="G45">SUM(_xlfn._xlws.FILTER(PptoSty[CurPpto],(PptoSty[Project]=$B$41)*(ISNUMBER(FIND(IFERROR(_xlfn.TEXTBEFORE(PptoSty[PptoVsColumn]," ("),PptoSty[PptoVsColumn]),$B45))),0))</f>
        <v>0</v>
      </c>
      <c r="H45" s="103">
        <f t="shared" ref="H45:H54" ca="1" si="5">G45-F45</f>
        <v>0</v>
      </c>
    </row>
    <row r="46" spans="2:8">
      <c r="B46" s="294" t="s">
        <v>1335</v>
      </c>
      <c r="C46" s="300" t="e">
        <f t="shared" si="4"/>
        <v>#REF!</v>
      </c>
      <c r="D46" s="301" t="e" cm="1">
        <f t="array" ref="D46">MAX(_xlfn._xlws.FILTER(#REF!,(#REF!=$B$41)*(ISNUMBER(FIND(#REF!,$B46))),0))</f>
        <v>#REF!</v>
      </c>
      <c r="E46" s="300" t="e" cm="1">
        <f t="array" aca="1" ref="E46" ca="1">F46-SUM(_xlfn._xlws.FILTER(#REF!,(#REF!=$B$41)*(ISNUMBER(FIND(SUBSTITUTE(SUBSTITUTE(#REF!," SERRA","")," EXT.",""),$B46))),0))</f>
        <v>#REF!</v>
      </c>
      <c r="F46" s="300" cm="1">
        <f t="array" aca="1" ref="F46" ca="1">G46+SUM(_xlfn._xlws.FILTER(PrvSty[[DsvValue:SERRA]:[DsvValue:EXT.]],(PrvSty[Project]=$B$41)*(ISNUMBER(FIND(PrvSty[Column],$B46))),0))</f>
        <v>0</v>
      </c>
      <c r="G46" s="300" cm="1">
        <f t="array" ref="G46">SUM(_xlfn._xlws.FILTER(PptoSty[CurPpto],(PptoSty[Project]=$B$41)*(ISNUMBER(FIND(IFERROR(_xlfn.TEXTBEFORE(PptoSty[PptoVsColumn]," ("),PptoSty[PptoVsColumn]),$B46))),0))</f>
        <v>0</v>
      </c>
      <c r="H46" s="103">
        <f t="shared" ca="1" si="5"/>
        <v>0</v>
      </c>
    </row>
    <row r="47" spans="2:8">
      <c r="B47" s="294" t="s">
        <v>1336</v>
      </c>
      <c r="C47" s="300" t="e">
        <f t="shared" si="4"/>
        <v>#REF!</v>
      </c>
      <c r="D47" s="301" t="e" cm="1">
        <f t="array" ref="D47">MAX(_xlfn._xlws.FILTER(#REF!,(#REF!=$B$41)*(ISNUMBER(FIND(#REF!,$B47))),0))</f>
        <v>#REF!</v>
      </c>
      <c r="E47" s="300" t="e" cm="1">
        <f t="array" aca="1" ref="E47" ca="1">F47-SUM(_xlfn._xlws.FILTER(#REF!,(#REF!=$B$41)*(ISNUMBER(FIND(SUBSTITUTE(SUBSTITUTE(#REF!," SERRA","")," EXT.",""),$B47))),0))</f>
        <v>#REF!</v>
      </c>
      <c r="F47" s="300" cm="1">
        <f t="array" aca="1" ref="F47" ca="1">G47+SUM(_xlfn._xlws.FILTER(PrvSty[[DsvValue:SERRA]:[DsvValue:EXT.]],(PrvSty[Project]=$B$41)*(ISNUMBER(FIND(PrvSty[Column],$B47))),0))</f>
        <v>0</v>
      </c>
      <c r="G47" s="300" cm="1">
        <f t="array" ref="G47">SUM(_xlfn._xlws.FILTER(PptoSty[CurPpto],(PptoSty[Project]=$B$41)*(ISNUMBER(FIND(IFERROR(_xlfn.TEXTBEFORE(PptoSty[PptoVsColumn]," ("),PptoSty[PptoVsColumn]),$B47))),0))</f>
        <v>0</v>
      </c>
      <c r="H47" s="103">
        <f t="shared" ca="1" si="5"/>
        <v>0</v>
      </c>
    </row>
    <row r="48" spans="2:8">
      <c r="B48" s="294" t="s">
        <v>1337</v>
      </c>
      <c r="C48" s="300" t="e">
        <f t="shared" si="4"/>
        <v>#REF!</v>
      </c>
      <c r="D48" s="301" t="e" cm="1">
        <f t="array" ref="D48">MAX(_xlfn._xlws.FILTER(#REF!,(#REF!=$B$41)*(ISNUMBER(FIND(#REF!,$B48))),0))</f>
        <v>#REF!</v>
      </c>
      <c r="E48" s="300" t="e" cm="1">
        <f t="array" aca="1" ref="E48" ca="1">F48-SUM(_xlfn._xlws.FILTER(#REF!,(#REF!=$B$41)*(ISNUMBER(FIND(SUBSTITUTE(SUBSTITUTE(#REF!," SERRA","")," EXT.",""),$B48))),0))</f>
        <v>#REF!</v>
      </c>
      <c r="F48" s="300" cm="1">
        <f t="array" aca="1" ref="F48" ca="1">G48+SUM(_xlfn._xlws.FILTER(PrvSty[[DsvValue:SERRA]:[DsvValue:EXT.]],(PrvSty[Project]=$B$41)*(ISNUMBER(FIND(PrvSty[Column],$B48))),0))</f>
        <v>0</v>
      </c>
      <c r="G48" s="300" cm="1">
        <f t="array" ref="G48">SUM(_xlfn._xlws.FILTER(PptoSty[CurPpto],(PptoSty[Project]=$B$41)*(ISNUMBER(FIND(IFERROR(_xlfn.TEXTBEFORE(PptoSty[PptoVsColumn]," ("),PptoSty[PptoVsColumn]),$B48))),0))</f>
        <v>0</v>
      </c>
      <c r="H48" s="103">
        <f t="shared" ca="1" si="5"/>
        <v>0</v>
      </c>
    </row>
    <row r="49" spans="2:8">
      <c r="B49" s="294" t="s">
        <v>1338</v>
      </c>
      <c r="C49" s="300" t="e">
        <f t="shared" si="4"/>
        <v>#REF!</v>
      </c>
      <c r="D49" s="301" t="e" cm="1">
        <f t="array" ref="D49">MAX(_xlfn._xlws.FILTER(#REF!,(#REF!=$B$41)*(ISNUMBER(FIND(#REF!,$B49))),0))</f>
        <v>#REF!</v>
      </c>
      <c r="E49" s="300" t="e" cm="1">
        <f t="array" aca="1" ref="E49" ca="1">F49-SUM(_xlfn._xlws.FILTER(#REF!,(#REF!=$B$41)*(ISNUMBER(FIND(SUBSTITUTE(SUBSTITUTE(#REF!," SERRA","")," EXT.",""),$B49))),0))</f>
        <v>#REF!</v>
      </c>
      <c r="F49" s="300" cm="1">
        <f t="array" aca="1" ref="F49" ca="1">G49+SUM(_xlfn._xlws.FILTER(PrvSty[[DsvValue:SERRA]:[DsvValue:EXT.]],(PrvSty[Project]=$B$41)*(ISNUMBER(FIND(PrvSty[Column],$B49))),0))</f>
        <v>0</v>
      </c>
      <c r="G49" s="300" cm="1">
        <f t="array" ref="G49">SUM(_xlfn._xlws.FILTER(PptoSty[CurPpto],(PptoSty[Project]=$B$41)*(ISNUMBER(FIND(IFERROR(_xlfn.TEXTBEFORE(PptoSty[PptoVsColumn]," ("),PptoSty[PptoVsColumn]),$B49))),0))</f>
        <v>0</v>
      </c>
      <c r="H49" s="103">
        <f t="shared" ca="1" si="5"/>
        <v>0</v>
      </c>
    </row>
    <row r="50" spans="2:8">
      <c r="B50" s="295" t="s">
        <v>1345</v>
      </c>
      <c r="C50" s="300" t="e">
        <f>IF(D50=0,"N/A",E50/D50)</f>
        <v>#REF!</v>
      </c>
      <c r="D50" s="301" t="e" cm="1">
        <f t="array" ref="D50">MAX(_xlfn._xlws.FILTER(#REF!,(#REF!=$B$41)*(ISNUMBER(FIND(#REF!,$B50))),0))</f>
        <v>#REF!</v>
      </c>
      <c r="E50" s="300" t="e" cm="1">
        <f t="array" aca="1" ref="E50" ca="1">F50-SUM(_xlfn._xlws.FILTER(#REF!,(#REF!=$B$41)*(ISNUMBER(FIND(SUBSTITUTE(SUBSTITUTE(#REF!," SERRA","")," EXT.",""),$B50))),0))</f>
        <v>#REF!</v>
      </c>
      <c r="F50" s="300" cm="1">
        <f t="array" aca="1" ref="F50" ca="1">G50+SUM(_xlfn._xlws.FILTER(PrvSty[[DsvValue:SERRA]:[DsvValue:EXT.]],(PrvSty[Project]=$B$41)*(ISNUMBER(FIND(PrvSty[Column],$B50))),0))</f>
        <v>0</v>
      </c>
      <c r="G50" s="300" cm="1">
        <f t="array" ref="G50">SUM(_xlfn._xlws.FILTER(PptoSty[CurPpto],(PptoSty[Project]=$B$41)*(ISNUMBER(FIND(IFERROR(_xlfn.TEXTBEFORE(PptoSty[PptoVsColumn]," ("),PptoSty[PptoVsColumn]),$B50))),0))</f>
        <v>0</v>
      </c>
      <c r="H50" s="103">
        <f t="shared" ca="1" si="5"/>
        <v>0</v>
      </c>
    </row>
    <row r="51" spans="2:8">
      <c r="B51" s="294" t="s">
        <v>1341</v>
      </c>
      <c r="C51" s="300" t="e">
        <f>IF(D51=0,"N/A",E51/D51)</f>
        <v>#REF!</v>
      </c>
      <c r="D51" s="301" t="e" cm="1">
        <f t="array" ref="D51">MAX(_xlfn._xlws.FILTER(#REF!,(#REF!=$B$41)*(ISNUMBER(FIND(#REF!,$B51))),0))</f>
        <v>#REF!</v>
      </c>
      <c r="E51" s="300" t="e" cm="1">
        <f t="array" aca="1" ref="E51" ca="1">F51-SUM(_xlfn._xlws.FILTER(#REF!,(#REF!=$B$41)*(ISNUMBER(FIND(SUBSTITUTE(SUBSTITUTE(#REF!," SERRA","")," EXT.",""),$B51))),0))</f>
        <v>#REF!</v>
      </c>
      <c r="F51" s="300" cm="1">
        <f t="array" aca="1" ref="F51" ca="1">G51+SUM(_xlfn._xlws.FILTER(PrvSty[[DsvValue:SERRA]:[DsvValue:EXT.]],(PrvSty[Project]=$B$41)*(ISNUMBER(FIND(PrvSty[Column],$B51))),0))</f>
        <v>0</v>
      </c>
      <c r="G51" s="300" cm="1">
        <f t="array" ref="G51">SUM(_xlfn._xlws.FILTER(PptoSty[CurPpto],(PptoSty[Project]=$B$41)*(ISNUMBER(FIND(IFERROR(_xlfn.TEXTBEFORE(PptoSty[PptoVsColumn]," ("),PptoSty[PptoVsColumn]),$B51))),0))</f>
        <v>0</v>
      </c>
      <c r="H51" s="103">
        <f t="shared" ca="1" si="5"/>
        <v>0</v>
      </c>
    </row>
    <row r="52" spans="2:8">
      <c r="B52" s="295" t="s">
        <v>1393</v>
      </c>
      <c r="C52" s="300"/>
      <c r="D52" s="301"/>
      <c r="E52" s="300" t="e" cm="1">
        <f t="array" aca="1" ref="E52" ca="1">F52-SUM(_xlfn._xlws.FILTER(#REF!,(#REF!=$B$41)*(ISNUMBER(FIND(SUBSTITUTE(SUBSTITUTE(#REF!," SERRA","")," EXT.",""),$B52))),0))</f>
        <v>#REF!</v>
      </c>
      <c r="F52" s="300" cm="1">
        <f t="array" aca="1" ref="F52" ca="1">G52+SUM(_xlfn._xlws.FILTER(PrvSty[[DsvValue:SERRA]:[DsvValue:EXT.]],(PrvSty[Project]=$B$41)*(ISNUMBER(FIND(PrvSty[Column],$B52))),0))</f>
        <v>0</v>
      </c>
      <c r="G52" s="300" cm="1">
        <f t="array" ref="G52">SUM(_xlfn._xlws.FILTER(PptoSty[CurPpto],(PptoSty[Project]=$B$41)*(ISNUMBER(FIND(IFERROR(_xlfn.TEXTBEFORE(PptoSty[PptoVsColumn]," ("),PptoSty[PptoVsColumn]),$B52))),0))</f>
        <v>0</v>
      </c>
      <c r="H52" s="103">
        <f t="shared" ca="1" si="5"/>
        <v>0</v>
      </c>
    </row>
    <row r="53" spans="2:8">
      <c r="B53" s="295" t="s">
        <v>1765</v>
      </c>
      <c r="E53" s="300" t="e" cm="1">
        <f t="array" aca="1" ref="E53" ca="1">F53-SUM(_xlfn._xlws.FILTER(#REF!,(#REF!=$B$41)*(ISNUMBER(FIND(SUBSTITUTE(SUBSTITUTE(#REF!," SERRA","")," EXT.",""),$B53)))*(ISNUMBER(FIND(#REF!,$B53))),0))</f>
        <v>#REF!</v>
      </c>
      <c r="F53" s="300" cm="1">
        <f t="array" aca="1" ref="F53" ca="1">G53+SUM(_xlfn._xlws.FILTER(PrvSty[[DsvValue:SERRA]:[DsvValue:EXT.]],(PrvSty[Project]=$B$41)*(ISNUMBER(FIND(PrvSty[Column],$B53)))*(ISNUMBER(FIND(PrvSty[Row],$B53))),0))</f>
        <v>0</v>
      </c>
      <c r="G53" s="300" cm="1">
        <f t="array" ref="G53">SUM(_xlfn._xlws.FILTER(PptoSty[CurPpto],(PptoSty[Project]=$B$41)*(ISNUMBER(FIND(PptoSty[PptoVsRow],$B53)))*(ISNUMBER(FIND(IFERROR(_xlfn.TEXTBEFORE(PptoSty[PptoVsColumn]," ("),PptoSty[PptoVsColumn]),$B53))),0))</f>
        <v>0</v>
      </c>
      <c r="H53" s="103">
        <f t="shared" ca="1" si="5"/>
        <v>0</v>
      </c>
    </row>
    <row r="54" spans="2:8">
      <c r="B54" s="295" t="s">
        <v>1766</v>
      </c>
      <c r="C54" s="300" t="e">
        <f ca="1">IF(D54=0,"N/A",E54/D54)</f>
        <v>#REF!</v>
      </c>
      <c r="D54" s="301">
        <v>30</v>
      </c>
      <c r="E54" s="300" t="e" cm="1">
        <f t="array" aca="1" ref="E54" ca="1">F54-SUM(_xlfn._xlws.FILTER(#REF!,(#REF!=$B$41)*(ISNUMBER(FIND(SUBSTITUTE(SUBSTITUTE(#REF!," SERRA","")," EXT.",""),$B54)))*(ISNUMBER(FIND(#REF!,$B54))),0))</f>
        <v>#REF!</v>
      </c>
      <c r="F54" s="300" cm="1">
        <f t="array" aca="1" ref="F54" ca="1">G54+SUM(_xlfn._xlws.FILTER(PrvSty[[DsvValue:SERRA]:[DsvValue:EXT.]],(PrvSty[Project]=$B$41)*(ISNUMBER(FIND(PrvSty[Column],$B54)))*(ISNUMBER(FIND(PrvSty[Row],$B54))),0))</f>
        <v>0</v>
      </c>
      <c r="G54" s="300" cm="1">
        <f t="array" ref="G54">SUM(_xlfn._xlws.FILTER(PptoSty[CurPpto],(PptoSty[Project]=$B$41)*(ISNUMBER(FIND(PptoSty[PptoVsRow],$B54)))*(ISNUMBER(FIND(IFERROR(_xlfn.TEXTBEFORE(PptoSty[PptoVsColumn]," ("),PptoSty[PptoVsColumn]),$B54))),0))</f>
        <v>0</v>
      </c>
      <c r="H54" s="103">
        <f t="shared" ca="1" si="5"/>
        <v>0</v>
      </c>
    </row>
    <row r="55" spans="2:8">
      <c r="B55" s="295" t="s">
        <v>1767</v>
      </c>
      <c r="C55" s="77"/>
      <c r="D55" s="77"/>
      <c r="E55" s="300"/>
      <c r="F55" s="300"/>
      <c r="G55" s="300" t="e" cm="1">
        <f t="array" ref="G55">SUM(G42:G54)*AVERAGE(_xlfn._xlws.FILTER(#REF!,(#REF!=$B$41)*(#REF!=_xlfn.TEXTAFTER($B55," ")),0))</f>
        <v>#REF!</v>
      </c>
      <c r="H55" s="103"/>
    </row>
    <row r="56" spans="2:8">
      <c r="B56" s="295" t="s">
        <v>1768</v>
      </c>
      <c r="C56" s="302"/>
      <c r="D56" s="302"/>
      <c r="E56" s="77"/>
      <c r="F56" s="77"/>
      <c r="G56" s="77"/>
      <c r="H56" s="78"/>
    </row>
    <row r="57" spans="2:8" ht="16" thickBot="1">
      <c r="B57" s="303" t="s">
        <v>290</v>
      </c>
      <c r="C57" s="296"/>
      <c r="D57" s="304" t="e" cm="1">
        <f t="array" aca="1" ref="D57" ca="1">SUM(_xlfn._xlws.FILTER(#REF!,(#REF!=$B$3),0))</f>
        <v>#REF!</v>
      </c>
      <c r="E57" s="305" t="e">
        <f ca="1">SUM(E42:E55)</f>
        <v>#REF!</v>
      </c>
      <c r="F57" s="305">
        <f ca="1">SUM(F42:F55)</f>
        <v>0</v>
      </c>
      <c r="G57" s="305" t="e">
        <f>SUM(G42:G55)</f>
        <v>#REF!</v>
      </c>
      <c r="H57" s="306">
        <f ca="1">SUM(H42:H55)</f>
        <v>0</v>
      </c>
    </row>
  </sheetData>
  <phoneticPr fontId="17" type="noConversion"/>
  <conditionalFormatting sqref="C4:H19 C23:H38 C42:H57">
    <cfRule type="cellIs" dxfId="3" priority="1" stopIfTrue="1" operator="lessThan">
      <formula>0</formula>
    </cfRule>
    <cfRule type="cellIs" dxfId="2" priority="2" stopIfTrue="1" operator="greaterThanOrEqual">
      <formula>0</formula>
    </cfRule>
  </conditionalFormatting>
  <pageMargins left="0.75" right="0.46" top="0.65" bottom="0.56999999999999995" header="0" footer="0"/>
  <pageSetup paperSize="9" scale="55" orientation="landscape" r:id="rId1"/>
  <headerFooter alignWithMargins="0">
    <oddFooter>&amp;R&amp;F/&amp;A&amp;C&amp;1#&amp;"Calibri"&amp;8&amp;K000000Aernnova Group confidential information. Limited use on a need-to-know basis. All rights reserved.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pageSetUpPr fitToPage="1"/>
  </sheetPr>
  <dimension ref="A2:R28"/>
  <sheetViews>
    <sheetView workbookViewId="0"/>
  </sheetViews>
  <sheetFormatPr baseColWidth="10" defaultColWidth="11.5" defaultRowHeight="13"/>
  <cols>
    <col min="1" max="1" width="28.5" bestFit="1" customWidth="1"/>
    <col min="2" max="5" width="14.6640625" customWidth="1"/>
    <col min="6" max="6" width="15.5" customWidth="1"/>
    <col min="7" max="7" width="14.6640625" customWidth="1"/>
    <col min="9" max="9" width="4.6640625" bestFit="1" customWidth="1"/>
    <col min="10" max="10" width="4.6640625" customWidth="1"/>
    <col min="11" max="12" width="11.83203125" bestFit="1" customWidth="1"/>
    <col min="13" max="13" width="14.83203125" customWidth="1"/>
    <col min="14" max="14" width="10.33203125" bestFit="1" customWidth="1"/>
    <col min="15" max="15" width="12.1640625" style="314" bestFit="1" customWidth="1"/>
  </cols>
  <sheetData>
    <row r="2" spans="1:18" ht="33" customHeight="1">
      <c r="A2" s="5"/>
      <c r="B2" s="1"/>
      <c r="C2" s="6" t="s">
        <v>282</v>
      </c>
      <c r="D2" s="1"/>
      <c r="E2" s="1"/>
      <c r="F2" s="2"/>
      <c r="L2" t="s">
        <v>1784</v>
      </c>
      <c r="O2" s="313"/>
      <c r="R2" s="98"/>
    </row>
    <row r="3" spans="1:18" ht="28">
      <c r="B3" s="492" t="s">
        <v>1371</v>
      </c>
      <c r="C3" s="492"/>
      <c r="D3" s="492"/>
      <c r="E3" s="1"/>
      <c r="F3" s="2"/>
      <c r="J3" s="98"/>
      <c r="L3" s="315" t="s">
        <v>444</v>
      </c>
      <c r="M3" s="324" t="s">
        <v>1779</v>
      </c>
      <c r="N3" s="324" t="s">
        <v>1778</v>
      </c>
      <c r="O3" s="324" t="s">
        <v>1780</v>
      </c>
      <c r="P3" s="324" t="s">
        <v>1781</v>
      </c>
      <c r="Q3" s="324" t="s">
        <v>1782</v>
      </c>
      <c r="R3" s="324" t="s">
        <v>1783</v>
      </c>
    </row>
    <row r="4" spans="1:18" ht="14">
      <c r="A4" s="81"/>
      <c r="B4" s="82" t="s">
        <v>1372</v>
      </c>
      <c r="C4" s="82" t="s">
        <v>1373</v>
      </c>
      <c r="D4" s="82" t="s">
        <v>1374</v>
      </c>
      <c r="E4" s="82"/>
      <c r="F4" s="83"/>
      <c r="G4" s="81"/>
      <c r="L4" s="316" t="str">
        <f ca="1">Prj0_Id</f>
        <v>31200</v>
      </c>
      <c r="M4" s="316"/>
      <c r="N4" s="316"/>
      <c r="O4"/>
    </row>
    <row r="5" spans="1:18">
      <c r="A5" s="81" t="s">
        <v>1375</v>
      </c>
      <c r="B5" s="91">
        <f ca="1">SUM(C8:C10)</f>
        <v>0</v>
      </c>
      <c r="C5" s="91" cm="1">
        <f t="array" aca="1" ref="C5" ca="1">SUM(_xlfn._xlws.FILTER(INDIRECT(Mods!$P$4),NOT(ISNUMBER(FIND(INDIRECT(Mods!$N$4),"ODCX"))),"X"))</f>
        <v>77735.039999999994</v>
      </c>
      <c r="D5" s="91">
        <f ca="1">SUM(B5:C5)</f>
        <v>77735.039999999994</v>
      </c>
      <c r="E5" s="92"/>
      <c r="F5" s="93"/>
      <c r="G5" s="93"/>
      <c r="L5" s="319" t="str">
        <f>Prj1_Id</f>
        <v>X</v>
      </c>
      <c r="M5" s="319"/>
      <c r="N5" s="319"/>
      <c r="O5"/>
    </row>
    <row r="6" spans="1:18">
      <c r="A6" s="84" t="s">
        <v>296</v>
      </c>
      <c r="B6" s="91">
        <f ca="1">SUM(PptoSty[CurPpto])</f>
        <v>7403569.5545360828</v>
      </c>
      <c r="C6" s="94"/>
      <c r="D6" s="94"/>
      <c r="E6" s="94"/>
      <c r="F6" s="93"/>
      <c r="G6" s="93"/>
      <c r="L6" s="316">
        <f>Prj2_Id</f>
        <v>31199</v>
      </c>
      <c r="M6" s="316"/>
      <c r="N6" s="316"/>
      <c r="O6"/>
    </row>
    <row r="7" spans="1:18">
      <c r="A7" s="81"/>
      <c r="B7" s="93"/>
      <c r="C7" s="94"/>
      <c r="D7" s="94"/>
      <c r="E7" s="94"/>
      <c r="F7" s="93"/>
      <c r="G7" s="93"/>
      <c r="L7" s="98"/>
      <c r="M7" s="98"/>
      <c r="N7" s="98"/>
      <c r="O7"/>
    </row>
    <row r="8" spans="1:18">
      <c r="A8" s="86" t="s">
        <v>29</v>
      </c>
      <c r="B8" s="102">
        <v>31179</v>
      </c>
      <c r="C8" s="91" cm="1">
        <f t="array" aca="1" ref="C8" ca="1">IF(NOT(ISNUMBER(FIND(TEXT($B8,"@"),PPR!$B$10))),0,SUM(_xlfn._xlws.FILTER(#REF!,(#REF!=TEXT($B8,"@"))*(INDEX(_xlfn.TEXTSPLIT(#REF!,"-"),1)="PO"),0)))</f>
        <v>0</v>
      </c>
      <c r="D8" s="102"/>
      <c r="E8" s="94"/>
      <c r="F8" s="493" t="s">
        <v>46</v>
      </c>
      <c r="G8" s="93"/>
      <c r="L8" t="s">
        <v>1785</v>
      </c>
      <c r="M8" s="98"/>
      <c r="N8" s="98"/>
      <c r="O8"/>
    </row>
    <row r="9" spans="1:18">
      <c r="A9" s="86"/>
      <c r="B9" s="102"/>
      <c r="C9" s="91"/>
      <c r="D9" s="102"/>
      <c r="E9" s="94"/>
      <c r="F9" s="493"/>
      <c r="G9" s="93"/>
      <c r="L9" s="315" t="s">
        <v>444</v>
      </c>
      <c r="M9" s="315" t="s">
        <v>1771</v>
      </c>
      <c r="N9" s="315" t="s">
        <v>1770</v>
      </c>
      <c r="O9" s="315" t="s">
        <v>1773</v>
      </c>
      <c r="P9" s="315" t="s">
        <v>1382</v>
      </c>
      <c r="Q9" s="315" t="s">
        <v>1383</v>
      </c>
      <c r="R9" s="315" t="s">
        <v>1772</v>
      </c>
    </row>
    <row r="10" spans="1:18">
      <c r="A10" s="86"/>
      <c r="B10" s="102"/>
      <c r="C10" s="91"/>
      <c r="D10" s="102"/>
      <c r="E10" s="94"/>
      <c r="F10" s="493"/>
      <c r="G10" s="93"/>
      <c r="L10" s="319" t="str">
        <f ca="1">Prj0_Id</f>
        <v>31200</v>
      </c>
      <c r="M10" s="319"/>
      <c r="N10" s="320">
        <f ca="1">PPR!AQ10</f>
        <v>234243.33433395432</v>
      </c>
      <c r="O10" s="321"/>
      <c r="P10" s="321"/>
      <c r="Q10" s="321"/>
      <c r="R10" s="321"/>
    </row>
    <row r="11" spans="1:18">
      <c r="A11" s="81" t="s">
        <v>31</v>
      </c>
      <c r="B11" s="94"/>
      <c r="C11" s="93" cm="1">
        <f t="array" aca="1" ref="C11" ca="1">SUM(_xlfn._xlws.FILTER(INDIRECT(Mods!$T$4),NOT(ISNUMBER(FIND(INDIRECT(Mods!$N$4),"ODCX"))),"X"))</f>
        <v>1473022.5534000001</v>
      </c>
      <c r="D11" s="94"/>
      <c r="E11" s="94"/>
      <c r="F11" s="493"/>
      <c r="G11" s="95" cm="1">
        <f t="array" aca="1" ref="G11" ca="1">SUM(_xlfn._xlws.FILTER(INDIRECT(Mods!$P$4),NOT(ISNUMBER(FIND(INDIRECT(Mods!$N$4),"ODCX"))),"X"))</f>
        <v>77735.039999999994</v>
      </c>
      <c r="L11" s="316" t="str">
        <f>Prj1_Id</f>
        <v>X</v>
      </c>
      <c r="M11" s="316"/>
      <c r="N11" s="317"/>
      <c r="O11" s="318"/>
      <c r="P11" s="318"/>
      <c r="Q11" s="318"/>
      <c r="R11" s="318"/>
    </row>
    <row r="12" spans="1:18">
      <c r="A12" s="81" t="s">
        <v>283</v>
      </c>
      <c r="B12" s="94"/>
      <c r="C12" s="93">
        <f ca="1">B6+C11</f>
        <v>8876592.1079360824</v>
      </c>
      <c r="D12" s="94"/>
      <c r="E12" s="94"/>
      <c r="F12" s="93"/>
      <c r="G12" s="95"/>
      <c r="L12" s="319">
        <f>Prj2_Id</f>
        <v>31199</v>
      </c>
      <c r="M12" s="319"/>
      <c r="N12" s="320"/>
      <c r="O12" s="321"/>
      <c r="P12" s="321"/>
      <c r="Q12" s="321"/>
      <c r="R12" s="321"/>
    </row>
    <row r="13" spans="1:18">
      <c r="A13" s="81" t="s">
        <v>284</v>
      </c>
      <c r="B13" s="94"/>
      <c r="C13" s="94"/>
      <c r="D13" s="93">
        <f ca="1">C12+D14</f>
        <v>10285192.989836082</v>
      </c>
      <c r="E13" s="94"/>
      <c r="F13" s="493" t="s">
        <v>51</v>
      </c>
      <c r="G13" s="95"/>
      <c r="L13" s="98"/>
      <c r="M13" s="98"/>
      <c r="N13" s="322"/>
      <c r="O13" s="323"/>
      <c r="P13" s="323"/>
      <c r="Q13" s="323"/>
      <c r="R13" s="323"/>
    </row>
    <row r="14" spans="1:18">
      <c r="A14" s="81" t="s">
        <v>30</v>
      </c>
      <c r="B14" s="94"/>
      <c r="C14" s="94"/>
      <c r="D14" s="93" cm="1">
        <f t="array" aca="1" ref="D14" ca="1">SUM(_xlfn._xlws.FILTER(INDIRECT(Mods!$T$4),(NOT(ISNUMBER(FIND(INDIRECT(Mods!$N$4),"ODCX"))))*(INDIRECT(Mods!$P$4)="X"),0))</f>
        <v>1408600.8818999999</v>
      </c>
      <c r="E14" s="94"/>
      <c r="F14" s="493"/>
      <c r="G14" s="95">
        <f ca="1">SUM(G11,C8:C10)</f>
        <v>77735.039999999994</v>
      </c>
      <c r="L14" s="98" t="s">
        <v>1786</v>
      </c>
      <c r="M14" s="98"/>
      <c r="N14" s="322"/>
      <c r="O14" s="323"/>
      <c r="P14" s="323"/>
      <c r="Q14" s="323"/>
      <c r="R14" s="323"/>
    </row>
    <row r="15" spans="1:18">
      <c r="A15" s="81" t="s">
        <v>59</v>
      </c>
      <c r="B15" s="94"/>
      <c r="C15" s="94"/>
      <c r="D15" s="93" t="e" cm="1">
        <f t="array" aca="1" ref="D15" ca="1">SUM(_xlfn._xlws.FILTER(INDIRECT(Mods!$T$4),(ISNUMBER(FIND(INDIRECT(Mods!$N$4),"OD")))*(INDIRECT(Mods!$P$4)="X"),"X"))</f>
        <v>#VALUE!</v>
      </c>
      <c r="E15" s="94"/>
      <c r="F15" s="493" t="s">
        <v>60</v>
      </c>
      <c r="G15" s="95"/>
      <c r="L15" s="315" t="s">
        <v>444</v>
      </c>
      <c r="M15" s="315" t="s">
        <v>1775</v>
      </c>
      <c r="N15" s="315" t="s">
        <v>1699</v>
      </c>
      <c r="O15" s="315" t="s">
        <v>1718</v>
      </c>
      <c r="P15" s="315" t="s">
        <v>1774</v>
      </c>
      <c r="Q15" s="315" t="s">
        <v>1309</v>
      </c>
      <c r="R15" s="323"/>
    </row>
    <row r="16" spans="1:18">
      <c r="A16" s="81"/>
      <c r="B16" s="94"/>
      <c r="C16" s="93"/>
      <c r="D16" s="94"/>
      <c r="E16" s="94"/>
      <c r="F16" s="493"/>
      <c r="G16" s="95" t="e" cm="1">
        <f t="array" aca="1" ref="G16" ca="1">SUM(_xlfn._xlws.FILTER(INDIRECT(Mods!$O$4),(ISNUMBER(FIND(INDIRECT(Mods!$N$4),"OD")))*(INDIRECT(Mods!$P$4)="X"),"X"))</f>
        <v>#VALUE!</v>
      </c>
      <c r="L16" s="319" t="str">
        <f ca="1">Prj0_Id</f>
        <v>31200</v>
      </c>
      <c r="M16" s="319" t="s">
        <v>1776</v>
      </c>
      <c r="N16" s="319"/>
      <c r="O16" s="320">
        <f ca="1">PPR!AQ19</f>
        <v>212544.67339451623</v>
      </c>
      <c r="P16" s="321"/>
      <c r="Q16" s="321"/>
    </row>
    <row r="17" spans="1:17">
      <c r="A17" s="81"/>
      <c r="B17" s="94"/>
      <c r="C17" s="93"/>
      <c r="D17" s="94"/>
      <c r="E17" s="94"/>
      <c r="F17" s="493" t="s">
        <v>47</v>
      </c>
      <c r="G17" s="95"/>
      <c r="L17" s="316" t="str">
        <f>Prj1_Id</f>
        <v>X</v>
      </c>
      <c r="M17" s="316" t="s">
        <v>1776</v>
      </c>
      <c r="N17" s="316"/>
      <c r="O17" s="317"/>
      <c r="P17" s="318"/>
      <c r="Q17" s="318"/>
    </row>
    <row r="18" spans="1:17">
      <c r="A18" s="81"/>
      <c r="B18" s="94"/>
      <c r="C18" s="94"/>
      <c r="D18" s="93"/>
      <c r="E18" s="94"/>
      <c r="F18" s="493"/>
      <c r="G18" s="95" cm="1">
        <f t="array" aca="1" ref="G18" ca="1">SUM(_xlfn._xlws.FILTER(INDIRECT(Mods!$O$4),(NOT(ISNUMBER(FIND(INDIRECT(Mods!$N$4),"ODCX"))))*(INDIRECT(Mods!$P$4)="X"),0))</f>
        <v>2026187.4499999997</v>
      </c>
      <c r="L18" s="319">
        <f>Prj2_Id</f>
        <v>31199</v>
      </c>
      <c r="M18" s="319" t="s">
        <v>1776</v>
      </c>
      <c r="N18" s="319"/>
      <c r="O18" s="320"/>
      <c r="P18" s="321"/>
      <c r="Q18" s="321"/>
    </row>
    <row r="19" spans="1:17">
      <c r="A19" s="81"/>
      <c r="B19" s="94"/>
      <c r="C19" s="94"/>
      <c r="D19" s="93"/>
      <c r="E19" s="94"/>
      <c r="F19" s="92"/>
      <c r="G19" s="95"/>
      <c r="L19" s="316" t="str">
        <f ca="1">Prj0_Id</f>
        <v>31200</v>
      </c>
      <c r="M19" s="316" t="s">
        <v>1777</v>
      </c>
      <c r="N19" s="316"/>
      <c r="O19" s="317"/>
      <c r="P19" s="318"/>
      <c r="Q19" s="318"/>
    </row>
    <row r="20" spans="1:17">
      <c r="A20" s="81" t="s">
        <v>285</v>
      </c>
      <c r="B20" s="94"/>
      <c r="C20" s="93">
        <f ca="1">G18</f>
        <v>2026187.4499999997</v>
      </c>
      <c r="D20" s="94"/>
      <c r="E20" s="94"/>
      <c r="F20" s="92"/>
      <c r="G20" s="95"/>
      <c r="L20" s="319" t="str">
        <f>Prj1_Id</f>
        <v>X</v>
      </c>
      <c r="M20" s="319" t="str">
        <f>M19</f>
        <v>Vta</v>
      </c>
      <c r="N20" s="319"/>
      <c r="O20" s="320"/>
      <c r="P20" s="321"/>
      <c r="Q20" s="321"/>
    </row>
    <row r="21" spans="1:17">
      <c r="A21" s="81" t="s">
        <v>62</v>
      </c>
      <c r="B21" s="94"/>
      <c r="C21" s="93" t="e">
        <f ca="1">G16</f>
        <v>#VALUE!</v>
      </c>
      <c r="D21" s="94"/>
      <c r="E21" s="94"/>
      <c r="F21" s="493" t="s">
        <v>48</v>
      </c>
      <c r="G21" s="95"/>
      <c r="L21" s="316">
        <f>Prj2_Id</f>
        <v>31199</v>
      </c>
      <c r="M21" s="316" t="str">
        <f>M19</f>
        <v>Vta</v>
      </c>
      <c r="N21" s="316"/>
      <c r="O21" s="317"/>
      <c r="P21" s="318"/>
      <c r="Q21" s="318"/>
    </row>
    <row r="22" spans="1:17">
      <c r="A22" s="81"/>
      <c r="B22" s="94"/>
      <c r="C22" s="94"/>
      <c r="D22" s="93"/>
      <c r="E22" s="94"/>
      <c r="F22" s="493"/>
      <c r="G22" s="95">
        <f ca="1">G14+G18</f>
        <v>2103922.4899999998</v>
      </c>
      <c r="J22" s="88"/>
    </row>
    <row r="23" spans="1:17">
      <c r="A23" s="81" t="s">
        <v>286</v>
      </c>
      <c r="B23" s="94"/>
      <c r="C23" s="94"/>
      <c r="D23" s="94"/>
      <c r="E23" s="93" t="e">
        <f ca="1">Desv!D19</f>
        <v>#REF!</v>
      </c>
      <c r="F23" s="493" t="s">
        <v>61</v>
      </c>
      <c r="G23" s="95"/>
    </row>
    <row r="24" spans="1:17">
      <c r="A24" s="81" t="s">
        <v>287</v>
      </c>
      <c r="B24" s="94"/>
      <c r="C24" s="94"/>
      <c r="D24" s="94"/>
      <c r="E24" s="93" t="e">
        <f>Desv!#REF!</f>
        <v>#REF!</v>
      </c>
      <c r="F24" s="493"/>
      <c r="G24" s="95" t="e">
        <f ca="1">G22+G16</f>
        <v>#VALUE!</v>
      </c>
      <c r="J24" s="88"/>
    </row>
    <row r="25" spans="1:17">
      <c r="A25" s="81"/>
      <c r="B25" s="85"/>
      <c r="C25" s="85"/>
      <c r="D25" s="85"/>
      <c r="E25" s="83"/>
      <c r="F25" s="87"/>
      <c r="G25" s="81"/>
    </row>
    <row r="28" spans="1:17">
      <c r="A28" s="3"/>
      <c r="B28" s="4" t="s">
        <v>49</v>
      </c>
      <c r="C28" s="4"/>
    </row>
  </sheetData>
  <mergeCells count="7">
    <mergeCell ref="B3:D3"/>
    <mergeCell ref="F13:F14"/>
    <mergeCell ref="F17:F18"/>
    <mergeCell ref="F8:F11"/>
    <mergeCell ref="F23:F24"/>
    <mergeCell ref="F21:F22"/>
    <mergeCell ref="F15:F16"/>
  </mergeCells>
  <phoneticPr fontId="0" type="noConversion"/>
  <conditionalFormatting sqref="E24">
    <cfRule type="cellIs" dxfId="1" priority="1" stopIfTrue="1" operator="greaterThanOrEqual">
      <formula>0</formula>
    </cfRule>
    <cfRule type="cellIs" dxfId="0" priority="2" stopIfTrue="1" operator="lessThan">
      <formula>0</formula>
    </cfRule>
  </conditionalFormatting>
  <pageMargins left="0.49" right="0.38" top="0.39" bottom="0.4" header="0" footer="0"/>
  <pageSetup paperSize="9" scale="60" orientation="landscape" r:id="rId1"/>
  <headerFooter alignWithMargins="0">
    <oddFooter>&amp;C&amp;1#&amp;"Calibri"&amp;8&amp;K000000Aernnova Group confidential information. Limited use on a need-to-know basis. All rights reserved.</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outlinePr summaryBelow="0"/>
  </sheetPr>
  <dimension ref="A4:DA56"/>
  <sheetViews>
    <sheetView workbookViewId="0"/>
  </sheetViews>
  <sheetFormatPr baseColWidth="10" defaultColWidth="11.5" defaultRowHeight="13" outlineLevelRow="1"/>
  <cols>
    <col min="1" max="1" width="44.5" style="9" bestFit="1" customWidth="1"/>
  </cols>
  <sheetData>
    <row r="4" spans="1:105" ht="19">
      <c r="A4" s="10" t="s">
        <v>302</v>
      </c>
      <c r="B4" s="494">
        <v>44591</v>
      </c>
      <c r="C4" s="495"/>
      <c r="D4" s="495"/>
      <c r="E4" s="495"/>
      <c r="F4" s="495"/>
      <c r="G4" s="494">
        <f>B4+28</f>
        <v>44619</v>
      </c>
      <c r="H4" s="495"/>
      <c r="I4" s="495"/>
      <c r="J4" s="495"/>
      <c r="K4" s="494">
        <f>G4+30</f>
        <v>44649</v>
      </c>
      <c r="L4" s="495"/>
      <c r="M4" s="495"/>
      <c r="N4" s="495"/>
      <c r="O4" s="494">
        <f>K4+30</f>
        <v>44679</v>
      </c>
      <c r="P4" s="495"/>
      <c r="Q4" s="495"/>
      <c r="R4" s="495"/>
      <c r="S4" s="494">
        <f>O4+30</f>
        <v>44709</v>
      </c>
      <c r="T4" s="495"/>
      <c r="U4" s="495"/>
      <c r="V4" s="495"/>
      <c r="W4" s="495"/>
      <c r="X4" s="494">
        <f>S4+30</f>
        <v>44739</v>
      </c>
      <c r="Y4" s="495"/>
      <c r="Z4" s="495"/>
      <c r="AA4" s="495"/>
      <c r="AB4" s="494">
        <f>X4+30</f>
        <v>44769</v>
      </c>
      <c r="AC4" s="495"/>
      <c r="AD4" s="495"/>
      <c r="AE4" s="495"/>
      <c r="AF4" s="494">
        <f>AB4+30</f>
        <v>44799</v>
      </c>
      <c r="AG4" s="495"/>
      <c r="AH4" s="495"/>
      <c r="AI4" s="495"/>
      <c r="AJ4" s="495"/>
      <c r="AK4" s="494">
        <f>AF4+30</f>
        <v>44829</v>
      </c>
      <c r="AL4" s="495"/>
      <c r="AM4" s="495"/>
      <c r="AN4" s="495"/>
      <c r="AO4" s="494">
        <f>AK4+30</f>
        <v>44859</v>
      </c>
      <c r="AP4" s="495"/>
      <c r="AQ4" s="495"/>
      <c r="AR4" s="495"/>
      <c r="AS4" s="495"/>
      <c r="AT4" s="494">
        <f>AO4+30</f>
        <v>44889</v>
      </c>
      <c r="AU4" s="495"/>
      <c r="AV4" s="495"/>
      <c r="AW4" s="495"/>
      <c r="AX4" s="494">
        <f>AT4+30</f>
        <v>44919</v>
      </c>
      <c r="AY4" s="495"/>
      <c r="AZ4" s="495"/>
      <c r="BA4" s="495"/>
      <c r="BB4" s="494">
        <v>44956</v>
      </c>
      <c r="BC4" s="495"/>
      <c r="BD4" s="495"/>
      <c r="BE4" s="495"/>
      <c r="BF4" s="495"/>
      <c r="BG4" s="494">
        <f>BB4+28</f>
        <v>44984</v>
      </c>
      <c r="BH4" s="495"/>
      <c r="BI4" s="495"/>
      <c r="BJ4" s="495"/>
      <c r="BK4" s="494">
        <f>BG4+30</f>
        <v>45014</v>
      </c>
      <c r="BL4" s="495"/>
      <c r="BM4" s="495"/>
      <c r="BN4" s="495"/>
      <c r="BO4" s="494">
        <f>BK4+30</f>
        <v>45044</v>
      </c>
      <c r="BP4" s="495"/>
      <c r="BQ4" s="495"/>
      <c r="BR4" s="495"/>
      <c r="BS4" s="494">
        <f>BO4+30</f>
        <v>45074</v>
      </c>
      <c r="BT4" s="495"/>
      <c r="BU4" s="495"/>
      <c r="BV4" s="495"/>
      <c r="BW4" s="495"/>
      <c r="BX4" s="494">
        <f>BS4+30</f>
        <v>45104</v>
      </c>
      <c r="BY4" s="495"/>
      <c r="BZ4" s="495"/>
      <c r="CA4" s="495"/>
      <c r="CB4" s="494">
        <f>BX4+30</f>
        <v>45134</v>
      </c>
      <c r="CC4" s="495"/>
      <c r="CD4" s="495"/>
      <c r="CE4" s="495"/>
      <c r="CF4" s="494">
        <f>CB4+30</f>
        <v>45164</v>
      </c>
      <c r="CG4" s="495"/>
      <c r="CH4" s="495"/>
      <c r="CI4" s="495"/>
      <c r="CJ4" s="495"/>
      <c r="CK4" s="494">
        <f>CF4+30</f>
        <v>45194</v>
      </c>
      <c r="CL4" s="495"/>
      <c r="CM4" s="495"/>
      <c r="CN4" s="495"/>
      <c r="CO4" s="494">
        <f>CK4+30</f>
        <v>45224</v>
      </c>
      <c r="CP4" s="495"/>
      <c r="CQ4" s="495"/>
      <c r="CR4" s="495"/>
      <c r="CS4" s="495"/>
      <c r="CT4" s="494">
        <f>CO4+30</f>
        <v>45254</v>
      </c>
      <c r="CU4" s="495"/>
      <c r="CV4" s="495"/>
      <c r="CW4" s="495"/>
      <c r="CX4" s="494">
        <f>CT4+30</f>
        <v>45284</v>
      </c>
      <c r="CY4" s="495"/>
      <c r="CZ4" s="495"/>
      <c r="DA4" s="495"/>
    </row>
    <row r="5" spans="1:105" ht="35">
      <c r="A5" s="11" t="s">
        <v>304</v>
      </c>
      <c r="B5" s="7">
        <v>2201</v>
      </c>
      <c r="C5" s="7">
        <f t="shared" ref="C5:R6" si="0">B5+1</f>
        <v>2202</v>
      </c>
      <c r="D5" s="7">
        <f t="shared" si="0"/>
        <v>2203</v>
      </c>
      <c r="E5" s="7">
        <f t="shared" si="0"/>
        <v>2204</v>
      </c>
      <c r="F5" s="7">
        <f t="shared" si="0"/>
        <v>2205</v>
      </c>
      <c r="G5" s="7">
        <f t="shared" si="0"/>
        <v>2206</v>
      </c>
      <c r="H5" s="7">
        <f t="shared" si="0"/>
        <v>2207</v>
      </c>
      <c r="I5" s="7">
        <f t="shared" si="0"/>
        <v>2208</v>
      </c>
      <c r="J5" s="7">
        <f t="shared" si="0"/>
        <v>2209</v>
      </c>
      <c r="K5" s="7">
        <f t="shared" si="0"/>
        <v>2210</v>
      </c>
      <c r="L5" s="7">
        <f t="shared" si="0"/>
        <v>2211</v>
      </c>
      <c r="M5" s="7">
        <f t="shared" si="0"/>
        <v>2212</v>
      </c>
      <c r="N5" s="7">
        <f t="shared" si="0"/>
        <v>2213</v>
      </c>
      <c r="O5" s="7">
        <f t="shared" si="0"/>
        <v>2214</v>
      </c>
      <c r="P5" s="7">
        <f t="shared" si="0"/>
        <v>2215</v>
      </c>
      <c r="Q5" s="7">
        <f t="shared" si="0"/>
        <v>2216</v>
      </c>
      <c r="R5" s="7">
        <f t="shared" si="0"/>
        <v>2217</v>
      </c>
      <c r="S5" s="7">
        <f t="shared" ref="S5:AH6" si="1">R5+1</f>
        <v>2218</v>
      </c>
      <c r="T5" s="7">
        <f t="shared" si="1"/>
        <v>2219</v>
      </c>
      <c r="U5" s="7">
        <f t="shared" si="1"/>
        <v>2220</v>
      </c>
      <c r="V5" s="7">
        <f t="shared" si="1"/>
        <v>2221</v>
      </c>
      <c r="W5" s="7">
        <f t="shared" si="1"/>
        <v>2222</v>
      </c>
      <c r="X5" s="7">
        <f t="shared" si="1"/>
        <v>2223</v>
      </c>
      <c r="Y5" s="7">
        <f t="shared" si="1"/>
        <v>2224</v>
      </c>
      <c r="Z5" s="7">
        <f t="shared" si="1"/>
        <v>2225</v>
      </c>
      <c r="AA5" s="7">
        <f t="shared" si="1"/>
        <v>2226</v>
      </c>
      <c r="AB5" s="7">
        <f t="shared" si="1"/>
        <v>2227</v>
      </c>
      <c r="AC5" s="7">
        <f t="shared" si="1"/>
        <v>2228</v>
      </c>
      <c r="AD5" s="7">
        <f t="shared" si="1"/>
        <v>2229</v>
      </c>
      <c r="AE5" s="7">
        <f t="shared" si="1"/>
        <v>2230</v>
      </c>
      <c r="AF5" s="7">
        <f t="shared" si="1"/>
        <v>2231</v>
      </c>
      <c r="AG5" s="7">
        <f t="shared" si="1"/>
        <v>2232</v>
      </c>
      <c r="AH5" s="7">
        <f t="shared" si="1"/>
        <v>2233</v>
      </c>
      <c r="AI5" s="7">
        <f t="shared" ref="AI5:AX6" si="2">AH5+1</f>
        <v>2234</v>
      </c>
      <c r="AJ5" s="7">
        <f t="shared" si="2"/>
        <v>2235</v>
      </c>
      <c r="AK5" s="7">
        <f t="shared" si="2"/>
        <v>2236</v>
      </c>
      <c r="AL5" s="7">
        <f t="shared" si="2"/>
        <v>2237</v>
      </c>
      <c r="AM5" s="7">
        <f t="shared" si="2"/>
        <v>2238</v>
      </c>
      <c r="AN5" s="7">
        <f t="shared" si="2"/>
        <v>2239</v>
      </c>
      <c r="AO5" s="7">
        <f t="shared" si="2"/>
        <v>2240</v>
      </c>
      <c r="AP5" s="7">
        <f t="shared" si="2"/>
        <v>2241</v>
      </c>
      <c r="AQ5" s="7">
        <f t="shared" si="2"/>
        <v>2242</v>
      </c>
      <c r="AR5" s="7">
        <f t="shared" si="2"/>
        <v>2243</v>
      </c>
      <c r="AS5" s="7">
        <f t="shared" si="2"/>
        <v>2244</v>
      </c>
      <c r="AT5" s="7">
        <f t="shared" si="2"/>
        <v>2245</v>
      </c>
      <c r="AU5" s="7">
        <f t="shared" si="2"/>
        <v>2246</v>
      </c>
      <c r="AV5" s="7">
        <f t="shared" si="2"/>
        <v>2247</v>
      </c>
      <c r="AW5" s="7">
        <f t="shared" si="2"/>
        <v>2248</v>
      </c>
      <c r="AX5" s="7">
        <f t="shared" si="2"/>
        <v>2249</v>
      </c>
      <c r="AY5" s="7">
        <f t="shared" ref="AY5:BB6" si="3">AX5+1</f>
        <v>2250</v>
      </c>
      <c r="AZ5" s="7">
        <f t="shared" si="3"/>
        <v>2251</v>
      </c>
      <c r="BA5" s="7">
        <f t="shared" si="3"/>
        <v>2252</v>
      </c>
      <c r="BB5" s="7">
        <v>2301</v>
      </c>
      <c r="BC5" s="7">
        <f t="shared" ref="BC5:CH5" si="4">BB5+1</f>
        <v>2302</v>
      </c>
      <c r="BD5" s="7">
        <f t="shared" si="4"/>
        <v>2303</v>
      </c>
      <c r="BE5" s="7">
        <f t="shared" si="4"/>
        <v>2304</v>
      </c>
      <c r="BF5" s="7">
        <f t="shared" si="4"/>
        <v>2305</v>
      </c>
      <c r="BG5" s="7">
        <f t="shared" si="4"/>
        <v>2306</v>
      </c>
      <c r="BH5" s="7">
        <f t="shared" si="4"/>
        <v>2307</v>
      </c>
      <c r="BI5" s="7">
        <f t="shared" si="4"/>
        <v>2308</v>
      </c>
      <c r="BJ5" s="7">
        <f t="shared" si="4"/>
        <v>2309</v>
      </c>
      <c r="BK5" s="7">
        <f t="shared" si="4"/>
        <v>2310</v>
      </c>
      <c r="BL5" s="7">
        <f t="shared" si="4"/>
        <v>2311</v>
      </c>
      <c r="BM5" s="7">
        <f t="shared" si="4"/>
        <v>2312</v>
      </c>
      <c r="BN5" s="7">
        <f t="shared" si="4"/>
        <v>2313</v>
      </c>
      <c r="BO5" s="7">
        <f t="shared" si="4"/>
        <v>2314</v>
      </c>
      <c r="BP5" s="7">
        <f t="shared" si="4"/>
        <v>2315</v>
      </c>
      <c r="BQ5" s="7">
        <f t="shared" si="4"/>
        <v>2316</v>
      </c>
      <c r="BR5" s="7">
        <f t="shared" si="4"/>
        <v>2317</v>
      </c>
      <c r="BS5" s="7">
        <f t="shared" si="4"/>
        <v>2318</v>
      </c>
      <c r="BT5" s="7">
        <f t="shared" si="4"/>
        <v>2319</v>
      </c>
      <c r="BU5" s="7">
        <f t="shared" si="4"/>
        <v>2320</v>
      </c>
      <c r="BV5" s="7">
        <f t="shared" si="4"/>
        <v>2321</v>
      </c>
      <c r="BW5" s="7">
        <f t="shared" si="4"/>
        <v>2322</v>
      </c>
      <c r="BX5" s="7">
        <f t="shared" si="4"/>
        <v>2323</v>
      </c>
      <c r="BY5" s="7">
        <f t="shared" si="4"/>
        <v>2324</v>
      </c>
      <c r="BZ5" s="7">
        <f t="shared" si="4"/>
        <v>2325</v>
      </c>
      <c r="CA5" s="7">
        <f t="shared" si="4"/>
        <v>2326</v>
      </c>
      <c r="CB5" s="7">
        <f t="shared" si="4"/>
        <v>2327</v>
      </c>
      <c r="CC5" s="7">
        <f t="shared" si="4"/>
        <v>2328</v>
      </c>
      <c r="CD5" s="7">
        <f t="shared" si="4"/>
        <v>2329</v>
      </c>
      <c r="CE5" s="7">
        <f t="shared" si="4"/>
        <v>2330</v>
      </c>
      <c r="CF5" s="7">
        <f t="shared" si="4"/>
        <v>2331</v>
      </c>
      <c r="CG5" s="7">
        <f t="shared" si="4"/>
        <v>2332</v>
      </c>
      <c r="CH5" s="7">
        <f t="shared" si="4"/>
        <v>2333</v>
      </c>
      <c r="CI5" s="7">
        <f t="shared" ref="CI5:DA5" si="5">CH5+1</f>
        <v>2334</v>
      </c>
      <c r="CJ5" s="7">
        <f t="shared" si="5"/>
        <v>2335</v>
      </c>
      <c r="CK5" s="7">
        <f t="shared" si="5"/>
        <v>2336</v>
      </c>
      <c r="CL5" s="7">
        <f t="shared" si="5"/>
        <v>2337</v>
      </c>
      <c r="CM5" s="7">
        <f t="shared" si="5"/>
        <v>2338</v>
      </c>
      <c r="CN5" s="7">
        <f t="shared" si="5"/>
        <v>2339</v>
      </c>
      <c r="CO5" s="7">
        <f t="shared" si="5"/>
        <v>2340</v>
      </c>
      <c r="CP5" s="7">
        <f t="shared" si="5"/>
        <v>2341</v>
      </c>
      <c r="CQ5" s="7">
        <f t="shared" si="5"/>
        <v>2342</v>
      </c>
      <c r="CR5" s="7">
        <f t="shared" si="5"/>
        <v>2343</v>
      </c>
      <c r="CS5" s="7">
        <f t="shared" si="5"/>
        <v>2344</v>
      </c>
      <c r="CT5" s="7">
        <f t="shared" si="5"/>
        <v>2345</v>
      </c>
      <c r="CU5" s="7">
        <f t="shared" si="5"/>
        <v>2346</v>
      </c>
      <c r="CV5" s="7">
        <f t="shared" si="5"/>
        <v>2347</v>
      </c>
      <c r="CW5" s="7">
        <f t="shared" si="5"/>
        <v>2348</v>
      </c>
      <c r="CX5" s="7">
        <f t="shared" si="5"/>
        <v>2349</v>
      </c>
      <c r="CY5" s="7">
        <f t="shared" si="5"/>
        <v>2350</v>
      </c>
      <c r="CZ5" s="7">
        <f t="shared" si="5"/>
        <v>2351</v>
      </c>
      <c r="DA5" s="7">
        <f t="shared" si="5"/>
        <v>2352</v>
      </c>
    </row>
    <row r="6" spans="1:105" ht="19">
      <c r="A6" s="10" t="s">
        <v>303</v>
      </c>
      <c r="B6" s="8">
        <v>1</v>
      </c>
      <c r="C6" s="8">
        <f t="shared" ref="C6:H6" si="6">B6+1</f>
        <v>2</v>
      </c>
      <c r="D6" s="8">
        <f t="shared" si="6"/>
        <v>3</v>
      </c>
      <c r="E6" s="8">
        <f t="shared" si="6"/>
        <v>4</v>
      </c>
      <c r="F6" s="8">
        <f t="shared" si="6"/>
        <v>5</v>
      </c>
      <c r="G6" s="8">
        <f t="shared" si="6"/>
        <v>6</v>
      </c>
      <c r="H6" s="8">
        <f t="shared" si="6"/>
        <v>7</v>
      </c>
      <c r="I6" s="8">
        <f t="shared" si="0"/>
        <v>8</v>
      </c>
      <c r="J6" s="8">
        <f t="shared" si="0"/>
        <v>9</v>
      </c>
      <c r="K6" s="8">
        <f t="shared" si="0"/>
        <v>10</v>
      </c>
      <c r="L6" s="8">
        <f t="shared" si="0"/>
        <v>11</v>
      </c>
      <c r="M6" s="8">
        <f t="shared" si="0"/>
        <v>12</v>
      </c>
      <c r="N6" s="8">
        <f t="shared" si="0"/>
        <v>13</v>
      </c>
      <c r="O6" s="8">
        <f t="shared" si="0"/>
        <v>14</v>
      </c>
      <c r="P6" s="8">
        <f t="shared" si="0"/>
        <v>15</v>
      </c>
      <c r="Q6" s="8">
        <f t="shared" si="0"/>
        <v>16</v>
      </c>
      <c r="R6" s="8">
        <f t="shared" si="0"/>
        <v>17</v>
      </c>
      <c r="S6" s="8">
        <f t="shared" si="1"/>
        <v>18</v>
      </c>
      <c r="T6" s="8">
        <f t="shared" si="1"/>
        <v>19</v>
      </c>
      <c r="U6" s="8">
        <f t="shared" si="1"/>
        <v>20</v>
      </c>
      <c r="V6" s="8">
        <f t="shared" si="1"/>
        <v>21</v>
      </c>
      <c r="W6" s="8">
        <f t="shared" si="1"/>
        <v>22</v>
      </c>
      <c r="X6" s="8">
        <f t="shared" si="1"/>
        <v>23</v>
      </c>
      <c r="Y6" s="8">
        <f t="shared" si="1"/>
        <v>24</v>
      </c>
      <c r="Z6" s="8">
        <f t="shared" si="1"/>
        <v>25</v>
      </c>
      <c r="AA6" s="8">
        <f t="shared" si="1"/>
        <v>26</v>
      </c>
      <c r="AB6" s="8">
        <f t="shared" si="1"/>
        <v>27</v>
      </c>
      <c r="AC6" s="8">
        <f t="shared" si="1"/>
        <v>28</v>
      </c>
      <c r="AD6" s="8">
        <f t="shared" si="1"/>
        <v>29</v>
      </c>
      <c r="AE6" s="8">
        <f t="shared" si="1"/>
        <v>30</v>
      </c>
      <c r="AF6" s="8">
        <f t="shared" si="1"/>
        <v>31</v>
      </c>
      <c r="AG6" s="8">
        <f t="shared" si="1"/>
        <v>32</v>
      </c>
      <c r="AH6" s="8">
        <f t="shared" si="1"/>
        <v>33</v>
      </c>
      <c r="AI6" s="8">
        <f t="shared" si="2"/>
        <v>34</v>
      </c>
      <c r="AJ6" s="8">
        <f t="shared" si="2"/>
        <v>35</v>
      </c>
      <c r="AK6" s="8">
        <f t="shared" si="2"/>
        <v>36</v>
      </c>
      <c r="AL6" s="8">
        <f t="shared" si="2"/>
        <v>37</v>
      </c>
      <c r="AM6" s="8">
        <f t="shared" si="2"/>
        <v>38</v>
      </c>
      <c r="AN6" s="8">
        <f t="shared" si="2"/>
        <v>39</v>
      </c>
      <c r="AO6" s="8">
        <f t="shared" si="2"/>
        <v>40</v>
      </c>
      <c r="AP6" s="8">
        <f t="shared" si="2"/>
        <v>41</v>
      </c>
      <c r="AQ6" s="8">
        <f t="shared" si="2"/>
        <v>42</v>
      </c>
      <c r="AR6" s="8">
        <f t="shared" si="2"/>
        <v>43</v>
      </c>
      <c r="AS6" s="8">
        <f t="shared" si="2"/>
        <v>44</v>
      </c>
      <c r="AT6" s="8">
        <f t="shared" si="2"/>
        <v>45</v>
      </c>
      <c r="AU6" s="8">
        <f t="shared" si="2"/>
        <v>46</v>
      </c>
      <c r="AV6" s="8">
        <f t="shared" si="2"/>
        <v>47</v>
      </c>
      <c r="AW6" s="8">
        <f t="shared" si="2"/>
        <v>48</v>
      </c>
      <c r="AX6" s="8">
        <f t="shared" si="2"/>
        <v>49</v>
      </c>
      <c r="AY6" s="8">
        <f t="shared" si="3"/>
        <v>50</v>
      </c>
      <c r="AZ6" s="8">
        <f t="shared" si="3"/>
        <v>51</v>
      </c>
      <c r="BA6" s="8">
        <f t="shared" si="3"/>
        <v>52</v>
      </c>
      <c r="BB6" s="8">
        <f t="shared" si="3"/>
        <v>53</v>
      </c>
      <c r="BC6" s="8">
        <f t="shared" ref="BC6:CH6" si="7">BB6+1</f>
        <v>54</v>
      </c>
      <c r="BD6" s="8">
        <f t="shared" si="7"/>
        <v>55</v>
      </c>
      <c r="BE6" s="8">
        <f t="shared" si="7"/>
        <v>56</v>
      </c>
      <c r="BF6" s="8">
        <f t="shared" si="7"/>
        <v>57</v>
      </c>
      <c r="BG6" s="8">
        <f t="shared" si="7"/>
        <v>58</v>
      </c>
      <c r="BH6" s="8">
        <f t="shared" si="7"/>
        <v>59</v>
      </c>
      <c r="BI6" s="8">
        <f t="shared" si="7"/>
        <v>60</v>
      </c>
      <c r="BJ6" s="8">
        <f t="shared" si="7"/>
        <v>61</v>
      </c>
      <c r="BK6" s="8">
        <f t="shared" si="7"/>
        <v>62</v>
      </c>
      <c r="BL6" s="8">
        <f t="shared" si="7"/>
        <v>63</v>
      </c>
      <c r="BM6" s="8">
        <f t="shared" si="7"/>
        <v>64</v>
      </c>
      <c r="BN6" s="8">
        <f t="shared" si="7"/>
        <v>65</v>
      </c>
      <c r="BO6" s="8">
        <f t="shared" si="7"/>
        <v>66</v>
      </c>
      <c r="BP6" s="8">
        <f t="shared" si="7"/>
        <v>67</v>
      </c>
      <c r="BQ6" s="8">
        <f t="shared" si="7"/>
        <v>68</v>
      </c>
      <c r="BR6" s="8">
        <f t="shared" si="7"/>
        <v>69</v>
      </c>
      <c r="BS6" s="8">
        <f t="shared" si="7"/>
        <v>70</v>
      </c>
      <c r="BT6" s="8">
        <f t="shared" si="7"/>
        <v>71</v>
      </c>
      <c r="BU6" s="8">
        <f t="shared" si="7"/>
        <v>72</v>
      </c>
      <c r="BV6" s="8">
        <f t="shared" si="7"/>
        <v>73</v>
      </c>
      <c r="BW6" s="8">
        <f t="shared" si="7"/>
        <v>74</v>
      </c>
      <c r="BX6" s="8">
        <f t="shared" si="7"/>
        <v>75</v>
      </c>
      <c r="BY6" s="8">
        <f t="shared" si="7"/>
        <v>76</v>
      </c>
      <c r="BZ6" s="8">
        <f t="shared" si="7"/>
        <v>77</v>
      </c>
      <c r="CA6" s="8">
        <f t="shared" si="7"/>
        <v>78</v>
      </c>
      <c r="CB6" s="8">
        <f t="shared" si="7"/>
        <v>79</v>
      </c>
      <c r="CC6" s="8">
        <f t="shared" si="7"/>
        <v>80</v>
      </c>
      <c r="CD6" s="8">
        <f t="shared" si="7"/>
        <v>81</v>
      </c>
      <c r="CE6" s="8">
        <f t="shared" si="7"/>
        <v>82</v>
      </c>
      <c r="CF6" s="8">
        <f t="shared" si="7"/>
        <v>83</v>
      </c>
      <c r="CG6" s="8">
        <f t="shared" si="7"/>
        <v>84</v>
      </c>
      <c r="CH6" s="8">
        <f t="shared" si="7"/>
        <v>85</v>
      </c>
      <c r="CI6" s="8">
        <f t="shared" ref="CI6:DA6" si="8">CH6+1</f>
        <v>86</v>
      </c>
      <c r="CJ6" s="8">
        <f t="shared" si="8"/>
        <v>87</v>
      </c>
      <c r="CK6" s="8">
        <f t="shared" si="8"/>
        <v>88</v>
      </c>
      <c r="CL6" s="8">
        <f t="shared" si="8"/>
        <v>89</v>
      </c>
      <c r="CM6" s="8">
        <f t="shared" si="8"/>
        <v>90</v>
      </c>
      <c r="CN6" s="8">
        <f t="shared" si="8"/>
        <v>91</v>
      </c>
      <c r="CO6" s="8">
        <f t="shared" si="8"/>
        <v>92</v>
      </c>
      <c r="CP6" s="8">
        <f t="shared" si="8"/>
        <v>93</v>
      </c>
      <c r="CQ6" s="8">
        <f t="shared" si="8"/>
        <v>94</v>
      </c>
      <c r="CR6" s="8">
        <f t="shared" si="8"/>
        <v>95</v>
      </c>
      <c r="CS6" s="8">
        <f t="shared" si="8"/>
        <v>96</v>
      </c>
      <c r="CT6" s="8">
        <f t="shared" si="8"/>
        <v>97</v>
      </c>
      <c r="CU6" s="8">
        <f t="shared" si="8"/>
        <v>98</v>
      </c>
      <c r="CV6" s="8">
        <f t="shared" si="8"/>
        <v>99</v>
      </c>
      <c r="CW6" s="8">
        <f t="shared" si="8"/>
        <v>100</v>
      </c>
      <c r="CX6" s="8">
        <f t="shared" si="8"/>
        <v>101</v>
      </c>
      <c r="CY6" s="8">
        <f t="shared" si="8"/>
        <v>102</v>
      </c>
      <c r="CZ6" s="8">
        <f t="shared" si="8"/>
        <v>103</v>
      </c>
      <c r="DA6" s="8">
        <f t="shared" si="8"/>
        <v>104</v>
      </c>
    </row>
    <row r="7" spans="1:105" ht="14">
      <c r="A7" s="12" t="s">
        <v>291</v>
      </c>
      <c r="B7" s="16">
        <f>SUM(B8:B20)</f>
        <v>0</v>
      </c>
      <c r="C7" s="16">
        <f t="shared" ref="C7:BA7" si="9">SUM(C8:C20)</f>
        <v>0</v>
      </c>
      <c r="D7" s="16">
        <f t="shared" si="9"/>
        <v>0</v>
      </c>
      <c r="E7" s="16">
        <f t="shared" si="9"/>
        <v>0</v>
      </c>
      <c r="F7" s="16">
        <f t="shared" si="9"/>
        <v>0</v>
      </c>
      <c r="G7" s="16">
        <f t="shared" si="9"/>
        <v>0</v>
      </c>
      <c r="H7" s="16">
        <f t="shared" si="9"/>
        <v>0</v>
      </c>
      <c r="I7" s="16">
        <f t="shared" si="9"/>
        <v>0</v>
      </c>
      <c r="J7" s="16">
        <f t="shared" si="9"/>
        <v>0</v>
      </c>
      <c r="K7" s="16">
        <f t="shared" si="9"/>
        <v>0</v>
      </c>
      <c r="L7" s="16">
        <f t="shared" si="9"/>
        <v>0</v>
      </c>
      <c r="M7" s="16">
        <f t="shared" si="9"/>
        <v>0</v>
      </c>
      <c r="N7" s="16">
        <f t="shared" si="9"/>
        <v>0</v>
      </c>
      <c r="O7" s="16">
        <f t="shared" si="9"/>
        <v>0</v>
      </c>
      <c r="P7" s="16">
        <f t="shared" si="9"/>
        <v>0</v>
      </c>
      <c r="Q7" s="16">
        <f t="shared" si="9"/>
        <v>0</v>
      </c>
      <c r="R7" s="16">
        <f t="shared" si="9"/>
        <v>0</v>
      </c>
      <c r="S7" s="16">
        <f t="shared" si="9"/>
        <v>0</v>
      </c>
      <c r="T7" s="16">
        <f t="shared" si="9"/>
        <v>0</v>
      </c>
      <c r="U7" s="16">
        <f t="shared" si="9"/>
        <v>0</v>
      </c>
      <c r="V7" s="16">
        <f t="shared" si="9"/>
        <v>0</v>
      </c>
      <c r="W7" s="16">
        <f t="shared" si="9"/>
        <v>0</v>
      </c>
      <c r="X7" s="16">
        <f t="shared" si="9"/>
        <v>0</v>
      </c>
      <c r="Y7" s="16">
        <f t="shared" si="9"/>
        <v>0</v>
      </c>
      <c r="Z7" s="16">
        <f t="shared" si="9"/>
        <v>0</v>
      </c>
      <c r="AA7" s="16">
        <f t="shared" si="9"/>
        <v>0</v>
      </c>
      <c r="AB7" s="16">
        <f t="shared" si="9"/>
        <v>0</v>
      </c>
      <c r="AC7" s="16">
        <f t="shared" si="9"/>
        <v>0</v>
      </c>
      <c r="AD7" s="16">
        <f t="shared" si="9"/>
        <v>0</v>
      </c>
      <c r="AE7" s="16">
        <f t="shared" si="9"/>
        <v>0</v>
      </c>
      <c r="AF7" s="16">
        <f t="shared" si="9"/>
        <v>0</v>
      </c>
      <c r="AG7" s="16">
        <f t="shared" si="9"/>
        <v>0</v>
      </c>
      <c r="AH7" s="16">
        <f t="shared" si="9"/>
        <v>0</v>
      </c>
      <c r="AI7" s="16">
        <f t="shared" si="9"/>
        <v>0</v>
      </c>
      <c r="AJ7" s="16">
        <f t="shared" si="9"/>
        <v>0</v>
      </c>
      <c r="AK7" s="16">
        <f t="shared" si="9"/>
        <v>0</v>
      </c>
      <c r="AL7" s="16">
        <f t="shared" si="9"/>
        <v>0</v>
      </c>
      <c r="AM7" s="16">
        <f t="shared" si="9"/>
        <v>0</v>
      </c>
      <c r="AN7" s="16">
        <f t="shared" si="9"/>
        <v>0</v>
      </c>
      <c r="AO7" s="16">
        <f t="shared" si="9"/>
        <v>0</v>
      </c>
      <c r="AP7" s="16">
        <f t="shared" si="9"/>
        <v>0</v>
      </c>
      <c r="AQ7" s="16">
        <f t="shared" si="9"/>
        <v>0</v>
      </c>
      <c r="AR7" s="16">
        <f t="shared" si="9"/>
        <v>0</v>
      </c>
      <c r="AS7" s="16">
        <f t="shared" si="9"/>
        <v>0</v>
      </c>
      <c r="AT7" s="16">
        <f t="shared" si="9"/>
        <v>0</v>
      </c>
      <c r="AU7" s="16">
        <f t="shared" si="9"/>
        <v>0</v>
      </c>
      <c r="AV7" s="16">
        <f t="shared" si="9"/>
        <v>0</v>
      </c>
      <c r="AW7" s="16">
        <f t="shared" si="9"/>
        <v>0</v>
      </c>
      <c r="AX7" s="16">
        <f t="shared" si="9"/>
        <v>0</v>
      </c>
      <c r="AY7" s="16">
        <f t="shared" si="9"/>
        <v>0</v>
      </c>
      <c r="AZ7" s="16">
        <f t="shared" si="9"/>
        <v>0</v>
      </c>
      <c r="BA7" s="16">
        <f t="shared" si="9"/>
        <v>0</v>
      </c>
      <c r="BB7" s="16">
        <f t="shared" ref="BB7:CG7" si="10">SUM(BB8:BB20)</f>
        <v>0</v>
      </c>
      <c r="BC7" s="16">
        <f t="shared" si="10"/>
        <v>0</v>
      </c>
      <c r="BD7" s="16">
        <f t="shared" si="10"/>
        <v>0</v>
      </c>
      <c r="BE7" s="16">
        <f t="shared" si="10"/>
        <v>0</v>
      </c>
      <c r="BF7" s="16">
        <f t="shared" si="10"/>
        <v>0</v>
      </c>
      <c r="BG7" s="16">
        <f t="shared" si="10"/>
        <v>0</v>
      </c>
      <c r="BH7" s="16">
        <f t="shared" si="10"/>
        <v>0</v>
      </c>
      <c r="BI7" s="16">
        <f t="shared" si="10"/>
        <v>0</v>
      </c>
      <c r="BJ7" s="16">
        <f t="shared" si="10"/>
        <v>0</v>
      </c>
      <c r="BK7" s="16">
        <f t="shared" si="10"/>
        <v>0</v>
      </c>
      <c r="BL7" s="16">
        <f t="shared" si="10"/>
        <v>0</v>
      </c>
      <c r="BM7" s="16">
        <f t="shared" si="10"/>
        <v>0</v>
      </c>
      <c r="BN7" s="16">
        <f t="shared" si="10"/>
        <v>0</v>
      </c>
      <c r="BO7" s="16">
        <f t="shared" si="10"/>
        <v>0</v>
      </c>
      <c r="BP7" s="16">
        <f t="shared" si="10"/>
        <v>0</v>
      </c>
      <c r="BQ7" s="16">
        <f t="shared" si="10"/>
        <v>0</v>
      </c>
      <c r="BR7" s="16">
        <f t="shared" si="10"/>
        <v>0</v>
      </c>
      <c r="BS7" s="16">
        <f t="shared" si="10"/>
        <v>0</v>
      </c>
      <c r="BT7" s="16">
        <f t="shared" si="10"/>
        <v>0</v>
      </c>
      <c r="BU7" s="16">
        <f t="shared" si="10"/>
        <v>0</v>
      </c>
      <c r="BV7" s="16">
        <f t="shared" si="10"/>
        <v>0</v>
      </c>
      <c r="BW7" s="16">
        <f t="shared" si="10"/>
        <v>0</v>
      </c>
      <c r="BX7" s="16">
        <f t="shared" si="10"/>
        <v>0</v>
      </c>
      <c r="BY7" s="16">
        <f t="shared" si="10"/>
        <v>0</v>
      </c>
      <c r="BZ7" s="16">
        <f t="shared" si="10"/>
        <v>0</v>
      </c>
      <c r="CA7" s="16">
        <f t="shared" si="10"/>
        <v>0</v>
      </c>
      <c r="CB7" s="16">
        <f t="shared" si="10"/>
        <v>0</v>
      </c>
      <c r="CC7" s="16">
        <f t="shared" si="10"/>
        <v>0</v>
      </c>
      <c r="CD7" s="16">
        <f t="shared" si="10"/>
        <v>0</v>
      </c>
      <c r="CE7" s="16">
        <f t="shared" si="10"/>
        <v>0</v>
      </c>
      <c r="CF7" s="16">
        <f t="shared" si="10"/>
        <v>0</v>
      </c>
      <c r="CG7" s="16">
        <f t="shared" si="10"/>
        <v>0</v>
      </c>
      <c r="CH7" s="16">
        <f t="shared" ref="CH7:DA7" si="11">SUM(CH8:CH20)</f>
        <v>0</v>
      </c>
      <c r="CI7" s="16">
        <f t="shared" si="11"/>
        <v>0</v>
      </c>
      <c r="CJ7" s="16">
        <f t="shared" si="11"/>
        <v>0</v>
      </c>
      <c r="CK7" s="16">
        <f t="shared" si="11"/>
        <v>0</v>
      </c>
      <c r="CL7" s="16">
        <f t="shared" si="11"/>
        <v>0</v>
      </c>
      <c r="CM7" s="16">
        <f t="shared" si="11"/>
        <v>0</v>
      </c>
      <c r="CN7" s="16">
        <f t="shared" si="11"/>
        <v>0</v>
      </c>
      <c r="CO7" s="16">
        <f t="shared" si="11"/>
        <v>0</v>
      </c>
      <c r="CP7" s="16">
        <f t="shared" si="11"/>
        <v>0</v>
      </c>
      <c r="CQ7" s="16">
        <f t="shared" si="11"/>
        <v>0</v>
      </c>
      <c r="CR7" s="16">
        <f t="shared" si="11"/>
        <v>0</v>
      </c>
      <c r="CS7" s="16">
        <f t="shared" si="11"/>
        <v>0</v>
      </c>
      <c r="CT7" s="16">
        <f t="shared" si="11"/>
        <v>0</v>
      </c>
      <c r="CU7" s="16">
        <f t="shared" si="11"/>
        <v>0</v>
      </c>
      <c r="CV7" s="16">
        <f t="shared" si="11"/>
        <v>0</v>
      </c>
      <c r="CW7" s="16">
        <f t="shared" si="11"/>
        <v>0</v>
      </c>
      <c r="CX7" s="16">
        <f t="shared" si="11"/>
        <v>0</v>
      </c>
      <c r="CY7" s="16">
        <f t="shared" si="11"/>
        <v>0</v>
      </c>
      <c r="CZ7" s="16">
        <f t="shared" si="11"/>
        <v>0</v>
      </c>
      <c r="DA7" s="16">
        <f t="shared" si="11"/>
        <v>0</v>
      </c>
    </row>
    <row r="8" spans="1:105" ht="14" outlineLevel="1">
      <c r="A8" s="13" t="s">
        <v>305</v>
      </c>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row>
    <row r="9" spans="1:105" ht="14" outlineLevel="1">
      <c r="A9" s="13" t="s">
        <v>306</v>
      </c>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row>
    <row r="10" spans="1:105" ht="14" outlineLevel="1">
      <c r="A10" s="14" t="s">
        <v>310</v>
      </c>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row>
    <row r="11" spans="1:105" ht="14" outlineLevel="1">
      <c r="A11" s="13" t="s">
        <v>307</v>
      </c>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row>
    <row r="12" spans="1:105" ht="14" outlineLevel="1">
      <c r="A12" s="14" t="s">
        <v>311</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row>
    <row r="13" spans="1:105" ht="14" outlineLevel="1">
      <c r="A13" s="13" t="s">
        <v>341</v>
      </c>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row>
    <row r="14" spans="1:105" ht="14" outlineLevel="1">
      <c r="A14" s="14" t="s">
        <v>342</v>
      </c>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row>
    <row r="15" spans="1:105" ht="14" outlineLevel="1">
      <c r="A15" s="13" t="s">
        <v>308</v>
      </c>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row>
    <row r="16" spans="1:105" ht="14" outlineLevel="1">
      <c r="A16" s="13" t="s">
        <v>309</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row>
    <row r="17" spans="1:105" ht="14" outlineLevel="1">
      <c r="A17" s="14" t="s">
        <v>312</v>
      </c>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row>
    <row r="18" spans="1:105" ht="14" outlineLevel="1">
      <c r="A18" s="14" t="s">
        <v>339</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row>
    <row r="19" spans="1:105" ht="14" outlineLevel="1">
      <c r="A19" s="14" t="s">
        <v>313</v>
      </c>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row>
    <row r="20" spans="1:105" ht="28" outlineLevel="1">
      <c r="A20" s="15" t="s">
        <v>314</v>
      </c>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row>
    <row r="21" spans="1:105" ht="14">
      <c r="A21" s="12" t="s">
        <v>315</v>
      </c>
      <c r="B21" s="16">
        <f>SUM(B22:B28)</f>
        <v>0</v>
      </c>
      <c r="C21" s="16">
        <f t="shared" ref="C21:BA21" si="12">SUM(C22:C28)</f>
        <v>0</v>
      </c>
      <c r="D21" s="16">
        <f t="shared" si="12"/>
        <v>0</v>
      </c>
      <c r="E21" s="16">
        <f t="shared" si="12"/>
        <v>0</v>
      </c>
      <c r="F21" s="16">
        <f t="shared" si="12"/>
        <v>0</v>
      </c>
      <c r="G21" s="16">
        <f t="shared" si="12"/>
        <v>0</v>
      </c>
      <c r="H21" s="16">
        <f t="shared" si="12"/>
        <v>0</v>
      </c>
      <c r="I21" s="16">
        <f t="shared" si="12"/>
        <v>0</v>
      </c>
      <c r="J21" s="16">
        <f t="shared" si="12"/>
        <v>0</v>
      </c>
      <c r="K21" s="16">
        <f t="shared" si="12"/>
        <v>0</v>
      </c>
      <c r="L21" s="16">
        <f t="shared" si="12"/>
        <v>0</v>
      </c>
      <c r="M21" s="16">
        <f t="shared" si="12"/>
        <v>0</v>
      </c>
      <c r="N21" s="16">
        <f t="shared" si="12"/>
        <v>0</v>
      </c>
      <c r="O21" s="16">
        <f t="shared" si="12"/>
        <v>0</v>
      </c>
      <c r="P21" s="16">
        <f t="shared" si="12"/>
        <v>0</v>
      </c>
      <c r="Q21" s="16">
        <f t="shared" si="12"/>
        <v>0</v>
      </c>
      <c r="R21" s="16">
        <f t="shared" si="12"/>
        <v>0</v>
      </c>
      <c r="S21" s="16">
        <f t="shared" si="12"/>
        <v>0</v>
      </c>
      <c r="T21" s="16">
        <f t="shared" si="12"/>
        <v>0</v>
      </c>
      <c r="U21" s="16">
        <f t="shared" si="12"/>
        <v>0</v>
      </c>
      <c r="V21" s="16">
        <f t="shared" si="12"/>
        <v>0</v>
      </c>
      <c r="W21" s="16">
        <f t="shared" si="12"/>
        <v>0</v>
      </c>
      <c r="X21" s="16">
        <f t="shared" si="12"/>
        <v>0</v>
      </c>
      <c r="Y21" s="16">
        <f t="shared" si="12"/>
        <v>0</v>
      </c>
      <c r="Z21" s="16">
        <f t="shared" si="12"/>
        <v>0</v>
      </c>
      <c r="AA21" s="16">
        <f t="shared" si="12"/>
        <v>0</v>
      </c>
      <c r="AB21" s="16">
        <f t="shared" si="12"/>
        <v>0</v>
      </c>
      <c r="AC21" s="16">
        <f t="shared" si="12"/>
        <v>0</v>
      </c>
      <c r="AD21" s="16">
        <f t="shared" si="12"/>
        <v>0</v>
      </c>
      <c r="AE21" s="16">
        <f t="shared" si="12"/>
        <v>0</v>
      </c>
      <c r="AF21" s="16">
        <f t="shared" si="12"/>
        <v>0</v>
      </c>
      <c r="AG21" s="16">
        <f t="shared" si="12"/>
        <v>0</v>
      </c>
      <c r="AH21" s="16">
        <f t="shared" si="12"/>
        <v>0</v>
      </c>
      <c r="AI21" s="16">
        <f t="shared" si="12"/>
        <v>0</v>
      </c>
      <c r="AJ21" s="16">
        <f t="shared" si="12"/>
        <v>0</v>
      </c>
      <c r="AK21" s="16">
        <f t="shared" si="12"/>
        <v>0</v>
      </c>
      <c r="AL21" s="16">
        <f t="shared" si="12"/>
        <v>0</v>
      </c>
      <c r="AM21" s="16">
        <f t="shared" si="12"/>
        <v>0</v>
      </c>
      <c r="AN21" s="16">
        <f t="shared" si="12"/>
        <v>0</v>
      </c>
      <c r="AO21" s="16">
        <f t="shared" si="12"/>
        <v>0</v>
      </c>
      <c r="AP21" s="16">
        <f t="shared" si="12"/>
        <v>0</v>
      </c>
      <c r="AQ21" s="16">
        <f t="shared" si="12"/>
        <v>0</v>
      </c>
      <c r="AR21" s="16">
        <f t="shared" si="12"/>
        <v>0</v>
      </c>
      <c r="AS21" s="16">
        <f t="shared" si="12"/>
        <v>0</v>
      </c>
      <c r="AT21" s="16">
        <f t="shared" si="12"/>
        <v>0</v>
      </c>
      <c r="AU21" s="16">
        <f t="shared" si="12"/>
        <v>0</v>
      </c>
      <c r="AV21" s="16">
        <f t="shared" si="12"/>
        <v>0</v>
      </c>
      <c r="AW21" s="16">
        <f t="shared" si="12"/>
        <v>0</v>
      </c>
      <c r="AX21" s="16">
        <f t="shared" si="12"/>
        <v>0</v>
      </c>
      <c r="AY21" s="16">
        <f t="shared" si="12"/>
        <v>0</v>
      </c>
      <c r="AZ21" s="16">
        <f t="shared" si="12"/>
        <v>0</v>
      </c>
      <c r="BA21" s="16">
        <f t="shared" si="12"/>
        <v>0</v>
      </c>
      <c r="BB21" s="16">
        <f t="shared" ref="BB21:CG21" si="13">SUM(BB22:BB28)</f>
        <v>0</v>
      </c>
      <c r="BC21" s="16">
        <f t="shared" si="13"/>
        <v>0</v>
      </c>
      <c r="BD21" s="16">
        <f t="shared" si="13"/>
        <v>0</v>
      </c>
      <c r="BE21" s="16">
        <f t="shared" si="13"/>
        <v>0</v>
      </c>
      <c r="BF21" s="16">
        <f t="shared" si="13"/>
        <v>0</v>
      </c>
      <c r="BG21" s="16">
        <f t="shared" si="13"/>
        <v>0</v>
      </c>
      <c r="BH21" s="16">
        <f t="shared" si="13"/>
        <v>0</v>
      </c>
      <c r="BI21" s="16">
        <f t="shared" si="13"/>
        <v>0</v>
      </c>
      <c r="BJ21" s="16">
        <f t="shared" si="13"/>
        <v>0</v>
      </c>
      <c r="BK21" s="16">
        <f t="shared" si="13"/>
        <v>0</v>
      </c>
      <c r="BL21" s="16">
        <f t="shared" si="13"/>
        <v>0</v>
      </c>
      <c r="BM21" s="16">
        <f t="shared" si="13"/>
        <v>0</v>
      </c>
      <c r="BN21" s="16">
        <f t="shared" si="13"/>
        <v>0</v>
      </c>
      <c r="BO21" s="16">
        <f t="shared" si="13"/>
        <v>0</v>
      </c>
      <c r="BP21" s="16">
        <f t="shared" si="13"/>
        <v>0</v>
      </c>
      <c r="BQ21" s="16">
        <f t="shared" si="13"/>
        <v>0</v>
      </c>
      <c r="BR21" s="16">
        <f t="shared" si="13"/>
        <v>0</v>
      </c>
      <c r="BS21" s="16">
        <f t="shared" si="13"/>
        <v>0</v>
      </c>
      <c r="BT21" s="16">
        <f t="shared" si="13"/>
        <v>0</v>
      </c>
      <c r="BU21" s="16">
        <f t="shared" si="13"/>
        <v>0</v>
      </c>
      <c r="BV21" s="16">
        <f t="shared" si="13"/>
        <v>0</v>
      </c>
      <c r="BW21" s="16">
        <f t="shared" si="13"/>
        <v>0</v>
      </c>
      <c r="BX21" s="16">
        <f t="shared" si="13"/>
        <v>0</v>
      </c>
      <c r="BY21" s="16">
        <f t="shared" si="13"/>
        <v>0</v>
      </c>
      <c r="BZ21" s="16">
        <f t="shared" si="13"/>
        <v>0</v>
      </c>
      <c r="CA21" s="16">
        <f t="shared" si="13"/>
        <v>0</v>
      </c>
      <c r="CB21" s="16">
        <f t="shared" si="13"/>
        <v>0</v>
      </c>
      <c r="CC21" s="16">
        <f t="shared" si="13"/>
        <v>0</v>
      </c>
      <c r="CD21" s="16">
        <f t="shared" si="13"/>
        <v>0</v>
      </c>
      <c r="CE21" s="16">
        <f t="shared" si="13"/>
        <v>0</v>
      </c>
      <c r="CF21" s="16">
        <f t="shared" si="13"/>
        <v>0</v>
      </c>
      <c r="CG21" s="16">
        <f t="shared" si="13"/>
        <v>0</v>
      </c>
      <c r="CH21" s="16">
        <f t="shared" ref="CH21:DA21" si="14">SUM(CH22:CH28)</f>
        <v>0</v>
      </c>
      <c r="CI21" s="16">
        <f t="shared" si="14"/>
        <v>0</v>
      </c>
      <c r="CJ21" s="16">
        <f t="shared" si="14"/>
        <v>0</v>
      </c>
      <c r="CK21" s="16">
        <f t="shared" si="14"/>
        <v>0</v>
      </c>
      <c r="CL21" s="16">
        <f t="shared" si="14"/>
        <v>0</v>
      </c>
      <c r="CM21" s="16">
        <f t="shared" si="14"/>
        <v>0</v>
      </c>
      <c r="CN21" s="16">
        <f t="shared" si="14"/>
        <v>0</v>
      </c>
      <c r="CO21" s="16">
        <f t="shared" si="14"/>
        <v>0</v>
      </c>
      <c r="CP21" s="16">
        <f t="shared" si="14"/>
        <v>0</v>
      </c>
      <c r="CQ21" s="16">
        <f t="shared" si="14"/>
        <v>0</v>
      </c>
      <c r="CR21" s="16">
        <f t="shared" si="14"/>
        <v>0</v>
      </c>
      <c r="CS21" s="16">
        <f t="shared" si="14"/>
        <v>0</v>
      </c>
      <c r="CT21" s="16">
        <f t="shared" si="14"/>
        <v>0</v>
      </c>
      <c r="CU21" s="16">
        <f t="shared" si="14"/>
        <v>0</v>
      </c>
      <c r="CV21" s="16">
        <f t="shared" si="14"/>
        <v>0</v>
      </c>
      <c r="CW21" s="16">
        <f t="shared" si="14"/>
        <v>0</v>
      </c>
      <c r="CX21" s="16">
        <f t="shared" si="14"/>
        <v>0</v>
      </c>
      <c r="CY21" s="16">
        <f t="shared" si="14"/>
        <v>0</v>
      </c>
      <c r="CZ21" s="16">
        <f t="shared" si="14"/>
        <v>0</v>
      </c>
      <c r="DA21" s="16">
        <f t="shared" si="14"/>
        <v>0</v>
      </c>
    </row>
    <row r="22" spans="1:105" ht="14" outlineLevel="1">
      <c r="A22" s="14" t="s">
        <v>316</v>
      </c>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row>
    <row r="23" spans="1:105" ht="14" outlineLevel="1">
      <c r="A23" s="14" t="s">
        <v>324</v>
      </c>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row>
    <row r="24" spans="1:105" ht="14" outlineLevel="1">
      <c r="A24" s="14" t="s">
        <v>325</v>
      </c>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row>
    <row r="25" spans="1:105" ht="14" outlineLevel="1">
      <c r="A25" s="14" t="s">
        <v>326</v>
      </c>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row>
    <row r="26" spans="1:105" ht="14" outlineLevel="1">
      <c r="A26" s="14" t="s">
        <v>317</v>
      </c>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row>
    <row r="27" spans="1:105" ht="14" outlineLevel="1">
      <c r="A27" s="14" t="s">
        <v>318</v>
      </c>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row>
    <row r="28" spans="1:105" ht="14" outlineLevel="1">
      <c r="A28" s="15" t="s">
        <v>322</v>
      </c>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row>
    <row r="29" spans="1:105" ht="14">
      <c r="A29" s="12" t="s">
        <v>50</v>
      </c>
      <c r="B29" s="16">
        <f>SUM(B30:B33)</f>
        <v>0</v>
      </c>
      <c r="C29" s="16">
        <f t="shared" ref="C29:BA29" si="15">SUM(C30:C33)</f>
        <v>0</v>
      </c>
      <c r="D29" s="16">
        <f t="shared" si="15"/>
        <v>0</v>
      </c>
      <c r="E29" s="16">
        <f t="shared" si="15"/>
        <v>0</v>
      </c>
      <c r="F29" s="16">
        <f t="shared" si="15"/>
        <v>0</v>
      </c>
      <c r="G29" s="16">
        <f t="shared" si="15"/>
        <v>0</v>
      </c>
      <c r="H29" s="16">
        <f t="shared" si="15"/>
        <v>0</v>
      </c>
      <c r="I29" s="16">
        <f t="shared" si="15"/>
        <v>0</v>
      </c>
      <c r="J29" s="16">
        <f t="shared" si="15"/>
        <v>0</v>
      </c>
      <c r="K29" s="16">
        <f t="shared" si="15"/>
        <v>0</v>
      </c>
      <c r="L29" s="16">
        <f t="shared" si="15"/>
        <v>0</v>
      </c>
      <c r="M29" s="16">
        <f t="shared" si="15"/>
        <v>0</v>
      </c>
      <c r="N29" s="16">
        <f t="shared" si="15"/>
        <v>0</v>
      </c>
      <c r="O29" s="16">
        <f t="shared" si="15"/>
        <v>0</v>
      </c>
      <c r="P29" s="16">
        <f t="shared" si="15"/>
        <v>0</v>
      </c>
      <c r="Q29" s="16">
        <f t="shared" si="15"/>
        <v>0</v>
      </c>
      <c r="R29" s="16">
        <f t="shared" si="15"/>
        <v>0</v>
      </c>
      <c r="S29" s="16">
        <f t="shared" si="15"/>
        <v>0</v>
      </c>
      <c r="T29" s="16">
        <f t="shared" si="15"/>
        <v>0</v>
      </c>
      <c r="U29" s="16">
        <f t="shared" si="15"/>
        <v>0</v>
      </c>
      <c r="V29" s="16">
        <f t="shared" si="15"/>
        <v>0</v>
      </c>
      <c r="W29" s="16">
        <f t="shared" si="15"/>
        <v>0</v>
      </c>
      <c r="X29" s="16">
        <f t="shared" si="15"/>
        <v>0</v>
      </c>
      <c r="Y29" s="16">
        <f t="shared" si="15"/>
        <v>0</v>
      </c>
      <c r="Z29" s="16">
        <f t="shared" si="15"/>
        <v>0</v>
      </c>
      <c r="AA29" s="16">
        <f t="shared" si="15"/>
        <v>0</v>
      </c>
      <c r="AB29" s="16">
        <f t="shared" si="15"/>
        <v>0</v>
      </c>
      <c r="AC29" s="16">
        <f t="shared" si="15"/>
        <v>0</v>
      </c>
      <c r="AD29" s="16">
        <f t="shared" si="15"/>
        <v>0</v>
      </c>
      <c r="AE29" s="16">
        <f t="shared" si="15"/>
        <v>0</v>
      </c>
      <c r="AF29" s="16">
        <f t="shared" si="15"/>
        <v>0</v>
      </c>
      <c r="AG29" s="16">
        <f t="shared" si="15"/>
        <v>0</v>
      </c>
      <c r="AH29" s="16">
        <f t="shared" si="15"/>
        <v>0</v>
      </c>
      <c r="AI29" s="16">
        <f t="shared" si="15"/>
        <v>0</v>
      </c>
      <c r="AJ29" s="16">
        <f t="shared" si="15"/>
        <v>0</v>
      </c>
      <c r="AK29" s="16">
        <f t="shared" si="15"/>
        <v>0</v>
      </c>
      <c r="AL29" s="16">
        <f t="shared" si="15"/>
        <v>0</v>
      </c>
      <c r="AM29" s="16">
        <f t="shared" si="15"/>
        <v>0</v>
      </c>
      <c r="AN29" s="16">
        <f t="shared" si="15"/>
        <v>0</v>
      </c>
      <c r="AO29" s="16">
        <f t="shared" si="15"/>
        <v>0</v>
      </c>
      <c r="AP29" s="16">
        <f t="shared" si="15"/>
        <v>0</v>
      </c>
      <c r="AQ29" s="16">
        <f t="shared" si="15"/>
        <v>0</v>
      </c>
      <c r="AR29" s="16">
        <f t="shared" si="15"/>
        <v>0</v>
      </c>
      <c r="AS29" s="16">
        <f t="shared" si="15"/>
        <v>0</v>
      </c>
      <c r="AT29" s="16">
        <f t="shared" si="15"/>
        <v>0</v>
      </c>
      <c r="AU29" s="16">
        <f t="shared" si="15"/>
        <v>0</v>
      </c>
      <c r="AV29" s="16">
        <f t="shared" si="15"/>
        <v>0</v>
      </c>
      <c r="AW29" s="16">
        <f t="shared" si="15"/>
        <v>0</v>
      </c>
      <c r="AX29" s="16">
        <f t="shared" si="15"/>
        <v>0</v>
      </c>
      <c r="AY29" s="16">
        <f t="shared" si="15"/>
        <v>0</v>
      </c>
      <c r="AZ29" s="16">
        <f t="shared" si="15"/>
        <v>0</v>
      </c>
      <c r="BA29" s="16">
        <f t="shared" si="15"/>
        <v>0</v>
      </c>
      <c r="BB29" s="16">
        <f t="shared" ref="BB29:CG29" si="16">SUM(BB30:BB33)</f>
        <v>0</v>
      </c>
      <c r="BC29" s="16">
        <f t="shared" si="16"/>
        <v>0</v>
      </c>
      <c r="BD29" s="16">
        <f t="shared" si="16"/>
        <v>0</v>
      </c>
      <c r="BE29" s="16">
        <f t="shared" si="16"/>
        <v>0</v>
      </c>
      <c r="BF29" s="16">
        <f t="shared" si="16"/>
        <v>0</v>
      </c>
      <c r="BG29" s="16">
        <f t="shared" si="16"/>
        <v>0</v>
      </c>
      <c r="BH29" s="16">
        <f t="shared" si="16"/>
        <v>0</v>
      </c>
      <c r="BI29" s="16">
        <f t="shared" si="16"/>
        <v>0</v>
      </c>
      <c r="BJ29" s="16">
        <f t="shared" si="16"/>
        <v>0</v>
      </c>
      <c r="BK29" s="16">
        <f t="shared" si="16"/>
        <v>0</v>
      </c>
      <c r="BL29" s="16">
        <f t="shared" si="16"/>
        <v>0</v>
      </c>
      <c r="BM29" s="16">
        <f t="shared" si="16"/>
        <v>0</v>
      </c>
      <c r="BN29" s="16">
        <f t="shared" si="16"/>
        <v>0</v>
      </c>
      <c r="BO29" s="16">
        <f t="shared" si="16"/>
        <v>0</v>
      </c>
      <c r="BP29" s="16">
        <f t="shared" si="16"/>
        <v>0</v>
      </c>
      <c r="BQ29" s="16">
        <f t="shared" si="16"/>
        <v>0</v>
      </c>
      <c r="BR29" s="16">
        <f t="shared" si="16"/>
        <v>0</v>
      </c>
      <c r="BS29" s="16">
        <f t="shared" si="16"/>
        <v>0</v>
      </c>
      <c r="BT29" s="16">
        <f t="shared" si="16"/>
        <v>0</v>
      </c>
      <c r="BU29" s="16">
        <f t="shared" si="16"/>
        <v>0</v>
      </c>
      <c r="BV29" s="16">
        <f t="shared" si="16"/>
        <v>0</v>
      </c>
      <c r="BW29" s="16">
        <f t="shared" si="16"/>
        <v>0</v>
      </c>
      <c r="BX29" s="16">
        <f t="shared" si="16"/>
        <v>0</v>
      </c>
      <c r="BY29" s="16">
        <f t="shared" si="16"/>
        <v>0</v>
      </c>
      <c r="BZ29" s="16">
        <f t="shared" si="16"/>
        <v>0</v>
      </c>
      <c r="CA29" s="16">
        <f t="shared" si="16"/>
        <v>0</v>
      </c>
      <c r="CB29" s="16">
        <f t="shared" si="16"/>
        <v>0</v>
      </c>
      <c r="CC29" s="16">
        <f t="shared" si="16"/>
        <v>0</v>
      </c>
      <c r="CD29" s="16">
        <f t="shared" si="16"/>
        <v>0</v>
      </c>
      <c r="CE29" s="16">
        <f t="shared" si="16"/>
        <v>0</v>
      </c>
      <c r="CF29" s="16">
        <f t="shared" si="16"/>
        <v>0</v>
      </c>
      <c r="CG29" s="16">
        <f t="shared" si="16"/>
        <v>0</v>
      </c>
      <c r="CH29" s="16">
        <f t="shared" ref="CH29:DA29" si="17">SUM(CH30:CH33)</f>
        <v>0</v>
      </c>
      <c r="CI29" s="16">
        <f t="shared" si="17"/>
        <v>0</v>
      </c>
      <c r="CJ29" s="16">
        <f t="shared" si="17"/>
        <v>0</v>
      </c>
      <c r="CK29" s="16">
        <f t="shared" si="17"/>
        <v>0</v>
      </c>
      <c r="CL29" s="16">
        <f t="shared" si="17"/>
        <v>0</v>
      </c>
      <c r="CM29" s="16">
        <f t="shared" si="17"/>
        <v>0</v>
      </c>
      <c r="CN29" s="16">
        <f t="shared" si="17"/>
        <v>0</v>
      </c>
      <c r="CO29" s="16">
        <f t="shared" si="17"/>
        <v>0</v>
      </c>
      <c r="CP29" s="16">
        <f t="shared" si="17"/>
        <v>0</v>
      </c>
      <c r="CQ29" s="16">
        <f t="shared" si="17"/>
        <v>0</v>
      </c>
      <c r="CR29" s="16">
        <f t="shared" si="17"/>
        <v>0</v>
      </c>
      <c r="CS29" s="16">
        <f t="shared" si="17"/>
        <v>0</v>
      </c>
      <c r="CT29" s="16">
        <f t="shared" si="17"/>
        <v>0</v>
      </c>
      <c r="CU29" s="16">
        <f t="shared" si="17"/>
        <v>0</v>
      </c>
      <c r="CV29" s="16">
        <f t="shared" si="17"/>
        <v>0</v>
      </c>
      <c r="CW29" s="16">
        <f t="shared" si="17"/>
        <v>0</v>
      </c>
      <c r="CX29" s="16">
        <f t="shared" si="17"/>
        <v>0</v>
      </c>
      <c r="CY29" s="16">
        <f t="shared" si="17"/>
        <v>0</v>
      </c>
      <c r="CZ29" s="16">
        <f t="shared" si="17"/>
        <v>0</v>
      </c>
      <c r="DA29" s="16">
        <f t="shared" si="17"/>
        <v>0</v>
      </c>
    </row>
    <row r="30" spans="1:105" ht="14" outlineLevel="1">
      <c r="A30" s="14" t="s">
        <v>319</v>
      </c>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row>
    <row r="31" spans="1:105" ht="14" outlineLevel="1">
      <c r="A31" s="14" t="s">
        <v>320</v>
      </c>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row>
    <row r="32" spans="1:105" ht="14" outlineLevel="1">
      <c r="A32" s="14" t="s">
        <v>321</v>
      </c>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row>
    <row r="33" spans="1:105" ht="14" outlineLevel="1">
      <c r="A33" s="15" t="s">
        <v>323</v>
      </c>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row>
    <row r="34" spans="1:105" ht="14">
      <c r="A34" s="12" t="s">
        <v>327</v>
      </c>
      <c r="B34" s="16">
        <f>SUM(B35:B38)</f>
        <v>0</v>
      </c>
      <c r="C34" s="16">
        <f t="shared" ref="C34:BA34" si="18">SUM(C35:C38)</f>
        <v>0</v>
      </c>
      <c r="D34" s="16">
        <f t="shared" si="18"/>
        <v>0</v>
      </c>
      <c r="E34" s="16">
        <f t="shared" si="18"/>
        <v>0</v>
      </c>
      <c r="F34" s="16">
        <f t="shared" si="18"/>
        <v>0</v>
      </c>
      <c r="G34" s="16">
        <f t="shared" si="18"/>
        <v>0</v>
      </c>
      <c r="H34" s="16">
        <f t="shared" si="18"/>
        <v>0</v>
      </c>
      <c r="I34" s="16">
        <f t="shared" si="18"/>
        <v>0</v>
      </c>
      <c r="J34" s="16">
        <f t="shared" si="18"/>
        <v>0</v>
      </c>
      <c r="K34" s="16">
        <f t="shared" si="18"/>
        <v>0</v>
      </c>
      <c r="L34" s="16">
        <f t="shared" si="18"/>
        <v>0</v>
      </c>
      <c r="M34" s="16">
        <f t="shared" si="18"/>
        <v>0</v>
      </c>
      <c r="N34" s="16">
        <f t="shared" si="18"/>
        <v>0</v>
      </c>
      <c r="O34" s="16">
        <f t="shared" si="18"/>
        <v>0</v>
      </c>
      <c r="P34" s="16">
        <f t="shared" si="18"/>
        <v>0</v>
      </c>
      <c r="Q34" s="16">
        <f t="shared" si="18"/>
        <v>0</v>
      </c>
      <c r="R34" s="16">
        <f t="shared" si="18"/>
        <v>0</v>
      </c>
      <c r="S34" s="16">
        <f t="shared" si="18"/>
        <v>0</v>
      </c>
      <c r="T34" s="16">
        <f t="shared" si="18"/>
        <v>0</v>
      </c>
      <c r="U34" s="16">
        <f t="shared" si="18"/>
        <v>0</v>
      </c>
      <c r="V34" s="16">
        <f t="shared" si="18"/>
        <v>0</v>
      </c>
      <c r="W34" s="16">
        <f t="shared" si="18"/>
        <v>0</v>
      </c>
      <c r="X34" s="16">
        <f t="shared" si="18"/>
        <v>0</v>
      </c>
      <c r="Y34" s="16">
        <f t="shared" si="18"/>
        <v>0</v>
      </c>
      <c r="Z34" s="16">
        <f t="shared" si="18"/>
        <v>0</v>
      </c>
      <c r="AA34" s="16">
        <f t="shared" si="18"/>
        <v>0</v>
      </c>
      <c r="AB34" s="16">
        <f t="shared" si="18"/>
        <v>0</v>
      </c>
      <c r="AC34" s="16">
        <f t="shared" si="18"/>
        <v>0</v>
      </c>
      <c r="AD34" s="16">
        <f t="shared" si="18"/>
        <v>0</v>
      </c>
      <c r="AE34" s="16">
        <f t="shared" si="18"/>
        <v>0</v>
      </c>
      <c r="AF34" s="16">
        <f t="shared" si="18"/>
        <v>0</v>
      </c>
      <c r="AG34" s="16">
        <f t="shared" si="18"/>
        <v>0</v>
      </c>
      <c r="AH34" s="16">
        <f t="shared" si="18"/>
        <v>0</v>
      </c>
      <c r="AI34" s="16">
        <f t="shared" si="18"/>
        <v>0</v>
      </c>
      <c r="AJ34" s="16">
        <f t="shared" si="18"/>
        <v>0</v>
      </c>
      <c r="AK34" s="16">
        <f t="shared" si="18"/>
        <v>0</v>
      </c>
      <c r="AL34" s="16">
        <f t="shared" si="18"/>
        <v>0</v>
      </c>
      <c r="AM34" s="16">
        <f t="shared" si="18"/>
        <v>0</v>
      </c>
      <c r="AN34" s="16">
        <f t="shared" si="18"/>
        <v>0</v>
      </c>
      <c r="AO34" s="16">
        <f t="shared" si="18"/>
        <v>0</v>
      </c>
      <c r="AP34" s="16">
        <f t="shared" si="18"/>
        <v>0</v>
      </c>
      <c r="AQ34" s="16">
        <f t="shared" si="18"/>
        <v>0</v>
      </c>
      <c r="AR34" s="16">
        <f t="shared" si="18"/>
        <v>0</v>
      </c>
      <c r="AS34" s="16">
        <f t="shared" si="18"/>
        <v>0</v>
      </c>
      <c r="AT34" s="16">
        <f t="shared" si="18"/>
        <v>0</v>
      </c>
      <c r="AU34" s="16">
        <f t="shared" si="18"/>
        <v>0</v>
      </c>
      <c r="AV34" s="16">
        <f t="shared" si="18"/>
        <v>0</v>
      </c>
      <c r="AW34" s="16">
        <f t="shared" si="18"/>
        <v>0</v>
      </c>
      <c r="AX34" s="16">
        <f t="shared" si="18"/>
        <v>0</v>
      </c>
      <c r="AY34" s="16">
        <f t="shared" si="18"/>
        <v>0</v>
      </c>
      <c r="AZ34" s="16">
        <f t="shared" si="18"/>
        <v>0</v>
      </c>
      <c r="BA34" s="16">
        <f t="shared" si="18"/>
        <v>0</v>
      </c>
      <c r="BB34" s="16">
        <f t="shared" ref="BB34:CG34" si="19">SUM(BB35:BB38)</f>
        <v>0</v>
      </c>
      <c r="BC34" s="16">
        <f t="shared" si="19"/>
        <v>0</v>
      </c>
      <c r="BD34" s="16">
        <f t="shared" si="19"/>
        <v>0</v>
      </c>
      <c r="BE34" s="16">
        <f t="shared" si="19"/>
        <v>0</v>
      </c>
      <c r="BF34" s="16">
        <f t="shared" si="19"/>
        <v>0</v>
      </c>
      <c r="BG34" s="16">
        <f t="shared" si="19"/>
        <v>0</v>
      </c>
      <c r="BH34" s="16">
        <f t="shared" si="19"/>
        <v>0</v>
      </c>
      <c r="BI34" s="16">
        <f t="shared" si="19"/>
        <v>0</v>
      </c>
      <c r="BJ34" s="16">
        <f t="shared" si="19"/>
        <v>0</v>
      </c>
      <c r="BK34" s="16">
        <f t="shared" si="19"/>
        <v>0</v>
      </c>
      <c r="BL34" s="16">
        <f t="shared" si="19"/>
        <v>0</v>
      </c>
      <c r="BM34" s="16">
        <f t="shared" si="19"/>
        <v>0</v>
      </c>
      <c r="BN34" s="16">
        <f t="shared" si="19"/>
        <v>0</v>
      </c>
      <c r="BO34" s="16">
        <f t="shared" si="19"/>
        <v>0</v>
      </c>
      <c r="BP34" s="16">
        <f t="shared" si="19"/>
        <v>0</v>
      </c>
      <c r="BQ34" s="16">
        <f t="shared" si="19"/>
        <v>0</v>
      </c>
      <c r="BR34" s="16">
        <f t="shared" si="19"/>
        <v>0</v>
      </c>
      <c r="BS34" s="16">
        <f t="shared" si="19"/>
        <v>0</v>
      </c>
      <c r="BT34" s="16">
        <f t="shared" si="19"/>
        <v>0</v>
      </c>
      <c r="BU34" s="16">
        <f t="shared" si="19"/>
        <v>0</v>
      </c>
      <c r="BV34" s="16">
        <f t="shared" si="19"/>
        <v>0</v>
      </c>
      <c r="BW34" s="16">
        <f t="shared" si="19"/>
        <v>0</v>
      </c>
      <c r="BX34" s="16">
        <f t="shared" si="19"/>
        <v>0</v>
      </c>
      <c r="BY34" s="16">
        <f t="shared" si="19"/>
        <v>0</v>
      </c>
      <c r="BZ34" s="16">
        <f t="shared" si="19"/>
        <v>0</v>
      </c>
      <c r="CA34" s="16">
        <f t="shared" si="19"/>
        <v>0</v>
      </c>
      <c r="CB34" s="16">
        <f t="shared" si="19"/>
        <v>0</v>
      </c>
      <c r="CC34" s="16">
        <f t="shared" si="19"/>
        <v>0</v>
      </c>
      <c r="CD34" s="16">
        <f t="shared" si="19"/>
        <v>0</v>
      </c>
      <c r="CE34" s="16">
        <f t="shared" si="19"/>
        <v>0</v>
      </c>
      <c r="CF34" s="16">
        <f t="shared" si="19"/>
        <v>0</v>
      </c>
      <c r="CG34" s="16">
        <f t="shared" si="19"/>
        <v>0</v>
      </c>
      <c r="CH34" s="16">
        <f t="shared" ref="CH34:DA34" si="20">SUM(CH35:CH38)</f>
        <v>0</v>
      </c>
      <c r="CI34" s="16">
        <f t="shared" si="20"/>
        <v>0</v>
      </c>
      <c r="CJ34" s="16">
        <f t="shared" si="20"/>
        <v>0</v>
      </c>
      <c r="CK34" s="16">
        <f t="shared" si="20"/>
        <v>0</v>
      </c>
      <c r="CL34" s="16">
        <f t="shared" si="20"/>
        <v>0</v>
      </c>
      <c r="CM34" s="16">
        <f t="shared" si="20"/>
        <v>0</v>
      </c>
      <c r="CN34" s="16">
        <f t="shared" si="20"/>
        <v>0</v>
      </c>
      <c r="CO34" s="16">
        <f t="shared" si="20"/>
        <v>0</v>
      </c>
      <c r="CP34" s="16">
        <f t="shared" si="20"/>
        <v>0</v>
      </c>
      <c r="CQ34" s="16">
        <f t="shared" si="20"/>
        <v>0</v>
      </c>
      <c r="CR34" s="16">
        <f t="shared" si="20"/>
        <v>0</v>
      </c>
      <c r="CS34" s="16">
        <f t="shared" si="20"/>
        <v>0</v>
      </c>
      <c r="CT34" s="16">
        <f t="shared" si="20"/>
        <v>0</v>
      </c>
      <c r="CU34" s="16">
        <f t="shared" si="20"/>
        <v>0</v>
      </c>
      <c r="CV34" s="16">
        <f t="shared" si="20"/>
        <v>0</v>
      </c>
      <c r="CW34" s="16">
        <f t="shared" si="20"/>
        <v>0</v>
      </c>
      <c r="CX34" s="16">
        <f t="shared" si="20"/>
        <v>0</v>
      </c>
      <c r="CY34" s="16">
        <f t="shared" si="20"/>
        <v>0</v>
      </c>
      <c r="CZ34" s="16">
        <f t="shared" si="20"/>
        <v>0</v>
      </c>
      <c r="DA34" s="16">
        <f t="shared" si="20"/>
        <v>0</v>
      </c>
    </row>
    <row r="35" spans="1:105" ht="14" outlineLevel="1">
      <c r="A35" s="17" t="s">
        <v>343</v>
      </c>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row>
    <row r="36" spans="1:105" ht="14" outlineLevel="1">
      <c r="A36" s="17" t="s">
        <v>344</v>
      </c>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row>
    <row r="37" spans="1:105" outlineLevel="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row>
    <row r="38" spans="1:105" outlineLevel="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row>
    <row r="39" spans="1:105" ht="14">
      <c r="A39" s="12" t="s">
        <v>328</v>
      </c>
      <c r="B39" s="16">
        <f>SUM(B40:B45)</f>
        <v>0</v>
      </c>
      <c r="C39" s="16">
        <f t="shared" ref="C39:BA39" si="21">SUM(C40:C45)</f>
        <v>0</v>
      </c>
      <c r="D39" s="16">
        <f t="shared" si="21"/>
        <v>0</v>
      </c>
      <c r="E39" s="16">
        <f t="shared" si="21"/>
        <v>0</v>
      </c>
      <c r="F39" s="16">
        <f t="shared" si="21"/>
        <v>0</v>
      </c>
      <c r="G39" s="16">
        <f t="shared" si="21"/>
        <v>0</v>
      </c>
      <c r="H39" s="16">
        <f t="shared" si="21"/>
        <v>0</v>
      </c>
      <c r="I39" s="16">
        <f t="shared" si="21"/>
        <v>0</v>
      </c>
      <c r="J39" s="16">
        <f t="shared" si="21"/>
        <v>0</v>
      </c>
      <c r="K39" s="16">
        <f t="shared" si="21"/>
        <v>0</v>
      </c>
      <c r="L39" s="16">
        <f t="shared" si="21"/>
        <v>0</v>
      </c>
      <c r="M39" s="16">
        <f t="shared" si="21"/>
        <v>0</v>
      </c>
      <c r="N39" s="16">
        <f t="shared" si="21"/>
        <v>0</v>
      </c>
      <c r="O39" s="16">
        <f t="shared" si="21"/>
        <v>0</v>
      </c>
      <c r="P39" s="16">
        <f t="shared" si="21"/>
        <v>0</v>
      </c>
      <c r="Q39" s="16">
        <f t="shared" si="21"/>
        <v>0</v>
      </c>
      <c r="R39" s="16">
        <f t="shared" si="21"/>
        <v>0</v>
      </c>
      <c r="S39" s="16">
        <f t="shared" si="21"/>
        <v>0</v>
      </c>
      <c r="T39" s="16">
        <f t="shared" si="21"/>
        <v>0</v>
      </c>
      <c r="U39" s="16">
        <f t="shared" si="21"/>
        <v>0</v>
      </c>
      <c r="V39" s="16">
        <f t="shared" si="21"/>
        <v>0</v>
      </c>
      <c r="W39" s="16">
        <f t="shared" si="21"/>
        <v>0</v>
      </c>
      <c r="X39" s="16">
        <f t="shared" si="21"/>
        <v>0</v>
      </c>
      <c r="Y39" s="16">
        <f t="shared" si="21"/>
        <v>0</v>
      </c>
      <c r="Z39" s="16">
        <f t="shared" si="21"/>
        <v>0</v>
      </c>
      <c r="AA39" s="16">
        <f t="shared" si="21"/>
        <v>0</v>
      </c>
      <c r="AB39" s="16">
        <f t="shared" si="21"/>
        <v>0</v>
      </c>
      <c r="AC39" s="16">
        <f t="shared" si="21"/>
        <v>0</v>
      </c>
      <c r="AD39" s="16">
        <f t="shared" si="21"/>
        <v>0</v>
      </c>
      <c r="AE39" s="16">
        <f t="shared" si="21"/>
        <v>0</v>
      </c>
      <c r="AF39" s="16">
        <f t="shared" si="21"/>
        <v>0</v>
      </c>
      <c r="AG39" s="16">
        <f t="shared" si="21"/>
        <v>0</v>
      </c>
      <c r="AH39" s="16">
        <f t="shared" si="21"/>
        <v>0</v>
      </c>
      <c r="AI39" s="16">
        <f t="shared" si="21"/>
        <v>0</v>
      </c>
      <c r="AJ39" s="16">
        <f t="shared" si="21"/>
        <v>0</v>
      </c>
      <c r="AK39" s="16">
        <f t="shared" si="21"/>
        <v>0</v>
      </c>
      <c r="AL39" s="16">
        <f t="shared" si="21"/>
        <v>0</v>
      </c>
      <c r="AM39" s="16">
        <f t="shared" si="21"/>
        <v>0</v>
      </c>
      <c r="AN39" s="16">
        <f t="shared" si="21"/>
        <v>0</v>
      </c>
      <c r="AO39" s="16">
        <f t="shared" si="21"/>
        <v>0</v>
      </c>
      <c r="AP39" s="16">
        <f t="shared" si="21"/>
        <v>0</v>
      </c>
      <c r="AQ39" s="16">
        <f t="shared" si="21"/>
        <v>0</v>
      </c>
      <c r="AR39" s="16">
        <f t="shared" si="21"/>
        <v>0</v>
      </c>
      <c r="AS39" s="16">
        <f t="shared" si="21"/>
        <v>0</v>
      </c>
      <c r="AT39" s="16">
        <f t="shared" si="21"/>
        <v>0</v>
      </c>
      <c r="AU39" s="16">
        <f t="shared" si="21"/>
        <v>0</v>
      </c>
      <c r="AV39" s="16">
        <f t="shared" si="21"/>
        <v>0</v>
      </c>
      <c r="AW39" s="16">
        <f t="shared" si="21"/>
        <v>0</v>
      </c>
      <c r="AX39" s="16">
        <f t="shared" si="21"/>
        <v>0</v>
      </c>
      <c r="AY39" s="16">
        <f t="shared" si="21"/>
        <v>0</v>
      </c>
      <c r="AZ39" s="16">
        <f t="shared" si="21"/>
        <v>0</v>
      </c>
      <c r="BA39" s="16">
        <f t="shared" si="21"/>
        <v>0</v>
      </c>
      <c r="BB39" s="16">
        <f t="shared" ref="BB39:CG39" si="22">SUM(BB40:BB45)</f>
        <v>0</v>
      </c>
      <c r="BC39" s="16">
        <f t="shared" si="22"/>
        <v>0</v>
      </c>
      <c r="BD39" s="16">
        <f t="shared" si="22"/>
        <v>0</v>
      </c>
      <c r="BE39" s="16">
        <f t="shared" si="22"/>
        <v>0</v>
      </c>
      <c r="BF39" s="16">
        <f t="shared" si="22"/>
        <v>0</v>
      </c>
      <c r="BG39" s="16">
        <f t="shared" si="22"/>
        <v>0</v>
      </c>
      <c r="BH39" s="16">
        <f t="shared" si="22"/>
        <v>0</v>
      </c>
      <c r="BI39" s="16">
        <f t="shared" si="22"/>
        <v>0</v>
      </c>
      <c r="BJ39" s="16">
        <f t="shared" si="22"/>
        <v>0</v>
      </c>
      <c r="BK39" s="16">
        <f t="shared" si="22"/>
        <v>0</v>
      </c>
      <c r="BL39" s="16">
        <f t="shared" si="22"/>
        <v>0</v>
      </c>
      <c r="BM39" s="16">
        <f t="shared" si="22"/>
        <v>0</v>
      </c>
      <c r="BN39" s="16">
        <f t="shared" si="22"/>
        <v>0</v>
      </c>
      <c r="BO39" s="16">
        <f t="shared" si="22"/>
        <v>0</v>
      </c>
      <c r="BP39" s="16">
        <f t="shared" si="22"/>
        <v>0</v>
      </c>
      <c r="BQ39" s="16">
        <f t="shared" si="22"/>
        <v>0</v>
      </c>
      <c r="BR39" s="16">
        <f t="shared" si="22"/>
        <v>0</v>
      </c>
      <c r="BS39" s="16">
        <f t="shared" si="22"/>
        <v>0</v>
      </c>
      <c r="BT39" s="16">
        <f t="shared" si="22"/>
        <v>0</v>
      </c>
      <c r="BU39" s="16">
        <f t="shared" si="22"/>
        <v>0</v>
      </c>
      <c r="BV39" s="16">
        <f t="shared" si="22"/>
        <v>0</v>
      </c>
      <c r="BW39" s="16">
        <f t="shared" si="22"/>
        <v>0</v>
      </c>
      <c r="BX39" s="16">
        <f t="shared" si="22"/>
        <v>0</v>
      </c>
      <c r="BY39" s="16">
        <f t="shared" si="22"/>
        <v>0</v>
      </c>
      <c r="BZ39" s="16">
        <f t="shared" si="22"/>
        <v>0</v>
      </c>
      <c r="CA39" s="16">
        <f t="shared" si="22"/>
        <v>0</v>
      </c>
      <c r="CB39" s="16">
        <f t="shared" si="22"/>
        <v>0</v>
      </c>
      <c r="CC39" s="16">
        <f t="shared" si="22"/>
        <v>0</v>
      </c>
      <c r="CD39" s="16">
        <f t="shared" si="22"/>
        <v>0</v>
      </c>
      <c r="CE39" s="16">
        <f t="shared" si="22"/>
        <v>0</v>
      </c>
      <c r="CF39" s="16">
        <f t="shared" si="22"/>
        <v>0</v>
      </c>
      <c r="CG39" s="16">
        <f t="shared" si="22"/>
        <v>0</v>
      </c>
      <c r="CH39" s="16">
        <f t="shared" ref="CH39:DA39" si="23">SUM(CH40:CH45)</f>
        <v>0</v>
      </c>
      <c r="CI39" s="16">
        <f t="shared" si="23"/>
        <v>0</v>
      </c>
      <c r="CJ39" s="16">
        <f t="shared" si="23"/>
        <v>0</v>
      </c>
      <c r="CK39" s="16">
        <f t="shared" si="23"/>
        <v>0</v>
      </c>
      <c r="CL39" s="16">
        <f t="shared" si="23"/>
        <v>0</v>
      </c>
      <c r="CM39" s="16">
        <f t="shared" si="23"/>
        <v>0</v>
      </c>
      <c r="CN39" s="16">
        <f t="shared" si="23"/>
        <v>0</v>
      </c>
      <c r="CO39" s="16">
        <f t="shared" si="23"/>
        <v>0</v>
      </c>
      <c r="CP39" s="16">
        <f t="shared" si="23"/>
        <v>0</v>
      </c>
      <c r="CQ39" s="16">
        <f t="shared" si="23"/>
        <v>0</v>
      </c>
      <c r="CR39" s="16">
        <f t="shared" si="23"/>
        <v>0</v>
      </c>
      <c r="CS39" s="16">
        <f t="shared" si="23"/>
        <v>0</v>
      </c>
      <c r="CT39" s="16">
        <f t="shared" si="23"/>
        <v>0</v>
      </c>
      <c r="CU39" s="16">
        <f t="shared" si="23"/>
        <v>0</v>
      </c>
      <c r="CV39" s="16">
        <f t="shared" si="23"/>
        <v>0</v>
      </c>
      <c r="CW39" s="16">
        <f t="shared" si="23"/>
        <v>0</v>
      </c>
      <c r="CX39" s="16">
        <f t="shared" si="23"/>
        <v>0</v>
      </c>
      <c r="CY39" s="16">
        <f t="shared" si="23"/>
        <v>0</v>
      </c>
      <c r="CZ39" s="16">
        <f t="shared" si="23"/>
        <v>0</v>
      </c>
      <c r="DA39" s="16">
        <f t="shared" si="23"/>
        <v>0</v>
      </c>
    </row>
    <row r="40" spans="1:105" ht="14" outlineLevel="1">
      <c r="A40" s="14" t="s">
        <v>329</v>
      </c>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row>
    <row r="41" spans="1:105" ht="14" outlineLevel="1">
      <c r="A41" s="14" t="s">
        <v>330</v>
      </c>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row>
    <row r="42" spans="1:105" ht="14" outlineLevel="1">
      <c r="A42" s="14" t="s">
        <v>331</v>
      </c>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row>
    <row r="43" spans="1:105" ht="14" outlineLevel="1">
      <c r="A43" s="14" t="s">
        <v>340</v>
      </c>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row>
    <row r="44" spans="1:105" ht="14" outlineLevel="1">
      <c r="A44" s="14" t="s">
        <v>332</v>
      </c>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row>
    <row r="45" spans="1:105" ht="14" outlineLevel="1">
      <c r="A45" s="15" t="s">
        <v>333</v>
      </c>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row>
    <row r="46" spans="1:105" ht="14">
      <c r="A46" s="12" t="s">
        <v>334</v>
      </c>
      <c r="B46" s="16">
        <f>SUM(B47:B50)</f>
        <v>0</v>
      </c>
      <c r="C46" s="16">
        <f t="shared" ref="C46:BN46" si="24">SUM(C47:C50)</f>
        <v>0</v>
      </c>
      <c r="D46" s="16">
        <f t="shared" si="24"/>
        <v>0</v>
      </c>
      <c r="E46" s="16">
        <f t="shared" si="24"/>
        <v>0</v>
      </c>
      <c r="F46" s="16">
        <f t="shared" si="24"/>
        <v>0</v>
      </c>
      <c r="G46" s="16">
        <f t="shared" si="24"/>
        <v>0</v>
      </c>
      <c r="H46" s="16">
        <f t="shared" si="24"/>
        <v>0</v>
      </c>
      <c r="I46" s="16">
        <f t="shared" si="24"/>
        <v>0</v>
      </c>
      <c r="J46" s="16">
        <f t="shared" si="24"/>
        <v>0</v>
      </c>
      <c r="K46" s="16">
        <f t="shared" si="24"/>
        <v>0</v>
      </c>
      <c r="L46" s="16">
        <f t="shared" si="24"/>
        <v>0</v>
      </c>
      <c r="M46" s="16">
        <f t="shared" si="24"/>
        <v>0</v>
      </c>
      <c r="N46" s="16">
        <f t="shared" si="24"/>
        <v>0</v>
      </c>
      <c r="O46" s="16">
        <f t="shared" si="24"/>
        <v>0</v>
      </c>
      <c r="P46" s="16">
        <f t="shared" si="24"/>
        <v>0</v>
      </c>
      <c r="Q46" s="16">
        <f t="shared" si="24"/>
        <v>0</v>
      </c>
      <c r="R46" s="16">
        <f t="shared" si="24"/>
        <v>0</v>
      </c>
      <c r="S46" s="16">
        <f t="shared" si="24"/>
        <v>0</v>
      </c>
      <c r="T46" s="16">
        <f t="shared" si="24"/>
        <v>0</v>
      </c>
      <c r="U46" s="16">
        <f t="shared" si="24"/>
        <v>0</v>
      </c>
      <c r="V46" s="16">
        <f t="shared" si="24"/>
        <v>0</v>
      </c>
      <c r="W46" s="16">
        <f t="shared" si="24"/>
        <v>0</v>
      </c>
      <c r="X46" s="16">
        <f t="shared" si="24"/>
        <v>0</v>
      </c>
      <c r="Y46" s="16">
        <f t="shared" si="24"/>
        <v>0</v>
      </c>
      <c r="Z46" s="16">
        <f t="shared" si="24"/>
        <v>0</v>
      </c>
      <c r="AA46" s="16">
        <f t="shared" si="24"/>
        <v>0</v>
      </c>
      <c r="AB46" s="16">
        <f t="shared" si="24"/>
        <v>0</v>
      </c>
      <c r="AC46" s="16">
        <f t="shared" si="24"/>
        <v>0</v>
      </c>
      <c r="AD46" s="16">
        <f t="shared" si="24"/>
        <v>0</v>
      </c>
      <c r="AE46" s="16">
        <f t="shared" si="24"/>
        <v>0</v>
      </c>
      <c r="AF46" s="16">
        <f t="shared" si="24"/>
        <v>0</v>
      </c>
      <c r="AG46" s="16">
        <f t="shared" si="24"/>
        <v>0</v>
      </c>
      <c r="AH46" s="16">
        <f t="shared" si="24"/>
        <v>0</v>
      </c>
      <c r="AI46" s="16">
        <f t="shared" si="24"/>
        <v>0</v>
      </c>
      <c r="AJ46" s="16">
        <f t="shared" si="24"/>
        <v>0</v>
      </c>
      <c r="AK46" s="16">
        <f t="shared" si="24"/>
        <v>0</v>
      </c>
      <c r="AL46" s="16">
        <f t="shared" si="24"/>
        <v>0</v>
      </c>
      <c r="AM46" s="16">
        <f t="shared" si="24"/>
        <v>0</v>
      </c>
      <c r="AN46" s="16">
        <f t="shared" si="24"/>
        <v>0</v>
      </c>
      <c r="AO46" s="16">
        <f t="shared" si="24"/>
        <v>0</v>
      </c>
      <c r="AP46" s="16">
        <f t="shared" si="24"/>
        <v>0</v>
      </c>
      <c r="AQ46" s="16">
        <f t="shared" si="24"/>
        <v>0</v>
      </c>
      <c r="AR46" s="16">
        <f t="shared" si="24"/>
        <v>0</v>
      </c>
      <c r="AS46" s="16">
        <f t="shared" si="24"/>
        <v>0</v>
      </c>
      <c r="AT46" s="16">
        <f t="shared" si="24"/>
        <v>0</v>
      </c>
      <c r="AU46" s="16">
        <f t="shared" si="24"/>
        <v>0</v>
      </c>
      <c r="AV46" s="16">
        <f t="shared" si="24"/>
        <v>0</v>
      </c>
      <c r="AW46" s="16">
        <f t="shared" si="24"/>
        <v>0</v>
      </c>
      <c r="AX46" s="16">
        <f t="shared" si="24"/>
        <v>0</v>
      </c>
      <c r="AY46" s="16">
        <f t="shared" si="24"/>
        <v>0</v>
      </c>
      <c r="AZ46" s="16">
        <f t="shared" si="24"/>
        <v>0</v>
      </c>
      <c r="BA46" s="16">
        <f t="shared" si="24"/>
        <v>0</v>
      </c>
      <c r="BB46" s="16">
        <f t="shared" si="24"/>
        <v>0</v>
      </c>
      <c r="BC46" s="16">
        <f t="shared" si="24"/>
        <v>0</v>
      </c>
      <c r="BD46" s="16">
        <f t="shared" si="24"/>
        <v>0</v>
      </c>
      <c r="BE46" s="16">
        <f t="shared" si="24"/>
        <v>0</v>
      </c>
      <c r="BF46" s="16">
        <f t="shared" si="24"/>
        <v>0</v>
      </c>
      <c r="BG46" s="16">
        <f t="shared" si="24"/>
        <v>0</v>
      </c>
      <c r="BH46" s="16">
        <f t="shared" si="24"/>
        <v>0</v>
      </c>
      <c r="BI46" s="16">
        <f t="shared" si="24"/>
        <v>0</v>
      </c>
      <c r="BJ46" s="16">
        <f t="shared" si="24"/>
        <v>0</v>
      </c>
      <c r="BK46" s="16">
        <f t="shared" si="24"/>
        <v>0</v>
      </c>
      <c r="BL46" s="16">
        <f t="shared" si="24"/>
        <v>0</v>
      </c>
      <c r="BM46" s="16">
        <f t="shared" si="24"/>
        <v>0</v>
      </c>
      <c r="BN46" s="16">
        <f t="shared" si="24"/>
        <v>0</v>
      </c>
      <c r="BO46" s="16">
        <f t="shared" ref="BO46:DA46" si="25">SUM(BO47:BO50)</f>
        <v>0</v>
      </c>
      <c r="BP46" s="16">
        <f t="shared" si="25"/>
        <v>0</v>
      </c>
      <c r="BQ46" s="16">
        <f t="shared" si="25"/>
        <v>0</v>
      </c>
      <c r="BR46" s="16">
        <f t="shared" si="25"/>
        <v>0</v>
      </c>
      <c r="BS46" s="16">
        <f t="shared" si="25"/>
        <v>0</v>
      </c>
      <c r="BT46" s="16">
        <f t="shared" si="25"/>
        <v>0</v>
      </c>
      <c r="BU46" s="16">
        <f t="shared" si="25"/>
        <v>0</v>
      </c>
      <c r="BV46" s="16">
        <f t="shared" si="25"/>
        <v>0</v>
      </c>
      <c r="BW46" s="16">
        <f t="shared" si="25"/>
        <v>0</v>
      </c>
      <c r="BX46" s="16">
        <f t="shared" si="25"/>
        <v>0</v>
      </c>
      <c r="BY46" s="16">
        <f t="shared" si="25"/>
        <v>0</v>
      </c>
      <c r="BZ46" s="16">
        <f t="shared" si="25"/>
        <v>0</v>
      </c>
      <c r="CA46" s="16">
        <f t="shared" si="25"/>
        <v>0</v>
      </c>
      <c r="CB46" s="16">
        <f t="shared" si="25"/>
        <v>0</v>
      </c>
      <c r="CC46" s="16">
        <f t="shared" si="25"/>
        <v>0</v>
      </c>
      <c r="CD46" s="16">
        <f t="shared" si="25"/>
        <v>0</v>
      </c>
      <c r="CE46" s="16">
        <f t="shared" si="25"/>
        <v>0</v>
      </c>
      <c r="CF46" s="16">
        <f t="shared" si="25"/>
        <v>0</v>
      </c>
      <c r="CG46" s="16">
        <f t="shared" si="25"/>
        <v>0</v>
      </c>
      <c r="CH46" s="16">
        <f t="shared" si="25"/>
        <v>0</v>
      </c>
      <c r="CI46" s="16">
        <f t="shared" si="25"/>
        <v>0</v>
      </c>
      <c r="CJ46" s="16">
        <f t="shared" si="25"/>
        <v>0</v>
      </c>
      <c r="CK46" s="16">
        <f t="shared" si="25"/>
        <v>0</v>
      </c>
      <c r="CL46" s="16">
        <f t="shared" si="25"/>
        <v>0</v>
      </c>
      <c r="CM46" s="16">
        <f t="shared" si="25"/>
        <v>0</v>
      </c>
      <c r="CN46" s="16">
        <f t="shared" si="25"/>
        <v>0</v>
      </c>
      <c r="CO46" s="16">
        <f t="shared" si="25"/>
        <v>0</v>
      </c>
      <c r="CP46" s="16">
        <f t="shared" si="25"/>
        <v>0</v>
      </c>
      <c r="CQ46" s="16">
        <f t="shared" si="25"/>
        <v>0</v>
      </c>
      <c r="CR46" s="16">
        <f t="shared" si="25"/>
        <v>0</v>
      </c>
      <c r="CS46" s="16">
        <f t="shared" si="25"/>
        <v>0</v>
      </c>
      <c r="CT46" s="16">
        <f t="shared" si="25"/>
        <v>0</v>
      </c>
      <c r="CU46" s="16">
        <f t="shared" si="25"/>
        <v>0</v>
      </c>
      <c r="CV46" s="16">
        <f t="shared" si="25"/>
        <v>0</v>
      </c>
      <c r="CW46" s="16">
        <f t="shared" si="25"/>
        <v>0</v>
      </c>
      <c r="CX46" s="16">
        <f t="shared" si="25"/>
        <v>0</v>
      </c>
      <c r="CY46" s="16">
        <f t="shared" si="25"/>
        <v>0</v>
      </c>
      <c r="CZ46" s="16">
        <f t="shared" si="25"/>
        <v>0</v>
      </c>
      <c r="DA46" s="16">
        <f t="shared" si="25"/>
        <v>0</v>
      </c>
    </row>
    <row r="47" spans="1:105" ht="14" outlineLevel="1">
      <c r="A47" s="14" t="s">
        <v>335</v>
      </c>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row>
    <row r="48" spans="1:105" ht="14" outlineLevel="1">
      <c r="A48" s="14" t="s">
        <v>336</v>
      </c>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row>
    <row r="49" spans="1:105" ht="14" outlineLevel="1">
      <c r="A49" s="14" t="s">
        <v>337</v>
      </c>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row>
    <row r="50" spans="1:105" ht="14" outlineLevel="1">
      <c r="A50" s="15" t="s">
        <v>338</v>
      </c>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row>
    <row r="51" spans="1:105">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row>
    <row r="52" spans="1:105">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row>
    <row r="53" spans="1:105" ht="14">
      <c r="A53" s="12" t="s">
        <v>23</v>
      </c>
      <c r="B53" s="16">
        <f>SUM(B7,B21,B29,B34,B39,B46)</f>
        <v>0</v>
      </c>
      <c r="C53" s="16">
        <f t="shared" ref="C53:BN53" si="26">SUM(C7,C21,C29,C34,C39,C46)</f>
        <v>0</v>
      </c>
      <c r="D53" s="16">
        <f t="shared" si="26"/>
        <v>0</v>
      </c>
      <c r="E53" s="16">
        <f t="shared" si="26"/>
        <v>0</v>
      </c>
      <c r="F53" s="16">
        <f t="shared" si="26"/>
        <v>0</v>
      </c>
      <c r="G53" s="16">
        <f t="shared" si="26"/>
        <v>0</v>
      </c>
      <c r="H53" s="16">
        <f t="shared" si="26"/>
        <v>0</v>
      </c>
      <c r="I53" s="16">
        <f t="shared" si="26"/>
        <v>0</v>
      </c>
      <c r="J53" s="16">
        <f t="shared" si="26"/>
        <v>0</v>
      </c>
      <c r="K53" s="16">
        <f t="shared" si="26"/>
        <v>0</v>
      </c>
      <c r="L53" s="16">
        <f t="shared" si="26"/>
        <v>0</v>
      </c>
      <c r="M53" s="16">
        <f t="shared" si="26"/>
        <v>0</v>
      </c>
      <c r="N53" s="16">
        <f t="shared" si="26"/>
        <v>0</v>
      </c>
      <c r="O53" s="16">
        <f t="shared" si="26"/>
        <v>0</v>
      </c>
      <c r="P53" s="16">
        <f t="shared" si="26"/>
        <v>0</v>
      </c>
      <c r="Q53" s="16">
        <f t="shared" si="26"/>
        <v>0</v>
      </c>
      <c r="R53" s="16">
        <f t="shared" si="26"/>
        <v>0</v>
      </c>
      <c r="S53" s="16">
        <f t="shared" si="26"/>
        <v>0</v>
      </c>
      <c r="T53" s="16">
        <f t="shared" si="26"/>
        <v>0</v>
      </c>
      <c r="U53" s="16">
        <f t="shared" si="26"/>
        <v>0</v>
      </c>
      <c r="V53" s="16">
        <f t="shared" si="26"/>
        <v>0</v>
      </c>
      <c r="W53" s="16">
        <f t="shared" si="26"/>
        <v>0</v>
      </c>
      <c r="X53" s="16">
        <f t="shared" si="26"/>
        <v>0</v>
      </c>
      <c r="Y53" s="16">
        <f t="shared" si="26"/>
        <v>0</v>
      </c>
      <c r="Z53" s="16">
        <f t="shared" si="26"/>
        <v>0</v>
      </c>
      <c r="AA53" s="16">
        <f t="shared" si="26"/>
        <v>0</v>
      </c>
      <c r="AB53" s="16">
        <f t="shared" si="26"/>
        <v>0</v>
      </c>
      <c r="AC53" s="16">
        <f t="shared" si="26"/>
        <v>0</v>
      </c>
      <c r="AD53" s="16">
        <f t="shared" si="26"/>
        <v>0</v>
      </c>
      <c r="AE53" s="16">
        <f t="shared" si="26"/>
        <v>0</v>
      </c>
      <c r="AF53" s="16">
        <f t="shared" si="26"/>
        <v>0</v>
      </c>
      <c r="AG53" s="16">
        <f t="shared" si="26"/>
        <v>0</v>
      </c>
      <c r="AH53" s="16">
        <f t="shared" si="26"/>
        <v>0</v>
      </c>
      <c r="AI53" s="16">
        <f t="shared" si="26"/>
        <v>0</v>
      </c>
      <c r="AJ53" s="16">
        <f t="shared" si="26"/>
        <v>0</v>
      </c>
      <c r="AK53" s="16">
        <f t="shared" si="26"/>
        <v>0</v>
      </c>
      <c r="AL53" s="16">
        <f t="shared" si="26"/>
        <v>0</v>
      </c>
      <c r="AM53" s="16">
        <f t="shared" si="26"/>
        <v>0</v>
      </c>
      <c r="AN53" s="16">
        <f t="shared" si="26"/>
        <v>0</v>
      </c>
      <c r="AO53" s="16">
        <f t="shared" si="26"/>
        <v>0</v>
      </c>
      <c r="AP53" s="16">
        <f t="shared" si="26"/>
        <v>0</v>
      </c>
      <c r="AQ53" s="16">
        <f t="shared" si="26"/>
        <v>0</v>
      </c>
      <c r="AR53" s="16">
        <f t="shared" si="26"/>
        <v>0</v>
      </c>
      <c r="AS53" s="16">
        <f t="shared" si="26"/>
        <v>0</v>
      </c>
      <c r="AT53" s="16">
        <f t="shared" si="26"/>
        <v>0</v>
      </c>
      <c r="AU53" s="16">
        <f t="shared" si="26"/>
        <v>0</v>
      </c>
      <c r="AV53" s="16">
        <f t="shared" si="26"/>
        <v>0</v>
      </c>
      <c r="AW53" s="16">
        <f t="shared" si="26"/>
        <v>0</v>
      </c>
      <c r="AX53" s="16">
        <f t="shared" si="26"/>
        <v>0</v>
      </c>
      <c r="AY53" s="16">
        <f t="shared" si="26"/>
        <v>0</v>
      </c>
      <c r="AZ53" s="16">
        <f t="shared" si="26"/>
        <v>0</v>
      </c>
      <c r="BA53" s="16">
        <f t="shared" si="26"/>
        <v>0</v>
      </c>
      <c r="BB53" s="16">
        <f t="shared" si="26"/>
        <v>0</v>
      </c>
      <c r="BC53" s="16">
        <f t="shared" si="26"/>
        <v>0</v>
      </c>
      <c r="BD53" s="16">
        <f t="shared" si="26"/>
        <v>0</v>
      </c>
      <c r="BE53" s="16">
        <f t="shared" si="26"/>
        <v>0</v>
      </c>
      <c r="BF53" s="16">
        <f t="shared" si="26"/>
        <v>0</v>
      </c>
      <c r="BG53" s="16">
        <f t="shared" si="26"/>
        <v>0</v>
      </c>
      <c r="BH53" s="16">
        <f t="shared" si="26"/>
        <v>0</v>
      </c>
      <c r="BI53" s="16">
        <f t="shared" si="26"/>
        <v>0</v>
      </c>
      <c r="BJ53" s="16">
        <f t="shared" si="26"/>
        <v>0</v>
      </c>
      <c r="BK53" s="16">
        <f t="shared" si="26"/>
        <v>0</v>
      </c>
      <c r="BL53" s="16">
        <f t="shared" si="26"/>
        <v>0</v>
      </c>
      <c r="BM53" s="16">
        <f t="shared" si="26"/>
        <v>0</v>
      </c>
      <c r="BN53" s="16">
        <f t="shared" si="26"/>
        <v>0</v>
      </c>
      <c r="BO53" s="16">
        <f t="shared" ref="BO53:DA53" si="27">SUM(BO7,BO21,BO29,BO34,BO39,BO46)</f>
        <v>0</v>
      </c>
      <c r="BP53" s="16">
        <f t="shared" si="27"/>
        <v>0</v>
      </c>
      <c r="BQ53" s="16">
        <f t="shared" si="27"/>
        <v>0</v>
      </c>
      <c r="BR53" s="16">
        <f t="shared" si="27"/>
        <v>0</v>
      </c>
      <c r="BS53" s="16">
        <f t="shared" si="27"/>
        <v>0</v>
      </c>
      <c r="BT53" s="16">
        <f t="shared" si="27"/>
        <v>0</v>
      </c>
      <c r="BU53" s="16">
        <f t="shared" si="27"/>
        <v>0</v>
      </c>
      <c r="BV53" s="16">
        <f t="shared" si="27"/>
        <v>0</v>
      </c>
      <c r="BW53" s="16">
        <f t="shared" si="27"/>
        <v>0</v>
      </c>
      <c r="BX53" s="16">
        <f t="shared" si="27"/>
        <v>0</v>
      </c>
      <c r="BY53" s="16">
        <f t="shared" si="27"/>
        <v>0</v>
      </c>
      <c r="BZ53" s="16">
        <f t="shared" si="27"/>
        <v>0</v>
      </c>
      <c r="CA53" s="16">
        <f t="shared" si="27"/>
        <v>0</v>
      </c>
      <c r="CB53" s="16">
        <f t="shared" si="27"/>
        <v>0</v>
      </c>
      <c r="CC53" s="16">
        <f t="shared" si="27"/>
        <v>0</v>
      </c>
      <c r="CD53" s="16">
        <f t="shared" si="27"/>
        <v>0</v>
      </c>
      <c r="CE53" s="16">
        <f t="shared" si="27"/>
        <v>0</v>
      </c>
      <c r="CF53" s="16">
        <f t="shared" si="27"/>
        <v>0</v>
      </c>
      <c r="CG53" s="16">
        <f t="shared" si="27"/>
        <v>0</v>
      </c>
      <c r="CH53" s="16">
        <f t="shared" si="27"/>
        <v>0</v>
      </c>
      <c r="CI53" s="16">
        <f t="shared" si="27"/>
        <v>0</v>
      </c>
      <c r="CJ53" s="16">
        <f t="shared" si="27"/>
        <v>0</v>
      </c>
      <c r="CK53" s="16">
        <f t="shared" si="27"/>
        <v>0</v>
      </c>
      <c r="CL53" s="16">
        <f t="shared" si="27"/>
        <v>0</v>
      </c>
      <c r="CM53" s="16">
        <f t="shared" si="27"/>
        <v>0</v>
      </c>
      <c r="CN53" s="16">
        <f t="shared" si="27"/>
        <v>0</v>
      </c>
      <c r="CO53" s="16">
        <f t="shared" si="27"/>
        <v>0</v>
      </c>
      <c r="CP53" s="16">
        <f t="shared" si="27"/>
        <v>0</v>
      </c>
      <c r="CQ53" s="16">
        <f t="shared" si="27"/>
        <v>0</v>
      </c>
      <c r="CR53" s="16">
        <f t="shared" si="27"/>
        <v>0</v>
      </c>
      <c r="CS53" s="16">
        <f t="shared" si="27"/>
        <v>0</v>
      </c>
      <c r="CT53" s="16">
        <f t="shared" si="27"/>
        <v>0</v>
      </c>
      <c r="CU53" s="16">
        <f t="shared" si="27"/>
        <v>0</v>
      </c>
      <c r="CV53" s="16">
        <f t="shared" si="27"/>
        <v>0</v>
      </c>
      <c r="CW53" s="16">
        <f t="shared" si="27"/>
        <v>0</v>
      </c>
      <c r="CX53" s="16">
        <f t="shared" si="27"/>
        <v>0</v>
      </c>
      <c r="CY53" s="16">
        <f t="shared" si="27"/>
        <v>0</v>
      </c>
      <c r="CZ53" s="16">
        <f t="shared" si="27"/>
        <v>0</v>
      </c>
      <c r="DA53" s="16">
        <f t="shared" si="27"/>
        <v>0</v>
      </c>
    </row>
    <row r="54" spans="1:105" s="20" customFormat="1" ht="14">
      <c r="A54" s="18" t="s">
        <v>345</v>
      </c>
      <c r="B54" s="19">
        <f>B53</f>
        <v>0</v>
      </c>
      <c r="C54" s="19">
        <f>C53+B54</f>
        <v>0</v>
      </c>
      <c r="D54" s="19">
        <f t="shared" ref="D54:BO54" si="28">D53+C54</f>
        <v>0</v>
      </c>
      <c r="E54" s="19">
        <f t="shared" si="28"/>
        <v>0</v>
      </c>
      <c r="F54" s="19">
        <f t="shared" si="28"/>
        <v>0</v>
      </c>
      <c r="G54" s="19">
        <f t="shared" si="28"/>
        <v>0</v>
      </c>
      <c r="H54" s="19">
        <f t="shared" si="28"/>
        <v>0</v>
      </c>
      <c r="I54" s="19">
        <f t="shared" si="28"/>
        <v>0</v>
      </c>
      <c r="J54" s="19">
        <f t="shared" si="28"/>
        <v>0</v>
      </c>
      <c r="K54" s="19">
        <f t="shared" si="28"/>
        <v>0</v>
      </c>
      <c r="L54" s="19">
        <f t="shared" si="28"/>
        <v>0</v>
      </c>
      <c r="M54" s="19">
        <f t="shared" si="28"/>
        <v>0</v>
      </c>
      <c r="N54" s="19">
        <f t="shared" si="28"/>
        <v>0</v>
      </c>
      <c r="O54" s="19">
        <f t="shared" si="28"/>
        <v>0</v>
      </c>
      <c r="P54" s="19">
        <f t="shared" si="28"/>
        <v>0</v>
      </c>
      <c r="Q54" s="19">
        <f t="shared" si="28"/>
        <v>0</v>
      </c>
      <c r="R54" s="19">
        <f t="shared" si="28"/>
        <v>0</v>
      </c>
      <c r="S54" s="19">
        <f t="shared" si="28"/>
        <v>0</v>
      </c>
      <c r="T54" s="19">
        <f t="shared" si="28"/>
        <v>0</v>
      </c>
      <c r="U54" s="19">
        <f t="shared" si="28"/>
        <v>0</v>
      </c>
      <c r="V54" s="19">
        <f t="shared" si="28"/>
        <v>0</v>
      </c>
      <c r="W54" s="19">
        <f t="shared" si="28"/>
        <v>0</v>
      </c>
      <c r="X54" s="19">
        <f t="shared" si="28"/>
        <v>0</v>
      </c>
      <c r="Y54" s="19">
        <f t="shared" si="28"/>
        <v>0</v>
      </c>
      <c r="Z54" s="19">
        <f t="shared" si="28"/>
        <v>0</v>
      </c>
      <c r="AA54" s="19">
        <f t="shared" si="28"/>
        <v>0</v>
      </c>
      <c r="AB54" s="19">
        <f t="shared" si="28"/>
        <v>0</v>
      </c>
      <c r="AC54" s="19">
        <f t="shared" si="28"/>
        <v>0</v>
      </c>
      <c r="AD54" s="19">
        <f t="shared" si="28"/>
        <v>0</v>
      </c>
      <c r="AE54" s="19">
        <f t="shared" si="28"/>
        <v>0</v>
      </c>
      <c r="AF54" s="19">
        <f t="shared" si="28"/>
        <v>0</v>
      </c>
      <c r="AG54" s="19">
        <f t="shared" si="28"/>
        <v>0</v>
      </c>
      <c r="AH54" s="19">
        <f t="shared" si="28"/>
        <v>0</v>
      </c>
      <c r="AI54" s="19">
        <f t="shared" si="28"/>
        <v>0</v>
      </c>
      <c r="AJ54" s="19">
        <f t="shared" si="28"/>
        <v>0</v>
      </c>
      <c r="AK54" s="19">
        <f t="shared" si="28"/>
        <v>0</v>
      </c>
      <c r="AL54" s="19">
        <f t="shared" si="28"/>
        <v>0</v>
      </c>
      <c r="AM54" s="19">
        <f t="shared" si="28"/>
        <v>0</v>
      </c>
      <c r="AN54" s="19">
        <f t="shared" si="28"/>
        <v>0</v>
      </c>
      <c r="AO54" s="19">
        <f t="shared" si="28"/>
        <v>0</v>
      </c>
      <c r="AP54" s="19">
        <f t="shared" si="28"/>
        <v>0</v>
      </c>
      <c r="AQ54" s="19">
        <f t="shared" si="28"/>
        <v>0</v>
      </c>
      <c r="AR54" s="19">
        <f t="shared" si="28"/>
        <v>0</v>
      </c>
      <c r="AS54" s="19">
        <f t="shared" si="28"/>
        <v>0</v>
      </c>
      <c r="AT54" s="19">
        <f t="shared" si="28"/>
        <v>0</v>
      </c>
      <c r="AU54" s="19">
        <f t="shared" si="28"/>
        <v>0</v>
      </c>
      <c r="AV54" s="19">
        <f t="shared" si="28"/>
        <v>0</v>
      </c>
      <c r="AW54" s="19">
        <f t="shared" si="28"/>
        <v>0</v>
      </c>
      <c r="AX54" s="19">
        <f t="shared" si="28"/>
        <v>0</v>
      </c>
      <c r="AY54" s="19">
        <f t="shared" si="28"/>
        <v>0</v>
      </c>
      <c r="AZ54" s="19">
        <f t="shared" si="28"/>
        <v>0</v>
      </c>
      <c r="BA54" s="19">
        <f t="shared" si="28"/>
        <v>0</v>
      </c>
      <c r="BB54" s="19">
        <f t="shared" si="28"/>
        <v>0</v>
      </c>
      <c r="BC54" s="19">
        <f t="shared" si="28"/>
        <v>0</v>
      </c>
      <c r="BD54" s="19">
        <f t="shared" si="28"/>
        <v>0</v>
      </c>
      <c r="BE54" s="19">
        <f t="shared" si="28"/>
        <v>0</v>
      </c>
      <c r="BF54" s="19">
        <f t="shared" si="28"/>
        <v>0</v>
      </c>
      <c r="BG54" s="19">
        <f t="shared" si="28"/>
        <v>0</v>
      </c>
      <c r="BH54" s="19">
        <f t="shared" si="28"/>
        <v>0</v>
      </c>
      <c r="BI54" s="19">
        <f t="shared" si="28"/>
        <v>0</v>
      </c>
      <c r="BJ54" s="19">
        <f t="shared" si="28"/>
        <v>0</v>
      </c>
      <c r="BK54" s="19">
        <f t="shared" si="28"/>
        <v>0</v>
      </c>
      <c r="BL54" s="19">
        <f t="shared" si="28"/>
        <v>0</v>
      </c>
      <c r="BM54" s="19">
        <f t="shared" si="28"/>
        <v>0</v>
      </c>
      <c r="BN54" s="19">
        <f t="shared" si="28"/>
        <v>0</v>
      </c>
      <c r="BO54" s="19">
        <f t="shared" si="28"/>
        <v>0</v>
      </c>
      <c r="BP54" s="19">
        <f t="shared" ref="BP54:DA54" si="29">BP53+BO54</f>
        <v>0</v>
      </c>
      <c r="BQ54" s="19">
        <f t="shared" si="29"/>
        <v>0</v>
      </c>
      <c r="BR54" s="19">
        <f t="shared" si="29"/>
        <v>0</v>
      </c>
      <c r="BS54" s="19">
        <f t="shared" si="29"/>
        <v>0</v>
      </c>
      <c r="BT54" s="19">
        <f t="shared" si="29"/>
        <v>0</v>
      </c>
      <c r="BU54" s="19">
        <f t="shared" si="29"/>
        <v>0</v>
      </c>
      <c r="BV54" s="19">
        <f t="shared" si="29"/>
        <v>0</v>
      </c>
      <c r="BW54" s="19">
        <f t="shared" si="29"/>
        <v>0</v>
      </c>
      <c r="BX54" s="19">
        <f t="shared" si="29"/>
        <v>0</v>
      </c>
      <c r="BY54" s="19">
        <f t="shared" si="29"/>
        <v>0</v>
      </c>
      <c r="BZ54" s="19">
        <f t="shared" si="29"/>
        <v>0</v>
      </c>
      <c r="CA54" s="19">
        <f t="shared" si="29"/>
        <v>0</v>
      </c>
      <c r="CB54" s="19">
        <f t="shared" si="29"/>
        <v>0</v>
      </c>
      <c r="CC54" s="19">
        <f t="shared" si="29"/>
        <v>0</v>
      </c>
      <c r="CD54" s="19">
        <f t="shared" si="29"/>
        <v>0</v>
      </c>
      <c r="CE54" s="19">
        <f t="shared" si="29"/>
        <v>0</v>
      </c>
      <c r="CF54" s="19">
        <f t="shared" si="29"/>
        <v>0</v>
      </c>
      <c r="CG54" s="19">
        <f t="shared" si="29"/>
        <v>0</v>
      </c>
      <c r="CH54" s="19">
        <f t="shared" si="29"/>
        <v>0</v>
      </c>
      <c r="CI54" s="19">
        <f t="shared" si="29"/>
        <v>0</v>
      </c>
      <c r="CJ54" s="19">
        <f t="shared" si="29"/>
        <v>0</v>
      </c>
      <c r="CK54" s="19">
        <f t="shared" si="29"/>
        <v>0</v>
      </c>
      <c r="CL54" s="19">
        <f t="shared" si="29"/>
        <v>0</v>
      </c>
      <c r="CM54" s="19">
        <f t="shared" si="29"/>
        <v>0</v>
      </c>
      <c r="CN54" s="19">
        <f t="shared" si="29"/>
        <v>0</v>
      </c>
      <c r="CO54" s="19">
        <f t="shared" si="29"/>
        <v>0</v>
      </c>
      <c r="CP54" s="19">
        <f t="shared" si="29"/>
        <v>0</v>
      </c>
      <c r="CQ54" s="19">
        <f t="shared" si="29"/>
        <v>0</v>
      </c>
      <c r="CR54" s="19">
        <f t="shared" si="29"/>
        <v>0</v>
      </c>
      <c r="CS54" s="19">
        <f t="shared" si="29"/>
        <v>0</v>
      </c>
      <c r="CT54" s="19">
        <f t="shared" si="29"/>
        <v>0</v>
      </c>
      <c r="CU54" s="19">
        <f t="shared" si="29"/>
        <v>0</v>
      </c>
      <c r="CV54" s="19">
        <f t="shared" si="29"/>
        <v>0</v>
      </c>
      <c r="CW54" s="19">
        <f t="shared" si="29"/>
        <v>0</v>
      </c>
      <c r="CX54" s="19">
        <f t="shared" si="29"/>
        <v>0</v>
      </c>
      <c r="CY54" s="19">
        <f t="shared" si="29"/>
        <v>0</v>
      </c>
      <c r="CZ54" s="19">
        <f t="shared" si="29"/>
        <v>0</v>
      </c>
      <c r="DA54" s="19">
        <f t="shared" si="29"/>
        <v>0</v>
      </c>
    </row>
    <row r="56" spans="1:105" s="4" customFormat="1" ht="14">
      <c r="A56" s="12" t="s">
        <v>346</v>
      </c>
      <c r="B56" s="16">
        <f>IFERROR(HLOOKUP(B$5,#REF!,5,FALSE)-HLOOKUP(B$5,#REF!,2,FALSE),0)</f>
        <v>0</v>
      </c>
      <c r="C56" s="16">
        <f>IFERROR(HLOOKUP(C$5,#REF!,5,FALSE)-HLOOKUP(C$5,#REF!,2,FALSE),0)</f>
        <v>0</v>
      </c>
      <c r="D56" s="16">
        <f>IFERROR(HLOOKUP(D$5,#REF!,5,FALSE)-HLOOKUP(D$5,#REF!,2,FALSE),0)</f>
        <v>0</v>
      </c>
      <c r="E56" s="16">
        <f>IFERROR(HLOOKUP(E$5,#REF!,5,FALSE)-HLOOKUP(E$5,#REF!,2,FALSE),0)</f>
        <v>0</v>
      </c>
      <c r="F56" s="16">
        <f>IFERROR(HLOOKUP(F$5,#REF!,5,FALSE)-HLOOKUP(F$5,#REF!,2,FALSE),0)</f>
        <v>0</v>
      </c>
      <c r="G56" s="16">
        <f>IFERROR(HLOOKUP(G$5,#REF!,5,FALSE)-HLOOKUP(G$5,#REF!,2,FALSE),0)</f>
        <v>0</v>
      </c>
      <c r="H56" s="16">
        <f>IFERROR(HLOOKUP(H$5,#REF!,5,FALSE)-HLOOKUP(H$5,#REF!,2,FALSE),0)</f>
        <v>0</v>
      </c>
      <c r="I56" s="16">
        <f>IFERROR(HLOOKUP(I$5,#REF!,5,FALSE)-HLOOKUP(I$5,#REF!,2,FALSE),0)</f>
        <v>0</v>
      </c>
      <c r="J56" s="16">
        <f>IFERROR(HLOOKUP(J$5,#REF!,5,FALSE)-HLOOKUP(J$5,#REF!,2,FALSE),0)</f>
        <v>0</v>
      </c>
      <c r="K56" s="16">
        <f>IFERROR(HLOOKUP(K$5,#REF!,5,FALSE)-HLOOKUP(K$5,#REF!,2,FALSE),0)</f>
        <v>0</v>
      </c>
      <c r="L56" s="16">
        <f>IFERROR(HLOOKUP(L$5,#REF!,5,FALSE)-HLOOKUP(L$5,#REF!,2,FALSE),0)</f>
        <v>0</v>
      </c>
      <c r="M56" s="16">
        <f>IFERROR(HLOOKUP(M$5,#REF!,5,FALSE)-HLOOKUP(M$5,#REF!,2,FALSE),0)</f>
        <v>0</v>
      </c>
      <c r="N56" s="16">
        <f>IFERROR(HLOOKUP(N$5,#REF!,5,FALSE)-HLOOKUP(N$5,#REF!,2,FALSE),0)</f>
        <v>0</v>
      </c>
      <c r="O56" s="16">
        <f>IFERROR(HLOOKUP(O$5,#REF!,5,FALSE)-HLOOKUP(O$5,#REF!,2,FALSE),0)</f>
        <v>0</v>
      </c>
      <c r="P56" s="16">
        <f>IFERROR(HLOOKUP(P$5,#REF!,5,FALSE)-HLOOKUP(P$5,#REF!,2,FALSE),0)</f>
        <v>0</v>
      </c>
      <c r="Q56" s="16">
        <f>IFERROR(HLOOKUP(Q$5,#REF!,5,FALSE)-HLOOKUP(Q$5,#REF!,2,FALSE),0)</f>
        <v>0</v>
      </c>
      <c r="R56" s="16">
        <f>IFERROR(HLOOKUP(R$5,#REF!,5,FALSE)-HLOOKUP(R$5,#REF!,2,FALSE),0)</f>
        <v>0</v>
      </c>
      <c r="S56" s="16">
        <f>IFERROR(HLOOKUP(S$5,#REF!,5,FALSE)-HLOOKUP(S$5,#REF!,2,FALSE),0)</f>
        <v>0</v>
      </c>
      <c r="T56" s="16">
        <f>IFERROR(HLOOKUP(T$5,#REF!,5,FALSE)-HLOOKUP(T$5,#REF!,2,FALSE),0)</f>
        <v>0</v>
      </c>
      <c r="U56" s="16">
        <f>IFERROR(HLOOKUP(U$5,#REF!,5,FALSE)-HLOOKUP(U$5,#REF!,2,FALSE),0)</f>
        <v>0</v>
      </c>
      <c r="V56" s="16">
        <f>IFERROR(HLOOKUP(V$5,#REF!,5,FALSE)-HLOOKUP(V$5,#REF!,2,FALSE),0)</f>
        <v>0</v>
      </c>
      <c r="W56" s="16">
        <f>IFERROR(HLOOKUP(W$5,#REF!,5,FALSE)-HLOOKUP(W$5,#REF!,2,FALSE),0)</f>
        <v>0</v>
      </c>
      <c r="X56" s="16">
        <f>IFERROR(HLOOKUP(X$5,#REF!,5,FALSE)-HLOOKUP(X$5,#REF!,2,FALSE),0)</f>
        <v>0</v>
      </c>
      <c r="Y56" s="16">
        <f>IFERROR(HLOOKUP(Y$5,#REF!,5,FALSE)-HLOOKUP(Y$5,#REF!,2,FALSE),0)</f>
        <v>0</v>
      </c>
      <c r="Z56" s="16">
        <f>IFERROR(HLOOKUP(Z$5,#REF!,5,FALSE)-HLOOKUP(Z$5,#REF!,2,FALSE),0)</f>
        <v>0</v>
      </c>
      <c r="AA56" s="16">
        <f>IFERROR(HLOOKUP(AA$5,#REF!,5,FALSE)-HLOOKUP(AA$5,#REF!,2,FALSE),0)</f>
        <v>0</v>
      </c>
      <c r="AB56" s="16">
        <f>IFERROR(HLOOKUP(AB$5,#REF!,5,FALSE)-HLOOKUP(AB$5,#REF!,2,FALSE),0)</f>
        <v>0</v>
      </c>
      <c r="AC56" s="16">
        <f>IFERROR(HLOOKUP(AC$5,#REF!,5,FALSE)-HLOOKUP(AC$5,#REF!,2,FALSE),0)</f>
        <v>0</v>
      </c>
      <c r="AD56" s="16">
        <f>IFERROR(HLOOKUP(AD$5,#REF!,5,FALSE)-HLOOKUP(AD$5,#REF!,2,FALSE),0)</f>
        <v>0</v>
      </c>
      <c r="AE56" s="16">
        <f>IFERROR(HLOOKUP(AE$5,#REF!,5,FALSE)-HLOOKUP(AE$5,#REF!,2,FALSE),0)</f>
        <v>0</v>
      </c>
      <c r="AF56" s="16">
        <f>IFERROR(HLOOKUP(AF$5,#REF!,5,FALSE)-HLOOKUP(AF$5,#REF!,2,FALSE),0)</f>
        <v>0</v>
      </c>
      <c r="AG56" s="16">
        <f>IFERROR(HLOOKUP(AG$5,#REF!,5,FALSE)-HLOOKUP(AG$5,#REF!,2,FALSE),0)</f>
        <v>0</v>
      </c>
      <c r="AH56" s="16">
        <f>IFERROR(HLOOKUP(AH$5,#REF!,5,FALSE)-HLOOKUP(AH$5,#REF!,2,FALSE),0)</f>
        <v>0</v>
      </c>
      <c r="AI56" s="16">
        <f>IFERROR(HLOOKUP(AI$5,#REF!,5,FALSE)-HLOOKUP(AI$5,#REF!,2,FALSE),0)</f>
        <v>0</v>
      </c>
      <c r="AJ56" s="16">
        <f>IFERROR(HLOOKUP(AJ$5,#REF!,5,FALSE)-HLOOKUP(AJ$5,#REF!,2,FALSE),0)</f>
        <v>0</v>
      </c>
      <c r="AK56" s="16">
        <f>IFERROR(HLOOKUP(AK$5,#REF!,5,FALSE)-HLOOKUP(AK$5,#REF!,2,FALSE),0)</f>
        <v>0</v>
      </c>
      <c r="AL56" s="16">
        <f>IFERROR(HLOOKUP(AL$5,#REF!,5,FALSE)-HLOOKUP(AL$5,#REF!,2,FALSE),0)</f>
        <v>0</v>
      </c>
      <c r="AM56" s="16">
        <f>IFERROR(HLOOKUP(AM$5,#REF!,5,FALSE)-HLOOKUP(AM$5,#REF!,2,FALSE),0)</f>
        <v>0</v>
      </c>
      <c r="AN56" s="16">
        <f>IFERROR(HLOOKUP(AN$5,#REF!,5,FALSE)-HLOOKUP(AN$5,#REF!,2,FALSE),0)</f>
        <v>0</v>
      </c>
      <c r="AO56" s="16">
        <f>IFERROR(HLOOKUP(AO$5,#REF!,5,FALSE)-HLOOKUP(AO$5,#REF!,2,FALSE),0)</f>
        <v>0</v>
      </c>
      <c r="AP56" s="16">
        <f>IFERROR(HLOOKUP(AP$5,#REF!,5,FALSE)-HLOOKUP(AP$5,#REF!,2,FALSE),0)</f>
        <v>0</v>
      </c>
      <c r="AQ56" s="16">
        <f>IFERROR(HLOOKUP(AQ$5,#REF!,5,FALSE)-HLOOKUP(AQ$5,#REF!,2,FALSE),0)</f>
        <v>0</v>
      </c>
      <c r="AR56" s="16">
        <f>IFERROR(HLOOKUP(AR$5,#REF!,5,FALSE)-HLOOKUP(AR$5,#REF!,2,FALSE),0)</f>
        <v>0</v>
      </c>
      <c r="AS56" s="16">
        <f>IFERROR(HLOOKUP(AS$5,#REF!,5,FALSE)-HLOOKUP(AS$5,#REF!,2,FALSE),0)</f>
        <v>0</v>
      </c>
      <c r="AT56" s="16">
        <f>IFERROR(HLOOKUP(AT$5,#REF!,5,FALSE)-HLOOKUP(AT$5,#REF!,2,FALSE),0)</f>
        <v>0</v>
      </c>
      <c r="AU56" s="16">
        <f>IFERROR(HLOOKUP(AU$5,#REF!,5,FALSE)-HLOOKUP(AU$5,#REF!,2,FALSE),0)</f>
        <v>0</v>
      </c>
      <c r="AV56" s="16">
        <f>IFERROR(HLOOKUP(AV$5,#REF!,5,FALSE)-HLOOKUP(AV$5,#REF!,2,FALSE),0)</f>
        <v>0</v>
      </c>
      <c r="AW56" s="16">
        <f>IFERROR(HLOOKUP(AW$5,#REF!,5,FALSE)-HLOOKUP(AW$5,#REF!,2,FALSE),0)</f>
        <v>0</v>
      </c>
      <c r="AX56" s="16">
        <f>IFERROR(HLOOKUP(AX$5,#REF!,5,FALSE)-HLOOKUP(AX$5,#REF!,2,FALSE),0)</f>
        <v>0</v>
      </c>
      <c r="AY56" s="16">
        <f>IFERROR(HLOOKUP(AY$5,#REF!,5,FALSE)-HLOOKUP(AY$5,#REF!,2,FALSE),0)</f>
        <v>0</v>
      </c>
      <c r="AZ56" s="16">
        <f>IFERROR(HLOOKUP(AZ$5,#REF!,5,FALSE)-HLOOKUP(AZ$5,#REF!,2,FALSE),0)</f>
        <v>0</v>
      </c>
      <c r="BA56" s="16">
        <f>IFERROR(HLOOKUP(BA$5,#REF!,5,FALSE)-HLOOKUP(BA$5,#REF!,2,FALSE),0)</f>
        <v>0</v>
      </c>
      <c r="BB56" s="16">
        <f>IFERROR(HLOOKUP(BB$5,#REF!,5,FALSE)-HLOOKUP(BB$5,#REF!,2,FALSE),0)</f>
        <v>0</v>
      </c>
      <c r="BC56" s="16">
        <f>IFERROR(HLOOKUP(BC$5,#REF!,5,FALSE)-HLOOKUP(BC$5,#REF!,2,FALSE),0)</f>
        <v>0</v>
      </c>
      <c r="BD56" s="16">
        <f>IFERROR(HLOOKUP(BD$5,#REF!,5,FALSE)-HLOOKUP(BD$5,#REF!,2,FALSE),0)</f>
        <v>0</v>
      </c>
      <c r="BE56" s="16">
        <f>IFERROR(HLOOKUP(BE$5,#REF!,5,FALSE)-HLOOKUP(BE$5,#REF!,2,FALSE),0)</f>
        <v>0</v>
      </c>
      <c r="BF56" s="16">
        <f>IFERROR(HLOOKUP(BF$5,#REF!,5,FALSE)-HLOOKUP(BF$5,#REF!,2,FALSE),0)</f>
        <v>0</v>
      </c>
      <c r="BG56" s="16">
        <f>IFERROR(HLOOKUP(BG$5,#REF!,5,FALSE)-HLOOKUP(BG$5,#REF!,2,FALSE),0)</f>
        <v>0</v>
      </c>
      <c r="BH56" s="16">
        <f>IFERROR(HLOOKUP(BH$5,#REF!,5,FALSE)-HLOOKUP(BH$5,#REF!,2,FALSE),0)</f>
        <v>0</v>
      </c>
      <c r="BI56" s="16">
        <f>IFERROR(HLOOKUP(BI$5,#REF!,5,FALSE)-HLOOKUP(BI$5,#REF!,2,FALSE),0)</f>
        <v>0</v>
      </c>
      <c r="BJ56" s="16">
        <f>IFERROR(HLOOKUP(BJ$5,#REF!,5,FALSE)-HLOOKUP(BJ$5,#REF!,2,FALSE),0)</f>
        <v>0</v>
      </c>
      <c r="BK56" s="16">
        <f>IFERROR(HLOOKUP(BK$5,#REF!,5,FALSE)-HLOOKUP(BK$5,#REF!,2,FALSE),0)</f>
        <v>0</v>
      </c>
      <c r="BL56" s="16">
        <f>IFERROR(HLOOKUP(BL$5,#REF!,5,FALSE)-HLOOKUP(BL$5,#REF!,2,FALSE),0)</f>
        <v>0</v>
      </c>
      <c r="BM56" s="16">
        <f>IFERROR(HLOOKUP(BM$5,#REF!,5,FALSE)-HLOOKUP(BM$5,#REF!,2,FALSE),0)</f>
        <v>0</v>
      </c>
      <c r="BN56" s="16">
        <f>IFERROR(HLOOKUP(BN$5,#REF!,5,FALSE)-HLOOKUP(BN$5,#REF!,2,FALSE),0)</f>
        <v>0</v>
      </c>
      <c r="BO56" s="16">
        <f>IFERROR(HLOOKUP(BO$5,#REF!,5,FALSE)-HLOOKUP(BO$5,#REF!,2,FALSE),0)</f>
        <v>0</v>
      </c>
      <c r="BP56" s="16">
        <f>IFERROR(HLOOKUP(BP$5,#REF!,5,FALSE)-HLOOKUP(BP$5,#REF!,2,FALSE),0)</f>
        <v>0</v>
      </c>
      <c r="BQ56" s="16">
        <f>IFERROR(HLOOKUP(BQ$5,#REF!,5,FALSE)-HLOOKUP(BQ$5,#REF!,2,FALSE),0)</f>
        <v>0</v>
      </c>
      <c r="BR56" s="16">
        <f>IFERROR(HLOOKUP(BR$5,#REF!,5,FALSE)-HLOOKUP(BR$5,#REF!,2,FALSE),0)</f>
        <v>0</v>
      </c>
      <c r="BS56" s="16">
        <f>IFERROR(HLOOKUP(BS$5,#REF!,5,FALSE)-HLOOKUP(BS$5,#REF!,2,FALSE),0)</f>
        <v>0</v>
      </c>
      <c r="BT56" s="16">
        <f>IFERROR(HLOOKUP(BT$5,#REF!,5,FALSE)-HLOOKUP(BT$5,#REF!,2,FALSE),0)</f>
        <v>0</v>
      </c>
      <c r="BU56" s="16">
        <f>IFERROR(HLOOKUP(BU$5,#REF!,5,FALSE)-HLOOKUP(BU$5,#REF!,2,FALSE),0)</f>
        <v>0</v>
      </c>
      <c r="BV56" s="16">
        <f>IFERROR(HLOOKUP(BV$5,#REF!,5,FALSE)-HLOOKUP(BV$5,#REF!,2,FALSE),0)</f>
        <v>0</v>
      </c>
      <c r="BW56" s="16">
        <f>IFERROR(HLOOKUP(BW$5,#REF!,5,FALSE)-HLOOKUP(BW$5,#REF!,2,FALSE),0)</f>
        <v>0</v>
      </c>
      <c r="BX56" s="16">
        <f>IFERROR(HLOOKUP(BX$5,#REF!,5,FALSE)-HLOOKUP(BX$5,#REF!,2,FALSE),0)</f>
        <v>0</v>
      </c>
      <c r="BY56" s="16">
        <f>IFERROR(HLOOKUP(BY$5,#REF!,5,FALSE)-HLOOKUP(BY$5,#REF!,2,FALSE),0)</f>
        <v>0</v>
      </c>
      <c r="BZ56" s="16">
        <f>IFERROR(HLOOKUP(BZ$5,#REF!,5,FALSE)-HLOOKUP(BZ$5,#REF!,2,FALSE),0)</f>
        <v>0</v>
      </c>
      <c r="CA56" s="16">
        <f>IFERROR(HLOOKUP(CA$5,#REF!,5,FALSE)-HLOOKUP(CA$5,#REF!,2,FALSE),0)</f>
        <v>0</v>
      </c>
      <c r="CB56" s="16">
        <f>IFERROR(HLOOKUP(CB$5,#REF!,5,FALSE)-HLOOKUP(CB$5,#REF!,2,FALSE),0)</f>
        <v>0</v>
      </c>
      <c r="CC56" s="16">
        <f>IFERROR(HLOOKUP(CC$5,#REF!,5,FALSE)-HLOOKUP(CC$5,#REF!,2,FALSE),0)</f>
        <v>0</v>
      </c>
      <c r="CD56" s="16">
        <f>IFERROR(HLOOKUP(CD$5,#REF!,5,FALSE)-HLOOKUP(CD$5,#REF!,2,FALSE),0)</f>
        <v>0</v>
      </c>
      <c r="CE56" s="16">
        <f>IFERROR(HLOOKUP(CE$5,#REF!,5,FALSE)-HLOOKUP(CE$5,#REF!,2,FALSE),0)</f>
        <v>0</v>
      </c>
      <c r="CF56" s="16">
        <f>IFERROR(HLOOKUP(CF$5,#REF!,5,FALSE)-HLOOKUP(CF$5,#REF!,2,FALSE),0)</f>
        <v>0</v>
      </c>
      <c r="CG56" s="16">
        <f>IFERROR(HLOOKUP(CG$5,#REF!,5,FALSE)-HLOOKUP(CG$5,#REF!,2,FALSE),0)</f>
        <v>0</v>
      </c>
      <c r="CH56" s="16">
        <f>IFERROR(HLOOKUP(CH$5,#REF!,5,FALSE)-HLOOKUP(CH$5,#REF!,2,FALSE),0)</f>
        <v>0</v>
      </c>
      <c r="CI56" s="16">
        <f>IFERROR(HLOOKUP(CI$5,#REF!,5,FALSE)-HLOOKUP(CI$5,#REF!,2,FALSE),0)</f>
        <v>0</v>
      </c>
      <c r="CJ56" s="16">
        <f>IFERROR(HLOOKUP(CJ$5,#REF!,5,FALSE)-HLOOKUP(CJ$5,#REF!,2,FALSE),0)</f>
        <v>0</v>
      </c>
      <c r="CK56" s="16">
        <f>IFERROR(HLOOKUP(CK$5,#REF!,5,FALSE)-HLOOKUP(CK$5,#REF!,2,FALSE),0)</f>
        <v>0</v>
      </c>
      <c r="CL56" s="16">
        <f>IFERROR(HLOOKUP(CL$5,#REF!,5,FALSE)-HLOOKUP(CL$5,#REF!,2,FALSE),0)</f>
        <v>0</v>
      </c>
      <c r="CM56" s="16">
        <f>IFERROR(HLOOKUP(CM$5,#REF!,5,FALSE)-HLOOKUP(CM$5,#REF!,2,FALSE),0)</f>
        <v>0</v>
      </c>
      <c r="CN56" s="16">
        <f>IFERROR(HLOOKUP(CN$5,#REF!,5,FALSE)-HLOOKUP(CN$5,#REF!,2,FALSE),0)</f>
        <v>0</v>
      </c>
      <c r="CO56" s="16">
        <f>IFERROR(HLOOKUP(CO$5,#REF!,5,FALSE)-HLOOKUP(CO$5,#REF!,2,FALSE),0)</f>
        <v>0</v>
      </c>
      <c r="CP56" s="16">
        <f>IFERROR(HLOOKUP(CP$5,#REF!,5,FALSE)-HLOOKUP(CP$5,#REF!,2,FALSE),0)</f>
        <v>0</v>
      </c>
      <c r="CQ56" s="16">
        <f>IFERROR(HLOOKUP(CQ$5,#REF!,5,FALSE)-HLOOKUP(CQ$5,#REF!,2,FALSE),0)</f>
        <v>0</v>
      </c>
      <c r="CR56" s="16">
        <f>IFERROR(HLOOKUP(CR$5,#REF!,5,FALSE)-HLOOKUP(CR$5,#REF!,2,FALSE),0)</f>
        <v>0</v>
      </c>
      <c r="CS56" s="16">
        <f>IFERROR(HLOOKUP(CS$5,#REF!,5,FALSE)-HLOOKUP(CS$5,#REF!,2,FALSE),0)</f>
        <v>0</v>
      </c>
      <c r="CT56" s="16">
        <f>IFERROR(HLOOKUP(CT$5,#REF!,5,FALSE)-HLOOKUP(CT$5,#REF!,2,FALSE),0)</f>
        <v>0</v>
      </c>
      <c r="CU56" s="16">
        <f>IFERROR(HLOOKUP(CU$5,#REF!,5,FALSE)-HLOOKUP(CU$5,#REF!,2,FALSE),0)</f>
        <v>0</v>
      </c>
      <c r="CV56" s="16">
        <f>IFERROR(HLOOKUP(CV$5,#REF!,5,FALSE)-HLOOKUP(CV$5,#REF!,2,FALSE),0)</f>
        <v>0</v>
      </c>
      <c r="CW56" s="16">
        <f>IFERROR(HLOOKUP(CW$5,#REF!,5,FALSE)-HLOOKUP(CW$5,#REF!,2,FALSE),0)</f>
        <v>0</v>
      </c>
      <c r="CX56" s="16">
        <f>IFERROR(HLOOKUP(CX$5,#REF!,5,FALSE)-HLOOKUP(CX$5,#REF!,2,FALSE),0)</f>
        <v>0</v>
      </c>
      <c r="CY56" s="16">
        <f>IFERROR(HLOOKUP(CY$5,#REF!,5,FALSE)-HLOOKUP(CY$5,#REF!,2,FALSE),0)</f>
        <v>0</v>
      </c>
      <c r="CZ56" s="16">
        <f>IFERROR(HLOOKUP(CZ$5,#REF!,5,FALSE)-HLOOKUP(CZ$5,#REF!,2,FALSE),0)</f>
        <v>0</v>
      </c>
      <c r="DA56" s="16">
        <f>IFERROR(HLOOKUP(DA$5,#REF!,5,FALSE)-HLOOKUP(DA$5,#REF!,2,FALSE),0)</f>
        <v>0</v>
      </c>
    </row>
  </sheetData>
  <mergeCells count="24">
    <mergeCell ref="AX4:BA4"/>
    <mergeCell ref="B4:F4"/>
    <mergeCell ref="G4:J4"/>
    <mergeCell ref="K4:N4"/>
    <mergeCell ref="O4:R4"/>
    <mergeCell ref="S4:W4"/>
    <mergeCell ref="X4:AA4"/>
    <mergeCell ref="AB4:AE4"/>
    <mergeCell ref="AF4:AJ4"/>
    <mergeCell ref="AK4:AN4"/>
    <mergeCell ref="AO4:AS4"/>
    <mergeCell ref="AT4:AW4"/>
    <mergeCell ref="CX4:DA4"/>
    <mergeCell ref="BB4:BF4"/>
    <mergeCell ref="BG4:BJ4"/>
    <mergeCell ref="BK4:BN4"/>
    <mergeCell ref="BO4:BR4"/>
    <mergeCell ref="BS4:BW4"/>
    <mergeCell ref="BX4:CA4"/>
    <mergeCell ref="CB4:CE4"/>
    <mergeCell ref="CF4:CJ4"/>
    <mergeCell ref="CK4:CN4"/>
    <mergeCell ref="CO4:CS4"/>
    <mergeCell ref="CT4:CW4"/>
  </mergeCells>
  <pageMargins left="0.7" right="0.7" top="0.75" bottom="0.75" header="0.3" footer="0.3"/>
  <pageSetup orientation="portrait" r:id="rId1"/>
  <headerFooter>
    <oddFooter>&amp;C&amp;1#&amp;"Calibri"&amp;8&amp;K000000Aernnova Group confidential information. Limited use on a need-to-know basis. All rights reserved.</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B88E8EB-1E24-4783-849A-9CF0A5D0582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17</vt:i4>
      </vt:variant>
    </vt:vector>
  </HeadingPairs>
  <TitlesOfParts>
    <vt:vector size="29" baseType="lpstr">
      <vt:lpstr>StdData</vt:lpstr>
      <vt:lpstr>InData</vt:lpstr>
      <vt:lpstr>OutData</vt:lpstr>
      <vt:lpstr>AsgnBaaN</vt:lpstr>
      <vt:lpstr>AsgnPpto</vt:lpstr>
      <vt:lpstr>AsgnPrv</vt:lpstr>
      <vt:lpstr>Fback</vt:lpstr>
      <vt:lpstr>PPR</vt:lpstr>
      <vt:lpstr>Mods</vt:lpstr>
      <vt:lpstr>Desv</vt:lpstr>
      <vt:lpstr>EcoS</vt:lpstr>
      <vt:lpstr>PLAN</vt:lpstr>
      <vt:lpstr>ClcVrs</vt:lpstr>
      <vt:lpstr>CtkVrs</vt:lpstr>
      <vt:lpstr>LngS</vt:lpstr>
      <vt:lpstr>LupVrs</vt:lpstr>
      <vt:lpstr>MeSel</vt:lpstr>
      <vt:lpstr>OsyS</vt:lpstr>
      <vt:lpstr>PckVrs</vt:lpstr>
      <vt:lpstr>Prj0_Id</vt:lpstr>
      <vt:lpstr>Prj1_Id</vt:lpstr>
      <vt:lpstr>Prj2_Id</vt:lpstr>
      <vt:lpstr>PrjX_Id</vt:lpstr>
      <vt:lpstr>PrSel</vt:lpstr>
      <vt:lpstr>Pth</vt:lpstr>
      <vt:lpstr>PtsVrs</vt:lpstr>
      <vt:lpstr>TchVrs</vt:lpstr>
      <vt:lpstr>Vrs</vt:lpstr>
      <vt:lpstr>XplVrs</vt:lpstr>
    </vt:vector>
  </TitlesOfParts>
  <Company>SERRA SOLDADURA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 PROCESOS</dc:creator>
  <cp:lastModifiedBy>Dídac Pérez Gil</cp:lastModifiedBy>
  <cp:lastPrinted>2013-04-30T09:28:39Z</cp:lastPrinted>
  <dcterms:created xsi:type="dcterms:W3CDTF">2003-03-06T12:03:29Z</dcterms:created>
  <dcterms:modified xsi:type="dcterms:W3CDTF">2025-04-08T18:09:50Z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c37234c-be34-48e6-861e-3e7763cedb77_Enabled">
    <vt:lpwstr>true</vt:lpwstr>
  </property>
  <property fmtid="{D5CDD505-2E9C-101B-9397-08002B2CF9AE}" pid="3" name="MSIP_Label_5c37234c-be34-48e6-861e-3e7763cedb77_SetDate">
    <vt:lpwstr>2021-07-20T08:25:20Z</vt:lpwstr>
  </property>
  <property fmtid="{D5CDD505-2E9C-101B-9397-08002B2CF9AE}" pid="4" name="MSIP_Label_5c37234c-be34-48e6-861e-3e7763cedb77_Method">
    <vt:lpwstr>Standard</vt:lpwstr>
  </property>
  <property fmtid="{D5CDD505-2E9C-101B-9397-08002B2CF9AE}" pid="5" name="MSIP_Label_5c37234c-be34-48e6-861e-3e7763cedb77_Name">
    <vt:lpwstr>5c37234c-be34-48e6-861e-3e7763cedb77</vt:lpwstr>
  </property>
  <property fmtid="{D5CDD505-2E9C-101B-9397-08002B2CF9AE}" pid="6" name="MSIP_Label_5c37234c-be34-48e6-861e-3e7763cedb77_SiteId">
    <vt:lpwstr>d2f1cc5e-9343-4a8e-9ce4-c0d8869b1510</vt:lpwstr>
  </property>
  <property fmtid="{D5CDD505-2E9C-101B-9397-08002B2CF9AE}" pid="7" name="MSIP_Label_5c37234c-be34-48e6-861e-3e7763cedb77_ActionId">
    <vt:lpwstr>b8f191dd-3847-4e57-a8db-1b65ede502cd</vt:lpwstr>
  </property>
  <property fmtid="{D5CDD505-2E9C-101B-9397-08002B2CF9AE}" pid="8" name="MSIP_Label_5c37234c-be34-48e6-861e-3e7763cedb77_ContentBits">
    <vt:lpwstr>2</vt:lpwstr>
  </property>
</Properties>
</file>